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xml"/>
  <Override PartName="/xl/charts/chart3.xml" ContentType="application/vnd.openxmlformats-officedocument.drawingml.chart+xml"/>
  <Override PartName="/xl/theme/themeOverride1.xml" ContentType="application/vnd.openxmlformats-officedocument.themeOverride+xml"/>
  <Override PartName="/xl/drawings/drawing7.xml" ContentType="application/vnd.openxmlformats-officedocument.drawing+xml"/>
  <Override PartName="/xl/comments4.xml" ContentType="application/vnd.openxmlformats-officedocument.spreadsheetml.comments+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charts/chart13.xml" ContentType="application/vnd.openxmlformats-officedocument.drawingml.chart+xml"/>
  <Override PartName="/xl/drawings/drawing8.xml" ContentType="application/vnd.openxmlformats-officedocument.drawing+xml"/>
  <Override PartName="/xl/comments5.xml" ContentType="application/vnd.openxmlformats-officedocument.spreadsheetml.comments+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style12.xml" ContentType="application/vnd.ms-office.chartstyle+xml"/>
  <Override PartName="/xl/charts/colors12.xml" ContentType="application/vnd.ms-office.chartcolorstyle+xml"/>
  <Override PartName="/xl/charts/chart17.xml" ContentType="application/vnd.openxmlformats-officedocument.drawingml.chart+xml"/>
  <Override PartName="/xl/charts/style13.xml" ContentType="application/vnd.ms-office.chartstyle+xml"/>
  <Override PartName="/xl/charts/colors13.xml" ContentType="application/vnd.ms-office.chartcolorstyle+xml"/>
  <Override PartName="/xl/charts/chart18.xml" ContentType="application/vnd.openxmlformats-officedocument.drawingml.chart+xml"/>
  <Override PartName="/xl/drawings/drawing9.xml" ContentType="application/vnd.openxmlformats-officedocument.drawingml.chartshapes+xml"/>
  <Override PartName="/xl/charts/chart19.xml" ContentType="application/vnd.openxmlformats-officedocument.drawingml.chart+xml"/>
  <Override PartName="/xl/theme/themeOverride2.xml" ContentType="application/vnd.openxmlformats-officedocument.themeOverride+xml"/>
  <Override PartName="/xl/charts/chart20.xml" ContentType="application/vnd.openxmlformats-officedocument.drawingml.chart+xml"/>
  <Override PartName="/xl/charts/style14.xml" ContentType="application/vnd.ms-office.chartstyle+xml"/>
  <Override PartName="/xl/charts/colors14.xml" ContentType="application/vnd.ms-office.chartcolorstyle+xml"/>
  <Override PartName="/xl/charts/chart21.xml" ContentType="application/vnd.openxmlformats-officedocument.drawingml.chart+xml"/>
  <Override PartName="/xl/charts/chart22.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0.xml" ContentType="application/vnd.openxmlformats-officedocument.drawing+xml"/>
  <Override PartName="/xl/comments6.xml" ContentType="application/vnd.openxmlformats-officedocument.spreadsheetml.comments+xml"/>
  <Override PartName="/xl/charts/chart23.xml" ContentType="application/vnd.openxmlformats-officedocument.drawingml.chart+xml"/>
  <Override PartName="/xl/charts/style16.xml" ContentType="application/vnd.ms-office.chartstyle+xml"/>
  <Override PartName="/xl/charts/colors16.xml" ContentType="application/vnd.ms-office.chartcolorstyle+xml"/>
  <Override PartName="/xl/charts/chart24.xml" ContentType="application/vnd.openxmlformats-officedocument.drawingml.chart+xml"/>
  <Override PartName="/xl/charts/style17.xml" ContentType="application/vnd.ms-office.chartstyle+xml"/>
  <Override PartName="/xl/charts/colors17.xml" ContentType="application/vnd.ms-office.chartcolorstyle+xml"/>
  <Override PartName="/xl/charts/chart25.xml" ContentType="application/vnd.openxmlformats-officedocument.drawingml.chart+xml"/>
  <Override PartName="/xl/charts/style18.xml" ContentType="application/vnd.ms-office.chartstyle+xml"/>
  <Override PartName="/xl/charts/colors18.xml" ContentType="application/vnd.ms-office.chartcolorstyle+xml"/>
  <Override PartName="/xl/charts/chart26.xml" ContentType="application/vnd.openxmlformats-officedocument.drawingml.chart+xml"/>
  <Override PartName="/xl/charts/style19.xml" ContentType="application/vnd.ms-office.chartstyle+xml"/>
  <Override PartName="/xl/charts/colors19.xml" ContentType="application/vnd.ms-office.chartcolorstyle+xml"/>
  <Override PartName="/xl/charts/chart27.xml" ContentType="application/vnd.openxmlformats-officedocument.drawingml.chart+xml"/>
  <Override PartName="/xl/charts/style20.xml" ContentType="application/vnd.ms-office.chartstyle+xml"/>
  <Override PartName="/xl/charts/colors20.xml" ContentType="application/vnd.ms-office.chartcolorstyle+xml"/>
  <Override PartName="/xl/charts/chart28.xml" ContentType="application/vnd.openxmlformats-officedocument.drawingml.chart+xml"/>
  <Override PartName="/xl/charts/style21.xml" ContentType="application/vnd.ms-office.chartstyle+xml"/>
  <Override PartName="/xl/charts/colors21.xml" ContentType="application/vnd.ms-office.chartcolorstyle+xml"/>
  <Override PartName="/xl/charts/chart29.xml" ContentType="application/vnd.openxmlformats-officedocument.drawingml.chart+xml"/>
  <Override PartName="/xl/charts/style22.xml" ContentType="application/vnd.ms-office.chartstyle+xml"/>
  <Override PartName="/xl/charts/colors22.xml" ContentType="application/vnd.ms-office.chartcolorstyle+xml"/>
  <Override PartName="/xl/charts/chart30.xml" ContentType="application/vnd.openxmlformats-officedocument.drawingml.chart+xml"/>
  <Override PartName="/xl/charts/style23.xml" ContentType="application/vnd.ms-office.chartstyle+xml"/>
  <Override PartName="/xl/charts/colors23.xml" ContentType="application/vnd.ms-office.chartcolorstyle+xml"/>
  <Override PartName="/xl/charts/chart31.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11.xml" ContentType="application/vnd.openxmlformats-officedocument.drawing+xml"/>
  <Override PartName="/xl/comments7.xml" ContentType="application/vnd.openxmlformats-officedocument.spreadsheetml.comments+xml"/>
  <Override PartName="/xl/charts/chart32.xml" ContentType="application/vnd.openxmlformats-officedocument.drawingml.chart+xml"/>
  <Override PartName="/xl/charts/style25.xml" ContentType="application/vnd.ms-office.chartstyle+xml"/>
  <Override PartName="/xl/charts/colors25.xml" ContentType="application/vnd.ms-office.chartcolorstyle+xml"/>
  <Override PartName="/xl/charts/chart33.xml" ContentType="application/vnd.openxmlformats-officedocument.drawingml.chart+xml"/>
  <Override PartName="/xl/charts/chart34.xml" ContentType="application/vnd.openxmlformats-officedocument.drawingml.chart+xml"/>
  <Override PartName="/xl/charts/style26.xml" ContentType="application/vnd.ms-office.chartstyle+xml"/>
  <Override PartName="/xl/charts/colors26.xml" ContentType="application/vnd.ms-office.chartcolorstyle+xml"/>
  <Override PartName="/xl/charts/chart35.xml" ContentType="application/vnd.openxmlformats-officedocument.drawingml.chart+xml"/>
  <Override PartName="/xl/theme/themeOverride3.xml" ContentType="application/vnd.openxmlformats-officedocument.themeOverride+xml"/>
  <Override PartName="/xl/charts/chart36.xml" ContentType="application/vnd.openxmlformats-officedocument.drawingml.chart+xml"/>
  <Override PartName="/xl/theme/themeOverride4.xml" ContentType="application/vnd.openxmlformats-officedocument.themeOverride+xml"/>
  <Override PartName="/xl/charts/chart37.xml" ContentType="application/vnd.openxmlformats-officedocument.drawingml.chart+xml"/>
  <Override PartName="/xl/charts/chart38.xml" ContentType="application/vnd.openxmlformats-officedocument.drawingml.chart+xml"/>
  <Override PartName="/xl/charts/style27.xml" ContentType="application/vnd.ms-office.chartstyle+xml"/>
  <Override PartName="/xl/charts/colors27.xml" ContentType="application/vnd.ms-office.chartcolorstyle+xml"/>
  <Override PartName="/xl/charts/chart39.xml" ContentType="application/vnd.openxmlformats-officedocument.drawingml.chart+xml"/>
  <Override PartName="/xl/charts/chart40.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12.xml" ContentType="application/vnd.openxmlformats-officedocument.drawing+xml"/>
  <Override PartName="/xl/comments8.xml" ContentType="application/vnd.openxmlformats-officedocument.spreadsheetml.comments+xml"/>
  <Override PartName="/xl/charts/chart41.xml" ContentType="application/vnd.openxmlformats-officedocument.drawingml.chart+xml"/>
  <Override PartName="/xl/charts/style29.xml" ContentType="application/vnd.ms-office.chartstyle+xml"/>
  <Override PartName="/xl/charts/colors29.xml" ContentType="application/vnd.ms-office.chartcolorstyle+xml"/>
  <Override PartName="/xl/charts/chart42.xml" ContentType="application/vnd.openxmlformats-officedocument.drawingml.chart+xml"/>
  <Override PartName="/xl/charts/style30.xml" ContentType="application/vnd.ms-office.chartstyle+xml"/>
  <Override PartName="/xl/charts/colors30.xml" ContentType="application/vnd.ms-office.chartcolorstyle+xml"/>
  <Override PartName="/xl/charts/chart43.xml" ContentType="application/vnd.openxmlformats-officedocument.drawingml.chart+xml"/>
  <Override PartName="/xl/charts/style31.xml" ContentType="application/vnd.ms-office.chartstyle+xml"/>
  <Override PartName="/xl/charts/colors31.xml" ContentType="application/vnd.ms-office.chartcolorstyle+xml"/>
  <Override PartName="/xl/charts/chart44.xml" ContentType="application/vnd.openxmlformats-officedocument.drawingml.chart+xml"/>
  <Override PartName="/xl/charts/style32.xml" ContentType="application/vnd.ms-office.chartstyle+xml"/>
  <Override PartName="/xl/charts/colors32.xml" ContentType="application/vnd.ms-office.chartcolorstyle+xml"/>
  <Override PartName="/xl/charts/chart45.xml" ContentType="application/vnd.openxmlformats-officedocument.drawingml.chart+xml"/>
  <Override PartName="/xl/charts/style33.xml" ContentType="application/vnd.ms-office.chartstyle+xml"/>
  <Override PartName="/xl/charts/colors33.xml" ContentType="application/vnd.ms-office.chartcolorstyle+xml"/>
  <Override PartName="/xl/charts/chart46.xml" ContentType="application/vnd.openxmlformats-officedocument.drawingml.chart+xml"/>
  <Override PartName="/xl/charts/style34.xml" ContentType="application/vnd.ms-office.chartstyle+xml"/>
  <Override PartName="/xl/charts/colors34.xml" ContentType="application/vnd.ms-office.chartcolorstyle+xml"/>
  <Override PartName="/xl/charts/chart47.xml" ContentType="application/vnd.openxmlformats-officedocument.drawingml.chart+xml"/>
  <Override PartName="/xl/charts/style35.xml" ContentType="application/vnd.ms-office.chartstyle+xml"/>
  <Override PartName="/xl/charts/colors35.xml" ContentType="application/vnd.ms-office.chartcolorstyle+xml"/>
  <Override PartName="/xl/charts/chart48.xml" ContentType="application/vnd.openxmlformats-officedocument.drawingml.chart+xml"/>
  <Override PartName="/xl/charts/style36.xml" ContentType="application/vnd.ms-office.chartstyle+xml"/>
  <Override PartName="/xl/charts/colors36.xml" ContentType="application/vnd.ms-office.chartcolorstyle+xml"/>
  <Override PartName="/xl/charts/chart49.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13.xml" ContentType="application/vnd.openxmlformats-officedocument.drawing+xml"/>
  <Override PartName="/xl/comments9.xml" ContentType="application/vnd.openxmlformats-officedocument.spreadsheetml.comments+xml"/>
  <Override PartName="/xl/charts/chart50.xml" ContentType="application/vnd.openxmlformats-officedocument.drawingml.chart+xml"/>
  <Override PartName="/xl/charts/chart51.xml" ContentType="application/vnd.openxmlformats-officedocument.drawingml.chart+xml"/>
  <Override PartName="/xl/charts/style38.xml" ContentType="application/vnd.ms-office.chartstyle+xml"/>
  <Override PartName="/xl/charts/colors38.xml" ContentType="application/vnd.ms-office.chartcolorstyle+xml"/>
  <Override PartName="/xl/charts/chart52.xml" ContentType="application/vnd.openxmlformats-officedocument.drawingml.chart+xml"/>
  <Override PartName="/xl/charts/style39.xml" ContentType="application/vnd.ms-office.chartstyle+xml"/>
  <Override PartName="/xl/charts/colors39.xml" ContentType="application/vnd.ms-office.chartcolorstyle+xml"/>
  <Override PartName="/xl/charts/chart53.xml" ContentType="application/vnd.openxmlformats-officedocument.drawingml.chart+xml"/>
  <Override PartName="/xl/theme/themeOverride5.xml" ContentType="application/vnd.openxmlformats-officedocument.themeOverride+xml"/>
  <Override PartName="/xl/charts/chart54.xml" ContentType="application/vnd.openxmlformats-officedocument.drawingml.chart+xml"/>
  <Override PartName="/xl/theme/themeOverride6.xml" ContentType="application/vnd.openxmlformats-officedocument.themeOverride+xml"/>
  <Override PartName="/xl/charts/chart55.xml" ContentType="application/vnd.openxmlformats-officedocument.drawingml.chart+xml"/>
  <Override PartName="/xl/charts/style40.xml" ContentType="application/vnd.ms-office.chartstyle+xml"/>
  <Override PartName="/xl/charts/colors40.xml" ContentType="application/vnd.ms-office.chartcolorstyle+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14.xml" ContentType="application/vnd.openxmlformats-officedocument.drawing+xml"/>
  <Override PartName="/xl/comments10.xml" ContentType="application/vnd.openxmlformats-officedocument.spreadsheetml.comments+xml"/>
  <Override PartName="/xl/charts/chart59.xml" ContentType="application/vnd.openxmlformats-officedocument.drawingml.chart+xml"/>
  <Override PartName="/xl/charts/style42.xml" ContentType="application/vnd.ms-office.chartstyle+xml"/>
  <Override PartName="/xl/charts/colors42.xml" ContentType="application/vnd.ms-office.chartcolorstyle+xml"/>
  <Override PartName="/xl/charts/chart60.xml" ContentType="application/vnd.openxmlformats-officedocument.drawingml.chart+xml"/>
  <Override PartName="/xl/charts/style43.xml" ContentType="application/vnd.ms-office.chartstyle+xml"/>
  <Override PartName="/xl/charts/colors43.xml" ContentType="application/vnd.ms-office.chartcolorstyle+xml"/>
  <Override PartName="/xl/charts/chart61.xml" ContentType="application/vnd.openxmlformats-officedocument.drawingml.chart+xml"/>
  <Override PartName="/xl/charts/style44.xml" ContentType="application/vnd.ms-office.chartstyle+xml"/>
  <Override PartName="/xl/charts/colors44.xml" ContentType="application/vnd.ms-office.chartcolorstyle+xml"/>
  <Override PartName="/xl/charts/chart62.xml" ContentType="application/vnd.openxmlformats-officedocument.drawingml.chart+xml"/>
  <Override PartName="/xl/charts/style45.xml" ContentType="application/vnd.ms-office.chartstyle+xml"/>
  <Override PartName="/xl/charts/colors45.xml" ContentType="application/vnd.ms-office.chartcolorstyle+xml"/>
  <Override PartName="/xl/charts/chart63.xml" ContentType="application/vnd.openxmlformats-officedocument.drawingml.chart+xml"/>
  <Override PartName="/xl/charts/style46.xml" ContentType="application/vnd.ms-office.chartstyle+xml"/>
  <Override PartName="/xl/charts/colors46.xml" ContentType="application/vnd.ms-office.chartcolorstyle+xml"/>
  <Override PartName="/xl/charts/chart64.xml" ContentType="application/vnd.openxmlformats-officedocument.drawingml.chart+xml"/>
  <Override PartName="/xl/charts/style47.xml" ContentType="application/vnd.ms-office.chartstyle+xml"/>
  <Override PartName="/xl/charts/colors47.xml" ContentType="application/vnd.ms-office.chartcolorstyle+xml"/>
  <Override PartName="/xl/charts/chart65.xml" ContentType="application/vnd.openxmlformats-officedocument.drawingml.chart+xml"/>
  <Override PartName="/xl/charts/style48.xml" ContentType="application/vnd.ms-office.chartstyle+xml"/>
  <Override PartName="/xl/charts/colors48.xml" ContentType="application/vnd.ms-office.chartcolorstyle+xml"/>
  <Override PartName="/xl/charts/chart66.xml" ContentType="application/vnd.openxmlformats-officedocument.drawingml.chart+xml"/>
  <Override PartName="/xl/charts/style49.xml" ContentType="application/vnd.ms-office.chartstyle+xml"/>
  <Override PartName="/xl/charts/colors49.xml" ContentType="application/vnd.ms-office.chartcolorstyle+xml"/>
  <Override PartName="/xl/charts/chart67.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15.xml" ContentType="application/vnd.openxmlformats-officedocument.drawing+xml"/>
  <Override PartName="/xl/comments11.xml" ContentType="application/vnd.openxmlformats-officedocument.spreadsheetml.comments+xml"/>
  <Override PartName="/xl/charts/chart68.xml" ContentType="application/vnd.openxmlformats-officedocument.drawingml.chart+xml"/>
  <Override PartName="/xl/charts/chart69.xml" ContentType="application/vnd.openxmlformats-officedocument.drawingml.chart+xml"/>
  <Override PartName="/xl/charts/style51.xml" ContentType="application/vnd.ms-office.chartstyle+xml"/>
  <Override PartName="/xl/charts/colors51.xml" ContentType="application/vnd.ms-office.chartcolorstyle+xml"/>
  <Override PartName="/xl/charts/chart70.xml" ContentType="application/vnd.openxmlformats-officedocument.drawingml.chart+xml"/>
  <Override PartName="/xl/theme/themeOverride7.xml" ContentType="application/vnd.openxmlformats-officedocument.themeOverride+xml"/>
  <Override PartName="/xl/charts/chart71.xml" ContentType="application/vnd.openxmlformats-officedocument.drawingml.chart+xml"/>
  <Override PartName="/xl/theme/themeOverride8.xml" ContentType="application/vnd.openxmlformats-officedocument.themeOverride+xml"/>
  <Override PartName="/xl/charts/chart72.xml" ContentType="application/vnd.openxmlformats-officedocument.drawingml.chart+xml"/>
  <Override PartName="/xl/charts/style52.xml" ContentType="application/vnd.ms-office.chartstyle+xml"/>
  <Override PartName="/xl/charts/colors52.xml" ContentType="application/vnd.ms-office.chartcolorstyle+xml"/>
  <Override PartName="/xl/charts/chart73.xml" ContentType="application/vnd.openxmlformats-officedocument.drawingml.chart+xml"/>
  <Override PartName="/xl/charts/chart74.xml" ContentType="application/vnd.openxmlformats-officedocument.drawingml.chart+xml"/>
  <Override PartName="/xl/charts/style53.xml" ContentType="application/vnd.ms-office.chartstyle+xml"/>
  <Override PartName="/xl/charts/colors53.xml" ContentType="application/vnd.ms-office.chartcolorstyle+xml"/>
  <Override PartName="/xl/charts/chart75.xml" ContentType="application/vnd.openxmlformats-officedocument.drawingml.chart+xml"/>
  <Override PartName="/xl/charts/chart76.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16.xml" ContentType="application/vnd.openxmlformats-officedocument.drawing+xml"/>
  <Override PartName="/xl/charts/chart77.xml" ContentType="application/vnd.openxmlformats-officedocument.drawingml.chart+xml"/>
  <Override PartName="/xl/charts/style55.xml" ContentType="application/vnd.ms-office.chartstyle+xml"/>
  <Override PartName="/xl/charts/colors55.xml" ContentType="application/vnd.ms-office.chartcolorstyle+xml"/>
  <Override PartName="/xl/charts/chart78.xml" ContentType="application/vnd.openxmlformats-officedocument.drawingml.chart+xml"/>
  <Override PartName="/xl/charts/style56.xml" ContentType="application/vnd.ms-office.chartstyle+xml"/>
  <Override PartName="/xl/charts/colors56.xml" ContentType="application/vnd.ms-office.chartcolorstyle+xml"/>
  <Override PartName="/xl/charts/chart79.xml" ContentType="application/vnd.openxmlformats-officedocument.drawingml.chart+xml"/>
  <Override PartName="/xl/charts/style57.xml" ContentType="application/vnd.ms-office.chartstyle+xml"/>
  <Override PartName="/xl/charts/colors57.xml" ContentType="application/vnd.ms-office.chartcolorstyle+xml"/>
  <Override PartName="/xl/charts/chart80.xml" ContentType="application/vnd.openxmlformats-officedocument.drawingml.chart+xml"/>
  <Override PartName="/xl/charts/style58.xml" ContentType="application/vnd.ms-office.chartstyle+xml"/>
  <Override PartName="/xl/charts/colors58.xml" ContentType="application/vnd.ms-office.chartcolorstyle+xml"/>
  <Override PartName="/xl/charts/chart81.xml" ContentType="application/vnd.openxmlformats-officedocument.drawingml.chart+xml"/>
  <Override PartName="/xl/comments12.xml" ContentType="application/vnd.openxmlformats-officedocument.spreadsheetml.comments+xml"/>
  <Override PartName="/xl/drawings/drawing17.xml" ContentType="application/vnd.openxmlformats-officedocument.drawing+xml"/>
  <Override PartName="/xl/charts/chart82.xml" ContentType="application/vnd.openxmlformats-officedocument.drawingml.chart+xml"/>
  <Override PartName="/xl/charts/style59.xml" ContentType="application/vnd.ms-office.chartstyle+xml"/>
  <Override PartName="/xl/charts/colors59.xml" ContentType="application/vnd.ms-office.chartcolorstyle+xml"/>
  <Override PartName="/xl/charts/chart83.xml" ContentType="application/vnd.openxmlformats-officedocument.drawingml.chart+xml"/>
  <Override PartName="/xl/drawings/drawing18.xml" ContentType="application/vnd.openxmlformats-officedocument.drawing+xml"/>
  <Override PartName="/xl/comments13.xml" ContentType="application/vnd.openxmlformats-officedocument.spreadsheetml.comments+xml"/>
  <Override PartName="/xl/charts/chart84.xml" ContentType="application/vnd.openxmlformats-officedocument.drawingml.chart+xml"/>
  <Override PartName="/xl/charts/chart85.xml" ContentType="application/vnd.openxmlformats-officedocument.drawingml.chart+xml"/>
  <Override PartName="/xl/charts/style60.xml" ContentType="application/vnd.ms-office.chartstyle+xml"/>
  <Override PartName="/xl/charts/colors60.xml" ContentType="application/vnd.ms-office.chartcolorstyle+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style61.xml" ContentType="application/vnd.ms-office.chartstyle+xml"/>
  <Override PartName="/xl/charts/colors61.xml" ContentType="application/vnd.ms-office.chartcolorstyle+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19.xml" ContentType="application/vnd.openxmlformats-officedocument.drawing+xml"/>
  <Override PartName="/xl/comments14.xml" ContentType="application/vnd.openxmlformats-officedocument.spreadsheetml.comments+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charts/style63.xml" ContentType="application/vnd.ms-office.chartstyle+xml"/>
  <Override PartName="/xl/charts/colors63.xml" ContentType="application/vnd.ms-office.chartcolorstyle+xml"/>
  <Override PartName="/xl/charts/chart104.xml" ContentType="application/vnd.openxmlformats-officedocument.drawingml.chart+xml"/>
  <Override PartName="/xl/charts/chart105.xml" ContentType="application/vnd.openxmlformats-officedocument.drawingml.chart+xml"/>
  <Override PartName="/xl/charts/chart106.xml" ContentType="application/vnd.openxmlformats-officedocument.drawingml.chart+xml"/>
  <Override PartName="/xl/charts/style64.xml" ContentType="application/vnd.ms-office.chartstyle+xml"/>
  <Override PartName="/xl/charts/colors64.xml" ContentType="application/vnd.ms-office.chartcolorstyle+xml"/>
  <Override PartName="/xl/charts/chart107.xml" ContentType="application/vnd.openxmlformats-officedocument.drawingml.chart+xml"/>
  <Override PartName="/xl/charts/chart108.xml" ContentType="application/vnd.openxmlformats-officedocument.drawingml.chart+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codeName="ThisWorkbook" hidePivotFieldList="1"/>
  <mc:AlternateContent xmlns:mc="http://schemas.openxmlformats.org/markup-compatibility/2006">
    <mc:Choice Requires="x15">
      <x15ac:absPath xmlns:x15ac="http://schemas.microsoft.com/office/spreadsheetml/2010/11/ac" url="C:\Proj\Apps\@website\Track20WebSite\client\download\xls\"/>
    </mc:Choice>
  </mc:AlternateContent>
  <xr:revisionPtr revIDLastSave="0" documentId="13_ncr:1_{CD489C8E-8726-42A0-8A63-1BB603BD84C7}" xr6:coauthVersionLast="47" xr6:coauthVersionMax="47" xr10:uidLastSave="{00000000-0000-0000-0000-000000000000}"/>
  <bookViews>
    <workbookView xWindow="-120" yWindow="-120" windowWidth="29040" windowHeight="15990" tabRatio="746" activeTab="1" xr2:uid="{00000000-000D-0000-FFFF-FFFF00000000}"/>
  </bookViews>
  <sheets>
    <sheet name="Introduction" sheetId="4" r:id="rId1"/>
    <sheet name="1. Country_Language Set Up" sheetId="39" r:id="rId2"/>
    <sheet name="2. Pop_Prev Set Up" sheetId="35" r:id="rId3"/>
    <sheet name="3. ServiceStats Set Up" sheetId="9" r:id="rId4"/>
    <sheet name="4. FPSource Set Up" sheetId="36" r:id="rId5"/>
    <sheet name="Prev by Source" sheetId="51" state="hidden" r:id="rId6"/>
    <sheet name="5. MethodMix Set Up" sheetId="41" r:id="rId7"/>
    <sheet name="Commodities (Clients) Input" sheetId="1" r:id="rId8"/>
    <sheet name="Commodities (Clients) Output" sheetId="5" r:id="rId9"/>
    <sheet name="Commodities (Facility) Input" sheetId="23" r:id="rId10"/>
    <sheet name="Commodities (Facility) Output" sheetId="27" r:id="rId11"/>
    <sheet name="Visits Input" sheetId="24" r:id="rId12"/>
    <sheet name="Visits Output" sheetId="26" r:id="rId13"/>
    <sheet name="Users Input" sheetId="29" r:id="rId14"/>
    <sheet name="Users Output" sheetId="30" r:id="rId15"/>
    <sheet name="&quot;EMU&quot; Output" sheetId="3" r:id="rId16"/>
    <sheet name="Language Look Ups" sheetId="17" state="hidden" r:id="rId17"/>
    <sheet name="c7_movementrestrictions" sheetId="55" state="hidden" r:id="rId18"/>
    <sheet name="Review of PS Adjustment" sheetId="52" state="hidden" r:id="rId19"/>
    <sheet name="Monthly Data Input" sheetId="58" state="hidden" r:id="rId20"/>
    <sheet name="Monthly Data Output" sheetId="59" state="hidden" r:id="rId21"/>
    <sheet name="Assumptions" sheetId="20" state="hidden" r:id="rId22"/>
    <sheet name="FPSource" sheetId="37" state="hidden" r:id="rId23"/>
    <sheet name="mCPR - MW - AW- DHS" sheetId="43" state="hidden" r:id="rId24"/>
    <sheet name="mCPR - MW - AW - PMA" sheetId="50" state="hidden" r:id="rId25"/>
    <sheet name="mCPR - MW - AW- MICS" sheetId="47" state="hidden" r:id="rId26"/>
    <sheet name="Modern Method Mix 2022" sheetId="18" state="hidden" r:id="rId27"/>
    <sheet name="mCPR (MW) 2022 FPET" sheetId="45" state="hidden" r:id="rId28"/>
    <sheet name="mCPR (AW) 2022 FPET" sheetId="46" state="hidden" r:id="rId29"/>
    <sheet name="Country Code" sheetId="22" state="hidden" r:id="rId30"/>
    <sheet name="WRA WPP 2022" sheetId="7" state="hidden" r:id="rId31"/>
    <sheet name="mWRA WPP 2022" sheetId="19" state="hidden" r:id="rId32"/>
  </sheets>
  <definedNames>
    <definedName name="_xlnm._FilterDatabase" localSheetId="22" hidden="1">FPSource!$A$2:$R$458</definedName>
    <definedName name="_xlnm._FilterDatabase" localSheetId="23" hidden="1">'mCPR - MW - AW- DHS'!$C$1:$H$290</definedName>
    <definedName name="_xlnm._FilterDatabase" localSheetId="25" hidden="1">'mCPR - MW - AW- MICS'!$C$1:$H$89</definedName>
    <definedName name="_xlnm._FilterDatabase" localSheetId="28" hidden="1">'mCPR (AW) 2022 FPET'!$A$2:$BL$1047801</definedName>
    <definedName name="_xlnm._FilterDatabase" localSheetId="27" hidden="1">'mCPR (MW) 2022 FPET'!$A$2:$BL$1047797</definedName>
    <definedName name="_xlnm._FilterDatabase" localSheetId="5" hidden="1">'Prev by Source'!$A$2:$P$499</definedName>
    <definedName name="CopperT" localSheetId="7">OFFSET('Commodities (Clients) Input'!$G$25, 0, 0, 1, COUNT('Commodities (Clients) Input'!$G$21:$V$21))</definedName>
    <definedName name="CopperT" localSheetId="9">OFFSET('Commodities (Facility) Input'!$G$25, 0, 0, 1, COUNT('Commodities (Facility) Input'!$G$21:$V$21))</definedName>
    <definedName name="CopperT" localSheetId="13">OFFSET('Users Input'!$G$25, 0, 0, 1, COUNT('Users Input'!$G$21:$V$21))</definedName>
    <definedName name="CopperT" localSheetId="11">OFFSET('Visits Input'!$G$25, 0, 0, 1, COUNT('Visits Input'!$G$21:$V$21))</definedName>
    <definedName name="Country">'WRA WPP 2022'!$A$3:$A$72</definedName>
    <definedName name="Country_Selected">'1. Country_Language Set Up'!$C$6</definedName>
    <definedName name="CYP_C2C" localSheetId="7">OFFSET('Commodities (Clients) Input'!$G$47, 0, 0, 1, COUNT('Commodities (Clients) Input'!$G$21:$V$21))</definedName>
    <definedName name="CYP_C2F" localSheetId="9">OFFSET('Commodities (Facility) Input'!$G$47, 0, 0, 1, COUNT('Commodities (Facility) Input'!$G$21:$V$21))</definedName>
    <definedName name="CYP_U" localSheetId="13">OFFSET('Users Input'!$G$47, 0, 0, 1, COUNT('Users Input'!$G$21:$V$21))</definedName>
    <definedName name="CYP_V" localSheetId="11">OFFSET('Visits Input'!$G$47, 0, 0, 1, COUNT('Visits Input'!$G$21:$V$21))</definedName>
    <definedName name="DataTypes">'Language Look Ups'!$B$15:$B$18</definedName>
    <definedName name="Depo" localSheetId="7">OFFSET('Commodities (Clients) Input'!$G$32, 0, 0, 1, COUNT('Commodities (Clients) Input'!$G$21:$V$21))</definedName>
    <definedName name="Depo" localSheetId="9">OFFSET('Commodities (Facility) Input'!$G$32, 0, 0, 1, COUNT('Commodities (Facility) Input'!$G$21:$V$21))</definedName>
    <definedName name="Depo" localSheetId="13">OFFSET('Users Input'!$G$32, 0, 0, 1, COUNT('Users Input'!$G$21:$V$21))</definedName>
    <definedName name="Depo" localSheetId="11">OFFSET('Visits Input'!$G$32, 0, 0, 1, COUNT('Visits Input'!$G$21:$V$21))</definedName>
    <definedName name="EC" localSheetId="7">OFFSET('Commodities (Clients) Input'!$G$46, 0, 0, 1, COUNT('Commodities (Clients) Input'!$G$21:$V$21))</definedName>
    <definedName name="EC" localSheetId="9">OFFSET('Commodities (Facility) Input'!$G$46, 0, 0, 1, COUNT('Commodities (Facility) Input'!$G$21:$V$21))</definedName>
    <definedName name="EC" localSheetId="13">OFFSET('Users Input'!$G$46, 0, 0, 1, COUNT('Users Input'!$G$21:$V$21))</definedName>
    <definedName name="EC" localSheetId="11">OFFSET('Visits Input'!$G$46, 0, 0, 1, COUNT('Visits Input'!$G$21:$V$21))</definedName>
    <definedName name="EMU_C2C">OFFSET('"EMU" Output'!$AH$10, 0, 0, COUNT('"EMU" Output'!$AB$10:$AB$27), 1)</definedName>
    <definedName name="EMU_C2F">OFFSET('"EMU" Output'!$AI$10, 0, 0, COUNT('"EMU" Output'!$AB$10:$AB$27), 1)</definedName>
    <definedName name="EMU_Ex_Condoms" localSheetId="8">OFFSET('Commodities (Clients) Output'!$D$34, 0, 0, 1, COUNT('Commodities (Clients) Output'!$D$31:$S$31))</definedName>
    <definedName name="EMU_Ex_Condoms" localSheetId="10">OFFSET('Commodities (Facility) Output'!$D$34, 0, 0, 1, COUNT('Commodities (Facility) Output'!$D$31:$S$31))</definedName>
    <definedName name="EMU_Ex_Condoms" localSheetId="14">OFFSET('Users Output'!$D$34, 0, 0, 1, COUNT('Users Output'!$D$31:$S$31))</definedName>
    <definedName name="EMU_Ex_Condoms" localSheetId="12">OFFSET('Visits Output'!$D$34, 0, 0, 1, COUNT('Visits Output'!$D$31:$S$31))</definedName>
    <definedName name="EMU_Inc_Condoms" localSheetId="8">OFFSET('Commodities (Clients) Output'!$D$33, 0, 0, 1, COUNT('Commodities (Clients) Output'!$D$31:$S$31))</definedName>
    <definedName name="EMU_Inc_Condoms" localSheetId="10">OFFSET('Commodities (Facility) Output'!$D$33, 0, 0, 1, COUNT('Commodities (Facility) Output'!$D$31:$S$31))</definedName>
    <definedName name="EMU_Inc_Condoms" localSheetId="14">OFFSET('Users Output'!$D$33, 0, 0, 1, COUNT('Users Output'!$D$31:$S$31))</definedName>
    <definedName name="EMU_Inc_Condoms" localSheetId="12">OFFSET('Visits Output'!$D$33, 0, 0, 1, COUNT('Visits Output'!$D$31:$S$31))</definedName>
    <definedName name="EMU_Users">OFFSET('"EMU" Output'!$AK$10, 0,0,COUNT('"EMU" Output'!$AB$10:$AB$27),1)</definedName>
    <definedName name="EMU_Visits">OFFSET('"EMU" Output'!$AJ$10,0,0,COUNT('"EMU" Output'!$AB$10:$AB$27), 1)</definedName>
    <definedName name="FCondom" localSheetId="7">OFFSET('Commodities (Clients) Input'!$G$41, 0, 0, 1, COUNT('Commodities (Clients) Input'!$G$21:$V$21))</definedName>
    <definedName name="FCondom" localSheetId="9">OFFSET('Commodities (Facility) Input'!$G$41, 0, 0, 1, COUNT('Commodities (Facility) Input'!$G$21:$V$21))</definedName>
    <definedName name="FCondom" localSheetId="13">OFFSET('Users Input'!$G$41, 0, 0, 1, COUNT('Users Input'!$G$21:$V$21))</definedName>
    <definedName name="FCondom" localSheetId="11">OFFSET('Visits Input'!$G$41, 0, 0, 1, COUNT('Visits Input'!$G$21:$V$21))</definedName>
    <definedName name="Implanon" localSheetId="7">OFFSET('Commodities (Clients) Input'!$G$27, 0, 0, 1, COUNT('Commodities (Clients) Input'!$G$21:$V$21))</definedName>
    <definedName name="Implanon" localSheetId="9">OFFSET('Commodities (Facility) Input'!$G$27, 0, 0, 1, COUNT('Commodities (Facility) Input'!$G$21:$V$21))</definedName>
    <definedName name="Implanon" localSheetId="13">OFFSET('Users Input'!$G$27, 0, 0, 1, COUNT('Users Input'!$G$21:$V$21))</definedName>
    <definedName name="Implanon" localSheetId="11">OFFSET('Visits Input'!$G$27, 0, 0, 1, COUNT('Visits Input'!$G$21:$V$21))</definedName>
    <definedName name="Jadelle" localSheetId="7">OFFSET('Commodities (Clients) Input'!$G$28, 0, 0, 1, COUNT('Commodities (Clients) Input'!$G$21:$V$21))</definedName>
    <definedName name="Jadelle" localSheetId="9">OFFSET('Commodities (Facility) Input'!$G$28, 0, 0, 1, COUNT('Commodities (Facility) Input'!$G$21:$V$21))</definedName>
    <definedName name="Jadelle" localSheetId="13">OFFSET('Users Input'!$G$28, 0, 0, 1, COUNT('Users Input'!$G$21:$V$21))</definedName>
    <definedName name="Jadelle" localSheetId="11">OFFSET('Visits Input'!$G$28, 0, 0, 1, COUNT('Visits Input'!$G$21:$V$21))</definedName>
    <definedName name="LAM" localSheetId="7">OFFSET('Commodities (Clients) Input'!$G$42, 0, 0, 1, COUNT('Commodities (Clients) Input'!$G$21:$V$21))</definedName>
    <definedName name="LAM" localSheetId="9">OFFSET('Commodities (Facility) Input'!$G$42, 0, 0, 1, COUNT('Commodities (Facility) Input'!$G$21:$V$21))</definedName>
    <definedName name="LAM" localSheetId="13">OFFSET('Users Input'!$G$42, 0, 0, 1, COUNT('Users Input'!$G$21:$V$21))</definedName>
    <definedName name="LAM" localSheetId="11">OFFSET('Visits Input'!$G$42, 0, 0, 1, COUNT('Visits Input'!$G$21:$V$21))</definedName>
    <definedName name="Language">'1. Country_Language Set Up'!$C$4</definedName>
    <definedName name="LNG" localSheetId="7">OFFSET('Commodities (Clients) Input'!$G$26, 0, 0, 1, COUNT('Commodities (Clients) Input'!$G$21:$V$21))</definedName>
    <definedName name="LNG" localSheetId="9">OFFSET('Commodities (Facility) Input'!$G$26, 0, 0, 1, COUNT('Commodities (Facility) Input'!$G$21:$V$21))</definedName>
    <definedName name="LNG" localSheetId="13">OFFSET('Users Input'!$G$26, 0, 0, 1, COUNT('Users Input'!$G$21:$V$21))</definedName>
    <definedName name="LNG" localSheetId="11">OFFSET('Visits Input'!$G$26, 0, 0, 1, COUNT('Visits Input'!$G$21:$V$21))</definedName>
    <definedName name="Lunelle" localSheetId="7">OFFSET('Commodities (Clients) Input'!$G$34, 0, 0, 1, COUNT('Commodities (Clients) Input'!$G$21:$V$21))</definedName>
    <definedName name="Lunelle" localSheetId="9">OFFSET('Commodities (Facility) Input'!$G$34, 0, 0, 1, COUNT('Commodities (Facility) Input'!$G$21:$V$21))</definedName>
    <definedName name="Lunelle" localSheetId="13">OFFSET('Users Input'!$G$34, 0, 0, 1, COUNT('Users Input'!$G$21:$V$21))</definedName>
    <definedName name="Lunelle" localSheetId="11">OFFSET('Visits Input'!$G$34, 0, 0, 1, COUNT('Visits Input'!$G$21:$V$21))</definedName>
    <definedName name="MCondom" localSheetId="7">OFFSET('Commodities (Clients) Input'!$G$40, 0, 0, 1, COUNT('Commodities (Clients) Input'!$G$21:$V$21))</definedName>
    <definedName name="MCondom" localSheetId="9">OFFSET('Commodities (Facility) Input'!$G$40, 0, 0, 1, COUNT('Commodities (Facility) Input'!$G$21:$V$21))</definedName>
    <definedName name="MCondom" localSheetId="13">OFFSET('Users Input'!$G$40, 0, 0, 1, COUNT('Users Input'!$G$21:$V$21))</definedName>
    <definedName name="MCondom" localSheetId="11">OFFSET('Visits Input'!$G$40, 0, 0, 1, COUNT('Visits Input'!$G$21:$V$21))</definedName>
    <definedName name="mCPR_FPET" localSheetId="8">OFFSET('Commodities (Clients) Output'!$D$38, 0, 0, 1, COUNT('Commodities (Clients) Output'!$D$31:$S$31))</definedName>
    <definedName name="mCPR_FPET" localSheetId="10">OFFSET('Commodities (Facility) Output'!$D$38, 0, 0, 1, COUNT('Commodities (Facility) Output'!$D$31:$S$31))</definedName>
    <definedName name="mCPR_FPET" localSheetId="14">OFFSET('Users Output'!$D$38, 0, 0, 1, COUNT('Users Output'!$D$31:$S$31))</definedName>
    <definedName name="mCPR_FPET" localSheetId="12">OFFSET('Visits Output'!$D$38, 0, 0, 1, COUNT('Visits Output'!$D$31:$S$31))</definedName>
    <definedName name="mCPR_FPET">OFFSET('"EMU" Output'!$AG$10, 0, 0, COUNT('"EMU" Output'!$AB$10:$AB$27), 1)</definedName>
    <definedName name="mCPR_Survey" localSheetId="8">OFFSET('Commodities (Clients) Output'!$D$35, 0, 0, 1, COUNT('Commodities (Clients) Output'!$D$31:$S$31))</definedName>
    <definedName name="mCPR_Survey" localSheetId="10">OFFSET('Commodities (Facility) Output'!$D$35, 0, 0, 1, COUNT('Commodities (Facility) Output'!$D$31:$S$31))</definedName>
    <definedName name="mCPR_Survey" localSheetId="14">OFFSET('Users Output'!$D$35, 0, 0, 1, COUNT('Users Output'!$D$31:$S$31))</definedName>
    <definedName name="mCPR_Survey" localSheetId="12">OFFSET('Visits Output'!$D$35, 0, 0, 1, COUNT('Visits Output'!$D$31:$S$31))</definedName>
    <definedName name="mCPR_Survey1">OFFSET('"EMU" Output'!$AC$10, 0, 0, COUNT('"EMU" Output'!$AB$10:$AB$27), 1)</definedName>
    <definedName name="mCPR_Survey2">OFFSET('"EMU" Output'!$AD$10, 0, 0, COUNT('"EMU" Output'!$AB$10:$AB$27), 1)</definedName>
    <definedName name="mCPR_Survey3">OFFSET('"EMU" Output'!$AE$10, 0, 0, COUNT('"EMU" Output'!$AB$10:$AB$27), 1)</definedName>
    <definedName name="mCPR_Survey4">OFFSET('"EMU" Output'!$AF$10, 0, 0, COUNT('"EMU" Output'!$AB$10:$AB$27), 1)</definedName>
    <definedName name="Noristerat" localSheetId="7">OFFSET('Commodities (Clients) Input'!$G$33, 0, 0, 1, COUNT('Commodities (Clients) Input'!$G$21:$V$21))</definedName>
    <definedName name="Noristerat" localSheetId="9">OFFSET('Commodities (Facility) Input'!$G$33, 0, 0, 1, COUNT('Commodities (Facility) Input'!$G$21:$V$21))</definedName>
    <definedName name="Noristerat" localSheetId="13">OFFSET('Users Input'!$G$33, 0, 0, 1, COUNT('Users Input'!$G$21:$V$21))</definedName>
    <definedName name="Noristerat" localSheetId="11">OFFSET('Visits Input'!$G$33, 0, 0, 1, COUNT('Visits Input'!$G$21:$V$21))</definedName>
    <definedName name="OtherInj" localSheetId="7">OFFSET('Commodities (Clients) Input'!$G$36, 0, 0, 1, COUNT('Commodities (Clients) Input'!$G$21:$V$21))</definedName>
    <definedName name="OtherInj" localSheetId="9">OFFSET('Commodities (Facility) Input'!$G$36, 0, 0, 1, COUNT('Commodities (Facility) Input'!$G$21:$V$21))</definedName>
    <definedName name="OtherInj" localSheetId="13">OFFSET('Users Input'!$G$36, 0, 0, 1, COUNT('Users Input'!$G$21:$V$21))</definedName>
    <definedName name="OtherInj" localSheetId="11">OFFSET('Visits Input'!$G$36, 0, 0, 1, COUNT('Visits Input'!$G$21:$V$21))</definedName>
    <definedName name="PCPill" localSheetId="7">OFFSET('Commodities (Clients) Input'!$G$39, 0, 0, 1, COUNT('Commodities (Clients) Input'!$G$21:$V$21))</definedName>
    <definedName name="PCPill" localSheetId="9">OFFSET('Commodities (Facility) Input'!$G$39, 0, 0, 1, COUNT('Commodities (Facility) Input'!$G$21:$V$21))</definedName>
    <definedName name="PCPill" localSheetId="13">OFFSET('Users Input'!$G$39, 0, 0, 1, COUNT('Users Input'!$G$21:$V$21))</definedName>
    <definedName name="PCPill" localSheetId="11">OFFSET('Visits Input'!$G$39, 0, 0, 1, COUNT('Visits Input'!$G$21:$V$21))</definedName>
    <definedName name="Population" comment="AW = All Women; MW = Married Women - used to determine population used for denominator of EMU calculation">'1. Country_Language Set Up'!$T$8</definedName>
    <definedName name="ProgestinPill" localSheetId="7">OFFSET('Commodities (Clients) Input'!$G$38, 0, 0, 1, COUNT('Commodities (Clients) Input'!$G$21:$V$21))</definedName>
    <definedName name="ProgestinPill" localSheetId="9">OFFSET('Commodities (Facility) Input'!$G$38, 0, 0, 1, COUNT('Commodities (Facility) Input'!$G$21:$V$21))</definedName>
    <definedName name="ProgestinPill" localSheetId="13">OFFSET('Users Input'!$G$38, 0, 0, 1, COUNT('Users Input'!$G$21:$V$21))</definedName>
    <definedName name="ProgestinPill" localSheetId="11">OFFSET('Visits Input'!$G$38, 0, 0, 1, COUNT('Visits Input'!$G$21:$V$21))</definedName>
    <definedName name="RR_C2C">OFFSET('"EMU" Output'!$C$59, 0, 0, COUNT('"EMU" Output'!$B$59:$B$76), 1)</definedName>
    <definedName name="RR_C2F">OFFSET('"EMU" Output'!$D$59, 0, 0, COUNT('"EMU" Output'!$B$59:$B$76), 1)</definedName>
    <definedName name="RR_High">OFFSET('"EMU" Output'!$AE$59, 0,0,COUNT('"EMU" Output'!$B$59:$B$76),1)</definedName>
    <definedName name="RR_Low">OFFSET('"EMU" Output'!$AC$59, 0,0,COUNT('"EMU" Output'!$B$59:$B$76),1)</definedName>
    <definedName name="RR_Med">OFFSET('"EMU" Output'!$AD$59, 0,0,COUNT('"EMU" Output'!$B$59:$B$76),1)</definedName>
    <definedName name="RR_U">OFFSET('"EMU" Output'!$F$59, 0,0,COUNT('"EMU" Output'!$B$59:$B$76), 1)</definedName>
    <definedName name="RR_V" localSheetId="11">OFFSET('Visits Input'!$G$10, 0,0,1,COUNT('Visits Input'!$G$10:$V$10))</definedName>
    <definedName name="RR_V">OFFSET('"EMU" Output'!$E$59, 0,0,COUNT('"EMU" Output'!$B$59:$B$76),1)</definedName>
    <definedName name="Sayana" localSheetId="7">OFFSET('Commodities (Clients) Input'!$G$35, 0, 0, 1, COUNT('Commodities (Clients) Input'!$G$21:$V$21))</definedName>
    <definedName name="Sayana" localSheetId="9">OFFSET('Commodities (Facility) Input'!$G$35, 0, 0, 1, COUNT('Commodities (Facility) Input'!$G$21:$V$21))</definedName>
    <definedName name="Sayana" localSheetId="13">OFFSET('Users Input'!$G$35, 0, 0, 1, COUNT('Users Input'!$G$21:$V$21))</definedName>
    <definedName name="Sayana" localSheetId="11">OFFSET('Visits Input'!$G$35, 0, 0, 1, COUNT('Visits Input'!$G$21:$V$21))</definedName>
    <definedName name="ScalingUp?">'Language Look Ups'!$B$62:$B$64</definedName>
    <definedName name="SDM" localSheetId="7">OFFSET('Commodities (Clients) Input'!$G$43, 0, 0, 1, COUNT('Commodities (Clients) Input'!$G$21:$V$21))</definedName>
    <definedName name="SDM" localSheetId="9">OFFSET('Commodities (Facility) Input'!$G$43, 0, 0, 1, COUNT('Commodities (Facility) Input'!$G$21:$V$21))</definedName>
    <definedName name="SDM" localSheetId="13">OFFSET('Users Input'!$G$43, 0, 0, 1, COUNT('Users Input'!$G$21:$V$21))</definedName>
    <definedName name="SDM" localSheetId="11">OFFSET('Visits Input'!$G$43, 0, 0, 1, COUNT('Visits Input'!$G$21:$V$21))</definedName>
    <definedName name="Sino" localSheetId="7">OFFSET('Commodities (Clients) Input'!$G$29, 0, 0, 1, COUNT('Commodities (Clients) Input'!$G$21:$V$21))</definedName>
    <definedName name="Sino" localSheetId="9">OFFSET('Commodities (Facility) Input'!$G$29, 0, 0, 1, COUNT('Commodities (Facility) Input'!$G$21:$V$21))</definedName>
    <definedName name="Sino" localSheetId="13">OFFSET('Users Input'!$G$29, 0, 0, 1, COUNT('Users Input'!$G$21:$V$21))</definedName>
    <definedName name="Sino" localSheetId="11">OFFSET('Visits Input'!$G$29, 0, 0, 1, COUNT('Visits Input'!$G$21:$V$21))</definedName>
    <definedName name="Spermicide" localSheetId="7">OFFSET('Commodities (Clients) Input'!$G$45, 0, 0, 1, COUNT('Commodities (Clients) Input'!$G$21:$V$21))</definedName>
    <definedName name="Spermicide" localSheetId="9">OFFSET('Commodities (Facility) Input'!$G$45, 0, 0, 1, COUNT('Commodities (Facility) Input'!$G$21:$V$21))</definedName>
    <definedName name="Spermicide" localSheetId="13">OFFSET('Users Input'!$G$45, 0, 0, 1, COUNT('Users Input'!$G$21:$V$21))</definedName>
    <definedName name="Spermicide" localSheetId="11">OFFSET('Visits Input'!$G$45, 0, 0, 1, COUNT('Visits Input'!$G$21:$V$21))</definedName>
    <definedName name="StandardPill" localSheetId="7">OFFSET('Commodities (Clients) Input'!$G$37, 0, 0, 1, COUNT('Commodities (Clients) Input'!$G$21:$V$21))</definedName>
    <definedName name="StandardPill" localSheetId="9">OFFSET('Commodities (Facility) Input'!$G$37, 0, 0, 1, COUNT('Commodities (Facility) Input'!$G$21:$V$21))</definedName>
    <definedName name="StandardPill" localSheetId="13">OFFSET('Users Input'!$G$37, 0, 0, 1, COUNT('Users Input'!$G$21:$V$21))</definedName>
    <definedName name="StandardPill" localSheetId="11">OFFSET('Visits Input'!$G$37, 0, 0, 1, COUNT('Visits Input'!$G$21:$V$21))</definedName>
    <definedName name="Subnational_YN">'1. Country_Language Set Up'!$T$6</definedName>
    <definedName name="TL" localSheetId="7">OFFSET('Commodities (Clients) Input'!$G$23, 0, 0, 1, COUNT('Commodities (Clients) Input'!$G$21:$V$21))</definedName>
    <definedName name="TL" localSheetId="9">OFFSET('Commodities (Facility) Input'!$G$23, 0, 0, 1, COUNT('Commodities (Facility) Input'!$G$21:$V$21))</definedName>
    <definedName name="TL" localSheetId="13">OFFSET('Users Input'!$G$23, 0, 0, 1, COUNT('Users Input'!$G$21:$V$21))</definedName>
    <definedName name="TL" localSheetId="11">OFFSET('Visits Input'!$G$23, 0, 0, 1, COUNT('Visits Input'!$G$21:$V$21))</definedName>
    <definedName name="U_C2C" localSheetId="15">OFFSET('"EMU" Output'!$E$161, 0, 0, 1, COUNT('"EMU" Output'!$E$159:$T$159))</definedName>
    <definedName name="U_C2F" localSheetId="15">OFFSET('"EMU" Output'!$E$162, 0, 0, 1, COUNT('"EMU" Output'!$E$159:$T$159))</definedName>
    <definedName name="U_Users" localSheetId="15">OFFSET('"EMU" Output'!$E$164, 0, 0, 1, COUNT('"EMU" Output'!$E$159:$T$159))</definedName>
    <definedName name="U_Visit">OFFSET('"EMU" Output'!$E$163, 0, 0, 1, COUNT('"EMU" Output'!$E$159:$T$159))</definedName>
    <definedName name="U_Visits" localSheetId="15">OFFSET('"EMU" Output'!$E$163, 0, 0, 1, COUNT('"EMU" Output'!$E$159:$T$159))</definedName>
    <definedName name="Users_Condom" localSheetId="8">OFFSET('Commodities (Clients) Output'!$D$13, 0, 0, 1, COUNT('Commodities (Clients) Output'!$D$6:$T$6))</definedName>
    <definedName name="Users_Condom" localSheetId="10">OFFSET('Commodities (Facility) Output'!$D$13, 0, 0, 1, COUNT('Commodities (Facility) Output'!$D$6:$T$6))</definedName>
    <definedName name="Users_Condom" localSheetId="14">OFFSET('Users Output'!$D$13, 0, 0, 1, COUNT('Users Output'!$D$6:$S$6))</definedName>
    <definedName name="Users_Condom" localSheetId="12">OFFSET('Visits Output'!$D$13, 0, 0, 1, COUNT('Visits Output'!$D$6:$T$6))</definedName>
    <definedName name="Users_Implant" localSheetId="8">OFFSET('Commodities (Clients) Output'!$D$10, 0, 0, 1, COUNT('Commodities (Clients) Output'!$D$6:$T$6))</definedName>
    <definedName name="Users_Implant" localSheetId="10">OFFSET('Commodities (Facility) Output'!$D$10, 0, 0, 1, COUNT('Commodities (Facility) Output'!$D$6:$T$6))</definedName>
    <definedName name="Users_Implant" localSheetId="14">OFFSET('Users Output'!$D$10, 0, 0, 1, COUNT('Users Output'!$D$6:$S$6))</definedName>
    <definedName name="Users_Implant" localSheetId="12">OFFSET('Visits Output'!$D$10, 0, 0, 1, COUNT('Visits Output'!$D$6:$T$6))</definedName>
    <definedName name="Users_Injectable" localSheetId="8">OFFSET('Commodities (Clients) Output'!$D$11, 0, 0, 1, COUNT('Commodities (Clients) Output'!$D$6:$T$6))</definedName>
    <definedName name="Users_Injectable" localSheetId="10">OFFSET('Commodities (Facility) Output'!$D$11, 0, 0, 1, COUNT('Commodities (Facility) Output'!$D$6:$T$6))</definedName>
    <definedName name="Users_Injectable" localSheetId="14">OFFSET('Users Output'!$D$11, 0, 0, 1, COUNT('Users Output'!$D$6:$S$6))</definedName>
    <definedName name="Users_Injectable" localSheetId="12">OFFSET('Visits Output'!$D$11, 0, 0, 1, COUNT('Visits Output'!$D$6:$T$6))</definedName>
    <definedName name="Users_IUD" localSheetId="8">OFFSET('Commodities (Clients) Output'!$D$9, 0, 0, 1, COUNT('Commodities (Clients) Output'!$D$6:$T$6))</definedName>
    <definedName name="Users_IUD" localSheetId="10">OFFSET('Commodities (Facility) Output'!$D$9, 0, 0, 1, COUNT('Commodities (Facility) Output'!$D$6:$T$6))</definedName>
    <definedName name="Users_IUD" localSheetId="14">OFFSET('Users Output'!$D$9, 0, 0, 1, COUNT('Users Output'!$D$6:$S$6))</definedName>
    <definedName name="Users_IUD" localSheetId="12">OFFSET('Visits Output'!$D$9, 0, 0, 1, COUNT('Visits Output'!$D$6:$T$6))</definedName>
    <definedName name="Users_LAM" localSheetId="8">OFFSET('Commodities (Clients) Output'!$D$14, 0, 0, 1, COUNT('Commodities (Clients) Output'!$D$6:$T$6))</definedName>
    <definedName name="Users_LAM" localSheetId="10">OFFSET('Commodities (Facility) Output'!$D$14, 0, 0, 1, COUNT('Commodities (Facility) Output'!$D$6:$T$6))</definedName>
    <definedName name="Users_LAM" localSheetId="14">OFFSET('Users Output'!$D$14, 0, 0, 1, COUNT('Users Output'!$D$6:$S$6))</definedName>
    <definedName name="Users_LAM" localSheetId="12">OFFSET('Visits Output'!$D$14, 0, 0, 1, COUNT('Visits Output'!$D$6:$T$6))</definedName>
    <definedName name="Users_OC" localSheetId="8">OFFSET('Commodities (Clients) Output'!$D$12, 0, 0, 1, COUNT('Commodities (Clients) Output'!$D$6:$T$6))</definedName>
    <definedName name="Users_OC" localSheetId="10">OFFSET('Commodities (Facility) Output'!$D$12, 0, 0, 1, COUNT('Commodities (Facility) Output'!$D$6:$T$6))</definedName>
    <definedName name="Users_OC" localSheetId="14">OFFSET('Users Output'!$D$12, 0, 0, 1, COUNT('Users Output'!$D$6:$S$6))</definedName>
    <definedName name="Users_OC" localSheetId="12">OFFSET('Visits Output'!$D$12, 0, 0, 1, COUNT('Visits Output'!$D$6:$T$6))</definedName>
    <definedName name="Users_OMM" localSheetId="8">OFFSET('Commodities (Clients) Output'!$D$15, 0, 0, 1, COUNT('Commodities (Clients) Output'!$D$6:$T$6))</definedName>
    <definedName name="Users_OMM" localSheetId="10">OFFSET('Commodities (Facility) Output'!$D$15, 0, 0, 1, COUNT('Commodities (Facility) Output'!$D$6:$T$6))</definedName>
    <definedName name="Users_OMM" localSheetId="14">OFFSET('Users Output'!$D$15, 0, 0, 1, COUNT('Users Output'!$D$6:$S$6))</definedName>
    <definedName name="Users_OMM" localSheetId="12">OFFSET('Visits Output'!$D$15, 0, 0, 1, COUNT('Visits Output'!$D$6:$T$6))</definedName>
    <definedName name="Users_Sterilization" localSheetId="8">OFFSET('Commodities (Clients) Output'!$D$7, 0, 0, 1, COUNT('Commodities (Clients) Output'!$D$6:$T$6))</definedName>
    <definedName name="Users_Sterilization" localSheetId="10">OFFSET('Commodities (Facility) Output'!$D$7, 0, 0, 1, COUNT('Commodities (Facility) Output'!$D$6:$T$6))</definedName>
    <definedName name="Users_Sterilization" localSheetId="14">OFFSET('Users Output'!$D$7, 0, 0, 1, COUNT('Users Output'!$D$6:$S$6))</definedName>
    <definedName name="Users_Sterilization" localSheetId="12">OFFSET('Visits Output'!$D$7, 0, 0, 1, COUNT('Visits Output'!$D$6:$T$6))</definedName>
    <definedName name="Users_SterilizationM" localSheetId="10">OFFSET('Commodities (Facility) Output'!$D$8, 0, 0, 1, COUNT('Commodities (Facility) Output'!$D$6:$T$6))</definedName>
    <definedName name="Users_SterilizationM" localSheetId="14">OFFSET('Users Output'!$D$8, 0, 0, 1, COUNT('Users Output'!$D$6:$S$6))</definedName>
    <definedName name="Users_SterilizationM" localSheetId="12">OFFSET('Visits Output'!$D$8, 0, 0, 1, COUNT('Visits Output'!$D$6:$T$6))</definedName>
    <definedName name="Users_SterilizationM">OFFSET('Commodities (Clients) Output'!$D$8, 0, 0, 1, COUNT('Commodities (Clients) Output'!$D$6:$T$6))</definedName>
    <definedName name="Users_Total_SS_Adjusted" localSheetId="8">OFFSET('Commodities (Clients) Output'!$D$16, 0, 0, 1, COUNT('Commodities (Clients) Output'!$D$56:$S$56))</definedName>
    <definedName name="Users_Total_SS_Adjusted" localSheetId="10">OFFSET('Commodities (Facility) Output'!$D$16, 0, 0, 1, COUNT('Commodities (Facility) Output'!$D$56:$S$56))</definedName>
    <definedName name="Users_Total_SS_Adjusted" localSheetId="12">OFFSET('Visits Output'!$D$16, 0, 0, 1, COUNT('Visits Output'!$D$56:$S$56))</definedName>
    <definedName name="Users_Total_SS_Adjusted">OFFSET('Users Output'!$D$16, 0, 0, 1, COUNT('Users Output'!$D$56:$S$56))</definedName>
    <definedName name="Users_Total_SS_Unadjusted" localSheetId="8">OFFSET('Commodities (Clients) Output'!$D$57, 0, 0, 1, COUNT('Commodities (Clients) Output'!$D$56:$S$56))</definedName>
    <definedName name="Users_Total_SS_Unadjusted" localSheetId="10">OFFSET('Commodities (Facility) Output'!$D$57, 0, 0, 1, COUNT('Commodities (Facility) Output'!$D$56:$S$56))</definedName>
    <definedName name="Users_Total_SS_Unadjusted" localSheetId="14">OFFSET('Users Output'!$D$57, 0, 0, 1, COUNT('Users Output'!$D$56:$S$56))</definedName>
    <definedName name="Users_Total_SS_Unadjusted" localSheetId="12">OFFSET('Visits Output'!$D$57, 0, 0, 1, COUNT('Visits Output'!$D$56:$S$56))</definedName>
    <definedName name="Users_Total_Survey" localSheetId="8">OFFSET('Commodities (Clients) Output'!$D$28, 0, 0, 1, COUNT('Commodities (Clients) Output'!$D$56:$S$56))</definedName>
    <definedName name="Users_Total_Survey" localSheetId="10">OFFSET('Commodities (Facility) Output'!$D$28, 0, 0, 1, COUNT('Commodities (Facility) Output'!$D$56:$S$56))</definedName>
    <definedName name="Users_Total_Survey" localSheetId="14">OFFSET('Users Output'!$D$28, 0, 0, 1, COUNT('Users Output'!$D$56:$S$56))</definedName>
    <definedName name="Users_Total_Survey" localSheetId="12">OFFSET('Visits Output'!$D$28, 0, 0, 1, COUNT('Visits Output'!$D$56:$S$56))</definedName>
    <definedName name="Vasectomy" localSheetId="7">OFFSET('Commodities (Clients) Input'!$G$24, 0, 0, 1, COUNT('Commodities (Clients) Input'!$G$21:$V$21))</definedName>
    <definedName name="Vasectomy" localSheetId="9">OFFSET('Commodities (Facility) Input'!$G$24, 0, 0, 1, COUNT('Commodities (Facility) Input'!$G$21:$V$21))</definedName>
    <definedName name="Vasectomy" localSheetId="13">OFFSET('Users Input'!$G$24, 0, 0, 1, COUNT('Users Input'!$G$21:$V$21))</definedName>
    <definedName name="Vasectomy" localSheetId="11">OFFSET('Visits Input'!$G$24, 0, 0, 1, COUNT('Visits Input'!$G$21:$V$21))</definedName>
    <definedName name="VBarrier" localSheetId="7">OFFSET('Commodities (Clients) Input'!$G$44, 0, 0, 1, COUNT('Commodities (Clients) Input'!$G$21:$V$21))</definedName>
    <definedName name="VBarrier" localSheetId="9">OFFSET('Commodities (Facility) Input'!$G$44, 0, 0, 1, COUNT('Commodities (Facility) Input'!$G$21:$V$21))</definedName>
    <definedName name="VBarrier" localSheetId="13">OFFSET('Users Input'!$G$44, 0, 0, 1, COUNT('Users Input'!$G$21:$V$21))</definedName>
    <definedName name="VBarrier" localSheetId="11">OFFSET('Visits Input'!$G$44, 0, 0, 1, COUNT('Visits Input'!$G$21:$V$21))</definedName>
    <definedName name="Year_C2C">OFFSET('Commodities (Clients) Input'!$G$21, 0, 0, 1, COUNT('Commodities (Clients) Input'!$G$21:$V$21))</definedName>
    <definedName name="Year_C2F" localSheetId="9">OFFSET('Commodities (Facility) Input'!$G$21, 0, 0, 1, COUNT('Commodities (Facility) Input'!$G$21:$V$21))</definedName>
    <definedName name="Year_C2F">OFFSET('Commodities (Facility) Input'!$G$21, 0, 0, 1, COUNT('Commodities (Facility) Input'!$G$21:$V$21))</definedName>
    <definedName name="Year_U" localSheetId="13">OFFSET('Users Input'!$G$21, 0, 0, 1, COUNT('Users Input'!$G$21:$V$21))</definedName>
    <definedName name="Year_U">OFFSET('Users Input'!$G$21, 0, 0, 1, COUNT('Users Input'!$G$21:$V$21))</definedName>
    <definedName name="Year_V" localSheetId="11">OFFSET('Visits Input'!$G$21, 0, 0, 1, COUNT('Visits Input'!$G$21:$V$21))</definedName>
    <definedName name="Year_V">OFFSET('Visits Input'!$G$21, 0, 0, 1, COUNT('Visits Input'!$G$21:$V$21))</definedName>
    <definedName name="YEARS">OFFSET('"EMU" Output'!$M$10, 0, 0, COUNT('"EMU" Output'!$M$10:$M$27), 1)</definedName>
    <definedName name="YEARS_RR">OFFSET('"EMU" Output'!$B$59, 0, 0, COUNT('"EMU" Output'!$B$59:$B$76), 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6" i="18" l="1"/>
  <c r="H7" i="18"/>
  <c r="H8" i="18"/>
  <c r="H9" i="18"/>
  <c r="H10" i="18"/>
  <c r="H11" i="18"/>
  <c r="H12" i="18"/>
  <c r="H13" i="18"/>
  <c r="H14" i="18"/>
  <c r="H15" i="18"/>
  <c r="H16" i="18"/>
  <c r="H17" i="18"/>
  <c r="H18" i="18"/>
  <c r="H19" i="18"/>
  <c r="H20" i="18"/>
  <c r="H21" i="18"/>
  <c r="H22" i="18"/>
  <c r="H23" i="18"/>
  <c r="H24" i="18"/>
  <c r="H25" i="18"/>
  <c r="H26" i="18"/>
  <c r="H27" i="18"/>
  <c r="H28" i="18"/>
  <c r="H29" i="18"/>
  <c r="H30" i="18"/>
  <c r="H31" i="18"/>
  <c r="H32" i="18"/>
  <c r="H33" i="18"/>
  <c r="H34" i="18"/>
  <c r="H35" i="18"/>
  <c r="H36" i="18"/>
  <c r="H37" i="18"/>
  <c r="H38" i="18"/>
  <c r="H39" i="18"/>
  <c r="H40" i="18"/>
  <c r="H41" i="18"/>
  <c r="H42" i="18"/>
  <c r="H43" i="18"/>
  <c r="H44" i="18"/>
  <c r="H45" i="18"/>
  <c r="H46" i="18"/>
  <c r="H47" i="18"/>
  <c r="H48" i="18"/>
  <c r="H49" i="18"/>
  <c r="H50" i="18"/>
  <c r="H51" i="18"/>
  <c r="H52" i="18"/>
  <c r="H53" i="18"/>
  <c r="H54" i="18"/>
  <c r="H55" i="18"/>
  <c r="H56" i="18"/>
  <c r="H57" i="18"/>
  <c r="H58" i="18"/>
  <c r="H59" i="18"/>
  <c r="H60" i="18"/>
  <c r="H61" i="18"/>
  <c r="H62" i="18"/>
  <c r="H63" i="18"/>
  <c r="H64" i="18"/>
  <c r="H65" i="18"/>
  <c r="H66" i="18"/>
  <c r="H67" i="18"/>
  <c r="H68" i="18"/>
  <c r="H69" i="18"/>
  <c r="H70" i="18"/>
  <c r="H71" i="18"/>
  <c r="H72" i="18"/>
  <c r="H73" i="18"/>
  <c r="H74" i="18"/>
  <c r="H75" i="18"/>
  <c r="H76" i="18"/>
  <c r="H77" i="18"/>
  <c r="H78" i="18"/>
  <c r="H79" i="18"/>
  <c r="H80" i="18"/>
  <c r="H81" i="18"/>
  <c r="H82" i="18"/>
  <c r="H83" i="18"/>
  <c r="H84" i="18"/>
  <c r="H85" i="18"/>
  <c r="H5" i="18"/>
  <c r="E175" i="43"/>
  <c r="E119" i="43"/>
  <c r="E157" i="43"/>
  <c r="N454" i="37"/>
  <c r="M454" i="37"/>
  <c r="L454" i="37"/>
  <c r="K454" i="37"/>
  <c r="J454" i="37"/>
  <c r="I454" i="37"/>
  <c r="H454" i="37"/>
  <c r="G454" i="37"/>
  <c r="N451" i="37"/>
  <c r="M451" i="37"/>
  <c r="L451" i="37"/>
  <c r="K451" i="37"/>
  <c r="J451" i="37"/>
  <c r="I451" i="37"/>
  <c r="H451" i="37"/>
  <c r="G451" i="37"/>
  <c r="O458" i="37"/>
  <c r="N458" i="37"/>
  <c r="M458" i="37"/>
  <c r="L458" i="37"/>
  <c r="K458" i="37"/>
  <c r="J458" i="37"/>
  <c r="I458" i="37"/>
  <c r="H458" i="37"/>
  <c r="G458" i="37" s="1"/>
  <c r="F458" i="37"/>
  <c r="Q457" i="37"/>
  <c r="F457" i="37"/>
  <c r="Q456" i="37"/>
  <c r="O456" i="37"/>
  <c r="N456" i="37"/>
  <c r="M456" i="37"/>
  <c r="L456" i="37"/>
  <c r="K456" i="37"/>
  <c r="J456" i="37"/>
  <c r="I456" i="37"/>
  <c r="H456" i="37"/>
  <c r="G456" i="37"/>
  <c r="F456" i="37"/>
  <c r="Q455" i="37"/>
  <c r="F455" i="37"/>
  <c r="Q454" i="37"/>
  <c r="F454" i="37"/>
  <c r="Q453" i="37"/>
  <c r="F453" i="37"/>
  <c r="Q452" i="37"/>
  <c r="F452" i="37"/>
  <c r="Q451" i="37"/>
  <c r="F451" i="37"/>
  <c r="Q340" i="37"/>
  <c r="Q341" i="37"/>
  <c r="Q342" i="37"/>
  <c r="Q343" i="37"/>
  <c r="Q345" i="37"/>
  <c r="Q339" i="37"/>
  <c r="S141" i="37"/>
  <c r="T141" i="37"/>
  <c r="U141" i="37"/>
  <c r="V141" i="37"/>
  <c r="W141" i="37"/>
  <c r="X141" i="37"/>
  <c r="Y141" i="37"/>
  <c r="Z141" i="37"/>
  <c r="S142" i="37"/>
  <c r="T142" i="37"/>
  <c r="U142" i="37"/>
  <c r="V142" i="37"/>
  <c r="W142" i="37"/>
  <c r="X142" i="37"/>
  <c r="Y142" i="37"/>
  <c r="Z142" i="37"/>
  <c r="S143" i="37"/>
  <c r="T143" i="37"/>
  <c r="U143" i="37"/>
  <c r="V143" i="37"/>
  <c r="W143" i="37"/>
  <c r="X143" i="37"/>
  <c r="Y143" i="37"/>
  <c r="Z143" i="37"/>
  <c r="S144" i="37"/>
  <c r="T144" i="37"/>
  <c r="U144" i="37"/>
  <c r="V144" i="37"/>
  <c r="W144" i="37"/>
  <c r="X144" i="37"/>
  <c r="Y144" i="37"/>
  <c r="Z144" i="37"/>
  <c r="S145" i="37"/>
  <c r="T145" i="37"/>
  <c r="U145" i="37"/>
  <c r="V145" i="37"/>
  <c r="W145" i="37"/>
  <c r="X145" i="37"/>
  <c r="Y145" i="37"/>
  <c r="Z145" i="37"/>
  <c r="S146" i="37"/>
  <c r="T146" i="37"/>
  <c r="U146" i="37"/>
  <c r="V146" i="37"/>
  <c r="W146" i="37"/>
  <c r="X146" i="37"/>
  <c r="Y146" i="37"/>
  <c r="Z146" i="37"/>
  <c r="S147" i="37"/>
  <c r="T147" i="37"/>
  <c r="U147" i="37"/>
  <c r="V147" i="37"/>
  <c r="W147" i="37"/>
  <c r="X147" i="37"/>
  <c r="Y147" i="37"/>
  <c r="Z147" i="37"/>
  <c r="S148" i="37"/>
  <c r="T148" i="37"/>
  <c r="U148" i="37"/>
  <c r="V148" i="37"/>
  <c r="W148" i="37"/>
  <c r="X148" i="37"/>
  <c r="Y148" i="37"/>
  <c r="Z148" i="37"/>
  <c r="J148" i="36" a="1"/>
  <c r="J148" i="36" s="1"/>
  <c r="Q458" i="37" l="1"/>
  <c r="T50" i="41" l="1"/>
  <c r="T34" i="41"/>
  <c r="BR218" i="58" l="1"/>
  <c r="C229" i="58"/>
  <c r="C230" i="58"/>
  <c r="C231" i="58"/>
  <c r="C232" i="58"/>
  <c r="C233" i="58"/>
  <c r="C234" i="58"/>
  <c r="C228" i="58"/>
  <c r="C227" i="58"/>
  <c r="C226" i="58"/>
  <c r="C225" i="58"/>
  <c r="B221" i="58"/>
  <c r="C221" i="58" s="1"/>
  <c r="C214" i="58"/>
  <c r="C213" i="58"/>
  <c r="C104" i="58"/>
  <c r="C223" i="58"/>
  <c r="C224" i="58"/>
  <c r="C222" i="58"/>
  <c r="H13" i="58"/>
  <c r="I13" i="58"/>
  <c r="J13" i="58"/>
  <c r="K13" i="58"/>
  <c r="L13" i="58"/>
  <c r="M13" i="58"/>
  <c r="N13" i="58"/>
  <c r="O13" i="58"/>
  <c r="P13" i="58"/>
  <c r="Q13" i="58"/>
  <c r="R13" i="58"/>
  <c r="S13" i="58"/>
  <c r="T13" i="58"/>
  <c r="U13" i="58"/>
  <c r="V13" i="58"/>
  <c r="W13" i="58"/>
  <c r="X13" i="58"/>
  <c r="Y13" i="58"/>
  <c r="Z13" i="58"/>
  <c r="AA13" i="58"/>
  <c r="AB13" i="58"/>
  <c r="AC13" i="58"/>
  <c r="AD13" i="58"/>
  <c r="AE13" i="58"/>
  <c r="AF13" i="58"/>
  <c r="AG13" i="58"/>
  <c r="AH13" i="58"/>
  <c r="AI13" i="58"/>
  <c r="AJ13" i="58"/>
  <c r="AK13" i="58"/>
  <c r="AL13" i="58"/>
  <c r="AM13" i="58"/>
  <c r="AN13" i="58"/>
  <c r="AO13" i="58"/>
  <c r="AP13" i="58"/>
  <c r="G13" i="58"/>
  <c r="AF215" i="58"/>
  <c r="AE215" i="58"/>
  <c r="AD215" i="58"/>
  <c r="AC215" i="58"/>
  <c r="AB215" i="58"/>
  <c r="AA215" i="58"/>
  <c r="Z215" i="58"/>
  <c r="Y215" i="58"/>
  <c r="X215" i="58"/>
  <c r="W215" i="58"/>
  <c r="V215" i="58"/>
  <c r="U215" i="58"/>
  <c r="D215" i="58"/>
  <c r="D214" i="58"/>
  <c r="D213" i="58"/>
  <c r="AU14" i="58"/>
  <c r="D224" i="58" s="1"/>
  <c r="AV180" i="59"/>
  <c r="AO42" i="3"/>
  <c r="AV159" i="59"/>
  <c r="AV138" i="59"/>
  <c r="AV118" i="59"/>
  <c r="C101" i="59"/>
  <c r="C100" i="59"/>
  <c r="C99" i="59"/>
  <c r="C98" i="59"/>
  <c r="C97" i="59"/>
  <c r="C96" i="59"/>
  <c r="C95" i="59"/>
  <c r="C94" i="59"/>
  <c r="C93" i="59"/>
  <c r="C92" i="59"/>
  <c r="C91" i="59"/>
  <c r="C90" i="59"/>
  <c r="C89" i="59"/>
  <c r="C86" i="59"/>
  <c r="C85" i="59"/>
  <c r="C84" i="59"/>
  <c r="C83" i="59"/>
  <c r="C82" i="59"/>
  <c r="C81" i="59"/>
  <c r="C80" i="59"/>
  <c r="C79" i="59"/>
  <c r="C78" i="59"/>
  <c r="C77" i="59"/>
  <c r="C76" i="59"/>
  <c r="C75" i="59"/>
  <c r="B41" i="59"/>
  <c r="B7" i="59"/>
  <c r="B1" i="59"/>
  <c r="B9" i="59"/>
  <c r="B6" i="59"/>
  <c r="AF81" i="30"/>
  <c r="AF81" i="26"/>
  <c r="AF81" i="27"/>
  <c r="AF81" i="5"/>
  <c r="O42" i="3"/>
  <c r="I116" i="59"/>
  <c r="B116" i="59"/>
  <c r="BR221" i="58"/>
  <c r="D140" i="58"/>
  <c r="D139" i="58"/>
  <c r="D138" i="58"/>
  <c r="D145" i="58"/>
  <c r="D144" i="58"/>
  <c r="D143" i="58"/>
  <c r="D150" i="58"/>
  <c r="D149" i="58"/>
  <c r="D148" i="58"/>
  <c r="D155" i="58"/>
  <c r="D154" i="58"/>
  <c r="D153" i="58"/>
  <c r="D160" i="58"/>
  <c r="D159" i="58"/>
  <c r="D158" i="58"/>
  <c r="D165" i="58"/>
  <c r="D164" i="58"/>
  <c r="D163" i="58"/>
  <c r="D170" i="58"/>
  <c r="D169" i="58"/>
  <c r="D168" i="58"/>
  <c r="D175" i="58"/>
  <c r="D174" i="58"/>
  <c r="D173" i="58"/>
  <c r="D180" i="58"/>
  <c r="D179" i="58"/>
  <c r="D178" i="58"/>
  <c r="D185" i="58"/>
  <c r="D184" i="58"/>
  <c r="D183" i="58"/>
  <c r="D190" i="58"/>
  <c r="D189" i="58"/>
  <c r="D188" i="58"/>
  <c r="D195" i="58"/>
  <c r="D194" i="58"/>
  <c r="D193" i="58"/>
  <c r="D200" i="58"/>
  <c r="D199" i="58"/>
  <c r="D198" i="58"/>
  <c r="D205" i="58"/>
  <c r="D204" i="58"/>
  <c r="D203" i="58"/>
  <c r="D209" i="58"/>
  <c r="D210" i="58"/>
  <c r="D208" i="58"/>
  <c r="B219" i="58"/>
  <c r="AU50" i="58"/>
  <c r="AU49" i="58"/>
  <c r="AU48" i="58"/>
  <c r="AU47" i="58"/>
  <c r="AU46" i="58"/>
  <c r="AU45" i="58"/>
  <c r="AU44" i="58"/>
  <c r="AU43" i="58"/>
  <c r="AU42" i="58"/>
  <c r="AU41" i="58"/>
  <c r="AU40" i="58"/>
  <c r="AU39" i="58"/>
  <c r="AU38" i="58"/>
  <c r="AU37" i="58"/>
  <c r="AU36" i="58"/>
  <c r="AU28" i="58"/>
  <c r="AU29" i="58"/>
  <c r="AU30" i="58"/>
  <c r="AU31" i="58"/>
  <c r="AU32" i="58"/>
  <c r="AU33" i="58"/>
  <c r="AU27" i="58"/>
  <c r="C454" i="58"/>
  <c r="C453" i="58"/>
  <c r="C452" i="58"/>
  <c r="C451" i="58"/>
  <c r="C450" i="58"/>
  <c r="C449" i="58"/>
  <c r="C448" i="58"/>
  <c r="C447" i="58"/>
  <c r="C446" i="58"/>
  <c r="C445" i="58"/>
  <c r="C444" i="58"/>
  <c r="C443" i="58"/>
  <c r="C442" i="58"/>
  <c r="C441" i="58"/>
  <c r="C439" i="58"/>
  <c r="C438" i="58"/>
  <c r="C437" i="58"/>
  <c r="C436" i="58"/>
  <c r="C435" i="58"/>
  <c r="C434" i="58"/>
  <c r="C433" i="58"/>
  <c r="C432" i="58"/>
  <c r="C431" i="58"/>
  <c r="C430" i="58"/>
  <c r="C429" i="58"/>
  <c r="C428" i="58"/>
  <c r="C427" i="58"/>
  <c r="C426" i="58"/>
  <c r="C424" i="58"/>
  <c r="C423" i="58"/>
  <c r="C422" i="58"/>
  <c r="C421" i="58"/>
  <c r="C420" i="58"/>
  <c r="C419" i="58"/>
  <c r="C418" i="58"/>
  <c r="C417" i="58"/>
  <c r="C416" i="58"/>
  <c r="C415" i="58"/>
  <c r="C414" i="58"/>
  <c r="C413" i="58"/>
  <c r="C412" i="58"/>
  <c r="C411" i="58"/>
  <c r="C409" i="58"/>
  <c r="C408" i="58"/>
  <c r="C407" i="58"/>
  <c r="C406" i="58"/>
  <c r="C405" i="58"/>
  <c r="C404" i="58"/>
  <c r="C403" i="58"/>
  <c r="C402" i="58"/>
  <c r="C401" i="58"/>
  <c r="C400" i="58"/>
  <c r="C399" i="58"/>
  <c r="C398" i="58"/>
  <c r="C397" i="58"/>
  <c r="C396" i="58"/>
  <c r="C394" i="58"/>
  <c r="C393" i="58"/>
  <c r="C392" i="58"/>
  <c r="C391" i="58"/>
  <c r="C390" i="58"/>
  <c r="C389" i="58"/>
  <c r="C388" i="58"/>
  <c r="C387" i="58"/>
  <c r="C386" i="58"/>
  <c r="C385" i="58"/>
  <c r="C384" i="58"/>
  <c r="C383" i="58"/>
  <c r="C382" i="58"/>
  <c r="C381" i="58"/>
  <c r="C355" i="58"/>
  <c r="C354" i="58"/>
  <c r="C353" i="58"/>
  <c r="C352" i="58"/>
  <c r="C351" i="58"/>
  <c r="C350" i="58"/>
  <c r="C349" i="58"/>
  <c r="C348" i="58"/>
  <c r="C347" i="58"/>
  <c r="C346" i="58"/>
  <c r="C345" i="58"/>
  <c r="C344" i="58"/>
  <c r="C343" i="58"/>
  <c r="C342" i="58"/>
  <c r="C340" i="58"/>
  <c r="C339" i="58"/>
  <c r="C338" i="58"/>
  <c r="C337" i="58"/>
  <c r="C336" i="58"/>
  <c r="C335" i="58"/>
  <c r="C334" i="58"/>
  <c r="C333" i="58"/>
  <c r="C332" i="58"/>
  <c r="C331" i="58"/>
  <c r="C330" i="58"/>
  <c r="C329" i="58"/>
  <c r="C328" i="58"/>
  <c r="C327" i="58"/>
  <c r="C325" i="58"/>
  <c r="C324" i="58"/>
  <c r="C323" i="58"/>
  <c r="C322" i="58"/>
  <c r="C321" i="58"/>
  <c r="C320" i="58"/>
  <c r="C319" i="58"/>
  <c r="C318" i="58"/>
  <c r="C317" i="58"/>
  <c r="C316" i="58"/>
  <c r="C315" i="58"/>
  <c r="C314" i="58"/>
  <c r="C313" i="58"/>
  <c r="C312" i="58"/>
  <c r="C310" i="58"/>
  <c r="C309" i="58"/>
  <c r="C308" i="58"/>
  <c r="C307" i="58"/>
  <c r="C306" i="58"/>
  <c r="C305" i="58"/>
  <c r="C304" i="58"/>
  <c r="C303" i="58"/>
  <c r="C302" i="58"/>
  <c r="C301" i="58"/>
  <c r="C300" i="58"/>
  <c r="C299" i="58"/>
  <c r="C298" i="58"/>
  <c r="C297" i="58"/>
  <c r="C295" i="58"/>
  <c r="C294" i="58"/>
  <c r="C293" i="58"/>
  <c r="C292" i="58"/>
  <c r="C291" i="58"/>
  <c r="C290" i="58"/>
  <c r="C289" i="58"/>
  <c r="C288" i="58"/>
  <c r="C287" i="58"/>
  <c r="C286" i="58"/>
  <c r="C285" i="58"/>
  <c r="C284" i="58"/>
  <c r="C283" i="58"/>
  <c r="C282" i="58"/>
  <c r="C280" i="58"/>
  <c r="C279" i="58"/>
  <c r="C278" i="58"/>
  <c r="C277" i="58"/>
  <c r="C276" i="58"/>
  <c r="C275" i="58"/>
  <c r="C274" i="58"/>
  <c r="C273" i="58"/>
  <c r="C272" i="58"/>
  <c r="C271" i="58"/>
  <c r="C270" i="58"/>
  <c r="C269" i="58"/>
  <c r="C268" i="58"/>
  <c r="C267" i="58"/>
  <c r="C265" i="58"/>
  <c r="C264" i="58"/>
  <c r="C263" i="58"/>
  <c r="C262" i="58"/>
  <c r="C261" i="58"/>
  <c r="C260" i="58"/>
  <c r="C259" i="58"/>
  <c r="C258" i="58"/>
  <c r="C257" i="58"/>
  <c r="C256" i="58"/>
  <c r="C255" i="58"/>
  <c r="C254" i="58"/>
  <c r="C253" i="58"/>
  <c r="C252" i="58"/>
  <c r="B220" i="58"/>
  <c r="B55" i="58"/>
  <c r="B58" i="58"/>
  <c r="B57" i="58"/>
  <c r="B54" i="58"/>
  <c r="F23" i="58"/>
  <c r="D23" i="58"/>
  <c r="B9" i="58"/>
  <c r="B8" i="58"/>
  <c r="B6" i="58"/>
  <c r="B2" i="58"/>
  <c r="C250" i="58"/>
  <c r="C249" i="58"/>
  <c r="C248" i="58"/>
  <c r="C247" i="58"/>
  <c r="C246" i="58"/>
  <c r="C245" i="58"/>
  <c r="C244" i="58"/>
  <c r="C243" i="58"/>
  <c r="C242" i="58"/>
  <c r="C238" i="58"/>
  <c r="C239" i="58"/>
  <c r="C240" i="58"/>
  <c r="C241" i="58"/>
  <c r="C237" i="58"/>
  <c r="ACD190" i="55" l="1"/>
  <c r="ADC190" i="55" s="1"/>
  <c r="ACC190" i="55"/>
  <c r="ADB190" i="55" s="1"/>
  <c r="ACB190" i="55"/>
  <c r="ADA190" i="55" s="1"/>
  <c r="ACA190" i="55"/>
  <c r="ACZ190" i="55" s="1"/>
  <c r="ABZ190" i="55"/>
  <c r="ACY190" i="55" s="1"/>
  <c r="ABY190" i="55"/>
  <c r="ACX190" i="55" s="1"/>
  <c r="ABX190" i="55"/>
  <c r="ACW190" i="55" s="1"/>
  <c r="ABW190" i="55"/>
  <c r="ACV190" i="55" s="1"/>
  <c r="ABV190" i="55"/>
  <c r="ACU190" i="55" s="1"/>
  <c r="ABU190" i="55"/>
  <c r="ACT190" i="55" s="1"/>
  <c r="ABT190" i="55"/>
  <c r="ACS190" i="55" s="1"/>
  <c r="ABS190" i="55"/>
  <c r="ACR190" i="55" s="1"/>
  <c r="ABR190" i="55"/>
  <c r="ACQ190" i="55" s="1"/>
  <c r="ABQ190" i="55"/>
  <c r="ACP190" i="55" s="1"/>
  <c r="ABP190" i="55"/>
  <c r="ACO190" i="55" s="1"/>
  <c r="ABO190" i="55"/>
  <c r="ACN190" i="55" s="1"/>
  <c r="ABN190" i="55"/>
  <c r="ACM190" i="55" s="1"/>
  <c r="ABM190" i="55"/>
  <c r="ACL190" i="55" s="1"/>
  <c r="ABL190" i="55"/>
  <c r="ACK190" i="55" s="1"/>
  <c r="ABK190" i="55"/>
  <c r="ACJ190" i="55" s="1"/>
  <c r="ABJ190" i="55"/>
  <c r="ACI190" i="55" s="1"/>
  <c r="ABI190" i="55"/>
  <c r="ACH190" i="55" s="1"/>
  <c r="ABH190" i="55"/>
  <c r="ACG190" i="55" s="1"/>
  <c r="ABG190" i="55"/>
  <c r="ACF190" i="55" s="1"/>
  <c r="ACD189" i="55"/>
  <c r="ADC189" i="55" s="1"/>
  <c r="ACC189" i="55"/>
  <c r="ADB189" i="55" s="1"/>
  <c r="ACB189" i="55"/>
  <c r="ADA189" i="55" s="1"/>
  <c r="ACA189" i="55"/>
  <c r="ACZ189" i="55" s="1"/>
  <c r="ABZ189" i="55"/>
  <c r="ACY189" i="55" s="1"/>
  <c r="ABY189" i="55"/>
  <c r="ACX189" i="55" s="1"/>
  <c r="ABX189" i="55"/>
  <c r="ACW189" i="55" s="1"/>
  <c r="ABW189" i="55"/>
  <c r="ACV189" i="55" s="1"/>
  <c r="ABV189" i="55"/>
  <c r="ACU189" i="55" s="1"/>
  <c r="ABU189" i="55"/>
  <c r="ACT189" i="55" s="1"/>
  <c r="ABT189" i="55"/>
  <c r="ACS189" i="55" s="1"/>
  <c r="ABS189" i="55"/>
  <c r="ACR189" i="55" s="1"/>
  <c r="ABR189" i="55"/>
  <c r="ACQ189" i="55" s="1"/>
  <c r="ABQ189" i="55"/>
  <c r="ACP189" i="55" s="1"/>
  <c r="ABP189" i="55"/>
  <c r="ACO189" i="55" s="1"/>
  <c r="ABO189" i="55"/>
  <c r="ACN189" i="55" s="1"/>
  <c r="ABN189" i="55"/>
  <c r="ACM189" i="55" s="1"/>
  <c r="ABM189" i="55"/>
  <c r="ACL189" i="55" s="1"/>
  <c r="ABL189" i="55"/>
  <c r="ACK189" i="55" s="1"/>
  <c r="ABK189" i="55"/>
  <c r="ACJ189" i="55" s="1"/>
  <c r="ABJ189" i="55"/>
  <c r="ACI189" i="55" s="1"/>
  <c r="ABI189" i="55"/>
  <c r="ACH189" i="55" s="1"/>
  <c r="ABH189" i="55"/>
  <c r="ACG189" i="55" s="1"/>
  <c r="ABG189" i="55"/>
  <c r="ACF189" i="55" s="1"/>
  <c r="ACD188" i="55"/>
  <c r="ADC188" i="55" s="1"/>
  <c r="ACC188" i="55"/>
  <c r="ADB188" i="55" s="1"/>
  <c r="ACB188" i="55"/>
  <c r="ADA188" i="55" s="1"/>
  <c r="ACA188" i="55"/>
  <c r="ACZ188" i="55" s="1"/>
  <c r="ABZ188" i="55"/>
  <c r="ACY188" i="55" s="1"/>
  <c r="ABY188" i="55"/>
  <c r="ACX188" i="55" s="1"/>
  <c r="ABX188" i="55"/>
  <c r="ACW188" i="55" s="1"/>
  <c r="ABW188" i="55"/>
  <c r="ACV188" i="55" s="1"/>
  <c r="ABV188" i="55"/>
  <c r="ACU188" i="55" s="1"/>
  <c r="ABU188" i="55"/>
  <c r="ACT188" i="55" s="1"/>
  <c r="ABT188" i="55"/>
  <c r="ACS188" i="55" s="1"/>
  <c r="ABS188" i="55"/>
  <c r="ACR188" i="55" s="1"/>
  <c r="ABR188" i="55"/>
  <c r="ACQ188" i="55" s="1"/>
  <c r="ABQ188" i="55"/>
  <c r="ACP188" i="55" s="1"/>
  <c r="ABP188" i="55"/>
  <c r="ACO188" i="55" s="1"/>
  <c r="ABO188" i="55"/>
  <c r="ACN188" i="55" s="1"/>
  <c r="ABN188" i="55"/>
  <c r="ACM188" i="55" s="1"/>
  <c r="ABM188" i="55"/>
  <c r="ACL188" i="55" s="1"/>
  <c r="ABL188" i="55"/>
  <c r="ACK188" i="55" s="1"/>
  <c r="ABK188" i="55"/>
  <c r="ACJ188" i="55" s="1"/>
  <c r="ABJ188" i="55"/>
  <c r="ACI188" i="55" s="1"/>
  <c r="ABI188" i="55"/>
  <c r="ACH188" i="55" s="1"/>
  <c r="ABH188" i="55"/>
  <c r="ACG188" i="55" s="1"/>
  <c r="ABG188" i="55"/>
  <c r="ACF188" i="55" s="1"/>
  <c r="ACD187" i="55"/>
  <c r="ADC187" i="55" s="1"/>
  <c r="ACC187" i="55"/>
  <c r="ADB187" i="55" s="1"/>
  <c r="ACB187" i="55"/>
  <c r="ADA187" i="55" s="1"/>
  <c r="ACA187" i="55"/>
  <c r="ACZ187" i="55" s="1"/>
  <c r="ABZ187" i="55"/>
  <c r="ACY187" i="55" s="1"/>
  <c r="ABY187" i="55"/>
  <c r="ACX187" i="55" s="1"/>
  <c r="ABX187" i="55"/>
  <c r="ACW187" i="55" s="1"/>
  <c r="ABW187" i="55"/>
  <c r="ACV187" i="55" s="1"/>
  <c r="ABV187" i="55"/>
  <c r="ACU187" i="55" s="1"/>
  <c r="ABU187" i="55"/>
  <c r="ACT187" i="55" s="1"/>
  <c r="ABT187" i="55"/>
  <c r="ACS187" i="55" s="1"/>
  <c r="ABS187" i="55"/>
  <c r="ACR187" i="55" s="1"/>
  <c r="ABR187" i="55"/>
  <c r="ACQ187" i="55" s="1"/>
  <c r="ABQ187" i="55"/>
  <c r="ACP187" i="55" s="1"/>
  <c r="ABP187" i="55"/>
  <c r="ACO187" i="55" s="1"/>
  <c r="ABO187" i="55"/>
  <c r="ACN187" i="55" s="1"/>
  <c r="ABN187" i="55"/>
  <c r="ACM187" i="55" s="1"/>
  <c r="ABM187" i="55"/>
  <c r="ACL187" i="55" s="1"/>
  <c r="ABL187" i="55"/>
  <c r="ACK187" i="55" s="1"/>
  <c r="ABK187" i="55"/>
  <c r="ACJ187" i="55" s="1"/>
  <c r="ABJ187" i="55"/>
  <c r="ACI187" i="55" s="1"/>
  <c r="ABI187" i="55"/>
  <c r="ACH187" i="55" s="1"/>
  <c r="ABH187" i="55"/>
  <c r="ACG187" i="55" s="1"/>
  <c r="ABG187" i="55"/>
  <c r="ACF187" i="55" s="1"/>
  <c r="ACD186" i="55"/>
  <c r="ADC186" i="55" s="1"/>
  <c r="ACC186" i="55"/>
  <c r="ADB186" i="55" s="1"/>
  <c r="ACB186" i="55"/>
  <c r="ADA186" i="55" s="1"/>
  <c r="ACA186" i="55"/>
  <c r="ACZ186" i="55" s="1"/>
  <c r="ABZ186" i="55"/>
  <c r="ACY186" i="55" s="1"/>
  <c r="ABY186" i="55"/>
  <c r="ACX186" i="55" s="1"/>
  <c r="ABX186" i="55"/>
  <c r="ACW186" i="55" s="1"/>
  <c r="ABW186" i="55"/>
  <c r="ACV186" i="55" s="1"/>
  <c r="ABV186" i="55"/>
  <c r="ACU186" i="55" s="1"/>
  <c r="ABU186" i="55"/>
  <c r="ACT186" i="55" s="1"/>
  <c r="ABT186" i="55"/>
  <c r="ACS186" i="55" s="1"/>
  <c r="ABS186" i="55"/>
  <c r="ACR186" i="55" s="1"/>
  <c r="ABR186" i="55"/>
  <c r="ACQ186" i="55" s="1"/>
  <c r="ABQ186" i="55"/>
  <c r="ACP186" i="55" s="1"/>
  <c r="ABP186" i="55"/>
  <c r="ACO186" i="55" s="1"/>
  <c r="ABO186" i="55"/>
  <c r="ACN186" i="55" s="1"/>
  <c r="ABN186" i="55"/>
  <c r="ACM186" i="55" s="1"/>
  <c r="ABM186" i="55"/>
  <c r="ACL186" i="55" s="1"/>
  <c r="ABL186" i="55"/>
  <c r="ACK186" i="55" s="1"/>
  <c r="ABK186" i="55"/>
  <c r="ACJ186" i="55" s="1"/>
  <c r="ABJ186" i="55"/>
  <c r="ACI186" i="55" s="1"/>
  <c r="ABI186" i="55"/>
  <c r="ACH186" i="55" s="1"/>
  <c r="ABH186" i="55"/>
  <c r="ACG186" i="55" s="1"/>
  <c r="ABG186" i="55"/>
  <c r="ACF186" i="55" s="1"/>
  <c r="ACD185" i="55"/>
  <c r="ADC185" i="55" s="1"/>
  <c r="ACC185" i="55"/>
  <c r="ADB185" i="55" s="1"/>
  <c r="ACB185" i="55"/>
  <c r="ADA185" i="55" s="1"/>
  <c r="ACA185" i="55"/>
  <c r="ACZ185" i="55" s="1"/>
  <c r="ABZ185" i="55"/>
  <c r="ACY185" i="55" s="1"/>
  <c r="ABY185" i="55"/>
  <c r="ACX185" i="55" s="1"/>
  <c r="ABX185" i="55"/>
  <c r="ACW185" i="55" s="1"/>
  <c r="ABW185" i="55"/>
  <c r="ACV185" i="55" s="1"/>
  <c r="ABV185" i="55"/>
  <c r="ACU185" i="55" s="1"/>
  <c r="ABU185" i="55"/>
  <c r="ACT185" i="55" s="1"/>
  <c r="ABT185" i="55"/>
  <c r="ACS185" i="55" s="1"/>
  <c r="ABS185" i="55"/>
  <c r="ACR185" i="55" s="1"/>
  <c r="ABR185" i="55"/>
  <c r="ACQ185" i="55" s="1"/>
  <c r="ABQ185" i="55"/>
  <c r="ACP185" i="55" s="1"/>
  <c r="ABP185" i="55"/>
  <c r="ACO185" i="55" s="1"/>
  <c r="ABO185" i="55"/>
  <c r="ACN185" i="55" s="1"/>
  <c r="ABN185" i="55"/>
  <c r="ACM185" i="55" s="1"/>
  <c r="ABM185" i="55"/>
  <c r="ACL185" i="55" s="1"/>
  <c r="ABL185" i="55"/>
  <c r="ACK185" i="55" s="1"/>
  <c r="ABK185" i="55"/>
  <c r="ACJ185" i="55" s="1"/>
  <c r="ABJ185" i="55"/>
  <c r="ACI185" i="55" s="1"/>
  <c r="ABI185" i="55"/>
  <c r="ACH185" i="55" s="1"/>
  <c r="ABH185" i="55"/>
  <c r="ACG185" i="55" s="1"/>
  <c r="ABG185" i="55"/>
  <c r="ACF185" i="55" s="1"/>
  <c r="ACD184" i="55"/>
  <c r="ADC184" i="55" s="1"/>
  <c r="ACC184" i="55"/>
  <c r="ADB184" i="55" s="1"/>
  <c r="ACB184" i="55"/>
  <c r="ADA184" i="55" s="1"/>
  <c r="ACA184" i="55"/>
  <c r="ACZ184" i="55" s="1"/>
  <c r="ABZ184" i="55"/>
  <c r="ACY184" i="55" s="1"/>
  <c r="ABY184" i="55"/>
  <c r="ACX184" i="55" s="1"/>
  <c r="ABX184" i="55"/>
  <c r="ACW184" i="55" s="1"/>
  <c r="ABW184" i="55"/>
  <c r="ACV184" i="55" s="1"/>
  <c r="ABV184" i="55"/>
  <c r="ACU184" i="55" s="1"/>
  <c r="ABU184" i="55"/>
  <c r="ACT184" i="55" s="1"/>
  <c r="ABT184" i="55"/>
  <c r="ACS184" i="55" s="1"/>
  <c r="ABS184" i="55"/>
  <c r="ACR184" i="55" s="1"/>
  <c r="ABR184" i="55"/>
  <c r="ACQ184" i="55" s="1"/>
  <c r="ABQ184" i="55"/>
  <c r="ACP184" i="55" s="1"/>
  <c r="ABP184" i="55"/>
  <c r="ACO184" i="55" s="1"/>
  <c r="ABO184" i="55"/>
  <c r="ACN184" i="55" s="1"/>
  <c r="ABN184" i="55"/>
  <c r="ACM184" i="55" s="1"/>
  <c r="ABM184" i="55"/>
  <c r="ACL184" i="55" s="1"/>
  <c r="ABL184" i="55"/>
  <c r="ACK184" i="55" s="1"/>
  <c r="ABK184" i="55"/>
  <c r="ACJ184" i="55" s="1"/>
  <c r="ABJ184" i="55"/>
  <c r="ACI184" i="55" s="1"/>
  <c r="ABI184" i="55"/>
  <c r="ACH184" i="55" s="1"/>
  <c r="ABH184" i="55"/>
  <c r="ACG184" i="55" s="1"/>
  <c r="ABG184" i="55"/>
  <c r="ACF184" i="55" s="1"/>
  <c r="ACD183" i="55"/>
  <c r="ADC183" i="55" s="1"/>
  <c r="ACC183" i="55"/>
  <c r="ADB183" i="55" s="1"/>
  <c r="ACB183" i="55"/>
  <c r="ADA183" i="55" s="1"/>
  <c r="ACA183" i="55"/>
  <c r="ACZ183" i="55" s="1"/>
  <c r="ABZ183" i="55"/>
  <c r="ACY183" i="55" s="1"/>
  <c r="ABY183" i="55"/>
  <c r="ACX183" i="55" s="1"/>
  <c r="ABX183" i="55"/>
  <c r="ACW183" i="55" s="1"/>
  <c r="ABW183" i="55"/>
  <c r="ACV183" i="55" s="1"/>
  <c r="ABV183" i="55"/>
  <c r="ACU183" i="55" s="1"/>
  <c r="ABU183" i="55"/>
  <c r="ACT183" i="55" s="1"/>
  <c r="ABT183" i="55"/>
  <c r="ACS183" i="55" s="1"/>
  <c r="ABS183" i="55"/>
  <c r="ACR183" i="55" s="1"/>
  <c r="ABR183" i="55"/>
  <c r="ACQ183" i="55" s="1"/>
  <c r="ABQ183" i="55"/>
  <c r="ACP183" i="55" s="1"/>
  <c r="ABP183" i="55"/>
  <c r="ACO183" i="55" s="1"/>
  <c r="ABO183" i="55"/>
  <c r="ACN183" i="55" s="1"/>
  <c r="ABN183" i="55"/>
  <c r="ACM183" i="55" s="1"/>
  <c r="ABM183" i="55"/>
  <c r="ACL183" i="55" s="1"/>
  <c r="ABL183" i="55"/>
  <c r="ACK183" i="55" s="1"/>
  <c r="ABK183" i="55"/>
  <c r="ACJ183" i="55" s="1"/>
  <c r="ABJ183" i="55"/>
  <c r="ACI183" i="55" s="1"/>
  <c r="ABI183" i="55"/>
  <c r="ACH183" i="55" s="1"/>
  <c r="ABH183" i="55"/>
  <c r="ACG183" i="55" s="1"/>
  <c r="ABG183" i="55"/>
  <c r="ACF183" i="55" s="1"/>
  <c r="ACD182" i="55"/>
  <c r="ADC182" i="55" s="1"/>
  <c r="ACC182" i="55"/>
  <c r="ADB182" i="55" s="1"/>
  <c r="ACB182" i="55"/>
  <c r="ADA182" i="55" s="1"/>
  <c r="ACA182" i="55"/>
  <c r="ACZ182" i="55" s="1"/>
  <c r="ABZ182" i="55"/>
  <c r="ACY182" i="55" s="1"/>
  <c r="ABY182" i="55"/>
  <c r="ACX182" i="55" s="1"/>
  <c r="ABX182" i="55"/>
  <c r="ACW182" i="55" s="1"/>
  <c r="ABW182" i="55"/>
  <c r="ACV182" i="55" s="1"/>
  <c r="ABV182" i="55"/>
  <c r="ACU182" i="55" s="1"/>
  <c r="ABU182" i="55"/>
  <c r="ACT182" i="55" s="1"/>
  <c r="ABT182" i="55"/>
  <c r="ACS182" i="55" s="1"/>
  <c r="ABS182" i="55"/>
  <c r="ACR182" i="55" s="1"/>
  <c r="ABR182" i="55"/>
  <c r="ACQ182" i="55" s="1"/>
  <c r="ABQ182" i="55"/>
  <c r="ACP182" i="55" s="1"/>
  <c r="ABP182" i="55"/>
  <c r="ACO182" i="55" s="1"/>
  <c r="ABO182" i="55"/>
  <c r="ACN182" i="55" s="1"/>
  <c r="ABN182" i="55"/>
  <c r="ACM182" i="55" s="1"/>
  <c r="ABM182" i="55"/>
  <c r="ACL182" i="55" s="1"/>
  <c r="ABL182" i="55"/>
  <c r="ACK182" i="55" s="1"/>
  <c r="ABK182" i="55"/>
  <c r="ACJ182" i="55" s="1"/>
  <c r="ABJ182" i="55"/>
  <c r="ACI182" i="55" s="1"/>
  <c r="ABI182" i="55"/>
  <c r="ACH182" i="55" s="1"/>
  <c r="ABH182" i="55"/>
  <c r="ACG182" i="55" s="1"/>
  <c r="ABG182" i="55"/>
  <c r="ACF182" i="55" s="1"/>
  <c r="ACD181" i="55"/>
  <c r="ADC181" i="55" s="1"/>
  <c r="ACC181" i="55"/>
  <c r="ADB181" i="55" s="1"/>
  <c r="ACB181" i="55"/>
  <c r="ADA181" i="55" s="1"/>
  <c r="ACA181" i="55"/>
  <c r="ACZ181" i="55" s="1"/>
  <c r="ABZ181" i="55"/>
  <c r="ACY181" i="55" s="1"/>
  <c r="ABY181" i="55"/>
  <c r="ACX181" i="55" s="1"/>
  <c r="ABX181" i="55"/>
  <c r="ACW181" i="55" s="1"/>
  <c r="ABW181" i="55"/>
  <c r="ACV181" i="55" s="1"/>
  <c r="ABV181" i="55"/>
  <c r="ACU181" i="55" s="1"/>
  <c r="ABU181" i="55"/>
  <c r="ACT181" i="55" s="1"/>
  <c r="ABT181" i="55"/>
  <c r="ACS181" i="55" s="1"/>
  <c r="ABS181" i="55"/>
  <c r="ACR181" i="55" s="1"/>
  <c r="ABR181" i="55"/>
  <c r="ACQ181" i="55" s="1"/>
  <c r="ABQ181" i="55"/>
  <c r="ACP181" i="55" s="1"/>
  <c r="ABP181" i="55"/>
  <c r="ACO181" i="55" s="1"/>
  <c r="ABO181" i="55"/>
  <c r="ACN181" i="55" s="1"/>
  <c r="ABN181" i="55"/>
  <c r="ACM181" i="55" s="1"/>
  <c r="ABM181" i="55"/>
  <c r="ACL181" i="55" s="1"/>
  <c r="ABL181" i="55"/>
  <c r="ACK181" i="55" s="1"/>
  <c r="ABK181" i="55"/>
  <c r="ACJ181" i="55" s="1"/>
  <c r="ABJ181" i="55"/>
  <c r="ACI181" i="55" s="1"/>
  <c r="ABI181" i="55"/>
  <c r="ACH181" i="55" s="1"/>
  <c r="ABH181" i="55"/>
  <c r="ACG181" i="55" s="1"/>
  <c r="ABG181" i="55"/>
  <c r="ACF181" i="55" s="1"/>
  <c r="ACD180" i="55"/>
  <c r="ADC180" i="55" s="1"/>
  <c r="ACC180" i="55"/>
  <c r="ADB180" i="55" s="1"/>
  <c r="ACB180" i="55"/>
  <c r="ADA180" i="55" s="1"/>
  <c r="ACA180" i="55"/>
  <c r="ACZ180" i="55" s="1"/>
  <c r="ABZ180" i="55"/>
  <c r="ACY180" i="55" s="1"/>
  <c r="ABY180" i="55"/>
  <c r="ACX180" i="55" s="1"/>
  <c r="ABX180" i="55"/>
  <c r="ACW180" i="55" s="1"/>
  <c r="ABW180" i="55"/>
  <c r="ACV180" i="55" s="1"/>
  <c r="ABV180" i="55"/>
  <c r="ACU180" i="55" s="1"/>
  <c r="ABU180" i="55"/>
  <c r="ACT180" i="55" s="1"/>
  <c r="ABT180" i="55"/>
  <c r="ACS180" i="55" s="1"/>
  <c r="ABS180" i="55"/>
  <c r="ACR180" i="55" s="1"/>
  <c r="ABR180" i="55"/>
  <c r="ACQ180" i="55" s="1"/>
  <c r="ABQ180" i="55"/>
  <c r="ACP180" i="55" s="1"/>
  <c r="ABP180" i="55"/>
  <c r="ACO180" i="55" s="1"/>
  <c r="ABO180" i="55"/>
  <c r="ACN180" i="55" s="1"/>
  <c r="ABN180" i="55"/>
  <c r="ACM180" i="55" s="1"/>
  <c r="ABM180" i="55"/>
  <c r="ACL180" i="55" s="1"/>
  <c r="ABL180" i="55"/>
  <c r="ACK180" i="55" s="1"/>
  <c r="ABK180" i="55"/>
  <c r="ACJ180" i="55" s="1"/>
  <c r="ABJ180" i="55"/>
  <c r="ACI180" i="55" s="1"/>
  <c r="ABI180" i="55"/>
  <c r="ACH180" i="55" s="1"/>
  <c r="ABH180" i="55"/>
  <c r="ACG180" i="55" s="1"/>
  <c r="ABG180" i="55"/>
  <c r="ACF180" i="55" s="1"/>
  <c r="ACD179" i="55"/>
  <c r="ADC179" i="55" s="1"/>
  <c r="ACC179" i="55"/>
  <c r="ADB179" i="55" s="1"/>
  <c r="ACB179" i="55"/>
  <c r="ADA179" i="55" s="1"/>
  <c r="ACA179" i="55"/>
  <c r="ACZ179" i="55" s="1"/>
  <c r="ABZ179" i="55"/>
  <c r="ACY179" i="55" s="1"/>
  <c r="ABY179" i="55"/>
  <c r="ACX179" i="55" s="1"/>
  <c r="ABX179" i="55"/>
  <c r="ACW179" i="55" s="1"/>
  <c r="ABW179" i="55"/>
  <c r="ACV179" i="55" s="1"/>
  <c r="ABV179" i="55"/>
  <c r="ACU179" i="55" s="1"/>
  <c r="ABU179" i="55"/>
  <c r="ACT179" i="55" s="1"/>
  <c r="ABT179" i="55"/>
  <c r="ACS179" i="55" s="1"/>
  <c r="ABS179" i="55"/>
  <c r="ACR179" i="55" s="1"/>
  <c r="ABR179" i="55"/>
  <c r="ACQ179" i="55" s="1"/>
  <c r="ABQ179" i="55"/>
  <c r="ACP179" i="55" s="1"/>
  <c r="ABP179" i="55"/>
  <c r="ACO179" i="55" s="1"/>
  <c r="ABO179" i="55"/>
  <c r="ACN179" i="55" s="1"/>
  <c r="ABN179" i="55"/>
  <c r="ACM179" i="55" s="1"/>
  <c r="ABM179" i="55"/>
  <c r="ACL179" i="55" s="1"/>
  <c r="ABL179" i="55"/>
  <c r="ACK179" i="55" s="1"/>
  <c r="ABK179" i="55"/>
  <c r="ACJ179" i="55" s="1"/>
  <c r="ABJ179" i="55"/>
  <c r="ACI179" i="55" s="1"/>
  <c r="ABI179" i="55"/>
  <c r="ACH179" i="55" s="1"/>
  <c r="ABH179" i="55"/>
  <c r="ACG179" i="55" s="1"/>
  <c r="ABG179" i="55"/>
  <c r="ACF179" i="55" s="1"/>
  <c r="ACD178" i="55"/>
  <c r="ADC178" i="55" s="1"/>
  <c r="ACC178" i="55"/>
  <c r="ADB178" i="55" s="1"/>
  <c r="ACB178" i="55"/>
  <c r="ADA178" i="55" s="1"/>
  <c r="ACA178" i="55"/>
  <c r="ACZ178" i="55" s="1"/>
  <c r="ABZ178" i="55"/>
  <c r="ACY178" i="55" s="1"/>
  <c r="ABY178" i="55"/>
  <c r="ACX178" i="55" s="1"/>
  <c r="ABX178" i="55"/>
  <c r="ACW178" i="55" s="1"/>
  <c r="ABW178" i="55"/>
  <c r="ACV178" i="55" s="1"/>
  <c r="ABV178" i="55"/>
  <c r="ACU178" i="55" s="1"/>
  <c r="ABU178" i="55"/>
  <c r="ACT178" i="55" s="1"/>
  <c r="ABT178" i="55"/>
  <c r="ACS178" i="55" s="1"/>
  <c r="ABS178" i="55"/>
  <c r="ACR178" i="55" s="1"/>
  <c r="ABR178" i="55"/>
  <c r="ACQ178" i="55" s="1"/>
  <c r="ABQ178" i="55"/>
  <c r="ACP178" i="55" s="1"/>
  <c r="ABP178" i="55"/>
  <c r="ACO178" i="55" s="1"/>
  <c r="ABO178" i="55"/>
  <c r="ACN178" i="55" s="1"/>
  <c r="ABN178" i="55"/>
  <c r="ACM178" i="55" s="1"/>
  <c r="ABM178" i="55"/>
  <c r="ACL178" i="55" s="1"/>
  <c r="ABL178" i="55"/>
  <c r="ACK178" i="55" s="1"/>
  <c r="ABK178" i="55"/>
  <c r="ACJ178" i="55" s="1"/>
  <c r="ABJ178" i="55"/>
  <c r="ACI178" i="55" s="1"/>
  <c r="ABI178" i="55"/>
  <c r="ACH178" i="55" s="1"/>
  <c r="ABH178" i="55"/>
  <c r="ACG178" i="55" s="1"/>
  <c r="ABG178" i="55"/>
  <c r="ACF178" i="55" s="1"/>
  <c r="ACD177" i="55"/>
  <c r="ADC177" i="55" s="1"/>
  <c r="ACC177" i="55"/>
  <c r="ADB177" i="55" s="1"/>
  <c r="ACB177" i="55"/>
  <c r="ADA177" i="55" s="1"/>
  <c r="ACA177" i="55"/>
  <c r="ACZ177" i="55" s="1"/>
  <c r="ABZ177" i="55"/>
  <c r="ACY177" i="55" s="1"/>
  <c r="ABY177" i="55"/>
  <c r="ACX177" i="55" s="1"/>
  <c r="ABX177" i="55"/>
  <c r="ACW177" i="55" s="1"/>
  <c r="ABW177" i="55"/>
  <c r="ACV177" i="55" s="1"/>
  <c r="ABV177" i="55"/>
  <c r="ACU177" i="55" s="1"/>
  <c r="ABU177" i="55"/>
  <c r="ACT177" i="55" s="1"/>
  <c r="ABT177" i="55"/>
  <c r="ACS177" i="55" s="1"/>
  <c r="ABS177" i="55"/>
  <c r="ACR177" i="55" s="1"/>
  <c r="ABR177" i="55"/>
  <c r="ACQ177" i="55" s="1"/>
  <c r="ABQ177" i="55"/>
  <c r="ACP177" i="55" s="1"/>
  <c r="ABP177" i="55"/>
  <c r="ACO177" i="55" s="1"/>
  <c r="ABO177" i="55"/>
  <c r="ACN177" i="55" s="1"/>
  <c r="ABN177" i="55"/>
  <c r="ACM177" i="55" s="1"/>
  <c r="ABM177" i="55"/>
  <c r="ACL177" i="55" s="1"/>
  <c r="ABL177" i="55"/>
  <c r="ACK177" i="55" s="1"/>
  <c r="ABK177" i="55"/>
  <c r="ACJ177" i="55" s="1"/>
  <c r="ABJ177" i="55"/>
  <c r="ACI177" i="55" s="1"/>
  <c r="ABI177" i="55"/>
  <c r="ACH177" i="55" s="1"/>
  <c r="ABH177" i="55"/>
  <c r="ACG177" i="55" s="1"/>
  <c r="ABG177" i="55"/>
  <c r="ACF177" i="55" s="1"/>
  <c r="ACD176" i="55"/>
  <c r="ADC176" i="55" s="1"/>
  <c r="ACC176" i="55"/>
  <c r="ADB176" i="55" s="1"/>
  <c r="ACB176" i="55"/>
  <c r="ADA176" i="55" s="1"/>
  <c r="ACA176" i="55"/>
  <c r="ACZ176" i="55" s="1"/>
  <c r="ABZ176" i="55"/>
  <c r="ACY176" i="55" s="1"/>
  <c r="ABY176" i="55"/>
  <c r="ACX176" i="55" s="1"/>
  <c r="ABX176" i="55"/>
  <c r="ACW176" i="55" s="1"/>
  <c r="ABW176" i="55"/>
  <c r="ACV176" i="55" s="1"/>
  <c r="ABV176" i="55"/>
  <c r="ACU176" i="55" s="1"/>
  <c r="ABU176" i="55"/>
  <c r="ACT176" i="55" s="1"/>
  <c r="ABT176" i="55"/>
  <c r="ACS176" i="55" s="1"/>
  <c r="ABS176" i="55"/>
  <c r="ACR176" i="55" s="1"/>
  <c r="ABR176" i="55"/>
  <c r="ACQ176" i="55" s="1"/>
  <c r="ABQ176" i="55"/>
  <c r="ACP176" i="55" s="1"/>
  <c r="ABP176" i="55"/>
  <c r="ACO176" i="55" s="1"/>
  <c r="ABO176" i="55"/>
  <c r="ACN176" i="55" s="1"/>
  <c r="ABN176" i="55"/>
  <c r="ACM176" i="55" s="1"/>
  <c r="ABM176" i="55"/>
  <c r="ACL176" i="55" s="1"/>
  <c r="ABL176" i="55"/>
  <c r="ACK176" i="55" s="1"/>
  <c r="ABK176" i="55"/>
  <c r="ACJ176" i="55" s="1"/>
  <c r="ABJ176" i="55"/>
  <c r="ACI176" i="55" s="1"/>
  <c r="ABI176" i="55"/>
  <c r="ACH176" i="55" s="1"/>
  <c r="ABH176" i="55"/>
  <c r="ACG176" i="55" s="1"/>
  <c r="ABG176" i="55"/>
  <c r="ACF176" i="55" s="1"/>
  <c r="ACD175" i="55"/>
  <c r="ADC175" i="55" s="1"/>
  <c r="ACC175" i="55"/>
  <c r="ADB175" i="55" s="1"/>
  <c r="ACB175" i="55"/>
  <c r="ADA175" i="55" s="1"/>
  <c r="ACA175" i="55"/>
  <c r="ACZ175" i="55" s="1"/>
  <c r="ABZ175" i="55"/>
  <c r="ACY175" i="55" s="1"/>
  <c r="ABY175" i="55"/>
  <c r="ACX175" i="55" s="1"/>
  <c r="ABX175" i="55"/>
  <c r="ACW175" i="55" s="1"/>
  <c r="ABW175" i="55"/>
  <c r="ACV175" i="55" s="1"/>
  <c r="ABV175" i="55"/>
  <c r="ACU175" i="55" s="1"/>
  <c r="ABU175" i="55"/>
  <c r="ACT175" i="55" s="1"/>
  <c r="ABT175" i="55"/>
  <c r="ACS175" i="55" s="1"/>
  <c r="ABS175" i="55"/>
  <c r="ACR175" i="55" s="1"/>
  <c r="ABR175" i="55"/>
  <c r="ACQ175" i="55" s="1"/>
  <c r="ABQ175" i="55"/>
  <c r="ACP175" i="55" s="1"/>
  <c r="ABP175" i="55"/>
  <c r="ACO175" i="55" s="1"/>
  <c r="ABO175" i="55"/>
  <c r="ACN175" i="55" s="1"/>
  <c r="ABN175" i="55"/>
  <c r="ACM175" i="55" s="1"/>
  <c r="ABM175" i="55"/>
  <c r="ACL175" i="55" s="1"/>
  <c r="ABL175" i="55"/>
  <c r="ACK175" i="55" s="1"/>
  <c r="ABK175" i="55"/>
  <c r="ACJ175" i="55" s="1"/>
  <c r="ABJ175" i="55"/>
  <c r="ACI175" i="55" s="1"/>
  <c r="ABI175" i="55"/>
  <c r="ACH175" i="55" s="1"/>
  <c r="ABH175" i="55"/>
  <c r="ACG175" i="55" s="1"/>
  <c r="ABG175" i="55"/>
  <c r="ACF175" i="55" s="1"/>
  <c r="ACD174" i="55"/>
  <c r="ADC174" i="55" s="1"/>
  <c r="ACC174" i="55"/>
  <c r="ADB174" i="55" s="1"/>
  <c r="ACB174" i="55"/>
  <c r="ADA174" i="55" s="1"/>
  <c r="ACA174" i="55"/>
  <c r="ACZ174" i="55" s="1"/>
  <c r="ABZ174" i="55"/>
  <c r="ACY174" i="55" s="1"/>
  <c r="ABY174" i="55"/>
  <c r="ACX174" i="55" s="1"/>
  <c r="ABX174" i="55"/>
  <c r="ACW174" i="55" s="1"/>
  <c r="ABW174" i="55"/>
  <c r="ACV174" i="55" s="1"/>
  <c r="ABV174" i="55"/>
  <c r="ACU174" i="55" s="1"/>
  <c r="ABU174" i="55"/>
  <c r="ACT174" i="55" s="1"/>
  <c r="ABT174" i="55"/>
  <c r="ACS174" i="55" s="1"/>
  <c r="ABS174" i="55"/>
  <c r="ACR174" i="55" s="1"/>
  <c r="ABR174" i="55"/>
  <c r="ACQ174" i="55" s="1"/>
  <c r="ABQ174" i="55"/>
  <c r="ACP174" i="55" s="1"/>
  <c r="ABP174" i="55"/>
  <c r="ACO174" i="55" s="1"/>
  <c r="ABO174" i="55"/>
  <c r="ACN174" i="55" s="1"/>
  <c r="ABN174" i="55"/>
  <c r="ACM174" i="55" s="1"/>
  <c r="ABM174" i="55"/>
  <c r="ACL174" i="55" s="1"/>
  <c r="ABL174" i="55"/>
  <c r="ACK174" i="55" s="1"/>
  <c r="ABK174" i="55"/>
  <c r="ACJ174" i="55" s="1"/>
  <c r="ABJ174" i="55"/>
  <c r="ACI174" i="55" s="1"/>
  <c r="ABI174" i="55"/>
  <c r="ACH174" i="55" s="1"/>
  <c r="ABH174" i="55"/>
  <c r="ACG174" i="55" s="1"/>
  <c r="ABG174" i="55"/>
  <c r="ACF174" i="55" s="1"/>
  <c r="ACD173" i="55"/>
  <c r="ADC173" i="55" s="1"/>
  <c r="ACC173" i="55"/>
  <c r="ADB173" i="55" s="1"/>
  <c r="ACB173" i="55"/>
  <c r="ADA173" i="55" s="1"/>
  <c r="ACA173" i="55"/>
  <c r="ACZ173" i="55" s="1"/>
  <c r="ABZ173" i="55"/>
  <c r="ACY173" i="55" s="1"/>
  <c r="ABY173" i="55"/>
  <c r="ACX173" i="55" s="1"/>
  <c r="ABX173" i="55"/>
  <c r="ACW173" i="55" s="1"/>
  <c r="ABW173" i="55"/>
  <c r="ACV173" i="55" s="1"/>
  <c r="ABV173" i="55"/>
  <c r="ACU173" i="55" s="1"/>
  <c r="ABU173" i="55"/>
  <c r="ACT173" i="55" s="1"/>
  <c r="ABT173" i="55"/>
  <c r="ACS173" i="55" s="1"/>
  <c r="ABS173" i="55"/>
  <c r="ACR173" i="55" s="1"/>
  <c r="ABR173" i="55"/>
  <c r="ACQ173" i="55" s="1"/>
  <c r="ABQ173" i="55"/>
  <c r="ACP173" i="55" s="1"/>
  <c r="ABP173" i="55"/>
  <c r="ACO173" i="55" s="1"/>
  <c r="ABO173" i="55"/>
  <c r="ACN173" i="55" s="1"/>
  <c r="ABN173" i="55"/>
  <c r="ACM173" i="55" s="1"/>
  <c r="ABM173" i="55"/>
  <c r="ACL173" i="55" s="1"/>
  <c r="ABL173" i="55"/>
  <c r="ACK173" i="55" s="1"/>
  <c r="ABK173" i="55"/>
  <c r="ACJ173" i="55" s="1"/>
  <c r="ABJ173" i="55"/>
  <c r="ACI173" i="55" s="1"/>
  <c r="ABI173" i="55"/>
  <c r="ACH173" i="55" s="1"/>
  <c r="ABH173" i="55"/>
  <c r="ACG173" i="55" s="1"/>
  <c r="ABG173" i="55"/>
  <c r="ACF173" i="55" s="1"/>
  <c r="ACD172" i="55"/>
  <c r="ADC172" i="55" s="1"/>
  <c r="ACC172" i="55"/>
  <c r="ADB172" i="55" s="1"/>
  <c r="ACB172" i="55"/>
  <c r="ADA172" i="55" s="1"/>
  <c r="ACA172" i="55"/>
  <c r="ACZ172" i="55" s="1"/>
  <c r="ABZ172" i="55"/>
  <c r="ACY172" i="55" s="1"/>
  <c r="ABY172" i="55"/>
  <c r="ACX172" i="55" s="1"/>
  <c r="ABX172" i="55"/>
  <c r="ACW172" i="55" s="1"/>
  <c r="ABW172" i="55"/>
  <c r="ACV172" i="55" s="1"/>
  <c r="ABV172" i="55"/>
  <c r="ACU172" i="55" s="1"/>
  <c r="ABU172" i="55"/>
  <c r="ACT172" i="55" s="1"/>
  <c r="ABT172" i="55"/>
  <c r="ACS172" i="55" s="1"/>
  <c r="ABS172" i="55"/>
  <c r="ACR172" i="55" s="1"/>
  <c r="ABR172" i="55"/>
  <c r="ACQ172" i="55" s="1"/>
  <c r="ABQ172" i="55"/>
  <c r="ACP172" i="55" s="1"/>
  <c r="ABP172" i="55"/>
  <c r="ACO172" i="55" s="1"/>
  <c r="ABO172" i="55"/>
  <c r="ACN172" i="55" s="1"/>
  <c r="ABN172" i="55"/>
  <c r="ACM172" i="55" s="1"/>
  <c r="ABM172" i="55"/>
  <c r="ACL172" i="55" s="1"/>
  <c r="ABL172" i="55"/>
  <c r="ACK172" i="55" s="1"/>
  <c r="ABK172" i="55"/>
  <c r="ACJ172" i="55" s="1"/>
  <c r="ABJ172" i="55"/>
  <c r="ACI172" i="55" s="1"/>
  <c r="ABI172" i="55"/>
  <c r="ACH172" i="55" s="1"/>
  <c r="ABH172" i="55"/>
  <c r="ACG172" i="55" s="1"/>
  <c r="ABG172" i="55"/>
  <c r="ACF172" i="55" s="1"/>
  <c r="ACD171" i="55"/>
  <c r="ADC171" i="55" s="1"/>
  <c r="ACC171" i="55"/>
  <c r="ADB171" i="55" s="1"/>
  <c r="ACB171" i="55"/>
  <c r="ADA171" i="55" s="1"/>
  <c r="ACA171" i="55"/>
  <c r="ACZ171" i="55" s="1"/>
  <c r="ABZ171" i="55"/>
  <c r="ACY171" i="55" s="1"/>
  <c r="ABY171" i="55"/>
  <c r="ACX171" i="55" s="1"/>
  <c r="ABX171" i="55"/>
  <c r="ACW171" i="55" s="1"/>
  <c r="ABW171" i="55"/>
  <c r="ACV171" i="55" s="1"/>
  <c r="ABV171" i="55"/>
  <c r="ACU171" i="55" s="1"/>
  <c r="ABU171" i="55"/>
  <c r="ACT171" i="55" s="1"/>
  <c r="ABT171" i="55"/>
  <c r="ACS171" i="55" s="1"/>
  <c r="ABS171" i="55"/>
  <c r="ACR171" i="55" s="1"/>
  <c r="ABR171" i="55"/>
  <c r="ACQ171" i="55" s="1"/>
  <c r="ABQ171" i="55"/>
  <c r="ACP171" i="55" s="1"/>
  <c r="ABP171" i="55"/>
  <c r="ACO171" i="55" s="1"/>
  <c r="ABO171" i="55"/>
  <c r="ACN171" i="55" s="1"/>
  <c r="ABN171" i="55"/>
  <c r="ACM171" i="55" s="1"/>
  <c r="ABM171" i="55"/>
  <c r="ACL171" i="55" s="1"/>
  <c r="ABL171" i="55"/>
  <c r="ACK171" i="55" s="1"/>
  <c r="ABK171" i="55"/>
  <c r="ACJ171" i="55" s="1"/>
  <c r="ABJ171" i="55"/>
  <c r="ACI171" i="55" s="1"/>
  <c r="ABI171" i="55"/>
  <c r="ACH171" i="55" s="1"/>
  <c r="ABH171" i="55"/>
  <c r="ACG171" i="55" s="1"/>
  <c r="ABG171" i="55"/>
  <c r="ACF171" i="55" s="1"/>
  <c r="ACD170" i="55"/>
  <c r="ADC170" i="55" s="1"/>
  <c r="ACC170" i="55"/>
  <c r="ADB170" i="55" s="1"/>
  <c r="ACB170" i="55"/>
  <c r="ADA170" i="55" s="1"/>
  <c r="ACA170" i="55"/>
  <c r="ACZ170" i="55" s="1"/>
  <c r="ABZ170" i="55"/>
  <c r="ACY170" i="55" s="1"/>
  <c r="ABY170" i="55"/>
  <c r="ACX170" i="55" s="1"/>
  <c r="ABX170" i="55"/>
  <c r="ACW170" i="55" s="1"/>
  <c r="ABW170" i="55"/>
  <c r="ACV170" i="55" s="1"/>
  <c r="ABV170" i="55"/>
  <c r="ACU170" i="55" s="1"/>
  <c r="ABU170" i="55"/>
  <c r="ACT170" i="55" s="1"/>
  <c r="ABT170" i="55"/>
  <c r="ACS170" i="55" s="1"/>
  <c r="ABS170" i="55"/>
  <c r="ACR170" i="55" s="1"/>
  <c r="ABR170" i="55"/>
  <c r="ACQ170" i="55" s="1"/>
  <c r="ABQ170" i="55"/>
  <c r="ACP170" i="55" s="1"/>
  <c r="ABP170" i="55"/>
  <c r="ACO170" i="55" s="1"/>
  <c r="ABO170" i="55"/>
  <c r="ACN170" i="55" s="1"/>
  <c r="ABN170" i="55"/>
  <c r="ACM170" i="55" s="1"/>
  <c r="ABM170" i="55"/>
  <c r="ACL170" i="55" s="1"/>
  <c r="ABL170" i="55"/>
  <c r="ACK170" i="55" s="1"/>
  <c r="ABK170" i="55"/>
  <c r="ACJ170" i="55" s="1"/>
  <c r="ABJ170" i="55"/>
  <c r="ACI170" i="55" s="1"/>
  <c r="ABI170" i="55"/>
  <c r="ACH170" i="55" s="1"/>
  <c r="ABH170" i="55"/>
  <c r="ACG170" i="55" s="1"/>
  <c r="ABG170" i="55"/>
  <c r="ACF170" i="55" s="1"/>
  <c r="ACD169" i="55"/>
  <c r="ADC169" i="55" s="1"/>
  <c r="ACC169" i="55"/>
  <c r="ADB169" i="55" s="1"/>
  <c r="ACB169" i="55"/>
  <c r="ADA169" i="55" s="1"/>
  <c r="ACA169" i="55"/>
  <c r="ACZ169" i="55" s="1"/>
  <c r="ABZ169" i="55"/>
  <c r="ACY169" i="55" s="1"/>
  <c r="ABY169" i="55"/>
  <c r="ACX169" i="55" s="1"/>
  <c r="ABX169" i="55"/>
  <c r="ACW169" i="55" s="1"/>
  <c r="ABW169" i="55"/>
  <c r="ACV169" i="55" s="1"/>
  <c r="ABV169" i="55"/>
  <c r="ACU169" i="55" s="1"/>
  <c r="ABU169" i="55"/>
  <c r="ACT169" i="55" s="1"/>
  <c r="ABT169" i="55"/>
  <c r="ACS169" i="55" s="1"/>
  <c r="ABS169" i="55"/>
  <c r="ACR169" i="55" s="1"/>
  <c r="ABR169" i="55"/>
  <c r="ACQ169" i="55" s="1"/>
  <c r="ABQ169" i="55"/>
  <c r="ACP169" i="55" s="1"/>
  <c r="ABP169" i="55"/>
  <c r="ACO169" i="55" s="1"/>
  <c r="ABO169" i="55"/>
  <c r="ACN169" i="55" s="1"/>
  <c r="ABN169" i="55"/>
  <c r="ACM169" i="55" s="1"/>
  <c r="ABM169" i="55"/>
  <c r="ACL169" i="55" s="1"/>
  <c r="ABL169" i="55"/>
  <c r="ACK169" i="55" s="1"/>
  <c r="ABK169" i="55"/>
  <c r="ACJ169" i="55" s="1"/>
  <c r="ABJ169" i="55"/>
  <c r="ACI169" i="55" s="1"/>
  <c r="ABI169" i="55"/>
  <c r="ACH169" i="55" s="1"/>
  <c r="ABH169" i="55"/>
  <c r="ACG169" i="55" s="1"/>
  <c r="ABG169" i="55"/>
  <c r="ACF169" i="55" s="1"/>
  <c r="ACD168" i="55"/>
  <c r="ADC168" i="55" s="1"/>
  <c r="ACC168" i="55"/>
  <c r="ADB168" i="55" s="1"/>
  <c r="ACB168" i="55"/>
  <c r="ADA168" i="55" s="1"/>
  <c r="ACA168" i="55"/>
  <c r="ACZ168" i="55" s="1"/>
  <c r="ABZ168" i="55"/>
  <c r="ACY168" i="55" s="1"/>
  <c r="ABY168" i="55"/>
  <c r="ACX168" i="55" s="1"/>
  <c r="ABX168" i="55"/>
  <c r="ACW168" i="55" s="1"/>
  <c r="ABW168" i="55"/>
  <c r="ACV168" i="55" s="1"/>
  <c r="ABV168" i="55"/>
  <c r="ACU168" i="55" s="1"/>
  <c r="ABU168" i="55"/>
  <c r="ACT168" i="55" s="1"/>
  <c r="ABT168" i="55"/>
  <c r="ACS168" i="55" s="1"/>
  <c r="ABS168" i="55"/>
  <c r="ACR168" i="55" s="1"/>
  <c r="ABR168" i="55"/>
  <c r="ACQ168" i="55" s="1"/>
  <c r="ABQ168" i="55"/>
  <c r="ACP168" i="55" s="1"/>
  <c r="ABP168" i="55"/>
  <c r="ACO168" i="55" s="1"/>
  <c r="ABO168" i="55"/>
  <c r="ACN168" i="55" s="1"/>
  <c r="ABN168" i="55"/>
  <c r="ACM168" i="55" s="1"/>
  <c r="ABM168" i="55"/>
  <c r="ACL168" i="55" s="1"/>
  <c r="ABL168" i="55"/>
  <c r="ACK168" i="55" s="1"/>
  <c r="ABK168" i="55"/>
  <c r="ACJ168" i="55" s="1"/>
  <c r="ABJ168" i="55"/>
  <c r="ACI168" i="55" s="1"/>
  <c r="ABI168" i="55"/>
  <c r="ACH168" i="55" s="1"/>
  <c r="ABH168" i="55"/>
  <c r="ACG168" i="55" s="1"/>
  <c r="ABG168" i="55"/>
  <c r="ACF168" i="55" s="1"/>
  <c r="ACS167" i="55"/>
  <c r="ACD167" i="55"/>
  <c r="ADC167" i="55" s="1"/>
  <c r="ACC167" i="55"/>
  <c r="ADB167" i="55" s="1"/>
  <c r="ACB167" i="55"/>
  <c r="ADA167" i="55" s="1"/>
  <c r="ACA167" i="55"/>
  <c r="ACZ167" i="55" s="1"/>
  <c r="ABZ167" i="55"/>
  <c r="ACY167" i="55" s="1"/>
  <c r="ABY167" i="55"/>
  <c r="ACX167" i="55" s="1"/>
  <c r="ABX167" i="55"/>
  <c r="ACW167" i="55" s="1"/>
  <c r="ABW167" i="55"/>
  <c r="ACV167" i="55" s="1"/>
  <c r="ABV167" i="55"/>
  <c r="ACU167" i="55" s="1"/>
  <c r="ABU167" i="55"/>
  <c r="ACT167" i="55" s="1"/>
  <c r="ABT167" i="55"/>
  <c r="ABS167" i="55"/>
  <c r="ACR167" i="55" s="1"/>
  <c r="ABR167" i="55"/>
  <c r="ACQ167" i="55" s="1"/>
  <c r="ABQ167" i="55"/>
  <c r="ACP167" i="55" s="1"/>
  <c r="ABP167" i="55"/>
  <c r="ACO167" i="55" s="1"/>
  <c r="ABO167" i="55"/>
  <c r="ACN167" i="55" s="1"/>
  <c r="ABN167" i="55"/>
  <c r="ACM167" i="55" s="1"/>
  <c r="ABM167" i="55"/>
  <c r="ACL167" i="55" s="1"/>
  <c r="ABL167" i="55"/>
  <c r="ACK167" i="55" s="1"/>
  <c r="ABK167" i="55"/>
  <c r="ACJ167" i="55" s="1"/>
  <c r="ABJ167" i="55"/>
  <c r="ACI167" i="55" s="1"/>
  <c r="ABI167" i="55"/>
  <c r="ACH167" i="55" s="1"/>
  <c r="ABH167" i="55"/>
  <c r="ACG167" i="55" s="1"/>
  <c r="ABG167" i="55"/>
  <c r="ACF167" i="55" s="1"/>
  <c r="ACS166" i="55"/>
  <c r="ACQ166" i="55"/>
  <c r="ACD166" i="55"/>
  <c r="ADC166" i="55" s="1"/>
  <c r="ACC166" i="55"/>
  <c r="ADB166" i="55" s="1"/>
  <c r="ACB166" i="55"/>
  <c r="ADA166" i="55" s="1"/>
  <c r="ACA166" i="55"/>
  <c r="ACZ166" i="55" s="1"/>
  <c r="ABZ166" i="55"/>
  <c r="ACY166" i="55" s="1"/>
  <c r="ABY166" i="55"/>
  <c r="ACX166" i="55" s="1"/>
  <c r="ABX166" i="55"/>
  <c r="ACW166" i="55" s="1"/>
  <c r="ABW166" i="55"/>
  <c r="ACV166" i="55" s="1"/>
  <c r="ABV166" i="55"/>
  <c r="ACU166" i="55" s="1"/>
  <c r="ABU166" i="55"/>
  <c r="ACT166" i="55" s="1"/>
  <c r="ABT166" i="55"/>
  <c r="ABS166" i="55"/>
  <c r="ACR166" i="55" s="1"/>
  <c r="ABR166" i="55"/>
  <c r="ABQ166" i="55"/>
  <c r="ACP166" i="55" s="1"/>
  <c r="ABP166" i="55"/>
  <c r="ACO166" i="55" s="1"/>
  <c r="ABO166" i="55"/>
  <c r="ACN166" i="55" s="1"/>
  <c r="ABN166" i="55"/>
  <c r="ACM166" i="55" s="1"/>
  <c r="ABM166" i="55"/>
  <c r="ACL166" i="55" s="1"/>
  <c r="ABL166" i="55"/>
  <c r="ACK166" i="55" s="1"/>
  <c r="ABK166" i="55"/>
  <c r="ACJ166" i="55" s="1"/>
  <c r="ABJ166" i="55"/>
  <c r="ACI166" i="55" s="1"/>
  <c r="ABI166" i="55"/>
  <c r="ACH166" i="55" s="1"/>
  <c r="ABH166" i="55"/>
  <c r="ACG166" i="55" s="1"/>
  <c r="ABG166" i="55"/>
  <c r="ACF166" i="55" s="1"/>
  <c r="ADB165" i="55"/>
  <c r="ACS165" i="55"/>
  <c r="ACQ165" i="55"/>
  <c r="ACM165" i="55"/>
  <c r="ACD165" i="55"/>
  <c r="ADC165" i="55" s="1"/>
  <c r="ACC165" i="55"/>
  <c r="ACB165" i="55"/>
  <c r="ADA165" i="55" s="1"/>
  <c r="ACA165" i="55"/>
  <c r="ACZ165" i="55" s="1"/>
  <c r="ABZ165" i="55"/>
  <c r="ACY165" i="55" s="1"/>
  <c r="ABY165" i="55"/>
  <c r="ACX165" i="55" s="1"/>
  <c r="ABX165" i="55"/>
  <c r="ACW165" i="55" s="1"/>
  <c r="ABW165" i="55"/>
  <c r="ACV165" i="55" s="1"/>
  <c r="ABV165" i="55"/>
  <c r="ACU165" i="55" s="1"/>
  <c r="ABU165" i="55"/>
  <c r="ACT165" i="55" s="1"/>
  <c r="ABT165" i="55"/>
  <c r="ABS165" i="55"/>
  <c r="ACR165" i="55" s="1"/>
  <c r="ABR165" i="55"/>
  <c r="ABQ165" i="55"/>
  <c r="ACP165" i="55" s="1"/>
  <c r="ABP165" i="55"/>
  <c r="ACO165" i="55" s="1"/>
  <c r="ABO165" i="55"/>
  <c r="ACN165" i="55" s="1"/>
  <c r="ABN165" i="55"/>
  <c r="ABM165" i="55"/>
  <c r="ACL165" i="55" s="1"/>
  <c r="ABL165" i="55"/>
  <c r="ACK165" i="55" s="1"/>
  <c r="ABK165" i="55"/>
  <c r="ACJ165" i="55" s="1"/>
  <c r="ABJ165" i="55"/>
  <c r="ACI165" i="55" s="1"/>
  <c r="ABI165" i="55"/>
  <c r="ACH165" i="55" s="1"/>
  <c r="ABH165" i="55"/>
  <c r="ACG165" i="55" s="1"/>
  <c r="ABG165" i="55"/>
  <c r="ACF165" i="55" s="1"/>
  <c r="ADC164" i="55"/>
  <c r="ACS164" i="55"/>
  <c r="ACQ164" i="55"/>
  <c r="ACM164" i="55"/>
  <c r="ACD164" i="55"/>
  <c r="ACC164" i="55"/>
  <c r="ADB164" i="55" s="1"/>
  <c r="ACB164" i="55"/>
  <c r="ADA164" i="55" s="1"/>
  <c r="ACA164" i="55"/>
  <c r="ACZ164" i="55" s="1"/>
  <c r="ABZ164" i="55"/>
  <c r="ACY164" i="55" s="1"/>
  <c r="ABY164" i="55"/>
  <c r="ACX164" i="55" s="1"/>
  <c r="ABX164" i="55"/>
  <c r="ACW164" i="55" s="1"/>
  <c r="ABW164" i="55"/>
  <c r="ACV164" i="55" s="1"/>
  <c r="ABV164" i="55"/>
  <c r="ACU164" i="55" s="1"/>
  <c r="ABU164" i="55"/>
  <c r="ACT164" i="55" s="1"/>
  <c r="ABT164" i="55"/>
  <c r="ABS164" i="55"/>
  <c r="ACR164" i="55" s="1"/>
  <c r="ABR164" i="55"/>
  <c r="ABQ164" i="55"/>
  <c r="ACP164" i="55" s="1"/>
  <c r="ABP164" i="55"/>
  <c r="ACO164" i="55" s="1"/>
  <c r="ABO164" i="55"/>
  <c r="ACN164" i="55" s="1"/>
  <c r="ABN164" i="55"/>
  <c r="ABM164" i="55"/>
  <c r="ACL164" i="55" s="1"/>
  <c r="ABL164" i="55"/>
  <c r="ACK164" i="55" s="1"/>
  <c r="ABK164" i="55"/>
  <c r="ACJ164" i="55" s="1"/>
  <c r="ABJ164" i="55"/>
  <c r="ACI164" i="55" s="1"/>
  <c r="ABI164" i="55"/>
  <c r="ACH164" i="55" s="1"/>
  <c r="ABH164" i="55"/>
  <c r="ACG164" i="55" s="1"/>
  <c r="ABG164" i="55"/>
  <c r="ACF164" i="55" s="1"/>
  <c r="ACY163" i="55"/>
  <c r="ACX163" i="55"/>
  <c r="ACS163" i="55"/>
  <c r="ACQ163" i="55"/>
  <c r="ACM163" i="55"/>
  <c r="ACD163" i="55"/>
  <c r="ADC163" i="55" s="1"/>
  <c r="ACC163" i="55"/>
  <c r="ADB163" i="55" s="1"/>
  <c r="ACB163" i="55"/>
  <c r="ADA163" i="55" s="1"/>
  <c r="ACA163" i="55"/>
  <c r="ACZ163" i="55" s="1"/>
  <c r="ABZ163" i="55"/>
  <c r="ABY163" i="55"/>
  <c r="ABX163" i="55"/>
  <c r="ACW163" i="55" s="1"/>
  <c r="ABW163" i="55"/>
  <c r="ACV163" i="55" s="1"/>
  <c r="ABV163" i="55"/>
  <c r="ACU163" i="55" s="1"/>
  <c r="ABU163" i="55"/>
  <c r="ACT163" i="55" s="1"/>
  <c r="ABT163" i="55"/>
  <c r="ABS163" i="55"/>
  <c r="ACR163" i="55" s="1"/>
  <c r="ABR163" i="55"/>
  <c r="ABQ163" i="55"/>
  <c r="ACP163" i="55" s="1"/>
  <c r="ABP163" i="55"/>
  <c r="ACO163" i="55" s="1"/>
  <c r="ABO163" i="55"/>
  <c r="ACN163" i="55" s="1"/>
  <c r="ABN163" i="55"/>
  <c r="ABM163" i="55"/>
  <c r="ACL163" i="55" s="1"/>
  <c r="ABL163" i="55"/>
  <c r="ACK163" i="55" s="1"/>
  <c r="ABK163" i="55"/>
  <c r="ACJ163" i="55" s="1"/>
  <c r="ABJ163" i="55"/>
  <c r="ACI163" i="55" s="1"/>
  <c r="ABI163" i="55"/>
  <c r="ACH163" i="55" s="1"/>
  <c r="ABH163" i="55"/>
  <c r="ACG163" i="55" s="1"/>
  <c r="ABG163" i="55"/>
  <c r="ACF163" i="55" s="1"/>
  <c r="ADB162" i="55"/>
  <c r="ACS162" i="55"/>
  <c r="ACQ162" i="55"/>
  <c r="ACD162" i="55"/>
  <c r="ADC162" i="55" s="1"/>
  <c r="ACC162" i="55"/>
  <c r="ACB162" i="55"/>
  <c r="ADA162" i="55" s="1"/>
  <c r="ACA162" i="55"/>
  <c r="ACZ162" i="55" s="1"/>
  <c r="ABZ162" i="55"/>
  <c r="ACY162" i="55" s="1"/>
  <c r="ABY162" i="55"/>
  <c r="ACX162" i="55" s="1"/>
  <c r="ABX162" i="55"/>
  <c r="ACW162" i="55" s="1"/>
  <c r="ABW162" i="55"/>
  <c r="ACV162" i="55" s="1"/>
  <c r="ABV162" i="55"/>
  <c r="ACU162" i="55" s="1"/>
  <c r="ABU162" i="55"/>
  <c r="ACT162" i="55" s="1"/>
  <c r="ABT162" i="55"/>
  <c r="ABS162" i="55"/>
  <c r="ACR162" i="55" s="1"/>
  <c r="ABR162" i="55"/>
  <c r="ABQ162" i="55"/>
  <c r="ACP162" i="55" s="1"/>
  <c r="ABP162" i="55"/>
  <c r="ACO162" i="55" s="1"/>
  <c r="ABO162" i="55"/>
  <c r="ACN162" i="55" s="1"/>
  <c r="ABN162" i="55"/>
  <c r="ACM162" i="55" s="1"/>
  <c r="ABM162" i="55"/>
  <c r="ACL162" i="55" s="1"/>
  <c r="ABL162" i="55"/>
  <c r="ACK162" i="55" s="1"/>
  <c r="ABK162" i="55"/>
  <c r="ACJ162" i="55" s="1"/>
  <c r="ABJ162" i="55"/>
  <c r="ACI162" i="55" s="1"/>
  <c r="ABI162" i="55"/>
  <c r="ACH162" i="55" s="1"/>
  <c r="ABH162" i="55"/>
  <c r="ACG162" i="55" s="1"/>
  <c r="ABG162" i="55"/>
  <c r="ACF162" i="55" s="1"/>
  <c r="ACX161" i="55"/>
  <c r="ACS161" i="55"/>
  <c r="ACM161" i="55"/>
  <c r="ACD161" i="55"/>
  <c r="ADC161" i="55" s="1"/>
  <c r="ACC161" i="55"/>
  <c r="ADB161" i="55" s="1"/>
  <c r="ACB161" i="55"/>
  <c r="ADA161" i="55" s="1"/>
  <c r="ACA161" i="55"/>
  <c r="ACZ161" i="55" s="1"/>
  <c r="ABZ161" i="55"/>
  <c r="ACY161" i="55" s="1"/>
  <c r="ABY161" i="55"/>
  <c r="ABX161" i="55"/>
  <c r="ACW161" i="55" s="1"/>
  <c r="ABW161" i="55"/>
  <c r="ACV161" i="55" s="1"/>
  <c r="ABV161" i="55"/>
  <c r="ACU161" i="55" s="1"/>
  <c r="ABU161" i="55"/>
  <c r="ACT161" i="55" s="1"/>
  <c r="ABT161" i="55"/>
  <c r="ABS161" i="55"/>
  <c r="ACR161" i="55" s="1"/>
  <c r="ABR161" i="55"/>
  <c r="ACQ161" i="55" s="1"/>
  <c r="ABQ161" i="55"/>
  <c r="ACP161" i="55" s="1"/>
  <c r="ABP161" i="55"/>
  <c r="ACO161" i="55" s="1"/>
  <c r="ABO161" i="55"/>
  <c r="ACN161" i="55" s="1"/>
  <c r="ABN161" i="55"/>
  <c r="ABM161" i="55"/>
  <c r="ACL161" i="55" s="1"/>
  <c r="ABL161" i="55"/>
  <c r="ACK161" i="55" s="1"/>
  <c r="ABK161" i="55"/>
  <c r="ACJ161" i="55" s="1"/>
  <c r="ABJ161" i="55"/>
  <c r="ACI161" i="55" s="1"/>
  <c r="ABI161" i="55"/>
  <c r="ACH161" i="55" s="1"/>
  <c r="ABH161" i="55"/>
  <c r="ACG161" i="55" s="1"/>
  <c r="ABG161" i="55"/>
  <c r="ACF161" i="55" s="1"/>
  <c r="ADB160" i="55"/>
  <c r="ACS160" i="55"/>
  <c r="ACM160" i="55"/>
  <c r="ACD160" i="55"/>
  <c r="ADC160" i="55" s="1"/>
  <c r="ACC160" i="55"/>
  <c r="ACB160" i="55"/>
  <c r="ADA160" i="55" s="1"/>
  <c r="ACA160" i="55"/>
  <c r="ACZ160" i="55" s="1"/>
  <c r="ABZ160" i="55"/>
  <c r="ACY160" i="55" s="1"/>
  <c r="ABY160" i="55"/>
  <c r="ACX160" i="55" s="1"/>
  <c r="ABX160" i="55"/>
  <c r="ACW160" i="55" s="1"/>
  <c r="ABW160" i="55"/>
  <c r="ACV160" i="55" s="1"/>
  <c r="ABV160" i="55"/>
  <c r="ACU160" i="55" s="1"/>
  <c r="ABU160" i="55"/>
  <c r="ACT160" i="55" s="1"/>
  <c r="ABT160" i="55"/>
  <c r="ABS160" i="55"/>
  <c r="ACR160" i="55" s="1"/>
  <c r="ABR160" i="55"/>
  <c r="ACQ160" i="55" s="1"/>
  <c r="ABQ160" i="55"/>
  <c r="ACP160" i="55" s="1"/>
  <c r="ABP160" i="55"/>
  <c r="ACO160" i="55" s="1"/>
  <c r="ABO160" i="55"/>
  <c r="ACN160" i="55" s="1"/>
  <c r="ABN160" i="55"/>
  <c r="ABM160" i="55"/>
  <c r="ACL160" i="55" s="1"/>
  <c r="ABL160" i="55"/>
  <c r="ACK160" i="55" s="1"/>
  <c r="ABK160" i="55"/>
  <c r="ACJ160" i="55" s="1"/>
  <c r="ABJ160" i="55"/>
  <c r="ACI160" i="55" s="1"/>
  <c r="ABI160" i="55"/>
  <c r="ACH160" i="55" s="1"/>
  <c r="ABH160" i="55"/>
  <c r="ACG160" i="55" s="1"/>
  <c r="ABG160" i="55"/>
  <c r="ACF160" i="55" s="1"/>
  <c r="ADC159" i="55"/>
  <c r="ADB159" i="55"/>
  <c r="ACT159" i="55"/>
  <c r="ACQ159" i="55"/>
  <c r="ACM159" i="55"/>
  <c r="ACD159" i="55"/>
  <c r="ACC159" i="55"/>
  <c r="ACB159" i="55"/>
  <c r="ADA159" i="55" s="1"/>
  <c r="ACA159" i="55"/>
  <c r="ACZ159" i="55" s="1"/>
  <c r="ABZ159" i="55"/>
  <c r="ACY159" i="55" s="1"/>
  <c r="ABY159" i="55"/>
  <c r="ACX159" i="55" s="1"/>
  <c r="ABX159" i="55"/>
  <c r="ACW159" i="55" s="1"/>
  <c r="ABW159" i="55"/>
  <c r="ACV159" i="55" s="1"/>
  <c r="ABV159" i="55"/>
  <c r="ACU159" i="55" s="1"/>
  <c r="ABU159" i="55"/>
  <c r="ABT159" i="55"/>
  <c r="ACS159" i="55" s="1"/>
  <c r="ABS159" i="55"/>
  <c r="ACR159" i="55" s="1"/>
  <c r="ABR159" i="55"/>
  <c r="ABQ159" i="55"/>
  <c r="ACP159" i="55" s="1"/>
  <c r="ABP159" i="55"/>
  <c r="ACO159" i="55" s="1"/>
  <c r="ABO159" i="55"/>
  <c r="ACN159" i="55" s="1"/>
  <c r="ABN159" i="55"/>
  <c r="ABM159" i="55"/>
  <c r="ACL159" i="55" s="1"/>
  <c r="ABL159" i="55"/>
  <c r="ACK159" i="55" s="1"/>
  <c r="ABK159" i="55"/>
  <c r="ACJ159" i="55" s="1"/>
  <c r="ABJ159" i="55"/>
  <c r="ACI159" i="55" s="1"/>
  <c r="ABI159" i="55"/>
  <c r="ACH159" i="55" s="1"/>
  <c r="ABH159" i="55"/>
  <c r="ACG159" i="55" s="1"/>
  <c r="ABG159" i="55"/>
  <c r="ACF159" i="55" s="1"/>
  <c r="ACS158" i="55"/>
  <c r="ACD158" i="55"/>
  <c r="ADC158" i="55" s="1"/>
  <c r="ACC158" i="55"/>
  <c r="ADB158" i="55" s="1"/>
  <c r="ACB158" i="55"/>
  <c r="ADA158" i="55" s="1"/>
  <c r="ACA158" i="55"/>
  <c r="ACZ158" i="55" s="1"/>
  <c r="ABZ158" i="55"/>
  <c r="ACY158" i="55" s="1"/>
  <c r="ABY158" i="55"/>
  <c r="ACX158" i="55" s="1"/>
  <c r="ABX158" i="55"/>
  <c r="ACW158" i="55" s="1"/>
  <c r="ABW158" i="55"/>
  <c r="ACV158" i="55" s="1"/>
  <c r="ABV158" i="55"/>
  <c r="ACU158" i="55" s="1"/>
  <c r="ABU158" i="55"/>
  <c r="ACT158" i="55" s="1"/>
  <c r="ABT158" i="55"/>
  <c r="ABS158" i="55"/>
  <c r="ACR158" i="55" s="1"/>
  <c r="ABR158" i="55"/>
  <c r="ACQ158" i="55" s="1"/>
  <c r="ABQ158" i="55"/>
  <c r="ACP158" i="55" s="1"/>
  <c r="ABP158" i="55"/>
  <c r="ACO158" i="55" s="1"/>
  <c r="ABO158" i="55"/>
  <c r="ACN158" i="55" s="1"/>
  <c r="ABN158" i="55"/>
  <c r="ACM158" i="55" s="1"/>
  <c r="ABM158" i="55"/>
  <c r="ACL158" i="55" s="1"/>
  <c r="ABL158" i="55"/>
  <c r="ACK158" i="55" s="1"/>
  <c r="ABK158" i="55"/>
  <c r="ACJ158" i="55" s="1"/>
  <c r="ABJ158" i="55"/>
  <c r="ACI158" i="55" s="1"/>
  <c r="ABI158" i="55"/>
  <c r="ACH158" i="55" s="1"/>
  <c r="ABH158" i="55"/>
  <c r="ACG158" i="55" s="1"/>
  <c r="ABG158" i="55"/>
  <c r="ACF158" i="55" s="1"/>
  <c r="ADC157" i="55"/>
  <c r="ACX157" i="55"/>
  <c r="ACT157" i="55"/>
  <c r="ACS157" i="55"/>
  <c r="ACQ157" i="55"/>
  <c r="ACD157" i="55"/>
  <c r="ACC157" i="55"/>
  <c r="ADB157" i="55" s="1"/>
  <c r="ACB157" i="55"/>
  <c r="ADA157" i="55" s="1"/>
  <c r="ACA157" i="55"/>
  <c r="ACZ157" i="55" s="1"/>
  <c r="ABZ157" i="55"/>
  <c r="ACY157" i="55" s="1"/>
  <c r="ABY157" i="55"/>
  <c r="ABX157" i="55"/>
  <c r="ACW157" i="55" s="1"/>
  <c r="ABW157" i="55"/>
  <c r="ACV157" i="55" s="1"/>
  <c r="ABV157" i="55"/>
  <c r="ACU157" i="55" s="1"/>
  <c r="ABU157" i="55"/>
  <c r="ABT157" i="55"/>
  <c r="ABS157" i="55"/>
  <c r="ACR157" i="55" s="1"/>
  <c r="ABR157" i="55"/>
  <c r="ABQ157" i="55"/>
  <c r="ACP157" i="55" s="1"/>
  <c r="ABP157" i="55"/>
  <c r="ACO157" i="55" s="1"/>
  <c r="ABO157" i="55"/>
  <c r="ACN157" i="55" s="1"/>
  <c r="ABN157" i="55"/>
  <c r="ACM157" i="55" s="1"/>
  <c r="ABM157" i="55"/>
  <c r="ACL157" i="55" s="1"/>
  <c r="ABL157" i="55"/>
  <c r="ACK157" i="55" s="1"/>
  <c r="ABK157" i="55"/>
  <c r="ACJ157" i="55" s="1"/>
  <c r="ABJ157" i="55"/>
  <c r="ACI157" i="55" s="1"/>
  <c r="ABI157" i="55"/>
  <c r="ACH157" i="55" s="1"/>
  <c r="ABH157" i="55"/>
  <c r="ACG157" i="55" s="1"/>
  <c r="ABG157" i="55"/>
  <c r="ACF157" i="55" s="1"/>
  <c r="ADB156" i="55"/>
  <c r="ACX156" i="55"/>
  <c r="ACT156" i="55"/>
  <c r="ACS156" i="55"/>
  <c r="ACL156" i="55"/>
  <c r="ACD156" i="55"/>
  <c r="ADC156" i="55" s="1"/>
  <c r="ACC156" i="55"/>
  <c r="ACB156" i="55"/>
  <c r="ADA156" i="55" s="1"/>
  <c r="ACA156" i="55"/>
  <c r="ACZ156" i="55" s="1"/>
  <c r="ABZ156" i="55"/>
  <c r="ACY156" i="55" s="1"/>
  <c r="ABY156" i="55"/>
  <c r="ABX156" i="55"/>
  <c r="ACW156" i="55" s="1"/>
  <c r="ABW156" i="55"/>
  <c r="ACV156" i="55" s="1"/>
  <c r="ABV156" i="55"/>
  <c r="ACU156" i="55" s="1"/>
  <c r="ABU156" i="55"/>
  <c r="ABT156" i="55"/>
  <c r="ABS156" i="55"/>
  <c r="ACR156" i="55" s="1"/>
  <c r="ABR156" i="55"/>
  <c r="ACQ156" i="55" s="1"/>
  <c r="ABQ156" i="55"/>
  <c r="ACP156" i="55" s="1"/>
  <c r="ABP156" i="55"/>
  <c r="ACO156" i="55" s="1"/>
  <c r="ABO156" i="55"/>
  <c r="ACN156" i="55" s="1"/>
  <c r="ABN156" i="55"/>
  <c r="ACM156" i="55" s="1"/>
  <c r="ABM156" i="55"/>
  <c r="ABL156" i="55"/>
  <c r="ACK156" i="55" s="1"/>
  <c r="ABK156" i="55"/>
  <c r="ACJ156" i="55" s="1"/>
  <c r="ABJ156" i="55"/>
  <c r="ACI156" i="55" s="1"/>
  <c r="ABI156" i="55"/>
  <c r="ACH156" i="55" s="1"/>
  <c r="ABH156" i="55"/>
  <c r="ACG156" i="55" s="1"/>
  <c r="ABG156" i="55"/>
  <c r="ACF156" i="55" s="1"/>
  <c r="ADB155" i="55"/>
  <c r="ACX155" i="55"/>
  <c r="ACP155" i="55"/>
  <c r="ACD155" i="55"/>
  <c r="ADC155" i="55" s="1"/>
  <c r="ACC155" i="55"/>
  <c r="ACB155" i="55"/>
  <c r="ADA155" i="55" s="1"/>
  <c r="ACA155" i="55"/>
  <c r="ACZ155" i="55" s="1"/>
  <c r="ABZ155" i="55"/>
  <c r="ACY155" i="55" s="1"/>
  <c r="ABY155" i="55"/>
  <c r="ABX155" i="55"/>
  <c r="ACW155" i="55" s="1"/>
  <c r="ABW155" i="55"/>
  <c r="ACV155" i="55" s="1"/>
  <c r="ABV155" i="55"/>
  <c r="ACU155" i="55" s="1"/>
  <c r="ABU155" i="55"/>
  <c r="ACT155" i="55" s="1"/>
  <c r="ABT155" i="55"/>
  <c r="ACS155" i="55" s="1"/>
  <c r="ABS155" i="55"/>
  <c r="ACR155" i="55" s="1"/>
  <c r="ABR155" i="55"/>
  <c r="ACQ155" i="55" s="1"/>
  <c r="ABQ155" i="55"/>
  <c r="ABP155" i="55"/>
  <c r="ACO155" i="55" s="1"/>
  <c r="ABO155" i="55"/>
  <c r="ACN155" i="55" s="1"/>
  <c r="ABN155" i="55"/>
  <c r="ACM155" i="55" s="1"/>
  <c r="ABM155" i="55"/>
  <c r="ACL155" i="55" s="1"/>
  <c r="ABL155" i="55"/>
  <c r="ACK155" i="55" s="1"/>
  <c r="ABK155" i="55"/>
  <c r="ACJ155" i="55" s="1"/>
  <c r="ABJ155" i="55"/>
  <c r="ACI155" i="55" s="1"/>
  <c r="ABI155" i="55"/>
  <c r="ACH155" i="55" s="1"/>
  <c r="ABH155" i="55"/>
  <c r="ACG155" i="55" s="1"/>
  <c r="ABG155" i="55"/>
  <c r="ACF155" i="55" s="1"/>
  <c r="ADC154" i="55"/>
  <c r="ADB154" i="55"/>
  <c r="ACY154" i="55"/>
  <c r="ACM154" i="55"/>
  <c r="ACD154" i="55"/>
  <c r="ACC154" i="55"/>
  <c r="ACB154" i="55"/>
  <c r="ADA154" i="55" s="1"/>
  <c r="ACA154" i="55"/>
  <c r="ACZ154" i="55" s="1"/>
  <c r="ABZ154" i="55"/>
  <c r="ABY154" i="55"/>
  <c r="ACX154" i="55" s="1"/>
  <c r="ABX154" i="55"/>
  <c r="ACW154" i="55" s="1"/>
  <c r="ABW154" i="55"/>
  <c r="ACV154" i="55" s="1"/>
  <c r="ABV154" i="55"/>
  <c r="ACU154" i="55" s="1"/>
  <c r="ABU154" i="55"/>
  <c r="ACT154" i="55" s="1"/>
  <c r="ABT154" i="55"/>
  <c r="ACS154" i="55" s="1"/>
  <c r="ABS154" i="55"/>
  <c r="ACR154" i="55" s="1"/>
  <c r="ABR154" i="55"/>
  <c r="ACQ154" i="55" s="1"/>
  <c r="ABQ154" i="55"/>
  <c r="ACP154" i="55" s="1"/>
  <c r="ABP154" i="55"/>
  <c r="ACO154" i="55" s="1"/>
  <c r="ABO154" i="55"/>
  <c r="ACN154" i="55" s="1"/>
  <c r="ABN154" i="55"/>
  <c r="ABM154" i="55"/>
  <c r="ACL154" i="55" s="1"/>
  <c r="ABL154" i="55"/>
  <c r="ACK154" i="55" s="1"/>
  <c r="ABK154" i="55"/>
  <c r="ACJ154" i="55" s="1"/>
  <c r="ABJ154" i="55"/>
  <c r="ACI154" i="55" s="1"/>
  <c r="ABI154" i="55"/>
  <c r="ACH154" i="55" s="1"/>
  <c r="ABH154" i="55"/>
  <c r="ACG154" i="55" s="1"/>
  <c r="ABG154" i="55"/>
  <c r="ACF154" i="55" s="1"/>
  <c r="ADB153" i="55"/>
  <c r="ACS153" i="55"/>
  <c r="ACQ153" i="55"/>
  <c r="ACP153" i="55"/>
  <c r="ACM153" i="55"/>
  <c r="ACD153" i="55"/>
  <c r="ADC153" i="55" s="1"/>
  <c r="ACC153" i="55"/>
  <c r="ACB153" i="55"/>
  <c r="ADA153" i="55" s="1"/>
  <c r="ACA153" i="55"/>
  <c r="ACZ153" i="55" s="1"/>
  <c r="ABZ153" i="55"/>
  <c r="ACY153" i="55" s="1"/>
  <c r="ABY153" i="55"/>
  <c r="ACX153" i="55" s="1"/>
  <c r="ABX153" i="55"/>
  <c r="ACW153" i="55" s="1"/>
  <c r="ABW153" i="55"/>
  <c r="ACV153" i="55" s="1"/>
  <c r="ABV153" i="55"/>
  <c r="ACU153" i="55" s="1"/>
  <c r="ABU153" i="55"/>
  <c r="ACT153" i="55" s="1"/>
  <c r="ABT153" i="55"/>
  <c r="ABS153" i="55"/>
  <c r="ACR153" i="55" s="1"/>
  <c r="ABR153" i="55"/>
  <c r="ABQ153" i="55"/>
  <c r="ABP153" i="55"/>
  <c r="ACO153" i="55" s="1"/>
  <c r="ABO153" i="55"/>
  <c r="ACN153" i="55" s="1"/>
  <c r="ABN153" i="55"/>
  <c r="ABM153" i="55"/>
  <c r="ACL153" i="55" s="1"/>
  <c r="ABL153" i="55"/>
  <c r="ACK153" i="55" s="1"/>
  <c r="ABK153" i="55"/>
  <c r="ACJ153" i="55" s="1"/>
  <c r="ABJ153" i="55"/>
  <c r="ACI153" i="55" s="1"/>
  <c r="ABI153" i="55"/>
  <c r="ACH153" i="55" s="1"/>
  <c r="ABH153" i="55"/>
  <c r="ACG153" i="55" s="1"/>
  <c r="ABG153" i="55"/>
  <c r="ACF153" i="55" s="1"/>
  <c r="ADC152" i="55"/>
  <c r="ACX152" i="55"/>
  <c r="ACT152" i="55"/>
  <c r="ACS152" i="55"/>
  <c r="ACR152" i="55"/>
  <c r="ACQ152" i="55"/>
  <c r="ACD152" i="55"/>
  <c r="ACC152" i="55"/>
  <c r="ADB152" i="55" s="1"/>
  <c r="ACB152" i="55"/>
  <c r="ADA152" i="55" s="1"/>
  <c r="ACA152" i="55"/>
  <c r="ACZ152" i="55" s="1"/>
  <c r="ABZ152" i="55"/>
  <c r="ACY152" i="55" s="1"/>
  <c r="ABY152" i="55"/>
  <c r="ABX152" i="55"/>
  <c r="ACW152" i="55" s="1"/>
  <c r="ABW152" i="55"/>
  <c r="ACV152" i="55" s="1"/>
  <c r="ABV152" i="55"/>
  <c r="ACU152" i="55" s="1"/>
  <c r="ABU152" i="55"/>
  <c r="ABT152" i="55"/>
  <c r="ABS152" i="55"/>
  <c r="ABR152" i="55"/>
  <c r="ABQ152" i="55"/>
  <c r="ACP152" i="55" s="1"/>
  <c r="ABP152" i="55"/>
  <c r="ACO152" i="55" s="1"/>
  <c r="ABO152" i="55"/>
  <c r="ACN152" i="55" s="1"/>
  <c r="ABN152" i="55"/>
  <c r="ACM152" i="55" s="1"/>
  <c r="ABM152" i="55"/>
  <c r="ACL152" i="55" s="1"/>
  <c r="ABL152" i="55"/>
  <c r="ACK152" i="55" s="1"/>
  <c r="ABK152" i="55"/>
  <c r="ACJ152" i="55" s="1"/>
  <c r="ABJ152" i="55"/>
  <c r="ACI152" i="55" s="1"/>
  <c r="ABI152" i="55"/>
  <c r="ACH152" i="55" s="1"/>
  <c r="ABH152" i="55"/>
  <c r="ACG152" i="55" s="1"/>
  <c r="ABG152" i="55"/>
  <c r="ACF152" i="55" s="1"/>
  <c r="ADB151" i="55"/>
  <c r="ACX151" i="55"/>
  <c r="ACU151" i="55"/>
  <c r="ACD151" i="55"/>
  <c r="ADC151" i="55" s="1"/>
  <c r="ACC151" i="55"/>
  <c r="ACB151" i="55"/>
  <c r="ADA151" i="55" s="1"/>
  <c r="ACA151" i="55"/>
  <c r="ACZ151" i="55" s="1"/>
  <c r="ABZ151" i="55"/>
  <c r="ACY151" i="55" s="1"/>
  <c r="ABY151" i="55"/>
  <c r="ABX151" i="55"/>
  <c r="ACW151" i="55" s="1"/>
  <c r="ABW151" i="55"/>
  <c r="ACV151" i="55" s="1"/>
  <c r="ABV151" i="55"/>
  <c r="ABU151" i="55"/>
  <c r="ACT151" i="55" s="1"/>
  <c r="ABT151" i="55"/>
  <c r="ACS151" i="55" s="1"/>
  <c r="ABS151" i="55"/>
  <c r="ACR151" i="55" s="1"/>
  <c r="ABR151" i="55"/>
  <c r="ACQ151" i="55" s="1"/>
  <c r="ABQ151" i="55"/>
  <c r="ACP151" i="55" s="1"/>
  <c r="ABP151" i="55"/>
  <c r="ACO151" i="55" s="1"/>
  <c r="ABO151" i="55"/>
  <c r="ACN151" i="55" s="1"/>
  <c r="ABN151" i="55"/>
  <c r="ACM151" i="55" s="1"/>
  <c r="ABM151" i="55"/>
  <c r="ACL151" i="55" s="1"/>
  <c r="ABL151" i="55"/>
  <c r="ACK151" i="55" s="1"/>
  <c r="ABK151" i="55"/>
  <c r="ACJ151" i="55" s="1"/>
  <c r="ABJ151" i="55"/>
  <c r="ACI151" i="55" s="1"/>
  <c r="ABI151" i="55"/>
  <c r="ACH151" i="55" s="1"/>
  <c r="ABH151" i="55"/>
  <c r="ACG151" i="55" s="1"/>
  <c r="ABG151" i="55"/>
  <c r="ACF151" i="55" s="1"/>
  <c r="ADC150" i="55"/>
  <c r="ADB150" i="55"/>
  <c r="ACP150" i="55"/>
  <c r="ACM150" i="55"/>
  <c r="ACL150" i="55"/>
  <c r="ACD150" i="55"/>
  <c r="ACC150" i="55"/>
  <c r="ACB150" i="55"/>
  <c r="ADA150" i="55" s="1"/>
  <c r="ACA150" i="55"/>
  <c r="ACZ150" i="55" s="1"/>
  <c r="ABZ150" i="55"/>
  <c r="ACY150" i="55" s="1"/>
  <c r="ABY150" i="55"/>
  <c r="ACX150" i="55" s="1"/>
  <c r="ABX150" i="55"/>
  <c r="ACW150" i="55" s="1"/>
  <c r="ABW150" i="55"/>
  <c r="ACV150" i="55" s="1"/>
  <c r="ABV150" i="55"/>
  <c r="ACU150" i="55" s="1"/>
  <c r="ABU150" i="55"/>
  <c r="ACT150" i="55" s="1"/>
  <c r="ABT150" i="55"/>
  <c r="ACS150" i="55" s="1"/>
  <c r="ABS150" i="55"/>
  <c r="ACR150" i="55" s="1"/>
  <c r="ABR150" i="55"/>
  <c r="ACQ150" i="55" s="1"/>
  <c r="ABQ150" i="55"/>
  <c r="ABP150" i="55"/>
  <c r="ACO150" i="55" s="1"/>
  <c r="ABO150" i="55"/>
  <c r="ACN150" i="55" s="1"/>
  <c r="ABN150" i="55"/>
  <c r="ABM150" i="55"/>
  <c r="ABL150" i="55"/>
  <c r="ACK150" i="55" s="1"/>
  <c r="ABK150" i="55"/>
  <c r="ACJ150" i="55" s="1"/>
  <c r="ABJ150" i="55"/>
  <c r="ACI150" i="55" s="1"/>
  <c r="ABI150" i="55"/>
  <c r="ACH150" i="55" s="1"/>
  <c r="ABH150" i="55"/>
  <c r="ACG150" i="55" s="1"/>
  <c r="ABG150" i="55"/>
  <c r="ACF150" i="55" s="1"/>
  <c r="ADC149" i="55"/>
  <c r="ACT149" i="55"/>
  <c r="ACR149" i="55"/>
  <c r="ACD149" i="55"/>
  <c r="ACC149" i="55"/>
  <c r="ADB149" i="55" s="1"/>
  <c r="ACB149" i="55"/>
  <c r="ADA149" i="55" s="1"/>
  <c r="ACA149" i="55"/>
  <c r="ACZ149" i="55" s="1"/>
  <c r="ABZ149" i="55"/>
  <c r="ACY149" i="55" s="1"/>
  <c r="ABY149" i="55"/>
  <c r="ACX149" i="55" s="1"/>
  <c r="ABX149" i="55"/>
  <c r="ACW149" i="55" s="1"/>
  <c r="ABW149" i="55"/>
  <c r="ACV149" i="55" s="1"/>
  <c r="ABV149" i="55"/>
  <c r="ACU149" i="55" s="1"/>
  <c r="ABU149" i="55"/>
  <c r="ABT149" i="55"/>
  <c r="ACS149" i="55" s="1"/>
  <c r="ABS149" i="55"/>
  <c r="ABR149" i="55"/>
  <c r="ACQ149" i="55" s="1"/>
  <c r="ABQ149" i="55"/>
  <c r="ACP149" i="55" s="1"/>
  <c r="ABP149" i="55"/>
  <c r="ACO149" i="55" s="1"/>
  <c r="ABO149" i="55"/>
  <c r="ACN149" i="55" s="1"/>
  <c r="ABN149" i="55"/>
  <c r="ACM149" i="55" s="1"/>
  <c r="ABM149" i="55"/>
  <c r="ACL149" i="55" s="1"/>
  <c r="ABL149" i="55"/>
  <c r="ACK149" i="55" s="1"/>
  <c r="ABK149" i="55"/>
  <c r="ACJ149" i="55" s="1"/>
  <c r="ABJ149" i="55"/>
  <c r="ACI149" i="55" s="1"/>
  <c r="ABI149" i="55"/>
  <c r="ACH149" i="55" s="1"/>
  <c r="ABH149" i="55"/>
  <c r="ACG149" i="55" s="1"/>
  <c r="ABG149" i="55"/>
  <c r="ACF149" i="55" s="1"/>
  <c r="ADC148" i="55"/>
  <c r="ACD148" i="55"/>
  <c r="ACC148" i="55"/>
  <c r="ADB148" i="55" s="1"/>
  <c r="ACB148" i="55"/>
  <c r="ADA148" i="55" s="1"/>
  <c r="ACA148" i="55"/>
  <c r="ACZ148" i="55" s="1"/>
  <c r="ABZ148" i="55"/>
  <c r="ACY148" i="55" s="1"/>
  <c r="ABY148" i="55"/>
  <c r="ACX148" i="55" s="1"/>
  <c r="ABX148" i="55"/>
  <c r="ACW148" i="55" s="1"/>
  <c r="ABW148" i="55"/>
  <c r="ACV148" i="55" s="1"/>
  <c r="ABV148" i="55"/>
  <c r="ACU148" i="55" s="1"/>
  <c r="ABU148" i="55"/>
  <c r="ACT148" i="55" s="1"/>
  <c r="ABT148" i="55"/>
  <c r="ACS148" i="55" s="1"/>
  <c r="ABS148" i="55"/>
  <c r="ACR148" i="55" s="1"/>
  <c r="ABR148" i="55"/>
  <c r="ACQ148" i="55" s="1"/>
  <c r="ABQ148" i="55"/>
  <c r="ACP148" i="55" s="1"/>
  <c r="ABP148" i="55"/>
  <c r="ACO148" i="55" s="1"/>
  <c r="ABO148" i="55"/>
  <c r="ACN148" i="55" s="1"/>
  <c r="ABN148" i="55"/>
  <c r="ACM148" i="55" s="1"/>
  <c r="ABM148" i="55"/>
  <c r="ACL148" i="55" s="1"/>
  <c r="ABL148" i="55"/>
  <c r="ACK148" i="55" s="1"/>
  <c r="ABK148" i="55"/>
  <c r="ACJ148" i="55" s="1"/>
  <c r="ABJ148" i="55"/>
  <c r="ACI148" i="55" s="1"/>
  <c r="ABI148" i="55"/>
  <c r="ACH148" i="55" s="1"/>
  <c r="ABH148" i="55"/>
  <c r="ACG148" i="55" s="1"/>
  <c r="ABG148" i="55"/>
  <c r="ACF148" i="55" s="1"/>
  <c r="ACD147" i="55"/>
  <c r="ADC147" i="55" s="1"/>
  <c r="ACC147" i="55"/>
  <c r="ADB147" i="55" s="1"/>
  <c r="ACB147" i="55"/>
  <c r="ADA147" i="55" s="1"/>
  <c r="ACA147" i="55"/>
  <c r="ACZ147" i="55" s="1"/>
  <c r="ABZ147" i="55"/>
  <c r="ACY147" i="55" s="1"/>
  <c r="ABY147" i="55"/>
  <c r="ACX147" i="55" s="1"/>
  <c r="ABX147" i="55"/>
  <c r="ACW147" i="55" s="1"/>
  <c r="ABW147" i="55"/>
  <c r="ACV147" i="55" s="1"/>
  <c r="ABV147" i="55"/>
  <c r="ACU147" i="55" s="1"/>
  <c r="ABU147" i="55"/>
  <c r="ACT147" i="55" s="1"/>
  <c r="ABT147" i="55"/>
  <c r="ACS147" i="55" s="1"/>
  <c r="ABS147" i="55"/>
  <c r="ACR147" i="55" s="1"/>
  <c r="ABR147" i="55"/>
  <c r="ACQ147" i="55" s="1"/>
  <c r="ABQ147" i="55"/>
  <c r="ACP147" i="55" s="1"/>
  <c r="ABP147" i="55"/>
  <c r="ACO147" i="55" s="1"/>
  <c r="ABO147" i="55"/>
  <c r="ACN147" i="55" s="1"/>
  <c r="ABN147" i="55"/>
  <c r="ACM147" i="55" s="1"/>
  <c r="ABM147" i="55"/>
  <c r="ACL147" i="55" s="1"/>
  <c r="ABL147" i="55"/>
  <c r="ACK147" i="55" s="1"/>
  <c r="ABK147" i="55"/>
  <c r="ACJ147" i="55" s="1"/>
  <c r="ABJ147" i="55"/>
  <c r="ACI147" i="55" s="1"/>
  <c r="ABI147" i="55"/>
  <c r="ACH147" i="55" s="1"/>
  <c r="ABH147" i="55"/>
  <c r="ACG147" i="55" s="1"/>
  <c r="ABG147" i="55"/>
  <c r="ACF147" i="55" s="1"/>
  <c r="ACM146" i="55"/>
  <c r="ACD146" i="55"/>
  <c r="ADC146" i="55" s="1"/>
  <c r="ACC146" i="55"/>
  <c r="ADB146" i="55" s="1"/>
  <c r="ACB146" i="55"/>
  <c r="ADA146" i="55" s="1"/>
  <c r="ACA146" i="55"/>
  <c r="ACZ146" i="55" s="1"/>
  <c r="ABZ146" i="55"/>
  <c r="ACY146" i="55" s="1"/>
  <c r="ABY146" i="55"/>
  <c r="ACX146" i="55" s="1"/>
  <c r="ABX146" i="55"/>
  <c r="ACW146" i="55" s="1"/>
  <c r="ABW146" i="55"/>
  <c r="ACV146" i="55" s="1"/>
  <c r="ABV146" i="55"/>
  <c r="ACU146" i="55" s="1"/>
  <c r="ABU146" i="55"/>
  <c r="ACT146" i="55" s="1"/>
  <c r="ABT146" i="55"/>
  <c r="ACS146" i="55" s="1"/>
  <c r="ABS146" i="55"/>
  <c r="ACR146" i="55" s="1"/>
  <c r="ABR146" i="55"/>
  <c r="ACQ146" i="55" s="1"/>
  <c r="ABQ146" i="55"/>
  <c r="ACP146" i="55" s="1"/>
  <c r="ABP146" i="55"/>
  <c r="ACO146" i="55" s="1"/>
  <c r="ABO146" i="55"/>
  <c r="ACN146" i="55" s="1"/>
  <c r="ABN146" i="55"/>
  <c r="ABM146" i="55"/>
  <c r="ACL146" i="55" s="1"/>
  <c r="ABL146" i="55"/>
  <c r="ACK146" i="55" s="1"/>
  <c r="ABK146" i="55"/>
  <c r="ACJ146" i="55" s="1"/>
  <c r="ABJ146" i="55"/>
  <c r="ACI146" i="55" s="1"/>
  <c r="ABI146" i="55"/>
  <c r="ACH146" i="55" s="1"/>
  <c r="ABH146" i="55"/>
  <c r="ACG146" i="55" s="1"/>
  <c r="ABG146" i="55"/>
  <c r="ACF146" i="55" s="1"/>
  <c r="ACY145" i="55"/>
  <c r="ACD145" i="55"/>
  <c r="ADC145" i="55" s="1"/>
  <c r="ACC145" i="55"/>
  <c r="ADB145" i="55" s="1"/>
  <c r="ACB145" i="55"/>
  <c r="ADA145" i="55" s="1"/>
  <c r="ACA145" i="55"/>
  <c r="ACZ145" i="55" s="1"/>
  <c r="ABZ145" i="55"/>
  <c r="ABY145" i="55"/>
  <c r="ACX145" i="55" s="1"/>
  <c r="ABX145" i="55"/>
  <c r="ACW145" i="55" s="1"/>
  <c r="ABW145" i="55"/>
  <c r="ACV145" i="55" s="1"/>
  <c r="ABV145" i="55"/>
  <c r="ACU145" i="55" s="1"/>
  <c r="ABU145" i="55"/>
  <c r="ACT145" i="55" s="1"/>
  <c r="ABT145" i="55"/>
  <c r="ACS145" i="55" s="1"/>
  <c r="ABS145" i="55"/>
  <c r="ACR145" i="55" s="1"/>
  <c r="ABR145" i="55"/>
  <c r="ACQ145" i="55" s="1"/>
  <c r="ABQ145" i="55"/>
  <c r="ACP145" i="55" s="1"/>
  <c r="ABP145" i="55"/>
  <c r="ACO145" i="55" s="1"/>
  <c r="ABO145" i="55"/>
  <c r="ACN145" i="55" s="1"/>
  <c r="ABN145" i="55"/>
  <c r="ACM145" i="55" s="1"/>
  <c r="ABM145" i="55"/>
  <c r="ACL145" i="55" s="1"/>
  <c r="ABL145" i="55"/>
  <c r="ACK145" i="55" s="1"/>
  <c r="ABK145" i="55"/>
  <c r="ACJ145" i="55" s="1"/>
  <c r="ABJ145" i="55"/>
  <c r="ACI145" i="55" s="1"/>
  <c r="ABI145" i="55"/>
  <c r="ACH145" i="55" s="1"/>
  <c r="ABH145" i="55"/>
  <c r="ACG145" i="55" s="1"/>
  <c r="ABG145" i="55"/>
  <c r="ACF145" i="55" s="1"/>
  <c r="ACY144" i="55"/>
  <c r="ACD144" i="55"/>
  <c r="ADC144" i="55" s="1"/>
  <c r="ACC144" i="55"/>
  <c r="ADB144" i="55" s="1"/>
  <c r="ACB144" i="55"/>
  <c r="ADA144" i="55" s="1"/>
  <c r="ACA144" i="55"/>
  <c r="ACZ144" i="55" s="1"/>
  <c r="ABZ144" i="55"/>
  <c r="ABY144" i="55"/>
  <c r="ACX144" i="55" s="1"/>
  <c r="ABX144" i="55"/>
  <c r="ACW144" i="55" s="1"/>
  <c r="ABW144" i="55"/>
  <c r="ACV144" i="55" s="1"/>
  <c r="ABV144" i="55"/>
  <c r="ACU144" i="55" s="1"/>
  <c r="ABU144" i="55"/>
  <c r="ACT144" i="55" s="1"/>
  <c r="ABT144" i="55"/>
  <c r="ACS144" i="55" s="1"/>
  <c r="ABS144" i="55"/>
  <c r="ACR144" i="55" s="1"/>
  <c r="ABR144" i="55"/>
  <c r="ACQ144" i="55" s="1"/>
  <c r="ABQ144" i="55"/>
  <c r="ACP144" i="55" s="1"/>
  <c r="ABP144" i="55"/>
  <c r="ACO144" i="55" s="1"/>
  <c r="ABO144" i="55"/>
  <c r="ACN144" i="55" s="1"/>
  <c r="ABN144" i="55"/>
  <c r="ACM144" i="55" s="1"/>
  <c r="ABM144" i="55"/>
  <c r="ACL144" i="55" s="1"/>
  <c r="ABL144" i="55"/>
  <c r="ACK144" i="55" s="1"/>
  <c r="ABK144" i="55"/>
  <c r="ACJ144" i="55" s="1"/>
  <c r="ABJ144" i="55"/>
  <c r="ACI144" i="55" s="1"/>
  <c r="ABI144" i="55"/>
  <c r="ACH144" i="55" s="1"/>
  <c r="ABH144" i="55"/>
  <c r="ACG144" i="55" s="1"/>
  <c r="ABG144" i="55"/>
  <c r="ACF144" i="55" s="1"/>
  <c r="ACY143" i="55"/>
  <c r="ACD143" i="55"/>
  <c r="ADC143" i="55" s="1"/>
  <c r="ACC143" i="55"/>
  <c r="ADB143" i="55" s="1"/>
  <c r="ACB143" i="55"/>
  <c r="ADA143" i="55" s="1"/>
  <c r="ACA143" i="55"/>
  <c r="ACZ143" i="55" s="1"/>
  <c r="ABZ143" i="55"/>
  <c r="ABY143" i="55"/>
  <c r="ACX143" i="55" s="1"/>
  <c r="ABX143" i="55"/>
  <c r="ACW143" i="55" s="1"/>
  <c r="ABW143" i="55"/>
  <c r="ACV143" i="55" s="1"/>
  <c r="ABV143" i="55"/>
  <c r="ACU143" i="55" s="1"/>
  <c r="ABU143" i="55"/>
  <c r="ACT143" i="55" s="1"/>
  <c r="ABT143" i="55"/>
  <c r="ACS143" i="55" s="1"/>
  <c r="ABS143" i="55"/>
  <c r="ACR143" i="55" s="1"/>
  <c r="ABR143" i="55"/>
  <c r="ACQ143" i="55" s="1"/>
  <c r="ABQ143" i="55"/>
  <c r="ACP143" i="55" s="1"/>
  <c r="ABP143" i="55"/>
  <c r="ACO143" i="55" s="1"/>
  <c r="ABO143" i="55"/>
  <c r="ACN143" i="55" s="1"/>
  <c r="ABN143" i="55"/>
  <c r="ACM143" i="55" s="1"/>
  <c r="ABM143" i="55"/>
  <c r="ACL143" i="55" s="1"/>
  <c r="ABL143" i="55"/>
  <c r="ACK143" i="55" s="1"/>
  <c r="ABK143" i="55"/>
  <c r="ACJ143" i="55" s="1"/>
  <c r="ABJ143" i="55"/>
  <c r="ACI143" i="55" s="1"/>
  <c r="ABI143" i="55"/>
  <c r="ACH143" i="55" s="1"/>
  <c r="ABH143" i="55"/>
  <c r="ACG143" i="55" s="1"/>
  <c r="ABG143" i="55"/>
  <c r="ACF143" i="55" s="1"/>
  <c r="ACD142" i="55"/>
  <c r="ADC142" i="55" s="1"/>
  <c r="ACC142" i="55"/>
  <c r="ADB142" i="55" s="1"/>
  <c r="ACB142" i="55"/>
  <c r="ADA142" i="55" s="1"/>
  <c r="ACA142" i="55"/>
  <c r="ACZ142" i="55" s="1"/>
  <c r="ABZ142" i="55"/>
  <c r="ACY142" i="55" s="1"/>
  <c r="ABY142" i="55"/>
  <c r="ACX142" i="55" s="1"/>
  <c r="ABX142" i="55"/>
  <c r="ACW142" i="55" s="1"/>
  <c r="ABW142" i="55"/>
  <c r="ACV142" i="55" s="1"/>
  <c r="ABV142" i="55"/>
  <c r="ACU142" i="55" s="1"/>
  <c r="ABU142" i="55"/>
  <c r="ACT142" i="55" s="1"/>
  <c r="ABT142" i="55"/>
  <c r="ACS142" i="55" s="1"/>
  <c r="ABS142" i="55"/>
  <c r="ACR142" i="55" s="1"/>
  <c r="ABR142" i="55"/>
  <c r="ACQ142" i="55" s="1"/>
  <c r="ABQ142" i="55"/>
  <c r="ACP142" i="55" s="1"/>
  <c r="ABP142" i="55"/>
  <c r="ACO142" i="55" s="1"/>
  <c r="ABO142" i="55"/>
  <c r="ACN142" i="55" s="1"/>
  <c r="ABN142" i="55"/>
  <c r="ACM142" i="55" s="1"/>
  <c r="ABM142" i="55"/>
  <c r="ACL142" i="55" s="1"/>
  <c r="ABL142" i="55"/>
  <c r="ACK142" i="55" s="1"/>
  <c r="ABK142" i="55"/>
  <c r="ACJ142" i="55" s="1"/>
  <c r="ABJ142" i="55"/>
  <c r="ACI142" i="55" s="1"/>
  <c r="ABI142" i="55"/>
  <c r="ACH142" i="55" s="1"/>
  <c r="ABH142" i="55"/>
  <c r="ACG142" i="55" s="1"/>
  <c r="ABG142" i="55"/>
  <c r="ACF142" i="55" s="1"/>
  <c r="ACD141" i="55"/>
  <c r="ADC141" i="55" s="1"/>
  <c r="ACC141" i="55"/>
  <c r="ADB141" i="55" s="1"/>
  <c r="ACB141" i="55"/>
  <c r="ADA141" i="55" s="1"/>
  <c r="ACA141" i="55"/>
  <c r="ACZ141" i="55" s="1"/>
  <c r="ABZ141" i="55"/>
  <c r="ACY141" i="55" s="1"/>
  <c r="ABY141" i="55"/>
  <c r="ACX141" i="55" s="1"/>
  <c r="ABX141" i="55"/>
  <c r="ACW141" i="55" s="1"/>
  <c r="ABW141" i="55"/>
  <c r="ACV141" i="55" s="1"/>
  <c r="ABV141" i="55"/>
  <c r="ACU141" i="55" s="1"/>
  <c r="ABU141" i="55"/>
  <c r="ACT141" i="55" s="1"/>
  <c r="ABT141" i="55"/>
  <c r="ACS141" i="55" s="1"/>
  <c r="ABS141" i="55"/>
  <c r="ACR141" i="55" s="1"/>
  <c r="ABR141" i="55"/>
  <c r="ACQ141" i="55" s="1"/>
  <c r="ABQ141" i="55"/>
  <c r="ACP141" i="55" s="1"/>
  <c r="ABP141" i="55"/>
  <c r="ACO141" i="55" s="1"/>
  <c r="ABO141" i="55"/>
  <c r="ACN141" i="55" s="1"/>
  <c r="ABN141" i="55"/>
  <c r="ACM141" i="55" s="1"/>
  <c r="ABM141" i="55"/>
  <c r="ACL141" i="55" s="1"/>
  <c r="ABL141" i="55"/>
  <c r="ACK141" i="55" s="1"/>
  <c r="ABK141" i="55"/>
  <c r="ACJ141" i="55" s="1"/>
  <c r="ABJ141" i="55"/>
  <c r="ACI141" i="55" s="1"/>
  <c r="ABI141" i="55"/>
  <c r="ACH141" i="55" s="1"/>
  <c r="ABH141" i="55"/>
  <c r="ACG141" i="55" s="1"/>
  <c r="ABG141" i="55"/>
  <c r="ACF141" i="55" s="1"/>
  <c r="ACM140" i="55"/>
  <c r="ACD140" i="55"/>
  <c r="ADC140" i="55" s="1"/>
  <c r="ACC140" i="55"/>
  <c r="ADB140" i="55" s="1"/>
  <c r="ACB140" i="55"/>
  <c r="ADA140" i="55" s="1"/>
  <c r="ACA140" i="55"/>
  <c r="ACZ140" i="55" s="1"/>
  <c r="ABZ140" i="55"/>
  <c r="ACY140" i="55" s="1"/>
  <c r="ABY140" i="55"/>
  <c r="ACX140" i="55" s="1"/>
  <c r="ABX140" i="55"/>
  <c r="ACW140" i="55" s="1"/>
  <c r="ABW140" i="55"/>
  <c r="ACV140" i="55" s="1"/>
  <c r="ABV140" i="55"/>
  <c r="ACU140" i="55" s="1"/>
  <c r="ABU140" i="55"/>
  <c r="ACT140" i="55" s="1"/>
  <c r="ABT140" i="55"/>
  <c r="ACS140" i="55" s="1"/>
  <c r="ABS140" i="55"/>
  <c r="ACR140" i="55" s="1"/>
  <c r="ABR140" i="55"/>
  <c r="ACQ140" i="55" s="1"/>
  <c r="ABQ140" i="55"/>
  <c r="ACP140" i="55" s="1"/>
  <c r="ABP140" i="55"/>
  <c r="ACO140" i="55" s="1"/>
  <c r="ABO140" i="55"/>
  <c r="ACN140" i="55" s="1"/>
  <c r="ABN140" i="55"/>
  <c r="ABM140" i="55"/>
  <c r="ACL140" i="55" s="1"/>
  <c r="ABL140" i="55"/>
  <c r="ACK140" i="55" s="1"/>
  <c r="ABK140" i="55"/>
  <c r="ACJ140" i="55" s="1"/>
  <c r="ABJ140" i="55"/>
  <c r="ACI140" i="55" s="1"/>
  <c r="ABI140" i="55"/>
  <c r="ACH140" i="55" s="1"/>
  <c r="ABH140" i="55"/>
  <c r="ACG140" i="55" s="1"/>
  <c r="ABG140" i="55"/>
  <c r="ACF140" i="55" s="1"/>
  <c r="ACY139" i="55"/>
  <c r="ACD139" i="55"/>
  <c r="ADC139" i="55" s="1"/>
  <c r="ACC139" i="55"/>
  <c r="ADB139" i="55" s="1"/>
  <c r="ACB139" i="55"/>
  <c r="ADA139" i="55" s="1"/>
  <c r="ACA139" i="55"/>
  <c r="ACZ139" i="55" s="1"/>
  <c r="ABZ139" i="55"/>
  <c r="ABY139" i="55"/>
  <c r="ACX139" i="55" s="1"/>
  <c r="ABX139" i="55"/>
  <c r="ACW139" i="55" s="1"/>
  <c r="ABW139" i="55"/>
  <c r="ACV139" i="55" s="1"/>
  <c r="ABV139" i="55"/>
  <c r="ACU139" i="55" s="1"/>
  <c r="ABU139" i="55"/>
  <c r="ACT139" i="55" s="1"/>
  <c r="ABT139" i="55"/>
  <c r="ACS139" i="55" s="1"/>
  <c r="ABS139" i="55"/>
  <c r="ACR139" i="55" s="1"/>
  <c r="ABR139" i="55"/>
  <c r="ACQ139" i="55" s="1"/>
  <c r="ABQ139" i="55"/>
  <c r="ACP139" i="55" s="1"/>
  <c r="ABP139" i="55"/>
  <c r="ACO139" i="55" s="1"/>
  <c r="ABO139" i="55"/>
  <c r="ACN139" i="55" s="1"/>
  <c r="ABN139" i="55"/>
  <c r="ACM139" i="55" s="1"/>
  <c r="ABM139" i="55"/>
  <c r="ACL139" i="55" s="1"/>
  <c r="ABL139" i="55"/>
  <c r="ACK139" i="55" s="1"/>
  <c r="ABK139" i="55"/>
  <c r="ACJ139" i="55" s="1"/>
  <c r="ABJ139" i="55"/>
  <c r="ACI139" i="55" s="1"/>
  <c r="ABI139" i="55"/>
  <c r="ACH139" i="55" s="1"/>
  <c r="ABH139" i="55"/>
  <c r="ACG139" i="55" s="1"/>
  <c r="ABG139" i="55"/>
  <c r="ACF139" i="55" s="1"/>
  <c r="ACY138" i="55"/>
  <c r="ACD138" i="55"/>
  <c r="ADC138" i="55" s="1"/>
  <c r="ACC138" i="55"/>
  <c r="ADB138" i="55" s="1"/>
  <c r="ACB138" i="55"/>
  <c r="ADA138" i="55" s="1"/>
  <c r="ACA138" i="55"/>
  <c r="ACZ138" i="55" s="1"/>
  <c r="ABZ138" i="55"/>
  <c r="ABY138" i="55"/>
  <c r="ACX138" i="55" s="1"/>
  <c r="ABX138" i="55"/>
  <c r="ACW138" i="55" s="1"/>
  <c r="ABW138" i="55"/>
  <c r="ACV138" i="55" s="1"/>
  <c r="ABV138" i="55"/>
  <c r="ACU138" i="55" s="1"/>
  <c r="ABU138" i="55"/>
  <c r="ACT138" i="55" s="1"/>
  <c r="ABT138" i="55"/>
  <c r="ACS138" i="55" s="1"/>
  <c r="ABS138" i="55"/>
  <c r="ACR138" i="55" s="1"/>
  <c r="ABR138" i="55"/>
  <c r="ACQ138" i="55" s="1"/>
  <c r="ABQ138" i="55"/>
  <c r="ACP138" i="55" s="1"/>
  <c r="ABP138" i="55"/>
  <c r="ACO138" i="55" s="1"/>
  <c r="ABO138" i="55"/>
  <c r="ACN138" i="55" s="1"/>
  <c r="ABN138" i="55"/>
  <c r="ACM138" i="55" s="1"/>
  <c r="ABM138" i="55"/>
  <c r="ACL138" i="55" s="1"/>
  <c r="ABL138" i="55"/>
  <c r="ACK138" i="55" s="1"/>
  <c r="ABK138" i="55"/>
  <c r="ACJ138" i="55" s="1"/>
  <c r="ABJ138" i="55"/>
  <c r="ACI138" i="55" s="1"/>
  <c r="ABI138" i="55"/>
  <c r="ACH138" i="55" s="1"/>
  <c r="ABH138" i="55"/>
  <c r="ACG138" i="55" s="1"/>
  <c r="ABG138" i="55"/>
  <c r="ACF138" i="55" s="1"/>
  <c r="ACY137" i="55"/>
  <c r="ACD137" i="55"/>
  <c r="ADC137" i="55" s="1"/>
  <c r="ACC137" i="55"/>
  <c r="ADB137" i="55" s="1"/>
  <c r="ACB137" i="55"/>
  <c r="ADA137" i="55" s="1"/>
  <c r="ACA137" i="55"/>
  <c r="ACZ137" i="55" s="1"/>
  <c r="ABZ137" i="55"/>
  <c r="ABY137" i="55"/>
  <c r="ACX137" i="55" s="1"/>
  <c r="ABX137" i="55"/>
  <c r="ACW137" i="55" s="1"/>
  <c r="ABW137" i="55"/>
  <c r="ACV137" i="55" s="1"/>
  <c r="ABV137" i="55"/>
  <c r="ACU137" i="55" s="1"/>
  <c r="ABU137" i="55"/>
  <c r="ACT137" i="55" s="1"/>
  <c r="ABT137" i="55"/>
  <c r="ACS137" i="55" s="1"/>
  <c r="ABS137" i="55"/>
  <c r="ACR137" i="55" s="1"/>
  <c r="ABR137" i="55"/>
  <c r="ACQ137" i="55" s="1"/>
  <c r="ABQ137" i="55"/>
  <c r="ACP137" i="55" s="1"/>
  <c r="ABP137" i="55"/>
  <c r="ACO137" i="55" s="1"/>
  <c r="ABO137" i="55"/>
  <c r="ACN137" i="55" s="1"/>
  <c r="ABN137" i="55"/>
  <c r="ACM137" i="55" s="1"/>
  <c r="ABM137" i="55"/>
  <c r="ACL137" i="55" s="1"/>
  <c r="ABL137" i="55"/>
  <c r="ACK137" i="55" s="1"/>
  <c r="ABK137" i="55"/>
  <c r="ACJ137" i="55" s="1"/>
  <c r="ABJ137" i="55"/>
  <c r="ACI137" i="55" s="1"/>
  <c r="ABI137" i="55"/>
  <c r="ACH137" i="55" s="1"/>
  <c r="ABH137" i="55"/>
  <c r="ACG137" i="55" s="1"/>
  <c r="ABG137" i="55"/>
  <c r="ACF137" i="55" s="1"/>
  <c r="ACD136" i="55"/>
  <c r="ADC136" i="55" s="1"/>
  <c r="ACC136" i="55"/>
  <c r="ADB136" i="55" s="1"/>
  <c r="ACB136" i="55"/>
  <c r="ADA136" i="55" s="1"/>
  <c r="ACA136" i="55"/>
  <c r="ACZ136" i="55" s="1"/>
  <c r="ABZ136" i="55"/>
  <c r="ACY136" i="55" s="1"/>
  <c r="ABY136" i="55"/>
  <c r="ACX136" i="55" s="1"/>
  <c r="ABX136" i="55"/>
  <c r="ACW136" i="55" s="1"/>
  <c r="ABW136" i="55"/>
  <c r="ACV136" i="55" s="1"/>
  <c r="ABV136" i="55"/>
  <c r="ACU136" i="55" s="1"/>
  <c r="ABU136" i="55"/>
  <c r="ACT136" i="55" s="1"/>
  <c r="ABT136" i="55"/>
  <c r="ACS136" i="55" s="1"/>
  <c r="ABS136" i="55"/>
  <c r="ACR136" i="55" s="1"/>
  <c r="ABR136" i="55"/>
  <c r="ACQ136" i="55" s="1"/>
  <c r="ABQ136" i="55"/>
  <c r="ACP136" i="55" s="1"/>
  <c r="ABP136" i="55"/>
  <c r="ACO136" i="55" s="1"/>
  <c r="ABO136" i="55"/>
  <c r="ACN136" i="55" s="1"/>
  <c r="ABN136" i="55"/>
  <c r="ACM136" i="55" s="1"/>
  <c r="ABM136" i="55"/>
  <c r="ACL136" i="55" s="1"/>
  <c r="ABL136" i="55"/>
  <c r="ACK136" i="55" s="1"/>
  <c r="ABK136" i="55"/>
  <c r="ACJ136" i="55" s="1"/>
  <c r="ABJ136" i="55"/>
  <c r="ACI136" i="55" s="1"/>
  <c r="ABI136" i="55"/>
  <c r="ACH136" i="55" s="1"/>
  <c r="ABH136" i="55"/>
  <c r="ACG136" i="55" s="1"/>
  <c r="ABG136" i="55"/>
  <c r="ACF136" i="55" s="1"/>
  <c r="ACD135" i="55"/>
  <c r="ADC135" i="55" s="1"/>
  <c r="ACC135" i="55"/>
  <c r="ADB135" i="55" s="1"/>
  <c r="ACB135" i="55"/>
  <c r="ADA135" i="55" s="1"/>
  <c r="ACA135" i="55"/>
  <c r="ACZ135" i="55" s="1"/>
  <c r="ABZ135" i="55"/>
  <c r="ACY135" i="55" s="1"/>
  <c r="ABY135" i="55"/>
  <c r="ACX135" i="55" s="1"/>
  <c r="ABX135" i="55"/>
  <c r="ACW135" i="55" s="1"/>
  <c r="ABW135" i="55"/>
  <c r="ACV135" i="55" s="1"/>
  <c r="ABV135" i="55"/>
  <c r="ACU135" i="55" s="1"/>
  <c r="ABU135" i="55"/>
  <c r="ACT135" i="55" s="1"/>
  <c r="ABT135" i="55"/>
  <c r="ACS135" i="55" s="1"/>
  <c r="ABS135" i="55"/>
  <c r="ACR135" i="55" s="1"/>
  <c r="ABR135" i="55"/>
  <c r="ACQ135" i="55" s="1"/>
  <c r="ABQ135" i="55"/>
  <c r="ACP135" i="55" s="1"/>
  <c r="ABP135" i="55"/>
  <c r="ACO135" i="55" s="1"/>
  <c r="ABO135" i="55"/>
  <c r="ACN135" i="55" s="1"/>
  <c r="ABN135" i="55"/>
  <c r="ACM135" i="55" s="1"/>
  <c r="ABM135" i="55"/>
  <c r="ACL135" i="55" s="1"/>
  <c r="ABL135" i="55"/>
  <c r="ACK135" i="55" s="1"/>
  <c r="ABK135" i="55"/>
  <c r="ACJ135" i="55" s="1"/>
  <c r="ABJ135" i="55"/>
  <c r="ACI135" i="55" s="1"/>
  <c r="ABI135" i="55"/>
  <c r="ACH135" i="55" s="1"/>
  <c r="ABH135" i="55"/>
  <c r="ACG135" i="55" s="1"/>
  <c r="ABG135" i="55"/>
  <c r="ACF135" i="55" s="1"/>
  <c r="ACD134" i="55"/>
  <c r="ADC134" i="55" s="1"/>
  <c r="ACC134" i="55"/>
  <c r="ADB134" i="55" s="1"/>
  <c r="ACB134" i="55"/>
  <c r="ADA134" i="55" s="1"/>
  <c r="ACA134" i="55"/>
  <c r="ACZ134" i="55" s="1"/>
  <c r="ABZ134" i="55"/>
  <c r="ACY134" i="55" s="1"/>
  <c r="ABY134" i="55"/>
  <c r="ACX134" i="55" s="1"/>
  <c r="ABX134" i="55"/>
  <c r="ACW134" i="55" s="1"/>
  <c r="ABW134" i="55"/>
  <c r="ACV134" i="55" s="1"/>
  <c r="ABV134" i="55"/>
  <c r="ACU134" i="55" s="1"/>
  <c r="ABU134" i="55"/>
  <c r="ACT134" i="55" s="1"/>
  <c r="ABT134" i="55"/>
  <c r="ACS134" i="55" s="1"/>
  <c r="ABS134" i="55"/>
  <c r="ACR134" i="55" s="1"/>
  <c r="ABR134" i="55"/>
  <c r="ACQ134" i="55" s="1"/>
  <c r="ABQ134" i="55"/>
  <c r="ACP134" i="55" s="1"/>
  <c r="ABP134" i="55"/>
  <c r="ACO134" i="55" s="1"/>
  <c r="ABO134" i="55"/>
  <c r="ACN134" i="55" s="1"/>
  <c r="ABN134" i="55"/>
  <c r="ACM134" i="55" s="1"/>
  <c r="ABM134" i="55"/>
  <c r="ACL134" i="55" s="1"/>
  <c r="ABL134" i="55"/>
  <c r="ACK134" i="55" s="1"/>
  <c r="ABK134" i="55"/>
  <c r="ACJ134" i="55" s="1"/>
  <c r="ABJ134" i="55"/>
  <c r="ACI134" i="55" s="1"/>
  <c r="ABI134" i="55"/>
  <c r="ACH134" i="55" s="1"/>
  <c r="ABH134" i="55"/>
  <c r="ACG134" i="55" s="1"/>
  <c r="ABG134" i="55"/>
  <c r="ACF134" i="55" s="1"/>
  <c r="ACY133" i="55"/>
  <c r="ACD133" i="55"/>
  <c r="ADC133" i="55" s="1"/>
  <c r="ACC133" i="55"/>
  <c r="ADB133" i="55" s="1"/>
  <c r="ACB133" i="55"/>
  <c r="ADA133" i="55" s="1"/>
  <c r="ACA133" i="55"/>
  <c r="ACZ133" i="55" s="1"/>
  <c r="ABZ133" i="55"/>
  <c r="ABY133" i="55"/>
  <c r="ACX133" i="55" s="1"/>
  <c r="ABX133" i="55"/>
  <c r="ACW133" i="55" s="1"/>
  <c r="ABW133" i="55"/>
  <c r="ACV133" i="55" s="1"/>
  <c r="ABV133" i="55"/>
  <c r="ACU133" i="55" s="1"/>
  <c r="ABU133" i="55"/>
  <c r="ACT133" i="55" s="1"/>
  <c r="ABT133" i="55"/>
  <c r="ACS133" i="55" s="1"/>
  <c r="ABS133" i="55"/>
  <c r="ACR133" i="55" s="1"/>
  <c r="ABR133" i="55"/>
  <c r="ACQ133" i="55" s="1"/>
  <c r="ABQ133" i="55"/>
  <c r="ACP133" i="55" s="1"/>
  <c r="ABP133" i="55"/>
  <c r="ACO133" i="55" s="1"/>
  <c r="ABO133" i="55"/>
  <c r="ACN133" i="55" s="1"/>
  <c r="ABN133" i="55"/>
  <c r="ACM133" i="55" s="1"/>
  <c r="ABM133" i="55"/>
  <c r="ACL133" i="55" s="1"/>
  <c r="ABL133" i="55"/>
  <c r="ACK133" i="55" s="1"/>
  <c r="ABK133" i="55"/>
  <c r="ACJ133" i="55" s="1"/>
  <c r="ABJ133" i="55"/>
  <c r="ACI133" i="55" s="1"/>
  <c r="ABI133" i="55"/>
  <c r="ACH133" i="55" s="1"/>
  <c r="ABH133" i="55"/>
  <c r="ACG133" i="55" s="1"/>
  <c r="ABG133" i="55"/>
  <c r="ACF133" i="55" s="1"/>
  <c r="ACY132" i="55"/>
  <c r="ACD132" i="55"/>
  <c r="ADC132" i="55" s="1"/>
  <c r="ACC132" i="55"/>
  <c r="ADB132" i="55" s="1"/>
  <c r="ACB132" i="55"/>
  <c r="ADA132" i="55" s="1"/>
  <c r="ACA132" i="55"/>
  <c r="ACZ132" i="55" s="1"/>
  <c r="ABZ132" i="55"/>
  <c r="ABY132" i="55"/>
  <c r="ACX132" i="55" s="1"/>
  <c r="ABX132" i="55"/>
  <c r="ACW132" i="55" s="1"/>
  <c r="ABW132" i="55"/>
  <c r="ACV132" i="55" s="1"/>
  <c r="ABV132" i="55"/>
  <c r="ACU132" i="55" s="1"/>
  <c r="ABU132" i="55"/>
  <c r="ACT132" i="55" s="1"/>
  <c r="ABT132" i="55"/>
  <c r="ACS132" i="55" s="1"/>
  <c r="ABS132" i="55"/>
  <c r="ACR132" i="55" s="1"/>
  <c r="ABR132" i="55"/>
  <c r="ACQ132" i="55" s="1"/>
  <c r="ABQ132" i="55"/>
  <c r="ACP132" i="55" s="1"/>
  <c r="ABP132" i="55"/>
  <c r="ACO132" i="55" s="1"/>
  <c r="ABO132" i="55"/>
  <c r="ACN132" i="55" s="1"/>
  <c r="ABN132" i="55"/>
  <c r="ACM132" i="55" s="1"/>
  <c r="ABM132" i="55"/>
  <c r="ACL132" i="55" s="1"/>
  <c r="ABL132" i="55"/>
  <c r="ACK132" i="55" s="1"/>
  <c r="ABK132" i="55"/>
  <c r="ACJ132" i="55" s="1"/>
  <c r="ABJ132" i="55"/>
  <c r="ACI132" i="55" s="1"/>
  <c r="ABI132" i="55"/>
  <c r="ACH132" i="55" s="1"/>
  <c r="ABH132" i="55"/>
  <c r="ACG132" i="55" s="1"/>
  <c r="ABG132" i="55"/>
  <c r="ACF132" i="55" s="1"/>
  <c r="ACY131" i="55"/>
  <c r="ACD131" i="55"/>
  <c r="ADC131" i="55" s="1"/>
  <c r="ACC131" i="55"/>
  <c r="ADB131" i="55" s="1"/>
  <c r="ACB131" i="55"/>
  <c r="ADA131" i="55" s="1"/>
  <c r="ACA131" i="55"/>
  <c r="ACZ131" i="55" s="1"/>
  <c r="ABZ131" i="55"/>
  <c r="ABY131" i="55"/>
  <c r="ACX131" i="55" s="1"/>
  <c r="ABX131" i="55"/>
  <c r="ACW131" i="55" s="1"/>
  <c r="ABW131" i="55"/>
  <c r="ACV131" i="55" s="1"/>
  <c r="ABV131" i="55"/>
  <c r="ACU131" i="55" s="1"/>
  <c r="ABU131" i="55"/>
  <c r="ACT131" i="55" s="1"/>
  <c r="ABT131" i="55"/>
  <c r="ACS131" i="55" s="1"/>
  <c r="ABS131" i="55"/>
  <c r="ACR131" i="55" s="1"/>
  <c r="ABR131" i="55"/>
  <c r="ACQ131" i="55" s="1"/>
  <c r="ABQ131" i="55"/>
  <c r="ACP131" i="55" s="1"/>
  <c r="ABP131" i="55"/>
  <c r="ACO131" i="55" s="1"/>
  <c r="ABO131" i="55"/>
  <c r="ACN131" i="55" s="1"/>
  <c r="ABN131" i="55"/>
  <c r="ACM131" i="55" s="1"/>
  <c r="ABM131" i="55"/>
  <c r="ACL131" i="55" s="1"/>
  <c r="ABL131" i="55"/>
  <c r="ACK131" i="55" s="1"/>
  <c r="ABK131" i="55"/>
  <c r="ACJ131" i="55" s="1"/>
  <c r="ABJ131" i="55"/>
  <c r="ACI131" i="55" s="1"/>
  <c r="ABI131" i="55"/>
  <c r="ACH131" i="55" s="1"/>
  <c r="ABH131" i="55"/>
  <c r="ACG131" i="55" s="1"/>
  <c r="ABG131" i="55"/>
  <c r="ACF131" i="55" s="1"/>
  <c r="ACD130" i="55"/>
  <c r="ADC130" i="55" s="1"/>
  <c r="ACC130" i="55"/>
  <c r="ADB130" i="55" s="1"/>
  <c r="ACB130" i="55"/>
  <c r="ADA130" i="55" s="1"/>
  <c r="ACA130" i="55"/>
  <c r="ACZ130" i="55" s="1"/>
  <c r="ABZ130" i="55"/>
  <c r="ACY130" i="55" s="1"/>
  <c r="ABY130" i="55"/>
  <c r="ACX130" i="55" s="1"/>
  <c r="ABX130" i="55"/>
  <c r="ACW130" i="55" s="1"/>
  <c r="ABW130" i="55"/>
  <c r="ACV130" i="55" s="1"/>
  <c r="ABV130" i="55"/>
  <c r="ACU130" i="55" s="1"/>
  <c r="ABU130" i="55"/>
  <c r="ACT130" i="55" s="1"/>
  <c r="ABT130" i="55"/>
  <c r="ACS130" i="55" s="1"/>
  <c r="ABS130" i="55"/>
  <c r="ACR130" i="55" s="1"/>
  <c r="ABR130" i="55"/>
  <c r="ACQ130" i="55" s="1"/>
  <c r="ABQ130" i="55"/>
  <c r="ACP130" i="55" s="1"/>
  <c r="ABP130" i="55"/>
  <c r="ACO130" i="55" s="1"/>
  <c r="ABO130" i="55"/>
  <c r="ACN130" i="55" s="1"/>
  <c r="ABN130" i="55"/>
  <c r="ACM130" i="55" s="1"/>
  <c r="ABM130" i="55"/>
  <c r="ACL130" i="55" s="1"/>
  <c r="ABL130" i="55"/>
  <c r="ACK130" i="55" s="1"/>
  <c r="ABK130" i="55"/>
  <c r="ACJ130" i="55" s="1"/>
  <c r="ABJ130" i="55"/>
  <c r="ACI130" i="55" s="1"/>
  <c r="ABI130" i="55"/>
  <c r="ACH130" i="55" s="1"/>
  <c r="ABH130" i="55"/>
  <c r="ACG130" i="55" s="1"/>
  <c r="ABG130" i="55"/>
  <c r="ACF130" i="55" s="1"/>
  <c r="ACD129" i="55"/>
  <c r="ADC129" i="55" s="1"/>
  <c r="ACC129" i="55"/>
  <c r="ADB129" i="55" s="1"/>
  <c r="ACB129" i="55"/>
  <c r="ADA129" i="55" s="1"/>
  <c r="ACA129" i="55"/>
  <c r="ACZ129" i="55" s="1"/>
  <c r="ABZ129" i="55"/>
  <c r="ACY129" i="55" s="1"/>
  <c r="ABY129" i="55"/>
  <c r="ACX129" i="55" s="1"/>
  <c r="ABX129" i="55"/>
  <c r="ACW129" i="55" s="1"/>
  <c r="ABW129" i="55"/>
  <c r="ACV129" i="55" s="1"/>
  <c r="ABV129" i="55"/>
  <c r="ACU129" i="55" s="1"/>
  <c r="ABU129" i="55"/>
  <c r="ACT129" i="55" s="1"/>
  <c r="ABT129" i="55"/>
  <c r="ACS129" i="55" s="1"/>
  <c r="ABS129" i="55"/>
  <c r="ACR129" i="55" s="1"/>
  <c r="ABR129" i="55"/>
  <c r="ACQ129" i="55" s="1"/>
  <c r="ABQ129" i="55"/>
  <c r="ACP129" i="55" s="1"/>
  <c r="ABP129" i="55"/>
  <c r="ACO129" i="55" s="1"/>
  <c r="ABO129" i="55"/>
  <c r="ACN129" i="55" s="1"/>
  <c r="ABN129" i="55"/>
  <c r="ACM129" i="55" s="1"/>
  <c r="ABM129" i="55"/>
  <c r="ACL129" i="55" s="1"/>
  <c r="ABL129" i="55"/>
  <c r="ACK129" i="55" s="1"/>
  <c r="ABK129" i="55"/>
  <c r="ACJ129" i="55" s="1"/>
  <c r="ABJ129" i="55"/>
  <c r="ACI129" i="55" s="1"/>
  <c r="ABI129" i="55"/>
  <c r="ACH129" i="55" s="1"/>
  <c r="ABH129" i="55"/>
  <c r="ACG129" i="55" s="1"/>
  <c r="ABG129" i="55"/>
  <c r="ACF129" i="55" s="1"/>
  <c r="ACT128" i="55"/>
  <c r="ACH128" i="55"/>
  <c r="ACD128" i="55"/>
  <c r="ADC128" i="55" s="1"/>
  <c r="ACC128" i="55"/>
  <c r="ADB128" i="55" s="1"/>
  <c r="ACB128" i="55"/>
  <c r="ADA128" i="55" s="1"/>
  <c r="ACA128" i="55"/>
  <c r="ACZ128" i="55" s="1"/>
  <c r="ABZ128" i="55"/>
  <c r="ACY128" i="55" s="1"/>
  <c r="ABY128" i="55"/>
  <c r="ACX128" i="55" s="1"/>
  <c r="ABX128" i="55"/>
  <c r="ACW128" i="55" s="1"/>
  <c r="ABW128" i="55"/>
  <c r="ACV128" i="55" s="1"/>
  <c r="ABV128" i="55"/>
  <c r="ACU128" i="55" s="1"/>
  <c r="ABU128" i="55"/>
  <c r="ABT128" i="55"/>
  <c r="ACS128" i="55" s="1"/>
  <c r="ABS128" i="55"/>
  <c r="ACR128" i="55" s="1"/>
  <c r="ABR128" i="55"/>
  <c r="ACQ128" i="55" s="1"/>
  <c r="ABQ128" i="55"/>
  <c r="ACP128" i="55" s="1"/>
  <c r="ABP128" i="55"/>
  <c r="ACO128" i="55" s="1"/>
  <c r="ABO128" i="55"/>
  <c r="ACN128" i="55" s="1"/>
  <c r="ABN128" i="55"/>
  <c r="ACM128" i="55" s="1"/>
  <c r="ABM128" i="55"/>
  <c r="ACL128" i="55" s="1"/>
  <c r="ABL128" i="55"/>
  <c r="ACK128" i="55" s="1"/>
  <c r="ABK128" i="55"/>
  <c r="ACJ128" i="55" s="1"/>
  <c r="ABJ128" i="55"/>
  <c r="ACI128" i="55" s="1"/>
  <c r="ABI128" i="55"/>
  <c r="ABH128" i="55"/>
  <c r="ACG128" i="55" s="1"/>
  <c r="ABG128" i="55"/>
  <c r="ACF128" i="55" s="1"/>
  <c r="ACT127" i="55"/>
  <c r="ACS127" i="55"/>
  <c r="ACD127" i="55"/>
  <c r="ADC127" i="55" s="1"/>
  <c r="ACC127" i="55"/>
  <c r="ADB127" i="55" s="1"/>
  <c r="ACB127" i="55"/>
  <c r="ADA127" i="55" s="1"/>
  <c r="ACA127" i="55"/>
  <c r="ACZ127" i="55" s="1"/>
  <c r="ABZ127" i="55"/>
  <c r="ACY127" i="55" s="1"/>
  <c r="ABY127" i="55"/>
  <c r="ACX127" i="55" s="1"/>
  <c r="ABX127" i="55"/>
  <c r="ACW127" i="55" s="1"/>
  <c r="ABW127" i="55"/>
  <c r="ACV127" i="55" s="1"/>
  <c r="ABV127" i="55"/>
  <c r="ACU127" i="55" s="1"/>
  <c r="ABU127" i="55"/>
  <c r="ABT127" i="55"/>
  <c r="ABS127" i="55"/>
  <c r="ACR127" i="55" s="1"/>
  <c r="ABR127" i="55"/>
  <c r="ACQ127" i="55" s="1"/>
  <c r="ABQ127" i="55"/>
  <c r="ACP127" i="55" s="1"/>
  <c r="ABP127" i="55"/>
  <c r="ACO127" i="55" s="1"/>
  <c r="ABO127" i="55"/>
  <c r="ACN127" i="55" s="1"/>
  <c r="ABN127" i="55"/>
  <c r="ACM127" i="55" s="1"/>
  <c r="ABM127" i="55"/>
  <c r="ACL127" i="55" s="1"/>
  <c r="ABL127" i="55"/>
  <c r="ACK127" i="55" s="1"/>
  <c r="ABK127" i="55"/>
  <c r="ACJ127" i="55" s="1"/>
  <c r="ABJ127" i="55"/>
  <c r="ACI127" i="55" s="1"/>
  <c r="ABI127" i="55"/>
  <c r="ACH127" i="55" s="1"/>
  <c r="ABH127" i="55"/>
  <c r="ACG127" i="55" s="1"/>
  <c r="ABG127" i="55"/>
  <c r="ACF127" i="55" s="1"/>
  <c r="ACT126" i="55"/>
  <c r="ACR126" i="55"/>
  <c r="ACD126" i="55"/>
  <c r="ADC126" i="55" s="1"/>
  <c r="ACC126" i="55"/>
  <c r="ADB126" i="55" s="1"/>
  <c r="ACB126" i="55"/>
  <c r="ADA126" i="55" s="1"/>
  <c r="ACA126" i="55"/>
  <c r="ACZ126" i="55" s="1"/>
  <c r="ABZ126" i="55"/>
  <c r="ACY126" i="55" s="1"/>
  <c r="ABY126" i="55"/>
  <c r="ACX126" i="55" s="1"/>
  <c r="ABX126" i="55"/>
  <c r="ACW126" i="55" s="1"/>
  <c r="ABW126" i="55"/>
  <c r="ACV126" i="55" s="1"/>
  <c r="ABV126" i="55"/>
  <c r="ACU126" i="55" s="1"/>
  <c r="ABU126" i="55"/>
  <c r="ABT126" i="55"/>
  <c r="ACS126" i="55" s="1"/>
  <c r="ABS126" i="55"/>
  <c r="ABR126" i="55"/>
  <c r="ACQ126" i="55" s="1"/>
  <c r="ABQ126" i="55"/>
  <c r="ACP126" i="55" s="1"/>
  <c r="ABP126" i="55"/>
  <c r="ACO126" i="55" s="1"/>
  <c r="ABO126" i="55"/>
  <c r="ACN126" i="55" s="1"/>
  <c r="ABN126" i="55"/>
  <c r="ACM126" i="55" s="1"/>
  <c r="ABM126" i="55"/>
  <c r="ACL126" i="55" s="1"/>
  <c r="ABL126" i="55"/>
  <c r="ACK126" i="55" s="1"/>
  <c r="ABK126" i="55"/>
  <c r="ACJ126" i="55" s="1"/>
  <c r="ABJ126" i="55"/>
  <c r="ACI126" i="55" s="1"/>
  <c r="ABI126" i="55"/>
  <c r="ACH126" i="55" s="1"/>
  <c r="ABH126" i="55"/>
  <c r="ACG126" i="55" s="1"/>
  <c r="ABG126" i="55"/>
  <c r="ACF126" i="55" s="1"/>
  <c r="ACW125" i="55"/>
  <c r="ACT125" i="55"/>
  <c r="ACR125" i="55"/>
  <c r="ACD125" i="55"/>
  <c r="ADC125" i="55" s="1"/>
  <c r="ACC125" i="55"/>
  <c r="ADB125" i="55" s="1"/>
  <c r="ACB125" i="55"/>
  <c r="ADA125" i="55" s="1"/>
  <c r="ACA125" i="55"/>
  <c r="ACZ125" i="55" s="1"/>
  <c r="ABZ125" i="55"/>
  <c r="ACY125" i="55" s="1"/>
  <c r="ABY125" i="55"/>
  <c r="ACX125" i="55" s="1"/>
  <c r="ABX125" i="55"/>
  <c r="ABW125" i="55"/>
  <c r="ACV125" i="55" s="1"/>
  <c r="ABV125" i="55"/>
  <c r="ACU125" i="55" s="1"/>
  <c r="ABU125" i="55"/>
  <c r="ABT125" i="55"/>
  <c r="ACS125" i="55" s="1"/>
  <c r="ABS125" i="55"/>
  <c r="ABR125" i="55"/>
  <c r="ACQ125" i="55" s="1"/>
  <c r="ABQ125" i="55"/>
  <c r="ACP125" i="55" s="1"/>
  <c r="ABP125" i="55"/>
  <c r="ACO125" i="55" s="1"/>
  <c r="ABO125" i="55"/>
  <c r="ACN125" i="55" s="1"/>
  <c r="ABN125" i="55"/>
  <c r="ACM125" i="55" s="1"/>
  <c r="ABM125" i="55"/>
  <c r="ACL125" i="55" s="1"/>
  <c r="ABL125" i="55"/>
  <c r="ACK125" i="55" s="1"/>
  <c r="ABK125" i="55"/>
  <c r="ACJ125" i="55" s="1"/>
  <c r="ABJ125" i="55"/>
  <c r="ACI125" i="55" s="1"/>
  <c r="ABI125" i="55"/>
  <c r="ACH125" i="55" s="1"/>
  <c r="ABH125" i="55"/>
  <c r="ACG125" i="55" s="1"/>
  <c r="ABG125" i="55"/>
  <c r="ACF125" i="55" s="1"/>
  <c r="ADB124" i="55"/>
  <c r="ACW124" i="55"/>
  <c r="ACT124" i="55"/>
  <c r="ACR124" i="55"/>
  <c r="ACP124" i="55"/>
  <c r="ACK124" i="55"/>
  <c r="ACD124" i="55"/>
  <c r="ADC124" i="55" s="1"/>
  <c r="ACC124" i="55"/>
  <c r="ACB124" i="55"/>
  <c r="ADA124" i="55" s="1"/>
  <c r="ACA124" i="55"/>
  <c r="ACZ124" i="55" s="1"/>
  <c r="ABZ124" i="55"/>
  <c r="ACY124" i="55" s="1"/>
  <c r="ABY124" i="55"/>
  <c r="ACX124" i="55" s="1"/>
  <c r="ABX124" i="55"/>
  <c r="ABW124" i="55"/>
  <c r="ACV124" i="55" s="1"/>
  <c r="ABV124" i="55"/>
  <c r="ACU124" i="55" s="1"/>
  <c r="ABU124" i="55"/>
  <c r="ABT124" i="55"/>
  <c r="ACS124" i="55" s="1"/>
  <c r="ABS124" i="55"/>
  <c r="ABR124" i="55"/>
  <c r="ACQ124" i="55" s="1"/>
  <c r="ABQ124" i="55"/>
  <c r="ABP124" i="55"/>
  <c r="ACO124" i="55" s="1"/>
  <c r="ABO124" i="55"/>
  <c r="ACN124" i="55" s="1"/>
  <c r="ABN124" i="55"/>
  <c r="ACM124" i="55" s="1"/>
  <c r="ABM124" i="55"/>
  <c r="ACL124" i="55" s="1"/>
  <c r="ABL124" i="55"/>
  <c r="ABK124" i="55"/>
  <c r="ACJ124" i="55" s="1"/>
  <c r="ABJ124" i="55"/>
  <c r="ACI124" i="55" s="1"/>
  <c r="ABI124" i="55"/>
  <c r="ACH124" i="55" s="1"/>
  <c r="ABH124" i="55"/>
  <c r="ACG124" i="55" s="1"/>
  <c r="ABG124" i="55"/>
  <c r="ACF124" i="55" s="1"/>
  <c r="ADB123" i="55"/>
  <c r="ACW123" i="55"/>
  <c r="ACT123" i="55"/>
  <c r="ACR123" i="55"/>
  <c r="ACP123" i="55"/>
  <c r="ACD123" i="55"/>
  <c r="ADC123" i="55" s="1"/>
  <c r="ACC123" i="55"/>
  <c r="ACB123" i="55"/>
  <c r="ADA123" i="55" s="1"/>
  <c r="ACA123" i="55"/>
  <c r="ACZ123" i="55" s="1"/>
  <c r="ABZ123" i="55"/>
  <c r="ACY123" i="55" s="1"/>
  <c r="ABY123" i="55"/>
  <c r="ACX123" i="55" s="1"/>
  <c r="ABX123" i="55"/>
  <c r="ABW123" i="55"/>
  <c r="ACV123" i="55" s="1"/>
  <c r="ABV123" i="55"/>
  <c r="ACU123" i="55" s="1"/>
  <c r="ABU123" i="55"/>
  <c r="ABT123" i="55"/>
  <c r="ACS123" i="55" s="1"/>
  <c r="ABS123" i="55"/>
  <c r="ABR123" i="55"/>
  <c r="ACQ123" i="55" s="1"/>
  <c r="ABQ123" i="55"/>
  <c r="ABP123" i="55"/>
  <c r="ACO123" i="55" s="1"/>
  <c r="ABO123" i="55"/>
  <c r="ACN123" i="55" s="1"/>
  <c r="ABN123" i="55"/>
  <c r="ACM123" i="55" s="1"/>
  <c r="ABM123" i="55"/>
  <c r="ACL123" i="55" s="1"/>
  <c r="ABL123" i="55"/>
  <c r="ACK123" i="55" s="1"/>
  <c r="ABK123" i="55"/>
  <c r="ACJ123" i="55" s="1"/>
  <c r="ABJ123" i="55"/>
  <c r="ACI123" i="55" s="1"/>
  <c r="ABI123" i="55"/>
  <c r="ACH123" i="55" s="1"/>
  <c r="ABH123" i="55"/>
  <c r="ACG123" i="55" s="1"/>
  <c r="ABG123" i="55"/>
  <c r="ACF123" i="55" s="1"/>
  <c r="ACT122" i="55"/>
  <c r="ACM122" i="55"/>
  <c r="ACD122" i="55"/>
  <c r="ADC122" i="55" s="1"/>
  <c r="ACC122" i="55"/>
  <c r="ADB122" i="55" s="1"/>
  <c r="ACB122" i="55"/>
  <c r="ADA122" i="55" s="1"/>
  <c r="ACA122" i="55"/>
  <c r="ACZ122" i="55" s="1"/>
  <c r="ABZ122" i="55"/>
  <c r="ACY122" i="55" s="1"/>
  <c r="ABY122" i="55"/>
  <c r="ACX122" i="55" s="1"/>
  <c r="ABX122" i="55"/>
  <c r="ACW122" i="55" s="1"/>
  <c r="ABW122" i="55"/>
  <c r="ACV122" i="55" s="1"/>
  <c r="ABV122" i="55"/>
  <c r="ACU122" i="55" s="1"/>
  <c r="ABU122" i="55"/>
  <c r="ABT122" i="55"/>
  <c r="ACS122" i="55" s="1"/>
  <c r="ABS122" i="55"/>
  <c r="ACR122" i="55" s="1"/>
  <c r="ABR122" i="55"/>
  <c r="ACQ122" i="55" s="1"/>
  <c r="ABQ122" i="55"/>
  <c r="ACP122" i="55" s="1"/>
  <c r="ABP122" i="55"/>
  <c r="ACO122" i="55" s="1"/>
  <c r="ABO122" i="55"/>
  <c r="ACN122" i="55" s="1"/>
  <c r="ABN122" i="55"/>
  <c r="ABM122" i="55"/>
  <c r="ACL122" i="55" s="1"/>
  <c r="ABL122" i="55"/>
  <c r="ACK122" i="55" s="1"/>
  <c r="ABK122" i="55"/>
  <c r="ACJ122" i="55" s="1"/>
  <c r="ABJ122" i="55"/>
  <c r="ACI122" i="55" s="1"/>
  <c r="ABI122" i="55"/>
  <c r="ACH122" i="55" s="1"/>
  <c r="ABH122" i="55"/>
  <c r="ACG122" i="55" s="1"/>
  <c r="ABG122" i="55"/>
  <c r="ACF122" i="55" s="1"/>
  <c r="ACR121" i="55"/>
  <c r="ACD121" i="55"/>
  <c r="ADC121" i="55" s="1"/>
  <c r="ACC121" i="55"/>
  <c r="ADB121" i="55" s="1"/>
  <c r="ACB121" i="55"/>
  <c r="ADA121" i="55" s="1"/>
  <c r="ACA121" i="55"/>
  <c r="ACZ121" i="55" s="1"/>
  <c r="ABZ121" i="55"/>
  <c r="ACY121" i="55" s="1"/>
  <c r="ABY121" i="55"/>
  <c r="ACX121" i="55" s="1"/>
  <c r="ABX121" i="55"/>
  <c r="ACW121" i="55" s="1"/>
  <c r="ABW121" i="55"/>
  <c r="ACV121" i="55" s="1"/>
  <c r="ABV121" i="55"/>
  <c r="ACU121" i="55" s="1"/>
  <c r="ABU121" i="55"/>
  <c r="ACT121" i="55" s="1"/>
  <c r="ABT121" i="55"/>
  <c r="ACS121" i="55" s="1"/>
  <c r="ABS121" i="55"/>
  <c r="ABR121" i="55"/>
  <c r="ACQ121" i="55" s="1"/>
  <c r="ABQ121" i="55"/>
  <c r="ACP121" i="55" s="1"/>
  <c r="ABP121" i="55"/>
  <c r="ACO121" i="55" s="1"/>
  <c r="ABO121" i="55"/>
  <c r="ACN121" i="55" s="1"/>
  <c r="ABN121" i="55"/>
  <c r="ACM121" i="55" s="1"/>
  <c r="ABM121" i="55"/>
  <c r="ACL121" i="55" s="1"/>
  <c r="ABL121" i="55"/>
  <c r="ACK121" i="55" s="1"/>
  <c r="ABK121" i="55"/>
  <c r="ACJ121" i="55" s="1"/>
  <c r="ABJ121" i="55"/>
  <c r="ACI121" i="55" s="1"/>
  <c r="ABI121" i="55"/>
  <c r="ACH121" i="55" s="1"/>
  <c r="ABH121" i="55"/>
  <c r="ACG121" i="55" s="1"/>
  <c r="ABG121" i="55"/>
  <c r="ACF121" i="55" s="1"/>
  <c r="ACT120" i="55"/>
  <c r="ACD120" i="55"/>
  <c r="ADC120" i="55" s="1"/>
  <c r="ACC120" i="55"/>
  <c r="ADB120" i="55" s="1"/>
  <c r="ACB120" i="55"/>
  <c r="ADA120" i="55" s="1"/>
  <c r="ACA120" i="55"/>
  <c r="ACZ120" i="55" s="1"/>
  <c r="ABZ120" i="55"/>
  <c r="ACY120" i="55" s="1"/>
  <c r="ABY120" i="55"/>
  <c r="ACX120" i="55" s="1"/>
  <c r="ABX120" i="55"/>
  <c r="ACW120" i="55" s="1"/>
  <c r="ABW120" i="55"/>
  <c r="ACV120" i="55" s="1"/>
  <c r="ABV120" i="55"/>
  <c r="ACU120" i="55" s="1"/>
  <c r="ABU120" i="55"/>
  <c r="ABT120" i="55"/>
  <c r="ACS120" i="55" s="1"/>
  <c r="ABS120" i="55"/>
  <c r="ACR120" i="55" s="1"/>
  <c r="ABR120" i="55"/>
  <c r="ACQ120" i="55" s="1"/>
  <c r="ABQ120" i="55"/>
  <c r="ACP120" i="55" s="1"/>
  <c r="ABP120" i="55"/>
  <c r="ACO120" i="55" s="1"/>
  <c r="ABO120" i="55"/>
  <c r="ACN120" i="55" s="1"/>
  <c r="ABN120" i="55"/>
  <c r="ACM120" i="55" s="1"/>
  <c r="ABM120" i="55"/>
  <c r="ACL120" i="55" s="1"/>
  <c r="ABL120" i="55"/>
  <c r="ACK120" i="55" s="1"/>
  <c r="ABK120" i="55"/>
  <c r="ACJ120" i="55" s="1"/>
  <c r="ABJ120" i="55"/>
  <c r="ACI120" i="55" s="1"/>
  <c r="ABI120" i="55"/>
  <c r="ACH120" i="55" s="1"/>
  <c r="ABH120" i="55"/>
  <c r="ACG120" i="55" s="1"/>
  <c r="ABG120" i="55"/>
  <c r="ACF120" i="55" s="1"/>
  <c r="ACW119" i="55"/>
  <c r="ACR119" i="55"/>
  <c r="ACD119" i="55"/>
  <c r="ADC119" i="55" s="1"/>
  <c r="ACC119" i="55"/>
  <c r="ADB119" i="55" s="1"/>
  <c r="ACB119" i="55"/>
  <c r="ADA119" i="55" s="1"/>
  <c r="ACA119" i="55"/>
  <c r="ACZ119" i="55" s="1"/>
  <c r="ABZ119" i="55"/>
  <c r="ACY119" i="55" s="1"/>
  <c r="ABY119" i="55"/>
  <c r="ACX119" i="55" s="1"/>
  <c r="ABX119" i="55"/>
  <c r="ABW119" i="55"/>
  <c r="ACV119" i="55" s="1"/>
  <c r="ABV119" i="55"/>
  <c r="ACU119" i="55" s="1"/>
  <c r="ABU119" i="55"/>
  <c r="ACT119" i="55" s="1"/>
  <c r="ABT119" i="55"/>
  <c r="ACS119" i="55" s="1"/>
  <c r="ABS119" i="55"/>
  <c r="ABR119" i="55"/>
  <c r="ACQ119" i="55" s="1"/>
  <c r="ABQ119" i="55"/>
  <c r="ACP119" i="55" s="1"/>
  <c r="ABP119" i="55"/>
  <c r="ACO119" i="55" s="1"/>
  <c r="ABO119" i="55"/>
  <c r="ACN119" i="55" s="1"/>
  <c r="ABN119" i="55"/>
  <c r="ACM119" i="55" s="1"/>
  <c r="ABM119" i="55"/>
  <c r="ACL119" i="55" s="1"/>
  <c r="ABL119" i="55"/>
  <c r="ACK119" i="55" s="1"/>
  <c r="ABK119" i="55"/>
  <c r="ACJ119" i="55" s="1"/>
  <c r="ABJ119" i="55"/>
  <c r="ACI119" i="55" s="1"/>
  <c r="ABI119" i="55"/>
  <c r="ACH119" i="55" s="1"/>
  <c r="ABH119" i="55"/>
  <c r="ACG119" i="55" s="1"/>
  <c r="ABG119" i="55"/>
  <c r="ACF119" i="55" s="1"/>
  <c r="ADB118" i="55"/>
  <c r="ACY118" i="55"/>
  <c r="ACW118" i="55"/>
  <c r="ACT118" i="55"/>
  <c r="ACR118" i="55"/>
  <c r="ACD118" i="55"/>
  <c r="ADC118" i="55" s="1"/>
  <c r="ACC118" i="55"/>
  <c r="ACB118" i="55"/>
  <c r="ADA118" i="55" s="1"/>
  <c r="ACA118" i="55"/>
  <c r="ACZ118" i="55" s="1"/>
  <c r="ABZ118" i="55"/>
  <c r="ABY118" i="55"/>
  <c r="ACX118" i="55" s="1"/>
  <c r="ABX118" i="55"/>
  <c r="ABW118" i="55"/>
  <c r="ACV118" i="55" s="1"/>
  <c r="ABV118" i="55"/>
  <c r="ACU118" i="55" s="1"/>
  <c r="ABU118" i="55"/>
  <c r="ABT118" i="55"/>
  <c r="ACS118" i="55" s="1"/>
  <c r="ABS118" i="55"/>
  <c r="ABR118" i="55"/>
  <c r="ACQ118" i="55" s="1"/>
  <c r="ABQ118" i="55"/>
  <c r="ACP118" i="55" s="1"/>
  <c r="ABP118" i="55"/>
  <c r="ACO118" i="55" s="1"/>
  <c r="ABO118" i="55"/>
  <c r="ACN118" i="55" s="1"/>
  <c r="ABN118" i="55"/>
  <c r="ACM118" i="55" s="1"/>
  <c r="ABM118" i="55"/>
  <c r="ACL118" i="55" s="1"/>
  <c r="ABL118" i="55"/>
  <c r="ACK118" i="55" s="1"/>
  <c r="ABK118" i="55"/>
  <c r="ACJ118" i="55" s="1"/>
  <c r="ABJ118" i="55"/>
  <c r="ACI118" i="55" s="1"/>
  <c r="ABI118" i="55"/>
  <c r="ACH118" i="55" s="1"/>
  <c r="ABH118" i="55"/>
  <c r="ACG118" i="55" s="1"/>
  <c r="ABG118" i="55"/>
  <c r="ACF118" i="55" s="1"/>
  <c r="ACD117" i="55"/>
  <c r="ADC117" i="55" s="1"/>
  <c r="ACC117" i="55"/>
  <c r="ADB117" i="55" s="1"/>
  <c r="ACB117" i="55"/>
  <c r="ADA117" i="55" s="1"/>
  <c r="ACA117" i="55"/>
  <c r="ACZ117" i="55" s="1"/>
  <c r="ABZ117" i="55"/>
  <c r="ACY117" i="55" s="1"/>
  <c r="ABY117" i="55"/>
  <c r="ACX117" i="55" s="1"/>
  <c r="ABX117" i="55"/>
  <c r="ACW117" i="55" s="1"/>
  <c r="ABW117" i="55"/>
  <c r="ACV117" i="55" s="1"/>
  <c r="ABV117" i="55"/>
  <c r="ACU117" i="55" s="1"/>
  <c r="ABU117" i="55"/>
  <c r="ACT117" i="55" s="1"/>
  <c r="ABT117" i="55"/>
  <c r="ACS117" i="55" s="1"/>
  <c r="ABS117" i="55"/>
  <c r="ACR117" i="55" s="1"/>
  <c r="ABR117" i="55"/>
  <c r="ACQ117" i="55" s="1"/>
  <c r="ABQ117" i="55"/>
  <c r="ACP117" i="55" s="1"/>
  <c r="ABP117" i="55"/>
  <c r="ACO117" i="55" s="1"/>
  <c r="ABO117" i="55"/>
  <c r="ACN117" i="55" s="1"/>
  <c r="ABN117" i="55"/>
  <c r="ACM117" i="55" s="1"/>
  <c r="ABM117" i="55"/>
  <c r="ACL117" i="55" s="1"/>
  <c r="ABL117" i="55"/>
  <c r="ACK117" i="55" s="1"/>
  <c r="ABK117" i="55"/>
  <c r="ACJ117" i="55" s="1"/>
  <c r="ABJ117" i="55"/>
  <c r="ACI117" i="55" s="1"/>
  <c r="ABI117" i="55"/>
  <c r="ACH117" i="55" s="1"/>
  <c r="ABH117" i="55"/>
  <c r="ACG117" i="55" s="1"/>
  <c r="ABG117" i="55"/>
  <c r="ACF117" i="55" s="1"/>
  <c r="ACD116" i="55"/>
  <c r="ADC116" i="55" s="1"/>
  <c r="ACC116" i="55"/>
  <c r="ADB116" i="55" s="1"/>
  <c r="ACB116" i="55"/>
  <c r="ADA116" i="55" s="1"/>
  <c r="ACA116" i="55"/>
  <c r="ACZ116" i="55" s="1"/>
  <c r="ABZ116" i="55"/>
  <c r="ACY116" i="55" s="1"/>
  <c r="ABY116" i="55"/>
  <c r="ACX116" i="55" s="1"/>
  <c r="ABX116" i="55"/>
  <c r="ACW116" i="55" s="1"/>
  <c r="ABW116" i="55"/>
  <c r="ACV116" i="55" s="1"/>
  <c r="ABV116" i="55"/>
  <c r="ACU116" i="55" s="1"/>
  <c r="ABU116" i="55"/>
  <c r="ACT116" i="55" s="1"/>
  <c r="ABT116" i="55"/>
  <c r="ACS116" i="55" s="1"/>
  <c r="ABS116" i="55"/>
  <c r="ACR116" i="55" s="1"/>
  <c r="ABR116" i="55"/>
  <c r="ACQ116" i="55" s="1"/>
  <c r="ABQ116" i="55"/>
  <c r="ACP116" i="55" s="1"/>
  <c r="ABP116" i="55"/>
  <c r="ACO116" i="55" s="1"/>
  <c r="ABO116" i="55"/>
  <c r="ACN116" i="55" s="1"/>
  <c r="ABN116" i="55"/>
  <c r="ACM116" i="55" s="1"/>
  <c r="ABM116" i="55"/>
  <c r="ACL116" i="55" s="1"/>
  <c r="ABL116" i="55"/>
  <c r="ACK116" i="55" s="1"/>
  <c r="ABK116" i="55"/>
  <c r="ACJ116" i="55" s="1"/>
  <c r="ABJ116" i="55"/>
  <c r="ACI116" i="55" s="1"/>
  <c r="ABI116" i="55"/>
  <c r="ACH116" i="55" s="1"/>
  <c r="ABH116" i="55"/>
  <c r="ACG116" i="55" s="1"/>
  <c r="ABG116" i="55"/>
  <c r="ACF116" i="55" s="1"/>
  <c r="ACD115" i="55"/>
  <c r="ADC115" i="55" s="1"/>
  <c r="ACC115" i="55"/>
  <c r="ADB115" i="55" s="1"/>
  <c r="ACB115" i="55"/>
  <c r="ADA115" i="55" s="1"/>
  <c r="ACA115" i="55"/>
  <c r="ACZ115" i="55" s="1"/>
  <c r="ABZ115" i="55"/>
  <c r="ACY115" i="55" s="1"/>
  <c r="ABY115" i="55"/>
  <c r="ACX115" i="55" s="1"/>
  <c r="ABX115" i="55"/>
  <c r="ACW115" i="55" s="1"/>
  <c r="ABW115" i="55"/>
  <c r="ACV115" i="55" s="1"/>
  <c r="ABV115" i="55"/>
  <c r="ACU115" i="55" s="1"/>
  <c r="ABU115" i="55"/>
  <c r="ACT115" i="55" s="1"/>
  <c r="ABT115" i="55"/>
  <c r="ACS115" i="55" s="1"/>
  <c r="ABS115" i="55"/>
  <c r="ACR115" i="55" s="1"/>
  <c r="ABR115" i="55"/>
  <c r="ACQ115" i="55" s="1"/>
  <c r="ABQ115" i="55"/>
  <c r="ACP115" i="55" s="1"/>
  <c r="ABP115" i="55"/>
  <c r="ACO115" i="55" s="1"/>
  <c r="ABO115" i="55"/>
  <c r="ACN115" i="55" s="1"/>
  <c r="ABN115" i="55"/>
  <c r="ACM115" i="55" s="1"/>
  <c r="ABM115" i="55"/>
  <c r="ACL115" i="55" s="1"/>
  <c r="ABL115" i="55"/>
  <c r="ACK115" i="55" s="1"/>
  <c r="ABK115" i="55"/>
  <c r="ACJ115" i="55" s="1"/>
  <c r="ABJ115" i="55"/>
  <c r="ACI115" i="55" s="1"/>
  <c r="ABI115" i="55"/>
  <c r="ACH115" i="55" s="1"/>
  <c r="ABH115" i="55"/>
  <c r="ACG115" i="55" s="1"/>
  <c r="ABG115" i="55"/>
  <c r="ACF115" i="55" s="1"/>
  <c r="ACD114" i="55"/>
  <c r="ADC114" i="55" s="1"/>
  <c r="ACC114" i="55"/>
  <c r="ADB114" i="55" s="1"/>
  <c r="ACB114" i="55"/>
  <c r="ADA114" i="55" s="1"/>
  <c r="ACA114" i="55"/>
  <c r="ACZ114" i="55" s="1"/>
  <c r="ABZ114" i="55"/>
  <c r="ACY114" i="55" s="1"/>
  <c r="ABY114" i="55"/>
  <c r="ACX114" i="55" s="1"/>
  <c r="ABX114" i="55"/>
  <c r="ACW114" i="55" s="1"/>
  <c r="ABW114" i="55"/>
  <c r="ACV114" i="55" s="1"/>
  <c r="ABV114" i="55"/>
  <c r="ACU114" i="55" s="1"/>
  <c r="ABU114" i="55"/>
  <c r="ACT114" i="55" s="1"/>
  <c r="ABT114" i="55"/>
  <c r="ACS114" i="55" s="1"/>
  <c r="ABS114" i="55"/>
  <c r="ACR114" i="55" s="1"/>
  <c r="ABR114" i="55"/>
  <c r="ACQ114" i="55" s="1"/>
  <c r="ABQ114" i="55"/>
  <c r="ACP114" i="55" s="1"/>
  <c r="ABP114" i="55"/>
  <c r="ACO114" i="55" s="1"/>
  <c r="ABO114" i="55"/>
  <c r="ACN114" i="55" s="1"/>
  <c r="ABN114" i="55"/>
  <c r="ACM114" i="55" s="1"/>
  <c r="ABM114" i="55"/>
  <c r="ACL114" i="55" s="1"/>
  <c r="ABL114" i="55"/>
  <c r="ACK114" i="55" s="1"/>
  <c r="ABK114" i="55"/>
  <c r="ACJ114" i="55" s="1"/>
  <c r="ABJ114" i="55"/>
  <c r="ACI114" i="55" s="1"/>
  <c r="ABI114" i="55"/>
  <c r="ACH114" i="55" s="1"/>
  <c r="ABH114" i="55"/>
  <c r="ACG114" i="55" s="1"/>
  <c r="ABG114" i="55"/>
  <c r="ACF114" i="55" s="1"/>
  <c r="ACD113" i="55"/>
  <c r="ADC113" i="55" s="1"/>
  <c r="ACC113" i="55"/>
  <c r="ADB113" i="55" s="1"/>
  <c r="ACB113" i="55"/>
  <c r="ADA113" i="55" s="1"/>
  <c r="ACA113" i="55"/>
  <c r="ACZ113" i="55" s="1"/>
  <c r="ABZ113" i="55"/>
  <c r="ACY113" i="55" s="1"/>
  <c r="ABY113" i="55"/>
  <c r="ACX113" i="55" s="1"/>
  <c r="ABX113" i="55"/>
  <c r="ACW113" i="55" s="1"/>
  <c r="ABW113" i="55"/>
  <c r="ACV113" i="55" s="1"/>
  <c r="ABV113" i="55"/>
  <c r="ACU113" i="55" s="1"/>
  <c r="ABU113" i="55"/>
  <c r="ACT113" i="55" s="1"/>
  <c r="ABT113" i="55"/>
  <c r="ACS113" i="55" s="1"/>
  <c r="ABS113" i="55"/>
  <c r="ACR113" i="55" s="1"/>
  <c r="ABR113" i="55"/>
  <c r="ACQ113" i="55" s="1"/>
  <c r="ABQ113" i="55"/>
  <c r="ACP113" i="55" s="1"/>
  <c r="ABP113" i="55"/>
  <c r="ACO113" i="55" s="1"/>
  <c r="ABO113" i="55"/>
  <c r="ACN113" i="55" s="1"/>
  <c r="ABN113" i="55"/>
  <c r="ACM113" i="55" s="1"/>
  <c r="ABM113" i="55"/>
  <c r="ACL113" i="55" s="1"/>
  <c r="ABL113" i="55"/>
  <c r="ACK113" i="55" s="1"/>
  <c r="ABK113" i="55"/>
  <c r="ACJ113" i="55" s="1"/>
  <c r="ABJ113" i="55"/>
  <c r="ACI113" i="55" s="1"/>
  <c r="ABI113" i="55"/>
  <c r="ACH113" i="55" s="1"/>
  <c r="ABH113" i="55"/>
  <c r="ACG113" i="55" s="1"/>
  <c r="ABG113" i="55"/>
  <c r="ACF113" i="55" s="1"/>
  <c r="ACD112" i="55"/>
  <c r="ADC112" i="55" s="1"/>
  <c r="ACC112" i="55"/>
  <c r="ADB112" i="55" s="1"/>
  <c r="ACB112" i="55"/>
  <c r="ADA112" i="55" s="1"/>
  <c r="ACA112" i="55"/>
  <c r="ACZ112" i="55" s="1"/>
  <c r="ABZ112" i="55"/>
  <c r="ACY112" i="55" s="1"/>
  <c r="ABY112" i="55"/>
  <c r="ACX112" i="55" s="1"/>
  <c r="ABX112" i="55"/>
  <c r="ACW112" i="55" s="1"/>
  <c r="ABW112" i="55"/>
  <c r="ACV112" i="55" s="1"/>
  <c r="ABV112" i="55"/>
  <c r="ACU112" i="55" s="1"/>
  <c r="ABU112" i="55"/>
  <c r="ACT112" i="55" s="1"/>
  <c r="ABT112" i="55"/>
  <c r="ACS112" i="55" s="1"/>
  <c r="ABS112" i="55"/>
  <c r="ACR112" i="55" s="1"/>
  <c r="ABR112" i="55"/>
  <c r="ACQ112" i="55" s="1"/>
  <c r="ABQ112" i="55"/>
  <c r="ACP112" i="55" s="1"/>
  <c r="ABP112" i="55"/>
  <c r="ACO112" i="55" s="1"/>
  <c r="ABO112" i="55"/>
  <c r="ACN112" i="55" s="1"/>
  <c r="ABN112" i="55"/>
  <c r="ACM112" i="55" s="1"/>
  <c r="ABM112" i="55"/>
  <c r="ACL112" i="55" s="1"/>
  <c r="ABL112" i="55"/>
  <c r="ACK112" i="55" s="1"/>
  <c r="ABK112" i="55"/>
  <c r="ACJ112" i="55" s="1"/>
  <c r="ABJ112" i="55"/>
  <c r="ACI112" i="55" s="1"/>
  <c r="ABI112" i="55"/>
  <c r="ACH112" i="55" s="1"/>
  <c r="ABH112" i="55"/>
  <c r="ACG112" i="55" s="1"/>
  <c r="ABG112" i="55"/>
  <c r="ACF112" i="55" s="1"/>
  <c r="ACD111" i="55"/>
  <c r="ADC111" i="55" s="1"/>
  <c r="ACC111" i="55"/>
  <c r="ADB111" i="55" s="1"/>
  <c r="ACB111" i="55"/>
  <c r="ADA111" i="55" s="1"/>
  <c r="ACA111" i="55"/>
  <c r="ACZ111" i="55" s="1"/>
  <c r="ABZ111" i="55"/>
  <c r="ACY111" i="55" s="1"/>
  <c r="ABY111" i="55"/>
  <c r="ACX111" i="55" s="1"/>
  <c r="ABX111" i="55"/>
  <c r="ACW111" i="55" s="1"/>
  <c r="ABW111" i="55"/>
  <c r="ACV111" i="55" s="1"/>
  <c r="ABV111" i="55"/>
  <c r="ACU111" i="55" s="1"/>
  <c r="ABU111" i="55"/>
  <c r="ACT111" i="55" s="1"/>
  <c r="ABT111" i="55"/>
  <c r="ACS111" i="55" s="1"/>
  <c r="ABS111" i="55"/>
  <c r="ACR111" i="55" s="1"/>
  <c r="ABR111" i="55"/>
  <c r="ACQ111" i="55" s="1"/>
  <c r="ABQ111" i="55"/>
  <c r="ACP111" i="55" s="1"/>
  <c r="ABP111" i="55"/>
  <c r="ACO111" i="55" s="1"/>
  <c r="ABO111" i="55"/>
  <c r="ACN111" i="55" s="1"/>
  <c r="ABN111" i="55"/>
  <c r="ACM111" i="55" s="1"/>
  <c r="ABM111" i="55"/>
  <c r="ACL111" i="55" s="1"/>
  <c r="ABL111" i="55"/>
  <c r="ACK111" i="55" s="1"/>
  <c r="ABK111" i="55"/>
  <c r="ACJ111" i="55" s="1"/>
  <c r="ABJ111" i="55"/>
  <c r="ACI111" i="55" s="1"/>
  <c r="ABI111" i="55"/>
  <c r="ACH111" i="55" s="1"/>
  <c r="ABH111" i="55"/>
  <c r="ACG111" i="55" s="1"/>
  <c r="ABG111" i="55"/>
  <c r="ACF111" i="55" s="1"/>
  <c r="ACD110" i="55"/>
  <c r="ADC110" i="55" s="1"/>
  <c r="ACC110" i="55"/>
  <c r="ADB110" i="55" s="1"/>
  <c r="ACB110" i="55"/>
  <c r="ADA110" i="55" s="1"/>
  <c r="ACA110" i="55"/>
  <c r="ACZ110" i="55" s="1"/>
  <c r="ABZ110" i="55"/>
  <c r="ACY110" i="55" s="1"/>
  <c r="ABY110" i="55"/>
  <c r="ACX110" i="55" s="1"/>
  <c r="ABX110" i="55"/>
  <c r="ACW110" i="55" s="1"/>
  <c r="ABW110" i="55"/>
  <c r="ACV110" i="55" s="1"/>
  <c r="ABV110" i="55"/>
  <c r="ACU110" i="55" s="1"/>
  <c r="ABU110" i="55"/>
  <c r="ACT110" i="55" s="1"/>
  <c r="ABT110" i="55"/>
  <c r="ACS110" i="55" s="1"/>
  <c r="ABS110" i="55"/>
  <c r="ACR110" i="55" s="1"/>
  <c r="ABR110" i="55"/>
  <c r="ACQ110" i="55" s="1"/>
  <c r="ABQ110" i="55"/>
  <c r="ACP110" i="55" s="1"/>
  <c r="ABP110" i="55"/>
  <c r="ACO110" i="55" s="1"/>
  <c r="ABO110" i="55"/>
  <c r="ACN110" i="55" s="1"/>
  <c r="ABN110" i="55"/>
  <c r="ACM110" i="55" s="1"/>
  <c r="ABM110" i="55"/>
  <c r="ACL110" i="55" s="1"/>
  <c r="ABL110" i="55"/>
  <c r="ACK110" i="55" s="1"/>
  <c r="ABK110" i="55"/>
  <c r="ACJ110" i="55" s="1"/>
  <c r="ABJ110" i="55"/>
  <c r="ACI110" i="55" s="1"/>
  <c r="ABI110" i="55"/>
  <c r="ACH110" i="55" s="1"/>
  <c r="ABH110" i="55"/>
  <c r="ACG110" i="55" s="1"/>
  <c r="ABG110" i="55"/>
  <c r="ACF110" i="55" s="1"/>
  <c r="ACD109" i="55"/>
  <c r="ADC109" i="55" s="1"/>
  <c r="ACC109" i="55"/>
  <c r="ADB109" i="55" s="1"/>
  <c r="ACB109" i="55"/>
  <c r="ADA109" i="55" s="1"/>
  <c r="ACA109" i="55"/>
  <c r="ACZ109" i="55" s="1"/>
  <c r="ABZ109" i="55"/>
  <c r="ACY109" i="55" s="1"/>
  <c r="ABY109" i="55"/>
  <c r="ACX109" i="55" s="1"/>
  <c r="ABX109" i="55"/>
  <c r="ACW109" i="55" s="1"/>
  <c r="ABW109" i="55"/>
  <c r="ACV109" i="55" s="1"/>
  <c r="ABV109" i="55"/>
  <c r="ACU109" i="55" s="1"/>
  <c r="ABU109" i="55"/>
  <c r="ACT109" i="55" s="1"/>
  <c r="ABT109" i="55"/>
  <c r="ACS109" i="55" s="1"/>
  <c r="ABS109" i="55"/>
  <c r="ACR109" i="55" s="1"/>
  <c r="ABR109" i="55"/>
  <c r="ACQ109" i="55" s="1"/>
  <c r="ABQ109" i="55"/>
  <c r="ACP109" i="55" s="1"/>
  <c r="ABP109" i="55"/>
  <c r="ACO109" i="55" s="1"/>
  <c r="ABO109" i="55"/>
  <c r="ACN109" i="55" s="1"/>
  <c r="ABN109" i="55"/>
  <c r="ACM109" i="55" s="1"/>
  <c r="ABM109" i="55"/>
  <c r="ACL109" i="55" s="1"/>
  <c r="ABL109" i="55"/>
  <c r="ACK109" i="55" s="1"/>
  <c r="ABK109" i="55"/>
  <c r="ACJ109" i="55" s="1"/>
  <c r="ABJ109" i="55"/>
  <c r="ACI109" i="55" s="1"/>
  <c r="ABI109" i="55"/>
  <c r="ACH109" i="55" s="1"/>
  <c r="ABH109" i="55"/>
  <c r="ACG109" i="55" s="1"/>
  <c r="ABG109" i="55"/>
  <c r="ACF109" i="55" s="1"/>
  <c r="ACD108" i="55"/>
  <c r="ADC108" i="55" s="1"/>
  <c r="ACC108" i="55"/>
  <c r="ADB108" i="55" s="1"/>
  <c r="ACB108" i="55"/>
  <c r="ADA108" i="55" s="1"/>
  <c r="ACA108" i="55"/>
  <c r="ACZ108" i="55" s="1"/>
  <c r="ABZ108" i="55"/>
  <c r="ACY108" i="55" s="1"/>
  <c r="ABY108" i="55"/>
  <c r="ACX108" i="55" s="1"/>
  <c r="ABX108" i="55"/>
  <c r="ACW108" i="55" s="1"/>
  <c r="ABW108" i="55"/>
  <c r="ACV108" i="55" s="1"/>
  <c r="ABV108" i="55"/>
  <c r="ACU108" i="55" s="1"/>
  <c r="ABU108" i="55"/>
  <c r="ACT108" i="55" s="1"/>
  <c r="ABT108" i="55"/>
  <c r="ACS108" i="55" s="1"/>
  <c r="ABS108" i="55"/>
  <c r="ACR108" i="55" s="1"/>
  <c r="ABR108" i="55"/>
  <c r="ACQ108" i="55" s="1"/>
  <c r="ABQ108" i="55"/>
  <c r="ACP108" i="55" s="1"/>
  <c r="ABP108" i="55"/>
  <c r="ACO108" i="55" s="1"/>
  <c r="ABO108" i="55"/>
  <c r="ACN108" i="55" s="1"/>
  <c r="ABN108" i="55"/>
  <c r="ACM108" i="55" s="1"/>
  <c r="ABM108" i="55"/>
  <c r="ACL108" i="55" s="1"/>
  <c r="ABL108" i="55"/>
  <c r="ACK108" i="55" s="1"/>
  <c r="ABK108" i="55"/>
  <c r="ACJ108" i="55" s="1"/>
  <c r="ABJ108" i="55"/>
  <c r="ACI108" i="55" s="1"/>
  <c r="ABI108" i="55"/>
  <c r="ACH108" i="55" s="1"/>
  <c r="ABH108" i="55"/>
  <c r="ACG108" i="55" s="1"/>
  <c r="ABG108" i="55"/>
  <c r="ACF108" i="55" s="1"/>
  <c r="ACD107" i="55"/>
  <c r="ADC107" i="55" s="1"/>
  <c r="ACC107" i="55"/>
  <c r="ADB107" i="55" s="1"/>
  <c r="ACB107" i="55"/>
  <c r="ADA107" i="55" s="1"/>
  <c r="ACA107" i="55"/>
  <c r="ACZ107" i="55" s="1"/>
  <c r="ABZ107" i="55"/>
  <c r="ACY107" i="55" s="1"/>
  <c r="ABY107" i="55"/>
  <c r="ACX107" i="55" s="1"/>
  <c r="ABX107" i="55"/>
  <c r="ACW107" i="55" s="1"/>
  <c r="ABW107" i="55"/>
  <c r="ACV107" i="55" s="1"/>
  <c r="ABV107" i="55"/>
  <c r="ACU107" i="55" s="1"/>
  <c r="ABU107" i="55"/>
  <c r="ACT107" i="55" s="1"/>
  <c r="ABT107" i="55"/>
  <c r="ACS107" i="55" s="1"/>
  <c r="ABS107" i="55"/>
  <c r="ACR107" i="55" s="1"/>
  <c r="ABR107" i="55"/>
  <c r="ACQ107" i="55" s="1"/>
  <c r="ABQ107" i="55"/>
  <c r="ACP107" i="55" s="1"/>
  <c r="ABP107" i="55"/>
  <c r="ACO107" i="55" s="1"/>
  <c r="ABO107" i="55"/>
  <c r="ACN107" i="55" s="1"/>
  <c r="ABN107" i="55"/>
  <c r="ACM107" i="55" s="1"/>
  <c r="ABM107" i="55"/>
  <c r="ACL107" i="55" s="1"/>
  <c r="ABL107" i="55"/>
  <c r="ACK107" i="55" s="1"/>
  <c r="ABK107" i="55"/>
  <c r="ACJ107" i="55" s="1"/>
  <c r="ABJ107" i="55"/>
  <c r="ACI107" i="55" s="1"/>
  <c r="ABI107" i="55"/>
  <c r="ACH107" i="55" s="1"/>
  <c r="ABH107" i="55"/>
  <c r="ACG107" i="55" s="1"/>
  <c r="ABG107" i="55"/>
  <c r="ACF107" i="55" s="1"/>
  <c r="ACD106" i="55"/>
  <c r="ADC106" i="55" s="1"/>
  <c r="ACC106" i="55"/>
  <c r="ADB106" i="55" s="1"/>
  <c r="ACB106" i="55"/>
  <c r="ADA106" i="55" s="1"/>
  <c r="ACA106" i="55"/>
  <c r="ACZ106" i="55" s="1"/>
  <c r="ABZ106" i="55"/>
  <c r="ACY106" i="55" s="1"/>
  <c r="ABY106" i="55"/>
  <c r="ACX106" i="55" s="1"/>
  <c r="ABX106" i="55"/>
  <c r="ACW106" i="55" s="1"/>
  <c r="ABW106" i="55"/>
  <c r="ACV106" i="55" s="1"/>
  <c r="ABV106" i="55"/>
  <c r="ACU106" i="55" s="1"/>
  <c r="ABU106" i="55"/>
  <c r="ACT106" i="55" s="1"/>
  <c r="ABT106" i="55"/>
  <c r="ACS106" i="55" s="1"/>
  <c r="ABS106" i="55"/>
  <c r="ACR106" i="55" s="1"/>
  <c r="ABR106" i="55"/>
  <c r="ACQ106" i="55" s="1"/>
  <c r="ABQ106" i="55"/>
  <c r="ACP106" i="55" s="1"/>
  <c r="ABP106" i="55"/>
  <c r="ACO106" i="55" s="1"/>
  <c r="ABO106" i="55"/>
  <c r="ACN106" i="55" s="1"/>
  <c r="ABN106" i="55"/>
  <c r="ACM106" i="55" s="1"/>
  <c r="ABM106" i="55"/>
  <c r="ACL106" i="55" s="1"/>
  <c r="ABL106" i="55"/>
  <c r="ACK106" i="55" s="1"/>
  <c r="ABK106" i="55"/>
  <c r="ACJ106" i="55" s="1"/>
  <c r="ABJ106" i="55"/>
  <c r="ACI106" i="55" s="1"/>
  <c r="ABI106" i="55"/>
  <c r="ACH106" i="55" s="1"/>
  <c r="ABH106" i="55"/>
  <c r="ACG106" i="55" s="1"/>
  <c r="ABG106" i="55"/>
  <c r="ACF106" i="55" s="1"/>
  <c r="ACD105" i="55"/>
  <c r="ADC105" i="55" s="1"/>
  <c r="ACC105" i="55"/>
  <c r="ADB105" i="55" s="1"/>
  <c r="ACB105" i="55"/>
  <c r="ADA105" i="55" s="1"/>
  <c r="ACA105" i="55"/>
  <c r="ACZ105" i="55" s="1"/>
  <c r="ABZ105" i="55"/>
  <c r="ACY105" i="55" s="1"/>
  <c r="ABY105" i="55"/>
  <c r="ACX105" i="55" s="1"/>
  <c r="ABX105" i="55"/>
  <c r="ACW105" i="55" s="1"/>
  <c r="ABW105" i="55"/>
  <c r="ACV105" i="55" s="1"/>
  <c r="ABV105" i="55"/>
  <c r="ACU105" i="55" s="1"/>
  <c r="ABU105" i="55"/>
  <c r="ACT105" i="55" s="1"/>
  <c r="ABT105" i="55"/>
  <c r="ACS105" i="55" s="1"/>
  <c r="ABS105" i="55"/>
  <c r="ACR105" i="55" s="1"/>
  <c r="ABR105" i="55"/>
  <c r="ACQ105" i="55" s="1"/>
  <c r="ABQ105" i="55"/>
  <c r="ACP105" i="55" s="1"/>
  <c r="ABP105" i="55"/>
  <c r="ACO105" i="55" s="1"/>
  <c r="ABO105" i="55"/>
  <c r="ACN105" i="55" s="1"/>
  <c r="ABN105" i="55"/>
  <c r="ACM105" i="55" s="1"/>
  <c r="ABM105" i="55"/>
  <c r="ACL105" i="55" s="1"/>
  <c r="ABL105" i="55"/>
  <c r="ACK105" i="55" s="1"/>
  <c r="ABK105" i="55"/>
  <c r="ACJ105" i="55" s="1"/>
  <c r="ABJ105" i="55"/>
  <c r="ACI105" i="55" s="1"/>
  <c r="ABI105" i="55"/>
  <c r="ACH105" i="55" s="1"/>
  <c r="ABH105" i="55"/>
  <c r="ACG105" i="55" s="1"/>
  <c r="ABG105" i="55"/>
  <c r="ACF105" i="55" s="1"/>
  <c r="ACD104" i="55"/>
  <c r="ADC104" i="55" s="1"/>
  <c r="ACC104" i="55"/>
  <c r="ADB104" i="55" s="1"/>
  <c r="ACB104" i="55"/>
  <c r="ADA104" i="55" s="1"/>
  <c r="ACA104" i="55"/>
  <c r="ACZ104" i="55" s="1"/>
  <c r="ABZ104" i="55"/>
  <c r="ACY104" i="55" s="1"/>
  <c r="ABY104" i="55"/>
  <c r="ACX104" i="55" s="1"/>
  <c r="ABX104" i="55"/>
  <c r="ACW104" i="55" s="1"/>
  <c r="ABW104" i="55"/>
  <c r="ACV104" i="55" s="1"/>
  <c r="ABV104" i="55"/>
  <c r="ACU104" i="55" s="1"/>
  <c r="ABU104" i="55"/>
  <c r="ACT104" i="55" s="1"/>
  <c r="ABT104" i="55"/>
  <c r="ACS104" i="55" s="1"/>
  <c r="ABS104" i="55"/>
  <c r="ACR104" i="55" s="1"/>
  <c r="ABR104" i="55"/>
  <c r="ACQ104" i="55" s="1"/>
  <c r="ABQ104" i="55"/>
  <c r="ACP104" i="55" s="1"/>
  <c r="ABP104" i="55"/>
  <c r="ACO104" i="55" s="1"/>
  <c r="ABO104" i="55"/>
  <c r="ACN104" i="55" s="1"/>
  <c r="ABN104" i="55"/>
  <c r="ACM104" i="55" s="1"/>
  <c r="ABM104" i="55"/>
  <c r="ACL104" i="55" s="1"/>
  <c r="ABL104" i="55"/>
  <c r="ACK104" i="55" s="1"/>
  <c r="ABK104" i="55"/>
  <c r="ACJ104" i="55" s="1"/>
  <c r="ABJ104" i="55"/>
  <c r="ACI104" i="55" s="1"/>
  <c r="ABI104" i="55"/>
  <c r="ACH104" i="55" s="1"/>
  <c r="ABH104" i="55"/>
  <c r="ACG104" i="55" s="1"/>
  <c r="ABG104" i="55"/>
  <c r="ACF104" i="55" s="1"/>
  <c r="ACD103" i="55"/>
  <c r="ADC103" i="55" s="1"/>
  <c r="ACC103" i="55"/>
  <c r="ADB103" i="55" s="1"/>
  <c r="ACB103" i="55"/>
  <c r="ADA103" i="55" s="1"/>
  <c r="ACA103" i="55"/>
  <c r="ACZ103" i="55" s="1"/>
  <c r="ABZ103" i="55"/>
  <c r="ACY103" i="55" s="1"/>
  <c r="ABY103" i="55"/>
  <c r="ACX103" i="55" s="1"/>
  <c r="ABX103" i="55"/>
  <c r="ACW103" i="55" s="1"/>
  <c r="ABW103" i="55"/>
  <c r="ACV103" i="55" s="1"/>
  <c r="ABV103" i="55"/>
  <c r="ACU103" i="55" s="1"/>
  <c r="ABU103" i="55"/>
  <c r="ACT103" i="55" s="1"/>
  <c r="ABT103" i="55"/>
  <c r="ACS103" i="55" s="1"/>
  <c r="ABS103" i="55"/>
  <c r="ACR103" i="55" s="1"/>
  <c r="ABR103" i="55"/>
  <c r="ACQ103" i="55" s="1"/>
  <c r="ABQ103" i="55"/>
  <c r="ACP103" i="55" s="1"/>
  <c r="ABP103" i="55"/>
  <c r="ACO103" i="55" s="1"/>
  <c r="ABO103" i="55"/>
  <c r="ACN103" i="55" s="1"/>
  <c r="ABN103" i="55"/>
  <c r="ACM103" i="55" s="1"/>
  <c r="ABM103" i="55"/>
  <c r="ACL103" i="55" s="1"/>
  <c r="ABL103" i="55"/>
  <c r="ACK103" i="55" s="1"/>
  <c r="ABK103" i="55"/>
  <c r="ACJ103" i="55" s="1"/>
  <c r="ABJ103" i="55"/>
  <c r="ACI103" i="55" s="1"/>
  <c r="ABI103" i="55"/>
  <c r="ACH103" i="55" s="1"/>
  <c r="ABH103" i="55"/>
  <c r="ACG103" i="55" s="1"/>
  <c r="ABG103" i="55"/>
  <c r="ACF103" i="55" s="1"/>
  <c r="ACD102" i="55"/>
  <c r="ADC102" i="55" s="1"/>
  <c r="ACC102" i="55"/>
  <c r="ADB102" i="55" s="1"/>
  <c r="ACB102" i="55"/>
  <c r="ADA102" i="55" s="1"/>
  <c r="ACA102" i="55"/>
  <c r="ACZ102" i="55" s="1"/>
  <c r="ABZ102" i="55"/>
  <c r="ACY102" i="55" s="1"/>
  <c r="ABY102" i="55"/>
  <c r="ACX102" i="55" s="1"/>
  <c r="ABX102" i="55"/>
  <c r="ACW102" i="55" s="1"/>
  <c r="ABW102" i="55"/>
  <c r="ACV102" i="55" s="1"/>
  <c r="ABV102" i="55"/>
  <c r="ACU102" i="55" s="1"/>
  <c r="ABU102" i="55"/>
  <c r="ACT102" i="55" s="1"/>
  <c r="ABT102" i="55"/>
  <c r="ACS102" i="55" s="1"/>
  <c r="ABS102" i="55"/>
  <c r="ACR102" i="55" s="1"/>
  <c r="ABR102" i="55"/>
  <c r="ACQ102" i="55" s="1"/>
  <c r="ABQ102" i="55"/>
  <c r="ACP102" i="55" s="1"/>
  <c r="ABP102" i="55"/>
  <c r="ACO102" i="55" s="1"/>
  <c r="ABO102" i="55"/>
  <c r="ACN102" i="55" s="1"/>
  <c r="ABN102" i="55"/>
  <c r="ACM102" i="55" s="1"/>
  <c r="ABM102" i="55"/>
  <c r="ACL102" i="55" s="1"/>
  <c r="ABL102" i="55"/>
  <c r="ACK102" i="55" s="1"/>
  <c r="ABK102" i="55"/>
  <c r="ACJ102" i="55" s="1"/>
  <c r="ABJ102" i="55"/>
  <c r="ACI102" i="55" s="1"/>
  <c r="ABI102" i="55"/>
  <c r="ACH102" i="55" s="1"/>
  <c r="ABH102" i="55"/>
  <c r="ACG102" i="55" s="1"/>
  <c r="ABG102" i="55"/>
  <c r="ACF102" i="55" s="1"/>
  <c r="ACD101" i="55"/>
  <c r="ADC101" i="55" s="1"/>
  <c r="ACC101" i="55"/>
  <c r="ADB101" i="55" s="1"/>
  <c r="ACB101" i="55"/>
  <c r="ADA101" i="55" s="1"/>
  <c r="ACA101" i="55"/>
  <c r="ACZ101" i="55" s="1"/>
  <c r="ABZ101" i="55"/>
  <c r="ACY101" i="55" s="1"/>
  <c r="ABY101" i="55"/>
  <c r="ACX101" i="55" s="1"/>
  <c r="ABX101" i="55"/>
  <c r="ACW101" i="55" s="1"/>
  <c r="ABW101" i="55"/>
  <c r="ACV101" i="55" s="1"/>
  <c r="ABV101" i="55"/>
  <c r="ACU101" i="55" s="1"/>
  <c r="ABU101" i="55"/>
  <c r="ACT101" i="55" s="1"/>
  <c r="ABT101" i="55"/>
  <c r="ACS101" i="55" s="1"/>
  <c r="ABS101" i="55"/>
  <c r="ACR101" i="55" s="1"/>
  <c r="ABR101" i="55"/>
  <c r="ACQ101" i="55" s="1"/>
  <c r="ABQ101" i="55"/>
  <c r="ACP101" i="55" s="1"/>
  <c r="ABP101" i="55"/>
  <c r="ACO101" i="55" s="1"/>
  <c r="ABO101" i="55"/>
  <c r="ACN101" i="55" s="1"/>
  <c r="ABN101" i="55"/>
  <c r="ACM101" i="55" s="1"/>
  <c r="ABM101" i="55"/>
  <c r="ACL101" i="55" s="1"/>
  <c r="ABL101" i="55"/>
  <c r="ACK101" i="55" s="1"/>
  <c r="ABK101" i="55"/>
  <c r="ACJ101" i="55" s="1"/>
  <c r="ABJ101" i="55"/>
  <c r="ACI101" i="55" s="1"/>
  <c r="ABI101" i="55"/>
  <c r="ACH101" i="55" s="1"/>
  <c r="ABH101" i="55"/>
  <c r="ACG101" i="55" s="1"/>
  <c r="ABG101" i="55"/>
  <c r="ACF101" i="55" s="1"/>
  <c r="ACD100" i="55"/>
  <c r="ADC100" i="55" s="1"/>
  <c r="ACC100" i="55"/>
  <c r="ADB100" i="55" s="1"/>
  <c r="ACB100" i="55"/>
  <c r="ADA100" i="55" s="1"/>
  <c r="ACA100" i="55"/>
  <c r="ACZ100" i="55" s="1"/>
  <c r="ABZ100" i="55"/>
  <c r="ACY100" i="55" s="1"/>
  <c r="ABY100" i="55"/>
  <c r="ACX100" i="55" s="1"/>
  <c r="ABX100" i="55"/>
  <c r="ACW100" i="55" s="1"/>
  <c r="ABW100" i="55"/>
  <c r="ACV100" i="55" s="1"/>
  <c r="ABV100" i="55"/>
  <c r="ACU100" i="55" s="1"/>
  <c r="ABU100" i="55"/>
  <c r="ACT100" i="55" s="1"/>
  <c r="ABT100" i="55"/>
  <c r="ACS100" i="55" s="1"/>
  <c r="ABS100" i="55"/>
  <c r="ACR100" i="55" s="1"/>
  <c r="ABR100" i="55"/>
  <c r="ACQ100" i="55" s="1"/>
  <c r="ABQ100" i="55"/>
  <c r="ACP100" i="55" s="1"/>
  <c r="ABP100" i="55"/>
  <c r="ACO100" i="55" s="1"/>
  <c r="ABO100" i="55"/>
  <c r="ACN100" i="55" s="1"/>
  <c r="ABN100" i="55"/>
  <c r="ACM100" i="55" s="1"/>
  <c r="ABM100" i="55"/>
  <c r="ACL100" i="55" s="1"/>
  <c r="ABL100" i="55"/>
  <c r="ACK100" i="55" s="1"/>
  <c r="ABK100" i="55"/>
  <c r="ACJ100" i="55" s="1"/>
  <c r="ABJ100" i="55"/>
  <c r="ACI100" i="55" s="1"/>
  <c r="ABI100" i="55"/>
  <c r="ACH100" i="55" s="1"/>
  <c r="ABH100" i="55"/>
  <c r="ACG100" i="55" s="1"/>
  <c r="ABG100" i="55"/>
  <c r="ACF100" i="55" s="1"/>
  <c r="ACD99" i="55"/>
  <c r="ADC99" i="55" s="1"/>
  <c r="ACC99" i="55"/>
  <c r="ADB99" i="55" s="1"/>
  <c r="ACB99" i="55"/>
  <c r="ADA99" i="55" s="1"/>
  <c r="ACA99" i="55"/>
  <c r="ACZ99" i="55" s="1"/>
  <c r="ABZ99" i="55"/>
  <c r="ACY99" i="55" s="1"/>
  <c r="ABY99" i="55"/>
  <c r="ACX99" i="55" s="1"/>
  <c r="ABX99" i="55"/>
  <c r="ACW99" i="55" s="1"/>
  <c r="ABW99" i="55"/>
  <c r="ACV99" i="55" s="1"/>
  <c r="ABV99" i="55"/>
  <c r="ACU99" i="55" s="1"/>
  <c r="ABU99" i="55"/>
  <c r="ACT99" i="55" s="1"/>
  <c r="ABT99" i="55"/>
  <c r="ACS99" i="55" s="1"/>
  <c r="ABS99" i="55"/>
  <c r="ACR99" i="55" s="1"/>
  <c r="ABR99" i="55"/>
  <c r="ACQ99" i="55" s="1"/>
  <c r="ABQ99" i="55"/>
  <c r="ACP99" i="55" s="1"/>
  <c r="ABP99" i="55"/>
  <c r="ACO99" i="55" s="1"/>
  <c r="ABO99" i="55"/>
  <c r="ACN99" i="55" s="1"/>
  <c r="ABN99" i="55"/>
  <c r="ACM99" i="55" s="1"/>
  <c r="ABM99" i="55"/>
  <c r="ACL99" i="55" s="1"/>
  <c r="ABL99" i="55"/>
  <c r="ACK99" i="55" s="1"/>
  <c r="ABK99" i="55"/>
  <c r="ACJ99" i="55" s="1"/>
  <c r="ABJ99" i="55"/>
  <c r="ACI99" i="55" s="1"/>
  <c r="ABI99" i="55"/>
  <c r="ACH99" i="55" s="1"/>
  <c r="ABH99" i="55"/>
  <c r="ACG99" i="55" s="1"/>
  <c r="ABG99" i="55"/>
  <c r="ACF99" i="55" s="1"/>
  <c r="ACD98" i="55"/>
  <c r="ADC98" i="55" s="1"/>
  <c r="ACC98" i="55"/>
  <c r="ADB98" i="55" s="1"/>
  <c r="ACB98" i="55"/>
  <c r="ADA98" i="55" s="1"/>
  <c r="ACA98" i="55"/>
  <c r="ACZ98" i="55" s="1"/>
  <c r="ABZ98" i="55"/>
  <c r="ACY98" i="55" s="1"/>
  <c r="ABY98" i="55"/>
  <c r="ACX98" i="55" s="1"/>
  <c r="ABX98" i="55"/>
  <c r="ACW98" i="55" s="1"/>
  <c r="ABW98" i="55"/>
  <c r="ACV98" i="55" s="1"/>
  <c r="ABV98" i="55"/>
  <c r="ACU98" i="55" s="1"/>
  <c r="ABU98" i="55"/>
  <c r="ACT98" i="55" s="1"/>
  <c r="ABT98" i="55"/>
  <c r="ACS98" i="55" s="1"/>
  <c r="ABS98" i="55"/>
  <c r="ACR98" i="55" s="1"/>
  <c r="ABR98" i="55"/>
  <c r="ACQ98" i="55" s="1"/>
  <c r="ABQ98" i="55"/>
  <c r="ACP98" i="55" s="1"/>
  <c r="ABP98" i="55"/>
  <c r="ACO98" i="55" s="1"/>
  <c r="ABO98" i="55"/>
  <c r="ACN98" i="55" s="1"/>
  <c r="ABN98" i="55"/>
  <c r="ACM98" i="55" s="1"/>
  <c r="ABM98" i="55"/>
  <c r="ACL98" i="55" s="1"/>
  <c r="ABL98" i="55"/>
  <c r="ACK98" i="55" s="1"/>
  <c r="ABK98" i="55"/>
  <c r="ACJ98" i="55" s="1"/>
  <c r="ABJ98" i="55"/>
  <c r="ACI98" i="55" s="1"/>
  <c r="ABI98" i="55"/>
  <c r="ACH98" i="55" s="1"/>
  <c r="ABH98" i="55"/>
  <c r="ACG98" i="55" s="1"/>
  <c r="ABG98" i="55"/>
  <c r="ACF98" i="55" s="1"/>
  <c r="ACD97" i="55"/>
  <c r="ADC97" i="55" s="1"/>
  <c r="ACC97" i="55"/>
  <c r="ADB97" i="55" s="1"/>
  <c r="ACB97" i="55"/>
  <c r="ADA97" i="55" s="1"/>
  <c r="ACA97" i="55"/>
  <c r="ACZ97" i="55" s="1"/>
  <c r="ABZ97" i="55"/>
  <c r="ACY97" i="55" s="1"/>
  <c r="ABY97" i="55"/>
  <c r="ACX97" i="55" s="1"/>
  <c r="ABX97" i="55"/>
  <c r="ACW97" i="55" s="1"/>
  <c r="ABW97" i="55"/>
  <c r="ACV97" i="55" s="1"/>
  <c r="ABV97" i="55"/>
  <c r="ACU97" i="55" s="1"/>
  <c r="ABU97" i="55"/>
  <c r="ACT97" i="55" s="1"/>
  <c r="ABT97" i="55"/>
  <c r="ACS97" i="55" s="1"/>
  <c r="ABS97" i="55"/>
  <c r="ACR97" i="55" s="1"/>
  <c r="ABR97" i="55"/>
  <c r="ACQ97" i="55" s="1"/>
  <c r="ABQ97" i="55"/>
  <c r="ACP97" i="55" s="1"/>
  <c r="ABP97" i="55"/>
  <c r="ACO97" i="55" s="1"/>
  <c r="ABO97" i="55"/>
  <c r="ACN97" i="55" s="1"/>
  <c r="ABN97" i="55"/>
  <c r="ACM97" i="55" s="1"/>
  <c r="ABM97" i="55"/>
  <c r="ACL97" i="55" s="1"/>
  <c r="ABL97" i="55"/>
  <c r="ACK97" i="55" s="1"/>
  <c r="ABK97" i="55"/>
  <c r="ACJ97" i="55" s="1"/>
  <c r="ABJ97" i="55"/>
  <c r="ACI97" i="55" s="1"/>
  <c r="ABI97" i="55"/>
  <c r="ACH97" i="55" s="1"/>
  <c r="ABH97" i="55"/>
  <c r="ACG97" i="55" s="1"/>
  <c r="ABG97" i="55"/>
  <c r="ACF97" i="55" s="1"/>
  <c r="ACD96" i="55"/>
  <c r="ADC96" i="55" s="1"/>
  <c r="ACC96" i="55"/>
  <c r="ADB96" i="55" s="1"/>
  <c r="ACB96" i="55"/>
  <c r="ADA96" i="55" s="1"/>
  <c r="ACA96" i="55"/>
  <c r="ACZ96" i="55" s="1"/>
  <c r="ABZ96" i="55"/>
  <c r="ACY96" i="55" s="1"/>
  <c r="ABY96" i="55"/>
  <c r="ACX96" i="55" s="1"/>
  <c r="ABX96" i="55"/>
  <c r="ACW96" i="55" s="1"/>
  <c r="ABW96" i="55"/>
  <c r="ACV96" i="55" s="1"/>
  <c r="ABV96" i="55"/>
  <c r="ACU96" i="55" s="1"/>
  <c r="ABU96" i="55"/>
  <c r="ACT96" i="55" s="1"/>
  <c r="ABT96" i="55"/>
  <c r="ACS96" i="55" s="1"/>
  <c r="ABS96" i="55"/>
  <c r="ACR96" i="55" s="1"/>
  <c r="ABR96" i="55"/>
  <c r="ACQ96" i="55" s="1"/>
  <c r="ABQ96" i="55"/>
  <c r="ACP96" i="55" s="1"/>
  <c r="ABP96" i="55"/>
  <c r="ACO96" i="55" s="1"/>
  <c r="ABO96" i="55"/>
  <c r="ACN96" i="55" s="1"/>
  <c r="ABN96" i="55"/>
  <c r="ACM96" i="55" s="1"/>
  <c r="ABM96" i="55"/>
  <c r="ACL96" i="55" s="1"/>
  <c r="ABL96" i="55"/>
  <c r="ACK96" i="55" s="1"/>
  <c r="ABK96" i="55"/>
  <c r="ACJ96" i="55" s="1"/>
  <c r="ABJ96" i="55"/>
  <c r="ACI96" i="55" s="1"/>
  <c r="ABI96" i="55"/>
  <c r="ACH96" i="55" s="1"/>
  <c r="ABH96" i="55"/>
  <c r="ACG96" i="55" s="1"/>
  <c r="ABG96" i="55"/>
  <c r="ACF96" i="55" s="1"/>
  <c r="ACX95" i="55"/>
  <c r="ACS95" i="55"/>
  <c r="ACD95" i="55"/>
  <c r="ADC95" i="55" s="1"/>
  <c r="ACC95" i="55"/>
  <c r="ADB95" i="55" s="1"/>
  <c r="ACB95" i="55"/>
  <c r="ADA95" i="55" s="1"/>
  <c r="ACA95" i="55"/>
  <c r="ACZ95" i="55" s="1"/>
  <c r="ABZ95" i="55"/>
  <c r="ACY95" i="55" s="1"/>
  <c r="ABY95" i="55"/>
  <c r="ABX95" i="55"/>
  <c r="ACW95" i="55" s="1"/>
  <c r="ABW95" i="55"/>
  <c r="ACV95" i="55" s="1"/>
  <c r="ABV95" i="55"/>
  <c r="ACU95" i="55" s="1"/>
  <c r="ABU95" i="55"/>
  <c r="ACT95" i="55" s="1"/>
  <c r="ABT95" i="55"/>
  <c r="ABS95" i="55"/>
  <c r="ACR95" i="55" s="1"/>
  <c r="ABR95" i="55"/>
  <c r="ACQ95" i="55" s="1"/>
  <c r="ABQ95" i="55"/>
  <c r="ACP95" i="55" s="1"/>
  <c r="ABP95" i="55"/>
  <c r="ACO95" i="55" s="1"/>
  <c r="ABO95" i="55"/>
  <c r="ACN95" i="55" s="1"/>
  <c r="ABN95" i="55"/>
  <c r="ACM95" i="55" s="1"/>
  <c r="ABM95" i="55"/>
  <c r="ACL95" i="55" s="1"/>
  <c r="ABL95" i="55"/>
  <c r="ACK95" i="55" s="1"/>
  <c r="ABK95" i="55"/>
  <c r="ACJ95" i="55" s="1"/>
  <c r="ABJ95" i="55"/>
  <c r="ACI95" i="55" s="1"/>
  <c r="ABI95" i="55"/>
  <c r="ACH95" i="55" s="1"/>
  <c r="ABH95" i="55"/>
  <c r="ACG95" i="55" s="1"/>
  <c r="ABG95" i="55"/>
  <c r="ACF95" i="55" s="1"/>
  <c r="ACY94" i="55"/>
  <c r="ACV94" i="55"/>
  <c r="ACU94" i="55"/>
  <c r="ACO94" i="55"/>
  <c r="ACD94" i="55"/>
  <c r="ADC94" i="55" s="1"/>
  <c r="ACC94" i="55"/>
  <c r="ADB94" i="55" s="1"/>
  <c r="ACB94" i="55"/>
  <c r="ADA94" i="55" s="1"/>
  <c r="ACA94" i="55"/>
  <c r="ACZ94" i="55" s="1"/>
  <c r="ABZ94" i="55"/>
  <c r="ABY94" i="55"/>
  <c r="ACX94" i="55" s="1"/>
  <c r="ABX94" i="55"/>
  <c r="ACW94" i="55" s="1"/>
  <c r="ABW94" i="55"/>
  <c r="ABV94" i="55"/>
  <c r="ABU94" i="55"/>
  <c r="ACT94" i="55" s="1"/>
  <c r="ABT94" i="55"/>
  <c r="ACS94" i="55" s="1"/>
  <c r="ABS94" i="55"/>
  <c r="ACR94" i="55" s="1"/>
  <c r="ABR94" i="55"/>
  <c r="ACQ94" i="55" s="1"/>
  <c r="ABQ94" i="55"/>
  <c r="ACP94" i="55" s="1"/>
  <c r="ABP94" i="55"/>
  <c r="ABO94" i="55"/>
  <c r="ACN94" i="55" s="1"/>
  <c r="ABN94" i="55"/>
  <c r="ACM94" i="55" s="1"/>
  <c r="ABM94" i="55"/>
  <c r="ACL94" i="55" s="1"/>
  <c r="ABL94" i="55"/>
  <c r="ACK94" i="55" s="1"/>
  <c r="ABK94" i="55"/>
  <c r="ACJ94" i="55" s="1"/>
  <c r="ABJ94" i="55"/>
  <c r="ACI94" i="55" s="1"/>
  <c r="ABI94" i="55"/>
  <c r="ACH94" i="55" s="1"/>
  <c r="ABH94" i="55"/>
  <c r="ACG94" i="55" s="1"/>
  <c r="ABG94" i="55"/>
  <c r="ACF94" i="55" s="1"/>
  <c r="ADC93" i="55"/>
  <c r="ACX93" i="55"/>
  <c r="ACL93" i="55"/>
  <c r="ACD93" i="55"/>
  <c r="ACC93" i="55"/>
  <c r="ADB93" i="55" s="1"/>
  <c r="ACB93" i="55"/>
  <c r="ADA93" i="55" s="1"/>
  <c r="ACA93" i="55"/>
  <c r="ACZ93" i="55" s="1"/>
  <c r="ABZ93" i="55"/>
  <c r="ACY93" i="55" s="1"/>
  <c r="ABY93" i="55"/>
  <c r="ABX93" i="55"/>
  <c r="ACW93" i="55" s="1"/>
  <c r="ABW93" i="55"/>
  <c r="ACV93" i="55" s="1"/>
  <c r="ABV93" i="55"/>
  <c r="ACU93" i="55" s="1"/>
  <c r="ABU93" i="55"/>
  <c r="ACT93" i="55" s="1"/>
  <c r="ABT93" i="55"/>
  <c r="ACS93" i="55" s="1"/>
  <c r="ABS93" i="55"/>
  <c r="ACR93" i="55" s="1"/>
  <c r="ABR93" i="55"/>
  <c r="ACQ93" i="55" s="1"/>
  <c r="ABQ93" i="55"/>
  <c r="ACP93" i="55" s="1"/>
  <c r="ABP93" i="55"/>
  <c r="ACO93" i="55" s="1"/>
  <c r="ABO93" i="55"/>
  <c r="ACN93" i="55" s="1"/>
  <c r="ABN93" i="55"/>
  <c r="ACM93" i="55" s="1"/>
  <c r="ABM93" i="55"/>
  <c r="ABL93" i="55"/>
  <c r="ACK93" i="55" s="1"/>
  <c r="ABK93" i="55"/>
  <c r="ACJ93" i="55" s="1"/>
  <c r="ABJ93" i="55"/>
  <c r="ACI93" i="55" s="1"/>
  <c r="ABI93" i="55"/>
  <c r="ACH93" i="55" s="1"/>
  <c r="ABH93" i="55"/>
  <c r="ACG93" i="55" s="1"/>
  <c r="ABG93" i="55"/>
  <c r="ACF93" i="55" s="1"/>
  <c r="ADC92" i="55"/>
  <c r="ACY92" i="55"/>
  <c r="ACV92" i="55"/>
  <c r="ACQ92" i="55"/>
  <c r="ACO92" i="55"/>
  <c r="ACD92" i="55"/>
  <c r="ACC92" i="55"/>
  <c r="ADB92" i="55" s="1"/>
  <c r="ACB92" i="55"/>
  <c r="ADA92" i="55" s="1"/>
  <c r="ACA92" i="55"/>
  <c r="ACZ92" i="55" s="1"/>
  <c r="ABZ92" i="55"/>
  <c r="ABY92" i="55"/>
  <c r="ACX92" i="55" s="1"/>
  <c r="ABX92" i="55"/>
  <c r="ACW92" i="55" s="1"/>
  <c r="ABW92" i="55"/>
  <c r="ABV92" i="55"/>
  <c r="ACU92" i="55" s="1"/>
  <c r="ABU92" i="55"/>
  <c r="ACT92" i="55" s="1"/>
  <c r="ABT92" i="55"/>
  <c r="ACS92" i="55" s="1"/>
  <c r="ABS92" i="55"/>
  <c r="ACR92" i="55" s="1"/>
  <c r="ABR92" i="55"/>
  <c r="ABQ92" i="55"/>
  <c r="ACP92" i="55" s="1"/>
  <c r="ABP92" i="55"/>
  <c r="ABO92" i="55"/>
  <c r="ACN92" i="55" s="1"/>
  <c r="ABN92" i="55"/>
  <c r="ACM92" i="55" s="1"/>
  <c r="ABM92" i="55"/>
  <c r="ACL92" i="55" s="1"/>
  <c r="ABL92" i="55"/>
  <c r="ACK92" i="55" s="1"/>
  <c r="ABK92" i="55"/>
  <c r="ACJ92" i="55" s="1"/>
  <c r="ABJ92" i="55"/>
  <c r="ACI92" i="55" s="1"/>
  <c r="ABI92" i="55"/>
  <c r="ACH92" i="55" s="1"/>
  <c r="ABH92" i="55"/>
  <c r="ACG92" i="55" s="1"/>
  <c r="ABG92" i="55"/>
  <c r="ACF92" i="55" s="1"/>
  <c r="ACV91" i="55"/>
  <c r="ACU91" i="55"/>
  <c r="ACS91" i="55"/>
  <c r="ACO91" i="55"/>
  <c r="ACD91" i="55"/>
  <c r="ADC91" i="55" s="1"/>
  <c r="ACC91" i="55"/>
  <c r="ADB91" i="55" s="1"/>
  <c r="ACB91" i="55"/>
  <c r="ADA91" i="55" s="1"/>
  <c r="ACA91" i="55"/>
  <c r="ACZ91" i="55" s="1"/>
  <c r="ABZ91" i="55"/>
  <c r="ACY91" i="55" s="1"/>
  <c r="ABY91" i="55"/>
  <c r="ACX91" i="55" s="1"/>
  <c r="ABX91" i="55"/>
  <c r="ACW91" i="55" s="1"/>
  <c r="ABW91" i="55"/>
  <c r="ABV91" i="55"/>
  <c r="ABU91" i="55"/>
  <c r="ACT91" i="55" s="1"/>
  <c r="ABT91" i="55"/>
  <c r="ABS91" i="55"/>
  <c r="ACR91" i="55" s="1"/>
  <c r="ABR91" i="55"/>
  <c r="ACQ91" i="55" s="1"/>
  <c r="ABQ91" i="55"/>
  <c r="ACP91" i="55" s="1"/>
  <c r="ABP91" i="55"/>
  <c r="ABO91" i="55"/>
  <c r="ACN91" i="55" s="1"/>
  <c r="ABN91" i="55"/>
  <c r="ACM91" i="55" s="1"/>
  <c r="ABM91" i="55"/>
  <c r="ACL91" i="55" s="1"/>
  <c r="ABL91" i="55"/>
  <c r="ACK91" i="55" s="1"/>
  <c r="ABK91" i="55"/>
  <c r="ACJ91" i="55" s="1"/>
  <c r="ABJ91" i="55"/>
  <c r="ACI91" i="55" s="1"/>
  <c r="ABI91" i="55"/>
  <c r="ACH91" i="55" s="1"/>
  <c r="ABH91" i="55"/>
  <c r="ACG91" i="55" s="1"/>
  <c r="ABG91" i="55"/>
  <c r="ACF91" i="55" s="1"/>
  <c r="ADC90" i="55"/>
  <c r="ACX90" i="55"/>
  <c r="ACU90" i="55"/>
  <c r="ACI90" i="55"/>
  <c r="ACD90" i="55"/>
  <c r="ACC90" i="55"/>
  <c r="ADB90" i="55" s="1"/>
  <c r="ACB90" i="55"/>
  <c r="ADA90" i="55" s="1"/>
  <c r="ACA90" i="55"/>
  <c r="ACZ90" i="55" s="1"/>
  <c r="ABZ90" i="55"/>
  <c r="ACY90" i="55" s="1"/>
  <c r="ABY90" i="55"/>
  <c r="ABX90" i="55"/>
  <c r="ACW90" i="55" s="1"/>
  <c r="ABW90" i="55"/>
  <c r="ACV90" i="55" s="1"/>
  <c r="ABV90" i="55"/>
  <c r="ABU90" i="55"/>
  <c r="ACT90" i="55" s="1"/>
  <c r="ABT90" i="55"/>
  <c r="ACS90" i="55" s="1"/>
  <c r="ABS90" i="55"/>
  <c r="ACR90" i="55" s="1"/>
  <c r="ABR90" i="55"/>
  <c r="ACQ90" i="55" s="1"/>
  <c r="ABQ90" i="55"/>
  <c r="ACP90" i="55" s="1"/>
  <c r="ABP90" i="55"/>
  <c r="ACO90" i="55" s="1"/>
  <c r="ABO90" i="55"/>
  <c r="ACN90" i="55" s="1"/>
  <c r="ABN90" i="55"/>
  <c r="ACM90" i="55" s="1"/>
  <c r="ABM90" i="55"/>
  <c r="ACL90" i="55" s="1"/>
  <c r="ABL90" i="55"/>
  <c r="ACK90" i="55" s="1"/>
  <c r="ABK90" i="55"/>
  <c r="ACJ90" i="55" s="1"/>
  <c r="ABJ90" i="55"/>
  <c r="ABI90" i="55"/>
  <c r="ACH90" i="55" s="1"/>
  <c r="ABH90" i="55"/>
  <c r="ACG90" i="55" s="1"/>
  <c r="ABG90" i="55"/>
  <c r="ACF90" i="55" s="1"/>
  <c r="ACY89" i="55"/>
  <c r="ACV89" i="55"/>
  <c r="ACS89" i="55"/>
  <c r="ACG89" i="55"/>
  <c r="ACD89" i="55"/>
  <c r="ADC89" i="55" s="1"/>
  <c r="ACC89" i="55"/>
  <c r="ADB89" i="55" s="1"/>
  <c r="ACB89" i="55"/>
  <c r="ADA89" i="55" s="1"/>
  <c r="ACA89" i="55"/>
  <c r="ACZ89" i="55" s="1"/>
  <c r="ABZ89" i="55"/>
  <c r="ABY89" i="55"/>
  <c r="ACX89" i="55" s="1"/>
  <c r="ABX89" i="55"/>
  <c r="ACW89" i="55" s="1"/>
  <c r="ABW89" i="55"/>
  <c r="ABV89" i="55"/>
  <c r="ACU89" i="55" s="1"/>
  <c r="ABU89" i="55"/>
  <c r="ACT89" i="55" s="1"/>
  <c r="ABT89" i="55"/>
  <c r="ABS89" i="55"/>
  <c r="ACR89" i="55" s="1"/>
  <c r="ABR89" i="55"/>
  <c r="ACQ89" i="55" s="1"/>
  <c r="ABQ89" i="55"/>
  <c r="ACP89" i="55" s="1"/>
  <c r="ABP89" i="55"/>
  <c r="ACO89" i="55" s="1"/>
  <c r="ABO89" i="55"/>
  <c r="ACN89" i="55" s="1"/>
  <c r="ABN89" i="55"/>
  <c r="ACM89" i="55" s="1"/>
  <c r="ABM89" i="55"/>
  <c r="ACL89" i="55" s="1"/>
  <c r="ABL89" i="55"/>
  <c r="ACK89" i="55" s="1"/>
  <c r="ABK89" i="55"/>
  <c r="ACJ89" i="55" s="1"/>
  <c r="ABJ89" i="55"/>
  <c r="ACI89" i="55" s="1"/>
  <c r="ABI89" i="55"/>
  <c r="ACH89" i="55" s="1"/>
  <c r="ABH89" i="55"/>
  <c r="ABG89" i="55"/>
  <c r="ACF89" i="55" s="1"/>
  <c r="ACY88" i="55"/>
  <c r="ACU88" i="55"/>
  <c r="ACO88" i="55"/>
  <c r="ACI88" i="55"/>
  <c r="ACD88" i="55"/>
  <c r="ADC88" i="55" s="1"/>
  <c r="ACC88" i="55"/>
  <c r="ADB88" i="55" s="1"/>
  <c r="ACB88" i="55"/>
  <c r="ADA88" i="55" s="1"/>
  <c r="ACA88" i="55"/>
  <c r="ACZ88" i="55" s="1"/>
  <c r="ABZ88" i="55"/>
  <c r="ABY88" i="55"/>
  <c r="ACX88" i="55" s="1"/>
  <c r="ABX88" i="55"/>
  <c r="ACW88" i="55" s="1"/>
  <c r="ABW88" i="55"/>
  <c r="ACV88" i="55" s="1"/>
  <c r="ABV88" i="55"/>
  <c r="ABU88" i="55"/>
  <c r="ACT88" i="55" s="1"/>
  <c r="ABT88" i="55"/>
  <c r="ACS88" i="55" s="1"/>
  <c r="ABS88" i="55"/>
  <c r="ACR88" i="55" s="1"/>
  <c r="ABR88" i="55"/>
  <c r="ACQ88" i="55" s="1"/>
  <c r="ABQ88" i="55"/>
  <c r="ACP88" i="55" s="1"/>
  <c r="ABP88" i="55"/>
  <c r="ABO88" i="55"/>
  <c r="ACN88" i="55" s="1"/>
  <c r="ABN88" i="55"/>
  <c r="ACM88" i="55" s="1"/>
  <c r="ABM88" i="55"/>
  <c r="ACL88" i="55" s="1"/>
  <c r="ABL88" i="55"/>
  <c r="ACK88" i="55" s="1"/>
  <c r="ABK88" i="55"/>
  <c r="ACJ88" i="55" s="1"/>
  <c r="ABJ88" i="55"/>
  <c r="ABI88" i="55"/>
  <c r="ACH88" i="55" s="1"/>
  <c r="ABH88" i="55"/>
  <c r="ACG88" i="55" s="1"/>
  <c r="ABG88" i="55"/>
  <c r="ACF88" i="55" s="1"/>
  <c r="ADC87" i="55"/>
  <c r="ACD87" i="55"/>
  <c r="ACC87" i="55"/>
  <c r="ADB87" i="55" s="1"/>
  <c r="ACB87" i="55"/>
  <c r="ADA87" i="55" s="1"/>
  <c r="ACA87" i="55"/>
  <c r="ACZ87" i="55" s="1"/>
  <c r="ABZ87" i="55"/>
  <c r="ACY87" i="55" s="1"/>
  <c r="ABY87" i="55"/>
  <c r="ACX87" i="55" s="1"/>
  <c r="ABX87" i="55"/>
  <c r="ACW87" i="55" s="1"/>
  <c r="ABW87" i="55"/>
  <c r="ACV87" i="55" s="1"/>
  <c r="ABV87" i="55"/>
  <c r="ACU87" i="55" s="1"/>
  <c r="ABU87" i="55"/>
  <c r="ACT87" i="55" s="1"/>
  <c r="ABT87" i="55"/>
  <c r="ACS87" i="55" s="1"/>
  <c r="ABS87" i="55"/>
  <c r="ACR87" i="55" s="1"/>
  <c r="ABR87" i="55"/>
  <c r="ACQ87" i="55" s="1"/>
  <c r="ABQ87" i="55"/>
  <c r="ACP87" i="55" s="1"/>
  <c r="ABP87" i="55"/>
  <c r="ACO87" i="55" s="1"/>
  <c r="ABO87" i="55"/>
  <c r="ACN87" i="55" s="1"/>
  <c r="ABN87" i="55"/>
  <c r="ACM87" i="55" s="1"/>
  <c r="ABM87" i="55"/>
  <c r="ACL87" i="55" s="1"/>
  <c r="ABL87" i="55"/>
  <c r="ACK87" i="55" s="1"/>
  <c r="ABK87" i="55"/>
  <c r="ACJ87" i="55" s="1"/>
  <c r="ABJ87" i="55"/>
  <c r="ACI87" i="55" s="1"/>
  <c r="ABI87" i="55"/>
  <c r="ACH87" i="55" s="1"/>
  <c r="ABH87" i="55"/>
  <c r="ACG87" i="55" s="1"/>
  <c r="ABG87" i="55"/>
  <c r="ACF87" i="55" s="1"/>
  <c r="ADC86" i="55"/>
  <c r="ACY86" i="55"/>
  <c r="ACV86" i="55"/>
  <c r="ACQ86" i="55"/>
  <c r="ACO86" i="55"/>
  <c r="ACD86" i="55"/>
  <c r="ACC86" i="55"/>
  <c r="ADB86" i="55" s="1"/>
  <c r="ACB86" i="55"/>
  <c r="ADA86" i="55" s="1"/>
  <c r="ACA86" i="55"/>
  <c r="ACZ86" i="55" s="1"/>
  <c r="ABZ86" i="55"/>
  <c r="ABY86" i="55"/>
  <c r="ACX86" i="55" s="1"/>
  <c r="ABX86" i="55"/>
  <c r="ACW86" i="55" s="1"/>
  <c r="ABW86" i="55"/>
  <c r="ABV86" i="55"/>
  <c r="ACU86" i="55" s="1"/>
  <c r="ABU86" i="55"/>
  <c r="ACT86" i="55" s="1"/>
  <c r="ABT86" i="55"/>
  <c r="ACS86" i="55" s="1"/>
  <c r="ABS86" i="55"/>
  <c r="ACR86" i="55" s="1"/>
  <c r="ABR86" i="55"/>
  <c r="ABQ86" i="55"/>
  <c r="ACP86" i="55" s="1"/>
  <c r="ABP86" i="55"/>
  <c r="ABO86" i="55"/>
  <c r="ACN86" i="55" s="1"/>
  <c r="ABN86" i="55"/>
  <c r="ACM86" i="55" s="1"/>
  <c r="ABM86" i="55"/>
  <c r="ACL86" i="55" s="1"/>
  <c r="ABL86" i="55"/>
  <c r="ACK86" i="55" s="1"/>
  <c r="ABK86" i="55"/>
  <c r="ACJ86" i="55" s="1"/>
  <c r="ABJ86" i="55"/>
  <c r="ACI86" i="55" s="1"/>
  <c r="ABI86" i="55"/>
  <c r="ACH86" i="55" s="1"/>
  <c r="ABH86" i="55"/>
  <c r="ACG86" i="55" s="1"/>
  <c r="ABG86" i="55"/>
  <c r="ACF86" i="55" s="1"/>
  <c r="ACX85" i="55"/>
  <c r="ACV85" i="55"/>
  <c r="ACU85" i="55"/>
  <c r="ACS85" i="55"/>
  <c r="ACO85" i="55"/>
  <c r="ACD85" i="55"/>
  <c r="ADC85" i="55" s="1"/>
  <c r="ACC85" i="55"/>
  <c r="ADB85" i="55" s="1"/>
  <c r="ACB85" i="55"/>
  <c r="ADA85" i="55" s="1"/>
  <c r="ACA85" i="55"/>
  <c r="ACZ85" i="55" s="1"/>
  <c r="ABZ85" i="55"/>
  <c r="ACY85" i="55" s="1"/>
  <c r="ABY85" i="55"/>
  <c r="ABX85" i="55"/>
  <c r="ACW85" i="55" s="1"/>
  <c r="ABW85" i="55"/>
  <c r="ABV85" i="55"/>
  <c r="ABU85" i="55"/>
  <c r="ACT85" i="55" s="1"/>
  <c r="ABT85" i="55"/>
  <c r="ABS85" i="55"/>
  <c r="ACR85" i="55" s="1"/>
  <c r="ABR85" i="55"/>
  <c r="ACQ85" i="55" s="1"/>
  <c r="ABQ85" i="55"/>
  <c r="ACP85" i="55" s="1"/>
  <c r="ABP85" i="55"/>
  <c r="ABO85" i="55"/>
  <c r="ACN85" i="55" s="1"/>
  <c r="ABN85" i="55"/>
  <c r="ACM85" i="55" s="1"/>
  <c r="ABM85" i="55"/>
  <c r="ACL85" i="55" s="1"/>
  <c r="ABL85" i="55"/>
  <c r="ACK85" i="55" s="1"/>
  <c r="ABK85" i="55"/>
  <c r="ACJ85" i="55" s="1"/>
  <c r="ABJ85" i="55"/>
  <c r="ACI85" i="55" s="1"/>
  <c r="ABI85" i="55"/>
  <c r="ACH85" i="55" s="1"/>
  <c r="ABH85" i="55"/>
  <c r="ACG85" i="55" s="1"/>
  <c r="ABG85" i="55"/>
  <c r="ACF85" i="55" s="1"/>
  <c r="ACZ84" i="55"/>
  <c r="ACY84" i="55"/>
  <c r="ACX84" i="55"/>
  <c r="ACN84" i="55"/>
  <c r="ACD84" i="55"/>
  <c r="ADC84" i="55" s="1"/>
  <c r="ACC84" i="55"/>
  <c r="ADB84" i="55" s="1"/>
  <c r="ACB84" i="55"/>
  <c r="ADA84" i="55" s="1"/>
  <c r="ACA84" i="55"/>
  <c r="ABZ84" i="55"/>
  <c r="ABY84" i="55"/>
  <c r="ABX84" i="55"/>
  <c r="ACW84" i="55" s="1"/>
  <c r="ABW84" i="55"/>
  <c r="ACV84" i="55" s="1"/>
  <c r="ABV84" i="55"/>
  <c r="ACU84" i="55" s="1"/>
  <c r="ABU84" i="55"/>
  <c r="ACT84" i="55" s="1"/>
  <c r="ABT84" i="55"/>
  <c r="ACS84" i="55" s="1"/>
  <c r="ABS84" i="55"/>
  <c r="ACR84" i="55" s="1"/>
  <c r="ABR84" i="55"/>
  <c r="ACQ84" i="55" s="1"/>
  <c r="ABQ84" i="55"/>
  <c r="ACP84" i="55" s="1"/>
  <c r="ABP84" i="55"/>
  <c r="ACO84" i="55" s="1"/>
  <c r="ABO84" i="55"/>
  <c r="ABN84" i="55"/>
  <c r="ACM84" i="55" s="1"/>
  <c r="ABM84" i="55"/>
  <c r="ACL84" i="55" s="1"/>
  <c r="ABL84" i="55"/>
  <c r="ACK84" i="55" s="1"/>
  <c r="ABK84" i="55"/>
  <c r="ACJ84" i="55" s="1"/>
  <c r="ABJ84" i="55"/>
  <c r="ACI84" i="55" s="1"/>
  <c r="ABI84" i="55"/>
  <c r="ACH84" i="55" s="1"/>
  <c r="ABH84" i="55"/>
  <c r="ACG84" i="55" s="1"/>
  <c r="ABG84" i="55"/>
  <c r="ACF84" i="55" s="1"/>
  <c r="ACD83" i="55"/>
  <c r="ADC83" i="55" s="1"/>
  <c r="ACC83" i="55"/>
  <c r="ADB83" i="55" s="1"/>
  <c r="ACB83" i="55"/>
  <c r="ADA83" i="55" s="1"/>
  <c r="ACA83" i="55"/>
  <c r="ACZ83" i="55" s="1"/>
  <c r="ABZ83" i="55"/>
  <c r="ACY83" i="55" s="1"/>
  <c r="ABY83" i="55"/>
  <c r="ACX83" i="55" s="1"/>
  <c r="ABX83" i="55"/>
  <c r="ACW83" i="55" s="1"/>
  <c r="ABW83" i="55"/>
  <c r="ACV83" i="55" s="1"/>
  <c r="ABV83" i="55"/>
  <c r="ACU83" i="55" s="1"/>
  <c r="ABU83" i="55"/>
  <c r="ACT83" i="55" s="1"/>
  <c r="ABT83" i="55"/>
  <c r="ACS83" i="55" s="1"/>
  <c r="ABS83" i="55"/>
  <c r="ACR83" i="55" s="1"/>
  <c r="ABR83" i="55"/>
  <c r="ACQ83" i="55" s="1"/>
  <c r="ABQ83" i="55"/>
  <c r="ACP83" i="55" s="1"/>
  <c r="ABP83" i="55"/>
  <c r="ACO83" i="55" s="1"/>
  <c r="ABO83" i="55"/>
  <c r="ACN83" i="55" s="1"/>
  <c r="ABN83" i="55"/>
  <c r="ACM83" i="55" s="1"/>
  <c r="ABM83" i="55"/>
  <c r="ACL83" i="55" s="1"/>
  <c r="ABL83" i="55"/>
  <c r="ACK83" i="55" s="1"/>
  <c r="ABK83" i="55"/>
  <c r="ACJ83" i="55" s="1"/>
  <c r="ABJ83" i="55"/>
  <c r="ACI83" i="55" s="1"/>
  <c r="ABI83" i="55"/>
  <c r="ACH83" i="55" s="1"/>
  <c r="ABH83" i="55"/>
  <c r="ACG83" i="55" s="1"/>
  <c r="ABG83" i="55"/>
  <c r="ACF83" i="55" s="1"/>
  <c r="ACD82" i="55"/>
  <c r="ADC82" i="55" s="1"/>
  <c r="ACC82" i="55"/>
  <c r="ADB82" i="55" s="1"/>
  <c r="ACB82" i="55"/>
  <c r="ADA82" i="55" s="1"/>
  <c r="ACA82" i="55"/>
  <c r="ACZ82" i="55" s="1"/>
  <c r="ABZ82" i="55"/>
  <c r="ACY82" i="55" s="1"/>
  <c r="ABY82" i="55"/>
  <c r="ACX82" i="55" s="1"/>
  <c r="ABX82" i="55"/>
  <c r="ACW82" i="55" s="1"/>
  <c r="ABW82" i="55"/>
  <c r="ACV82" i="55" s="1"/>
  <c r="ABV82" i="55"/>
  <c r="ACU82" i="55" s="1"/>
  <c r="ABU82" i="55"/>
  <c r="ACT82" i="55" s="1"/>
  <c r="ABT82" i="55"/>
  <c r="ACS82" i="55" s="1"/>
  <c r="ABS82" i="55"/>
  <c r="ACR82" i="55" s="1"/>
  <c r="ABR82" i="55"/>
  <c r="ACQ82" i="55" s="1"/>
  <c r="ABQ82" i="55"/>
  <c r="ACP82" i="55" s="1"/>
  <c r="ABP82" i="55"/>
  <c r="ACO82" i="55" s="1"/>
  <c r="ABO82" i="55"/>
  <c r="ACN82" i="55" s="1"/>
  <c r="ABN82" i="55"/>
  <c r="ACM82" i="55" s="1"/>
  <c r="ABM82" i="55"/>
  <c r="ACL82" i="55" s="1"/>
  <c r="ABL82" i="55"/>
  <c r="ACK82" i="55" s="1"/>
  <c r="ABK82" i="55"/>
  <c r="ACJ82" i="55" s="1"/>
  <c r="ABJ82" i="55"/>
  <c r="ACI82" i="55" s="1"/>
  <c r="ABI82" i="55"/>
  <c r="ACH82" i="55" s="1"/>
  <c r="ABH82" i="55"/>
  <c r="ACG82" i="55" s="1"/>
  <c r="ABG82" i="55"/>
  <c r="ACF82" i="55" s="1"/>
  <c r="ACD81" i="55"/>
  <c r="ADC81" i="55" s="1"/>
  <c r="ACC81" i="55"/>
  <c r="ADB81" i="55" s="1"/>
  <c r="ACB81" i="55"/>
  <c r="ADA81" i="55" s="1"/>
  <c r="ACA81" i="55"/>
  <c r="ACZ81" i="55" s="1"/>
  <c r="ABZ81" i="55"/>
  <c r="ACY81" i="55" s="1"/>
  <c r="ABY81" i="55"/>
  <c r="ACX81" i="55" s="1"/>
  <c r="ABX81" i="55"/>
  <c r="ACW81" i="55" s="1"/>
  <c r="ABW81" i="55"/>
  <c r="ACV81" i="55" s="1"/>
  <c r="ABV81" i="55"/>
  <c r="ACU81" i="55" s="1"/>
  <c r="ABU81" i="55"/>
  <c r="ACT81" i="55" s="1"/>
  <c r="ABT81" i="55"/>
  <c r="ACS81" i="55" s="1"/>
  <c r="ABS81" i="55"/>
  <c r="ACR81" i="55" s="1"/>
  <c r="ABR81" i="55"/>
  <c r="ACQ81" i="55" s="1"/>
  <c r="ABQ81" i="55"/>
  <c r="ACP81" i="55" s="1"/>
  <c r="ABP81" i="55"/>
  <c r="ACO81" i="55" s="1"/>
  <c r="ABO81" i="55"/>
  <c r="ACN81" i="55" s="1"/>
  <c r="ABN81" i="55"/>
  <c r="ACM81" i="55" s="1"/>
  <c r="ABM81" i="55"/>
  <c r="ACL81" i="55" s="1"/>
  <c r="ABL81" i="55"/>
  <c r="ACK81" i="55" s="1"/>
  <c r="ABK81" i="55"/>
  <c r="ACJ81" i="55" s="1"/>
  <c r="ABJ81" i="55"/>
  <c r="ACI81" i="55" s="1"/>
  <c r="ABI81" i="55"/>
  <c r="ACH81" i="55" s="1"/>
  <c r="ABH81" i="55"/>
  <c r="ACG81" i="55" s="1"/>
  <c r="ABG81" i="55"/>
  <c r="ACF81" i="55" s="1"/>
  <c r="ACD80" i="55"/>
  <c r="ADC80" i="55" s="1"/>
  <c r="ACC80" i="55"/>
  <c r="ADB80" i="55" s="1"/>
  <c r="ACB80" i="55"/>
  <c r="ADA80" i="55" s="1"/>
  <c r="ACA80" i="55"/>
  <c r="ACZ80" i="55" s="1"/>
  <c r="ABZ80" i="55"/>
  <c r="ACY80" i="55" s="1"/>
  <c r="ABY80" i="55"/>
  <c r="ACX80" i="55" s="1"/>
  <c r="ABX80" i="55"/>
  <c r="ACW80" i="55" s="1"/>
  <c r="ABW80" i="55"/>
  <c r="ACV80" i="55" s="1"/>
  <c r="ABV80" i="55"/>
  <c r="ACU80" i="55" s="1"/>
  <c r="ABU80" i="55"/>
  <c r="ACT80" i="55" s="1"/>
  <c r="ABT80" i="55"/>
  <c r="ACS80" i="55" s="1"/>
  <c r="ABS80" i="55"/>
  <c r="ACR80" i="55" s="1"/>
  <c r="ABR80" i="55"/>
  <c r="ACQ80" i="55" s="1"/>
  <c r="ABQ80" i="55"/>
  <c r="ACP80" i="55" s="1"/>
  <c r="ABP80" i="55"/>
  <c r="ACO80" i="55" s="1"/>
  <c r="ABO80" i="55"/>
  <c r="ACN80" i="55" s="1"/>
  <c r="ABN80" i="55"/>
  <c r="ACM80" i="55" s="1"/>
  <c r="ABM80" i="55"/>
  <c r="ACL80" i="55" s="1"/>
  <c r="ABL80" i="55"/>
  <c r="ACK80" i="55" s="1"/>
  <c r="ABK80" i="55"/>
  <c r="ACJ80" i="55" s="1"/>
  <c r="ABJ80" i="55"/>
  <c r="ACI80" i="55" s="1"/>
  <c r="ABI80" i="55"/>
  <c r="ACH80" i="55" s="1"/>
  <c r="ABH80" i="55"/>
  <c r="ACG80" i="55" s="1"/>
  <c r="ABG80" i="55"/>
  <c r="ACF80" i="55" s="1"/>
  <c r="ACD79" i="55"/>
  <c r="ADC79" i="55" s="1"/>
  <c r="ACC79" i="55"/>
  <c r="ADB79" i="55" s="1"/>
  <c r="ACB79" i="55"/>
  <c r="ADA79" i="55" s="1"/>
  <c r="ACA79" i="55"/>
  <c r="ACZ79" i="55" s="1"/>
  <c r="ABZ79" i="55"/>
  <c r="ACY79" i="55" s="1"/>
  <c r="ABY79" i="55"/>
  <c r="ACX79" i="55" s="1"/>
  <c r="ABX79" i="55"/>
  <c r="ACW79" i="55" s="1"/>
  <c r="ABW79" i="55"/>
  <c r="ACV79" i="55" s="1"/>
  <c r="ABV79" i="55"/>
  <c r="ACU79" i="55" s="1"/>
  <c r="ABU79" i="55"/>
  <c r="ACT79" i="55" s="1"/>
  <c r="ABT79" i="55"/>
  <c r="ACS79" i="55" s="1"/>
  <c r="ABS79" i="55"/>
  <c r="ACR79" i="55" s="1"/>
  <c r="ABR79" i="55"/>
  <c r="ACQ79" i="55" s="1"/>
  <c r="ABQ79" i="55"/>
  <c r="ACP79" i="55" s="1"/>
  <c r="ABP79" i="55"/>
  <c r="ACO79" i="55" s="1"/>
  <c r="ABO79" i="55"/>
  <c r="ACN79" i="55" s="1"/>
  <c r="ABN79" i="55"/>
  <c r="ACM79" i="55" s="1"/>
  <c r="ABM79" i="55"/>
  <c r="ACL79" i="55" s="1"/>
  <c r="ABL79" i="55"/>
  <c r="ACK79" i="55" s="1"/>
  <c r="ABK79" i="55"/>
  <c r="ACJ79" i="55" s="1"/>
  <c r="ABJ79" i="55"/>
  <c r="ACI79" i="55" s="1"/>
  <c r="ABI79" i="55"/>
  <c r="ACH79" i="55" s="1"/>
  <c r="ABH79" i="55"/>
  <c r="ACG79" i="55" s="1"/>
  <c r="ABG79" i="55"/>
  <c r="ACF79" i="55" s="1"/>
  <c r="ACD78" i="55"/>
  <c r="ADC78" i="55" s="1"/>
  <c r="ACC78" i="55"/>
  <c r="ADB78" i="55" s="1"/>
  <c r="ACB78" i="55"/>
  <c r="ADA78" i="55" s="1"/>
  <c r="ACA78" i="55"/>
  <c r="ACZ78" i="55" s="1"/>
  <c r="ABZ78" i="55"/>
  <c r="ACY78" i="55" s="1"/>
  <c r="ABY78" i="55"/>
  <c r="ACX78" i="55" s="1"/>
  <c r="ABX78" i="55"/>
  <c r="ACW78" i="55" s="1"/>
  <c r="ABW78" i="55"/>
  <c r="ACV78" i="55" s="1"/>
  <c r="ABV78" i="55"/>
  <c r="ACU78" i="55" s="1"/>
  <c r="ABU78" i="55"/>
  <c r="ACT78" i="55" s="1"/>
  <c r="ABT78" i="55"/>
  <c r="ACS78" i="55" s="1"/>
  <c r="ABS78" i="55"/>
  <c r="ACR78" i="55" s="1"/>
  <c r="ABR78" i="55"/>
  <c r="ACQ78" i="55" s="1"/>
  <c r="ABQ78" i="55"/>
  <c r="ACP78" i="55" s="1"/>
  <c r="ABP78" i="55"/>
  <c r="ACO78" i="55" s="1"/>
  <c r="ABO78" i="55"/>
  <c r="ACN78" i="55" s="1"/>
  <c r="ABN78" i="55"/>
  <c r="ACM78" i="55" s="1"/>
  <c r="ABM78" i="55"/>
  <c r="ACL78" i="55" s="1"/>
  <c r="ABL78" i="55"/>
  <c r="ACK78" i="55" s="1"/>
  <c r="ABK78" i="55"/>
  <c r="ACJ78" i="55" s="1"/>
  <c r="ABJ78" i="55"/>
  <c r="ACI78" i="55" s="1"/>
  <c r="ABI78" i="55"/>
  <c r="ACH78" i="55" s="1"/>
  <c r="ABH78" i="55"/>
  <c r="ACG78" i="55" s="1"/>
  <c r="ABG78" i="55"/>
  <c r="ACF78" i="55" s="1"/>
  <c r="ACD77" i="55"/>
  <c r="ADC77" i="55" s="1"/>
  <c r="ACC77" i="55"/>
  <c r="ADB77" i="55" s="1"/>
  <c r="ACB77" i="55"/>
  <c r="ADA77" i="55" s="1"/>
  <c r="ACA77" i="55"/>
  <c r="ACZ77" i="55" s="1"/>
  <c r="ABZ77" i="55"/>
  <c r="ACY77" i="55" s="1"/>
  <c r="ABY77" i="55"/>
  <c r="ACX77" i="55" s="1"/>
  <c r="ABX77" i="55"/>
  <c r="ACW77" i="55" s="1"/>
  <c r="ABW77" i="55"/>
  <c r="ACV77" i="55" s="1"/>
  <c r="ABV77" i="55"/>
  <c r="ACU77" i="55" s="1"/>
  <c r="ABU77" i="55"/>
  <c r="ACT77" i="55" s="1"/>
  <c r="ABT77" i="55"/>
  <c r="ACS77" i="55" s="1"/>
  <c r="ABS77" i="55"/>
  <c r="ACR77" i="55" s="1"/>
  <c r="ABR77" i="55"/>
  <c r="ACQ77" i="55" s="1"/>
  <c r="ABQ77" i="55"/>
  <c r="ACP77" i="55" s="1"/>
  <c r="ABP77" i="55"/>
  <c r="ACO77" i="55" s="1"/>
  <c r="ABO77" i="55"/>
  <c r="ACN77" i="55" s="1"/>
  <c r="ABN77" i="55"/>
  <c r="ACM77" i="55" s="1"/>
  <c r="ABM77" i="55"/>
  <c r="ACL77" i="55" s="1"/>
  <c r="ABL77" i="55"/>
  <c r="ACK77" i="55" s="1"/>
  <c r="ABK77" i="55"/>
  <c r="ACJ77" i="55" s="1"/>
  <c r="ABJ77" i="55"/>
  <c r="ACI77" i="55" s="1"/>
  <c r="ABI77" i="55"/>
  <c r="ACH77" i="55" s="1"/>
  <c r="ABH77" i="55"/>
  <c r="ACG77" i="55" s="1"/>
  <c r="ABG77" i="55"/>
  <c r="ACF77" i="55" s="1"/>
  <c r="ACD76" i="55"/>
  <c r="ADC76" i="55" s="1"/>
  <c r="ACC76" i="55"/>
  <c r="ADB76" i="55" s="1"/>
  <c r="ACB76" i="55"/>
  <c r="ADA76" i="55" s="1"/>
  <c r="ACA76" i="55"/>
  <c r="ACZ76" i="55" s="1"/>
  <c r="ABZ76" i="55"/>
  <c r="ACY76" i="55" s="1"/>
  <c r="ABY76" i="55"/>
  <c r="ACX76" i="55" s="1"/>
  <c r="ABX76" i="55"/>
  <c r="ACW76" i="55" s="1"/>
  <c r="ABW76" i="55"/>
  <c r="ACV76" i="55" s="1"/>
  <c r="ABV76" i="55"/>
  <c r="ACU76" i="55" s="1"/>
  <c r="ABU76" i="55"/>
  <c r="ACT76" i="55" s="1"/>
  <c r="ABT76" i="55"/>
  <c r="ACS76" i="55" s="1"/>
  <c r="ABS76" i="55"/>
  <c r="ACR76" i="55" s="1"/>
  <c r="ABR76" i="55"/>
  <c r="ACQ76" i="55" s="1"/>
  <c r="ABQ76" i="55"/>
  <c r="ACP76" i="55" s="1"/>
  <c r="ABP76" i="55"/>
  <c r="ACO76" i="55" s="1"/>
  <c r="ABO76" i="55"/>
  <c r="ACN76" i="55" s="1"/>
  <c r="ABN76" i="55"/>
  <c r="ACM76" i="55" s="1"/>
  <c r="ABM76" i="55"/>
  <c r="ACL76" i="55" s="1"/>
  <c r="ABL76" i="55"/>
  <c r="ACK76" i="55" s="1"/>
  <c r="ABK76" i="55"/>
  <c r="ACJ76" i="55" s="1"/>
  <c r="ABJ76" i="55"/>
  <c r="ACI76" i="55" s="1"/>
  <c r="ABI76" i="55"/>
  <c r="ACH76" i="55" s="1"/>
  <c r="ABH76" i="55"/>
  <c r="ACG76" i="55" s="1"/>
  <c r="ABG76" i="55"/>
  <c r="ACF76" i="55" s="1"/>
  <c r="ACD75" i="55"/>
  <c r="ADC75" i="55" s="1"/>
  <c r="ACC75" i="55"/>
  <c r="ADB75" i="55" s="1"/>
  <c r="ACB75" i="55"/>
  <c r="ADA75" i="55" s="1"/>
  <c r="ACA75" i="55"/>
  <c r="ACZ75" i="55" s="1"/>
  <c r="ABZ75" i="55"/>
  <c r="ACY75" i="55" s="1"/>
  <c r="ABY75" i="55"/>
  <c r="ACX75" i="55" s="1"/>
  <c r="ABX75" i="55"/>
  <c r="ACW75" i="55" s="1"/>
  <c r="ABW75" i="55"/>
  <c r="ACV75" i="55" s="1"/>
  <c r="ABV75" i="55"/>
  <c r="ACU75" i="55" s="1"/>
  <c r="ABU75" i="55"/>
  <c r="ACT75" i="55" s="1"/>
  <c r="ABT75" i="55"/>
  <c r="ACS75" i="55" s="1"/>
  <c r="ABS75" i="55"/>
  <c r="ACR75" i="55" s="1"/>
  <c r="ABR75" i="55"/>
  <c r="ACQ75" i="55" s="1"/>
  <c r="ABQ75" i="55"/>
  <c r="ACP75" i="55" s="1"/>
  <c r="ABP75" i="55"/>
  <c r="ACO75" i="55" s="1"/>
  <c r="ABO75" i="55"/>
  <c r="ACN75" i="55" s="1"/>
  <c r="ABN75" i="55"/>
  <c r="ACM75" i="55" s="1"/>
  <c r="ABM75" i="55"/>
  <c r="ACL75" i="55" s="1"/>
  <c r="ABL75" i="55"/>
  <c r="ACK75" i="55" s="1"/>
  <c r="ABK75" i="55"/>
  <c r="ACJ75" i="55" s="1"/>
  <c r="ABJ75" i="55"/>
  <c r="ACI75" i="55" s="1"/>
  <c r="ABI75" i="55"/>
  <c r="ACH75" i="55" s="1"/>
  <c r="ABH75" i="55"/>
  <c r="ACG75" i="55" s="1"/>
  <c r="ABG75" i="55"/>
  <c r="ACF75" i="55" s="1"/>
  <c r="ACD74" i="55"/>
  <c r="ADC74" i="55" s="1"/>
  <c r="ACC74" i="55"/>
  <c r="ADB74" i="55" s="1"/>
  <c r="ACB74" i="55"/>
  <c r="ADA74" i="55" s="1"/>
  <c r="ACA74" i="55"/>
  <c r="ACZ74" i="55" s="1"/>
  <c r="ABZ74" i="55"/>
  <c r="ACY74" i="55" s="1"/>
  <c r="ABY74" i="55"/>
  <c r="ACX74" i="55" s="1"/>
  <c r="ABX74" i="55"/>
  <c r="ACW74" i="55" s="1"/>
  <c r="ABW74" i="55"/>
  <c r="ACV74" i="55" s="1"/>
  <c r="ABV74" i="55"/>
  <c r="ACU74" i="55" s="1"/>
  <c r="ABU74" i="55"/>
  <c r="ACT74" i="55" s="1"/>
  <c r="ABT74" i="55"/>
  <c r="ACS74" i="55" s="1"/>
  <c r="ABS74" i="55"/>
  <c r="ACR74" i="55" s="1"/>
  <c r="ABR74" i="55"/>
  <c r="ACQ74" i="55" s="1"/>
  <c r="ABQ74" i="55"/>
  <c r="ACP74" i="55" s="1"/>
  <c r="ABP74" i="55"/>
  <c r="ACO74" i="55" s="1"/>
  <c r="ABO74" i="55"/>
  <c r="ACN74" i="55" s="1"/>
  <c r="ABN74" i="55"/>
  <c r="ACM74" i="55" s="1"/>
  <c r="ABM74" i="55"/>
  <c r="ACL74" i="55" s="1"/>
  <c r="ABL74" i="55"/>
  <c r="ACK74" i="55" s="1"/>
  <c r="ABK74" i="55"/>
  <c r="ACJ74" i="55" s="1"/>
  <c r="ABJ74" i="55"/>
  <c r="ACI74" i="55" s="1"/>
  <c r="ABI74" i="55"/>
  <c r="ACH74" i="55" s="1"/>
  <c r="ABH74" i="55"/>
  <c r="ACG74" i="55" s="1"/>
  <c r="ABG74" i="55"/>
  <c r="ACF74" i="55" s="1"/>
  <c r="ACD73" i="55"/>
  <c r="ADC73" i="55" s="1"/>
  <c r="ACC73" i="55"/>
  <c r="ADB73" i="55" s="1"/>
  <c r="ACB73" i="55"/>
  <c r="ADA73" i="55" s="1"/>
  <c r="ACA73" i="55"/>
  <c r="ACZ73" i="55" s="1"/>
  <c r="ABZ73" i="55"/>
  <c r="ACY73" i="55" s="1"/>
  <c r="ABY73" i="55"/>
  <c r="ACX73" i="55" s="1"/>
  <c r="ABX73" i="55"/>
  <c r="ACW73" i="55" s="1"/>
  <c r="ABW73" i="55"/>
  <c r="ACV73" i="55" s="1"/>
  <c r="ABV73" i="55"/>
  <c r="ACU73" i="55" s="1"/>
  <c r="ABU73" i="55"/>
  <c r="ACT73" i="55" s="1"/>
  <c r="ABT73" i="55"/>
  <c r="ACS73" i="55" s="1"/>
  <c r="ABS73" i="55"/>
  <c r="ACR73" i="55" s="1"/>
  <c r="ABR73" i="55"/>
  <c r="ACQ73" i="55" s="1"/>
  <c r="ABQ73" i="55"/>
  <c r="ACP73" i="55" s="1"/>
  <c r="ABP73" i="55"/>
  <c r="ACO73" i="55" s="1"/>
  <c r="ABO73" i="55"/>
  <c r="ACN73" i="55" s="1"/>
  <c r="ABN73" i="55"/>
  <c r="ACM73" i="55" s="1"/>
  <c r="ABM73" i="55"/>
  <c r="ACL73" i="55" s="1"/>
  <c r="ABL73" i="55"/>
  <c r="ACK73" i="55" s="1"/>
  <c r="ABK73" i="55"/>
  <c r="ACJ73" i="55" s="1"/>
  <c r="ABJ73" i="55"/>
  <c r="ACI73" i="55" s="1"/>
  <c r="ABI73" i="55"/>
  <c r="ACH73" i="55" s="1"/>
  <c r="ABH73" i="55"/>
  <c r="ACG73" i="55" s="1"/>
  <c r="ABG73" i="55"/>
  <c r="ACF73" i="55" s="1"/>
  <c r="ACD72" i="55"/>
  <c r="ADC72" i="55" s="1"/>
  <c r="ACC72" i="55"/>
  <c r="ADB72" i="55" s="1"/>
  <c r="ACB72" i="55"/>
  <c r="ADA72" i="55" s="1"/>
  <c r="ACA72" i="55"/>
  <c r="ACZ72" i="55" s="1"/>
  <c r="ABZ72" i="55"/>
  <c r="ACY72" i="55" s="1"/>
  <c r="ABY72" i="55"/>
  <c r="ACX72" i="55" s="1"/>
  <c r="ABX72" i="55"/>
  <c r="ACW72" i="55" s="1"/>
  <c r="ABW72" i="55"/>
  <c r="ACV72" i="55" s="1"/>
  <c r="ABV72" i="55"/>
  <c r="ACU72" i="55" s="1"/>
  <c r="ABU72" i="55"/>
  <c r="ACT72" i="55" s="1"/>
  <c r="ABT72" i="55"/>
  <c r="ACS72" i="55" s="1"/>
  <c r="ABS72" i="55"/>
  <c r="ACR72" i="55" s="1"/>
  <c r="ABR72" i="55"/>
  <c r="ACQ72" i="55" s="1"/>
  <c r="ABQ72" i="55"/>
  <c r="ACP72" i="55" s="1"/>
  <c r="ABP72" i="55"/>
  <c r="ACO72" i="55" s="1"/>
  <c r="ABO72" i="55"/>
  <c r="ACN72" i="55" s="1"/>
  <c r="ABN72" i="55"/>
  <c r="ACM72" i="55" s="1"/>
  <c r="ABM72" i="55"/>
  <c r="ACL72" i="55" s="1"/>
  <c r="ABL72" i="55"/>
  <c r="ACK72" i="55" s="1"/>
  <c r="ABK72" i="55"/>
  <c r="ACJ72" i="55" s="1"/>
  <c r="ABJ72" i="55"/>
  <c r="ACI72" i="55" s="1"/>
  <c r="ABI72" i="55"/>
  <c r="ACH72" i="55" s="1"/>
  <c r="ABH72" i="55"/>
  <c r="ACG72" i="55" s="1"/>
  <c r="ABG72" i="55"/>
  <c r="ACF72" i="55" s="1"/>
  <c r="ACD71" i="55"/>
  <c r="ADC71" i="55" s="1"/>
  <c r="ACC71" i="55"/>
  <c r="ADB71" i="55" s="1"/>
  <c r="ACB71" i="55"/>
  <c r="ADA71" i="55" s="1"/>
  <c r="ACA71" i="55"/>
  <c r="ACZ71" i="55" s="1"/>
  <c r="ABZ71" i="55"/>
  <c r="ACY71" i="55" s="1"/>
  <c r="ABY71" i="55"/>
  <c r="ACX71" i="55" s="1"/>
  <c r="ABX71" i="55"/>
  <c r="ACW71" i="55" s="1"/>
  <c r="ABW71" i="55"/>
  <c r="ACV71" i="55" s="1"/>
  <c r="ABV71" i="55"/>
  <c r="ACU71" i="55" s="1"/>
  <c r="ABU71" i="55"/>
  <c r="ACT71" i="55" s="1"/>
  <c r="ABT71" i="55"/>
  <c r="ACS71" i="55" s="1"/>
  <c r="ABS71" i="55"/>
  <c r="ACR71" i="55" s="1"/>
  <c r="ABR71" i="55"/>
  <c r="ACQ71" i="55" s="1"/>
  <c r="ABQ71" i="55"/>
  <c r="ACP71" i="55" s="1"/>
  <c r="ABP71" i="55"/>
  <c r="ACO71" i="55" s="1"/>
  <c r="ABO71" i="55"/>
  <c r="ACN71" i="55" s="1"/>
  <c r="ABN71" i="55"/>
  <c r="ACM71" i="55" s="1"/>
  <c r="ABM71" i="55"/>
  <c r="ACL71" i="55" s="1"/>
  <c r="ABL71" i="55"/>
  <c r="ACK71" i="55" s="1"/>
  <c r="ABK71" i="55"/>
  <c r="ACJ71" i="55" s="1"/>
  <c r="ABJ71" i="55"/>
  <c r="ACI71" i="55" s="1"/>
  <c r="ABI71" i="55"/>
  <c r="ACH71" i="55" s="1"/>
  <c r="ABH71" i="55"/>
  <c r="ACG71" i="55" s="1"/>
  <c r="ABG71" i="55"/>
  <c r="ACF71" i="55" s="1"/>
  <c r="ACD70" i="55"/>
  <c r="ADC70" i="55" s="1"/>
  <c r="ACC70" i="55"/>
  <c r="ADB70" i="55" s="1"/>
  <c r="ACB70" i="55"/>
  <c r="ADA70" i="55" s="1"/>
  <c r="ACA70" i="55"/>
  <c r="ACZ70" i="55" s="1"/>
  <c r="ABZ70" i="55"/>
  <c r="ACY70" i="55" s="1"/>
  <c r="ABY70" i="55"/>
  <c r="ACX70" i="55" s="1"/>
  <c r="ABX70" i="55"/>
  <c r="ACW70" i="55" s="1"/>
  <c r="ABW70" i="55"/>
  <c r="ACV70" i="55" s="1"/>
  <c r="ABV70" i="55"/>
  <c r="ACU70" i="55" s="1"/>
  <c r="ABU70" i="55"/>
  <c r="ACT70" i="55" s="1"/>
  <c r="ABT70" i="55"/>
  <c r="ACS70" i="55" s="1"/>
  <c r="ABS70" i="55"/>
  <c r="ACR70" i="55" s="1"/>
  <c r="ABR70" i="55"/>
  <c r="ACQ70" i="55" s="1"/>
  <c r="ABQ70" i="55"/>
  <c r="ACP70" i="55" s="1"/>
  <c r="ABP70" i="55"/>
  <c r="ACO70" i="55" s="1"/>
  <c r="ABO70" i="55"/>
  <c r="ACN70" i="55" s="1"/>
  <c r="ABN70" i="55"/>
  <c r="ACM70" i="55" s="1"/>
  <c r="ABM70" i="55"/>
  <c r="ACL70" i="55" s="1"/>
  <c r="ABL70" i="55"/>
  <c r="ACK70" i="55" s="1"/>
  <c r="ABK70" i="55"/>
  <c r="ACJ70" i="55" s="1"/>
  <c r="ABJ70" i="55"/>
  <c r="ACI70" i="55" s="1"/>
  <c r="ABI70" i="55"/>
  <c r="ACH70" i="55" s="1"/>
  <c r="ABH70" i="55"/>
  <c r="ACG70" i="55" s="1"/>
  <c r="ABG70" i="55"/>
  <c r="ACF70" i="55" s="1"/>
  <c r="ACD69" i="55"/>
  <c r="ADC69" i="55" s="1"/>
  <c r="ACC69" i="55"/>
  <c r="ADB69" i="55" s="1"/>
  <c r="ACB69" i="55"/>
  <c r="ADA69" i="55" s="1"/>
  <c r="ACA69" i="55"/>
  <c r="ACZ69" i="55" s="1"/>
  <c r="ABZ69" i="55"/>
  <c r="ACY69" i="55" s="1"/>
  <c r="ABY69" i="55"/>
  <c r="ACX69" i="55" s="1"/>
  <c r="ABX69" i="55"/>
  <c r="ACW69" i="55" s="1"/>
  <c r="ABW69" i="55"/>
  <c r="ACV69" i="55" s="1"/>
  <c r="ABV69" i="55"/>
  <c r="ACU69" i="55" s="1"/>
  <c r="ABU69" i="55"/>
  <c r="ACT69" i="55" s="1"/>
  <c r="ABT69" i="55"/>
  <c r="ACS69" i="55" s="1"/>
  <c r="ABS69" i="55"/>
  <c r="ACR69" i="55" s="1"/>
  <c r="ABR69" i="55"/>
  <c r="ACQ69" i="55" s="1"/>
  <c r="ABQ69" i="55"/>
  <c r="ACP69" i="55" s="1"/>
  <c r="ABP69" i="55"/>
  <c r="ACO69" i="55" s="1"/>
  <c r="ABO69" i="55"/>
  <c r="ACN69" i="55" s="1"/>
  <c r="ABN69" i="55"/>
  <c r="ACM69" i="55" s="1"/>
  <c r="ABM69" i="55"/>
  <c r="ACL69" i="55" s="1"/>
  <c r="ABL69" i="55"/>
  <c r="ACK69" i="55" s="1"/>
  <c r="ABK69" i="55"/>
  <c r="ACJ69" i="55" s="1"/>
  <c r="ABJ69" i="55"/>
  <c r="ACI69" i="55" s="1"/>
  <c r="ABI69" i="55"/>
  <c r="ACH69" i="55" s="1"/>
  <c r="ABH69" i="55"/>
  <c r="ACG69" i="55" s="1"/>
  <c r="ABG69" i="55"/>
  <c r="ACF69" i="55" s="1"/>
  <c r="ACD68" i="55"/>
  <c r="ADC68" i="55" s="1"/>
  <c r="ACC68" i="55"/>
  <c r="ADB68" i="55" s="1"/>
  <c r="ACB68" i="55"/>
  <c r="ADA68" i="55" s="1"/>
  <c r="ACA68" i="55"/>
  <c r="ACZ68" i="55" s="1"/>
  <c r="ABZ68" i="55"/>
  <c r="ACY68" i="55" s="1"/>
  <c r="ABY68" i="55"/>
  <c r="ACX68" i="55" s="1"/>
  <c r="ABX68" i="55"/>
  <c r="ACW68" i="55" s="1"/>
  <c r="ABW68" i="55"/>
  <c r="ACV68" i="55" s="1"/>
  <c r="ABV68" i="55"/>
  <c r="ACU68" i="55" s="1"/>
  <c r="ABU68" i="55"/>
  <c r="ACT68" i="55" s="1"/>
  <c r="ABT68" i="55"/>
  <c r="ACS68" i="55" s="1"/>
  <c r="ABS68" i="55"/>
  <c r="ACR68" i="55" s="1"/>
  <c r="ABR68" i="55"/>
  <c r="ACQ68" i="55" s="1"/>
  <c r="ABQ68" i="55"/>
  <c r="ACP68" i="55" s="1"/>
  <c r="ABP68" i="55"/>
  <c r="ACO68" i="55" s="1"/>
  <c r="ABO68" i="55"/>
  <c r="ACN68" i="55" s="1"/>
  <c r="ABN68" i="55"/>
  <c r="ACM68" i="55" s="1"/>
  <c r="ABM68" i="55"/>
  <c r="ACL68" i="55" s="1"/>
  <c r="ABL68" i="55"/>
  <c r="ACK68" i="55" s="1"/>
  <c r="ABK68" i="55"/>
  <c r="ACJ68" i="55" s="1"/>
  <c r="ABJ68" i="55"/>
  <c r="ACI68" i="55" s="1"/>
  <c r="ABI68" i="55"/>
  <c r="ACH68" i="55" s="1"/>
  <c r="ABH68" i="55"/>
  <c r="ACG68" i="55" s="1"/>
  <c r="ABG68" i="55"/>
  <c r="ACF68" i="55" s="1"/>
  <c r="ACD67" i="55"/>
  <c r="ADC67" i="55" s="1"/>
  <c r="ACC67" i="55"/>
  <c r="ADB67" i="55" s="1"/>
  <c r="ACB67" i="55"/>
  <c r="ADA67" i="55" s="1"/>
  <c r="ACA67" i="55"/>
  <c r="ACZ67" i="55" s="1"/>
  <c r="ABZ67" i="55"/>
  <c r="ACY67" i="55" s="1"/>
  <c r="ABY67" i="55"/>
  <c r="ACX67" i="55" s="1"/>
  <c r="ABX67" i="55"/>
  <c r="ACW67" i="55" s="1"/>
  <c r="ABW67" i="55"/>
  <c r="ACV67" i="55" s="1"/>
  <c r="ABV67" i="55"/>
  <c r="ACU67" i="55" s="1"/>
  <c r="ABU67" i="55"/>
  <c r="ACT67" i="55" s="1"/>
  <c r="ABT67" i="55"/>
  <c r="ACS67" i="55" s="1"/>
  <c r="ABS67" i="55"/>
  <c r="ACR67" i="55" s="1"/>
  <c r="ABR67" i="55"/>
  <c r="ACQ67" i="55" s="1"/>
  <c r="ABQ67" i="55"/>
  <c r="ACP67" i="55" s="1"/>
  <c r="ABP67" i="55"/>
  <c r="ACO67" i="55" s="1"/>
  <c r="ABO67" i="55"/>
  <c r="ACN67" i="55" s="1"/>
  <c r="ABN67" i="55"/>
  <c r="ACM67" i="55" s="1"/>
  <c r="ABM67" i="55"/>
  <c r="ACL67" i="55" s="1"/>
  <c r="ABL67" i="55"/>
  <c r="ACK67" i="55" s="1"/>
  <c r="ABK67" i="55"/>
  <c r="ACJ67" i="55" s="1"/>
  <c r="ABJ67" i="55"/>
  <c r="ACI67" i="55" s="1"/>
  <c r="ABI67" i="55"/>
  <c r="ACH67" i="55" s="1"/>
  <c r="ABH67" i="55"/>
  <c r="ACG67" i="55" s="1"/>
  <c r="ABG67" i="55"/>
  <c r="ACF67" i="55" s="1"/>
  <c r="ACD66" i="55"/>
  <c r="ADC66" i="55" s="1"/>
  <c r="ACC66" i="55"/>
  <c r="ADB66" i="55" s="1"/>
  <c r="ACB66" i="55"/>
  <c r="ADA66" i="55" s="1"/>
  <c r="ACA66" i="55"/>
  <c r="ACZ66" i="55" s="1"/>
  <c r="ABZ66" i="55"/>
  <c r="ACY66" i="55" s="1"/>
  <c r="ABY66" i="55"/>
  <c r="ACX66" i="55" s="1"/>
  <c r="ABX66" i="55"/>
  <c r="ACW66" i="55" s="1"/>
  <c r="ABW66" i="55"/>
  <c r="ACV66" i="55" s="1"/>
  <c r="ABV66" i="55"/>
  <c r="ACU66" i="55" s="1"/>
  <c r="ABU66" i="55"/>
  <c r="ACT66" i="55" s="1"/>
  <c r="ABT66" i="55"/>
  <c r="ACS66" i="55" s="1"/>
  <c r="ABS66" i="55"/>
  <c r="ACR66" i="55" s="1"/>
  <c r="ABR66" i="55"/>
  <c r="ACQ66" i="55" s="1"/>
  <c r="ABQ66" i="55"/>
  <c r="ACP66" i="55" s="1"/>
  <c r="ABP66" i="55"/>
  <c r="ACO66" i="55" s="1"/>
  <c r="ABO66" i="55"/>
  <c r="ACN66" i="55" s="1"/>
  <c r="ABN66" i="55"/>
  <c r="ACM66" i="55" s="1"/>
  <c r="ABM66" i="55"/>
  <c r="ACL66" i="55" s="1"/>
  <c r="ABL66" i="55"/>
  <c r="ACK66" i="55" s="1"/>
  <c r="ABK66" i="55"/>
  <c r="ACJ66" i="55" s="1"/>
  <c r="ABJ66" i="55"/>
  <c r="ACI66" i="55" s="1"/>
  <c r="ABI66" i="55"/>
  <c r="ACH66" i="55" s="1"/>
  <c r="ABH66" i="55"/>
  <c r="ACG66" i="55" s="1"/>
  <c r="ABG66" i="55"/>
  <c r="ACF66" i="55" s="1"/>
  <c r="ACD65" i="55"/>
  <c r="ADC65" i="55" s="1"/>
  <c r="ACC65" i="55"/>
  <c r="ADB65" i="55" s="1"/>
  <c r="ACB65" i="55"/>
  <c r="ADA65" i="55" s="1"/>
  <c r="ACA65" i="55"/>
  <c r="ACZ65" i="55" s="1"/>
  <c r="ABZ65" i="55"/>
  <c r="ACY65" i="55" s="1"/>
  <c r="ABY65" i="55"/>
  <c r="ACX65" i="55" s="1"/>
  <c r="ABX65" i="55"/>
  <c r="ACW65" i="55" s="1"/>
  <c r="ABW65" i="55"/>
  <c r="ACV65" i="55" s="1"/>
  <c r="ABV65" i="55"/>
  <c r="ACU65" i="55" s="1"/>
  <c r="ABU65" i="55"/>
  <c r="ACT65" i="55" s="1"/>
  <c r="ABT65" i="55"/>
  <c r="ACS65" i="55" s="1"/>
  <c r="ABS65" i="55"/>
  <c r="ACR65" i="55" s="1"/>
  <c r="ABR65" i="55"/>
  <c r="ACQ65" i="55" s="1"/>
  <c r="ABQ65" i="55"/>
  <c r="ACP65" i="55" s="1"/>
  <c r="ABP65" i="55"/>
  <c r="ACO65" i="55" s="1"/>
  <c r="ABO65" i="55"/>
  <c r="ACN65" i="55" s="1"/>
  <c r="ABN65" i="55"/>
  <c r="ACM65" i="55" s="1"/>
  <c r="ABM65" i="55"/>
  <c r="ACL65" i="55" s="1"/>
  <c r="ABL65" i="55"/>
  <c r="ACK65" i="55" s="1"/>
  <c r="ABK65" i="55"/>
  <c r="ACJ65" i="55" s="1"/>
  <c r="ABJ65" i="55"/>
  <c r="ACI65" i="55" s="1"/>
  <c r="ABI65" i="55"/>
  <c r="ACH65" i="55" s="1"/>
  <c r="ABH65" i="55"/>
  <c r="ACG65" i="55" s="1"/>
  <c r="ABG65" i="55"/>
  <c r="ACF65" i="55" s="1"/>
  <c r="ACD64" i="55"/>
  <c r="ADC64" i="55" s="1"/>
  <c r="ACC64" i="55"/>
  <c r="ADB64" i="55" s="1"/>
  <c r="ACB64" i="55"/>
  <c r="ADA64" i="55" s="1"/>
  <c r="ACA64" i="55"/>
  <c r="ACZ64" i="55" s="1"/>
  <c r="ABZ64" i="55"/>
  <c r="ACY64" i="55" s="1"/>
  <c r="ABY64" i="55"/>
  <c r="ACX64" i="55" s="1"/>
  <c r="ABX64" i="55"/>
  <c r="ACW64" i="55" s="1"/>
  <c r="ABW64" i="55"/>
  <c r="ACV64" i="55" s="1"/>
  <c r="ABV64" i="55"/>
  <c r="ACU64" i="55" s="1"/>
  <c r="ABU64" i="55"/>
  <c r="ACT64" i="55" s="1"/>
  <c r="ABT64" i="55"/>
  <c r="ACS64" i="55" s="1"/>
  <c r="ABS64" i="55"/>
  <c r="ACR64" i="55" s="1"/>
  <c r="ABR64" i="55"/>
  <c r="ACQ64" i="55" s="1"/>
  <c r="ABQ64" i="55"/>
  <c r="ACP64" i="55" s="1"/>
  <c r="ABP64" i="55"/>
  <c r="ACO64" i="55" s="1"/>
  <c r="ABO64" i="55"/>
  <c r="ACN64" i="55" s="1"/>
  <c r="ABN64" i="55"/>
  <c r="ACM64" i="55" s="1"/>
  <c r="ABM64" i="55"/>
  <c r="ACL64" i="55" s="1"/>
  <c r="ABL64" i="55"/>
  <c r="ACK64" i="55" s="1"/>
  <c r="ABK64" i="55"/>
  <c r="ACJ64" i="55" s="1"/>
  <c r="ABJ64" i="55"/>
  <c r="ACI64" i="55" s="1"/>
  <c r="ABI64" i="55"/>
  <c r="ACH64" i="55" s="1"/>
  <c r="ABH64" i="55"/>
  <c r="ACG64" i="55" s="1"/>
  <c r="ABG64" i="55"/>
  <c r="ACF64" i="55" s="1"/>
  <c r="ACD63" i="55"/>
  <c r="ADC63" i="55" s="1"/>
  <c r="ACC63" i="55"/>
  <c r="ADB63" i="55" s="1"/>
  <c r="ACB63" i="55"/>
  <c r="ADA63" i="55" s="1"/>
  <c r="ACA63" i="55"/>
  <c r="ACZ63" i="55" s="1"/>
  <c r="ABZ63" i="55"/>
  <c r="ACY63" i="55" s="1"/>
  <c r="ABY63" i="55"/>
  <c r="ACX63" i="55" s="1"/>
  <c r="ABX63" i="55"/>
  <c r="ACW63" i="55" s="1"/>
  <c r="ABW63" i="55"/>
  <c r="ACV63" i="55" s="1"/>
  <c r="ABV63" i="55"/>
  <c r="ACU63" i="55" s="1"/>
  <c r="ABU63" i="55"/>
  <c r="ACT63" i="55" s="1"/>
  <c r="ABT63" i="55"/>
  <c r="ACS63" i="55" s="1"/>
  <c r="ABS63" i="55"/>
  <c r="ACR63" i="55" s="1"/>
  <c r="ABR63" i="55"/>
  <c r="ACQ63" i="55" s="1"/>
  <c r="ABQ63" i="55"/>
  <c r="ACP63" i="55" s="1"/>
  <c r="ABP63" i="55"/>
  <c r="ACO63" i="55" s="1"/>
  <c r="ABO63" i="55"/>
  <c r="ACN63" i="55" s="1"/>
  <c r="ABN63" i="55"/>
  <c r="ACM63" i="55" s="1"/>
  <c r="ABM63" i="55"/>
  <c r="ACL63" i="55" s="1"/>
  <c r="ABL63" i="55"/>
  <c r="ACK63" i="55" s="1"/>
  <c r="ABK63" i="55"/>
  <c r="ACJ63" i="55" s="1"/>
  <c r="ABJ63" i="55"/>
  <c r="ACI63" i="55" s="1"/>
  <c r="ABI63" i="55"/>
  <c r="ACH63" i="55" s="1"/>
  <c r="ABH63" i="55"/>
  <c r="ACG63" i="55" s="1"/>
  <c r="ABG63" i="55"/>
  <c r="ACF63" i="55" s="1"/>
  <c r="ACD62" i="55"/>
  <c r="ADC62" i="55" s="1"/>
  <c r="ACC62" i="55"/>
  <c r="ADB62" i="55" s="1"/>
  <c r="ACB62" i="55"/>
  <c r="ADA62" i="55" s="1"/>
  <c r="ACA62" i="55"/>
  <c r="ACZ62" i="55" s="1"/>
  <c r="ABZ62" i="55"/>
  <c r="ACY62" i="55" s="1"/>
  <c r="ABY62" i="55"/>
  <c r="ACX62" i="55" s="1"/>
  <c r="ABX62" i="55"/>
  <c r="ACW62" i="55" s="1"/>
  <c r="ABW62" i="55"/>
  <c r="ACV62" i="55" s="1"/>
  <c r="ABV62" i="55"/>
  <c r="ACU62" i="55" s="1"/>
  <c r="ABU62" i="55"/>
  <c r="ACT62" i="55" s="1"/>
  <c r="ABT62" i="55"/>
  <c r="ACS62" i="55" s="1"/>
  <c r="ABS62" i="55"/>
  <c r="ACR62" i="55" s="1"/>
  <c r="ABR62" i="55"/>
  <c r="ACQ62" i="55" s="1"/>
  <c r="ABQ62" i="55"/>
  <c r="ACP62" i="55" s="1"/>
  <c r="ABP62" i="55"/>
  <c r="ACO62" i="55" s="1"/>
  <c r="ABO62" i="55"/>
  <c r="ACN62" i="55" s="1"/>
  <c r="ABN62" i="55"/>
  <c r="ACM62" i="55" s="1"/>
  <c r="ABM62" i="55"/>
  <c r="ACL62" i="55" s="1"/>
  <c r="ABL62" i="55"/>
  <c r="ACK62" i="55" s="1"/>
  <c r="ABK62" i="55"/>
  <c r="ACJ62" i="55" s="1"/>
  <c r="ABJ62" i="55"/>
  <c r="ACI62" i="55" s="1"/>
  <c r="ABI62" i="55"/>
  <c r="ACH62" i="55" s="1"/>
  <c r="ABH62" i="55"/>
  <c r="ACG62" i="55" s="1"/>
  <c r="ABG62" i="55"/>
  <c r="ACF62" i="55" s="1"/>
  <c r="ACD61" i="55"/>
  <c r="ADC61" i="55" s="1"/>
  <c r="ACC61" i="55"/>
  <c r="ADB61" i="55" s="1"/>
  <c r="ACB61" i="55"/>
  <c r="ADA61" i="55" s="1"/>
  <c r="ACA61" i="55"/>
  <c r="ACZ61" i="55" s="1"/>
  <c r="ABZ61" i="55"/>
  <c r="ACY61" i="55" s="1"/>
  <c r="ABY61" i="55"/>
  <c r="ACX61" i="55" s="1"/>
  <c r="ABX61" i="55"/>
  <c r="ACW61" i="55" s="1"/>
  <c r="ABW61" i="55"/>
  <c r="ACV61" i="55" s="1"/>
  <c r="ABV61" i="55"/>
  <c r="ACU61" i="55" s="1"/>
  <c r="ABU61" i="55"/>
  <c r="ACT61" i="55" s="1"/>
  <c r="ABT61" i="55"/>
  <c r="ACS61" i="55" s="1"/>
  <c r="ABS61" i="55"/>
  <c r="ACR61" i="55" s="1"/>
  <c r="ABR61" i="55"/>
  <c r="ACQ61" i="55" s="1"/>
  <c r="ABQ61" i="55"/>
  <c r="ACP61" i="55" s="1"/>
  <c r="ABP61" i="55"/>
  <c r="ACO61" i="55" s="1"/>
  <c r="ABO61" i="55"/>
  <c r="ACN61" i="55" s="1"/>
  <c r="ABN61" i="55"/>
  <c r="ACM61" i="55" s="1"/>
  <c r="ABM61" i="55"/>
  <c r="ACL61" i="55" s="1"/>
  <c r="ABL61" i="55"/>
  <c r="ACK61" i="55" s="1"/>
  <c r="ABK61" i="55"/>
  <c r="ACJ61" i="55" s="1"/>
  <c r="ABJ61" i="55"/>
  <c r="ACI61" i="55" s="1"/>
  <c r="ABI61" i="55"/>
  <c r="ACH61" i="55" s="1"/>
  <c r="ABH61" i="55"/>
  <c r="ACG61" i="55" s="1"/>
  <c r="ABG61" i="55"/>
  <c r="ACF61" i="55" s="1"/>
  <c r="ACR60" i="55"/>
  <c r="ACD60" i="55"/>
  <c r="ADC60" i="55" s="1"/>
  <c r="ACC60" i="55"/>
  <c r="ADB60" i="55" s="1"/>
  <c r="ACB60" i="55"/>
  <c r="ADA60" i="55" s="1"/>
  <c r="ACA60" i="55"/>
  <c r="ACZ60" i="55" s="1"/>
  <c r="ABZ60" i="55"/>
  <c r="ACY60" i="55" s="1"/>
  <c r="ABY60" i="55"/>
  <c r="ACX60" i="55" s="1"/>
  <c r="ABX60" i="55"/>
  <c r="ACW60" i="55" s="1"/>
  <c r="ABW60" i="55"/>
  <c r="ACV60" i="55" s="1"/>
  <c r="ABV60" i="55"/>
  <c r="ACU60" i="55" s="1"/>
  <c r="ABU60" i="55"/>
  <c r="ACT60" i="55" s="1"/>
  <c r="ABT60" i="55"/>
  <c r="ACS60" i="55" s="1"/>
  <c r="ABS60" i="55"/>
  <c r="ABR60" i="55"/>
  <c r="ACQ60" i="55" s="1"/>
  <c r="ABQ60" i="55"/>
  <c r="ACP60" i="55" s="1"/>
  <c r="ABP60" i="55"/>
  <c r="ACO60" i="55" s="1"/>
  <c r="ABO60" i="55"/>
  <c r="ACN60" i="55" s="1"/>
  <c r="ABN60" i="55"/>
  <c r="ACM60" i="55" s="1"/>
  <c r="ABM60" i="55"/>
  <c r="ACL60" i="55" s="1"/>
  <c r="ABL60" i="55"/>
  <c r="ACK60" i="55" s="1"/>
  <c r="ABK60" i="55"/>
  <c r="ACJ60" i="55" s="1"/>
  <c r="ABJ60" i="55"/>
  <c r="ACI60" i="55" s="1"/>
  <c r="ABI60" i="55"/>
  <c r="ACH60" i="55" s="1"/>
  <c r="ABH60" i="55"/>
  <c r="ACG60" i="55" s="1"/>
  <c r="ABG60" i="55"/>
  <c r="ACF60" i="55" s="1"/>
  <c r="ACR59" i="55"/>
  <c r="ACD59" i="55"/>
  <c r="ADC59" i="55" s="1"/>
  <c r="ACC59" i="55"/>
  <c r="ADB59" i="55" s="1"/>
  <c r="ACB59" i="55"/>
  <c r="ADA59" i="55" s="1"/>
  <c r="ACA59" i="55"/>
  <c r="ACZ59" i="55" s="1"/>
  <c r="ABZ59" i="55"/>
  <c r="ACY59" i="55" s="1"/>
  <c r="ABY59" i="55"/>
  <c r="ACX59" i="55" s="1"/>
  <c r="ABX59" i="55"/>
  <c r="ACW59" i="55" s="1"/>
  <c r="ABW59" i="55"/>
  <c r="ACV59" i="55" s="1"/>
  <c r="ABV59" i="55"/>
  <c r="ACU59" i="55" s="1"/>
  <c r="ABU59" i="55"/>
  <c r="ACT59" i="55" s="1"/>
  <c r="ABT59" i="55"/>
  <c r="ACS59" i="55" s="1"/>
  <c r="ABS59" i="55"/>
  <c r="ABR59" i="55"/>
  <c r="ACQ59" i="55" s="1"/>
  <c r="ABQ59" i="55"/>
  <c r="ACP59" i="55" s="1"/>
  <c r="ABP59" i="55"/>
  <c r="ACO59" i="55" s="1"/>
  <c r="ABO59" i="55"/>
  <c r="ACN59" i="55" s="1"/>
  <c r="ABN59" i="55"/>
  <c r="ACM59" i="55" s="1"/>
  <c r="ABM59" i="55"/>
  <c r="ACL59" i="55" s="1"/>
  <c r="ABL59" i="55"/>
  <c r="ACK59" i="55" s="1"/>
  <c r="ABK59" i="55"/>
  <c r="ACJ59" i="55" s="1"/>
  <c r="ABJ59" i="55"/>
  <c r="ACI59" i="55" s="1"/>
  <c r="ABI59" i="55"/>
  <c r="ACH59" i="55" s="1"/>
  <c r="ABH59" i="55"/>
  <c r="ACG59" i="55" s="1"/>
  <c r="ABG59" i="55"/>
  <c r="ACF59" i="55" s="1"/>
  <c r="ACD58" i="55"/>
  <c r="ADC58" i="55" s="1"/>
  <c r="ACC58" i="55"/>
  <c r="ADB58" i="55" s="1"/>
  <c r="ACB58" i="55"/>
  <c r="ADA58" i="55" s="1"/>
  <c r="ACA58" i="55"/>
  <c r="ACZ58" i="55" s="1"/>
  <c r="ABZ58" i="55"/>
  <c r="ACY58" i="55" s="1"/>
  <c r="ABY58" i="55"/>
  <c r="ACX58" i="55" s="1"/>
  <c r="ABX58" i="55"/>
  <c r="ACW58" i="55" s="1"/>
  <c r="ABW58" i="55"/>
  <c r="ACV58" i="55" s="1"/>
  <c r="ABV58" i="55"/>
  <c r="ACU58" i="55" s="1"/>
  <c r="ABU58" i="55"/>
  <c r="ACT58" i="55" s="1"/>
  <c r="ABT58" i="55"/>
  <c r="ACS58" i="55" s="1"/>
  <c r="ABS58" i="55"/>
  <c r="ACR58" i="55" s="1"/>
  <c r="ABR58" i="55"/>
  <c r="ACQ58" i="55" s="1"/>
  <c r="ABQ58" i="55"/>
  <c r="ACP58" i="55" s="1"/>
  <c r="ABP58" i="55"/>
  <c r="ACO58" i="55" s="1"/>
  <c r="ABO58" i="55"/>
  <c r="ACN58" i="55" s="1"/>
  <c r="ABN58" i="55"/>
  <c r="ACM58" i="55" s="1"/>
  <c r="ABM58" i="55"/>
  <c r="ACL58" i="55" s="1"/>
  <c r="ABL58" i="55"/>
  <c r="ACK58" i="55" s="1"/>
  <c r="ABK58" i="55"/>
  <c r="ACJ58" i="55" s="1"/>
  <c r="ABJ58" i="55"/>
  <c r="ACI58" i="55" s="1"/>
  <c r="ABI58" i="55"/>
  <c r="ACH58" i="55" s="1"/>
  <c r="ABH58" i="55"/>
  <c r="ACG58" i="55" s="1"/>
  <c r="ABG58" i="55"/>
  <c r="ACF58" i="55" s="1"/>
  <c r="ACV57" i="55"/>
  <c r="ACJ57" i="55"/>
  <c r="ACD57" i="55"/>
  <c r="ADC57" i="55" s="1"/>
  <c r="ACC57" i="55"/>
  <c r="ADB57" i="55" s="1"/>
  <c r="ACB57" i="55"/>
  <c r="ADA57" i="55" s="1"/>
  <c r="ACA57" i="55"/>
  <c r="ACZ57" i="55" s="1"/>
  <c r="ABZ57" i="55"/>
  <c r="ACY57" i="55" s="1"/>
  <c r="ABY57" i="55"/>
  <c r="ACX57" i="55" s="1"/>
  <c r="ABX57" i="55"/>
  <c r="ACW57" i="55" s="1"/>
  <c r="ABW57" i="55"/>
  <c r="ABV57" i="55"/>
  <c r="ACU57" i="55" s="1"/>
  <c r="ABU57" i="55"/>
  <c r="ACT57" i="55" s="1"/>
  <c r="ABT57" i="55"/>
  <c r="ACS57" i="55" s="1"/>
  <c r="ABS57" i="55"/>
  <c r="ACR57" i="55" s="1"/>
  <c r="ABR57" i="55"/>
  <c r="ACQ57" i="55" s="1"/>
  <c r="ABQ57" i="55"/>
  <c r="ACP57" i="55" s="1"/>
  <c r="ABP57" i="55"/>
  <c r="ACO57" i="55" s="1"/>
  <c r="ABO57" i="55"/>
  <c r="ACN57" i="55" s="1"/>
  <c r="ABN57" i="55"/>
  <c r="ACM57" i="55" s="1"/>
  <c r="ABM57" i="55"/>
  <c r="ACL57" i="55" s="1"/>
  <c r="ABL57" i="55"/>
  <c r="ACK57" i="55" s="1"/>
  <c r="ABK57" i="55"/>
  <c r="ABJ57" i="55"/>
  <c r="ACI57" i="55" s="1"/>
  <c r="ABI57" i="55"/>
  <c r="ACH57" i="55" s="1"/>
  <c r="ABH57" i="55"/>
  <c r="ACG57" i="55" s="1"/>
  <c r="ABG57" i="55"/>
  <c r="ACF57" i="55" s="1"/>
  <c r="ACY56" i="55"/>
  <c r="ACU56" i="55"/>
  <c r="ACD56" i="55"/>
  <c r="ADC56" i="55" s="1"/>
  <c r="ACC56" i="55"/>
  <c r="ADB56" i="55" s="1"/>
  <c r="ACB56" i="55"/>
  <c r="ADA56" i="55" s="1"/>
  <c r="ACA56" i="55"/>
  <c r="ACZ56" i="55" s="1"/>
  <c r="ABZ56" i="55"/>
  <c r="ABY56" i="55"/>
  <c r="ACX56" i="55" s="1"/>
  <c r="ABX56" i="55"/>
  <c r="ACW56" i="55" s="1"/>
  <c r="ABW56" i="55"/>
  <c r="ACV56" i="55" s="1"/>
  <c r="ABV56" i="55"/>
  <c r="ABU56" i="55"/>
  <c r="ACT56" i="55" s="1"/>
  <c r="ABT56" i="55"/>
  <c r="ACS56" i="55" s="1"/>
  <c r="ABS56" i="55"/>
  <c r="ACR56" i="55" s="1"/>
  <c r="ABR56" i="55"/>
  <c r="ACQ56" i="55" s="1"/>
  <c r="ABQ56" i="55"/>
  <c r="ACP56" i="55" s="1"/>
  <c r="ABP56" i="55"/>
  <c r="ACO56" i="55" s="1"/>
  <c r="ABO56" i="55"/>
  <c r="ACN56" i="55" s="1"/>
  <c r="ABN56" i="55"/>
  <c r="ACM56" i="55" s="1"/>
  <c r="ABM56" i="55"/>
  <c r="ACL56" i="55" s="1"/>
  <c r="ABL56" i="55"/>
  <c r="ACK56" i="55" s="1"/>
  <c r="ABK56" i="55"/>
  <c r="ACJ56" i="55" s="1"/>
  <c r="ABJ56" i="55"/>
  <c r="ACI56" i="55" s="1"/>
  <c r="ABI56" i="55"/>
  <c r="ACH56" i="55" s="1"/>
  <c r="ABH56" i="55"/>
  <c r="ACG56" i="55" s="1"/>
  <c r="ABG56" i="55"/>
  <c r="ACF56" i="55" s="1"/>
  <c r="ACY55" i="55"/>
  <c r="ACJ55" i="55"/>
  <c r="ACI55" i="55"/>
  <c r="ACD55" i="55"/>
  <c r="ADC55" i="55" s="1"/>
  <c r="ACC55" i="55"/>
  <c r="ADB55" i="55" s="1"/>
  <c r="ACB55" i="55"/>
  <c r="ADA55" i="55" s="1"/>
  <c r="ACA55" i="55"/>
  <c r="ACZ55" i="55" s="1"/>
  <c r="ABZ55" i="55"/>
  <c r="ABY55" i="55"/>
  <c r="ACX55" i="55" s="1"/>
  <c r="ABX55" i="55"/>
  <c r="ACW55" i="55" s="1"/>
  <c r="ABW55" i="55"/>
  <c r="ACV55" i="55" s="1"/>
  <c r="ABV55" i="55"/>
  <c r="ACU55" i="55" s="1"/>
  <c r="ABU55" i="55"/>
  <c r="ACT55" i="55" s="1"/>
  <c r="ABT55" i="55"/>
  <c r="ACS55" i="55" s="1"/>
  <c r="ABS55" i="55"/>
  <c r="ACR55" i="55" s="1"/>
  <c r="ABR55" i="55"/>
  <c r="ACQ55" i="55" s="1"/>
  <c r="ABQ55" i="55"/>
  <c r="ACP55" i="55" s="1"/>
  <c r="ABP55" i="55"/>
  <c r="ACO55" i="55" s="1"/>
  <c r="ABO55" i="55"/>
  <c r="ACN55" i="55" s="1"/>
  <c r="ABN55" i="55"/>
  <c r="ACM55" i="55" s="1"/>
  <c r="ABM55" i="55"/>
  <c r="ACL55" i="55" s="1"/>
  <c r="ABL55" i="55"/>
  <c r="ACK55" i="55" s="1"/>
  <c r="ABK55" i="55"/>
  <c r="ABJ55" i="55"/>
  <c r="ABI55" i="55"/>
  <c r="ACH55" i="55" s="1"/>
  <c r="ABH55" i="55"/>
  <c r="ACG55" i="55" s="1"/>
  <c r="ABG55" i="55"/>
  <c r="ACF55" i="55" s="1"/>
  <c r="ACY54" i="55"/>
  <c r="ACM54" i="55"/>
  <c r="ACD54" i="55"/>
  <c r="ADC54" i="55" s="1"/>
  <c r="ACC54" i="55"/>
  <c r="ADB54" i="55" s="1"/>
  <c r="ACB54" i="55"/>
  <c r="ADA54" i="55" s="1"/>
  <c r="ACA54" i="55"/>
  <c r="ACZ54" i="55" s="1"/>
  <c r="ABZ54" i="55"/>
  <c r="ABY54" i="55"/>
  <c r="ACX54" i="55" s="1"/>
  <c r="ABX54" i="55"/>
  <c r="ACW54" i="55" s="1"/>
  <c r="ABW54" i="55"/>
  <c r="ACV54" i="55" s="1"/>
  <c r="ABV54" i="55"/>
  <c r="ACU54" i="55" s="1"/>
  <c r="ABU54" i="55"/>
  <c r="ACT54" i="55" s="1"/>
  <c r="ABT54" i="55"/>
  <c r="ACS54" i="55" s="1"/>
  <c r="ABS54" i="55"/>
  <c r="ACR54" i="55" s="1"/>
  <c r="ABR54" i="55"/>
  <c r="ACQ54" i="55" s="1"/>
  <c r="ABQ54" i="55"/>
  <c r="ACP54" i="55" s="1"/>
  <c r="ABP54" i="55"/>
  <c r="ACO54" i="55" s="1"/>
  <c r="ABO54" i="55"/>
  <c r="ACN54" i="55" s="1"/>
  <c r="ABN54" i="55"/>
  <c r="ABM54" i="55"/>
  <c r="ACL54" i="55" s="1"/>
  <c r="ABL54" i="55"/>
  <c r="ACK54" i="55" s="1"/>
  <c r="ABK54" i="55"/>
  <c r="ACJ54" i="55" s="1"/>
  <c r="ABJ54" i="55"/>
  <c r="ACI54" i="55" s="1"/>
  <c r="ABI54" i="55"/>
  <c r="ACH54" i="55" s="1"/>
  <c r="ABH54" i="55"/>
  <c r="ACG54" i="55" s="1"/>
  <c r="ABG54" i="55"/>
  <c r="ACF54" i="55" s="1"/>
  <c r="ADC53" i="55"/>
  <c r="ACQ53" i="55"/>
  <c r="ACO53" i="55"/>
  <c r="ACJ53" i="55"/>
  <c r="ACD53" i="55"/>
  <c r="ACC53" i="55"/>
  <c r="ADB53" i="55" s="1"/>
  <c r="ACB53" i="55"/>
  <c r="ADA53" i="55" s="1"/>
  <c r="ACA53" i="55"/>
  <c r="ACZ53" i="55" s="1"/>
  <c r="ABZ53" i="55"/>
  <c r="ACY53" i="55" s="1"/>
  <c r="ABY53" i="55"/>
  <c r="ACX53" i="55" s="1"/>
  <c r="ABX53" i="55"/>
  <c r="ACW53" i="55" s="1"/>
  <c r="ABW53" i="55"/>
  <c r="ACV53" i="55" s="1"/>
  <c r="ABV53" i="55"/>
  <c r="ACU53" i="55" s="1"/>
  <c r="ABU53" i="55"/>
  <c r="ACT53" i="55" s="1"/>
  <c r="ABT53" i="55"/>
  <c r="ACS53" i="55" s="1"/>
  <c r="ABS53" i="55"/>
  <c r="ACR53" i="55" s="1"/>
  <c r="ABR53" i="55"/>
  <c r="ABQ53" i="55"/>
  <c r="ACP53" i="55" s="1"/>
  <c r="ABP53" i="55"/>
  <c r="ABO53" i="55"/>
  <c r="ACN53" i="55" s="1"/>
  <c r="ABN53" i="55"/>
  <c r="ACM53" i="55" s="1"/>
  <c r="ABM53" i="55"/>
  <c r="ACL53" i="55" s="1"/>
  <c r="ABL53" i="55"/>
  <c r="ACK53" i="55" s="1"/>
  <c r="ABK53" i="55"/>
  <c r="ABJ53" i="55"/>
  <c r="ACI53" i="55" s="1"/>
  <c r="ABI53" i="55"/>
  <c r="ACH53" i="55" s="1"/>
  <c r="ABH53" i="55"/>
  <c r="ACG53" i="55" s="1"/>
  <c r="ABG53" i="55"/>
  <c r="ACF53" i="55" s="1"/>
  <c r="ADC52" i="55"/>
  <c r="ACR52" i="55"/>
  <c r="ACO52" i="55"/>
  <c r="ACJ52" i="55"/>
  <c r="ACD52" i="55"/>
  <c r="ACC52" i="55"/>
  <c r="ADB52" i="55" s="1"/>
  <c r="ACB52" i="55"/>
  <c r="ADA52" i="55" s="1"/>
  <c r="ACA52" i="55"/>
  <c r="ACZ52" i="55" s="1"/>
  <c r="ABZ52" i="55"/>
  <c r="ACY52" i="55" s="1"/>
  <c r="ABY52" i="55"/>
  <c r="ACX52" i="55" s="1"/>
  <c r="ABX52" i="55"/>
  <c r="ACW52" i="55" s="1"/>
  <c r="ABW52" i="55"/>
  <c r="ACV52" i="55" s="1"/>
  <c r="ABV52" i="55"/>
  <c r="ACU52" i="55" s="1"/>
  <c r="ABU52" i="55"/>
  <c r="ACT52" i="55" s="1"/>
  <c r="ABT52" i="55"/>
  <c r="ACS52" i="55" s="1"/>
  <c r="ABS52" i="55"/>
  <c r="ABR52" i="55"/>
  <c r="ACQ52" i="55" s="1"/>
  <c r="ABQ52" i="55"/>
  <c r="ACP52" i="55" s="1"/>
  <c r="ABP52" i="55"/>
  <c r="ABO52" i="55"/>
  <c r="ACN52" i="55" s="1"/>
  <c r="ABN52" i="55"/>
  <c r="ACM52" i="55" s="1"/>
  <c r="ABM52" i="55"/>
  <c r="ACL52" i="55" s="1"/>
  <c r="ABL52" i="55"/>
  <c r="ACK52" i="55" s="1"/>
  <c r="ABK52" i="55"/>
  <c r="ABJ52" i="55"/>
  <c r="ACI52" i="55" s="1"/>
  <c r="ABI52" i="55"/>
  <c r="ACH52" i="55" s="1"/>
  <c r="ABH52" i="55"/>
  <c r="ACG52" i="55" s="1"/>
  <c r="ABG52" i="55"/>
  <c r="ACF52" i="55" s="1"/>
  <c r="ACX51" i="55"/>
  <c r="ACV51" i="55"/>
  <c r="ACS51" i="55"/>
  <c r="ACQ51" i="55"/>
  <c r="ACD51" i="55"/>
  <c r="ADC51" i="55" s="1"/>
  <c r="ACC51" i="55"/>
  <c r="ADB51" i="55" s="1"/>
  <c r="ACB51" i="55"/>
  <c r="ADA51" i="55" s="1"/>
  <c r="ACA51" i="55"/>
  <c r="ACZ51" i="55" s="1"/>
  <c r="ABZ51" i="55"/>
  <c r="ACY51" i="55" s="1"/>
  <c r="ABY51" i="55"/>
  <c r="ABX51" i="55"/>
  <c r="ACW51" i="55" s="1"/>
  <c r="ABW51" i="55"/>
  <c r="ABV51" i="55"/>
  <c r="ACU51" i="55" s="1"/>
  <c r="ABU51" i="55"/>
  <c r="ACT51" i="55" s="1"/>
  <c r="ABT51" i="55"/>
  <c r="ABS51" i="55"/>
  <c r="ACR51" i="55" s="1"/>
  <c r="ABR51" i="55"/>
  <c r="ABQ51" i="55"/>
  <c r="ACP51" i="55" s="1"/>
  <c r="ABP51" i="55"/>
  <c r="ACO51" i="55" s="1"/>
  <c r="ABO51" i="55"/>
  <c r="ACN51" i="55" s="1"/>
  <c r="ABN51" i="55"/>
  <c r="ACM51" i="55" s="1"/>
  <c r="ABM51" i="55"/>
  <c r="ACL51" i="55" s="1"/>
  <c r="ABL51" i="55"/>
  <c r="ACK51" i="55" s="1"/>
  <c r="ABK51" i="55"/>
  <c r="ACJ51" i="55" s="1"/>
  <c r="ABJ51" i="55"/>
  <c r="ACI51" i="55" s="1"/>
  <c r="ABI51" i="55"/>
  <c r="ACH51" i="55" s="1"/>
  <c r="ABH51" i="55"/>
  <c r="ACG51" i="55" s="1"/>
  <c r="ABG51" i="55"/>
  <c r="ACF51" i="55" s="1"/>
  <c r="ACX50" i="55"/>
  <c r="ACV50" i="55"/>
  <c r="ACL50" i="55"/>
  <c r="ACD50" i="55"/>
  <c r="ADC50" i="55" s="1"/>
  <c r="ACC50" i="55"/>
  <c r="ADB50" i="55" s="1"/>
  <c r="ACB50" i="55"/>
  <c r="ADA50" i="55" s="1"/>
  <c r="ACA50" i="55"/>
  <c r="ACZ50" i="55" s="1"/>
  <c r="ABZ50" i="55"/>
  <c r="ACY50" i="55" s="1"/>
  <c r="ABY50" i="55"/>
  <c r="ABX50" i="55"/>
  <c r="ACW50" i="55" s="1"/>
  <c r="ABW50" i="55"/>
  <c r="ABV50" i="55"/>
  <c r="ACU50" i="55" s="1"/>
  <c r="ABU50" i="55"/>
  <c r="ACT50" i="55" s="1"/>
  <c r="ABT50" i="55"/>
  <c r="ACS50" i="55" s="1"/>
  <c r="ABS50" i="55"/>
  <c r="ACR50" i="55" s="1"/>
  <c r="ABR50" i="55"/>
  <c r="ACQ50" i="55" s="1"/>
  <c r="ABQ50" i="55"/>
  <c r="ACP50" i="55" s="1"/>
  <c r="ABP50" i="55"/>
  <c r="ACO50" i="55" s="1"/>
  <c r="ABO50" i="55"/>
  <c r="ACN50" i="55" s="1"/>
  <c r="ABN50" i="55"/>
  <c r="ACM50" i="55" s="1"/>
  <c r="ABM50" i="55"/>
  <c r="ABL50" i="55"/>
  <c r="ACK50" i="55" s="1"/>
  <c r="ABK50" i="55"/>
  <c r="ACJ50" i="55" s="1"/>
  <c r="ABJ50" i="55"/>
  <c r="ACI50" i="55" s="1"/>
  <c r="ABI50" i="55"/>
  <c r="ACH50" i="55" s="1"/>
  <c r="ABH50" i="55"/>
  <c r="ACG50" i="55" s="1"/>
  <c r="ABG50" i="55"/>
  <c r="ACF50" i="55" s="1"/>
  <c r="ACX49" i="55"/>
  <c r="ACV49" i="55"/>
  <c r="ACR49" i="55"/>
  <c r="ACL49" i="55"/>
  <c r="ACJ49" i="55"/>
  <c r="ACD49" i="55"/>
  <c r="ADC49" i="55" s="1"/>
  <c r="ACC49" i="55"/>
  <c r="ADB49" i="55" s="1"/>
  <c r="ACB49" i="55"/>
  <c r="ADA49" i="55" s="1"/>
  <c r="ACA49" i="55"/>
  <c r="ACZ49" i="55" s="1"/>
  <c r="ABZ49" i="55"/>
  <c r="ACY49" i="55" s="1"/>
  <c r="ABY49" i="55"/>
  <c r="ABX49" i="55"/>
  <c r="ACW49" i="55" s="1"/>
  <c r="ABW49" i="55"/>
  <c r="ABV49" i="55"/>
  <c r="ACU49" i="55" s="1"/>
  <c r="ABU49" i="55"/>
  <c r="ACT49" i="55" s="1"/>
  <c r="ABT49" i="55"/>
  <c r="ACS49" i="55" s="1"/>
  <c r="ABS49" i="55"/>
  <c r="ABR49" i="55"/>
  <c r="ACQ49" i="55" s="1"/>
  <c r="ABQ49" i="55"/>
  <c r="ACP49" i="55" s="1"/>
  <c r="ABP49" i="55"/>
  <c r="ACO49" i="55" s="1"/>
  <c r="ABO49" i="55"/>
  <c r="ACN49" i="55" s="1"/>
  <c r="ABN49" i="55"/>
  <c r="ACM49" i="55" s="1"/>
  <c r="ABM49" i="55"/>
  <c r="ABL49" i="55"/>
  <c r="ACK49" i="55" s="1"/>
  <c r="ABK49" i="55"/>
  <c r="ABJ49" i="55"/>
  <c r="ACI49" i="55" s="1"/>
  <c r="ABI49" i="55"/>
  <c r="ACH49" i="55" s="1"/>
  <c r="ABH49" i="55"/>
  <c r="ACG49" i="55" s="1"/>
  <c r="ABG49" i="55"/>
  <c r="ACF49" i="55" s="1"/>
  <c r="ACD48" i="55"/>
  <c r="ADC48" i="55" s="1"/>
  <c r="ACC48" i="55"/>
  <c r="ADB48" i="55" s="1"/>
  <c r="ACB48" i="55"/>
  <c r="ADA48" i="55" s="1"/>
  <c r="ACA48" i="55"/>
  <c r="ACZ48" i="55" s="1"/>
  <c r="ABZ48" i="55"/>
  <c r="ACY48" i="55" s="1"/>
  <c r="ABY48" i="55"/>
  <c r="ACX48" i="55" s="1"/>
  <c r="ABX48" i="55"/>
  <c r="ACW48" i="55" s="1"/>
  <c r="ABW48" i="55"/>
  <c r="ACV48" i="55" s="1"/>
  <c r="ABV48" i="55"/>
  <c r="ACU48" i="55" s="1"/>
  <c r="ABU48" i="55"/>
  <c r="ACT48" i="55" s="1"/>
  <c r="ABT48" i="55"/>
  <c r="ACS48" i="55" s="1"/>
  <c r="ABS48" i="55"/>
  <c r="ACR48" i="55" s="1"/>
  <c r="ABR48" i="55"/>
  <c r="ACQ48" i="55" s="1"/>
  <c r="ABQ48" i="55"/>
  <c r="ACP48" i="55" s="1"/>
  <c r="ABP48" i="55"/>
  <c r="ACO48" i="55" s="1"/>
  <c r="ABO48" i="55"/>
  <c r="ACN48" i="55" s="1"/>
  <c r="ABN48" i="55"/>
  <c r="ACM48" i="55" s="1"/>
  <c r="ABM48" i="55"/>
  <c r="ACL48" i="55" s="1"/>
  <c r="ABL48" i="55"/>
  <c r="ACK48" i="55" s="1"/>
  <c r="ABK48" i="55"/>
  <c r="ACJ48" i="55" s="1"/>
  <c r="ABJ48" i="55"/>
  <c r="ACI48" i="55" s="1"/>
  <c r="ABI48" i="55"/>
  <c r="ACH48" i="55" s="1"/>
  <c r="ABH48" i="55"/>
  <c r="ACG48" i="55" s="1"/>
  <c r="ABG48" i="55"/>
  <c r="ACF48" i="55" s="1"/>
  <c r="ACD47" i="55"/>
  <c r="ADC47" i="55" s="1"/>
  <c r="ACC47" i="55"/>
  <c r="ADB47" i="55" s="1"/>
  <c r="ACB47" i="55"/>
  <c r="ADA47" i="55" s="1"/>
  <c r="ACA47" i="55"/>
  <c r="ACZ47" i="55" s="1"/>
  <c r="ABZ47" i="55"/>
  <c r="ACY47" i="55" s="1"/>
  <c r="ABY47" i="55"/>
  <c r="ACX47" i="55" s="1"/>
  <c r="ABX47" i="55"/>
  <c r="ACW47" i="55" s="1"/>
  <c r="ABW47" i="55"/>
  <c r="ACV47" i="55" s="1"/>
  <c r="ABV47" i="55"/>
  <c r="ACU47" i="55" s="1"/>
  <c r="ABU47" i="55"/>
  <c r="ACT47" i="55" s="1"/>
  <c r="ABT47" i="55"/>
  <c r="ACS47" i="55" s="1"/>
  <c r="ABS47" i="55"/>
  <c r="ACR47" i="55" s="1"/>
  <c r="ABR47" i="55"/>
  <c r="ACQ47" i="55" s="1"/>
  <c r="ABQ47" i="55"/>
  <c r="ACP47" i="55" s="1"/>
  <c r="ABP47" i="55"/>
  <c r="ACO47" i="55" s="1"/>
  <c r="ABO47" i="55"/>
  <c r="ACN47" i="55" s="1"/>
  <c r="ABN47" i="55"/>
  <c r="ACM47" i="55" s="1"/>
  <c r="ABM47" i="55"/>
  <c r="ACL47" i="55" s="1"/>
  <c r="ABL47" i="55"/>
  <c r="ACK47" i="55" s="1"/>
  <c r="ABK47" i="55"/>
  <c r="ACJ47" i="55" s="1"/>
  <c r="ABJ47" i="55"/>
  <c r="ACI47" i="55" s="1"/>
  <c r="ABI47" i="55"/>
  <c r="ACH47" i="55" s="1"/>
  <c r="ABH47" i="55"/>
  <c r="ACG47" i="55" s="1"/>
  <c r="ABG47" i="55"/>
  <c r="ACF47" i="55" s="1"/>
  <c r="ACD46" i="55"/>
  <c r="ADC46" i="55" s="1"/>
  <c r="ACC46" i="55"/>
  <c r="ADB46" i="55" s="1"/>
  <c r="ACB46" i="55"/>
  <c r="ADA46" i="55" s="1"/>
  <c r="ACA46" i="55"/>
  <c r="ACZ46" i="55" s="1"/>
  <c r="ABZ46" i="55"/>
  <c r="ACY46" i="55" s="1"/>
  <c r="ABY46" i="55"/>
  <c r="ACX46" i="55" s="1"/>
  <c r="ABX46" i="55"/>
  <c r="ACW46" i="55" s="1"/>
  <c r="ABW46" i="55"/>
  <c r="ACV46" i="55" s="1"/>
  <c r="ABV46" i="55"/>
  <c r="ACU46" i="55" s="1"/>
  <c r="ABU46" i="55"/>
  <c r="ACT46" i="55" s="1"/>
  <c r="ABT46" i="55"/>
  <c r="ACS46" i="55" s="1"/>
  <c r="ABS46" i="55"/>
  <c r="ACR46" i="55" s="1"/>
  <c r="ABR46" i="55"/>
  <c r="ACQ46" i="55" s="1"/>
  <c r="ABQ46" i="55"/>
  <c r="ACP46" i="55" s="1"/>
  <c r="ABP46" i="55"/>
  <c r="ACO46" i="55" s="1"/>
  <c r="ABO46" i="55"/>
  <c r="ACN46" i="55" s="1"/>
  <c r="ABN46" i="55"/>
  <c r="ACM46" i="55" s="1"/>
  <c r="ABM46" i="55"/>
  <c r="ACL46" i="55" s="1"/>
  <c r="ABL46" i="55"/>
  <c r="ACK46" i="55" s="1"/>
  <c r="ABK46" i="55"/>
  <c r="ACJ46" i="55" s="1"/>
  <c r="ABJ46" i="55"/>
  <c r="ACI46" i="55" s="1"/>
  <c r="ABI46" i="55"/>
  <c r="ACH46" i="55" s="1"/>
  <c r="ABH46" i="55"/>
  <c r="ACG46" i="55" s="1"/>
  <c r="ABG46" i="55"/>
  <c r="ACF46" i="55" s="1"/>
  <c r="ACD45" i="55"/>
  <c r="ADC45" i="55" s="1"/>
  <c r="ACC45" i="55"/>
  <c r="ADB45" i="55" s="1"/>
  <c r="ACB45" i="55"/>
  <c r="ADA45" i="55" s="1"/>
  <c r="ACA45" i="55"/>
  <c r="ACZ45" i="55" s="1"/>
  <c r="ABZ45" i="55"/>
  <c r="ACY45" i="55" s="1"/>
  <c r="ABY45" i="55"/>
  <c r="ACX45" i="55" s="1"/>
  <c r="ABX45" i="55"/>
  <c r="ACW45" i="55" s="1"/>
  <c r="ABW45" i="55"/>
  <c r="ACV45" i="55" s="1"/>
  <c r="ABV45" i="55"/>
  <c r="ACU45" i="55" s="1"/>
  <c r="ABU45" i="55"/>
  <c r="ACT45" i="55" s="1"/>
  <c r="ABT45" i="55"/>
  <c r="ACS45" i="55" s="1"/>
  <c r="ABS45" i="55"/>
  <c r="ACR45" i="55" s="1"/>
  <c r="ABR45" i="55"/>
  <c r="ACQ45" i="55" s="1"/>
  <c r="ABQ45" i="55"/>
  <c r="ACP45" i="55" s="1"/>
  <c r="ABP45" i="55"/>
  <c r="ACO45" i="55" s="1"/>
  <c r="ABO45" i="55"/>
  <c r="ACN45" i="55" s="1"/>
  <c r="ABN45" i="55"/>
  <c r="ACM45" i="55" s="1"/>
  <c r="ABM45" i="55"/>
  <c r="ACL45" i="55" s="1"/>
  <c r="ABL45" i="55"/>
  <c r="ACK45" i="55" s="1"/>
  <c r="ABK45" i="55"/>
  <c r="ACJ45" i="55" s="1"/>
  <c r="ABJ45" i="55"/>
  <c r="ACI45" i="55" s="1"/>
  <c r="ABI45" i="55"/>
  <c r="ACH45" i="55" s="1"/>
  <c r="ABH45" i="55"/>
  <c r="ACG45" i="55" s="1"/>
  <c r="ABG45" i="55"/>
  <c r="ACF45" i="55" s="1"/>
  <c r="ACD44" i="55"/>
  <c r="ADC44" i="55" s="1"/>
  <c r="ACC44" i="55"/>
  <c r="ADB44" i="55" s="1"/>
  <c r="ACB44" i="55"/>
  <c r="ADA44" i="55" s="1"/>
  <c r="ACA44" i="55"/>
  <c r="ACZ44" i="55" s="1"/>
  <c r="ABZ44" i="55"/>
  <c r="ACY44" i="55" s="1"/>
  <c r="ABY44" i="55"/>
  <c r="ACX44" i="55" s="1"/>
  <c r="ABX44" i="55"/>
  <c r="ACW44" i="55" s="1"/>
  <c r="ABW44" i="55"/>
  <c r="ACV44" i="55" s="1"/>
  <c r="ABV44" i="55"/>
  <c r="ACU44" i="55" s="1"/>
  <c r="ABU44" i="55"/>
  <c r="ACT44" i="55" s="1"/>
  <c r="ABT44" i="55"/>
  <c r="ACS44" i="55" s="1"/>
  <c r="ABS44" i="55"/>
  <c r="ACR44" i="55" s="1"/>
  <c r="ABR44" i="55"/>
  <c r="ACQ44" i="55" s="1"/>
  <c r="ABQ44" i="55"/>
  <c r="ACP44" i="55" s="1"/>
  <c r="ABP44" i="55"/>
  <c r="ACO44" i="55" s="1"/>
  <c r="ABO44" i="55"/>
  <c r="ACN44" i="55" s="1"/>
  <c r="ABN44" i="55"/>
  <c r="ACM44" i="55" s="1"/>
  <c r="ABM44" i="55"/>
  <c r="ACL44" i="55" s="1"/>
  <c r="ABL44" i="55"/>
  <c r="ACK44" i="55" s="1"/>
  <c r="ABK44" i="55"/>
  <c r="ACJ44" i="55" s="1"/>
  <c r="ABJ44" i="55"/>
  <c r="ACI44" i="55" s="1"/>
  <c r="ABI44" i="55"/>
  <c r="ACH44" i="55" s="1"/>
  <c r="ABH44" i="55"/>
  <c r="ACG44" i="55" s="1"/>
  <c r="ABG44" i="55"/>
  <c r="ACF44" i="55" s="1"/>
  <c r="ACD43" i="55"/>
  <c r="ADC43" i="55" s="1"/>
  <c r="ACC43" i="55"/>
  <c r="ADB43" i="55" s="1"/>
  <c r="ACB43" i="55"/>
  <c r="ADA43" i="55" s="1"/>
  <c r="ACA43" i="55"/>
  <c r="ACZ43" i="55" s="1"/>
  <c r="ABZ43" i="55"/>
  <c r="ACY43" i="55" s="1"/>
  <c r="ABY43" i="55"/>
  <c r="ACX43" i="55" s="1"/>
  <c r="ABX43" i="55"/>
  <c r="ACW43" i="55" s="1"/>
  <c r="ABW43" i="55"/>
  <c r="ACV43" i="55" s="1"/>
  <c r="ABV43" i="55"/>
  <c r="ACU43" i="55" s="1"/>
  <c r="ABU43" i="55"/>
  <c r="ACT43" i="55" s="1"/>
  <c r="ABT43" i="55"/>
  <c r="ACS43" i="55" s="1"/>
  <c r="ABS43" i="55"/>
  <c r="ACR43" i="55" s="1"/>
  <c r="ABR43" i="55"/>
  <c r="ACQ43" i="55" s="1"/>
  <c r="ABQ43" i="55"/>
  <c r="ACP43" i="55" s="1"/>
  <c r="ABP43" i="55"/>
  <c r="ACO43" i="55" s="1"/>
  <c r="ABO43" i="55"/>
  <c r="ACN43" i="55" s="1"/>
  <c r="ABN43" i="55"/>
  <c r="ACM43" i="55" s="1"/>
  <c r="ABM43" i="55"/>
  <c r="ACL43" i="55" s="1"/>
  <c r="ABL43" i="55"/>
  <c r="ACK43" i="55" s="1"/>
  <c r="ABK43" i="55"/>
  <c r="ACJ43" i="55" s="1"/>
  <c r="ABJ43" i="55"/>
  <c r="ACI43" i="55" s="1"/>
  <c r="ABI43" i="55"/>
  <c r="ACH43" i="55" s="1"/>
  <c r="ABH43" i="55"/>
  <c r="ACG43" i="55" s="1"/>
  <c r="ABG43" i="55"/>
  <c r="ACF43" i="55" s="1"/>
  <c r="ACD42" i="55"/>
  <c r="ADC42" i="55" s="1"/>
  <c r="ACC42" i="55"/>
  <c r="ADB42" i="55" s="1"/>
  <c r="ACB42" i="55"/>
  <c r="ADA42" i="55" s="1"/>
  <c r="ACA42" i="55"/>
  <c r="ACZ42" i="55" s="1"/>
  <c r="ABZ42" i="55"/>
  <c r="ACY42" i="55" s="1"/>
  <c r="ABY42" i="55"/>
  <c r="ACX42" i="55" s="1"/>
  <c r="ABX42" i="55"/>
  <c r="ACW42" i="55" s="1"/>
  <c r="ABW42" i="55"/>
  <c r="ACV42" i="55" s="1"/>
  <c r="ABV42" i="55"/>
  <c r="ACU42" i="55" s="1"/>
  <c r="ABU42" i="55"/>
  <c r="ACT42" i="55" s="1"/>
  <c r="ABT42" i="55"/>
  <c r="ACS42" i="55" s="1"/>
  <c r="ABS42" i="55"/>
  <c r="ACR42" i="55" s="1"/>
  <c r="ABR42" i="55"/>
  <c r="ACQ42" i="55" s="1"/>
  <c r="ABQ42" i="55"/>
  <c r="ACP42" i="55" s="1"/>
  <c r="ABP42" i="55"/>
  <c r="ACO42" i="55" s="1"/>
  <c r="ABO42" i="55"/>
  <c r="ACN42" i="55" s="1"/>
  <c r="ABN42" i="55"/>
  <c r="ACM42" i="55" s="1"/>
  <c r="ABM42" i="55"/>
  <c r="ACL42" i="55" s="1"/>
  <c r="ABL42" i="55"/>
  <c r="ACK42" i="55" s="1"/>
  <c r="ABK42" i="55"/>
  <c r="ACJ42" i="55" s="1"/>
  <c r="ABJ42" i="55"/>
  <c r="ACI42" i="55" s="1"/>
  <c r="ABI42" i="55"/>
  <c r="ACH42" i="55" s="1"/>
  <c r="ABH42" i="55"/>
  <c r="ACG42" i="55" s="1"/>
  <c r="ABG42" i="55"/>
  <c r="ACF42" i="55" s="1"/>
  <c r="ACD41" i="55"/>
  <c r="ADC41" i="55" s="1"/>
  <c r="ACC41" i="55"/>
  <c r="ADB41" i="55" s="1"/>
  <c r="ACB41" i="55"/>
  <c r="ADA41" i="55" s="1"/>
  <c r="ACA41" i="55"/>
  <c r="ACZ41" i="55" s="1"/>
  <c r="ABZ41" i="55"/>
  <c r="ACY41" i="55" s="1"/>
  <c r="ABY41" i="55"/>
  <c r="ACX41" i="55" s="1"/>
  <c r="ABX41" i="55"/>
  <c r="ACW41" i="55" s="1"/>
  <c r="ABW41" i="55"/>
  <c r="ACV41" i="55" s="1"/>
  <c r="ABV41" i="55"/>
  <c r="ACU41" i="55" s="1"/>
  <c r="ABU41" i="55"/>
  <c r="ACT41" i="55" s="1"/>
  <c r="ABT41" i="55"/>
  <c r="ACS41" i="55" s="1"/>
  <c r="ABS41" i="55"/>
  <c r="ACR41" i="55" s="1"/>
  <c r="ABR41" i="55"/>
  <c r="ACQ41" i="55" s="1"/>
  <c r="ABQ41" i="55"/>
  <c r="ACP41" i="55" s="1"/>
  <c r="ABP41" i="55"/>
  <c r="ACO41" i="55" s="1"/>
  <c r="ABO41" i="55"/>
  <c r="ACN41" i="55" s="1"/>
  <c r="ABN41" i="55"/>
  <c r="ACM41" i="55" s="1"/>
  <c r="ABM41" i="55"/>
  <c r="ACL41" i="55" s="1"/>
  <c r="ABL41" i="55"/>
  <c r="ACK41" i="55" s="1"/>
  <c r="ABK41" i="55"/>
  <c r="ACJ41" i="55" s="1"/>
  <c r="ABJ41" i="55"/>
  <c r="ACI41" i="55" s="1"/>
  <c r="ABI41" i="55"/>
  <c r="ACH41" i="55" s="1"/>
  <c r="ABH41" i="55"/>
  <c r="ACG41" i="55" s="1"/>
  <c r="ABG41" i="55"/>
  <c r="ACF41" i="55" s="1"/>
  <c r="ACD40" i="55"/>
  <c r="ADC40" i="55" s="1"/>
  <c r="ACC40" i="55"/>
  <c r="ADB40" i="55" s="1"/>
  <c r="ACB40" i="55"/>
  <c r="ADA40" i="55" s="1"/>
  <c r="ACA40" i="55"/>
  <c r="ACZ40" i="55" s="1"/>
  <c r="ABZ40" i="55"/>
  <c r="ACY40" i="55" s="1"/>
  <c r="ABY40" i="55"/>
  <c r="ACX40" i="55" s="1"/>
  <c r="ABX40" i="55"/>
  <c r="ACW40" i="55" s="1"/>
  <c r="ABW40" i="55"/>
  <c r="ACV40" i="55" s="1"/>
  <c r="ABV40" i="55"/>
  <c r="ACU40" i="55" s="1"/>
  <c r="ABU40" i="55"/>
  <c r="ACT40" i="55" s="1"/>
  <c r="ABT40" i="55"/>
  <c r="ACS40" i="55" s="1"/>
  <c r="ABS40" i="55"/>
  <c r="ACR40" i="55" s="1"/>
  <c r="ABR40" i="55"/>
  <c r="ACQ40" i="55" s="1"/>
  <c r="ABQ40" i="55"/>
  <c r="ACP40" i="55" s="1"/>
  <c r="ABP40" i="55"/>
  <c r="ACO40" i="55" s="1"/>
  <c r="ABO40" i="55"/>
  <c r="ACN40" i="55" s="1"/>
  <c r="ABN40" i="55"/>
  <c r="ACM40" i="55" s="1"/>
  <c r="ABM40" i="55"/>
  <c r="ACL40" i="55" s="1"/>
  <c r="ABL40" i="55"/>
  <c r="ACK40" i="55" s="1"/>
  <c r="ABK40" i="55"/>
  <c r="ACJ40" i="55" s="1"/>
  <c r="ABJ40" i="55"/>
  <c r="ACI40" i="55" s="1"/>
  <c r="ABI40" i="55"/>
  <c r="ACH40" i="55" s="1"/>
  <c r="ABH40" i="55"/>
  <c r="ACG40" i="55" s="1"/>
  <c r="ABG40" i="55"/>
  <c r="ACF40" i="55" s="1"/>
  <c r="ACD39" i="55"/>
  <c r="ADC39" i="55" s="1"/>
  <c r="ACC39" i="55"/>
  <c r="ADB39" i="55" s="1"/>
  <c r="ACB39" i="55"/>
  <c r="ADA39" i="55" s="1"/>
  <c r="ACA39" i="55"/>
  <c r="ACZ39" i="55" s="1"/>
  <c r="ABZ39" i="55"/>
  <c r="ACY39" i="55" s="1"/>
  <c r="ABY39" i="55"/>
  <c r="ACX39" i="55" s="1"/>
  <c r="ABX39" i="55"/>
  <c r="ACW39" i="55" s="1"/>
  <c r="ABW39" i="55"/>
  <c r="ACV39" i="55" s="1"/>
  <c r="ABV39" i="55"/>
  <c r="ACU39" i="55" s="1"/>
  <c r="ABU39" i="55"/>
  <c r="ACT39" i="55" s="1"/>
  <c r="ABT39" i="55"/>
  <c r="ACS39" i="55" s="1"/>
  <c r="ABS39" i="55"/>
  <c r="ACR39" i="55" s="1"/>
  <c r="ABR39" i="55"/>
  <c r="ACQ39" i="55" s="1"/>
  <c r="ABQ39" i="55"/>
  <c r="ACP39" i="55" s="1"/>
  <c r="ABP39" i="55"/>
  <c r="ACO39" i="55" s="1"/>
  <c r="ABO39" i="55"/>
  <c r="ACN39" i="55" s="1"/>
  <c r="ABN39" i="55"/>
  <c r="ACM39" i="55" s="1"/>
  <c r="ABM39" i="55"/>
  <c r="ACL39" i="55" s="1"/>
  <c r="ABL39" i="55"/>
  <c r="ACK39" i="55" s="1"/>
  <c r="ABK39" i="55"/>
  <c r="ACJ39" i="55" s="1"/>
  <c r="ABJ39" i="55"/>
  <c r="ACI39" i="55" s="1"/>
  <c r="ABI39" i="55"/>
  <c r="ACH39" i="55" s="1"/>
  <c r="ABH39" i="55"/>
  <c r="ACG39" i="55" s="1"/>
  <c r="ABG39" i="55"/>
  <c r="ACF39" i="55" s="1"/>
  <c r="ACD38" i="55"/>
  <c r="ADC38" i="55" s="1"/>
  <c r="ACC38" i="55"/>
  <c r="ADB38" i="55" s="1"/>
  <c r="ACB38" i="55"/>
  <c r="ADA38" i="55" s="1"/>
  <c r="ACA38" i="55"/>
  <c r="ACZ38" i="55" s="1"/>
  <c r="ABZ38" i="55"/>
  <c r="ACY38" i="55" s="1"/>
  <c r="ABY38" i="55"/>
  <c r="ACX38" i="55" s="1"/>
  <c r="ABX38" i="55"/>
  <c r="ACW38" i="55" s="1"/>
  <c r="ABW38" i="55"/>
  <c r="ACV38" i="55" s="1"/>
  <c r="ABV38" i="55"/>
  <c r="ACU38" i="55" s="1"/>
  <c r="ABU38" i="55"/>
  <c r="ACT38" i="55" s="1"/>
  <c r="ABT38" i="55"/>
  <c r="ACS38" i="55" s="1"/>
  <c r="ABS38" i="55"/>
  <c r="ACR38" i="55" s="1"/>
  <c r="ABR38" i="55"/>
  <c r="ACQ38" i="55" s="1"/>
  <c r="ABQ38" i="55"/>
  <c r="ACP38" i="55" s="1"/>
  <c r="ABP38" i="55"/>
  <c r="ACO38" i="55" s="1"/>
  <c r="ABO38" i="55"/>
  <c r="ACN38" i="55" s="1"/>
  <c r="ABN38" i="55"/>
  <c r="ACM38" i="55" s="1"/>
  <c r="ABM38" i="55"/>
  <c r="ACL38" i="55" s="1"/>
  <c r="ABL38" i="55"/>
  <c r="ACK38" i="55" s="1"/>
  <c r="ABK38" i="55"/>
  <c r="ACJ38" i="55" s="1"/>
  <c r="ABJ38" i="55"/>
  <c r="ACI38" i="55" s="1"/>
  <c r="ABI38" i="55"/>
  <c r="ACH38" i="55" s="1"/>
  <c r="ABH38" i="55"/>
  <c r="ACG38" i="55" s="1"/>
  <c r="ABG38" i="55"/>
  <c r="ACF38" i="55" s="1"/>
  <c r="ACD37" i="55"/>
  <c r="ADC37" i="55" s="1"/>
  <c r="ACC37" i="55"/>
  <c r="ADB37" i="55" s="1"/>
  <c r="ACB37" i="55"/>
  <c r="ADA37" i="55" s="1"/>
  <c r="ACA37" i="55"/>
  <c r="ACZ37" i="55" s="1"/>
  <c r="ABZ37" i="55"/>
  <c r="ACY37" i="55" s="1"/>
  <c r="ABY37" i="55"/>
  <c r="ACX37" i="55" s="1"/>
  <c r="ABX37" i="55"/>
  <c r="ACW37" i="55" s="1"/>
  <c r="ABW37" i="55"/>
  <c r="ACV37" i="55" s="1"/>
  <c r="ABV37" i="55"/>
  <c r="ACU37" i="55" s="1"/>
  <c r="ABU37" i="55"/>
  <c r="ACT37" i="55" s="1"/>
  <c r="ABT37" i="55"/>
  <c r="ACS37" i="55" s="1"/>
  <c r="ABS37" i="55"/>
  <c r="ACR37" i="55" s="1"/>
  <c r="ABR37" i="55"/>
  <c r="ACQ37" i="55" s="1"/>
  <c r="ABQ37" i="55"/>
  <c r="ACP37" i="55" s="1"/>
  <c r="ABP37" i="55"/>
  <c r="ACO37" i="55" s="1"/>
  <c r="ABO37" i="55"/>
  <c r="ACN37" i="55" s="1"/>
  <c r="ABN37" i="55"/>
  <c r="ACM37" i="55" s="1"/>
  <c r="ABM37" i="55"/>
  <c r="ACL37" i="55" s="1"/>
  <c r="ABL37" i="55"/>
  <c r="ACK37" i="55" s="1"/>
  <c r="ABK37" i="55"/>
  <c r="ACJ37" i="55" s="1"/>
  <c r="ABJ37" i="55"/>
  <c r="ACI37" i="55" s="1"/>
  <c r="ABI37" i="55"/>
  <c r="ACH37" i="55" s="1"/>
  <c r="ABH37" i="55"/>
  <c r="ACG37" i="55" s="1"/>
  <c r="ABG37" i="55"/>
  <c r="ACF37" i="55" s="1"/>
  <c r="ACD36" i="55"/>
  <c r="ADC36" i="55" s="1"/>
  <c r="ACC36" i="55"/>
  <c r="ADB36" i="55" s="1"/>
  <c r="ACB36" i="55"/>
  <c r="ADA36" i="55" s="1"/>
  <c r="ACA36" i="55"/>
  <c r="ACZ36" i="55" s="1"/>
  <c r="ABZ36" i="55"/>
  <c r="ACY36" i="55" s="1"/>
  <c r="ABY36" i="55"/>
  <c r="ACX36" i="55" s="1"/>
  <c r="ABX36" i="55"/>
  <c r="ACW36" i="55" s="1"/>
  <c r="ABW36" i="55"/>
  <c r="ACV36" i="55" s="1"/>
  <c r="ABV36" i="55"/>
  <c r="ACU36" i="55" s="1"/>
  <c r="ABU36" i="55"/>
  <c r="ACT36" i="55" s="1"/>
  <c r="ABT36" i="55"/>
  <c r="ACS36" i="55" s="1"/>
  <c r="ABS36" i="55"/>
  <c r="ACR36" i="55" s="1"/>
  <c r="ABR36" i="55"/>
  <c r="ACQ36" i="55" s="1"/>
  <c r="ABQ36" i="55"/>
  <c r="ACP36" i="55" s="1"/>
  <c r="ABP36" i="55"/>
  <c r="ACO36" i="55" s="1"/>
  <c r="ABO36" i="55"/>
  <c r="ACN36" i="55" s="1"/>
  <c r="ABN36" i="55"/>
  <c r="ACM36" i="55" s="1"/>
  <c r="ABM36" i="55"/>
  <c r="ACL36" i="55" s="1"/>
  <c r="ABL36" i="55"/>
  <c r="ACK36" i="55" s="1"/>
  <c r="ABK36" i="55"/>
  <c r="ACJ36" i="55" s="1"/>
  <c r="ABJ36" i="55"/>
  <c r="ACI36" i="55" s="1"/>
  <c r="ABI36" i="55"/>
  <c r="ACH36" i="55" s="1"/>
  <c r="ABH36" i="55"/>
  <c r="ACG36" i="55" s="1"/>
  <c r="ABG36" i="55"/>
  <c r="ACF36" i="55" s="1"/>
  <c r="ACD35" i="55"/>
  <c r="ADC35" i="55" s="1"/>
  <c r="ACC35" i="55"/>
  <c r="ADB35" i="55" s="1"/>
  <c r="ACB35" i="55"/>
  <c r="ADA35" i="55" s="1"/>
  <c r="ACA35" i="55"/>
  <c r="ACZ35" i="55" s="1"/>
  <c r="ABZ35" i="55"/>
  <c r="ACY35" i="55" s="1"/>
  <c r="ABY35" i="55"/>
  <c r="ACX35" i="55" s="1"/>
  <c r="ABX35" i="55"/>
  <c r="ACW35" i="55" s="1"/>
  <c r="ABW35" i="55"/>
  <c r="ACV35" i="55" s="1"/>
  <c r="ABV35" i="55"/>
  <c r="ACU35" i="55" s="1"/>
  <c r="ABU35" i="55"/>
  <c r="ACT35" i="55" s="1"/>
  <c r="ABT35" i="55"/>
  <c r="ACS35" i="55" s="1"/>
  <c r="ABS35" i="55"/>
  <c r="ACR35" i="55" s="1"/>
  <c r="ABR35" i="55"/>
  <c r="ACQ35" i="55" s="1"/>
  <c r="ABQ35" i="55"/>
  <c r="ACP35" i="55" s="1"/>
  <c r="ABP35" i="55"/>
  <c r="ACO35" i="55" s="1"/>
  <c r="ABO35" i="55"/>
  <c r="ACN35" i="55" s="1"/>
  <c r="ABN35" i="55"/>
  <c r="ACM35" i="55" s="1"/>
  <c r="ABM35" i="55"/>
  <c r="ACL35" i="55" s="1"/>
  <c r="ABL35" i="55"/>
  <c r="ACK35" i="55" s="1"/>
  <c r="ABK35" i="55"/>
  <c r="ACJ35" i="55" s="1"/>
  <c r="ABJ35" i="55"/>
  <c r="ACI35" i="55" s="1"/>
  <c r="ABI35" i="55"/>
  <c r="ACH35" i="55" s="1"/>
  <c r="ABH35" i="55"/>
  <c r="ACG35" i="55" s="1"/>
  <c r="ABG35" i="55"/>
  <c r="ACF35" i="55" s="1"/>
  <c r="ACD34" i="55"/>
  <c r="ADC34" i="55" s="1"/>
  <c r="ACC34" i="55"/>
  <c r="ADB34" i="55" s="1"/>
  <c r="ACB34" i="55"/>
  <c r="ADA34" i="55" s="1"/>
  <c r="ACA34" i="55"/>
  <c r="ACZ34" i="55" s="1"/>
  <c r="ABZ34" i="55"/>
  <c r="ACY34" i="55" s="1"/>
  <c r="ABY34" i="55"/>
  <c r="ACX34" i="55" s="1"/>
  <c r="ABX34" i="55"/>
  <c r="ACW34" i="55" s="1"/>
  <c r="ABW34" i="55"/>
  <c r="ACV34" i="55" s="1"/>
  <c r="ABV34" i="55"/>
  <c r="ACU34" i="55" s="1"/>
  <c r="ABU34" i="55"/>
  <c r="ACT34" i="55" s="1"/>
  <c r="ABT34" i="55"/>
  <c r="ACS34" i="55" s="1"/>
  <c r="ABS34" i="55"/>
  <c r="ACR34" i="55" s="1"/>
  <c r="ABR34" i="55"/>
  <c r="ACQ34" i="55" s="1"/>
  <c r="ABQ34" i="55"/>
  <c r="ACP34" i="55" s="1"/>
  <c r="ABP34" i="55"/>
  <c r="ACO34" i="55" s="1"/>
  <c r="ABO34" i="55"/>
  <c r="ACN34" i="55" s="1"/>
  <c r="ABN34" i="55"/>
  <c r="ACM34" i="55" s="1"/>
  <c r="ABM34" i="55"/>
  <c r="ACL34" i="55" s="1"/>
  <c r="ABL34" i="55"/>
  <c r="ACK34" i="55" s="1"/>
  <c r="ABK34" i="55"/>
  <c r="ACJ34" i="55" s="1"/>
  <c r="ABJ34" i="55"/>
  <c r="ACI34" i="55" s="1"/>
  <c r="ABI34" i="55"/>
  <c r="ACH34" i="55" s="1"/>
  <c r="ABH34" i="55"/>
  <c r="ACG34" i="55" s="1"/>
  <c r="ABG34" i="55"/>
  <c r="ACF34" i="55" s="1"/>
  <c r="ACD33" i="55"/>
  <c r="ADC33" i="55" s="1"/>
  <c r="ACC33" i="55"/>
  <c r="ADB33" i="55" s="1"/>
  <c r="ACB33" i="55"/>
  <c r="ADA33" i="55" s="1"/>
  <c r="ACA33" i="55"/>
  <c r="ACZ33" i="55" s="1"/>
  <c r="ABZ33" i="55"/>
  <c r="ACY33" i="55" s="1"/>
  <c r="ABY33" i="55"/>
  <c r="ACX33" i="55" s="1"/>
  <c r="ABX33" i="55"/>
  <c r="ACW33" i="55" s="1"/>
  <c r="ABW33" i="55"/>
  <c r="ACV33" i="55" s="1"/>
  <c r="ABV33" i="55"/>
  <c r="ACU33" i="55" s="1"/>
  <c r="ABU33" i="55"/>
  <c r="ACT33" i="55" s="1"/>
  <c r="ABT33" i="55"/>
  <c r="ACS33" i="55" s="1"/>
  <c r="ABS33" i="55"/>
  <c r="ACR33" i="55" s="1"/>
  <c r="ABR33" i="55"/>
  <c r="ACQ33" i="55" s="1"/>
  <c r="ABQ33" i="55"/>
  <c r="ACP33" i="55" s="1"/>
  <c r="ABP33" i="55"/>
  <c r="ACO33" i="55" s="1"/>
  <c r="ABO33" i="55"/>
  <c r="ACN33" i="55" s="1"/>
  <c r="ABN33" i="55"/>
  <c r="ACM33" i="55" s="1"/>
  <c r="ABM33" i="55"/>
  <c r="ACL33" i="55" s="1"/>
  <c r="ABL33" i="55"/>
  <c r="ACK33" i="55" s="1"/>
  <c r="ABK33" i="55"/>
  <c r="ACJ33" i="55" s="1"/>
  <c r="ABJ33" i="55"/>
  <c r="ACI33" i="55" s="1"/>
  <c r="ABI33" i="55"/>
  <c r="ACH33" i="55" s="1"/>
  <c r="ABH33" i="55"/>
  <c r="ACG33" i="55" s="1"/>
  <c r="ABG33" i="55"/>
  <c r="ACF33" i="55" s="1"/>
  <c r="ACD32" i="55"/>
  <c r="ADC32" i="55" s="1"/>
  <c r="ACC32" i="55"/>
  <c r="ADB32" i="55" s="1"/>
  <c r="ACB32" i="55"/>
  <c r="ADA32" i="55" s="1"/>
  <c r="ACA32" i="55"/>
  <c r="ACZ32" i="55" s="1"/>
  <c r="ABZ32" i="55"/>
  <c r="ACY32" i="55" s="1"/>
  <c r="ABY32" i="55"/>
  <c r="ACX32" i="55" s="1"/>
  <c r="ABX32" i="55"/>
  <c r="ACW32" i="55" s="1"/>
  <c r="ABW32" i="55"/>
  <c r="ACV32" i="55" s="1"/>
  <c r="ABV32" i="55"/>
  <c r="ACU32" i="55" s="1"/>
  <c r="ABU32" i="55"/>
  <c r="ACT32" i="55" s="1"/>
  <c r="ABT32" i="55"/>
  <c r="ACS32" i="55" s="1"/>
  <c r="ABS32" i="55"/>
  <c r="ACR32" i="55" s="1"/>
  <c r="ABR32" i="55"/>
  <c r="ACQ32" i="55" s="1"/>
  <c r="ABQ32" i="55"/>
  <c r="ACP32" i="55" s="1"/>
  <c r="ABP32" i="55"/>
  <c r="ACO32" i="55" s="1"/>
  <c r="ABO32" i="55"/>
  <c r="ACN32" i="55" s="1"/>
  <c r="ABN32" i="55"/>
  <c r="ACM32" i="55" s="1"/>
  <c r="ABM32" i="55"/>
  <c r="ACL32" i="55" s="1"/>
  <c r="ABL32" i="55"/>
  <c r="ACK32" i="55" s="1"/>
  <c r="ABK32" i="55"/>
  <c r="ACJ32" i="55" s="1"/>
  <c r="ABJ32" i="55"/>
  <c r="ACI32" i="55" s="1"/>
  <c r="ABI32" i="55"/>
  <c r="ACH32" i="55" s="1"/>
  <c r="ABH32" i="55"/>
  <c r="ACG32" i="55" s="1"/>
  <c r="ABG32" i="55"/>
  <c r="ACF32" i="55" s="1"/>
  <c r="ACD31" i="55"/>
  <c r="ADC31" i="55" s="1"/>
  <c r="ACC31" i="55"/>
  <c r="ADB31" i="55" s="1"/>
  <c r="ACB31" i="55"/>
  <c r="ADA31" i="55" s="1"/>
  <c r="ACA31" i="55"/>
  <c r="ACZ31" i="55" s="1"/>
  <c r="ABZ31" i="55"/>
  <c r="ACY31" i="55" s="1"/>
  <c r="ABY31" i="55"/>
  <c r="ACX31" i="55" s="1"/>
  <c r="ABX31" i="55"/>
  <c r="ACW31" i="55" s="1"/>
  <c r="ABW31" i="55"/>
  <c r="ACV31" i="55" s="1"/>
  <c r="ABV31" i="55"/>
  <c r="ACU31" i="55" s="1"/>
  <c r="ABU31" i="55"/>
  <c r="ACT31" i="55" s="1"/>
  <c r="ABT31" i="55"/>
  <c r="ACS31" i="55" s="1"/>
  <c r="ABS31" i="55"/>
  <c r="ACR31" i="55" s="1"/>
  <c r="ABR31" i="55"/>
  <c r="ACQ31" i="55" s="1"/>
  <c r="ABQ31" i="55"/>
  <c r="ACP31" i="55" s="1"/>
  <c r="ABP31" i="55"/>
  <c r="ACO31" i="55" s="1"/>
  <c r="ABO31" i="55"/>
  <c r="ACN31" i="55" s="1"/>
  <c r="ABN31" i="55"/>
  <c r="ACM31" i="55" s="1"/>
  <c r="ABM31" i="55"/>
  <c r="ACL31" i="55" s="1"/>
  <c r="ABL31" i="55"/>
  <c r="ACK31" i="55" s="1"/>
  <c r="ABK31" i="55"/>
  <c r="ACJ31" i="55" s="1"/>
  <c r="ABJ31" i="55"/>
  <c r="ACI31" i="55" s="1"/>
  <c r="ABI31" i="55"/>
  <c r="ACH31" i="55" s="1"/>
  <c r="ABH31" i="55"/>
  <c r="ACG31" i="55" s="1"/>
  <c r="ABG31" i="55"/>
  <c r="ACF31" i="55" s="1"/>
  <c r="ACD30" i="55"/>
  <c r="ADC30" i="55" s="1"/>
  <c r="ACC30" i="55"/>
  <c r="ADB30" i="55" s="1"/>
  <c r="ACB30" i="55"/>
  <c r="ADA30" i="55" s="1"/>
  <c r="ACA30" i="55"/>
  <c r="ACZ30" i="55" s="1"/>
  <c r="ABZ30" i="55"/>
  <c r="ACY30" i="55" s="1"/>
  <c r="ABY30" i="55"/>
  <c r="ACX30" i="55" s="1"/>
  <c r="ABX30" i="55"/>
  <c r="ACW30" i="55" s="1"/>
  <c r="ABW30" i="55"/>
  <c r="ACV30" i="55" s="1"/>
  <c r="ABV30" i="55"/>
  <c r="ACU30" i="55" s="1"/>
  <c r="ABU30" i="55"/>
  <c r="ACT30" i="55" s="1"/>
  <c r="ABT30" i="55"/>
  <c r="ACS30" i="55" s="1"/>
  <c r="ABS30" i="55"/>
  <c r="ACR30" i="55" s="1"/>
  <c r="ABR30" i="55"/>
  <c r="ACQ30" i="55" s="1"/>
  <c r="ABQ30" i="55"/>
  <c r="ACP30" i="55" s="1"/>
  <c r="ABP30" i="55"/>
  <c r="ACO30" i="55" s="1"/>
  <c r="ABO30" i="55"/>
  <c r="ACN30" i="55" s="1"/>
  <c r="ABN30" i="55"/>
  <c r="ACM30" i="55" s="1"/>
  <c r="ABM30" i="55"/>
  <c r="ACL30" i="55" s="1"/>
  <c r="ABL30" i="55"/>
  <c r="ACK30" i="55" s="1"/>
  <c r="ABK30" i="55"/>
  <c r="ACJ30" i="55" s="1"/>
  <c r="ABJ30" i="55"/>
  <c r="ACI30" i="55" s="1"/>
  <c r="ABI30" i="55"/>
  <c r="ACH30" i="55" s="1"/>
  <c r="ABH30" i="55"/>
  <c r="ACG30" i="55" s="1"/>
  <c r="ABG30" i="55"/>
  <c r="ACF30" i="55" s="1"/>
  <c r="ACD29" i="55"/>
  <c r="ADC29" i="55" s="1"/>
  <c r="ACC29" i="55"/>
  <c r="ADB29" i="55" s="1"/>
  <c r="ACB29" i="55"/>
  <c r="ADA29" i="55" s="1"/>
  <c r="ACA29" i="55"/>
  <c r="ACZ29" i="55" s="1"/>
  <c r="ABZ29" i="55"/>
  <c r="ACY29" i="55" s="1"/>
  <c r="ABY29" i="55"/>
  <c r="ACX29" i="55" s="1"/>
  <c r="ABX29" i="55"/>
  <c r="ACW29" i="55" s="1"/>
  <c r="ABW29" i="55"/>
  <c r="ACV29" i="55" s="1"/>
  <c r="ABV29" i="55"/>
  <c r="ACU29" i="55" s="1"/>
  <c r="ABU29" i="55"/>
  <c r="ACT29" i="55" s="1"/>
  <c r="ABT29" i="55"/>
  <c r="ACS29" i="55" s="1"/>
  <c r="ABS29" i="55"/>
  <c r="ACR29" i="55" s="1"/>
  <c r="ABR29" i="55"/>
  <c r="ACQ29" i="55" s="1"/>
  <c r="ABQ29" i="55"/>
  <c r="ACP29" i="55" s="1"/>
  <c r="ABP29" i="55"/>
  <c r="ACO29" i="55" s="1"/>
  <c r="ABO29" i="55"/>
  <c r="ACN29" i="55" s="1"/>
  <c r="ABN29" i="55"/>
  <c r="ACM29" i="55" s="1"/>
  <c r="ABM29" i="55"/>
  <c r="ACL29" i="55" s="1"/>
  <c r="ABL29" i="55"/>
  <c r="ACK29" i="55" s="1"/>
  <c r="ABK29" i="55"/>
  <c r="ACJ29" i="55" s="1"/>
  <c r="ABJ29" i="55"/>
  <c r="ACI29" i="55" s="1"/>
  <c r="ABI29" i="55"/>
  <c r="ACH29" i="55" s="1"/>
  <c r="ABH29" i="55"/>
  <c r="ACG29" i="55" s="1"/>
  <c r="ABG29" i="55"/>
  <c r="ACF29" i="55" s="1"/>
  <c r="ACD28" i="55"/>
  <c r="ADC28" i="55" s="1"/>
  <c r="ACC28" i="55"/>
  <c r="ADB28" i="55" s="1"/>
  <c r="ACB28" i="55"/>
  <c r="ADA28" i="55" s="1"/>
  <c r="ACA28" i="55"/>
  <c r="ACZ28" i="55" s="1"/>
  <c r="ABZ28" i="55"/>
  <c r="ACY28" i="55" s="1"/>
  <c r="ABY28" i="55"/>
  <c r="ACX28" i="55" s="1"/>
  <c r="ABX28" i="55"/>
  <c r="ACW28" i="55" s="1"/>
  <c r="ABW28" i="55"/>
  <c r="ACV28" i="55" s="1"/>
  <c r="ABV28" i="55"/>
  <c r="ACU28" i="55" s="1"/>
  <c r="ABU28" i="55"/>
  <c r="ACT28" i="55" s="1"/>
  <c r="ABT28" i="55"/>
  <c r="ACS28" i="55" s="1"/>
  <c r="ABS28" i="55"/>
  <c r="ACR28" i="55" s="1"/>
  <c r="ABR28" i="55"/>
  <c r="ACQ28" i="55" s="1"/>
  <c r="ABQ28" i="55"/>
  <c r="ACP28" i="55" s="1"/>
  <c r="ABP28" i="55"/>
  <c r="ACO28" i="55" s="1"/>
  <c r="ABO28" i="55"/>
  <c r="ACN28" i="55" s="1"/>
  <c r="ABN28" i="55"/>
  <c r="ACM28" i="55" s="1"/>
  <c r="ABM28" i="55"/>
  <c r="ACL28" i="55" s="1"/>
  <c r="ABL28" i="55"/>
  <c r="ACK28" i="55" s="1"/>
  <c r="ABK28" i="55"/>
  <c r="ACJ28" i="55" s="1"/>
  <c r="ABJ28" i="55"/>
  <c r="ACI28" i="55" s="1"/>
  <c r="ABI28" i="55"/>
  <c r="ACH28" i="55" s="1"/>
  <c r="ABH28" i="55"/>
  <c r="ACG28" i="55" s="1"/>
  <c r="ABG28" i="55"/>
  <c r="ACF28" i="55" s="1"/>
  <c r="ACD27" i="55"/>
  <c r="ADC27" i="55" s="1"/>
  <c r="ACC27" i="55"/>
  <c r="ADB27" i="55" s="1"/>
  <c r="ACB27" i="55"/>
  <c r="ADA27" i="55" s="1"/>
  <c r="ACA27" i="55"/>
  <c r="ACZ27" i="55" s="1"/>
  <c r="ABZ27" i="55"/>
  <c r="ACY27" i="55" s="1"/>
  <c r="ABY27" i="55"/>
  <c r="ACX27" i="55" s="1"/>
  <c r="ABX27" i="55"/>
  <c r="ACW27" i="55" s="1"/>
  <c r="ABW27" i="55"/>
  <c r="ACV27" i="55" s="1"/>
  <c r="ABV27" i="55"/>
  <c r="ACU27" i="55" s="1"/>
  <c r="ABU27" i="55"/>
  <c r="ACT27" i="55" s="1"/>
  <c r="ABT27" i="55"/>
  <c r="ACS27" i="55" s="1"/>
  <c r="ABS27" i="55"/>
  <c r="ACR27" i="55" s="1"/>
  <c r="ABR27" i="55"/>
  <c r="ACQ27" i="55" s="1"/>
  <c r="ABQ27" i="55"/>
  <c r="ACP27" i="55" s="1"/>
  <c r="ABP27" i="55"/>
  <c r="ACO27" i="55" s="1"/>
  <c r="ABO27" i="55"/>
  <c r="ACN27" i="55" s="1"/>
  <c r="ABN27" i="55"/>
  <c r="ACM27" i="55" s="1"/>
  <c r="ABM27" i="55"/>
  <c r="ACL27" i="55" s="1"/>
  <c r="ABL27" i="55"/>
  <c r="ACK27" i="55" s="1"/>
  <c r="ABK27" i="55"/>
  <c r="ACJ27" i="55" s="1"/>
  <c r="ABJ27" i="55"/>
  <c r="ACI27" i="55" s="1"/>
  <c r="ABI27" i="55"/>
  <c r="ACH27" i="55" s="1"/>
  <c r="ABH27" i="55"/>
  <c r="ACG27" i="55" s="1"/>
  <c r="ABG27" i="55"/>
  <c r="ACF27" i="55" s="1"/>
  <c r="ACD26" i="55"/>
  <c r="ADC26" i="55" s="1"/>
  <c r="ACC26" i="55"/>
  <c r="ADB26" i="55" s="1"/>
  <c r="ACB26" i="55"/>
  <c r="ADA26" i="55" s="1"/>
  <c r="ACA26" i="55"/>
  <c r="ACZ26" i="55" s="1"/>
  <c r="ABZ26" i="55"/>
  <c r="ACY26" i="55" s="1"/>
  <c r="ABY26" i="55"/>
  <c r="ACX26" i="55" s="1"/>
  <c r="ABX26" i="55"/>
  <c r="ACW26" i="55" s="1"/>
  <c r="ABW26" i="55"/>
  <c r="ACV26" i="55" s="1"/>
  <c r="ABV26" i="55"/>
  <c r="ACU26" i="55" s="1"/>
  <c r="ABU26" i="55"/>
  <c r="ACT26" i="55" s="1"/>
  <c r="ABT26" i="55"/>
  <c r="ACS26" i="55" s="1"/>
  <c r="ABS26" i="55"/>
  <c r="ACR26" i="55" s="1"/>
  <c r="ABR26" i="55"/>
  <c r="ACQ26" i="55" s="1"/>
  <c r="ABQ26" i="55"/>
  <c r="ACP26" i="55" s="1"/>
  <c r="ABP26" i="55"/>
  <c r="ACO26" i="55" s="1"/>
  <c r="ABO26" i="55"/>
  <c r="ACN26" i="55" s="1"/>
  <c r="ABN26" i="55"/>
  <c r="ACM26" i="55" s="1"/>
  <c r="ABM26" i="55"/>
  <c r="ACL26" i="55" s="1"/>
  <c r="ABL26" i="55"/>
  <c r="ACK26" i="55" s="1"/>
  <c r="ABK26" i="55"/>
  <c r="ACJ26" i="55" s="1"/>
  <c r="ABJ26" i="55"/>
  <c r="ACI26" i="55" s="1"/>
  <c r="ABI26" i="55"/>
  <c r="ACH26" i="55" s="1"/>
  <c r="ABH26" i="55"/>
  <c r="ACG26" i="55" s="1"/>
  <c r="ABG26" i="55"/>
  <c r="ACF26" i="55" s="1"/>
  <c r="ACU25" i="55"/>
  <c r="ACD25" i="55"/>
  <c r="ADC25" i="55" s="1"/>
  <c r="ACC25" i="55"/>
  <c r="ADB25" i="55" s="1"/>
  <c r="ACB25" i="55"/>
  <c r="ADA25" i="55" s="1"/>
  <c r="ACA25" i="55"/>
  <c r="ACZ25" i="55" s="1"/>
  <c r="ABZ25" i="55"/>
  <c r="ACY25" i="55" s="1"/>
  <c r="ABY25" i="55"/>
  <c r="ACX25" i="55" s="1"/>
  <c r="ABX25" i="55"/>
  <c r="ACW25" i="55" s="1"/>
  <c r="ABW25" i="55"/>
  <c r="ACV25" i="55" s="1"/>
  <c r="ABV25" i="55"/>
  <c r="ABU25" i="55"/>
  <c r="ACT25" i="55" s="1"/>
  <c r="ABT25" i="55"/>
  <c r="ACS25" i="55" s="1"/>
  <c r="ABS25" i="55"/>
  <c r="ACR25" i="55" s="1"/>
  <c r="ABR25" i="55"/>
  <c r="ACQ25" i="55" s="1"/>
  <c r="ABQ25" i="55"/>
  <c r="ACP25" i="55" s="1"/>
  <c r="ABP25" i="55"/>
  <c r="ACO25" i="55" s="1"/>
  <c r="ABO25" i="55"/>
  <c r="ACN25" i="55" s="1"/>
  <c r="ABN25" i="55"/>
  <c r="ACM25" i="55" s="1"/>
  <c r="ABM25" i="55"/>
  <c r="ACL25" i="55" s="1"/>
  <c r="ABL25" i="55"/>
  <c r="ACK25" i="55" s="1"/>
  <c r="ABK25" i="55"/>
  <c r="ACJ25" i="55" s="1"/>
  <c r="ABJ25" i="55"/>
  <c r="ACI25" i="55" s="1"/>
  <c r="ABI25" i="55"/>
  <c r="ACH25" i="55" s="1"/>
  <c r="ABH25" i="55"/>
  <c r="ACG25" i="55" s="1"/>
  <c r="ABG25" i="55"/>
  <c r="ACF25" i="55" s="1"/>
  <c r="ACU24" i="55"/>
  <c r="ACS24" i="55"/>
  <c r="ACD24" i="55"/>
  <c r="ADC24" i="55" s="1"/>
  <c r="ACC24" i="55"/>
  <c r="ADB24" i="55" s="1"/>
  <c r="ACB24" i="55"/>
  <c r="ADA24" i="55" s="1"/>
  <c r="ACA24" i="55"/>
  <c r="ACZ24" i="55" s="1"/>
  <c r="ABZ24" i="55"/>
  <c r="ACY24" i="55" s="1"/>
  <c r="ABY24" i="55"/>
  <c r="ACX24" i="55" s="1"/>
  <c r="ABX24" i="55"/>
  <c r="ACW24" i="55" s="1"/>
  <c r="ABW24" i="55"/>
  <c r="ACV24" i="55" s="1"/>
  <c r="ABV24" i="55"/>
  <c r="ABU24" i="55"/>
  <c r="ACT24" i="55" s="1"/>
  <c r="ABT24" i="55"/>
  <c r="ABS24" i="55"/>
  <c r="ACR24" i="55" s="1"/>
  <c r="ABR24" i="55"/>
  <c r="ACQ24" i="55" s="1"/>
  <c r="ABQ24" i="55"/>
  <c r="ACP24" i="55" s="1"/>
  <c r="ABP24" i="55"/>
  <c r="ACO24" i="55" s="1"/>
  <c r="ABO24" i="55"/>
  <c r="ACN24" i="55" s="1"/>
  <c r="ABN24" i="55"/>
  <c r="ACM24" i="55" s="1"/>
  <c r="ABM24" i="55"/>
  <c r="ACL24" i="55" s="1"/>
  <c r="ABL24" i="55"/>
  <c r="ACK24" i="55" s="1"/>
  <c r="ABK24" i="55"/>
  <c r="ACJ24" i="55" s="1"/>
  <c r="ABJ24" i="55"/>
  <c r="ACI24" i="55" s="1"/>
  <c r="ABI24" i="55"/>
  <c r="ACH24" i="55" s="1"/>
  <c r="ABH24" i="55"/>
  <c r="ACG24" i="55" s="1"/>
  <c r="ABG24" i="55"/>
  <c r="ACF24" i="55" s="1"/>
  <c r="ACU23" i="55"/>
  <c r="ACD23" i="55"/>
  <c r="ADC23" i="55" s="1"/>
  <c r="ACC23" i="55"/>
  <c r="ADB23" i="55" s="1"/>
  <c r="ACB23" i="55"/>
  <c r="ADA23" i="55" s="1"/>
  <c r="ACA23" i="55"/>
  <c r="ACZ23" i="55" s="1"/>
  <c r="ABZ23" i="55"/>
  <c r="ACY23" i="55" s="1"/>
  <c r="ABY23" i="55"/>
  <c r="ACX23" i="55" s="1"/>
  <c r="ABX23" i="55"/>
  <c r="ACW23" i="55" s="1"/>
  <c r="ABW23" i="55"/>
  <c r="ACV23" i="55" s="1"/>
  <c r="ABV23" i="55"/>
  <c r="ABU23" i="55"/>
  <c r="ACT23" i="55" s="1"/>
  <c r="ABT23" i="55"/>
  <c r="ACS23" i="55" s="1"/>
  <c r="ABS23" i="55"/>
  <c r="ACR23" i="55" s="1"/>
  <c r="ABR23" i="55"/>
  <c r="ACQ23" i="55" s="1"/>
  <c r="ABQ23" i="55"/>
  <c r="ACP23" i="55" s="1"/>
  <c r="ABP23" i="55"/>
  <c r="ACO23" i="55" s="1"/>
  <c r="ABO23" i="55"/>
  <c r="ACN23" i="55" s="1"/>
  <c r="ABN23" i="55"/>
  <c r="ACM23" i="55" s="1"/>
  <c r="ABM23" i="55"/>
  <c r="ACL23" i="55" s="1"/>
  <c r="ABL23" i="55"/>
  <c r="ACK23" i="55" s="1"/>
  <c r="ABK23" i="55"/>
  <c r="ACJ23" i="55" s="1"/>
  <c r="ABJ23" i="55"/>
  <c r="ACI23" i="55" s="1"/>
  <c r="ABI23" i="55"/>
  <c r="ACH23" i="55" s="1"/>
  <c r="ABH23" i="55"/>
  <c r="ACG23" i="55" s="1"/>
  <c r="ABG23" i="55"/>
  <c r="ACF23" i="55" s="1"/>
  <c r="ACZ22" i="55"/>
  <c r="ACY22" i="55"/>
  <c r="ACS22" i="55"/>
  <c r="ACD22" i="55"/>
  <c r="ADC22" i="55" s="1"/>
  <c r="ACC22" i="55"/>
  <c r="ADB22" i="55" s="1"/>
  <c r="ACB22" i="55"/>
  <c r="ADA22" i="55" s="1"/>
  <c r="ACA22" i="55"/>
  <c r="ABZ22" i="55"/>
  <c r="ABY22" i="55"/>
  <c r="ACX22" i="55" s="1"/>
  <c r="ABX22" i="55"/>
  <c r="ACW22" i="55" s="1"/>
  <c r="ABW22" i="55"/>
  <c r="ACV22" i="55" s="1"/>
  <c r="ABV22" i="55"/>
  <c r="ACU22" i="55" s="1"/>
  <c r="ABU22" i="55"/>
  <c r="ACT22" i="55" s="1"/>
  <c r="ABT22" i="55"/>
  <c r="ABS22" i="55"/>
  <c r="ACR22" i="55" s="1"/>
  <c r="ABR22" i="55"/>
  <c r="ACQ22" i="55" s="1"/>
  <c r="ABQ22" i="55"/>
  <c r="ACP22" i="55" s="1"/>
  <c r="ABP22" i="55"/>
  <c r="ACO22" i="55" s="1"/>
  <c r="ABO22" i="55"/>
  <c r="ACN22" i="55" s="1"/>
  <c r="ABN22" i="55"/>
  <c r="ACM22" i="55" s="1"/>
  <c r="ABM22" i="55"/>
  <c r="ACL22" i="55" s="1"/>
  <c r="ABL22" i="55"/>
  <c r="ACK22" i="55" s="1"/>
  <c r="ABK22" i="55"/>
  <c r="ACJ22" i="55" s="1"/>
  <c r="ABJ22" i="55"/>
  <c r="ACI22" i="55" s="1"/>
  <c r="ABI22" i="55"/>
  <c r="ACH22" i="55" s="1"/>
  <c r="ABH22" i="55"/>
  <c r="ACG22" i="55" s="1"/>
  <c r="ABG22" i="55"/>
  <c r="ACF22" i="55" s="1"/>
  <c r="ADC21" i="55"/>
  <c r="ADA21" i="55"/>
  <c r="ACZ21" i="55"/>
  <c r="ACW21" i="55"/>
  <c r="ACI21" i="55"/>
  <c r="ACG21" i="55"/>
  <c r="ACD21" i="55"/>
  <c r="ACC21" i="55"/>
  <c r="ADB21" i="55" s="1"/>
  <c r="ACB21" i="55"/>
  <c r="ACA21" i="55"/>
  <c r="ABZ21" i="55"/>
  <c r="ACY21" i="55" s="1"/>
  <c r="ABY21" i="55"/>
  <c r="ACX21" i="55" s="1"/>
  <c r="ABX21" i="55"/>
  <c r="ABW21" i="55"/>
  <c r="ACV21" i="55" s="1"/>
  <c r="ABV21" i="55"/>
  <c r="ACU21" i="55" s="1"/>
  <c r="ABU21" i="55"/>
  <c r="ACT21" i="55" s="1"/>
  <c r="ABT21" i="55"/>
  <c r="ACS21" i="55" s="1"/>
  <c r="ABS21" i="55"/>
  <c r="ACR21" i="55" s="1"/>
  <c r="ABR21" i="55"/>
  <c r="ACQ21" i="55" s="1"/>
  <c r="ABQ21" i="55"/>
  <c r="ACP21" i="55" s="1"/>
  <c r="ABP21" i="55"/>
  <c r="ACO21" i="55" s="1"/>
  <c r="ABO21" i="55"/>
  <c r="ACN21" i="55" s="1"/>
  <c r="ABN21" i="55"/>
  <c r="ACM21" i="55" s="1"/>
  <c r="ABM21" i="55"/>
  <c r="ACL21" i="55" s="1"/>
  <c r="ABL21" i="55"/>
  <c r="ACK21" i="55" s="1"/>
  <c r="ABK21" i="55"/>
  <c r="ACJ21" i="55" s="1"/>
  <c r="ABJ21" i="55"/>
  <c r="ABI21" i="55"/>
  <c r="ACH21" i="55" s="1"/>
  <c r="ABH21" i="55"/>
  <c r="ABG21" i="55"/>
  <c r="ACF21" i="55" s="1"/>
  <c r="ACZ20" i="55"/>
  <c r="ACM20" i="55"/>
  <c r="ACK20" i="55"/>
  <c r="ACD20" i="55"/>
  <c r="ADC20" i="55" s="1"/>
  <c r="ACC20" i="55"/>
  <c r="ADB20" i="55" s="1"/>
  <c r="ACB20" i="55"/>
  <c r="ADA20" i="55" s="1"/>
  <c r="ACA20" i="55"/>
  <c r="ABZ20" i="55"/>
  <c r="ACY20" i="55" s="1"/>
  <c r="ABY20" i="55"/>
  <c r="ACX20" i="55" s="1"/>
  <c r="ABX20" i="55"/>
  <c r="ACW20" i="55" s="1"/>
  <c r="ABW20" i="55"/>
  <c r="ACV20" i="55" s="1"/>
  <c r="ABV20" i="55"/>
  <c r="ACU20" i="55" s="1"/>
  <c r="ABU20" i="55"/>
  <c r="ACT20" i="55" s="1"/>
  <c r="ABT20" i="55"/>
  <c r="ACS20" i="55" s="1"/>
  <c r="ABS20" i="55"/>
  <c r="ACR20" i="55" s="1"/>
  <c r="ABR20" i="55"/>
  <c r="ACQ20" i="55" s="1"/>
  <c r="ABQ20" i="55"/>
  <c r="ACP20" i="55" s="1"/>
  <c r="ABP20" i="55"/>
  <c r="ACO20" i="55" s="1"/>
  <c r="ABO20" i="55"/>
  <c r="ACN20" i="55" s="1"/>
  <c r="ABN20" i="55"/>
  <c r="ABM20" i="55"/>
  <c r="ACL20" i="55" s="1"/>
  <c r="ABL20" i="55"/>
  <c r="ABK20" i="55"/>
  <c r="ACJ20" i="55" s="1"/>
  <c r="ABJ20" i="55"/>
  <c r="ACI20" i="55" s="1"/>
  <c r="ABI20" i="55"/>
  <c r="ACH20" i="55" s="1"/>
  <c r="ABH20" i="55"/>
  <c r="ACG20" i="55" s="1"/>
  <c r="ABG20" i="55"/>
  <c r="ACF20" i="55" s="1"/>
  <c r="ADC19" i="55"/>
  <c r="ACZ19" i="55"/>
  <c r="ACO19" i="55"/>
  <c r="ACN19" i="55"/>
  <c r="ACI19" i="55"/>
  <c r="ACD19" i="55"/>
  <c r="ACC19" i="55"/>
  <c r="ADB19" i="55" s="1"/>
  <c r="ACB19" i="55"/>
  <c r="ADA19" i="55" s="1"/>
  <c r="ACA19" i="55"/>
  <c r="ABZ19" i="55"/>
  <c r="ACY19" i="55" s="1"/>
  <c r="ABY19" i="55"/>
  <c r="ACX19" i="55" s="1"/>
  <c r="ABX19" i="55"/>
  <c r="ACW19" i="55" s="1"/>
  <c r="ABW19" i="55"/>
  <c r="ACV19" i="55" s="1"/>
  <c r="ABV19" i="55"/>
  <c r="ACU19" i="55" s="1"/>
  <c r="ABU19" i="55"/>
  <c r="ACT19" i="55" s="1"/>
  <c r="ABT19" i="55"/>
  <c r="ACS19" i="55" s="1"/>
  <c r="ABS19" i="55"/>
  <c r="ACR19" i="55" s="1"/>
  <c r="ABR19" i="55"/>
  <c r="ACQ19" i="55" s="1"/>
  <c r="ABQ19" i="55"/>
  <c r="ACP19" i="55" s="1"/>
  <c r="ABP19" i="55"/>
  <c r="ABO19" i="55"/>
  <c r="ABN19" i="55"/>
  <c r="ACM19" i="55" s="1"/>
  <c r="ABM19" i="55"/>
  <c r="ACL19" i="55" s="1"/>
  <c r="ABL19" i="55"/>
  <c r="ACK19" i="55" s="1"/>
  <c r="ABK19" i="55"/>
  <c r="ACJ19" i="55" s="1"/>
  <c r="ABJ19" i="55"/>
  <c r="ABI19" i="55"/>
  <c r="ACH19" i="55" s="1"/>
  <c r="ABH19" i="55"/>
  <c r="ACG19" i="55" s="1"/>
  <c r="ABG19" i="55"/>
  <c r="ACF19" i="55" s="1"/>
  <c r="ACZ18" i="55"/>
  <c r="ACS18" i="55"/>
  <c r="ACQ18" i="55"/>
  <c r="ACD18" i="55"/>
  <c r="ADC18" i="55" s="1"/>
  <c r="ACC18" i="55"/>
  <c r="ADB18" i="55" s="1"/>
  <c r="ACB18" i="55"/>
  <c r="ADA18" i="55" s="1"/>
  <c r="ACA18" i="55"/>
  <c r="ABZ18" i="55"/>
  <c r="ACY18" i="55" s="1"/>
  <c r="ABY18" i="55"/>
  <c r="ACX18" i="55" s="1"/>
  <c r="ABX18" i="55"/>
  <c r="ACW18" i="55" s="1"/>
  <c r="ABW18" i="55"/>
  <c r="ACV18" i="55" s="1"/>
  <c r="ABV18" i="55"/>
  <c r="ACU18" i="55" s="1"/>
  <c r="ABU18" i="55"/>
  <c r="ACT18" i="55" s="1"/>
  <c r="ABT18" i="55"/>
  <c r="ABS18" i="55"/>
  <c r="ACR18" i="55" s="1"/>
  <c r="ABR18" i="55"/>
  <c r="ABQ18" i="55"/>
  <c r="ACP18" i="55" s="1"/>
  <c r="ABP18" i="55"/>
  <c r="ACO18" i="55" s="1"/>
  <c r="ABO18" i="55"/>
  <c r="ACN18" i="55" s="1"/>
  <c r="ABN18" i="55"/>
  <c r="ACM18" i="55" s="1"/>
  <c r="ABM18" i="55"/>
  <c r="ACL18" i="55" s="1"/>
  <c r="ABL18" i="55"/>
  <c r="ACK18" i="55" s="1"/>
  <c r="ABK18" i="55"/>
  <c r="ACJ18" i="55" s="1"/>
  <c r="ABJ18" i="55"/>
  <c r="ACI18" i="55" s="1"/>
  <c r="ABI18" i="55"/>
  <c r="ACH18" i="55" s="1"/>
  <c r="ABH18" i="55"/>
  <c r="ACG18" i="55" s="1"/>
  <c r="ABG18" i="55"/>
  <c r="ACF18" i="55" s="1"/>
  <c r="ACU17" i="55"/>
  <c r="ACD17" i="55"/>
  <c r="ADC17" i="55" s="1"/>
  <c r="ACC17" i="55"/>
  <c r="ADB17" i="55" s="1"/>
  <c r="ACB17" i="55"/>
  <c r="ADA17" i="55" s="1"/>
  <c r="ACA17" i="55"/>
  <c r="ACZ17" i="55" s="1"/>
  <c r="ABZ17" i="55"/>
  <c r="ACY17" i="55" s="1"/>
  <c r="ABY17" i="55"/>
  <c r="ACX17" i="55" s="1"/>
  <c r="ABX17" i="55"/>
  <c r="ACW17" i="55" s="1"/>
  <c r="ABW17" i="55"/>
  <c r="ACV17" i="55" s="1"/>
  <c r="ABV17" i="55"/>
  <c r="ABU17" i="55"/>
  <c r="ACT17" i="55" s="1"/>
  <c r="ABT17" i="55"/>
  <c r="ACS17" i="55" s="1"/>
  <c r="ABS17" i="55"/>
  <c r="ACR17" i="55" s="1"/>
  <c r="ABR17" i="55"/>
  <c r="ACQ17" i="55" s="1"/>
  <c r="ABQ17" i="55"/>
  <c r="ACP17" i="55" s="1"/>
  <c r="ABP17" i="55"/>
  <c r="ACO17" i="55" s="1"/>
  <c r="ABO17" i="55"/>
  <c r="ACN17" i="55" s="1"/>
  <c r="ABN17" i="55"/>
  <c r="ACM17" i="55" s="1"/>
  <c r="ABM17" i="55"/>
  <c r="ACL17" i="55" s="1"/>
  <c r="ABL17" i="55"/>
  <c r="ACK17" i="55" s="1"/>
  <c r="ABK17" i="55"/>
  <c r="ACJ17" i="55" s="1"/>
  <c r="ABJ17" i="55"/>
  <c r="ACI17" i="55" s="1"/>
  <c r="ABI17" i="55"/>
  <c r="ACH17" i="55" s="1"/>
  <c r="ABH17" i="55"/>
  <c r="ACG17" i="55" s="1"/>
  <c r="ABG17" i="55"/>
  <c r="ACF17" i="55" s="1"/>
  <c r="ACZ16" i="55"/>
  <c r="ACY16" i="55"/>
  <c r="ACS16" i="55"/>
  <c r="ACD16" i="55"/>
  <c r="ADC16" i="55" s="1"/>
  <c r="ACC16" i="55"/>
  <c r="ADB16" i="55" s="1"/>
  <c r="ACB16" i="55"/>
  <c r="ADA16" i="55" s="1"/>
  <c r="ACA16" i="55"/>
  <c r="ABZ16" i="55"/>
  <c r="ABY16" i="55"/>
  <c r="ACX16" i="55" s="1"/>
  <c r="ABX16" i="55"/>
  <c r="ACW16" i="55" s="1"/>
  <c r="ABW16" i="55"/>
  <c r="ACV16" i="55" s="1"/>
  <c r="ABV16" i="55"/>
  <c r="ACU16" i="55" s="1"/>
  <c r="ABU16" i="55"/>
  <c r="ACT16" i="55" s="1"/>
  <c r="ABT16" i="55"/>
  <c r="ABS16" i="55"/>
  <c r="ACR16" i="55" s="1"/>
  <c r="ABR16" i="55"/>
  <c r="ACQ16" i="55" s="1"/>
  <c r="ABQ16" i="55"/>
  <c r="ACP16" i="55" s="1"/>
  <c r="ABP16" i="55"/>
  <c r="ACO16" i="55" s="1"/>
  <c r="ABO16" i="55"/>
  <c r="ACN16" i="55" s="1"/>
  <c r="ABN16" i="55"/>
  <c r="ACM16" i="55" s="1"/>
  <c r="ABM16" i="55"/>
  <c r="ACL16" i="55" s="1"/>
  <c r="ABL16" i="55"/>
  <c r="ACK16" i="55" s="1"/>
  <c r="ABK16" i="55"/>
  <c r="ACJ16" i="55" s="1"/>
  <c r="ABJ16" i="55"/>
  <c r="ACI16" i="55" s="1"/>
  <c r="ABI16" i="55"/>
  <c r="ACH16" i="55" s="1"/>
  <c r="ABH16" i="55"/>
  <c r="ACG16" i="55" s="1"/>
  <c r="ABG16" i="55"/>
  <c r="ACF16" i="55" s="1"/>
  <c r="ADA15" i="55"/>
  <c r="ACZ15" i="55"/>
  <c r="ACI15" i="55"/>
  <c r="ACG15" i="55"/>
  <c r="ACD15" i="55"/>
  <c r="ADC15" i="55" s="1"/>
  <c r="ACC15" i="55"/>
  <c r="ADB15" i="55" s="1"/>
  <c r="ACB15" i="55"/>
  <c r="ACA15" i="55"/>
  <c r="ABZ15" i="55"/>
  <c r="ACY15" i="55" s="1"/>
  <c r="ABY15" i="55"/>
  <c r="ACX15" i="55" s="1"/>
  <c r="ABX15" i="55"/>
  <c r="ACW15" i="55" s="1"/>
  <c r="ABW15" i="55"/>
  <c r="ACV15" i="55" s="1"/>
  <c r="ABV15" i="55"/>
  <c r="ACU15" i="55" s="1"/>
  <c r="ABU15" i="55"/>
  <c r="ACT15" i="55" s="1"/>
  <c r="ABT15" i="55"/>
  <c r="ACS15" i="55" s="1"/>
  <c r="ABS15" i="55"/>
  <c r="ACR15" i="55" s="1"/>
  <c r="ABR15" i="55"/>
  <c r="ACQ15" i="55" s="1"/>
  <c r="ABQ15" i="55"/>
  <c r="ACP15" i="55" s="1"/>
  <c r="ABP15" i="55"/>
  <c r="ACO15" i="55" s="1"/>
  <c r="ABO15" i="55"/>
  <c r="ACN15" i="55" s="1"/>
  <c r="ABN15" i="55"/>
  <c r="ACM15" i="55" s="1"/>
  <c r="ABM15" i="55"/>
  <c r="ACL15" i="55" s="1"/>
  <c r="ABL15" i="55"/>
  <c r="ACK15" i="55" s="1"/>
  <c r="ABK15" i="55"/>
  <c r="ACJ15" i="55" s="1"/>
  <c r="ABJ15" i="55"/>
  <c r="ABI15" i="55"/>
  <c r="ACH15" i="55" s="1"/>
  <c r="ABH15" i="55"/>
  <c r="ABG15" i="55"/>
  <c r="ACF15" i="55" s="1"/>
  <c r="ADC14" i="55"/>
  <c r="ACZ14" i="55"/>
  <c r="ACK14" i="55"/>
  <c r="ACI14" i="55"/>
  <c r="ACD14" i="55"/>
  <c r="ACC14" i="55"/>
  <c r="ADB14" i="55" s="1"/>
  <c r="ACB14" i="55"/>
  <c r="ADA14" i="55" s="1"/>
  <c r="ACA14" i="55"/>
  <c r="ABZ14" i="55"/>
  <c r="ACY14" i="55" s="1"/>
  <c r="ABY14" i="55"/>
  <c r="ACX14" i="55" s="1"/>
  <c r="ABX14" i="55"/>
  <c r="ACW14" i="55" s="1"/>
  <c r="ABW14" i="55"/>
  <c r="ACV14" i="55" s="1"/>
  <c r="ABV14" i="55"/>
  <c r="ACU14" i="55" s="1"/>
  <c r="ABU14" i="55"/>
  <c r="ACT14" i="55" s="1"/>
  <c r="ABT14" i="55"/>
  <c r="ACS14" i="55" s="1"/>
  <c r="ABS14" i="55"/>
  <c r="ACR14" i="55" s="1"/>
  <c r="ABR14" i="55"/>
  <c r="ACQ14" i="55" s="1"/>
  <c r="ABQ14" i="55"/>
  <c r="ACP14" i="55" s="1"/>
  <c r="ABP14" i="55"/>
  <c r="ACO14" i="55" s="1"/>
  <c r="ABO14" i="55"/>
  <c r="ACN14" i="55" s="1"/>
  <c r="ABN14" i="55"/>
  <c r="ACM14" i="55" s="1"/>
  <c r="ABM14" i="55"/>
  <c r="ACL14" i="55" s="1"/>
  <c r="ABL14" i="55"/>
  <c r="ABK14" i="55"/>
  <c r="ACJ14" i="55" s="1"/>
  <c r="ABJ14" i="55"/>
  <c r="ABI14" i="55"/>
  <c r="ACH14" i="55" s="1"/>
  <c r="ABH14" i="55"/>
  <c r="ACG14" i="55" s="1"/>
  <c r="ABG14" i="55"/>
  <c r="ACF14" i="55" s="1"/>
  <c r="ADC13" i="55"/>
  <c r="ACZ13" i="55"/>
  <c r="ACS13" i="55"/>
  <c r="ACQ13" i="55"/>
  <c r="ACL13" i="55"/>
  <c r="ACK13" i="55"/>
  <c r="ACD13" i="55"/>
  <c r="ACC13" i="55"/>
  <c r="ADB13" i="55" s="1"/>
  <c r="ACB13" i="55"/>
  <c r="ADA13" i="55" s="1"/>
  <c r="ACA13" i="55"/>
  <c r="ABZ13" i="55"/>
  <c r="ACY13" i="55" s="1"/>
  <c r="ABY13" i="55"/>
  <c r="ACX13" i="55" s="1"/>
  <c r="ABX13" i="55"/>
  <c r="ACW13" i="55" s="1"/>
  <c r="ABW13" i="55"/>
  <c r="ACV13" i="55" s="1"/>
  <c r="ABV13" i="55"/>
  <c r="ACU13" i="55" s="1"/>
  <c r="ABU13" i="55"/>
  <c r="ACT13" i="55" s="1"/>
  <c r="ABT13" i="55"/>
  <c r="ABS13" i="55"/>
  <c r="ACR13" i="55" s="1"/>
  <c r="ABR13" i="55"/>
  <c r="ABQ13" i="55"/>
  <c r="ACP13" i="55" s="1"/>
  <c r="ABP13" i="55"/>
  <c r="ACO13" i="55" s="1"/>
  <c r="ABO13" i="55"/>
  <c r="ACN13" i="55" s="1"/>
  <c r="ABN13" i="55"/>
  <c r="ACM13" i="55" s="1"/>
  <c r="ABM13" i="55"/>
  <c r="ABL13" i="55"/>
  <c r="ABK13" i="55"/>
  <c r="ACJ13" i="55" s="1"/>
  <c r="ABJ13" i="55"/>
  <c r="ACI13" i="55" s="1"/>
  <c r="ABI13" i="55"/>
  <c r="ACH13" i="55" s="1"/>
  <c r="ABH13" i="55"/>
  <c r="ACG13" i="55" s="1"/>
  <c r="ABG13" i="55"/>
  <c r="ACF13" i="55" s="1"/>
  <c r="ACD12" i="55"/>
  <c r="ADC12" i="55" s="1"/>
  <c r="ACC12" i="55"/>
  <c r="ADB12" i="55" s="1"/>
  <c r="ACB12" i="55"/>
  <c r="ADA12" i="55" s="1"/>
  <c r="ACA12" i="55"/>
  <c r="ACZ12" i="55" s="1"/>
  <c r="ABZ12" i="55"/>
  <c r="ACY12" i="55" s="1"/>
  <c r="ABY12" i="55"/>
  <c r="ACX12" i="55" s="1"/>
  <c r="ABX12" i="55"/>
  <c r="ACW12" i="55" s="1"/>
  <c r="ABW12" i="55"/>
  <c r="ACV12" i="55" s="1"/>
  <c r="ABV12" i="55"/>
  <c r="ACU12" i="55" s="1"/>
  <c r="ABU12" i="55"/>
  <c r="ACT12" i="55" s="1"/>
  <c r="ABT12" i="55"/>
  <c r="ACS12" i="55" s="1"/>
  <c r="ABS12" i="55"/>
  <c r="ACR12" i="55" s="1"/>
  <c r="ABR12" i="55"/>
  <c r="ACQ12" i="55" s="1"/>
  <c r="ABQ12" i="55"/>
  <c r="ACP12" i="55" s="1"/>
  <c r="ABP12" i="55"/>
  <c r="ACO12" i="55" s="1"/>
  <c r="ABO12" i="55"/>
  <c r="ACN12" i="55" s="1"/>
  <c r="ABN12" i="55"/>
  <c r="ACM12" i="55" s="1"/>
  <c r="ABM12" i="55"/>
  <c r="ACL12" i="55" s="1"/>
  <c r="ABL12" i="55"/>
  <c r="ACK12" i="55" s="1"/>
  <c r="ABK12" i="55"/>
  <c r="ACJ12" i="55" s="1"/>
  <c r="ABJ12" i="55"/>
  <c r="ACI12" i="55" s="1"/>
  <c r="ABI12" i="55"/>
  <c r="ACH12" i="55" s="1"/>
  <c r="ABH12" i="55"/>
  <c r="ACG12" i="55" s="1"/>
  <c r="ABG12" i="55"/>
  <c r="ACF12" i="55" s="1"/>
  <c r="ACD11" i="55"/>
  <c r="ADC11" i="55" s="1"/>
  <c r="ACC11" i="55"/>
  <c r="ADB11" i="55" s="1"/>
  <c r="ACB11" i="55"/>
  <c r="ADA11" i="55" s="1"/>
  <c r="ACA11" i="55"/>
  <c r="ACZ11" i="55" s="1"/>
  <c r="ABZ11" i="55"/>
  <c r="ACY11" i="55" s="1"/>
  <c r="ABY11" i="55"/>
  <c r="ACX11" i="55" s="1"/>
  <c r="ABX11" i="55"/>
  <c r="ACW11" i="55" s="1"/>
  <c r="ABW11" i="55"/>
  <c r="ACV11" i="55" s="1"/>
  <c r="ABV11" i="55"/>
  <c r="ACU11" i="55" s="1"/>
  <c r="ABU11" i="55"/>
  <c r="ACT11" i="55" s="1"/>
  <c r="ABT11" i="55"/>
  <c r="ACS11" i="55" s="1"/>
  <c r="ABS11" i="55"/>
  <c r="ACR11" i="55" s="1"/>
  <c r="ABR11" i="55"/>
  <c r="ACQ11" i="55" s="1"/>
  <c r="ABQ11" i="55"/>
  <c r="ACP11" i="55" s="1"/>
  <c r="ABP11" i="55"/>
  <c r="ACO11" i="55" s="1"/>
  <c r="ABO11" i="55"/>
  <c r="ACN11" i="55" s="1"/>
  <c r="ABN11" i="55"/>
  <c r="ACM11" i="55" s="1"/>
  <c r="ABM11" i="55"/>
  <c r="ACL11" i="55" s="1"/>
  <c r="ABL11" i="55"/>
  <c r="ACK11" i="55" s="1"/>
  <c r="ABK11" i="55"/>
  <c r="ACJ11" i="55" s="1"/>
  <c r="ABJ11" i="55"/>
  <c r="ACI11" i="55" s="1"/>
  <c r="ABI11" i="55"/>
  <c r="ACH11" i="55" s="1"/>
  <c r="ABH11" i="55"/>
  <c r="ACG11" i="55" s="1"/>
  <c r="ABG11" i="55"/>
  <c r="ACF11" i="55" s="1"/>
  <c r="ACD10" i="55"/>
  <c r="ADC10" i="55" s="1"/>
  <c r="ACC10" i="55"/>
  <c r="ADB10" i="55" s="1"/>
  <c r="ACB10" i="55"/>
  <c r="ADA10" i="55" s="1"/>
  <c r="ACA10" i="55"/>
  <c r="ACZ10" i="55" s="1"/>
  <c r="ABZ10" i="55"/>
  <c r="ACY10" i="55" s="1"/>
  <c r="ABY10" i="55"/>
  <c r="ACX10" i="55" s="1"/>
  <c r="ABX10" i="55"/>
  <c r="ACW10" i="55" s="1"/>
  <c r="ABW10" i="55"/>
  <c r="ACV10" i="55" s="1"/>
  <c r="ABV10" i="55"/>
  <c r="ACU10" i="55" s="1"/>
  <c r="ABU10" i="55"/>
  <c r="ACT10" i="55" s="1"/>
  <c r="ABT10" i="55"/>
  <c r="ACS10" i="55" s="1"/>
  <c r="ABS10" i="55"/>
  <c r="ACR10" i="55" s="1"/>
  <c r="ABR10" i="55"/>
  <c r="ACQ10" i="55" s="1"/>
  <c r="ABQ10" i="55"/>
  <c r="ACP10" i="55" s="1"/>
  <c r="ABP10" i="55"/>
  <c r="ACO10" i="55" s="1"/>
  <c r="ABO10" i="55"/>
  <c r="ACN10" i="55" s="1"/>
  <c r="ABN10" i="55"/>
  <c r="ACM10" i="55" s="1"/>
  <c r="ABM10" i="55"/>
  <c r="ACL10" i="55" s="1"/>
  <c r="ABL10" i="55"/>
  <c r="ACK10" i="55" s="1"/>
  <c r="ABK10" i="55"/>
  <c r="ACJ10" i="55" s="1"/>
  <c r="ABJ10" i="55"/>
  <c r="ACI10" i="55" s="1"/>
  <c r="ABI10" i="55"/>
  <c r="ACH10" i="55" s="1"/>
  <c r="ABH10" i="55"/>
  <c r="ACG10" i="55" s="1"/>
  <c r="ABG10" i="55"/>
  <c r="ACF10" i="55" s="1"/>
  <c r="ACD9" i="55"/>
  <c r="ADC9" i="55" s="1"/>
  <c r="ACC9" i="55"/>
  <c r="ADB9" i="55" s="1"/>
  <c r="ACB9" i="55"/>
  <c r="ADA9" i="55" s="1"/>
  <c r="ACA9" i="55"/>
  <c r="ACZ9" i="55" s="1"/>
  <c r="ABZ9" i="55"/>
  <c r="ACY9" i="55" s="1"/>
  <c r="ABY9" i="55"/>
  <c r="ACX9" i="55" s="1"/>
  <c r="ABX9" i="55"/>
  <c r="ACW9" i="55" s="1"/>
  <c r="ABW9" i="55"/>
  <c r="ACV9" i="55" s="1"/>
  <c r="ABV9" i="55"/>
  <c r="ACU9" i="55" s="1"/>
  <c r="ABU9" i="55"/>
  <c r="ACT9" i="55" s="1"/>
  <c r="ABT9" i="55"/>
  <c r="ACS9" i="55" s="1"/>
  <c r="ABS9" i="55"/>
  <c r="ACR9" i="55" s="1"/>
  <c r="ABR9" i="55"/>
  <c r="ACQ9" i="55" s="1"/>
  <c r="ABQ9" i="55"/>
  <c r="ACP9" i="55" s="1"/>
  <c r="ABP9" i="55"/>
  <c r="ACO9" i="55" s="1"/>
  <c r="ABO9" i="55"/>
  <c r="ACN9" i="55" s="1"/>
  <c r="ABN9" i="55"/>
  <c r="ACM9" i="55" s="1"/>
  <c r="ABM9" i="55"/>
  <c r="ACL9" i="55" s="1"/>
  <c r="ABL9" i="55"/>
  <c r="ACK9" i="55" s="1"/>
  <c r="ABK9" i="55"/>
  <c r="ACJ9" i="55" s="1"/>
  <c r="ABJ9" i="55"/>
  <c r="ACI9" i="55" s="1"/>
  <c r="ABI9" i="55"/>
  <c r="ACH9" i="55" s="1"/>
  <c r="ABH9" i="55"/>
  <c r="ACG9" i="55" s="1"/>
  <c r="ABG9" i="55"/>
  <c r="ACF9" i="55" s="1"/>
  <c r="ACD8" i="55"/>
  <c r="ADC8" i="55" s="1"/>
  <c r="ACC8" i="55"/>
  <c r="ADB8" i="55" s="1"/>
  <c r="ACB8" i="55"/>
  <c r="ADA8" i="55" s="1"/>
  <c r="ACA8" i="55"/>
  <c r="ACZ8" i="55" s="1"/>
  <c r="ABZ8" i="55"/>
  <c r="ACY8" i="55" s="1"/>
  <c r="ABY8" i="55"/>
  <c r="ACX8" i="55" s="1"/>
  <c r="ABX8" i="55"/>
  <c r="ACW8" i="55" s="1"/>
  <c r="ABW8" i="55"/>
  <c r="ACV8" i="55" s="1"/>
  <c r="ABV8" i="55"/>
  <c r="ACU8" i="55" s="1"/>
  <c r="ABU8" i="55"/>
  <c r="ACT8" i="55" s="1"/>
  <c r="ABT8" i="55"/>
  <c r="ACS8" i="55" s="1"/>
  <c r="ABS8" i="55"/>
  <c r="ACR8" i="55" s="1"/>
  <c r="ABR8" i="55"/>
  <c r="ACQ8" i="55" s="1"/>
  <c r="ABQ8" i="55"/>
  <c r="ACP8" i="55" s="1"/>
  <c r="ABP8" i="55"/>
  <c r="ACO8" i="55" s="1"/>
  <c r="ABO8" i="55"/>
  <c r="ACN8" i="55" s="1"/>
  <c r="ABN8" i="55"/>
  <c r="ACM8" i="55" s="1"/>
  <c r="ABM8" i="55"/>
  <c r="ACL8" i="55" s="1"/>
  <c r="ABL8" i="55"/>
  <c r="ACK8" i="55" s="1"/>
  <c r="ABK8" i="55"/>
  <c r="ACJ8" i="55" s="1"/>
  <c r="ABJ8" i="55"/>
  <c r="ACI8" i="55" s="1"/>
  <c r="ABI8" i="55"/>
  <c r="ACH8" i="55" s="1"/>
  <c r="ABH8" i="55"/>
  <c r="ACG8" i="55" s="1"/>
  <c r="ABG8" i="55"/>
  <c r="ACF8" i="55" s="1"/>
  <c r="ACD7" i="55"/>
  <c r="ADC7" i="55" s="1"/>
  <c r="ACC7" i="55"/>
  <c r="ADB7" i="55" s="1"/>
  <c r="ACB7" i="55"/>
  <c r="ADA7" i="55" s="1"/>
  <c r="ACA7" i="55"/>
  <c r="ACZ7" i="55" s="1"/>
  <c r="ABZ7" i="55"/>
  <c r="ACY7" i="55" s="1"/>
  <c r="ABY7" i="55"/>
  <c r="ACX7" i="55" s="1"/>
  <c r="ABX7" i="55"/>
  <c r="ACW7" i="55" s="1"/>
  <c r="ABW7" i="55"/>
  <c r="ACV7" i="55" s="1"/>
  <c r="ABV7" i="55"/>
  <c r="ACU7" i="55" s="1"/>
  <c r="ABU7" i="55"/>
  <c r="ACT7" i="55" s="1"/>
  <c r="ABT7" i="55"/>
  <c r="ACS7" i="55" s="1"/>
  <c r="ABS7" i="55"/>
  <c r="ACR7" i="55" s="1"/>
  <c r="ABR7" i="55"/>
  <c r="ACQ7" i="55" s="1"/>
  <c r="ABQ7" i="55"/>
  <c r="ACP7" i="55" s="1"/>
  <c r="ABP7" i="55"/>
  <c r="ACO7" i="55" s="1"/>
  <c r="ABO7" i="55"/>
  <c r="ACN7" i="55" s="1"/>
  <c r="ABN7" i="55"/>
  <c r="ACM7" i="55" s="1"/>
  <c r="ABM7" i="55"/>
  <c r="ACL7" i="55" s="1"/>
  <c r="ABL7" i="55"/>
  <c r="ACK7" i="55" s="1"/>
  <c r="ABK7" i="55"/>
  <c r="ACJ7" i="55" s="1"/>
  <c r="ABJ7" i="55"/>
  <c r="ACI7" i="55" s="1"/>
  <c r="ABI7" i="55"/>
  <c r="ACH7" i="55" s="1"/>
  <c r="ABH7" i="55"/>
  <c r="ACG7" i="55" s="1"/>
  <c r="ABG7" i="55"/>
  <c r="ACF7" i="55" s="1"/>
  <c r="ACD6" i="55"/>
  <c r="ADC6" i="55" s="1"/>
  <c r="ACC6" i="55"/>
  <c r="ADB6" i="55" s="1"/>
  <c r="ACB6" i="55"/>
  <c r="ADA6" i="55" s="1"/>
  <c r="ACA6" i="55"/>
  <c r="ACZ6" i="55" s="1"/>
  <c r="ABZ6" i="55"/>
  <c r="ACY6" i="55" s="1"/>
  <c r="ABY6" i="55"/>
  <c r="ACX6" i="55" s="1"/>
  <c r="ABX6" i="55"/>
  <c r="ACW6" i="55" s="1"/>
  <c r="ABW6" i="55"/>
  <c r="ACV6" i="55" s="1"/>
  <c r="ABV6" i="55"/>
  <c r="ACU6" i="55" s="1"/>
  <c r="ABU6" i="55"/>
  <c r="ACT6" i="55" s="1"/>
  <c r="ABT6" i="55"/>
  <c r="ACS6" i="55" s="1"/>
  <c r="ABS6" i="55"/>
  <c r="ACR6" i="55" s="1"/>
  <c r="ABR6" i="55"/>
  <c r="ACQ6" i="55" s="1"/>
  <c r="ABQ6" i="55"/>
  <c r="ACP6" i="55" s="1"/>
  <c r="ABP6" i="55"/>
  <c r="ACO6" i="55" s="1"/>
  <c r="ABO6" i="55"/>
  <c r="ACN6" i="55" s="1"/>
  <c r="ABN6" i="55"/>
  <c r="ACM6" i="55" s="1"/>
  <c r="ABM6" i="55"/>
  <c r="ACL6" i="55" s="1"/>
  <c r="ABL6" i="55"/>
  <c r="ACK6" i="55" s="1"/>
  <c r="ABK6" i="55"/>
  <c r="ACJ6" i="55" s="1"/>
  <c r="ABJ6" i="55"/>
  <c r="ACI6" i="55" s="1"/>
  <c r="ABI6" i="55"/>
  <c r="ACH6" i="55" s="1"/>
  <c r="ABH6" i="55"/>
  <c r="ACG6" i="55" s="1"/>
  <c r="ABG6" i="55"/>
  <c r="ACF6" i="55" s="1"/>
  <c r="ACU5" i="55"/>
  <c r="ACD5" i="55"/>
  <c r="ADC5" i="55" s="1"/>
  <c r="ACC5" i="55"/>
  <c r="ADB5" i="55" s="1"/>
  <c r="ACB5" i="55"/>
  <c r="ADA5" i="55" s="1"/>
  <c r="ACA5" i="55"/>
  <c r="ACZ5" i="55" s="1"/>
  <c r="ABZ5" i="55"/>
  <c r="ACY5" i="55" s="1"/>
  <c r="ABY5" i="55"/>
  <c r="ACX5" i="55" s="1"/>
  <c r="ABX5" i="55"/>
  <c r="ACW5" i="55" s="1"/>
  <c r="ABW5" i="55"/>
  <c r="ACV5" i="55" s="1"/>
  <c r="ABV5" i="55"/>
  <c r="ABU5" i="55"/>
  <c r="ACT5" i="55" s="1"/>
  <c r="ABT5" i="55"/>
  <c r="ACS5" i="55" s="1"/>
  <c r="ABS5" i="55"/>
  <c r="ACR5" i="55" s="1"/>
  <c r="ABR5" i="55"/>
  <c r="ACQ5" i="55" s="1"/>
  <c r="ABQ5" i="55"/>
  <c r="ACP5" i="55" s="1"/>
  <c r="ABP5" i="55"/>
  <c r="ACO5" i="55" s="1"/>
  <c r="ABO5" i="55"/>
  <c r="ACN5" i="55" s="1"/>
  <c r="ABN5" i="55"/>
  <c r="ACM5" i="55" s="1"/>
  <c r="ABM5" i="55"/>
  <c r="ACL5" i="55" s="1"/>
  <c r="ABL5" i="55"/>
  <c r="ACK5" i="55" s="1"/>
  <c r="ABK5" i="55"/>
  <c r="ACJ5" i="55" s="1"/>
  <c r="ABJ5" i="55"/>
  <c r="ACI5" i="55" s="1"/>
  <c r="ABI5" i="55"/>
  <c r="ACH5" i="55" s="1"/>
  <c r="ABH5" i="55"/>
  <c r="ACG5" i="55" s="1"/>
  <c r="ABG5" i="55"/>
  <c r="ACF5" i="55" s="1"/>
  <c r="ADC2" i="55"/>
  <c r="ADB2" i="55"/>
  <c r="ADA2" i="55"/>
  <c r="ACZ2" i="55"/>
  <c r="ACY2" i="55"/>
  <c r="ACX2" i="55"/>
  <c r="ACW2" i="55"/>
  <c r="ACV2" i="55"/>
  <c r="ACU2" i="55"/>
  <c r="ACT2" i="55"/>
  <c r="ACS2" i="55"/>
  <c r="ACR2" i="55"/>
  <c r="ACQ2" i="55"/>
  <c r="ACP2" i="55"/>
  <c r="ACO2" i="55"/>
  <c r="ACN2" i="55"/>
  <c r="ACM2" i="55"/>
  <c r="ACL2" i="55"/>
  <c r="ACK2" i="55"/>
  <c r="ACJ2" i="55"/>
  <c r="ACI2" i="55"/>
  <c r="ACH2" i="55"/>
  <c r="ACG2" i="55"/>
  <c r="ACF2" i="55"/>
  <c r="G85" i="47"/>
  <c r="E85" i="47"/>
  <c r="F85" i="47"/>
  <c r="G84" i="47"/>
  <c r="E84" i="47"/>
  <c r="F84" i="47"/>
  <c r="H77" i="47"/>
  <c r="E77" i="47"/>
  <c r="E68" i="47"/>
  <c r="F68" i="47"/>
  <c r="H46" i="47"/>
  <c r="E46" i="47"/>
  <c r="E40" i="47"/>
  <c r="H36" i="47"/>
  <c r="F36" i="47"/>
  <c r="E36" i="47"/>
  <c r="G26" i="47"/>
  <c r="E26" i="47"/>
  <c r="F26" i="47"/>
  <c r="G25" i="47"/>
  <c r="E25" i="47"/>
  <c r="F25" i="47"/>
  <c r="F15" i="47"/>
  <c r="E15" i="47"/>
  <c r="G6" i="47"/>
  <c r="E6" i="47"/>
  <c r="E303" i="43" l="1"/>
  <c r="E302" i="43"/>
  <c r="E301" i="43"/>
  <c r="E300" i="43"/>
  <c r="E299" i="43"/>
  <c r="E298" i="43"/>
  <c r="E297" i="43"/>
  <c r="E296" i="43"/>
  <c r="E295" i="43"/>
  <c r="E294" i="43"/>
  <c r="E293" i="43"/>
  <c r="E292" i="43"/>
  <c r="H291" i="43"/>
  <c r="E291" i="43"/>
  <c r="H290" i="43"/>
  <c r="E290" i="43"/>
  <c r="E289" i="43"/>
  <c r="H288" i="43"/>
  <c r="E288" i="43"/>
  <c r="H287" i="43"/>
  <c r="E287" i="43"/>
  <c r="E286" i="43"/>
  <c r="E285" i="43"/>
  <c r="E284" i="43"/>
  <c r="E283" i="43"/>
  <c r="E282" i="43"/>
  <c r="E281" i="43"/>
  <c r="E280" i="43"/>
  <c r="E279" i="43"/>
  <c r="E278" i="43"/>
  <c r="H277" i="43"/>
  <c r="E277" i="43"/>
  <c r="E276" i="43"/>
  <c r="H275" i="43"/>
  <c r="E275" i="43"/>
  <c r="H274" i="43"/>
  <c r="E274" i="43"/>
  <c r="E273" i="43"/>
  <c r="H272" i="43"/>
  <c r="E272" i="43"/>
  <c r="E271" i="43"/>
  <c r="E270" i="43"/>
  <c r="E269" i="43"/>
  <c r="E268" i="43"/>
  <c r="E267" i="43"/>
  <c r="E266" i="43"/>
  <c r="H265" i="43"/>
  <c r="E265" i="43"/>
  <c r="E264" i="43"/>
  <c r="E263" i="43"/>
  <c r="E262" i="43"/>
  <c r="E261" i="43"/>
  <c r="E260" i="43"/>
  <c r="E259" i="43"/>
  <c r="E258" i="43"/>
  <c r="E257" i="43"/>
  <c r="H256" i="43"/>
  <c r="E256" i="43"/>
  <c r="H255" i="43"/>
  <c r="E255" i="43"/>
  <c r="E254" i="43"/>
  <c r="E253" i="43"/>
  <c r="E252" i="43"/>
  <c r="E251" i="43"/>
  <c r="E250" i="43"/>
  <c r="E249" i="43"/>
  <c r="E248" i="43"/>
  <c r="E247" i="43"/>
  <c r="E246" i="43"/>
  <c r="E245" i="43"/>
  <c r="E244" i="43"/>
  <c r="E243" i="43"/>
  <c r="E242" i="43"/>
  <c r="E241" i="43"/>
  <c r="E240" i="43"/>
  <c r="E239" i="43"/>
  <c r="E238" i="43"/>
  <c r="E237" i="43"/>
  <c r="E236" i="43"/>
  <c r="E235" i="43"/>
  <c r="E234" i="43"/>
  <c r="E233" i="43"/>
  <c r="E232" i="43"/>
  <c r="E231" i="43"/>
  <c r="E230" i="43"/>
  <c r="E229" i="43"/>
  <c r="E228" i="43"/>
  <c r="E227" i="43"/>
  <c r="E226" i="43"/>
  <c r="E225" i="43"/>
  <c r="E224" i="43"/>
  <c r="E223" i="43"/>
  <c r="E222" i="43"/>
  <c r="E221" i="43"/>
  <c r="E220" i="43"/>
  <c r="E219" i="43"/>
  <c r="E218" i="43"/>
  <c r="E217" i="43"/>
  <c r="E216" i="43"/>
  <c r="E215" i="43"/>
  <c r="E214" i="43"/>
  <c r="E213" i="43"/>
  <c r="E212" i="43"/>
  <c r="H211" i="43"/>
  <c r="E211" i="43"/>
  <c r="H210" i="43"/>
  <c r="E210" i="43"/>
  <c r="H209" i="43"/>
  <c r="E209" i="43"/>
  <c r="H208" i="43"/>
  <c r="E208" i="43"/>
  <c r="E207" i="43"/>
  <c r="E206" i="43"/>
  <c r="E205" i="43"/>
  <c r="E204" i="43"/>
  <c r="E203" i="43"/>
  <c r="E202" i="43"/>
  <c r="E201" i="43"/>
  <c r="E200" i="43"/>
  <c r="E199" i="43"/>
  <c r="E198" i="43"/>
  <c r="E197" i="43"/>
  <c r="H196" i="43"/>
  <c r="E196" i="43"/>
  <c r="H195" i="43"/>
  <c r="E195" i="43"/>
  <c r="E194" i="43"/>
  <c r="E193" i="43"/>
  <c r="E192" i="43"/>
  <c r="E191" i="43"/>
  <c r="E190" i="43"/>
  <c r="E189" i="43"/>
  <c r="E188" i="43"/>
  <c r="E187" i="43"/>
  <c r="E186" i="43"/>
  <c r="E185" i="43"/>
  <c r="E184" i="43"/>
  <c r="E183" i="43"/>
  <c r="E182" i="43"/>
  <c r="H181" i="43"/>
  <c r="E181" i="43"/>
  <c r="E180" i="43"/>
  <c r="E179" i="43"/>
  <c r="E178" i="43"/>
  <c r="E177" i="43"/>
  <c r="E176" i="43"/>
  <c r="E174" i="43"/>
  <c r="E173" i="43"/>
  <c r="E172" i="43"/>
  <c r="E171" i="43"/>
  <c r="E170" i="43"/>
  <c r="E169" i="43"/>
  <c r="H168" i="43"/>
  <c r="E168" i="43"/>
  <c r="E167" i="43"/>
  <c r="E166" i="43"/>
  <c r="E165" i="43"/>
  <c r="E164" i="43"/>
  <c r="E163" i="43"/>
  <c r="E162" i="43"/>
  <c r="E161" i="43"/>
  <c r="E160" i="43"/>
  <c r="E159" i="43"/>
  <c r="E158" i="43"/>
  <c r="E156" i="43"/>
  <c r="E155" i="43"/>
  <c r="E154" i="43"/>
  <c r="E153" i="43"/>
  <c r="E152" i="43"/>
  <c r="E151" i="43"/>
  <c r="E150" i="43"/>
  <c r="E149" i="43"/>
  <c r="E148" i="43"/>
  <c r="E147" i="43"/>
  <c r="E146" i="43"/>
  <c r="E145" i="43"/>
  <c r="E144" i="43"/>
  <c r="E143" i="43"/>
  <c r="E142" i="43"/>
  <c r="E141" i="43"/>
  <c r="E140" i="43"/>
  <c r="E139" i="43"/>
  <c r="H138" i="43"/>
  <c r="E138" i="43"/>
  <c r="H137" i="43"/>
  <c r="E137" i="43"/>
  <c r="H136" i="43"/>
  <c r="E136" i="43"/>
  <c r="H135" i="43"/>
  <c r="E135" i="43"/>
  <c r="H134" i="43"/>
  <c r="E134" i="43"/>
  <c r="H133" i="43"/>
  <c r="E133" i="43"/>
  <c r="H132" i="43"/>
  <c r="E132" i="43"/>
  <c r="H131" i="43"/>
  <c r="E131" i="43"/>
  <c r="H130" i="43"/>
  <c r="E130" i="43"/>
  <c r="H129" i="43"/>
  <c r="E129" i="43"/>
  <c r="H128" i="43"/>
  <c r="E128" i="43"/>
  <c r="H127" i="43"/>
  <c r="E127" i="43"/>
  <c r="H126" i="43"/>
  <c r="E126" i="43"/>
  <c r="E125" i="43"/>
  <c r="E124" i="43"/>
  <c r="H123" i="43"/>
  <c r="E123" i="43"/>
  <c r="H122" i="43"/>
  <c r="E122" i="43"/>
  <c r="E121" i="43"/>
  <c r="E120" i="43"/>
  <c r="E118" i="43"/>
  <c r="E117" i="43"/>
  <c r="E116" i="43"/>
  <c r="E115" i="43"/>
  <c r="E114" i="43"/>
  <c r="E113" i="43"/>
  <c r="E112" i="43"/>
  <c r="E111" i="43"/>
  <c r="E110" i="43"/>
  <c r="E109" i="43"/>
  <c r="E108" i="43"/>
  <c r="E107" i="43"/>
  <c r="E106" i="43"/>
  <c r="E105" i="43"/>
  <c r="E104" i="43"/>
  <c r="E103" i="43"/>
  <c r="E102" i="43"/>
  <c r="E101" i="43"/>
  <c r="E100" i="43"/>
  <c r="E99" i="43"/>
  <c r="E98" i="43"/>
  <c r="E97" i="43"/>
  <c r="E96" i="43"/>
  <c r="E95" i="43"/>
  <c r="E94" i="43"/>
  <c r="E93" i="43"/>
  <c r="E92" i="43"/>
  <c r="E91" i="43"/>
  <c r="E90" i="43"/>
  <c r="E89" i="43"/>
  <c r="E88" i="43"/>
  <c r="E87" i="43"/>
  <c r="E86" i="43"/>
  <c r="E85" i="43"/>
  <c r="E84" i="43"/>
  <c r="H83" i="43"/>
  <c r="E83" i="43"/>
  <c r="H82" i="43"/>
  <c r="E82" i="43"/>
  <c r="H81" i="43"/>
  <c r="E81" i="43"/>
  <c r="H80" i="43"/>
  <c r="E80" i="43"/>
  <c r="H79" i="43"/>
  <c r="E79" i="43"/>
  <c r="H78" i="43"/>
  <c r="E78" i="43"/>
  <c r="H77" i="43"/>
  <c r="E77" i="43"/>
  <c r="H76" i="43"/>
  <c r="E76" i="43"/>
  <c r="E75" i="43"/>
  <c r="E74" i="43"/>
  <c r="E73" i="43"/>
  <c r="E72" i="43"/>
  <c r="E71" i="43"/>
  <c r="E70" i="43"/>
  <c r="E69" i="43"/>
  <c r="E68" i="43"/>
  <c r="E67" i="43"/>
  <c r="E66" i="43"/>
  <c r="E65" i="43"/>
  <c r="E64" i="43"/>
  <c r="E63" i="43"/>
  <c r="E62" i="43"/>
  <c r="E61" i="43"/>
  <c r="E60" i="43"/>
  <c r="E59" i="43"/>
  <c r="E58" i="43"/>
  <c r="E57" i="43"/>
  <c r="E56" i="43"/>
  <c r="E55" i="43"/>
  <c r="E54" i="43"/>
  <c r="E53" i="43"/>
  <c r="E52" i="43"/>
  <c r="E51" i="43"/>
  <c r="E50" i="43"/>
  <c r="E49" i="43"/>
  <c r="E48" i="43"/>
  <c r="E47" i="43"/>
  <c r="E46" i="43"/>
  <c r="E45" i="43"/>
  <c r="E44" i="43"/>
  <c r="E43" i="43"/>
  <c r="E42" i="43"/>
  <c r="E41" i="43"/>
  <c r="E40" i="43"/>
  <c r="E39" i="43"/>
  <c r="E38" i="43"/>
  <c r="E37" i="43"/>
  <c r="E36" i="43"/>
  <c r="E35" i="43"/>
  <c r="E34" i="43"/>
  <c r="E33" i="43"/>
  <c r="E32" i="43"/>
  <c r="E31" i="43"/>
  <c r="E30" i="43"/>
  <c r="E29" i="43"/>
  <c r="E28" i="43"/>
  <c r="E27" i="43"/>
  <c r="E26" i="43"/>
  <c r="E25" i="43"/>
  <c r="E24" i="43"/>
  <c r="E23" i="43"/>
  <c r="E22" i="43"/>
  <c r="E21" i="43"/>
  <c r="E20" i="43"/>
  <c r="E19" i="43"/>
  <c r="H18" i="43"/>
  <c r="E18" i="43"/>
  <c r="H17" i="43"/>
  <c r="E17" i="43"/>
  <c r="H16" i="43"/>
  <c r="E16" i="43"/>
  <c r="H15" i="43"/>
  <c r="E15" i="43"/>
  <c r="H14" i="43"/>
  <c r="E14" i="43"/>
  <c r="H13" i="43"/>
  <c r="E13" i="43"/>
  <c r="H12" i="43"/>
  <c r="E12" i="43"/>
  <c r="H11" i="43"/>
  <c r="E11" i="43"/>
  <c r="E10" i="43"/>
  <c r="E9" i="43"/>
  <c r="E8" i="43"/>
  <c r="E7" i="43"/>
  <c r="E6" i="43"/>
  <c r="E5" i="43"/>
  <c r="E4" i="43"/>
  <c r="E3" i="43"/>
  <c r="H2" i="43"/>
  <c r="E2" i="43"/>
  <c r="J11" i="37" l="1"/>
  <c r="J12" i="37"/>
  <c r="J13" i="37"/>
  <c r="J14" i="37"/>
  <c r="J15" i="37"/>
  <c r="J16" i="37"/>
  <c r="J17" i="37"/>
  <c r="J18" i="37"/>
  <c r="J19" i="37"/>
  <c r="J20" i="37"/>
  <c r="J21" i="37"/>
  <c r="J22" i="37"/>
  <c r="J23" i="37"/>
  <c r="J24" i="37"/>
  <c r="J25" i="37"/>
  <c r="J26" i="37"/>
  <c r="J76" i="37"/>
  <c r="J77" i="37"/>
  <c r="J78" i="37"/>
  <c r="J79" i="37"/>
  <c r="J80" i="37"/>
  <c r="J81" i="37"/>
  <c r="J82" i="37"/>
  <c r="J83" i="37"/>
  <c r="J231" i="37"/>
  <c r="J232" i="37"/>
  <c r="J233" i="37"/>
  <c r="J234" i="37"/>
  <c r="J235" i="37"/>
  <c r="J236" i="37"/>
  <c r="J237" i="37"/>
  <c r="J238" i="37"/>
  <c r="P238" i="37"/>
  <c r="P235" i="37"/>
  <c r="P231" i="37"/>
  <c r="P232" i="37"/>
  <c r="F76" i="37"/>
  <c r="G76" i="37"/>
  <c r="F77" i="37"/>
  <c r="G77" i="37"/>
  <c r="F78" i="37"/>
  <c r="G78" i="37"/>
  <c r="F79" i="37"/>
  <c r="G79" i="37"/>
  <c r="F80" i="37"/>
  <c r="G80" i="37"/>
  <c r="F81" i="37"/>
  <c r="G81" i="37"/>
  <c r="F82" i="37"/>
  <c r="G82" i="37"/>
  <c r="F83" i="37"/>
  <c r="G83" i="37"/>
  <c r="F19" i="37" l="1"/>
  <c r="F20" i="37"/>
  <c r="F21" i="37"/>
  <c r="F22" i="37"/>
  <c r="F23" i="37"/>
  <c r="F24" i="37"/>
  <c r="F25" i="37"/>
  <c r="F26" i="37"/>
  <c r="P26" i="37"/>
  <c r="P23" i="37"/>
  <c r="P20" i="37"/>
  <c r="P19" i="37"/>
  <c r="P18" i="37"/>
  <c r="P14" i="37"/>
  <c r="P13" i="37"/>
  <c r="P12" i="37"/>
  <c r="Q26" i="37"/>
  <c r="Q25" i="37"/>
  <c r="Q24" i="37"/>
  <c r="Q23" i="37"/>
  <c r="Q22" i="37"/>
  <c r="Q21" i="37"/>
  <c r="Q20" i="37"/>
  <c r="Q19" i="37"/>
  <c r="F11" i="37"/>
  <c r="F12" i="37"/>
  <c r="F13" i="37"/>
  <c r="F14" i="37"/>
  <c r="F15" i="37"/>
  <c r="F16" i="37"/>
  <c r="F17" i="37"/>
  <c r="F18" i="37"/>
  <c r="Q11" i="37"/>
  <c r="Q12" i="37"/>
  <c r="Q13" i="37"/>
  <c r="Q14" i="37"/>
  <c r="Q15" i="37"/>
  <c r="Q16" i="37"/>
  <c r="Q17" i="37"/>
  <c r="Q18" i="37"/>
  <c r="Q27" i="37"/>
  <c r="Q28" i="37"/>
  <c r="Q29" i="37"/>
  <c r="Q30" i="37"/>
  <c r="Q31" i="37"/>
  <c r="Q32" i="37"/>
  <c r="Q33" i="37"/>
  <c r="Q37" i="37"/>
  <c r="Q38" i="37"/>
  <c r="Q39" i="37"/>
  <c r="Q40" i="37"/>
  <c r="Q41" i="37"/>
  <c r="Q43" i="37"/>
  <c r="Q44" i="37"/>
  <c r="Q46" i="37"/>
  <c r="Q47" i="37"/>
  <c r="Q48" i="37"/>
  <c r="Q50" i="37"/>
  <c r="Q52" i="37"/>
  <c r="Q53" i="37"/>
  <c r="Q54" i="37"/>
  <c r="Q55" i="37"/>
  <c r="Q56" i="37"/>
  <c r="Q58" i="37"/>
  <c r="Q60" i="37"/>
  <c r="Q61" i="37"/>
  <c r="Q62" i="37"/>
  <c r="Q63" i="37"/>
  <c r="Q64" i="37"/>
  <c r="Q66" i="37"/>
  <c r="Q67" i="37"/>
  <c r="Q68" i="37"/>
  <c r="Q69" i="37"/>
  <c r="Q70" i="37"/>
  <c r="Q71" i="37"/>
  <c r="Q72" i="37"/>
  <c r="Q74" i="37"/>
  <c r="Q84" i="37"/>
  <c r="Q85" i="37"/>
  <c r="Q86" i="37"/>
  <c r="Q87" i="37"/>
  <c r="Q88" i="37"/>
  <c r="Q89" i="37"/>
  <c r="Q90" i="37"/>
  <c r="Q91" i="37"/>
  <c r="Q92" i="37"/>
  <c r="Q94" i="37"/>
  <c r="Q95" i="37"/>
  <c r="Q97" i="37"/>
  <c r="Q99" i="37"/>
  <c r="Q101" i="37"/>
  <c r="Q102" i="37"/>
  <c r="Q103" i="37"/>
  <c r="Q105" i="37"/>
  <c r="Q107" i="37"/>
  <c r="Q111" i="37"/>
  <c r="Q113" i="37"/>
  <c r="Q115" i="37"/>
  <c r="Q119" i="37"/>
  <c r="Q121" i="37"/>
  <c r="Q123" i="37"/>
  <c r="Q125" i="37"/>
  <c r="Q126" i="37"/>
  <c r="Q127" i="37"/>
  <c r="Q129" i="37"/>
  <c r="Q131" i="37"/>
  <c r="Q133" i="37"/>
  <c r="Q134" i="37"/>
  <c r="Q136" i="37"/>
  <c r="Q137" i="37"/>
  <c r="Q139" i="37"/>
  <c r="Q141" i="37"/>
  <c r="Q142" i="37"/>
  <c r="Q143" i="37"/>
  <c r="Q144" i="37"/>
  <c r="Q145" i="37"/>
  <c r="Q147" i="37"/>
  <c r="Q157" i="37"/>
  <c r="Q158" i="37"/>
  <c r="Q159" i="37"/>
  <c r="Q160" i="37"/>
  <c r="Q161" i="37"/>
  <c r="Q163" i="37"/>
  <c r="Q167" i="37"/>
  <c r="Q168" i="37"/>
  <c r="Q169" i="37"/>
  <c r="Q170" i="37"/>
  <c r="Q172" i="37"/>
  <c r="Q174" i="37"/>
  <c r="Q175" i="37"/>
  <c r="Q176" i="37"/>
  <c r="Q177" i="37"/>
  <c r="Q179" i="37"/>
  <c r="Q181" i="37"/>
  <c r="Q183" i="37"/>
  <c r="Q185" i="37"/>
  <c r="Q186" i="37"/>
  <c r="Q187" i="37"/>
  <c r="Q188" i="37"/>
  <c r="Q189" i="37"/>
  <c r="Q191" i="37"/>
  <c r="Q193" i="37"/>
  <c r="Q194" i="37"/>
  <c r="Q195" i="37"/>
  <c r="Q196" i="37"/>
  <c r="Q197" i="37"/>
  <c r="Q199" i="37"/>
  <c r="Q200" i="37"/>
  <c r="Q201" i="37"/>
  <c r="Q202" i="37"/>
  <c r="Q203" i="37"/>
  <c r="Q204" i="37"/>
  <c r="Q205" i="37"/>
  <c r="Q206" i="37"/>
  <c r="Q207" i="37"/>
  <c r="Q208" i="37"/>
  <c r="Q209" i="37"/>
  <c r="Q210" i="37"/>
  <c r="Q211" i="37"/>
  <c r="Q213" i="37"/>
  <c r="Q215" i="37"/>
  <c r="Q218" i="37"/>
  <c r="Q219" i="37"/>
  <c r="Q221" i="37"/>
  <c r="Q223" i="37"/>
  <c r="Q224" i="37"/>
  <c r="Q225" i="37"/>
  <c r="Q226" i="37"/>
  <c r="Q227" i="37"/>
  <c r="Q229" i="37"/>
  <c r="Q239" i="37"/>
  <c r="Q240" i="37"/>
  <c r="Q241" i="37"/>
  <c r="Q242" i="37"/>
  <c r="Q243" i="37"/>
  <c r="Q245" i="37"/>
  <c r="Q247" i="37"/>
  <c r="Q248" i="37"/>
  <c r="Q249" i="37"/>
  <c r="Q250" i="37"/>
  <c r="Q251" i="37"/>
  <c r="Q253" i="37"/>
  <c r="Q256" i="37"/>
  <c r="Q257" i="37"/>
  <c r="Q258" i="37"/>
  <c r="Q259" i="37"/>
  <c r="Q261" i="37"/>
  <c r="Q263" i="37"/>
  <c r="Q265" i="37"/>
  <c r="Q266" i="37"/>
  <c r="Q267" i="37"/>
  <c r="Q269" i="37"/>
  <c r="Q271" i="37"/>
  <c r="Q272" i="37"/>
  <c r="Q273" i="37"/>
  <c r="Q274" i="37"/>
  <c r="Q275" i="37"/>
  <c r="Q276" i="37"/>
  <c r="Q277" i="37"/>
  <c r="Q279" i="37"/>
  <c r="Q280" i="37"/>
  <c r="Q281" i="37"/>
  <c r="Q282" i="37"/>
  <c r="Q283" i="37"/>
  <c r="Q284" i="37"/>
  <c r="Q285" i="37"/>
  <c r="Q287" i="37"/>
  <c r="Q289" i="37"/>
  <c r="Q290" i="37"/>
  <c r="Q291" i="37"/>
  <c r="Q292" i="37"/>
  <c r="Q293" i="37"/>
  <c r="Q296" i="37"/>
  <c r="Q297" i="37"/>
  <c r="Q301" i="37"/>
  <c r="Q303" i="37"/>
  <c r="Q305" i="37"/>
  <c r="Q306" i="37"/>
  <c r="Q307" i="37"/>
  <c r="Q308" i="37"/>
  <c r="Q309" i="37"/>
  <c r="Q310" i="37"/>
  <c r="Q311" i="37"/>
  <c r="Q313" i="37"/>
  <c r="Q314" i="37"/>
  <c r="Q315" i="37"/>
  <c r="Q316" i="37"/>
  <c r="Q317" i="37"/>
  <c r="Q318" i="37"/>
  <c r="Q319" i="37"/>
  <c r="Q322" i="37"/>
  <c r="Q323" i="37"/>
  <c r="Q324" i="37"/>
  <c r="Q325" i="37"/>
  <c r="Q326" i="37"/>
  <c r="Q328" i="37"/>
  <c r="Q331" i="37"/>
  <c r="Q332" i="37"/>
  <c r="Q333" i="37"/>
  <c r="Q334" i="37"/>
  <c r="Q335" i="37"/>
  <c r="Q337" i="37"/>
  <c r="Q349" i="37"/>
  <c r="Q351" i="37"/>
  <c r="Q353" i="37"/>
  <c r="Q355" i="37"/>
  <c r="Q356" i="37"/>
  <c r="Q357" i="37"/>
  <c r="Q358" i="37"/>
  <c r="Q359" i="37"/>
  <c r="Q360" i="37"/>
  <c r="Q361" i="37"/>
  <c r="Q362" i="37"/>
  <c r="Q363" i="37"/>
  <c r="Q364" i="37"/>
  <c r="Q365" i="37"/>
  <c r="Q366" i="37"/>
  <c r="Q367" i="37"/>
  <c r="Q368" i="37"/>
  <c r="Q369" i="37"/>
  <c r="Q370" i="37"/>
  <c r="Q385" i="37"/>
  <c r="Q386" i="37"/>
  <c r="Q387" i="37"/>
  <c r="Q388" i="37"/>
  <c r="Q389" i="37"/>
  <c r="Q391" i="37"/>
  <c r="Q393" i="37"/>
  <c r="Q394" i="37"/>
  <c r="Q395" i="37"/>
  <c r="Q396" i="37"/>
  <c r="Q3" i="37"/>
  <c r="Q5" i="37"/>
  <c r="Q6" i="37"/>
  <c r="Q7" i="37"/>
  <c r="Q9" i="37"/>
  <c r="C69" i="59"/>
  <c r="B69" i="59"/>
  <c r="C68" i="59"/>
  <c r="C67" i="59"/>
  <c r="C66" i="59"/>
  <c r="C65" i="59"/>
  <c r="B65" i="59"/>
  <c r="C64" i="59"/>
  <c r="C63" i="59"/>
  <c r="B63" i="59"/>
  <c r="C62" i="59"/>
  <c r="C61" i="59"/>
  <c r="C60" i="59"/>
  <c r="B60" i="59"/>
  <c r="C59" i="59"/>
  <c r="C58" i="59"/>
  <c r="C57" i="59"/>
  <c r="C56" i="59"/>
  <c r="C55" i="59"/>
  <c r="B55" i="59"/>
  <c r="B54" i="59"/>
  <c r="C52" i="59"/>
  <c r="C51" i="59"/>
  <c r="C50" i="59"/>
  <c r="B50" i="59"/>
  <c r="C49" i="59"/>
  <c r="C48" i="59"/>
  <c r="B48" i="59"/>
  <c r="C47" i="59"/>
  <c r="C46" i="59"/>
  <c r="B46" i="59"/>
  <c r="B45" i="59"/>
  <c r="C38" i="59"/>
  <c r="B38" i="59"/>
  <c r="C37" i="59"/>
  <c r="C36" i="59"/>
  <c r="C35" i="59"/>
  <c r="C34" i="59"/>
  <c r="B34" i="59"/>
  <c r="C33" i="59"/>
  <c r="C32" i="59"/>
  <c r="B32" i="59"/>
  <c r="C31" i="59"/>
  <c r="C30" i="59"/>
  <c r="C29" i="59"/>
  <c r="B29" i="59"/>
  <c r="C28" i="59"/>
  <c r="C27" i="59"/>
  <c r="C26" i="59"/>
  <c r="C25" i="59"/>
  <c r="C24" i="59"/>
  <c r="B24" i="59"/>
  <c r="B23" i="59"/>
  <c r="C21" i="59"/>
  <c r="C20" i="59"/>
  <c r="C19" i="59"/>
  <c r="B19" i="59"/>
  <c r="C18" i="59"/>
  <c r="C17" i="59"/>
  <c r="B17" i="59"/>
  <c r="C16" i="59"/>
  <c r="C15" i="59"/>
  <c r="B15" i="59"/>
  <c r="B14" i="59"/>
  <c r="B133" i="58"/>
  <c r="C132" i="58"/>
  <c r="B132" i="58"/>
  <c r="C131" i="58"/>
  <c r="C130" i="58"/>
  <c r="C129" i="58"/>
  <c r="C128" i="58"/>
  <c r="B128" i="58"/>
  <c r="C127" i="58"/>
  <c r="C126" i="58"/>
  <c r="B126" i="58"/>
  <c r="C125" i="58"/>
  <c r="C124" i="58"/>
  <c r="C123" i="58"/>
  <c r="B123" i="58"/>
  <c r="C122" i="58"/>
  <c r="C121" i="58"/>
  <c r="C120" i="58"/>
  <c r="C119" i="58"/>
  <c r="C118" i="58"/>
  <c r="B118" i="58"/>
  <c r="B117" i="58"/>
  <c r="C115" i="58"/>
  <c r="C114" i="58"/>
  <c r="C113" i="58"/>
  <c r="B113" i="58"/>
  <c r="C112" i="58"/>
  <c r="C111" i="58"/>
  <c r="B111" i="58"/>
  <c r="C110" i="58"/>
  <c r="C109" i="58"/>
  <c r="B237" i="58" s="1"/>
  <c r="B109" i="58"/>
  <c r="B108" i="58"/>
  <c r="CB103" i="58"/>
  <c r="B103" i="58"/>
  <c r="CC102" i="58"/>
  <c r="CB102" i="58"/>
  <c r="C102" i="58"/>
  <c r="B102" i="58"/>
  <c r="CC101" i="58"/>
  <c r="C101" i="58"/>
  <c r="CC100" i="58"/>
  <c r="C100" i="58"/>
  <c r="CC99" i="58"/>
  <c r="C99" i="58"/>
  <c r="CC98" i="58"/>
  <c r="CB98" i="58"/>
  <c r="C98" i="58"/>
  <c r="B98" i="58"/>
  <c r="CC97" i="58"/>
  <c r="C97" i="58"/>
  <c r="CC96" i="58"/>
  <c r="CB96" i="58"/>
  <c r="C96" i="58"/>
  <c r="B96" i="58"/>
  <c r="CC95" i="58"/>
  <c r="C95" i="58"/>
  <c r="CC94" i="58"/>
  <c r="C94" i="58"/>
  <c r="CC93" i="58"/>
  <c r="CB93" i="58"/>
  <c r="C93" i="58"/>
  <c r="B93" i="58"/>
  <c r="CC92" i="58"/>
  <c r="C92" i="58"/>
  <c r="CC91" i="58"/>
  <c r="C91" i="58"/>
  <c r="CC90" i="58"/>
  <c r="C90" i="58"/>
  <c r="CC89" i="58"/>
  <c r="C89" i="58"/>
  <c r="CC88" i="58"/>
  <c r="CB88" i="58"/>
  <c r="C88" i="58"/>
  <c r="B88" i="58"/>
  <c r="CB87" i="58"/>
  <c r="B87" i="58"/>
  <c r="CC85" i="58"/>
  <c r="C85" i="58"/>
  <c r="CC84" i="58"/>
  <c r="C84" i="58"/>
  <c r="CC83" i="58"/>
  <c r="CB83" i="58"/>
  <c r="C83" i="58"/>
  <c r="B83" i="58"/>
  <c r="CC82" i="58"/>
  <c r="C82" i="58"/>
  <c r="CC81" i="58"/>
  <c r="CB81" i="58"/>
  <c r="C81" i="58"/>
  <c r="B81" i="58"/>
  <c r="CC80" i="58"/>
  <c r="C80" i="58"/>
  <c r="CC79" i="58"/>
  <c r="CB79" i="58"/>
  <c r="C79" i="58"/>
  <c r="B79" i="58"/>
  <c r="CB78" i="58"/>
  <c r="B78" i="58"/>
  <c r="C50" i="58"/>
  <c r="B50" i="58"/>
  <c r="CC50" i="58"/>
  <c r="CB50" i="58"/>
  <c r="C49" i="58"/>
  <c r="CC49" i="58"/>
  <c r="C48" i="58"/>
  <c r="CC48" i="58"/>
  <c r="C47" i="58"/>
  <c r="CC47" i="58"/>
  <c r="C46" i="58"/>
  <c r="B46" i="58"/>
  <c r="CC46" i="58"/>
  <c r="CB46" i="58"/>
  <c r="C45" i="58"/>
  <c r="CC45" i="58"/>
  <c r="C44" i="58"/>
  <c r="B44" i="58"/>
  <c r="CC44" i="58"/>
  <c r="CB44" i="58"/>
  <c r="C43" i="58"/>
  <c r="CC43" i="58"/>
  <c r="C42" i="58"/>
  <c r="CC42" i="58"/>
  <c r="C41" i="58"/>
  <c r="B41" i="58"/>
  <c r="CC41" i="58"/>
  <c r="CB41" i="58"/>
  <c r="C40" i="58"/>
  <c r="CC40" i="58"/>
  <c r="C39" i="58"/>
  <c r="CC39" i="58"/>
  <c r="C38" i="58"/>
  <c r="CC38" i="58"/>
  <c r="C37" i="58"/>
  <c r="CC37" i="58"/>
  <c r="C36" i="58"/>
  <c r="B36" i="58"/>
  <c r="CC36" i="58"/>
  <c r="CB36" i="58"/>
  <c r="B35" i="58"/>
  <c r="CB35" i="58"/>
  <c r="C33" i="58"/>
  <c r="CC33" i="58"/>
  <c r="C32" i="58"/>
  <c r="CC32" i="58"/>
  <c r="C31" i="58"/>
  <c r="B31" i="58"/>
  <c r="CC31" i="58"/>
  <c r="CB31" i="58"/>
  <c r="C30" i="58"/>
  <c r="CC30" i="58"/>
  <c r="C29" i="58"/>
  <c r="B29" i="58"/>
  <c r="CC29" i="58"/>
  <c r="CB29" i="58"/>
  <c r="C28" i="58"/>
  <c r="CC28" i="58"/>
  <c r="C27" i="58"/>
  <c r="B27" i="58"/>
  <c r="CC27" i="58"/>
  <c r="CB27" i="58"/>
  <c r="B26" i="58"/>
  <c r="CB25" i="58"/>
  <c r="DM220" i="58"/>
  <c r="DL220" i="58"/>
  <c r="DK220" i="58"/>
  <c r="DJ220" i="58"/>
  <c r="DI220" i="58"/>
  <c r="DH220" i="58"/>
  <c r="DG220" i="58"/>
  <c r="DF220" i="58"/>
  <c r="DE220" i="58"/>
  <c r="DD220" i="58"/>
  <c r="DC220" i="58"/>
  <c r="DB220" i="58"/>
  <c r="DA220" i="58"/>
  <c r="CZ220" i="58"/>
  <c r="CY220" i="58"/>
  <c r="CX220" i="58"/>
  <c r="CW220" i="58"/>
  <c r="CV220" i="58"/>
  <c r="CU220" i="58"/>
  <c r="CT220" i="58"/>
  <c r="CS220" i="58"/>
  <c r="CR220" i="58"/>
  <c r="CQ220" i="58"/>
  <c r="CP220" i="58"/>
  <c r="CO220" i="58"/>
  <c r="CN220" i="58"/>
  <c r="CM220" i="58"/>
  <c r="CL220" i="58"/>
  <c r="CK220" i="58"/>
  <c r="CJ220" i="58"/>
  <c r="CI220" i="58"/>
  <c r="CH220" i="58"/>
  <c r="CG220" i="58"/>
  <c r="CF220" i="58"/>
  <c r="CE220" i="58"/>
  <c r="CD220" i="58"/>
  <c r="CC220" i="58"/>
  <c r="DM219" i="58"/>
  <c r="DL219" i="58"/>
  <c r="DK219" i="58"/>
  <c r="DJ219" i="58"/>
  <c r="DI219" i="58"/>
  <c r="DH219" i="58"/>
  <c r="DG219" i="58"/>
  <c r="DF219" i="58"/>
  <c r="DE219" i="58"/>
  <c r="DD219" i="58"/>
  <c r="DC219" i="58"/>
  <c r="DB219" i="58"/>
  <c r="DA219" i="58"/>
  <c r="CZ219" i="58"/>
  <c r="CY219" i="58"/>
  <c r="CX219" i="58"/>
  <c r="CW219" i="58"/>
  <c r="CV219" i="58"/>
  <c r="CU219" i="58"/>
  <c r="CT219" i="58"/>
  <c r="CS219" i="58"/>
  <c r="CR219" i="58"/>
  <c r="CQ219" i="58"/>
  <c r="CP219" i="58"/>
  <c r="CO219" i="58"/>
  <c r="CN219" i="58"/>
  <c r="CM219" i="58"/>
  <c r="CL219" i="58"/>
  <c r="CK219" i="58"/>
  <c r="CJ219" i="58"/>
  <c r="CI219" i="58"/>
  <c r="CH219" i="58"/>
  <c r="CG219" i="58"/>
  <c r="CF219" i="58"/>
  <c r="CE219" i="58"/>
  <c r="CD219" i="58"/>
  <c r="CB219" i="58"/>
  <c r="AF210" i="58"/>
  <c r="AE210" i="58"/>
  <c r="AD210" i="58"/>
  <c r="AC210" i="58"/>
  <c r="AB210" i="58"/>
  <c r="AA210" i="58"/>
  <c r="Z210" i="58"/>
  <c r="Y210" i="58"/>
  <c r="X210" i="58"/>
  <c r="W210" i="58"/>
  <c r="V210" i="58"/>
  <c r="U210" i="58"/>
  <c r="AF205" i="58"/>
  <c r="AE205" i="58"/>
  <c r="AD205" i="58"/>
  <c r="AC205" i="58"/>
  <c r="AB205" i="58"/>
  <c r="AA205" i="58"/>
  <c r="Z205" i="58"/>
  <c r="Y205" i="58"/>
  <c r="X205" i="58"/>
  <c r="W205" i="58"/>
  <c r="V205" i="58"/>
  <c r="U205" i="58"/>
  <c r="AF200" i="58"/>
  <c r="AE200" i="58"/>
  <c r="AD200" i="58"/>
  <c r="AC200" i="58"/>
  <c r="AB200" i="58"/>
  <c r="AA200" i="58"/>
  <c r="Z200" i="58"/>
  <c r="Y200" i="58"/>
  <c r="X200" i="58"/>
  <c r="W200" i="58"/>
  <c r="V200" i="58"/>
  <c r="U200" i="58"/>
  <c r="AF195" i="58"/>
  <c r="AE195" i="58"/>
  <c r="AD195" i="58"/>
  <c r="AC195" i="58"/>
  <c r="AB195" i="58"/>
  <c r="AA195" i="58"/>
  <c r="Z195" i="58"/>
  <c r="Y195" i="58"/>
  <c r="X195" i="58"/>
  <c r="W195" i="58"/>
  <c r="V195" i="58"/>
  <c r="U195" i="58"/>
  <c r="AF190" i="58"/>
  <c r="AE190" i="58"/>
  <c r="AD190" i="58"/>
  <c r="AC190" i="58"/>
  <c r="AB190" i="58"/>
  <c r="AA190" i="58"/>
  <c r="Z190" i="58"/>
  <c r="Y190" i="58"/>
  <c r="X190" i="58"/>
  <c r="W190" i="58"/>
  <c r="V190" i="58"/>
  <c r="U190" i="58"/>
  <c r="AF185" i="58"/>
  <c r="AE185" i="58"/>
  <c r="AD185" i="58"/>
  <c r="AC185" i="58"/>
  <c r="AB185" i="58"/>
  <c r="AA185" i="58"/>
  <c r="Z185" i="58"/>
  <c r="Y185" i="58"/>
  <c r="X185" i="58"/>
  <c r="W185" i="58"/>
  <c r="V185" i="58"/>
  <c r="U185" i="58"/>
  <c r="AF180" i="58"/>
  <c r="AE180" i="58"/>
  <c r="AD180" i="58"/>
  <c r="AC180" i="58"/>
  <c r="AB180" i="58"/>
  <c r="AA180" i="58"/>
  <c r="Z180" i="58"/>
  <c r="Y180" i="58"/>
  <c r="X180" i="58"/>
  <c r="W180" i="58"/>
  <c r="V180" i="58"/>
  <c r="U180" i="58"/>
  <c r="AF175" i="58"/>
  <c r="AE175" i="58"/>
  <c r="AD175" i="58"/>
  <c r="AC175" i="58"/>
  <c r="AB175" i="58"/>
  <c r="AA175" i="58"/>
  <c r="Z175" i="58"/>
  <c r="Y175" i="58"/>
  <c r="X175" i="58"/>
  <c r="W175" i="58"/>
  <c r="V175" i="58"/>
  <c r="U175" i="58"/>
  <c r="AF170" i="58"/>
  <c r="AE170" i="58"/>
  <c r="AD170" i="58"/>
  <c r="AC170" i="58"/>
  <c r="AB170" i="58"/>
  <c r="AA170" i="58"/>
  <c r="Z170" i="58"/>
  <c r="Y170" i="58"/>
  <c r="X170" i="58"/>
  <c r="W170" i="58"/>
  <c r="V170" i="58"/>
  <c r="U170" i="58"/>
  <c r="AF165" i="58"/>
  <c r="AE165" i="58"/>
  <c r="AD165" i="58"/>
  <c r="AC165" i="58"/>
  <c r="AB165" i="58"/>
  <c r="AA165" i="58"/>
  <c r="Z165" i="58"/>
  <c r="Y165" i="58"/>
  <c r="X165" i="58"/>
  <c r="W165" i="58"/>
  <c r="V165" i="58"/>
  <c r="U165" i="58"/>
  <c r="AF160" i="58"/>
  <c r="AE160" i="58"/>
  <c r="AD160" i="58"/>
  <c r="AC160" i="58"/>
  <c r="AB160" i="58"/>
  <c r="AA160" i="58"/>
  <c r="Z160" i="58"/>
  <c r="Y160" i="58"/>
  <c r="X160" i="58"/>
  <c r="W160" i="58"/>
  <c r="V160" i="58"/>
  <c r="U160" i="58"/>
  <c r="AF155" i="58"/>
  <c r="AE155" i="58"/>
  <c r="AD155" i="58"/>
  <c r="AC155" i="58"/>
  <c r="AB155" i="58"/>
  <c r="AA155" i="58"/>
  <c r="Z155" i="58"/>
  <c r="Y155" i="58"/>
  <c r="X155" i="58"/>
  <c r="W155" i="58"/>
  <c r="V155" i="58"/>
  <c r="U155" i="58"/>
  <c r="C153" i="58"/>
  <c r="AF150" i="58"/>
  <c r="AE150" i="58"/>
  <c r="AD150" i="58"/>
  <c r="AC150" i="58"/>
  <c r="AB150" i="58"/>
  <c r="AA150" i="58"/>
  <c r="Z150" i="58"/>
  <c r="Y150" i="58"/>
  <c r="X150" i="58"/>
  <c r="W150" i="58"/>
  <c r="V150" i="58"/>
  <c r="U150" i="58"/>
  <c r="AF145" i="58"/>
  <c r="AE145" i="58"/>
  <c r="AD145" i="58"/>
  <c r="AC145" i="58"/>
  <c r="AB145" i="58"/>
  <c r="AA145" i="58"/>
  <c r="Z145" i="58"/>
  <c r="Y145" i="58"/>
  <c r="X145" i="58"/>
  <c r="W145" i="58"/>
  <c r="V145" i="58"/>
  <c r="U145" i="58"/>
  <c r="AF140" i="58"/>
  <c r="AE140" i="58"/>
  <c r="AD140" i="58"/>
  <c r="AC140" i="58"/>
  <c r="AB140" i="58"/>
  <c r="AA140" i="58"/>
  <c r="Z140" i="58"/>
  <c r="Y140" i="58"/>
  <c r="X140" i="58"/>
  <c r="W140" i="58"/>
  <c r="V140" i="58"/>
  <c r="U140" i="58"/>
  <c r="F132" i="58"/>
  <c r="E132" i="58"/>
  <c r="F131" i="58"/>
  <c r="E131" i="58"/>
  <c r="F130" i="58"/>
  <c r="E130" i="58"/>
  <c r="F129" i="58"/>
  <c r="E129" i="58"/>
  <c r="F128" i="58"/>
  <c r="E128" i="58"/>
  <c r="F127" i="58"/>
  <c r="E127" i="58"/>
  <c r="F126" i="58"/>
  <c r="E126" i="58"/>
  <c r="F125" i="58"/>
  <c r="E125" i="58"/>
  <c r="F124" i="58"/>
  <c r="E124" i="58"/>
  <c r="F123" i="58"/>
  <c r="E123" i="58"/>
  <c r="F122" i="58"/>
  <c r="E122" i="58"/>
  <c r="F121" i="58"/>
  <c r="F120" i="58"/>
  <c r="E120" i="58"/>
  <c r="F119" i="58"/>
  <c r="E119" i="58"/>
  <c r="F118" i="58"/>
  <c r="E118" i="58"/>
  <c r="F115" i="58"/>
  <c r="E115" i="58"/>
  <c r="F114" i="58"/>
  <c r="E114" i="58"/>
  <c r="F113" i="58"/>
  <c r="E113" i="58"/>
  <c r="F112" i="58"/>
  <c r="E112" i="58"/>
  <c r="F111" i="58"/>
  <c r="E111" i="58"/>
  <c r="F110" i="58"/>
  <c r="D110" i="58"/>
  <c r="B252" i="58"/>
  <c r="F109" i="58"/>
  <c r="D109" i="58"/>
  <c r="B441" i="58"/>
  <c r="DE77" i="58"/>
  <c r="DD77" i="58"/>
  <c r="DC77" i="58"/>
  <c r="DB77" i="58"/>
  <c r="AP72" i="58"/>
  <c r="AO72" i="58"/>
  <c r="AN72" i="58"/>
  <c r="AM72" i="58"/>
  <c r="AL72" i="58"/>
  <c r="AK72" i="58"/>
  <c r="AJ72" i="58"/>
  <c r="AI72" i="58"/>
  <c r="AH72" i="58"/>
  <c r="AG72" i="58"/>
  <c r="AF72" i="58"/>
  <c r="AE72" i="58"/>
  <c r="AD72" i="58"/>
  <c r="AC72" i="58"/>
  <c r="AB72" i="58"/>
  <c r="AA72" i="58"/>
  <c r="Z72" i="58"/>
  <c r="Y72" i="58"/>
  <c r="X72" i="58"/>
  <c r="W72" i="58"/>
  <c r="V72" i="58"/>
  <c r="U72" i="58"/>
  <c r="T72" i="58"/>
  <c r="S72" i="58"/>
  <c r="R72" i="58"/>
  <c r="Q72" i="58"/>
  <c r="P72" i="58"/>
  <c r="O72" i="58"/>
  <c r="N72" i="58"/>
  <c r="M72" i="58"/>
  <c r="L72" i="58"/>
  <c r="K72" i="58"/>
  <c r="J72" i="58"/>
  <c r="I72" i="58"/>
  <c r="H72" i="58"/>
  <c r="G72" i="58"/>
  <c r="AP71" i="58"/>
  <c r="AO71" i="58"/>
  <c r="AN71" i="58"/>
  <c r="AM71" i="58"/>
  <c r="AL71" i="58"/>
  <c r="AK71" i="58"/>
  <c r="AJ71" i="58"/>
  <c r="AI71" i="58"/>
  <c r="AH71" i="58"/>
  <c r="AG71" i="58"/>
  <c r="AF71" i="58"/>
  <c r="AE71" i="58"/>
  <c r="AD71" i="58"/>
  <c r="AC71" i="58"/>
  <c r="AB71" i="58"/>
  <c r="AA71" i="58"/>
  <c r="Z71" i="58"/>
  <c r="Y71" i="58"/>
  <c r="X71" i="58"/>
  <c r="W71" i="58"/>
  <c r="V71" i="58"/>
  <c r="U71" i="58"/>
  <c r="T71" i="58"/>
  <c r="S71" i="58"/>
  <c r="R71" i="58"/>
  <c r="Q71" i="58"/>
  <c r="P71" i="58"/>
  <c r="O71" i="58"/>
  <c r="N71" i="58"/>
  <c r="M71" i="58"/>
  <c r="L71" i="58"/>
  <c r="K71" i="58"/>
  <c r="J71" i="58"/>
  <c r="I71" i="58"/>
  <c r="H71" i="58"/>
  <c r="G71" i="58"/>
  <c r="AP70" i="58"/>
  <c r="AO70" i="58"/>
  <c r="AN70" i="58"/>
  <c r="AM70" i="58"/>
  <c r="AL70" i="58"/>
  <c r="AK70" i="58"/>
  <c r="AJ70" i="58"/>
  <c r="AI70" i="58"/>
  <c r="AH70" i="58"/>
  <c r="AG70" i="58"/>
  <c r="AF70" i="58"/>
  <c r="AE70" i="58"/>
  <c r="AD70" i="58"/>
  <c r="AC70" i="58"/>
  <c r="AB70" i="58"/>
  <c r="AA70" i="58"/>
  <c r="Z70" i="58"/>
  <c r="Y70" i="58"/>
  <c r="X70" i="58"/>
  <c r="W70" i="58"/>
  <c r="V70" i="58"/>
  <c r="U70" i="58"/>
  <c r="T70" i="58"/>
  <c r="S70" i="58"/>
  <c r="R70" i="58"/>
  <c r="Q70" i="58"/>
  <c r="P70" i="58"/>
  <c r="O70" i="58"/>
  <c r="N70" i="58"/>
  <c r="M70" i="58"/>
  <c r="L70" i="58"/>
  <c r="K70" i="58"/>
  <c r="J70" i="58"/>
  <c r="I70" i="58"/>
  <c r="H70" i="58"/>
  <c r="G70" i="58"/>
  <c r="CO69" i="58"/>
  <c r="CN69" i="58"/>
  <c r="CM69" i="58"/>
  <c r="CL69" i="58"/>
  <c r="CK69" i="58"/>
  <c r="CJ69" i="58"/>
  <c r="CI69" i="58"/>
  <c r="CH69" i="58"/>
  <c r="CG69" i="58"/>
  <c r="CF69" i="58"/>
  <c r="CE69" i="58"/>
  <c r="CD69" i="58"/>
  <c r="AP69" i="58"/>
  <c r="AO69" i="58"/>
  <c r="AN69" i="58"/>
  <c r="AM69" i="58"/>
  <c r="AL69" i="58"/>
  <c r="AK69" i="58"/>
  <c r="AJ69" i="58"/>
  <c r="AI69" i="58"/>
  <c r="AH69" i="58"/>
  <c r="AG69" i="58"/>
  <c r="AF69" i="58"/>
  <c r="AE69" i="58"/>
  <c r="AD69" i="58"/>
  <c r="AC69" i="58"/>
  <c r="AB69" i="58"/>
  <c r="AA69" i="58"/>
  <c r="Z69" i="58"/>
  <c r="Y69" i="58"/>
  <c r="X69" i="58"/>
  <c r="W69" i="58"/>
  <c r="V69" i="58"/>
  <c r="U69" i="58"/>
  <c r="T69" i="58"/>
  <c r="S69" i="58"/>
  <c r="R69" i="58"/>
  <c r="Q69" i="58"/>
  <c r="P69" i="58"/>
  <c r="O69" i="58"/>
  <c r="N69" i="58"/>
  <c r="M69" i="58"/>
  <c r="L69" i="58"/>
  <c r="K69" i="58"/>
  <c r="J69" i="58"/>
  <c r="I69" i="58"/>
  <c r="H69" i="58"/>
  <c r="G69" i="58"/>
  <c r="AP68" i="58"/>
  <c r="AO68" i="58"/>
  <c r="AN68" i="58"/>
  <c r="AM68" i="58"/>
  <c r="AL68" i="58"/>
  <c r="AK68" i="58"/>
  <c r="AJ68" i="58"/>
  <c r="AI68" i="58"/>
  <c r="AH68" i="58"/>
  <c r="AG68" i="58"/>
  <c r="AF68" i="58"/>
  <c r="AE68" i="58"/>
  <c r="AD68" i="58"/>
  <c r="AC68" i="58"/>
  <c r="AB68" i="58"/>
  <c r="AA68" i="58"/>
  <c r="Z68" i="58"/>
  <c r="Y68" i="58"/>
  <c r="X68" i="58"/>
  <c r="W68" i="58"/>
  <c r="V68" i="58"/>
  <c r="U68" i="58"/>
  <c r="T68" i="58"/>
  <c r="S68" i="58"/>
  <c r="R68" i="58"/>
  <c r="Q68" i="58"/>
  <c r="P68" i="58"/>
  <c r="O68" i="58"/>
  <c r="N68" i="58"/>
  <c r="M68" i="58"/>
  <c r="L68" i="58"/>
  <c r="K68" i="58"/>
  <c r="J68" i="58"/>
  <c r="I68" i="58"/>
  <c r="H68" i="58"/>
  <c r="G68" i="58"/>
  <c r="AP67" i="58"/>
  <c r="AO67" i="58"/>
  <c r="AN67" i="58"/>
  <c r="AM67" i="58"/>
  <c r="AL67" i="58"/>
  <c r="AK67" i="58"/>
  <c r="AJ67" i="58"/>
  <c r="AI67" i="58"/>
  <c r="AH67" i="58"/>
  <c r="AG67" i="58"/>
  <c r="AF67" i="58"/>
  <c r="AE67" i="58"/>
  <c r="AD67" i="58"/>
  <c r="AC67" i="58"/>
  <c r="AB67" i="58"/>
  <c r="AA67" i="58"/>
  <c r="Z67" i="58"/>
  <c r="Y67" i="58"/>
  <c r="X67" i="58"/>
  <c r="W67" i="58"/>
  <c r="V67" i="58"/>
  <c r="U67" i="58"/>
  <c r="T67" i="58"/>
  <c r="S67" i="58"/>
  <c r="R67" i="58"/>
  <c r="Q67" i="58"/>
  <c r="P67" i="58"/>
  <c r="O67" i="58"/>
  <c r="N67" i="58"/>
  <c r="M67" i="58"/>
  <c r="L67" i="58"/>
  <c r="K67" i="58"/>
  <c r="J67" i="58"/>
  <c r="I67" i="58"/>
  <c r="H67" i="58"/>
  <c r="G67" i="58"/>
  <c r="AP66" i="58"/>
  <c r="AO66" i="58"/>
  <c r="AN66" i="58"/>
  <c r="AM66" i="58"/>
  <c r="AL66" i="58"/>
  <c r="AK66" i="58"/>
  <c r="AJ66" i="58"/>
  <c r="AI66" i="58"/>
  <c r="AH66" i="58"/>
  <c r="AG66" i="58"/>
  <c r="AF66" i="58"/>
  <c r="AE66" i="58"/>
  <c r="AD66" i="58"/>
  <c r="AC66" i="58"/>
  <c r="AB66" i="58"/>
  <c r="AA66" i="58"/>
  <c r="Z66" i="58"/>
  <c r="Y66" i="58"/>
  <c r="X66" i="58"/>
  <c r="W66" i="58"/>
  <c r="V66" i="58"/>
  <c r="U66" i="58"/>
  <c r="T66" i="58"/>
  <c r="S66" i="58"/>
  <c r="R66" i="58"/>
  <c r="Q66" i="58"/>
  <c r="P66" i="58"/>
  <c r="O66" i="58"/>
  <c r="N66" i="58"/>
  <c r="M66" i="58"/>
  <c r="L66" i="58"/>
  <c r="K66" i="58"/>
  <c r="J66" i="58"/>
  <c r="I66" i="58"/>
  <c r="H66" i="58"/>
  <c r="G66" i="58"/>
  <c r="F65" i="58"/>
  <c r="E65" i="58"/>
  <c r="D65" i="58"/>
  <c r="B65" i="58"/>
  <c r="BR57" i="58"/>
  <c r="CB54" i="58"/>
  <c r="BR51" i="58"/>
  <c r="AP24" i="58"/>
  <c r="AP56" i="58" s="1"/>
  <c r="AP57" i="58" s="1"/>
  <c r="BD215" i="58" s="1"/>
  <c r="AO24" i="58"/>
  <c r="DL24" i="58" s="1"/>
  <c r="AN24" i="58"/>
  <c r="AN25" i="58" s="1"/>
  <c r="BB212" i="58" s="1"/>
  <c r="BB213" i="58" s="1"/>
  <c r="AM24" i="58"/>
  <c r="AM56" i="58" s="1"/>
  <c r="AM57" i="58" s="1"/>
  <c r="BA215" i="58" s="1"/>
  <c r="AL24" i="58"/>
  <c r="AL65" i="58" s="1"/>
  <c r="AK24" i="58"/>
  <c r="AK65" i="58" s="1"/>
  <c r="AJ24" i="58"/>
  <c r="AJ65" i="58" s="1"/>
  <c r="AI24" i="58"/>
  <c r="AI65" i="58" s="1"/>
  <c r="AH24" i="58"/>
  <c r="AH65" i="58" s="1"/>
  <c r="AG24" i="58"/>
  <c r="AG65" i="58" s="1"/>
  <c r="AF24" i="58"/>
  <c r="AF25" i="58" s="1"/>
  <c r="AT212" i="58" s="1"/>
  <c r="AT213" i="58" s="1"/>
  <c r="AE24" i="58"/>
  <c r="AE56" i="58" s="1"/>
  <c r="AE57" i="58" s="1"/>
  <c r="AS215" i="58" s="1"/>
  <c r="AD24" i="58"/>
  <c r="AC24" i="58"/>
  <c r="CZ24" i="58" s="1"/>
  <c r="AB24" i="58"/>
  <c r="CY24" i="58" s="1"/>
  <c r="AA24" i="58"/>
  <c r="AA65" i="58" s="1"/>
  <c r="Z24" i="58"/>
  <c r="Z65" i="58" s="1"/>
  <c r="Y24" i="58"/>
  <c r="Y65" i="58" s="1"/>
  <c r="X24" i="58"/>
  <c r="CU24" i="58" s="1"/>
  <c r="U12" i="59" s="1"/>
  <c r="W24" i="58"/>
  <c r="W65" i="58" s="1"/>
  <c r="V24" i="58"/>
  <c r="V65" i="58" s="1"/>
  <c r="U24" i="58"/>
  <c r="U65" i="58" s="1"/>
  <c r="T24" i="58"/>
  <c r="T65" i="58" s="1"/>
  <c r="S24" i="58"/>
  <c r="S65" i="58" s="1"/>
  <c r="R24" i="58"/>
  <c r="Q24" i="58"/>
  <c r="P24" i="58"/>
  <c r="CM24" i="58" s="1"/>
  <c r="O24" i="58"/>
  <c r="N24" i="58"/>
  <c r="N65" i="58" s="1"/>
  <c r="M24" i="58"/>
  <c r="M65" i="58" s="1"/>
  <c r="L24" i="58"/>
  <c r="L65" i="58" s="1"/>
  <c r="K24" i="58"/>
  <c r="K65" i="58" s="1"/>
  <c r="J24" i="58"/>
  <c r="J65" i="58" s="1"/>
  <c r="I24" i="58"/>
  <c r="I65" i="58" s="1"/>
  <c r="H24" i="58"/>
  <c r="CE24" i="58" s="1"/>
  <c r="E12" i="59" s="1"/>
  <c r="G24" i="58"/>
  <c r="G65" i="58" s="1"/>
  <c r="DJ24" i="58"/>
  <c r="AJ12" i="59" s="1"/>
  <c r="DI24" i="58"/>
  <c r="AI12" i="59" s="1"/>
  <c r="CW24" i="58"/>
  <c r="W12" i="59" s="1"/>
  <c r="CK24" i="58"/>
  <c r="K12" i="59" s="1"/>
  <c r="AD23" i="58"/>
  <c r="AC23" i="58"/>
  <c r="AB23" i="58"/>
  <c r="AA23" i="58"/>
  <c r="Z23" i="58"/>
  <c r="Y23" i="58"/>
  <c r="X23" i="58"/>
  <c r="W23" i="58"/>
  <c r="V23" i="58"/>
  <c r="U23" i="58"/>
  <c r="T23" i="58"/>
  <c r="S23" i="58"/>
  <c r="R23" i="58"/>
  <c r="Q23" i="58"/>
  <c r="P23" i="58"/>
  <c r="O23" i="58"/>
  <c r="N23" i="58"/>
  <c r="M23" i="58"/>
  <c r="L23" i="58"/>
  <c r="K23" i="58"/>
  <c r="J23" i="58"/>
  <c r="I23" i="58"/>
  <c r="H23" i="58"/>
  <c r="G23" i="58"/>
  <c r="DM23" i="58"/>
  <c r="AM11" i="59" s="1"/>
  <c r="DL23" i="58"/>
  <c r="AL11" i="59" s="1"/>
  <c r="DK23" i="58"/>
  <c r="AK11" i="59" s="1"/>
  <c r="DJ23" i="58"/>
  <c r="AJ11" i="59" s="1"/>
  <c r="DI23" i="58"/>
  <c r="AI11" i="59" s="1"/>
  <c r="DH23" i="58"/>
  <c r="AH11" i="59" s="1"/>
  <c r="DG23" i="58"/>
  <c r="AG11" i="59" s="1"/>
  <c r="DF23" i="58"/>
  <c r="AF11" i="59" s="1"/>
  <c r="DE23" i="58"/>
  <c r="AE11" i="59" s="1"/>
  <c r="DD23" i="58"/>
  <c r="AD11" i="59" s="1"/>
  <c r="DC23" i="58"/>
  <c r="AC11" i="59" s="1"/>
  <c r="DB23" i="58"/>
  <c r="AB11" i="59" s="1"/>
  <c r="DA23" i="58"/>
  <c r="AA11" i="59" s="1"/>
  <c r="CZ23" i="58"/>
  <c r="Z11" i="59" s="1"/>
  <c r="CY23" i="58"/>
  <c r="Y11" i="59" s="1"/>
  <c r="CX23" i="58"/>
  <c r="X11" i="59" s="1"/>
  <c r="CW23" i="58"/>
  <c r="W11" i="59" s="1"/>
  <c r="CV23" i="58"/>
  <c r="V11" i="59" s="1"/>
  <c r="CU23" i="58"/>
  <c r="U11" i="59" s="1"/>
  <c r="CT23" i="58"/>
  <c r="T11" i="59" s="1"/>
  <c r="CS23" i="58"/>
  <c r="S11" i="59" s="1"/>
  <c r="CR23" i="58"/>
  <c r="R11" i="59" s="1"/>
  <c r="CQ23" i="58"/>
  <c r="Q11" i="59" s="1"/>
  <c r="CP23" i="58"/>
  <c r="P11" i="59" s="1"/>
  <c r="CO23" i="58"/>
  <c r="O11" i="59" s="1"/>
  <c r="CN23" i="58"/>
  <c r="N11" i="59" s="1"/>
  <c r="CM23" i="58"/>
  <c r="M11" i="59" s="1"/>
  <c r="CL23" i="58"/>
  <c r="L11" i="59" s="1"/>
  <c r="CK23" i="58"/>
  <c r="K11" i="59" s="1"/>
  <c r="CJ23" i="58"/>
  <c r="J11" i="59" s="1"/>
  <c r="CI23" i="58"/>
  <c r="I11" i="59" s="1"/>
  <c r="CH23" i="58"/>
  <c r="H11" i="59" s="1"/>
  <c r="CG23" i="58"/>
  <c r="G11" i="59" s="1"/>
  <c r="CF23" i="58"/>
  <c r="F11" i="59" s="1"/>
  <c r="CE23" i="58"/>
  <c r="E11" i="59" s="1"/>
  <c r="CD23" i="58"/>
  <c r="D11" i="59" s="1"/>
  <c r="G22" i="58"/>
  <c r="B19" i="58"/>
  <c r="J18" i="58"/>
  <c r="B18" i="58"/>
  <c r="C16" i="58"/>
  <c r="G10" i="58"/>
  <c r="AR153" i="58" l="1"/>
  <c r="AF153" i="58"/>
  <c r="AQ153" i="58"/>
  <c r="AE153" i="58"/>
  <c r="AD153" i="58"/>
  <c r="AP153" i="58"/>
  <c r="AO153" i="58"/>
  <c r="AC153" i="58"/>
  <c r="AN153" i="58"/>
  <c r="AB153" i="58"/>
  <c r="AM153" i="58"/>
  <c r="U153" i="58"/>
  <c r="AA153" i="58"/>
  <c r="AL153" i="58"/>
  <c r="Z153" i="58"/>
  <c r="AK153" i="58"/>
  <c r="AG153" i="58"/>
  <c r="BD153" i="58"/>
  <c r="Y153" i="58"/>
  <c r="AJ153" i="58"/>
  <c r="BC153" i="58"/>
  <c r="X153" i="58"/>
  <c r="BB153" i="58"/>
  <c r="AI153" i="58"/>
  <c r="W153" i="58"/>
  <c r="V153" i="58"/>
  <c r="AZ153" i="58"/>
  <c r="BA153" i="58"/>
  <c r="AH153" i="58"/>
  <c r="AX14" i="58"/>
  <c r="D229" i="58" s="1"/>
  <c r="AY14" i="58"/>
  <c r="D232" i="58" s="1"/>
  <c r="AW14" i="58"/>
  <c r="D226" i="58" s="1"/>
  <c r="CJ24" i="58"/>
  <c r="D255" i="58"/>
  <c r="D444" i="58"/>
  <c r="DC24" i="58"/>
  <c r="AC12" i="59" s="1"/>
  <c r="AC13" i="59" s="1"/>
  <c r="AC74" i="59" s="1"/>
  <c r="CQ24" i="58"/>
  <c r="Q12" i="59" s="1"/>
  <c r="Q13" i="59" s="1"/>
  <c r="Q74" i="59" s="1"/>
  <c r="DD24" i="58"/>
  <c r="AD12" i="59" s="1"/>
  <c r="AD13" i="59" s="1"/>
  <c r="AD74" i="59" s="1"/>
  <c r="CR24" i="58"/>
  <c r="R12" i="59" s="1"/>
  <c r="R13" i="59" s="1"/>
  <c r="R74" i="59" s="1"/>
  <c r="DB24" i="58"/>
  <c r="AB12" i="59" s="1"/>
  <c r="AB13" i="59" s="1"/>
  <c r="AB74" i="59" s="1"/>
  <c r="DG24" i="58"/>
  <c r="AG12" i="59" s="1"/>
  <c r="CF24" i="58"/>
  <c r="F12" i="59" s="1"/>
  <c r="CI24" i="58"/>
  <c r="I12" i="59" s="1"/>
  <c r="I13" i="59" s="1"/>
  <c r="I74" i="59" s="1"/>
  <c r="CG24" i="58"/>
  <c r="G12" i="59" s="1"/>
  <c r="G13" i="59" s="1"/>
  <c r="G74" i="59" s="1"/>
  <c r="DE24" i="58"/>
  <c r="AE12" i="59" s="1"/>
  <c r="AE13" i="59" s="1"/>
  <c r="AE74" i="59" s="1"/>
  <c r="O56" i="58"/>
  <c r="R56" i="58"/>
  <c r="AD56" i="58"/>
  <c r="AD57" i="58" s="1"/>
  <c r="AR210" i="58" s="1"/>
  <c r="AW29" i="58"/>
  <c r="CS24" i="58"/>
  <c r="S12" i="59" s="1"/>
  <c r="S13" i="59" s="1"/>
  <c r="S74" i="59" s="1"/>
  <c r="DF24" i="58"/>
  <c r="AF12" i="59" s="1"/>
  <c r="AF13" i="59" s="1"/>
  <c r="AF74" i="59" s="1"/>
  <c r="DH24" i="58"/>
  <c r="AH12" i="59" s="1"/>
  <c r="AH13" i="59" s="1"/>
  <c r="AH74" i="59" s="1"/>
  <c r="CT24" i="58"/>
  <c r="T12" i="59" s="1"/>
  <c r="CV24" i="58"/>
  <c r="V12" i="59" s="1"/>
  <c r="V13" i="59" s="1"/>
  <c r="V74" i="59" s="1"/>
  <c r="CH24" i="58"/>
  <c r="H12" i="59" s="1"/>
  <c r="H13" i="59" s="1"/>
  <c r="H74" i="59" s="1"/>
  <c r="AK25" i="58"/>
  <c r="CX24" i="58"/>
  <c r="X12" i="59" s="1"/>
  <c r="X13" i="59" s="1"/>
  <c r="X74" i="59" s="1"/>
  <c r="AM25" i="58"/>
  <c r="CY52" i="58"/>
  <c r="CY67" i="58" s="1"/>
  <c r="O65" i="58"/>
  <c r="L25" i="58"/>
  <c r="X25" i="58"/>
  <c r="S56" i="58"/>
  <c r="S57" i="58" s="1"/>
  <c r="AG215" i="58" s="1"/>
  <c r="T56" i="58"/>
  <c r="T57" i="58" s="1"/>
  <c r="AH215" i="58" s="1"/>
  <c r="D240" i="58"/>
  <c r="G25" i="58"/>
  <c r="U56" i="58"/>
  <c r="U57" i="58" s="1"/>
  <c r="AD65" i="58"/>
  <c r="CL24" i="58"/>
  <c r="L12" i="59" s="1"/>
  <c r="L13" i="59" s="1"/>
  <c r="L74" i="59" s="1"/>
  <c r="H25" i="58"/>
  <c r="V212" i="58" s="1"/>
  <c r="V213" i="58" s="1"/>
  <c r="AF56" i="58"/>
  <c r="AF57" i="58" s="1"/>
  <c r="AT170" i="58" s="1"/>
  <c r="AE65" i="58"/>
  <c r="M25" i="58"/>
  <c r="AG56" i="58"/>
  <c r="AG57" i="58" s="1"/>
  <c r="AU215" i="58" s="1"/>
  <c r="AF65" i="58"/>
  <c r="CP24" i="58"/>
  <c r="P12" i="59" s="1"/>
  <c r="P13" i="59" s="1"/>
  <c r="P74" i="59" s="1"/>
  <c r="O25" i="58"/>
  <c r="AH56" i="58"/>
  <c r="AH57" i="58" s="1"/>
  <c r="S25" i="58"/>
  <c r="CD53" i="58"/>
  <c r="AW30" i="58"/>
  <c r="AW38" i="58"/>
  <c r="AW44" i="58"/>
  <c r="AW50" i="58"/>
  <c r="D446" i="58" s="1"/>
  <c r="AY49" i="58"/>
  <c r="AY37" i="58"/>
  <c r="AX38" i="58"/>
  <c r="AX44" i="58"/>
  <c r="AX50" i="58"/>
  <c r="D449" i="58" s="1"/>
  <c r="AX30" i="58"/>
  <c r="AW31" i="58"/>
  <c r="AW39" i="58"/>
  <c r="AW45" i="58"/>
  <c r="AY47" i="58"/>
  <c r="AY28" i="58"/>
  <c r="D263" i="58" s="1"/>
  <c r="AY36" i="58"/>
  <c r="AX31" i="58"/>
  <c r="AX39" i="58"/>
  <c r="AX45" i="58"/>
  <c r="AY46" i="58"/>
  <c r="AY29" i="58"/>
  <c r="AY30" i="58"/>
  <c r="AX49" i="58"/>
  <c r="AY50" i="58"/>
  <c r="D452" i="58" s="1"/>
  <c r="AW32" i="58"/>
  <c r="AW40" i="58"/>
  <c r="AW46" i="58"/>
  <c r="AY45" i="58"/>
  <c r="AX32" i="58"/>
  <c r="AX40" i="58"/>
  <c r="AX46" i="58"/>
  <c r="AY44" i="58"/>
  <c r="AY31" i="58"/>
  <c r="AY33" i="58"/>
  <c r="AX28" i="58"/>
  <c r="D260" i="58" s="1"/>
  <c r="AW27" i="58"/>
  <c r="D242" i="58" s="1"/>
  <c r="AW33" i="58"/>
  <c r="AW41" i="58"/>
  <c r="AW47" i="58"/>
  <c r="AY43" i="58"/>
  <c r="AY32" i="58"/>
  <c r="AY27" i="58"/>
  <c r="D248" i="58" s="1"/>
  <c r="AX48" i="58"/>
  <c r="AY40" i="58"/>
  <c r="AX27" i="58"/>
  <c r="D245" i="58" s="1"/>
  <c r="AX33" i="58"/>
  <c r="AX41" i="58"/>
  <c r="AX47" i="58"/>
  <c r="AY42" i="58"/>
  <c r="AY41" i="58"/>
  <c r="AX42" i="58"/>
  <c r="AW28" i="58"/>
  <c r="D257" i="58" s="1"/>
  <c r="AW36" i="58"/>
  <c r="AW42" i="58"/>
  <c r="AW48" i="58"/>
  <c r="AX36" i="58"/>
  <c r="AY38" i="58"/>
  <c r="AW37" i="58"/>
  <c r="AW43" i="58"/>
  <c r="AW49" i="58"/>
  <c r="AY39" i="58"/>
  <c r="AX29" i="58"/>
  <c r="AX37" i="58"/>
  <c r="AX43" i="58"/>
  <c r="AY48" i="58"/>
  <c r="CD24" i="58"/>
  <c r="D12" i="59" s="1"/>
  <c r="D13" i="59" s="1"/>
  <c r="D74" i="59" s="1"/>
  <c r="CP53" i="58"/>
  <c r="Y25" i="58"/>
  <c r="AM202" i="58" s="1"/>
  <c r="AA25" i="58"/>
  <c r="AE25" i="58"/>
  <c r="G56" i="58"/>
  <c r="AJ25" i="58"/>
  <c r="H56" i="58"/>
  <c r="H65" i="58"/>
  <c r="CK54" i="58"/>
  <c r="E109" i="58"/>
  <c r="P56" i="58"/>
  <c r="P65" i="58"/>
  <c r="AB65" i="58"/>
  <c r="AB56" i="58"/>
  <c r="AB57" i="58" s="1"/>
  <c r="AP215" i="58" s="1"/>
  <c r="AN56" i="58"/>
  <c r="AN57" i="58" s="1"/>
  <c r="BB215" i="58" s="1"/>
  <c r="AN65" i="58"/>
  <c r="DK24" i="58"/>
  <c r="Q56" i="58"/>
  <c r="Q25" i="58"/>
  <c r="Q65" i="58"/>
  <c r="AC65" i="58"/>
  <c r="AC25" i="58"/>
  <c r="AQ137" i="58" s="1"/>
  <c r="AC56" i="58"/>
  <c r="AC57" i="58" s="1"/>
  <c r="AQ215" i="58" s="1"/>
  <c r="AO56" i="58"/>
  <c r="AO57" i="58" s="1"/>
  <c r="BC215" i="58" s="1"/>
  <c r="AO65" i="58"/>
  <c r="AO25" i="58"/>
  <c r="BC212" i="58" s="1"/>
  <c r="BC213" i="58" s="1"/>
  <c r="AB25" i="58"/>
  <c r="AP212" i="58" s="1"/>
  <c r="AP213" i="58" s="1"/>
  <c r="Y12" i="59"/>
  <c r="Y13" i="59" s="1"/>
  <c r="Y74" i="59" s="1"/>
  <c r="CY54" i="58"/>
  <c r="AL12" i="59"/>
  <c r="AL13" i="59" s="1"/>
  <c r="AL74" i="59" s="1"/>
  <c r="DL54" i="58"/>
  <c r="BD205" i="58"/>
  <c r="BD195" i="58"/>
  <c r="BD200" i="58"/>
  <c r="BD190" i="58"/>
  <c r="BD180" i="58"/>
  <c r="BD165" i="58"/>
  <c r="BD210" i="58"/>
  <c r="BD170" i="58"/>
  <c r="BD185" i="58"/>
  <c r="BD175" i="58"/>
  <c r="BD155" i="58"/>
  <c r="BD140" i="58"/>
  <c r="BD160" i="58"/>
  <c r="BD145" i="58"/>
  <c r="BD150" i="58"/>
  <c r="M12" i="59"/>
  <c r="M13" i="59" s="1"/>
  <c r="M74" i="59" s="1"/>
  <c r="CM54" i="58"/>
  <c r="CM52" i="58"/>
  <c r="Z12" i="59"/>
  <c r="Z13" i="59" s="1"/>
  <c r="Z74" i="59" s="1"/>
  <c r="CZ52" i="58"/>
  <c r="CZ67" i="58" s="1"/>
  <c r="CZ54" i="58"/>
  <c r="AS210" i="58"/>
  <c r="AS195" i="58"/>
  <c r="AS205" i="58"/>
  <c r="AS200" i="58"/>
  <c r="AS190" i="58"/>
  <c r="AS180" i="58"/>
  <c r="AS170" i="58"/>
  <c r="AS185" i="58"/>
  <c r="AS155" i="58"/>
  <c r="AS160" i="58"/>
  <c r="AS145" i="58"/>
  <c r="AS165" i="58"/>
  <c r="AS150" i="58"/>
  <c r="AS140" i="58"/>
  <c r="AS175" i="58"/>
  <c r="DL52" i="58"/>
  <c r="DL67" i="58" s="1"/>
  <c r="CN24" i="58"/>
  <c r="V207" i="58"/>
  <c r="V202" i="58"/>
  <c r="V192" i="58"/>
  <c r="V172" i="58"/>
  <c r="V197" i="58"/>
  <c r="V157" i="58"/>
  <c r="V182" i="58"/>
  <c r="V167" i="58"/>
  <c r="V162" i="58"/>
  <c r="V152" i="58"/>
  <c r="V177" i="58"/>
  <c r="V147" i="58"/>
  <c r="V187" i="58"/>
  <c r="V142" i="58"/>
  <c r="V137" i="58"/>
  <c r="AT207" i="58"/>
  <c r="AT202" i="58"/>
  <c r="AT192" i="58"/>
  <c r="AT187" i="58"/>
  <c r="AT172" i="58"/>
  <c r="AT197" i="58"/>
  <c r="AT162" i="58"/>
  <c r="AT157" i="58"/>
  <c r="AT182" i="58"/>
  <c r="AT152" i="58"/>
  <c r="AT167" i="58"/>
  <c r="AT147" i="58"/>
  <c r="AT142" i="58"/>
  <c r="AT137" i="58"/>
  <c r="AT177" i="58"/>
  <c r="BA210" i="58"/>
  <c r="BA205" i="58"/>
  <c r="BA200" i="58"/>
  <c r="BA185" i="58"/>
  <c r="BA190" i="58"/>
  <c r="BA195" i="58"/>
  <c r="BA180" i="58"/>
  <c r="BA160" i="58"/>
  <c r="BA170" i="58"/>
  <c r="BA175" i="58"/>
  <c r="BA150" i="58"/>
  <c r="BA165" i="58"/>
  <c r="BA145" i="58"/>
  <c r="BA155" i="58"/>
  <c r="BA140" i="58"/>
  <c r="BB207" i="58"/>
  <c r="BB197" i="58"/>
  <c r="BB202" i="58"/>
  <c r="BB182" i="58"/>
  <c r="BB167" i="58"/>
  <c r="BB192" i="58"/>
  <c r="BB162" i="58"/>
  <c r="BB177" i="58"/>
  <c r="BB157" i="58"/>
  <c r="BB147" i="58"/>
  <c r="BB187" i="58"/>
  <c r="BB142" i="58"/>
  <c r="BB152" i="58"/>
  <c r="BB172" i="58"/>
  <c r="BB137" i="58"/>
  <c r="AC207" i="58"/>
  <c r="AC137" i="58"/>
  <c r="P25" i="58"/>
  <c r="AD212" i="58" s="1"/>
  <c r="AD213" i="58" s="1"/>
  <c r="CO24" i="58"/>
  <c r="R25" i="58"/>
  <c r="AD25" i="58"/>
  <c r="AR137" i="58" s="1"/>
  <c r="AP25" i="58"/>
  <c r="BD212" i="58" s="1"/>
  <c r="BD213" i="58" s="1"/>
  <c r="DC52" i="58"/>
  <c r="DC67" i="58" s="1"/>
  <c r="DB53" i="58"/>
  <c r="I56" i="58"/>
  <c r="V56" i="58"/>
  <c r="V57" i="58" s="1"/>
  <c r="AJ215" i="58" s="1"/>
  <c r="AI56" i="58"/>
  <c r="AI57" i="58" s="1"/>
  <c r="AW215" i="58" s="1"/>
  <c r="E13" i="59"/>
  <c r="E74" i="59" s="1"/>
  <c r="U142" i="58"/>
  <c r="J56" i="58"/>
  <c r="W56" i="58"/>
  <c r="W57" i="58" s="1"/>
  <c r="AK215" i="58" s="1"/>
  <c r="AK56" i="58"/>
  <c r="AK57" i="58" s="1"/>
  <c r="AY215" i="58" s="1"/>
  <c r="AM65" i="58"/>
  <c r="F13" i="59"/>
  <c r="F74" i="59" s="1"/>
  <c r="T25" i="58"/>
  <c r="AH212" i="58" s="1"/>
  <c r="AH213" i="58" s="1"/>
  <c r="CE52" i="58"/>
  <c r="DC54" i="58"/>
  <c r="K56" i="58"/>
  <c r="Y56" i="58"/>
  <c r="Y57" i="58" s="1"/>
  <c r="AM215" i="58" s="1"/>
  <c r="AL56" i="58"/>
  <c r="AL57" i="58" s="1"/>
  <c r="AZ215" i="58" s="1"/>
  <c r="R65" i="58"/>
  <c r="I25" i="58"/>
  <c r="W212" i="58" s="1"/>
  <c r="W213" i="58" s="1"/>
  <c r="U25" i="58"/>
  <c r="AI212" i="58" s="1"/>
  <c r="AI213" i="58" s="1"/>
  <c r="AG25" i="58"/>
  <c r="AU212" i="58" s="1"/>
  <c r="AU213" i="58" s="1"/>
  <c r="CF52" i="58"/>
  <c r="M56" i="58"/>
  <c r="Z56" i="58"/>
  <c r="Z57" i="58" s="1"/>
  <c r="AN215" i="58" s="1"/>
  <c r="DA24" i="58"/>
  <c r="T13" i="59"/>
  <c r="T74" i="59" s="1"/>
  <c r="J25" i="58"/>
  <c r="X212" i="58" s="1"/>
  <c r="X213" i="58" s="1"/>
  <c r="V25" i="58"/>
  <c r="AJ212" i="58" s="1"/>
  <c r="AJ213" i="58" s="1"/>
  <c r="AH25" i="58"/>
  <c r="AV212" i="58" s="1"/>
  <c r="AV213" i="58" s="1"/>
  <c r="CT52" i="58"/>
  <c r="CT67" i="58" s="1"/>
  <c r="DG52" i="58"/>
  <c r="DG67" i="58" s="1"/>
  <c r="CE54" i="58"/>
  <c r="N56" i="58"/>
  <c r="AA56" i="58"/>
  <c r="AA57" i="58" s="1"/>
  <c r="AO215" i="58" s="1"/>
  <c r="AP65" i="58"/>
  <c r="U13" i="59"/>
  <c r="U74" i="59" s="1"/>
  <c r="AG13" i="59"/>
  <c r="AG74" i="59" s="1"/>
  <c r="L56" i="58"/>
  <c r="X56" i="58"/>
  <c r="AJ56" i="58"/>
  <c r="AJ57" i="58" s="1"/>
  <c r="AX215" i="58" s="1"/>
  <c r="K25" i="58"/>
  <c r="Y212" i="58" s="1"/>
  <c r="Y213" i="58" s="1"/>
  <c r="W25" i="58"/>
  <c r="AK212" i="58" s="1"/>
  <c r="AK213" i="58" s="1"/>
  <c r="AI25" i="58"/>
  <c r="AW212" i="58" s="1"/>
  <c r="AW213" i="58" s="1"/>
  <c r="CU52" i="58"/>
  <c r="CU67" i="58" s="1"/>
  <c r="CF54" i="58"/>
  <c r="X65" i="58"/>
  <c r="DM24" i="58"/>
  <c r="J12" i="59"/>
  <c r="J13" i="59" s="1"/>
  <c r="J74" i="59" s="1"/>
  <c r="CJ54" i="58"/>
  <c r="CI52" i="58"/>
  <c r="DI52" i="58"/>
  <c r="DI67" i="58" s="1"/>
  <c r="CT54" i="58"/>
  <c r="DG54" i="58"/>
  <c r="E110" i="58"/>
  <c r="K13" i="59"/>
  <c r="K74" i="59" s="1"/>
  <c r="W13" i="59"/>
  <c r="W74" i="59" s="1"/>
  <c r="AI13" i="59"/>
  <c r="AI74" i="59" s="1"/>
  <c r="AA187" i="58"/>
  <c r="CJ52" i="58"/>
  <c r="CW52" i="58"/>
  <c r="CW67" i="58" s="1"/>
  <c r="DJ52" i="58"/>
  <c r="DJ67" i="58" s="1"/>
  <c r="CU54" i="58"/>
  <c r="DI54" i="58"/>
  <c r="AJ13" i="59"/>
  <c r="AJ74" i="59" s="1"/>
  <c r="N25" i="58"/>
  <c r="AB212" i="58" s="1"/>
  <c r="AB213" i="58" s="1"/>
  <c r="Z25" i="58"/>
  <c r="AN212" i="58" s="1"/>
  <c r="AN213" i="58" s="1"/>
  <c r="AL25" i="58"/>
  <c r="AZ212" i="58" s="1"/>
  <c r="AZ213" i="58" s="1"/>
  <c r="CK52" i="58"/>
  <c r="CI54" i="58"/>
  <c r="CW54" i="58"/>
  <c r="DJ54" i="58"/>
  <c r="C139" i="58"/>
  <c r="C138" i="58"/>
  <c r="C198" i="58"/>
  <c r="C143" i="58"/>
  <c r="C144" i="58"/>
  <c r="B342" i="58"/>
  <c r="C174" i="58"/>
  <c r="C173" i="58"/>
  <c r="B297" i="58"/>
  <c r="C159" i="58"/>
  <c r="C158" i="58"/>
  <c r="B327" i="58"/>
  <c r="D338" i="58" s="1"/>
  <c r="C168" i="58"/>
  <c r="C169" i="58"/>
  <c r="B381" i="58"/>
  <c r="C188" i="58"/>
  <c r="C189" i="58"/>
  <c r="B282" i="58"/>
  <c r="C154" i="58"/>
  <c r="B357" i="58"/>
  <c r="C179" i="58"/>
  <c r="C178" i="58"/>
  <c r="B312" i="58"/>
  <c r="C163" i="58"/>
  <c r="C164" i="58"/>
  <c r="B396" i="58"/>
  <c r="D401" i="58" s="1"/>
  <c r="C194" i="58"/>
  <c r="C193" i="58"/>
  <c r="C209" i="58"/>
  <c r="C208" i="58"/>
  <c r="B267" i="58"/>
  <c r="C149" i="58"/>
  <c r="C148" i="58"/>
  <c r="B411" i="58"/>
  <c r="C199" i="58"/>
  <c r="C203" i="58"/>
  <c r="C204" i="58"/>
  <c r="B426" i="58"/>
  <c r="B369" i="58"/>
  <c r="C183" i="58"/>
  <c r="C184" i="58"/>
  <c r="AR170" i="58" l="1"/>
  <c r="AR145" i="58"/>
  <c r="AL183" i="58"/>
  <c r="Z183" i="58"/>
  <c r="BD183" i="58"/>
  <c r="AK183" i="58"/>
  <c r="Y183" i="58"/>
  <c r="BC183" i="58"/>
  <c r="AJ183" i="58"/>
  <c r="X183" i="58"/>
  <c r="BB183" i="58"/>
  <c r="AI183" i="58"/>
  <c r="W183" i="58"/>
  <c r="U183" i="58"/>
  <c r="BA183" i="58"/>
  <c r="AH183" i="58"/>
  <c r="V183" i="58"/>
  <c r="AZ183" i="58"/>
  <c r="AG183" i="58"/>
  <c r="AR183" i="58"/>
  <c r="AF183" i="58"/>
  <c r="AM183" i="58"/>
  <c r="AQ183" i="58"/>
  <c r="AE183" i="58"/>
  <c r="AA183" i="58"/>
  <c r="AP183" i="58"/>
  <c r="AD183" i="58"/>
  <c r="AO183" i="58"/>
  <c r="AC183" i="58"/>
  <c r="AN183" i="58"/>
  <c r="AB183" i="58"/>
  <c r="AN193" i="58"/>
  <c r="AB193" i="58"/>
  <c r="AM193" i="58"/>
  <c r="AA193" i="58"/>
  <c r="AL193" i="58"/>
  <c r="Z193" i="58"/>
  <c r="BD193" i="58"/>
  <c r="AK193" i="58"/>
  <c r="Y193" i="58"/>
  <c r="BB193" i="58"/>
  <c r="BC193" i="58"/>
  <c r="AJ193" i="58"/>
  <c r="X193" i="58"/>
  <c r="W193" i="58"/>
  <c r="AO193" i="58"/>
  <c r="AI193" i="58"/>
  <c r="AC193" i="58"/>
  <c r="BA193" i="58"/>
  <c r="AH193" i="58"/>
  <c r="V193" i="58"/>
  <c r="AZ193" i="58"/>
  <c r="AG193" i="58"/>
  <c r="U193" i="58"/>
  <c r="AR193" i="58"/>
  <c r="AF193" i="58"/>
  <c r="AQ193" i="58"/>
  <c r="AE193" i="58"/>
  <c r="AP193" i="58"/>
  <c r="AD193" i="58"/>
  <c r="AZ188" i="58"/>
  <c r="AG188" i="58"/>
  <c r="U188" i="58"/>
  <c r="AR188" i="58"/>
  <c r="AF188" i="58"/>
  <c r="AQ188" i="58"/>
  <c r="AE188" i="58"/>
  <c r="AP188" i="58"/>
  <c r="AD188" i="58"/>
  <c r="AB188" i="58"/>
  <c r="BA188" i="58"/>
  <c r="AO188" i="58"/>
  <c r="AC188" i="58"/>
  <c r="AN188" i="58"/>
  <c r="AM188" i="58"/>
  <c r="AA188" i="58"/>
  <c r="AL188" i="58"/>
  <c r="Z188" i="58"/>
  <c r="BD188" i="58"/>
  <c r="AK188" i="58"/>
  <c r="Y188" i="58"/>
  <c r="BC188" i="58"/>
  <c r="AJ188" i="58"/>
  <c r="X188" i="58"/>
  <c r="V188" i="58"/>
  <c r="BB188" i="58"/>
  <c r="AI188" i="58"/>
  <c r="W188" i="58"/>
  <c r="AH188" i="58"/>
  <c r="AP143" i="58"/>
  <c r="AD143" i="58"/>
  <c r="AO143" i="58"/>
  <c r="AN143" i="58"/>
  <c r="AC143" i="58"/>
  <c r="AE143" i="58"/>
  <c r="AB143" i="58"/>
  <c r="AM143" i="58"/>
  <c r="AA143" i="58"/>
  <c r="V143" i="58"/>
  <c r="AL143" i="58"/>
  <c r="Z143" i="58"/>
  <c r="BD143" i="58"/>
  <c r="AK143" i="58"/>
  <c r="Y143" i="58"/>
  <c r="BC143" i="58"/>
  <c r="AJ143" i="58"/>
  <c r="X143" i="58"/>
  <c r="BB143" i="58"/>
  <c r="W143" i="58"/>
  <c r="AI143" i="58"/>
  <c r="BA143" i="58"/>
  <c r="AH143" i="58"/>
  <c r="AZ143" i="58"/>
  <c r="AG143" i="58"/>
  <c r="U143" i="58"/>
  <c r="AF143" i="58"/>
  <c r="AR143" i="58"/>
  <c r="AQ143" i="58"/>
  <c r="BB198" i="58"/>
  <c r="AI198" i="58"/>
  <c r="W198" i="58"/>
  <c r="BA198" i="58"/>
  <c r="AH198" i="58"/>
  <c r="V198" i="58"/>
  <c r="AZ198" i="58"/>
  <c r="AG198" i="58"/>
  <c r="U198" i="58"/>
  <c r="AR198" i="58"/>
  <c r="AF198" i="58"/>
  <c r="AQ198" i="58"/>
  <c r="AE198" i="58"/>
  <c r="AP198" i="58"/>
  <c r="AD198" i="58"/>
  <c r="AO198" i="58"/>
  <c r="AC198" i="58"/>
  <c r="AN198" i="58"/>
  <c r="AB198" i="58"/>
  <c r="AM198" i="58"/>
  <c r="AA198" i="58"/>
  <c r="AL198" i="58"/>
  <c r="Z198" i="58"/>
  <c r="BC198" i="58"/>
  <c r="X198" i="58"/>
  <c r="BD198" i="58"/>
  <c r="AK198" i="58"/>
  <c r="Y198" i="58"/>
  <c r="AJ198" i="58"/>
  <c r="BB138" i="58"/>
  <c r="AI138" i="58"/>
  <c r="W138" i="58"/>
  <c r="BA138" i="58"/>
  <c r="V138" i="58"/>
  <c r="AG138" i="58"/>
  <c r="X138" i="58"/>
  <c r="AH138" i="58"/>
  <c r="AZ138" i="58"/>
  <c r="U138" i="58"/>
  <c r="AJ138" i="58"/>
  <c r="AR138" i="58"/>
  <c r="AF138" i="58"/>
  <c r="AP138" i="58"/>
  <c r="BC138" i="58"/>
  <c r="AQ138" i="58"/>
  <c r="AE138" i="58"/>
  <c r="AD138" i="58"/>
  <c r="AA138" i="58"/>
  <c r="AO138" i="58"/>
  <c r="AC138" i="58"/>
  <c r="AB138" i="58"/>
  <c r="AN138" i="58"/>
  <c r="AM138" i="58"/>
  <c r="AL138" i="58"/>
  <c r="Z138" i="58"/>
  <c r="AK138" i="58"/>
  <c r="BD138" i="58"/>
  <c r="Y138" i="58"/>
  <c r="AO168" i="58"/>
  <c r="AC168" i="58"/>
  <c r="AN168" i="58"/>
  <c r="AB168" i="58"/>
  <c r="AM168" i="58"/>
  <c r="AA168" i="58"/>
  <c r="AL168" i="58"/>
  <c r="Z168" i="58"/>
  <c r="BD168" i="58"/>
  <c r="AK168" i="58"/>
  <c r="Y168" i="58"/>
  <c r="BC168" i="58"/>
  <c r="X168" i="58"/>
  <c r="AJ168" i="58"/>
  <c r="AD168" i="58"/>
  <c r="BB168" i="58"/>
  <c r="AI168" i="58"/>
  <c r="W168" i="58"/>
  <c r="BA168" i="58"/>
  <c r="AH168" i="58"/>
  <c r="V168" i="58"/>
  <c r="AZ168" i="58"/>
  <c r="AG168" i="58"/>
  <c r="U168" i="58"/>
  <c r="AR168" i="58"/>
  <c r="AF168" i="58"/>
  <c r="AP168" i="58"/>
  <c r="AQ168" i="58"/>
  <c r="AE168" i="58"/>
  <c r="AP203" i="58"/>
  <c r="AD203" i="58"/>
  <c r="AO203" i="58"/>
  <c r="AC203" i="58"/>
  <c r="AN203" i="58"/>
  <c r="AB203" i="58"/>
  <c r="AM203" i="58"/>
  <c r="AA203" i="58"/>
  <c r="BD203" i="58"/>
  <c r="AL203" i="58"/>
  <c r="Z203" i="58"/>
  <c r="AK203" i="58"/>
  <c r="Y203" i="58"/>
  <c r="BC203" i="58"/>
  <c r="AJ203" i="58"/>
  <c r="X203" i="58"/>
  <c r="BB203" i="58"/>
  <c r="AI203" i="58"/>
  <c r="W203" i="58"/>
  <c r="BA203" i="58"/>
  <c r="AH203" i="58"/>
  <c r="V203" i="58"/>
  <c r="AZ203" i="58"/>
  <c r="AG203" i="58"/>
  <c r="U203" i="58"/>
  <c r="AQ203" i="58"/>
  <c r="AE203" i="58"/>
  <c r="AR203" i="58"/>
  <c r="AF203" i="58"/>
  <c r="BA163" i="58"/>
  <c r="AH163" i="58"/>
  <c r="V163" i="58"/>
  <c r="AZ163" i="58"/>
  <c r="AG163" i="58"/>
  <c r="U163" i="58"/>
  <c r="AR163" i="58"/>
  <c r="AF163" i="58"/>
  <c r="AQ163" i="58"/>
  <c r="AE163" i="58"/>
  <c r="AO163" i="58"/>
  <c r="W163" i="58"/>
  <c r="AP163" i="58"/>
  <c r="AD163" i="58"/>
  <c r="AC163" i="58"/>
  <c r="AN163" i="58"/>
  <c r="AB163" i="58"/>
  <c r="AM163" i="58"/>
  <c r="AA163" i="58"/>
  <c r="AL163" i="58"/>
  <c r="Z163" i="58"/>
  <c r="BD163" i="58"/>
  <c r="AK163" i="58"/>
  <c r="Y163" i="58"/>
  <c r="AJ163" i="58"/>
  <c r="AI163" i="58"/>
  <c r="BC163" i="58"/>
  <c r="X163" i="58"/>
  <c r="BB163" i="58"/>
  <c r="AM158" i="58"/>
  <c r="AA158" i="58"/>
  <c r="Z158" i="58"/>
  <c r="AL158" i="58"/>
  <c r="BD158" i="58"/>
  <c r="AK158" i="58"/>
  <c r="Y158" i="58"/>
  <c r="BC158" i="58"/>
  <c r="AJ158" i="58"/>
  <c r="X158" i="58"/>
  <c r="V158" i="58"/>
  <c r="BB158" i="58"/>
  <c r="AI158" i="58"/>
  <c r="W158" i="58"/>
  <c r="AH158" i="58"/>
  <c r="BA158" i="58"/>
  <c r="AZ158" i="58"/>
  <c r="AG158" i="58"/>
  <c r="U158" i="58"/>
  <c r="AR158" i="58"/>
  <c r="AE158" i="58"/>
  <c r="AF158" i="58"/>
  <c r="AQ158" i="58"/>
  <c r="AB158" i="58"/>
  <c r="AP158" i="58"/>
  <c r="AD158" i="58"/>
  <c r="AC158" i="58"/>
  <c r="AO158" i="58"/>
  <c r="AN158" i="58"/>
  <c r="AQ178" i="58"/>
  <c r="AE178" i="58"/>
  <c r="AP178" i="58"/>
  <c r="AD178" i="58"/>
  <c r="AO178" i="58"/>
  <c r="AC178" i="58"/>
  <c r="AN178" i="58"/>
  <c r="AB178" i="58"/>
  <c r="AM178" i="58"/>
  <c r="AA178" i="58"/>
  <c r="AL178" i="58"/>
  <c r="Z178" i="58"/>
  <c r="BD178" i="58"/>
  <c r="AK178" i="58"/>
  <c r="Y178" i="58"/>
  <c r="BC178" i="58"/>
  <c r="AJ178" i="58"/>
  <c r="X178" i="58"/>
  <c r="BB178" i="58"/>
  <c r="AI178" i="58"/>
  <c r="W178" i="58"/>
  <c r="AR178" i="58"/>
  <c r="BA178" i="58"/>
  <c r="AH178" i="58"/>
  <c r="V178" i="58"/>
  <c r="AZ178" i="58"/>
  <c r="AG178" i="58"/>
  <c r="U178" i="58"/>
  <c r="AF178" i="58"/>
  <c r="BD148" i="58"/>
  <c r="AK148" i="58"/>
  <c r="Y148" i="58"/>
  <c r="BC148" i="58"/>
  <c r="AI148" i="58"/>
  <c r="AJ148" i="58"/>
  <c r="X148" i="58"/>
  <c r="BB148" i="58"/>
  <c r="W148" i="58"/>
  <c r="BA148" i="58"/>
  <c r="AH148" i="58"/>
  <c r="V148" i="58"/>
  <c r="AF148" i="58"/>
  <c r="AZ148" i="58"/>
  <c r="AG148" i="58"/>
  <c r="U148" i="58"/>
  <c r="AR148" i="58"/>
  <c r="AL148" i="58"/>
  <c r="AQ148" i="58"/>
  <c r="AE148" i="58"/>
  <c r="AP148" i="58"/>
  <c r="AC148" i="58"/>
  <c r="AD148" i="58"/>
  <c r="Z148" i="58"/>
  <c r="AO148" i="58"/>
  <c r="AN148" i="58"/>
  <c r="AB148" i="58"/>
  <c r="AA148" i="58"/>
  <c r="AM148" i="58"/>
  <c r="BC173" i="58"/>
  <c r="AJ173" i="58"/>
  <c r="X173" i="58"/>
  <c r="BB173" i="58"/>
  <c r="AI173" i="58"/>
  <c r="W173" i="58"/>
  <c r="BA173" i="58"/>
  <c r="AH173" i="58"/>
  <c r="V173" i="58"/>
  <c r="AZ173" i="58"/>
  <c r="AG173" i="58"/>
  <c r="U173" i="58"/>
  <c r="AE173" i="58"/>
  <c r="AR173" i="58"/>
  <c r="AF173" i="58"/>
  <c r="AQ173" i="58"/>
  <c r="AP173" i="58"/>
  <c r="AD173" i="58"/>
  <c r="AN173" i="58"/>
  <c r="AO173" i="58"/>
  <c r="AC173" i="58"/>
  <c r="AB173" i="58"/>
  <c r="AM173" i="58"/>
  <c r="AA173" i="58"/>
  <c r="Z173" i="58"/>
  <c r="BD173" i="58"/>
  <c r="AL173" i="58"/>
  <c r="AK173" i="58"/>
  <c r="Y173" i="58"/>
  <c r="BD208" i="58"/>
  <c r="AK208" i="58"/>
  <c r="Y208" i="58"/>
  <c r="BC208" i="58"/>
  <c r="AJ208" i="58"/>
  <c r="X208" i="58"/>
  <c r="BB208" i="58"/>
  <c r="AI208" i="58"/>
  <c r="W208" i="58"/>
  <c r="BA208" i="58"/>
  <c r="AH208" i="58"/>
  <c r="V208" i="58"/>
  <c r="AZ208" i="58"/>
  <c r="AG208" i="58"/>
  <c r="U208" i="58"/>
  <c r="AF208" i="58"/>
  <c r="AR208" i="58"/>
  <c r="AQ208" i="58"/>
  <c r="AE208" i="58"/>
  <c r="AP208" i="58"/>
  <c r="AD208" i="58"/>
  <c r="AO208" i="58"/>
  <c r="AC208" i="58"/>
  <c r="AN208" i="58"/>
  <c r="AB208" i="58"/>
  <c r="AL208" i="58"/>
  <c r="AM208" i="58"/>
  <c r="AA208" i="58"/>
  <c r="Z208" i="58"/>
  <c r="AR205" i="58"/>
  <c r="AT140" i="58"/>
  <c r="AG210" i="58"/>
  <c r="AU140" i="58"/>
  <c r="AG195" i="58"/>
  <c r="AU150" i="58"/>
  <c r="AG160" i="58"/>
  <c r="AU190" i="58"/>
  <c r="AU200" i="58"/>
  <c r="AG140" i="58"/>
  <c r="AH190" i="58"/>
  <c r="AH195" i="58"/>
  <c r="AH170" i="58"/>
  <c r="AH205" i="58"/>
  <c r="AH180" i="58"/>
  <c r="AH185" i="58"/>
  <c r="DB52" i="58"/>
  <c r="DB67" i="58" s="1"/>
  <c r="AH155" i="58"/>
  <c r="AH200" i="58"/>
  <c r="DB54" i="58"/>
  <c r="AH140" i="58"/>
  <c r="AH210" i="58"/>
  <c r="AH145" i="58"/>
  <c r="DH54" i="58"/>
  <c r="AH175" i="58"/>
  <c r="AH160" i="58"/>
  <c r="AM142" i="58"/>
  <c r="AH165" i="58"/>
  <c r="DH52" i="58"/>
  <c r="DH67" i="58" s="1"/>
  <c r="DH68" i="58" s="1"/>
  <c r="AH150" i="58"/>
  <c r="AL187" i="58"/>
  <c r="AL212" i="58"/>
  <c r="AL213" i="58" s="1"/>
  <c r="AU170" i="58"/>
  <c r="AG155" i="58"/>
  <c r="AA177" i="58"/>
  <c r="AA212" i="58"/>
  <c r="AA213" i="58" s="1"/>
  <c r="Z187" i="58"/>
  <c r="Z212" i="58"/>
  <c r="Z213" i="58" s="1"/>
  <c r="AU145" i="58"/>
  <c r="AG150" i="58"/>
  <c r="AU185" i="58"/>
  <c r="AG175" i="58"/>
  <c r="AR190" i="58"/>
  <c r="AR215" i="58"/>
  <c r="DF54" i="58"/>
  <c r="AR212" i="58"/>
  <c r="AR213" i="58" s="1"/>
  <c r="AF212" i="58"/>
  <c r="AF213" i="58" s="1"/>
  <c r="AU155" i="58"/>
  <c r="AG165" i="58"/>
  <c r="AQ212" i="58"/>
  <c r="AQ213" i="58" s="1"/>
  <c r="AE212" i="58"/>
  <c r="AE213" i="58" s="1"/>
  <c r="AT190" i="58"/>
  <c r="AT215" i="58"/>
  <c r="CR54" i="58"/>
  <c r="DD54" i="58"/>
  <c r="DD52" i="58"/>
  <c r="DD67" i="58" s="1"/>
  <c r="AU165" i="58"/>
  <c r="AG170" i="58"/>
  <c r="BA207" i="58"/>
  <c r="BA212" i="58"/>
  <c r="BA213" i="58" s="1"/>
  <c r="CD54" i="58"/>
  <c r="CR52" i="58"/>
  <c r="CR67" i="58" s="1"/>
  <c r="CD52" i="58"/>
  <c r="AU160" i="58"/>
  <c r="AG185" i="58"/>
  <c r="AX202" i="58"/>
  <c r="AX212" i="58"/>
  <c r="AX213" i="58" s="1"/>
  <c r="DF52" i="58"/>
  <c r="DF67" i="58" s="1"/>
  <c r="AU175" i="58"/>
  <c r="AG180" i="58"/>
  <c r="AY177" i="58"/>
  <c r="AY212" i="58"/>
  <c r="AY213" i="58" s="1"/>
  <c r="AL202" i="58"/>
  <c r="CS52" i="58"/>
  <c r="CS67" i="58" s="1"/>
  <c r="CS68" i="58" s="1"/>
  <c r="AU195" i="58"/>
  <c r="AG190" i="58"/>
  <c r="AS162" i="58"/>
  <c r="AS212" i="58"/>
  <c r="AS213" i="58" s="1"/>
  <c r="AG167" i="58"/>
  <c r="AG212" i="58"/>
  <c r="AG213" i="58" s="1"/>
  <c r="AI165" i="58"/>
  <c r="AI215" i="58"/>
  <c r="AU210" i="58"/>
  <c r="AU180" i="58"/>
  <c r="AG205" i="58"/>
  <c r="AV205" i="58"/>
  <c r="AV215" i="58"/>
  <c r="U202" i="58"/>
  <c r="U212" i="58"/>
  <c r="U213" i="58" s="1"/>
  <c r="AU205" i="58"/>
  <c r="AG145" i="58"/>
  <c r="AG200" i="58"/>
  <c r="AO202" i="58"/>
  <c r="AO212" i="58"/>
  <c r="AO213" i="58" s="1"/>
  <c r="AC197" i="58"/>
  <c r="AC212" i="58"/>
  <c r="AC213" i="58" s="1"/>
  <c r="AM187" i="58"/>
  <c r="AM212" i="58"/>
  <c r="AM213" i="58" s="1"/>
  <c r="AA192" i="58"/>
  <c r="AA152" i="58"/>
  <c r="AR165" i="58"/>
  <c r="AA172" i="58"/>
  <c r="AR180" i="58"/>
  <c r="AA202" i="58"/>
  <c r="AA167" i="58"/>
  <c r="AR200" i="58"/>
  <c r="AA182" i="58"/>
  <c r="AR150" i="58"/>
  <c r="AR195" i="58"/>
  <c r="AA162" i="58"/>
  <c r="AA207" i="58"/>
  <c r="Z162" i="58"/>
  <c r="CQ52" i="58"/>
  <c r="CQ67" i="58" s="1"/>
  <c r="AR140" i="58"/>
  <c r="AA157" i="58"/>
  <c r="AA197" i="58"/>
  <c r="Z192" i="58"/>
  <c r="AR185" i="58"/>
  <c r="AA147" i="58"/>
  <c r="AA142" i="58"/>
  <c r="AR160" i="58"/>
  <c r="Z157" i="58"/>
  <c r="AA137" i="58"/>
  <c r="AR155" i="58"/>
  <c r="CQ54" i="58"/>
  <c r="AR175" i="58"/>
  <c r="AO182" i="58"/>
  <c r="AO207" i="58"/>
  <c r="D317" i="58"/>
  <c r="D323" i="58"/>
  <c r="D320" i="58"/>
  <c r="D315" i="58"/>
  <c r="D416" i="58"/>
  <c r="D414" i="58"/>
  <c r="D422" i="58"/>
  <c r="D419" i="58"/>
  <c r="D305" i="58"/>
  <c r="D302" i="58"/>
  <c r="D308" i="58"/>
  <c r="D300" i="58"/>
  <c r="D275" i="58"/>
  <c r="D272" i="58"/>
  <c r="D270" i="58"/>
  <c r="D278" i="58"/>
  <c r="D287" i="58"/>
  <c r="D285" i="58"/>
  <c r="D293" i="58"/>
  <c r="D290" i="58"/>
  <c r="D353" i="58"/>
  <c r="D345" i="58"/>
  <c r="D347" i="58"/>
  <c r="D350" i="58"/>
  <c r="D389" i="58"/>
  <c r="D386" i="58"/>
  <c r="D384" i="58"/>
  <c r="D392" i="58"/>
  <c r="D434" i="58"/>
  <c r="D431" i="58"/>
  <c r="D429" i="58"/>
  <c r="D437" i="58"/>
  <c r="D399" i="58"/>
  <c r="D407" i="58"/>
  <c r="D404" i="58"/>
  <c r="D335" i="58"/>
  <c r="D332" i="58"/>
  <c r="D330" i="58"/>
  <c r="AY172" i="58"/>
  <c r="AY173" i="58" s="1"/>
  <c r="AI160" i="58"/>
  <c r="AS177" i="58"/>
  <c r="AI175" i="58"/>
  <c r="AS207" i="58"/>
  <c r="AG187" i="58"/>
  <c r="AY152" i="58"/>
  <c r="AG142" i="58"/>
  <c r="AV140" i="58"/>
  <c r="U167" i="58"/>
  <c r="AV155" i="58"/>
  <c r="AS187" i="58"/>
  <c r="AS188" i="58" s="1"/>
  <c r="AG157" i="58"/>
  <c r="AI185" i="58"/>
  <c r="AS197" i="58"/>
  <c r="AG162" i="58"/>
  <c r="AI180" i="58"/>
  <c r="DE52" i="58"/>
  <c r="DE67" i="58" s="1"/>
  <c r="AS147" i="58"/>
  <c r="AS148" i="58" s="1"/>
  <c r="AS182" i="58"/>
  <c r="AG177" i="58"/>
  <c r="AI190" i="58"/>
  <c r="AS137" i="58"/>
  <c r="AS138" i="58" s="1"/>
  <c r="AS192" i="58"/>
  <c r="AS193" i="58" s="1"/>
  <c r="AG197" i="58"/>
  <c r="AI145" i="58"/>
  <c r="AI205" i="58"/>
  <c r="CX52" i="58"/>
  <c r="CX67" i="58" s="1"/>
  <c r="DE54" i="58"/>
  <c r="AS167" i="58"/>
  <c r="AS202" i="58"/>
  <c r="AS203" i="58" s="1"/>
  <c r="AG182" i="58"/>
  <c r="AI140" i="58"/>
  <c r="AI200" i="58"/>
  <c r="CX54" i="58"/>
  <c r="AS152" i="58"/>
  <c r="AS153" i="58" s="1"/>
  <c r="AG152" i="58"/>
  <c r="AG192" i="58"/>
  <c r="AI150" i="58"/>
  <c r="AI210" i="58"/>
  <c r="AS172" i="58"/>
  <c r="AG137" i="58"/>
  <c r="AG202" i="58"/>
  <c r="AI195" i="58"/>
  <c r="AS142" i="58"/>
  <c r="AS143" i="58" s="1"/>
  <c r="AG147" i="58"/>
  <c r="AG207" i="58"/>
  <c r="AI155" i="58"/>
  <c r="AS157" i="58"/>
  <c r="AS158" i="58" s="1"/>
  <c r="AG172" i="58"/>
  <c r="AI170" i="58"/>
  <c r="AY167" i="58"/>
  <c r="U172" i="58"/>
  <c r="AO197" i="58"/>
  <c r="AV150" i="58"/>
  <c r="U197" i="58"/>
  <c r="AO147" i="58"/>
  <c r="AV165" i="58"/>
  <c r="AY182" i="58"/>
  <c r="AY183" i="58" s="1"/>
  <c r="AY187" i="58"/>
  <c r="AY188" i="58" s="1"/>
  <c r="U187" i="58"/>
  <c r="AO137" i="58"/>
  <c r="AV195" i="58"/>
  <c r="AY157" i="58"/>
  <c r="AY202" i="58"/>
  <c r="U162" i="58"/>
  <c r="AO162" i="58"/>
  <c r="AV185" i="58"/>
  <c r="AV180" i="58"/>
  <c r="AY142" i="58"/>
  <c r="AY207" i="58"/>
  <c r="AY208" i="58" s="1"/>
  <c r="U177" i="58"/>
  <c r="AO142" i="58"/>
  <c r="AV170" i="58"/>
  <c r="AY147" i="58"/>
  <c r="AY197" i="58"/>
  <c r="CG52" i="58"/>
  <c r="U207" i="58"/>
  <c r="AO157" i="58"/>
  <c r="AV190" i="58"/>
  <c r="CG54" i="58"/>
  <c r="U137" i="58"/>
  <c r="U182" i="58"/>
  <c r="BA157" i="58"/>
  <c r="AO192" i="58"/>
  <c r="AV145" i="58"/>
  <c r="AV200" i="58"/>
  <c r="U157" i="58"/>
  <c r="AY137" i="58"/>
  <c r="AY162" i="58"/>
  <c r="U147" i="58"/>
  <c r="U192" i="58"/>
  <c r="BA162" i="58"/>
  <c r="AO152" i="58"/>
  <c r="AV160" i="58"/>
  <c r="AV210" i="58"/>
  <c r="AY192" i="58"/>
  <c r="AY193" i="58" s="1"/>
  <c r="U152" i="58"/>
  <c r="AO172" i="58"/>
  <c r="AV175" i="58"/>
  <c r="AX162" i="58"/>
  <c r="AX142" i="58"/>
  <c r="AX143" i="58" s="1"/>
  <c r="AX207" i="58"/>
  <c r="AX208" i="58" s="1"/>
  <c r="BA152" i="58"/>
  <c r="AX147" i="58"/>
  <c r="AX148" i="58" s="1"/>
  <c r="AX197" i="58"/>
  <c r="BA167" i="58"/>
  <c r="AX137" i="58"/>
  <c r="AX138" i="58" s="1"/>
  <c r="BA172" i="58"/>
  <c r="AX157" i="58"/>
  <c r="AX158" i="58" s="1"/>
  <c r="AX152" i="58"/>
  <c r="AX153" i="58" s="1"/>
  <c r="BA187" i="58"/>
  <c r="AX167" i="58"/>
  <c r="AX168" i="58" s="1"/>
  <c r="BA192" i="58"/>
  <c r="AX177" i="58"/>
  <c r="AX178" i="58" s="1"/>
  <c r="AX182" i="58"/>
  <c r="BA182" i="58"/>
  <c r="AX187" i="58"/>
  <c r="BA137" i="58"/>
  <c r="BA202" i="58"/>
  <c r="AX192" i="58"/>
  <c r="AX193" i="58" s="1"/>
  <c r="BA142" i="58"/>
  <c r="BA197" i="58"/>
  <c r="AX172" i="58"/>
  <c r="AX173" i="58" s="1"/>
  <c r="BA177" i="58"/>
  <c r="BA147" i="58"/>
  <c r="AL192" i="58"/>
  <c r="AL162" i="58"/>
  <c r="AL157" i="58"/>
  <c r="AL177" i="58"/>
  <c r="AL167" i="58"/>
  <c r="AL197" i="58"/>
  <c r="AL182" i="58"/>
  <c r="AL207" i="58"/>
  <c r="AL147" i="58"/>
  <c r="AL137" i="58"/>
  <c r="CS54" i="58"/>
  <c r="AL142" i="58"/>
  <c r="AL172" i="58"/>
  <c r="AL152" i="58"/>
  <c r="AO177" i="58"/>
  <c r="AM197" i="58"/>
  <c r="CV52" i="58"/>
  <c r="CV67" i="58" s="1"/>
  <c r="CH54" i="58"/>
  <c r="AM172" i="58"/>
  <c r="AM162" i="58"/>
  <c r="AM152" i="58"/>
  <c r="AM167" i="58"/>
  <c r="CP54" i="58"/>
  <c r="AM147" i="58"/>
  <c r="AM177" i="58"/>
  <c r="AM137" i="58"/>
  <c r="CV54" i="58"/>
  <c r="AM207" i="58"/>
  <c r="AM182" i="58"/>
  <c r="AM192" i="58"/>
  <c r="CH52" i="58"/>
  <c r="AM157" i="58"/>
  <c r="Z177" i="58"/>
  <c r="AT175" i="58"/>
  <c r="AT185" i="58"/>
  <c r="Z202" i="58"/>
  <c r="Z207" i="58"/>
  <c r="AT155" i="58"/>
  <c r="AT205" i="58"/>
  <c r="AT200" i="58"/>
  <c r="Z142" i="58"/>
  <c r="Z197" i="58"/>
  <c r="AT145" i="58"/>
  <c r="Z137" i="58"/>
  <c r="AT160" i="58"/>
  <c r="Z147" i="58"/>
  <c r="AT195" i="58"/>
  <c r="AO167" i="58"/>
  <c r="CL52" i="58"/>
  <c r="Z152" i="58"/>
  <c r="AT210" i="58"/>
  <c r="Z172" i="58"/>
  <c r="AT180" i="58"/>
  <c r="AO187" i="58"/>
  <c r="CL54" i="58"/>
  <c r="Z167" i="58"/>
  <c r="AT165" i="58"/>
  <c r="Z182" i="58"/>
  <c r="AT150" i="58"/>
  <c r="DH69" i="58"/>
  <c r="D371" i="58"/>
  <c r="D370" i="58"/>
  <c r="D359" i="58"/>
  <c r="D358" i="58"/>
  <c r="AC157" i="58"/>
  <c r="AT153" i="58"/>
  <c r="AC192" i="58"/>
  <c r="AC152" i="58"/>
  <c r="AC162" i="58"/>
  <c r="AC172" i="58"/>
  <c r="AC142" i="58"/>
  <c r="CP52" i="58"/>
  <c r="CP67" i="58" s="1"/>
  <c r="CP69" i="58" s="1"/>
  <c r="AC182" i="58"/>
  <c r="AC187" i="58"/>
  <c r="AC177" i="58"/>
  <c r="AC147" i="58"/>
  <c r="AC202" i="58"/>
  <c r="AC167" i="58"/>
  <c r="AY153" i="58"/>
  <c r="X57" i="58"/>
  <c r="AL160" i="58" s="1"/>
  <c r="DI68" i="58"/>
  <c r="DI69" i="58"/>
  <c r="AM12" i="59"/>
  <c r="AM13" i="59" s="1"/>
  <c r="AM74" i="59" s="1"/>
  <c r="DM52" i="58"/>
  <c r="DM67" i="58" s="1"/>
  <c r="DM54" i="58"/>
  <c r="DG68" i="58"/>
  <c r="DG69" i="58"/>
  <c r="AA12" i="59"/>
  <c r="AA13" i="59" s="1"/>
  <c r="AA74" i="59" s="1"/>
  <c r="DA52" i="58"/>
  <c r="DA67" i="58" s="1"/>
  <c r="DA54" i="58"/>
  <c r="CQ69" i="58"/>
  <c r="AJ205" i="58"/>
  <c r="AJ210" i="58"/>
  <c r="AJ200" i="58"/>
  <c r="AJ190" i="58"/>
  <c r="AJ195" i="58"/>
  <c r="AJ170" i="58"/>
  <c r="AJ185" i="58"/>
  <c r="AJ160" i="58"/>
  <c r="AJ155" i="58"/>
  <c r="AJ175" i="58"/>
  <c r="AJ180" i="58"/>
  <c r="AJ140" i="58"/>
  <c r="AJ165" i="58"/>
  <c r="AJ145" i="58"/>
  <c r="AJ150" i="58"/>
  <c r="N12" i="59"/>
  <c r="N13" i="59" s="1"/>
  <c r="N74" i="59" s="1"/>
  <c r="CN52" i="58"/>
  <c r="CN54" i="58"/>
  <c r="AZ197" i="58"/>
  <c r="AZ207" i="58"/>
  <c r="AZ202" i="58"/>
  <c r="AZ182" i="58"/>
  <c r="AZ192" i="58"/>
  <c r="AZ187" i="58"/>
  <c r="AZ167" i="58"/>
  <c r="AZ177" i="58"/>
  <c r="AZ162" i="58"/>
  <c r="AZ157" i="58"/>
  <c r="AZ142" i="58"/>
  <c r="AZ147" i="58"/>
  <c r="AZ172" i="58"/>
  <c r="AZ152" i="58"/>
  <c r="AZ137" i="58"/>
  <c r="AK12" i="59"/>
  <c r="AK13" i="59" s="1"/>
  <c r="AK74" i="59" s="1"/>
  <c r="DK52" i="58"/>
  <c r="DK67" i="58" s="1"/>
  <c r="DK54" i="58"/>
  <c r="AT143" i="58"/>
  <c r="AY143" i="58"/>
  <c r="AN197" i="58"/>
  <c r="AN202" i="58"/>
  <c r="AN192" i="58"/>
  <c r="AN207" i="58"/>
  <c r="AN182" i="58"/>
  <c r="AN177" i="58"/>
  <c r="AN167" i="58"/>
  <c r="AN187" i="58"/>
  <c r="AN162" i="58"/>
  <c r="AN172" i="58"/>
  <c r="AN157" i="58"/>
  <c r="AN142" i="58"/>
  <c r="AN147" i="58"/>
  <c r="AN152" i="58"/>
  <c r="AN137" i="58"/>
  <c r="CT68" i="58"/>
  <c r="DL68" i="58"/>
  <c r="DL69" i="58"/>
  <c r="AT173" i="58"/>
  <c r="AS173" i="58"/>
  <c r="DF68" i="58"/>
  <c r="DF69" i="58"/>
  <c r="AU202" i="58"/>
  <c r="AU203" i="58" s="1"/>
  <c r="AU207" i="58"/>
  <c r="AU208" i="58" s="1"/>
  <c r="AU197" i="58"/>
  <c r="AU177" i="58"/>
  <c r="AU178" i="58" s="1"/>
  <c r="AU157" i="58"/>
  <c r="AU158" i="58" s="1"/>
  <c r="AU192" i="58"/>
  <c r="AU193" i="58" s="1"/>
  <c r="AU187" i="58"/>
  <c r="AU188" i="58" s="1"/>
  <c r="AU172" i="58"/>
  <c r="AU173" i="58" s="1"/>
  <c r="AU182" i="58"/>
  <c r="AU183" i="58" s="1"/>
  <c r="AU167" i="58"/>
  <c r="AU168" i="58" s="1"/>
  <c r="AU152" i="58"/>
  <c r="AU153" i="58" s="1"/>
  <c r="AU162" i="58"/>
  <c r="AU163" i="58" s="1"/>
  <c r="AU137" i="58"/>
  <c r="AU138" i="58" s="1"/>
  <c r="AU147" i="58"/>
  <c r="AU148" i="58" s="1"/>
  <c r="AU142" i="58"/>
  <c r="AU143" i="58" s="1"/>
  <c r="BC210" i="58"/>
  <c r="BC205" i="58"/>
  <c r="BC195" i="58"/>
  <c r="BC200" i="58"/>
  <c r="BC185" i="58"/>
  <c r="BC175" i="58"/>
  <c r="BC180" i="58"/>
  <c r="BC170" i="58"/>
  <c r="BC190" i="58"/>
  <c r="BC150" i="58"/>
  <c r="BC165" i="58"/>
  <c r="BC155" i="58"/>
  <c r="BC160" i="58"/>
  <c r="BC145" i="58"/>
  <c r="BC140" i="58"/>
  <c r="AV207" i="58"/>
  <c r="AV208" i="58" s="1"/>
  <c r="AV192" i="58"/>
  <c r="AV193" i="58" s="1"/>
  <c r="AV197" i="58"/>
  <c r="AV198" i="58" s="1"/>
  <c r="AV187" i="58"/>
  <c r="AV188" i="58" s="1"/>
  <c r="AV177" i="58"/>
  <c r="AV178" i="58" s="1"/>
  <c r="AV202" i="58"/>
  <c r="AV157" i="58"/>
  <c r="AV158" i="58" s="1"/>
  <c r="AV172" i="58"/>
  <c r="AV173" i="58" s="1"/>
  <c r="AV182" i="58"/>
  <c r="AV183" i="58" s="1"/>
  <c r="AV167" i="58"/>
  <c r="AV152" i="58"/>
  <c r="AV153" i="58" s="1"/>
  <c r="AV162" i="58"/>
  <c r="AV163" i="58" s="1"/>
  <c r="AV137" i="58"/>
  <c r="AV138" i="58" s="1"/>
  <c r="AV147" i="58"/>
  <c r="AV148" i="58" s="1"/>
  <c r="AV142" i="58"/>
  <c r="AV143" i="58" s="1"/>
  <c r="AI202" i="58"/>
  <c r="AI207" i="58"/>
  <c r="AI197" i="58"/>
  <c r="AI192" i="58"/>
  <c r="AI177" i="58"/>
  <c r="AI157" i="58"/>
  <c r="AI167" i="58"/>
  <c r="AI187" i="58"/>
  <c r="AI172" i="58"/>
  <c r="AI147" i="58"/>
  <c r="AI137" i="58"/>
  <c r="AI162" i="58"/>
  <c r="AI152" i="58"/>
  <c r="AI182" i="58"/>
  <c r="AI142" i="58"/>
  <c r="AT148" i="58"/>
  <c r="AY148" i="58"/>
  <c r="AR207" i="58"/>
  <c r="AF207" i="58"/>
  <c r="AR202" i="58"/>
  <c r="AF202" i="58"/>
  <c r="AR187" i="58"/>
  <c r="AF187" i="58"/>
  <c r="AR197" i="58"/>
  <c r="AR172" i="58"/>
  <c r="AF172" i="58"/>
  <c r="AF197" i="58"/>
  <c r="AF192" i="58"/>
  <c r="AR152" i="58"/>
  <c r="AF152" i="58"/>
  <c r="AF182" i="58"/>
  <c r="AR162" i="58"/>
  <c r="AR192" i="58"/>
  <c r="AF177" i="58"/>
  <c r="AR182" i="58"/>
  <c r="AR147" i="58"/>
  <c r="AF147" i="58"/>
  <c r="AR177" i="58"/>
  <c r="AF157" i="58"/>
  <c r="AR167" i="58"/>
  <c r="AF167" i="58"/>
  <c r="AF137" i="58"/>
  <c r="AF162" i="58"/>
  <c r="AR157" i="58"/>
  <c r="AR142" i="58"/>
  <c r="AF142" i="58"/>
  <c r="AX188" i="58"/>
  <c r="AT188" i="58"/>
  <c r="DJ69" i="58"/>
  <c r="DJ68" i="58"/>
  <c r="AJ207" i="58"/>
  <c r="AJ192" i="58"/>
  <c r="AJ197" i="58"/>
  <c r="AJ177" i="58"/>
  <c r="AJ157" i="58"/>
  <c r="AJ167" i="58"/>
  <c r="AJ187" i="58"/>
  <c r="AJ162" i="58"/>
  <c r="AJ152" i="58"/>
  <c r="AJ202" i="58"/>
  <c r="AJ147" i="58"/>
  <c r="AJ137" i="58"/>
  <c r="AJ182" i="58"/>
  <c r="AJ142" i="58"/>
  <c r="AJ172" i="58"/>
  <c r="W202" i="58"/>
  <c r="W207" i="58"/>
  <c r="W197" i="58"/>
  <c r="W192" i="58"/>
  <c r="W177" i="58"/>
  <c r="W157" i="58"/>
  <c r="W182" i="58"/>
  <c r="W172" i="58"/>
  <c r="W162" i="58"/>
  <c r="W152" i="58"/>
  <c r="W147" i="58"/>
  <c r="W187" i="58"/>
  <c r="W137" i="58"/>
  <c r="W142" i="58"/>
  <c r="W167" i="58"/>
  <c r="AQ210" i="58"/>
  <c r="AQ205" i="58"/>
  <c r="AQ195" i="58"/>
  <c r="AQ200" i="58"/>
  <c r="AQ175" i="58"/>
  <c r="AQ180" i="58"/>
  <c r="AQ170" i="58"/>
  <c r="AQ190" i="58"/>
  <c r="AQ150" i="58"/>
  <c r="AQ165" i="58"/>
  <c r="AQ155" i="58"/>
  <c r="AQ160" i="58"/>
  <c r="AQ145" i="58"/>
  <c r="AQ185" i="58"/>
  <c r="AQ140" i="58"/>
  <c r="AY163" i="58"/>
  <c r="AX163" i="58"/>
  <c r="AT163" i="58"/>
  <c r="AS163" i="58"/>
  <c r="AX183" i="58"/>
  <c r="AT183" i="58"/>
  <c r="AS183" i="58"/>
  <c r="AT208" i="58"/>
  <c r="AS208" i="58"/>
  <c r="AT178" i="58"/>
  <c r="AS178" i="58"/>
  <c r="AY178" i="58"/>
  <c r="AT138" i="58"/>
  <c r="AY138" i="58"/>
  <c r="AW207" i="58"/>
  <c r="AW208" i="58" s="1"/>
  <c r="AW197" i="58"/>
  <c r="AW198" i="58" s="1"/>
  <c r="AW172" i="58"/>
  <c r="AW173" i="58" s="1"/>
  <c r="AW177" i="58"/>
  <c r="AW178" i="58" s="1"/>
  <c r="AW202" i="58"/>
  <c r="AW203" i="58" s="1"/>
  <c r="AW182" i="58"/>
  <c r="AW183" i="58" s="1"/>
  <c r="AW167" i="58"/>
  <c r="AW192" i="58"/>
  <c r="AW193" i="58" s="1"/>
  <c r="AW187" i="58"/>
  <c r="AW188" i="58" s="1"/>
  <c r="AW147" i="58"/>
  <c r="AW148" i="58" s="1"/>
  <c r="AW152" i="58"/>
  <c r="AW153" i="58" s="1"/>
  <c r="AW162" i="58"/>
  <c r="AW163" i="58" s="1"/>
  <c r="AW142" i="58"/>
  <c r="AW143" i="58" s="1"/>
  <c r="AW137" i="58"/>
  <c r="AW138" i="58" s="1"/>
  <c r="AW157" i="58"/>
  <c r="AW158" i="58" s="1"/>
  <c r="X207" i="58"/>
  <c r="X192" i="58"/>
  <c r="X202" i="58"/>
  <c r="X177" i="58"/>
  <c r="X197" i="58"/>
  <c r="X187" i="58"/>
  <c r="X157" i="58"/>
  <c r="X182" i="58"/>
  <c r="X167" i="58"/>
  <c r="X172" i="58"/>
  <c r="X162" i="58"/>
  <c r="X152" i="58"/>
  <c r="X147" i="58"/>
  <c r="X137" i="58"/>
  <c r="X142" i="58"/>
  <c r="AK207" i="58"/>
  <c r="AK197" i="58"/>
  <c r="AK172" i="58"/>
  <c r="AK177" i="58"/>
  <c r="AK192" i="58"/>
  <c r="AK202" i="58"/>
  <c r="AK182" i="58"/>
  <c r="AK167" i="58"/>
  <c r="AK147" i="58"/>
  <c r="AK187" i="58"/>
  <c r="AK162" i="58"/>
  <c r="AK152" i="58"/>
  <c r="AK157" i="58"/>
  <c r="AK142" i="58"/>
  <c r="AK137" i="58"/>
  <c r="AH207" i="58"/>
  <c r="AH202" i="58"/>
  <c r="AH192" i="58"/>
  <c r="AH187" i="58"/>
  <c r="AH172" i="58"/>
  <c r="AH197" i="58"/>
  <c r="AH182" i="58"/>
  <c r="AH157" i="58"/>
  <c r="AH177" i="58"/>
  <c r="AH167" i="58"/>
  <c r="AH147" i="58"/>
  <c r="AH162" i="58"/>
  <c r="AH152" i="58"/>
  <c r="AH137" i="58"/>
  <c r="AH142" i="58"/>
  <c r="D377" i="58"/>
  <c r="D374" i="58"/>
  <c r="D372" i="58"/>
  <c r="AT193" i="58"/>
  <c r="D365" i="58"/>
  <c r="D362" i="58"/>
  <c r="D360" i="58"/>
  <c r="AY168" i="58"/>
  <c r="AV168" i="58"/>
  <c r="AT168" i="58"/>
  <c r="AW168" i="58"/>
  <c r="AS168" i="58"/>
  <c r="Y207" i="58"/>
  <c r="Y197" i="58"/>
  <c r="Y172" i="58"/>
  <c r="Y177" i="58"/>
  <c r="Y182" i="58"/>
  <c r="Y167" i="58"/>
  <c r="Y147" i="58"/>
  <c r="Y162" i="58"/>
  <c r="Y152" i="58"/>
  <c r="Y192" i="58"/>
  <c r="Y187" i="58"/>
  <c r="Y142" i="58"/>
  <c r="Y202" i="58"/>
  <c r="Y157" i="58"/>
  <c r="Y137" i="58"/>
  <c r="AO210" i="58"/>
  <c r="AO205" i="58"/>
  <c r="AO200" i="58"/>
  <c r="AO185" i="58"/>
  <c r="AO180" i="58"/>
  <c r="AO175" i="58"/>
  <c r="AO190" i="58"/>
  <c r="AO195" i="58"/>
  <c r="AO165" i="58"/>
  <c r="AO155" i="58"/>
  <c r="AO145" i="58"/>
  <c r="AO170" i="58"/>
  <c r="AO160" i="58"/>
  <c r="AO150" i="58"/>
  <c r="AO140" i="58"/>
  <c r="AY205" i="58"/>
  <c r="AY210" i="58"/>
  <c r="AY195" i="58"/>
  <c r="AY170" i="58"/>
  <c r="AY185" i="58"/>
  <c r="AY175" i="58"/>
  <c r="AY200" i="58"/>
  <c r="AY190" i="58"/>
  <c r="AY180" i="58"/>
  <c r="AY165" i="58"/>
  <c r="AY160" i="58"/>
  <c r="AY145" i="58"/>
  <c r="AY150" i="58"/>
  <c r="AY155" i="58"/>
  <c r="AY140" i="58"/>
  <c r="AD207" i="58"/>
  <c r="AD197" i="58"/>
  <c r="AD202" i="58"/>
  <c r="AD187" i="58"/>
  <c r="AD182" i="58"/>
  <c r="AD167" i="58"/>
  <c r="AD192" i="58"/>
  <c r="AD172" i="58"/>
  <c r="AD162" i="58"/>
  <c r="AD177" i="58"/>
  <c r="AD157" i="58"/>
  <c r="AD152" i="58"/>
  <c r="AD137" i="58"/>
  <c r="AD142" i="58"/>
  <c r="AD147" i="58"/>
  <c r="BD207" i="58"/>
  <c r="BD202" i="58"/>
  <c r="BD187" i="58"/>
  <c r="BD197" i="58"/>
  <c r="BD192" i="58"/>
  <c r="BD172" i="58"/>
  <c r="BD152" i="58"/>
  <c r="BD167" i="58"/>
  <c r="BD182" i="58"/>
  <c r="BD162" i="58"/>
  <c r="BD177" i="58"/>
  <c r="BD147" i="58"/>
  <c r="BD142" i="58"/>
  <c r="BD157" i="58"/>
  <c r="BD137" i="58"/>
  <c r="BC207" i="58"/>
  <c r="BC197" i="58"/>
  <c r="BC202" i="58"/>
  <c r="BC192" i="58"/>
  <c r="BC182" i="58"/>
  <c r="BC187" i="58"/>
  <c r="BC172" i="58"/>
  <c r="BC167" i="58"/>
  <c r="BC177" i="58"/>
  <c r="BC157" i="58"/>
  <c r="BC162" i="58"/>
  <c r="BC142" i="58"/>
  <c r="BC147" i="58"/>
  <c r="BC152" i="58"/>
  <c r="BC137" i="58"/>
  <c r="AY158" i="58"/>
  <c r="AT158" i="58"/>
  <c r="AY198" i="58"/>
  <c r="AX198" i="58"/>
  <c r="AU198" i="58"/>
  <c r="AT198" i="58"/>
  <c r="AS198" i="58"/>
  <c r="AZ210" i="58"/>
  <c r="AZ195" i="58"/>
  <c r="AZ185" i="58"/>
  <c r="AZ175" i="58"/>
  <c r="AZ160" i="58"/>
  <c r="AZ200" i="58"/>
  <c r="AZ190" i="58"/>
  <c r="AZ180" i="58"/>
  <c r="AZ170" i="58"/>
  <c r="AZ150" i="58"/>
  <c r="AZ205" i="58"/>
  <c r="AZ140" i="58"/>
  <c r="AZ165" i="58"/>
  <c r="AZ145" i="58"/>
  <c r="AZ155" i="58"/>
  <c r="AK210" i="58"/>
  <c r="AK200" i="58"/>
  <c r="AK205" i="58"/>
  <c r="AK195" i="58"/>
  <c r="AK190" i="58"/>
  <c r="AK185" i="58"/>
  <c r="AK175" i="58"/>
  <c r="AK160" i="58"/>
  <c r="AK155" i="58"/>
  <c r="AK170" i="58"/>
  <c r="AK140" i="58"/>
  <c r="AK180" i="58"/>
  <c r="AK165" i="58"/>
  <c r="AK150" i="58"/>
  <c r="AK145" i="58"/>
  <c r="AQ207" i="58"/>
  <c r="AQ197" i="58"/>
  <c r="AE197" i="58"/>
  <c r="AE207" i="58"/>
  <c r="AQ202" i="58"/>
  <c r="AE202" i="58"/>
  <c r="AQ192" i="58"/>
  <c r="AE192" i="58"/>
  <c r="AE187" i="58"/>
  <c r="AQ182" i="58"/>
  <c r="AE182" i="58"/>
  <c r="AQ187" i="58"/>
  <c r="AQ172" i="58"/>
  <c r="AE172" i="58"/>
  <c r="AQ167" i="58"/>
  <c r="AE162" i="58"/>
  <c r="AQ162" i="58"/>
  <c r="AE177" i="58"/>
  <c r="AQ157" i="58"/>
  <c r="AE157" i="58"/>
  <c r="AQ142" i="58"/>
  <c r="AQ177" i="58"/>
  <c r="AQ152" i="58"/>
  <c r="AE167" i="58"/>
  <c r="AE147" i="58"/>
  <c r="AE142" i="58"/>
  <c r="AE152" i="58"/>
  <c r="AQ147" i="58"/>
  <c r="AE137" i="58"/>
  <c r="BB210" i="58"/>
  <c r="BB195" i="58"/>
  <c r="BB205" i="58"/>
  <c r="BB200" i="58"/>
  <c r="BB190" i="58"/>
  <c r="BB180" i="58"/>
  <c r="BB170" i="58"/>
  <c r="BB185" i="58"/>
  <c r="BB175" i="58"/>
  <c r="BB165" i="58"/>
  <c r="BB155" i="58"/>
  <c r="BB150" i="58"/>
  <c r="BB160" i="58"/>
  <c r="BB145" i="58"/>
  <c r="BB140" i="58"/>
  <c r="DE69" i="58"/>
  <c r="AY203" i="58"/>
  <c r="AX203" i="58"/>
  <c r="AV203" i="58"/>
  <c r="AT203" i="58"/>
  <c r="AX205" i="58"/>
  <c r="AX210" i="58"/>
  <c r="AX190" i="58"/>
  <c r="AX185" i="58"/>
  <c r="AX175" i="58"/>
  <c r="AX200" i="58"/>
  <c r="AX195" i="58"/>
  <c r="AX155" i="58"/>
  <c r="AX180" i="58"/>
  <c r="AX160" i="58"/>
  <c r="AX170" i="58"/>
  <c r="AX150" i="58"/>
  <c r="AX140" i="58"/>
  <c r="AX165" i="58"/>
  <c r="AX145" i="58"/>
  <c r="AN210" i="58"/>
  <c r="AN205" i="58"/>
  <c r="AN195" i="58"/>
  <c r="AN190" i="58"/>
  <c r="AN185" i="58"/>
  <c r="AN175" i="58"/>
  <c r="AN160" i="58"/>
  <c r="AN200" i="58"/>
  <c r="AN170" i="58"/>
  <c r="AN180" i="58"/>
  <c r="AN150" i="58"/>
  <c r="AN165" i="58"/>
  <c r="AN155" i="58"/>
  <c r="AN145" i="58"/>
  <c r="AN140" i="58"/>
  <c r="AM205" i="58"/>
  <c r="AM210" i="58"/>
  <c r="AM195" i="58"/>
  <c r="AM170" i="58"/>
  <c r="AM175" i="58"/>
  <c r="AM200" i="58"/>
  <c r="AM180" i="58"/>
  <c r="AM165" i="58"/>
  <c r="AM145" i="58"/>
  <c r="AM190" i="58"/>
  <c r="AM155" i="58"/>
  <c r="AM185" i="58"/>
  <c r="AM160" i="58"/>
  <c r="AM150" i="58"/>
  <c r="AM140" i="58"/>
  <c r="AW210" i="58"/>
  <c r="AW200" i="58"/>
  <c r="AW195" i="58"/>
  <c r="AW185" i="58"/>
  <c r="AW190" i="58"/>
  <c r="AW175" i="58"/>
  <c r="AW165" i="58"/>
  <c r="AW155" i="58"/>
  <c r="AW180" i="58"/>
  <c r="AW160" i="58"/>
  <c r="AW140" i="58"/>
  <c r="AW170" i="58"/>
  <c r="AW205" i="58"/>
  <c r="AW150" i="58"/>
  <c r="AW145" i="58"/>
  <c r="AB197" i="58"/>
  <c r="AB207" i="58"/>
  <c r="AB202" i="58"/>
  <c r="AB187" i="58"/>
  <c r="AB182" i="58"/>
  <c r="AB167" i="58"/>
  <c r="AB172" i="58"/>
  <c r="AB162" i="58"/>
  <c r="AB192" i="58"/>
  <c r="AB177" i="58"/>
  <c r="AB157" i="58"/>
  <c r="AB142" i="58"/>
  <c r="AB147" i="58"/>
  <c r="AB152" i="58"/>
  <c r="AB137" i="58"/>
  <c r="O12" i="59"/>
  <c r="O13" i="59" s="1"/>
  <c r="O74" i="59" s="1"/>
  <c r="CO52" i="58"/>
  <c r="CO54" i="58"/>
  <c r="AP207" i="58"/>
  <c r="AP197" i="58"/>
  <c r="AP202" i="58"/>
  <c r="AP192" i="58"/>
  <c r="AP182" i="58"/>
  <c r="AP167" i="58"/>
  <c r="AP187" i="58"/>
  <c r="AP177" i="58"/>
  <c r="AP162" i="58"/>
  <c r="AP172" i="58"/>
  <c r="AP157" i="58"/>
  <c r="AP142" i="58"/>
  <c r="AP152" i="58"/>
  <c r="AP147" i="58"/>
  <c r="AP137" i="58"/>
  <c r="AP210" i="58"/>
  <c r="AP205" i="58"/>
  <c r="AP195" i="58"/>
  <c r="AP200" i="58"/>
  <c r="AP180" i="58"/>
  <c r="AP175" i="58"/>
  <c r="AP190" i="58"/>
  <c r="AP165" i="58"/>
  <c r="AP155" i="58"/>
  <c r="AP145" i="58"/>
  <c r="AP185" i="58"/>
  <c r="AP170" i="58"/>
  <c r="AP160" i="58"/>
  <c r="AP150" i="58"/>
  <c r="AP140" i="58"/>
  <c r="AL185" i="58" l="1"/>
  <c r="AL145" i="58"/>
  <c r="AL190" i="58"/>
  <c r="AL165" i="58"/>
  <c r="AL210" i="58"/>
  <c r="AL175" i="58"/>
  <c r="AL140" i="58"/>
  <c r="AL205" i="58"/>
  <c r="AL150" i="58"/>
  <c r="AL195" i="58"/>
  <c r="AL180" i="58"/>
  <c r="AL170" i="58"/>
  <c r="AL200" i="58"/>
  <c r="AL155" i="58"/>
  <c r="AS33" i="58"/>
  <c r="D329" i="58" s="1"/>
  <c r="AL215" i="58"/>
  <c r="AS14" i="58"/>
  <c r="D223" i="58" s="1"/>
  <c r="AT14" i="58"/>
  <c r="D222" i="58" s="1"/>
  <c r="AS36" i="58"/>
  <c r="D344" i="58" s="1"/>
  <c r="AS37" i="58"/>
  <c r="AS42" i="58"/>
  <c r="D413" i="58" s="1"/>
  <c r="AS40" i="58"/>
  <c r="AS41" i="58"/>
  <c r="D398" i="58" s="1"/>
  <c r="AS46" i="58"/>
  <c r="AS44" i="58"/>
  <c r="D428" i="58" s="1"/>
  <c r="AS45" i="58"/>
  <c r="AS50" i="58"/>
  <c r="D443" i="58" s="1"/>
  <c r="AS48" i="58"/>
  <c r="AS49" i="58"/>
  <c r="AS39" i="58"/>
  <c r="D383" i="58" s="1"/>
  <c r="AS43" i="58"/>
  <c r="AT31" i="58"/>
  <c r="D298" i="58" s="1"/>
  <c r="AT27" i="58"/>
  <c r="AT33" i="58"/>
  <c r="D328" i="58" s="1"/>
  <c r="AS47" i="58"/>
  <c r="AT36" i="58"/>
  <c r="D343" i="58" s="1"/>
  <c r="AT30" i="58"/>
  <c r="D283" i="58" s="1"/>
  <c r="AT29" i="58"/>
  <c r="D268" i="58" s="1"/>
  <c r="AT32" i="58"/>
  <c r="D313" i="58" s="1"/>
  <c r="AT40" i="58"/>
  <c r="AT37" i="58"/>
  <c r="AT38" i="58"/>
  <c r="AT28" i="58"/>
  <c r="D253" i="58" s="1"/>
  <c r="AT44" i="58"/>
  <c r="D427" i="58" s="1"/>
  <c r="AT41" i="58"/>
  <c r="D397" i="58" s="1"/>
  <c r="AT42" i="58"/>
  <c r="D412" i="58" s="1"/>
  <c r="AT39" i="58"/>
  <c r="D382" i="58" s="1"/>
  <c r="AT48" i="58"/>
  <c r="AT45" i="58"/>
  <c r="AT46" i="58"/>
  <c r="AT43" i="58"/>
  <c r="AS31" i="58"/>
  <c r="D299" i="58" s="1"/>
  <c r="AT49" i="58"/>
  <c r="AT50" i="58"/>
  <c r="D442" i="58" s="1"/>
  <c r="AT47" i="58"/>
  <c r="AS28" i="58"/>
  <c r="D254" i="58" s="1"/>
  <c r="AS30" i="58"/>
  <c r="D284" i="58" s="1"/>
  <c r="D238" i="58"/>
  <c r="AS32" i="58"/>
  <c r="D314" i="58" s="1"/>
  <c r="AS27" i="58"/>
  <c r="D239" i="58" s="1"/>
  <c r="AS38" i="58"/>
  <c r="AS29" i="58"/>
  <c r="D269" i="58" s="1"/>
  <c r="DM68" i="58"/>
  <c r="DM69" i="58"/>
  <c r="DK68" i="58"/>
  <c r="DK69" i="58"/>
  <c r="D24" i="23" l="1"/>
  <c r="D23" i="23"/>
  <c r="D24" i="1"/>
  <c r="D23" i="1"/>
  <c r="ED24" i="1"/>
  <c r="ED23" i="1"/>
  <c r="ED24" i="23"/>
  <c r="ED23" i="23"/>
  <c r="DX11" i="1"/>
  <c r="DW11" i="1"/>
  <c r="DV11" i="1"/>
  <c r="DU11" i="1"/>
  <c r="DT11" i="1"/>
  <c r="DS11" i="1"/>
  <c r="DR11" i="1"/>
  <c r="DQ11" i="1"/>
  <c r="DP11" i="1"/>
  <c r="DO11" i="1"/>
  <c r="DN11" i="1"/>
  <c r="DX10" i="1"/>
  <c r="DW10" i="1"/>
  <c r="DV10" i="1"/>
  <c r="DU10" i="1"/>
  <c r="DT10" i="1"/>
  <c r="DS10" i="1"/>
  <c r="DR10" i="1"/>
  <c r="DQ10" i="1"/>
  <c r="DP10" i="1"/>
  <c r="DO10" i="1"/>
  <c r="DN10" i="1"/>
  <c r="DX9" i="1"/>
  <c r="DW9" i="1"/>
  <c r="DV9" i="1"/>
  <c r="DU9" i="1"/>
  <c r="DT9" i="1"/>
  <c r="DS9" i="1"/>
  <c r="DR9" i="1"/>
  <c r="DQ9" i="1"/>
  <c r="DP9" i="1"/>
  <c r="DO9" i="1"/>
  <c r="DN9" i="1"/>
  <c r="DX8" i="1"/>
  <c r="DW8" i="1"/>
  <c r="DV8" i="1"/>
  <c r="DU8" i="1"/>
  <c r="DT8" i="1"/>
  <c r="DS8" i="1"/>
  <c r="DR8" i="1"/>
  <c r="DQ8" i="1"/>
  <c r="DP8" i="1"/>
  <c r="DO8" i="1"/>
  <c r="DN8" i="1"/>
  <c r="DX7" i="1"/>
  <c r="DW7" i="1"/>
  <c r="DV7" i="1"/>
  <c r="DU7" i="1"/>
  <c r="DT7" i="1"/>
  <c r="DS7" i="1"/>
  <c r="DR7" i="1"/>
  <c r="DQ7" i="1"/>
  <c r="DP7" i="1"/>
  <c r="DO7" i="1"/>
  <c r="DN7" i="1"/>
  <c r="DX6" i="1"/>
  <c r="DW6" i="1"/>
  <c r="DV6" i="1"/>
  <c r="DU6" i="1"/>
  <c r="DT6" i="1"/>
  <c r="DS6" i="1"/>
  <c r="DR6" i="1"/>
  <c r="DQ6" i="1"/>
  <c r="DP6" i="1"/>
  <c r="DO6" i="1"/>
  <c r="DN6" i="1"/>
  <c r="DX11" i="23"/>
  <c r="DW11" i="23"/>
  <c r="DV11" i="23"/>
  <c r="DU11" i="23"/>
  <c r="DT11" i="23"/>
  <c r="DS11" i="23"/>
  <c r="DR11" i="23"/>
  <c r="DQ11" i="23"/>
  <c r="DP11" i="23"/>
  <c r="DO11" i="23"/>
  <c r="DN11" i="23"/>
  <c r="DX10" i="23"/>
  <c r="DW10" i="23"/>
  <c r="DV10" i="23"/>
  <c r="DU10" i="23"/>
  <c r="DT10" i="23"/>
  <c r="DS10" i="23"/>
  <c r="DR10" i="23"/>
  <c r="DQ10" i="23"/>
  <c r="DP10" i="23"/>
  <c r="DO10" i="23"/>
  <c r="DN10" i="23"/>
  <c r="DX9" i="23"/>
  <c r="DW9" i="23"/>
  <c r="DV9" i="23"/>
  <c r="DU9" i="23"/>
  <c r="DT9" i="23"/>
  <c r="DS9" i="23"/>
  <c r="DR9" i="23"/>
  <c r="DQ9" i="23"/>
  <c r="DP9" i="23"/>
  <c r="DO9" i="23"/>
  <c r="DN9" i="23"/>
  <c r="DX8" i="23"/>
  <c r="DW8" i="23"/>
  <c r="DV8" i="23"/>
  <c r="DU8" i="23"/>
  <c r="DT8" i="23"/>
  <c r="DS8" i="23"/>
  <c r="DR8" i="23"/>
  <c r="DQ8" i="23"/>
  <c r="DP8" i="23"/>
  <c r="DO8" i="23"/>
  <c r="DN8" i="23"/>
  <c r="DX7" i="23"/>
  <c r="DW7" i="23"/>
  <c r="DV7" i="23"/>
  <c r="DU7" i="23"/>
  <c r="DT7" i="23"/>
  <c r="DS7" i="23"/>
  <c r="DR7" i="23"/>
  <c r="DQ7" i="23"/>
  <c r="DP7" i="23"/>
  <c r="DO7" i="23"/>
  <c r="DN7" i="23"/>
  <c r="DX6" i="23"/>
  <c r="DW6" i="23"/>
  <c r="DV6" i="23"/>
  <c r="DU6" i="23"/>
  <c r="DT6" i="23"/>
  <c r="DS6" i="23"/>
  <c r="DR6" i="23"/>
  <c r="DQ6" i="23"/>
  <c r="DP6" i="23"/>
  <c r="DO6" i="23"/>
  <c r="DN6" i="23"/>
  <c r="D24" i="24"/>
  <c r="D23" i="24"/>
  <c r="ED24" i="24"/>
  <c r="ED23" i="24"/>
  <c r="DN8" i="24"/>
  <c r="DO8" i="24"/>
  <c r="DN7" i="24"/>
  <c r="DO7" i="24"/>
  <c r="DP7" i="24"/>
  <c r="DQ7" i="24"/>
  <c r="DR7" i="24"/>
  <c r="DS7" i="24"/>
  <c r="DT7" i="24"/>
  <c r="DU7" i="24"/>
  <c r="DV7" i="24"/>
  <c r="DW7" i="24"/>
  <c r="DX7" i="24"/>
  <c r="DP8" i="24"/>
  <c r="DQ8" i="24"/>
  <c r="DR8" i="24"/>
  <c r="DS8" i="24"/>
  <c r="DT8" i="24"/>
  <c r="DU8" i="24"/>
  <c r="DV8" i="24"/>
  <c r="DW8" i="24"/>
  <c r="DX8" i="24"/>
  <c r="DN9" i="24"/>
  <c r="DO9" i="24"/>
  <c r="DP9" i="24"/>
  <c r="DQ9" i="24"/>
  <c r="DR9" i="24"/>
  <c r="DS9" i="24"/>
  <c r="DT9" i="24"/>
  <c r="DU9" i="24"/>
  <c r="DV9" i="24"/>
  <c r="DW9" i="24"/>
  <c r="DX9" i="24"/>
  <c r="DN10" i="24"/>
  <c r="DO10" i="24"/>
  <c r="DP10" i="24"/>
  <c r="DQ10" i="24"/>
  <c r="DR10" i="24"/>
  <c r="DS10" i="24"/>
  <c r="DT10" i="24"/>
  <c r="DU10" i="24"/>
  <c r="DV10" i="24"/>
  <c r="DW10" i="24"/>
  <c r="DX10" i="24"/>
  <c r="DN11" i="24"/>
  <c r="DO11" i="24"/>
  <c r="DP11" i="24"/>
  <c r="DQ11" i="24"/>
  <c r="DR11" i="24"/>
  <c r="DS11" i="24"/>
  <c r="DT11" i="24"/>
  <c r="DU11" i="24"/>
  <c r="DV11" i="24"/>
  <c r="DW11" i="24"/>
  <c r="DX11" i="24"/>
  <c r="DO6" i="24"/>
  <c r="DP6" i="24"/>
  <c r="DQ6" i="24"/>
  <c r="DR6" i="24"/>
  <c r="DS6" i="24"/>
  <c r="DT6" i="24"/>
  <c r="DU6" i="24"/>
  <c r="DV6" i="24"/>
  <c r="DW6" i="24"/>
  <c r="DX6" i="24"/>
  <c r="DN6" i="24"/>
  <c r="C100" i="1" l="1"/>
  <c r="C99" i="1"/>
  <c r="C98" i="1"/>
  <c r="C97" i="1"/>
  <c r="C96" i="1"/>
  <c r="C95" i="1"/>
  <c r="C94" i="1"/>
  <c r="C93" i="1"/>
  <c r="C92" i="1"/>
  <c r="C91" i="1"/>
  <c r="C90" i="1"/>
  <c r="C89" i="1"/>
  <c r="C88" i="1"/>
  <c r="C87" i="1"/>
  <c r="C86" i="1"/>
  <c r="C83" i="1"/>
  <c r="C82" i="1"/>
  <c r="C81" i="1"/>
  <c r="C80" i="1"/>
  <c r="C79" i="1"/>
  <c r="C78" i="1"/>
  <c r="C77" i="1"/>
  <c r="C100" i="29"/>
  <c r="C99" i="29"/>
  <c r="C98" i="29"/>
  <c r="C97" i="29"/>
  <c r="C96" i="29"/>
  <c r="C95" i="29"/>
  <c r="C94" i="29"/>
  <c r="C93" i="29"/>
  <c r="C92" i="29"/>
  <c r="C91" i="29"/>
  <c r="C90" i="29"/>
  <c r="C89" i="29"/>
  <c r="C88" i="29"/>
  <c r="C87" i="29"/>
  <c r="C86" i="29"/>
  <c r="C83" i="29"/>
  <c r="C82" i="29"/>
  <c r="C81" i="29"/>
  <c r="C80" i="29"/>
  <c r="C79" i="29"/>
  <c r="C78" i="29"/>
  <c r="C77" i="29"/>
  <c r="C100" i="24"/>
  <c r="C99" i="24"/>
  <c r="C98" i="24"/>
  <c r="C97" i="24"/>
  <c r="C96" i="24"/>
  <c r="C95" i="24"/>
  <c r="C94" i="24"/>
  <c r="C93" i="24"/>
  <c r="C92" i="24"/>
  <c r="C91" i="24"/>
  <c r="C90" i="24"/>
  <c r="C89" i="24"/>
  <c r="C88" i="24"/>
  <c r="C87" i="24"/>
  <c r="C86" i="24"/>
  <c r="C83" i="24"/>
  <c r="C82" i="24"/>
  <c r="C81" i="24"/>
  <c r="C80" i="24"/>
  <c r="C79" i="24"/>
  <c r="C78" i="24"/>
  <c r="C77" i="24"/>
  <c r="C100" i="23"/>
  <c r="C99" i="23"/>
  <c r="C98" i="23"/>
  <c r="C97" i="23"/>
  <c r="C96" i="23"/>
  <c r="C95" i="23"/>
  <c r="C94" i="23"/>
  <c r="C93" i="23"/>
  <c r="C92" i="23"/>
  <c r="C91" i="23"/>
  <c r="C90" i="23"/>
  <c r="C89" i="23"/>
  <c r="C88" i="23"/>
  <c r="C87" i="23"/>
  <c r="C86" i="23"/>
  <c r="C83" i="23"/>
  <c r="C82" i="23"/>
  <c r="C81" i="23"/>
  <c r="C80" i="23"/>
  <c r="C79" i="23"/>
  <c r="C78" i="23"/>
  <c r="C77" i="23"/>
  <c r="M35" i="3"/>
  <c r="M34" i="3"/>
  <c r="E35" i="29" l="1"/>
  <c r="G205" i="1"/>
  <c r="H205" i="1"/>
  <c r="I205" i="1"/>
  <c r="J205" i="1"/>
  <c r="K205" i="1"/>
  <c r="L205" i="1"/>
  <c r="M205" i="1"/>
  <c r="N205" i="1"/>
  <c r="O205" i="1"/>
  <c r="P205" i="1"/>
  <c r="Q205" i="1"/>
  <c r="R205" i="1"/>
  <c r="S205" i="1"/>
  <c r="T205" i="1"/>
  <c r="U205" i="1"/>
  <c r="V205" i="1"/>
  <c r="C217" i="1"/>
  <c r="D216" i="1"/>
  <c r="C216" i="1"/>
  <c r="D215" i="1"/>
  <c r="D214" i="1"/>
  <c r="D213" i="1"/>
  <c r="D212" i="1"/>
  <c r="C212" i="1"/>
  <c r="D211" i="1"/>
  <c r="D210" i="1"/>
  <c r="C210" i="1"/>
  <c r="D209" i="1"/>
  <c r="D208" i="1"/>
  <c r="D207" i="1"/>
  <c r="C207" i="1"/>
  <c r="D206" i="1"/>
  <c r="D205" i="1"/>
  <c r="D204" i="1"/>
  <c r="D203" i="1"/>
  <c r="D202" i="1"/>
  <c r="C202" i="1"/>
  <c r="C201" i="1"/>
  <c r="D199" i="1"/>
  <c r="D198" i="1"/>
  <c r="D197" i="1"/>
  <c r="C197" i="1"/>
  <c r="D196" i="1"/>
  <c r="D195" i="1"/>
  <c r="C195" i="1"/>
  <c r="D194" i="1"/>
  <c r="D193" i="1"/>
  <c r="C193" i="1"/>
  <c r="C192" i="1"/>
  <c r="Q11" i="18" l="1"/>
  <c r="J360" i="37" l="1"/>
  <c r="G92" i="37"/>
  <c r="F92" i="37"/>
  <c r="E17" i="47"/>
  <c r="F17" i="47"/>
  <c r="F62" i="47"/>
  <c r="E62" i="47"/>
  <c r="B73" i="5" l="1"/>
  <c r="B73" i="30"/>
  <c r="B63" i="30"/>
  <c r="B62" i="30"/>
  <c r="B63" i="26"/>
  <c r="B62" i="26"/>
  <c r="B63" i="27"/>
  <c r="B62" i="27"/>
  <c r="B63" i="5"/>
  <c r="B62" i="5"/>
  <c r="B3" i="36"/>
  <c r="C3" i="36"/>
  <c r="E3" i="36"/>
  <c r="F3" i="36"/>
  <c r="G3" i="36"/>
  <c r="H3" i="36"/>
  <c r="I3" i="36"/>
  <c r="J3" i="36"/>
  <c r="K3" i="36"/>
  <c r="L3" i="36"/>
  <c r="M3" i="36"/>
  <c r="N3" i="36"/>
  <c r="O3" i="36"/>
  <c r="P3" i="36"/>
  <c r="K50" i="9" l="1"/>
  <c r="K51" i="9"/>
  <c r="K52" i="9"/>
  <c r="K53" i="9"/>
  <c r="K54" i="9"/>
  <c r="K55" i="9"/>
  <c r="K49" i="9"/>
  <c r="H49" i="9"/>
  <c r="H50" i="9"/>
  <c r="H51" i="9"/>
  <c r="H52" i="9"/>
  <c r="H53" i="9"/>
  <c r="H54" i="9"/>
  <c r="H55" i="9"/>
  <c r="E50" i="9"/>
  <c r="E51" i="9"/>
  <c r="E52" i="9"/>
  <c r="E53" i="9"/>
  <c r="E54" i="9"/>
  <c r="E55" i="9"/>
  <c r="E49" i="9"/>
  <c r="B35" i="9"/>
  <c r="B35" i="35"/>
  <c r="L106" i="26" l="1"/>
  <c r="L53" i="30"/>
  <c r="CB67" i="29"/>
  <c r="BJ67" i="29"/>
  <c r="L53" i="26"/>
  <c r="CB67" i="24"/>
  <c r="BJ67" i="24"/>
  <c r="L53" i="27"/>
  <c r="CB67" i="23"/>
  <c r="BJ67" i="23"/>
  <c r="L53" i="5"/>
  <c r="CB67" i="1"/>
  <c r="BJ67" i="1"/>
  <c r="P35" i="18" l="1"/>
  <c r="Q35" i="18"/>
  <c r="H74" i="47" l="1"/>
  <c r="E31" i="47"/>
  <c r="F31" i="47"/>
  <c r="E83" i="47"/>
  <c r="F83" i="47"/>
  <c r="E74" i="47"/>
  <c r="F74" i="47"/>
  <c r="H3" i="47" l="1"/>
  <c r="F3" i="47"/>
  <c r="E3" i="47"/>
  <c r="H5" i="47"/>
  <c r="E58" i="47"/>
  <c r="F58" i="47"/>
  <c r="E47" i="47"/>
  <c r="E43" i="47"/>
  <c r="F43" i="47"/>
  <c r="E28" i="47"/>
  <c r="F28" i="47"/>
  <c r="E24" i="47"/>
  <c r="F24" i="47"/>
  <c r="E5" i="47"/>
  <c r="B6" i="36" l="1"/>
  <c r="B36" i="9"/>
  <c r="B83" i="3"/>
  <c r="B67" i="36"/>
  <c r="B120" i="36"/>
  <c r="B119" i="36"/>
  <c r="B118" i="36"/>
  <c r="D117" i="36"/>
  <c r="C117" i="36"/>
  <c r="C116" i="36"/>
  <c r="C115" i="36"/>
  <c r="C114" i="36"/>
  <c r="D113" i="36"/>
  <c r="C113" i="36"/>
  <c r="AB112" i="36"/>
  <c r="I111" i="36" s="1"/>
  <c r="I85" i="36" s="1"/>
  <c r="D112" i="36"/>
  <c r="C112" i="36"/>
  <c r="AB111" i="36"/>
  <c r="D111" i="36"/>
  <c r="C111" i="36"/>
  <c r="C110" i="36"/>
  <c r="C109" i="36"/>
  <c r="D108" i="36"/>
  <c r="C108" i="36"/>
  <c r="AB107" i="36"/>
  <c r="C107" i="36"/>
  <c r="AB106" i="36"/>
  <c r="C106" i="36"/>
  <c r="AB105" i="36"/>
  <c r="C105" i="36"/>
  <c r="AB104" i="36"/>
  <c r="C104" i="36"/>
  <c r="D103" i="36"/>
  <c r="C103" i="36"/>
  <c r="B103" i="36"/>
  <c r="D102" i="36"/>
  <c r="C102" i="36"/>
  <c r="D101" i="36"/>
  <c r="C101" i="36"/>
  <c r="D100" i="36"/>
  <c r="C100" i="36"/>
  <c r="D99" i="36"/>
  <c r="C99" i="36"/>
  <c r="D98" i="36"/>
  <c r="C98" i="36"/>
  <c r="J97" i="36"/>
  <c r="D97" i="36"/>
  <c r="C97" i="36"/>
  <c r="D96" i="36"/>
  <c r="C96" i="36"/>
  <c r="B96" i="36"/>
  <c r="B93" i="9"/>
  <c r="B63" i="9"/>
  <c r="B61" i="9"/>
  <c r="CS24" i="24"/>
  <c r="CS28" i="23"/>
  <c r="K39" i="9"/>
  <c r="H39" i="9"/>
  <c r="E39" i="9"/>
  <c r="B33" i="9"/>
  <c r="CS29" i="24"/>
  <c r="CS29" i="23"/>
  <c r="CS29" i="1"/>
  <c r="C55" i="9"/>
  <c r="CS28" i="24"/>
  <c r="CS28" i="1"/>
  <c r="C54" i="9"/>
  <c r="CS27" i="24"/>
  <c r="CS27" i="23"/>
  <c r="CS27" i="1"/>
  <c r="C53" i="9"/>
  <c r="B53" i="9"/>
  <c r="CS26" i="24"/>
  <c r="CS26" i="23"/>
  <c r="CS26" i="1"/>
  <c r="C52" i="9"/>
  <c r="CS25" i="24"/>
  <c r="CS25" i="23"/>
  <c r="CS25" i="1"/>
  <c r="C51" i="9"/>
  <c r="B51" i="9"/>
  <c r="CS24" i="23"/>
  <c r="CS24" i="1"/>
  <c r="C50" i="9"/>
  <c r="CS23" i="24"/>
  <c r="CS23" i="23"/>
  <c r="CS23" i="1"/>
  <c r="C49" i="9"/>
  <c r="B49" i="9"/>
  <c r="C46" i="9"/>
  <c r="C45" i="9"/>
  <c r="C44" i="9"/>
  <c r="B44" i="9"/>
  <c r="C43" i="9"/>
  <c r="C42" i="9"/>
  <c r="B42" i="9"/>
  <c r="C41" i="9"/>
  <c r="C40" i="9"/>
  <c r="B40" i="9"/>
  <c r="AC50" i="1" l="1"/>
  <c r="AB50" i="1"/>
  <c r="AB40" i="36"/>
  <c r="AD50" i="1" l="1"/>
  <c r="AE50" i="1"/>
  <c r="G9" i="1"/>
  <c r="G21" i="1"/>
  <c r="G21" i="24"/>
  <c r="G9" i="24"/>
  <c r="G21" i="23"/>
  <c r="G21" i="29"/>
  <c r="G9" i="29"/>
  <c r="AY1" i="5"/>
  <c r="B37" i="52"/>
  <c r="B36" i="52"/>
  <c r="B35" i="52"/>
  <c r="B33" i="52"/>
  <c r="B32" i="52"/>
  <c r="B31" i="52"/>
  <c r="B30" i="52"/>
  <c r="B29" i="52"/>
  <c r="B21" i="52"/>
  <c r="B20" i="52"/>
  <c r="B19" i="52"/>
  <c r="B17" i="52"/>
  <c r="B16" i="52"/>
  <c r="B15" i="52"/>
  <c r="B14" i="52"/>
  <c r="B13" i="52"/>
  <c r="C14" i="52"/>
  <c r="C40" i="30"/>
  <c r="C39" i="30"/>
  <c r="C34" i="30"/>
  <c r="C33" i="30"/>
  <c r="C40" i="26"/>
  <c r="C39" i="26"/>
  <c r="C34" i="26"/>
  <c r="C33" i="26"/>
  <c r="C40" i="5"/>
  <c r="C39" i="5"/>
  <c r="C34" i="5"/>
  <c r="C33" i="5"/>
  <c r="C40" i="27"/>
  <c r="C39" i="27"/>
  <c r="C34" i="27"/>
  <c r="C33" i="27"/>
  <c r="K87" i="26"/>
  <c r="B87" i="26"/>
  <c r="AF83" i="30"/>
  <c r="AD83" i="30"/>
  <c r="AD81" i="30"/>
  <c r="O43" i="30"/>
  <c r="O44" i="30" s="1"/>
  <c r="N43" i="30"/>
  <c r="N44" i="30" s="1"/>
  <c r="M43" i="30"/>
  <c r="M44" i="30" s="1"/>
  <c r="O43" i="26"/>
  <c r="O44" i="26" s="1"/>
  <c r="N43" i="26"/>
  <c r="N44" i="26" s="1"/>
  <c r="M43" i="26"/>
  <c r="M44" i="26" s="1"/>
  <c r="O43" i="27"/>
  <c r="O44" i="27" s="1"/>
  <c r="N43" i="27"/>
  <c r="N44" i="27" s="1"/>
  <c r="M43" i="27"/>
  <c r="M44" i="27" s="1"/>
  <c r="AF83" i="26"/>
  <c r="AD83" i="26"/>
  <c r="K81" i="26" s="1"/>
  <c r="AD81" i="26"/>
  <c r="K65" i="27"/>
  <c r="K65" i="26"/>
  <c r="K65" i="30"/>
  <c r="K67" i="30"/>
  <c r="B67" i="30"/>
  <c r="K64" i="30"/>
  <c r="B64" i="30"/>
  <c r="C59" i="30"/>
  <c r="C58" i="30"/>
  <c r="C57" i="30"/>
  <c r="K67" i="26"/>
  <c r="B67" i="26"/>
  <c r="K64" i="26"/>
  <c r="B64" i="26"/>
  <c r="C59" i="26"/>
  <c r="C58" i="26"/>
  <c r="C57" i="26"/>
  <c r="K67" i="27"/>
  <c r="B67" i="27"/>
  <c r="K64" i="27"/>
  <c r="B64" i="27"/>
  <c r="C59" i="27"/>
  <c r="C58" i="27"/>
  <c r="C57" i="27"/>
  <c r="K67" i="5"/>
  <c r="B67" i="5"/>
  <c r="K64" i="5"/>
  <c r="B64" i="5"/>
  <c r="K65" i="5"/>
  <c r="C58" i="5"/>
  <c r="C59" i="5"/>
  <c r="C57" i="5"/>
  <c r="N43" i="5"/>
  <c r="N44" i="5" s="1"/>
  <c r="O43" i="5"/>
  <c r="O44" i="5" s="1"/>
  <c r="M43" i="5"/>
  <c r="D163" i="36"/>
  <c r="D162" i="36"/>
  <c r="B92" i="36"/>
  <c r="AC125" i="5"/>
  <c r="G48" i="41"/>
  <c r="S35" i="41"/>
  <c r="S36" i="41"/>
  <c r="S37" i="41"/>
  <c r="S38" i="41"/>
  <c r="S39" i="41"/>
  <c r="S40" i="41"/>
  <c r="S41" i="41"/>
  <c r="S42" i="41"/>
  <c r="S43" i="41"/>
  <c r="S44" i="41"/>
  <c r="S51" i="41"/>
  <c r="AB78" i="36"/>
  <c r="AB79" i="36"/>
  <c r="AB80" i="36"/>
  <c r="AB81" i="36"/>
  <c r="AB86" i="36"/>
  <c r="AB85" i="36"/>
  <c r="D125" i="5" l="1"/>
  <c r="G191" i="1"/>
  <c r="G221" i="1" s="1"/>
  <c r="K69" i="5"/>
  <c r="K69" i="27"/>
  <c r="K69" i="26"/>
  <c r="K69" i="30"/>
  <c r="M44" i="5"/>
  <c r="B94" i="36" l="1"/>
  <c r="B93" i="36"/>
  <c r="G169" i="29"/>
  <c r="G169" i="24"/>
  <c r="B165" i="29"/>
  <c r="B164" i="29"/>
  <c r="B163" i="29"/>
  <c r="AE100" i="29"/>
  <c r="AF100" i="29" s="1"/>
  <c r="AD100" i="29"/>
  <c r="AE99" i="29"/>
  <c r="AF99" i="29" s="1"/>
  <c r="AD99" i="29"/>
  <c r="AE98" i="29"/>
  <c r="AF98" i="29" s="1"/>
  <c r="AD98" i="29"/>
  <c r="AE97" i="29"/>
  <c r="AF97" i="29" s="1"/>
  <c r="AD97" i="29"/>
  <c r="AE96" i="29"/>
  <c r="AF96" i="29" s="1"/>
  <c r="AD96" i="29"/>
  <c r="AE95" i="29"/>
  <c r="AF95" i="29" s="1"/>
  <c r="AD95" i="29"/>
  <c r="AE94" i="29"/>
  <c r="AF94" i="29" s="1"/>
  <c r="AD94" i="29"/>
  <c r="AE93" i="29"/>
  <c r="AF93" i="29" s="1"/>
  <c r="AD93" i="29"/>
  <c r="AE92" i="29"/>
  <c r="AF92" i="29" s="1"/>
  <c r="AD92" i="29"/>
  <c r="AE91" i="29"/>
  <c r="AF91" i="29" s="1"/>
  <c r="AD91" i="29"/>
  <c r="AE90" i="29"/>
  <c r="AF90" i="29" s="1"/>
  <c r="AD90" i="29"/>
  <c r="AE89" i="29"/>
  <c r="AF89" i="29" s="1"/>
  <c r="AD89" i="29"/>
  <c r="AE88" i="29"/>
  <c r="AF88" i="29" s="1"/>
  <c r="AD88" i="29"/>
  <c r="AE87" i="29"/>
  <c r="AF87" i="29" s="1"/>
  <c r="AD87" i="29"/>
  <c r="AE86" i="29"/>
  <c r="AF86" i="29" s="1"/>
  <c r="AD86" i="29"/>
  <c r="AE85" i="29"/>
  <c r="AF85" i="29" s="1"/>
  <c r="AD85" i="29"/>
  <c r="AE84" i="29"/>
  <c r="AF84" i="29" s="1"/>
  <c r="AD84" i="29"/>
  <c r="AE83" i="29"/>
  <c r="AF83" i="29" s="1"/>
  <c r="AD83" i="29"/>
  <c r="AE82" i="29"/>
  <c r="AF82" i="29" s="1"/>
  <c r="AD82" i="29"/>
  <c r="AE81" i="29"/>
  <c r="AF81" i="29" s="1"/>
  <c r="AD81" i="29"/>
  <c r="AE80" i="29"/>
  <c r="AF80" i="29" s="1"/>
  <c r="AD80" i="29"/>
  <c r="AE79" i="29"/>
  <c r="AF79" i="29" s="1"/>
  <c r="AD79" i="29"/>
  <c r="AE78" i="29"/>
  <c r="AF78" i="29" s="1"/>
  <c r="AD78" i="29"/>
  <c r="AE77" i="29"/>
  <c r="AD77" i="29"/>
  <c r="G75" i="29"/>
  <c r="AA74" i="29"/>
  <c r="O159" i="29" s="1"/>
  <c r="M159" i="29" s="1"/>
  <c r="AC73" i="29"/>
  <c r="AB73" i="29"/>
  <c r="S73" i="29"/>
  <c r="R73" i="29"/>
  <c r="Q73" i="29"/>
  <c r="P73" i="29"/>
  <c r="C73" i="29"/>
  <c r="B73" i="29"/>
  <c r="AC72" i="29"/>
  <c r="AB72" i="29"/>
  <c r="U72" i="29"/>
  <c r="T72" i="29"/>
  <c r="S72" i="29"/>
  <c r="R72" i="29"/>
  <c r="Q72" i="29"/>
  <c r="P72" i="29"/>
  <c r="C72" i="29"/>
  <c r="AC71" i="29"/>
  <c r="AB71" i="29"/>
  <c r="U71" i="29"/>
  <c r="T71" i="29"/>
  <c r="S71" i="29"/>
  <c r="R71" i="29"/>
  <c r="Q71" i="29"/>
  <c r="P71" i="29"/>
  <c r="O71" i="29"/>
  <c r="C71" i="29"/>
  <c r="AC70" i="29"/>
  <c r="AB70" i="29"/>
  <c r="C70" i="29"/>
  <c r="AC69" i="29"/>
  <c r="AB69" i="29"/>
  <c r="U69" i="29"/>
  <c r="T69" i="29"/>
  <c r="S69" i="29"/>
  <c r="R69" i="29"/>
  <c r="Q69" i="29"/>
  <c r="P69" i="29"/>
  <c r="C69" i="29"/>
  <c r="B69" i="29"/>
  <c r="AC68" i="29"/>
  <c r="AB68" i="29"/>
  <c r="U68" i="29"/>
  <c r="T68" i="29"/>
  <c r="S68" i="29"/>
  <c r="R68" i="29"/>
  <c r="Q68" i="29"/>
  <c r="P68" i="29"/>
  <c r="O68" i="29"/>
  <c r="C68" i="29"/>
  <c r="AC67" i="29"/>
  <c r="AB67" i="29"/>
  <c r="U67" i="29"/>
  <c r="T67" i="29"/>
  <c r="S67" i="29"/>
  <c r="R67" i="29"/>
  <c r="Q67" i="29"/>
  <c r="P67" i="29"/>
  <c r="C67" i="29"/>
  <c r="B67" i="29"/>
  <c r="AC66" i="29"/>
  <c r="AB66" i="29"/>
  <c r="U66" i="29"/>
  <c r="T66" i="29"/>
  <c r="S66" i="29"/>
  <c r="R66" i="29"/>
  <c r="Q66" i="29"/>
  <c r="P66" i="29"/>
  <c r="O66" i="29"/>
  <c r="C66" i="29"/>
  <c r="AC65" i="29"/>
  <c r="AB65" i="29"/>
  <c r="U65" i="29"/>
  <c r="T65" i="29"/>
  <c r="S65" i="29"/>
  <c r="R65" i="29"/>
  <c r="Q65" i="29"/>
  <c r="P65" i="29"/>
  <c r="C65" i="29"/>
  <c r="AC64" i="29"/>
  <c r="AB64" i="29"/>
  <c r="C64" i="29"/>
  <c r="B64" i="29"/>
  <c r="AC63" i="29"/>
  <c r="AB63" i="29"/>
  <c r="U63" i="29"/>
  <c r="T63" i="29"/>
  <c r="S63" i="29"/>
  <c r="R63" i="29"/>
  <c r="Q63" i="29"/>
  <c r="P63" i="29"/>
  <c r="O63" i="29"/>
  <c r="C63" i="29"/>
  <c r="AC62" i="29"/>
  <c r="AB62" i="29"/>
  <c r="S62" i="29"/>
  <c r="R62" i="29"/>
  <c r="Q62" i="29"/>
  <c r="P62" i="29"/>
  <c r="C62" i="29"/>
  <c r="AC61" i="29"/>
  <c r="AB61" i="29"/>
  <c r="U61" i="29"/>
  <c r="T61" i="29"/>
  <c r="S61" i="29"/>
  <c r="R61" i="29"/>
  <c r="Q61" i="29"/>
  <c r="P61" i="29"/>
  <c r="O61" i="29"/>
  <c r="C61" i="29"/>
  <c r="AC60" i="29"/>
  <c r="AB60" i="29"/>
  <c r="C60" i="29"/>
  <c r="AC59" i="29"/>
  <c r="AB59" i="29"/>
  <c r="S59" i="29"/>
  <c r="R59" i="29"/>
  <c r="Q59" i="29"/>
  <c r="P59" i="29"/>
  <c r="C59" i="29"/>
  <c r="B59" i="29"/>
  <c r="AC58" i="29"/>
  <c r="W58" i="29"/>
  <c r="Y58" i="29" s="1"/>
  <c r="B58" i="29"/>
  <c r="AC57" i="29"/>
  <c r="AA57" i="29"/>
  <c r="Y57" i="29"/>
  <c r="AC56" i="29"/>
  <c r="AB56" i="29"/>
  <c r="U56" i="29"/>
  <c r="T56" i="29"/>
  <c r="S56" i="29"/>
  <c r="R56" i="29"/>
  <c r="Q56" i="29"/>
  <c r="P56" i="29"/>
  <c r="C56" i="29"/>
  <c r="AC55" i="29"/>
  <c r="AB55" i="29"/>
  <c r="C55" i="29"/>
  <c r="AC54" i="29"/>
  <c r="AB54" i="29"/>
  <c r="S54" i="29"/>
  <c r="R54" i="29"/>
  <c r="Q54" i="29"/>
  <c r="P54" i="29"/>
  <c r="C54" i="29"/>
  <c r="B54" i="29"/>
  <c r="AC53" i="29"/>
  <c r="AB53" i="29"/>
  <c r="U53" i="29"/>
  <c r="T53" i="29"/>
  <c r="S53" i="29"/>
  <c r="R53" i="29"/>
  <c r="Q53" i="29"/>
  <c r="P53" i="29"/>
  <c r="O53" i="29"/>
  <c r="C53" i="29"/>
  <c r="AC52" i="29"/>
  <c r="AB52" i="29"/>
  <c r="C52" i="29"/>
  <c r="B52" i="29"/>
  <c r="AC51" i="29"/>
  <c r="AB51" i="29"/>
  <c r="U51" i="29"/>
  <c r="T51" i="29"/>
  <c r="S51" i="29"/>
  <c r="R51" i="29"/>
  <c r="Q51" i="29"/>
  <c r="P51" i="29"/>
  <c r="O51" i="29"/>
  <c r="C51" i="29"/>
  <c r="AC50" i="29"/>
  <c r="AB50" i="29"/>
  <c r="R50" i="29"/>
  <c r="Q50" i="29"/>
  <c r="P50" i="29"/>
  <c r="O50" i="29"/>
  <c r="C50" i="29"/>
  <c r="B50" i="29"/>
  <c r="AE100" i="24"/>
  <c r="AF100" i="24" s="1"/>
  <c r="AD100" i="24"/>
  <c r="AE99" i="24"/>
  <c r="AF99" i="24" s="1"/>
  <c r="AD99" i="24"/>
  <c r="AE98" i="24"/>
  <c r="AF98" i="24" s="1"/>
  <c r="AD98" i="24"/>
  <c r="AE97" i="24"/>
  <c r="AF97" i="24" s="1"/>
  <c r="AD97" i="24"/>
  <c r="AE96" i="24"/>
  <c r="AF96" i="24" s="1"/>
  <c r="AD96" i="24"/>
  <c r="AE95" i="24"/>
  <c r="AF95" i="24" s="1"/>
  <c r="AD95" i="24"/>
  <c r="AE94" i="24"/>
  <c r="AF94" i="24" s="1"/>
  <c r="AD94" i="24"/>
  <c r="AE93" i="24"/>
  <c r="AF93" i="24" s="1"/>
  <c r="AD93" i="24"/>
  <c r="AE92" i="24"/>
  <c r="AF92" i="24" s="1"/>
  <c r="AD92" i="24"/>
  <c r="AE91" i="24"/>
  <c r="AF91" i="24" s="1"/>
  <c r="AD91" i="24"/>
  <c r="AE90" i="24"/>
  <c r="AF90" i="24" s="1"/>
  <c r="AD90" i="24"/>
  <c r="AE89" i="24"/>
  <c r="AF89" i="24" s="1"/>
  <c r="AD89" i="24"/>
  <c r="AE88" i="24"/>
  <c r="AF88" i="24" s="1"/>
  <c r="AD88" i="24"/>
  <c r="AE87" i="24"/>
  <c r="AF87" i="24" s="1"/>
  <c r="AD87" i="24"/>
  <c r="AE86" i="24"/>
  <c r="AF86" i="24" s="1"/>
  <c r="AD86" i="24"/>
  <c r="AE85" i="24"/>
  <c r="AF85" i="24" s="1"/>
  <c r="AD85" i="24"/>
  <c r="AE84" i="24"/>
  <c r="AF84" i="24" s="1"/>
  <c r="AD84" i="24"/>
  <c r="AE83" i="24"/>
  <c r="AF83" i="24" s="1"/>
  <c r="AD83" i="24"/>
  <c r="AE82" i="24"/>
  <c r="AF82" i="24" s="1"/>
  <c r="AD82" i="24"/>
  <c r="AE81" i="24"/>
  <c r="AF81" i="24" s="1"/>
  <c r="AD81" i="24"/>
  <c r="AE80" i="24"/>
  <c r="AF80" i="24" s="1"/>
  <c r="AD80" i="24"/>
  <c r="AE79" i="24"/>
  <c r="AF79" i="24" s="1"/>
  <c r="AD79" i="24"/>
  <c r="AE78" i="24"/>
  <c r="AF78" i="24" s="1"/>
  <c r="AD78" i="24"/>
  <c r="AE77" i="24"/>
  <c r="AD77" i="24"/>
  <c r="G75" i="24"/>
  <c r="AA74" i="24"/>
  <c r="O159" i="24" s="1"/>
  <c r="M159" i="24" s="1"/>
  <c r="AC73" i="24"/>
  <c r="AB73" i="24"/>
  <c r="V73" i="24"/>
  <c r="S73" i="24"/>
  <c r="C73" i="24"/>
  <c r="B73" i="24"/>
  <c r="AC72" i="24"/>
  <c r="AB72" i="24"/>
  <c r="V72" i="24"/>
  <c r="U72" i="24"/>
  <c r="T72" i="24"/>
  <c r="S72" i="24"/>
  <c r="C72" i="24"/>
  <c r="AC71" i="24"/>
  <c r="AB71" i="24"/>
  <c r="AE71" i="24" s="1"/>
  <c r="V71" i="24"/>
  <c r="U71" i="24"/>
  <c r="T71" i="24"/>
  <c r="S71" i="24"/>
  <c r="C71" i="24"/>
  <c r="AC70" i="24"/>
  <c r="AB70" i="24"/>
  <c r="V70" i="24"/>
  <c r="C70" i="24"/>
  <c r="AC69" i="24"/>
  <c r="AB69" i="24"/>
  <c r="V69" i="24"/>
  <c r="U69" i="24"/>
  <c r="T69" i="24"/>
  <c r="S69" i="24"/>
  <c r="C69" i="24"/>
  <c r="B69" i="24"/>
  <c r="AC68" i="24"/>
  <c r="AB68" i="24"/>
  <c r="V68" i="24"/>
  <c r="U68" i="24"/>
  <c r="T68" i="24"/>
  <c r="S68" i="24"/>
  <c r="C68" i="24"/>
  <c r="AC67" i="24"/>
  <c r="AB67" i="24"/>
  <c r="V67" i="24"/>
  <c r="U67" i="24"/>
  <c r="T67" i="24"/>
  <c r="S67" i="24"/>
  <c r="C67" i="24"/>
  <c r="B67" i="24"/>
  <c r="AC66" i="24"/>
  <c r="AB66" i="24"/>
  <c r="V66" i="24"/>
  <c r="U66" i="24"/>
  <c r="T66" i="24"/>
  <c r="S66" i="24"/>
  <c r="C66" i="24"/>
  <c r="AC65" i="24"/>
  <c r="AB65" i="24"/>
  <c r="V65" i="24"/>
  <c r="U65" i="24"/>
  <c r="T65" i="24"/>
  <c r="S65" i="24"/>
  <c r="C65" i="24"/>
  <c r="AC64" i="24"/>
  <c r="AB64" i="24"/>
  <c r="V64" i="24"/>
  <c r="C64" i="24"/>
  <c r="B64" i="24"/>
  <c r="AC63" i="24"/>
  <c r="AB63" i="24"/>
  <c r="V63" i="24"/>
  <c r="U63" i="24"/>
  <c r="T63" i="24"/>
  <c r="S63" i="24"/>
  <c r="C63" i="24"/>
  <c r="AC62" i="24"/>
  <c r="AB62" i="24"/>
  <c r="V62" i="24"/>
  <c r="S62" i="24"/>
  <c r="C62" i="24"/>
  <c r="AC61" i="24"/>
  <c r="AB61" i="24"/>
  <c r="V61" i="24"/>
  <c r="U61" i="24"/>
  <c r="T61" i="24"/>
  <c r="S61" i="24"/>
  <c r="C61" i="24"/>
  <c r="AC60" i="24"/>
  <c r="AB60" i="24"/>
  <c r="V60" i="24"/>
  <c r="C60" i="24"/>
  <c r="AC59" i="24"/>
  <c r="AB59" i="24"/>
  <c r="V59" i="24"/>
  <c r="S59" i="24"/>
  <c r="C59" i="24"/>
  <c r="B59" i="24"/>
  <c r="AC58" i="24"/>
  <c r="W58" i="24"/>
  <c r="Y58" i="24" s="1"/>
  <c r="B58" i="24"/>
  <c r="AC57" i="24"/>
  <c r="AA57" i="24"/>
  <c r="Y57" i="24"/>
  <c r="AC56" i="24"/>
  <c r="AB56" i="24"/>
  <c r="V56" i="24"/>
  <c r="U56" i="24"/>
  <c r="T56" i="24"/>
  <c r="S56" i="24"/>
  <c r="C56" i="24"/>
  <c r="AC55" i="24"/>
  <c r="AB55" i="24"/>
  <c r="V55" i="24"/>
  <c r="C55" i="24"/>
  <c r="AC54" i="24"/>
  <c r="AB54" i="24"/>
  <c r="V54" i="24"/>
  <c r="S54" i="24"/>
  <c r="C54" i="24"/>
  <c r="B54" i="24"/>
  <c r="AC53" i="24"/>
  <c r="AB53" i="24"/>
  <c r="V53" i="24"/>
  <c r="U53" i="24"/>
  <c r="T53" i="24"/>
  <c r="S53" i="24"/>
  <c r="C53" i="24"/>
  <c r="AC52" i="24"/>
  <c r="AB52" i="24"/>
  <c r="V52" i="24"/>
  <c r="C52" i="24"/>
  <c r="B52" i="24"/>
  <c r="AC51" i="24"/>
  <c r="AB51" i="24"/>
  <c r="V51" i="24"/>
  <c r="U51" i="24"/>
  <c r="T51" i="24"/>
  <c r="S51" i="24"/>
  <c r="C51" i="24"/>
  <c r="AC50" i="24"/>
  <c r="AB50" i="24"/>
  <c r="V50" i="24"/>
  <c r="C50" i="24"/>
  <c r="B50" i="24"/>
  <c r="AE100" i="23"/>
  <c r="AF100" i="23" s="1"/>
  <c r="AD100" i="23"/>
  <c r="AE99" i="23"/>
  <c r="AF99" i="23" s="1"/>
  <c r="AD99" i="23"/>
  <c r="AE98" i="23"/>
  <c r="AF98" i="23" s="1"/>
  <c r="AD98" i="23"/>
  <c r="AE97" i="23"/>
  <c r="AF97" i="23" s="1"/>
  <c r="AD97" i="23"/>
  <c r="AE96" i="23"/>
  <c r="AF96" i="23" s="1"/>
  <c r="AD96" i="23"/>
  <c r="AE95" i="23"/>
  <c r="AF95" i="23" s="1"/>
  <c r="AD95" i="23"/>
  <c r="AE94" i="23"/>
  <c r="AF94" i="23" s="1"/>
  <c r="AD94" i="23"/>
  <c r="AE93" i="23"/>
  <c r="AF93" i="23" s="1"/>
  <c r="AD93" i="23"/>
  <c r="AE92" i="23"/>
  <c r="AF92" i="23" s="1"/>
  <c r="AD92" i="23"/>
  <c r="AE91" i="23"/>
  <c r="AF91" i="23" s="1"/>
  <c r="AD91" i="23"/>
  <c r="AE90" i="23"/>
  <c r="AF90" i="23" s="1"/>
  <c r="AD90" i="23"/>
  <c r="AE89" i="23"/>
  <c r="AF89" i="23" s="1"/>
  <c r="AD89" i="23"/>
  <c r="AE88" i="23"/>
  <c r="AF88" i="23" s="1"/>
  <c r="AD88" i="23"/>
  <c r="AE87" i="23"/>
  <c r="AF87" i="23" s="1"/>
  <c r="AD87" i="23"/>
  <c r="AE86" i="23"/>
  <c r="AF86" i="23" s="1"/>
  <c r="AD86" i="23"/>
  <c r="AE85" i="23"/>
  <c r="AF85" i="23" s="1"/>
  <c r="AD85" i="23"/>
  <c r="AE84" i="23"/>
  <c r="AF84" i="23" s="1"/>
  <c r="AD84" i="23"/>
  <c r="AE83" i="23"/>
  <c r="AF83" i="23" s="1"/>
  <c r="AD83" i="23"/>
  <c r="AE82" i="23"/>
  <c r="AF82" i="23" s="1"/>
  <c r="AD82" i="23"/>
  <c r="AE81" i="23"/>
  <c r="AF81" i="23" s="1"/>
  <c r="AD81" i="23"/>
  <c r="AE80" i="23"/>
  <c r="AF80" i="23" s="1"/>
  <c r="AD80" i="23"/>
  <c r="AE79" i="23"/>
  <c r="AF79" i="23" s="1"/>
  <c r="AD79" i="23"/>
  <c r="AE78" i="23"/>
  <c r="AF78" i="23" s="1"/>
  <c r="AD78" i="23"/>
  <c r="AE77" i="23"/>
  <c r="AD77" i="23"/>
  <c r="G75" i="23"/>
  <c r="AA74" i="23"/>
  <c r="O159" i="23" s="1"/>
  <c r="M159" i="23" s="1"/>
  <c r="AC73" i="23"/>
  <c r="AB73" i="23"/>
  <c r="V73" i="23"/>
  <c r="U73" i="23"/>
  <c r="C73" i="23"/>
  <c r="B73" i="23"/>
  <c r="AC72" i="23"/>
  <c r="AB72" i="23"/>
  <c r="C72" i="23"/>
  <c r="AC71" i="23"/>
  <c r="AB71" i="23"/>
  <c r="C71" i="23"/>
  <c r="AC70" i="23"/>
  <c r="AB70" i="23"/>
  <c r="C70" i="23"/>
  <c r="AC69" i="23"/>
  <c r="AB69" i="23"/>
  <c r="V69" i="23"/>
  <c r="U69" i="23"/>
  <c r="C69" i="23"/>
  <c r="B69" i="23"/>
  <c r="AC68" i="23"/>
  <c r="AB68" i="23"/>
  <c r="V68" i="23"/>
  <c r="U68" i="23"/>
  <c r="C68" i="23"/>
  <c r="AC67" i="23"/>
  <c r="AB67" i="23"/>
  <c r="C67" i="23"/>
  <c r="B67" i="23"/>
  <c r="AC66" i="23"/>
  <c r="AB66" i="23"/>
  <c r="V66" i="23"/>
  <c r="U66" i="23"/>
  <c r="C66" i="23"/>
  <c r="AC65" i="23"/>
  <c r="AB65" i="23"/>
  <c r="C65" i="23"/>
  <c r="AC64" i="23"/>
  <c r="AB64" i="23"/>
  <c r="C64" i="23"/>
  <c r="B64" i="23"/>
  <c r="AC63" i="23"/>
  <c r="AB63" i="23"/>
  <c r="V63" i="23"/>
  <c r="U63" i="23"/>
  <c r="C63" i="23"/>
  <c r="AC62" i="23"/>
  <c r="AB62" i="23"/>
  <c r="V62" i="23"/>
  <c r="U62" i="23"/>
  <c r="C62" i="23"/>
  <c r="AC61" i="23"/>
  <c r="AB61" i="23"/>
  <c r="V61" i="23"/>
  <c r="U61" i="23"/>
  <c r="C61" i="23"/>
  <c r="AC60" i="23"/>
  <c r="AB60" i="23"/>
  <c r="C60" i="23"/>
  <c r="AC59" i="23"/>
  <c r="AB59" i="23"/>
  <c r="V59" i="23"/>
  <c r="U59" i="23"/>
  <c r="C59" i="23"/>
  <c r="B59" i="23"/>
  <c r="AC58" i="23"/>
  <c r="W58" i="23"/>
  <c r="Y58" i="23" s="1"/>
  <c r="B58" i="23"/>
  <c r="AC57" i="23"/>
  <c r="AA57" i="23"/>
  <c r="Y57" i="23"/>
  <c r="AC56" i="23"/>
  <c r="AB56" i="23"/>
  <c r="V56" i="23"/>
  <c r="U56" i="23"/>
  <c r="C56" i="23"/>
  <c r="AC55" i="23"/>
  <c r="AB55" i="23"/>
  <c r="C55" i="23"/>
  <c r="AC54" i="23"/>
  <c r="AB54" i="23"/>
  <c r="V54" i="23"/>
  <c r="U54" i="23"/>
  <c r="C54" i="23"/>
  <c r="B54" i="23"/>
  <c r="AC53" i="23"/>
  <c r="AB53" i="23"/>
  <c r="V53" i="23"/>
  <c r="U53" i="23"/>
  <c r="C53" i="23"/>
  <c r="AC52" i="23"/>
  <c r="AB52" i="23"/>
  <c r="C52" i="23"/>
  <c r="B52" i="23"/>
  <c r="AC51" i="23"/>
  <c r="AB51" i="23"/>
  <c r="V51" i="23"/>
  <c r="U51" i="23"/>
  <c r="C51" i="23"/>
  <c r="AC50" i="23"/>
  <c r="AB50" i="23"/>
  <c r="V50" i="23"/>
  <c r="U50" i="23"/>
  <c r="C50" i="23"/>
  <c r="B50" i="23"/>
  <c r="AA74" i="1"/>
  <c r="AA57" i="1"/>
  <c r="B165" i="24"/>
  <c r="B164" i="24"/>
  <c r="B163" i="24"/>
  <c r="B165" i="23"/>
  <c r="B164" i="23"/>
  <c r="B163" i="23"/>
  <c r="B163" i="1"/>
  <c r="B37" i="17"/>
  <c r="U124" i="5" s="1"/>
  <c r="AE72" i="24" l="1"/>
  <c r="AD69" i="24"/>
  <c r="AE70" i="24"/>
  <c r="AD50" i="23"/>
  <c r="AD70" i="23"/>
  <c r="AD54" i="29"/>
  <c r="AE69" i="23"/>
  <c r="AE61" i="23"/>
  <c r="AE55" i="23"/>
  <c r="AE63" i="23"/>
  <c r="AD64" i="23"/>
  <c r="AD65" i="23"/>
  <c r="L65" i="23" s="1"/>
  <c r="AE71" i="23"/>
  <c r="AE50" i="23"/>
  <c r="AE64" i="24"/>
  <c r="AD59" i="29"/>
  <c r="AE64" i="29"/>
  <c r="AE65" i="29"/>
  <c r="AE66" i="29"/>
  <c r="AE67" i="29"/>
  <c r="AE69" i="29"/>
  <c r="AD70" i="29"/>
  <c r="AD56" i="29"/>
  <c r="AE68" i="24"/>
  <c r="AD66" i="29"/>
  <c r="N66" i="29" s="1"/>
  <c r="AE71" i="29"/>
  <c r="AE59" i="29"/>
  <c r="AE52" i="29"/>
  <c r="AE53" i="29"/>
  <c r="AE59" i="24"/>
  <c r="AD62" i="24"/>
  <c r="AE65" i="24"/>
  <c r="H65" i="24" s="1"/>
  <c r="AG77" i="24"/>
  <c r="AD51" i="23"/>
  <c r="AE54" i="23"/>
  <c r="AD56" i="23"/>
  <c r="M56" i="23" s="1"/>
  <c r="AD71" i="23"/>
  <c r="I71" i="23" s="1"/>
  <c r="AD72" i="23"/>
  <c r="AD73" i="23"/>
  <c r="AF77" i="24"/>
  <c r="AD65" i="24"/>
  <c r="AE52" i="24"/>
  <c r="AE53" i="24"/>
  <c r="AD67" i="24"/>
  <c r="AE55" i="29"/>
  <c r="AD69" i="29"/>
  <c r="I69" i="29" s="1"/>
  <c r="AD72" i="29"/>
  <c r="AD73" i="29"/>
  <c r="L73" i="29" s="1"/>
  <c r="AF77" i="29"/>
  <c r="AE60" i="29"/>
  <c r="AE62" i="29"/>
  <c r="AE63" i="29"/>
  <c r="AE50" i="29"/>
  <c r="AE51" i="29"/>
  <c r="AD68" i="29"/>
  <c r="AD55" i="29"/>
  <c r="V55" i="29" s="1"/>
  <c r="AD60" i="29"/>
  <c r="AE61" i="29"/>
  <c r="AD63" i="29"/>
  <c r="N63" i="29" s="1"/>
  <c r="AE72" i="29"/>
  <c r="K72" i="29" s="1"/>
  <c r="AE54" i="29"/>
  <c r="I54" i="29" s="1"/>
  <c r="AD71" i="29"/>
  <c r="J71" i="29" s="1"/>
  <c r="AE56" i="29"/>
  <c r="AD65" i="29"/>
  <c r="AE73" i="29"/>
  <c r="AD67" i="29"/>
  <c r="O67" i="29" s="1"/>
  <c r="AG77" i="29"/>
  <c r="AE68" i="29"/>
  <c r="I68" i="29" s="1"/>
  <c r="AE70" i="29"/>
  <c r="AD55" i="24"/>
  <c r="AD56" i="24"/>
  <c r="AD72" i="24"/>
  <c r="AE61" i="24"/>
  <c r="AE62" i="24"/>
  <c r="AE67" i="24"/>
  <c r="J65" i="29"/>
  <c r="AD71" i="24"/>
  <c r="AE73" i="24"/>
  <c r="AE50" i="24"/>
  <c r="AE51" i="24"/>
  <c r="AE63" i="24"/>
  <c r="AE69" i="24"/>
  <c r="H69" i="24" s="1"/>
  <c r="AE56" i="24"/>
  <c r="AD70" i="24"/>
  <c r="AD54" i="24"/>
  <c r="AE66" i="24"/>
  <c r="AD59" i="24"/>
  <c r="AE54" i="24"/>
  <c r="AE60" i="24"/>
  <c r="AD66" i="24"/>
  <c r="AE55" i="24"/>
  <c r="AD68" i="24"/>
  <c r="AA58" i="23"/>
  <c r="AE59" i="23"/>
  <c r="AE51" i="23"/>
  <c r="L51" i="23" s="1"/>
  <c r="AD60" i="23"/>
  <c r="AE72" i="23"/>
  <c r="AE73" i="23"/>
  <c r="AE52" i="23"/>
  <c r="AE53" i="23"/>
  <c r="AD54" i="23"/>
  <c r="AE65" i="23"/>
  <c r="AE66" i="23"/>
  <c r="AD55" i="23"/>
  <c r="M55" i="23" s="1"/>
  <c r="AD59" i="23"/>
  <c r="AE60" i="23"/>
  <c r="M60" i="23" s="1"/>
  <c r="AE67" i="23"/>
  <c r="AE68" i="23"/>
  <c r="AG77" i="23"/>
  <c r="AE56" i="23"/>
  <c r="AE62" i="23"/>
  <c r="AF77" i="23"/>
  <c r="AD63" i="23"/>
  <c r="AD69" i="23"/>
  <c r="AE70" i="23"/>
  <c r="N70" i="23" s="1"/>
  <c r="AE64" i="23"/>
  <c r="L64" i="23" s="1"/>
  <c r="U123" i="27"/>
  <c r="U123" i="26"/>
  <c r="U123" i="30"/>
  <c r="AA58" i="24"/>
  <c r="AA58" i="29"/>
  <c r="AD64" i="29"/>
  <c r="K65" i="29"/>
  <c r="AD62" i="29"/>
  <c r="L65" i="29"/>
  <c r="L71" i="29"/>
  <c r="AD50" i="29"/>
  <c r="V50" i="29" s="1"/>
  <c r="AD51" i="29"/>
  <c r="AD52" i="29"/>
  <c r="AD53" i="29"/>
  <c r="N53" i="29" s="1"/>
  <c r="AD61" i="29"/>
  <c r="M59" i="24"/>
  <c r="AD64" i="24"/>
  <c r="K69" i="24"/>
  <c r="AD60" i="24"/>
  <c r="AD63" i="24"/>
  <c r="AD73" i="24"/>
  <c r="AD50" i="24"/>
  <c r="AD51" i="24"/>
  <c r="AD52" i="24"/>
  <c r="AD61" i="24"/>
  <c r="G69" i="24"/>
  <c r="AD53" i="24"/>
  <c r="M69" i="23"/>
  <c r="H71" i="23"/>
  <c r="M73" i="23"/>
  <c r="H72" i="23"/>
  <c r="G72" i="23"/>
  <c r="M72" i="23"/>
  <c r="AD66" i="23"/>
  <c r="H50" i="23"/>
  <c r="J50" i="23"/>
  <c r="AD62" i="23"/>
  <c r="L50" i="23"/>
  <c r="AD67" i="23"/>
  <c r="AD68" i="23"/>
  <c r="AD52" i="23"/>
  <c r="AD53" i="23"/>
  <c r="AD61" i="23"/>
  <c r="O159" i="1"/>
  <c r="M159" i="1" s="1"/>
  <c r="B73" i="1"/>
  <c r="B69" i="1"/>
  <c r="B67" i="1"/>
  <c r="B64" i="1"/>
  <c r="B59" i="1"/>
  <c r="B58" i="1"/>
  <c r="B54" i="1"/>
  <c r="B52" i="1"/>
  <c r="B50" i="1"/>
  <c r="C73" i="1"/>
  <c r="C72" i="1"/>
  <c r="C71" i="1"/>
  <c r="C70" i="1"/>
  <c r="C69" i="1"/>
  <c r="C68" i="1"/>
  <c r="C67" i="1"/>
  <c r="C66" i="1"/>
  <c r="C65" i="1"/>
  <c r="C64" i="1"/>
  <c r="C63" i="1"/>
  <c r="C62" i="1"/>
  <c r="C61" i="1"/>
  <c r="C60" i="1"/>
  <c r="C59" i="1"/>
  <c r="C56" i="1"/>
  <c r="C55" i="1"/>
  <c r="C54" i="1"/>
  <c r="C53" i="1"/>
  <c r="C52" i="1"/>
  <c r="C51" i="1"/>
  <c r="C50" i="1"/>
  <c r="D168" i="36"/>
  <c r="B23" i="1"/>
  <c r="U50" i="41"/>
  <c r="V50" i="41" s="1"/>
  <c r="W50" i="41" s="1"/>
  <c r="X50" i="41" s="1"/>
  <c r="Y50" i="41" s="1"/>
  <c r="Z50" i="41" s="1"/>
  <c r="AA50" i="41" s="1"/>
  <c r="AB50" i="41" s="1"/>
  <c r="AC50" i="41" s="1"/>
  <c r="AD50" i="41" s="1"/>
  <c r="AE50" i="41" s="1"/>
  <c r="AF50" i="41" s="1"/>
  <c r="AG50" i="41" s="1"/>
  <c r="AH50" i="41" s="1"/>
  <c r="AI50" i="41" s="1"/>
  <c r="S59" i="41"/>
  <c r="S58" i="41"/>
  <c r="S57" i="41"/>
  <c r="S56" i="41"/>
  <c r="S55" i="41"/>
  <c r="S54" i="41"/>
  <c r="S53" i="41"/>
  <c r="S52" i="41"/>
  <c r="D48" i="36"/>
  <c r="G111" i="36" s="1"/>
  <c r="D170" i="36"/>
  <c r="C170" i="36"/>
  <c r="D169" i="36"/>
  <c r="C169" i="36"/>
  <c r="C168" i="36"/>
  <c r="D167" i="36"/>
  <c r="C167" i="36"/>
  <c r="D166" i="36"/>
  <c r="C166" i="36"/>
  <c r="B166" i="36"/>
  <c r="D165" i="36"/>
  <c r="C165" i="36"/>
  <c r="D164" i="36"/>
  <c r="C164" i="36"/>
  <c r="C162" i="36"/>
  <c r="B162" i="36"/>
  <c r="D157" i="36"/>
  <c r="C157" i="36"/>
  <c r="D156" i="36"/>
  <c r="C156" i="36"/>
  <c r="D155" i="36"/>
  <c r="C155" i="36"/>
  <c r="D154" i="36"/>
  <c r="C154" i="36"/>
  <c r="D153" i="36"/>
  <c r="C153" i="36"/>
  <c r="D152" i="36"/>
  <c r="C152" i="36"/>
  <c r="B152" i="36"/>
  <c r="D151" i="36"/>
  <c r="C151" i="36"/>
  <c r="D150" i="36"/>
  <c r="C150" i="36"/>
  <c r="D149" i="36"/>
  <c r="C149" i="36"/>
  <c r="D148" i="36"/>
  <c r="C148" i="36"/>
  <c r="B148" i="36"/>
  <c r="B8" i="52"/>
  <c r="H70" i="29" l="1"/>
  <c r="L72" i="29"/>
  <c r="G73" i="29"/>
  <c r="K63" i="29"/>
  <c r="I63" i="29"/>
  <c r="L63" i="29"/>
  <c r="J66" i="29"/>
  <c r="L69" i="29"/>
  <c r="M63" i="29"/>
  <c r="G72" i="29"/>
  <c r="H63" i="29"/>
  <c r="G70" i="29"/>
  <c r="G63" i="29"/>
  <c r="G69" i="29"/>
  <c r="K69" i="29"/>
  <c r="I70" i="29"/>
  <c r="J70" i="29"/>
  <c r="J69" i="29"/>
  <c r="I73" i="29"/>
  <c r="K56" i="29"/>
  <c r="R72" i="24"/>
  <c r="Q72" i="24"/>
  <c r="P72" i="24"/>
  <c r="R68" i="24"/>
  <c r="Q68" i="24"/>
  <c r="P68" i="24"/>
  <c r="N61" i="24"/>
  <c r="R61" i="24"/>
  <c r="Q61" i="24"/>
  <c r="P61" i="24"/>
  <c r="O61" i="24"/>
  <c r="Q67" i="24"/>
  <c r="P67" i="24"/>
  <c r="R67" i="24"/>
  <c r="N66" i="24"/>
  <c r="P66" i="24"/>
  <c r="O66" i="24"/>
  <c r="R66" i="24"/>
  <c r="Q66" i="24"/>
  <c r="H62" i="24"/>
  <c r="R62" i="24"/>
  <c r="Q62" i="24"/>
  <c r="P62" i="24"/>
  <c r="R73" i="24"/>
  <c r="Q73" i="24"/>
  <c r="P73" i="24"/>
  <c r="N71" i="24"/>
  <c r="Q71" i="24"/>
  <c r="P71" i="24"/>
  <c r="O71" i="24"/>
  <c r="R71" i="24"/>
  <c r="R65" i="24"/>
  <c r="Q65" i="24"/>
  <c r="P65" i="24"/>
  <c r="J72" i="24"/>
  <c r="N63" i="24"/>
  <c r="R63" i="24"/>
  <c r="Q63" i="24"/>
  <c r="P63" i="24"/>
  <c r="O63" i="24"/>
  <c r="R59" i="24"/>
  <c r="Q59" i="24"/>
  <c r="P59" i="24"/>
  <c r="I72" i="24"/>
  <c r="M65" i="24"/>
  <c r="R69" i="24"/>
  <c r="Q69" i="24"/>
  <c r="P69" i="24"/>
  <c r="O56" i="24"/>
  <c r="R56" i="24"/>
  <c r="Q56" i="24"/>
  <c r="P56" i="24"/>
  <c r="N53" i="24"/>
  <c r="R53" i="24"/>
  <c r="Q53" i="24"/>
  <c r="P53" i="24"/>
  <c r="O53" i="24"/>
  <c r="N51" i="24"/>
  <c r="R51" i="24"/>
  <c r="Q51" i="24"/>
  <c r="P51" i="24"/>
  <c r="O51" i="24"/>
  <c r="R54" i="24"/>
  <c r="Q54" i="24"/>
  <c r="P54" i="24"/>
  <c r="R50" i="24"/>
  <c r="Q50" i="24"/>
  <c r="P50" i="24"/>
  <c r="O50" i="24"/>
  <c r="J71" i="23"/>
  <c r="T61" i="23"/>
  <c r="S61" i="23"/>
  <c r="R61" i="23"/>
  <c r="Q61" i="23"/>
  <c r="P61" i="23"/>
  <c r="O61" i="23"/>
  <c r="N61" i="23"/>
  <c r="N66" i="23"/>
  <c r="T66" i="23"/>
  <c r="S66" i="23"/>
  <c r="R66" i="23"/>
  <c r="Q66" i="23"/>
  <c r="P66" i="23"/>
  <c r="O66" i="23"/>
  <c r="G71" i="23"/>
  <c r="R71" i="23"/>
  <c r="Q71" i="23"/>
  <c r="P71" i="23"/>
  <c r="O71" i="23"/>
  <c r="N71" i="23"/>
  <c r="T69" i="23"/>
  <c r="S69" i="23"/>
  <c r="R69" i="23"/>
  <c r="Q69" i="23"/>
  <c r="M65" i="23"/>
  <c r="J63" i="23"/>
  <c r="T63" i="23"/>
  <c r="S63" i="23"/>
  <c r="R63" i="23"/>
  <c r="Q63" i="23"/>
  <c r="P63" i="23"/>
  <c r="O63" i="23"/>
  <c r="N63" i="23"/>
  <c r="T68" i="23"/>
  <c r="S68" i="23"/>
  <c r="R68" i="23"/>
  <c r="Q68" i="23"/>
  <c r="P68" i="23"/>
  <c r="O68" i="23"/>
  <c r="N68" i="23"/>
  <c r="L60" i="23"/>
  <c r="L59" i="23"/>
  <c r="T59" i="23"/>
  <c r="S59" i="23"/>
  <c r="R59" i="23"/>
  <c r="Q59" i="23"/>
  <c r="M63" i="23"/>
  <c r="T62" i="23"/>
  <c r="S62" i="23"/>
  <c r="R62" i="23"/>
  <c r="Q62" i="23"/>
  <c r="P62" i="23"/>
  <c r="O62" i="23"/>
  <c r="N62" i="23"/>
  <c r="L73" i="23"/>
  <c r="T73" i="23"/>
  <c r="S73" i="23"/>
  <c r="R73" i="23"/>
  <c r="Q73" i="23"/>
  <c r="P73" i="23"/>
  <c r="O73" i="23"/>
  <c r="N73" i="23"/>
  <c r="M71" i="23"/>
  <c r="L72" i="23"/>
  <c r="L56" i="23"/>
  <c r="O56" i="23"/>
  <c r="N56" i="23"/>
  <c r="T56" i="23"/>
  <c r="S56" i="23"/>
  <c r="R56" i="23"/>
  <c r="Q56" i="23"/>
  <c r="P56" i="23"/>
  <c r="T51" i="23"/>
  <c r="S51" i="23"/>
  <c r="R51" i="23"/>
  <c r="Q51" i="23"/>
  <c r="L54" i="23"/>
  <c r="R54" i="23"/>
  <c r="Q54" i="23"/>
  <c r="T54" i="23"/>
  <c r="S54" i="23"/>
  <c r="H51" i="23"/>
  <c r="L55" i="23"/>
  <c r="K56" i="23"/>
  <c r="O53" i="23"/>
  <c r="N53" i="23"/>
  <c r="T53" i="23"/>
  <c r="S53" i="23"/>
  <c r="R53" i="23"/>
  <c r="Q53" i="23"/>
  <c r="P53" i="23"/>
  <c r="Q50" i="23"/>
  <c r="S50" i="23"/>
  <c r="T50" i="23"/>
  <c r="R50" i="23"/>
  <c r="O50" i="23"/>
  <c r="O56" i="29"/>
  <c r="G71" i="29"/>
  <c r="V62" i="29"/>
  <c r="N62" i="29"/>
  <c r="O73" i="29"/>
  <c r="N73" i="29"/>
  <c r="V61" i="29"/>
  <c r="N61" i="29"/>
  <c r="O72" i="29"/>
  <c r="N72" i="29"/>
  <c r="N56" i="29"/>
  <c r="N71" i="29"/>
  <c r="N68" i="29"/>
  <c r="O54" i="29"/>
  <c r="J63" i="29"/>
  <c r="O65" i="29"/>
  <c r="N65" i="29"/>
  <c r="V59" i="29"/>
  <c r="O59" i="29"/>
  <c r="L72" i="24"/>
  <c r="O72" i="24"/>
  <c r="N72" i="24"/>
  <c r="N56" i="24"/>
  <c r="J69" i="24"/>
  <c r="O59" i="24"/>
  <c r="N59" i="24"/>
  <c r="O67" i="24"/>
  <c r="N67" i="24"/>
  <c r="H72" i="24"/>
  <c r="N62" i="24"/>
  <c r="N50" i="24"/>
  <c r="O73" i="24"/>
  <c r="N73" i="24"/>
  <c r="N54" i="24"/>
  <c r="G62" i="24"/>
  <c r="J65" i="24"/>
  <c r="O65" i="24"/>
  <c r="N65" i="24"/>
  <c r="L68" i="24"/>
  <c r="O68" i="24"/>
  <c r="N68" i="24"/>
  <c r="G72" i="24"/>
  <c r="K72" i="24"/>
  <c r="I67" i="24"/>
  <c r="N69" i="24"/>
  <c r="M69" i="24"/>
  <c r="K62" i="24"/>
  <c r="L62" i="24"/>
  <c r="O69" i="24"/>
  <c r="J72" i="23"/>
  <c r="G50" i="23"/>
  <c r="K71" i="23"/>
  <c r="G67" i="29"/>
  <c r="M67" i="29"/>
  <c r="H67" i="29"/>
  <c r="K67" i="29"/>
  <c r="K59" i="29"/>
  <c r="I67" i="29"/>
  <c r="J67" i="29"/>
  <c r="L67" i="29"/>
  <c r="V64" i="29"/>
  <c r="V60" i="29"/>
  <c r="H65" i="29"/>
  <c r="V65" i="29"/>
  <c r="I71" i="29"/>
  <c r="V71" i="29"/>
  <c r="J60" i="29"/>
  <c r="K66" i="29"/>
  <c r="V66" i="29"/>
  <c r="V73" i="29"/>
  <c r="V63" i="29"/>
  <c r="I72" i="29"/>
  <c r="V72" i="29"/>
  <c r="V69" i="29"/>
  <c r="M70" i="29"/>
  <c r="V70" i="29"/>
  <c r="V68" i="29"/>
  <c r="N67" i="29"/>
  <c r="V67" i="29"/>
  <c r="V53" i="29"/>
  <c r="V52" i="29"/>
  <c r="M56" i="29"/>
  <c r="V56" i="29"/>
  <c r="N51" i="29"/>
  <c r="V51" i="29"/>
  <c r="V54" i="29"/>
  <c r="L70" i="29"/>
  <c r="U59" i="29"/>
  <c r="T59" i="29"/>
  <c r="P52" i="29"/>
  <c r="O52" i="29"/>
  <c r="Q52" i="29"/>
  <c r="U52" i="29"/>
  <c r="T52" i="29"/>
  <c r="S52" i="29"/>
  <c r="R52" i="29"/>
  <c r="U62" i="29"/>
  <c r="T62" i="29"/>
  <c r="K70" i="29"/>
  <c r="U50" i="29"/>
  <c r="T50" i="29"/>
  <c r="S50" i="29"/>
  <c r="K73" i="29"/>
  <c r="U73" i="29"/>
  <c r="T73" i="29"/>
  <c r="I60" i="29"/>
  <c r="U60" i="29"/>
  <c r="T60" i="29"/>
  <c r="S60" i="29"/>
  <c r="R60" i="29"/>
  <c r="Q60" i="29"/>
  <c r="P60" i="29"/>
  <c r="O60" i="29"/>
  <c r="N60" i="29"/>
  <c r="U64" i="29"/>
  <c r="T64" i="29"/>
  <c r="S64" i="29"/>
  <c r="R64" i="29"/>
  <c r="Q64" i="29"/>
  <c r="P64" i="29"/>
  <c r="O64" i="29"/>
  <c r="U70" i="29"/>
  <c r="T70" i="29"/>
  <c r="S70" i="29"/>
  <c r="R70" i="29"/>
  <c r="Q70" i="29"/>
  <c r="P70" i="29"/>
  <c r="O70" i="29"/>
  <c r="I55" i="29"/>
  <c r="P55" i="29"/>
  <c r="O55" i="29"/>
  <c r="N55" i="29"/>
  <c r="Q55" i="29"/>
  <c r="U55" i="29"/>
  <c r="T55" i="29"/>
  <c r="S55" i="29"/>
  <c r="R55" i="29"/>
  <c r="U54" i="29"/>
  <c r="T54" i="29"/>
  <c r="V64" i="23"/>
  <c r="U64" i="23"/>
  <c r="T64" i="23"/>
  <c r="S64" i="23"/>
  <c r="R64" i="23"/>
  <c r="Q64" i="23"/>
  <c r="U60" i="23"/>
  <c r="T60" i="23"/>
  <c r="S60" i="23"/>
  <c r="Q60" i="23"/>
  <c r="P60" i="23"/>
  <c r="O60" i="23"/>
  <c r="N60" i="23"/>
  <c r="V60" i="23"/>
  <c r="R60" i="23"/>
  <c r="V52" i="23"/>
  <c r="U52" i="23"/>
  <c r="S52" i="23"/>
  <c r="R52" i="23"/>
  <c r="Q52" i="23"/>
  <c r="T52" i="23"/>
  <c r="R70" i="23"/>
  <c r="V67" i="23"/>
  <c r="U67" i="23"/>
  <c r="T67" i="23"/>
  <c r="S67" i="23"/>
  <c r="R67" i="23"/>
  <c r="Q67" i="23"/>
  <c r="H64" i="23"/>
  <c r="I55" i="23"/>
  <c r="N55" i="23"/>
  <c r="V55" i="23"/>
  <c r="U55" i="23"/>
  <c r="R55" i="23"/>
  <c r="T55" i="23"/>
  <c r="S55" i="23"/>
  <c r="Q55" i="23"/>
  <c r="P55" i="23"/>
  <c r="O55" i="23"/>
  <c r="Q70" i="23"/>
  <c r="V70" i="23"/>
  <c r="S72" i="23"/>
  <c r="R72" i="23"/>
  <c r="Q72" i="23"/>
  <c r="P72" i="23"/>
  <c r="O72" i="23"/>
  <c r="N72" i="23"/>
  <c r="V72" i="23"/>
  <c r="U72" i="23"/>
  <c r="T72" i="23"/>
  <c r="U70" i="23"/>
  <c r="L71" i="23"/>
  <c r="S71" i="23"/>
  <c r="V71" i="23"/>
  <c r="U71" i="23"/>
  <c r="T71" i="23"/>
  <c r="T70" i="23"/>
  <c r="V65" i="23"/>
  <c r="U65" i="23"/>
  <c r="T65" i="23"/>
  <c r="S65" i="23"/>
  <c r="R65" i="23"/>
  <c r="Q65" i="23"/>
  <c r="P65" i="23"/>
  <c r="O65" i="23"/>
  <c r="N65" i="23"/>
  <c r="S70" i="23"/>
  <c r="U73" i="24"/>
  <c r="T73" i="24"/>
  <c r="M54" i="24"/>
  <c r="U54" i="24"/>
  <c r="T54" i="24"/>
  <c r="U60" i="24"/>
  <c r="T60" i="24"/>
  <c r="S60" i="24"/>
  <c r="R60" i="24"/>
  <c r="Q60" i="24"/>
  <c r="P60" i="24"/>
  <c r="O60" i="24"/>
  <c r="N60" i="24"/>
  <c r="I70" i="24"/>
  <c r="R70" i="24"/>
  <c r="Q70" i="24"/>
  <c r="P70" i="24"/>
  <c r="O70" i="24"/>
  <c r="N70" i="24"/>
  <c r="U70" i="24"/>
  <c r="T70" i="24"/>
  <c r="S70" i="24"/>
  <c r="T64" i="24"/>
  <c r="S64" i="24"/>
  <c r="R64" i="24"/>
  <c r="Q64" i="24"/>
  <c r="P64" i="24"/>
  <c r="O64" i="24"/>
  <c r="N64" i="24"/>
  <c r="U64" i="24"/>
  <c r="J55" i="24"/>
  <c r="P55" i="24"/>
  <c r="O55" i="24"/>
  <c r="N55" i="24"/>
  <c r="U55" i="24"/>
  <c r="T55" i="24"/>
  <c r="S55" i="24"/>
  <c r="R55" i="24"/>
  <c r="Q55" i="24"/>
  <c r="H59" i="24"/>
  <c r="U59" i="24"/>
  <c r="T59" i="24"/>
  <c r="Q52" i="24"/>
  <c r="P52" i="24"/>
  <c r="O52" i="24"/>
  <c r="N52" i="24"/>
  <c r="U52" i="24"/>
  <c r="T52" i="24"/>
  <c r="S52" i="24"/>
  <c r="R52" i="24"/>
  <c r="U62" i="24"/>
  <c r="T62" i="24"/>
  <c r="U50" i="24"/>
  <c r="T50" i="24"/>
  <c r="S50" i="24"/>
  <c r="L63" i="23"/>
  <c r="K73" i="23"/>
  <c r="G64" i="23"/>
  <c r="I59" i="24"/>
  <c r="L54" i="29"/>
  <c r="N59" i="29"/>
  <c r="N50" i="29"/>
  <c r="N64" i="29"/>
  <c r="H69" i="29"/>
  <c r="N69" i="29"/>
  <c r="N70" i="29"/>
  <c r="J54" i="29"/>
  <c r="K54" i="29"/>
  <c r="N54" i="29"/>
  <c r="H67" i="24"/>
  <c r="G67" i="24"/>
  <c r="M59" i="23"/>
  <c r="L70" i="23"/>
  <c r="J70" i="23"/>
  <c r="M70" i="23"/>
  <c r="K51" i="23"/>
  <c r="P52" i="23"/>
  <c r="O52" i="23"/>
  <c r="N52" i="23"/>
  <c r="P64" i="23"/>
  <c r="O64" i="23"/>
  <c r="N64" i="23"/>
  <c r="M51" i="23"/>
  <c r="O51" i="23"/>
  <c r="P51" i="23"/>
  <c r="N51" i="23"/>
  <c r="P67" i="23"/>
  <c r="O67" i="23"/>
  <c r="N67" i="23"/>
  <c r="P59" i="23"/>
  <c r="O59" i="23"/>
  <c r="N59" i="23"/>
  <c r="I50" i="23"/>
  <c r="N50" i="23"/>
  <c r="K50" i="23"/>
  <c r="I54" i="23"/>
  <c r="P54" i="23"/>
  <c r="O54" i="23"/>
  <c r="N54" i="23"/>
  <c r="H70" i="23"/>
  <c r="O70" i="23"/>
  <c r="P50" i="23"/>
  <c r="L69" i="23"/>
  <c r="P69" i="23"/>
  <c r="O69" i="23"/>
  <c r="N69" i="23"/>
  <c r="P70" i="23"/>
  <c r="F11" i="52"/>
  <c r="I59" i="29"/>
  <c r="G66" i="29"/>
  <c r="H56" i="29"/>
  <c r="M60" i="29"/>
  <c r="J59" i="29"/>
  <c r="G56" i="29"/>
  <c r="I56" i="29"/>
  <c r="H71" i="29"/>
  <c r="K60" i="29"/>
  <c r="M66" i="29"/>
  <c r="M72" i="29"/>
  <c r="M71" i="29"/>
  <c r="J56" i="29"/>
  <c r="J55" i="29"/>
  <c r="L60" i="29"/>
  <c r="H72" i="29"/>
  <c r="J72" i="29"/>
  <c r="M69" i="29"/>
  <c r="L56" i="29"/>
  <c r="H60" i="29"/>
  <c r="I65" i="29"/>
  <c r="I66" i="29"/>
  <c r="M54" i="29"/>
  <c r="G59" i="29"/>
  <c r="G60" i="29"/>
  <c r="L66" i="29"/>
  <c r="H66" i="29"/>
  <c r="K71" i="29"/>
  <c r="H73" i="29"/>
  <c r="G54" i="29"/>
  <c r="L59" i="29"/>
  <c r="J73" i="29"/>
  <c r="H54" i="29"/>
  <c r="H59" i="29"/>
  <c r="I65" i="24"/>
  <c r="K55" i="24"/>
  <c r="L65" i="24"/>
  <c r="K65" i="24"/>
  <c r="L59" i="24"/>
  <c r="M67" i="24"/>
  <c r="J59" i="24"/>
  <c r="K67" i="24"/>
  <c r="G68" i="24"/>
  <c r="L67" i="24"/>
  <c r="I55" i="24"/>
  <c r="K59" i="24"/>
  <c r="J68" i="24"/>
  <c r="H68" i="24"/>
  <c r="I62" i="24"/>
  <c r="I68" i="24"/>
  <c r="K56" i="24"/>
  <c r="J67" i="24"/>
  <c r="J62" i="24"/>
  <c r="M72" i="24"/>
  <c r="W72" i="24" s="1"/>
  <c r="AA72" i="24" s="1"/>
  <c r="L68" i="29"/>
  <c r="K55" i="29"/>
  <c r="L55" i="29"/>
  <c r="J68" i="29"/>
  <c r="M55" i="29"/>
  <c r="K68" i="29"/>
  <c r="G68" i="29"/>
  <c r="H68" i="29"/>
  <c r="G55" i="29"/>
  <c r="H55" i="29"/>
  <c r="B127" i="5"/>
  <c r="B126" i="27"/>
  <c r="K68" i="24"/>
  <c r="I69" i="24"/>
  <c r="J56" i="24"/>
  <c r="G54" i="24"/>
  <c r="I54" i="24"/>
  <c r="H54" i="24"/>
  <c r="J54" i="24"/>
  <c r="K54" i="24"/>
  <c r="L54" i="24"/>
  <c r="H56" i="23"/>
  <c r="I60" i="23"/>
  <c r="G59" i="23"/>
  <c r="J60" i="23"/>
  <c r="I56" i="23"/>
  <c r="G54" i="23"/>
  <c r="H59" i="23"/>
  <c r="K59" i="23"/>
  <c r="J59" i="23"/>
  <c r="K60" i="23"/>
  <c r="K54" i="23"/>
  <c r="G51" i="23"/>
  <c r="I59" i="23"/>
  <c r="G70" i="24"/>
  <c r="L55" i="24"/>
  <c r="M70" i="24"/>
  <c r="L69" i="24"/>
  <c r="L56" i="24"/>
  <c r="L70" i="24"/>
  <c r="J70" i="24"/>
  <c r="M66" i="24"/>
  <c r="L66" i="24"/>
  <c r="K66" i="24"/>
  <c r="J66" i="24"/>
  <c r="I66" i="24"/>
  <c r="H66" i="24"/>
  <c r="G66" i="24"/>
  <c r="H70" i="24"/>
  <c r="I56" i="24"/>
  <c r="G56" i="24"/>
  <c r="H56" i="24"/>
  <c r="K70" i="24"/>
  <c r="G55" i="24"/>
  <c r="M56" i="24"/>
  <c r="H55" i="24"/>
  <c r="M60" i="24"/>
  <c r="L60" i="24"/>
  <c r="K60" i="24"/>
  <c r="J60" i="24"/>
  <c r="I60" i="24"/>
  <c r="H60" i="24"/>
  <c r="G60" i="24"/>
  <c r="M55" i="24"/>
  <c r="K63" i="24"/>
  <c r="I63" i="24"/>
  <c r="G63" i="24"/>
  <c r="M63" i="24"/>
  <c r="L63" i="24"/>
  <c r="J63" i="24"/>
  <c r="H63" i="24"/>
  <c r="I71" i="24"/>
  <c r="L71" i="24"/>
  <c r="K71" i="24"/>
  <c r="H71" i="24"/>
  <c r="G71" i="24"/>
  <c r="J71" i="24"/>
  <c r="M71" i="24"/>
  <c r="I51" i="23"/>
  <c r="H60" i="23"/>
  <c r="J51" i="23"/>
  <c r="H55" i="23"/>
  <c r="G63" i="23"/>
  <c r="J69" i="23"/>
  <c r="J65" i="23"/>
  <c r="I69" i="23"/>
  <c r="I65" i="23"/>
  <c r="G69" i="23"/>
  <c r="G65" i="23"/>
  <c r="K69" i="23"/>
  <c r="K65" i="23"/>
  <c r="H69" i="23"/>
  <c r="H65" i="23"/>
  <c r="I72" i="23"/>
  <c r="G60" i="23"/>
  <c r="G56" i="23"/>
  <c r="J56" i="23"/>
  <c r="J55" i="23"/>
  <c r="G73" i="23"/>
  <c r="G55" i="23"/>
  <c r="K64" i="23"/>
  <c r="K55" i="23"/>
  <c r="H54" i="23"/>
  <c r="J64" i="23"/>
  <c r="J54" i="23"/>
  <c r="K70" i="23"/>
  <c r="H63" i="23"/>
  <c r="I64" i="23"/>
  <c r="I70" i="23"/>
  <c r="I63" i="23"/>
  <c r="G70" i="23"/>
  <c r="K63" i="23"/>
  <c r="H73" i="23"/>
  <c r="I73" i="23"/>
  <c r="J73" i="23"/>
  <c r="L62" i="29"/>
  <c r="K62" i="29"/>
  <c r="J62" i="29"/>
  <c r="I62" i="29"/>
  <c r="H62" i="29"/>
  <c r="M62" i="29"/>
  <c r="G62" i="29"/>
  <c r="H51" i="29"/>
  <c r="G51" i="29"/>
  <c r="M51" i="29"/>
  <c r="L51" i="29"/>
  <c r="K51" i="29"/>
  <c r="J51" i="29"/>
  <c r="I51" i="29"/>
  <c r="M61" i="29"/>
  <c r="L61" i="29"/>
  <c r="K61" i="29"/>
  <c r="J61" i="29"/>
  <c r="I61" i="29"/>
  <c r="H61" i="29"/>
  <c r="M53" i="29"/>
  <c r="L53" i="29"/>
  <c r="G53" i="29"/>
  <c r="J53" i="29"/>
  <c r="I53" i="29"/>
  <c r="H53" i="29"/>
  <c r="G52" i="29"/>
  <c r="M52" i="29"/>
  <c r="L52" i="29"/>
  <c r="K52" i="29"/>
  <c r="J52" i="29"/>
  <c r="I52" i="29"/>
  <c r="H52" i="29"/>
  <c r="H50" i="29"/>
  <c r="L50" i="29"/>
  <c r="K50" i="29"/>
  <c r="J50" i="29"/>
  <c r="I50" i="29"/>
  <c r="G50" i="29"/>
  <c r="M64" i="29"/>
  <c r="L64" i="29"/>
  <c r="K64" i="29"/>
  <c r="J64" i="29"/>
  <c r="I64" i="29"/>
  <c r="H64" i="29"/>
  <c r="G64" i="29"/>
  <c r="M53" i="24"/>
  <c r="L53" i="24"/>
  <c r="K53" i="24"/>
  <c r="I53" i="24"/>
  <c r="J53" i="24"/>
  <c r="H53" i="24"/>
  <c r="G53" i="24"/>
  <c r="M64" i="24"/>
  <c r="L64" i="24"/>
  <c r="K64" i="24"/>
  <c r="J64" i="24"/>
  <c r="I64" i="24"/>
  <c r="H64" i="24"/>
  <c r="G64" i="24"/>
  <c r="M61" i="24"/>
  <c r="L61" i="24"/>
  <c r="K61" i="24"/>
  <c r="J61" i="24"/>
  <c r="I61" i="24"/>
  <c r="H61" i="24"/>
  <c r="L52" i="24"/>
  <c r="I52" i="24"/>
  <c r="K52" i="24"/>
  <c r="J52" i="24"/>
  <c r="H52" i="24"/>
  <c r="G52" i="24"/>
  <c r="G73" i="24"/>
  <c r="L73" i="24"/>
  <c r="K73" i="24"/>
  <c r="J73" i="24"/>
  <c r="I73" i="24"/>
  <c r="H73" i="24"/>
  <c r="M51" i="24"/>
  <c r="L51" i="24"/>
  <c r="J51" i="24"/>
  <c r="K51" i="24"/>
  <c r="G51" i="24"/>
  <c r="I51" i="24"/>
  <c r="H51" i="24"/>
  <c r="G50" i="24"/>
  <c r="M50" i="24"/>
  <c r="K50" i="24"/>
  <c r="L50" i="24"/>
  <c r="J50" i="24"/>
  <c r="I50" i="24"/>
  <c r="H50" i="24"/>
  <c r="J61" i="23"/>
  <c r="H61" i="23"/>
  <c r="M61" i="23"/>
  <c r="L61" i="23"/>
  <c r="K61" i="23"/>
  <c r="I61" i="23"/>
  <c r="G61" i="23"/>
  <c r="J53" i="23"/>
  <c r="M53" i="23"/>
  <c r="L53" i="23"/>
  <c r="K53" i="23"/>
  <c r="I53" i="23"/>
  <c r="G53" i="23"/>
  <c r="H53" i="23"/>
  <c r="I68" i="23"/>
  <c r="H68" i="23"/>
  <c r="G68" i="23"/>
  <c r="L68" i="23"/>
  <c r="M68" i="23"/>
  <c r="J68" i="23"/>
  <c r="I67" i="23"/>
  <c r="H67" i="23"/>
  <c r="G67" i="23"/>
  <c r="L67" i="23"/>
  <c r="M67" i="23"/>
  <c r="K67" i="23"/>
  <c r="J67" i="23"/>
  <c r="H52" i="23"/>
  <c r="M52" i="23"/>
  <c r="L52" i="23"/>
  <c r="K52" i="23"/>
  <c r="I52" i="23"/>
  <c r="G52" i="23"/>
  <c r="J52" i="23"/>
  <c r="M66" i="23"/>
  <c r="H66" i="23"/>
  <c r="L66" i="23"/>
  <c r="K66" i="23"/>
  <c r="J66" i="23"/>
  <c r="I66" i="23"/>
  <c r="G66" i="23"/>
  <c r="L62" i="23"/>
  <c r="K62" i="23"/>
  <c r="J62" i="23"/>
  <c r="I62" i="23"/>
  <c r="H62" i="23"/>
  <c r="G62" i="23"/>
  <c r="M62" i="23"/>
  <c r="W63" i="29" l="1"/>
  <c r="W71" i="23"/>
  <c r="Y71" i="23" s="1"/>
  <c r="W67" i="29"/>
  <c r="AA67" i="29" s="1"/>
  <c r="W70" i="29"/>
  <c r="AA70" i="29" s="1"/>
  <c r="W66" i="29"/>
  <c r="AA66" i="29" s="1"/>
  <c r="W72" i="29"/>
  <c r="AA72" i="29" s="1"/>
  <c r="W60" i="29"/>
  <c r="AA60" i="29" s="1"/>
  <c r="W56" i="29"/>
  <c r="Y56" i="29" s="1"/>
  <c r="W67" i="24"/>
  <c r="Y67" i="24" s="1"/>
  <c r="W55" i="29"/>
  <c r="AA55" i="29" s="1"/>
  <c r="W71" i="29"/>
  <c r="AA71" i="29" s="1"/>
  <c r="W70" i="23"/>
  <c r="Y70" i="23" s="1"/>
  <c r="W54" i="29"/>
  <c r="Y54" i="29" s="1"/>
  <c r="W59" i="23"/>
  <c r="Y59" i="23" s="1"/>
  <c r="W69" i="24"/>
  <c r="AA69" i="24" s="1"/>
  <c r="Y72" i="24"/>
  <c r="W70" i="24"/>
  <c r="AA70" i="24" s="1"/>
  <c r="W51" i="23"/>
  <c r="AA51" i="23" s="1"/>
  <c r="W65" i="23"/>
  <c r="AA65" i="23" s="1"/>
  <c r="W55" i="24"/>
  <c r="Y55" i="24" s="1"/>
  <c r="W69" i="23"/>
  <c r="AA69" i="23" s="1"/>
  <c r="W55" i="23"/>
  <c r="AA55" i="23" s="1"/>
  <c r="W63" i="24"/>
  <c r="W71" i="24"/>
  <c r="W60" i="24"/>
  <c r="W56" i="24"/>
  <c r="W66" i="24"/>
  <c r="W60" i="23"/>
  <c r="AA60" i="23" s="1"/>
  <c r="W63" i="23"/>
  <c r="Y63" i="23" s="1"/>
  <c r="W73" i="23"/>
  <c r="Y73" i="23" s="1"/>
  <c r="W56" i="23"/>
  <c r="AA56" i="23" s="1"/>
  <c r="W61" i="23"/>
  <c r="AA61" i="23" s="1"/>
  <c r="W50" i="24"/>
  <c r="Y50" i="24" s="1"/>
  <c r="AA63" i="29"/>
  <c r="Y63" i="29"/>
  <c r="W64" i="29"/>
  <c r="W51" i="29"/>
  <c r="W53" i="24"/>
  <c r="W51" i="24"/>
  <c r="W64" i="24"/>
  <c r="W62" i="23"/>
  <c r="W52" i="23"/>
  <c r="W67" i="23"/>
  <c r="W66" i="23"/>
  <c r="W53" i="23"/>
  <c r="AA71" i="23" l="1"/>
  <c r="Y67" i="29"/>
  <c r="Y72" i="29"/>
  <c r="Y66" i="29"/>
  <c r="Y70" i="29"/>
  <c r="Y55" i="29"/>
  <c r="Y60" i="29"/>
  <c r="AA56" i="29"/>
  <c r="Y71" i="29"/>
  <c r="AA67" i="24"/>
  <c r="AA59" i="23"/>
  <c r="AA70" i="23"/>
  <c r="AA54" i="29"/>
  <c r="Y65" i="23"/>
  <c r="Y51" i="23"/>
  <c r="Y69" i="24"/>
  <c r="Y70" i="24"/>
  <c r="AA55" i="24"/>
  <c r="Y69" i="23"/>
  <c r="Y55" i="23"/>
  <c r="AA66" i="24"/>
  <c r="Y66" i="24"/>
  <c r="AA56" i="24"/>
  <c r="Y56" i="24"/>
  <c r="AA60" i="24"/>
  <c r="Y60" i="24"/>
  <c r="AA71" i="24"/>
  <c r="C159" i="24" s="1"/>
  <c r="B159" i="24" s="1"/>
  <c r="Y71" i="24"/>
  <c r="AA63" i="24"/>
  <c r="Y63" i="24"/>
  <c r="Y56" i="23"/>
  <c r="Y60" i="23"/>
  <c r="AA63" i="23"/>
  <c r="AA73" i="23"/>
  <c r="I159" i="23" s="1"/>
  <c r="G159" i="23" s="1"/>
  <c r="Y61" i="23"/>
  <c r="AA50" i="24"/>
  <c r="AA64" i="29"/>
  <c r="Y64" i="29"/>
  <c r="AA51" i="29"/>
  <c r="Y51" i="29"/>
  <c r="AA53" i="24"/>
  <c r="Y53" i="24"/>
  <c r="AA51" i="24"/>
  <c r="Y51" i="24"/>
  <c r="AA64" i="24"/>
  <c r="Y64" i="24"/>
  <c r="AA66" i="23"/>
  <c r="Y66" i="23"/>
  <c r="AA53" i="23"/>
  <c r="Y53" i="23"/>
  <c r="Y62" i="23"/>
  <c r="AA62" i="23"/>
  <c r="AA52" i="23"/>
  <c r="Y52" i="23"/>
  <c r="Y67" i="23"/>
  <c r="AA67" i="23"/>
  <c r="O121" i="29" l="1"/>
  <c r="M121" i="29" s="1"/>
  <c r="C140" i="23"/>
  <c r="B140" i="23" s="1"/>
  <c r="I121" i="23"/>
  <c r="G121" i="23" s="1"/>
  <c r="C121" i="24"/>
  <c r="B121" i="24" s="1"/>
  <c r="R1" i="52" l="1"/>
  <c r="M4" i="51"/>
  <c r="M5" i="51"/>
  <c r="M6" i="51"/>
  <c r="M7" i="51"/>
  <c r="M8" i="51"/>
  <c r="M9" i="51"/>
  <c r="M10" i="51"/>
  <c r="M11" i="51"/>
  <c r="M12" i="51"/>
  <c r="M13" i="51"/>
  <c r="M14" i="51"/>
  <c r="M15" i="51"/>
  <c r="M16" i="51"/>
  <c r="M17" i="51"/>
  <c r="M18" i="51"/>
  <c r="M19" i="51"/>
  <c r="M20" i="51"/>
  <c r="M21" i="51"/>
  <c r="M22" i="51"/>
  <c r="M23" i="51"/>
  <c r="M24" i="51"/>
  <c r="M25" i="51"/>
  <c r="M26" i="51"/>
  <c r="M27" i="51"/>
  <c r="M28" i="51"/>
  <c r="M29" i="51"/>
  <c r="M30" i="51"/>
  <c r="M31" i="51"/>
  <c r="M32" i="51"/>
  <c r="M33" i="51"/>
  <c r="M34" i="51"/>
  <c r="M35" i="51"/>
  <c r="M36" i="51"/>
  <c r="M37" i="51"/>
  <c r="M38" i="51"/>
  <c r="M39" i="51"/>
  <c r="M40" i="51"/>
  <c r="M41" i="51"/>
  <c r="M42" i="51"/>
  <c r="M43" i="51"/>
  <c r="M44" i="51"/>
  <c r="M45" i="51"/>
  <c r="M46" i="51"/>
  <c r="M47" i="51"/>
  <c r="M48" i="51"/>
  <c r="M49" i="51"/>
  <c r="M50" i="51"/>
  <c r="M51" i="51"/>
  <c r="M52" i="51"/>
  <c r="M53" i="51"/>
  <c r="M54" i="51"/>
  <c r="M55" i="51"/>
  <c r="M56" i="51"/>
  <c r="M57" i="51"/>
  <c r="M58" i="51"/>
  <c r="M59" i="51"/>
  <c r="M60" i="51"/>
  <c r="M61" i="51"/>
  <c r="M62" i="51"/>
  <c r="M63" i="51"/>
  <c r="M64" i="51"/>
  <c r="M65" i="51"/>
  <c r="M66" i="51"/>
  <c r="M67" i="51"/>
  <c r="M68" i="51"/>
  <c r="M69" i="51"/>
  <c r="M70" i="51"/>
  <c r="M71" i="51"/>
  <c r="M72" i="51"/>
  <c r="M73" i="51"/>
  <c r="M74" i="51"/>
  <c r="M75" i="51"/>
  <c r="M76" i="51"/>
  <c r="M77" i="51"/>
  <c r="M78" i="51"/>
  <c r="M79" i="51"/>
  <c r="M80" i="51"/>
  <c r="M81" i="51"/>
  <c r="M82" i="51"/>
  <c r="M83" i="51"/>
  <c r="M84" i="51"/>
  <c r="M85" i="51"/>
  <c r="M86" i="51"/>
  <c r="M87" i="51"/>
  <c r="M88" i="51"/>
  <c r="M89" i="51"/>
  <c r="M90" i="51"/>
  <c r="M91" i="51"/>
  <c r="M92" i="51"/>
  <c r="M93" i="51"/>
  <c r="M94" i="51"/>
  <c r="M95" i="51"/>
  <c r="M96" i="51"/>
  <c r="M97" i="51"/>
  <c r="M98" i="51"/>
  <c r="M99" i="51"/>
  <c r="M100" i="51"/>
  <c r="M101" i="51"/>
  <c r="M102" i="51"/>
  <c r="M103" i="51"/>
  <c r="M104" i="51"/>
  <c r="M105" i="51"/>
  <c r="M106" i="51"/>
  <c r="M107" i="51"/>
  <c r="M108" i="51"/>
  <c r="M109" i="51"/>
  <c r="M110" i="51"/>
  <c r="M111" i="51"/>
  <c r="M112" i="51"/>
  <c r="M113" i="51"/>
  <c r="M114" i="51"/>
  <c r="M115" i="51"/>
  <c r="M116" i="51"/>
  <c r="M117" i="51"/>
  <c r="M118" i="51"/>
  <c r="M119" i="51"/>
  <c r="M120" i="51"/>
  <c r="M121" i="51"/>
  <c r="M122" i="51"/>
  <c r="M123" i="51"/>
  <c r="M124" i="51"/>
  <c r="M125" i="51"/>
  <c r="M126" i="51"/>
  <c r="M127" i="51"/>
  <c r="M128" i="51"/>
  <c r="M129" i="51"/>
  <c r="M130" i="51"/>
  <c r="M131" i="51"/>
  <c r="M132" i="51"/>
  <c r="M133" i="51"/>
  <c r="M134" i="51"/>
  <c r="M135" i="51"/>
  <c r="M136" i="51"/>
  <c r="M137" i="51"/>
  <c r="M138" i="51"/>
  <c r="M139" i="51"/>
  <c r="M140" i="51"/>
  <c r="M141" i="51"/>
  <c r="M142" i="51"/>
  <c r="M143" i="51"/>
  <c r="M144" i="51"/>
  <c r="M145" i="51"/>
  <c r="M146" i="51"/>
  <c r="M147" i="51"/>
  <c r="M148" i="51"/>
  <c r="M149" i="51"/>
  <c r="M150" i="51"/>
  <c r="M151" i="51"/>
  <c r="M152" i="51"/>
  <c r="M153" i="51"/>
  <c r="M154" i="51"/>
  <c r="M155" i="51"/>
  <c r="M156" i="51"/>
  <c r="M157" i="51"/>
  <c r="M158" i="51"/>
  <c r="M159" i="51"/>
  <c r="M160" i="51"/>
  <c r="M161" i="51"/>
  <c r="M162" i="51"/>
  <c r="M163" i="51"/>
  <c r="M164" i="51"/>
  <c r="M165" i="51"/>
  <c r="M166" i="51"/>
  <c r="M167" i="51"/>
  <c r="M168" i="51"/>
  <c r="M169" i="51"/>
  <c r="M170" i="51"/>
  <c r="M171" i="51"/>
  <c r="M172" i="51"/>
  <c r="M173" i="51"/>
  <c r="M174" i="51"/>
  <c r="M175" i="51"/>
  <c r="M176" i="51"/>
  <c r="M177" i="51"/>
  <c r="M178" i="51"/>
  <c r="M179" i="51"/>
  <c r="M180" i="51"/>
  <c r="M181" i="51"/>
  <c r="M182" i="51"/>
  <c r="M183" i="51"/>
  <c r="M184" i="51"/>
  <c r="M185" i="51"/>
  <c r="M186" i="51"/>
  <c r="M187" i="51"/>
  <c r="M188" i="51"/>
  <c r="M189" i="51"/>
  <c r="M190" i="51"/>
  <c r="M191" i="51"/>
  <c r="M192" i="51"/>
  <c r="M193" i="51"/>
  <c r="M194" i="51"/>
  <c r="M195" i="51"/>
  <c r="M196" i="51"/>
  <c r="M197" i="51"/>
  <c r="M198" i="51"/>
  <c r="M199" i="51"/>
  <c r="M200" i="51"/>
  <c r="M201" i="51"/>
  <c r="M202" i="51"/>
  <c r="M203" i="51"/>
  <c r="M204" i="51"/>
  <c r="M205" i="51"/>
  <c r="M206" i="51"/>
  <c r="M207" i="51"/>
  <c r="M208" i="51"/>
  <c r="M209" i="51"/>
  <c r="M210" i="51"/>
  <c r="M211" i="51"/>
  <c r="M212" i="51"/>
  <c r="M213" i="51"/>
  <c r="M214" i="51"/>
  <c r="M215" i="51"/>
  <c r="M216" i="51"/>
  <c r="M217" i="51"/>
  <c r="M218" i="51"/>
  <c r="M219" i="51"/>
  <c r="M220" i="51"/>
  <c r="M221" i="51"/>
  <c r="M222" i="51"/>
  <c r="M223" i="51"/>
  <c r="M224" i="51"/>
  <c r="M225" i="51"/>
  <c r="M226" i="51"/>
  <c r="M227" i="51"/>
  <c r="M228" i="51"/>
  <c r="M229" i="51"/>
  <c r="M230" i="51"/>
  <c r="M231" i="51"/>
  <c r="M232" i="51"/>
  <c r="M233" i="51"/>
  <c r="M234" i="51"/>
  <c r="M235" i="51"/>
  <c r="M236" i="51"/>
  <c r="M237" i="51"/>
  <c r="M238" i="51"/>
  <c r="M239" i="51"/>
  <c r="M240" i="51"/>
  <c r="M241" i="51"/>
  <c r="M242" i="51"/>
  <c r="M243" i="51"/>
  <c r="M244" i="51"/>
  <c r="M245" i="51"/>
  <c r="M246" i="51"/>
  <c r="M247" i="51"/>
  <c r="M248" i="51"/>
  <c r="M249" i="51"/>
  <c r="M250" i="51"/>
  <c r="M251" i="51"/>
  <c r="M252" i="51"/>
  <c r="M253" i="51"/>
  <c r="M254" i="51"/>
  <c r="M255" i="51"/>
  <c r="M256" i="51"/>
  <c r="M257" i="51"/>
  <c r="M258" i="51"/>
  <c r="M259" i="51"/>
  <c r="M260" i="51"/>
  <c r="M261" i="51"/>
  <c r="M262" i="51"/>
  <c r="M263" i="51"/>
  <c r="M264" i="51"/>
  <c r="M265" i="51"/>
  <c r="M266" i="51"/>
  <c r="M267" i="51"/>
  <c r="M268" i="51"/>
  <c r="M269" i="51"/>
  <c r="M270" i="51"/>
  <c r="M271" i="51"/>
  <c r="M272" i="51"/>
  <c r="M273" i="51"/>
  <c r="M274" i="51"/>
  <c r="M275" i="51"/>
  <c r="M276" i="51"/>
  <c r="M277" i="51"/>
  <c r="M278" i="51"/>
  <c r="M279" i="51"/>
  <c r="M280" i="51"/>
  <c r="M281" i="51"/>
  <c r="M282" i="51"/>
  <c r="M283" i="51"/>
  <c r="M284" i="51"/>
  <c r="M285" i="51"/>
  <c r="M286" i="51"/>
  <c r="M287" i="51"/>
  <c r="M288" i="51"/>
  <c r="M289" i="51"/>
  <c r="M290" i="51"/>
  <c r="M291" i="51"/>
  <c r="M292" i="51"/>
  <c r="M293" i="51"/>
  <c r="M294" i="51"/>
  <c r="M295" i="51"/>
  <c r="M296" i="51"/>
  <c r="M297" i="51"/>
  <c r="M298" i="51"/>
  <c r="M299" i="51"/>
  <c r="M300" i="51"/>
  <c r="M301" i="51"/>
  <c r="M302" i="51"/>
  <c r="M303" i="51"/>
  <c r="M304" i="51"/>
  <c r="M305" i="51"/>
  <c r="M306" i="51"/>
  <c r="M307" i="51"/>
  <c r="M308" i="51"/>
  <c r="M309" i="51"/>
  <c r="M310" i="51"/>
  <c r="M311" i="51"/>
  <c r="M312" i="51"/>
  <c r="M313" i="51"/>
  <c r="M314" i="51"/>
  <c r="M315" i="51"/>
  <c r="M316" i="51"/>
  <c r="M317" i="51"/>
  <c r="M318" i="51"/>
  <c r="M319" i="51"/>
  <c r="M320" i="51"/>
  <c r="M321" i="51"/>
  <c r="M322" i="51"/>
  <c r="M323" i="51"/>
  <c r="M324" i="51"/>
  <c r="M325" i="51"/>
  <c r="M326" i="51"/>
  <c r="M327" i="51"/>
  <c r="M328" i="51"/>
  <c r="M329" i="51"/>
  <c r="M330" i="51"/>
  <c r="M331" i="51"/>
  <c r="M332" i="51"/>
  <c r="M333" i="51"/>
  <c r="M334" i="51"/>
  <c r="M335" i="51"/>
  <c r="M336" i="51"/>
  <c r="M337" i="51"/>
  <c r="M338" i="51"/>
  <c r="M339" i="51"/>
  <c r="M340" i="51"/>
  <c r="M341" i="51"/>
  <c r="M342" i="51"/>
  <c r="M343" i="51"/>
  <c r="M344" i="51"/>
  <c r="M345" i="51"/>
  <c r="M346" i="51"/>
  <c r="M347" i="51"/>
  <c r="M348" i="51"/>
  <c r="M349" i="51"/>
  <c r="M350" i="51"/>
  <c r="M351" i="51"/>
  <c r="M352" i="51"/>
  <c r="M353" i="51"/>
  <c r="M354" i="51"/>
  <c r="M355" i="51"/>
  <c r="M356" i="51"/>
  <c r="M357" i="51"/>
  <c r="M358" i="51"/>
  <c r="M359" i="51"/>
  <c r="M360" i="51"/>
  <c r="M361" i="51"/>
  <c r="M362" i="51"/>
  <c r="M363" i="51"/>
  <c r="M364" i="51"/>
  <c r="M365" i="51"/>
  <c r="M366" i="51"/>
  <c r="M367" i="51"/>
  <c r="M368" i="51"/>
  <c r="M369" i="51"/>
  <c r="M370" i="51"/>
  <c r="M371" i="51"/>
  <c r="M372" i="51"/>
  <c r="M373" i="51"/>
  <c r="M374" i="51"/>
  <c r="M375" i="51"/>
  <c r="M376" i="51"/>
  <c r="M377" i="51"/>
  <c r="M378" i="51"/>
  <c r="M379" i="51"/>
  <c r="M380" i="51"/>
  <c r="M381" i="51"/>
  <c r="M382" i="51"/>
  <c r="M383" i="51"/>
  <c r="M384" i="51"/>
  <c r="M385" i="51"/>
  <c r="M386" i="51"/>
  <c r="M387" i="51"/>
  <c r="M388" i="51"/>
  <c r="M389" i="51"/>
  <c r="M390" i="51"/>
  <c r="M391" i="51"/>
  <c r="M392" i="51"/>
  <c r="M393" i="51"/>
  <c r="M394" i="51"/>
  <c r="M395" i="51"/>
  <c r="M396" i="51"/>
  <c r="M397" i="51"/>
  <c r="M398" i="51"/>
  <c r="M399" i="51"/>
  <c r="M400" i="51"/>
  <c r="M401" i="51"/>
  <c r="M402" i="51"/>
  <c r="M403" i="51"/>
  <c r="M404" i="51"/>
  <c r="M405" i="51"/>
  <c r="M406" i="51"/>
  <c r="M407" i="51"/>
  <c r="M408" i="51"/>
  <c r="M409" i="51"/>
  <c r="M410" i="51"/>
  <c r="M411" i="51"/>
  <c r="M412" i="51"/>
  <c r="M413" i="51"/>
  <c r="M414" i="51"/>
  <c r="M415" i="51"/>
  <c r="M416" i="51"/>
  <c r="M417" i="51"/>
  <c r="M418" i="51"/>
  <c r="M419" i="51"/>
  <c r="M420" i="51"/>
  <c r="M421" i="51"/>
  <c r="M422" i="51"/>
  <c r="M423" i="51"/>
  <c r="M424" i="51"/>
  <c r="M425" i="51"/>
  <c r="M426" i="51"/>
  <c r="M427" i="51"/>
  <c r="M428" i="51"/>
  <c r="M429" i="51"/>
  <c r="M430" i="51"/>
  <c r="M431" i="51"/>
  <c r="M432" i="51"/>
  <c r="M433" i="51"/>
  <c r="M434" i="51"/>
  <c r="M435" i="51"/>
  <c r="M436" i="51"/>
  <c r="M437" i="51"/>
  <c r="M438" i="51"/>
  <c r="M439" i="51"/>
  <c r="M440" i="51"/>
  <c r="M441" i="51"/>
  <c r="M442" i="51"/>
  <c r="M443" i="51"/>
  <c r="M444" i="51"/>
  <c r="M445" i="51"/>
  <c r="M446" i="51"/>
  <c r="M447" i="51"/>
  <c r="M448" i="51"/>
  <c r="M449" i="51"/>
  <c r="M450" i="51"/>
  <c r="M451" i="51"/>
  <c r="M452" i="51"/>
  <c r="M453" i="51"/>
  <c r="M454" i="51"/>
  <c r="M455" i="51"/>
  <c r="M456" i="51"/>
  <c r="M457" i="51"/>
  <c r="M458" i="51"/>
  <c r="M459" i="51"/>
  <c r="M460" i="51"/>
  <c r="M461" i="51"/>
  <c r="M462" i="51"/>
  <c r="M463" i="51"/>
  <c r="M464" i="51"/>
  <c r="M465" i="51"/>
  <c r="M466" i="51"/>
  <c r="M467" i="51"/>
  <c r="M468" i="51"/>
  <c r="M469" i="51"/>
  <c r="M470" i="51"/>
  <c r="M471" i="51"/>
  <c r="M472" i="51"/>
  <c r="M473" i="51"/>
  <c r="M474" i="51"/>
  <c r="M475" i="51"/>
  <c r="M476" i="51"/>
  <c r="M477" i="51"/>
  <c r="M478" i="51"/>
  <c r="M479" i="51"/>
  <c r="M480" i="51"/>
  <c r="M481" i="51"/>
  <c r="M482" i="51"/>
  <c r="M483" i="51"/>
  <c r="M484" i="51"/>
  <c r="M485" i="51"/>
  <c r="M486" i="51"/>
  <c r="M487" i="51"/>
  <c r="M488" i="51"/>
  <c r="M489" i="51"/>
  <c r="M490" i="51"/>
  <c r="M491" i="51"/>
  <c r="M492" i="51"/>
  <c r="M493" i="51"/>
  <c r="M494" i="51"/>
  <c r="M495" i="51"/>
  <c r="M496" i="51"/>
  <c r="M497" i="51"/>
  <c r="M498" i="51"/>
  <c r="M499" i="51"/>
  <c r="M3" i="51"/>
  <c r="F425" i="51"/>
  <c r="F424" i="51"/>
  <c r="F423" i="51"/>
  <c r="F422" i="51"/>
  <c r="F421" i="51"/>
  <c r="F420" i="51"/>
  <c r="F419" i="51"/>
  <c r="F418" i="51"/>
  <c r="F417" i="51"/>
  <c r="F416" i="51"/>
  <c r="AA415" i="51"/>
  <c r="F415" i="51"/>
  <c r="AA414" i="51"/>
  <c r="F414" i="51"/>
  <c r="AA413" i="51"/>
  <c r="F413" i="51"/>
  <c r="AA412" i="51"/>
  <c r="F412" i="51"/>
  <c r="AA411" i="51"/>
  <c r="F411" i="51"/>
  <c r="AA410" i="51"/>
  <c r="F410" i="51"/>
  <c r="AA409" i="51"/>
  <c r="F409" i="51"/>
  <c r="AA408" i="51"/>
  <c r="F408" i="51"/>
  <c r="AA407" i="51"/>
  <c r="F407" i="51"/>
  <c r="F406" i="51"/>
  <c r="F405" i="51"/>
  <c r="F404" i="51"/>
  <c r="F403" i="51"/>
  <c r="F402" i="51"/>
  <c r="F401" i="51"/>
  <c r="F400" i="51"/>
  <c r="F399" i="51"/>
  <c r="F398" i="51"/>
  <c r="F397" i="51"/>
  <c r="F396" i="51"/>
  <c r="F395" i="51"/>
  <c r="F394" i="51"/>
  <c r="F393" i="51"/>
  <c r="F392" i="51"/>
  <c r="F391" i="51"/>
  <c r="F390" i="51"/>
  <c r="F389" i="51"/>
  <c r="F388" i="51"/>
  <c r="F387" i="51"/>
  <c r="F386" i="51"/>
  <c r="F385" i="51"/>
  <c r="F384" i="51"/>
  <c r="F383" i="51"/>
  <c r="F382" i="51"/>
  <c r="F381" i="51"/>
  <c r="F380" i="51"/>
  <c r="F379" i="51"/>
  <c r="F378" i="51"/>
  <c r="F377" i="51"/>
  <c r="F376" i="51"/>
  <c r="F375" i="51"/>
  <c r="F374" i="51"/>
  <c r="F373" i="51"/>
  <c r="F372" i="51"/>
  <c r="F371" i="51"/>
  <c r="F370" i="51"/>
  <c r="F369" i="51"/>
  <c r="F368" i="51"/>
  <c r="F367" i="51"/>
  <c r="F366" i="51"/>
  <c r="F365" i="51"/>
  <c r="F364" i="51"/>
  <c r="F363" i="51"/>
  <c r="F362" i="51"/>
  <c r="F361" i="51"/>
  <c r="F360" i="51"/>
  <c r="F359" i="51"/>
  <c r="F358" i="51"/>
  <c r="F357" i="51"/>
  <c r="F356" i="51"/>
  <c r="F355" i="51"/>
  <c r="F354" i="51"/>
  <c r="F353" i="51"/>
  <c r="F352" i="51"/>
  <c r="F351" i="51"/>
  <c r="F350" i="51"/>
  <c r="F349" i="51"/>
  <c r="F348" i="51"/>
  <c r="F347" i="51"/>
  <c r="F346" i="51"/>
  <c r="F345" i="51"/>
  <c r="F344" i="51"/>
  <c r="F343" i="51"/>
  <c r="F342" i="51"/>
  <c r="F341" i="51"/>
  <c r="F340" i="51"/>
  <c r="F339" i="51"/>
  <c r="F338" i="51"/>
  <c r="F337" i="51"/>
  <c r="F336" i="51"/>
  <c r="F335" i="51"/>
  <c r="F334" i="51"/>
  <c r="F333" i="51"/>
  <c r="F332" i="51"/>
  <c r="F331" i="51"/>
  <c r="F330" i="51"/>
  <c r="F329" i="51"/>
  <c r="F328" i="51"/>
  <c r="F327" i="51"/>
  <c r="F326" i="51"/>
  <c r="F325" i="51"/>
  <c r="F324" i="51"/>
  <c r="F323" i="51"/>
  <c r="F322" i="51"/>
  <c r="F321" i="51"/>
  <c r="F320" i="51"/>
  <c r="F319" i="51"/>
  <c r="F318" i="51"/>
  <c r="F317" i="51"/>
  <c r="F316" i="51"/>
  <c r="F315" i="51"/>
  <c r="F314" i="51"/>
  <c r="F313" i="51"/>
  <c r="F312" i="51"/>
  <c r="F311" i="51"/>
  <c r="F310" i="51"/>
  <c r="F309" i="51"/>
  <c r="F308" i="51"/>
  <c r="F307" i="51"/>
  <c r="F306" i="51"/>
  <c r="F305" i="51"/>
  <c r="F304" i="51"/>
  <c r="F303" i="51"/>
  <c r="F302" i="51"/>
  <c r="F301" i="51"/>
  <c r="F300" i="51"/>
  <c r="F299" i="51"/>
  <c r="F298" i="51"/>
  <c r="F297" i="51"/>
  <c r="F296" i="51"/>
  <c r="F295" i="51"/>
  <c r="F294" i="51"/>
  <c r="F293" i="51"/>
  <c r="F292" i="51"/>
  <c r="F291" i="51"/>
  <c r="F290" i="51"/>
  <c r="F289" i="51"/>
  <c r="F288" i="51"/>
  <c r="F287" i="51"/>
  <c r="F286" i="51"/>
  <c r="F285" i="51"/>
  <c r="F284" i="51"/>
  <c r="F283" i="51"/>
  <c r="F282" i="51"/>
  <c r="F281" i="51"/>
  <c r="F280" i="51"/>
  <c r="F279" i="51"/>
  <c r="F278" i="51"/>
  <c r="F277" i="51"/>
  <c r="F276" i="51"/>
  <c r="F275" i="51"/>
  <c r="F274" i="51"/>
  <c r="F273" i="51"/>
  <c r="F272" i="51"/>
  <c r="F271" i="51"/>
  <c r="F270" i="51"/>
  <c r="F269" i="51"/>
  <c r="F268" i="51"/>
  <c r="F267" i="51"/>
  <c r="F266" i="51"/>
  <c r="F265" i="51"/>
  <c r="F264" i="51"/>
  <c r="F263" i="51"/>
  <c r="F262" i="51"/>
  <c r="F261" i="51"/>
  <c r="F260" i="51"/>
  <c r="F259" i="51"/>
  <c r="F258" i="51"/>
  <c r="F257" i="51"/>
  <c r="F256" i="51"/>
  <c r="F255" i="51"/>
  <c r="F254" i="51"/>
  <c r="F253" i="51"/>
  <c r="F252" i="51"/>
  <c r="F251" i="51"/>
  <c r="F250" i="51"/>
  <c r="F249" i="51"/>
  <c r="F248" i="51"/>
  <c r="F247" i="51"/>
  <c r="F246" i="51"/>
  <c r="F245" i="51"/>
  <c r="F244" i="51"/>
  <c r="F243" i="51"/>
  <c r="F242" i="51"/>
  <c r="F241" i="51"/>
  <c r="F240" i="51"/>
  <c r="F239" i="51"/>
  <c r="F238" i="51"/>
  <c r="F237" i="51"/>
  <c r="F236" i="51"/>
  <c r="F235" i="51"/>
  <c r="F234" i="51"/>
  <c r="F233" i="51"/>
  <c r="F232" i="51"/>
  <c r="F231" i="51"/>
  <c r="F230" i="51"/>
  <c r="F229" i="51"/>
  <c r="F228" i="51"/>
  <c r="F227" i="51"/>
  <c r="F226" i="51"/>
  <c r="F225" i="51"/>
  <c r="F224" i="51"/>
  <c r="F223" i="51"/>
  <c r="F222" i="51"/>
  <c r="F221" i="51"/>
  <c r="F220" i="51"/>
  <c r="F219" i="51"/>
  <c r="F218" i="51"/>
  <c r="F217" i="51"/>
  <c r="F216" i="51"/>
  <c r="F215" i="51"/>
  <c r="F214" i="51"/>
  <c r="F213" i="51"/>
  <c r="F212" i="51"/>
  <c r="F211" i="51"/>
  <c r="F210" i="51"/>
  <c r="F209" i="51"/>
  <c r="F208" i="51"/>
  <c r="F207" i="51"/>
  <c r="F206" i="51"/>
  <c r="F205" i="51"/>
  <c r="F204" i="51"/>
  <c r="F203" i="51"/>
  <c r="F202" i="51"/>
  <c r="F201" i="51"/>
  <c r="F200" i="51"/>
  <c r="F199" i="51"/>
  <c r="F198" i="51"/>
  <c r="F197" i="51"/>
  <c r="F196" i="51"/>
  <c r="F195" i="51"/>
  <c r="F194" i="51"/>
  <c r="F193" i="51"/>
  <c r="F192" i="51"/>
  <c r="F191" i="51"/>
  <c r="F190" i="51"/>
  <c r="F189" i="51"/>
  <c r="F188" i="51"/>
  <c r="F187" i="51"/>
  <c r="F186" i="51"/>
  <c r="F185" i="51"/>
  <c r="F184" i="51"/>
  <c r="F183" i="51"/>
  <c r="F182" i="51"/>
  <c r="F181" i="51"/>
  <c r="F180" i="51"/>
  <c r="F179" i="51"/>
  <c r="F178" i="51"/>
  <c r="F177" i="51"/>
  <c r="F176" i="51"/>
  <c r="F175" i="51"/>
  <c r="F174" i="51"/>
  <c r="F173" i="51"/>
  <c r="F172" i="51"/>
  <c r="F171" i="51"/>
  <c r="F170" i="51"/>
  <c r="F169" i="51"/>
  <c r="F168" i="51"/>
  <c r="F167" i="51"/>
  <c r="F166" i="51"/>
  <c r="F165" i="51"/>
  <c r="F164" i="51"/>
  <c r="F163" i="51"/>
  <c r="F162" i="51"/>
  <c r="F161" i="51"/>
  <c r="F160" i="51"/>
  <c r="F159" i="51"/>
  <c r="F158" i="51"/>
  <c r="F157" i="51"/>
  <c r="F156" i="51"/>
  <c r="F155" i="51"/>
  <c r="F154" i="51"/>
  <c r="F153" i="51"/>
  <c r="F152" i="51"/>
  <c r="F151" i="51"/>
  <c r="F150" i="51"/>
  <c r="F149" i="51"/>
  <c r="F148" i="51"/>
  <c r="F147" i="51"/>
  <c r="F146" i="51"/>
  <c r="F145" i="51"/>
  <c r="F144" i="51"/>
  <c r="F143" i="51"/>
  <c r="F142" i="51"/>
  <c r="F141" i="51"/>
  <c r="F140" i="51"/>
  <c r="F139" i="51"/>
  <c r="F138" i="51"/>
  <c r="F137" i="51"/>
  <c r="F136" i="51"/>
  <c r="F135" i="51"/>
  <c r="F134" i="51"/>
  <c r="F133" i="51"/>
  <c r="F132" i="51"/>
  <c r="F131" i="51"/>
  <c r="F130" i="51"/>
  <c r="F129" i="51"/>
  <c r="F128" i="51"/>
  <c r="F127" i="51"/>
  <c r="F126" i="51"/>
  <c r="F125" i="51"/>
  <c r="F124" i="51"/>
  <c r="F123" i="51"/>
  <c r="F122" i="51"/>
  <c r="F121" i="51"/>
  <c r="F120" i="51"/>
  <c r="F119" i="51"/>
  <c r="F118" i="51"/>
  <c r="F117" i="51"/>
  <c r="F116" i="51"/>
  <c r="F115" i="51"/>
  <c r="F114" i="51"/>
  <c r="F113" i="51"/>
  <c r="F112" i="51"/>
  <c r="F111" i="51"/>
  <c r="F110" i="51"/>
  <c r="F109" i="51"/>
  <c r="F108" i="51"/>
  <c r="F107" i="51"/>
  <c r="F106" i="51"/>
  <c r="F105" i="51"/>
  <c r="F104" i="51"/>
  <c r="F103" i="51"/>
  <c r="F102" i="51"/>
  <c r="F101" i="51"/>
  <c r="F100" i="51"/>
  <c r="F99" i="51"/>
  <c r="F98" i="51"/>
  <c r="F97" i="51"/>
  <c r="F96" i="51"/>
  <c r="F95" i="51"/>
  <c r="F94" i="51"/>
  <c r="F93" i="51"/>
  <c r="F92" i="51"/>
  <c r="F91" i="51"/>
  <c r="F90" i="51"/>
  <c r="F89" i="51"/>
  <c r="F88" i="51"/>
  <c r="F87" i="51"/>
  <c r="F86" i="51"/>
  <c r="F85" i="51"/>
  <c r="F84" i="51"/>
  <c r="F83" i="51"/>
  <c r="F82" i="51"/>
  <c r="F81" i="51"/>
  <c r="F80" i="51"/>
  <c r="F79" i="51"/>
  <c r="F78" i="51"/>
  <c r="F77" i="51"/>
  <c r="F76" i="51"/>
  <c r="F75" i="51"/>
  <c r="F74" i="51"/>
  <c r="F73" i="51"/>
  <c r="F72" i="51"/>
  <c r="F71" i="51"/>
  <c r="F70" i="51"/>
  <c r="F69" i="51"/>
  <c r="F68" i="51"/>
  <c r="F67" i="51"/>
  <c r="F66" i="51"/>
  <c r="F65" i="51"/>
  <c r="F64" i="51"/>
  <c r="F63" i="51"/>
  <c r="F62" i="51"/>
  <c r="F61" i="51"/>
  <c r="F60" i="51"/>
  <c r="F59" i="51"/>
  <c r="F58" i="51"/>
  <c r="F57" i="51"/>
  <c r="F56" i="51"/>
  <c r="F55" i="51"/>
  <c r="F54" i="51"/>
  <c r="F53" i="51"/>
  <c r="F52" i="51"/>
  <c r="F51" i="51"/>
  <c r="F50" i="51"/>
  <c r="F49" i="51"/>
  <c r="F48" i="51"/>
  <c r="F47" i="51"/>
  <c r="F46" i="51"/>
  <c r="F45" i="51"/>
  <c r="F44" i="51"/>
  <c r="F43" i="51"/>
  <c r="F42" i="51"/>
  <c r="F41" i="51"/>
  <c r="F40" i="51"/>
  <c r="F39" i="51"/>
  <c r="F38" i="51"/>
  <c r="F37" i="51"/>
  <c r="F36" i="51"/>
  <c r="F35" i="51"/>
  <c r="F34" i="51"/>
  <c r="F33" i="51"/>
  <c r="F32" i="51"/>
  <c r="F31" i="51"/>
  <c r="F30" i="51"/>
  <c r="F29" i="51"/>
  <c r="F28" i="51"/>
  <c r="F27" i="51"/>
  <c r="F26" i="51"/>
  <c r="F25" i="51"/>
  <c r="F24" i="51"/>
  <c r="F23" i="51"/>
  <c r="F22" i="51"/>
  <c r="F21" i="51"/>
  <c r="F20" i="51"/>
  <c r="F19" i="51"/>
  <c r="F18" i="51"/>
  <c r="F17" i="51"/>
  <c r="F16" i="51"/>
  <c r="F15" i="51"/>
  <c r="F14" i="51"/>
  <c r="F13" i="51"/>
  <c r="F12" i="51"/>
  <c r="F11" i="51"/>
  <c r="F10" i="51"/>
  <c r="F9" i="51"/>
  <c r="F8" i="51"/>
  <c r="F7" i="51"/>
  <c r="F6" i="51"/>
  <c r="F5" i="51"/>
  <c r="F4" i="51"/>
  <c r="F3" i="51"/>
  <c r="F149" i="36" l="1" a="1"/>
  <c r="F149" i="36" s="1"/>
  <c r="F151" i="36" a="1"/>
  <c r="F151" i="36" s="1"/>
  <c r="F153" i="36" a="1"/>
  <c r="F153" i="36" s="1"/>
  <c r="F155" i="36" a="1"/>
  <c r="F155" i="36" s="1"/>
  <c r="F157" i="36" a="1"/>
  <c r="F157" i="36" s="1"/>
  <c r="G149" i="36" a="1"/>
  <c r="G149" i="36" s="1"/>
  <c r="G151" i="36" a="1"/>
  <c r="G151" i="36" s="1"/>
  <c r="G153" i="36" a="1"/>
  <c r="G153" i="36" s="1"/>
  <c r="G155" i="36" a="1"/>
  <c r="G155" i="36" s="1"/>
  <c r="G157" i="36" a="1"/>
  <c r="G157" i="36" s="1"/>
  <c r="H149" i="36" a="1"/>
  <c r="H149" i="36" s="1"/>
  <c r="H151" i="36" a="1"/>
  <c r="H151" i="36" s="1"/>
  <c r="H153" i="36" a="1"/>
  <c r="H153" i="36" s="1"/>
  <c r="H155" i="36" a="1"/>
  <c r="H155" i="36" s="1"/>
  <c r="H157" i="36" a="1"/>
  <c r="H157" i="36" s="1"/>
  <c r="E155" i="36" a="1"/>
  <c r="E155" i="36" s="1"/>
  <c r="I149" i="36" a="1"/>
  <c r="I149" i="36" s="1"/>
  <c r="I151" i="36" a="1"/>
  <c r="I151" i="36" s="1"/>
  <c r="I153" i="36" a="1"/>
  <c r="I153" i="36" s="1"/>
  <c r="I155" i="36" a="1"/>
  <c r="I155" i="36" s="1"/>
  <c r="I157" i="36" a="1"/>
  <c r="I157" i="36" s="1"/>
  <c r="E157" i="36" a="1"/>
  <c r="E157" i="36" s="1"/>
  <c r="J149" i="36" a="1"/>
  <c r="J149" i="36" s="1"/>
  <c r="J151" i="36" a="1"/>
  <c r="J151" i="36" s="1"/>
  <c r="J153" i="36" a="1"/>
  <c r="J153" i="36" s="1"/>
  <c r="J155" i="36" a="1"/>
  <c r="J155" i="36" s="1"/>
  <c r="J157" i="36" a="1"/>
  <c r="J157" i="36" s="1"/>
  <c r="E150" i="36" a="1"/>
  <c r="E150" i="36" s="1"/>
  <c r="E152" i="36" a="1"/>
  <c r="E152" i="36" s="1"/>
  <c r="E154" i="36" a="1"/>
  <c r="E154" i="36" s="1"/>
  <c r="E156" i="36" a="1"/>
  <c r="E156" i="36" s="1"/>
  <c r="F148" i="36" a="1"/>
  <c r="F148" i="36" s="1"/>
  <c r="F150" i="36" a="1"/>
  <c r="F150" i="36" s="1"/>
  <c r="F152" i="36" a="1"/>
  <c r="F152" i="36" s="1"/>
  <c r="F154" i="36" a="1"/>
  <c r="F154" i="36" s="1"/>
  <c r="F156" i="36" a="1"/>
  <c r="F156" i="36" s="1"/>
  <c r="G148" i="36" a="1"/>
  <c r="G148" i="36" s="1"/>
  <c r="G150" i="36" a="1"/>
  <c r="G150" i="36" s="1"/>
  <c r="G152" i="36" a="1"/>
  <c r="G152" i="36" s="1"/>
  <c r="G154" i="36" a="1"/>
  <c r="G154" i="36" s="1"/>
  <c r="G156" i="36" a="1"/>
  <c r="G156" i="36" s="1"/>
  <c r="H148" i="36" a="1"/>
  <c r="H148" i="36" s="1"/>
  <c r="H150" i="36" a="1"/>
  <c r="H150" i="36" s="1"/>
  <c r="H152" i="36" a="1"/>
  <c r="H152" i="36" s="1"/>
  <c r="H154" i="36" a="1"/>
  <c r="H154" i="36" s="1"/>
  <c r="H156" i="36" a="1"/>
  <c r="H156" i="36" s="1"/>
  <c r="I148" i="36" a="1"/>
  <c r="I148" i="36" s="1"/>
  <c r="E149" i="36" a="1"/>
  <c r="E149" i="36" s="1"/>
  <c r="I150" i="36" a="1"/>
  <c r="I150" i="36" s="1"/>
  <c r="I152" i="36" a="1"/>
  <c r="I152" i="36" s="1"/>
  <c r="I154" i="36" a="1"/>
  <c r="I154" i="36" s="1"/>
  <c r="I156" i="36" a="1"/>
  <c r="I156" i="36" s="1"/>
  <c r="E151" i="36" a="1"/>
  <c r="E151" i="36" s="1"/>
  <c r="J150" i="36" a="1"/>
  <c r="J150" i="36" s="1"/>
  <c r="J152" i="36" a="1"/>
  <c r="J152" i="36" s="1"/>
  <c r="J154" i="36" a="1"/>
  <c r="J154" i="36" s="1"/>
  <c r="J156" i="36" a="1"/>
  <c r="J156" i="36" s="1"/>
  <c r="E148" i="36" a="1"/>
  <c r="E148" i="36" s="1"/>
  <c r="E153" i="36" a="1"/>
  <c r="E153" i="36" s="1"/>
  <c r="I158" i="36" l="1"/>
  <c r="K148" i="36"/>
  <c r="K162" i="36" s="1"/>
  <c r="E158" i="36"/>
  <c r="K153" i="36"/>
  <c r="K167" i="36" s="1"/>
  <c r="K157" i="36"/>
  <c r="F158" i="36"/>
  <c r="K156" i="36"/>
  <c r="K151" i="36"/>
  <c r="K165" i="36" s="1"/>
  <c r="H158" i="36"/>
  <c r="K154" i="36"/>
  <c r="K152" i="36"/>
  <c r="K166" i="36" s="1"/>
  <c r="K150" i="36"/>
  <c r="K164" i="36" s="1"/>
  <c r="K155" i="36"/>
  <c r="J158" i="36"/>
  <c r="K149" i="36"/>
  <c r="K163" i="36" s="1"/>
  <c r="G158" i="36"/>
  <c r="C33" i="52" l="1"/>
  <c r="C32" i="52"/>
  <c r="C31" i="52"/>
  <c r="C34" i="52"/>
  <c r="C30" i="52"/>
  <c r="C29" i="52"/>
  <c r="K168" i="36"/>
  <c r="K158" i="36"/>
  <c r="C35" i="52" l="1"/>
  <c r="E159" i="36"/>
  <c r="F159" i="36"/>
  <c r="G159" i="36"/>
  <c r="J159" i="36"/>
  <c r="I159" i="36"/>
  <c r="H159" i="36"/>
  <c r="AC51" i="1" l="1"/>
  <c r="AC52" i="1"/>
  <c r="AC53" i="1"/>
  <c r="AC54" i="1"/>
  <c r="AC55" i="1"/>
  <c r="AC56" i="1"/>
  <c r="AC57" i="1"/>
  <c r="AC58" i="1"/>
  <c r="AC59" i="1"/>
  <c r="AC60" i="1"/>
  <c r="AC61" i="1"/>
  <c r="AC62" i="1"/>
  <c r="AC63" i="1"/>
  <c r="AC64" i="1"/>
  <c r="AC65" i="1"/>
  <c r="AC66" i="1"/>
  <c r="AC67" i="1"/>
  <c r="AC68" i="1"/>
  <c r="AC69" i="1"/>
  <c r="AC70" i="1"/>
  <c r="AC71" i="1"/>
  <c r="AC72" i="1"/>
  <c r="AC73" i="1"/>
  <c r="W58" i="1"/>
  <c r="AA58" i="1" s="1"/>
  <c r="N50" i="1"/>
  <c r="O50" i="1"/>
  <c r="P50" i="1"/>
  <c r="Q50" i="1"/>
  <c r="R50" i="1"/>
  <c r="S50" i="1"/>
  <c r="T50" i="1"/>
  <c r="U50" i="1"/>
  <c r="V50" i="1"/>
  <c r="Y57" i="1" l="1"/>
  <c r="Y58" i="1"/>
  <c r="G75" i="1"/>
  <c r="AB51" i="1"/>
  <c r="AB52" i="1"/>
  <c r="AB53" i="1"/>
  <c r="AB54" i="1"/>
  <c r="AB55" i="1"/>
  <c r="AB56" i="1"/>
  <c r="AB59" i="1"/>
  <c r="AB60" i="1"/>
  <c r="AB61" i="1"/>
  <c r="AD61" i="1" s="1"/>
  <c r="AB62" i="1"/>
  <c r="AD62" i="1" s="1"/>
  <c r="AB63" i="1"/>
  <c r="AB64" i="1"/>
  <c r="AD64" i="1" s="1"/>
  <c r="AB65" i="1"/>
  <c r="AB66" i="1"/>
  <c r="AB67" i="1"/>
  <c r="AB68" i="1"/>
  <c r="AB69" i="1"/>
  <c r="AB70" i="1"/>
  <c r="AB71" i="1"/>
  <c r="AB72" i="1"/>
  <c r="AB73" i="1"/>
  <c r="AD73" i="1" s="1"/>
  <c r="AD78" i="1"/>
  <c r="AE78" i="1"/>
  <c r="AF78" i="1" s="1"/>
  <c r="AD79" i="1"/>
  <c r="AE79" i="1"/>
  <c r="AF79" i="1" s="1"/>
  <c r="AD80" i="1"/>
  <c r="AE80" i="1"/>
  <c r="AF80" i="1" s="1"/>
  <c r="AD81" i="1"/>
  <c r="AE81" i="1"/>
  <c r="AF81" i="1" s="1"/>
  <c r="AD82" i="1"/>
  <c r="AE82" i="1"/>
  <c r="AF82" i="1" s="1"/>
  <c r="AD83" i="1"/>
  <c r="AE83" i="1"/>
  <c r="AF83" i="1" s="1"/>
  <c r="AD84" i="1"/>
  <c r="AE84" i="1"/>
  <c r="AF84" i="1" s="1"/>
  <c r="AD85" i="1"/>
  <c r="AE85" i="1"/>
  <c r="AF85" i="1" s="1"/>
  <c r="AD86" i="1"/>
  <c r="AE86" i="1"/>
  <c r="AF86" i="1" s="1"/>
  <c r="AD87" i="1"/>
  <c r="AE87" i="1"/>
  <c r="AF87" i="1" s="1"/>
  <c r="AD88" i="1"/>
  <c r="AE88" i="1"/>
  <c r="AF88" i="1" s="1"/>
  <c r="AD89" i="1"/>
  <c r="AE89" i="1"/>
  <c r="AF89" i="1" s="1"/>
  <c r="AD90" i="1"/>
  <c r="AE90" i="1"/>
  <c r="AF90" i="1" s="1"/>
  <c r="AD91" i="1"/>
  <c r="AE91" i="1"/>
  <c r="AF91" i="1" s="1"/>
  <c r="AD92" i="1"/>
  <c r="AE92" i="1"/>
  <c r="AF92" i="1" s="1"/>
  <c r="AD93" i="1"/>
  <c r="AE93" i="1"/>
  <c r="AF93" i="1" s="1"/>
  <c r="AD94" i="1"/>
  <c r="AE94" i="1"/>
  <c r="AF94" i="1" s="1"/>
  <c r="AD95" i="1"/>
  <c r="AE95" i="1"/>
  <c r="AF95" i="1" s="1"/>
  <c r="AD96" i="1"/>
  <c r="AE96" i="1"/>
  <c r="AF96" i="1" s="1"/>
  <c r="AD97" i="1"/>
  <c r="AE97" i="1"/>
  <c r="AF97" i="1" s="1"/>
  <c r="AD98" i="1"/>
  <c r="AE98" i="1"/>
  <c r="AF98" i="1" s="1"/>
  <c r="AD99" i="1"/>
  <c r="AE99" i="1"/>
  <c r="AF99" i="1" s="1"/>
  <c r="AD100" i="1"/>
  <c r="AE100" i="1"/>
  <c r="AF100" i="1" s="1"/>
  <c r="AD77" i="1"/>
  <c r="AE77" i="1"/>
  <c r="T62" i="1" l="1"/>
  <c r="S62" i="1"/>
  <c r="R62" i="1"/>
  <c r="Q62" i="1"/>
  <c r="H75" i="1"/>
  <c r="I75" i="1" s="1"/>
  <c r="J75" i="1" s="1"/>
  <c r="K75" i="1" s="1"/>
  <c r="L75" i="1" s="1"/>
  <c r="M75" i="1" s="1"/>
  <c r="N75" i="1" s="1"/>
  <c r="O75" i="1" s="1"/>
  <c r="P75" i="1" s="1"/>
  <c r="Q75" i="1" s="1"/>
  <c r="R75" i="1" s="1"/>
  <c r="S75" i="1" s="1"/>
  <c r="T75" i="1" s="1"/>
  <c r="U75" i="1" s="1"/>
  <c r="V75" i="1" s="1"/>
  <c r="H75" i="29"/>
  <c r="I75" i="29" s="1"/>
  <c r="H75" i="23"/>
  <c r="H75" i="24"/>
  <c r="AD69" i="1"/>
  <c r="AD54" i="1"/>
  <c r="AD52" i="1"/>
  <c r="AE65" i="1"/>
  <c r="AD51" i="1"/>
  <c r="AD66" i="1"/>
  <c r="AE72" i="1"/>
  <c r="AD60" i="1"/>
  <c r="AE71" i="1"/>
  <c r="AG77" i="1"/>
  <c r="AD68" i="1"/>
  <c r="AE54" i="1"/>
  <c r="AE64" i="1"/>
  <c r="M64" i="1" s="1"/>
  <c r="AD63" i="1"/>
  <c r="AE66" i="1"/>
  <c r="AD65" i="1"/>
  <c r="AD71" i="1"/>
  <c r="AE59" i="1"/>
  <c r="AD70" i="1"/>
  <c r="AD56" i="1"/>
  <c r="AD55" i="1"/>
  <c r="AD59" i="1"/>
  <c r="AD72" i="1"/>
  <c r="AE70" i="1"/>
  <c r="AE63" i="1"/>
  <c r="AD53" i="1"/>
  <c r="AE69" i="1"/>
  <c r="AE62" i="1"/>
  <c r="L62" i="1" s="1"/>
  <c r="AE68" i="1"/>
  <c r="AE61" i="1"/>
  <c r="J61" i="1" s="1"/>
  <c r="AE73" i="1"/>
  <c r="G73" i="1" s="1"/>
  <c r="AE60" i="1"/>
  <c r="AD67" i="1"/>
  <c r="AE67" i="1"/>
  <c r="AE53" i="1"/>
  <c r="AE52" i="1"/>
  <c r="AF77" i="1"/>
  <c r="AE51" i="1"/>
  <c r="AE56" i="1"/>
  <c r="AE55" i="1"/>
  <c r="T61" i="1" l="1"/>
  <c r="R61" i="1"/>
  <c r="Q61" i="1"/>
  <c r="S61" i="1"/>
  <c r="O61" i="1"/>
  <c r="V59" i="1"/>
  <c r="Q59" i="1"/>
  <c r="U59" i="1"/>
  <c r="T59" i="1"/>
  <c r="S59" i="1"/>
  <c r="R59" i="1"/>
  <c r="R68" i="1"/>
  <c r="V68" i="1"/>
  <c r="U68" i="1"/>
  <c r="S68" i="1"/>
  <c r="T68" i="1"/>
  <c r="Q68" i="1"/>
  <c r="P61" i="1"/>
  <c r="Q73" i="1"/>
  <c r="R73" i="1"/>
  <c r="P71" i="1"/>
  <c r="O71" i="1"/>
  <c r="Q71" i="1"/>
  <c r="R71" i="1"/>
  <c r="U62" i="1"/>
  <c r="S73" i="1"/>
  <c r="V62" i="1"/>
  <c r="T73" i="1"/>
  <c r="R63" i="1"/>
  <c r="S63" i="1"/>
  <c r="T63" i="1"/>
  <c r="V63" i="1"/>
  <c r="O63" i="1"/>
  <c r="U63" i="1"/>
  <c r="Q63" i="1"/>
  <c r="U61" i="1"/>
  <c r="U73" i="1"/>
  <c r="T66" i="1"/>
  <c r="S66" i="1"/>
  <c r="R66" i="1"/>
  <c r="Q66" i="1"/>
  <c r="O66" i="1"/>
  <c r="V66" i="1"/>
  <c r="U66" i="1"/>
  <c r="T69" i="1"/>
  <c r="U69" i="1"/>
  <c r="S69" i="1"/>
  <c r="R69" i="1"/>
  <c r="V69" i="1"/>
  <c r="Q69" i="1"/>
  <c r="V61" i="1"/>
  <c r="V73" i="1"/>
  <c r="Q56" i="1"/>
  <c r="R56" i="1"/>
  <c r="S56" i="1"/>
  <c r="T56" i="1"/>
  <c r="U56" i="1"/>
  <c r="V56" i="1"/>
  <c r="V53" i="1"/>
  <c r="O53" i="1"/>
  <c r="Q53" i="1"/>
  <c r="R53" i="1"/>
  <c r="S53" i="1"/>
  <c r="T53" i="1"/>
  <c r="U53" i="1"/>
  <c r="S51" i="1"/>
  <c r="T51" i="1"/>
  <c r="U51" i="1"/>
  <c r="V51" i="1"/>
  <c r="R51" i="1"/>
  <c r="O51" i="1"/>
  <c r="Q51" i="1"/>
  <c r="P51" i="1"/>
  <c r="R54" i="1"/>
  <c r="S54" i="1"/>
  <c r="T54" i="1"/>
  <c r="U54" i="1"/>
  <c r="V54" i="1"/>
  <c r="Q54" i="1"/>
  <c r="O54" i="1"/>
  <c r="P69" i="1"/>
  <c r="N63" i="1"/>
  <c r="P63" i="1"/>
  <c r="P68" i="1"/>
  <c r="O59" i="1"/>
  <c r="P59" i="1"/>
  <c r="N53" i="1"/>
  <c r="P53" i="1"/>
  <c r="P56" i="1"/>
  <c r="N62" i="1"/>
  <c r="P66" i="1"/>
  <c r="P73" i="1"/>
  <c r="O69" i="1"/>
  <c r="O68" i="1"/>
  <c r="N68" i="1"/>
  <c r="N66" i="1"/>
  <c r="N73" i="1"/>
  <c r="N71" i="1"/>
  <c r="O73" i="1"/>
  <c r="N61" i="1"/>
  <c r="N56" i="1"/>
  <c r="O56" i="1"/>
  <c r="I75" i="24"/>
  <c r="J75" i="24" s="1"/>
  <c r="K75" i="24" s="1"/>
  <c r="L75" i="24" s="1"/>
  <c r="M75" i="24" s="1"/>
  <c r="N75" i="24" s="1"/>
  <c r="O75" i="24" s="1"/>
  <c r="P75" i="24" s="1"/>
  <c r="Q75" i="24" s="1"/>
  <c r="R75" i="24" s="1"/>
  <c r="S75" i="24" s="1"/>
  <c r="T75" i="24" s="1"/>
  <c r="U75" i="24" s="1"/>
  <c r="V75" i="24" s="1"/>
  <c r="I75" i="23"/>
  <c r="J75" i="23" s="1"/>
  <c r="K75" i="23" s="1"/>
  <c r="L75" i="23" s="1"/>
  <c r="M75" i="23" s="1"/>
  <c r="N75" i="23" s="1"/>
  <c r="O75" i="23" s="1"/>
  <c r="P75" i="23" s="1"/>
  <c r="Q75" i="23" s="1"/>
  <c r="R75" i="23" s="1"/>
  <c r="S75" i="23" s="1"/>
  <c r="T75" i="23" s="1"/>
  <c r="U75" i="23" s="1"/>
  <c r="V75" i="23" s="1"/>
  <c r="V71" i="1"/>
  <c r="U71" i="1"/>
  <c r="T71" i="1"/>
  <c r="S71" i="1"/>
  <c r="S72" i="1"/>
  <c r="V72" i="1"/>
  <c r="T72" i="1"/>
  <c r="U72" i="1"/>
  <c r="T70" i="1"/>
  <c r="S70" i="1"/>
  <c r="U70" i="1"/>
  <c r="V70" i="1"/>
  <c r="S67" i="1"/>
  <c r="T67" i="1"/>
  <c r="V67" i="1"/>
  <c r="U67" i="1"/>
  <c r="V65" i="1"/>
  <c r="U65" i="1"/>
  <c r="T65" i="1"/>
  <c r="S65" i="1"/>
  <c r="S64" i="1"/>
  <c r="T64" i="1"/>
  <c r="U64" i="1"/>
  <c r="V64" i="1"/>
  <c r="S60" i="1"/>
  <c r="T60" i="1"/>
  <c r="V60" i="1"/>
  <c r="U60" i="1"/>
  <c r="T55" i="1"/>
  <c r="V55" i="1"/>
  <c r="S55" i="1"/>
  <c r="U55" i="1"/>
  <c r="S52" i="1"/>
  <c r="T52" i="1"/>
  <c r="U52" i="1"/>
  <c r="V52" i="1"/>
  <c r="R67" i="1"/>
  <c r="Q67" i="1"/>
  <c r="O67" i="1"/>
  <c r="P67" i="1"/>
  <c r="R72" i="1"/>
  <c r="Q72" i="1"/>
  <c r="P72" i="1"/>
  <c r="O72" i="1"/>
  <c r="N72" i="1"/>
  <c r="O60" i="1"/>
  <c r="N60" i="1"/>
  <c r="Q60" i="1"/>
  <c r="R60" i="1"/>
  <c r="P60" i="1"/>
  <c r="Q64" i="1"/>
  <c r="N70" i="1"/>
  <c r="R70" i="1"/>
  <c r="Q70" i="1"/>
  <c r="P70" i="1"/>
  <c r="O70" i="1"/>
  <c r="R64" i="1"/>
  <c r="O64" i="1"/>
  <c r="R65" i="1"/>
  <c r="Q65" i="1"/>
  <c r="P65" i="1"/>
  <c r="O65" i="1"/>
  <c r="N65" i="1"/>
  <c r="P64" i="1"/>
  <c r="O52" i="1"/>
  <c r="P52" i="1"/>
  <c r="Q52" i="1"/>
  <c r="R52" i="1"/>
  <c r="P55" i="1"/>
  <c r="R55" i="1"/>
  <c r="N55" i="1"/>
  <c r="O55" i="1"/>
  <c r="Q55" i="1"/>
  <c r="N51" i="1"/>
  <c r="N54" i="1"/>
  <c r="N69" i="1"/>
  <c r="N67" i="1"/>
  <c r="N59" i="1"/>
  <c r="N64" i="1"/>
  <c r="J75" i="29"/>
  <c r="K75" i="29" s="1"/>
  <c r="L75" i="29" s="1"/>
  <c r="M75" i="29" s="1"/>
  <c r="N75" i="29" s="1"/>
  <c r="O75" i="29" s="1"/>
  <c r="P75" i="29" s="1"/>
  <c r="Q75" i="29" s="1"/>
  <c r="R75" i="29" s="1"/>
  <c r="S75" i="29" s="1"/>
  <c r="T75" i="29" s="1"/>
  <c r="U75" i="29" s="1"/>
  <c r="V75" i="29" s="1"/>
  <c r="L61" i="1"/>
  <c r="G61" i="1"/>
  <c r="K62" i="1"/>
  <c r="G62" i="1"/>
  <c r="I62" i="1"/>
  <c r="J62" i="1"/>
  <c r="I64" i="1"/>
  <c r="L64" i="1"/>
  <c r="G64" i="1"/>
  <c r="H61" i="1"/>
  <c r="K61" i="1"/>
  <c r="K60" i="1"/>
  <c r="J60" i="1"/>
  <c r="I60" i="1"/>
  <c r="H60" i="1"/>
  <c r="G60" i="1"/>
  <c r="M60" i="1"/>
  <c r="L60" i="1"/>
  <c r="K66" i="1"/>
  <c r="I66" i="1"/>
  <c r="H66" i="1"/>
  <c r="G66" i="1"/>
  <c r="L66" i="1"/>
  <c r="M66" i="1"/>
  <c r="J66" i="1"/>
  <c r="M61" i="1"/>
  <c r="H62" i="1"/>
  <c r="G67" i="1"/>
  <c r="M67" i="1"/>
  <c r="L67" i="1"/>
  <c r="K67" i="1"/>
  <c r="J67" i="1"/>
  <c r="I67" i="1"/>
  <c r="H67" i="1"/>
  <c r="M65" i="1"/>
  <c r="J65" i="1"/>
  <c r="I65" i="1"/>
  <c r="K65" i="1"/>
  <c r="G65" i="1"/>
  <c r="H73" i="1"/>
  <c r="G70" i="1"/>
  <c r="M70" i="1"/>
  <c r="L70" i="1"/>
  <c r="K70" i="1"/>
  <c r="H70" i="1"/>
  <c r="J70" i="1"/>
  <c r="I70" i="1"/>
  <c r="K69" i="1"/>
  <c r="J69" i="1"/>
  <c r="I69" i="1"/>
  <c r="H69" i="1"/>
  <c r="G69" i="1"/>
  <c r="M69" i="1"/>
  <c r="L69" i="1"/>
  <c r="K73" i="1"/>
  <c r="J64" i="1"/>
  <c r="K63" i="1"/>
  <c r="J63" i="1"/>
  <c r="I63" i="1"/>
  <c r="H63" i="1"/>
  <c r="G63" i="1"/>
  <c r="L63" i="1"/>
  <c r="M63" i="1"/>
  <c r="L73" i="1"/>
  <c r="H64" i="1"/>
  <c r="M71" i="1"/>
  <c r="L71" i="1"/>
  <c r="K71" i="1"/>
  <c r="J71" i="1"/>
  <c r="I71" i="1"/>
  <c r="H71" i="1"/>
  <c r="G71" i="1"/>
  <c r="I73" i="1"/>
  <c r="J73" i="1"/>
  <c r="K72" i="1"/>
  <c r="J72" i="1"/>
  <c r="I72" i="1"/>
  <c r="H72" i="1"/>
  <c r="G72" i="1"/>
  <c r="L72" i="1"/>
  <c r="M72" i="1"/>
  <c r="M68" i="1"/>
  <c r="K68" i="1"/>
  <c r="J68" i="1"/>
  <c r="I68" i="1"/>
  <c r="H68" i="1"/>
  <c r="G68" i="1"/>
  <c r="I61" i="1"/>
  <c r="M73" i="1"/>
  <c r="K64" i="1"/>
  <c r="M59" i="1"/>
  <c r="L59" i="1"/>
  <c r="K59" i="1"/>
  <c r="J59" i="1"/>
  <c r="I59" i="1"/>
  <c r="G59" i="1"/>
  <c r="M53" i="1"/>
  <c r="G53" i="1"/>
  <c r="J53" i="1"/>
  <c r="K53" i="1"/>
  <c r="L53" i="1"/>
  <c r="H53" i="1"/>
  <c r="I53" i="1"/>
  <c r="H55" i="1"/>
  <c r="G55" i="1"/>
  <c r="I55" i="1"/>
  <c r="J55" i="1"/>
  <c r="K55" i="1"/>
  <c r="L55" i="1"/>
  <c r="M55" i="1"/>
  <c r="M56" i="1"/>
  <c r="L56" i="1"/>
  <c r="G56" i="1"/>
  <c r="I56" i="1"/>
  <c r="J56" i="1"/>
  <c r="H56" i="1"/>
  <c r="K56" i="1"/>
  <c r="H51" i="1"/>
  <c r="I51" i="1"/>
  <c r="J51" i="1"/>
  <c r="L51" i="1"/>
  <c r="M51" i="1"/>
  <c r="K51" i="1"/>
  <c r="G51" i="1"/>
  <c r="I54" i="1"/>
  <c r="J54" i="1"/>
  <c r="L54" i="1"/>
  <c r="M54" i="1"/>
  <c r="H54" i="1"/>
  <c r="G54" i="1"/>
  <c r="H52" i="1"/>
  <c r="G52" i="1"/>
  <c r="I52" i="1"/>
  <c r="J52" i="1"/>
  <c r="K52" i="1"/>
  <c r="L52" i="1"/>
  <c r="M52" i="1"/>
  <c r="L50" i="1"/>
  <c r="I50" i="1"/>
  <c r="J50" i="1"/>
  <c r="K50" i="1"/>
  <c r="G50" i="1"/>
  <c r="H50" i="1"/>
  <c r="W61" i="1" l="1"/>
  <c r="AA61" i="1" s="1"/>
  <c r="W64" i="1"/>
  <c r="AA64" i="1" s="1"/>
  <c r="W73" i="1"/>
  <c r="W56" i="1"/>
  <c r="AA56" i="1" s="1"/>
  <c r="W72" i="1"/>
  <c r="AA72" i="1" s="1"/>
  <c r="W66" i="1"/>
  <c r="AA66" i="1" s="1"/>
  <c r="W53" i="1"/>
  <c r="AA53" i="1" s="1"/>
  <c r="W70" i="1"/>
  <c r="AA70" i="1" s="1"/>
  <c r="W51" i="1"/>
  <c r="AA51" i="1" s="1"/>
  <c r="W69" i="1"/>
  <c r="AA69" i="1" s="1"/>
  <c r="W71" i="1"/>
  <c r="AA71" i="1" s="1"/>
  <c r="W55" i="1"/>
  <c r="AA55" i="1" s="1"/>
  <c r="W67" i="1"/>
  <c r="AA67" i="1" s="1"/>
  <c r="W60" i="1"/>
  <c r="AA60" i="1" s="1"/>
  <c r="W63" i="1"/>
  <c r="AA63" i="1" s="1"/>
  <c r="CU21" i="23"/>
  <c r="CV21" i="23" s="1"/>
  <c r="CW21" i="23" s="1"/>
  <c r="CX21" i="23" s="1"/>
  <c r="CY21" i="23" s="1"/>
  <c r="CZ21" i="23" s="1"/>
  <c r="DA21" i="23" s="1"/>
  <c r="DB21" i="23" s="1"/>
  <c r="DC21" i="23" s="1"/>
  <c r="DD21" i="23" s="1"/>
  <c r="DE21" i="23" s="1"/>
  <c r="DF21" i="23" s="1"/>
  <c r="DG21" i="23" s="1"/>
  <c r="DH21" i="23" s="1"/>
  <c r="DI21" i="23" s="1"/>
  <c r="DJ21" i="23" s="1"/>
  <c r="CC21" i="23"/>
  <c r="CC58" i="23" s="1"/>
  <c r="BK21" i="23"/>
  <c r="CU21" i="24"/>
  <c r="CV21" i="24" s="1"/>
  <c r="CW21" i="24" s="1"/>
  <c r="CX21" i="24" s="1"/>
  <c r="CY21" i="24" s="1"/>
  <c r="CZ21" i="24" s="1"/>
  <c r="DA21" i="24" s="1"/>
  <c r="DB21" i="24" s="1"/>
  <c r="DC21" i="24" s="1"/>
  <c r="DD21" i="24" s="1"/>
  <c r="DE21" i="24" s="1"/>
  <c r="DF21" i="24" s="1"/>
  <c r="DG21" i="24" s="1"/>
  <c r="DH21" i="24" s="1"/>
  <c r="DI21" i="24" s="1"/>
  <c r="DJ21" i="24" s="1"/>
  <c r="CC21" i="24"/>
  <c r="CC58" i="24" s="1"/>
  <c r="BK21" i="24"/>
  <c r="BK58" i="24" s="1"/>
  <c r="BK58" i="23" l="1"/>
  <c r="Y64" i="1"/>
  <c r="CD21" i="24"/>
  <c r="CD58" i="24" s="1"/>
  <c r="CD21" i="23"/>
  <c r="CD58" i="23" s="1"/>
  <c r="Y61" i="1"/>
  <c r="Y73" i="1"/>
  <c r="AA73" i="1"/>
  <c r="I159" i="1" s="1"/>
  <c r="G159" i="1" s="1"/>
  <c r="DN21" i="24"/>
  <c r="Y72" i="1"/>
  <c r="Y69" i="1"/>
  <c r="Y53" i="1"/>
  <c r="Y56" i="1"/>
  <c r="C159" i="1"/>
  <c r="B159" i="1" s="1"/>
  <c r="Y70" i="1"/>
  <c r="Y63" i="1"/>
  <c r="Y55" i="1"/>
  <c r="Y66" i="1"/>
  <c r="DN21" i="23"/>
  <c r="Y71" i="1"/>
  <c r="Y51" i="1"/>
  <c r="Y67" i="1"/>
  <c r="Y60" i="1"/>
  <c r="BL21" i="23"/>
  <c r="BL21" i="24"/>
  <c r="BL58" i="24" s="1"/>
  <c r="BL58" i="23" l="1"/>
  <c r="DO21" i="24"/>
  <c r="DO21" i="23"/>
  <c r="CE21" i="24"/>
  <c r="CE58" i="24" s="1"/>
  <c r="CE21" i="23"/>
  <c r="CE58" i="23" s="1"/>
  <c r="BM21" i="23"/>
  <c r="BM21" i="24"/>
  <c r="BM58" i="24" s="1"/>
  <c r="BM58" i="23" l="1"/>
  <c r="CF21" i="24"/>
  <c r="CF58" i="24" s="1"/>
  <c r="DP21" i="24"/>
  <c r="CF21" i="23"/>
  <c r="CF58" i="23" s="1"/>
  <c r="DP21" i="23"/>
  <c r="BN21" i="24"/>
  <c r="BN58" i="24" s="1"/>
  <c r="BN21" i="23"/>
  <c r="BN58" i="23" l="1"/>
  <c r="CG21" i="24"/>
  <c r="CG58" i="24" s="1"/>
  <c r="DQ21" i="24"/>
  <c r="CG21" i="23"/>
  <c r="CG58" i="23" s="1"/>
  <c r="DQ21" i="23"/>
  <c r="BO21" i="24"/>
  <c r="BO58" i="24" s="1"/>
  <c r="BO21" i="23"/>
  <c r="BO58" i="23" l="1"/>
  <c r="CH21" i="24"/>
  <c r="CH58" i="24" s="1"/>
  <c r="DR21" i="24"/>
  <c r="CH21" i="23"/>
  <c r="CH58" i="23" s="1"/>
  <c r="DR21" i="23"/>
  <c r="BP21" i="24"/>
  <c r="BP58" i="24" s="1"/>
  <c r="BP21" i="23"/>
  <c r="BP58" i="23" l="1"/>
  <c r="CI21" i="24"/>
  <c r="CI58" i="24" s="1"/>
  <c r="DS21" i="23"/>
  <c r="CI21" i="23"/>
  <c r="CI58" i="23" s="1"/>
  <c r="BQ21" i="24"/>
  <c r="BQ58" i="24" s="1"/>
  <c r="BQ21" i="23"/>
  <c r="BQ58" i="23" l="1"/>
  <c r="CJ21" i="24"/>
  <c r="CJ58" i="24" s="1"/>
  <c r="CJ21" i="23"/>
  <c r="CJ58" i="23" s="1"/>
  <c r="BR21" i="24"/>
  <c r="BR58" i="24" s="1"/>
  <c r="BR21" i="23"/>
  <c r="BR58" i="23" l="1"/>
  <c r="CK21" i="24"/>
  <c r="CK58" i="24" s="1"/>
  <c r="CK21" i="23"/>
  <c r="CK58" i="23" s="1"/>
  <c r="BS21" i="24"/>
  <c r="BS58" i="24" s="1"/>
  <c r="BS21" i="23"/>
  <c r="BS58" i="23" l="1"/>
  <c r="CL21" i="24"/>
  <c r="CL58" i="24" s="1"/>
  <c r="CL21" i="23"/>
  <c r="CL58" i="23" s="1"/>
  <c r="BT21" i="24"/>
  <c r="BT21" i="23"/>
  <c r="BT58" i="24" l="1"/>
  <c r="BT58" i="23"/>
  <c r="CM21" i="24"/>
  <c r="CM58" i="24" s="1"/>
  <c r="CM21" i="23"/>
  <c r="CM58" i="23" s="1"/>
  <c r="BU21" i="24"/>
  <c r="BU21" i="23"/>
  <c r="BU58" i="24" l="1"/>
  <c r="BU58" i="23"/>
  <c r="CN21" i="24"/>
  <c r="CN58" i="24" s="1"/>
  <c r="CN21" i="23"/>
  <c r="CN58" i="23" s="1"/>
  <c r="BV21" i="24"/>
  <c r="BV21" i="23"/>
  <c r="BV58" i="24" l="1"/>
  <c r="BV58" i="23"/>
  <c r="CO21" i="24"/>
  <c r="CO58" i="24" s="1"/>
  <c r="CO21" i="23"/>
  <c r="CO58" i="23" s="1"/>
  <c r="BV31" i="24"/>
  <c r="BW21" i="24"/>
  <c r="BW21" i="23"/>
  <c r="BW58" i="24" l="1"/>
  <c r="BW58" i="23"/>
  <c r="CP21" i="24"/>
  <c r="CP58" i="24" s="1"/>
  <c r="CP21" i="23"/>
  <c r="CP58" i="23" s="1"/>
  <c r="BW31" i="24"/>
  <c r="BX21" i="24"/>
  <c r="BX21" i="23"/>
  <c r="BX58" i="24" l="1"/>
  <c r="BX58" i="23"/>
  <c r="CQ21" i="24"/>
  <c r="CQ58" i="24" s="1"/>
  <c r="EA21" i="23"/>
  <c r="CQ21" i="23"/>
  <c r="CQ58" i="23" s="1"/>
  <c r="BX31" i="24"/>
  <c r="BY21" i="24"/>
  <c r="BY21" i="23"/>
  <c r="BY58" i="24" l="1"/>
  <c r="BY58" i="23"/>
  <c r="CR21" i="24"/>
  <c r="CR58" i="24" s="1"/>
  <c r="CR21" i="23"/>
  <c r="CR58" i="23" s="1"/>
  <c r="EB21" i="23"/>
  <c r="BY31" i="24"/>
  <c r="BZ21" i="24"/>
  <c r="BZ21" i="23"/>
  <c r="BZ58" i="24" l="1"/>
  <c r="BZ58" i="23"/>
  <c r="EC21" i="23"/>
  <c r="BZ31" i="24"/>
  <c r="DE29" i="23" l="1"/>
  <c r="DD29" i="23"/>
  <c r="DF29" i="23"/>
  <c r="DI29" i="23"/>
  <c r="DH29" i="23"/>
  <c r="DG29" i="23"/>
  <c r="DI28" i="23"/>
  <c r="DG28" i="23"/>
  <c r="DH28" i="23"/>
  <c r="DD28" i="23"/>
  <c r="DF28" i="23"/>
  <c r="DE28" i="23"/>
  <c r="DF25" i="24"/>
  <c r="DG25" i="24"/>
  <c r="DH25" i="24"/>
  <c r="DI25" i="24"/>
  <c r="DD25" i="24"/>
  <c r="DE25" i="24"/>
  <c r="DF25" i="23"/>
  <c r="DD25" i="23"/>
  <c r="DE25" i="23"/>
  <c r="DI25" i="23"/>
  <c r="DH25" i="23"/>
  <c r="DG25" i="23"/>
  <c r="DD27" i="23"/>
  <c r="DG27" i="23"/>
  <c r="DH27" i="23"/>
  <c r="DF27" i="23"/>
  <c r="DE27" i="23"/>
  <c r="DI27" i="23"/>
  <c r="DF26" i="23"/>
  <c r="DG26" i="23"/>
  <c r="DD26" i="23"/>
  <c r="DE26" i="23"/>
  <c r="DI26" i="23"/>
  <c r="DH26" i="23"/>
  <c r="DG26" i="24"/>
  <c r="DF26" i="24"/>
  <c r="DD26" i="24"/>
  <c r="DE26" i="24"/>
  <c r="DH26" i="24"/>
  <c r="DI26" i="24"/>
  <c r="DH28" i="1" l="1"/>
  <c r="DI28" i="1"/>
  <c r="DE28" i="1"/>
  <c r="DF28" i="1"/>
  <c r="DD28" i="1"/>
  <c r="DG28" i="1"/>
  <c r="DE27" i="1"/>
  <c r="DD27" i="1"/>
  <c r="DI27" i="1"/>
  <c r="DF27" i="1"/>
  <c r="DG27" i="1"/>
  <c r="DH27" i="1"/>
  <c r="DE29" i="1"/>
  <c r="DD29" i="1"/>
  <c r="DF29" i="1"/>
  <c r="DG29" i="1"/>
  <c r="DI29" i="1"/>
  <c r="DH29" i="1"/>
  <c r="DD26" i="1"/>
  <c r="DE26" i="1"/>
  <c r="DF26" i="1"/>
  <c r="DG26" i="1"/>
  <c r="DH26" i="1"/>
  <c r="DI26" i="1"/>
  <c r="DE25" i="1"/>
  <c r="DF25" i="1"/>
  <c r="DG25" i="1"/>
  <c r="DH25" i="1"/>
  <c r="DI25" i="1"/>
  <c r="DD25" i="1"/>
  <c r="B63" i="17"/>
  <c r="B64" i="17"/>
  <c r="B57" i="17"/>
  <c r="B59" i="17"/>
  <c r="B58" i="17"/>
  <c r="Q45" i="18"/>
  <c r="P45" i="18"/>
  <c r="Q41" i="18"/>
  <c r="P41" i="18"/>
  <c r="Q37" i="18"/>
  <c r="P37" i="18"/>
  <c r="K10" i="35" l="1"/>
  <c r="AC10" i="35" s="1"/>
  <c r="J10" i="35"/>
  <c r="AB10" i="35" s="1"/>
  <c r="AB12" i="35"/>
  <c r="AC12" i="35"/>
  <c r="AB13" i="35"/>
  <c r="AC13" i="35"/>
  <c r="AB14" i="35"/>
  <c r="AC14" i="35"/>
  <c r="AB15" i="35"/>
  <c r="AC15" i="35"/>
  <c r="AB16" i="35"/>
  <c r="AC16" i="35"/>
  <c r="AB17" i="35"/>
  <c r="AC17" i="35"/>
  <c r="AB18" i="35"/>
  <c r="AC18" i="35"/>
  <c r="AB19" i="35"/>
  <c r="AC19" i="35"/>
  <c r="AB20" i="35"/>
  <c r="AC20" i="35"/>
  <c r="AB21" i="35"/>
  <c r="AC21" i="35"/>
  <c r="AB22" i="35"/>
  <c r="AC22" i="35"/>
  <c r="AB23" i="35"/>
  <c r="AC23" i="35"/>
  <c r="AB24" i="35"/>
  <c r="AC24" i="35"/>
  <c r="AB25" i="35"/>
  <c r="AC25" i="35"/>
  <c r="AB26" i="35"/>
  <c r="AC26" i="35"/>
  <c r="AB27" i="35"/>
  <c r="AC27" i="35"/>
  <c r="AB28" i="35"/>
  <c r="AC28" i="35"/>
  <c r="AB11" i="35"/>
  <c r="AC11" i="35"/>
  <c r="D3" i="50"/>
  <c r="D4" i="50"/>
  <c r="D5" i="50"/>
  <c r="D6" i="50"/>
  <c r="D7" i="50"/>
  <c r="D8" i="50"/>
  <c r="D9" i="50"/>
  <c r="D10" i="50"/>
  <c r="D11" i="50"/>
  <c r="D12" i="50"/>
  <c r="D13" i="50"/>
  <c r="D14" i="50"/>
  <c r="D15" i="50"/>
  <c r="D16" i="50"/>
  <c r="D17" i="50"/>
  <c r="D18" i="50"/>
  <c r="D19" i="50"/>
  <c r="D20" i="50"/>
  <c r="D21" i="50"/>
  <c r="D22" i="50"/>
  <c r="D23" i="50"/>
  <c r="D24" i="50"/>
  <c r="D25" i="50"/>
  <c r="D26" i="50"/>
  <c r="D27" i="50"/>
  <c r="D28" i="50"/>
  <c r="D29" i="50"/>
  <c r="D30" i="50"/>
  <c r="D31" i="50"/>
  <c r="D32" i="50"/>
  <c r="D33" i="50"/>
  <c r="D34" i="50"/>
  <c r="D35" i="50"/>
  <c r="D36" i="50"/>
  <c r="D37" i="50"/>
  <c r="D38" i="50"/>
  <c r="D39" i="50"/>
  <c r="D40" i="50"/>
  <c r="D41" i="50"/>
  <c r="D2" i="50"/>
  <c r="C48" i="20" l="1"/>
  <c r="C49" i="20"/>
  <c r="C50" i="20"/>
  <c r="C51" i="20"/>
  <c r="C47" i="20"/>
  <c r="B27" i="17"/>
  <c r="B26" i="17"/>
  <c r="B20" i="17"/>
  <c r="B12" i="35" l="1"/>
  <c r="G20" i="41"/>
  <c r="G19" i="41"/>
  <c r="G18" i="41"/>
  <c r="G17" i="41"/>
  <c r="G16" i="41"/>
  <c r="G15" i="41"/>
  <c r="G14" i="41"/>
  <c r="G13" i="41"/>
  <c r="G12" i="41"/>
  <c r="Q434" i="37"/>
  <c r="Q435" i="37"/>
  <c r="Q436" i="37"/>
  <c r="Q437" i="37"/>
  <c r="Q438" i="37"/>
  <c r="Q440" i="37"/>
  <c r="Q443" i="37"/>
  <c r="F432" i="37"/>
  <c r="F433" i="37"/>
  <c r="F434" i="37"/>
  <c r="G434" i="37"/>
  <c r="F435" i="37"/>
  <c r="G435" i="37"/>
  <c r="F436" i="37"/>
  <c r="G436" i="37"/>
  <c r="F437" i="37"/>
  <c r="G437" i="37"/>
  <c r="F438" i="37"/>
  <c r="G438" i="37"/>
  <c r="F439" i="37"/>
  <c r="F440" i="37"/>
  <c r="G440" i="37"/>
  <c r="F441" i="37"/>
  <c r="F442" i="37"/>
  <c r="S442" i="37"/>
  <c r="P442" i="37"/>
  <c r="O442" i="37"/>
  <c r="N442" i="37"/>
  <c r="M442" i="37"/>
  <c r="L442" i="37"/>
  <c r="K442" i="37"/>
  <c r="J442" i="37"/>
  <c r="I442" i="37"/>
  <c r="H442" i="37"/>
  <c r="G442" i="37" s="1"/>
  <c r="S441" i="37"/>
  <c r="P441" i="37"/>
  <c r="O441" i="37"/>
  <c r="N441" i="37"/>
  <c r="M441" i="37"/>
  <c r="L441" i="37"/>
  <c r="K441" i="37"/>
  <c r="J441" i="37"/>
  <c r="I441" i="37"/>
  <c r="H441" i="37"/>
  <c r="G441" i="37" s="1"/>
  <c r="AA440" i="37"/>
  <c r="Z440" i="37"/>
  <c r="Y440" i="37"/>
  <c r="X440" i="37"/>
  <c r="W440" i="37"/>
  <c r="V440" i="37"/>
  <c r="U440" i="37"/>
  <c r="S440" i="37"/>
  <c r="AC439" i="37"/>
  <c r="S439" i="37"/>
  <c r="P439" i="37"/>
  <c r="O439" i="37"/>
  <c r="N439" i="37"/>
  <c r="M439" i="37"/>
  <c r="L439" i="37"/>
  <c r="K439" i="37"/>
  <c r="J439" i="37"/>
  <c r="I439" i="37"/>
  <c r="H439" i="37"/>
  <c r="G439" i="37" s="1"/>
  <c r="AA438" i="37"/>
  <c r="Z438" i="37"/>
  <c r="Y438" i="37"/>
  <c r="X438" i="37"/>
  <c r="W438" i="37"/>
  <c r="V438" i="37"/>
  <c r="U438" i="37"/>
  <c r="S438" i="37"/>
  <c r="AA437" i="37"/>
  <c r="Z437" i="37"/>
  <c r="Y437" i="37"/>
  <c r="X437" i="37"/>
  <c r="W437" i="37"/>
  <c r="V437" i="37"/>
  <c r="U437" i="37"/>
  <c r="S437" i="37"/>
  <c r="AA436" i="37"/>
  <c r="Z436" i="37"/>
  <c r="Y436" i="37"/>
  <c r="X436" i="37"/>
  <c r="W436" i="37"/>
  <c r="V436" i="37"/>
  <c r="U436" i="37"/>
  <c r="S436" i="37"/>
  <c r="AA435" i="37"/>
  <c r="Z435" i="37"/>
  <c r="Y435" i="37"/>
  <c r="X435" i="37"/>
  <c r="W435" i="37"/>
  <c r="V435" i="37"/>
  <c r="U435" i="37"/>
  <c r="S435" i="37"/>
  <c r="AA434" i="37"/>
  <c r="Z434" i="37"/>
  <c r="Y434" i="37"/>
  <c r="X434" i="37"/>
  <c r="W434" i="37"/>
  <c r="V434" i="37"/>
  <c r="U434" i="37"/>
  <c r="S434" i="37"/>
  <c r="AC433" i="37"/>
  <c r="S433" i="37"/>
  <c r="P433" i="37"/>
  <c r="O433" i="37"/>
  <c r="N433" i="37"/>
  <c r="M433" i="37"/>
  <c r="L433" i="37"/>
  <c r="K433" i="37"/>
  <c r="J433" i="37"/>
  <c r="I433" i="37"/>
  <c r="H433" i="37"/>
  <c r="G433" i="37" s="1"/>
  <c r="AC432" i="37"/>
  <c r="S432" i="37"/>
  <c r="P432" i="37"/>
  <c r="O432" i="37"/>
  <c r="N432" i="37"/>
  <c r="M432" i="37"/>
  <c r="L432" i="37"/>
  <c r="K432" i="37"/>
  <c r="J432" i="37"/>
  <c r="I432" i="37"/>
  <c r="H432" i="37"/>
  <c r="G432" i="37" s="1"/>
  <c r="F313" i="37"/>
  <c r="G313" i="37"/>
  <c r="F314" i="37"/>
  <c r="G314" i="37"/>
  <c r="F315" i="37"/>
  <c r="G315" i="37"/>
  <c r="F316" i="37"/>
  <c r="G316" i="37"/>
  <c r="F317" i="37"/>
  <c r="G317" i="37"/>
  <c r="F318" i="37"/>
  <c r="G318" i="37"/>
  <c r="F319" i="37"/>
  <c r="G319" i="37"/>
  <c r="F320" i="37"/>
  <c r="S320" i="37"/>
  <c r="P320" i="37"/>
  <c r="O320" i="37"/>
  <c r="N320" i="37"/>
  <c r="M320" i="37"/>
  <c r="L320" i="37"/>
  <c r="K320" i="37"/>
  <c r="J320" i="37"/>
  <c r="I320" i="37"/>
  <c r="H320" i="37"/>
  <c r="Q320" i="37" s="1"/>
  <c r="S319" i="37"/>
  <c r="S318" i="37"/>
  <c r="S317" i="37"/>
  <c r="S316" i="37"/>
  <c r="S315" i="37"/>
  <c r="S314" i="37"/>
  <c r="S313" i="37"/>
  <c r="F321" i="37"/>
  <c r="F322" i="37"/>
  <c r="G322" i="37"/>
  <c r="F323" i="37"/>
  <c r="G323" i="37"/>
  <c r="F324" i="37"/>
  <c r="G324" i="37"/>
  <c r="F325" i="37"/>
  <c r="G325" i="37"/>
  <c r="F326" i="37"/>
  <c r="G326" i="37"/>
  <c r="F327" i="37"/>
  <c r="F328" i="37"/>
  <c r="G328" i="37"/>
  <c r="F329" i="37"/>
  <c r="F330" i="37"/>
  <c r="S330" i="37"/>
  <c r="P330" i="37"/>
  <c r="O330" i="37"/>
  <c r="N330" i="37"/>
  <c r="M330" i="37"/>
  <c r="L330" i="37"/>
  <c r="K330" i="37"/>
  <c r="J330" i="37"/>
  <c r="I330" i="37"/>
  <c r="H330" i="37"/>
  <c r="S329" i="37"/>
  <c r="P329" i="37"/>
  <c r="O329" i="37"/>
  <c r="N329" i="37"/>
  <c r="M329" i="37"/>
  <c r="L329" i="37"/>
  <c r="K329" i="37"/>
  <c r="J329" i="37"/>
  <c r="I329" i="37"/>
  <c r="H329" i="37"/>
  <c r="S328" i="37"/>
  <c r="S327" i="37"/>
  <c r="P327" i="37"/>
  <c r="O327" i="37"/>
  <c r="N327" i="37"/>
  <c r="M327" i="37"/>
  <c r="L327" i="37"/>
  <c r="K327" i="37"/>
  <c r="J327" i="37"/>
  <c r="I327" i="37"/>
  <c r="H327" i="37"/>
  <c r="Q327" i="37" s="1"/>
  <c r="S326" i="37"/>
  <c r="S325" i="37"/>
  <c r="S324" i="37"/>
  <c r="S323" i="37"/>
  <c r="S322" i="37"/>
  <c r="S321" i="37"/>
  <c r="P321" i="37"/>
  <c r="O321" i="37"/>
  <c r="N321" i="37"/>
  <c r="M321" i="37"/>
  <c r="L321" i="37"/>
  <c r="K321" i="37"/>
  <c r="J321" i="37"/>
  <c r="I321" i="37"/>
  <c r="H321" i="37"/>
  <c r="Q321" i="37" s="1"/>
  <c r="G303" i="37"/>
  <c r="G305" i="37"/>
  <c r="G306" i="37"/>
  <c r="G307" i="37"/>
  <c r="G308" i="37"/>
  <c r="G309" i="37"/>
  <c r="G310" i="37"/>
  <c r="G311" i="37"/>
  <c r="F303" i="37"/>
  <c r="F304" i="37"/>
  <c r="F305" i="37"/>
  <c r="F306" i="37"/>
  <c r="F307" i="37"/>
  <c r="F308" i="37"/>
  <c r="F309" i="37"/>
  <c r="F310" i="37"/>
  <c r="F311" i="37"/>
  <c r="F312" i="37"/>
  <c r="S312" i="37"/>
  <c r="P312" i="37"/>
  <c r="O312" i="37"/>
  <c r="N312" i="37"/>
  <c r="M312" i="37"/>
  <c r="L312" i="37"/>
  <c r="K312" i="37"/>
  <c r="J312" i="37"/>
  <c r="I312" i="37"/>
  <c r="H312" i="37"/>
  <c r="Q312" i="37" s="1"/>
  <c r="S311" i="37"/>
  <c r="S310" i="37"/>
  <c r="S309" i="37"/>
  <c r="S308" i="37"/>
  <c r="S307" i="37"/>
  <c r="S306" i="37"/>
  <c r="S305" i="37"/>
  <c r="S304" i="37"/>
  <c r="P304" i="37"/>
  <c r="O304" i="37"/>
  <c r="N304" i="37"/>
  <c r="M304" i="37"/>
  <c r="L304" i="37"/>
  <c r="K304" i="37"/>
  <c r="J304" i="37"/>
  <c r="I304" i="37"/>
  <c r="H304" i="37"/>
  <c r="S303" i="37"/>
  <c r="G256" i="37"/>
  <c r="G257" i="37"/>
  <c r="G258" i="37"/>
  <c r="G259" i="37"/>
  <c r="G261" i="37"/>
  <c r="G263" i="37"/>
  <c r="F255" i="37"/>
  <c r="F256" i="37"/>
  <c r="F257" i="37"/>
  <c r="F258" i="37"/>
  <c r="F259" i="37"/>
  <c r="F260" i="37"/>
  <c r="F261" i="37"/>
  <c r="F262" i="37"/>
  <c r="S262" i="37"/>
  <c r="P262" i="37"/>
  <c r="O262" i="37"/>
  <c r="N262" i="37"/>
  <c r="M262" i="37"/>
  <c r="L262" i="37"/>
  <c r="K262" i="37"/>
  <c r="J262" i="37"/>
  <c r="I262" i="37"/>
  <c r="H262" i="37"/>
  <c r="Q262" i="37" s="1"/>
  <c r="S261" i="37"/>
  <c r="S260" i="37"/>
  <c r="P260" i="37"/>
  <c r="O260" i="37"/>
  <c r="N260" i="37"/>
  <c r="M260" i="37"/>
  <c r="L260" i="37"/>
  <c r="K260" i="37"/>
  <c r="J260" i="37"/>
  <c r="I260" i="37"/>
  <c r="H260" i="37"/>
  <c r="S259" i="37"/>
  <c r="S258" i="37"/>
  <c r="S257" i="37"/>
  <c r="S256" i="37"/>
  <c r="S255" i="37"/>
  <c r="P255" i="37"/>
  <c r="O255" i="37"/>
  <c r="N255" i="37"/>
  <c r="M255" i="37"/>
  <c r="L255" i="37"/>
  <c r="K255" i="37"/>
  <c r="J255" i="37"/>
  <c r="I255" i="37"/>
  <c r="H255" i="37"/>
  <c r="Q255" i="37" s="1"/>
  <c r="O65" i="37"/>
  <c r="P65" i="37"/>
  <c r="O35" i="37"/>
  <c r="P35" i="37"/>
  <c r="O36" i="37"/>
  <c r="P36" i="37"/>
  <c r="F35" i="37"/>
  <c r="F36" i="37"/>
  <c r="F37" i="37"/>
  <c r="G37" i="37"/>
  <c r="F38" i="37"/>
  <c r="G38" i="37"/>
  <c r="F39" i="37"/>
  <c r="G39" i="37"/>
  <c r="F40" i="37"/>
  <c r="G40" i="37"/>
  <c r="F41" i="37"/>
  <c r="G41" i="37"/>
  <c r="F42" i="37"/>
  <c r="F43" i="37"/>
  <c r="G43" i="37"/>
  <c r="S43" i="37"/>
  <c r="S42" i="37"/>
  <c r="P42" i="37"/>
  <c r="O42" i="37"/>
  <c r="N42" i="37"/>
  <c r="M42" i="37"/>
  <c r="L42" i="37"/>
  <c r="K42" i="37"/>
  <c r="J42" i="37"/>
  <c r="I42" i="37"/>
  <c r="H42" i="37"/>
  <c r="S41" i="37"/>
  <c r="S40" i="37"/>
  <c r="S39" i="37"/>
  <c r="S38" i="37"/>
  <c r="S37" i="37"/>
  <c r="S36" i="37"/>
  <c r="N36" i="37"/>
  <c r="M36" i="37"/>
  <c r="L36" i="37"/>
  <c r="K36" i="37"/>
  <c r="J36" i="37"/>
  <c r="I36" i="37"/>
  <c r="H36" i="37"/>
  <c r="Q36" i="37" s="1"/>
  <c r="S35" i="37"/>
  <c r="N35" i="37"/>
  <c r="M35" i="37"/>
  <c r="L35" i="37"/>
  <c r="K35" i="37"/>
  <c r="J35" i="37"/>
  <c r="I35" i="37"/>
  <c r="H35" i="37"/>
  <c r="Q35" i="37" s="1"/>
  <c r="G175" i="37"/>
  <c r="G176" i="37"/>
  <c r="G177" i="37"/>
  <c r="G179" i="37"/>
  <c r="G181" i="37"/>
  <c r="G183" i="37"/>
  <c r="G185" i="37"/>
  <c r="G186" i="37"/>
  <c r="G187" i="37"/>
  <c r="G188" i="37"/>
  <c r="G189" i="37"/>
  <c r="G199" i="37"/>
  <c r="G200" i="37"/>
  <c r="G201" i="37"/>
  <c r="G202" i="37"/>
  <c r="G203" i="37"/>
  <c r="G204" i="37"/>
  <c r="G205" i="37"/>
  <c r="G206" i="37"/>
  <c r="G207" i="37"/>
  <c r="G208" i="37"/>
  <c r="G209" i="37"/>
  <c r="G210" i="37"/>
  <c r="G211" i="37"/>
  <c r="G167" i="37"/>
  <c r="G168" i="37"/>
  <c r="G169" i="37"/>
  <c r="G170" i="37"/>
  <c r="G172" i="37"/>
  <c r="G174" i="37"/>
  <c r="F165" i="37"/>
  <c r="F166" i="37"/>
  <c r="F167" i="37"/>
  <c r="F168" i="37"/>
  <c r="F169" i="37"/>
  <c r="F170" i="37"/>
  <c r="F171" i="37"/>
  <c r="F172" i="37"/>
  <c r="F173" i="37"/>
  <c r="F174" i="37"/>
  <c r="S174" i="37"/>
  <c r="S173" i="37"/>
  <c r="P173" i="37"/>
  <c r="O173" i="37"/>
  <c r="N173" i="37"/>
  <c r="M173" i="37"/>
  <c r="L173" i="37"/>
  <c r="K173" i="37"/>
  <c r="J173" i="37"/>
  <c r="I173" i="37"/>
  <c r="H173" i="37"/>
  <c r="S172" i="37"/>
  <c r="S171" i="37"/>
  <c r="P171" i="37"/>
  <c r="O171" i="37"/>
  <c r="N171" i="37"/>
  <c r="M171" i="37"/>
  <c r="L171" i="37"/>
  <c r="K171" i="37"/>
  <c r="J171" i="37"/>
  <c r="I171" i="37"/>
  <c r="H171" i="37"/>
  <c r="S170" i="37"/>
  <c r="S169" i="37"/>
  <c r="S168" i="37"/>
  <c r="S167" i="37"/>
  <c r="S166" i="37"/>
  <c r="P166" i="37"/>
  <c r="O166" i="37"/>
  <c r="N166" i="37"/>
  <c r="M166" i="37"/>
  <c r="L166" i="37"/>
  <c r="K166" i="37"/>
  <c r="J166" i="37"/>
  <c r="I166" i="37"/>
  <c r="H166" i="37"/>
  <c r="S165" i="37"/>
  <c r="P165" i="37"/>
  <c r="O165" i="37"/>
  <c r="N165" i="37"/>
  <c r="M165" i="37"/>
  <c r="L165" i="37"/>
  <c r="K165" i="37"/>
  <c r="J165" i="37"/>
  <c r="I165" i="37"/>
  <c r="H165" i="37"/>
  <c r="F199" i="37"/>
  <c r="F200" i="37"/>
  <c r="F201" i="37"/>
  <c r="F202" i="37"/>
  <c r="F203" i="37"/>
  <c r="F204" i="37"/>
  <c r="F205" i="37"/>
  <c r="F206" i="37"/>
  <c r="S206" i="37"/>
  <c r="S205" i="37"/>
  <c r="S204" i="37"/>
  <c r="S203" i="37"/>
  <c r="S202" i="37"/>
  <c r="S201" i="37"/>
  <c r="S200" i="37"/>
  <c r="S199" i="37"/>
  <c r="F4" i="37"/>
  <c r="F5" i="37"/>
  <c r="F6" i="37"/>
  <c r="F7" i="37"/>
  <c r="F8" i="37"/>
  <c r="F9" i="37"/>
  <c r="F10" i="37"/>
  <c r="F27" i="37"/>
  <c r="F28" i="37"/>
  <c r="F29" i="37"/>
  <c r="F30" i="37"/>
  <c r="F31" i="37"/>
  <c r="F32" i="37"/>
  <c r="F33" i="37"/>
  <c r="F34" i="37"/>
  <c r="F44" i="37"/>
  <c r="F45" i="37"/>
  <c r="F46" i="37"/>
  <c r="F47" i="37"/>
  <c r="F48" i="37"/>
  <c r="F49" i="37"/>
  <c r="F50" i="37"/>
  <c r="F51" i="37"/>
  <c r="F52" i="37"/>
  <c r="F53" i="37"/>
  <c r="F54" i="37"/>
  <c r="F55" i="37"/>
  <c r="F56" i="37"/>
  <c r="F57" i="37"/>
  <c r="F58" i="37"/>
  <c r="F59" i="37"/>
  <c r="F60" i="37"/>
  <c r="F61" i="37"/>
  <c r="F62" i="37"/>
  <c r="F63" i="37"/>
  <c r="F64" i="37"/>
  <c r="F65" i="37"/>
  <c r="F66" i="37"/>
  <c r="F67" i="37"/>
  <c r="F68" i="37"/>
  <c r="F69" i="37"/>
  <c r="F70" i="37"/>
  <c r="F71" i="37"/>
  <c r="F72" i="37"/>
  <c r="F73" i="37"/>
  <c r="F74" i="37"/>
  <c r="F75" i="37"/>
  <c r="F84" i="37"/>
  <c r="F85" i="37"/>
  <c r="F86" i="37"/>
  <c r="F87" i="37"/>
  <c r="F88" i="37"/>
  <c r="F89" i="37"/>
  <c r="F90" i="37"/>
  <c r="F91" i="37"/>
  <c r="F93" i="37"/>
  <c r="F94" i="37"/>
  <c r="F95" i="37"/>
  <c r="F96" i="37"/>
  <c r="F97" i="37"/>
  <c r="F98" i="37"/>
  <c r="F99" i="37"/>
  <c r="F100" i="37"/>
  <c r="F101" i="37"/>
  <c r="F102" i="37"/>
  <c r="F103" i="37"/>
  <c r="F104" i="37"/>
  <c r="F105" i="37"/>
  <c r="F106" i="37"/>
  <c r="F107" i="37"/>
  <c r="F108" i="37"/>
  <c r="F109" i="37"/>
  <c r="F110" i="37"/>
  <c r="F111" i="37"/>
  <c r="F112" i="37"/>
  <c r="F113" i="37"/>
  <c r="F114" i="37"/>
  <c r="F115" i="37"/>
  <c r="F116" i="37"/>
  <c r="F117" i="37"/>
  <c r="F118" i="37"/>
  <c r="F119" i="37"/>
  <c r="F120" i="37"/>
  <c r="F121" i="37"/>
  <c r="F122" i="37"/>
  <c r="F123" i="37"/>
  <c r="F124" i="37"/>
  <c r="F125" i="37"/>
  <c r="F126" i="37"/>
  <c r="F127" i="37"/>
  <c r="F128" i="37"/>
  <c r="F129" i="37"/>
  <c r="F130" i="37"/>
  <c r="F131" i="37"/>
  <c r="F132" i="37"/>
  <c r="F133" i="37"/>
  <c r="F134" i="37"/>
  <c r="F135" i="37"/>
  <c r="F136" i="37"/>
  <c r="F137" i="37"/>
  <c r="F138" i="37"/>
  <c r="F139" i="37"/>
  <c r="F140" i="37"/>
  <c r="F141" i="37"/>
  <c r="F142" i="37"/>
  <c r="F143" i="37"/>
  <c r="F144" i="37"/>
  <c r="F145" i="37"/>
  <c r="F146" i="37"/>
  <c r="F147" i="37"/>
  <c r="F148" i="37"/>
  <c r="F149" i="37"/>
  <c r="F150" i="37"/>
  <c r="F151" i="37"/>
  <c r="F152" i="37"/>
  <c r="F153" i="37"/>
  <c r="F154" i="37"/>
  <c r="F155" i="37"/>
  <c r="F156" i="37"/>
  <c r="F157" i="37"/>
  <c r="F158" i="37"/>
  <c r="F159" i="37"/>
  <c r="F160" i="37"/>
  <c r="F161" i="37"/>
  <c r="F162" i="37"/>
  <c r="F163" i="37"/>
  <c r="F164" i="37"/>
  <c r="F175" i="37"/>
  <c r="F176" i="37"/>
  <c r="F177" i="37"/>
  <c r="F178" i="37"/>
  <c r="F179" i="37"/>
  <c r="F180" i="37"/>
  <c r="F181" i="37"/>
  <c r="F182" i="37"/>
  <c r="F183" i="37"/>
  <c r="F184" i="37"/>
  <c r="F185" i="37"/>
  <c r="F186" i="37"/>
  <c r="F187" i="37"/>
  <c r="F188" i="37"/>
  <c r="F189" i="37"/>
  <c r="F190" i="37"/>
  <c r="F191" i="37"/>
  <c r="F192" i="37"/>
  <c r="F193" i="37"/>
  <c r="F194" i="37"/>
  <c r="F195" i="37"/>
  <c r="F196" i="37"/>
  <c r="F197" i="37"/>
  <c r="F198" i="37"/>
  <c r="F207" i="37"/>
  <c r="F208" i="37"/>
  <c r="F209" i="37"/>
  <c r="F210" i="37"/>
  <c r="F211" i="37"/>
  <c r="F212" i="37"/>
  <c r="F213" i="37"/>
  <c r="F214" i="37"/>
  <c r="F215" i="37"/>
  <c r="F216" i="37"/>
  <c r="F217" i="37"/>
  <c r="F218" i="37"/>
  <c r="F219" i="37"/>
  <c r="F220" i="37"/>
  <c r="F221" i="37"/>
  <c r="F222" i="37"/>
  <c r="F223" i="37"/>
  <c r="F224" i="37"/>
  <c r="F225" i="37"/>
  <c r="F226" i="37"/>
  <c r="F227" i="37"/>
  <c r="F228" i="37"/>
  <c r="F229" i="37"/>
  <c r="F230" i="37"/>
  <c r="F231" i="37"/>
  <c r="F232" i="37"/>
  <c r="F233" i="37"/>
  <c r="F234" i="37"/>
  <c r="F235" i="37"/>
  <c r="F236" i="37"/>
  <c r="F237" i="37"/>
  <c r="F238" i="37"/>
  <c r="F239" i="37"/>
  <c r="F240" i="37"/>
  <c r="F241" i="37"/>
  <c r="F242" i="37"/>
  <c r="F243" i="37"/>
  <c r="F244" i="37"/>
  <c r="F245" i="37"/>
  <c r="F246" i="37"/>
  <c r="F247" i="37"/>
  <c r="F248" i="37"/>
  <c r="F249" i="37"/>
  <c r="F250" i="37"/>
  <c r="F251" i="37"/>
  <c r="F252" i="37"/>
  <c r="F253" i="37"/>
  <c r="F254" i="37"/>
  <c r="F263" i="37"/>
  <c r="F264" i="37"/>
  <c r="F265" i="37"/>
  <c r="F266" i="37"/>
  <c r="F267" i="37"/>
  <c r="F268" i="37"/>
  <c r="F269" i="37"/>
  <c r="F270" i="37"/>
  <c r="F271" i="37"/>
  <c r="F272" i="37"/>
  <c r="F273" i="37"/>
  <c r="F274" i="37"/>
  <c r="F275" i="37"/>
  <c r="F276" i="37"/>
  <c r="F277" i="37"/>
  <c r="F278" i="37"/>
  <c r="F279" i="37"/>
  <c r="F280" i="37"/>
  <c r="F281" i="37"/>
  <c r="F282" i="37"/>
  <c r="F283" i="37"/>
  <c r="F284" i="37"/>
  <c r="F285" i="37"/>
  <c r="F286" i="37"/>
  <c r="F287" i="37"/>
  <c r="F288" i="37"/>
  <c r="F289" i="37"/>
  <c r="F290" i="37"/>
  <c r="F291" i="37"/>
  <c r="F292" i="37"/>
  <c r="F293" i="37"/>
  <c r="F294" i="37"/>
  <c r="F295" i="37"/>
  <c r="F296" i="37"/>
  <c r="F297" i="37"/>
  <c r="F298" i="37"/>
  <c r="F299" i="37"/>
  <c r="F300" i="37"/>
  <c r="F301" i="37"/>
  <c r="F302" i="37"/>
  <c r="F331" i="37"/>
  <c r="F332" i="37"/>
  <c r="F333" i="37"/>
  <c r="F334" i="37"/>
  <c r="F335" i="37"/>
  <c r="F336" i="37"/>
  <c r="F337" i="37"/>
  <c r="F338" i="37"/>
  <c r="F339" i="37"/>
  <c r="F340" i="37"/>
  <c r="F341" i="37"/>
  <c r="F342" i="37"/>
  <c r="F343" i="37"/>
  <c r="F344" i="37"/>
  <c r="F345" i="37"/>
  <c r="F346" i="37"/>
  <c r="F347" i="37"/>
  <c r="F348" i="37"/>
  <c r="F349" i="37"/>
  <c r="F350" i="37"/>
  <c r="F351" i="37"/>
  <c r="F352" i="37"/>
  <c r="F353" i="37"/>
  <c r="F354" i="37"/>
  <c r="F355" i="37"/>
  <c r="F356" i="37"/>
  <c r="F357" i="37"/>
  <c r="F358" i="37"/>
  <c r="F359" i="37"/>
  <c r="F360" i="37"/>
  <c r="F361" i="37"/>
  <c r="F362" i="37"/>
  <c r="F363" i="37"/>
  <c r="F364" i="37"/>
  <c r="F365" i="37"/>
  <c r="F366" i="37"/>
  <c r="F367" i="37"/>
  <c r="F368" i="37"/>
  <c r="F369" i="37"/>
  <c r="F370" i="37"/>
  <c r="F371" i="37"/>
  <c r="F372" i="37"/>
  <c r="F373" i="37"/>
  <c r="F374" i="37"/>
  <c r="F375" i="37"/>
  <c r="F376" i="37"/>
  <c r="F377" i="37"/>
  <c r="F378" i="37"/>
  <c r="F379" i="37"/>
  <c r="F380" i="37"/>
  <c r="F381" i="37"/>
  <c r="F382" i="37"/>
  <c r="F383" i="37"/>
  <c r="F384" i="37"/>
  <c r="F385" i="37"/>
  <c r="F386" i="37"/>
  <c r="F387" i="37"/>
  <c r="F388" i="37"/>
  <c r="F389" i="37"/>
  <c r="F390" i="37"/>
  <c r="F391" i="37"/>
  <c r="F392" i="37"/>
  <c r="F393" i="37"/>
  <c r="F394" i="37"/>
  <c r="F395" i="37"/>
  <c r="F396" i="37"/>
  <c r="F397" i="37"/>
  <c r="F398" i="37"/>
  <c r="F399" i="37"/>
  <c r="F400" i="37"/>
  <c r="F401" i="37"/>
  <c r="F402" i="37"/>
  <c r="F403" i="37"/>
  <c r="F404" i="37"/>
  <c r="F405" i="37"/>
  <c r="F406" i="37"/>
  <c r="F407" i="37"/>
  <c r="F408" i="37"/>
  <c r="F409" i="37"/>
  <c r="F410" i="37"/>
  <c r="F411" i="37"/>
  <c r="F412" i="37"/>
  <c r="F413" i="37"/>
  <c r="F414" i="37"/>
  <c r="F415" i="37"/>
  <c r="F416" i="37"/>
  <c r="F417" i="37"/>
  <c r="F418" i="37"/>
  <c r="F419" i="37"/>
  <c r="F420" i="37"/>
  <c r="F421" i="37"/>
  <c r="F422" i="37"/>
  <c r="F423" i="37"/>
  <c r="F424" i="37"/>
  <c r="F425" i="37"/>
  <c r="F426" i="37"/>
  <c r="F427" i="37"/>
  <c r="F428" i="37"/>
  <c r="F429" i="37"/>
  <c r="F430" i="37"/>
  <c r="F431" i="37"/>
  <c r="F443" i="37"/>
  <c r="F444" i="37"/>
  <c r="F445" i="37"/>
  <c r="F446" i="37"/>
  <c r="F447" i="37"/>
  <c r="F448" i="37"/>
  <c r="F449" i="37"/>
  <c r="F450" i="37"/>
  <c r="F3" i="37"/>
  <c r="G44" i="37"/>
  <c r="G260" i="37" l="1"/>
  <c r="Q260" i="37"/>
  <c r="G304" i="37"/>
  <c r="Q304" i="37"/>
  <c r="G42" i="37"/>
  <c r="Q42" i="37"/>
  <c r="G329" i="37"/>
  <c r="Q329" i="37"/>
  <c r="G166" i="37"/>
  <c r="Q166" i="37"/>
  <c r="G173" i="37"/>
  <c r="Q173" i="37"/>
  <c r="G165" i="37"/>
  <c r="Q165" i="37"/>
  <c r="G171" i="37"/>
  <c r="Q171" i="37"/>
  <c r="G330" i="37"/>
  <c r="Q330" i="37"/>
  <c r="Q432" i="37"/>
  <c r="AC435" i="37"/>
  <c r="CB59" i="1"/>
  <c r="BJ59" i="1"/>
  <c r="L45" i="26"/>
  <c r="CB59" i="29"/>
  <c r="CB59" i="23"/>
  <c r="BJ59" i="29"/>
  <c r="BJ59" i="23"/>
  <c r="BJ59" i="24"/>
  <c r="L45" i="30"/>
  <c r="L45" i="27"/>
  <c r="CB59" i="24"/>
  <c r="CB60" i="29"/>
  <c r="L46" i="26"/>
  <c r="CB60" i="23"/>
  <c r="BJ60" i="1"/>
  <c r="BJ60" i="29"/>
  <c r="BJ60" i="23"/>
  <c r="CB60" i="1"/>
  <c r="L46" i="30"/>
  <c r="CB60" i="24"/>
  <c r="L46" i="27"/>
  <c r="BJ60" i="24"/>
  <c r="BJ61" i="29"/>
  <c r="L47" i="27"/>
  <c r="CB61" i="23"/>
  <c r="BJ61" i="24"/>
  <c r="CB61" i="1"/>
  <c r="CB61" i="29"/>
  <c r="L47" i="26"/>
  <c r="CB61" i="24"/>
  <c r="BJ61" i="23"/>
  <c r="L47" i="30"/>
  <c r="BJ61" i="1"/>
  <c r="BJ62" i="23"/>
  <c r="CB62" i="1"/>
  <c r="CB62" i="24"/>
  <c r="L48" i="27"/>
  <c r="BJ62" i="24"/>
  <c r="L48" i="30"/>
  <c r="BJ62" i="1"/>
  <c r="BJ62" i="29"/>
  <c r="L48" i="26"/>
  <c r="CB62" i="29"/>
  <c r="CB62" i="23"/>
  <c r="CB63" i="24"/>
  <c r="BJ63" i="24"/>
  <c r="L49" i="26"/>
  <c r="BJ63" i="1"/>
  <c r="L49" i="30"/>
  <c r="L49" i="27"/>
  <c r="CB63" i="1"/>
  <c r="CB63" i="29"/>
  <c r="CB63" i="23"/>
  <c r="BJ63" i="29"/>
  <c r="BJ63" i="23"/>
  <c r="CB64" i="1"/>
  <c r="CB64" i="24"/>
  <c r="BJ64" i="23"/>
  <c r="L50" i="30"/>
  <c r="L50" i="27"/>
  <c r="BJ64" i="1"/>
  <c r="CB64" i="23"/>
  <c r="CB64" i="29"/>
  <c r="BJ64" i="29"/>
  <c r="L50" i="26"/>
  <c r="BJ64" i="24"/>
  <c r="BJ65" i="1"/>
  <c r="BJ65" i="24"/>
  <c r="CB65" i="1"/>
  <c r="L51" i="30"/>
  <c r="L51" i="27"/>
  <c r="CB65" i="29"/>
  <c r="CB65" i="23"/>
  <c r="BJ65" i="29"/>
  <c r="BJ65" i="23"/>
  <c r="L51" i="26"/>
  <c r="CB65" i="24"/>
  <c r="L52" i="30"/>
  <c r="CB66" i="29"/>
  <c r="L52" i="27"/>
  <c r="CB66" i="23"/>
  <c r="BJ66" i="29"/>
  <c r="BJ66" i="23"/>
  <c r="L52" i="26"/>
  <c r="CB66" i="24"/>
  <c r="CB66" i="1"/>
  <c r="BJ66" i="1"/>
  <c r="BJ66" i="24"/>
  <c r="L54" i="30"/>
  <c r="L54" i="27"/>
  <c r="CB68" i="1"/>
  <c r="BJ68" i="29"/>
  <c r="BJ68" i="23"/>
  <c r="CB68" i="24"/>
  <c r="BJ68" i="24"/>
  <c r="L54" i="26"/>
  <c r="BJ68" i="1"/>
  <c r="CB68" i="29"/>
  <c r="CB68" i="23"/>
  <c r="Q442" i="37"/>
  <c r="G320" i="37"/>
  <c r="Q441" i="37"/>
  <c r="Q439" i="37"/>
  <c r="Q433" i="37"/>
  <c r="C50" i="5"/>
  <c r="L50" i="5" s="1"/>
  <c r="B34" i="52"/>
  <c r="B18" i="52"/>
  <c r="C51" i="5"/>
  <c r="L51" i="5" s="1"/>
  <c r="U34" i="41"/>
  <c r="G327" i="37"/>
  <c r="G321" i="37"/>
  <c r="AC438" i="37"/>
  <c r="AC437" i="37"/>
  <c r="AC434" i="37"/>
  <c r="AC440" i="37"/>
  <c r="AC436" i="37"/>
  <c r="G262" i="37"/>
  <c r="G255" i="37"/>
  <c r="G312" i="37"/>
  <c r="G36" i="37"/>
  <c r="G35" i="37"/>
  <c r="V34" i="41" l="1"/>
  <c r="P72" i="18"/>
  <c r="P73" i="18"/>
  <c r="P74" i="18"/>
  <c r="P75" i="18"/>
  <c r="Q72" i="18"/>
  <c r="Q73" i="18"/>
  <c r="Q74" i="18"/>
  <c r="Q2" i="18"/>
  <c r="Q3" i="18"/>
  <c r="Q4" i="18"/>
  <c r="Q5" i="18"/>
  <c r="Q6" i="18"/>
  <c r="Q7" i="18"/>
  <c r="Q8" i="18"/>
  <c r="Q9" i="18"/>
  <c r="Q10" i="18"/>
  <c r="Q12" i="18"/>
  <c r="Q13" i="18"/>
  <c r="Q14" i="18"/>
  <c r="Q15" i="18"/>
  <c r="Q16" i="18"/>
  <c r="Q17" i="18"/>
  <c r="Q18" i="18"/>
  <c r="Q19" i="18"/>
  <c r="Q20" i="18"/>
  <c r="Q21" i="18"/>
  <c r="Q22" i="18"/>
  <c r="Q23" i="18"/>
  <c r="Q24" i="18"/>
  <c r="Q25" i="18"/>
  <c r="Q26" i="18"/>
  <c r="Q27" i="18"/>
  <c r="Q28" i="18"/>
  <c r="Q29" i="18"/>
  <c r="Q30" i="18"/>
  <c r="Q31" i="18"/>
  <c r="Q32" i="18"/>
  <c r="Q75" i="18"/>
  <c r="Q33" i="18"/>
  <c r="Q34" i="18"/>
  <c r="Q36" i="18"/>
  <c r="Q38" i="18"/>
  <c r="Q39" i="18"/>
  <c r="Q40" i="18"/>
  <c r="Q42" i="18"/>
  <c r="Q43" i="18"/>
  <c r="Q44" i="18"/>
  <c r="Q46" i="18"/>
  <c r="Q47" i="18"/>
  <c r="Q48" i="18"/>
  <c r="Q49" i="18"/>
  <c r="Q50" i="18"/>
  <c r="Q51" i="18"/>
  <c r="Q52" i="18"/>
  <c r="Q53" i="18"/>
  <c r="Q54" i="18"/>
  <c r="Q55" i="18"/>
  <c r="Q56" i="18"/>
  <c r="Q57" i="18"/>
  <c r="Q58" i="18"/>
  <c r="Q59" i="18"/>
  <c r="Q60" i="18"/>
  <c r="Q61" i="18"/>
  <c r="Q62" i="18"/>
  <c r="Q63" i="18"/>
  <c r="Q64" i="18"/>
  <c r="Q65" i="18"/>
  <c r="Q66" i="18"/>
  <c r="Q67" i="18"/>
  <c r="Q68" i="18"/>
  <c r="Q69" i="18"/>
  <c r="Q70" i="18"/>
  <c r="Q71" i="18"/>
  <c r="W34" i="41" l="1"/>
  <c r="T32" i="9"/>
  <c r="X34" i="41" l="1"/>
  <c r="B47" i="1"/>
  <c r="B74" i="1" s="1"/>
  <c r="B47" i="23"/>
  <c r="B74" i="23" s="1"/>
  <c r="Y34" i="41" l="1"/>
  <c r="AC94" i="30"/>
  <c r="B84" i="26"/>
  <c r="B84" i="27"/>
  <c r="B84" i="5"/>
  <c r="K76" i="5"/>
  <c r="AI25" i="35"/>
  <c r="Z34" i="41" l="1"/>
  <c r="F69" i="9"/>
  <c r="D69" i="9"/>
  <c r="B69" i="9"/>
  <c r="F67" i="9"/>
  <c r="D67" i="9"/>
  <c r="B67" i="9"/>
  <c r="B65" i="9"/>
  <c r="AA34" i="41" l="1"/>
  <c r="H92" i="47"/>
  <c r="F92" i="47"/>
  <c r="E92" i="47"/>
  <c r="H91" i="47"/>
  <c r="F91" i="47"/>
  <c r="E91" i="47"/>
  <c r="H90" i="47"/>
  <c r="F90" i="47"/>
  <c r="E90" i="47"/>
  <c r="F89" i="47"/>
  <c r="E89" i="47"/>
  <c r="H88" i="47"/>
  <c r="F88" i="47"/>
  <c r="E88" i="47"/>
  <c r="H87" i="47"/>
  <c r="F87" i="47"/>
  <c r="E87" i="47"/>
  <c r="F86" i="47"/>
  <c r="E86" i="47"/>
  <c r="H82" i="47"/>
  <c r="F82" i="47"/>
  <c r="E82" i="47"/>
  <c r="H81" i="47"/>
  <c r="F81" i="47"/>
  <c r="E81" i="47"/>
  <c r="F80" i="47"/>
  <c r="E80" i="47"/>
  <c r="H79" i="47"/>
  <c r="F79" i="47"/>
  <c r="E79" i="47"/>
  <c r="H78" i="47"/>
  <c r="F78" i="47"/>
  <c r="E78" i="47"/>
  <c r="H76" i="47"/>
  <c r="F76" i="47"/>
  <c r="E76" i="47"/>
  <c r="H75" i="47"/>
  <c r="F75" i="47"/>
  <c r="E75" i="47"/>
  <c r="H73" i="47"/>
  <c r="F73" i="47"/>
  <c r="E73" i="47"/>
  <c r="H72" i="47"/>
  <c r="F72" i="47"/>
  <c r="E72" i="47"/>
  <c r="E71" i="47"/>
  <c r="H70" i="47"/>
  <c r="F70" i="47"/>
  <c r="E70" i="47"/>
  <c r="H69" i="47"/>
  <c r="F69" i="47"/>
  <c r="E69" i="47"/>
  <c r="F67" i="47"/>
  <c r="E67" i="47"/>
  <c r="H66" i="47"/>
  <c r="F66" i="47"/>
  <c r="E66" i="47"/>
  <c r="F65" i="47"/>
  <c r="E65" i="47"/>
  <c r="H64" i="47"/>
  <c r="F64" i="47"/>
  <c r="E64" i="47"/>
  <c r="H63" i="47"/>
  <c r="F63" i="47"/>
  <c r="E63" i="47"/>
  <c r="H61" i="47"/>
  <c r="F61" i="47"/>
  <c r="E61" i="47"/>
  <c r="H60" i="47"/>
  <c r="F60" i="47"/>
  <c r="E60" i="47"/>
  <c r="H59" i="47"/>
  <c r="F59" i="47"/>
  <c r="E59" i="47"/>
  <c r="F57" i="47"/>
  <c r="E57" i="47"/>
  <c r="H56" i="47"/>
  <c r="F56" i="47"/>
  <c r="E56" i="47"/>
  <c r="H55" i="47"/>
  <c r="F55" i="47"/>
  <c r="E55" i="47"/>
  <c r="F54" i="47"/>
  <c r="E54" i="47"/>
  <c r="H53" i="47"/>
  <c r="F53" i="47"/>
  <c r="E53" i="47"/>
  <c r="H52" i="47"/>
  <c r="F52" i="47"/>
  <c r="E52" i="47"/>
  <c r="F51" i="47"/>
  <c r="E51" i="47"/>
  <c r="H50" i="47"/>
  <c r="F50" i="47"/>
  <c r="E50" i="47"/>
  <c r="H49" i="47"/>
  <c r="F49" i="47"/>
  <c r="E49" i="47"/>
  <c r="H48" i="47"/>
  <c r="F48" i="47"/>
  <c r="E48" i="47"/>
  <c r="E45" i="47"/>
  <c r="H44" i="47"/>
  <c r="F44" i="47"/>
  <c r="E44" i="47"/>
  <c r="F42" i="47"/>
  <c r="E42" i="47"/>
  <c r="H41" i="47"/>
  <c r="F41" i="47"/>
  <c r="E41" i="47"/>
  <c r="H39" i="47"/>
  <c r="E39" i="47"/>
  <c r="H38" i="47"/>
  <c r="F38" i="47"/>
  <c r="E38" i="47"/>
  <c r="H37" i="47"/>
  <c r="F37" i="47"/>
  <c r="E37" i="47"/>
  <c r="F35" i="47"/>
  <c r="E35" i="47"/>
  <c r="H34" i="47"/>
  <c r="F34" i="47"/>
  <c r="E34" i="47"/>
  <c r="H33" i="47"/>
  <c r="F33" i="47"/>
  <c r="E33" i="47"/>
  <c r="F32" i="47"/>
  <c r="E32" i="47"/>
  <c r="H30" i="47"/>
  <c r="F30" i="47"/>
  <c r="E30" i="47"/>
  <c r="H29" i="47"/>
  <c r="F29" i="47"/>
  <c r="E29" i="47"/>
  <c r="H27" i="47"/>
  <c r="F27" i="47"/>
  <c r="E27" i="47"/>
  <c r="H23" i="47"/>
  <c r="F23" i="47"/>
  <c r="E23" i="47"/>
  <c r="H22" i="47"/>
  <c r="F22" i="47"/>
  <c r="E22" i="47"/>
  <c r="H21" i="47"/>
  <c r="F21" i="47"/>
  <c r="E21" i="47"/>
  <c r="F20" i="47"/>
  <c r="E20" i="47"/>
  <c r="H19" i="47"/>
  <c r="F19" i="47"/>
  <c r="E19" i="47"/>
  <c r="F18" i="47"/>
  <c r="E18" i="47"/>
  <c r="H16" i="47"/>
  <c r="F16" i="47"/>
  <c r="E16" i="47"/>
  <c r="F14" i="47"/>
  <c r="E14" i="47"/>
  <c r="H13" i="47"/>
  <c r="F13" i="47"/>
  <c r="E13" i="47"/>
  <c r="F12" i="47"/>
  <c r="E12" i="47"/>
  <c r="H11" i="47"/>
  <c r="F11" i="47"/>
  <c r="E11" i="47"/>
  <c r="H10" i="47"/>
  <c r="F10" i="47"/>
  <c r="E10" i="47"/>
  <c r="H9" i="47"/>
  <c r="F9" i="47"/>
  <c r="E9" i="47"/>
  <c r="F8" i="47"/>
  <c r="E8" i="47"/>
  <c r="F7" i="47"/>
  <c r="E7" i="47"/>
  <c r="H4" i="47"/>
  <c r="F4" i="47"/>
  <c r="E4" i="47"/>
  <c r="H2" i="47"/>
  <c r="F2" i="47"/>
  <c r="E2" i="47"/>
  <c r="M51" i="20"/>
  <c r="L51" i="20"/>
  <c r="K51" i="20"/>
  <c r="J51" i="20"/>
  <c r="I51" i="20"/>
  <c r="H51" i="20"/>
  <c r="G51" i="20"/>
  <c r="F51" i="20"/>
  <c r="E51" i="20"/>
  <c r="D51" i="20"/>
  <c r="M50" i="20"/>
  <c r="L50" i="20"/>
  <c r="K50" i="20"/>
  <c r="J50" i="20"/>
  <c r="I50" i="20"/>
  <c r="H50" i="20"/>
  <c r="G50" i="20"/>
  <c r="F50" i="20"/>
  <c r="E50" i="20"/>
  <c r="D50" i="20"/>
  <c r="M49" i="20"/>
  <c r="L49" i="20"/>
  <c r="K49" i="20"/>
  <c r="J49" i="20"/>
  <c r="I49" i="20"/>
  <c r="H49" i="20"/>
  <c r="G49" i="20"/>
  <c r="F49" i="20"/>
  <c r="E49" i="20"/>
  <c r="D49" i="20"/>
  <c r="M48" i="20"/>
  <c r="L48" i="20"/>
  <c r="K48" i="20"/>
  <c r="J48" i="20"/>
  <c r="I48" i="20"/>
  <c r="H48" i="20"/>
  <c r="G48" i="20"/>
  <c r="F48" i="20"/>
  <c r="E48" i="20"/>
  <c r="D48" i="20"/>
  <c r="M47" i="20"/>
  <c r="L47" i="20"/>
  <c r="K47" i="20"/>
  <c r="J47" i="20"/>
  <c r="I47" i="20"/>
  <c r="H47" i="20"/>
  <c r="G47" i="20"/>
  <c r="F47" i="20"/>
  <c r="E47" i="20"/>
  <c r="D47" i="20"/>
  <c r="C31" i="20"/>
  <c r="B31" i="20"/>
  <c r="C30" i="20"/>
  <c r="C29" i="20"/>
  <c r="C28" i="20"/>
  <c r="C27" i="20"/>
  <c r="B27" i="20"/>
  <c r="C26" i="20"/>
  <c r="C25" i="20"/>
  <c r="B25" i="20"/>
  <c r="C24" i="20"/>
  <c r="C23" i="20"/>
  <c r="C22" i="20"/>
  <c r="B22" i="20"/>
  <c r="C21" i="20"/>
  <c r="C20" i="20"/>
  <c r="C19" i="20"/>
  <c r="C18" i="20"/>
  <c r="C17" i="20"/>
  <c r="B17" i="20"/>
  <c r="B16" i="20"/>
  <c r="C14" i="20"/>
  <c r="C13" i="20"/>
  <c r="C12" i="20"/>
  <c r="B12" i="20"/>
  <c r="C11" i="20"/>
  <c r="C10" i="20"/>
  <c r="B10" i="20"/>
  <c r="E9" i="20"/>
  <c r="D9" i="20"/>
  <c r="C9" i="20"/>
  <c r="E8" i="20"/>
  <c r="D8" i="20"/>
  <c r="C8" i="20"/>
  <c r="B8" i="20"/>
  <c r="B7" i="20"/>
  <c r="B157" i="3"/>
  <c r="B155" i="3"/>
  <c r="H149" i="3"/>
  <c r="H148" i="3"/>
  <c r="AC115" i="3"/>
  <c r="AC114" i="3"/>
  <c r="AC113" i="3"/>
  <c r="AC112" i="3"/>
  <c r="B110" i="3"/>
  <c r="B109" i="3"/>
  <c r="B88" i="3" s="1"/>
  <c r="B108" i="3"/>
  <c r="B87" i="3" s="1"/>
  <c r="B86" i="3"/>
  <c r="B85" i="3"/>
  <c r="B84" i="3"/>
  <c r="B82" i="3"/>
  <c r="B81" i="3"/>
  <c r="L80" i="3"/>
  <c r="B80" i="3"/>
  <c r="B79" i="3"/>
  <c r="B78" i="3"/>
  <c r="AK59" i="3"/>
  <c r="AK60" i="3" s="1"/>
  <c r="AK61" i="3" s="1"/>
  <c r="AK62" i="3" s="1"/>
  <c r="AK63" i="3" s="1"/>
  <c r="AK64" i="3" s="1"/>
  <c r="AK65" i="3" s="1"/>
  <c r="AK66" i="3" s="1"/>
  <c r="AK67" i="3" s="1"/>
  <c r="AK68" i="3" s="1"/>
  <c r="AK69" i="3" s="1"/>
  <c r="AK70" i="3" s="1"/>
  <c r="AK71" i="3" s="1"/>
  <c r="AK72" i="3" s="1"/>
  <c r="AK73" i="3" s="1"/>
  <c r="AK74" i="3" s="1"/>
  <c r="AK75" i="3" s="1"/>
  <c r="AK76" i="3" s="1"/>
  <c r="AJ59" i="3"/>
  <c r="AJ60" i="3" s="1"/>
  <c r="AJ61" i="3" s="1"/>
  <c r="AJ62" i="3" s="1"/>
  <c r="AJ63" i="3" s="1"/>
  <c r="AJ64" i="3" s="1"/>
  <c r="AJ65" i="3" s="1"/>
  <c r="AJ66" i="3" s="1"/>
  <c r="AJ67" i="3" s="1"/>
  <c r="AJ68" i="3" s="1"/>
  <c r="AJ69" i="3" s="1"/>
  <c r="AJ70" i="3" s="1"/>
  <c r="AJ71" i="3" s="1"/>
  <c r="AJ72" i="3" s="1"/>
  <c r="AJ73" i="3" s="1"/>
  <c r="AJ74" i="3" s="1"/>
  <c r="AJ75" i="3" s="1"/>
  <c r="AJ76" i="3" s="1"/>
  <c r="AI59" i="3"/>
  <c r="AI60" i="3" s="1"/>
  <c r="AI61" i="3" s="1"/>
  <c r="AI62" i="3" s="1"/>
  <c r="AI63" i="3" s="1"/>
  <c r="AI64" i="3" s="1"/>
  <c r="AI65" i="3" s="1"/>
  <c r="AI66" i="3" s="1"/>
  <c r="AI67" i="3" s="1"/>
  <c r="AI68" i="3" s="1"/>
  <c r="AI69" i="3" s="1"/>
  <c r="AI70" i="3" s="1"/>
  <c r="AI71" i="3" s="1"/>
  <c r="AI72" i="3" s="1"/>
  <c r="AI73" i="3" s="1"/>
  <c r="AI74" i="3" s="1"/>
  <c r="AI75" i="3" s="1"/>
  <c r="AI76" i="3" s="1"/>
  <c r="AH59" i="3"/>
  <c r="AH60" i="3" s="1"/>
  <c r="AH61" i="3" s="1"/>
  <c r="AH62" i="3" s="1"/>
  <c r="AH63" i="3" s="1"/>
  <c r="AH64" i="3" s="1"/>
  <c r="AH65" i="3" s="1"/>
  <c r="AH66" i="3" s="1"/>
  <c r="AH67" i="3" s="1"/>
  <c r="AH68" i="3" s="1"/>
  <c r="AH69" i="3" s="1"/>
  <c r="AH70" i="3" s="1"/>
  <c r="AH71" i="3" s="1"/>
  <c r="AH72" i="3" s="1"/>
  <c r="AH73" i="3" s="1"/>
  <c r="AH74" i="3" s="1"/>
  <c r="AH75" i="3" s="1"/>
  <c r="AH76" i="3" s="1"/>
  <c r="F58" i="3"/>
  <c r="E58" i="3"/>
  <c r="D58" i="3"/>
  <c r="C58" i="3"/>
  <c r="AL57" i="3"/>
  <c r="B57" i="3"/>
  <c r="AM42" i="3"/>
  <c r="B41" i="3"/>
  <c r="M36" i="3"/>
  <c r="AL31" i="3"/>
  <c r="M10" i="3"/>
  <c r="AL9" i="3"/>
  <c r="B7" i="3"/>
  <c r="B153" i="30"/>
  <c r="B152" i="30"/>
  <c r="B151" i="30"/>
  <c r="D123" i="30"/>
  <c r="B122" i="30"/>
  <c r="B121" i="30"/>
  <c r="L105" i="30"/>
  <c r="C105" i="30"/>
  <c r="C100" i="30"/>
  <c r="AC99" i="30"/>
  <c r="AC98" i="30"/>
  <c r="B97" i="30"/>
  <c r="B90" i="30"/>
  <c r="K88" i="30"/>
  <c r="B88" i="30"/>
  <c r="K86" i="30"/>
  <c r="B86" i="30"/>
  <c r="K81" i="30"/>
  <c r="K83" i="30"/>
  <c r="K78" i="30"/>
  <c r="B78" i="30"/>
  <c r="K75" i="30"/>
  <c r="B75" i="30"/>
  <c r="B74" i="30"/>
  <c r="G44" i="30"/>
  <c r="F44" i="30"/>
  <c r="D44" i="30"/>
  <c r="C28" i="30"/>
  <c r="C18" i="30"/>
  <c r="C6" i="30"/>
  <c r="B3" i="30"/>
  <c r="B1" i="30"/>
  <c r="V184" i="29"/>
  <c r="U184" i="29"/>
  <c r="T184" i="29"/>
  <c r="S184" i="29"/>
  <c r="R184" i="29"/>
  <c r="Q184" i="29"/>
  <c r="P184" i="29"/>
  <c r="O184" i="29"/>
  <c r="N184" i="29"/>
  <c r="M184" i="29"/>
  <c r="L184" i="29"/>
  <c r="K184" i="29"/>
  <c r="J184" i="29"/>
  <c r="I184" i="29"/>
  <c r="H184" i="29"/>
  <c r="G184" i="29"/>
  <c r="V183" i="29"/>
  <c r="U183" i="29"/>
  <c r="T183" i="29"/>
  <c r="S183" i="29"/>
  <c r="R183" i="29"/>
  <c r="Q183" i="29"/>
  <c r="P183" i="29"/>
  <c r="O183" i="29"/>
  <c r="N183" i="29"/>
  <c r="M183" i="29"/>
  <c r="L183" i="29"/>
  <c r="K183" i="29"/>
  <c r="J183" i="29"/>
  <c r="I183" i="29"/>
  <c r="H183" i="29"/>
  <c r="G183" i="29"/>
  <c r="V182" i="29"/>
  <c r="U182" i="29"/>
  <c r="T182" i="29"/>
  <c r="S182" i="29"/>
  <c r="R182" i="29"/>
  <c r="Q182" i="29"/>
  <c r="P182" i="29"/>
  <c r="O182" i="29"/>
  <c r="N182" i="29"/>
  <c r="M182" i="29"/>
  <c r="L182" i="29"/>
  <c r="K182" i="29"/>
  <c r="J182" i="29"/>
  <c r="I182" i="29"/>
  <c r="H182" i="29"/>
  <c r="G182" i="29"/>
  <c r="V181" i="29"/>
  <c r="U181" i="29"/>
  <c r="T181" i="29"/>
  <c r="S181" i="29"/>
  <c r="R181" i="29"/>
  <c r="Q181" i="29"/>
  <c r="P181" i="29"/>
  <c r="O181" i="29"/>
  <c r="N181" i="29"/>
  <c r="M181" i="29"/>
  <c r="L181" i="29"/>
  <c r="K181" i="29"/>
  <c r="J181" i="29"/>
  <c r="I181" i="29"/>
  <c r="H181" i="29"/>
  <c r="G181" i="29"/>
  <c r="V180" i="29"/>
  <c r="U180" i="29"/>
  <c r="T180" i="29"/>
  <c r="S180" i="29"/>
  <c r="R180" i="29"/>
  <c r="Q180" i="29"/>
  <c r="P180" i="29"/>
  <c r="O180" i="29"/>
  <c r="N180" i="29"/>
  <c r="M180" i="29"/>
  <c r="L180" i="29"/>
  <c r="K180" i="29"/>
  <c r="J180" i="29"/>
  <c r="I180" i="29"/>
  <c r="H180" i="29"/>
  <c r="G180" i="29"/>
  <c r="V179" i="29"/>
  <c r="U179" i="29"/>
  <c r="T179" i="29"/>
  <c r="S179" i="29"/>
  <c r="R179" i="29"/>
  <c r="Q179" i="29"/>
  <c r="P179" i="29"/>
  <c r="O179" i="29"/>
  <c r="N179" i="29"/>
  <c r="M179" i="29"/>
  <c r="L179" i="29"/>
  <c r="K179" i="29"/>
  <c r="J179" i="29"/>
  <c r="I179" i="29"/>
  <c r="H179" i="29"/>
  <c r="G179" i="29"/>
  <c r="V178" i="29"/>
  <c r="U178" i="29"/>
  <c r="T178" i="29"/>
  <c r="S178" i="29"/>
  <c r="R178" i="29"/>
  <c r="Q178" i="29"/>
  <c r="P178" i="29"/>
  <c r="O178" i="29"/>
  <c r="N178" i="29"/>
  <c r="M178" i="29"/>
  <c r="L178" i="29"/>
  <c r="K178" i="29"/>
  <c r="J178" i="29"/>
  <c r="I178" i="29"/>
  <c r="H178" i="29"/>
  <c r="G178" i="29"/>
  <c r="F177" i="29"/>
  <c r="E177" i="29"/>
  <c r="D177" i="29"/>
  <c r="B177" i="29"/>
  <c r="S148" i="29"/>
  <c r="AQ110" i="29"/>
  <c r="AP110" i="29"/>
  <c r="AO110" i="29"/>
  <c r="AN110" i="29"/>
  <c r="AM110" i="29"/>
  <c r="AL110" i="29"/>
  <c r="AK110" i="29"/>
  <c r="AJ110" i="29"/>
  <c r="B104" i="29"/>
  <c r="B103" i="29"/>
  <c r="F46" i="29"/>
  <c r="E46" i="29"/>
  <c r="C46" i="29"/>
  <c r="B46" i="29"/>
  <c r="F45" i="29"/>
  <c r="E45" i="29"/>
  <c r="C45" i="29"/>
  <c r="F44" i="29"/>
  <c r="E44" i="29"/>
  <c r="C44" i="29"/>
  <c r="F43" i="29"/>
  <c r="E43" i="29"/>
  <c r="C43" i="29"/>
  <c r="F42" i="29"/>
  <c r="E42" i="29"/>
  <c r="C42" i="29"/>
  <c r="B42" i="29"/>
  <c r="F41" i="29"/>
  <c r="E41" i="29"/>
  <c r="C41" i="29"/>
  <c r="F40" i="29"/>
  <c r="E40" i="29"/>
  <c r="C40" i="29"/>
  <c r="B40" i="29"/>
  <c r="F39" i="29"/>
  <c r="E39" i="29"/>
  <c r="C39" i="29"/>
  <c r="F38" i="29"/>
  <c r="E38" i="29"/>
  <c r="C38" i="29"/>
  <c r="F37" i="29"/>
  <c r="E37" i="29"/>
  <c r="C37" i="29"/>
  <c r="B37" i="29"/>
  <c r="F36" i="29"/>
  <c r="E36" i="29"/>
  <c r="C36" i="29"/>
  <c r="F35" i="29"/>
  <c r="C35" i="29"/>
  <c r="C138" i="30" s="1"/>
  <c r="F34" i="29"/>
  <c r="E34" i="29"/>
  <c r="C34" i="29"/>
  <c r="F33" i="29"/>
  <c r="E33" i="29"/>
  <c r="C33" i="29"/>
  <c r="F32" i="29"/>
  <c r="E32" i="29"/>
  <c r="C32" i="29"/>
  <c r="B32" i="29"/>
  <c r="B31" i="29"/>
  <c r="F29" i="29"/>
  <c r="E29" i="29"/>
  <c r="C29" i="29"/>
  <c r="F28" i="29"/>
  <c r="E28" i="29"/>
  <c r="C28" i="29"/>
  <c r="F27" i="29"/>
  <c r="E27" i="29"/>
  <c r="C27" i="29"/>
  <c r="B27" i="29"/>
  <c r="F26" i="29"/>
  <c r="E26" i="29"/>
  <c r="C26" i="29"/>
  <c r="F25" i="29"/>
  <c r="E25" i="29"/>
  <c r="C25" i="29"/>
  <c r="B25" i="29"/>
  <c r="F24" i="29"/>
  <c r="E24" i="29"/>
  <c r="C24" i="29"/>
  <c r="F23" i="29"/>
  <c r="E23" i="29"/>
  <c r="C23" i="29"/>
  <c r="B23" i="29"/>
  <c r="B22" i="29"/>
  <c r="CC21" i="29"/>
  <c r="CC58" i="29" s="1"/>
  <c r="BK21" i="29"/>
  <c r="BK58" i="29" s="1"/>
  <c r="AB21" i="29"/>
  <c r="AB20" i="29"/>
  <c r="AA17" i="29"/>
  <c r="B17" i="29"/>
  <c r="AA16" i="29"/>
  <c r="B16" i="29"/>
  <c r="V12" i="29"/>
  <c r="U12" i="29"/>
  <c r="T12" i="29"/>
  <c r="S12" i="29"/>
  <c r="R12" i="29"/>
  <c r="Q12" i="29"/>
  <c r="P12" i="29"/>
  <c r="O12" i="29"/>
  <c r="N12" i="29"/>
  <c r="M12" i="29"/>
  <c r="L12" i="29"/>
  <c r="K12" i="29"/>
  <c r="J12" i="29"/>
  <c r="I12" i="29"/>
  <c r="H12" i="29"/>
  <c r="G12" i="29"/>
  <c r="F12" i="29"/>
  <c r="E12" i="29"/>
  <c r="D12" i="29"/>
  <c r="C12" i="29"/>
  <c r="B7" i="29"/>
  <c r="B6" i="29"/>
  <c r="P5" i="29"/>
  <c r="B153" i="26"/>
  <c r="B152" i="26"/>
  <c r="B151" i="26"/>
  <c r="D123" i="26"/>
  <c r="B122" i="26"/>
  <c r="B121" i="26"/>
  <c r="C100" i="26"/>
  <c r="D99" i="26" s="1"/>
  <c r="AC99" i="26"/>
  <c r="AC98" i="26"/>
  <c r="B97" i="26"/>
  <c r="AC95" i="26"/>
  <c r="AC94" i="26"/>
  <c r="B91" i="26"/>
  <c r="K89" i="26"/>
  <c r="B89" i="26"/>
  <c r="K84" i="26"/>
  <c r="K78" i="26"/>
  <c r="B78" i="26"/>
  <c r="K75" i="26"/>
  <c r="B75" i="26"/>
  <c r="B74" i="26"/>
  <c r="B73" i="26"/>
  <c r="G44" i="26"/>
  <c r="F44" i="26"/>
  <c r="D44" i="26"/>
  <c r="C28" i="26"/>
  <c r="C18" i="26"/>
  <c r="C6" i="26"/>
  <c r="B3" i="26"/>
  <c r="AY1" i="26"/>
  <c r="B1" i="26"/>
  <c r="V184" i="24"/>
  <c r="U184" i="24"/>
  <c r="T184" i="24"/>
  <c r="S184" i="24"/>
  <c r="R184" i="24"/>
  <c r="Q184" i="24"/>
  <c r="P184" i="24"/>
  <c r="O184" i="24"/>
  <c r="N184" i="24"/>
  <c r="M184" i="24"/>
  <c r="L184" i="24"/>
  <c r="K184" i="24"/>
  <c r="J184" i="24"/>
  <c r="I184" i="24"/>
  <c r="H184" i="24"/>
  <c r="G184" i="24"/>
  <c r="V183" i="24"/>
  <c r="U183" i="24"/>
  <c r="T183" i="24"/>
  <c r="S183" i="24"/>
  <c r="R183" i="24"/>
  <c r="Q183" i="24"/>
  <c r="P183" i="24"/>
  <c r="O183" i="24"/>
  <c r="N183" i="24"/>
  <c r="M183" i="24"/>
  <c r="L183" i="24"/>
  <c r="K183" i="24"/>
  <c r="J183" i="24"/>
  <c r="I183" i="24"/>
  <c r="H183" i="24"/>
  <c r="G183" i="24"/>
  <c r="V182" i="24"/>
  <c r="U182" i="24"/>
  <c r="T182" i="24"/>
  <c r="S182" i="24"/>
  <c r="R182" i="24"/>
  <c r="Q182" i="24"/>
  <c r="P182" i="24"/>
  <c r="O182" i="24"/>
  <c r="N182" i="24"/>
  <c r="M182" i="24"/>
  <c r="L182" i="24"/>
  <c r="K182" i="24"/>
  <c r="J182" i="24"/>
  <c r="I182" i="24"/>
  <c r="H182" i="24"/>
  <c r="G182" i="24"/>
  <c r="V181" i="24"/>
  <c r="U181" i="24"/>
  <c r="T181" i="24"/>
  <c r="S181" i="24"/>
  <c r="R181" i="24"/>
  <c r="Q181" i="24"/>
  <c r="P181" i="24"/>
  <c r="O181" i="24"/>
  <c r="N181" i="24"/>
  <c r="M181" i="24"/>
  <c r="L181" i="24"/>
  <c r="K181" i="24"/>
  <c r="J181" i="24"/>
  <c r="I181" i="24"/>
  <c r="H181" i="24"/>
  <c r="G181" i="24"/>
  <c r="V180" i="24"/>
  <c r="U180" i="24"/>
  <c r="T180" i="24"/>
  <c r="S180" i="24"/>
  <c r="R180" i="24"/>
  <c r="Q180" i="24"/>
  <c r="P180" i="24"/>
  <c r="O180" i="24"/>
  <c r="N180" i="24"/>
  <c r="M180" i="24"/>
  <c r="L180" i="24"/>
  <c r="K180" i="24"/>
  <c r="J180" i="24"/>
  <c r="I180" i="24"/>
  <c r="H180" i="24"/>
  <c r="G180" i="24"/>
  <c r="V179" i="24"/>
  <c r="U179" i="24"/>
  <c r="T179" i="24"/>
  <c r="S179" i="24"/>
  <c r="R179" i="24"/>
  <c r="Q179" i="24"/>
  <c r="P179" i="24"/>
  <c r="O179" i="24"/>
  <c r="N179" i="24"/>
  <c r="M179" i="24"/>
  <c r="L179" i="24"/>
  <c r="K179" i="24"/>
  <c r="J179" i="24"/>
  <c r="I179" i="24"/>
  <c r="H179" i="24"/>
  <c r="G179" i="24"/>
  <c r="V178" i="24"/>
  <c r="U178" i="24"/>
  <c r="T178" i="24"/>
  <c r="S178" i="24"/>
  <c r="R178" i="24"/>
  <c r="Q178" i="24"/>
  <c r="P178" i="24"/>
  <c r="O178" i="24"/>
  <c r="N178" i="24"/>
  <c r="M178" i="24"/>
  <c r="L178" i="24"/>
  <c r="K178" i="24"/>
  <c r="J178" i="24"/>
  <c r="I178" i="24"/>
  <c r="H178" i="24"/>
  <c r="G178" i="24"/>
  <c r="F177" i="24"/>
  <c r="E177" i="24"/>
  <c r="D177" i="24"/>
  <c r="B177" i="24"/>
  <c r="S148" i="24"/>
  <c r="AQ110" i="24"/>
  <c r="AP110" i="24"/>
  <c r="AO110" i="24"/>
  <c r="AN110" i="24"/>
  <c r="AM110" i="24"/>
  <c r="AL110" i="24"/>
  <c r="AK110" i="24"/>
  <c r="AJ110" i="24"/>
  <c r="B104" i="24"/>
  <c r="B103" i="24"/>
  <c r="B47" i="24"/>
  <c r="B74" i="24" s="1"/>
  <c r="F46" i="24"/>
  <c r="E46" i="24"/>
  <c r="C46" i="24"/>
  <c r="C149" i="26" s="1"/>
  <c r="B46" i="24"/>
  <c r="F45" i="24"/>
  <c r="E45" i="24"/>
  <c r="C45" i="24"/>
  <c r="C148" i="26" s="1"/>
  <c r="F44" i="24"/>
  <c r="E44" i="24"/>
  <c r="C44" i="24"/>
  <c r="C147" i="26" s="1"/>
  <c r="F43" i="24"/>
  <c r="E43" i="24"/>
  <c r="C43" i="24"/>
  <c r="C146" i="26" s="1"/>
  <c r="F42" i="24"/>
  <c r="E42" i="24"/>
  <c r="C42" i="24"/>
  <c r="C145" i="26" s="1"/>
  <c r="B42" i="24"/>
  <c r="F41" i="24"/>
  <c r="E41" i="24"/>
  <c r="C41" i="24"/>
  <c r="C144" i="26" s="1"/>
  <c r="F40" i="24"/>
  <c r="E40" i="24"/>
  <c r="C40" i="24"/>
  <c r="C143" i="26" s="1"/>
  <c r="B40" i="24"/>
  <c r="F39" i="24"/>
  <c r="E39" i="24"/>
  <c r="C39" i="24"/>
  <c r="C142" i="26" s="1"/>
  <c r="F38" i="24"/>
  <c r="E38" i="24"/>
  <c r="C38" i="24"/>
  <c r="C141" i="26" s="1"/>
  <c r="F37" i="24"/>
  <c r="E37" i="24"/>
  <c r="C37" i="24"/>
  <c r="C140" i="26" s="1"/>
  <c r="B37" i="24"/>
  <c r="F36" i="24"/>
  <c r="E36" i="24"/>
  <c r="C36" i="24"/>
  <c r="C139" i="26" s="1"/>
  <c r="F35" i="24"/>
  <c r="C35" i="24"/>
  <c r="C138" i="26" s="1"/>
  <c r="F34" i="24"/>
  <c r="E34" i="24"/>
  <c r="C34" i="24"/>
  <c r="C137" i="26" s="1"/>
  <c r="F33" i="24"/>
  <c r="E33" i="24"/>
  <c r="C33" i="24"/>
  <c r="C136" i="26" s="1"/>
  <c r="F32" i="24"/>
  <c r="E32" i="24"/>
  <c r="C32" i="24"/>
  <c r="C135" i="26" s="1"/>
  <c r="B32" i="24"/>
  <c r="B31" i="24"/>
  <c r="EE29" i="24"/>
  <c r="F29" i="24"/>
  <c r="E29" i="24"/>
  <c r="C29" i="24"/>
  <c r="C132" i="26" s="1"/>
  <c r="EE28" i="24"/>
  <c r="F28" i="24"/>
  <c r="E28" i="24"/>
  <c r="C28" i="24"/>
  <c r="C131" i="26" s="1"/>
  <c r="EE27" i="24"/>
  <c r="F27" i="24"/>
  <c r="E27" i="24"/>
  <c r="C27" i="24"/>
  <c r="C130" i="26" s="1"/>
  <c r="B27" i="24"/>
  <c r="EE26" i="24"/>
  <c r="F26" i="24"/>
  <c r="E26" i="24"/>
  <c r="C26" i="24"/>
  <c r="C129" i="26" s="1"/>
  <c r="EE25" i="24"/>
  <c r="F25" i="24"/>
  <c r="E25" i="24"/>
  <c r="C25" i="24"/>
  <c r="C128" i="26" s="1"/>
  <c r="B25" i="24"/>
  <c r="F24" i="24"/>
  <c r="C24" i="24"/>
  <c r="C127" i="26" s="1"/>
  <c r="F23" i="24"/>
  <c r="C23" i="24"/>
  <c r="C126" i="26" s="1"/>
  <c r="B23" i="24"/>
  <c r="B22" i="24"/>
  <c r="AB21" i="24"/>
  <c r="AB20" i="24"/>
  <c r="AA17" i="24"/>
  <c r="B17" i="24"/>
  <c r="AA16" i="24"/>
  <c r="B16" i="24"/>
  <c r="V12" i="24"/>
  <c r="U12" i="24"/>
  <c r="T12" i="24"/>
  <c r="S12" i="24"/>
  <c r="R12" i="24"/>
  <c r="Q12" i="24"/>
  <c r="P12" i="24"/>
  <c r="O12" i="24"/>
  <c r="N12" i="24"/>
  <c r="M12" i="24"/>
  <c r="L12" i="24"/>
  <c r="K12" i="24"/>
  <c r="J12" i="24"/>
  <c r="I12" i="24"/>
  <c r="H12" i="24"/>
  <c r="G12" i="24"/>
  <c r="F12" i="24"/>
  <c r="E12" i="24"/>
  <c r="D12" i="24"/>
  <c r="C12" i="24"/>
  <c r="B7" i="24"/>
  <c r="B6" i="24"/>
  <c r="P5" i="24"/>
  <c r="B153" i="27"/>
  <c r="B152" i="27"/>
  <c r="B151" i="27"/>
  <c r="D123" i="27"/>
  <c r="B122" i="27"/>
  <c r="B121" i="27"/>
  <c r="L106" i="27"/>
  <c r="C100" i="27"/>
  <c r="AC99" i="27"/>
  <c r="AC98" i="27"/>
  <c r="B97" i="27"/>
  <c r="Z95" i="27"/>
  <c r="Z94" i="27"/>
  <c r="B91" i="27"/>
  <c r="K89" i="27"/>
  <c r="B89" i="27"/>
  <c r="K87" i="27"/>
  <c r="B87" i="27"/>
  <c r="K84" i="27"/>
  <c r="K78" i="27" s="1"/>
  <c r="AF83" i="27"/>
  <c r="AD83" i="27"/>
  <c r="K81" i="27" s="1"/>
  <c r="AD81" i="27"/>
  <c r="B81" i="27" s="1"/>
  <c r="B78" i="27"/>
  <c r="K75" i="27"/>
  <c r="B75" i="27"/>
  <c r="B74" i="27"/>
  <c r="B73" i="27"/>
  <c r="G44" i="27"/>
  <c r="F44" i="27"/>
  <c r="D44" i="27"/>
  <c r="C28" i="27"/>
  <c r="C18" i="27"/>
  <c r="C6" i="27"/>
  <c r="B3" i="27"/>
  <c r="AY1" i="27"/>
  <c r="B1" i="27"/>
  <c r="V184" i="23"/>
  <c r="U184" i="23"/>
  <c r="T184" i="23"/>
  <c r="S184" i="23"/>
  <c r="R184" i="23"/>
  <c r="Q184" i="23"/>
  <c r="P184" i="23"/>
  <c r="O184" i="23"/>
  <c r="N184" i="23"/>
  <c r="M184" i="23"/>
  <c r="L184" i="23"/>
  <c r="K184" i="23"/>
  <c r="J184" i="23"/>
  <c r="I184" i="23"/>
  <c r="H184" i="23"/>
  <c r="G184" i="23"/>
  <c r="V183" i="23"/>
  <c r="U183" i="23"/>
  <c r="T183" i="23"/>
  <c r="S183" i="23"/>
  <c r="R183" i="23"/>
  <c r="Q183" i="23"/>
  <c r="P183" i="23"/>
  <c r="O183" i="23"/>
  <c r="N183" i="23"/>
  <c r="M183" i="23"/>
  <c r="L183" i="23"/>
  <c r="K183" i="23"/>
  <c r="J183" i="23"/>
  <c r="I183" i="23"/>
  <c r="H183" i="23"/>
  <c r="G183" i="23"/>
  <c r="V182" i="23"/>
  <c r="U182" i="23"/>
  <c r="T182" i="23"/>
  <c r="S182" i="23"/>
  <c r="R182" i="23"/>
  <c r="Q182" i="23"/>
  <c r="P182" i="23"/>
  <c r="O182" i="23"/>
  <c r="N182" i="23"/>
  <c r="M182" i="23"/>
  <c r="L182" i="23"/>
  <c r="K182" i="23"/>
  <c r="J182" i="23"/>
  <c r="I182" i="23"/>
  <c r="H182" i="23"/>
  <c r="G182" i="23"/>
  <c r="V181" i="23"/>
  <c r="U181" i="23"/>
  <c r="T181" i="23"/>
  <c r="S181" i="23"/>
  <c r="R181" i="23"/>
  <c r="Q181" i="23"/>
  <c r="P181" i="23"/>
  <c r="O181" i="23"/>
  <c r="N181" i="23"/>
  <c r="M181" i="23"/>
  <c r="L181" i="23"/>
  <c r="K181" i="23"/>
  <c r="J181" i="23"/>
  <c r="I181" i="23"/>
  <c r="H181" i="23"/>
  <c r="G181" i="23"/>
  <c r="V180" i="23"/>
  <c r="U180" i="23"/>
  <c r="T180" i="23"/>
  <c r="S180" i="23"/>
  <c r="R180" i="23"/>
  <c r="Q180" i="23"/>
  <c r="P180" i="23"/>
  <c r="O180" i="23"/>
  <c r="N180" i="23"/>
  <c r="M180" i="23"/>
  <c r="L180" i="23"/>
  <c r="K180" i="23"/>
  <c r="J180" i="23"/>
  <c r="I180" i="23"/>
  <c r="H180" i="23"/>
  <c r="G180" i="23"/>
  <c r="V179" i="23"/>
  <c r="U179" i="23"/>
  <c r="T179" i="23"/>
  <c r="S179" i="23"/>
  <c r="R179" i="23"/>
  <c r="Q179" i="23"/>
  <c r="P179" i="23"/>
  <c r="O179" i="23"/>
  <c r="N179" i="23"/>
  <c r="M179" i="23"/>
  <c r="L179" i="23"/>
  <c r="K179" i="23"/>
  <c r="J179" i="23"/>
  <c r="I179" i="23"/>
  <c r="H179" i="23"/>
  <c r="G179" i="23"/>
  <c r="V178" i="23"/>
  <c r="U178" i="23"/>
  <c r="T178" i="23"/>
  <c r="S178" i="23"/>
  <c r="R178" i="23"/>
  <c r="Q178" i="23"/>
  <c r="P178" i="23"/>
  <c r="O178" i="23"/>
  <c r="N178" i="23"/>
  <c r="M178" i="23"/>
  <c r="L178" i="23"/>
  <c r="K178" i="23"/>
  <c r="J178" i="23"/>
  <c r="I178" i="23"/>
  <c r="H178" i="23"/>
  <c r="G178" i="23"/>
  <c r="F177" i="23"/>
  <c r="E177" i="23"/>
  <c r="D177" i="23"/>
  <c r="B177" i="23"/>
  <c r="G169" i="23"/>
  <c r="AQ110" i="23"/>
  <c r="AP110" i="23"/>
  <c r="AO110" i="23"/>
  <c r="AN110" i="23"/>
  <c r="AM110" i="23"/>
  <c r="AL110" i="23"/>
  <c r="AK110" i="23"/>
  <c r="AJ110" i="23"/>
  <c r="B104" i="23"/>
  <c r="B103" i="23"/>
  <c r="M144" i="23"/>
  <c r="F46" i="23"/>
  <c r="E46" i="23"/>
  <c r="C46" i="23"/>
  <c r="B46" i="23"/>
  <c r="G144" i="23" s="1"/>
  <c r="F45" i="23"/>
  <c r="E45" i="23"/>
  <c r="C45" i="23"/>
  <c r="F44" i="23"/>
  <c r="E44" i="23"/>
  <c r="C44" i="23"/>
  <c r="F43" i="23"/>
  <c r="E43" i="23"/>
  <c r="C43" i="23"/>
  <c r="F42" i="23"/>
  <c r="E42" i="23"/>
  <c r="C42" i="23"/>
  <c r="B42" i="23"/>
  <c r="B144" i="23" s="1"/>
  <c r="F41" i="23"/>
  <c r="E41" i="23"/>
  <c r="C41" i="23"/>
  <c r="F40" i="23"/>
  <c r="E40" i="23"/>
  <c r="C40" i="23"/>
  <c r="B40" i="23"/>
  <c r="M125" i="23" s="1"/>
  <c r="F39" i="23"/>
  <c r="E39" i="23"/>
  <c r="C39" i="23"/>
  <c r="F38" i="23"/>
  <c r="E38" i="23"/>
  <c r="C38" i="23"/>
  <c r="F37" i="23"/>
  <c r="E37" i="23"/>
  <c r="C37" i="23"/>
  <c r="B37" i="23"/>
  <c r="G125" i="23" s="1"/>
  <c r="F36" i="23"/>
  <c r="E36" i="23"/>
  <c r="C36" i="23"/>
  <c r="F35" i="23"/>
  <c r="C35" i="23"/>
  <c r="F34" i="23"/>
  <c r="E34" i="23"/>
  <c r="C34" i="23"/>
  <c r="F33" i="23"/>
  <c r="E33" i="23"/>
  <c r="C33" i="23"/>
  <c r="F32" i="23"/>
  <c r="E32" i="23"/>
  <c r="C32" i="23"/>
  <c r="B32" i="23"/>
  <c r="B125" i="23" s="1"/>
  <c r="B31" i="23"/>
  <c r="AA31" i="23" s="1"/>
  <c r="EE29" i="23"/>
  <c r="DW29" i="23" s="1"/>
  <c r="DC29" i="23" s="1"/>
  <c r="F29" i="23"/>
  <c r="E29" i="23"/>
  <c r="C29" i="23"/>
  <c r="EE28" i="23"/>
  <c r="DW28" i="23" s="1"/>
  <c r="DC28" i="23" s="1"/>
  <c r="F28" i="23"/>
  <c r="E28" i="23"/>
  <c r="C28" i="23"/>
  <c r="EE27" i="23"/>
  <c r="DW27" i="23" s="1"/>
  <c r="DC27" i="23" s="1"/>
  <c r="F27" i="23"/>
  <c r="E27" i="23"/>
  <c r="C27" i="23"/>
  <c r="B27" i="23"/>
  <c r="M106" i="23" s="1"/>
  <c r="EE26" i="23"/>
  <c r="DS26" i="23" s="1"/>
  <c r="F26" i="23"/>
  <c r="E26" i="23"/>
  <c r="C26" i="23"/>
  <c r="EE25" i="23"/>
  <c r="DW25" i="23" s="1"/>
  <c r="DC25" i="23" s="1"/>
  <c r="F25" i="23"/>
  <c r="E25" i="23"/>
  <c r="C25" i="23"/>
  <c r="B25" i="23"/>
  <c r="G106" i="23" s="1"/>
  <c r="F24" i="23"/>
  <c r="E24" i="23"/>
  <c r="C24" i="23"/>
  <c r="F23" i="23"/>
  <c r="C23" i="23"/>
  <c r="B23" i="23"/>
  <c r="B106" i="23" s="1"/>
  <c r="B22" i="23"/>
  <c r="AA22" i="23" s="1"/>
  <c r="AB21" i="23"/>
  <c r="D124" i="27"/>
  <c r="D31" i="27" s="1"/>
  <c r="D100" i="27" s="1"/>
  <c r="AB20" i="23"/>
  <c r="AA17" i="23"/>
  <c r="B17" i="23"/>
  <c r="AA16" i="23"/>
  <c r="B16" i="23"/>
  <c r="V12" i="23"/>
  <c r="U12" i="23"/>
  <c r="T12" i="23"/>
  <c r="S12" i="23"/>
  <c r="R12" i="23"/>
  <c r="Q12" i="23"/>
  <c r="P12" i="23"/>
  <c r="O12" i="23"/>
  <c r="N12" i="23"/>
  <c r="M12" i="23"/>
  <c r="L12" i="23"/>
  <c r="K12" i="23"/>
  <c r="J12" i="23"/>
  <c r="I12" i="23"/>
  <c r="H12" i="23"/>
  <c r="G12" i="23"/>
  <c r="F12" i="23"/>
  <c r="E12" i="23"/>
  <c r="D12" i="23"/>
  <c r="C12" i="23"/>
  <c r="G9" i="23"/>
  <c r="B7" i="23"/>
  <c r="B6" i="23"/>
  <c r="P5" i="23"/>
  <c r="B154" i="5"/>
  <c r="B153" i="5"/>
  <c r="B152" i="5"/>
  <c r="D124" i="5"/>
  <c r="B123" i="5"/>
  <c r="B122" i="5"/>
  <c r="L107" i="5"/>
  <c r="C101" i="5"/>
  <c r="D100" i="5" s="1"/>
  <c r="AC100" i="5"/>
  <c r="AC99" i="5"/>
  <c r="B98" i="5"/>
  <c r="Z96" i="5"/>
  <c r="Z95" i="5"/>
  <c r="B92" i="5"/>
  <c r="K90" i="5"/>
  <c r="B90" i="5"/>
  <c r="K88" i="5"/>
  <c r="B88" i="5"/>
  <c r="K84" i="5"/>
  <c r="K78" i="5" s="1"/>
  <c r="AF83" i="5"/>
  <c r="AD83" i="5"/>
  <c r="AD81" i="5"/>
  <c r="B78" i="5"/>
  <c r="K75" i="5"/>
  <c r="B75" i="5"/>
  <c r="B74" i="5"/>
  <c r="G44" i="5"/>
  <c r="F44" i="5"/>
  <c r="D44" i="5"/>
  <c r="C28" i="5"/>
  <c r="C18" i="5"/>
  <c r="C6" i="5"/>
  <c r="B3" i="5"/>
  <c r="B1" i="5"/>
  <c r="L184" i="1"/>
  <c r="K184" i="1"/>
  <c r="J184" i="1"/>
  <c r="I184" i="1"/>
  <c r="H184" i="1"/>
  <c r="G184" i="1"/>
  <c r="L183" i="1"/>
  <c r="K183" i="1"/>
  <c r="J183" i="1"/>
  <c r="I183" i="1"/>
  <c r="H183" i="1"/>
  <c r="G183" i="1"/>
  <c r="L182" i="1"/>
  <c r="K182" i="1"/>
  <c r="J182" i="1"/>
  <c r="I182" i="1"/>
  <c r="H182" i="1"/>
  <c r="G182" i="1"/>
  <c r="L181" i="1"/>
  <c r="K181" i="1"/>
  <c r="J181" i="1"/>
  <c r="I181" i="1"/>
  <c r="H181" i="1"/>
  <c r="G181" i="1"/>
  <c r="L180" i="1"/>
  <c r="K180" i="1"/>
  <c r="J180" i="1"/>
  <c r="I180" i="1"/>
  <c r="H180" i="1"/>
  <c r="G180" i="1"/>
  <c r="L179" i="1"/>
  <c r="K179" i="1"/>
  <c r="J179" i="1"/>
  <c r="I179" i="1"/>
  <c r="H179" i="1"/>
  <c r="G179" i="1"/>
  <c r="L178" i="1"/>
  <c r="K178" i="1"/>
  <c r="J178" i="1"/>
  <c r="I178" i="1"/>
  <c r="H178" i="1"/>
  <c r="G178" i="1"/>
  <c r="F177" i="1"/>
  <c r="E177" i="1"/>
  <c r="D177" i="1"/>
  <c r="B177" i="1"/>
  <c r="V184" i="1"/>
  <c r="U184" i="1"/>
  <c r="T184" i="1"/>
  <c r="S184" i="1"/>
  <c r="R184" i="1"/>
  <c r="Q184" i="1"/>
  <c r="P184" i="1"/>
  <c r="O184" i="1"/>
  <c r="N184" i="1"/>
  <c r="M184" i="1"/>
  <c r="V183" i="1"/>
  <c r="U183" i="1"/>
  <c r="T183" i="1"/>
  <c r="S183" i="1"/>
  <c r="R183" i="1"/>
  <c r="Q183" i="1"/>
  <c r="P183" i="1"/>
  <c r="O183" i="1"/>
  <c r="N183" i="1"/>
  <c r="M183" i="1"/>
  <c r="V182" i="1"/>
  <c r="U182" i="1"/>
  <c r="T182" i="1"/>
  <c r="S182" i="1"/>
  <c r="R182" i="1"/>
  <c r="Q182" i="1"/>
  <c r="P182" i="1"/>
  <c r="O182" i="1"/>
  <c r="N182" i="1"/>
  <c r="M182" i="1"/>
  <c r="V181" i="1"/>
  <c r="U181" i="1"/>
  <c r="T181" i="1"/>
  <c r="S181" i="1"/>
  <c r="R181" i="1"/>
  <c r="Q181" i="1"/>
  <c r="P181" i="1"/>
  <c r="O181" i="1"/>
  <c r="N181" i="1"/>
  <c r="M181" i="1"/>
  <c r="V180" i="1"/>
  <c r="U180" i="1"/>
  <c r="T180" i="1"/>
  <c r="S180" i="1"/>
  <c r="R180" i="1"/>
  <c r="Q180" i="1"/>
  <c r="P180" i="1"/>
  <c r="O180" i="1"/>
  <c r="N180" i="1"/>
  <c r="M180" i="1"/>
  <c r="V179" i="1"/>
  <c r="U179" i="1"/>
  <c r="T179" i="1"/>
  <c r="S179" i="1"/>
  <c r="R179" i="1"/>
  <c r="Q179" i="1"/>
  <c r="P179" i="1"/>
  <c r="O179" i="1"/>
  <c r="N179" i="1"/>
  <c r="M179" i="1"/>
  <c r="V178" i="1"/>
  <c r="U178" i="1"/>
  <c r="T178" i="1"/>
  <c r="S178" i="1"/>
  <c r="R178" i="1"/>
  <c r="Q178" i="1"/>
  <c r="P178" i="1"/>
  <c r="O178" i="1"/>
  <c r="N178" i="1"/>
  <c r="M178" i="1"/>
  <c r="H167" i="1"/>
  <c r="B165" i="1"/>
  <c r="B164" i="1"/>
  <c r="AQ110" i="1"/>
  <c r="AP110" i="1"/>
  <c r="AO110" i="1"/>
  <c r="AN110" i="1"/>
  <c r="AM110" i="1"/>
  <c r="AL110" i="1"/>
  <c r="AK110" i="1"/>
  <c r="AJ110" i="1"/>
  <c r="B104" i="1"/>
  <c r="B103" i="1"/>
  <c r="M144" i="1"/>
  <c r="F46" i="1"/>
  <c r="E46" i="1"/>
  <c r="C46" i="1"/>
  <c r="B46" i="1"/>
  <c r="F45" i="1"/>
  <c r="E45" i="1"/>
  <c r="C45" i="1"/>
  <c r="F44" i="1"/>
  <c r="E44" i="1"/>
  <c r="C44" i="1"/>
  <c r="F43" i="1"/>
  <c r="E43" i="1"/>
  <c r="C43" i="1"/>
  <c r="F42" i="1"/>
  <c r="E42" i="1"/>
  <c r="C42" i="1"/>
  <c r="B42" i="1"/>
  <c r="F41" i="1"/>
  <c r="E41" i="1"/>
  <c r="C41" i="1"/>
  <c r="F40" i="1"/>
  <c r="E40" i="1"/>
  <c r="C40" i="1"/>
  <c r="B40" i="1"/>
  <c r="F39" i="1"/>
  <c r="E39" i="1"/>
  <c r="C39" i="1"/>
  <c r="F38" i="1"/>
  <c r="E38" i="1"/>
  <c r="C38" i="1"/>
  <c r="F37" i="1"/>
  <c r="E37" i="1"/>
  <c r="C37" i="1"/>
  <c r="B37" i="1"/>
  <c r="F36" i="1"/>
  <c r="E36" i="1"/>
  <c r="C36" i="1"/>
  <c r="F35" i="1"/>
  <c r="C35" i="1"/>
  <c r="F34" i="1"/>
  <c r="E34" i="1"/>
  <c r="C34" i="1"/>
  <c r="F33" i="1"/>
  <c r="E33" i="1"/>
  <c r="C33" i="1"/>
  <c r="F32" i="1"/>
  <c r="E32" i="1"/>
  <c r="C32" i="1"/>
  <c r="B32" i="1"/>
  <c r="B31" i="1"/>
  <c r="CV30" i="1"/>
  <c r="CW30" i="1" s="1"/>
  <c r="CX30" i="1" s="1"/>
  <c r="CY30" i="1" s="1"/>
  <c r="CZ30" i="1" s="1"/>
  <c r="DA30" i="1" s="1"/>
  <c r="EE29" i="1"/>
  <c r="DV29" i="1" s="1"/>
  <c r="F29" i="1"/>
  <c r="E29" i="1"/>
  <c r="C29" i="1"/>
  <c r="EE28" i="1"/>
  <c r="DR28" i="1" s="1"/>
  <c r="F28" i="1"/>
  <c r="E28" i="1"/>
  <c r="C28" i="1"/>
  <c r="EE27" i="1"/>
  <c r="DV27" i="1" s="1"/>
  <c r="F27" i="1"/>
  <c r="E27" i="1"/>
  <c r="C27" i="1"/>
  <c r="B27" i="1"/>
  <c r="EE26" i="1"/>
  <c r="DW26" i="1" s="1"/>
  <c r="DC26" i="1" s="1"/>
  <c r="F26" i="1"/>
  <c r="E26" i="1"/>
  <c r="C26" i="1"/>
  <c r="EE25" i="1"/>
  <c r="DW25" i="1" s="1"/>
  <c r="DC25" i="1" s="1"/>
  <c r="F25" i="1"/>
  <c r="E25" i="1"/>
  <c r="C25" i="1"/>
  <c r="B25" i="1"/>
  <c r="F24" i="1"/>
  <c r="C24" i="1"/>
  <c r="F23" i="1"/>
  <c r="E23" i="1"/>
  <c r="C23" i="1"/>
  <c r="B22" i="1"/>
  <c r="CU21" i="1"/>
  <c r="CV21" i="1" s="1"/>
  <c r="CW21" i="1" s="1"/>
  <c r="CX21" i="1" s="1"/>
  <c r="CY21" i="1" s="1"/>
  <c r="CZ21" i="1" s="1"/>
  <c r="DA21" i="1" s="1"/>
  <c r="DB21" i="1" s="1"/>
  <c r="DC21" i="1" s="1"/>
  <c r="DD21" i="1" s="1"/>
  <c r="DE21" i="1" s="1"/>
  <c r="DF21" i="1" s="1"/>
  <c r="DG21" i="1" s="1"/>
  <c r="DH21" i="1" s="1"/>
  <c r="DI21" i="1" s="1"/>
  <c r="DJ21" i="1" s="1"/>
  <c r="CC21" i="1"/>
  <c r="BK21" i="1"/>
  <c r="AB21" i="1"/>
  <c r="AB20" i="1"/>
  <c r="DJ19" i="1"/>
  <c r="DI19" i="1"/>
  <c r="DH19" i="1"/>
  <c r="DG19" i="1"/>
  <c r="DF19" i="1"/>
  <c r="DE19" i="1"/>
  <c r="DD19" i="1"/>
  <c r="DC19" i="1"/>
  <c r="DB19" i="1"/>
  <c r="DA19" i="1"/>
  <c r="CZ19" i="1"/>
  <c r="CY19" i="1"/>
  <c r="CX19" i="1"/>
  <c r="CW19" i="1"/>
  <c r="CV19" i="1"/>
  <c r="CU19" i="1"/>
  <c r="CR19" i="1"/>
  <c r="CQ19" i="1"/>
  <c r="CP19" i="1"/>
  <c r="CO19" i="1"/>
  <c r="CN19" i="1"/>
  <c r="CM19" i="1"/>
  <c r="CL19" i="1"/>
  <c r="CK19" i="1"/>
  <c r="CJ19" i="1"/>
  <c r="CI19" i="1"/>
  <c r="CH19" i="1"/>
  <c r="CG19" i="1"/>
  <c r="CF19" i="1"/>
  <c r="CD19" i="1"/>
  <c r="CC19" i="1"/>
  <c r="AA17" i="1"/>
  <c r="B17" i="1"/>
  <c r="AA16" i="1"/>
  <c r="B16" i="1"/>
  <c r="V12" i="1"/>
  <c r="U12" i="1"/>
  <c r="T12" i="1"/>
  <c r="S12" i="1"/>
  <c r="R12" i="1"/>
  <c r="Q12" i="1"/>
  <c r="P12" i="1"/>
  <c r="O12" i="1"/>
  <c r="N12" i="1"/>
  <c r="M12" i="1"/>
  <c r="L12" i="1"/>
  <c r="K12" i="1"/>
  <c r="J12" i="1"/>
  <c r="I12" i="1"/>
  <c r="H12" i="1"/>
  <c r="G12" i="1"/>
  <c r="F12" i="1"/>
  <c r="E12" i="1"/>
  <c r="D12" i="1"/>
  <c r="C12" i="1"/>
  <c r="H9" i="1"/>
  <c r="I9" i="1" s="1"/>
  <c r="J9" i="1" s="1"/>
  <c r="K9" i="1" s="1"/>
  <c r="L9" i="1" s="1"/>
  <c r="M9" i="1" s="1"/>
  <c r="N9" i="1" s="1"/>
  <c r="O9" i="1" s="1"/>
  <c r="P9" i="1" s="1"/>
  <c r="Q9" i="1" s="1"/>
  <c r="R9" i="1" s="1"/>
  <c r="S9" i="1" s="1"/>
  <c r="T9" i="1" s="1"/>
  <c r="U9" i="1" s="1"/>
  <c r="V9" i="1" s="1"/>
  <c r="B7" i="1"/>
  <c r="B6" i="1"/>
  <c r="P5" i="1"/>
  <c r="J415" i="37"/>
  <c r="Q415" i="37" s="1"/>
  <c r="G415" i="37"/>
  <c r="N399" i="37"/>
  <c r="M399" i="37"/>
  <c r="L399" i="37"/>
  <c r="K399" i="37"/>
  <c r="J399" i="37"/>
  <c r="I399" i="37"/>
  <c r="H399" i="37"/>
  <c r="G399" i="37" s="1"/>
  <c r="J362" i="37"/>
  <c r="G362" i="37"/>
  <c r="G67" i="37"/>
  <c r="P450" i="37"/>
  <c r="O450" i="37"/>
  <c r="N450" i="37"/>
  <c r="M450" i="37"/>
  <c r="L450" i="37"/>
  <c r="K450" i="37"/>
  <c r="J450" i="37"/>
  <c r="I450" i="37"/>
  <c r="H450" i="37"/>
  <c r="G450" i="37" s="1"/>
  <c r="P431" i="37"/>
  <c r="O431" i="37"/>
  <c r="N431" i="37"/>
  <c r="M431" i="37"/>
  <c r="L431" i="37"/>
  <c r="K431" i="37"/>
  <c r="J431" i="37"/>
  <c r="I431" i="37"/>
  <c r="H431" i="37"/>
  <c r="Q431" i="37" s="1"/>
  <c r="P423" i="37"/>
  <c r="O423" i="37"/>
  <c r="N423" i="37"/>
  <c r="M423" i="37"/>
  <c r="L423" i="37"/>
  <c r="K423" i="37"/>
  <c r="J423" i="37"/>
  <c r="I423" i="37"/>
  <c r="H423" i="37"/>
  <c r="Q423" i="37" s="1"/>
  <c r="P392" i="37"/>
  <c r="O392" i="37"/>
  <c r="N392" i="37"/>
  <c r="M392" i="37"/>
  <c r="L392" i="37"/>
  <c r="K392" i="37"/>
  <c r="J392" i="37"/>
  <c r="I392" i="37"/>
  <c r="H392" i="37"/>
  <c r="P407" i="37"/>
  <c r="O407" i="37"/>
  <c r="N407" i="37"/>
  <c r="M407" i="37"/>
  <c r="L407" i="37"/>
  <c r="K407" i="37"/>
  <c r="J407" i="37"/>
  <c r="I407" i="37"/>
  <c r="H407" i="37"/>
  <c r="Q407" i="37" s="1"/>
  <c r="P100" i="37"/>
  <c r="O100" i="37"/>
  <c r="N100" i="37"/>
  <c r="M100" i="37"/>
  <c r="L100" i="37"/>
  <c r="K100" i="37"/>
  <c r="J100" i="37"/>
  <c r="I100" i="37"/>
  <c r="H100" i="37"/>
  <c r="Q100" i="37" s="1"/>
  <c r="P354" i="37"/>
  <c r="O354" i="37"/>
  <c r="N354" i="37"/>
  <c r="M354" i="37"/>
  <c r="L354" i="37"/>
  <c r="K354" i="37"/>
  <c r="J354" i="37"/>
  <c r="I354" i="37"/>
  <c r="H354" i="37"/>
  <c r="J370" i="37"/>
  <c r="G370" i="37"/>
  <c r="O346" i="37"/>
  <c r="N346" i="37"/>
  <c r="M346" i="37"/>
  <c r="L346" i="37"/>
  <c r="K346" i="37"/>
  <c r="J346" i="37"/>
  <c r="I346" i="37"/>
  <c r="H346" i="37"/>
  <c r="P286" i="37"/>
  <c r="O286" i="37"/>
  <c r="N286" i="37"/>
  <c r="M286" i="37"/>
  <c r="L286" i="37"/>
  <c r="K286" i="37"/>
  <c r="J286" i="37"/>
  <c r="I286" i="37"/>
  <c r="H286" i="37"/>
  <c r="P302" i="37"/>
  <c r="O302" i="37"/>
  <c r="N302" i="37"/>
  <c r="M302" i="37"/>
  <c r="L302" i="37"/>
  <c r="K302" i="37"/>
  <c r="J302" i="37"/>
  <c r="I302" i="37"/>
  <c r="H302" i="37"/>
  <c r="P294" i="37"/>
  <c r="O294" i="37"/>
  <c r="N294" i="37"/>
  <c r="M294" i="37"/>
  <c r="L294" i="37"/>
  <c r="K294" i="37"/>
  <c r="J294" i="37"/>
  <c r="I294" i="37"/>
  <c r="H294" i="37"/>
  <c r="Q294" i="37" s="1"/>
  <c r="P270" i="37"/>
  <c r="O270" i="37"/>
  <c r="N270" i="37"/>
  <c r="M270" i="37"/>
  <c r="L270" i="37"/>
  <c r="K270" i="37"/>
  <c r="J270" i="37"/>
  <c r="I270" i="37"/>
  <c r="H270" i="37"/>
  <c r="P254" i="37"/>
  <c r="O254" i="37"/>
  <c r="N254" i="37"/>
  <c r="M254" i="37"/>
  <c r="L254" i="37"/>
  <c r="K254" i="37"/>
  <c r="J254" i="37"/>
  <c r="I254" i="37"/>
  <c r="H254" i="37"/>
  <c r="P278" i="37"/>
  <c r="O278" i="37"/>
  <c r="N278" i="37"/>
  <c r="M278" i="37"/>
  <c r="L278" i="37"/>
  <c r="K278" i="37"/>
  <c r="J278" i="37"/>
  <c r="I278" i="37"/>
  <c r="H278" i="37"/>
  <c r="O246" i="37"/>
  <c r="N246" i="37"/>
  <c r="M246" i="37"/>
  <c r="L246" i="37"/>
  <c r="K246" i="37"/>
  <c r="J246" i="37"/>
  <c r="I246" i="37"/>
  <c r="H246" i="37"/>
  <c r="Q246" i="37" s="1"/>
  <c r="P230" i="37"/>
  <c r="O230" i="37"/>
  <c r="N230" i="37"/>
  <c r="M230" i="37"/>
  <c r="L230" i="37"/>
  <c r="K230" i="37"/>
  <c r="J230" i="37"/>
  <c r="I230" i="37"/>
  <c r="H230" i="37"/>
  <c r="P222" i="37"/>
  <c r="O222" i="37"/>
  <c r="N222" i="37"/>
  <c r="M222" i="37"/>
  <c r="L222" i="37"/>
  <c r="K222" i="37"/>
  <c r="J222" i="37"/>
  <c r="I222" i="37"/>
  <c r="H222" i="37"/>
  <c r="Q222" i="37" s="1"/>
  <c r="P108" i="37"/>
  <c r="O108" i="37"/>
  <c r="N108" i="37"/>
  <c r="M108" i="37"/>
  <c r="L108" i="37"/>
  <c r="K108" i="37"/>
  <c r="J108" i="37"/>
  <c r="I108" i="37"/>
  <c r="H108" i="37"/>
  <c r="P75" i="37"/>
  <c r="O75" i="37"/>
  <c r="N75" i="37"/>
  <c r="M75" i="37"/>
  <c r="L75" i="37"/>
  <c r="K75" i="37"/>
  <c r="J75" i="37"/>
  <c r="I75" i="37"/>
  <c r="H75" i="37"/>
  <c r="P214" i="37"/>
  <c r="O214" i="37"/>
  <c r="N214" i="37"/>
  <c r="M214" i="37"/>
  <c r="L214" i="37"/>
  <c r="K214" i="37"/>
  <c r="J214" i="37"/>
  <c r="I214" i="37"/>
  <c r="H214" i="37"/>
  <c r="Q214" i="37" s="1"/>
  <c r="Q198" i="37"/>
  <c r="P190" i="37"/>
  <c r="O190" i="37"/>
  <c r="N190" i="37"/>
  <c r="M190" i="37"/>
  <c r="L190" i="37"/>
  <c r="K190" i="37"/>
  <c r="J190" i="37"/>
  <c r="I190" i="37"/>
  <c r="H190" i="37"/>
  <c r="P156" i="37"/>
  <c r="O156" i="37"/>
  <c r="N156" i="37"/>
  <c r="M156" i="37"/>
  <c r="L156" i="37"/>
  <c r="K156" i="37"/>
  <c r="J156" i="37"/>
  <c r="I156" i="37"/>
  <c r="H156" i="37"/>
  <c r="P164" i="37"/>
  <c r="O164" i="37"/>
  <c r="N164" i="37"/>
  <c r="M164" i="37"/>
  <c r="L164" i="37"/>
  <c r="K164" i="37"/>
  <c r="J164" i="37"/>
  <c r="I164" i="37"/>
  <c r="H164" i="37"/>
  <c r="Q164" i="37" s="1"/>
  <c r="P148" i="37"/>
  <c r="O148" i="37"/>
  <c r="N148" i="37"/>
  <c r="M148" i="37"/>
  <c r="L148" i="37"/>
  <c r="K148" i="37"/>
  <c r="J148" i="37"/>
  <c r="I148" i="37"/>
  <c r="H148" i="37"/>
  <c r="P140" i="37"/>
  <c r="O140" i="37"/>
  <c r="N140" i="37"/>
  <c r="M140" i="37"/>
  <c r="L140" i="37"/>
  <c r="K140" i="37"/>
  <c r="J140" i="37"/>
  <c r="I140" i="37"/>
  <c r="H140" i="37"/>
  <c r="P124" i="37"/>
  <c r="O124" i="37"/>
  <c r="N124" i="37"/>
  <c r="M124" i="37"/>
  <c r="L124" i="37"/>
  <c r="K124" i="37"/>
  <c r="J124" i="37"/>
  <c r="I124" i="37"/>
  <c r="H124" i="37"/>
  <c r="P116" i="37"/>
  <c r="O116" i="37"/>
  <c r="N116" i="37"/>
  <c r="M116" i="37"/>
  <c r="L116" i="37"/>
  <c r="K116" i="37"/>
  <c r="J116" i="37"/>
  <c r="I116" i="37"/>
  <c r="H116" i="37"/>
  <c r="P132" i="37"/>
  <c r="O132" i="37"/>
  <c r="N132" i="37"/>
  <c r="M132" i="37"/>
  <c r="L132" i="37"/>
  <c r="K132" i="37"/>
  <c r="J132" i="37"/>
  <c r="I132" i="37"/>
  <c r="H132" i="37"/>
  <c r="Q132" i="37" s="1"/>
  <c r="P51" i="37"/>
  <c r="O51" i="37"/>
  <c r="N51" i="37"/>
  <c r="M51" i="37"/>
  <c r="L51" i="37"/>
  <c r="K51" i="37"/>
  <c r="J51" i="37"/>
  <c r="I51" i="37"/>
  <c r="H51" i="37"/>
  <c r="Q51" i="37" s="1"/>
  <c r="P59" i="37"/>
  <c r="O59" i="37"/>
  <c r="N59" i="37"/>
  <c r="M59" i="37"/>
  <c r="L59" i="37"/>
  <c r="K59" i="37"/>
  <c r="J59" i="37"/>
  <c r="I59" i="37"/>
  <c r="H59" i="37"/>
  <c r="P34" i="37"/>
  <c r="O34" i="37"/>
  <c r="N34" i="37"/>
  <c r="M34" i="37"/>
  <c r="L34" i="37"/>
  <c r="K34" i="37"/>
  <c r="J34" i="37"/>
  <c r="I34" i="37"/>
  <c r="H34" i="37"/>
  <c r="P10" i="37"/>
  <c r="O10" i="37"/>
  <c r="N10" i="37"/>
  <c r="M10" i="37"/>
  <c r="L10" i="37"/>
  <c r="K10" i="37"/>
  <c r="J10" i="37"/>
  <c r="I10" i="37"/>
  <c r="H10" i="37"/>
  <c r="Q10" i="37" s="1"/>
  <c r="N378" i="37"/>
  <c r="M378" i="37"/>
  <c r="L378" i="37"/>
  <c r="K378" i="37"/>
  <c r="J378" i="37"/>
  <c r="I378" i="37"/>
  <c r="H378" i="37"/>
  <c r="Q378" i="37" s="1"/>
  <c r="N338" i="37"/>
  <c r="M338" i="37"/>
  <c r="L338" i="37"/>
  <c r="K338" i="37"/>
  <c r="J338" i="37"/>
  <c r="I338" i="37"/>
  <c r="H338" i="37"/>
  <c r="Q338" i="37" s="1"/>
  <c r="N182" i="37"/>
  <c r="M182" i="37"/>
  <c r="L182" i="37"/>
  <c r="K182" i="37"/>
  <c r="J182" i="37"/>
  <c r="I182" i="37"/>
  <c r="H182" i="37"/>
  <c r="Q449" i="37"/>
  <c r="G449" i="37"/>
  <c r="Q430" i="37"/>
  <c r="G430" i="37"/>
  <c r="Q422" i="37"/>
  <c r="G422" i="37"/>
  <c r="G391" i="37"/>
  <c r="Q406" i="37"/>
  <c r="G406" i="37"/>
  <c r="G99" i="37"/>
  <c r="G353" i="37"/>
  <c r="G369" i="37"/>
  <c r="G285" i="37"/>
  <c r="G301" i="37"/>
  <c r="G293" i="37"/>
  <c r="G269" i="37"/>
  <c r="G253" i="37"/>
  <c r="G277" i="37"/>
  <c r="G229" i="37"/>
  <c r="G237" i="37"/>
  <c r="G221" i="37"/>
  <c r="G107" i="37"/>
  <c r="G74" i="37"/>
  <c r="G213" i="37"/>
  <c r="G163" i="37"/>
  <c r="G147" i="37"/>
  <c r="G139" i="37"/>
  <c r="G90" i="37"/>
  <c r="G123" i="37"/>
  <c r="G115" i="37"/>
  <c r="G131" i="37"/>
  <c r="G50" i="37"/>
  <c r="G58" i="37"/>
  <c r="G33" i="37"/>
  <c r="G9" i="37"/>
  <c r="J377" i="37"/>
  <c r="Q377" i="37" s="1"/>
  <c r="G377" i="37"/>
  <c r="J414" i="37"/>
  <c r="Q414" i="37" s="1"/>
  <c r="G414" i="37"/>
  <c r="Q398" i="37"/>
  <c r="G398" i="37"/>
  <c r="J384" i="37"/>
  <c r="Q384" i="37" s="1"/>
  <c r="G384" i="37"/>
  <c r="G360" i="37"/>
  <c r="G337" i="37"/>
  <c r="G66" i="37"/>
  <c r="P448" i="37"/>
  <c r="O448" i="37"/>
  <c r="N448" i="37"/>
  <c r="M448" i="37"/>
  <c r="L448" i="37"/>
  <c r="K448" i="37"/>
  <c r="J448" i="37"/>
  <c r="I448" i="37"/>
  <c r="H448" i="37"/>
  <c r="Q448" i="37" s="1"/>
  <c r="N376" i="37"/>
  <c r="M376" i="37"/>
  <c r="L376" i="37"/>
  <c r="K376" i="37"/>
  <c r="J376" i="37"/>
  <c r="I376" i="37"/>
  <c r="H376" i="37"/>
  <c r="Q376" i="37" s="1"/>
  <c r="P429" i="37"/>
  <c r="O429" i="37"/>
  <c r="N429" i="37"/>
  <c r="M429" i="37"/>
  <c r="L429" i="37"/>
  <c r="K429" i="37"/>
  <c r="J429" i="37"/>
  <c r="I429" i="37"/>
  <c r="H429" i="37"/>
  <c r="G429" i="37" s="1"/>
  <c r="Q421" i="37"/>
  <c r="G421" i="37"/>
  <c r="N413" i="37"/>
  <c r="M413" i="37"/>
  <c r="L413" i="37"/>
  <c r="K413" i="37"/>
  <c r="J413" i="37"/>
  <c r="I413" i="37"/>
  <c r="H413" i="37"/>
  <c r="Q413" i="37" s="1"/>
  <c r="P390" i="37"/>
  <c r="O390" i="37"/>
  <c r="N390" i="37"/>
  <c r="M390" i="37"/>
  <c r="L390" i="37"/>
  <c r="K390" i="37"/>
  <c r="J390" i="37"/>
  <c r="I390" i="37"/>
  <c r="H390" i="37"/>
  <c r="Q390" i="37" s="1"/>
  <c r="P405" i="37"/>
  <c r="O405" i="37"/>
  <c r="N405" i="37"/>
  <c r="M405" i="37"/>
  <c r="L405" i="37"/>
  <c r="K405" i="37"/>
  <c r="J405" i="37"/>
  <c r="I405" i="37"/>
  <c r="H405" i="37"/>
  <c r="G405" i="37" s="1"/>
  <c r="P98" i="37"/>
  <c r="O98" i="37"/>
  <c r="N98" i="37"/>
  <c r="M98" i="37"/>
  <c r="L98" i="37"/>
  <c r="K98" i="37"/>
  <c r="J98" i="37"/>
  <c r="I98" i="37"/>
  <c r="H98" i="37"/>
  <c r="P352" i="37"/>
  <c r="O352" i="37"/>
  <c r="N352" i="37"/>
  <c r="M352" i="37"/>
  <c r="L352" i="37"/>
  <c r="K352" i="37"/>
  <c r="J352" i="37"/>
  <c r="I352" i="37"/>
  <c r="H352" i="37"/>
  <c r="Q352" i="37" s="1"/>
  <c r="J368" i="37"/>
  <c r="O344" i="37"/>
  <c r="N344" i="37"/>
  <c r="M344" i="37"/>
  <c r="L344" i="37"/>
  <c r="K344" i="37"/>
  <c r="J344" i="37"/>
  <c r="I344" i="37"/>
  <c r="H344" i="37"/>
  <c r="N336" i="37"/>
  <c r="M336" i="37"/>
  <c r="L336" i="37"/>
  <c r="K336" i="37"/>
  <c r="J336" i="37"/>
  <c r="I336" i="37"/>
  <c r="H336" i="37"/>
  <c r="G284" i="37"/>
  <c r="P300" i="37"/>
  <c r="O300" i="37"/>
  <c r="N300" i="37"/>
  <c r="M300" i="37"/>
  <c r="L300" i="37"/>
  <c r="K300" i="37"/>
  <c r="J300" i="37"/>
  <c r="I300" i="37"/>
  <c r="H300" i="37"/>
  <c r="G292" i="37"/>
  <c r="P268" i="37"/>
  <c r="O268" i="37"/>
  <c r="N268" i="37"/>
  <c r="M268" i="37"/>
  <c r="L268" i="37"/>
  <c r="K268" i="37"/>
  <c r="J268" i="37"/>
  <c r="I268" i="37"/>
  <c r="H268" i="37"/>
  <c r="Q268" i="37" s="1"/>
  <c r="P252" i="37"/>
  <c r="O252" i="37"/>
  <c r="N252" i="37"/>
  <c r="M252" i="37"/>
  <c r="L252" i="37"/>
  <c r="K252" i="37"/>
  <c r="J252" i="37"/>
  <c r="I252" i="37"/>
  <c r="H252" i="37"/>
  <c r="Q252" i="37" s="1"/>
  <c r="G276" i="37"/>
  <c r="O244" i="37"/>
  <c r="N244" i="37"/>
  <c r="M244" i="37"/>
  <c r="L244" i="37"/>
  <c r="K244" i="37"/>
  <c r="J244" i="37"/>
  <c r="I244" i="37"/>
  <c r="H244" i="37"/>
  <c r="Q244" i="37" s="1"/>
  <c r="P228" i="37"/>
  <c r="O228" i="37"/>
  <c r="N228" i="37"/>
  <c r="M228" i="37"/>
  <c r="L228" i="37"/>
  <c r="K228" i="37"/>
  <c r="J228" i="37"/>
  <c r="I228" i="37"/>
  <c r="H228" i="37"/>
  <c r="Q228" i="37" s="1"/>
  <c r="P220" i="37"/>
  <c r="O220" i="37"/>
  <c r="N220" i="37"/>
  <c r="M220" i="37"/>
  <c r="L220" i="37"/>
  <c r="K220" i="37"/>
  <c r="J220" i="37"/>
  <c r="I220" i="37"/>
  <c r="H220" i="37"/>
  <c r="P106" i="37"/>
  <c r="O106" i="37"/>
  <c r="N106" i="37"/>
  <c r="M106" i="37"/>
  <c r="L106" i="37"/>
  <c r="K106" i="37"/>
  <c r="J106" i="37"/>
  <c r="I106" i="37"/>
  <c r="H106" i="37"/>
  <c r="Q106" i="37" s="1"/>
  <c r="P73" i="37"/>
  <c r="O73" i="37"/>
  <c r="N73" i="37"/>
  <c r="M73" i="37"/>
  <c r="L73" i="37"/>
  <c r="K73" i="37"/>
  <c r="J73" i="37"/>
  <c r="I73" i="37"/>
  <c r="H73" i="37"/>
  <c r="Q73" i="37" s="1"/>
  <c r="P212" i="37"/>
  <c r="O212" i="37"/>
  <c r="N212" i="37"/>
  <c r="M212" i="37"/>
  <c r="L212" i="37"/>
  <c r="K212" i="37"/>
  <c r="J212" i="37"/>
  <c r="I212" i="37"/>
  <c r="H212" i="37"/>
  <c r="N180" i="37"/>
  <c r="M180" i="37"/>
  <c r="L180" i="37"/>
  <c r="K180" i="37"/>
  <c r="J180" i="37"/>
  <c r="I180" i="37"/>
  <c r="H180" i="37"/>
  <c r="Q180" i="37" s="1"/>
  <c r="P154" i="37"/>
  <c r="O154" i="37"/>
  <c r="N154" i="37"/>
  <c r="M154" i="37"/>
  <c r="L154" i="37"/>
  <c r="K154" i="37"/>
  <c r="J154" i="37"/>
  <c r="I154" i="37"/>
  <c r="H154" i="37"/>
  <c r="P162" i="37"/>
  <c r="O162" i="37"/>
  <c r="N162" i="37"/>
  <c r="M162" i="37"/>
  <c r="L162" i="37"/>
  <c r="K162" i="37"/>
  <c r="J162" i="37"/>
  <c r="I162" i="37"/>
  <c r="H162" i="37"/>
  <c r="P146" i="37"/>
  <c r="O146" i="37"/>
  <c r="N146" i="37"/>
  <c r="M146" i="37"/>
  <c r="L146" i="37"/>
  <c r="K146" i="37"/>
  <c r="J146" i="37"/>
  <c r="I146" i="37"/>
  <c r="H146" i="37"/>
  <c r="P138" i="37"/>
  <c r="O138" i="37"/>
  <c r="N138" i="37"/>
  <c r="M138" i="37"/>
  <c r="L138" i="37"/>
  <c r="K138" i="37"/>
  <c r="J138" i="37"/>
  <c r="I138" i="37"/>
  <c r="H138" i="37"/>
  <c r="P122" i="37"/>
  <c r="O122" i="37"/>
  <c r="N122" i="37"/>
  <c r="M122" i="37"/>
  <c r="L122" i="37"/>
  <c r="K122" i="37"/>
  <c r="J122" i="37"/>
  <c r="I122" i="37"/>
  <c r="H122" i="37"/>
  <c r="P114" i="37"/>
  <c r="O114" i="37"/>
  <c r="N114" i="37"/>
  <c r="M114" i="37"/>
  <c r="L114" i="37"/>
  <c r="K114" i="37"/>
  <c r="J114" i="37"/>
  <c r="I114" i="37"/>
  <c r="H114" i="37"/>
  <c r="P130" i="37"/>
  <c r="O130" i="37"/>
  <c r="N130" i="37"/>
  <c r="M130" i="37"/>
  <c r="L130" i="37"/>
  <c r="K130" i="37"/>
  <c r="J130" i="37"/>
  <c r="I130" i="37"/>
  <c r="H130" i="37"/>
  <c r="Q130" i="37" s="1"/>
  <c r="N65" i="37"/>
  <c r="M65" i="37"/>
  <c r="L65" i="37"/>
  <c r="K65" i="37"/>
  <c r="J65" i="37"/>
  <c r="I65" i="37"/>
  <c r="H65" i="37"/>
  <c r="Q65" i="37" s="1"/>
  <c r="P49" i="37"/>
  <c r="O49" i="37"/>
  <c r="N49" i="37"/>
  <c r="M49" i="37"/>
  <c r="L49" i="37"/>
  <c r="K49" i="37"/>
  <c r="J49" i="37"/>
  <c r="I49" i="37"/>
  <c r="H49" i="37"/>
  <c r="P57" i="37"/>
  <c r="O57" i="37"/>
  <c r="N57" i="37"/>
  <c r="M57" i="37"/>
  <c r="L57" i="37"/>
  <c r="K57" i="37"/>
  <c r="J57" i="37"/>
  <c r="I57" i="37"/>
  <c r="H57" i="37"/>
  <c r="Q57" i="37" s="1"/>
  <c r="G32" i="37"/>
  <c r="P8" i="37"/>
  <c r="O8" i="37"/>
  <c r="N8" i="37"/>
  <c r="M8" i="37"/>
  <c r="L8" i="37"/>
  <c r="K8" i="37"/>
  <c r="J8" i="37"/>
  <c r="I8" i="37"/>
  <c r="H8" i="37"/>
  <c r="Q8" i="37" s="1"/>
  <c r="Q447" i="37"/>
  <c r="G447" i="37"/>
  <c r="J375" i="37"/>
  <c r="Q375" i="37" s="1"/>
  <c r="G375" i="37"/>
  <c r="Q428" i="37"/>
  <c r="G428" i="37"/>
  <c r="Q420" i="37"/>
  <c r="G420" i="37"/>
  <c r="J412" i="37"/>
  <c r="Q412" i="37" s="1"/>
  <c r="G412" i="37"/>
  <c r="G389" i="37"/>
  <c r="N397" i="37"/>
  <c r="M397" i="37"/>
  <c r="L397" i="37"/>
  <c r="K397" i="37"/>
  <c r="J397" i="37"/>
  <c r="I397" i="37"/>
  <c r="H397" i="37"/>
  <c r="G397" i="37" s="1"/>
  <c r="J383" i="37"/>
  <c r="Q383" i="37" s="1"/>
  <c r="G383" i="37"/>
  <c r="Q404" i="37"/>
  <c r="G404" i="37"/>
  <c r="G97" i="37"/>
  <c r="G351" i="37"/>
  <c r="G359" i="37"/>
  <c r="G367" i="37"/>
  <c r="G335" i="37"/>
  <c r="G283" i="37"/>
  <c r="P299" i="37"/>
  <c r="O299" i="37"/>
  <c r="N299" i="37"/>
  <c r="M299" i="37"/>
  <c r="L299" i="37"/>
  <c r="K299" i="37"/>
  <c r="J299" i="37"/>
  <c r="I299" i="37"/>
  <c r="H299" i="37"/>
  <c r="G291" i="37"/>
  <c r="G267" i="37"/>
  <c r="G251" i="37"/>
  <c r="G275" i="37"/>
  <c r="G227" i="37"/>
  <c r="G235" i="37"/>
  <c r="G219" i="37"/>
  <c r="G105" i="37"/>
  <c r="G72" i="37"/>
  <c r="G161" i="37"/>
  <c r="G145" i="37"/>
  <c r="G137" i="37"/>
  <c r="G88" i="37"/>
  <c r="G121" i="37"/>
  <c r="G113" i="37"/>
  <c r="G129" i="37"/>
  <c r="G64" i="37"/>
  <c r="G48" i="37"/>
  <c r="G56" i="37"/>
  <c r="G31" i="37"/>
  <c r="G7" i="37"/>
  <c r="Q446" i="37"/>
  <c r="G446" i="37"/>
  <c r="J374" i="37"/>
  <c r="Q374" i="37" s="1"/>
  <c r="G374" i="37"/>
  <c r="Q427" i="37"/>
  <c r="G427" i="37"/>
  <c r="Q419" i="37"/>
  <c r="G419" i="37"/>
  <c r="J411" i="37"/>
  <c r="Q411" i="37" s="1"/>
  <c r="G411" i="37"/>
  <c r="G388" i="37"/>
  <c r="G396" i="37"/>
  <c r="J382" i="37"/>
  <c r="Q382" i="37" s="1"/>
  <c r="G382" i="37"/>
  <c r="Q403" i="37"/>
  <c r="G403" i="37"/>
  <c r="P96" i="37"/>
  <c r="O96" i="37"/>
  <c r="N96" i="37"/>
  <c r="M96" i="37"/>
  <c r="L96" i="37"/>
  <c r="K96" i="37"/>
  <c r="J96" i="37"/>
  <c r="I96" i="37"/>
  <c r="H96" i="37"/>
  <c r="Q96" i="37" s="1"/>
  <c r="P350" i="37"/>
  <c r="O350" i="37"/>
  <c r="N350" i="37"/>
  <c r="M350" i="37"/>
  <c r="L350" i="37"/>
  <c r="K350" i="37"/>
  <c r="J350" i="37"/>
  <c r="I350" i="37"/>
  <c r="H350" i="37"/>
  <c r="G358" i="37"/>
  <c r="G366" i="37"/>
  <c r="Z219" i="37"/>
  <c r="Y219" i="37"/>
  <c r="X219" i="37"/>
  <c r="W219" i="37"/>
  <c r="V219" i="37"/>
  <c r="U219" i="37"/>
  <c r="T219" i="37"/>
  <c r="S219" i="37"/>
  <c r="Z218" i="37"/>
  <c r="Y218" i="37"/>
  <c r="X218" i="37"/>
  <c r="W218" i="37"/>
  <c r="V218" i="37"/>
  <c r="U218" i="37"/>
  <c r="T218" i="37"/>
  <c r="S218" i="37"/>
  <c r="G334" i="37"/>
  <c r="G282" i="37"/>
  <c r="P298" i="37"/>
  <c r="O298" i="37"/>
  <c r="N298" i="37"/>
  <c r="M298" i="37"/>
  <c r="L298" i="37"/>
  <c r="K298" i="37"/>
  <c r="J298" i="37"/>
  <c r="I298" i="37"/>
  <c r="H298" i="37"/>
  <c r="Z215" i="37"/>
  <c r="Y215" i="37"/>
  <c r="X215" i="37"/>
  <c r="W215" i="37"/>
  <c r="V215" i="37"/>
  <c r="U215" i="37"/>
  <c r="T215" i="37"/>
  <c r="S215" i="37"/>
  <c r="Z214" i="37"/>
  <c r="V214" i="37"/>
  <c r="S214" i="37"/>
  <c r="G290" i="37"/>
  <c r="Z213" i="37"/>
  <c r="Y213" i="37"/>
  <c r="X213" i="37"/>
  <c r="W213" i="37"/>
  <c r="V213" i="37"/>
  <c r="U213" i="37"/>
  <c r="T213" i="37"/>
  <c r="S213" i="37"/>
  <c r="G266" i="37"/>
  <c r="G250" i="37"/>
  <c r="Z211" i="37"/>
  <c r="Y211" i="37"/>
  <c r="X211" i="37"/>
  <c r="W211" i="37"/>
  <c r="V211" i="37"/>
  <c r="U211" i="37"/>
  <c r="T211" i="37"/>
  <c r="S211" i="37"/>
  <c r="G274" i="37"/>
  <c r="Z210" i="37"/>
  <c r="Y210" i="37"/>
  <c r="X210" i="37"/>
  <c r="W210" i="37"/>
  <c r="V210" i="37"/>
  <c r="U210" i="37"/>
  <c r="T210" i="37"/>
  <c r="S210" i="37"/>
  <c r="Z209" i="37"/>
  <c r="Y209" i="37"/>
  <c r="X209" i="37"/>
  <c r="W209" i="37"/>
  <c r="V209" i="37"/>
  <c r="U209" i="37"/>
  <c r="T209" i="37"/>
  <c r="S209" i="37"/>
  <c r="Z208" i="37"/>
  <c r="Y208" i="37"/>
  <c r="X208" i="37"/>
  <c r="W208" i="37"/>
  <c r="V208" i="37"/>
  <c r="U208" i="37"/>
  <c r="T208" i="37"/>
  <c r="S208" i="37"/>
  <c r="G226" i="37"/>
  <c r="T207" i="37"/>
  <c r="S207" i="37"/>
  <c r="Z207" i="37"/>
  <c r="Y207" i="37"/>
  <c r="X207" i="37"/>
  <c r="W207" i="37"/>
  <c r="V207" i="37"/>
  <c r="U207" i="37"/>
  <c r="G218" i="37"/>
  <c r="P104" i="37"/>
  <c r="O104" i="37"/>
  <c r="N104" i="37"/>
  <c r="M104" i="37"/>
  <c r="L104" i="37"/>
  <c r="K104" i="37"/>
  <c r="J104" i="37"/>
  <c r="I104" i="37"/>
  <c r="H104" i="37"/>
  <c r="G71" i="37"/>
  <c r="N178" i="37"/>
  <c r="M178" i="37"/>
  <c r="L178" i="37"/>
  <c r="K178" i="37"/>
  <c r="V178" i="37" s="1"/>
  <c r="J178" i="37"/>
  <c r="I178" i="37"/>
  <c r="H178" i="37"/>
  <c r="G160" i="37"/>
  <c r="G144" i="37"/>
  <c r="G136" i="37"/>
  <c r="G87" i="37"/>
  <c r="P120" i="37"/>
  <c r="O120" i="37"/>
  <c r="N120" i="37"/>
  <c r="M120" i="37"/>
  <c r="L120" i="37"/>
  <c r="K120" i="37"/>
  <c r="J120" i="37"/>
  <c r="I120" i="37"/>
  <c r="H120" i="37"/>
  <c r="P112" i="37"/>
  <c r="O112" i="37"/>
  <c r="N112" i="37"/>
  <c r="M112" i="37"/>
  <c r="L112" i="37"/>
  <c r="K112" i="37"/>
  <c r="J112" i="37"/>
  <c r="I112" i="37"/>
  <c r="H112" i="37"/>
  <c r="Q112" i="37" s="1"/>
  <c r="P128" i="37"/>
  <c r="O128" i="37"/>
  <c r="N128" i="37"/>
  <c r="M128" i="37"/>
  <c r="L128" i="37"/>
  <c r="K128" i="37"/>
  <c r="J128" i="37"/>
  <c r="I128" i="37"/>
  <c r="H128" i="37"/>
  <c r="Z189" i="37"/>
  <c r="Y189" i="37"/>
  <c r="X189" i="37"/>
  <c r="W189" i="37"/>
  <c r="V189" i="37"/>
  <c r="U189" i="37"/>
  <c r="T189" i="37"/>
  <c r="S189" i="37"/>
  <c r="G63" i="37"/>
  <c r="Z188" i="37"/>
  <c r="Y188" i="37"/>
  <c r="X188" i="37"/>
  <c r="W188" i="37"/>
  <c r="V188" i="37"/>
  <c r="U188" i="37"/>
  <c r="T188" i="37"/>
  <c r="S188" i="37"/>
  <c r="G47" i="37"/>
  <c r="Z187" i="37"/>
  <c r="Y187" i="37"/>
  <c r="X187" i="37"/>
  <c r="W187" i="37"/>
  <c r="V187" i="37"/>
  <c r="U187" i="37"/>
  <c r="T187" i="37"/>
  <c r="S187" i="37"/>
  <c r="Z186" i="37"/>
  <c r="Y186" i="37"/>
  <c r="X186" i="37"/>
  <c r="W186" i="37"/>
  <c r="V186" i="37"/>
  <c r="U186" i="37"/>
  <c r="T186" i="37"/>
  <c r="S186" i="37"/>
  <c r="G55" i="37"/>
  <c r="Z185" i="37"/>
  <c r="Y185" i="37"/>
  <c r="X185" i="37"/>
  <c r="W185" i="37"/>
  <c r="V185" i="37"/>
  <c r="U185" i="37"/>
  <c r="T185" i="37"/>
  <c r="S185" i="37"/>
  <c r="G30" i="37"/>
  <c r="G6" i="37"/>
  <c r="Z183" i="37"/>
  <c r="W183" i="37"/>
  <c r="V183" i="37"/>
  <c r="T183" i="37"/>
  <c r="S183" i="37"/>
  <c r="J373" i="37"/>
  <c r="G373" i="37"/>
  <c r="J410" i="37"/>
  <c r="G410" i="37"/>
  <c r="Z181" i="37"/>
  <c r="Y181" i="37"/>
  <c r="X181" i="37"/>
  <c r="W181" i="37"/>
  <c r="V181" i="37"/>
  <c r="U181" i="37"/>
  <c r="T181" i="37"/>
  <c r="S181" i="37"/>
  <c r="G395" i="37"/>
  <c r="J381" i="37"/>
  <c r="Q381" i="37" s="1"/>
  <c r="G381" i="37"/>
  <c r="Y179" i="37"/>
  <c r="W179" i="37"/>
  <c r="V179" i="37"/>
  <c r="T179" i="37"/>
  <c r="S179" i="37"/>
  <c r="X179" i="37"/>
  <c r="G357" i="37"/>
  <c r="G333" i="37"/>
  <c r="Z177" i="37"/>
  <c r="Y177" i="37"/>
  <c r="X177" i="37"/>
  <c r="W177" i="37"/>
  <c r="V177" i="37"/>
  <c r="U177" i="37"/>
  <c r="T177" i="37"/>
  <c r="S177" i="37"/>
  <c r="Z176" i="37"/>
  <c r="Y176" i="37"/>
  <c r="X176" i="37"/>
  <c r="W176" i="37"/>
  <c r="V176" i="37"/>
  <c r="U176" i="37"/>
  <c r="T176" i="37"/>
  <c r="S176" i="37"/>
  <c r="G62" i="37"/>
  <c r="Z175" i="37"/>
  <c r="Y175" i="37"/>
  <c r="X175" i="37"/>
  <c r="W175" i="37"/>
  <c r="V175" i="37"/>
  <c r="U175" i="37"/>
  <c r="T175" i="37"/>
  <c r="S175" i="37"/>
  <c r="Q445" i="37"/>
  <c r="G445" i="37"/>
  <c r="Q426" i="37"/>
  <c r="G426" i="37"/>
  <c r="P418" i="37"/>
  <c r="O418" i="37"/>
  <c r="N418" i="37"/>
  <c r="M418" i="37"/>
  <c r="L418" i="37"/>
  <c r="K418" i="37"/>
  <c r="J418" i="37"/>
  <c r="I418" i="37"/>
  <c r="H418" i="37"/>
  <c r="G418" i="37" s="1"/>
  <c r="G387" i="37"/>
  <c r="Q402" i="37"/>
  <c r="G402" i="37"/>
  <c r="G95" i="37"/>
  <c r="G349" i="37"/>
  <c r="G365" i="37"/>
  <c r="Z164" i="37"/>
  <c r="V164" i="37"/>
  <c r="U164" i="37"/>
  <c r="S164" i="37"/>
  <c r="Z163" i="37"/>
  <c r="Y163" i="37"/>
  <c r="X163" i="37"/>
  <c r="W163" i="37"/>
  <c r="V163" i="37"/>
  <c r="U163" i="37"/>
  <c r="T163" i="37"/>
  <c r="S163" i="37"/>
  <c r="G281" i="37"/>
  <c r="Z161" i="37"/>
  <c r="Y161" i="37"/>
  <c r="X161" i="37"/>
  <c r="W161" i="37"/>
  <c r="V161" i="37"/>
  <c r="U161" i="37"/>
  <c r="T161" i="37"/>
  <c r="S161" i="37"/>
  <c r="G297" i="37"/>
  <c r="Z160" i="37"/>
  <c r="Y160" i="37"/>
  <c r="X160" i="37"/>
  <c r="W160" i="37"/>
  <c r="V160" i="37"/>
  <c r="U160" i="37"/>
  <c r="T160" i="37"/>
  <c r="S160" i="37"/>
  <c r="Z159" i="37"/>
  <c r="Y159" i="37"/>
  <c r="X159" i="37"/>
  <c r="W159" i="37"/>
  <c r="V159" i="37"/>
  <c r="U159" i="37"/>
  <c r="T159" i="37"/>
  <c r="S159" i="37"/>
  <c r="G289" i="37"/>
  <c r="Z158" i="37"/>
  <c r="Y158" i="37"/>
  <c r="X158" i="37"/>
  <c r="W158" i="37"/>
  <c r="V158" i="37"/>
  <c r="U158" i="37"/>
  <c r="T158" i="37"/>
  <c r="S158" i="37"/>
  <c r="G265" i="37"/>
  <c r="Z157" i="37"/>
  <c r="Y157" i="37"/>
  <c r="X157" i="37"/>
  <c r="W157" i="37"/>
  <c r="V157" i="37"/>
  <c r="U157" i="37"/>
  <c r="T157" i="37"/>
  <c r="S157" i="37"/>
  <c r="G249" i="37"/>
  <c r="G273" i="37"/>
  <c r="G225" i="37"/>
  <c r="G233" i="37"/>
  <c r="P217" i="37"/>
  <c r="O217" i="37"/>
  <c r="N217" i="37"/>
  <c r="M217" i="37"/>
  <c r="L217" i="37"/>
  <c r="K217" i="37"/>
  <c r="J217" i="37"/>
  <c r="I217" i="37"/>
  <c r="H217" i="37"/>
  <c r="G103" i="37"/>
  <c r="G70" i="37"/>
  <c r="G159" i="37"/>
  <c r="G143" i="37"/>
  <c r="P135" i="37"/>
  <c r="O135" i="37"/>
  <c r="N135" i="37"/>
  <c r="M135" i="37"/>
  <c r="L135" i="37"/>
  <c r="K135" i="37"/>
  <c r="J135" i="37"/>
  <c r="I135" i="37"/>
  <c r="H135" i="37"/>
  <c r="Q135" i="37" s="1"/>
  <c r="Z139" i="37"/>
  <c r="Y139" i="37"/>
  <c r="X139" i="37"/>
  <c r="W139" i="37"/>
  <c r="V139" i="37"/>
  <c r="U139" i="37"/>
  <c r="T139" i="37"/>
  <c r="S139" i="37"/>
  <c r="G86" i="37"/>
  <c r="G119" i="37"/>
  <c r="Z137" i="37"/>
  <c r="Y137" i="37"/>
  <c r="X137" i="37"/>
  <c r="W137" i="37"/>
  <c r="V137" i="37"/>
  <c r="U137" i="37"/>
  <c r="T137" i="37"/>
  <c r="S137" i="37"/>
  <c r="G111" i="37"/>
  <c r="Z136" i="37"/>
  <c r="Y136" i="37"/>
  <c r="X136" i="37"/>
  <c r="W136" i="37"/>
  <c r="V136" i="37"/>
  <c r="U136" i="37"/>
  <c r="T136" i="37"/>
  <c r="S136" i="37"/>
  <c r="G127" i="37"/>
  <c r="G46" i="37"/>
  <c r="Z134" i="37"/>
  <c r="Y134" i="37"/>
  <c r="X134" i="37"/>
  <c r="W134" i="37"/>
  <c r="V134" i="37"/>
  <c r="U134" i="37"/>
  <c r="T134" i="37"/>
  <c r="S134" i="37"/>
  <c r="G54" i="37"/>
  <c r="G29" i="37"/>
  <c r="G5" i="37"/>
  <c r="J372" i="37"/>
  <c r="Q372" i="37" s="1"/>
  <c r="G372" i="37"/>
  <c r="J409" i="37"/>
  <c r="Q409" i="37" s="1"/>
  <c r="G409" i="37"/>
  <c r="G394" i="37"/>
  <c r="N380" i="37"/>
  <c r="M380" i="37"/>
  <c r="L380" i="37"/>
  <c r="K380" i="37"/>
  <c r="J380" i="37"/>
  <c r="I380" i="37"/>
  <c r="H380" i="37"/>
  <c r="Q380" i="37" s="1"/>
  <c r="G356" i="37"/>
  <c r="G332" i="37"/>
  <c r="G61" i="37"/>
  <c r="Q444" i="37"/>
  <c r="G444" i="37"/>
  <c r="Q425" i="37"/>
  <c r="G425" i="37"/>
  <c r="P417" i="37"/>
  <c r="O417" i="37"/>
  <c r="N417" i="37"/>
  <c r="M417" i="37"/>
  <c r="L417" i="37"/>
  <c r="K417" i="37"/>
  <c r="J417" i="37"/>
  <c r="I417" i="37"/>
  <c r="H417" i="37"/>
  <c r="G417" i="37" s="1"/>
  <c r="G386" i="37"/>
  <c r="Q401" i="37"/>
  <c r="G401" i="37"/>
  <c r="G94" i="37"/>
  <c r="P348" i="37"/>
  <c r="O348" i="37"/>
  <c r="N348" i="37"/>
  <c r="M348" i="37"/>
  <c r="L348" i="37"/>
  <c r="K348" i="37"/>
  <c r="J348" i="37"/>
  <c r="I348" i="37"/>
  <c r="H348" i="37"/>
  <c r="G364" i="37"/>
  <c r="G280" i="37"/>
  <c r="G296" i="37"/>
  <c r="P288" i="37"/>
  <c r="O288" i="37"/>
  <c r="N288" i="37"/>
  <c r="M288" i="37"/>
  <c r="L288" i="37"/>
  <c r="K288" i="37"/>
  <c r="J288" i="37"/>
  <c r="I288" i="37"/>
  <c r="H288" i="37"/>
  <c r="P264" i="37"/>
  <c r="O264" i="37"/>
  <c r="N264" i="37"/>
  <c r="M264" i="37"/>
  <c r="L264" i="37"/>
  <c r="K264" i="37"/>
  <c r="J264" i="37"/>
  <c r="I264" i="37"/>
  <c r="H264" i="37"/>
  <c r="G248" i="37"/>
  <c r="G272" i="37"/>
  <c r="G224" i="37"/>
  <c r="G232" i="37"/>
  <c r="P216" i="37"/>
  <c r="O216" i="37"/>
  <c r="N216" i="37"/>
  <c r="M216" i="37"/>
  <c r="L216" i="37"/>
  <c r="K216" i="37"/>
  <c r="J216" i="37"/>
  <c r="I216" i="37"/>
  <c r="H216" i="37"/>
  <c r="Q216" i="37" s="1"/>
  <c r="G102" i="37"/>
  <c r="G69" i="37"/>
  <c r="O192" i="37"/>
  <c r="N192" i="37"/>
  <c r="M192" i="37"/>
  <c r="L192" i="37"/>
  <c r="K192" i="37"/>
  <c r="J192" i="37"/>
  <c r="I192" i="37"/>
  <c r="H192" i="37"/>
  <c r="Q192" i="37" s="1"/>
  <c r="P184" i="37"/>
  <c r="O184" i="37"/>
  <c r="N184" i="37"/>
  <c r="M184" i="37"/>
  <c r="L184" i="37"/>
  <c r="K184" i="37"/>
  <c r="J184" i="37"/>
  <c r="I184" i="37"/>
  <c r="H184" i="37"/>
  <c r="P150" i="37"/>
  <c r="G158" i="37"/>
  <c r="G142" i="37"/>
  <c r="G134" i="37"/>
  <c r="G85" i="37"/>
  <c r="P118" i="37"/>
  <c r="O118" i="37"/>
  <c r="N118" i="37"/>
  <c r="M118" i="37"/>
  <c r="L118" i="37"/>
  <c r="K118" i="37"/>
  <c r="J118" i="37"/>
  <c r="I118" i="37"/>
  <c r="H118" i="37"/>
  <c r="Q118" i="37" s="1"/>
  <c r="P110" i="37"/>
  <c r="O110" i="37"/>
  <c r="N110" i="37"/>
  <c r="M110" i="37"/>
  <c r="L110" i="37"/>
  <c r="K110" i="37"/>
  <c r="J110" i="37"/>
  <c r="I110" i="37"/>
  <c r="H110" i="37"/>
  <c r="G126" i="37"/>
  <c r="P45" i="37"/>
  <c r="O45" i="37"/>
  <c r="N45" i="37"/>
  <c r="M45" i="37"/>
  <c r="L45" i="37"/>
  <c r="K45" i="37"/>
  <c r="J45" i="37"/>
  <c r="I45" i="37"/>
  <c r="H45" i="37"/>
  <c r="G53" i="37"/>
  <c r="G28" i="37"/>
  <c r="P4" i="37"/>
  <c r="O4" i="37"/>
  <c r="N4" i="37"/>
  <c r="M4" i="37"/>
  <c r="L4" i="37"/>
  <c r="K4" i="37"/>
  <c r="J4" i="37"/>
  <c r="I4" i="37"/>
  <c r="H4" i="37"/>
  <c r="Q4" i="37" s="1"/>
  <c r="G443" i="37"/>
  <c r="J371" i="37"/>
  <c r="Q371" i="37" s="1"/>
  <c r="G371" i="37"/>
  <c r="Q424" i="37"/>
  <c r="G424" i="37"/>
  <c r="Q416" i="37"/>
  <c r="G416" i="37"/>
  <c r="J408" i="37"/>
  <c r="Q408" i="37" s="1"/>
  <c r="G408" i="37"/>
  <c r="G385" i="37"/>
  <c r="G393" i="37"/>
  <c r="J379" i="37"/>
  <c r="Q379" i="37" s="1"/>
  <c r="G379" i="37"/>
  <c r="P400" i="37"/>
  <c r="O400" i="37"/>
  <c r="N400" i="37"/>
  <c r="M400" i="37"/>
  <c r="L400" i="37"/>
  <c r="K400" i="37"/>
  <c r="J400" i="37"/>
  <c r="I400" i="37"/>
  <c r="H400" i="37"/>
  <c r="Q400" i="37" s="1"/>
  <c r="P93" i="37"/>
  <c r="O93" i="37"/>
  <c r="N93" i="37"/>
  <c r="M93" i="37"/>
  <c r="L93" i="37"/>
  <c r="K93" i="37"/>
  <c r="J93" i="37"/>
  <c r="I93" i="37"/>
  <c r="H93" i="37"/>
  <c r="Q93" i="37" s="1"/>
  <c r="P347" i="37"/>
  <c r="O347" i="37"/>
  <c r="N347" i="37"/>
  <c r="M347" i="37"/>
  <c r="L347" i="37"/>
  <c r="K347" i="37"/>
  <c r="J347" i="37"/>
  <c r="I347" i="37"/>
  <c r="H347" i="37"/>
  <c r="G355" i="37"/>
  <c r="G363" i="37"/>
  <c r="G331" i="37"/>
  <c r="G279" i="37"/>
  <c r="P295" i="37"/>
  <c r="O295" i="37"/>
  <c r="N295" i="37"/>
  <c r="M295" i="37"/>
  <c r="L295" i="37"/>
  <c r="K295" i="37"/>
  <c r="J295" i="37"/>
  <c r="I295" i="37"/>
  <c r="H295" i="37"/>
  <c r="Q295" i="37" s="1"/>
  <c r="G287" i="37"/>
  <c r="G247" i="37"/>
  <c r="G271" i="37"/>
  <c r="G223" i="37"/>
  <c r="G215" i="37"/>
  <c r="G101" i="37"/>
  <c r="G68" i="37"/>
  <c r="G157" i="37"/>
  <c r="G141" i="37"/>
  <c r="G133" i="37"/>
  <c r="G84" i="37"/>
  <c r="P117" i="37"/>
  <c r="O117" i="37"/>
  <c r="N117" i="37"/>
  <c r="M117" i="37"/>
  <c r="L117" i="37"/>
  <c r="K117" i="37"/>
  <c r="J117" i="37"/>
  <c r="I117" i="37"/>
  <c r="H117" i="37"/>
  <c r="P109" i="37"/>
  <c r="O109" i="37"/>
  <c r="N109" i="37"/>
  <c r="M109" i="37"/>
  <c r="L109" i="37"/>
  <c r="K109" i="37"/>
  <c r="J109" i="37"/>
  <c r="I109" i="37"/>
  <c r="H109" i="37"/>
  <c r="Q109" i="37" s="1"/>
  <c r="G125" i="37"/>
  <c r="G60" i="37"/>
  <c r="G52" i="37"/>
  <c r="G27" i="37"/>
  <c r="G3" i="37"/>
  <c r="D91" i="36"/>
  <c r="C91" i="36"/>
  <c r="C90" i="36"/>
  <c r="C89" i="36"/>
  <c r="C88" i="36"/>
  <c r="D87" i="36"/>
  <c r="C87" i="36"/>
  <c r="D86" i="36"/>
  <c r="C86" i="36"/>
  <c r="D85" i="36"/>
  <c r="D124" i="36" s="1"/>
  <c r="C85" i="36"/>
  <c r="C84" i="36"/>
  <c r="C83" i="36"/>
  <c r="D82" i="36"/>
  <c r="C82" i="36"/>
  <c r="C81" i="36"/>
  <c r="C80" i="36"/>
  <c r="C79" i="36"/>
  <c r="C78" i="36"/>
  <c r="D77" i="36"/>
  <c r="C77" i="36"/>
  <c r="B77" i="36"/>
  <c r="D76" i="36"/>
  <c r="C76" i="36"/>
  <c r="D75" i="36"/>
  <c r="C75" i="36"/>
  <c r="D74" i="36"/>
  <c r="C74" i="36"/>
  <c r="D73" i="36"/>
  <c r="C73" i="36"/>
  <c r="D72" i="36"/>
  <c r="D123" i="36" s="1"/>
  <c r="C72" i="36"/>
  <c r="D71" i="36"/>
  <c r="C71" i="36"/>
  <c r="D70" i="36"/>
  <c r="C70" i="36"/>
  <c r="B70" i="36"/>
  <c r="B66" i="36"/>
  <c r="D49" i="36"/>
  <c r="H111" i="36" s="1"/>
  <c r="D47" i="36"/>
  <c r="F111" i="36" s="1"/>
  <c r="D46" i="36"/>
  <c r="E111" i="36" s="1"/>
  <c r="D44" i="36"/>
  <c r="B44" i="36"/>
  <c r="B42" i="36"/>
  <c r="B41" i="36"/>
  <c r="D39" i="36"/>
  <c r="C39" i="36"/>
  <c r="T39" i="36" s="1"/>
  <c r="D38" i="36"/>
  <c r="C38" i="36"/>
  <c r="T38" i="36" s="1"/>
  <c r="D37" i="36"/>
  <c r="C37" i="36"/>
  <c r="T37" i="36" s="1"/>
  <c r="D36" i="36"/>
  <c r="C36" i="36"/>
  <c r="T36" i="36" s="1"/>
  <c r="D35" i="36"/>
  <c r="AL165" i="3" s="1"/>
  <c r="C35" i="36"/>
  <c r="T35" i="36" s="1"/>
  <c r="D34" i="36"/>
  <c r="C34" i="36"/>
  <c r="T34" i="36" s="1"/>
  <c r="D33" i="36"/>
  <c r="C72" i="58" s="1"/>
  <c r="CC61" i="58" s="1"/>
  <c r="C33" i="36"/>
  <c r="T33" i="36" s="1"/>
  <c r="C32" i="36"/>
  <c r="T32" i="36" s="1"/>
  <c r="C31" i="36"/>
  <c r="T31" i="36" s="1"/>
  <c r="D30" i="36"/>
  <c r="C71" i="58" s="1"/>
  <c r="CC60" i="58" s="1"/>
  <c r="C30" i="36"/>
  <c r="T30" i="36" s="1"/>
  <c r="C29" i="36"/>
  <c r="T29" i="36" s="1"/>
  <c r="C28" i="36"/>
  <c r="T28" i="36" s="1"/>
  <c r="C27" i="36"/>
  <c r="T27" i="36" s="1"/>
  <c r="C26" i="36"/>
  <c r="T26" i="36" s="1"/>
  <c r="D25" i="36"/>
  <c r="C70" i="58" s="1"/>
  <c r="CC59" i="58" s="1"/>
  <c r="C25" i="36"/>
  <c r="T25" i="36" s="1"/>
  <c r="B25" i="36"/>
  <c r="D24" i="36"/>
  <c r="C69" i="58" s="1"/>
  <c r="CC58" i="58" s="1"/>
  <c r="C24" i="36"/>
  <c r="T24" i="36" s="1"/>
  <c r="D23" i="36"/>
  <c r="C23" i="36"/>
  <c r="T23" i="36" s="1"/>
  <c r="D22" i="36"/>
  <c r="C22" i="36"/>
  <c r="T22" i="36" s="1"/>
  <c r="D21" i="36"/>
  <c r="C21" i="36"/>
  <c r="T21" i="36" s="1"/>
  <c r="D20" i="36"/>
  <c r="C20" i="36"/>
  <c r="T20" i="36" s="1"/>
  <c r="D19" i="36"/>
  <c r="C67" i="58" s="1"/>
  <c r="CC56" i="58" s="1"/>
  <c r="C19" i="36"/>
  <c r="T19" i="36" s="1"/>
  <c r="D18" i="36"/>
  <c r="C66" i="58" s="1"/>
  <c r="CC55" i="58" s="1"/>
  <c r="C18" i="36"/>
  <c r="T18" i="36" s="1"/>
  <c r="B18" i="36"/>
  <c r="J17" i="36"/>
  <c r="J45" i="36" s="1"/>
  <c r="J147" i="36" s="1"/>
  <c r="I17" i="36"/>
  <c r="I45" i="36" s="1"/>
  <c r="I147" i="36" s="1"/>
  <c r="H17" i="36"/>
  <c r="H45" i="36" s="1"/>
  <c r="H147" i="36" s="1"/>
  <c r="G17" i="36"/>
  <c r="G45" i="36" s="1"/>
  <c r="G147" i="36" s="1"/>
  <c r="F17" i="36"/>
  <c r="F45" i="36" s="1"/>
  <c r="F147" i="36" s="1"/>
  <c r="E17" i="36"/>
  <c r="E45" i="36" s="1"/>
  <c r="E147" i="36" s="1"/>
  <c r="I16" i="36"/>
  <c r="I44" i="36" s="1"/>
  <c r="I146" i="36" s="1"/>
  <c r="F16" i="36"/>
  <c r="E16" i="36"/>
  <c r="E44" i="36" s="1"/>
  <c r="E146" i="36" s="1"/>
  <c r="B14" i="36"/>
  <c r="B13" i="36"/>
  <c r="B12" i="36"/>
  <c r="B8" i="36"/>
  <c r="V4" i="36"/>
  <c r="P4" i="36"/>
  <c r="O4" i="36"/>
  <c r="N4" i="36"/>
  <c r="M4" i="36"/>
  <c r="L4" i="36"/>
  <c r="K4" i="36"/>
  <c r="J4" i="36"/>
  <c r="I4" i="36"/>
  <c r="H4" i="36"/>
  <c r="G4" i="36"/>
  <c r="F4" i="36"/>
  <c r="E4" i="36"/>
  <c r="C4" i="36"/>
  <c r="B4" i="36"/>
  <c r="V1" i="36"/>
  <c r="B1" i="36"/>
  <c r="C53" i="27"/>
  <c r="C15" i="27" s="1"/>
  <c r="C27" i="27" s="1"/>
  <c r="C52" i="5"/>
  <c r="G10" i="41"/>
  <c r="U9" i="41"/>
  <c r="G9" i="41"/>
  <c r="AA8" i="41"/>
  <c r="U7" i="41"/>
  <c r="I7" i="41"/>
  <c r="C7" i="41"/>
  <c r="U5" i="41"/>
  <c r="D7" i="41" s="1"/>
  <c r="B4" i="41"/>
  <c r="B1" i="41"/>
  <c r="P71" i="18"/>
  <c r="P70" i="18"/>
  <c r="P69" i="18"/>
  <c r="P68" i="18"/>
  <c r="P67" i="18"/>
  <c r="P66" i="18"/>
  <c r="P65" i="18"/>
  <c r="P64" i="18"/>
  <c r="P63" i="18"/>
  <c r="P62" i="18"/>
  <c r="P61" i="18"/>
  <c r="P60" i="18"/>
  <c r="P59" i="18"/>
  <c r="P58" i="18"/>
  <c r="P57" i="18"/>
  <c r="P56" i="18"/>
  <c r="P55" i="18"/>
  <c r="P54" i="18"/>
  <c r="P53" i="18"/>
  <c r="P52" i="18"/>
  <c r="P51" i="18"/>
  <c r="P50" i="18"/>
  <c r="P49" i="18"/>
  <c r="P48" i="18"/>
  <c r="P47" i="18"/>
  <c r="P46" i="18"/>
  <c r="P44" i="18"/>
  <c r="P43" i="18"/>
  <c r="P42" i="18"/>
  <c r="P40" i="18"/>
  <c r="P39" i="18"/>
  <c r="P38" i="18"/>
  <c r="P36" i="18"/>
  <c r="P34" i="18"/>
  <c r="P33" i="18"/>
  <c r="P32" i="18"/>
  <c r="P31" i="18"/>
  <c r="P30" i="18"/>
  <c r="P29" i="18"/>
  <c r="P28" i="18"/>
  <c r="P27" i="18"/>
  <c r="P26" i="18"/>
  <c r="P25" i="18"/>
  <c r="P24" i="18"/>
  <c r="P23" i="18"/>
  <c r="P22" i="18"/>
  <c r="P21" i="18"/>
  <c r="P20" i="18"/>
  <c r="P19" i="18"/>
  <c r="P18" i="18"/>
  <c r="P17" i="18"/>
  <c r="P16" i="18"/>
  <c r="P15" i="18"/>
  <c r="P14" i="18"/>
  <c r="P13" i="18"/>
  <c r="P12" i="18"/>
  <c r="P11" i="18"/>
  <c r="P10" i="18"/>
  <c r="P9" i="18"/>
  <c r="P8" i="18"/>
  <c r="P7" i="18"/>
  <c r="P6" i="18"/>
  <c r="P5" i="18"/>
  <c r="N33" i="35"/>
  <c r="B33" i="35"/>
  <c r="B31" i="35"/>
  <c r="B13" i="35"/>
  <c r="T11" i="35"/>
  <c r="AF10" i="35"/>
  <c r="M10" i="35"/>
  <c r="AE10" i="35" s="1"/>
  <c r="L10" i="35"/>
  <c r="AD10" i="35" s="1"/>
  <c r="I10" i="35"/>
  <c r="AA10" i="35" s="1"/>
  <c r="H10" i="35"/>
  <c r="Z10" i="35" s="1"/>
  <c r="G10" i="35"/>
  <c r="Y10" i="35" s="1"/>
  <c r="F10" i="35"/>
  <c r="X10" i="35" s="1"/>
  <c r="E10" i="35"/>
  <c r="W10" i="35" s="1"/>
  <c r="D10" i="35"/>
  <c r="V10" i="35" s="1"/>
  <c r="B9" i="35"/>
  <c r="B8" i="35"/>
  <c r="W1" i="35"/>
  <c r="B4" i="59" s="1"/>
  <c r="B1" i="35"/>
  <c r="T33" i="9"/>
  <c r="E159" i="3" s="1"/>
  <c r="L30" i="9"/>
  <c r="I30" i="9"/>
  <c r="D30" i="9"/>
  <c r="B30" i="9"/>
  <c r="I29" i="9"/>
  <c r="B29" i="9"/>
  <c r="I28" i="9"/>
  <c r="B28" i="9"/>
  <c r="C39" i="9" s="1"/>
  <c r="I27" i="9"/>
  <c r="B27" i="9"/>
  <c r="I26" i="9"/>
  <c r="B26" i="9"/>
  <c r="I25" i="9"/>
  <c r="H95" i="36" s="1"/>
  <c r="B25" i="9"/>
  <c r="B23" i="9"/>
  <c r="L21" i="9"/>
  <c r="I21" i="9"/>
  <c r="D21" i="9"/>
  <c r="B21" i="9"/>
  <c r="I20" i="9"/>
  <c r="B20" i="9"/>
  <c r="I19" i="9"/>
  <c r="B19" i="9"/>
  <c r="I18" i="9"/>
  <c r="B18" i="9"/>
  <c r="I17" i="9"/>
  <c r="B17" i="9"/>
  <c r="I16" i="9"/>
  <c r="F95" i="36" s="1"/>
  <c r="B16" i="9"/>
  <c r="B14" i="9"/>
  <c r="C8" i="9"/>
  <c r="B8" i="9"/>
  <c r="B6" i="9"/>
  <c r="I4" i="9"/>
  <c r="H4" i="9" s="1"/>
  <c r="D4" i="9"/>
  <c r="C4" i="9"/>
  <c r="C56" i="20" s="1"/>
  <c r="D59" i="20" s="1"/>
  <c r="D60" i="20" s="1"/>
  <c r="D64" i="20" s="1"/>
  <c r="B4" i="9"/>
  <c r="B1" i="9"/>
  <c r="C38" i="39"/>
  <c r="C37" i="39"/>
  <c r="AA14" i="39"/>
  <c r="C14" i="39"/>
  <c r="B12" i="39"/>
  <c r="D10" i="39"/>
  <c r="B10" i="39"/>
  <c r="T8" i="39"/>
  <c r="B8" i="39"/>
  <c r="T6" i="39"/>
  <c r="E126" i="3" s="1"/>
  <c r="D6" i="39"/>
  <c r="B6" i="39"/>
  <c r="D4" i="39"/>
  <c r="B4" i="39"/>
  <c r="B2" i="39"/>
  <c r="B46" i="17"/>
  <c r="B45" i="17"/>
  <c r="B42" i="17"/>
  <c r="B39" i="17"/>
  <c r="B38" i="17"/>
  <c r="B32" i="17"/>
  <c r="B31" i="17"/>
  <c r="B30" i="17"/>
  <c r="B22" i="17"/>
  <c r="C14" i="58" s="1"/>
  <c r="B18" i="17"/>
  <c r="B17" i="17"/>
  <c r="B16" i="17"/>
  <c r="Q42" i="3" s="1"/>
  <c r="B15" i="17"/>
  <c r="P42" i="3" s="1"/>
  <c r="H5" i="17"/>
  <c r="G5" i="17"/>
  <c r="E5" i="17"/>
  <c r="D5" i="17"/>
  <c r="C5" i="17"/>
  <c r="B5" i="59" l="1"/>
  <c r="B163" i="3"/>
  <c r="R42" i="3"/>
  <c r="B164" i="3"/>
  <c r="S42" i="3"/>
  <c r="BP6" i="58"/>
  <c r="BO6" i="58"/>
  <c r="BQ6" i="58"/>
  <c r="E40" i="58" s="1"/>
  <c r="E13" i="35"/>
  <c r="W13" i="35" s="1"/>
  <c r="D13" i="35"/>
  <c r="V13" i="35" s="1"/>
  <c r="E12" i="35"/>
  <c r="W12" i="35" s="1"/>
  <c r="D12" i="35"/>
  <c r="V12" i="35" s="1"/>
  <c r="D11" i="35"/>
  <c r="E11" i="35"/>
  <c r="E34" i="36"/>
  <c r="E18" i="36"/>
  <c r="Y183" i="37"/>
  <c r="Q373" i="37"/>
  <c r="G120" i="37"/>
  <c r="Q120" i="37"/>
  <c r="G348" i="37"/>
  <c r="Q348" i="37"/>
  <c r="G299" i="37"/>
  <c r="Q299" i="37"/>
  <c r="G182" i="37"/>
  <c r="Q182" i="37"/>
  <c r="G140" i="37"/>
  <c r="Q140" i="37"/>
  <c r="G190" i="37"/>
  <c r="Q190" i="37"/>
  <c r="G108" i="37"/>
  <c r="Q108" i="37"/>
  <c r="G300" i="37"/>
  <c r="Q300" i="37"/>
  <c r="G288" i="37"/>
  <c r="Q288" i="37"/>
  <c r="G217" i="37"/>
  <c r="Q217" i="37"/>
  <c r="G146" i="37"/>
  <c r="Q146" i="37"/>
  <c r="G114" i="37"/>
  <c r="Q114" i="37"/>
  <c r="G264" i="37"/>
  <c r="Q264" i="37"/>
  <c r="G128" i="37"/>
  <c r="Q128" i="37"/>
  <c r="G220" i="37"/>
  <c r="Q220" i="37"/>
  <c r="G354" i="37"/>
  <c r="Q354" i="37"/>
  <c r="G104" i="37"/>
  <c r="Q104" i="37"/>
  <c r="G350" i="37"/>
  <c r="Q350" i="37"/>
  <c r="G344" i="37"/>
  <c r="Q344" i="37" s="1"/>
  <c r="G59" i="37"/>
  <c r="Q59" i="37"/>
  <c r="G124" i="37"/>
  <c r="Q124" i="37"/>
  <c r="G75" i="37"/>
  <c r="Q75" i="37"/>
  <c r="G230" i="37"/>
  <c r="Q230" i="37"/>
  <c r="G270" i="37"/>
  <c r="Q270" i="37"/>
  <c r="G346" i="37"/>
  <c r="Q346" i="37" s="1"/>
  <c r="G162" i="37"/>
  <c r="Q162" i="37"/>
  <c r="G45" i="37"/>
  <c r="Q45" i="37"/>
  <c r="G212" i="37"/>
  <c r="Q212" i="37"/>
  <c r="G184" i="37"/>
  <c r="Q184" i="37"/>
  <c r="G138" i="37"/>
  <c r="Q138" i="37"/>
  <c r="G392" i="37"/>
  <c r="Q392" i="37"/>
  <c r="G34" i="37"/>
  <c r="Q34" i="37"/>
  <c r="G116" i="37"/>
  <c r="Q116" i="37"/>
  <c r="G254" i="37"/>
  <c r="Q254" i="37"/>
  <c r="G286" i="37"/>
  <c r="Q286" i="37"/>
  <c r="G98" i="37"/>
  <c r="Q98" i="37"/>
  <c r="G236" i="37"/>
  <c r="Z178" i="37"/>
  <c r="Q178" i="37"/>
  <c r="G122" i="37"/>
  <c r="Q122" i="37"/>
  <c r="G117" i="37"/>
  <c r="Q117" i="37"/>
  <c r="G347" i="37"/>
  <c r="Q347" i="37"/>
  <c r="G336" i="37"/>
  <c r="Q336" i="37"/>
  <c r="G110" i="37"/>
  <c r="Q110" i="37"/>
  <c r="G298" i="37"/>
  <c r="Q298" i="37"/>
  <c r="G49" i="37"/>
  <c r="Q49" i="37"/>
  <c r="G148" i="37"/>
  <c r="Q148" i="37"/>
  <c r="G278" i="37"/>
  <c r="Q278" i="37"/>
  <c r="G302" i="37"/>
  <c r="Q302" i="37"/>
  <c r="X135" i="37"/>
  <c r="T162" i="37"/>
  <c r="T164" i="37"/>
  <c r="O215" i="1"/>
  <c r="P215" i="1"/>
  <c r="Q215" i="1"/>
  <c r="R215" i="1"/>
  <c r="G215" i="1"/>
  <c r="S215" i="1"/>
  <c r="L215" i="1"/>
  <c r="M215" i="1"/>
  <c r="N215" i="1"/>
  <c r="H215" i="1"/>
  <c r="T215" i="1"/>
  <c r="I215" i="1"/>
  <c r="U215" i="1"/>
  <c r="J215" i="1"/>
  <c r="V215" i="1"/>
  <c r="K215" i="1"/>
  <c r="G204" i="1"/>
  <c r="S204" i="1"/>
  <c r="H204" i="1"/>
  <c r="T204" i="1"/>
  <c r="I204" i="1"/>
  <c r="U204" i="1"/>
  <c r="R204" i="1"/>
  <c r="J204" i="1"/>
  <c r="V204" i="1"/>
  <c r="K204" i="1"/>
  <c r="L204" i="1"/>
  <c r="M204" i="1"/>
  <c r="P204" i="1"/>
  <c r="Q204" i="1"/>
  <c r="N204" i="1"/>
  <c r="O204" i="1"/>
  <c r="O212" i="1"/>
  <c r="P212" i="1"/>
  <c r="Q212" i="1"/>
  <c r="L212" i="1"/>
  <c r="R212" i="1"/>
  <c r="G212" i="1"/>
  <c r="S212" i="1"/>
  <c r="N212" i="1"/>
  <c r="H212" i="1"/>
  <c r="T212" i="1"/>
  <c r="I212" i="1"/>
  <c r="U212" i="1"/>
  <c r="M212" i="1"/>
  <c r="J212" i="1"/>
  <c r="V212" i="1"/>
  <c r="K212" i="1"/>
  <c r="K216" i="1"/>
  <c r="L216" i="1"/>
  <c r="M216" i="1"/>
  <c r="H216" i="1"/>
  <c r="U216" i="1"/>
  <c r="J216" i="1"/>
  <c r="N216" i="1"/>
  <c r="T216" i="1"/>
  <c r="O216" i="1"/>
  <c r="P216" i="1"/>
  <c r="I216" i="1"/>
  <c r="Q216" i="1"/>
  <c r="R216" i="1"/>
  <c r="G216" i="1"/>
  <c r="S216" i="1"/>
  <c r="V216" i="1"/>
  <c r="K206" i="1"/>
  <c r="L206" i="1"/>
  <c r="M206" i="1"/>
  <c r="I206" i="1"/>
  <c r="N206" i="1"/>
  <c r="H206" i="1"/>
  <c r="J206" i="1"/>
  <c r="O206" i="1"/>
  <c r="T206" i="1"/>
  <c r="P206" i="1"/>
  <c r="Q206" i="1"/>
  <c r="R206" i="1"/>
  <c r="G206" i="1"/>
  <c r="S206" i="1"/>
  <c r="U206" i="1"/>
  <c r="V206" i="1"/>
  <c r="K213" i="1"/>
  <c r="L213" i="1"/>
  <c r="M213" i="1"/>
  <c r="I213" i="1"/>
  <c r="N213" i="1"/>
  <c r="T213" i="1"/>
  <c r="V213" i="1"/>
  <c r="O213" i="1"/>
  <c r="P213" i="1"/>
  <c r="Q213" i="1"/>
  <c r="H213" i="1"/>
  <c r="R213" i="1"/>
  <c r="G213" i="1"/>
  <c r="S213" i="1"/>
  <c r="U213" i="1"/>
  <c r="J213" i="1"/>
  <c r="V202" i="1"/>
  <c r="J202" i="1"/>
  <c r="U202" i="1"/>
  <c r="I202" i="1"/>
  <c r="T202" i="1"/>
  <c r="H202" i="1"/>
  <c r="S202" i="1"/>
  <c r="G202" i="1"/>
  <c r="R202" i="1"/>
  <c r="K202" i="1"/>
  <c r="Q202" i="1"/>
  <c r="P202" i="1"/>
  <c r="O202" i="1"/>
  <c r="N202" i="1"/>
  <c r="M202" i="1"/>
  <c r="L202" i="1"/>
  <c r="K210" i="1"/>
  <c r="L210" i="1"/>
  <c r="M210" i="1"/>
  <c r="N210" i="1"/>
  <c r="H210" i="1"/>
  <c r="V210" i="1"/>
  <c r="O210" i="1"/>
  <c r="U210" i="1"/>
  <c r="P210" i="1"/>
  <c r="Q210" i="1"/>
  <c r="R210" i="1"/>
  <c r="G210" i="1"/>
  <c r="S210" i="1"/>
  <c r="T210" i="1"/>
  <c r="I210" i="1"/>
  <c r="J210" i="1"/>
  <c r="G214" i="1"/>
  <c r="S214" i="1"/>
  <c r="H214" i="1"/>
  <c r="T214" i="1"/>
  <c r="I214" i="1"/>
  <c r="U214" i="1"/>
  <c r="R214" i="1"/>
  <c r="J214" i="1"/>
  <c r="V214" i="1"/>
  <c r="Q214" i="1"/>
  <c r="K214" i="1"/>
  <c r="L214" i="1"/>
  <c r="M214" i="1"/>
  <c r="N214" i="1"/>
  <c r="O214" i="1"/>
  <c r="P214" i="1"/>
  <c r="E37" i="58"/>
  <c r="K203" i="1"/>
  <c r="L203" i="1"/>
  <c r="M203" i="1"/>
  <c r="J203" i="1"/>
  <c r="N203" i="1"/>
  <c r="H203" i="1"/>
  <c r="O203" i="1"/>
  <c r="I203" i="1"/>
  <c r="V203" i="1"/>
  <c r="P203" i="1"/>
  <c r="Q203" i="1"/>
  <c r="R203" i="1"/>
  <c r="G203" i="1"/>
  <c r="S203" i="1"/>
  <c r="T203" i="1"/>
  <c r="U203" i="1"/>
  <c r="G207" i="1"/>
  <c r="S207" i="1"/>
  <c r="H207" i="1"/>
  <c r="T207" i="1"/>
  <c r="I207" i="1"/>
  <c r="U207" i="1"/>
  <c r="R207" i="1"/>
  <c r="J207" i="1"/>
  <c r="V207" i="1"/>
  <c r="Q207" i="1"/>
  <c r="K207" i="1"/>
  <c r="L207" i="1"/>
  <c r="M207" i="1"/>
  <c r="N207" i="1"/>
  <c r="O207" i="1"/>
  <c r="P207" i="1"/>
  <c r="E43" i="58"/>
  <c r="O209" i="1"/>
  <c r="P209" i="1"/>
  <c r="Q209" i="1"/>
  <c r="M209" i="1"/>
  <c r="R209" i="1"/>
  <c r="G209" i="1"/>
  <c r="S209" i="1"/>
  <c r="N209" i="1"/>
  <c r="H209" i="1"/>
  <c r="T209" i="1"/>
  <c r="L209" i="1"/>
  <c r="I209" i="1"/>
  <c r="U209" i="1"/>
  <c r="J209" i="1"/>
  <c r="V209" i="1"/>
  <c r="K209" i="1"/>
  <c r="G211" i="1"/>
  <c r="S211" i="1"/>
  <c r="H211" i="1"/>
  <c r="T211" i="1"/>
  <c r="I211" i="1"/>
  <c r="U211" i="1"/>
  <c r="R211" i="1"/>
  <c r="J211" i="1"/>
  <c r="V211" i="1"/>
  <c r="Q211" i="1"/>
  <c r="K211" i="1"/>
  <c r="P211" i="1"/>
  <c r="L211" i="1"/>
  <c r="M211" i="1"/>
  <c r="N211" i="1"/>
  <c r="O211" i="1"/>
  <c r="D32" i="20"/>
  <c r="N208" i="1"/>
  <c r="K208" i="1"/>
  <c r="O208" i="1"/>
  <c r="P208" i="1"/>
  <c r="Q208" i="1"/>
  <c r="R208" i="1"/>
  <c r="G208" i="1"/>
  <c r="S208" i="1"/>
  <c r="H208" i="1"/>
  <c r="T208" i="1"/>
  <c r="I208" i="1"/>
  <c r="U208" i="1"/>
  <c r="J208" i="1"/>
  <c r="V208" i="1"/>
  <c r="L208" i="1"/>
  <c r="M208" i="1"/>
  <c r="N195" i="1"/>
  <c r="O195" i="1"/>
  <c r="P195" i="1"/>
  <c r="Q195" i="1"/>
  <c r="R195" i="1"/>
  <c r="S195" i="1"/>
  <c r="H195" i="1"/>
  <c r="T195" i="1"/>
  <c r="G195" i="1"/>
  <c r="I195" i="1"/>
  <c r="U195" i="1"/>
  <c r="V195" i="1"/>
  <c r="K195" i="1"/>
  <c r="L195" i="1"/>
  <c r="J195" i="1"/>
  <c r="M195" i="1"/>
  <c r="H198" i="1"/>
  <c r="T198" i="1"/>
  <c r="G198" i="1"/>
  <c r="Q198" i="1"/>
  <c r="I198" i="1"/>
  <c r="U198" i="1"/>
  <c r="J198" i="1"/>
  <c r="V198" i="1"/>
  <c r="K198" i="1"/>
  <c r="P198" i="1"/>
  <c r="L198" i="1"/>
  <c r="M198" i="1"/>
  <c r="N198" i="1"/>
  <c r="O198" i="1"/>
  <c r="R198" i="1"/>
  <c r="S198" i="1"/>
  <c r="K197" i="1"/>
  <c r="L197" i="1"/>
  <c r="H197" i="1"/>
  <c r="M197" i="1"/>
  <c r="N197" i="1"/>
  <c r="T197" i="1"/>
  <c r="O197" i="1"/>
  <c r="P197" i="1"/>
  <c r="Q197" i="1"/>
  <c r="R197" i="1"/>
  <c r="G197" i="1"/>
  <c r="I197" i="1"/>
  <c r="U197" i="1"/>
  <c r="J197" i="1"/>
  <c r="V197" i="1"/>
  <c r="S197" i="1"/>
  <c r="Q199" i="1"/>
  <c r="R199" i="1"/>
  <c r="S199" i="1"/>
  <c r="H199" i="1"/>
  <c r="T199" i="1"/>
  <c r="I199" i="1"/>
  <c r="U199" i="1"/>
  <c r="M199" i="1"/>
  <c r="G199" i="1"/>
  <c r="J199" i="1"/>
  <c r="V199" i="1"/>
  <c r="K199" i="1"/>
  <c r="L199" i="1"/>
  <c r="O199" i="1"/>
  <c r="P199" i="1"/>
  <c r="N199" i="1"/>
  <c r="DO27" i="24"/>
  <c r="EA27" i="24"/>
  <c r="DP27" i="24"/>
  <c r="EB27" i="24"/>
  <c r="DH27" i="24" s="1"/>
  <c r="DQ27" i="24"/>
  <c r="EC27" i="24"/>
  <c r="DI27" i="24" s="1"/>
  <c r="DY27" i="24"/>
  <c r="DE27" i="24" s="1"/>
  <c r="DZ27" i="24"/>
  <c r="DF27" i="24" s="1"/>
  <c r="DR27" i="24"/>
  <c r="DS27" i="24"/>
  <c r="DT27" i="24"/>
  <c r="DU27" i="24"/>
  <c r="DX27" i="24"/>
  <c r="DN27" i="24"/>
  <c r="DV27" i="24"/>
  <c r="DW27" i="24"/>
  <c r="DW25" i="24"/>
  <c r="DC25" i="24" s="1"/>
  <c r="DN25" i="24"/>
  <c r="DY28" i="24"/>
  <c r="DZ28" i="24"/>
  <c r="DO28" i="24"/>
  <c r="EA28" i="24"/>
  <c r="EB28" i="24"/>
  <c r="DH28" i="24" s="1"/>
  <c r="DN28" i="24"/>
  <c r="DP28" i="24"/>
  <c r="DU28" i="24"/>
  <c r="DX28" i="24"/>
  <c r="DQ28" i="24"/>
  <c r="EC28" i="24"/>
  <c r="DI28" i="24" s="1"/>
  <c r="DR28" i="24"/>
  <c r="DS28" i="24"/>
  <c r="DT28" i="24"/>
  <c r="DV28" i="24"/>
  <c r="DW28" i="24"/>
  <c r="DW26" i="24"/>
  <c r="DC26" i="24" s="1"/>
  <c r="DN26" i="24"/>
  <c r="DV29" i="24"/>
  <c r="DW29" i="24"/>
  <c r="DX29" i="24"/>
  <c r="EA29" i="24"/>
  <c r="DR29" i="24"/>
  <c r="DS29" i="24"/>
  <c r="DY29" i="24"/>
  <c r="DZ29" i="24"/>
  <c r="DO29" i="24"/>
  <c r="DT29" i="24"/>
  <c r="DP29" i="24"/>
  <c r="EB29" i="24"/>
  <c r="DH29" i="24" s="1"/>
  <c r="DQ29" i="24"/>
  <c r="EC29" i="24"/>
  <c r="DI29" i="24" s="1"/>
  <c r="DU29" i="24"/>
  <c r="DN29" i="24"/>
  <c r="Q196" i="1"/>
  <c r="R196" i="1"/>
  <c r="S196" i="1"/>
  <c r="S224" i="1" s="1"/>
  <c r="H196" i="1"/>
  <c r="T196" i="1"/>
  <c r="I196" i="1"/>
  <c r="U196" i="1"/>
  <c r="G196" i="1"/>
  <c r="P196" i="1"/>
  <c r="J196" i="1"/>
  <c r="V196" i="1"/>
  <c r="K196" i="1"/>
  <c r="L196" i="1"/>
  <c r="M196" i="1"/>
  <c r="N196" i="1"/>
  <c r="O196" i="1"/>
  <c r="I15" i="41"/>
  <c r="I12" i="41"/>
  <c r="I10" i="41"/>
  <c r="I16" i="41"/>
  <c r="I17" i="41"/>
  <c r="I18" i="41"/>
  <c r="I19" i="41"/>
  <c r="I20" i="41"/>
  <c r="I9" i="41"/>
  <c r="I13" i="41"/>
  <c r="I14" i="41"/>
  <c r="B161" i="3"/>
  <c r="N193" i="1"/>
  <c r="O193" i="1"/>
  <c r="G193" i="1"/>
  <c r="P193" i="1"/>
  <c r="Q193" i="1"/>
  <c r="R193" i="1"/>
  <c r="S193" i="1"/>
  <c r="H193" i="1"/>
  <c r="T193" i="1"/>
  <c r="I193" i="1"/>
  <c r="U193" i="1"/>
  <c r="J193" i="1"/>
  <c r="V193" i="1"/>
  <c r="M193" i="1"/>
  <c r="K193" i="1"/>
  <c r="L193" i="1"/>
  <c r="C181" i="23"/>
  <c r="E95" i="36"/>
  <c r="DS28" i="23"/>
  <c r="S178" i="37"/>
  <c r="T214" i="37"/>
  <c r="U214" i="37"/>
  <c r="V162" i="37"/>
  <c r="C14" i="5"/>
  <c r="C26" i="5" s="1"/>
  <c r="L52" i="5"/>
  <c r="V135" i="37"/>
  <c r="DV29" i="23"/>
  <c r="DB29" i="23" s="1"/>
  <c r="S48" i="41"/>
  <c r="S60" i="41" s="1"/>
  <c r="S47" i="41"/>
  <c r="Y182" i="37"/>
  <c r="W182" i="37"/>
  <c r="Y164" i="37"/>
  <c r="S182" i="37"/>
  <c r="Z212" i="37"/>
  <c r="F43" i="27"/>
  <c r="T182" i="37"/>
  <c r="S162" i="37"/>
  <c r="Z182" i="37"/>
  <c r="U162" i="37"/>
  <c r="DR25" i="24"/>
  <c r="AC21" i="23"/>
  <c r="AD21" i="23" s="1"/>
  <c r="K38" i="9"/>
  <c r="G95" i="36"/>
  <c r="AC21" i="1"/>
  <c r="M11" i="3"/>
  <c r="M12" i="3" s="1"/>
  <c r="M13" i="3" s="1"/>
  <c r="W10" i="3"/>
  <c r="W11" i="3" s="1"/>
  <c r="W12" i="3" s="1"/>
  <c r="W13" i="3" s="1"/>
  <c r="W14" i="3" s="1"/>
  <c r="W15" i="3" s="1"/>
  <c r="W16" i="3" s="1"/>
  <c r="W17" i="3" s="1"/>
  <c r="W18" i="3" s="1"/>
  <c r="W19" i="3" s="1"/>
  <c r="W20" i="3" s="1"/>
  <c r="W21" i="3" s="1"/>
  <c r="W22" i="3" s="1"/>
  <c r="W23" i="3" s="1"/>
  <c r="W24" i="3" s="1"/>
  <c r="W25" i="3" s="1"/>
  <c r="W26" i="3" s="1"/>
  <c r="W27" i="3" s="1"/>
  <c r="E11" i="52"/>
  <c r="G11" i="52"/>
  <c r="B5" i="52"/>
  <c r="E161" i="36"/>
  <c r="E38" i="9"/>
  <c r="F161" i="36"/>
  <c r="H38" i="9"/>
  <c r="C32" i="26"/>
  <c r="C32" i="5"/>
  <c r="C32" i="30"/>
  <c r="C32" i="27"/>
  <c r="G161" i="36"/>
  <c r="H161" i="36"/>
  <c r="DW27" i="1"/>
  <c r="DC27" i="1" s="1"/>
  <c r="CD21" i="29"/>
  <c r="CD58" i="29" s="1"/>
  <c r="H21" i="1"/>
  <c r="BL21" i="1"/>
  <c r="BK58" i="1"/>
  <c r="CD21" i="1"/>
  <c r="DO21" i="1" s="1"/>
  <c r="CC58" i="1"/>
  <c r="D99" i="30"/>
  <c r="AA40" i="29"/>
  <c r="C143" i="30"/>
  <c r="BJ29" i="1"/>
  <c r="C133" i="5"/>
  <c r="C132" i="27"/>
  <c r="C148" i="27"/>
  <c r="C149" i="5"/>
  <c r="M106" i="24"/>
  <c r="B130" i="26"/>
  <c r="BJ24" i="29"/>
  <c r="C127" i="30"/>
  <c r="G125" i="29"/>
  <c r="B140" i="30"/>
  <c r="CB44" i="29"/>
  <c r="C147" i="30"/>
  <c r="G27" i="52"/>
  <c r="C27" i="52"/>
  <c r="D27" i="52"/>
  <c r="E27" i="52"/>
  <c r="F27" i="52"/>
  <c r="CB24" i="1"/>
  <c r="DM24" i="1" s="1"/>
  <c r="C128" i="5"/>
  <c r="C127" i="27"/>
  <c r="C138" i="5"/>
  <c r="C137" i="27"/>
  <c r="C142" i="5"/>
  <c r="C141" i="27"/>
  <c r="B144" i="24"/>
  <c r="B145" i="26"/>
  <c r="CB33" i="29"/>
  <c r="C136" i="30"/>
  <c r="CB37" i="29"/>
  <c r="C140" i="30"/>
  <c r="C145" i="5"/>
  <c r="C144" i="27"/>
  <c r="BJ27" i="29"/>
  <c r="C130" i="30"/>
  <c r="B130" i="27"/>
  <c r="B131" i="5"/>
  <c r="B146" i="5"/>
  <c r="B145" i="27"/>
  <c r="G106" i="24"/>
  <c r="B128" i="26"/>
  <c r="G144" i="24"/>
  <c r="B149" i="26"/>
  <c r="AA28" i="29"/>
  <c r="C131" i="30"/>
  <c r="BJ41" i="29"/>
  <c r="C144" i="30"/>
  <c r="G106" i="29"/>
  <c r="B128" i="30"/>
  <c r="BJ45" i="29"/>
  <c r="C148" i="30"/>
  <c r="CT27" i="1"/>
  <c r="C131" i="5"/>
  <c r="C130" i="27"/>
  <c r="CT35" i="1"/>
  <c r="C139" i="5"/>
  <c r="C138" i="27"/>
  <c r="CB39" i="1"/>
  <c r="C143" i="5"/>
  <c r="C142" i="27"/>
  <c r="C149" i="27"/>
  <c r="C150" i="5"/>
  <c r="AA22" i="24"/>
  <c r="B125" i="26"/>
  <c r="AA31" i="24"/>
  <c r="B134" i="26"/>
  <c r="BJ25" i="29"/>
  <c r="C128" i="30"/>
  <c r="BJ34" i="29"/>
  <c r="C137" i="30"/>
  <c r="BJ38" i="29"/>
  <c r="C141" i="30"/>
  <c r="BJ42" i="1"/>
  <c r="C146" i="5"/>
  <c r="C145" i="27"/>
  <c r="G106" i="1"/>
  <c r="B129" i="5"/>
  <c r="B128" i="27"/>
  <c r="B135" i="5"/>
  <c r="B134" i="27"/>
  <c r="B106" i="24"/>
  <c r="B126" i="26"/>
  <c r="B125" i="24"/>
  <c r="B135" i="26"/>
  <c r="BJ29" i="29"/>
  <c r="C132" i="30"/>
  <c r="B144" i="29"/>
  <c r="B145" i="30"/>
  <c r="C128" i="27"/>
  <c r="C129" i="5"/>
  <c r="B125" i="1"/>
  <c r="B136" i="5"/>
  <c r="B135" i="27"/>
  <c r="BJ36" i="1"/>
  <c r="C139" i="27"/>
  <c r="C140" i="5"/>
  <c r="C147" i="5"/>
  <c r="C146" i="27"/>
  <c r="M125" i="24"/>
  <c r="B143" i="26"/>
  <c r="BJ42" i="29"/>
  <c r="C145" i="30"/>
  <c r="G144" i="29"/>
  <c r="B149" i="30"/>
  <c r="BJ32" i="1"/>
  <c r="C136" i="5"/>
  <c r="C135" i="27"/>
  <c r="B144" i="5"/>
  <c r="B143" i="27"/>
  <c r="AA22" i="29"/>
  <c r="B125" i="30"/>
  <c r="AA26" i="29"/>
  <c r="C129" i="30"/>
  <c r="CB39" i="29"/>
  <c r="C142" i="30"/>
  <c r="BJ46" i="29"/>
  <c r="C149" i="30"/>
  <c r="AA22" i="1"/>
  <c r="B126" i="5"/>
  <c r="B125" i="27"/>
  <c r="C132" i="5"/>
  <c r="C131" i="27"/>
  <c r="C144" i="5"/>
  <c r="C143" i="27"/>
  <c r="G125" i="24"/>
  <c r="B140" i="26"/>
  <c r="B106" i="29"/>
  <c r="B126" i="30"/>
  <c r="AA31" i="29"/>
  <c r="B134" i="30"/>
  <c r="B149" i="27"/>
  <c r="B150" i="5"/>
  <c r="C127" i="5"/>
  <c r="C126" i="27"/>
  <c r="B140" i="27"/>
  <c r="B141" i="5"/>
  <c r="BJ44" i="1"/>
  <c r="C148" i="5"/>
  <c r="C147" i="27"/>
  <c r="AA23" i="29"/>
  <c r="C126" i="30"/>
  <c r="B125" i="29"/>
  <c r="B135" i="30"/>
  <c r="BJ36" i="29"/>
  <c r="C139" i="30"/>
  <c r="BJ43" i="29"/>
  <c r="C146" i="30"/>
  <c r="CT26" i="1"/>
  <c r="C129" i="27"/>
  <c r="C130" i="5"/>
  <c r="AA33" i="1"/>
  <c r="C137" i="5"/>
  <c r="C136" i="27"/>
  <c r="C140" i="27"/>
  <c r="C141" i="5"/>
  <c r="M106" i="29"/>
  <c r="B130" i="30"/>
  <c r="AA32" i="29"/>
  <c r="C135" i="30"/>
  <c r="M125" i="29"/>
  <c r="B143" i="30"/>
  <c r="D99" i="27"/>
  <c r="D41" i="27"/>
  <c r="K81" i="5"/>
  <c r="G43" i="5"/>
  <c r="D11" i="52"/>
  <c r="C11" i="52" s="1"/>
  <c r="J7" i="41"/>
  <c r="B83" i="30"/>
  <c r="G65" i="24"/>
  <c r="W65" i="24" s="1"/>
  <c r="G59" i="24"/>
  <c r="W59" i="24" s="1"/>
  <c r="G61" i="24"/>
  <c r="W61" i="24" s="1"/>
  <c r="G47" i="29"/>
  <c r="G65" i="29"/>
  <c r="G61" i="29"/>
  <c r="W61" i="29" s="1"/>
  <c r="M144" i="24"/>
  <c r="DT25" i="24"/>
  <c r="DU25" i="24"/>
  <c r="DV25" i="24"/>
  <c r="DB25" i="24" s="1"/>
  <c r="DQ25" i="24"/>
  <c r="G11" i="29"/>
  <c r="BK9" i="29"/>
  <c r="BK10" i="29" s="1"/>
  <c r="BL21" i="29"/>
  <c r="DP26" i="24"/>
  <c r="DP25" i="24"/>
  <c r="DT26" i="24"/>
  <c r="DU26" i="24"/>
  <c r="DV26" i="24"/>
  <c r="CC9" i="24"/>
  <c r="CC10" i="24" s="1"/>
  <c r="BK9" i="24"/>
  <c r="BK10" i="24" s="1"/>
  <c r="DT25" i="23"/>
  <c r="DN29" i="23"/>
  <c r="E69" i="36"/>
  <c r="G49" i="41" s="1"/>
  <c r="O2" i="51"/>
  <c r="F69" i="36"/>
  <c r="G52" i="41" s="1"/>
  <c r="C107" i="5" s="1"/>
  <c r="P2" i="51"/>
  <c r="G69" i="36"/>
  <c r="G55" i="41" s="1"/>
  <c r="Q2" i="51"/>
  <c r="M68" i="9"/>
  <c r="H69" i="36"/>
  <c r="G58" i="41" s="1"/>
  <c r="R2" i="51"/>
  <c r="F44" i="36"/>
  <c r="F146" i="36"/>
  <c r="CT23" i="23"/>
  <c r="CB23" i="23"/>
  <c r="DM23" i="23" s="1"/>
  <c r="BJ23" i="23"/>
  <c r="CT32" i="23"/>
  <c r="CB32" i="23"/>
  <c r="BJ32" i="23"/>
  <c r="AA23" i="24"/>
  <c r="CB23" i="24"/>
  <c r="DM23" i="24" s="1"/>
  <c r="CT23" i="24"/>
  <c r="BJ23" i="24"/>
  <c r="CB42" i="24"/>
  <c r="BJ42" i="24"/>
  <c r="CT42" i="24"/>
  <c r="BJ40" i="23"/>
  <c r="CT40" i="23"/>
  <c r="CB40" i="23"/>
  <c r="CT35" i="24"/>
  <c r="CB35" i="24"/>
  <c r="BJ35" i="24"/>
  <c r="AA39" i="24"/>
  <c r="CT39" i="24"/>
  <c r="CB39" i="24"/>
  <c r="BJ39" i="24"/>
  <c r="BJ46" i="24"/>
  <c r="CB46" i="24"/>
  <c r="CT46" i="24"/>
  <c r="CT28" i="23"/>
  <c r="CB28" i="23"/>
  <c r="DM28" i="23" s="1"/>
  <c r="BJ28" i="23"/>
  <c r="CT26" i="23"/>
  <c r="CB26" i="23"/>
  <c r="DM26" i="23" s="1"/>
  <c r="BJ26" i="23"/>
  <c r="CT44" i="23"/>
  <c r="CB44" i="23"/>
  <c r="BJ44" i="23"/>
  <c r="CT28" i="24"/>
  <c r="BJ28" i="24"/>
  <c r="CB28" i="24"/>
  <c r="DM28" i="24" s="1"/>
  <c r="CB33" i="23"/>
  <c r="BJ33" i="23"/>
  <c r="CT33" i="23"/>
  <c r="CB37" i="23"/>
  <c r="BJ37" i="23"/>
  <c r="CT37" i="23"/>
  <c r="CB36" i="24"/>
  <c r="CT36" i="24"/>
  <c r="BJ36" i="24"/>
  <c r="AA43" i="24"/>
  <c r="CT43" i="24"/>
  <c r="CB43" i="24"/>
  <c r="BJ43" i="24"/>
  <c r="BJ24" i="23"/>
  <c r="CT24" i="23"/>
  <c r="CB24" i="23"/>
  <c r="DM24" i="23" s="1"/>
  <c r="BJ29" i="23"/>
  <c r="CT29" i="23"/>
  <c r="CB29" i="23"/>
  <c r="DM29" i="23" s="1"/>
  <c r="CB41" i="23"/>
  <c r="BJ41" i="23"/>
  <c r="CT41" i="23"/>
  <c r="BJ24" i="24"/>
  <c r="CT24" i="24"/>
  <c r="CB24" i="24"/>
  <c r="DM24" i="24" s="1"/>
  <c r="CT32" i="24"/>
  <c r="CB32" i="24"/>
  <c r="BJ32" i="24"/>
  <c r="CT43" i="23"/>
  <c r="CB43" i="23"/>
  <c r="BJ43" i="23"/>
  <c r="CB45" i="23"/>
  <c r="CT45" i="23"/>
  <c r="BJ45" i="23"/>
  <c r="AA40" i="24"/>
  <c r="CB40" i="24"/>
  <c r="CT40" i="24"/>
  <c r="BJ40" i="24"/>
  <c r="BJ36" i="23"/>
  <c r="CT36" i="23"/>
  <c r="CB36" i="23"/>
  <c r="BJ34" i="23"/>
  <c r="CB34" i="23"/>
  <c r="CT34" i="23"/>
  <c r="BJ38" i="23"/>
  <c r="CB38" i="23"/>
  <c r="CT38" i="23"/>
  <c r="CT27" i="24"/>
  <c r="BJ27" i="24"/>
  <c r="CB27" i="24"/>
  <c r="DM27" i="24" s="1"/>
  <c r="AA44" i="24"/>
  <c r="CT44" i="24"/>
  <c r="CB44" i="24"/>
  <c r="BJ44" i="24"/>
  <c r="BJ27" i="23"/>
  <c r="CT27" i="23"/>
  <c r="CB27" i="23"/>
  <c r="DM27" i="23" s="1"/>
  <c r="AA29" i="24"/>
  <c r="CT29" i="24"/>
  <c r="BJ29" i="24"/>
  <c r="CB29" i="24"/>
  <c r="CT33" i="24"/>
  <c r="CB33" i="24"/>
  <c r="BJ33" i="24"/>
  <c r="CT37" i="24"/>
  <c r="CB37" i="24"/>
  <c r="BJ37" i="24"/>
  <c r="BJ42" i="23"/>
  <c r="CB42" i="23"/>
  <c r="CT42" i="23"/>
  <c r="CT26" i="24"/>
  <c r="BJ26" i="24"/>
  <c r="CB26" i="24"/>
  <c r="DM26" i="24" s="1"/>
  <c r="CT41" i="24"/>
  <c r="CB41" i="24"/>
  <c r="BJ41" i="24"/>
  <c r="AA25" i="23"/>
  <c r="CT25" i="23"/>
  <c r="CB25" i="23"/>
  <c r="DM25" i="23" s="1"/>
  <c r="BJ25" i="23"/>
  <c r="CT35" i="23"/>
  <c r="CB35" i="23"/>
  <c r="BJ35" i="23"/>
  <c r="CT39" i="23"/>
  <c r="CB39" i="23"/>
  <c r="BJ39" i="23"/>
  <c r="BJ46" i="23"/>
  <c r="CB46" i="23"/>
  <c r="CT46" i="23"/>
  <c r="AA25" i="24"/>
  <c r="CT25" i="24"/>
  <c r="BJ25" i="24"/>
  <c r="CB25" i="24"/>
  <c r="DM25" i="24" s="1"/>
  <c r="CT45" i="24"/>
  <c r="CB45" i="24"/>
  <c r="BJ45" i="24"/>
  <c r="CB34" i="24"/>
  <c r="BJ34" i="24"/>
  <c r="CT34" i="24"/>
  <c r="CB38" i="24"/>
  <c r="BJ38" i="24"/>
  <c r="CT38" i="24"/>
  <c r="DN27" i="1"/>
  <c r="DO27" i="1"/>
  <c r="DP27" i="1"/>
  <c r="DP29" i="1"/>
  <c r="DQ27" i="1"/>
  <c r="DU29" i="1"/>
  <c r="DT27" i="1"/>
  <c r="DW29" i="1"/>
  <c r="DC29" i="1" s="1"/>
  <c r="DB27" i="1"/>
  <c r="H9" i="23"/>
  <c r="BL9" i="23" s="1"/>
  <c r="BL10" i="23" s="1"/>
  <c r="BK9" i="23"/>
  <c r="BK10" i="23" s="1"/>
  <c r="DN21" i="1"/>
  <c r="BK9" i="1"/>
  <c r="BK10" i="1" s="1"/>
  <c r="CC9" i="1"/>
  <c r="CC10" i="1" s="1"/>
  <c r="F68" i="9"/>
  <c r="I68" i="9"/>
  <c r="K68" i="9"/>
  <c r="AB34" i="41"/>
  <c r="I13" i="35"/>
  <c r="AA13" i="35" s="1"/>
  <c r="I11" i="35"/>
  <c r="AA11" i="35" s="1"/>
  <c r="H12" i="35"/>
  <c r="Z12" i="35" s="1"/>
  <c r="H13" i="35"/>
  <c r="Z13" i="35" s="1"/>
  <c r="H11" i="35"/>
  <c r="Z11" i="35" s="1"/>
  <c r="I12" i="35"/>
  <c r="AA12" i="35" s="1"/>
  <c r="F11" i="35"/>
  <c r="X11" i="35" s="1"/>
  <c r="W4" i="35"/>
  <c r="AJ8" i="35" s="1"/>
  <c r="M13" i="35"/>
  <c r="M11" i="35"/>
  <c r="L12" i="35"/>
  <c r="AD12" i="35" s="1"/>
  <c r="L13" i="35"/>
  <c r="AD13" i="35" s="1"/>
  <c r="L11" i="35"/>
  <c r="AD11" i="35" s="1"/>
  <c r="M12" i="35"/>
  <c r="U47" i="41" s="1"/>
  <c r="S135" i="37"/>
  <c r="T135" i="37"/>
  <c r="Z162" i="37"/>
  <c r="U135" i="37"/>
  <c r="Z180" i="37"/>
  <c r="W162" i="37"/>
  <c r="Y162" i="37"/>
  <c r="G178" i="37"/>
  <c r="G180" i="37"/>
  <c r="G214" i="37"/>
  <c r="G192" i="37"/>
  <c r="Y190" i="37"/>
  <c r="V190" i="37"/>
  <c r="Z190" i="37"/>
  <c r="S140" i="37"/>
  <c r="T140" i="37"/>
  <c r="V140" i="37"/>
  <c r="W140" i="37"/>
  <c r="Z135" i="37"/>
  <c r="X162" i="37"/>
  <c r="V182" i="37"/>
  <c r="W212" i="37"/>
  <c r="W164" i="37"/>
  <c r="T212" i="37"/>
  <c r="X212" i="37"/>
  <c r="S212" i="37"/>
  <c r="U212" i="37"/>
  <c r="V212" i="37"/>
  <c r="W214" i="37"/>
  <c r="Y214" i="37"/>
  <c r="U178" i="37"/>
  <c r="X178" i="37"/>
  <c r="Y178" i="37"/>
  <c r="S190" i="37"/>
  <c r="W178" i="37"/>
  <c r="T190" i="37"/>
  <c r="Y212" i="37"/>
  <c r="X164" i="37"/>
  <c r="X214" i="37"/>
  <c r="W217" i="37"/>
  <c r="X217" i="37"/>
  <c r="Y217" i="37"/>
  <c r="W135" i="37"/>
  <c r="Y135" i="37"/>
  <c r="S138" i="37"/>
  <c r="Z217" i="37"/>
  <c r="T138" i="37"/>
  <c r="U138" i="37"/>
  <c r="X138" i="37"/>
  <c r="G93" i="37"/>
  <c r="V138" i="37"/>
  <c r="W138" i="37"/>
  <c r="Y138" i="37"/>
  <c r="Z138" i="37"/>
  <c r="T178" i="37"/>
  <c r="T184" i="37"/>
  <c r="U184" i="37"/>
  <c r="V184" i="37"/>
  <c r="W184" i="37"/>
  <c r="G135" i="37"/>
  <c r="X184" i="37"/>
  <c r="U190" i="37"/>
  <c r="Z184" i="37"/>
  <c r="T217" i="37"/>
  <c r="U217" i="37"/>
  <c r="Y184" i="37"/>
  <c r="X216" i="37"/>
  <c r="G448" i="37"/>
  <c r="G407" i="37"/>
  <c r="G216" i="37"/>
  <c r="V217" i="37"/>
  <c r="Q405" i="37"/>
  <c r="G10" i="37"/>
  <c r="G295" i="37"/>
  <c r="Q418" i="37"/>
  <c r="Q410" i="37"/>
  <c r="G112" i="37"/>
  <c r="U216" i="37"/>
  <c r="S217" i="37"/>
  <c r="G132" i="37"/>
  <c r="G246" i="37"/>
  <c r="S184" i="37"/>
  <c r="G234" i="37"/>
  <c r="G118" i="37"/>
  <c r="G8" i="37"/>
  <c r="E19" i="36" s="1"/>
  <c r="G57" i="37"/>
  <c r="G106" i="37"/>
  <c r="Z216" i="37"/>
  <c r="G431" i="37"/>
  <c r="G96" i="37"/>
  <c r="G228" i="37"/>
  <c r="G390" i="37"/>
  <c r="G164" i="37"/>
  <c r="G423" i="37"/>
  <c r="DS28" i="1"/>
  <c r="DO27" i="23"/>
  <c r="G89" i="37"/>
  <c r="G73" i="37"/>
  <c r="G252" i="37"/>
  <c r="G361" i="37"/>
  <c r="G91" i="37"/>
  <c r="DT28" i="1"/>
  <c r="DU25" i="23"/>
  <c r="DP27" i="23"/>
  <c r="T216" i="37"/>
  <c r="DU28" i="1"/>
  <c r="DS27" i="23"/>
  <c r="G231" i="37"/>
  <c r="X182" i="37"/>
  <c r="W190" i="37"/>
  <c r="DR27" i="1"/>
  <c r="DV28" i="1"/>
  <c r="DN29" i="1"/>
  <c r="DT27" i="23"/>
  <c r="DN28" i="23"/>
  <c r="DQ26" i="24"/>
  <c r="DS27" i="1"/>
  <c r="DW28" i="1"/>
  <c r="DC28" i="1" s="1"/>
  <c r="DO29" i="1"/>
  <c r="DV27" i="23"/>
  <c r="DB27" i="23" s="1"/>
  <c r="DR28" i="23"/>
  <c r="DR26" i="24"/>
  <c r="F43" i="26"/>
  <c r="U180" i="37"/>
  <c r="DN25" i="1"/>
  <c r="DN26" i="1"/>
  <c r="DU27" i="1"/>
  <c r="DA27" i="1" s="1"/>
  <c r="DQ29" i="1"/>
  <c r="F43" i="5"/>
  <c r="DO29" i="23"/>
  <c r="G43" i="27"/>
  <c r="G109" i="37"/>
  <c r="G4" i="37"/>
  <c r="G130" i="37"/>
  <c r="DO26" i="1"/>
  <c r="DN28" i="1"/>
  <c r="DR29" i="1"/>
  <c r="DP29" i="23"/>
  <c r="Z140" i="37"/>
  <c r="X190" i="37"/>
  <c r="V216" i="37"/>
  <c r="G238" i="37"/>
  <c r="DP26" i="1"/>
  <c r="DO28" i="1"/>
  <c r="DS29" i="1"/>
  <c r="DS29" i="23"/>
  <c r="G400" i="37"/>
  <c r="Q450" i="37"/>
  <c r="DS26" i="1"/>
  <c r="DP28" i="1"/>
  <c r="DT29" i="1"/>
  <c r="DO25" i="23"/>
  <c r="DT29" i="23"/>
  <c r="DT26" i="1"/>
  <c r="DQ28" i="1"/>
  <c r="DP25" i="23"/>
  <c r="F43" i="30"/>
  <c r="X140" i="37"/>
  <c r="G268" i="37"/>
  <c r="G352" i="37"/>
  <c r="DV26" i="1"/>
  <c r="DB26" i="1" s="1"/>
  <c r="DS25" i="23"/>
  <c r="DN27" i="23"/>
  <c r="G43" i="30"/>
  <c r="Q417" i="37"/>
  <c r="U140" i="37"/>
  <c r="Y140" i="37"/>
  <c r="X180" i="37"/>
  <c r="T180" i="37"/>
  <c r="V180" i="37"/>
  <c r="G154" i="37"/>
  <c r="G244" i="37"/>
  <c r="G376" i="37"/>
  <c r="DU25" i="1"/>
  <c r="DQ25" i="1"/>
  <c r="DV25" i="1"/>
  <c r="DB25" i="1" s="1"/>
  <c r="DP25" i="1"/>
  <c r="DT25" i="1"/>
  <c r="DO25" i="1"/>
  <c r="G368" i="37"/>
  <c r="H39" i="36"/>
  <c r="G380" i="37"/>
  <c r="U179" i="37"/>
  <c r="Z179" i="37"/>
  <c r="W180" i="37"/>
  <c r="G338" i="37"/>
  <c r="G378" i="37"/>
  <c r="DR25" i="1"/>
  <c r="DV26" i="23"/>
  <c r="DR26" i="23"/>
  <c r="DN26" i="23"/>
  <c r="DW26" i="23"/>
  <c r="DC26" i="23" s="1"/>
  <c r="DQ26" i="23"/>
  <c r="DU26" i="23"/>
  <c r="DP26" i="23"/>
  <c r="DT26" i="23"/>
  <c r="DO26" i="23"/>
  <c r="S180" i="37"/>
  <c r="Y180" i="37"/>
  <c r="S216" i="37"/>
  <c r="W216" i="37"/>
  <c r="Y216" i="37"/>
  <c r="G413" i="37"/>
  <c r="Q429" i="37"/>
  <c r="G51" i="37"/>
  <c r="G156" i="37"/>
  <c r="G222" i="37"/>
  <c r="G294" i="37"/>
  <c r="G100" i="37"/>
  <c r="DS25" i="1"/>
  <c r="DU28" i="23"/>
  <c r="DQ28" i="23"/>
  <c r="X183" i="37"/>
  <c r="G65" i="37"/>
  <c r="DR26" i="1"/>
  <c r="DQ25" i="23"/>
  <c r="DR27" i="23"/>
  <c r="DO28" i="23"/>
  <c r="DT28" i="23"/>
  <c r="DR29" i="23"/>
  <c r="DC27" i="24"/>
  <c r="U182" i="37"/>
  <c r="U183" i="37"/>
  <c r="DU26" i="1"/>
  <c r="DQ26" i="1"/>
  <c r="DV25" i="23"/>
  <c r="DB25" i="23" s="1"/>
  <c r="DR25" i="23"/>
  <c r="DN25" i="23"/>
  <c r="DU27" i="23"/>
  <c r="DQ27" i="23"/>
  <c r="DP28" i="23"/>
  <c r="DV28" i="23"/>
  <c r="DB28" i="23" s="1"/>
  <c r="DU29" i="23"/>
  <c r="DA29" i="23" s="1"/>
  <c r="DQ29" i="23"/>
  <c r="DO25" i="24"/>
  <c r="DS25" i="24"/>
  <c r="DO26" i="24"/>
  <c r="DS26" i="24"/>
  <c r="E32" i="20"/>
  <c r="D20" i="24" s="1"/>
  <c r="AL42" i="3"/>
  <c r="EE23" i="23"/>
  <c r="DW23" i="23" s="1"/>
  <c r="B81" i="5"/>
  <c r="B81" i="26"/>
  <c r="F22" i="36"/>
  <c r="D8" i="36"/>
  <c r="F18" i="36"/>
  <c r="AA27" i="29"/>
  <c r="T12" i="35"/>
  <c r="B5" i="3"/>
  <c r="E8" i="39"/>
  <c r="U6" i="41"/>
  <c r="E116" i="3"/>
  <c r="E124" i="3"/>
  <c r="W3" i="35"/>
  <c r="E114" i="3"/>
  <c r="E119" i="3"/>
  <c r="E127" i="3"/>
  <c r="E112" i="3"/>
  <c r="E120" i="3"/>
  <c r="T6" i="9"/>
  <c r="E123" i="3"/>
  <c r="H19" i="36"/>
  <c r="H23" i="36"/>
  <c r="H31" i="36"/>
  <c r="I35" i="36"/>
  <c r="J36" i="36"/>
  <c r="J26" i="36"/>
  <c r="F28" i="36"/>
  <c r="G34" i="36"/>
  <c r="I39" i="36"/>
  <c r="H21" i="36"/>
  <c r="I30" i="36"/>
  <c r="E32" i="36"/>
  <c r="F33" i="36"/>
  <c r="G38" i="36"/>
  <c r="F20" i="36"/>
  <c r="F24" i="36"/>
  <c r="F25" i="36"/>
  <c r="H27" i="36"/>
  <c r="H29" i="36"/>
  <c r="J32" i="36"/>
  <c r="E36" i="36"/>
  <c r="F37" i="36"/>
  <c r="BJ35" i="1"/>
  <c r="AA45" i="23"/>
  <c r="AA34" i="24"/>
  <c r="G43" i="26"/>
  <c r="B81" i="30"/>
  <c r="AA37" i="23"/>
  <c r="AA39" i="23"/>
  <c r="W16" i="36"/>
  <c r="AA46" i="23"/>
  <c r="AA46" i="29"/>
  <c r="E54" i="36"/>
  <c r="AA39" i="1"/>
  <c r="AA43" i="1"/>
  <c r="AA28" i="24"/>
  <c r="B14" i="35"/>
  <c r="G14" i="35" s="1"/>
  <c r="Y14" i="35" s="1"/>
  <c r="T13" i="35"/>
  <c r="U8" i="41"/>
  <c r="V2" i="36"/>
  <c r="P1" i="36" s="1"/>
  <c r="E117" i="3"/>
  <c r="E121" i="3"/>
  <c r="E125" i="3"/>
  <c r="C6" i="9"/>
  <c r="B27" i="39" s="1"/>
  <c r="W2" i="35"/>
  <c r="B3" i="58" s="1"/>
  <c r="E113" i="3"/>
  <c r="E115" i="3"/>
  <c r="E118" i="3"/>
  <c r="E122" i="3"/>
  <c r="G18" i="36"/>
  <c r="J19" i="36"/>
  <c r="G20" i="36"/>
  <c r="J21" i="36"/>
  <c r="G22" i="36"/>
  <c r="J23" i="36"/>
  <c r="G24" i="36"/>
  <c r="G25" i="36"/>
  <c r="F26" i="36"/>
  <c r="I27" i="36"/>
  <c r="H28" i="36"/>
  <c r="I29" i="36"/>
  <c r="E30" i="36"/>
  <c r="I31" i="36"/>
  <c r="F32" i="36"/>
  <c r="G33" i="36"/>
  <c r="I34" i="36"/>
  <c r="E35" i="36"/>
  <c r="J35" i="36"/>
  <c r="F36" i="36"/>
  <c r="G37" i="36"/>
  <c r="I38" i="36"/>
  <c r="E39" i="36"/>
  <c r="J39" i="36"/>
  <c r="G11" i="35"/>
  <c r="Y11" i="35" s="1"/>
  <c r="AF11" i="35"/>
  <c r="H18" i="36"/>
  <c r="F19" i="36"/>
  <c r="H20" i="36"/>
  <c r="F21" i="36"/>
  <c r="H22" i="36"/>
  <c r="F23" i="36"/>
  <c r="H24" i="36"/>
  <c r="I25" i="36"/>
  <c r="G26" i="36"/>
  <c r="E27" i="36"/>
  <c r="I28" i="36"/>
  <c r="E29" i="36"/>
  <c r="J29" i="36"/>
  <c r="G30" i="36"/>
  <c r="E31" i="36"/>
  <c r="J31" i="36"/>
  <c r="G32" i="36"/>
  <c r="I33" i="36"/>
  <c r="J34" i="36"/>
  <c r="F35" i="36"/>
  <c r="G36" i="36"/>
  <c r="I37" i="36"/>
  <c r="E38" i="36"/>
  <c r="J38" i="36"/>
  <c r="F39" i="36"/>
  <c r="J18" i="36"/>
  <c r="G19" i="36"/>
  <c r="J20" i="36"/>
  <c r="G21" i="36"/>
  <c r="J22" i="36"/>
  <c r="G23" i="36"/>
  <c r="J24" i="36"/>
  <c r="E25" i="36"/>
  <c r="J25" i="36"/>
  <c r="H26" i="36"/>
  <c r="G27" i="36"/>
  <c r="E28" i="36"/>
  <c r="J28" i="36"/>
  <c r="F29" i="36"/>
  <c r="H30" i="36"/>
  <c r="F31" i="36"/>
  <c r="I32" i="36"/>
  <c r="E33" i="36"/>
  <c r="J33" i="36"/>
  <c r="F34" i="36"/>
  <c r="G35" i="36"/>
  <c r="I36" i="36"/>
  <c r="E37" i="36"/>
  <c r="J37" i="36"/>
  <c r="F38" i="36"/>
  <c r="G39" i="36"/>
  <c r="CB41" i="29"/>
  <c r="C68" i="58"/>
  <c r="CC57" i="58" s="1"/>
  <c r="AL164" i="3"/>
  <c r="BJ26" i="1"/>
  <c r="CT29" i="1"/>
  <c r="BJ34" i="1"/>
  <c r="AA36" i="1"/>
  <c r="AA46" i="1"/>
  <c r="AA40" i="23"/>
  <c r="AA43" i="23"/>
  <c r="BJ26" i="29"/>
  <c r="AA36" i="29"/>
  <c r="CB43" i="29"/>
  <c r="AA44" i="29"/>
  <c r="CB45" i="29"/>
  <c r="CT36" i="1"/>
  <c r="AA35" i="23"/>
  <c r="CB36" i="29"/>
  <c r="CB24" i="29"/>
  <c r="CB29" i="29"/>
  <c r="V5" i="36"/>
  <c r="F54" i="36"/>
  <c r="AA37" i="1"/>
  <c r="AA33" i="23"/>
  <c r="AA36" i="23"/>
  <c r="AA36" i="24"/>
  <c r="AA38" i="24"/>
  <c r="AA45" i="24"/>
  <c r="BJ23" i="29"/>
  <c r="AA24" i="29"/>
  <c r="CB27" i="29"/>
  <c r="BJ28" i="29"/>
  <c r="AA29" i="29"/>
  <c r="BJ32" i="29"/>
  <c r="AA33" i="29"/>
  <c r="CB34" i="29"/>
  <c r="AA37" i="29"/>
  <c r="CB38" i="29"/>
  <c r="AA39" i="29"/>
  <c r="AA41" i="29"/>
  <c r="CB46" i="29"/>
  <c r="C52" i="30"/>
  <c r="C14" i="30" s="1"/>
  <c r="C26" i="30" s="1"/>
  <c r="AA33" i="24"/>
  <c r="AA27" i="24"/>
  <c r="AA37" i="24"/>
  <c r="AA42" i="24"/>
  <c r="AA46" i="24"/>
  <c r="AA28" i="23"/>
  <c r="DB30" i="1"/>
  <c r="CV31" i="1"/>
  <c r="CB28" i="1"/>
  <c r="DM28" i="1" s="1"/>
  <c r="CB40" i="1"/>
  <c r="G144" i="1"/>
  <c r="CT33" i="1"/>
  <c r="CB37" i="1"/>
  <c r="CB43" i="1"/>
  <c r="CB46" i="1"/>
  <c r="BJ24" i="1"/>
  <c r="AA31" i="1"/>
  <c r="CB36" i="1"/>
  <c r="CT37" i="1"/>
  <c r="CT43" i="1"/>
  <c r="AA45" i="1"/>
  <c r="CB23" i="1"/>
  <c r="DM23" i="1" s="1"/>
  <c r="CB33" i="1"/>
  <c r="CT23" i="1"/>
  <c r="BJ23" i="1"/>
  <c r="AA28" i="1"/>
  <c r="AA40" i="1"/>
  <c r="CB45" i="1"/>
  <c r="B144" i="1"/>
  <c r="F159" i="3"/>
  <c r="G159" i="3" s="1"/>
  <c r="EE24" i="1"/>
  <c r="E24" i="1"/>
  <c r="E28" i="58" s="1"/>
  <c r="B3" i="29"/>
  <c r="G12" i="35"/>
  <c r="Y12" i="35" s="1"/>
  <c r="G13" i="35"/>
  <c r="Y13" i="35" s="1"/>
  <c r="F12" i="35"/>
  <c r="X12" i="35" s="1"/>
  <c r="W11" i="35"/>
  <c r="V11" i="35"/>
  <c r="F13" i="35"/>
  <c r="X13" i="35" s="1"/>
  <c r="B3" i="24"/>
  <c r="EE24" i="24"/>
  <c r="E24" i="24"/>
  <c r="EE23" i="1"/>
  <c r="DN23" i="1" s="1"/>
  <c r="E23" i="23"/>
  <c r="G47" i="23" s="1"/>
  <c r="EE24" i="23"/>
  <c r="E23" i="24"/>
  <c r="EE23" i="24"/>
  <c r="D10" i="36"/>
  <c r="I18" i="36"/>
  <c r="I19" i="36"/>
  <c r="E20" i="36"/>
  <c r="I20" i="36"/>
  <c r="E21" i="36"/>
  <c r="I21" i="36"/>
  <c r="E22" i="36"/>
  <c r="I22" i="36"/>
  <c r="E23" i="36"/>
  <c r="I23" i="36"/>
  <c r="E24" i="36"/>
  <c r="I24" i="36"/>
  <c r="H25" i="36"/>
  <c r="E26" i="36"/>
  <c r="I26" i="36"/>
  <c r="F27" i="36"/>
  <c r="J27" i="36"/>
  <c r="G28" i="36"/>
  <c r="G29" i="36"/>
  <c r="F30" i="36"/>
  <c r="J30" i="36"/>
  <c r="G31" i="36"/>
  <c r="H32" i="36"/>
  <c r="H33" i="36"/>
  <c r="H34" i="36"/>
  <c r="H35" i="36"/>
  <c r="H36" i="36"/>
  <c r="H37" i="36"/>
  <c r="H38" i="36"/>
  <c r="AL157" i="3"/>
  <c r="C178" i="29"/>
  <c r="C178" i="24"/>
  <c r="C178" i="1"/>
  <c r="D222" i="1" s="1"/>
  <c r="C178" i="23"/>
  <c r="AL158" i="3"/>
  <c r="C179" i="29"/>
  <c r="C179" i="23"/>
  <c r="C179" i="1"/>
  <c r="C179" i="24"/>
  <c r="C183" i="24"/>
  <c r="AL162" i="3"/>
  <c r="C183" i="29"/>
  <c r="C183" i="23"/>
  <c r="C183" i="1"/>
  <c r="D227" i="1" s="1"/>
  <c r="C47" i="30"/>
  <c r="C9" i="30" s="1"/>
  <c r="C21" i="30" s="1"/>
  <c r="C47" i="26"/>
  <c r="C9" i="26" s="1"/>
  <c r="C21" i="26" s="1"/>
  <c r="M45" i="3"/>
  <c r="C47" i="27"/>
  <c r="C9" i="27" s="1"/>
  <c r="C21" i="27" s="1"/>
  <c r="C47" i="5"/>
  <c r="E52" i="36"/>
  <c r="J52" i="36"/>
  <c r="I54" i="36"/>
  <c r="CT25" i="1"/>
  <c r="BJ25" i="1"/>
  <c r="M43" i="3"/>
  <c r="C45" i="30"/>
  <c r="C7" i="30" s="1"/>
  <c r="C19" i="30" s="1"/>
  <c r="C45" i="26"/>
  <c r="C7" i="26" s="1"/>
  <c r="C19" i="26" s="1"/>
  <c r="C45" i="5"/>
  <c r="M51" i="3"/>
  <c r="C53" i="30"/>
  <c r="C15" i="30" s="1"/>
  <c r="C27" i="30" s="1"/>
  <c r="C53" i="26"/>
  <c r="C15" i="26" s="1"/>
  <c r="C27" i="26" s="1"/>
  <c r="C53" i="5"/>
  <c r="U16" i="36"/>
  <c r="G51" i="36"/>
  <c r="E53" i="36"/>
  <c r="J54" i="36"/>
  <c r="B106" i="1"/>
  <c r="CB25" i="1"/>
  <c r="DM25" i="1" s="1"/>
  <c r="AA34" i="23"/>
  <c r="U9" i="3"/>
  <c r="C46" i="27"/>
  <c r="C8" i="27" s="1"/>
  <c r="C20" i="27" s="1"/>
  <c r="C46" i="26"/>
  <c r="C8" i="26" s="1"/>
  <c r="C20" i="26" s="1"/>
  <c r="M44" i="3"/>
  <c r="C46" i="30"/>
  <c r="C8" i="30" s="1"/>
  <c r="C20" i="30" s="1"/>
  <c r="C46" i="5"/>
  <c r="M46" i="3"/>
  <c r="C48" i="30"/>
  <c r="C10" i="30" s="1"/>
  <c r="C22" i="30" s="1"/>
  <c r="C48" i="27"/>
  <c r="C10" i="27" s="1"/>
  <c r="C22" i="27" s="1"/>
  <c r="C48" i="26"/>
  <c r="C10" i="26" s="1"/>
  <c r="C22" i="26" s="1"/>
  <c r="C48" i="5"/>
  <c r="M48" i="3"/>
  <c r="C50" i="27"/>
  <c r="C12" i="27" s="1"/>
  <c r="C24" i="27" s="1"/>
  <c r="C50" i="30"/>
  <c r="C12" i="30" s="1"/>
  <c r="C24" i="30" s="1"/>
  <c r="C12" i="5"/>
  <c r="C24" i="5" s="1"/>
  <c r="V16" i="36"/>
  <c r="H51" i="36"/>
  <c r="G52" i="36"/>
  <c r="G53" i="36"/>
  <c r="AA26" i="1"/>
  <c r="CB26" i="1"/>
  <c r="DM26" i="1" s="1"/>
  <c r="M106" i="1"/>
  <c r="AA27" i="1"/>
  <c r="CB34" i="1"/>
  <c r="AA34" i="1"/>
  <c r="CT34" i="1"/>
  <c r="AA42" i="1"/>
  <c r="CB42" i="1"/>
  <c r="CT42" i="1"/>
  <c r="M125" i="1"/>
  <c r="AA26" i="23"/>
  <c r="AA29" i="23"/>
  <c r="AA38" i="23"/>
  <c r="AA42" i="23"/>
  <c r="C45" i="27"/>
  <c r="C7" i="27" s="1"/>
  <c r="C19" i="27" s="1"/>
  <c r="AA41" i="24"/>
  <c r="S9" i="3"/>
  <c r="D43" i="30"/>
  <c r="D43" i="26"/>
  <c r="D43" i="5"/>
  <c r="D43" i="27"/>
  <c r="C181" i="29"/>
  <c r="AL160" i="3"/>
  <c r="C181" i="24"/>
  <c r="M47" i="3"/>
  <c r="C49" i="30"/>
  <c r="C11" i="30" s="1"/>
  <c r="C23" i="30" s="1"/>
  <c r="C49" i="26"/>
  <c r="C11" i="26" s="1"/>
  <c r="C23" i="26" s="1"/>
  <c r="C49" i="5"/>
  <c r="E51" i="36"/>
  <c r="I53" i="36"/>
  <c r="CB38" i="1"/>
  <c r="AA38" i="1"/>
  <c r="CT38" i="1"/>
  <c r="AA41" i="1"/>
  <c r="CB41" i="1"/>
  <c r="CT41" i="1"/>
  <c r="AA41" i="23"/>
  <c r="AA44" i="23"/>
  <c r="AA26" i="24"/>
  <c r="B162" i="3"/>
  <c r="T9" i="3"/>
  <c r="C10" i="29"/>
  <c r="C10" i="24"/>
  <c r="C10" i="23"/>
  <c r="C182" i="29"/>
  <c r="AL161" i="3"/>
  <c r="C182" i="24"/>
  <c r="C182" i="23"/>
  <c r="C182" i="1"/>
  <c r="D226" i="1" s="1"/>
  <c r="C51" i="30"/>
  <c r="C13" i="30" s="1"/>
  <c r="C25" i="30" s="1"/>
  <c r="C51" i="26"/>
  <c r="C13" i="26" s="1"/>
  <c r="C25" i="26" s="1"/>
  <c r="C13" i="5"/>
  <c r="C25" i="5" s="1"/>
  <c r="M49" i="3"/>
  <c r="C51" i="27"/>
  <c r="C13" i="27" s="1"/>
  <c r="C25" i="27" s="1"/>
  <c r="F52" i="36"/>
  <c r="AA29" i="1"/>
  <c r="CB29" i="1"/>
  <c r="DM29" i="1" s="1"/>
  <c r="G125" i="1"/>
  <c r="CB44" i="1"/>
  <c r="AA44" i="1"/>
  <c r="CT44" i="1"/>
  <c r="C181" i="1"/>
  <c r="D225" i="1" s="1"/>
  <c r="AA27" i="23"/>
  <c r="H54" i="36"/>
  <c r="J53" i="36"/>
  <c r="F53" i="36"/>
  <c r="H52" i="36"/>
  <c r="J51" i="36"/>
  <c r="F51" i="36"/>
  <c r="V9" i="3"/>
  <c r="C184" i="24"/>
  <c r="AL163" i="3"/>
  <c r="C184" i="23"/>
  <c r="C184" i="29"/>
  <c r="C184" i="1"/>
  <c r="D228" i="1" s="1"/>
  <c r="X16" i="36"/>
  <c r="I51" i="36"/>
  <c r="I52" i="36"/>
  <c r="H53" i="36"/>
  <c r="G54" i="36"/>
  <c r="C10" i="1"/>
  <c r="AA25" i="1"/>
  <c r="CB27" i="1"/>
  <c r="DM27" i="1" s="1"/>
  <c r="BJ27" i="1"/>
  <c r="AA32" i="1"/>
  <c r="CB32" i="1"/>
  <c r="CT32" i="1"/>
  <c r="BJ38" i="1"/>
  <c r="BJ41" i="1"/>
  <c r="AA32" i="23"/>
  <c r="C49" i="27"/>
  <c r="C11" i="27" s="1"/>
  <c r="C23" i="27" s="1"/>
  <c r="C50" i="26"/>
  <c r="C12" i="26" s="1"/>
  <c r="C24" i="26" s="1"/>
  <c r="CB35" i="1"/>
  <c r="BJ39" i="1"/>
  <c r="BJ40" i="1"/>
  <c r="BJ45" i="1"/>
  <c r="BJ46" i="1"/>
  <c r="AA23" i="23"/>
  <c r="AA24" i="23"/>
  <c r="DM29" i="24"/>
  <c r="CB28" i="29"/>
  <c r="CB25" i="29"/>
  <c r="AA25" i="29"/>
  <c r="CB26" i="29"/>
  <c r="AA35" i="29"/>
  <c r="CB35" i="29"/>
  <c r="BJ35" i="29"/>
  <c r="BJ40" i="29"/>
  <c r="CB42" i="29"/>
  <c r="AA42" i="29"/>
  <c r="BJ44" i="29"/>
  <c r="M50" i="3"/>
  <c r="C52" i="26"/>
  <c r="C14" i="26" s="1"/>
  <c r="C26" i="26" s="1"/>
  <c r="C52" i="27"/>
  <c r="C14" i="27" s="1"/>
  <c r="C26" i="27" s="1"/>
  <c r="AA23" i="1"/>
  <c r="AA24" i="1"/>
  <c r="CT24" i="1"/>
  <c r="BJ28" i="1"/>
  <c r="CT28" i="1"/>
  <c r="BJ33" i="1"/>
  <c r="AA35" i="1"/>
  <c r="BJ37" i="1"/>
  <c r="CT39" i="1"/>
  <c r="CT40" i="1"/>
  <c r="BJ43" i="1"/>
  <c r="CT45" i="1"/>
  <c r="CT46" i="1"/>
  <c r="AA32" i="24"/>
  <c r="AA35" i="24"/>
  <c r="CB23" i="29"/>
  <c r="CB40" i="29"/>
  <c r="CB32" i="29"/>
  <c r="BJ37" i="29"/>
  <c r="AA24" i="24"/>
  <c r="BJ33" i="29"/>
  <c r="BJ39" i="29"/>
  <c r="AA34" i="29"/>
  <c r="AA38" i="29"/>
  <c r="AA43" i="29"/>
  <c r="AA45" i="29"/>
  <c r="B47" i="36"/>
  <c r="B52" i="36" s="1"/>
  <c r="B2" i="1"/>
  <c r="B59" i="3"/>
  <c r="B2" i="24"/>
  <c r="G20" i="24"/>
  <c r="G20" i="29"/>
  <c r="B47" i="29" s="1"/>
  <c r="M144" i="29" s="1"/>
  <c r="B49" i="36"/>
  <c r="B54" i="36" s="1"/>
  <c r="B2" i="23"/>
  <c r="G20" i="23"/>
  <c r="B2" i="29"/>
  <c r="T8" i="9"/>
  <c r="AV9" i="3" s="1"/>
  <c r="B46" i="36"/>
  <c r="B51" i="36" s="1"/>
  <c r="B48" i="36"/>
  <c r="B53" i="36" s="1"/>
  <c r="G20" i="1"/>
  <c r="H9" i="24"/>
  <c r="H21" i="23"/>
  <c r="D54" i="36"/>
  <c r="G11" i="23"/>
  <c r="H9" i="29"/>
  <c r="D52" i="36"/>
  <c r="C57" i="20"/>
  <c r="D31" i="5"/>
  <c r="D41" i="5" s="1"/>
  <c r="G177" i="1"/>
  <c r="D51" i="36"/>
  <c r="D53" i="36"/>
  <c r="G11" i="1"/>
  <c r="BL9" i="1"/>
  <c r="BL10" i="1" s="1"/>
  <c r="CU31" i="1"/>
  <c r="CC9" i="23"/>
  <c r="CC10" i="23" s="1"/>
  <c r="D110" i="27"/>
  <c r="D6" i="27"/>
  <c r="D124" i="26"/>
  <c r="D31" i="26" s="1"/>
  <c r="G177" i="24"/>
  <c r="H21" i="24"/>
  <c r="AC21" i="24"/>
  <c r="D124" i="30"/>
  <c r="D31" i="30" s="1"/>
  <c r="G177" i="29"/>
  <c r="CC9" i="29"/>
  <c r="CC10" i="29" s="1"/>
  <c r="H21" i="29"/>
  <c r="AC21" i="29"/>
  <c r="AB10" i="3"/>
  <c r="G75" i="58" a="1"/>
  <c r="H75" i="58" a="1"/>
  <c r="E48" i="58" l="1"/>
  <c r="E41" i="58"/>
  <c r="V227" i="1"/>
  <c r="R224" i="1"/>
  <c r="R229" i="1"/>
  <c r="U227" i="1"/>
  <c r="N224" i="1"/>
  <c r="S227" i="1"/>
  <c r="J227" i="1"/>
  <c r="D20" i="1"/>
  <c r="D20" i="23"/>
  <c r="F27" i="58"/>
  <c r="F79" i="58" s="1"/>
  <c r="D7" i="59"/>
  <c r="E45" i="58"/>
  <c r="DM37" i="58"/>
  <c r="AM25" i="59" s="1"/>
  <c r="DL37" i="58"/>
  <c r="AL25" i="59" s="1"/>
  <c r="DK37" i="58"/>
  <c r="AK25" i="59" s="1"/>
  <c r="DJ37" i="58"/>
  <c r="AJ25" i="59" s="1"/>
  <c r="DI37" i="58"/>
  <c r="AI25" i="59" s="1"/>
  <c r="DM40" i="58"/>
  <c r="AM28" i="59" s="1"/>
  <c r="DL40" i="58"/>
  <c r="AL28" i="59" s="1"/>
  <c r="DK40" i="58"/>
  <c r="AK28" i="59" s="1"/>
  <c r="DJ40" i="58"/>
  <c r="AJ28" i="59" s="1"/>
  <c r="DI40" i="58"/>
  <c r="AI28" i="59" s="1"/>
  <c r="DM45" i="58"/>
  <c r="AM33" i="59" s="1"/>
  <c r="DL45" i="58"/>
  <c r="AL33" i="59" s="1"/>
  <c r="DK45" i="58"/>
  <c r="AK33" i="59" s="1"/>
  <c r="DJ45" i="58"/>
  <c r="AJ33" i="59" s="1"/>
  <c r="DI45" i="58"/>
  <c r="AI33" i="59" s="1"/>
  <c r="DK43" i="58"/>
  <c r="AK31" i="59" s="1"/>
  <c r="DJ43" i="58"/>
  <c r="AJ31" i="59" s="1"/>
  <c r="DI43" i="58"/>
  <c r="AI31" i="59" s="1"/>
  <c r="DL43" i="58"/>
  <c r="AL31" i="59" s="1"/>
  <c r="DM43" i="58"/>
  <c r="AM31" i="59" s="1"/>
  <c r="DM28" i="58"/>
  <c r="DL28" i="58"/>
  <c r="DK28" i="58"/>
  <c r="DJ28" i="58"/>
  <c r="DI28" i="58"/>
  <c r="DJ48" i="58"/>
  <c r="AJ36" i="59" s="1"/>
  <c r="DI48" i="58"/>
  <c r="AI36" i="59" s="1"/>
  <c r="DK48" i="58"/>
  <c r="AK36" i="59" s="1"/>
  <c r="DM48" i="58"/>
  <c r="AM36" i="59" s="1"/>
  <c r="DL48" i="58"/>
  <c r="AL36" i="59" s="1"/>
  <c r="DI41" i="58"/>
  <c r="DJ41" i="58"/>
  <c r="DM41" i="58"/>
  <c r="DL41" i="58"/>
  <c r="DK41" i="58"/>
  <c r="K227" i="1"/>
  <c r="P225" i="1"/>
  <c r="E50" i="58"/>
  <c r="E44" i="58"/>
  <c r="E36" i="58"/>
  <c r="E47" i="58"/>
  <c r="CY47" i="58" s="1"/>
  <c r="Y35" i="59" s="1"/>
  <c r="E46" i="58"/>
  <c r="DF46" i="58" s="1"/>
  <c r="AF34" i="59" s="1"/>
  <c r="E38" i="58"/>
  <c r="E49" i="58"/>
  <c r="F41" i="58"/>
  <c r="F93" i="58" s="1"/>
  <c r="F47" i="58"/>
  <c r="F99" i="58" s="1"/>
  <c r="E29" i="58"/>
  <c r="F38" i="58"/>
  <c r="F90" i="58" s="1"/>
  <c r="G75" i="58"/>
  <c r="F40" i="58"/>
  <c r="F92" i="58" s="1"/>
  <c r="D33" i="58"/>
  <c r="D85" i="58" s="1"/>
  <c r="B51" i="58"/>
  <c r="D39" i="58"/>
  <c r="D91" i="58" s="1"/>
  <c r="D31" i="58"/>
  <c r="D83" i="58" s="1"/>
  <c r="D30" i="58"/>
  <c r="D82" i="58" s="1"/>
  <c r="D41" i="58"/>
  <c r="D93" i="58" s="1"/>
  <c r="D37" i="58"/>
  <c r="D89" i="58" s="1"/>
  <c r="D32" i="58"/>
  <c r="D84" i="58" s="1"/>
  <c r="D29" i="58"/>
  <c r="D81" i="58" s="1"/>
  <c r="D38" i="58"/>
  <c r="D90" i="58" s="1"/>
  <c r="E39" i="58"/>
  <c r="D48" i="58"/>
  <c r="D100" i="58" s="1"/>
  <c r="D49" i="58"/>
  <c r="D101" i="58" s="1"/>
  <c r="D50" i="58"/>
  <c r="D102" i="58" s="1"/>
  <c r="D36" i="58"/>
  <c r="D88" i="58" s="1"/>
  <c r="D46" i="58"/>
  <c r="D98" i="58" s="1"/>
  <c r="D40" i="58"/>
  <c r="D92" i="58" s="1"/>
  <c r="D43" i="58"/>
  <c r="D95" i="58" s="1"/>
  <c r="D42" i="58"/>
  <c r="D94" i="58" s="1"/>
  <c r="D45" i="58"/>
  <c r="D97" i="58" s="1"/>
  <c r="D44" i="58"/>
  <c r="D96" i="58" s="1"/>
  <c r="D47" i="58"/>
  <c r="D99" i="58" s="1"/>
  <c r="D27" i="58"/>
  <c r="D79" i="58" s="1"/>
  <c r="D28" i="58"/>
  <c r="D80" i="58" s="1"/>
  <c r="F37" i="58"/>
  <c r="F89" i="58" s="1"/>
  <c r="F50" i="58"/>
  <c r="F102" i="58" s="1"/>
  <c r="E30" i="58"/>
  <c r="F43" i="58"/>
  <c r="F95" i="58" s="1"/>
  <c r="F49" i="58"/>
  <c r="F101" i="58" s="1"/>
  <c r="F48" i="58"/>
  <c r="F100" i="58" s="1"/>
  <c r="F31" i="58"/>
  <c r="F83" i="58" s="1"/>
  <c r="E42" i="58"/>
  <c r="F44" i="58"/>
  <c r="F96" i="58" s="1"/>
  <c r="F46" i="58"/>
  <c r="F98" i="58" s="1"/>
  <c r="F33" i="58"/>
  <c r="F85" i="58" s="1"/>
  <c r="F32" i="58"/>
  <c r="F84" i="58" s="1"/>
  <c r="F39" i="58"/>
  <c r="F91" i="58" s="1"/>
  <c r="E27" i="58"/>
  <c r="DM27" i="58" s="1"/>
  <c r="F36" i="58"/>
  <c r="F88" i="58" s="1"/>
  <c r="E31" i="58"/>
  <c r="F45" i="58"/>
  <c r="F97" i="58" s="1"/>
  <c r="E32" i="58"/>
  <c r="F28" i="58"/>
  <c r="F80" i="58" s="1"/>
  <c r="E33" i="58"/>
  <c r="F29" i="58"/>
  <c r="F81" i="58" s="1"/>
  <c r="F42" i="58"/>
  <c r="F94" i="58" s="1"/>
  <c r="F30" i="58"/>
  <c r="F82" i="58" s="1"/>
  <c r="D14" i="35"/>
  <c r="V14" i="35" s="1"/>
  <c r="E14" i="35"/>
  <c r="W14" i="35" s="1"/>
  <c r="M227" i="1"/>
  <c r="P227" i="1"/>
  <c r="L227" i="1"/>
  <c r="P229" i="1"/>
  <c r="U228" i="1"/>
  <c r="R226" i="1"/>
  <c r="S225" i="1"/>
  <c r="L226" i="1"/>
  <c r="G227" i="1"/>
  <c r="R227" i="1"/>
  <c r="V229" i="1"/>
  <c r="J229" i="1"/>
  <c r="Q227" i="1"/>
  <c r="N227" i="1"/>
  <c r="N229" i="1"/>
  <c r="S229" i="1"/>
  <c r="E95" i="58"/>
  <c r="CK43" i="58"/>
  <c r="K31" i="59" s="1"/>
  <c r="DA43" i="58"/>
  <c r="AA31" i="59" s="1"/>
  <c r="CN43" i="58"/>
  <c r="N31" i="59" s="1"/>
  <c r="DH43" i="58"/>
  <c r="AH31" i="59" s="1"/>
  <c r="DE43" i="58"/>
  <c r="AE31" i="59" s="1"/>
  <c r="CZ43" i="58"/>
  <c r="Z31" i="59" s="1"/>
  <c r="CV43" i="58"/>
  <c r="V31" i="59" s="1"/>
  <c r="CS43" i="58"/>
  <c r="S31" i="59" s="1"/>
  <c r="CJ43" i="58"/>
  <c r="J31" i="59" s="1"/>
  <c r="CG43" i="58"/>
  <c r="G31" i="59" s="1"/>
  <c r="CO43" i="58"/>
  <c r="O31" i="59" s="1"/>
  <c r="DD43" i="58"/>
  <c r="AD31" i="59" s="1"/>
  <c r="DG43" i="58"/>
  <c r="AG31" i="59" s="1"/>
  <c r="CR43" i="58"/>
  <c r="R31" i="59" s="1"/>
  <c r="CU43" i="58"/>
  <c r="U31" i="59" s="1"/>
  <c r="CF43" i="58"/>
  <c r="F31" i="59" s="1"/>
  <c r="CY43" i="58"/>
  <c r="Y31" i="59" s="1"/>
  <c r="CI43" i="58"/>
  <c r="I31" i="59" s="1"/>
  <c r="DB43" i="58"/>
  <c r="AB31" i="59" s="1"/>
  <c r="CM43" i="58"/>
  <c r="M31" i="59" s="1"/>
  <c r="CP43" i="58"/>
  <c r="P31" i="59" s="1"/>
  <c r="CD43" i="58"/>
  <c r="D31" i="59" s="1"/>
  <c r="CX43" i="58"/>
  <c r="X31" i="59" s="1"/>
  <c r="DF43" i="58"/>
  <c r="AF31" i="59" s="1"/>
  <c r="DC43" i="58"/>
  <c r="AC31" i="59" s="1"/>
  <c r="CL43" i="58"/>
  <c r="L31" i="59" s="1"/>
  <c r="CT43" i="58"/>
  <c r="T31" i="59" s="1"/>
  <c r="CQ43" i="58"/>
  <c r="Q31" i="59" s="1"/>
  <c r="CW43" i="58"/>
  <c r="W31" i="59" s="1"/>
  <c r="CH43" i="58"/>
  <c r="H31" i="59" s="1"/>
  <c r="CE43" i="58"/>
  <c r="E31" i="59" s="1"/>
  <c r="Q229" i="1"/>
  <c r="O228" i="1"/>
  <c r="G226" i="1"/>
  <c r="CP46" i="58"/>
  <c r="P34" i="59" s="1"/>
  <c r="CG46" i="58"/>
  <c r="G34" i="59" s="1"/>
  <c r="V228" i="1"/>
  <c r="E100" i="58"/>
  <c r="CR48" i="58"/>
  <c r="R36" i="59" s="1"/>
  <c r="CJ48" i="58"/>
  <c r="J36" i="59" s="1"/>
  <c r="CT48" i="58"/>
  <c r="T36" i="59" s="1"/>
  <c r="CF48" i="58"/>
  <c r="F36" i="59" s="1"/>
  <c r="DG48" i="58"/>
  <c r="AG36" i="59" s="1"/>
  <c r="CH48" i="58"/>
  <c r="H36" i="59" s="1"/>
  <c r="DC48" i="58"/>
  <c r="AC36" i="59" s="1"/>
  <c r="CZ48" i="58"/>
  <c r="Z36" i="59" s="1"/>
  <c r="CL48" i="58"/>
  <c r="L36" i="59" s="1"/>
  <c r="CQ48" i="58"/>
  <c r="Q36" i="59" s="1"/>
  <c r="CN48" i="58"/>
  <c r="N36" i="59" s="1"/>
  <c r="DE48" i="58"/>
  <c r="AE36" i="59" s="1"/>
  <c r="CP48" i="58"/>
  <c r="P36" i="59" s="1"/>
  <c r="DD48" i="58"/>
  <c r="AD36" i="59" s="1"/>
  <c r="CE48" i="58"/>
  <c r="E36" i="59" s="1"/>
  <c r="CY48" i="58"/>
  <c r="Y36" i="59" s="1"/>
  <c r="CO48" i="58"/>
  <c r="O36" i="59" s="1"/>
  <c r="DH48" i="58"/>
  <c r="AH36" i="59" s="1"/>
  <c r="CM48" i="58"/>
  <c r="M36" i="59" s="1"/>
  <c r="DB48" i="58"/>
  <c r="AB36" i="59" s="1"/>
  <c r="CX48" i="58"/>
  <c r="X36" i="59" s="1"/>
  <c r="CS48" i="58"/>
  <c r="S36" i="59" s="1"/>
  <c r="CD48" i="58"/>
  <c r="D36" i="59" s="1"/>
  <c r="CW48" i="58"/>
  <c r="W36" i="59" s="1"/>
  <c r="CG48" i="58"/>
  <c r="G36" i="59" s="1"/>
  <c r="CV48" i="58"/>
  <c r="V36" i="59" s="1"/>
  <c r="CK48" i="58"/>
  <c r="K36" i="59" s="1"/>
  <c r="DF48" i="58"/>
  <c r="AF36" i="59" s="1"/>
  <c r="CI48" i="58"/>
  <c r="I36" i="59" s="1"/>
  <c r="DA48" i="58"/>
  <c r="AA36" i="59" s="1"/>
  <c r="CU48" i="58"/>
  <c r="U36" i="59" s="1"/>
  <c r="H228" i="1"/>
  <c r="H226" i="1"/>
  <c r="E92" i="58"/>
  <c r="CT40" i="58"/>
  <c r="T28" i="59" s="1"/>
  <c r="DB40" i="58"/>
  <c r="AB28" i="59" s="1"/>
  <c r="CJ40" i="58"/>
  <c r="J28" i="59" s="1"/>
  <c r="CH40" i="58"/>
  <c r="H28" i="59" s="1"/>
  <c r="CP40" i="58"/>
  <c r="P28" i="59" s="1"/>
  <c r="CV40" i="58"/>
  <c r="V28" i="59" s="1"/>
  <c r="DE40" i="58"/>
  <c r="AE28" i="59" s="1"/>
  <c r="CD40" i="58"/>
  <c r="D28" i="59" s="1"/>
  <c r="CY40" i="58"/>
  <c r="Y28" i="59" s="1"/>
  <c r="CS40" i="58"/>
  <c r="S28" i="59" s="1"/>
  <c r="CL40" i="58"/>
  <c r="L28" i="59" s="1"/>
  <c r="CN40" i="58"/>
  <c r="N28" i="59" s="1"/>
  <c r="CG40" i="58"/>
  <c r="G28" i="59" s="1"/>
  <c r="DA40" i="58"/>
  <c r="AA28" i="59" s="1"/>
  <c r="CQ40" i="58"/>
  <c r="Q28" i="59" s="1"/>
  <c r="DD40" i="58"/>
  <c r="AD28" i="59" s="1"/>
  <c r="CO40" i="58"/>
  <c r="O28" i="59" s="1"/>
  <c r="DG40" i="58"/>
  <c r="AG28" i="59" s="1"/>
  <c r="DH40" i="58"/>
  <c r="AH28" i="59" s="1"/>
  <c r="CR40" i="58"/>
  <c r="R28" i="59" s="1"/>
  <c r="CZ40" i="58"/>
  <c r="Z28" i="59" s="1"/>
  <c r="CF40" i="58"/>
  <c r="F28" i="59" s="1"/>
  <c r="CI40" i="58"/>
  <c r="I28" i="59" s="1"/>
  <c r="CU40" i="58"/>
  <c r="U28" i="59" s="1"/>
  <c r="DC40" i="58"/>
  <c r="AC28" i="59" s="1"/>
  <c r="CX40" i="58"/>
  <c r="X28" i="59" s="1"/>
  <c r="DF40" i="58"/>
  <c r="AF28" i="59" s="1"/>
  <c r="CK40" i="58"/>
  <c r="K28" i="59" s="1"/>
  <c r="CE40" i="58"/>
  <c r="E28" i="59" s="1"/>
  <c r="CM40" i="58"/>
  <c r="M28" i="59" s="1"/>
  <c r="CW40" i="58"/>
  <c r="W28" i="59" s="1"/>
  <c r="CI49" i="58"/>
  <c r="I37" i="59" s="1"/>
  <c r="CE49" i="58"/>
  <c r="E37" i="59" s="1"/>
  <c r="CY49" i="58"/>
  <c r="Y37" i="59" s="1"/>
  <c r="DF49" i="58"/>
  <c r="AF37" i="59" s="1"/>
  <c r="CW49" i="58"/>
  <c r="W37" i="59" s="1"/>
  <c r="CM49" i="58"/>
  <c r="M37" i="59" s="1"/>
  <c r="CT49" i="58"/>
  <c r="T37" i="59" s="1"/>
  <c r="CK49" i="58"/>
  <c r="K37" i="59" s="1"/>
  <c r="DH49" i="58"/>
  <c r="AH37" i="59" s="1"/>
  <c r="CF49" i="58"/>
  <c r="F37" i="59" s="1"/>
  <c r="CH49" i="58"/>
  <c r="H37" i="59" s="1"/>
  <c r="DB49" i="58"/>
  <c r="AB37" i="59" s="1"/>
  <c r="CV49" i="58"/>
  <c r="V37" i="59" s="1"/>
  <c r="DD49" i="58"/>
  <c r="AD37" i="59" s="1"/>
  <c r="CQ49" i="58"/>
  <c r="Q37" i="59" s="1"/>
  <c r="DE49" i="58"/>
  <c r="AE37" i="59" s="1"/>
  <c r="CP49" i="58"/>
  <c r="P37" i="59" s="1"/>
  <c r="CJ49" i="58"/>
  <c r="J37" i="59" s="1"/>
  <c r="CN49" i="58"/>
  <c r="N37" i="59" s="1"/>
  <c r="CS49" i="58"/>
  <c r="S37" i="59" s="1"/>
  <c r="CD49" i="58"/>
  <c r="D37" i="59" s="1"/>
  <c r="DA49" i="58"/>
  <c r="AA37" i="59" s="1"/>
  <c r="CX49" i="58"/>
  <c r="X37" i="59" s="1"/>
  <c r="CG49" i="58"/>
  <c r="G37" i="59" s="1"/>
  <c r="CL49" i="58"/>
  <c r="L37" i="59" s="1"/>
  <c r="CR49" i="58"/>
  <c r="R37" i="59" s="1"/>
  <c r="CO49" i="58"/>
  <c r="O37" i="59" s="1"/>
  <c r="DG49" i="58"/>
  <c r="AG37" i="59" s="1"/>
  <c r="DC49" i="58"/>
  <c r="AC37" i="59" s="1"/>
  <c r="CZ49" i="58"/>
  <c r="Z37" i="59" s="1"/>
  <c r="CU49" i="58"/>
  <c r="U37" i="59" s="1"/>
  <c r="O224" i="1"/>
  <c r="J228" i="1"/>
  <c r="N228" i="1"/>
  <c r="T226" i="1"/>
  <c r="H229" i="1"/>
  <c r="O227" i="1"/>
  <c r="U229" i="1"/>
  <c r="E93" i="58"/>
  <c r="DF41" i="58"/>
  <c r="CE41" i="58"/>
  <c r="CT41" i="58"/>
  <c r="DB41" i="58"/>
  <c r="CH41" i="58"/>
  <c r="CP41" i="58"/>
  <c r="DE41" i="58"/>
  <c r="CD41" i="58"/>
  <c r="CJ41" i="58"/>
  <c r="CS41" i="58"/>
  <c r="DA41" i="58"/>
  <c r="DH41" i="58"/>
  <c r="CG41" i="58"/>
  <c r="CO41" i="58"/>
  <c r="DD41" i="58"/>
  <c r="CV41" i="58"/>
  <c r="CL41" i="58"/>
  <c r="CY41" i="58"/>
  <c r="DG41" i="58"/>
  <c r="CN41" i="58"/>
  <c r="CM41" i="58"/>
  <c r="CX41" i="58"/>
  <c r="CR41" i="58"/>
  <c r="CZ41" i="58"/>
  <c r="CF41" i="58"/>
  <c r="CU41" i="58"/>
  <c r="DC41" i="58"/>
  <c r="CK41" i="58"/>
  <c r="CI41" i="58"/>
  <c r="CQ41" i="58"/>
  <c r="CW41" i="58"/>
  <c r="I228" i="1"/>
  <c r="M228" i="1"/>
  <c r="I226" i="1"/>
  <c r="M229" i="1"/>
  <c r="S226" i="1"/>
  <c r="T228" i="1"/>
  <c r="L228" i="1"/>
  <c r="M226" i="1"/>
  <c r="U226" i="1"/>
  <c r="U233" i="1" s="1"/>
  <c r="G229" i="1"/>
  <c r="L229" i="1"/>
  <c r="L224" i="1"/>
  <c r="Q224" i="1"/>
  <c r="O229" i="1"/>
  <c r="T229" i="1"/>
  <c r="S228" i="1"/>
  <c r="S233" i="1" s="1"/>
  <c r="K228" i="1"/>
  <c r="N226" i="1"/>
  <c r="J226" i="1"/>
  <c r="K229" i="1"/>
  <c r="K224" i="1"/>
  <c r="G228" i="1"/>
  <c r="E96" i="58"/>
  <c r="CK44" i="58"/>
  <c r="CT44" i="58"/>
  <c r="CD44" i="58"/>
  <c r="CH44" i="58"/>
  <c r="DH44" i="58"/>
  <c r="DE44" i="58"/>
  <c r="CV44" i="58"/>
  <c r="CS44" i="58"/>
  <c r="CZ44" i="58"/>
  <c r="CJ44" i="58"/>
  <c r="CG44" i="58"/>
  <c r="CN44" i="58"/>
  <c r="CQ44" i="58"/>
  <c r="DC44" i="58"/>
  <c r="DB44" i="58"/>
  <c r="CE44" i="58"/>
  <c r="DD44" i="58"/>
  <c r="CY44" i="58"/>
  <c r="DG44" i="58"/>
  <c r="CR44" i="58"/>
  <c r="CM44" i="58"/>
  <c r="CU44" i="58"/>
  <c r="CF44" i="58"/>
  <c r="CX44" i="58"/>
  <c r="CI44" i="58"/>
  <c r="CO44" i="58"/>
  <c r="CL44" i="58"/>
  <c r="CP44" i="58"/>
  <c r="DA44" i="58"/>
  <c r="CW44" i="58"/>
  <c r="DF44" i="58"/>
  <c r="O226" i="1"/>
  <c r="V226" i="1"/>
  <c r="V233" i="1" s="1"/>
  <c r="E102" i="58"/>
  <c r="CS50" i="58"/>
  <c r="S38" i="59" s="1"/>
  <c r="CP50" i="58"/>
  <c r="P38" i="59" s="1"/>
  <c r="CG50" i="58"/>
  <c r="G38" i="59" s="1"/>
  <c r="CD50" i="58"/>
  <c r="D38" i="59" s="1"/>
  <c r="DH50" i="58"/>
  <c r="AH38" i="59" s="1"/>
  <c r="CY50" i="58"/>
  <c r="Y38" i="59" s="1"/>
  <c r="DA50" i="58"/>
  <c r="AA38" i="59" s="1"/>
  <c r="CV50" i="58"/>
  <c r="V38" i="59" s="1"/>
  <c r="CM50" i="58"/>
  <c r="M38" i="59" s="1"/>
  <c r="CO50" i="58"/>
  <c r="O38" i="59" s="1"/>
  <c r="CL50" i="58"/>
  <c r="L38" i="59" s="1"/>
  <c r="DE50" i="58"/>
  <c r="AE38" i="59" s="1"/>
  <c r="CJ50" i="58"/>
  <c r="J38" i="59" s="1"/>
  <c r="DD50" i="58"/>
  <c r="AD38" i="59" s="1"/>
  <c r="CZ50" i="58"/>
  <c r="Z38" i="59" s="1"/>
  <c r="CQ50" i="58"/>
  <c r="Q38" i="59" s="1"/>
  <c r="DG50" i="58"/>
  <c r="AG38" i="59" s="1"/>
  <c r="CR50" i="58"/>
  <c r="R38" i="59" s="1"/>
  <c r="CN50" i="58"/>
  <c r="N38" i="59" s="1"/>
  <c r="CI50" i="58"/>
  <c r="I38" i="59" s="1"/>
  <c r="CT50" i="58"/>
  <c r="T38" i="59" s="1"/>
  <c r="CU50" i="58"/>
  <c r="U38" i="59" s="1"/>
  <c r="CF50" i="58"/>
  <c r="F38" i="59" s="1"/>
  <c r="CX50" i="58"/>
  <c r="X38" i="59" s="1"/>
  <c r="CW50" i="58"/>
  <c r="W38" i="59" s="1"/>
  <c r="DF50" i="58"/>
  <c r="AF38" i="59" s="1"/>
  <c r="DC50" i="58"/>
  <c r="AC38" i="59" s="1"/>
  <c r="CK50" i="58"/>
  <c r="K38" i="59" s="1"/>
  <c r="CH50" i="58"/>
  <c r="H38" i="59" s="1"/>
  <c r="CE50" i="58"/>
  <c r="E38" i="59" s="1"/>
  <c r="DB50" i="58"/>
  <c r="AB38" i="59" s="1"/>
  <c r="I227" i="1"/>
  <c r="R228" i="1"/>
  <c r="P226" i="1"/>
  <c r="E88" i="58"/>
  <c r="CM36" i="58"/>
  <c r="CI36" i="58"/>
  <c r="DB36" i="58"/>
  <c r="CX36" i="58"/>
  <c r="CE36" i="58"/>
  <c r="DA36" i="58"/>
  <c r="CL36" i="58"/>
  <c r="DF36" i="58"/>
  <c r="CO36" i="58"/>
  <c r="DC36" i="58"/>
  <c r="CT36" i="58"/>
  <c r="CJ36" i="58"/>
  <c r="CP36" i="58"/>
  <c r="CH36" i="58"/>
  <c r="CW36" i="58"/>
  <c r="CQ36" i="58"/>
  <c r="DH36" i="58"/>
  <c r="CK36" i="58"/>
  <c r="DE36" i="58"/>
  <c r="CS36" i="58"/>
  <c r="CN36" i="58"/>
  <c r="CU36" i="58"/>
  <c r="DD36" i="58"/>
  <c r="CZ36" i="58"/>
  <c r="CV36" i="58"/>
  <c r="CG36" i="58"/>
  <c r="CF36" i="58"/>
  <c r="CD36" i="58"/>
  <c r="DG36" i="58"/>
  <c r="CR36" i="58"/>
  <c r="CY36" i="58"/>
  <c r="I229" i="1"/>
  <c r="J224" i="1"/>
  <c r="R225" i="1"/>
  <c r="R232" i="1" s="1"/>
  <c r="T227" i="1"/>
  <c r="E89" i="58"/>
  <c r="CR37" i="58"/>
  <c r="R25" i="59" s="1"/>
  <c r="CI37" i="58"/>
  <c r="I25" i="59" s="1"/>
  <c r="DH37" i="58"/>
  <c r="AH25" i="59" s="1"/>
  <c r="DD37" i="58"/>
  <c r="AD25" i="59" s="1"/>
  <c r="CM37" i="58"/>
  <c r="M25" i="59" s="1"/>
  <c r="CZ37" i="58"/>
  <c r="Z25" i="59" s="1"/>
  <c r="CU37" i="58"/>
  <c r="U25" i="59" s="1"/>
  <c r="CY37" i="58"/>
  <c r="Y25" i="59" s="1"/>
  <c r="DG37" i="58"/>
  <c r="AG25" i="59" s="1"/>
  <c r="DE37" i="58"/>
  <c r="AE25" i="59" s="1"/>
  <c r="CK37" i="58"/>
  <c r="K25" i="59" s="1"/>
  <c r="CL37" i="58"/>
  <c r="L25" i="59" s="1"/>
  <c r="CO37" i="58"/>
  <c r="O25" i="59" s="1"/>
  <c r="CJ37" i="58"/>
  <c r="J25" i="59" s="1"/>
  <c r="CW37" i="58"/>
  <c r="W25" i="59" s="1"/>
  <c r="CX37" i="58"/>
  <c r="X25" i="59" s="1"/>
  <c r="CT37" i="58"/>
  <c r="T25" i="59" s="1"/>
  <c r="CF37" i="58"/>
  <c r="F25" i="59" s="1"/>
  <c r="CH37" i="58"/>
  <c r="H25" i="59" s="1"/>
  <c r="CV37" i="58"/>
  <c r="V25" i="59" s="1"/>
  <c r="CG37" i="58"/>
  <c r="G25" i="59" s="1"/>
  <c r="DF37" i="58"/>
  <c r="AF25" i="59" s="1"/>
  <c r="CS37" i="58"/>
  <c r="S25" i="59" s="1"/>
  <c r="CN37" i="58"/>
  <c r="N25" i="59" s="1"/>
  <c r="CQ37" i="58"/>
  <c r="Q25" i="59" s="1"/>
  <c r="CP37" i="58"/>
  <c r="P25" i="59" s="1"/>
  <c r="CE37" i="58"/>
  <c r="E25" i="59" s="1"/>
  <c r="CD37" i="58"/>
  <c r="D25" i="59" s="1"/>
  <c r="DA37" i="58"/>
  <c r="AA25" i="59" s="1"/>
  <c r="DB37" i="58"/>
  <c r="AB25" i="59" s="1"/>
  <c r="DC37" i="58"/>
  <c r="AC25" i="59" s="1"/>
  <c r="Q228" i="1"/>
  <c r="Q226" i="1"/>
  <c r="CL47" i="58"/>
  <c r="L35" i="59" s="1"/>
  <c r="CU47" i="58"/>
  <c r="U35" i="59" s="1"/>
  <c r="CP38" i="58"/>
  <c r="P26" i="59" s="1"/>
  <c r="CL38" i="58"/>
  <c r="L26" i="59" s="1"/>
  <c r="DB38" i="58"/>
  <c r="AB26" i="59" s="1"/>
  <c r="CD38" i="58"/>
  <c r="D26" i="59" s="1"/>
  <c r="CH38" i="58"/>
  <c r="H26" i="59" s="1"/>
  <c r="CS38" i="58"/>
  <c r="S26" i="59" s="1"/>
  <c r="DA38" i="58"/>
  <c r="AA26" i="59" s="1"/>
  <c r="CW38" i="58"/>
  <c r="W26" i="59" s="1"/>
  <c r="CO38" i="58"/>
  <c r="O26" i="59" s="1"/>
  <c r="CK38" i="58"/>
  <c r="K26" i="59" s="1"/>
  <c r="CG38" i="58"/>
  <c r="G26" i="59" s="1"/>
  <c r="DH38" i="58"/>
  <c r="AH26" i="59" s="1"/>
  <c r="DE38" i="58"/>
  <c r="AE26" i="59" s="1"/>
  <c r="CE38" i="58"/>
  <c r="E26" i="59" s="1"/>
  <c r="CZ38" i="58"/>
  <c r="Z26" i="59" s="1"/>
  <c r="CV38" i="58"/>
  <c r="V26" i="59" s="1"/>
  <c r="CU38" i="58"/>
  <c r="U26" i="59" s="1"/>
  <c r="CI38" i="58"/>
  <c r="I26" i="59" s="1"/>
  <c r="CX38" i="58"/>
  <c r="X26" i="59" s="1"/>
  <c r="CN38" i="58"/>
  <c r="N26" i="59" s="1"/>
  <c r="CJ38" i="58"/>
  <c r="J26" i="59" s="1"/>
  <c r="CT38" i="58"/>
  <c r="T26" i="59" s="1"/>
  <c r="DF38" i="58"/>
  <c r="AF26" i="59" s="1"/>
  <c r="DC38" i="58"/>
  <c r="AC26" i="59" s="1"/>
  <c r="CY38" i="58"/>
  <c r="Y26" i="59" s="1"/>
  <c r="DG38" i="58"/>
  <c r="AG26" i="59" s="1"/>
  <c r="CQ38" i="58"/>
  <c r="Q26" i="59" s="1"/>
  <c r="CM38" i="58"/>
  <c r="M26" i="59" s="1"/>
  <c r="CR38" i="58"/>
  <c r="R26" i="59" s="1"/>
  <c r="CF38" i="58"/>
  <c r="F26" i="59" s="1"/>
  <c r="DD38" i="58"/>
  <c r="AD26" i="59" s="1"/>
  <c r="P224" i="1"/>
  <c r="H227" i="1"/>
  <c r="E97" i="58"/>
  <c r="CG45" i="58"/>
  <c r="G33" i="59" s="1"/>
  <c r="CH45" i="58"/>
  <c r="H33" i="59" s="1"/>
  <c r="CO45" i="58"/>
  <c r="O33" i="59" s="1"/>
  <c r="CS45" i="58"/>
  <c r="S33" i="59" s="1"/>
  <c r="CT45" i="58"/>
  <c r="T33" i="59" s="1"/>
  <c r="CR45" i="58"/>
  <c r="R33" i="59" s="1"/>
  <c r="CN45" i="58"/>
  <c r="N33" i="59" s="1"/>
  <c r="CX45" i="58"/>
  <c r="X33" i="59" s="1"/>
  <c r="DE45" i="58"/>
  <c r="AE33" i="59" s="1"/>
  <c r="DF45" i="58"/>
  <c r="AF33" i="59" s="1"/>
  <c r="CJ45" i="58"/>
  <c r="J33" i="59" s="1"/>
  <c r="DD45" i="58"/>
  <c r="AD33" i="59" s="1"/>
  <c r="CZ45" i="58"/>
  <c r="Z33" i="59" s="1"/>
  <c r="CV45" i="58"/>
  <c r="V33" i="59" s="1"/>
  <c r="CY45" i="58"/>
  <c r="Y33" i="59" s="1"/>
  <c r="CI45" i="58"/>
  <c r="I33" i="59" s="1"/>
  <c r="DH45" i="58"/>
  <c r="AH33" i="59" s="1"/>
  <c r="CK45" i="58"/>
  <c r="K33" i="59" s="1"/>
  <c r="CU45" i="58"/>
  <c r="U33" i="59" s="1"/>
  <c r="DG45" i="58"/>
  <c r="AG33" i="59" s="1"/>
  <c r="CF45" i="58"/>
  <c r="F33" i="59" s="1"/>
  <c r="CM45" i="58"/>
  <c r="M33" i="59" s="1"/>
  <c r="CW45" i="58"/>
  <c r="W33" i="59" s="1"/>
  <c r="CL45" i="58"/>
  <c r="L33" i="59" s="1"/>
  <c r="DC45" i="58"/>
  <c r="AC33" i="59" s="1"/>
  <c r="DB45" i="58"/>
  <c r="AB33" i="59" s="1"/>
  <c r="CQ45" i="58"/>
  <c r="Q33" i="59" s="1"/>
  <c r="CP45" i="58"/>
  <c r="P33" i="59" s="1"/>
  <c r="CE45" i="58"/>
  <c r="E33" i="59" s="1"/>
  <c r="CD45" i="58"/>
  <c r="D33" i="59" s="1"/>
  <c r="DA45" i="58"/>
  <c r="AA33" i="59" s="1"/>
  <c r="P228" i="1"/>
  <c r="K226" i="1"/>
  <c r="H59" i="1"/>
  <c r="W59" i="1" s="1"/>
  <c r="H65" i="1"/>
  <c r="G224" i="1"/>
  <c r="H224" i="1"/>
  <c r="M224" i="1"/>
  <c r="H75" i="58"/>
  <c r="H191" i="1"/>
  <c r="H221" i="1" s="1"/>
  <c r="E80" i="58"/>
  <c r="DF28" i="58"/>
  <c r="DB28" i="58"/>
  <c r="CW28" i="58"/>
  <c r="CT28" i="58"/>
  <c r="CP28" i="58"/>
  <c r="CV28" i="58"/>
  <c r="CH28" i="58"/>
  <c r="CD28" i="58"/>
  <c r="CK28" i="58"/>
  <c r="DE28" i="58"/>
  <c r="DA28" i="58"/>
  <c r="CJ28" i="58"/>
  <c r="CS28" i="58"/>
  <c r="CO28" i="58"/>
  <c r="CG28" i="58"/>
  <c r="CX28" i="58"/>
  <c r="DD28" i="58"/>
  <c r="CZ28" i="58"/>
  <c r="CR28" i="58"/>
  <c r="CN28" i="58"/>
  <c r="CF28" i="58"/>
  <c r="CL28" i="58"/>
  <c r="CI28" i="58"/>
  <c r="DH28" i="58"/>
  <c r="DG28" i="58"/>
  <c r="DC28" i="58"/>
  <c r="CY28" i="58"/>
  <c r="CU28" i="58"/>
  <c r="CQ28" i="58"/>
  <c r="CM28" i="58"/>
  <c r="CE28" i="58"/>
  <c r="AF13" i="35"/>
  <c r="C13" i="35" s="1"/>
  <c r="U13" i="35" s="1"/>
  <c r="AK8" i="35"/>
  <c r="DA27" i="23"/>
  <c r="S232" i="1"/>
  <c r="V225" i="1"/>
  <c r="H225" i="1"/>
  <c r="H232" i="1" s="1"/>
  <c r="J225" i="1"/>
  <c r="U225" i="1"/>
  <c r="K225" i="1"/>
  <c r="V224" i="1"/>
  <c r="G225" i="1"/>
  <c r="I225" i="1"/>
  <c r="Q225" i="1"/>
  <c r="M225" i="1"/>
  <c r="U224" i="1"/>
  <c r="O225" i="1"/>
  <c r="O232" i="1" s="1"/>
  <c r="L225" i="1"/>
  <c r="L232" i="1" s="1"/>
  <c r="I224" i="1"/>
  <c r="T225" i="1"/>
  <c r="T224" i="1"/>
  <c r="N225" i="1"/>
  <c r="N232" i="1" s="1"/>
  <c r="DA26" i="1"/>
  <c r="DC28" i="24"/>
  <c r="DD27" i="24"/>
  <c r="DG28" i="24"/>
  <c r="DF29" i="24"/>
  <c r="DF28" i="24"/>
  <c r="DE29" i="24"/>
  <c r="DE28" i="24"/>
  <c r="DB26" i="24"/>
  <c r="DG29" i="24"/>
  <c r="DD29" i="24"/>
  <c r="DD28" i="24"/>
  <c r="DG27" i="24"/>
  <c r="DC29" i="24"/>
  <c r="DA26" i="24"/>
  <c r="DR23" i="23"/>
  <c r="U222" i="1"/>
  <c r="J222" i="1"/>
  <c r="I222" i="1"/>
  <c r="T222" i="1"/>
  <c r="H222" i="1"/>
  <c r="S222" i="1"/>
  <c r="R222" i="1"/>
  <c r="Q222" i="1"/>
  <c r="L222" i="1"/>
  <c r="P222" i="1"/>
  <c r="G47" i="1"/>
  <c r="K194" i="1"/>
  <c r="K223" i="1" s="1"/>
  <c r="L194" i="1"/>
  <c r="L223" i="1" s="1"/>
  <c r="V194" i="1"/>
  <c r="V223" i="1" s="1"/>
  <c r="M194" i="1"/>
  <c r="M223" i="1" s="1"/>
  <c r="N194" i="1"/>
  <c r="N223" i="1" s="1"/>
  <c r="G194" i="1"/>
  <c r="G223" i="1" s="1"/>
  <c r="O194" i="1"/>
  <c r="O223" i="1" s="1"/>
  <c r="P194" i="1"/>
  <c r="P223" i="1" s="1"/>
  <c r="Q194" i="1"/>
  <c r="Q223" i="1" s="1"/>
  <c r="R194" i="1"/>
  <c r="R223" i="1" s="1"/>
  <c r="S194" i="1"/>
  <c r="S223" i="1" s="1"/>
  <c r="H194" i="1"/>
  <c r="H223" i="1" s="1"/>
  <c r="T194" i="1"/>
  <c r="T223" i="1" s="1"/>
  <c r="I194" i="1"/>
  <c r="I223" i="1" s="1"/>
  <c r="U194" i="1"/>
  <c r="U223" i="1" s="1"/>
  <c r="J194" i="1"/>
  <c r="J223" i="1" s="1"/>
  <c r="K222" i="1"/>
  <c r="G222" i="1"/>
  <c r="D223" i="1"/>
  <c r="C221" i="1"/>
  <c r="M222" i="1"/>
  <c r="O222" i="1"/>
  <c r="V222" i="1"/>
  <c r="N222" i="1"/>
  <c r="C10" i="52"/>
  <c r="C26" i="52" s="1"/>
  <c r="B4" i="3"/>
  <c r="C180" i="23"/>
  <c r="CZ25" i="1"/>
  <c r="DB28" i="1"/>
  <c r="CY26" i="24"/>
  <c r="CY25" i="24"/>
  <c r="CU25" i="24"/>
  <c r="BK25" i="24" s="1"/>
  <c r="C15" i="5"/>
  <c r="C27" i="5" s="1"/>
  <c r="L54" i="5"/>
  <c r="C9" i="5"/>
  <c r="C21" i="5" s="1"/>
  <c r="L47" i="5"/>
  <c r="C11" i="5"/>
  <c r="C23" i="5" s="1"/>
  <c r="L49" i="5"/>
  <c r="C7" i="5"/>
  <c r="C19" i="5" s="1"/>
  <c r="L45" i="5"/>
  <c r="C10" i="5"/>
  <c r="C22" i="5" s="1"/>
  <c r="L48" i="5"/>
  <c r="C8" i="5"/>
  <c r="C20" i="5" s="1"/>
  <c r="L46" i="5"/>
  <c r="F85" i="36"/>
  <c r="H85" i="36"/>
  <c r="H101" i="36"/>
  <c r="AC28" i="29" s="1"/>
  <c r="H100" i="36"/>
  <c r="AB27" i="29" s="1"/>
  <c r="G85" i="36"/>
  <c r="AB40" i="24"/>
  <c r="H103" i="36"/>
  <c r="AB32" i="29" s="1"/>
  <c r="G98" i="36"/>
  <c r="AC25" i="24" s="1"/>
  <c r="G113" i="36"/>
  <c r="AB42" i="24" s="1"/>
  <c r="G96" i="36"/>
  <c r="AB23" i="24" s="1"/>
  <c r="G84" i="36"/>
  <c r="G103" i="36"/>
  <c r="AB32" i="24" s="1"/>
  <c r="G107" i="36"/>
  <c r="AB36" i="24" s="1"/>
  <c r="G99" i="36"/>
  <c r="AB26" i="24" s="1"/>
  <c r="G114" i="36"/>
  <c r="AC43" i="24" s="1"/>
  <c r="G73" i="36"/>
  <c r="G104" i="36"/>
  <c r="AB33" i="24" s="1"/>
  <c r="G109" i="36"/>
  <c r="AB38" i="24" s="1"/>
  <c r="G115" i="36"/>
  <c r="AC44" i="24" s="1"/>
  <c r="G100" i="36"/>
  <c r="AB27" i="24" s="1"/>
  <c r="G105" i="36"/>
  <c r="AC34" i="24" s="1"/>
  <c r="G70" i="36"/>
  <c r="G116" i="36"/>
  <c r="AB45" i="24" s="1"/>
  <c r="G110" i="36"/>
  <c r="AB39" i="24" s="1"/>
  <c r="G106" i="36"/>
  <c r="AB35" i="24" s="1"/>
  <c r="G101" i="36"/>
  <c r="AB28" i="24" s="1"/>
  <c r="G112" i="36"/>
  <c r="AB41" i="24" s="1"/>
  <c r="G97" i="36"/>
  <c r="G117" i="36"/>
  <c r="AB46" i="24" s="1"/>
  <c r="G108" i="36"/>
  <c r="AB37" i="24" s="1"/>
  <c r="G102" i="36"/>
  <c r="AC29" i="24" s="1"/>
  <c r="H116" i="36"/>
  <c r="AC45" i="29" s="1"/>
  <c r="H96" i="36"/>
  <c r="AC23" i="29" s="1"/>
  <c r="H73" i="36"/>
  <c r="H110" i="36"/>
  <c r="AB39" i="29" s="1"/>
  <c r="H108" i="36"/>
  <c r="AB37" i="29" s="1"/>
  <c r="H115" i="36"/>
  <c r="AB44" i="29" s="1"/>
  <c r="H102" i="36"/>
  <c r="AB29" i="29" s="1"/>
  <c r="H98" i="36"/>
  <c r="AB25" i="29" s="1"/>
  <c r="H104" i="36"/>
  <c r="AB33" i="29" s="1"/>
  <c r="H114" i="36"/>
  <c r="AB43" i="29" s="1"/>
  <c r="H112" i="36"/>
  <c r="AB41" i="29" s="1"/>
  <c r="H106" i="36"/>
  <c r="AC35" i="29" s="1"/>
  <c r="H105" i="36"/>
  <c r="AB34" i="29" s="1"/>
  <c r="H99" i="36"/>
  <c r="AC26" i="29" s="1"/>
  <c r="H107" i="36"/>
  <c r="AB36" i="29" s="1"/>
  <c r="H97" i="36"/>
  <c r="AB24" i="29" s="1"/>
  <c r="H117" i="36"/>
  <c r="AB46" i="29" s="1"/>
  <c r="H113" i="36"/>
  <c r="AB42" i="29" s="1"/>
  <c r="H109" i="36"/>
  <c r="AB38" i="29" s="1"/>
  <c r="H70" i="36"/>
  <c r="BM21" i="29"/>
  <c r="BM58" i="29" s="1"/>
  <c r="BL58" i="29"/>
  <c r="F110" i="36"/>
  <c r="AB39" i="23" s="1"/>
  <c r="F99" i="36"/>
  <c r="AB26" i="23" s="1"/>
  <c r="F105" i="36"/>
  <c r="AB34" i="23" s="1"/>
  <c r="F73" i="36"/>
  <c r="F102" i="36"/>
  <c r="AD29" i="23" s="1"/>
  <c r="F115" i="36"/>
  <c r="AB44" i="23" s="1"/>
  <c r="F108" i="36"/>
  <c r="AB37" i="23" s="1"/>
  <c r="F112" i="36"/>
  <c r="AB41" i="23" s="1"/>
  <c r="F70" i="36"/>
  <c r="F113" i="36"/>
  <c r="AB42" i="23" s="1"/>
  <c r="F116" i="36"/>
  <c r="AC45" i="23" s="1"/>
  <c r="F97" i="36"/>
  <c r="AB24" i="23" s="1"/>
  <c r="F100" i="36"/>
  <c r="AB27" i="23" s="1"/>
  <c r="F103" i="36"/>
  <c r="AB32" i="23" s="1"/>
  <c r="F106" i="36"/>
  <c r="AD35" i="23" s="1"/>
  <c r="F96" i="36"/>
  <c r="AD23" i="23" s="1"/>
  <c r="F109" i="36"/>
  <c r="AB38" i="23" s="1"/>
  <c r="F114" i="36"/>
  <c r="AB43" i="23" s="1"/>
  <c r="F117" i="36"/>
  <c r="AB46" i="23" s="1"/>
  <c r="F98" i="36"/>
  <c r="AB25" i="23" s="1"/>
  <c r="F101" i="36"/>
  <c r="AB28" i="23" s="1"/>
  <c r="F104" i="36"/>
  <c r="AB33" i="23" s="1"/>
  <c r="F107" i="36"/>
  <c r="AD36" i="23" s="1"/>
  <c r="F84" i="36"/>
  <c r="E110" i="36"/>
  <c r="E115" i="36"/>
  <c r="E99" i="36"/>
  <c r="E102" i="36"/>
  <c r="E105" i="36"/>
  <c r="E108" i="36"/>
  <c r="E112" i="36"/>
  <c r="E113" i="36"/>
  <c r="AC42" i="1" s="1"/>
  <c r="E116" i="36"/>
  <c r="E97" i="36"/>
  <c r="E100" i="36"/>
  <c r="E103" i="36"/>
  <c r="E106" i="36"/>
  <c r="E70" i="36"/>
  <c r="E96" i="36"/>
  <c r="E109" i="36"/>
  <c r="E114" i="36"/>
  <c r="E117" i="36"/>
  <c r="E98" i="36"/>
  <c r="E101" i="36"/>
  <c r="AC28" i="1" s="1"/>
  <c r="E104" i="36"/>
  <c r="E107" i="36"/>
  <c r="AB45" i="23"/>
  <c r="E85" i="36"/>
  <c r="AB40" i="1"/>
  <c r="M14" i="3"/>
  <c r="CX27" i="24"/>
  <c r="AD10" i="41"/>
  <c r="AB10" i="41"/>
  <c r="AB40" i="23"/>
  <c r="B4" i="52"/>
  <c r="DA25" i="23"/>
  <c r="AB40" i="29"/>
  <c r="AB28" i="29"/>
  <c r="AB24" i="24"/>
  <c r="AC38" i="24"/>
  <c r="AC28" i="24"/>
  <c r="AC26" i="24"/>
  <c r="AC37" i="24"/>
  <c r="AC24" i="24"/>
  <c r="AC36" i="24"/>
  <c r="AC40" i="24"/>
  <c r="AD21" i="1"/>
  <c r="AC40" i="1"/>
  <c r="AD39" i="23"/>
  <c r="AD40" i="23"/>
  <c r="AD25" i="23"/>
  <c r="AD41" i="23"/>
  <c r="AC39" i="23"/>
  <c r="AC41" i="23"/>
  <c r="AC40" i="23"/>
  <c r="AC25" i="23"/>
  <c r="AC44" i="29"/>
  <c r="AC29" i="29"/>
  <c r="AC40" i="29"/>
  <c r="CE21" i="29"/>
  <c r="CE58" i="29" s="1"/>
  <c r="C35" i="27"/>
  <c r="C36" i="27" s="1"/>
  <c r="C35" i="5"/>
  <c r="C36" i="5" s="1"/>
  <c r="C35" i="30"/>
  <c r="C36" i="30" s="1"/>
  <c r="C37" i="27"/>
  <c r="C38" i="27" s="1"/>
  <c r="AT9" i="3"/>
  <c r="C35" i="26"/>
  <c r="C36" i="26" s="1"/>
  <c r="C37" i="30"/>
  <c r="C38" i="30" s="1"/>
  <c r="AS9" i="3"/>
  <c r="C37" i="5"/>
  <c r="C38" i="5" s="1"/>
  <c r="C37" i="26"/>
  <c r="C38" i="26" s="1"/>
  <c r="AU9" i="3"/>
  <c r="AW9" i="3"/>
  <c r="F122" i="36"/>
  <c r="D100" i="26"/>
  <c r="D41" i="26"/>
  <c r="D100" i="30"/>
  <c r="D41" i="30"/>
  <c r="CD9" i="23"/>
  <c r="CD10" i="23" s="1"/>
  <c r="I9" i="23"/>
  <c r="BM9" i="23" s="1"/>
  <c r="BM10" i="23" s="1"/>
  <c r="BM42" i="23" s="1"/>
  <c r="H11" i="23"/>
  <c r="B60" i="3"/>
  <c r="AD60" i="3" s="1"/>
  <c r="C59" i="3"/>
  <c r="CD58" i="1"/>
  <c r="CE21" i="1"/>
  <c r="DP21" i="1" s="1"/>
  <c r="BM21" i="1"/>
  <c r="BL58" i="1"/>
  <c r="E125" i="5"/>
  <c r="I21" i="1"/>
  <c r="D18" i="27"/>
  <c r="D56" i="27"/>
  <c r="DP23" i="23"/>
  <c r="DU23" i="23"/>
  <c r="DN23" i="23"/>
  <c r="DV23" i="23"/>
  <c r="DS23" i="23"/>
  <c r="DQ23" i="23"/>
  <c r="DO23" i="23"/>
  <c r="DT23" i="23"/>
  <c r="E49" i="5"/>
  <c r="C106" i="26"/>
  <c r="E47" i="5"/>
  <c r="H97" i="23"/>
  <c r="H95" i="23"/>
  <c r="H99" i="23"/>
  <c r="H83" i="23"/>
  <c r="H93" i="23"/>
  <c r="H88" i="23"/>
  <c r="H86" i="23"/>
  <c r="H78" i="23"/>
  <c r="H90" i="23"/>
  <c r="H94" i="23"/>
  <c r="H92" i="23"/>
  <c r="H80" i="23"/>
  <c r="H96" i="23"/>
  <c r="H82" i="23"/>
  <c r="H100" i="23"/>
  <c r="H98" i="23"/>
  <c r="H87" i="23"/>
  <c r="H77" i="23"/>
  <c r="H91" i="23"/>
  <c r="H89" i="23"/>
  <c r="H79" i="23"/>
  <c r="H81" i="23"/>
  <c r="AA61" i="24"/>
  <c r="Y61" i="24"/>
  <c r="AA59" i="24"/>
  <c r="Y59" i="24"/>
  <c r="H80" i="24"/>
  <c r="H82" i="24"/>
  <c r="H100" i="24"/>
  <c r="H95" i="24"/>
  <c r="H89" i="24"/>
  <c r="H99" i="24"/>
  <c r="H97" i="24"/>
  <c r="H93" i="24"/>
  <c r="H91" i="24"/>
  <c r="H87" i="24"/>
  <c r="H79" i="24"/>
  <c r="H77" i="24"/>
  <c r="H81" i="24"/>
  <c r="H88" i="24"/>
  <c r="H90" i="24"/>
  <c r="H83" i="24"/>
  <c r="H98" i="24"/>
  <c r="H92" i="24"/>
  <c r="H86" i="24"/>
  <c r="H78" i="24"/>
  <c r="H96" i="24"/>
  <c r="H94" i="24"/>
  <c r="AA65" i="24"/>
  <c r="I140" i="24" s="1"/>
  <c r="G140" i="24" s="1"/>
  <c r="Y65" i="24"/>
  <c r="H100" i="29"/>
  <c r="H98" i="29"/>
  <c r="H96" i="29"/>
  <c r="H79" i="29"/>
  <c r="H94" i="29"/>
  <c r="H92" i="29"/>
  <c r="H81" i="29"/>
  <c r="H90" i="29"/>
  <c r="H47" i="29"/>
  <c r="H101" i="29" s="1"/>
  <c r="H88" i="29"/>
  <c r="H86" i="29"/>
  <c r="H83" i="29"/>
  <c r="H78" i="29"/>
  <c r="H99" i="29"/>
  <c r="H97" i="29"/>
  <c r="H95" i="29"/>
  <c r="H93" i="29"/>
  <c r="H80" i="29"/>
  <c r="H91" i="29"/>
  <c r="H89" i="29"/>
  <c r="H82" i="29"/>
  <c r="H87" i="29"/>
  <c r="H77" i="29"/>
  <c r="AA61" i="29"/>
  <c r="Y61" i="29"/>
  <c r="DB27" i="24"/>
  <c r="CZ26" i="24"/>
  <c r="CV28" i="24"/>
  <c r="CU26" i="24"/>
  <c r="BK26" i="24" s="1"/>
  <c r="CC26" i="24" s="1"/>
  <c r="DA25" i="24"/>
  <c r="DB29" i="24"/>
  <c r="CZ25" i="24"/>
  <c r="CY26" i="23"/>
  <c r="CX26" i="1"/>
  <c r="H11" i="29"/>
  <c r="BL9" i="29"/>
  <c r="BL10" i="29" s="1"/>
  <c r="BK35" i="29"/>
  <c r="BK38" i="29"/>
  <c r="CC38" i="29" s="1"/>
  <c r="BK41" i="29"/>
  <c r="BK44" i="29"/>
  <c r="BK26" i="29"/>
  <c r="BK29" i="29"/>
  <c r="BK32" i="29"/>
  <c r="BK33" i="29"/>
  <c r="BK36" i="29"/>
  <c r="BK39" i="29"/>
  <c r="BK42" i="29"/>
  <c r="BK66" i="29" s="1"/>
  <c r="BK45" i="29"/>
  <c r="BK24" i="29"/>
  <c r="BK60" i="29" s="1"/>
  <c r="BK27" i="29"/>
  <c r="BK23" i="29"/>
  <c r="BK59" i="29" s="1"/>
  <c r="BK34" i="29"/>
  <c r="BK37" i="29"/>
  <c r="BK40" i="29"/>
  <c r="BK43" i="29"/>
  <c r="BK46" i="29"/>
  <c r="BK67" i="29" s="1"/>
  <c r="BK25" i="29"/>
  <c r="BK28" i="29"/>
  <c r="CW29" i="24"/>
  <c r="CU29" i="24"/>
  <c r="BK29" i="24" s="1"/>
  <c r="CX28" i="24"/>
  <c r="CW25" i="24"/>
  <c r="CY29" i="24"/>
  <c r="DB28" i="24"/>
  <c r="CU28" i="24"/>
  <c r="BK28" i="24" s="1"/>
  <c r="CV25" i="24"/>
  <c r="CY28" i="24"/>
  <c r="CW26" i="24"/>
  <c r="CV27" i="24"/>
  <c r="DA29" i="24"/>
  <c r="BK45" i="24"/>
  <c r="BK33" i="24"/>
  <c r="CC33" i="24" s="1"/>
  <c r="BK41" i="24"/>
  <c r="CC41" i="24" s="1"/>
  <c r="BK35" i="24"/>
  <c r="CC35" i="24" s="1"/>
  <c r="BK32" i="24"/>
  <c r="BK36" i="24"/>
  <c r="CC36" i="24" s="1"/>
  <c r="BK38" i="24"/>
  <c r="BK37" i="24"/>
  <c r="BK44" i="24"/>
  <c r="BK42" i="24"/>
  <c r="BK39" i="24"/>
  <c r="BK34" i="24"/>
  <c r="BK40" i="24"/>
  <c r="BK46" i="24"/>
  <c r="BK43" i="24"/>
  <c r="DA27" i="24"/>
  <c r="CV26" i="24"/>
  <c r="I9" i="24"/>
  <c r="BM9" i="24" s="1"/>
  <c r="BM10" i="24" s="1"/>
  <c r="BL9" i="24"/>
  <c r="BL10" i="24" s="1"/>
  <c r="CU27" i="24"/>
  <c r="BK27" i="24" s="1"/>
  <c r="CZ29" i="24"/>
  <c r="CY27" i="24"/>
  <c r="CZ27" i="24"/>
  <c r="CW28" i="24"/>
  <c r="CZ28" i="24"/>
  <c r="CX26" i="24"/>
  <c r="CW27" i="24"/>
  <c r="CX29" i="24"/>
  <c r="DA28" i="24"/>
  <c r="CX25" i="24"/>
  <c r="CV29" i="24"/>
  <c r="DA28" i="23"/>
  <c r="CV27" i="23"/>
  <c r="BL27" i="23" s="1"/>
  <c r="CX25" i="23"/>
  <c r="CW27" i="23"/>
  <c r="DA26" i="23"/>
  <c r="CZ27" i="23"/>
  <c r="CU27" i="23"/>
  <c r="BK27" i="23" s="1"/>
  <c r="CW28" i="23"/>
  <c r="CW26" i="23"/>
  <c r="CX29" i="23"/>
  <c r="CX26" i="23"/>
  <c r="CV25" i="23"/>
  <c r="BL25" i="23" s="1"/>
  <c r="CZ28" i="23"/>
  <c r="DB26" i="23"/>
  <c r="CU29" i="23"/>
  <c r="BK29" i="23" s="1"/>
  <c r="CX28" i="23"/>
  <c r="CU28" i="23"/>
  <c r="BK28" i="23" s="1"/>
  <c r="CX27" i="23"/>
  <c r="CZ29" i="23"/>
  <c r="CW29" i="23"/>
  <c r="CW25" i="23"/>
  <c r="CU25" i="23"/>
  <c r="BK25" i="23" s="1"/>
  <c r="CV29" i="23"/>
  <c r="BL29" i="23" s="1"/>
  <c r="CU26" i="23"/>
  <c r="BK26" i="23" s="1"/>
  <c r="CY29" i="23"/>
  <c r="CZ26" i="23"/>
  <c r="CY25" i="23"/>
  <c r="CY28" i="23"/>
  <c r="CV28" i="23"/>
  <c r="BL28" i="23" s="1"/>
  <c r="CV26" i="23"/>
  <c r="CY27" i="23"/>
  <c r="CZ25" i="23"/>
  <c r="E168" i="36"/>
  <c r="G170" i="36"/>
  <c r="G164" i="36"/>
  <c r="G162" i="36"/>
  <c r="G169" i="36"/>
  <c r="G168" i="36"/>
  <c r="G166" i="36"/>
  <c r="G167" i="36"/>
  <c r="G165" i="36"/>
  <c r="E165" i="36"/>
  <c r="E164" i="36"/>
  <c r="E162" i="36"/>
  <c r="E170" i="36"/>
  <c r="E169" i="36"/>
  <c r="E166" i="36"/>
  <c r="E167" i="36"/>
  <c r="H166" i="36"/>
  <c r="H165" i="36"/>
  <c r="H170" i="36"/>
  <c r="H168" i="36"/>
  <c r="H162" i="36"/>
  <c r="H164" i="36"/>
  <c r="H169" i="36"/>
  <c r="H167" i="36"/>
  <c r="F166" i="36"/>
  <c r="F170" i="36"/>
  <c r="F165" i="36"/>
  <c r="F162" i="36"/>
  <c r="F169" i="36"/>
  <c r="F164" i="36"/>
  <c r="F167" i="36"/>
  <c r="F168" i="36"/>
  <c r="F75" i="36"/>
  <c r="CX27" i="1"/>
  <c r="DA25" i="1"/>
  <c r="CZ29" i="1"/>
  <c r="CV25" i="1"/>
  <c r="BL25" i="1" s="1"/>
  <c r="CZ28" i="1"/>
  <c r="CW26" i="1"/>
  <c r="CW25" i="1"/>
  <c r="CW28" i="1"/>
  <c r="DB29" i="1"/>
  <c r="CX25" i="1"/>
  <c r="CZ26" i="1"/>
  <c r="CW29" i="1"/>
  <c r="CU29" i="1"/>
  <c r="BK29" i="1" s="1"/>
  <c r="CZ27" i="1"/>
  <c r="DA29" i="1"/>
  <c r="CX29" i="1"/>
  <c r="CY27" i="1"/>
  <c r="CW27" i="1"/>
  <c r="CV28" i="1"/>
  <c r="BL28" i="1" s="1"/>
  <c r="CY29" i="1"/>
  <c r="CV29" i="1"/>
  <c r="BL29" i="1" s="1"/>
  <c r="CY26" i="1"/>
  <c r="CU28" i="1"/>
  <c r="BK28" i="1" s="1"/>
  <c r="CU26" i="1"/>
  <c r="BK26" i="1" s="1"/>
  <c r="CV27" i="1"/>
  <c r="BL27" i="1" s="1"/>
  <c r="CY25" i="1"/>
  <c r="CV26" i="1"/>
  <c r="BL26" i="1" s="1"/>
  <c r="DA28" i="1"/>
  <c r="CU27" i="1"/>
  <c r="BK27" i="1" s="1"/>
  <c r="CU25" i="1"/>
  <c r="BK25" i="1" s="1"/>
  <c r="CY28" i="1"/>
  <c r="CX28" i="1"/>
  <c r="BM46" i="23"/>
  <c r="BM43" i="23"/>
  <c r="BM32" i="23"/>
  <c r="BM41" i="23"/>
  <c r="CE41" i="23" s="1"/>
  <c r="BM35" i="23"/>
  <c r="BM39" i="23"/>
  <c r="BM38" i="23"/>
  <c r="BM37" i="23"/>
  <c r="BM40" i="23"/>
  <c r="BM34" i="23"/>
  <c r="BK45" i="23"/>
  <c r="CC45" i="23" s="1"/>
  <c r="BK39" i="23"/>
  <c r="CC39" i="23" s="1"/>
  <c r="BK41" i="23"/>
  <c r="BK37" i="23"/>
  <c r="BK46" i="23"/>
  <c r="BK33" i="23"/>
  <c r="BK34" i="23"/>
  <c r="BK36" i="23"/>
  <c r="BK32" i="23"/>
  <c r="BK43" i="23"/>
  <c r="BK42" i="23"/>
  <c r="BK40" i="23"/>
  <c r="BK38" i="23"/>
  <c r="BK44" i="23"/>
  <c r="BK35" i="23"/>
  <c r="BL39" i="23"/>
  <c r="BL45" i="23"/>
  <c r="CD45" i="23" s="1"/>
  <c r="BL46" i="23"/>
  <c r="BL43" i="23"/>
  <c r="BL38" i="23"/>
  <c r="BL36" i="23"/>
  <c r="BL40" i="23"/>
  <c r="BL41" i="23"/>
  <c r="BL44" i="23"/>
  <c r="BL42" i="23"/>
  <c r="BL34" i="23"/>
  <c r="BL37" i="23"/>
  <c r="BL26" i="23"/>
  <c r="BL33" i="23"/>
  <c r="BL32" i="23"/>
  <c r="BL35" i="23"/>
  <c r="BK44" i="1"/>
  <c r="BK40" i="1"/>
  <c r="BK39" i="1"/>
  <c r="BK36" i="1"/>
  <c r="BK33" i="1"/>
  <c r="BK41" i="1"/>
  <c r="BK38" i="1"/>
  <c r="BK37" i="1"/>
  <c r="BK45" i="1"/>
  <c r="BK32" i="1"/>
  <c r="BK35" i="1"/>
  <c r="BK43" i="1"/>
  <c r="BK46" i="1"/>
  <c r="BL34" i="1"/>
  <c r="BL37" i="1"/>
  <c r="BL43" i="1"/>
  <c r="BL46" i="1"/>
  <c r="BL67" i="1" s="1"/>
  <c r="BL32" i="1"/>
  <c r="BL35" i="1"/>
  <c r="BL38" i="1"/>
  <c r="BL41" i="1"/>
  <c r="BL44" i="1"/>
  <c r="BL45" i="1"/>
  <c r="BL33" i="1"/>
  <c r="BL36" i="1"/>
  <c r="BL39" i="1"/>
  <c r="BL42" i="1"/>
  <c r="BL40" i="1"/>
  <c r="BK42" i="1"/>
  <c r="BK34" i="1"/>
  <c r="H86" i="36"/>
  <c r="H72" i="36"/>
  <c r="F77" i="36"/>
  <c r="F74" i="36"/>
  <c r="F76" i="36"/>
  <c r="F72" i="36"/>
  <c r="F71" i="36"/>
  <c r="F79" i="36"/>
  <c r="F90" i="36"/>
  <c r="F89" i="36"/>
  <c r="F81" i="36"/>
  <c r="F83" i="36"/>
  <c r="F88" i="36"/>
  <c r="F91" i="36"/>
  <c r="F80" i="36"/>
  <c r="F86" i="36"/>
  <c r="F82" i="36"/>
  <c r="F78" i="36"/>
  <c r="H76" i="36"/>
  <c r="H78" i="36"/>
  <c r="H75" i="36"/>
  <c r="H91" i="36"/>
  <c r="H71" i="36"/>
  <c r="G91" i="36"/>
  <c r="H83" i="36"/>
  <c r="H79" i="36"/>
  <c r="H77" i="36"/>
  <c r="H84" i="36"/>
  <c r="H74" i="36"/>
  <c r="H80" i="36"/>
  <c r="H82" i="36"/>
  <c r="H90" i="36"/>
  <c r="H89" i="36"/>
  <c r="H81" i="36"/>
  <c r="H88" i="36"/>
  <c r="G89" i="36"/>
  <c r="G79" i="36"/>
  <c r="H87" i="36"/>
  <c r="G80" i="36"/>
  <c r="Q1" i="41"/>
  <c r="Q9" i="3"/>
  <c r="Q33" i="3" s="1"/>
  <c r="AF9" i="3"/>
  <c r="I14" i="35"/>
  <c r="AA14" i="35" s="1"/>
  <c r="H14" i="35"/>
  <c r="Z14" i="35" s="1"/>
  <c r="AC34" i="41"/>
  <c r="B2" i="30"/>
  <c r="B2" i="27"/>
  <c r="B2" i="5"/>
  <c r="B2" i="26"/>
  <c r="AL8" i="35"/>
  <c r="AF12" i="35"/>
  <c r="C12" i="35" s="1"/>
  <c r="L14" i="35"/>
  <c r="AD14" i="35" s="1"/>
  <c r="M14" i="35"/>
  <c r="V47" i="41" s="1"/>
  <c r="AE13" i="35"/>
  <c r="AE12" i="35"/>
  <c r="AE11" i="35"/>
  <c r="E49" i="27"/>
  <c r="E47" i="30"/>
  <c r="B3" i="1"/>
  <c r="F14" i="35"/>
  <c r="X14" i="35" s="1"/>
  <c r="AF14" i="35"/>
  <c r="C14" i="35" s="1"/>
  <c r="C180" i="29"/>
  <c r="G71" i="36"/>
  <c r="G82" i="36"/>
  <c r="G76" i="36"/>
  <c r="G78" i="36"/>
  <c r="G72" i="36"/>
  <c r="G83" i="36"/>
  <c r="G88" i="36"/>
  <c r="G86" i="36"/>
  <c r="G75" i="36"/>
  <c r="G90" i="36"/>
  <c r="G81" i="36"/>
  <c r="G74" i="36"/>
  <c r="G87" i="36"/>
  <c r="G77" i="36"/>
  <c r="F87" i="36"/>
  <c r="E88" i="36"/>
  <c r="C11" i="35"/>
  <c r="C10" i="35"/>
  <c r="U10" i="35" s="1"/>
  <c r="AA10" i="41"/>
  <c r="C9" i="41"/>
  <c r="AL159" i="3"/>
  <c r="AM156" i="3" s="1"/>
  <c r="C180" i="1"/>
  <c r="D224" i="1" s="1"/>
  <c r="C180" i="24"/>
  <c r="B15" i="35"/>
  <c r="T14" i="35"/>
  <c r="AD12" i="41"/>
  <c r="AC12" i="41"/>
  <c r="AB12" i="41"/>
  <c r="B3" i="23"/>
  <c r="S1" i="35"/>
  <c r="B4" i="35"/>
  <c r="G21" i="41"/>
  <c r="E47" i="27"/>
  <c r="E47" i="26"/>
  <c r="G47" i="24"/>
  <c r="E49" i="26"/>
  <c r="E49" i="30"/>
  <c r="C106" i="27"/>
  <c r="DC30" i="1"/>
  <c r="E76" i="36"/>
  <c r="E83" i="36"/>
  <c r="E73" i="36"/>
  <c r="E86" i="36"/>
  <c r="E89" i="36"/>
  <c r="E71" i="36"/>
  <c r="E75" i="36"/>
  <c r="AC59" i="3"/>
  <c r="AD59" i="3"/>
  <c r="AE59" i="3"/>
  <c r="E50" i="5"/>
  <c r="E50" i="26"/>
  <c r="E50" i="27"/>
  <c r="E50" i="30"/>
  <c r="E44" i="26"/>
  <c r="E43" i="26" s="1"/>
  <c r="E44" i="30"/>
  <c r="E43" i="30" s="1"/>
  <c r="E44" i="5"/>
  <c r="E43" i="5" s="1"/>
  <c r="E44" i="27"/>
  <c r="E43" i="27" s="1"/>
  <c r="E52" i="26"/>
  <c r="E52" i="5"/>
  <c r="E52" i="30"/>
  <c r="E52" i="27"/>
  <c r="DU23" i="24"/>
  <c r="DQ23" i="24"/>
  <c r="DS23" i="24"/>
  <c r="DN23" i="24"/>
  <c r="DW23" i="24"/>
  <c r="DR23" i="24"/>
  <c r="DV23" i="24"/>
  <c r="DP23" i="24"/>
  <c r="DT23" i="24"/>
  <c r="DO23" i="24"/>
  <c r="E53" i="5"/>
  <c r="E53" i="27"/>
  <c r="E53" i="30"/>
  <c r="E53" i="26"/>
  <c r="DW24" i="24"/>
  <c r="DS24" i="24"/>
  <c r="DO24" i="24"/>
  <c r="DU24" i="24"/>
  <c r="DP24" i="24"/>
  <c r="DT24" i="24"/>
  <c r="DN24" i="24"/>
  <c r="DR24" i="24"/>
  <c r="DQ24" i="24"/>
  <c r="DV24" i="24"/>
  <c r="AR21" i="29"/>
  <c r="AR21" i="24"/>
  <c r="AR21" i="23"/>
  <c r="AR21" i="1"/>
  <c r="E48" i="30"/>
  <c r="E48" i="5"/>
  <c r="E48" i="27"/>
  <c r="E48" i="26"/>
  <c r="DU23" i="1"/>
  <c r="DQ23" i="1"/>
  <c r="DS23" i="1"/>
  <c r="DW23" i="1"/>
  <c r="DR23" i="1"/>
  <c r="DV23" i="1"/>
  <c r="DP23" i="1"/>
  <c r="DT23" i="1"/>
  <c r="DO23" i="1"/>
  <c r="E45" i="27"/>
  <c r="E45" i="5"/>
  <c r="E45" i="26"/>
  <c r="E45" i="30"/>
  <c r="DW24" i="1"/>
  <c r="DS24" i="1"/>
  <c r="DO24" i="1"/>
  <c r="DU24" i="1"/>
  <c r="DP24" i="1"/>
  <c r="DT24" i="1"/>
  <c r="DN24" i="1"/>
  <c r="DR24" i="1"/>
  <c r="DQ24" i="1"/>
  <c r="DV24" i="1"/>
  <c r="E46" i="26"/>
  <c r="E46" i="27"/>
  <c r="E46" i="30"/>
  <c r="E46" i="5"/>
  <c r="DU24" i="23"/>
  <c r="DQ24" i="23"/>
  <c r="DS24" i="23"/>
  <c r="DN24" i="23"/>
  <c r="DW24" i="23"/>
  <c r="DR24" i="23"/>
  <c r="DV24" i="23"/>
  <c r="DP24" i="23"/>
  <c r="DT24" i="23"/>
  <c r="DO24" i="23"/>
  <c r="E51" i="26"/>
  <c r="E51" i="27"/>
  <c r="E51" i="30"/>
  <c r="E51" i="5"/>
  <c r="E72" i="36"/>
  <c r="E81" i="36"/>
  <c r="E79" i="36"/>
  <c r="S33" i="3"/>
  <c r="AB112" i="3"/>
  <c r="E80" i="36"/>
  <c r="E74" i="36"/>
  <c r="E84" i="36"/>
  <c r="E82" i="36"/>
  <c r="AB113" i="3"/>
  <c r="T33" i="3"/>
  <c r="E90" i="36"/>
  <c r="E78" i="36"/>
  <c r="E87" i="36"/>
  <c r="E77" i="36"/>
  <c r="E91" i="36"/>
  <c r="V33" i="3"/>
  <c r="AB115" i="3"/>
  <c r="U33" i="3"/>
  <c r="AB114" i="3"/>
  <c r="E124" i="27"/>
  <c r="I21" i="23"/>
  <c r="H47" i="23"/>
  <c r="E122" i="36"/>
  <c r="AG9" i="3"/>
  <c r="R9" i="3"/>
  <c r="AE9" i="3"/>
  <c r="P9" i="3"/>
  <c r="P33" i="3" s="1"/>
  <c r="AC9" i="3"/>
  <c r="N9" i="3"/>
  <c r="N33" i="3" s="1"/>
  <c r="AD9" i="3"/>
  <c r="O9" i="3"/>
  <c r="O33" i="3" s="1"/>
  <c r="CD9" i="24"/>
  <c r="CD10" i="24" s="1"/>
  <c r="I9" i="29"/>
  <c r="CE9" i="29" s="1"/>
  <c r="CE10" i="29" s="1"/>
  <c r="CD9" i="29"/>
  <c r="CD10" i="29" s="1"/>
  <c r="D109" i="30"/>
  <c r="D6" i="30"/>
  <c r="D56" i="30" s="1"/>
  <c r="AD21" i="29"/>
  <c r="D110" i="26"/>
  <c r="D6" i="26"/>
  <c r="D56" i="26" s="1"/>
  <c r="AE21" i="23"/>
  <c r="D111" i="5"/>
  <c r="D6" i="5"/>
  <c r="AB11" i="3"/>
  <c r="E124" i="30"/>
  <c r="E31" i="30" s="1"/>
  <c r="H177" i="29"/>
  <c r="I21" i="29"/>
  <c r="BN21" i="29"/>
  <c r="BN58" i="29" s="1"/>
  <c r="AD21" i="24"/>
  <c r="BM9" i="1"/>
  <c r="BM10" i="1" s="1"/>
  <c r="CD9" i="1"/>
  <c r="CD10" i="1" s="1"/>
  <c r="H11" i="1"/>
  <c r="H100" i="1"/>
  <c r="H96" i="1"/>
  <c r="H92" i="1"/>
  <c r="H88" i="1"/>
  <c r="H82" i="1"/>
  <c r="H78" i="1"/>
  <c r="H47" i="1"/>
  <c r="H99" i="1"/>
  <c r="H95" i="1"/>
  <c r="H91" i="1"/>
  <c r="H87" i="1"/>
  <c r="H81" i="1"/>
  <c r="H77" i="1"/>
  <c r="H177" i="1"/>
  <c r="H98" i="1"/>
  <c r="H94" i="1"/>
  <c r="H90" i="1"/>
  <c r="H86" i="1"/>
  <c r="H80" i="1"/>
  <c r="H97" i="1"/>
  <c r="H93" i="1"/>
  <c r="H89" i="1"/>
  <c r="H83" i="1"/>
  <c r="H79" i="1"/>
  <c r="H159" i="3"/>
  <c r="H177" i="24"/>
  <c r="H47" i="24"/>
  <c r="E124" i="26"/>
  <c r="E31" i="26" s="1"/>
  <c r="I21" i="24"/>
  <c r="CX31" i="1"/>
  <c r="I75" i="58" a="1"/>
  <c r="L233" i="1" l="1"/>
  <c r="P232" i="1"/>
  <c r="CC41" i="23"/>
  <c r="AC29" i="23"/>
  <c r="CC38" i="23"/>
  <c r="AC37" i="23"/>
  <c r="AC39" i="24"/>
  <c r="AC27" i="23"/>
  <c r="AD37" i="23"/>
  <c r="AC37" i="29"/>
  <c r="AD46" i="23"/>
  <c r="AC46" i="23"/>
  <c r="E31" i="27"/>
  <c r="E100" i="27" s="1"/>
  <c r="T233" i="1"/>
  <c r="R233" i="1"/>
  <c r="BM44" i="23"/>
  <c r="BM45" i="23"/>
  <c r="BM33" i="23"/>
  <c r="BM36" i="23"/>
  <c r="CE36" i="23" s="1"/>
  <c r="AD28" i="23"/>
  <c r="AC28" i="23"/>
  <c r="AC35" i="24"/>
  <c r="AC33" i="24"/>
  <c r="AC46" i="24"/>
  <c r="DD47" i="58"/>
  <c r="AD35" i="59" s="1"/>
  <c r="CT47" i="58"/>
  <c r="T35" i="59" s="1"/>
  <c r="E99" i="58"/>
  <c r="CK47" i="58"/>
  <c r="K35" i="59" s="1"/>
  <c r="CW47" i="58"/>
  <c r="W35" i="59" s="1"/>
  <c r="DA47" i="58"/>
  <c r="AA35" i="59" s="1"/>
  <c r="CI47" i="58"/>
  <c r="I35" i="59" s="1"/>
  <c r="CE47" i="58"/>
  <c r="E35" i="59" s="1"/>
  <c r="CZ47" i="58"/>
  <c r="Z35" i="59" s="1"/>
  <c r="DE47" i="58"/>
  <c r="AE35" i="59" s="1"/>
  <c r="AE82" i="59" s="1"/>
  <c r="CO47" i="58"/>
  <c r="O35" i="59" s="1"/>
  <c r="CQ47" i="58"/>
  <c r="Q35" i="59" s="1"/>
  <c r="Q82" i="59" s="1"/>
  <c r="CP47" i="58"/>
  <c r="P35" i="59" s="1"/>
  <c r="DG47" i="58"/>
  <c r="AG35" i="59" s="1"/>
  <c r="CX47" i="58"/>
  <c r="X35" i="59" s="1"/>
  <c r="DF47" i="58"/>
  <c r="AF35" i="59" s="1"/>
  <c r="CV47" i="58"/>
  <c r="V35" i="59" s="1"/>
  <c r="DC47" i="58"/>
  <c r="AC35" i="59" s="1"/>
  <c r="CF47" i="58"/>
  <c r="F35" i="59" s="1"/>
  <c r="DB47" i="58"/>
  <c r="AB35" i="59" s="1"/>
  <c r="CG47" i="58"/>
  <c r="G35" i="59" s="1"/>
  <c r="CN47" i="58"/>
  <c r="N35" i="59" s="1"/>
  <c r="N82" i="59" s="1"/>
  <c r="CD47" i="58"/>
  <c r="D35" i="59" s="1"/>
  <c r="CM47" i="58"/>
  <c r="M35" i="59" s="1"/>
  <c r="CR47" i="58"/>
  <c r="R35" i="59" s="1"/>
  <c r="DH47" i="58"/>
  <c r="AH35" i="59" s="1"/>
  <c r="CH47" i="58"/>
  <c r="H35" i="59" s="1"/>
  <c r="CJ47" i="58"/>
  <c r="J35" i="59" s="1"/>
  <c r="CS47" i="58"/>
  <c r="S35" i="59" s="1"/>
  <c r="CF46" i="58"/>
  <c r="F34" i="59" s="1"/>
  <c r="CT46" i="58"/>
  <c r="T34" i="59" s="1"/>
  <c r="CM46" i="58"/>
  <c r="M34" i="59" s="1"/>
  <c r="DE46" i="58"/>
  <c r="AE34" i="59" s="1"/>
  <c r="CL46" i="58"/>
  <c r="L34" i="59" s="1"/>
  <c r="L82" i="59" s="1"/>
  <c r="E98" i="58"/>
  <c r="CY46" i="58"/>
  <c r="Y34" i="59" s="1"/>
  <c r="Y82" i="59" s="1"/>
  <c r="DA46" i="58"/>
  <c r="AA34" i="59" s="1"/>
  <c r="CO46" i="58"/>
  <c r="O34" i="59" s="1"/>
  <c r="CQ46" i="58"/>
  <c r="Q34" i="59" s="1"/>
  <c r="DD46" i="58"/>
  <c r="AD34" i="59" s="1"/>
  <c r="CD46" i="58"/>
  <c r="D34" i="59" s="1"/>
  <c r="CX46" i="58"/>
  <c r="X34" i="59" s="1"/>
  <c r="CZ46" i="58"/>
  <c r="Z34" i="59" s="1"/>
  <c r="CI46" i="58"/>
  <c r="I34" i="59" s="1"/>
  <c r="I82" i="59" s="1"/>
  <c r="CV46" i="58"/>
  <c r="V34" i="59" s="1"/>
  <c r="CU46" i="58"/>
  <c r="U34" i="59" s="1"/>
  <c r="U82" i="59" s="1"/>
  <c r="DB46" i="58"/>
  <c r="AB34" i="59" s="1"/>
  <c r="CE46" i="58"/>
  <c r="E34" i="59" s="1"/>
  <c r="E82" i="59" s="1"/>
  <c r="CR46" i="58"/>
  <c r="R34" i="59" s="1"/>
  <c r="CN46" i="58"/>
  <c r="N34" i="59" s="1"/>
  <c r="D76" i="58"/>
  <c r="CH46" i="58"/>
  <c r="H34" i="59" s="1"/>
  <c r="H82" i="59" s="1"/>
  <c r="DH46" i="58"/>
  <c r="AH34" i="59" s="1"/>
  <c r="AH82" i="59" s="1"/>
  <c r="CK46" i="58"/>
  <c r="K34" i="59" s="1"/>
  <c r="CW46" i="58"/>
  <c r="W34" i="59" s="1"/>
  <c r="DC46" i="58"/>
  <c r="AC34" i="59" s="1"/>
  <c r="CJ46" i="58"/>
  <c r="J34" i="59" s="1"/>
  <c r="J82" i="59" s="1"/>
  <c r="DG46" i="58"/>
  <c r="AG34" i="59" s="1"/>
  <c r="AG82" i="59" s="1"/>
  <c r="CS46" i="58"/>
  <c r="S34" i="59" s="1"/>
  <c r="AJ16" i="59"/>
  <c r="AJ76" i="59" s="1"/>
  <c r="DJ56" i="58"/>
  <c r="E85" i="58"/>
  <c r="DE85" i="58" s="1"/>
  <c r="DM33" i="58"/>
  <c r="AM21" i="59" s="1"/>
  <c r="DL33" i="58"/>
  <c r="AL21" i="59" s="1"/>
  <c r="DK33" i="58"/>
  <c r="AK21" i="59" s="1"/>
  <c r="DJ33" i="58"/>
  <c r="AJ21" i="59" s="1"/>
  <c r="DI33" i="58"/>
  <c r="AI21" i="59" s="1"/>
  <c r="CW33" i="58"/>
  <c r="W21" i="59" s="1"/>
  <c r="CN33" i="58"/>
  <c r="N21" i="59" s="1"/>
  <c r="CE33" i="58"/>
  <c r="E21" i="59" s="1"/>
  <c r="CX33" i="58"/>
  <c r="X21" i="59" s="1"/>
  <c r="DE33" i="58"/>
  <c r="AE21" i="59" s="1"/>
  <c r="CD33" i="58"/>
  <c r="D21" i="59" s="1"/>
  <c r="CH33" i="58"/>
  <c r="H21" i="59" s="1"/>
  <c r="CF33" i="58"/>
  <c r="F21" i="59" s="1"/>
  <c r="DC33" i="58"/>
  <c r="AC21" i="59" s="1"/>
  <c r="DD33" i="58"/>
  <c r="AD21" i="59" s="1"/>
  <c r="CV33" i="58"/>
  <c r="V21" i="59" s="1"/>
  <c r="CT33" i="58"/>
  <c r="T21" i="59" s="1"/>
  <c r="CY33" i="58"/>
  <c r="Y21" i="59" s="1"/>
  <c r="CM33" i="58"/>
  <c r="M21" i="59" s="1"/>
  <c r="CO33" i="58"/>
  <c r="O21" i="59" s="1"/>
  <c r="CZ33" i="58"/>
  <c r="Z21" i="59" s="1"/>
  <c r="CI33" i="58"/>
  <c r="I21" i="59" s="1"/>
  <c r="CG33" i="58"/>
  <c r="G21" i="59" s="1"/>
  <c r="DH33" i="58"/>
  <c r="AH21" i="59" s="1"/>
  <c r="CK33" i="58"/>
  <c r="K21" i="59" s="1"/>
  <c r="DF33" i="58"/>
  <c r="AF21" i="59" s="1"/>
  <c r="DA33" i="58"/>
  <c r="AA21" i="59" s="1"/>
  <c r="CL33" i="58"/>
  <c r="L21" i="59" s="1"/>
  <c r="CR33" i="58"/>
  <c r="R21" i="59" s="1"/>
  <c r="DB33" i="58"/>
  <c r="AB21" i="59" s="1"/>
  <c r="CU33" i="58"/>
  <c r="U21" i="59" s="1"/>
  <c r="CJ33" i="58"/>
  <c r="J21" i="59" s="1"/>
  <c r="CQ33" i="58"/>
  <c r="Q21" i="59" s="1"/>
  <c r="DG33" i="58"/>
  <c r="AG21" i="59" s="1"/>
  <c r="CS33" i="58"/>
  <c r="S21" i="59" s="1"/>
  <c r="CP33" i="58"/>
  <c r="P21" i="59" s="1"/>
  <c r="E94" i="58"/>
  <c r="DC94" i="58" s="1"/>
  <c r="DM42" i="58"/>
  <c r="AM30" i="59" s="1"/>
  <c r="DL42" i="58"/>
  <c r="AL30" i="59" s="1"/>
  <c r="DK42" i="58"/>
  <c r="AK30" i="59" s="1"/>
  <c r="DJ42" i="58"/>
  <c r="AJ30" i="59" s="1"/>
  <c r="DI42" i="58"/>
  <c r="AI30" i="59" s="1"/>
  <c r="CJ42" i="58"/>
  <c r="J30" i="59" s="1"/>
  <c r="CQ42" i="58"/>
  <c r="Q30" i="59" s="1"/>
  <c r="CD42" i="58"/>
  <c r="D30" i="59" s="1"/>
  <c r="DD42" i="58"/>
  <c r="AD30" i="59" s="1"/>
  <c r="CT42" i="58"/>
  <c r="T30" i="59" s="1"/>
  <c r="CO42" i="58"/>
  <c r="O30" i="59" s="1"/>
  <c r="CE42" i="58"/>
  <c r="E30" i="59" s="1"/>
  <c r="DG42" i="58"/>
  <c r="AG30" i="59" s="1"/>
  <c r="CH42" i="58"/>
  <c r="H30" i="59" s="1"/>
  <c r="CR42" i="58"/>
  <c r="R30" i="59" s="1"/>
  <c r="CZ42" i="58"/>
  <c r="Z30" i="59" s="1"/>
  <c r="CX42" i="58"/>
  <c r="X30" i="59" s="1"/>
  <c r="CY42" i="58"/>
  <c r="Y30" i="59" s="1"/>
  <c r="DH42" i="58"/>
  <c r="AH30" i="59" s="1"/>
  <c r="CU42" i="58"/>
  <c r="U30" i="59" s="1"/>
  <c r="DB42" i="58"/>
  <c r="AB30" i="59" s="1"/>
  <c r="CG42" i="58"/>
  <c r="G30" i="59" s="1"/>
  <c r="CF42" i="58"/>
  <c r="F30" i="59" s="1"/>
  <c r="CW42" i="58"/>
  <c r="W30" i="59" s="1"/>
  <c r="CN42" i="58"/>
  <c r="N30" i="59" s="1"/>
  <c r="CL42" i="58"/>
  <c r="L30" i="59" s="1"/>
  <c r="DE42" i="58"/>
  <c r="AE30" i="59" s="1"/>
  <c r="CV42" i="58"/>
  <c r="V30" i="59" s="1"/>
  <c r="CI42" i="58"/>
  <c r="I30" i="59" s="1"/>
  <c r="CP42" i="58"/>
  <c r="P30" i="59" s="1"/>
  <c r="CM42" i="58"/>
  <c r="M30" i="59" s="1"/>
  <c r="DC42" i="58"/>
  <c r="AC30" i="59" s="1"/>
  <c r="CK42" i="58"/>
  <c r="K30" i="59" s="1"/>
  <c r="DA42" i="58"/>
  <c r="AA30" i="59" s="1"/>
  <c r="DF42" i="58"/>
  <c r="AF30" i="59" s="1"/>
  <c r="CS42" i="58"/>
  <c r="S30" i="59" s="1"/>
  <c r="E81" i="58"/>
  <c r="DD81" i="58" s="1"/>
  <c r="DK29" i="58"/>
  <c r="DJ29" i="58"/>
  <c r="DI29" i="58"/>
  <c r="DL29" i="58"/>
  <c r="DM29" i="58"/>
  <c r="CP29" i="58"/>
  <c r="CZ29" i="58"/>
  <c r="CK29" i="58"/>
  <c r="CM29" i="58"/>
  <c r="CJ29" i="58"/>
  <c r="CD29" i="58"/>
  <c r="CR29" i="58"/>
  <c r="DE29" i="58"/>
  <c r="CN29" i="58"/>
  <c r="CY29" i="58"/>
  <c r="DG29" i="58"/>
  <c r="CS29" i="58"/>
  <c r="CF29" i="58"/>
  <c r="DF29" i="58"/>
  <c r="DA29" i="58"/>
  <c r="CW29" i="58"/>
  <c r="CE29" i="58"/>
  <c r="DH29" i="58"/>
  <c r="CU29" i="58"/>
  <c r="CX29" i="58"/>
  <c r="CG29" i="58"/>
  <c r="DC29" i="58"/>
  <c r="CT29" i="58"/>
  <c r="CO29" i="58"/>
  <c r="CL29" i="58"/>
  <c r="DB29" i="58"/>
  <c r="CV29" i="58"/>
  <c r="CI29" i="58"/>
  <c r="CH29" i="58"/>
  <c r="DD29" i="58"/>
  <c r="CQ29" i="58"/>
  <c r="DK60" i="58"/>
  <c r="AK29" i="59"/>
  <c r="AK80" i="59" s="1"/>
  <c r="AK16" i="59"/>
  <c r="AK76" i="59" s="1"/>
  <c r="DK56" i="58"/>
  <c r="AL29" i="59"/>
  <c r="AL80" i="59" s="1"/>
  <c r="DL60" i="58"/>
  <c r="AL16" i="59"/>
  <c r="AL76" i="59" s="1"/>
  <c r="DL56" i="58"/>
  <c r="E84" i="58"/>
  <c r="DC84" i="58" s="1"/>
  <c r="DM32" i="58"/>
  <c r="AM20" i="59" s="1"/>
  <c r="DL32" i="58"/>
  <c r="AL20" i="59" s="1"/>
  <c r="DK32" i="58"/>
  <c r="AK20" i="59" s="1"/>
  <c r="DJ32" i="58"/>
  <c r="AJ20" i="59" s="1"/>
  <c r="DI32" i="58"/>
  <c r="AI20" i="59" s="1"/>
  <c r="DB32" i="58"/>
  <c r="AB20" i="59" s="1"/>
  <c r="CP32" i="58"/>
  <c r="P20" i="59" s="1"/>
  <c r="DA32" i="58"/>
  <c r="AA20" i="59" s="1"/>
  <c r="CJ32" i="58"/>
  <c r="J20" i="59" s="1"/>
  <c r="CW32" i="58"/>
  <c r="W20" i="59" s="1"/>
  <c r="DD32" i="58"/>
  <c r="AD20" i="59" s="1"/>
  <c r="DE32" i="58"/>
  <c r="AE20" i="59" s="1"/>
  <c r="DG32" i="58"/>
  <c r="AG20" i="59" s="1"/>
  <c r="CZ32" i="58"/>
  <c r="Z20" i="59" s="1"/>
  <c r="CR32" i="58"/>
  <c r="R20" i="59" s="1"/>
  <c r="CM32" i="58"/>
  <c r="M20" i="59" s="1"/>
  <c r="CK32" i="58"/>
  <c r="K20" i="59" s="1"/>
  <c r="CU32" i="58"/>
  <c r="U20" i="59" s="1"/>
  <c r="CT32" i="58"/>
  <c r="T20" i="59" s="1"/>
  <c r="CS32" i="58"/>
  <c r="S20" i="59" s="1"/>
  <c r="CF32" i="58"/>
  <c r="F20" i="59" s="1"/>
  <c r="CE32" i="58"/>
  <c r="E20" i="59" s="1"/>
  <c r="CO32" i="58"/>
  <c r="O20" i="59" s="1"/>
  <c r="CI32" i="58"/>
  <c r="I20" i="59" s="1"/>
  <c r="CX32" i="58"/>
  <c r="X20" i="59" s="1"/>
  <c r="DH32" i="58"/>
  <c r="AH20" i="59" s="1"/>
  <c r="DC32" i="58"/>
  <c r="AC20" i="59" s="1"/>
  <c r="CH32" i="58"/>
  <c r="H20" i="59" s="1"/>
  <c r="CG32" i="58"/>
  <c r="G20" i="59" s="1"/>
  <c r="CY32" i="58"/>
  <c r="Y20" i="59" s="1"/>
  <c r="CD32" i="58"/>
  <c r="D20" i="59" s="1"/>
  <c r="CN32" i="58"/>
  <c r="N20" i="59" s="1"/>
  <c r="DF32" i="58"/>
  <c r="AF20" i="59" s="1"/>
  <c r="CL32" i="58"/>
  <c r="L20" i="59" s="1"/>
  <c r="CV32" i="58"/>
  <c r="V20" i="59" s="1"/>
  <c r="CQ32" i="58"/>
  <c r="Q20" i="59" s="1"/>
  <c r="AM29" i="59"/>
  <c r="DM60" i="58"/>
  <c r="AM16" i="59"/>
  <c r="AM76" i="59" s="1"/>
  <c r="DM56" i="58"/>
  <c r="E101" i="58"/>
  <c r="DM49" i="58"/>
  <c r="AM37" i="59" s="1"/>
  <c r="DL49" i="58"/>
  <c r="AL37" i="59" s="1"/>
  <c r="DK49" i="58"/>
  <c r="AK37" i="59" s="1"/>
  <c r="DJ49" i="58"/>
  <c r="AJ37" i="59" s="1"/>
  <c r="DI49" i="58"/>
  <c r="AI37" i="59" s="1"/>
  <c r="AJ29" i="59"/>
  <c r="AJ80" i="59" s="1"/>
  <c r="DJ60" i="58"/>
  <c r="E83" i="58"/>
  <c r="DB83" i="58" s="1"/>
  <c r="DM31" i="58"/>
  <c r="DL31" i="58"/>
  <c r="DK31" i="58"/>
  <c r="DJ31" i="58"/>
  <c r="DI31" i="58"/>
  <c r="DC31" i="58"/>
  <c r="CD31" i="58"/>
  <c r="CZ31" i="58"/>
  <c r="DF31" i="58"/>
  <c r="CL31" i="58"/>
  <c r="CY31" i="58"/>
  <c r="CQ31" i="58"/>
  <c r="DA31" i="58"/>
  <c r="DE31" i="58"/>
  <c r="CP31" i="58"/>
  <c r="CG31" i="58"/>
  <c r="DH31" i="58"/>
  <c r="CJ31" i="58"/>
  <c r="DD31" i="58"/>
  <c r="CT31" i="58"/>
  <c r="CM31" i="58"/>
  <c r="DG31" i="58"/>
  <c r="CE31" i="58"/>
  <c r="CK31" i="58"/>
  <c r="CR31" i="58"/>
  <c r="CW31" i="58"/>
  <c r="CS31" i="58"/>
  <c r="CU31" i="58"/>
  <c r="CX31" i="58"/>
  <c r="CN31" i="58"/>
  <c r="CF31" i="58"/>
  <c r="CH31" i="58"/>
  <c r="CV31" i="58"/>
  <c r="CI31" i="58"/>
  <c r="DB31" i="58"/>
  <c r="CO31" i="58"/>
  <c r="E90" i="58"/>
  <c r="DL38" i="58"/>
  <c r="AL26" i="59" s="1"/>
  <c r="DK38" i="58"/>
  <c r="AK26" i="59" s="1"/>
  <c r="DM38" i="58"/>
  <c r="AM26" i="59" s="1"/>
  <c r="DJ38" i="58"/>
  <c r="AJ26" i="59" s="1"/>
  <c r="DI38" i="58"/>
  <c r="AI26" i="59" s="1"/>
  <c r="AI29" i="59"/>
  <c r="AI80" i="59" s="1"/>
  <c r="E82" i="58"/>
  <c r="DM30" i="58"/>
  <c r="AM18" i="59" s="1"/>
  <c r="DL30" i="58"/>
  <c r="AL18" i="59" s="1"/>
  <c r="DK30" i="58"/>
  <c r="AK18" i="59" s="1"/>
  <c r="DJ30" i="58"/>
  <c r="AJ18" i="59" s="1"/>
  <c r="DI30" i="58"/>
  <c r="AI18" i="59" s="1"/>
  <c r="CW30" i="58"/>
  <c r="W18" i="59" s="1"/>
  <c r="CJ30" i="58"/>
  <c r="J18" i="59" s="1"/>
  <c r="CE30" i="58"/>
  <c r="E18" i="59" s="1"/>
  <c r="DE30" i="58"/>
  <c r="AE18" i="59" s="1"/>
  <c r="CR30" i="58"/>
  <c r="R18" i="59" s="1"/>
  <c r="DF30" i="58"/>
  <c r="AF18" i="59" s="1"/>
  <c r="CD30" i="58"/>
  <c r="D18" i="59" s="1"/>
  <c r="CX30" i="58"/>
  <c r="X18" i="59" s="1"/>
  <c r="CZ30" i="58"/>
  <c r="Z18" i="59" s="1"/>
  <c r="CK30" i="58"/>
  <c r="K18" i="59" s="1"/>
  <c r="DG30" i="58"/>
  <c r="AG18" i="59" s="1"/>
  <c r="CT30" i="58"/>
  <c r="T18" i="59" s="1"/>
  <c r="CS30" i="58"/>
  <c r="S18" i="59" s="1"/>
  <c r="CF30" i="58"/>
  <c r="F18" i="59" s="1"/>
  <c r="DB30" i="58"/>
  <c r="AB18" i="59" s="1"/>
  <c r="DA30" i="58"/>
  <c r="AA18" i="59" s="1"/>
  <c r="CM30" i="58"/>
  <c r="M18" i="59" s="1"/>
  <c r="CH30" i="58"/>
  <c r="H18" i="59" s="1"/>
  <c r="DH30" i="58"/>
  <c r="AH18" i="59" s="1"/>
  <c r="CU30" i="58"/>
  <c r="U18" i="59" s="1"/>
  <c r="CP30" i="58"/>
  <c r="P18" i="59" s="1"/>
  <c r="CG30" i="58"/>
  <c r="G18" i="59" s="1"/>
  <c r="DC30" i="58"/>
  <c r="AC18" i="59" s="1"/>
  <c r="CO30" i="58"/>
  <c r="O18" i="59" s="1"/>
  <c r="CY30" i="58"/>
  <c r="Y18" i="59" s="1"/>
  <c r="CV30" i="58"/>
  <c r="V18" i="59" s="1"/>
  <c r="CI30" i="58"/>
  <c r="I18" i="59" s="1"/>
  <c r="DD30" i="58"/>
  <c r="AD18" i="59" s="1"/>
  <c r="CQ30" i="58"/>
  <c r="Q18" i="59" s="1"/>
  <c r="CL30" i="58"/>
  <c r="L18" i="59" s="1"/>
  <c r="CN30" i="58"/>
  <c r="N18" i="59" s="1"/>
  <c r="DM46" i="58"/>
  <c r="AM34" i="59" s="1"/>
  <c r="DL46" i="58"/>
  <c r="AL34" i="59" s="1"/>
  <c r="DI46" i="58"/>
  <c r="AI34" i="59" s="1"/>
  <c r="DK46" i="58"/>
  <c r="AK34" i="59" s="1"/>
  <c r="DJ46" i="58"/>
  <c r="AJ34" i="59" s="1"/>
  <c r="E79" i="58"/>
  <c r="CD27" i="58"/>
  <c r="DI27" i="58"/>
  <c r="DJ27" i="58"/>
  <c r="DL27" i="58"/>
  <c r="DK27" i="58"/>
  <c r="DH27" i="58"/>
  <c r="CM27" i="58"/>
  <c r="CW27" i="58"/>
  <c r="CW51" i="58" s="1"/>
  <c r="DC27" i="58"/>
  <c r="CJ27" i="58"/>
  <c r="CK27" i="58"/>
  <c r="CZ27" i="58"/>
  <c r="CH27" i="58"/>
  <c r="CF27" i="58"/>
  <c r="DG27" i="58"/>
  <c r="DB27" i="58"/>
  <c r="CR27" i="58"/>
  <c r="CQ27" i="58"/>
  <c r="CI27" i="58"/>
  <c r="DA27" i="58"/>
  <c r="CN27" i="58"/>
  <c r="DE27" i="58"/>
  <c r="CO27" i="58"/>
  <c r="CV27" i="58"/>
  <c r="CP27" i="58"/>
  <c r="DF27" i="58"/>
  <c r="CS27" i="58"/>
  <c r="CE27" i="58"/>
  <c r="CX27" i="58"/>
  <c r="CY27" i="58"/>
  <c r="CG27" i="58"/>
  <c r="CU27" i="58"/>
  <c r="CL27" i="58"/>
  <c r="CT27" i="58"/>
  <c r="DD27" i="58"/>
  <c r="DM47" i="58"/>
  <c r="AM35" i="59" s="1"/>
  <c r="DL47" i="58"/>
  <c r="AL35" i="59" s="1"/>
  <c r="DK47" i="58"/>
  <c r="AK35" i="59" s="1"/>
  <c r="DJ47" i="58"/>
  <c r="AJ35" i="59" s="1"/>
  <c r="DI47" i="58"/>
  <c r="AI35" i="59" s="1"/>
  <c r="DJ36" i="58"/>
  <c r="DI36" i="58"/>
  <c r="DM36" i="58"/>
  <c r="DK36" i="58"/>
  <c r="DL36" i="58"/>
  <c r="DM44" i="58"/>
  <c r="DL44" i="58"/>
  <c r="DK44" i="58"/>
  <c r="DJ44" i="58"/>
  <c r="DI44" i="58"/>
  <c r="DL50" i="58"/>
  <c r="AL38" i="59" s="1"/>
  <c r="DM50" i="58"/>
  <c r="AM38" i="59" s="1"/>
  <c r="DK50" i="58"/>
  <c r="AK38" i="59" s="1"/>
  <c r="DJ50" i="58"/>
  <c r="AJ38" i="59" s="1"/>
  <c r="DI50" i="58"/>
  <c r="AI38" i="59" s="1"/>
  <c r="E91" i="58"/>
  <c r="DM39" i="58"/>
  <c r="AM27" i="59" s="1"/>
  <c r="DL39" i="58"/>
  <c r="AL27" i="59" s="1"/>
  <c r="DK39" i="58"/>
  <c r="AK27" i="59" s="1"/>
  <c r="DJ39" i="58"/>
  <c r="AJ27" i="59" s="1"/>
  <c r="DI39" i="58"/>
  <c r="AI27" i="59" s="1"/>
  <c r="CQ39" i="58"/>
  <c r="Q27" i="59" s="1"/>
  <c r="CN39" i="58"/>
  <c r="N27" i="59" s="1"/>
  <c r="CE39" i="58"/>
  <c r="E27" i="59" s="1"/>
  <c r="CY39" i="58"/>
  <c r="Y27" i="59" s="1"/>
  <c r="CJ39" i="58"/>
  <c r="J27" i="59" s="1"/>
  <c r="CM39" i="58"/>
  <c r="M27" i="59" s="1"/>
  <c r="DB39" i="58"/>
  <c r="AB27" i="59" s="1"/>
  <c r="CX39" i="58"/>
  <c r="X27" i="59" s="1"/>
  <c r="CT39" i="58"/>
  <c r="T27" i="59" s="1"/>
  <c r="CP39" i="58"/>
  <c r="P27" i="59" s="1"/>
  <c r="CL39" i="58"/>
  <c r="L27" i="59" s="1"/>
  <c r="CZ39" i="58"/>
  <c r="Z27" i="59" s="1"/>
  <c r="DE39" i="58"/>
  <c r="AE27" i="59" s="1"/>
  <c r="CD39" i="58"/>
  <c r="D27" i="59" s="1"/>
  <c r="DH39" i="58"/>
  <c r="AH27" i="59" s="1"/>
  <c r="CS39" i="58"/>
  <c r="S27" i="59" s="1"/>
  <c r="DG39" i="58"/>
  <c r="AG27" i="59" s="1"/>
  <c r="CV39" i="58"/>
  <c r="V27" i="59" s="1"/>
  <c r="CG39" i="58"/>
  <c r="G27" i="59" s="1"/>
  <c r="CI39" i="58"/>
  <c r="I27" i="59" s="1"/>
  <c r="CW39" i="58"/>
  <c r="W27" i="59" s="1"/>
  <c r="DD39" i="58"/>
  <c r="AD27" i="59" s="1"/>
  <c r="DA39" i="58"/>
  <c r="AA27" i="59" s="1"/>
  <c r="CK39" i="58"/>
  <c r="K27" i="59" s="1"/>
  <c r="CR39" i="58"/>
  <c r="R27" i="59" s="1"/>
  <c r="CO39" i="58"/>
  <c r="O27" i="59" s="1"/>
  <c r="DF39" i="58"/>
  <c r="AF27" i="59" s="1"/>
  <c r="DC39" i="58"/>
  <c r="AC27" i="59" s="1"/>
  <c r="CF39" i="58"/>
  <c r="F27" i="59" s="1"/>
  <c r="CU39" i="58"/>
  <c r="U27" i="59" s="1"/>
  <c r="CH39" i="58"/>
  <c r="H27" i="59" s="1"/>
  <c r="AI16" i="59"/>
  <c r="AI76" i="59" s="1"/>
  <c r="DI56" i="58"/>
  <c r="DE84" i="58"/>
  <c r="DD84" i="58"/>
  <c r="DD83" i="58"/>
  <c r="DB81" i="58"/>
  <c r="DE81" i="58"/>
  <c r="DB84" i="58"/>
  <c r="Q51" i="58"/>
  <c r="AL51" i="58"/>
  <c r="AB51" i="58"/>
  <c r="AE51" i="58"/>
  <c r="AH51" i="58"/>
  <c r="L51" i="58"/>
  <c r="S51" i="58"/>
  <c r="R51" i="58"/>
  <c r="I51" i="58"/>
  <c r="N51" i="58"/>
  <c r="AO51" i="58"/>
  <c r="U51" i="58"/>
  <c r="O51" i="58"/>
  <c r="AG51" i="58"/>
  <c r="AD51" i="58"/>
  <c r="M51" i="58"/>
  <c r="H51" i="58"/>
  <c r="T51" i="58"/>
  <c r="AK51" i="58"/>
  <c r="AN51" i="58"/>
  <c r="P51" i="58"/>
  <c r="AC51" i="58"/>
  <c r="AI51" i="58"/>
  <c r="Y51" i="58"/>
  <c r="DD85" i="58"/>
  <c r="AJ51" i="58"/>
  <c r="V51" i="58"/>
  <c r="AF51" i="58"/>
  <c r="W51" i="58"/>
  <c r="DC85" i="58"/>
  <c r="G51" i="58"/>
  <c r="AP51" i="58"/>
  <c r="J51" i="58"/>
  <c r="AM51" i="58"/>
  <c r="AA51" i="58"/>
  <c r="Z51" i="58"/>
  <c r="X51" i="58"/>
  <c r="K51" i="58"/>
  <c r="V46" i="41"/>
  <c r="V43" i="41" s="1"/>
  <c r="V59" i="41" s="1"/>
  <c r="DB85" i="58"/>
  <c r="DC81" i="58"/>
  <c r="DE94" i="58"/>
  <c r="DB94" i="58"/>
  <c r="DD94" i="58"/>
  <c r="CB23" i="58"/>
  <c r="CB51" i="58"/>
  <c r="B39" i="59" s="1"/>
  <c r="B70" i="59" s="1"/>
  <c r="DE91" i="58"/>
  <c r="DD91" i="58"/>
  <c r="DC91" i="58"/>
  <c r="DB91" i="58"/>
  <c r="E15" i="35"/>
  <c r="W15" i="35" s="1"/>
  <c r="D15" i="35"/>
  <c r="CD25" i="23"/>
  <c r="J232" i="1"/>
  <c r="AD27" i="23"/>
  <c r="AD45" i="23"/>
  <c r="CE45" i="23" s="1"/>
  <c r="AC24" i="23"/>
  <c r="I11" i="23"/>
  <c r="J9" i="23"/>
  <c r="BN9" i="23" s="1"/>
  <c r="BN10" i="23" s="1"/>
  <c r="M232" i="1"/>
  <c r="Q232" i="1"/>
  <c r="M233" i="1"/>
  <c r="N217" i="1"/>
  <c r="G232" i="1"/>
  <c r="K232" i="1"/>
  <c r="J233" i="1"/>
  <c r="Q233" i="1"/>
  <c r="I232" i="1"/>
  <c r="AF82" i="59"/>
  <c r="K233" i="1"/>
  <c r="AA82" i="59"/>
  <c r="V82" i="59"/>
  <c r="G233" i="1"/>
  <c r="O82" i="59"/>
  <c r="P233" i="1"/>
  <c r="G82" i="59"/>
  <c r="H233" i="1"/>
  <c r="N233" i="1"/>
  <c r="F24" i="59"/>
  <c r="CF59" i="58"/>
  <c r="W24" i="59"/>
  <c r="W79" i="59" s="1"/>
  <c r="CW59" i="58"/>
  <c r="L32" i="59"/>
  <c r="L81" i="59" s="1"/>
  <c r="CL61" i="58"/>
  <c r="N29" i="59"/>
  <c r="CN60" i="58"/>
  <c r="CD60" i="58"/>
  <c r="D29" i="59"/>
  <c r="D80" i="59" s="1"/>
  <c r="K82" i="59"/>
  <c r="R82" i="59"/>
  <c r="DE89" i="58"/>
  <c r="DC89" i="58"/>
  <c r="DB89" i="58"/>
  <c r="DD89" i="58"/>
  <c r="G24" i="59"/>
  <c r="H24" i="59"/>
  <c r="I24" i="59"/>
  <c r="I79" i="59" s="1"/>
  <c r="CI59" i="58"/>
  <c r="DE102" i="58"/>
  <c r="DB102" i="58"/>
  <c r="DC102" i="58"/>
  <c r="DD102" i="58"/>
  <c r="O32" i="59"/>
  <c r="O81" i="59" s="1"/>
  <c r="CO61" i="58"/>
  <c r="DC61" i="58"/>
  <c r="AC32" i="59"/>
  <c r="AC81" i="59" s="1"/>
  <c r="T32" i="59"/>
  <c r="T81" i="59" s="1"/>
  <c r="CT61" i="58"/>
  <c r="W29" i="59"/>
  <c r="W80" i="59" s="1"/>
  <c r="CW60" i="58"/>
  <c r="AG29" i="59"/>
  <c r="DG60" i="58"/>
  <c r="AE29" i="59"/>
  <c r="AE80" i="59" s="1"/>
  <c r="DE60" i="58"/>
  <c r="AB24" i="59"/>
  <c r="N231" i="1"/>
  <c r="P82" i="59"/>
  <c r="S82" i="59"/>
  <c r="Z24" i="59"/>
  <c r="CZ59" i="58"/>
  <c r="J24" i="59"/>
  <c r="CJ59" i="58"/>
  <c r="DD88" i="58"/>
  <c r="DE88" i="58"/>
  <c r="DC88" i="58"/>
  <c r="DB88" i="58"/>
  <c r="X32" i="59"/>
  <c r="X81" i="59" s="1"/>
  <c r="CX61" i="58"/>
  <c r="N32" i="59"/>
  <c r="N81" i="59" s="1"/>
  <c r="CN61" i="58"/>
  <c r="DE96" i="58"/>
  <c r="DD96" i="58"/>
  <c r="DB96" i="58"/>
  <c r="DC96" i="58"/>
  <c r="I29" i="59"/>
  <c r="L29" i="59"/>
  <c r="L80" i="59" s="1"/>
  <c r="CL60" i="58"/>
  <c r="H29" i="59"/>
  <c r="H80" i="59" s="1"/>
  <c r="CH60" i="58"/>
  <c r="V24" i="59"/>
  <c r="I32" i="59"/>
  <c r="I81" i="59" s="1"/>
  <c r="CI61" i="58"/>
  <c r="Q29" i="59"/>
  <c r="AD24" i="59"/>
  <c r="DD59" i="58"/>
  <c r="T24" i="59"/>
  <c r="T79" i="59" s="1"/>
  <c r="CT59" i="58"/>
  <c r="F32" i="59"/>
  <c r="F81" i="59" s="1"/>
  <c r="CF61" i="58"/>
  <c r="G32" i="59"/>
  <c r="G81" i="59" s="1"/>
  <c r="CG61" i="58"/>
  <c r="K29" i="59"/>
  <c r="V29" i="59"/>
  <c r="V80" i="59" s="1"/>
  <c r="CV60" i="58"/>
  <c r="AB29" i="59"/>
  <c r="DB90" i="58"/>
  <c r="DE90" i="58"/>
  <c r="DC90" i="58"/>
  <c r="DD90" i="58"/>
  <c r="U24" i="59"/>
  <c r="AC24" i="59"/>
  <c r="CU61" i="58"/>
  <c r="U32" i="59"/>
  <c r="U81" i="59" s="1"/>
  <c r="J32" i="59"/>
  <c r="J81" i="59" s="1"/>
  <c r="CJ61" i="58"/>
  <c r="DC60" i="58"/>
  <c r="AC29" i="59"/>
  <c r="AC80" i="59" s="1"/>
  <c r="AD29" i="59"/>
  <c r="T29" i="59"/>
  <c r="T80" i="59" s="1"/>
  <c r="CT60" i="58"/>
  <c r="DE98" i="58"/>
  <c r="DC98" i="58"/>
  <c r="DD98" i="58"/>
  <c r="DB98" i="58"/>
  <c r="P29" i="59"/>
  <c r="W82" i="59"/>
  <c r="DE100" i="58"/>
  <c r="DB100" i="58"/>
  <c r="DC100" i="58"/>
  <c r="DD100" i="58"/>
  <c r="AC82" i="59"/>
  <c r="Z82" i="59"/>
  <c r="N24" i="59"/>
  <c r="N79" i="59" s="1"/>
  <c r="O24" i="59"/>
  <c r="O79" i="59" s="1"/>
  <c r="I233" i="1"/>
  <c r="M32" i="59"/>
  <c r="M81" i="59" s="1"/>
  <c r="CM61" i="58"/>
  <c r="Z32" i="59"/>
  <c r="Z81" i="59" s="1"/>
  <c r="CZ61" i="58"/>
  <c r="CU60" i="58"/>
  <c r="U29" i="59"/>
  <c r="U80" i="59" s="1"/>
  <c r="O29" i="59"/>
  <c r="O80" i="59" s="1"/>
  <c r="CO60" i="58"/>
  <c r="E29" i="59"/>
  <c r="E80" i="59" s="1"/>
  <c r="CE60" i="58"/>
  <c r="D32" i="59"/>
  <c r="D81" i="59" s="1"/>
  <c r="CD61" i="58"/>
  <c r="Y29" i="59"/>
  <c r="AD82" i="59"/>
  <c r="DE97" i="58"/>
  <c r="DB97" i="58"/>
  <c r="DC97" i="58"/>
  <c r="DD97" i="58"/>
  <c r="S24" i="59"/>
  <c r="AF24" i="59"/>
  <c r="CR61" i="58"/>
  <c r="R32" i="59"/>
  <c r="R81" i="59" s="1"/>
  <c r="S32" i="59"/>
  <c r="S81" i="59" s="1"/>
  <c r="CS61" i="58"/>
  <c r="F29" i="59"/>
  <c r="F80" i="59" s="1"/>
  <c r="CF60" i="58"/>
  <c r="G29" i="59"/>
  <c r="G80" i="59" s="1"/>
  <c r="CG60" i="58"/>
  <c r="AF29" i="59"/>
  <c r="AF80" i="59" s="1"/>
  <c r="DF60" i="58"/>
  <c r="CK61" i="58"/>
  <c r="K32" i="59"/>
  <c r="K81" i="59" s="1"/>
  <c r="T232" i="1"/>
  <c r="DE99" i="58"/>
  <c r="DC99" i="58"/>
  <c r="DB99" i="58"/>
  <c r="DD99" i="58"/>
  <c r="Y24" i="59"/>
  <c r="DE59" i="58"/>
  <c r="AE24" i="59"/>
  <c r="AE79" i="59" s="1"/>
  <c r="L24" i="59"/>
  <c r="L79" i="59" s="1"/>
  <c r="CL59" i="58"/>
  <c r="AF32" i="59"/>
  <c r="AF81" i="59" s="1"/>
  <c r="DF61" i="58"/>
  <c r="AG32" i="59"/>
  <c r="AG81" i="59" s="1"/>
  <c r="DG61" i="58"/>
  <c r="V32" i="59"/>
  <c r="V81" i="59" s="1"/>
  <c r="CV61" i="58"/>
  <c r="Z29" i="59"/>
  <c r="Z80" i="59" s="1"/>
  <c r="CZ60" i="58"/>
  <c r="AH29" i="59"/>
  <c r="AH80" i="59" s="1"/>
  <c r="DC93" i="58"/>
  <c r="DD93" i="58"/>
  <c r="DE93" i="58"/>
  <c r="DB93" i="58"/>
  <c r="DC101" i="58"/>
  <c r="DB101" i="58"/>
  <c r="DD101" i="58"/>
  <c r="DE101" i="58"/>
  <c r="AB32" i="59"/>
  <c r="AB81" i="59" s="1"/>
  <c r="DB61" i="58"/>
  <c r="M24" i="59"/>
  <c r="R24" i="59"/>
  <c r="R79" i="59" s="1"/>
  <c r="CR59" i="58"/>
  <c r="K24" i="59"/>
  <c r="K79" i="59" s="1"/>
  <c r="CK59" i="58"/>
  <c r="AA24" i="59"/>
  <c r="AA79" i="59" s="1"/>
  <c r="DA59" i="58"/>
  <c r="W32" i="59"/>
  <c r="W81" i="59" s="1"/>
  <c r="CW61" i="58"/>
  <c r="Y32" i="59"/>
  <c r="Y81" i="59" s="1"/>
  <c r="CY61" i="58"/>
  <c r="AE32" i="59"/>
  <c r="AE81" i="59" s="1"/>
  <c r="DE61" i="58"/>
  <c r="R29" i="59"/>
  <c r="R80" i="59" s="1"/>
  <c r="CR60" i="58"/>
  <c r="AA29" i="59"/>
  <c r="AA80" i="59" s="1"/>
  <c r="DA60" i="58"/>
  <c r="P24" i="59"/>
  <c r="CP59" i="58"/>
  <c r="Q32" i="59"/>
  <c r="Q81" i="59" s="1"/>
  <c r="CQ61" i="58"/>
  <c r="F82" i="59"/>
  <c r="AG24" i="59"/>
  <c r="AG79" i="59" s="1"/>
  <c r="DG59" i="58"/>
  <c r="AH24" i="59"/>
  <c r="E24" i="59"/>
  <c r="DA61" i="58"/>
  <c r="AA32" i="59"/>
  <c r="AA81" i="59" s="1"/>
  <c r="AD32" i="59"/>
  <c r="AD81" i="59" s="1"/>
  <c r="DD61" i="58"/>
  <c r="AH32" i="59"/>
  <c r="AH81" i="59" s="1"/>
  <c r="DH61" i="58"/>
  <c r="X29" i="59"/>
  <c r="S29" i="59"/>
  <c r="S80" i="59" s="1"/>
  <c r="CS60" i="58"/>
  <c r="O233" i="1"/>
  <c r="DE92" i="58"/>
  <c r="DC92" i="58"/>
  <c r="DD92" i="58"/>
  <c r="DB92" i="58"/>
  <c r="X82" i="59"/>
  <c r="D24" i="59"/>
  <c r="CQ59" i="58"/>
  <c r="Q24" i="59"/>
  <c r="Q79" i="59" s="1"/>
  <c r="X24" i="59"/>
  <c r="X79" i="59" s="1"/>
  <c r="CX59" i="58"/>
  <c r="P32" i="59"/>
  <c r="P81" i="59" s="1"/>
  <c r="CP61" i="58"/>
  <c r="CE61" i="58"/>
  <c r="E32" i="59"/>
  <c r="E81" i="59" s="1"/>
  <c r="H32" i="59"/>
  <c r="H81" i="59" s="1"/>
  <c r="CH61" i="58"/>
  <c r="M29" i="59"/>
  <c r="J29" i="59"/>
  <c r="T82" i="59"/>
  <c r="DD95" i="58"/>
  <c r="DE95" i="58"/>
  <c r="DC95" i="58"/>
  <c r="DB95" i="58"/>
  <c r="AA59" i="1"/>
  <c r="Y59" i="1"/>
  <c r="I75" i="58"/>
  <c r="F16" i="59"/>
  <c r="F76" i="59" s="1"/>
  <c r="CF56" i="58"/>
  <c r="K16" i="59"/>
  <c r="K76" i="59" s="1"/>
  <c r="CK56" i="58"/>
  <c r="N16" i="59"/>
  <c r="N76" i="59" s="1"/>
  <c r="CN56" i="58"/>
  <c r="D16" i="59"/>
  <c r="CD56" i="58"/>
  <c r="E16" i="59"/>
  <c r="E76" i="59" s="1"/>
  <c r="CE56" i="58"/>
  <c r="CR56" i="58"/>
  <c r="R16" i="59"/>
  <c r="R76" i="59" s="1"/>
  <c r="H16" i="59"/>
  <c r="H76" i="59" s="1"/>
  <c r="CH56" i="58"/>
  <c r="M16" i="59"/>
  <c r="M76" i="59" s="1"/>
  <c r="CM56" i="58"/>
  <c r="Z16" i="59"/>
  <c r="Z76" i="59" s="1"/>
  <c r="CZ56" i="58"/>
  <c r="V16" i="59"/>
  <c r="V76" i="59" s="1"/>
  <c r="CV56" i="58"/>
  <c r="Q16" i="59"/>
  <c r="Q76" i="59" s="1"/>
  <c r="CQ56" i="58"/>
  <c r="AD16" i="59"/>
  <c r="AD76" i="59" s="1"/>
  <c r="DD56" i="58"/>
  <c r="P16" i="59"/>
  <c r="P76" i="59" s="1"/>
  <c r="CP56" i="58"/>
  <c r="U16" i="59"/>
  <c r="U76" i="59" s="1"/>
  <c r="CU56" i="58"/>
  <c r="X16" i="59"/>
  <c r="X76" i="59" s="1"/>
  <c r="CX56" i="58"/>
  <c r="T16" i="59"/>
  <c r="T76" i="59" s="1"/>
  <c r="CT56" i="58"/>
  <c r="CD51" i="58"/>
  <c r="Y16" i="59"/>
  <c r="Y76" i="59" s="1"/>
  <c r="CY56" i="58"/>
  <c r="G16" i="59"/>
  <c r="G76" i="59" s="1"/>
  <c r="CG56" i="58"/>
  <c r="CW56" i="58"/>
  <c r="W16" i="59"/>
  <c r="W76" i="59" s="1"/>
  <c r="DC56" i="58"/>
  <c r="AC16" i="59"/>
  <c r="AC76" i="59" s="1"/>
  <c r="O16" i="59"/>
  <c r="O76" i="59" s="1"/>
  <c r="CO56" i="58"/>
  <c r="AB16" i="59"/>
  <c r="AB76" i="59" s="1"/>
  <c r="DB56" i="58"/>
  <c r="AG16" i="59"/>
  <c r="AG76" i="59" s="1"/>
  <c r="DG56" i="58"/>
  <c r="S16" i="59"/>
  <c r="S76" i="59" s="1"/>
  <c r="CS56" i="58"/>
  <c r="DF56" i="58"/>
  <c r="AF16" i="59"/>
  <c r="AF76" i="59" s="1"/>
  <c r="AH16" i="59"/>
  <c r="AH76" i="59" s="1"/>
  <c r="DH56" i="58"/>
  <c r="J16" i="59"/>
  <c r="J76" i="59" s="1"/>
  <c r="CJ56" i="58"/>
  <c r="DD80" i="58"/>
  <c r="DE80" i="58"/>
  <c r="DC80" i="58"/>
  <c r="DB80" i="58"/>
  <c r="O231" i="1"/>
  <c r="I16" i="59"/>
  <c r="I76" i="59" s="1"/>
  <c r="CI56" i="58"/>
  <c r="DA56" i="58"/>
  <c r="AA16" i="59"/>
  <c r="AA76" i="59" s="1"/>
  <c r="L16" i="59"/>
  <c r="L76" i="59" s="1"/>
  <c r="CL56" i="58"/>
  <c r="AE16" i="59"/>
  <c r="AE76" i="59" s="1"/>
  <c r="DE56" i="58"/>
  <c r="G217" i="1"/>
  <c r="O217" i="1"/>
  <c r="V217" i="1"/>
  <c r="U232" i="1"/>
  <c r="V232" i="1"/>
  <c r="M231" i="1"/>
  <c r="M217" i="1"/>
  <c r="CC44" i="29"/>
  <c r="D147" i="30" s="1"/>
  <c r="I191" i="1"/>
  <c r="I221" i="1" s="1"/>
  <c r="G231" i="1"/>
  <c r="S217" i="1"/>
  <c r="S231" i="1"/>
  <c r="AC42" i="29"/>
  <c r="CC40" i="29"/>
  <c r="CC29" i="29"/>
  <c r="H217" i="1"/>
  <c r="H231" i="1"/>
  <c r="P231" i="1"/>
  <c r="T217" i="1"/>
  <c r="P217" i="1"/>
  <c r="T231" i="1"/>
  <c r="CD28" i="1"/>
  <c r="E132" i="5" s="1"/>
  <c r="L231" i="1"/>
  <c r="I231" i="1"/>
  <c r="L217" i="1"/>
  <c r="I217" i="1"/>
  <c r="Q231" i="1"/>
  <c r="J231" i="1"/>
  <c r="K231" i="1"/>
  <c r="Q217" i="1"/>
  <c r="J217" i="1"/>
  <c r="K217" i="1"/>
  <c r="R217" i="1"/>
  <c r="U231" i="1"/>
  <c r="V231" i="1"/>
  <c r="R231" i="1"/>
  <c r="U217" i="1"/>
  <c r="C15" i="52"/>
  <c r="AB23" i="1"/>
  <c r="AC26" i="1"/>
  <c r="CD26" i="1" s="1"/>
  <c r="E130" i="5" s="1"/>
  <c r="C16" i="52"/>
  <c r="AC44" i="1"/>
  <c r="CD44" i="1" s="1"/>
  <c r="AB35" i="1"/>
  <c r="CC35" i="1" s="1"/>
  <c r="D139" i="5" s="1"/>
  <c r="AB39" i="1"/>
  <c r="CC39" i="1" s="1"/>
  <c r="D143" i="5" s="1"/>
  <c r="AB32" i="1"/>
  <c r="CC32" i="1" s="1"/>
  <c r="D136" i="5" s="1"/>
  <c r="CC33" i="29"/>
  <c r="D136" i="30" s="1"/>
  <c r="AB27" i="1"/>
  <c r="CC27" i="1" s="1"/>
  <c r="AB36" i="1"/>
  <c r="CC36" i="1" s="1"/>
  <c r="D140" i="5" s="1"/>
  <c r="AB24" i="1"/>
  <c r="AB33" i="1"/>
  <c r="CC33" i="1" s="1"/>
  <c r="D137" i="5" s="1"/>
  <c r="AB45" i="1"/>
  <c r="CC45" i="1" s="1"/>
  <c r="D149" i="5" s="1"/>
  <c r="C18" i="52"/>
  <c r="AB28" i="1"/>
  <c r="CC28" i="1" s="1"/>
  <c r="D132" i="5" s="1"/>
  <c r="AB42" i="1"/>
  <c r="CC42" i="1" s="1"/>
  <c r="CC66" i="1" s="1"/>
  <c r="C17" i="52"/>
  <c r="AB25" i="1"/>
  <c r="CC25" i="1" s="1"/>
  <c r="AB41" i="1"/>
  <c r="CC41" i="1" s="1"/>
  <c r="D145" i="5" s="1"/>
  <c r="C20" i="52"/>
  <c r="AB46" i="1"/>
  <c r="CC46" i="1" s="1"/>
  <c r="CC67" i="1" s="1"/>
  <c r="AB37" i="1"/>
  <c r="CC37" i="1" s="1"/>
  <c r="C21" i="52"/>
  <c r="C19" i="52"/>
  <c r="AB43" i="1"/>
  <c r="CC43" i="1" s="1"/>
  <c r="AC34" i="1"/>
  <c r="CD34" i="1" s="1"/>
  <c r="E138" i="5" s="1"/>
  <c r="AB38" i="1"/>
  <c r="CC38" i="1" s="1"/>
  <c r="D142" i="5" s="1"/>
  <c r="AC29" i="1"/>
  <c r="CD29" i="1" s="1"/>
  <c r="E133" i="5" s="1"/>
  <c r="CC41" i="29"/>
  <c r="D144" i="30" s="1"/>
  <c r="AC41" i="29"/>
  <c r="CC43" i="29"/>
  <c r="D146" i="30" s="1"/>
  <c r="AC43" i="29"/>
  <c r="AC39" i="1"/>
  <c r="CD39" i="1" s="1"/>
  <c r="AC38" i="29"/>
  <c r="AC34" i="29"/>
  <c r="AC32" i="29"/>
  <c r="AC41" i="1"/>
  <c r="CD41" i="1" s="1"/>
  <c r="AD24" i="23"/>
  <c r="AC36" i="29"/>
  <c r="AC45" i="1"/>
  <c r="CD45" i="1" s="1"/>
  <c r="AC32" i="1"/>
  <c r="CD32" i="1" s="1"/>
  <c r="E136" i="5" s="1"/>
  <c r="CC44" i="23"/>
  <c r="D147" i="27" s="1"/>
  <c r="CC45" i="24"/>
  <c r="AC35" i="1"/>
  <c r="CD35" i="1" s="1"/>
  <c r="AC23" i="24"/>
  <c r="AC39" i="29"/>
  <c r="AC24" i="29"/>
  <c r="AD42" i="23"/>
  <c r="CE42" i="23" s="1"/>
  <c r="CE66" i="23" s="1"/>
  <c r="AC43" i="23"/>
  <c r="CD43" i="23" s="1"/>
  <c r="E146" i="27" s="1"/>
  <c r="AD44" i="23"/>
  <c r="CE44" i="23" s="1"/>
  <c r="AC44" i="23"/>
  <c r="CD44" i="23" s="1"/>
  <c r="AD43" i="23"/>
  <c r="CE43" i="23" s="1"/>
  <c r="AC46" i="1"/>
  <c r="CD46" i="1" s="1"/>
  <c r="CD67" i="1" s="1"/>
  <c r="BM27" i="23"/>
  <c r="CD41" i="23"/>
  <c r="E144" i="27" s="1"/>
  <c r="BK61" i="29"/>
  <c r="CC26" i="23"/>
  <c r="D129" i="27" s="1"/>
  <c r="CD39" i="23"/>
  <c r="CE40" i="23"/>
  <c r="CE65" i="23" s="1"/>
  <c r="CE39" i="23"/>
  <c r="CC28" i="24"/>
  <c r="D131" i="26" s="1"/>
  <c r="CC34" i="23"/>
  <c r="D137" i="27" s="1"/>
  <c r="CE35" i="23"/>
  <c r="CC34" i="29"/>
  <c r="D137" i="30" s="1"/>
  <c r="AB23" i="29"/>
  <c r="CC23" i="29" s="1"/>
  <c r="CC59" i="29" s="1"/>
  <c r="AB29" i="1"/>
  <c r="CC29" i="1" s="1"/>
  <c r="AB26" i="29"/>
  <c r="CC26" i="29" s="1"/>
  <c r="D129" i="30" s="1"/>
  <c r="AC43" i="1"/>
  <c r="CD43" i="1" s="1"/>
  <c r="AB34" i="1"/>
  <c r="CC34" i="1" s="1"/>
  <c r="D138" i="5" s="1"/>
  <c r="CD28" i="23"/>
  <c r="CC28" i="29"/>
  <c r="D131" i="30" s="1"/>
  <c r="CC39" i="29"/>
  <c r="D142" i="30" s="1"/>
  <c r="AC38" i="1"/>
  <c r="CD38" i="1" s="1"/>
  <c r="E142" i="5" s="1"/>
  <c r="AB29" i="23"/>
  <c r="CC29" i="23" s="1"/>
  <c r="D132" i="27" s="1"/>
  <c r="CD40" i="1"/>
  <c r="CC36" i="29"/>
  <c r="D139" i="30" s="1"/>
  <c r="AC42" i="24"/>
  <c r="AB23" i="23"/>
  <c r="AC23" i="23"/>
  <c r="AC38" i="23"/>
  <c r="CD38" i="23" s="1"/>
  <c r="E141" i="27" s="1"/>
  <c r="CC37" i="29"/>
  <c r="AD38" i="23"/>
  <c r="CE38" i="23" s="1"/>
  <c r="AB34" i="24"/>
  <c r="CC34" i="24" s="1"/>
  <c r="D137" i="26" s="1"/>
  <c r="CC32" i="29"/>
  <c r="AC27" i="29"/>
  <c r="CC38" i="24"/>
  <c r="D141" i="26" s="1"/>
  <c r="AD33" i="23"/>
  <c r="CE33" i="23" s="1"/>
  <c r="AC24" i="1"/>
  <c r="CD29" i="23"/>
  <c r="E132" i="27" s="1"/>
  <c r="CC33" i="23"/>
  <c r="D136" i="27" s="1"/>
  <c r="CC27" i="29"/>
  <c r="AC25" i="29"/>
  <c r="CC28" i="23"/>
  <c r="D131" i="27" s="1"/>
  <c r="CC39" i="24"/>
  <c r="D142" i="26" s="1"/>
  <c r="CC24" i="29"/>
  <c r="CC60" i="29" s="1"/>
  <c r="CC46" i="29"/>
  <c r="CC67" i="29" s="1"/>
  <c r="CC25" i="29"/>
  <c r="CC42" i="29"/>
  <c r="CC66" i="29" s="1"/>
  <c r="AB45" i="29"/>
  <c r="CC45" i="29" s="1"/>
  <c r="AC35" i="23"/>
  <c r="CD35" i="23" s="1"/>
  <c r="E138" i="27" s="1"/>
  <c r="AD34" i="23"/>
  <c r="CE34" i="23" s="1"/>
  <c r="AB25" i="24"/>
  <c r="CC25" i="24" s="1"/>
  <c r="CC61" i="24" s="1"/>
  <c r="AC34" i="23"/>
  <c r="CD34" i="23" s="1"/>
  <c r="E137" i="27" s="1"/>
  <c r="AC27" i="24"/>
  <c r="AB26" i="1"/>
  <c r="CC26" i="1" s="1"/>
  <c r="D130" i="5" s="1"/>
  <c r="AB36" i="23"/>
  <c r="CC36" i="23" s="1"/>
  <c r="AC36" i="23"/>
  <c r="CD36" i="23" s="1"/>
  <c r="E139" i="27" s="1"/>
  <c r="AB35" i="23"/>
  <c r="CC35" i="23" s="1"/>
  <c r="D138" i="27" s="1"/>
  <c r="AC36" i="1"/>
  <c r="CD36" i="1" s="1"/>
  <c r="E140" i="5" s="1"/>
  <c r="AC42" i="23"/>
  <c r="CD42" i="23" s="1"/>
  <c r="CD66" i="23" s="1"/>
  <c r="AC41" i="24"/>
  <c r="AB43" i="24"/>
  <c r="CC43" i="24" s="1"/>
  <c r="D146" i="26" s="1"/>
  <c r="AC33" i="23"/>
  <c r="CD33" i="23" s="1"/>
  <c r="AC26" i="23"/>
  <c r="CD26" i="23" s="1"/>
  <c r="E129" i="27" s="1"/>
  <c r="AD32" i="23"/>
  <c r="CE32" i="23" s="1"/>
  <c r="AC32" i="23"/>
  <c r="CD32" i="23" s="1"/>
  <c r="AD26" i="23"/>
  <c r="AB44" i="1"/>
  <c r="CC44" i="1" s="1"/>
  <c r="D148" i="5" s="1"/>
  <c r="AB29" i="24"/>
  <c r="CC29" i="24" s="1"/>
  <c r="D132" i="26" s="1"/>
  <c r="AB44" i="24"/>
  <c r="CC44" i="24" s="1"/>
  <c r="D147" i="26" s="1"/>
  <c r="AB35" i="29"/>
  <c r="CC35" i="29" s="1"/>
  <c r="CC32" i="24"/>
  <c r="BK63" i="24"/>
  <c r="BK68" i="24"/>
  <c r="BK61" i="24"/>
  <c r="CC46" i="24"/>
  <c r="CC67" i="24" s="1"/>
  <c r="BK67" i="24"/>
  <c r="CC40" i="24"/>
  <c r="CC65" i="24" s="1"/>
  <c r="BK65" i="24"/>
  <c r="CC42" i="24"/>
  <c r="CC66" i="24" s="1"/>
  <c r="BK66" i="24"/>
  <c r="CC27" i="24"/>
  <c r="BK62" i="24"/>
  <c r="CC37" i="24"/>
  <c r="D140" i="26" s="1"/>
  <c r="BK64" i="24"/>
  <c r="BL67" i="23"/>
  <c r="CD46" i="23"/>
  <c r="CD67" i="23" s="1"/>
  <c r="BM63" i="23"/>
  <c r="BL64" i="23"/>
  <c r="CD37" i="23"/>
  <c r="BM66" i="23"/>
  <c r="BL66" i="23"/>
  <c r="BM67" i="23"/>
  <c r="CE46" i="23"/>
  <c r="CE67" i="23" s="1"/>
  <c r="BL62" i="23"/>
  <c r="CD27" i="23"/>
  <c r="BL65" i="23"/>
  <c r="CD40" i="23"/>
  <c r="BM64" i="23"/>
  <c r="CE37" i="23"/>
  <c r="BL63" i="23"/>
  <c r="BL68" i="23"/>
  <c r="CC25" i="23"/>
  <c r="BK61" i="23"/>
  <c r="CC46" i="23"/>
  <c r="CC67" i="23" s="1"/>
  <c r="BK67" i="23"/>
  <c r="CC37" i="23"/>
  <c r="CC64" i="23" s="1"/>
  <c r="BK64" i="23"/>
  <c r="BM68" i="23"/>
  <c r="CC27" i="23"/>
  <c r="BK62" i="23"/>
  <c r="CC40" i="23"/>
  <c r="CC65" i="23" s="1"/>
  <c r="BK65" i="23"/>
  <c r="CC42" i="23"/>
  <c r="CC66" i="23" s="1"/>
  <c r="BK66" i="23"/>
  <c r="BM65" i="23"/>
  <c r="CC43" i="23"/>
  <c r="BK68" i="23"/>
  <c r="CC32" i="23"/>
  <c r="BK63" i="23"/>
  <c r="BL61" i="23"/>
  <c r="BL65" i="1"/>
  <c r="BK67" i="1"/>
  <c r="BK68" i="1"/>
  <c r="BK63" i="1"/>
  <c r="BK62" i="1"/>
  <c r="CC40" i="1"/>
  <c r="BK65" i="1"/>
  <c r="BL61" i="1"/>
  <c r="BK64" i="1"/>
  <c r="BK61" i="1"/>
  <c r="BL63" i="1"/>
  <c r="BL62" i="1"/>
  <c r="BK66" i="1"/>
  <c r="BL68" i="1"/>
  <c r="CD42" i="1"/>
  <c r="CD66" i="1" s="1"/>
  <c r="BL66" i="1"/>
  <c r="BL64" i="1"/>
  <c r="CF21" i="29"/>
  <c r="CF58" i="29" s="1"/>
  <c r="BK64" i="29"/>
  <c r="BK62" i="29"/>
  <c r="BK68" i="29"/>
  <c r="BK63" i="29"/>
  <c r="BK65" i="29"/>
  <c r="N13" i="3"/>
  <c r="AC13" i="3" s="1"/>
  <c r="M15" i="3"/>
  <c r="AC27" i="1"/>
  <c r="CD27" i="1" s="1"/>
  <c r="AC45" i="24"/>
  <c r="AC33" i="1"/>
  <c r="CD33" i="1" s="1"/>
  <c r="AC46" i="29"/>
  <c r="AC33" i="29"/>
  <c r="AC23" i="1"/>
  <c r="AC37" i="1"/>
  <c r="CD37" i="1" s="1"/>
  <c r="AC25" i="1"/>
  <c r="CD25" i="1" s="1"/>
  <c r="AC32" i="24"/>
  <c r="AD35" i="24"/>
  <c r="AD38" i="24"/>
  <c r="AD43" i="24"/>
  <c r="AD46" i="24"/>
  <c r="AD25" i="24"/>
  <c r="AD28" i="24"/>
  <c r="AD33" i="24"/>
  <c r="AD36" i="24"/>
  <c r="AD39" i="24"/>
  <c r="AD32" i="24"/>
  <c r="AD41" i="24"/>
  <c r="AD44" i="24"/>
  <c r="AD26" i="24"/>
  <c r="AD29" i="24"/>
  <c r="AD34" i="24"/>
  <c r="AD24" i="24"/>
  <c r="AD37" i="24"/>
  <c r="AD42" i="24"/>
  <c r="AD27" i="24"/>
  <c r="AD23" i="24"/>
  <c r="AD45" i="24"/>
  <c r="AD40" i="24"/>
  <c r="E31" i="5"/>
  <c r="E41" i="5" s="1"/>
  <c r="AE21" i="1"/>
  <c r="AD33" i="1"/>
  <c r="AD36" i="1"/>
  <c r="AD39" i="1"/>
  <c r="AD32" i="1"/>
  <c r="AD45" i="1"/>
  <c r="AD41" i="1"/>
  <c r="AD44" i="1"/>
  <c r="AD26" i="1"/>
  <c r="AD29" i="1"/>
  <c r="AD27" i="1"/>
  <c r="AD24" i="1"/>
  <c r="AD34" i="1"/>
  <c r="AD37" i="1"/>
  <c r="AD23" i="1"/>
  <c r="AD42" i="1"/>
  <c r="AD38" i="1"/>
  <c r="AD43" i="1"/>
  <c r="AD28" i="1"/>
  <c r="AD25" i="1"/>
  <c r="AD35" i="1"/>
  <c r="AD46" i="1"/>
  <c r="AD40" i="1"/>
  <c r="AD42" i="29"/>
  <c r="AD35" i="29"/>
  <c r="AD38" i="29"/>
  <c r="AD43" i="29"/>
  <c r="AD41" i="29"/>
  <c r="AD34" i="29"/>
  <c r="AD37" i="29"/>
  <c r="AD23" i="29"/>
  <c r="AD44" i="29"/>
  <c r="AD45" i="29"/>
  <c r="AD24" i="29"/>
  <c r="AD27" i="29"/>
  <c r="AD46" i="29"/>
  <c r="AD25" i="29"/>
  <c r="AD28" i="29"/>
  <c r="AD33" i="29"/>
  <c r="AD36" i="29"/>
  <c r="AD39" i="29"/>
  <c r="AD32" i="29"/>
  <c r="AD26" i="29"/>
  <c r="AD29" i="29"/>
  <c r="AD40" i="29"/>
  <c r="AE35" i="23"/>
  <c r="AE38" i="23"/>
  <c r="AE23" i="23"/>
  <c r="AE42" i="23"/>
  <c r="AE45" i="23"/>
  <c r="AE24" i="23"/>
  <c r="AE27" i="23"/>
  <c r="AE33" i="23"/>
  <c r="AE36" i="23"/>
  <c r="AE39" i="23"/>
  <c r="AE40" i="23"/>
  <c r="AE43" i="23"/>
  <c r="AE46" i="23"/>
  <c r="AE25" i="23"/>
  <c r="AE28" i="23"/>
  <c r="AE37" i="23"/>
  <c r="AE44" i="23"/>
  <c r="AE29" i="23"/>
  <c r="AE34" i="23"/>
  <c r="AE32" i="23"/>
  <c r="AE26" i="23"/>
  <c r="AE41" i="23"/>
  <c r="H101" i="24"/>
  <c r="CE9" i="23"/>
  <c r="CE10" i="23" s="1"/>
  <c r="T89" i="36"/>
  <c r="T77" i="36"/>
  <c r="T79" i="36"/>
  <c r="T73" i="36"/>
  <c r="BM25" i="23"/>
  <c r="CE25" i="23" s="1"/>
  <c r="BM26" i="23"/>
  <c r="T71" i="36"/>
  <c r="T87" i="36"/>
  <c r="T81" i="36"/>
  <c r="T83" i="36"/>
  <c r="BM29" i="23"/>
  <c r="CE29" i="23" s="1"/>
  <c r="BM28" i="23"/>
  <c r="T91" i="36"/>
  <c r="T78" i="36"/>
  <c r="T72" i="36"/>
  <c r="T76" i="36"/>
  <c r="T90" i="36"/>
  <c r="T70" i="36"/>
  <c r="T80" i="36"/>
  <c r="T86" i="36"/>
  <c r="T82" i="36"/>
  <c r="T88" i="36"/>
  <c r="T84" i="36"/>
  <c r="T74" i="36"/>
  <c r="T75" i="36"/>
  <c r="T85" i="36"/>
  <c r="BK48" i="29"/>
  <c r="D57" i="30" s="1"/>
  <c r="J9" i="24"/>
  <c r="BN9" i="24" s="1"/>
  <c r="BN10" i="24" s="1"/>
  <c r="BN27" i="24" s="1"/>
  <c r="CE9" i="24"/>
  <c r="CE10" i="24" s="1"/>
  <c r="D136" i="26"/>
  <c r="DX23" i="23"/>
  <c r="DY23" i="23" s="1"/>
  <c r="AE60" i="3"/>
  <c r="AC60" i="3"/>
  <c r="E41" i="26"/>
  <c r="E100" i="26"/>
  <c r="E41" i="30"/>
  <c r="E100" i="30"/>
  <c r="F125" i="5"/>
  <c r="F31" i="5" s="1"/>
  <c r="F41" i="5" s="1"/>
  <c r="J21" i="1"/>
  <c r="BN21" i="1"/>
  <c r="BM58" i="1"/>
  <c r="CF21" i="1"/>
  <c r="DQ21" i="1" s="1"/>
  <c r="CE58" i="1"/>
  <c r="B61" i="3"/>
  <c r="C60" i="3"/>
  <c r="D56" i="5"/>
  <c r="E6" i="27"/>
  <c r="E18" i="27" s="1"/>
  <c r="K169" i="36"/>
  <c r="E142" i="27"/>
  <c r="K170" i="36"/>
  <c r="D129" i="26"/>
  <c r="D142" i="27"/>
  <c r="D144" i="26"/>
  <c r="I99" i="23"/>
  <c r="I83" i="23"/>
  <c r="I88" i="23"/>
  <c r="I86" i="23"/>
  <c r="I78" i="23"/>
  <c r="I90" i="23"/>
  <c r="I94" i="23"/>
  <c r="I92" i="23"/>
  <c r="I80" i="23"/>
  <c r="I96" i="23"/>
  <c r="I82" i="23"/>
  <c r="I100" i="23"/>
  <c r="I98" i="23"/>
  <c r="I87" i="23"/>
  <c r="I77" i="23"/>
  <c r="I91" i="23"/>
  <c r="I89" i="23"/>
  <c r="I79" i="23"/>
  <c r="I93" i="23"/>
  <c r="I81" i="23"/>
  <c r="I97" i="23"/>
  <c r="I95" i="23"/>
  <c r="H101" i="23"/>
  <c r="I82" i="24"/>
  <c r="I95" i="24"/>
  <c r="I89" i="24"/>
  <c r="I99" i="24"/>
  <c r="I97" i="24"/>
  <c r="I93" i="24"/>
  <c r="I91" i="24"/>
  <c r="I87" i="24"/>
  <c r="I79" i="24"/>
  <c r="I77" i="24"/>
  <c r="I81" i="24"/>
  <c r="I80" i="24"/>
  <c r="I83" i="24"/>
  <c r="I98" i="24"/>
  <c r="I92" i="24"/>
  <c r="I86" i="24"/>
  <c r="I78" i="24"/>
  <c r="I100" i="24"/>
  <c r="I96" i="24"/>
  <c r="I94" i="24"/>
  <c r="I90" i="24"/>
  <c r="I88" i="24"/>
  <c r="I94" i="29"/>
  <c r="I92" i="29"/>
  <c r="I81" i="29"/>
  <c r="I90" i="29"/>
  <c r="I88" i="29"/>
  <c r="I86" i="29"/>
  <c r="I83" i="29"/>
  <c r="I47" i="29"/>
  <c r="I78" i="29"/>
  <c r="I99" i="29"/>
  <c r="I97" i="29"/>
  <c r="I95" i="29"/>
  <c r="I93" i="29"/>
  <c r="I80" i="29"/>
  <c r="I91" i="29"/>
  <c r="I89" i="29"/>
  <c r="I82" i="29"/>
  <c r="I87" i="29"/>
  <c r="I96" i="29"/>
  <c r="I79" i="29"/>
  <c r="I77" i="29"/>
  <c r="I100" i="29"/>
  <c r="I98" i="29"/>
  <c r="D138" i="26"/>
  <c r="H101" i="1"/>
  <c r="I11" i="29"/>
  <c r="BM9" i="29"/>
  <c r="BM10" i="29" s="1"/>
  <c r="BL35" i="29"/>
  <c r="CD35" i="29" s="1"/>
  <c r="BL38" i="29"/>
  <c r="BL41" i="29"/>
  <c r="BL44" i="29"/>
  <c r="CD44" i="29" s="1"/>
  <c r="BL26" i="29"/>
  <c r="CD26" i="29" s="1"/>
  <c r="BL29" i="29"/>
  <c r="CD29" i="29" s="1"/>
  <c r="BL32" i="29"/>
  <c r="BL23" i="29"/>
  <c r="BL59" i="29" s="1"/>
  <c r="BL33" i="29"/>
  <c r="BL36" i="29"/>
  <c r="BL39" i="29"/>
  <c r="BL42" i="29"/>
  <c r="BL66" i="29" s="1"/>
  <c r="BL45" i="29"/>
  <c r="CD45" i="29" s="1"/>
  <c r="BL24" i="29"/>
  <c r="BL60" i="29" s="1"/>
  <c r="BL27" i="29"/>
  <c r="BL28" i="29"/>
  <c r="CD28" i="29" s="1"/>
  <c r="BL25" i="29"/>
  <c r="BL34" i="29"/>
  <c r="BL37" i="29"/>
  <c r="BL40" i="29"/>
  <c r="CD40" i="29" s="1"/>
  <c r="BL43" i="29"/>
  <c r="BL46" i="29"/>
  <c r="BL67" i="29" s="1"/>
  <c r="BM28" i="24"/>
  <c r="BL25" i="24"/>
  <c r="D139" i="26"/>
  <c r="BL29" i="24"/>
  <c r="CD29" i="24" s="1"/>
  <c r="BM25" i="24"/>
  <c r="BL42" i="24"/>
  <c r="BL39" i="24"/>
  <c r="CD39" i="24" s="1"/>
  <c r="BL45" i="24"/>
  <c r="BL40" i="24"/>
  <c r="BL41" i="24"/>
  <c r="BL44" i="24"/>
  <c r="CD44" i="24" s="1"/>
  <c r="BL35" i="24"/>
  <c r="CD35" i="24" s="1"/>
  <c r="BL34" i="24"/>
  <c r="CD34" i="24" s="1"/>
  <c r="BL33" i="24"/>
  <c r="CD33" i="24" s="1"/>
  <c r="BL32" i="24"/>
  <c r="BL36" i="24"/>
  <c r="CD36" i="24" s="1"/>
  <c r="BL46" i="24"/>
  <c r="BL38" i="24"/>
  <c r="CD38" i="24" s="1"/>
  <c r="BL37" i="24"/>
  <c r="BL43" i="24"/>
  <c r="BM36" i="24"/>
  <c r="BM34" i="24"/>
  <c r="BM37" i="24"/>
  <c r="BM39" i="24"/>
  <c r="BM42" i="24"/>
  <c r="BM66" i="24" s="1"/>
  <c r="BM41" i="24"/>
  <c r="BM46" i="24"/>
  <c r="BM67" i="24" s="1"/>
  <c r="BM44" i="24"/>
  <c r="BM45" i="24"/>
  <c r="BM43" i="24"/>
  <c r="BM40" i="24"/>
  <c r="BM32" i="24"/>
  <c r="BM33" i="24"/>
  <c r="BM35" i="24"/>
  <c r="BM38" i="24"/>
  <c r="BL26" i="24"/>
  <c r="CD26" i="24" s="1"/>
  <c r="BM29" i="24"/>
  <c r="BM27" i="24"/>
  <c r="BL27" i="24"/>
  <c r="BM26" i="24"/>
  <c r="BL28" i="24"/>
  <c r="CD28" i="24" s="1"/>
  <c r="H171" i="36"/>
  <c r="D141" i="30"/>
  <c r="D141" i="27"/>
  <c r="F171" i="36"/>
  <c r="G171" i="36"/>
  <c r="C13" i="52"/>
  <c r="E171" i="36"/>
  <c r="BN25" i="23"/>
  <c r="BN27" i="23"/>
  <c r="BN29" i="23"/>
  <c r="BN28" i="23"/>
  <c r="BN26" i="23"/>
  <c r="BN42" i="23"/>
  <c r="BN35" i="23"/>
  <c r="BN36" i="23"/>
  <c r="BN43" i="23"/>
  <c r="BN39" i="23"/>
  <c r="BN44" i="23"/>
  <c r="BN38" i="23"/>
  <c r="BN32" i="23"/>
  <c r="BN45" i="23"/>
  <c r="BN40" i="23"/>
  <c r="BN33" i="23"/>
  <c r="BN46" i="23"/>
  <c r="BN34" i="23"/>
  <c r="BN41" i="23"/>
  <c r="CF41" i="23" s="1"/>
  <c r="BN37" i="23"/>
  <c r="D148" i="27"/>
  <c r="BM25" i="1"/>
  <c r="BM28" i="1"/>
  <c r="BM29" i="1"/>
  <c r="BM27" i="1"/>
  <c r="BM26" i="1"/>
  <c r="J21" i="23"/>
  <c r="BM34" i="1"/>
  <c r="BM37" i="1"/>
  <c r="BM40" i="1"/>
  <c r="BM43" i="1"/>
  <c r="BM46" i="1"/>
  <c r="BM67" i="1" s="1"/>
  <c r="BM32" i="1"/>
  <c r="BM35" i="1"/>
  <c r="BM38" i="1"/>
  <c r="BM44" i="1"/>
  <c r="BM41" i="1"/>
  <c r="BM33" i="1"/>
  <c r="BM36" i="1"/>
  <c r="BM39" i="1"/>
  <c r="BM42" i="1"/>
  <c r="BM66" i="1" s="1"/>
  <c r="BM45" i="1"/>
  <c r="E148" i="27"/>
  <c r="Q10" i="3"/>
  <c r="H15" i="35"/>
  <c r="Z15" i="35" s="1"/>
  <c r="I15" i="35"/>
  <c r="AA15" i="35" s="1"/>
  <c r="AD34" i="41"/>
  <c r="U46" i="41"/>
  <c r="U35" i="41" s="1"/>
  <c r="U51" i="41" s="1"/>
  <c r="U12" i="35"/>
  <c r="L15" i="35"/>
  <c r="AD15" i="35" s="1"/>
  <c r="M15" i="35"/>
  <c r="AE14" i="35"/>
  <c r="V41" i="41"/>
  <c r="V57" i="41" s="1"/>
  <c r="V42" i="41"/>
  <c r="V58" i="41" s="1"/>
  <c r="V39" i="41"/>
  <c r="V55" i="41" s="1"/>
  <c r="U11" i="35"/>
  <c r="U14" i="35"/>
  <c r="J9" i="29"/>
  <c r="BN9" i="29" s="1"/>
  <c r="BN10" i="29" s="1"/>
  <c r="I47" i="23"/>
  <c r="DX23" i="1"/>
  <c r="T15" i="35"/>
  <c r="B16" i="35"/>
  <c r="V15" i="35"/>
  <c r="F15" i="35"/>
  <c r="X15" i="35" s="1"/>
  <c r="AF15" i="35"/>
  <c r="C15" i="35" s="1"/>
  <c r="W46" i="41" s="1"/>
  <c r="G15" i="35"/>
  <c r="Y15" i="35" s="1"/>
  <c r="DX24" i="1"/>
  <c r="F124" i="27"/>
  <c r="F31" i="27" s="1"/>
  <c r="E110" i="27"/>
  <c r="DD30" i="1"/>
  <c r="DX24" i="24"/>
  <c r="DX24" i="23"/>
  <c r="DX23" i="24"/>
  <c r="F160" i="3"/>
  <c r="E160" i="3"/>
  <c r="H160" i="3"/>
  <c r="G160" i="3"/>
  <c r="F56" i="3"/>
  <c r="AK58" i="3"/>
  <c r="AH58" i="3"/>
  <c r="C56" i="3"/>
  <c r="AI58" i="3"/>
  <c r="D56" i="3"/>
  <c r="E56" i="3"/>
  <c r="AJ58" i="3"/>
  <c r="N10" i="3"/>
  <c r="P10" i="3"/>
  <c r="R33" i="3"/>
  <c r="R10" i="3"/>
  <c r="O10" i="3"/>
  <c r="F124" i="26"/>
  <c r="F31" i="26" s="1"/>
  <c r="I177" i="24"/>
  <c r="I47" i="24"/>
  <c r="J21" i="24"/>
  <c r="AE21" i="29"/>
  <c r="D18" i="26"/>
  <c r="CE9" i="1"/>
  <c r="CE10" i="1" s="1"/>
  <c r="I11" i="1"/>
  <c r="BN9" i="1"/>
  <c r="BN10" i="1" s="1"/>
  <c r="D18" i="5"/>
  <c r="CF9" i="23"/>
  <c r="CF10" i="23" s="1"/>
  <c r="J11" i="23"/>
  <c r="K9" i="23"/>
  <c r="BO9" i="23" s="1"/>
  <c r="BO10" i="23" s="1"/>
  <c r="I99" i="1"/>
  <c r="I95" i="1"/>
  <c r="I91" i="1"/>
  <c r="I87" i="1"/>
  <c r="I81" i="1"/>
  <c r="I77" i="1"/>
  <c r="I177" i="1"/>
  <c r="I98" i="1"/>
  <c r="I94" i="1"/>
  <c r="I90" i="1"/>
  <c r="I86" i="1"/>
  <c r="I80" i="1"/>
  <c r="I100" i="1"/>
  <c r="I92" i="1"/>
  <c r="I82" i="1"/>
  <c r="I47" i="1"/>
  <c r="I97" i="1"/>
  <c r="I93" i="1"/>
  <c r="I89" i="1"/>
  <c r="I83" i="1"/>
  <c r="I79" i="1"/>
  <c r="I96" i="1"/>
  <c r="I88" i="1"/>
  <c r="I78" i="1"/>
  <c r="BO21" i="29"/>
  <c r="BO58" i="29" s="1"/>
  <c r="D18" i="30"/>
  <c r="CY31" i="1"/>
  <c r="E111" i="5"/>
  <c r="E6" i="5"/>
  <c r="E56" i="5" s="1"/>
  <c r="AE21" i="24"/>
  <c r="AF21" i="23"/>
  <c r="I159" i="3"/>
  <c r="I160" i="3" s="1"/>
  <c r="E109" i="30"/>
  <c r="E6" i="30"/>
  <c r="E56" i="30" s="1"/>
  <c r="AB12" i="3"/>
  <c r="E6" i="26"/>
  <c r="E56" i="26" s="1"/>
  <c r="E110" i="26"/>
  <c r="F124" i="30"/>
  <c r="F31" i="30" s="1"/>
  <c r="I177" i="29"/>
  <c r="J21" i="29"/>
  <c r="D101" i="5"/>
  <c r="J75" i="58" a="1"/>
  <c r="V35" i="41" l="1"/>
  <c r="V51" i="41" s="1"/>
  <c r="V38" i="41"/>
  <c r="V54" i="41" s="1"/>
  <c r="V48" i="41"/>
  <c r="V40" i="41"/>
  <c r="V56" i="41" s="1"/>
  <c r="V36" i="41"/>
  <c r="V52" i="41" s="1"/>
  <c r="V37" i="41"/>
  <c r="V53" i="41" s="1"/>
  <c r="CF43" i="23"/>
  <c r="CE26" i="23"/>
  <c r="CE27" i="23"/>
  <c r="CD32" i="29"/>
  <c r="E135" i="30" s="1"/>
  <c r="CD43" i="29"/>
  <c r="E146" i="30" s="1"/>
  <c r="CF39" i="23"/>
  <c r="CD36" i="29"/>
  <c r="E139" i="30" s="1"/>
  <c r="CF25" i="23"/>
  <c r="CD61" i="23"/>
  <c r="AF10" i="3"/>
  <c r="AV10" i="3" s="1"/>
  <c r="CD45" i="24"/>
  <c r="E148" i="26" s="1"/>
  <c r="CH59" i="58"/>
  <c r="H79" i="59"/>
  <c r="CG59" i="58"/>
  <c r="G79" i="59"/>
  <c r="DB59" i="58"/>
  <c r="CZ51" i="58"/>
  <c r="DC59" i="58"/>
  <c r="AB79" i="59"/>
  <c r="S79" i="59"/>
  <c r="DG51" i="58"/>
  <c r="CK51" i="58"/>
  <c r="CG51" i="58"/>
  <c r="CI51" i="58"/>
  <c r="DC51" i="58"/>
  <c r="CT51" i="58"/>
  <c r="AB82" i="59"/>
  <c r="F79" i="59"/>
  <c r="J79" i="59"/>
  <c r="CV51" i="58"/>
  <c r="M82" i="59"/>
  <c r="CH51" i="58"/>
  <c r="CS59" i="58"/>
  <c r="CS66" i="58" s="1"/>
  <c r="CN59" i="58"/>
  <c r="AC79" i="59"/>
  <c r="DH60" i="58"/>
  <c r="DI60" i="58"/>
  <c r="CY59" i="58"/>
  <c r="CI60" i="58"/>
  <c r="CI66" i="58" s="1"/>
  <c r="CX60" i="58"/>
  <c r="DB60" i="58"/>
  <c r="I80" i="59"/>
  <c r="CM60" i="58"/>
  <c r="CD59" i="58"/>
  <c r="X80" i="59"/>
  <c r="CQ60" i="58"/>
  <c r="M80" i="59"/>
  <c r="D79" i="59"/>
  <c r="Q80" i="59"/>
  <c r="Y79" i="59"/>
  <c r="Z79" i="59"/>
  <c r="CO59" i="58"/>
  <c r="AB80" i="59"/>
  <c r="CE51" i="58"/>
  <c r="DB51" i="58"/>
  <c r="CF51" i="58"/>
  <c r="DD51" i="58"/>
  <c r="AK82" i="59"/>
  <c r="CO51" i="58"/>
  <c r="CS51" i="58"/>
  <c r="CK60" i="58"/>
  <c r="K80" i="59"/>
  <c r="K85" i="59" s="1"/>
  <c r="CM59" i="58"/>
  <c r="CU59" i="58"/>
  <c r="CU66" i="58" s="1"/>
  <c r="M79" i="59"/>
  <c r="U79" i="59"/>
  <c r="CV59" i="58"/>
  <c r="DD60" i="58"/>
  <c r="V79" i="59"/>
  <c r="V85" i="59" s="1"/>
  <c r="AD80" i="59"/>
  <c r="CX51" i="58"/>
  <c r="CP60" i="58"/>
  <c r="CL51" i="58"/>
  <c r="CQ51" i="58"/>
  <c r="P80" i="59"/>
  <c r="CM51" i="58"/>
  <c r="CU51" i="58"/>
  <c r="DH51" i="58"/>
  <c r="CP51" i="58"/>
  <c r="DF51" i="58"/>
  <c r="CE59" i="58"/>
  <c r="CE66" i="58" s="1"/>
  <c r="DE51" i="58"/>
  <c r="D82" i="59"/>
  <c r="D85" i="59" s="1"/>
  <c r="E79" i="59"/>
  <c r="CN51" i="58"/>
  <c r="CJ60" i="58"/>
  <c r="CJ66" i="58" s="1"/>
  <c r="AH79" i="59"/>
  <c r="AH85" i="59" s="1"/>
  <c r="CR51" i="58"/>
  <c r="J80" i="59"/>
  <c r="J85" i="59" s="1"/>
  <c r="DH59" i="58"/>
  <c r="DF59" i="58"/>
  <c r="DF66" i="58" s="1"/>
  <c r="CY60" i="58"/>
  <c r="CJ51" i="58"/>
  <c r="DA51" i="58"/>
  <c r="CY51" i="58"/>
  <c r="AF79" i="59"/>
  <c r="Y80" i="59"/>
  <c r="AI82" i="59"/>
  <c r="AM80" i="59"/>
  <c r="N80" i="59"/>
  <c r="N85" i="59" s="1"/>
  <c r="AD79" i="59"/>
  <c r="P79" i="59"/>
  <c r="AG80" i="59"/>
  <c r="AL82" i="59"/>
  <c r="AM82" i="59"/>
  <c r="AJ82" i="59"/>
  <c r="S15" i="59"/>
  <c r="S75" i="59" s="1"/>
  <c r="S83" i="59" s="1"/>
  <c r="CS55" i="58"/>
  <c r="DG55" i="58"/>
  <c r="DG64" i="58" s="1"/>
  <c r="AG15" i="59"/>
  <c r="AG75" i="59" s="1"/>
  <c r="AG83" i="59" s="1"/>
  <c r="AM15" i="59"/>
  <c r="DM51" i="58"/>
  <c r="DM55" i="58"/>
  <c r="CF58" i="58"/>
  <c r="F19" i="59"/>
  <c r="F78" i="59" s="1"/>
  <c r="DD58" i="58"/>
  <c r="AD19" i="59"/>
  <c r="AD78" i="59" s="1"/>
  <c r="D19" i="59"/>
  <c r="D78" i="59" s="1"/>
  <c r="CD58" i="58"/>
  <c r="L17" i="59"/>
  <c r="L77" i="59" s="1"/>
  <c r="CL57" i="58"/>
  <c r="F17" i="59"/>
  <c r="F77" i="59" s="1"/>
  <c r="CF57" i="58"/>
  <c r="P17" i="59"/>
  <c r="P77" i="59" s="1"/>
  <c r="CP57" i="58"/>
  <c r="AI32" i="59"/>
  <c r="AI81" i="59" s="1"/>
  <c r="DI61" i="58"/>
  <c r="AF15" i="59"/>
  <c r="AF75" i="59" s="1"/>
  <c r="DF55" i="58"/>
  <c r="DF64" i="58" s="1"/>
  <c r="F15" i="59"/>
  <c r="F75" i="59" s="1"/>
  <c r="CF55" i="58"/>
  <c r="CF64" i="58" s="1"/>
  <c r="AJ15" i="59"/>
  <c r="DJ51" i="58"/>
  <c r="DJ55" i="58"/>
  <c r="N19" i="59"/>
  <c r="N78" i="59" s="1"/>
  <c r="CN58" i="58"/>
  <c r="CJ58" i="58"/>
  <c r="J19" i="59"/>
  <c r="J78" i="59" s="1"/>
  <c r="DC58" i="58"/>
  <c r="AC19" i="59"/>
  <c r="AC78" i="59" s="1"/>
  <c r="O17" i="59"/>
  <c r="O77" i="59" s="1"/>
  <c r="CO57" i="58"/>
  <c r="CS57" i="58"/>
  <c r="S17" i="59"/>
  <c r="S77" i="59" s="1"/>
  <c r="AM17" i="59"/>
  <c r="AM77" i="59" s="1"/>
  <c r="DM57" i="58"/>
  <c r="DJ61" i="58"/>
  <c r="AJ32" i="59"/>
  <c r="AJ81" i="59" s="1"/>
  <c r="P15" i="59"/>
  <c r="P75" i="59" s="1"/>
  <c r="P83" i="59" s="1"/>
  <c r="CP55" i="58"/>
  <c r="H15" i="59"/>
  <c r="H75" i="59" s="1"/>
  <c r="H83" i="59" s="1"/>
  <c r="CH55" i="58"/>
  <c r="CH64" i="58" s="1"/>
  <c r="AI15" i="59"/>
  <c r="DI51" i="58"/>
  <c r="DI55" i="58"/>
  <c r="CX58" i="58"/>
  <c r="X19" i="59"/>
  <c r="X78" i="59" s="1"/>
  <c r="DH58" i="58"/>
  <c r="AH19" i="59"/>
  <c r="AH78" i="59" s="1"/>
  <c r="AI19" i="59"/>
  <c r="AI78" i="59" s="1"/>
  <c r="DI58" i="58"/>
  <c r="T17" i="59"/>
  <c r="T77" i="59" s="1"/>
  <c r="CT57" i="58"/>
  <c r="DG57" i="58"/>
  <c r="AG17" i="59"/>
  <c r="AG77" i="59" s="1"/>
  <c r="AL17" i="59"/>
  <c r="AL77" i="59" s="1"/>
  <c r="DL57" i="58"/>
  <c r="AK32" i="59"/>
  <c r="AK81" i="59" s="1"/>
  <c r="DK61" i="58"/>
  <c r="CV55" i="58"/>
  <c r="V15" i="59"/>
  <c r="V75" i="59" s="1"/>
  <c r="Z15" i="59"/>
  <c r="Z75" i="59" s="1"/>
  <c r="CZ55" i="58"/>
  <c r="D15" i="59"/>
  <c r="D75" i="59" s="1"/>
  <c r="CD55" i="58"/>
  <c r="CD64" i="58" s="1"/>
  <c r="U19" i="59"/>
  <c r="U78" i="59" s="1"/>
  <c r="CU58" i="58"/>
  <c r="G19" i="59"/>
  <c r="G78" i="59" s="1"/>
  <c r="CG58" i="58"/>
  <c r="AJ19" i="59"/>
  <c r="AJ78" i="59" s="1"/>
  <c r="DJ58" i="58"/>
  <c r="AC17" i="59"/>
  <c r="AC77" i="59" s="1"/>
  <c r="DC57" i="58"/>
  <c r="CY57" i="58"/>
  <c r="Y17" i="59"/>
  <c r="Y77" i="59" s="1"/>
  <c r="AI17" i="59"/>
  <c r="AI77" i="59" s="1"/>
  <c r="DI57" i="58"/>
  <c r="AL32" i="59"/>
  <c r="AL81" i="59" s="1"/>
  <c r="DL61" i="58"/>
  <c r="AD15" i="59"/>
  <c r="AD75" i="59" s="1"/>
  <c r="AD83" i="59" s="1"/>
  <c r="DD55" i="58"/>
  <c r="DD64" i="58" s="1"/>
  <c r="O15" i="59"/>
  <c r="O75" i="59" s="1"/>
  <c r="O83" i="59" s="1"/>
  <c r="CO55" i="58"/>
  <c r="K15" i="59"/>
  <c r="K75" i="59" s="1"/>
  <c r="K83" i="59" s="1"/>
  <c r="CK55" i="58"/>
  <c r="CK64" i="58" s="1"/>
  <c r="DB79" i="58"/>
  <c r="DE79" i="58"/>
  <c r="DC79" i="58"/>
  <c r="DD79" i="58"/>
  <c r="S19" i="59"/>
  <c r="S78" i="59" s="1"/>
  <c r="CS58" i="58"/>
  <c r="P19" i="59"/>
  <c r="P78" i="59" s="1"/>
  <c r="CP58" i="58"/>
  <c r="AK19" i="59"/>
  <c r="AK78" i="59" s="1"/>
  <c r="DK58" i="58"/>
  <c r="G17" i="59"/>
  <c r="G77" i="59" s="1"/>
  <c r="CG57" i="58"/>
  <c r="N17" i="59"/>
  <c r="N77" i="59" s="1"/>
  <c r="CN57" i="58"/>
  <c r="AJ17" i="59"/>
  <c r="AJ77" i="59" s="1"/>
  <c r="DJ57" i="58"/>
  <c r="DM61" i="58"/>
  <c r="AM32" i="59"/>
  <c r="AM81" i="59" s="1"/>
  <c r="T15" i="59"/>
  <c r="T75" i="59" s="1"/>
  <c r="T83" i="59" s="1"/>
  <c r="CT55" i="58"/>
  <c r="CT64" i="58" s="1"/>
  <c r="AE15" i="59"/>
  <c r="AE75" i="59" s="1"/>
  <c r="DE55" i="58"/>
  <c r="DE64" i="58" s="1"/>
  <c r="J15" i="59"/>
  <c r="J75" i="59" s="1"/>
  <c r="J83" i="59" s="1"/>
  <c r="CJ55" i="58"/>
  <c r="CJ64" i="58" s="1"/>
  <c r="W19" i="59"/>
  <c r="W78" i="59" s="1"/>
  <c r="CW58" i="58"/>
  <c r="AE19" i="59"/>
  <c r="AE78" i="59" s="1"/>
  <c r="DE58" i="58"/>
  <c r="AL19" i="59"/>
  <c r="AL78" i="59" s="1"/>
  <c r="DL58" i="58"/>
  <c r="X17" i="59"/>
  <c r="X77" i="59" s="1"/>
  <c r="CX57" i="58"/>
  <c r="CX65" i="58" s="1"/>
  <c r="AE17" i="59"/>
  <c r="AE77" i="59" s="1"/>
  <c r="DE57" i="58"/>
  <c r="AK17" i="59"/>
  <c r="AK77" i="59" s="1"/>
  <c r="DK57" i="58"/>
  <c r="AL24" i="59"/>
  <c r="AL79" i="59" s="1"/>
  <c r="DL59" i="58"/>
  <c r="CL55" i="58"/>
  <c r="CL64" i="58" s="1"/>
  <c r="L15" i="59"/>
  <c r="L75" i="59" s="1"/>
  <c r="CN55" i="58"/>
  <c r="CN64" i="58" s="1"/>
  <c r="N15" i="59"/>
  <c r="N75" i="59" s="1"/>
  <c r="N83" i="59" s="1"/>
  <c r="DC55" i="58"/>
  <c r="DC64" i="58" s="1"/>
  <c r="AC15" i="59"/>
  <c r="R19" i="59"/>
  <c r="R78" i="59" s="1"/>
  <c r="CR58" i="58"/>
  <c r="DA58" i="58"/>
  <c r="AA19" i="59"/>
  <c r="AA78" i="59" s="1"/>
  <c r="AM19" i="59"/>
  <c r="AM78" i="59" s="1"/>
  <c r="DM58" i="58"/>
  <c r="Q17" i="59"/>
  <c r="Q77" i="59" s="1"/>
  <c r="CQ57" i="58"/>
  <c r="U17" i="59"/>
  <c r="U77" i="59" s="1"/>
  <c r="CU57" i="58"/>
  <c r="CU65" i="58" s="1"/>
  <c r="R17" i="59"/>
  <c r="R77" i="59" s="1"/>
  <c r="CR57" i="58"/>
  <c r="AK24" i="59"/>
  <c r="AK79" i="59" s="1"/>
  <c r="DK59" i="58"/>
  <c r="U15" i="59"/>
  <c r="U75" i="59" s="1"/>
  <c r="CU55" i="58"/>
  <c r="CU64" i="58" s="1"/>
  <c r="AA15" i="59"/>
  <c r="AA75" i="59" s="1"/>
  <c r="AA83" i="59" s="1"/>
  <c r="DA55" i="58"/>
  <c r="DA64" i="58" s="1"/>
  <c r="W15" i="59"/>
  <c r="W75" i="59" s="1"/>
  <c r="W83" i="59" s="1"/>
  <c r="CW55" i="58"/>
  <c r="CW64" i="58" s="1"/>
  <c r="O19" i="59"/>
  <c r="O78" i="59" s="1"/>
  <c r="CO58" i="58"/>
  <c r="K19" i="59"/>
  <c r="K78" i="59" s="1"/>
  <c r="CK58" i="58"/>
  <c r="Q19" i="59"/>
  <c r="Q78" i="59" s="1"/>
  <c r="CQ58" i="58"/>
  <c r="DC83" i="58"/>
  <c r="DE83" i="58"/>
  <c r="AD17" i="59"/>
  <c r="AD77" i="59" s="1"/>
  <c r="AD84" i="59" s="1"/>
  <c r="DD57" i="58"/>
  <c r="AH17" i="59"/>
  <c r="AH77" i="59" s="1"/>
  <c r="DH57" i="58"/>
  <c r="D17" i="59"/>
  <c r="D77" i="59" s="1"/>
  <c r="CD57" i="58"/>
  <c r="CD65" i="58" s="1"/>
  <c r="AM24" i="59"/>
  <c r="AM79" i="59" s="1"/>
  <c r="DM59" i="58"/>
  <c r="G15" i="59"/>
  <c r="G75" i="59" s="1"/>
  <c r="G83" i="59" s="1"/>
  <c r="CG55" i="58"/>
  <c r="CG64" i="58" s="1"/>
  <c r="I15" i="59"/>
  <c r="I75" i="59" s="1"/>
  <c r="CI55" i="58"/>
  <c r="CI64" i="58" s="1"/>
  <c r="CM55" i="58"/>
  <c r="CM64" i="58" s="1"/>
  <c r="M15" i="59"/>
  <c r="AB19" i="59"/>
  <c r="AB78" i="59" s="1"/>
  <c r="DB58" i="58"/>
  <c r="CE58" i="58"/>
  <c r="E19" i="59"/>
  <c r="E78" i="59" s="1"/>
  <c r="Y19" i="59"/>
  <c r="Y78" i="59" s="1"/>
  <c r="CY58" i="58"/>
  <c r="H17" i="59"/>
  <c r="H77" i="59" s="1"/>
  <c r="CH57" i="58"/>
  <c r="E17" i="59"/>
  <c r="E77" i="59" s="1"/>
  <c r="CE57" i="58"/>
  <c r="J17" i="59"/>
  <c r="J77" i="59" s="1"/>
  <c r="J84" i="59" s="1"/>
  <c r="CJ57" i="58"/>
  <c r="AI24" i="59"/>
  <c r="AI79" i="59" s="1"/>
  <c r="DI59" i="58"/>
  <c r="Y15" i="59"/>
  <c r="Y75" i="59" s="1"/>
  <c r="Y83" i="59" s="1"/>
  <c r="CY55" i="58"/>
  <c r="CY64" i="58" s="1"/>
  <c r="Q15" i="59"/>
  <c r="Q75" i="59" s="1"/>
  <c r="CQ55" i="58"/>
  <c r="CQ64" i="58" s="1"/>
  <c r="AH15" i="59"/>
  <c r="AH75" i="59" s="1"/>
  <c r="AH83" i="59" s="1"/>
  <c r="DH55" i="58"/>
  <c r="DH64" i="58" s="1"/>
  <c r="I19" i="59"/>
  <c r="I78" i="59" s="1"/>
  <c r="CI58" i="58"/>
  <c r="AG19" i="59"/>
  <c r="AG78" i="59" s="1"/>
  <c r="DG58" i="58"/>
  <c r="CL58" i="58"/>
  <c r="L19" i="59"/>
  <c r="L78" i="59" s="1"/>
  <c r="I17" i="59"/>
  <c r="I77" i="59" s="1"/>
  <c r="CI57" i="58"/>
  <c r="W17" i="59"/>
  <c r="W77" i="59" s="1"/>
  <c r="CW57" i="58"/>
  <c r="M17" i="59"/>
  <c r="M77" i="59" s="1"/>
  <c r="CM57" i="58"/>
  <c r="CV64" i="58"/>
  <c r="AJ24" i="59"/>
  <c r="AJ79" i="59" s="1"/>
  <c r="DJ59" i="58"/>
  <c r="CX55" i="58"/>
  <c r="CX64" i="58" s="1"/>
  <c r="X15" i="59"/>
  <c r="X75" i="59" s="1"/>
  <c r="X83" i="59" s="1"/>
  <c r="CR55" i="58"/>
  <c r="CR64" i="58" s="1"/>
  <c r="R15" i="59"/>
  <c r="R75" i="59" s="1"/>
  <c r="R83" i="59" s="1"/>
  <c r="AK15" i="59"/>
  <c r="DK51" i="58"/>
  <c r="DK55" i="58"/>
  <c r="DC82" i="58"/>
  <c r="DD82" i="58"/>
  <c r="DE82" i="58"/>
  <c r="DB82" i="58"/>
  <c r="V19" i="59"/>
  <c r="V78" i="59" s="1"/>
  <c r="CV58" i="58"/>
  <c r="M19" i="59"/>
  <c r="M78" i="59" s="1"/>
  <c r="CM58" i="58"/>
  <c r="AF19" i="59"/>
  <c r="AF78" i="59" s="1"/>
  <c r="DF58" i="58"/>
  <c r="CV57" i="58"/>
  <c r="V17" i="59"/>
  <c r="V77" i="59" s="1"/>
  <c r="AA17" i="59"/>
  <c r="AA77" i="59" s="1"/>
  <c r="DA57" i="58"/>
  <c r="K17" i="59"/>
  <c r="K77" i="59" s="1"/>
  <c r="CK57" i="58"/>
  <c r="CK65" i="58" s="1"/>
  <c r="E15" i="59"/>
  <c r="E75" i="59" s="1"/>
  <c r="E83" i="59" s="1"/>
  <c r="CE55" i="58"/>
  <c r="CE64" i="58" s="1"/>
  <c r="AB15" i="59"/>
  <c r="AB75" i="59" s="1"/>
  <c r="DB55" i="58"/>
  <c r="DB64" i="58" s="1"/>
  <c r="AL15" i="59"/>
  <c r="DL55" i="58"/>
  <c r="DL51" i="58"/>
  <c r="H19" i="59"/>
  <c r="H78" i="59" s="1"/>
  <c r="CH58" i="58"/>
  <c r="T19" i="59"/>
  <c r="T78" i="59" s="1"/>
  <c r="CT58" i="58"/>
  <c r="Z19" i="59"/>
  <c r="Z78" i="59" s="1"/>
  <c r="CZ58" i="58"/>
  <c r="AB17" i="59"/>
  <c r="AB77" i="59" s="1"/>
  <c r="DB57" i="58"/>
  <c r="AF17" i="59"/>
  <c r="AF77" i="59" s="1"/>
  <c r="DF57" i="58"/>
  <c r="Z17" i="59"/>
  <c r="Z77" i="59" s="1"/>
  <c r="CZ57" i="58"/>
  <c r="D76" i="59"/>
  <c r="AS51" i="58"/>
  <c r="AU51" i="58"/>
  <c r="AW51" i="58"/>
  <c r="AX51" i="58"/>
  <c r="AY51" i="58"/>
  <c r="AT51" i="58"/>
  <c r="W47" i="41"/>
  <c r="W41" i="41" s="1"/>
  <c r="W57" i="41" s="1"/>
  <c r="E16" i="35"/>
  <c r="W16" i="35" s="1"/>
  <c r="D16" i="35"/>
  <c r="V16" i="35" s="1"/>
  <c r="DG66" i="58"/>
  <c r="L85" i="59"/>
  <c r="CD66" i="58"/>
  <c r="CK66" i="58"/>
  <c r="CQ66" i="58"/>
  <c r="O85" i="59"/>
  <c r="DH66" i="58"/>
  <c r="CN66" i="58"/>
  <c r="AF85" i="59"/>
  <c r="DD66" i="58"/>
  <c r="I85" i="59"/>
  <c r="U85" i="59"/>
  <c r="CR66" i="58"/>
  <c r="CL66" i="58"/>
  <c r="CO66" i="58"/>
  <c r="AG85" i="59"/>
  <c r="S85" i="59"/>
  <c r="DB66" i="58"/>
  <c r="H85" i="59"/>
  <c r="R85" i="59"/>
  <c r="CG66" i="58"/>
  <c r="G85" i="59"/>
  <c r="CH66" i="58"/>
  <c r="CX66" i="58"/>
  <c r="CP66" i="58"/>
  <c r="DH62" i="58"/>
  <c r="X85" i="59"/>
  <c r="AE85" i="59"/>
  <c r="Q85" i="59"/>
  <c r="DE66" i="58"/>
  <c r="CV66" i="58"/>
  <c r="CZ66" i="58"/>
  <c r="CW66" i="58"/>
  <c r="CY66" i="58"/>
  <c r="Z85" i="59"/>
  <c r="W85" i="59"/>
  <c r="E85" i="59"/>
  <c r="DA66" i="58"/>
  <c r="DC66" i="58"/>
  <c r="CT66" i="58"/>
  <c r="CF66" i="58"/>
  <c r="CO64" i="58"/>
  <c r="AA85" i="59"/>
  <c r="AC85" i="59"/>
  <c r="T85" i="59"/>
  <c r="F85" i="59"/>
  <c r="J75" i="58"/>
  <c r="CR68" i="58"/>
  <c r="U83" i="59"/>
  <c r="CW69" i="58"/>
  <c r="CW68" i="58"/>
  <c r="AF83" i="59"/>
  <c r="DC69" i="58"/>
  <c r="DC68" i="58"/>
  <c r="CS64" i="58"/>
  <c r="Z83" i="59"/>
  <c r="CX69" i="58"/>
  <c r="CX68" i="58"/>
  <c r="I83" i="59"/>
  <c r="D132" i="30"/>
  <c r="D133" i="5"/>
  <c r="J191" i="1"/>
  <c r="J221" i="1" s="1"/>
  <c r="CD61" i="1"/>
  <c r="CC65" i="29"/>
  <c r="CD38" i="29"/>
  <c r="E141" i="30" s="1"/>
  <c r="CD39" i="29"/>
  <c r="E142" i="30" s="1"/>
  <c r="C36" i="52"/>
  <c r="C37" i="52"/>
  <c r="CD65" i="1"/>
  <c r="CD34" i="29"/>
  <c r="E137" i="30" s="1"/>
  <c r="CD27" i="29"/>
  <c r="CD62" i="29" s="1"/>
  <c r="CD68" i="1"/>
  <c r="E144" i="5"/>
  <c r="E120" i="5" s="1"/>
  <c r="CC68" i="23"/>
  <c r="CF33" i="23"/>
  <c r="CF32" i="23"/>
  <c r="CF29" i="23"/>
  <c r="CD68" i="23"/>
  <c r="CC64" i="29"/>
  <c r="E146" i="5"/>
  <c r="CC62" i="29"/>
  <c r="CG21" i="29"/>
  <c r="CG58" i="29" s="1"/>
  <c r="CE68" i="23"/>
  <c r="CC64" i="1"/>
  <c r="CD65" i="23"/>
  <c r="CC62" i="1"/>
  <c r="CC61" i="23"/>
  <c r="D141" i="5"/>
  <c r="D119" i="5" s="1"/>
  <c r="D145" i="30"/>
  <c r="CC65" i="1"/>
  <c r="CC61" i="29"/>
  <c r="D145" i="26"/>
  <c r="D127" i="30"/>
  <c r="D112" i="30" s="1"/>
  <c r="CF44" i="23"/>
  <c r="E147" i="27"/>
  <c r="CF45" i="23"/>
  <c r="CD62" i="1"/>
  <c r="CF37" i="23"/>
  <c r="CF28" i="23"/>
  <c r="CF38" i="23"/>
  <c r="CF35" i="23"/>
  <c r="CD41" i="24"/>
  <c r="E144" i="26" s="1"/>
  <c r="CD33" i="29"/>
  <c r="E136" i="30" s="1"/>
  <c r="CC63" i="1"/>
  <c r="CC63" i="24"/>
  <c r="CE64" i="23"/>
  <c r="CD64" i="23"/>
  <c r="CC62" i="23"/>
  <c r="CD64" i="1"/>
  <c r="CD62" i="23"/>
  <c r="CC68" i="29"/>
  <c r="D148" i="30"/>
  <c r="D138" i="30"/>
  <c r="CC63" i="29"/>
  <c r="CD63" i="23"/>
  <c r="E135" i="27"/>
  <c r="CF36" i="23"/>
  <c r="CE63" i="23"/>
  <c r="CF34" i="23"/>
  <c r="CF26" i="23"/>
  <c r="CF61" i="23" s="1"/>
  <c r="CD63" i="1"/>
  <c r="CC64" i="24"/>
  <c r="CC68" i="24"/>
  <c r="CF27" i="23"/>
  <c r="CC63" i="23"/>
  <c r="CC61" i="1"/>
  <c r="CC68" i="1"/>
  <c r="CC62" i="24"/>
  <c r="D135" i="27"/>
  <c r="D117" i="27" s="1"/>
  <c r="D143" i="26"/>
  <c r="D119" i="26" s="1"/>
  <c r="BL64" i="29"/>
  <c r="BL61" i="29"/>
  <c r="CD46" i="29"/>
  <c r="CD67" i="29" s="1"/>
  <c r="CD42" i="29"/>
  <c r="CD66" i="29" s="1"/>
  <c r="CD41" i="29"/>
  <c r="E144" i="30" s="1"/>
  <c r="CD37" i="29"/>
  <c r="CD24" i="29"/>
  <c r="CD60" i="29" s="1"/>
  <c r="CD25" i="29"/>
  <c r="CD61" i="29" s="1"/>
  <c r="CD23" i="29"/>
  <c r="CD59" i="29" s="1"/>
  <c r="BM68" i="24"/>
  <c r="E143" i="27"/>
  <c r="E119" i="27" s="1"/>
  <c r="D144" i="5"/>
  <c r="D120" i="5" s="1"/>
  <c r="D146" i="5"/>
  <c r="E149" i="27"/>
  <c r="D147" i="5"/>
  <c r="D135" i="26"/>
  <c r="D117" i="26" s="1"/>
  <c r="D131" i="5"/>
  <c r="D128" i="26"/>
  <c r="D114" i="26" s="1"/>
  <c r="E131" i="5"/>
  <c r="D146" i="27"/>
  <c r="D143" i="27"/>
  <c r="D119" i="27" s="1"/>
  <c r="CE42" i="24"/>
  <c r="CE66" i="24" s="1"/>
  <c r="BM62" i="24"/>
  <c r="BM64" i="24"/>
  <c r="CD40" i="24"/>
  <c r="BL65" i="24"/>
  <c r="BM63" i="24"/>
  <c r="CD43" i="24"/>
  <c r="BL68" i="24"/>
  <c r="BM65" i="24"/>
  <c r="CD37" i="24"/>
  <c r="CD64" i="24" s="1"/>
  <c r="BL64" i="24"/>
  <c r="CD42" i="24"/>
  <c r="CD66" i="24" s="1"/>
  <c r="BL66" i="24"/>
  <c r="CD46" i="24"/>
  <c r="CD67" i="24" s="1"/>
  <c r="BL67" i="24"/>
  <c r="BM61" i="24"/>
  <c r="CD27" i="24"/>
  <c r="CD62" i="24" s="1"/>
  <c r="BL62" i="24"/>
  <c r="CD32" i="24"/>
  <c r="CD63" i="24" s="1"/>
  <c r="BL63" i="24"/>
  <c r="CD25" i="24"/>
  <c r="CD61" i="24" s="1"/>
  <c r="BL61" i="24"/>
  <c r="BN65" i="23"/>
  <c r="CF40" i="23"/>
  <c r="CF65" i="23" s="1"/>
  <c r="CE61" i="23"/>
  <c r="BM62" i="23"/>
  <c r="CE28" i="23"/>
  <c r="CE62" i="23" s="1"/>
  <c r="E145" i="27"/>
  <c r="BN66" i="23"/>
  <c r="CF42" i="23"/>
  <c r="CF66" i="23" s="1"/>
  <c r="BN67" i="23"/>
  <c r="CF46" i="23"/>
  <c r="CF67" i="23" s="1"/>
  <c r="BN63" i="23"/>
  <c r="BN61" i="23"/>
  <c r="BN62" i="23"/>
  <c r="BM61" i="23"/>
  <c r="BN68" i="23"/>
  <c r="BN64" i="23"/>
  <c r="BM63" i="1"/>
  <c r="E129" i="5"/>
  <c r="BM68" i="1"/>
  <c r="CE41" i="1"/>
  <c r="F145" i="5" s="1"/>
  <c r="CE27" i="1"/>
  <c r="F131" i="5" s="1"/>
  <c r="BM62" i="1"/>
  <c r="BM61" i="1"/>
  <c r="BM65" i="1"/>
  <c r="BM64" i="1"/>
  <c r="CD68" i="29"/>
  <c r="BL65" i="29"/>
  <c r="BL63" i="29"/>
  <c r="BL62" i="29"/>
  <c r="BL68" i="29"/>
  <c r="N14" i="3"/>
  <c r="AC14" i="3" s="1"/>
  <c r="M16" i="3"/>
  <c r="M17" i="3" s="1"/>
  <c r="M18" i="3" s="1"/>
  <c r="M19" i="3" s="1"/>
  <c r="M20" i="3" s="1"/>
  <c r="M21" i="3" s="1"/>
  <c r="M22" i="3" s="1"/>
  <c r="M23" i="3" s="1"/>
  <c r="CE26" i="1"/>
  <c r="F130" i="5" s="1"/>
  <c r="CE29" i="1"/>
  <c r="F133" i="5" s="1"/>
  <c r="E129" i="30"/>
  <c r="CE25" i="1"/>
  <c r="CE28" i="24"/>
  <c r="F131" i="26" s="1"/>
  <c r="CE43" i="1"/>
  <c r="F147" i="5" s="1"/>
  <c r="CE45" i="1"/>
  <c r="F149" i="5" s="1"/>
  <c r="CE37" i="24"/>
  <c r="F140" i="26" s="1"/>
  <c r="CE25" i="24"/>
  <c r="CE38" i="1"/>
  <c r="F142" i="5" s="1"/>
  <c r="CE32" i="1"/>
  <c r="CE46" i="24"/>
  <c r="CE67" i="24" s="1"/>
  <c r="CE28" i="1"/>
  <c r="F132" i="5" s="1"/>
  <c r="CE42" i="1"/>
  <c r="CE66" i="1" s="1"/>
  <c r="CE39" i="1"/>
  <c r="F143" i="5" s="1"/>
  <c r="CE34" i="24"/>
  <c r="F137" i="26" s="1"/>
  <c r="CE43" i="24"/>
  <c r="F146" i="26" s="1"/>
  <c r="AF41" i="23"/>
  <c r="AF44" i="23"/>
  <c r="AF26" i="23"/>
  <c r="AF29" i="23"/>
  <c r="AF35" i="23"/>
  <c r="AF38" i="23"/>
  <c r="AF23" i="23"/>
  <c r="AF42" i="23"/>
  <c r="AF45" i="23"/>
  <c r="AF24" i="23"/>
  <c r="AF27" i="23"/>
  <c r="AF32" i="23"/>
  <c r="AF34" i="23"/>
  <c r="AF37" i="23"/>
  <c r="AF46" i="23"/>
  <c r="AF33" i="23"/>
  <c r="AF40" i="23"/>
  <c r="AF25" i="23"/>
  <c r="AF36" i="23"/>
  <c r="AF43" i="23"/>
  <c r="AF28" i="23"/>
  <c r="AF39" i="23"/>
  <c r="CE36" i="1"/>
  <c r="F140" i="5" s="1"/>
  <c r="CE29" i="24"/>
  <c r="F132" i="26" s="1"/>
  <c r="CE38" i="24"/>
  <c r="F141" i="26" s="1"/>
  <c r="AE42" i="24"/>
  <c r="AE45" i="24"/>
  <c r="AE24" i="24"/>
  <c r="AE27" i="24"/>
  <c r="CF27" i="24" s="1"/>
  <c r="AE35" i="24"/>
  <c r="AE38" i="24"/>
  <c r="AE43" i="24"/>
  <c r="AE46" i="24"/>
  <c r="AE25" i="24"/>
  <c r="AE28" i="24"/>
  <c r="AE33" i="24"/>
  <c r="AE36" i="24"/>
  <c r="AE39" i="24"/>
  <c r="AE41" i="24"/>
  <c r="AE26" i="24"/>
  <c r="AE34" i="24"/>
  <c r="AE44" i="24"/>
  <c r="AE29" i="24"/>
  <c r="AE37" i="24"/>
  <c r="AE23" i="24"/>
  <c r="AE32" i="24"/>
  <c r="AE40" i="24"/>
  <c r="CE37" i="1"/>
  <c r="F141" i="5" s="1"/>
  <c r="CE33" i="1"/>
  <c r="CE26" i="24"/>
  <c r="F129" i="26" s="1"/>
  <c r="CE35" i="24"/>
  <c r="F138" i="26" s="1"/>
  <c r="CE34" i="1"/>
  <c r="F138" i="5" s="1"/>
  <c r="AF21" i="1"/>
  <c r="AE43" i="1"/>
  <c r="AE46" i="1"/>
  <c r="AE25" i="1"/>
  <c r="AE28" i="1"/>
  <c r="AE32" i="1"/>
  <c r="AE23" i="1"/>
  <c r="AE33" i="1"/>
  <c r="AE36" i="1"/>
  <c r="AE39" i="1"/>
  <c r="AE41" i="1"/>
  <c r="AE44" i="1"/>
  <c r="AE26" i="1"/>
  <c r="AE29" i="1"/>
  <c r="AE34" i="1"/>
  <c r="AE37" i="1"/>
  <c r="AE42" i="1"/>
  <c r="AE45" i="1"/>
  <c r="AE24" i="1"/>
  <c r="AE27" i="1"/>
  <c r="AE35" i="1"/>
  <c r="AE38" i="1"/>
  <c r="AE40" i="1"/>
  <c r="CE44" i="24"/>
  <c r="CE41" i="24"/>
  <c r="AE34" i="29"/>
  <c r="AE37" i="29"/>
  <c r="AE35" i="29"/>
  <c r="AE38" i="29"/>
  <c r="AE43" i="29"/>
  <c r="AE33" i="29"/>
  <c r="AE36" i="29"/>
  <c r="AE39" i="29"/>
  <c r="AE41" i="29"/>
  <c r="AE44" i="29"/>
  <c r="AE23" i="29"/>
  <c r="AE45" i="29"/>
  <c r="AE24" i="29"/>
  <c r="AE27" i="29"/>
  <c r="AE42" i="29"/>
  <c r="AE46" i="29"/>
  <c r="AE25" i="29"/>
  <c r="AE28" i="29"/>
  <c r="AE32" i="29"/>
  <c r="AE26" i="29"/>
  <c r="AE29" i="29"/>
  <c r="AE40" i="29"/>
  <c r="CE40" i="1"/>
  <c r="CE40" i="24"/>
  <c r="CE32" i="24"/>
  <c r="CE46" i="1"/>
  <c r="CE67" i="1" s="1"/>
  <c r="CE45" i="24"/>
  <c r="F148" i="26" s="1"/>
  <c r="CE39" i="24"/>
  <c r="F142" i="26" s="1"/>
  <c r="CE35" i="1"/>
  <c r="F139" i="5" s="1"/>
  <c r="CE36" i="24"/>
  <c r="F139" i="26" s="1"/>
  <c r="CE44" i="1"/>
  <c r="F148" i="5" s="1"/>
  <c r="CE27" i="24"/>
  <c r="CE33" i="24"/>
  <c r="F136" i="26" s="1"/>
  <c r="D150" i="5"/>
  <c r="BN43" i="24"/>
  <c r="BN37" i="24"/>
  <c r="CF9" i="24"/>
  <c r="CF10" i="24" s="1"/>
  <c r="K9" i="24"/>
  <c r="BO9" i="24" s="1"/>
  <c r="BO10" i="24" s="1"/>
  <c r="BO27" i="24" s="1"/>
  <c r="BL48" i="29"/>
  <c r="E57" i="30" s="1"/>
  <c r="CC48" i="29"/>
  <c r="BN36" i="24"/>
  <c r="BN34" i="24"/>
  <c r="BN40" i="24"/>
  <c r="BN32" i="24"/>
  <c r="BN35" i="24"/>
  <c r="BN46" i="24"/>
  <c r="BN67" i="24" s="1"/>
  <c r="BN41" i="24"/>
  <c r="BN33" i="24"/>
  <c r="BN44" i="24"/>
  <c r="BN39" i="24"/>
  <c r="BN45" i="24"/>
  <c r="BN42" i="24"/>
  <c r="BN66" i="24" s="1"/>
  <c r="BN25" i="24"/>
  <c r="BN38" i="24"/>
  <c r="E132" i="26"/>
  <c r="E147" i="26"/>
  <c r="E139" i="26"/>
  <c r="E137" i="26"/>
  <c r="E138" i="26"/>
  <c r="BN26" i="24"/>
  <c r="BN29" i="24"/>
  <c r="BN28" i="24"/>
  <c r="E56" i="27"/>
  <c r="F100" i="26"/>
  <c r="F41" i="26"/>
  <c r="F100" i="30"/>
  <c r="F41" i="30"/>
  <c r="F100" i="27"/>
  <c r="F41" i="27"/>
  <c r="C61" i="3"/>
  <c r="AD61" i="3"/>
  <c r="AC61" i="3"/>
  <c r="B62" i="3"/>
  <c r="AE61" i="3"/>
  <c r="CG21" i="1"/>
  <c r="DR21" i="1" s="1"/>
  <c r="CF58" i="1"/>
  <c r="BO21" i="1"/>
  <c r="BN58" i="1"/>
  <c r="G125" i="5"/>
  <c r="G31" i="5" s="1"/>
  <c r="G41" i="5" s="1"/>
  <c r="K21" i="1"/>
  <c r="AE10" i="3"/>
  <c r="AU10" i="3" s="1"/>
  <c r="D129" i="5"/>
  <c r="D115" i="5" s="1"/>
  <c r="E41" i="27"/>
  <c r="D149" i="30"/>
  <c r="D130" i="30"/>
  <c r="D143" i="30"/>
  <c r="E131" i="30"/>
  <c r="D135" i="30"/>
  <c r="D116" i="30" s="1"/>
  <c r="D126" i="30"/>
  <c r="E128" i="27"/>
  <c r="D128" i="30"/>
  <c r="D113" i="30" s="1"/>
  <c r="D140" i="30"/>
  <c r="D117" i="30" s="1"/>
  <c r="D130" i="26"/>
  <c r="D115" i="26" s="1"/>
  <c r="D128" i="27"/>
  <c r="D114" i="27" s="1"/>
  <c r="E131" i="26"/>
  <c r="C23" i="52"/>
  <c r="K171" i="36"/>
  <c r="AC10" i="3"/>
  <c r="AR10" i="3" s="1"/>
  <c r="AD10" i="3"/>
  <c r="AT10" i="3" s="1"/>
  <c r="E129" i="26"/>
  <c r="E142" i="26"/>
  <c r="D139" i="27"/>
  <c r="E136" i="26"/>
  <c r="D148" i="26"/>
  <c r="AG10" i="3"/>
  <c r="AW10" i="3" s="1"/>
  <c r="E150" i="5"/>
  <c r="E145" i="5"/>
  <c r="E137" i="5"/>
  <c r="E139" i="5"/>
  <c r="E149" i="5"/>
  <c r="E143" i="5"/>
  <c r="E148" i="5"/>
  <c r="E141" i="5"/>
  <c r="E147" i="5"/>
  <c r="J88" i="23"/>
  <c r="J86" i="23"/>
  <c r="J78" i="23"/>
  <c r="J90" i="23"/>
  <c r="J94" i="23"/>
  <c r="J92" i="23"/>
  <c r="J80" i="23"/>
  <c r="J83" i="23"/>
  <c r="J96" i="23"/>
  <c r="J82" i="23"/>
  <c r="J100" i="23"/>
  <c r="J98" i="23"/>
  <c r="J87" i="23"/>
  <c r="J77" i="23"/>
  <c r="J91" i="23"/>
  <c r="J89" i="23"/>
  <c r="J79" i="23"/>
  <c r="J93" i="23"/>
  <c r="J81" i="23"/>
  <c r="J97" i="23"/>
  <c r="J95" i="23"/>
  <c r="J99" i="23"/>
  <c r="I101" i="23"/>
  <c r="D118" i="26"/>
  <c r="J82" i="24"/>
  <c r="J95" i="24"/>
  <c r="J89" i="24"/>
  <c r="J99" i="24"/>
  <c r="J97" i="24"/>
  <c r="J93" i="24"/>
  <c r="J91" i="24"/>
  <c r="J87" i="24"/>
  <c r="J79" i="24"/>
  <c r="J77" i="24"/>
  <c r="J81" i="24"/>
  <c r="J83" i="24"/>
  <c r="J98" i="24"/>
  <c r="J92" i="24"/>
  <c r="J86" i="24"/>
  <c r="J78" i="24"/>
  <c r="J100" i="24"/>
  <c r="J96" i="24"/>
  <c r="J94" i="24"/>
  <c r="J90" i="24"/>
  <c r="J88" i="24"/>
  <c r="J80" i="24"/>
  <c r="I101" i="24"/>
  <c r="E147" i="30"/>
  <c r="K9" i="29"/>
  <c r="BO9" i="29" s="1"/>
  <c r="BO10" i="29" s="1"/>
  <c r="BO41" i="29" s="1"/>
  <c r="E132" i="30"/>
  <c r="J11" i="29"/>
  <c r="CF9" i="29"/>
  <c r="CF10" i="29" s="1"/>
  <c r="J90" i="29"/>
  <c r="J88" i="29"/>
  <c r="J86" i="29"/>
  <c r="J83" i="29"/>
  <c r="J78" i="29"/>
  <c r="J99" i="29"/>
  <c r="J97" i="29"/>
  <c r="J95" i="29"/>
  <c r="J47" i="29"/>
  <c r="J101" i="29" s="1"/>
  <c r="J93" i="29"/>
  <c r="J80" i="29"/>
  <c r="J91" i="29"/>
  <c r="J89" i="29"/>
  <c r="J82" i="29"/>
  <c r="J87" i="29"/>
  <c r="J77" i="29"/>
  <c r="J94" i="29"/>
  <c r="J81" i="29"/>
  <c r="J100" i="29"/>
  <c r="J98" i="29"/>
  <c r="J96" i="29"/>
  <c r="J79" i="29"/>
  <c r="J92" i="29"/>
  <c r="I101" i="29"/>
  <c r="E138" i="30"/>
  <c r="E148" i="30"/>
  <c r="K21" i="23"/>
  <c r="I101" i="1"/>
  <c r="D149" i="27"/>
  <c r="D145" i="27"/>
  <c r="E140" i="27"/>
  <c r="E118" i="27" s="1"/>
  <c r="BM32" i="29"/>
  <c r="CE32" i="29" s="1"/>
  <c r="F135" i="30" s="1"/>
  <c r="BM35" i="29"/>
  <c r="CE35" i="29" s="1"/>
  <c r="F138" i="30" s="1"/>
  <c r="BM38" i="29"/>
  <c r="BM41" i="29"/>
  <c r="BM44" i="29"/>
  <c r="BM26" i="29"/>
  <c r="BM29" i="29"/>
  <c r="BM23" i="29"/>
  <c r="BM33" i="29"/>
  <c r="CE33" i="29" s="1"/>
  <c r="F136" i="30" s="1"/>
  <c r="BM36" i="29"/>
  <c r="BM39" i="29"/>
  <c r="CE39" i="29" s="1"/>
  <c r="F142" i="30" s="1"/>
  <c r="BM42" i="29"/>
  <c r="BM45" i="29"/>
  <c r="CE45" i="29" s="1"/>
  <c r="F148" i="30" s="1"/>
  <c r="BM24" i="29"/>
  <c r="BM27" i="29"/>
  <c r="BM34" i="29"/>
  <c r="BM37" i="29"/>
  <c r="BM40" i="29"/>
  <c r="BM43" i="29"/>
  <c r="BM46" i="29"/>
  <c r="BM67" i="29" s="1"/>
  <c r="BM25" i="29"/>
  <c r="BM28" i="29"/>
  <c r="CE28" i="29" s="1"/>
  <c r="BN32" i="29"/>
  <c r="BN35" i="29"/>
  <c r="BN38" i="29"/>
  <c r="BN41" i="29"/>
  <c r="BN44" i="29"/>
  <c r="BN26" i="29"/>
  <c r="BN29" i="29"/>
  <c r="BN23" i="29"/>
  <c r="BN59" i="29" s="1"/>
  <c r="BN33" i="29"/>
  <c r="BN36" i="29"/>
  <c r="BN39" i="29"/>
  <c r="BN42" i="29"/>
  <c r="BN66" i="29" s="1"/>
  <c r="BN45" i="29"/>
  <c r="BN24" i="29"/>
  <c r="BN60" i="29" s="1"/>
  <c r="BN27" i="29"/>
  <c r="BN34" i="29"/>
  <c r="BN37" i="29"/>
  <c r="BN40" i="29"/>
  <c r="BN43" i="29"/>
  <c r="BN46" i="29"/>
  <c r="BN67" i="29" s="1"/>
  <c r="BN25" i="29"/>
  <c r="BN28" i="29"/>
  <c r="E141" i="26"/>
  <c r="DY23" i="1"/>
  <c r="DY24" i="1"/>
  <c r="BO28" i="23"/>
  <c r="BO25" i="23"/>
  <c r="BO26" i="23"/>
  <c r="BO27" i="23"/>
  <c r="BO29" i="23"/>
  <c r="BO37" i="23"/>
  <c r="BO40" i="23"/>
  <c r="BO36" i="23"/>
  <c r="BO38" i="23"/>
  <c r="BO41" i="23"/>
  <c r="BO39" i="23"/>
  <c r="BO42" i="23"/>
  <c r="BO43" i="23"/>
  <c r="BO34" i="23"/>
  <c r="BO35" i="23"/>
  <c r="BO44" i="23"/>
  <c r="BO32" i="23"/>
  <c r="BO45" i="23"/>
  <c r="BO33" i="23"/>
  <c r="BO46" i="23"/>
  <c r="J47" i="23"/>
  <c r="G124" i="27"/>
  <c r="G31" i="27" s="1"/>
  <c r="BN25" i="1"/>
  <c r="BN27" i="1"/>
  <c r="BN28" i="1"/>
  <c r="BN29" i="1"/>
  <c r="BN26" i="1"/>
  <c r="F147" i="27"/>
  <c r="F142" i="27"/>
  <c r="F145" i="27"/>
  <c r="F141" i="27"/>
  <c r="BN34" i="1"/>
  <c r="BN37" i="1"/>
  <c r="BN40" i="1"/>
  <c r="BN43" i="1"/>
  <c r="BN32" i="1"/>
  <c r="BN41" i="1"/>
  <c r="BN44" i="1"/>
  <c r="BN35" i="1"/>
  <c r="BN38" i="1"/>
  <c r="BN33" i="1"/>
  <c r="BN36" i="1"/>
  <c r="BN39" i="1"/>
  <c r="BN42" i="1"/>
  <c r="BN66" i="1" s="1"/>
  <c r="BN45" i="1"/>
  <c r="BN46" i="1"/>
  <c r="BN67" i="1" s="1"/>
  <c r="F143" i="27"/>
  <c r="F119" i="27" s="1"/>
  <c r="F144" i="27"/>
  <c r="F129" i="27"/>
  <c r="E131" i="27"/>
  <c r="E130" i="27"/>
  <c r="F128" i="27"/>
  <c r="F130" i="27"/>
  <c r="F132" i="27"/>
  <c r="AE34" i="41"/>
  <c r="H16" i="35"/>
  <c r="Z16" i="35" s="1"/>
  <c r="I16" i="35"/>
  <c r="AA16" i="35" s="1"/>
  <c r="U42" i="41"/>
  <c r="U58" i="41" s="1"/>
  <c r="U36" i="41"/>
  <c r="U52" i="41" s="1"/>
  <c r="U37" i="41"/>
  <c r="U53" i="41" s="1"/>
  <c r="U48" i="41"/>
  <c r="U40" i="41"/>
  <c r="U56" i="41" s="1"/>
  <c r="U43" i="41"/>
  <c r="U59" i="41" s="1"/>
  <c r="U38" i="41"/>
  <c r="U54" i="41" s="1"/>
  <c r="U41" i="41"/>
  <c r="U57" i="41" s="1"/>
  <c r="U39" i="41"/>
  <c r="U55" i="41" s="1"/>
  <c r="L16" i="35"/>
  <c r="AD16" i="35" s="1"/>
  <c r="M16" i="35"/>
  <c r="AE15" i="35"/>
  <c r="V44" i="41"/>
  <c r="U15" i="35"/>
  <c r="DY24" i="24"/>
  <c r="T16" i="35"/>
  <c r="B17" i="35"/>
  <c r="AF16" i="35"/>
  <c r="C16" i="35" s="1"/>
  <c r="X46" i="41" s="1"/>
  <c r="F16" i="35"/>
  <c r="X16" i="35" s="1"/>
  <c r="G16" i="35"/>
  <c r="Y16" i="35" s="1"/>
  <c r="F148" i="27"/>
  <c r="F135" i="27"/>
  <c r="F136" i="27"/>
  <c r="F137" i="27"/>
  <c r="F146" i="27"/>
  <c r="F6" i="27"/>
  <c r="F138" i="27"/>
  <c r="F139" i="27"/>
  <c r="F110" i="27"/>
  <c r="F140" i="27"/>
  <c r="F149" i="27"/>
  <c r="DY23" i="24"/>
  <c r="DZ23" i="23"/>
  <c r="DY24" i="23"/>
  <c r="DE30" i="1"/>
  <c r="DF30" i="1" s="1"/>
  <c r="DG30" i="1" s="1"/>
  <c r="DH30" i="1" s="1"/>
  <c r="DI30" i="1" s="1"/>
  <c r="DJ30" i="1" s="1"/>
  <c r="G126" i="3"/>
  <c r="G124" i="3"/>
  <c r="G122" i="3"/>
  <c r="G120" i="3"/>
  <c r="G118" i="3"/>
  <c r="G116" i="3"/>
  <c r="G115" i="3"/>
  <c r="G114" i="3"/>
  <c r="C93" i="3" s="1"/>
  <c r="E93" i="3" s="1"/>
  <c r="G113" i="3"/>
  <c r="C92" i="3" s="1"/>
  <c r="E92" i="3" s="1"/>
  <c r="G112" i="3"/>
  <c r="G121" i="3"/>
  <c r="G123" i="3"/>
  <c r="G117" i="3"/>
  <c r="G119" i="3"/>
  <c r="G125" i="3"/>
  <c r="G127" i="3"/>
  <c r="C106" i="3" s="1"/>
  <c r="E106" i="3" s="1"/>
  <c r="AG21" i="23"/>
  <c r="AF21" i="24"/>
  <c r="BP21" i="29"/>
  <c r="BP58" i="29" s="1"/>
  <c r="G124" i="26"/>
  <c r="G31" i="26" s="1"/>
  <c r="J177" i="24"/>
  <c r="J47" i="24"/>
  <c r="K21" i="24"/>
  <c r="G124" i="30"/>
  <c r="G31" i="30" s="1"/>
  <c r="J177" i="29"/>
  <c r="K21" i="29"/>
  <c r="E18" i="5"/>
  <c r="E101" i="5"/>
  <c r="CZ31" i="1"/>
  <c r="F111" i="5"/>
  <c r="F6" i="5"/>
  <c r="F56" i="5" s="1"/>
  <c r="K11" i="23"/>
  <c r="L9" i="23"/>
  <c r="BP9" i="23" s="1"/>
  <c r="BP10" i="23" s="1"/>
  <c r="CG9" i="23"/>
  <c r="CG10" i="23" s="1"/>
  <c r="F110" i="26"/>
  <c r="F6" i="26"/>
  <c r="F56" i="26" s="1"/>
  <c r="AB13" i="3"/>
  <c r="J159" i="3"/>
  <c r="J160" i="3" s="1"/>
  <c r="J11" i="1"/>
  <c r="BO9" i="1"/>
  <c r="BO10" i="1" s="1"/>
  <c r="CF9" i="1"/>
  <c r="CF10" i="1" s="1"/>
  <c r="F109" i="30"/>
  <c r="F6" i="30"/>
  <c r="F56" i="30" s="1"/>
  <c r="E18" i="26"/>
  <c r="E18" i="30"/>
  <c r="J177" i="1"/>
  <c r="J98" i="1"/>
  <c r="J94" i="1"/>
  <c r="J90" i="1"/>
  <c r="J86" i="1"/>
  <c r="J80" i="1"/>
  <c r="J97" i="1"/>
  <c r="J93" i="1"/>
  <c r="J89" i="1"/>
  <c r="J83" i="1"/>
  <c r="J79" i="1"/>
  <c r="J100" i="1"/>
  <c r="J96" i="1"/>
  <c r="J92" i="1"/>
  <c r="J88" i="1"/>
  <c r="J82" i="1"/>
  <c r="J78" i="1"/>
  <c r="J47" i="1"/>
  <c r="J99" i="1"/>
  <c r="J95" i="1"/>
  <c r="J91" i="1"/>
  <c r="J87" i="1"/>
  <c r="J81" i="1"/>
  <c r="J77" i="1"/>
  <c r="AF21" i="29"/>
  <c r="K75" i="58" a="1"/>
  <c r="DB103" i="58" l="1"/>
  <c r="W40" i="41"/>
  <c r="W56" i="41" s="1"/>
  <c r="W36" i="41"/>
  <c r="W52" i="41" s="1"/>
  <c r="CD68" i="24"/>
  <c r="CG45" i="23"/>
  <c r="CG28" i="23"/>
  <c r="CG41" i="23"/>
  <c r="CG35" i="23"/>
  <c r="D114" i="30"/>
  <c r="W37" i="41"/>
  <c r="W53" i="41" s="1"/>
  <c r="W48" i="41"/>
  <c r="W38" i="41"/>
  <c r="W54" i="41" s="1"/>
  <c r="W43" i="41"/>
  <c r="W59" i="41" s="1"/>
  <c r="W39" i="41"/>
  <c r="W55" i="41" s="1"/>
  <c r="DA62" i="58"/>
  <c r="W35" i="41"/>
  <c r="W51" i="41" s="1"/>
  <c r="W42" i="41"/>
  <c r="W58" i="41" s="1"/>
  <c r="D83" i="59"/>
  <c r="CW62" i="58"/>
  <c r="CT62" i="58"/>
  <c r="CT69" i="58" s="1"/>
  <c r="DF62" i="58"/>
  <c r="AB85" i="59"/>
  <c r="DE103" i="58"/>
  <c r="DD103" i="58"/>
  <c r="DM66" i="58"/>
  <c r="U86" i="59"/>
  <c r="CQ62" i="58"/>
  <c r="CQ68" i="58" s="1"/>
  <c r="CE62" i="58"/>
  <c r="CE68" i="58" s="1"/>
  <c r="DC62" i="58"/>
  <c r="CF62" i="58"/>
  <c r="CF68" i="58" s="1"/>
  <c r="CM66" i="58"/>
  <c r="CV62" i="58"/>
  <c r="Y85" i="59"/>
  <c r="AD85" i="59"/>
  <c r="M85" i="59"/>
  <c r="V86" i="59"/>
  <c r="P85" i="59"/>
  <c r="DJ66" i="58"/>
  <c r="N84" i="59"/>
  <c r="N39" i="59"/>
  <c r="DK65" i="58"/>
  <c r="CG62" i="58"/>
  <c r="CG68" i="58" s="1"/>
  <c r="CY62" i="58"/>
  <c r="CN62" i="58"/>
  <c r="CN68" i="58" s="1"/>
  <c r="V39" i="59"/>
  <c r="CH62" i="58"/>
  <c r="CH68" i="58" s="1"/>
  <c r="DE62" i="58"/>
  <c r="DE68" i="58" s="1"/>
  <c r="W86" i="59"/>
  <c r="DA65" i="58"/>
  <c r="V83" i="59"/>
  <c r="AH39" i="59"/>
  <c r="U39" i="59"/>
  <c r="DH65" i="58"/>
  <c r="J39" i="59"/>
  <c r="AB86" i="59"/>
  <c r="AI85" i="59"/>
  <c r="AH84" i="59"/>
  <c r="CM62" i="58"/>
  <c r="CM68" i="58" s="1"/>
  <c r="CJ65" i="58"/>
  <c r="AA84" i="59"/>
  <c r="CU62" i="58"/>
  <c r="CI62" i="58"/>
  <c r="CI68" i="58" s="1"/>
  <c r="AA39" i="59"/>
  <c r="CS62" i="58"/>
  <c r="CS69" i="58" s="1"/>
  <c r="G86" i="59"/>
  <c r="F86" i="59"/>
  <c r="CN65" i="58"/>
  <c r="CJ62" i="58"/>
  <c r="CJ68" i="58" s="1"/>
  <c r="AJ85" i="59"/>
  <c r="E39" i="59"/>
  <c r="F39" i="59"/>
  <c r="E86" i="59"/>
  <c r="AB83" i="59"/>
  <c r="G39" i="59"/>
  <c r="DL66" i="58"/>
  <c r="N86" i="59"/>
  <c r="CE65" i="58"/>
  <c r="CM65" i="58"/>
  <c r="I39" i="59"/>
  <c r="CZ65" i="58"/>
  <c r="F83" i="59"/>
  <c r="Q86" i="59"/>
  <c r="AM85" i="59"/>
  <c r="K86" i="59"/>
  <c r="AB39" i="59"/>
  <c r="D39" i="59"/>
  <c r="S39" i="59"/>
  <c r="Q83" i="59"/>
  <c r="W39" i="59"/>
  <c r="Q39" i="59"/>
  <c r="AD39" i="59"/>
  <c r="L39" i="59"/>
  <c r="AL85" i="59"/>
  <c r="K84" i="59"/>
  <c r="AH86" i="59"/>
  <c r="K39" i="59"/>
  <c r="P39" i="59"/>
  <c r="CR62" i="58"/>
  <c r="CR69" i="58" s="1"/>
  <c r="P86" i="59"/>
  <c r="DG62" i="58"/>
  <c r="Q84" i="59"/>
  <c r="DC103" i="58"/>
  <c r="M75" i="59"/>
  <c r="M83" i="59" s="1"/>
  <c r="R1" i="59"/>
  <c r="DD62" i="58"/>
  <c r="DD69" i="58" s="1"/>
  <c r="CP62" i="58"/>
  <c r="CP68" i="58" s="1"/>
  <c r="AG39" i="59"/>
  <c r="CZ62" i="58"/>
  <c r="H39" i="59"/>
  <c r="CK62" i="58"/>
  <c r="CK68" i="58" s="1"/>
  <c r="DK66" i="58"/>
  <c r="DF65" i="58"/>
  <c r="CW65" i="58"/>
  <c r="CO62" i="58"/>
  <c r="CO68" i="58" s="1"/>
  <c r="AF39" i="59"/>
  <c r="CX62" i="58"/>
  <c r="AF86" i="59"/>
  <c r="I86" i="59"/>
  <c r="X84" i="59"/>
  <c r="T86" i="59"/>
  <c r="AD86" i="59"/>
  <c r="S86" i="59"/>
  <c r="CL62" i="58"/>
  <c r="CL68" i="58" s="1"/>
  <c r="DB62" i="58"/>
  <c r="CQ65" i="58"/>
  <c r="L86" i="59"/>
  <c r="AG86" i="59"/>
  <c r="O86" i="59"/>
  <c r="AA86" i="59"/>
  <c r="AJ84" i="59"/>
  <c r="D86" i="59"/>
  <c r="J86" i="59"/>
  <c r="E84" i="59"/>
  <c r="H86" i="59"/>
  <c r="Y86" i="59"/>
  <c r="AK85" i="59"/>
  <c r="AF84" i="59"/>
  <c r="W84" i="59"/>
  <c r="AK84" i="59"/>
  <c r="L83" i="59"/>
  <c r="Z86" i="59"/>
  <c r="T84" i="59"/>
  <c r="Y84" i="59"/>
  <c r="AE84" i="59"/>
  <c r="AE86" i="59"/>
  <c r="AC84" i="59"/>
  <c r="R84" i="59"/>
  <c r="D84" i="59"/>
  <c r="U84" i="59"/>
  <c r="CD62" i="58"/>
  <c r="CD68" i="58" s="1"/>
  <c r="CY65" i="58"/>
  <c r="X86" i="59"/>
  <c r="DC65" i="58"/>
  <c r="R86" i="59"/>
  <c r="CP65" i="58"/>
  <c r="DM64" i="58"/>
  <c r="DM62" i="58"/>
  <c r="T39" i="59"/>
  <c r="DD65" i="58"/>
  <c r="P84" i="59"/>
  <c r="AE39" i="59"/>
  <c r="Z39" i="59"/>
  <c r="CP64" i="58"/>
  <c r="DJ65" i="58"/>
  <c r="DM65" i="58"/>
  <c r="DJ64" i="58"/>
  <c r="DJ62" i="58"/>
  <c r="CF65" i="58"/>
  <c r="AM75" i="59"/>
  <c r="AM39" i="59"/>
  <c r="Z84" i="59"/>
  <c r="DL64" i="58"/>
  <c r="DL62" i="58"/>
  <c r="M84" i="59"/>
  <c r="CH65" i="58"/>
  <c r="AM84" i="59"/>
  <c r="F84" i="59"/>
  <c r="X39" i="59"/>
  <c r="AL75" i="59"/>
  <c r="AL39" i="59"/>
  <c r="V84" i="59"/>
  <c r="DK62" i="58"/>
  <c r="DK64" i="58"/>
  <c r="H84" i="59"/>
  <c r="DL65" i="58"/>
  <c r="DI64" i="58"/>
  <c r="DI62" i="58"/>
  <c r="S84" i="59"/>
  <c r="AJ75" i="59"/>
  <c r="AJ39" i="59"/>
  <c r="CL65" i="58"/>
  <c r="O39" i="59"/>
  <c r="Y39" i="59"/>
  <c r="M39" i="59"/>
  <c r="CV65" i="58"/>
  <c r="AL84" i="59"/>
  <c r="CS65" i="58"/>
  <c r="L84" i="59"/>
  <c r="R39" i="59"/>
  <c r="DB65" i="58"/>
  <c r="AK75" i="59"/>
  <c r="AK39" i="59"/>
  <c r="CI65" i="58"/>
  <c r="CG65" i="58"/>
  <c r="AG84" i="59"/>
  <c r="AI75" i="59"/>
  <c r="AI39" i="59"/>
  <c r="CO65" i="58"/>
  <c r="AE83" i="59"/>
  <c r="AB84" i="59"/>
  <c r="I84" i="59"/>
  <c r="G84" i="59"/>
  <c r="DI65" i="58"/>
  <c r="DG65" i="58"/>
  <c r="O84" i="59"/>
  <c r="CZ64" i="58"/>
  <c r="DI66" i="58"/>
  <c r="CR65" i="58"/>
  <c r="AC39" i="59"/>
  <c r="AC75" i="59"/>
  <c r="DE65" i="58"/>
  <c r="AI84" i="59"/>
  <c r="CT65" i="58"/>
  <c r="M24" i="3"/>
  <c r="X47" i="41"/>
  <c r="X37" i="41" s="1"/>
  <c r="X53" i="41" s="1"/>
  <c r="D17" i="35"/>
  <c r="V17" i="35" s="1"/>
  <c r="E17" i="35"/>
  <c r="H124" i="27"/>
  <c r="H31" i="27" s="1"/>
  <c r="K68" i="23"/>
  <c r="W68" i="23" s="1"/>
  <c r="K72" i="23"/>
  <c r="W72" i="23" s="1"/>
  <c r="CG26" i="23"/>
  <c r="DD68" i="58"/>
  <c r="DB68" i="58"/>
  <c r="DB69" i="58"/>
  <c r="CZ68" i="58"/>
  <c r="CZ69" i="58"/>
  <c r="DA68" i="58"/>
  <c r="DA69" i="58"/>
  <c r="K75" i="58"/>
  <c r="CV69" i="58"/>
  <c r="CV68" i="58"/>
  <c r="CY69" i="58"/>
  <c r="CY68" i="58"/>
  <c r="CU69" i="58"/>
  <c r="CU68" i="58"/>
  <c r="D116" i="5"/>
  <c r="K191" i="1"/>
  <c r="K221" i="1" s="1"/>
  <c r="C39" i="52"/>
  <c r="CD64" i="29"/>
  <c r="CH21" i="29"/>
  <c r="CH58" i="29" s="1"/>
  <c r="BO45" i="24"/>
  <c r="E149" i="30"/>
  <c r="CD63" i="29"/>
  <c r="CD65" i="29"/>
  <c r="CF62" i="23"/>
  <c r="CF64" i="23"/>
  <c r="CF68" i="23"/>
  <c r="CG29" i="23"/>
  <c r="CG39" i="23"/>
  <c r="CD65" i="24"/>
  <c r="CG33" i="23"/>
  <c r="CF63" i="23"/>
  <c r="CG37" i="23"/>
  <c r="H140" i="27" s="1"/>
  <c r="CG44" i="23"/>
  <c r="H147" i="27" s="1"/>
  <c r="E127" i="30"/>
  <c r="E112" i="30" s="1"/>
  <c r="CG27" i="23"/>
  <c r="CG32" i="23"/>
  <c r="CG34" i="23"/>
  <c r="E135" i="26"/>
  <c r="E117" i="26" s="1"/>
  <c r="E146" i="26"/>
  <c r="CG38" i="23"/>
  <c r="CG36" i="23"/>
  <c r="H139" i="27" s="1"/>
  <c r="CG25" i="23"/>
  <c r="F145" i="26"/>
  <c r="BN65" i="24"/>
  <c r="E126" i="30"/>
  <c r="E111" i="30" s="1"/>
  <c r="BN61" i="29"/>
  <c r="CE46" i="29"/>
  <c r="CF27" i="29"/>
  <c r="G130" i="30" s="1"/>
  <c r="CF37" i="29"/>
  <c r="G140" i="30" s="1"/>
  <c r="BN62" i="24"/>
  <c r="F131" i="27"/>
  <c r="F115" i="27" s="1"/>
  <c r="CF37" i="1"/>
  <c r="G141" i="5" s="1"/>
  <c r="BN61" i="1"/>
  <c r="CE65" i="1"/>
  <c r="BN64" i="1"/>
  <c r="E145" i="26"/>
  <c r="E143" i="26"/>
  <c r="E119" i="26" s="1"/>
  <c r="CE61" i="1"/>
  <c r="F146" i="5"/>
  <c r="F129" i="5"/>
  <c r="F115" i="5" s="1"/>
  <c r="CF33" i="24"/>
  <c r="G136" i="26" s="1"/>
  <c r="BN63" i="24"/>
  <c r="BN61" i="24"/>
  <c r="BN64" i="24"/>
  <c r="BN68" i="24"/>
  <c r="BO68" i="23"/>
  <c r="CG43" i="23"/>
  <c r="BO66" i="23"/>
  <c r="CG42" i="23"/>
  <c r="CG66" i="23" s="1"/>
  <c r="BO67" i="23"/>
  <c r="CG46" i="23"/>
  <c r="CG67" i="23" s="1"/>
  <c r="BO65" i="23"/>
  <c r="CG40" i="23"/>
  <c r="CG65" i="23" s="1"/>
  <c r="BO61" i="23"/>
  <c r="BO64" i="23"/>
  <c r="BO63" i="23"/>
  <c r="BO62" i="23"/>
  <c r="F144" i="5"/>
  <c r="F120" i="5" s="1"/>
  <c r="BN63" i="1"/>
  <c r="CE62" i="1"/>
  <c r="CE64" i="1"/>
  <c r="BN68" i="1"/>
  <c r="CF27" i="1"/>
  <c r="G131" i="5" s="1"/>
  <c r="BN62" i="1"/>
  <c r="BN65" i="1"/>
  <c r="CE68" i="24"/>
  <c r="BM68" i="29"/>
  <c r="BN68" i="29"/>
  <c r="CE23" i="29"/>
  <c r="CE59" i="29" s="1"/>
  <c r="BM59" i="29"/>
  <c r="CE40" i="29"/>
  <c r="F143" i="30" s="1"/>
  <c r="BM65" i="29"/>
  <c r="CE37" i="29"/>
  <c r="F140" i="30" s="1"/>
  <c r="BM64" i="29"/>
  <c r="BN65" i="29"/>
  <c r="BN64" i="29"/>
  <c r="CE27" i="29"/>
  <c r="BM62" i="29"/>
  <c r="CE25" i="29"/>
  <c r="BM61" i="29"/>
  <c r="CE24" i="29"/>
  <c r="CE60" i="29" s="1"/>
  <c r="BM60" i="29"/>
  <c r="BN62" i="29"/>
  <c r="BM63" i="29"/>
  <c r="CE42" i="29"/>
  <c r="BM66" i="29"/>
  <c r="BN63" i="29"/>
  <c r="N15" i="3"/>
  <c r="AC15" i="3" s="1"/>
  <c r="F135" i="26"/>
  <c r="F117" i="26" s="1"/>
  <c r="CE63" i="24"/>
  <c r="F143" i="26"/>
  <c r="F119" i="26" s="1"/>
  <c r="CE65" i="24"/>
  <c r="CE63" i="1"/>
  <c r="CE61" i="24"/>
  <c r="CE62" i="24"/>
  <c r="CE64" i="24"/>
  <c r="CE68" i="1"/>
  <c r="C91" i="3"/>
  <c r="E91" i="3" s="1"/>
  <c r="L112" i="3"/>
  <c r="CF26" i="1"/>
  <c r="G130" i="5" s="1"/>
  <c r="F136" i="5"/>
  <c r="CF29" i="1"/>
  <c r="G133" i="5" s="1"/>
  <c r="CF28" i="1"/>
  <c r="CF24" i="29"/>
  <c r="CF60" i="29" s="1"/>
  <c r="CF34" i="29"/>
  <c r="G137" i="30" s="1"/>
  <c r="CF34" i="1"/>
  <c r="G138" i="5" s="1"/>
  <c r="CF46" i="1"/>
  <c r="CF67" i="1" s="1"/>
  <c r="CF40" i="24"/>
  <c r="G143" i="26" s="1"/>
  <c r="G119" i="26" s="1"/>
  <c r="CF28" i="24"/>
  <c r="G131" i="26" s="1"/>
  <c r="CF45" i="29"/>
  <c r="G148" i="30" s="1"/>
  <c r="CF43" i="1"/>
  <c r="CF32" i="24"/>
  <c r="G135" i="26" s="1"/>
  <c r="CF25" i="24"/>
  <c r="CF23" i="29"/>
  <c r="CF59" i="29" s="1"/>
  <c r="AG21" i="1"/>
  <c r="AF35" i="1"/>
  <c r="AF38" i="1"/>
  <c r="AF32" i="1"/>
  <c r="AF43" i="1"/>
  <c r="AF46" i="1"/>
  <c r="AF25" i="1"/>
  <c r="AF28" i="1"/>
  <c r="AF33" i="1"/>
  <c r="AF36" i="1"/>
  <c r="AF39" i="1"/>
  <c r="AF41" i="1"/>
  <c r="AF44" i="1"/>
  <c r="AF26" i="1"/>
  <c r="AF29" i="1"/>
  <c r="AF34" i="1"/>
  <c r="AF37" i="1"/>
  <c r="AF23" i="1"/>
  <c r="AF42" i="1"/>
  <c r="AF45" i="1"/>
  <c r="AF24" i="1"/>
  <c r="AF27" i="1"/>
  <c r="AF40" i="1"/>
  <c r="CF46" i="24"/>
  <c r="CF67" i="24" s="1"/>
  <c r="CE43" i="29"/>
  <c r="F146" i="30" s="1"/>
  <c r="CF40" i="29"/>
  <c r="G143" i="30" s="1"/>
  <c r="CF44" i="29"/>
  <c r="G147" i="30" s="1"/>
  <c r="CF44" i="1"/>
  <c r="G148" i="5" s="1"/>
  <c r="CF37" i="24"/>
  <c r="G140" i="26" s="1"/>
  <c r="CF43" i="24"/>
  <c r="CE26" i="29"/>
  <c r="F129" i="30" s="1"/>
  <c r="CF29" i="29"/>
  <c r="CF41" i="29"/>
  <c r="G144" i="30" s="1"/>
  <c r="CF40" i="1"/>
  <c r="CF41" i="1"/>
  <c r="G145" i="5" s="1"/>
  <c r="CF29" i="24"/>
  <c r="G132" i="26" s="1"/>
  <c r="CF38" i="24"/>
  <c r="G141" i="26" s="1"/>
  <c r="AF34" i="24"/>
  <c r="AF37" i="24"/>
  <c r="AF23" i="24"/>
  <c r="AF42" i="24"/>
  <c r="AF45" i="24"/>
  <c r="CG45" i="24" s="1"/>
  <c r="AF24" i="24"/>
  <c r="AF27" i="24"/>
  <c r="CG27" i="24" s="1"/>
  <c r="AF35" i="24"/>
  <c r="AF38" i="24"/>
  <c r="AF32" i="24"/>
  <c r="AF41" i="24"/>
  <c r="AF44" i="24"/>
  <c r="AF26" i="24"/>
  <c r="AF29" i="24"/>
  <c r="AF36" i="24"/>
  <c r="AF46" i="24"/>
  <c r="AF39" i="24"/>
  <c r="AF25" i="24"/>
  <c r="AF33" i="24"/>
  <c r="AF28" i="24"/>
  <c r="AF43" i="24"/>
  <c r="AF40" i="24"/>
  <c r="CF26" i="29"/>
  <c r="G129" i="30" s="1"/>
  <c r="CF39" i="29"/>
  <c r="G142" i="30" s="1"/>
  <c r="CF38" i="1"/>
  <c r="G142" i="5" s="1"/>
  <c r="CF39" i="1"/>
  <c r="G143" i="5" s="1"/>
  <c r="CF44" i="24"/>
  <c r="G147" i="26" s="1"/>
  <c r="CF35" i="24"/>
  <c r="G138" i="26" s="1"/>
  <c r="AG41" i="23"/>
  <c r="AG44" i="23"/>
  <c r="AG26" i="23"/>
  <c r="AG29" i="23"/>
  <c r="AG35" i="23"/>
  <c r="AG38" i="23"/>
  <c r="AG23" i="23"/>
  <c r="AG33" i="23"/>
  <c r="AG36" i="23"/>
  <c r="AG39" i="23"/>
  <c r="AG32" i="23"/>
  <c r="AG40" i="23"/>
  <c r="AG43" i="23"/>
  <c r="AG46" i="23"/>
  <c r="AG25" i="23"/>
  <c r="AG28" i="23"/>
  <c r="AG37" i="23"/>
  <c r="AG42" i="23"/>
  <c r="AG27" i="23"/>
  <c r="AG45" i="23"/>
  <c r="AG34" i="23"/>
  <c r="AG24" i="23"/>
  <c r="CF32" i="29"/>
  <c r="G135" i="30" s="1"/>
  <c r="CF36" i="29"/>
  <c r="G139" i="30" s="1"/>
  <c r="CF35" i="1"/>
  <c r="G139" i="5" s="1"/>
  <c r="CF36" i="1"/>
  <c r="G140" i="5" s="1"/>
  <c r="CF34" i="24"/>
  <c r="G137" i="26" s="1"/>
  <c r="CE38" i="29"/>
  <c r="F141" i="30" s="1"/>
  <c r="CF28" i="29"/>
  <c r="G131" i="30" s="1"/>
  <c r="CF33" i="29"/>
  <c r="G136" i="30" s="1"/>
  <c r="CF33" i="1"/>
  <c r="CF26" i="24"/>
  <c r="G129" i="26" s="1"/>
  <c r="F131" i="30"/>
  <c r="CE44" i="29"/>
  <c r="F147" i="30" s="1"/>
  <c r="CF25" i="29"/>
  <c r="G128" i="30" s="1"/>
  <c r="CF43" i="29"/>
  <c r="G146" i="30" s="1"/>
  <c r="CF41" i="24"/>
  <c r="G144" i="26" s="1"/>
  <c r="CF45" i="24"/>
  <c r="G148" i="26" s="1"/>
  <c r="CE41" i="29"/>
  <c r="F144" i="30" s="1"/>
  <c r="CE29" i="29"/>
  <c r="F132" i="30" s="1"/>
  <c r="CF46" i="29"/>
  <c r="CF38" i="29"/>
  <c r="G141" i="30" s="1"/>
  <c r="CF45" i="1"/>
  <c r="G149" i="5" s="1"/>
  <c r="CF32" i="1"/>
  <c r="G136" i="5" s="1"/>
  <c r="CF39" i="24"/>
  <c r="G142" i="26" s="1"/>
  <c r="CF42" i="24"/>
  <c r="CF66" i="24" s="1"/>
  <c r="CE36" i="29"/>
  <c r="F139" i="30" s="1"/>
  <c r="AF42" i="29"/>
  <c r="AF35" i="29"/>
  <c r="AF38" i="29"/>
  <c r="AF43" i="29"/>
  <c r="AF33" i="29"/>
  <c r="AF36" i="29"/>
  <c r="AF39" i="29"/>
  <c r="AF41" i="29"/>
  <c r="AF44" i="29"/>
  <c r="AF34" i="29"/>
  <c r="AF37" i="29"/>
  <c r="AF26" i="29"/>
  <c r="AF29" i="29"/>
  <c r="AF23" i="29"/>
  <c r="AF45" i="29"/>
  <c r="AF24" i="29"/>
  <c r="AF27" i="29"/>
  <c r="AF32" i="29"/>
  <c r="AF25" i="29"/>
  <c r="AF46" i="29"/>
  <c r="AF28" i="29"/>
  <c r="AF40" i="29"/>
  <c r="CF25" i="1"/>
  <c r="G129" i="5" s="1"/>
  <c r="CF42" i="29"/>
  <c r="G145" i="30" s="1"/>
  <c r="CF35" i="29"/>
  <c r="G138" i="30" s="1"/>
  <c r="CF42" i="1"/>
  <c r="CF66" i="1" s="1"/>
  <c r="CF36" i="24"/>
  <c r="G139" i="26" s="1"/>
  <c r="CE34" i="29"/>
  <c r="F137" i="30" s="1"/>
  <c r="F149" i="26"/>
  <c r="BO44" i="24"/>
  <c r="L9" i="24"/>
  <c r="BP9" i="24" s="1"/>
  <c r="BP10" i="24" s="1"/>
  <c r="BP36" i="24" s="1"/>
  <c r="BO40" i="24"/>
  <c r="CG9" i="24"/>
  <c r="CG10" i="24" s="1"/>
  <c r="BO26" i="24"/>
  <c r="BO42" i="24"/>
  <c r="BO66" i="24" s="1"/>
  <c r="BO25" i="24"/>
  <c r="BO46" i="24"/>
  <c r="BO67" i="24" s="1"/>
  <c r="BO36" i="24"/>
  <c r="BO32" i="24"/>
  <c r="BO33" i="24"/>
  <c r="BO39" i="24"/>
  <c r="BO34" i="24"/>
  <c r="BO41" i="24"/>
  <c r="BO38" i="24"/>
  <c r="BO35" i="24"/>
  <c r="BO28" i="24"/>
  <c r="BO37" i="24"/>
  <c r="BO29" i="24"/>
  <c r="BO43" i="24"/>
  <c r="F147" i="26"/>
  <c r="BN48" i="29"/>
  <c r="G57" i="30" s="1"/>
  <c r="BM48" i="29"/>
  <c r="F57" i="30" s="1"/>
  <c r="CD48" i="29"/>
  <c r="F144" i="26"/>
  <c r="F137" i="5"/>
  <c r="E140" i="26"/>
  <c r="E118" i="26" s="1"/>
  <c r="L9" i="29"/>
  <c r="BP9" i="29" s="1"/>
  <c r="BP10" i="29" s="1"/>
  <c r="BP28" i="29" s="1"/>
  <c r="K11" i="29"/>
  <c r="CG9" i="29"/>
  <c r="CG10" i="29" s="1"/>
  <c r="BO37" i="29"/>
  <c r="BO39" i="29"/>
  <c r="BO36" i="29"/>
  <c r="BO40" i="29"/>
  <c r="BO65" i="29" s="1"/>
  <c r="BO34" i="29"/>
  <c r="BO23" i="29"/>
  <c r="BO59" i="29" s="1"/>
  <c r="BO29" i="29"/>
  <c r="BO26" i="29"/>
  <c r="BO33" i="29"/>
  <c r="BO38" i="29"/>
  <c r="BO32" i="29"/>
  <c r="BO27" i="29"/>
  <c r="BO28" i="29"/>
  <c r="BO35" i="29"/>
  <c r="BO24" i="29"/>
  <c r="BO60" i="29" s="1"/>
  <c r="BO25" i="29"/>
  <c r="BO45" i="29"/>
  <c r="BO46" i="29"/>
  <c r="BO67" i="29" s="1"/>
  <c r="BO42" i="29"/>
  <c r="BO66" i="29" s="1"/>
  <c r="BO43" i="29"/>
  <c r="E149" i="26"/>
  <c r="F150" i="5"/>
  <c r="BO44" i="29"/>
  <c r="L21" i="23"/>
  <c r="L77" i="23" s="1"/>
  <c r="K47" i="23"/>
  <c r="K101" i="23" s="1"/>
  <c r="K177" i="23"/>
  <c r="G41" i="26"/>
  <c r="G100" i="26"/>
  <c r="G41" i="30"/>
  <c r="G100" i="30"/>
  <c r="H100" i="27"/>
  <c r="H41" i="27"/>
  <c r="G100" i="27"/>
  <c r="G41" i="27"/>
  <c r="L21" i="1"/>
  <c r="L68" i="1" s="1"/>
  <c r="W68" i="1" s="1"/>
  <c r="H125" i="5"/>
  <c r="K54" i="1"/>
  <c r="BP21" i="1"/>
  <c r="BO58" i="1"/>
  <c r="CH21" i="1"/>
  <c r="DS21" i="1" s="1"/>
  <c r="CG58" i="1"/>
  <c r="C62" i="3"/>
  <c r="AD62" i="3"/>
  <c r="B63" i="3"/>
  <c r="AE62" i="3"/>
  <c r="AC62" i="3"/>
  <c r="E116" i="30"/>
  <c r="D134" i="30"/>
  <c r="D115" i="30" s="1"/>
  <c r="D118" i="30"/>
  <c r="E114" i="27"/>
  <c r="E118" i="5"/>
  <c r="D125" i="30"/>
  <c r="G6" i="27"/>
  <c r="G18" i="27" s="1"/>
  <c r="E136" i="27"/>
  <c r="E117" i="27" s="1"/>
  <c r="D140" i="27"/>
  <c r="D118" i="27" s="1"/>
  <c r="D111" i="30"/>
  <c r="E128" i="26"/>
  <c r="E114" i="26" s="1"/>
  <c r="D151" i="30"/>
  <c r="E143" i="30"/>
  <c r="E118" i="30" s="1"/>
  <c r="E145" i="30"/>
  <c r="E130" i="30"/>
  <c r="E114" i="30" s="1"/>
  <c r="D130" i="27"/>
  <c r="D115" i="27" s="1"/>
  <c r="D149" i="26"/>
  <c r="D134" i="26" s="1"/>
  <c r="E140" i="30"/>
  <c r="E117" i="30" s="1"/>
  <c r="E128" i="30"/>
  <c r="E113" i="30" s="1"/>
  <c r="E130" i="26"/>
  <c r="E115" i="26" s="1"/>
  <c r="D144" i="27"/>
  <c r="F128" i="26"/>
  <c r="F114" i="26" s="1"/>
  <c r="F130" i="26"/>
  <c r="F115" i="26" s="1"/>
  <c r="F18" i="27"/>
  <c r="F56" i="27"/>
  <c r="AS10" i="3"/>
  <c r="K88" i="23"/>
  <c r="K86" i="23"/>
  <c r="K78" i="23"/>
  <c r="K90" i="23"/>
  <c r="K94" i="23"/>
  <c r="K92" i="23"/>
  <c r="K80" i="23"/>
  <c r="K96" i="23"/>
  <c r="K82" i="23"/>
  <c r="K100" i="23"/>
  <c r="K98" i="23"/>
  <c r="K87" i="23"/>
  <c r="K77" i="23"/>
  <c r="K91" i="23"/>
  <c r="K89" i="23"/>
  <c r="K79" i="23"/>
  <c r="K93" i="23"/>
  <c r="K81" i="23"/>
  <c r="K97" i="23"/>
  <c r="K95" i="23"/>
  <c r="K99" i="23"/>
  <c r="K83" i="23"/>
  <c r="J101" i="23"/>
  <c r="G146" i="27"/>
  <c r="K95" i="24"/>
  <c r="K89" i="24"/>
  <c r="K99" i="24"/>
  <c r="K97" i="24"/>
  <c r="K93" i="24"/>
  <c r="K91" i="24"/>
  <c r="K87" i="24"/>
  <c r="K79" i="24"/>
  <c r="K77" i="24"/>
  <c r="K81" i="24"/>
  <c r="K83" i="24"/>
  <c r="K98" i="24"/>
  <c r="K92" i="24"/>
  <c r="K86" i="24"/>
  <c r="K78" i="24"/>
  <c r="K100" i="24"/>
  <c r="K96" i="24"/>
  <c r="K94" i="24"/>
  <c r="K90" i="24"/>
  <c r="K88" i="24"/>
  <c r="K80" i="24"/>
  <c r="K82" i="24"/>
  <c r="J101" i="24"/>
  <c r="K88" i="29"/>
  <c r="K86" i="29"/>
  <c r="K83" i="29"/>
  <c r="K78" i="29"/>
  <c r="K99" i="29"/>
  <c r="K97" i="29"/>
  <c r="K95" i="29"/>
  <c r="K93" i="29"/>
  <c r="K80" i="29"/>
  <c r="K91" i="29"/>
  <c r="K89" i="29"/>
  <c r="K82" i="29"/>
  <c r="K47" i="29"/>
  <c r="K101" i="29" s="1"/>
  <c r="K87" i="29"/>
  <c r="K77" i="29"/>
  <c r="K100" i="29"/>
  <c r="K98" i="29"/>
  <c r="K96" i="29"/>
  <c r="K79" i="29"/>
  <c r="K94" i="29"/>
  <c r="K92" i="29"/>
  <c r="K81" i="29"/>
  <c r="K90" i="29"/>
  <c r="K53" i="29"/>
  <c r="W53" i="29" s="1"/>
  <c r="J101" i="1"/>
  <c r="G140" i="27"/>
  <c r="BP38" i="24"/>
  <c r="G135" i="27"/>
  <c r="G138" i="27"/>
  <c r="G145" i="27"/>
  <c r="G143" i="27"/>
  <c r="G119" i="27" s="1"/>
  <c r="G142" i="27"/>
  <c r="G137" i="27"/>
  <c r="G148" i="27"/>
  <c r="G136" i="27"/>
  <c r="G110" i="27"/>
  <c r="G139" i="27"/>
  <c r="G149" i="27"/>
  <c r="G141" i="27"/>
  <c r="G147" i="27"/>
  <c r="DZ24" i="24"/>
  <c r="EA24" i="24" s="1"/>
  <c r="DZ23" i="1"/>
  <c r="DZ24" i="1"/>
  <c r="G144" i="27"/>
  <c r="F118" i="27"/>
  <c r="BP29" i="23"/>
  <c r="BP28" i="23"/>
  <c r="BP27" i="23"/>
  <c r="BP25" i="23"/>
  <c r="BP26" i="23"/>
  <c r="BP38" i="23"/>
  <c r="BP45" i="23"/>
  <c r="BP36" i="23"/>
  <c r="BP39" i="23"/>
  <c r="BP37" i="23"/>
  <c r="BP42" i="23"/>
  <c r="BP40" i="23"/>
  <c r="BP44" i="23"/>
  <c r="BP43" i="23"/>
  <c r="BP41" i="23"/>
  <c r="BP32" i="23"/>
  <c r="BP33" i="23"/>
  <c r="BP35" i="23"/>
  <c r="BP46" i="23"/>
  <c r="BP34" i="23"/>
  <c r="H144" i="27"/>
  <c r="H138" i="27"/>
  <c r="BO28" i="1"/>
  <c r="BO25" i="1"/>
  <c r="BO26" i="1"/>
  <c r="BO29" i="1"/>
  <c r="BO27" i="1"/>
  <c r="BO33" i="1"/>
  <c r="BO36" i="1"/>
  <c r="BO39" i="1"/>
  <c r="BO42" i="1"/>
  <c r="BO66" i="1" s="1"/>
  <c r="BO34" i="1"/>
  <c r="BO37" i="1"/>
  <c r="BO40" i="1"/>
  <c r="BO43" i="1"/>
  <c r="BO46" i="1"/>
  <c r="BO67" i="1" s="1"/>
  <c r="BO32" i="1"/>
  <c r="BO35" i="1"/>
  <c r="BO38" i="1"/>
  <c r="BO41" i="1"/>
  <c r="BO44" i="1"/>
  <c r="BO45" i="1"/>
  <c r="E115" i="27"/>
  <c r="F114" i="27"/>
  <c r="G131" i="27"/>
  <c r="G130" i="26"/>
  <c r="G132" i="27"/>
  <c r="G130" i="27"/>
  <c r="G128" i="27"/>
  <c r="G129" i="27"/>
  <c r="H17" i="35"/>
  <c r="Z17" i="35" s="1"/>
  <c r="I17" i="35"/>
  <c r="AA17" i="35" s="1"/>
  <c r="AF34" i="41"/>
  <c r="E115" i="5"/>
  <c r="M17" i="35"/>
  <c r="Y47" i="41" s="1"/>
  <c r="L17" i="35"/>
  <c r="AD17" i="35" s="1"/>
  <c r="AE16" i="35"/>
  <c r="X40" i="41"/>
  <c r="X56" i="41" s="1"/>
  <c r="X48" i="41"/>
  <c r="U16" i="35"/>
  <c r="E116" i="5"/>
  <c r="B18" i="35"/>
  <c r="T17" i="35"/>
  <c r="AF17" i="35"/>
  <c r="C17" i="35" s="1"/>
  <c r="Y46" i="41" s="1"/>
  <c r="G17" i="35"/>
  <c r="Y17" i="35" s="1"/>
  <c r="W17" i="35"/>
  <c r="F17" i="35"/>
  <c r="X17" i="35" s="1"/>
  <c r="EA23" i="23"/>
  <c r="F117" i="27"/>
  <c r="F134" i="27"/>
  <c r="F116" i="27" s="1"/>
  <c r="DZ23" i="24"/>
  <c r="DZ24" i="23"/>
  <c r="C98" i="3"/>
  <c r="C95" i="3"/>
  <c r="C103" i="3"/>
  <c r="C96" i="3"/>
  <c r="C97" i="3"/>
  <c r="C105" i="3"/>
  <c r="C102" i="3"/>
  <c r="C99" i="3"/>
  <c r="C104" i="3"/>
  <c r="C100" i="3"/>
  <c r="C94" i="3"/>
  <c r="C101" i="3"/>
  <c r="G92" i="3"/>
  <c r="D132" i="3"/>
  <c r="D133" i="3"/>
  <c r="G93" i="3"/>
  <c r="D131" i="3"/>
  <c r="J146" i="3"/>
  <c r="D127" i="3"/>
  <c r="D146" i="3"/>
  <c r="H127" i="3"/>
  <c r="R127" i="3"/>
  <c r="L146" i="3" s="1"/>
  <c r="J127" i="3"/>
  <c r="Z127" i="3"/>
  <c r="S127" i="3"/>
  <c r="M146" i="3" s="1"/>
  <c r="J142" i="3"/>
  <c r="J123" i="3"/>
  <c r="D142" i="3"/>
  <c r="R123" i="3"/>
  <c r="L142" i="3" s="1"/>
  <c r="H123" i="3"/>
  <c r="S123" i="3"/>
  <c r="M142" i="3" s="1"/>
  <c r="Z123" i="3"/>
  <c r="D123" i="3"/>
  <c r="J114" i="3"/>
  <c r="Z114" i="3"/>
  <c r="J133" i="3"/>
  <c r="H114" i="3"/>
  <c r="R114" i="3"/>
  <c r="L133" i="3" s="1"/>
  <c r="S114" i="3"/>
  <c r="M133" i="3" s="1"/>
  <c r="D114" i="3"/>
  <c r="Z120" i="3"/>
  <c r="H120" i="3"/>
  <c r="J139" i="3"/>
  <c r="J120" i="3"/>
  <c r="D120" i="3"/>
  <c r="S120" i="3"/>
  <c r="M139" i="3" s="1"/>
  <c r="D139" i="3"/>
  <c r="R120" i="3"/>
  <c r="L139" i="3" s="1"/>
  <c r="J144" i="3"/>
  <c r="J125" i="3"/>
  <c r="S125" i="3"/>
  <c r="M144" i="3" s="1"/>
  <c r="Z125" i="3"/>
  <c r="D144" i="3"/>
  <c r="H125" i="3"/>
  <c r="D125" i="3"/>
  <c r="R125" i="3"/>
  <c r="L144" i="3" s="1"/>
  <c r="D140" i="3"/>
  <c r="S121" i="3"/>
  <c r="M140" i="3" s="1"/>
  <c r="Z121" i="3"/>
  <c r="R121" i="3"/>
  <c r="L140" i="3" s="1"/>
  <c r="J121" i="3"/>
  <c r="H121" i="3"/>
  <c r="J140" i="3"/>
  <c r="D121" i="3"/>
  <c r="J134" i="3"/>
  <c r="D115" i="3"/>
  <c r="D134" i="3"/>
  <c r="S115" i="3"/>
  <c r="M134" i="3" s="1"/>
  <c r="Z115" i="3"/>
  <c r="R115" i="3"/>
  <c r="L134" i="3" s="1"/>
  <c r="J115" i="3"/>
  <c r="H115" i="3"/>
  <c r="Z122" i="3"/>
  <c r="R122" i="3"/>
  <c r="L141" i="3" s="1"/>
  <c r="D122" i="3"/>
  <c r="H122" i="3"/>
  <c r="D141" i="3"/>
  <c r="J122" i="3"/>
  <c r="J141" i="3"/>
  <c r="S122" i="3"/>
  <c r="M141" i="3" s="1"/>
  <c r="Z119" i="3"/>
  <c r="D119" i="3"/>
  <c r="H119" i="3"/>
  <c r="J138" i="3"/>
  <c r="J119" i="3"/>
  <c r="D138" i="3"/>
  <c r="R119" i="3"/>
  <c r="L138" i="3" s="1"/>
  <c r="S119" i="3"/>
  <c r="M138" i="3" s="1"/>
  <c r="Z112" i="3"/>
  <c r="H112" i="3"/>
  <c r="R112" i="3"/>
  <c r="L131" i="3" s="1"/>
  <c r="S112" i="3"/>
  <c r="M131" i="3" s="1"/>
  <c r="J112" i="3"/>
  <c r="J131" i="3"/>
  <c r="D112" i="3"/>
  <c r="Z116" i="3"/>
  <c r="H116" i="3"/>
  <c r="S116" i="3"/>
  <c r="M135" i="3" s="1"/>
  <c r="D116" i="3"/>
  <c r="J135" i="3"/>
  <c r="R116" i="3"/>
  <c r="L135" i="3" s="1"/>
  <c r="D135" i="3"/>
  <c r="J116" i="3"/>
  <c r="J143" i="3"/>
  <c r="S124" i="3"/>
  <c r="M143" i="3" s="1"/>
  <c r="H124" i="3"/>
  <c r="D143" i="3"/>
  <c r="Z124" i="3"/>
  <c r="R124" i="3"/>
  <c r="L143" i="3" s="1"/>
  <c r="J124" i="3"/>
  <c r="D124" i="3"/>
  <c r="J136" i="3"/>
  <c r="D117" i="3"/>
  <c r="D136" i="3"/>
  <c r="S117" i="3"/>
  <c r="M136" i="3" s="1"/>
  <c r="Z117" i="3"/>
  <c r="R117" i="3"/>
  <c r="L136" i="3" s="1"/>
  <c r="J117" i="3"/>
  <c r="H117" i="3"/>
  <c r="Z113" i="3"/>
  <c r="S113" i="3"/>
  <c r="M132" i="3" s="1"/>
  <c r="H113" i="3"/>
  <c r="D113" i="3"/>
  <c r="J113" i="3"/>
  <c r="J132" i="3"/>
  <c r="R113" i="3"/>
  <c r="L132" i="3" s="1"/>
  <c r="Z118" i="3"/>
  <c r="D118" i="3"/>
  <c r="H118" i="3"/>
  <c r="J137" i="3"/>
  <c r="S118" i="3"/>
  <c r="M137" i="3" s="1"/>
  <c r="D137" i="3"/>
  <c r="J118" i="3"/>
  <c r="R118" i="3"/>
  <c r="L137" i="3" s="1"/>
  <c r="J145" i="3"/>
  <c r="R126" i="3"/>
  <c r="L145" i="3" s="1"/>
  <c r="J126" i="3"/>
  <c r="D126" i="3"/>
  <c r="S126" i="3"/>
  <c r="M145" i="3" s="1"/>
  <c r="Z126" i="3"/>
  <c r="D145" i="3"/>
  <c r="H126" i="3"/>
  <c r="F119" i="5"/>
  <c r="F118" i="26"/>
  <c r="G111" i="5"/>
  <c r="G6" i="5"/>
  <c r="G56" i="5" s="1"/>
  <c r="F18" i="5"/>
  <c r="H148" i="27"/>
  <c r="AB14" i="3"/>
  <c r="F18" i="26"/>
  <c r="H124" i="30"/>
  <c r="H31" i="30" s="1"/>
  <c r="K177" i="29"/>
  <c r="L21" i="29"/>
  <c r="AG21" i="24"/>
  <c r="AG21" i="29"/>
  <c r="K97" i="1"/>
  <c r="K93" i="1"/>
  <c r="K89" i="1"/>
  <c r="K83" i="1"/>
  <c r="K79" i="1"/>
  <c r="K100" i="1"/>
  <c r="K96" i="1"/>
  <c r="K92" i="1"/>
  <c r="K88" i="1"/>
  <c r="K82" i="1"/>
  <c r="K78" i="1"/>
  <c r="K47" i="1"/>
  <c r="K90" i="1"/>
  <c r="K86" i="1"/>
  <c r="K80" i="1"/>
  <c r="K99" i="1"/>
  <c r="K95" i="1"/>
  <c r="K91" i="1"/>
  <c r="K87" i="1"/>
  <c r="K81" i="1"/>
  <c r="K77" i="1"/>
  <c r="K177" i="1"/>
  <c r="K98" i="1"/>
  <c r="K94" i="1"/>
  <c r="F18" i="30"/>
  <c r="K11" i="1"/>
  <c r="CG9" i="1"/>
  <c r="CG10" i="1" s="1"/>
  <c r="L11" i="23"/>
  <c r="M9" i="23"/>
  <c r="BQ9" i="23" s="1"/>
  <c r="BQ10" i="23" s="1"/>
  <c r="CH9" i="23"/>
  <c r="CH10" i="23" s="1"/>
  <c r="H124" i="26"/>
  <c r="H31" i="26" s="1"/>
  <c r="K177" i="24"/>
  <c r="K47" i="24"/>
  <c r="L21" i="24"/>
  <c r="G110" i="26"/>
  <c r="G6" i="26"/>
  <c r="G56" i="26" s="1"/>
  <c r="BQ21" i="29"/>
  <c r="BQ58" i="29" s="1"/>
  <c r="AH21" i="23"/>
  <c r="DS21" i="24"/>
  <c r="CI21" i="29"/>
  <c r="CI58" i="29" s="1"/>
  <c r="K159" i="3"/>
  <c r="K160" i="3" s="1"/>
  <c r="F101" i="5"/>
  <c r="F116" i="5"/>
  <c r="DA31" i="1"/>
  <c r="H110" i="27"/>
  <c r="H6" i="27"/>
  <c r="G109" i="30"/>
  <c r="G6" i="30"/>
  <c r="G56" i="30" s="1"/>
  <c r="L75" i="58" a="1"/>
  <c r="H136" i="27" l="1"/>
  <c r="H142" i="27"/>
  <c r="H135" i="27"/>
  <c r="W44" i="41"/>
  <c r="CH29" i="23"/>
  <c r="CH27" i="23"/>
  <c r="CH62" i="23" s="1"/>
  <c r="BP35" i="24"/>
  <c r="X36" i="41"/>
  <c r="X52" i="41" s="1"/>
  <c r="X43" i="41"/>
  <c r="X59" i="41" s="1"/>
  <c r="X39" i="41"/>
  <c r="X55" i="41" s="1"/>
  <c r="X35" i="41"/>
  <c r="X51" i="41" s="1"/>
  <c r="X38" i="41"/>
  <c r="X54" i="41" s="1"/>
  <c r="X42" i="41"/>
  <c r="X58" i="41" s="1"/>
  <c r="X41" i="41"/>
  <c r="X57" i="41" s="1"/>
  <c r="AA68" i="1"/>
  <c r="O140" i="1" s="1"/>
  <c r="M140" i="1" s="1"/>
  <c r="Y68" i="1"/>
  <c r="D110" i="30"/>
  <c r="M86" i="59"/>
  <c r="AC86" i="59"/>
  <c r="AC83" i="59"/>
  <c r="AI83" i="59"/>
  <c r="AI86" i="59"/>
  <c r="AM86" i="59"/>
  <c r="AM83" i="59"/>
  <c r="AL86" i="59"/>
  <c r="AL83" i="59"/>
  <c r="AK83" i="59"/>
  <c r="AK86" i="59"/>
  <c r="AJ86" i="59"/>
  <c r="AJ83" i="59"/>
  <c r="CG61" i="23"/>
  <c r="M25" i="3"/>
  <c r="E18" i="35"/>
  <c r="W18" i="35" s="1"/>
  <c r="D18" i="35"/>
  <c r="V18" i="35" s="1"/>
  <c r="CH41" i="23"/>
  <c r="CH43" i="23"/>
  <c r="CH28" i="23"/>
  <c r="AA72" i="23"/>
  <c r="C159" i="23" s="1"/>
  <c r="B159" i="23" s="1"/>
  <c r="Y72" i="23"/>
  <c r="AA68" i="23"/>
  <c r="O140" i="23" s="1"/>
  <c r="M140" i="23" s="1"/>
  <c r="Y68" i="23"/>
  <c r="AQ120" i="58"/>
  <c r="AQ121" i="58"/>
  <c r="L75" i="58"/>
  <c r="L191" i="1"/>
  <c r="L221" i="1" s="1"/>
  <c r="CG26" i="1"/>
  <c r="H130" i="5" s="1"/>
  <c r="G91" i="3"/>
  <c r="CF67" i="29"/>
  <c r="G149" i="30"/>
  <c r="CE67" i="29"/>
  <c r="F149" i="30"/>
  <c r="CE66" i="29"/>
  <c r="F145" i="30"/>
  <c r="CH32" i="23"/>
  <c r="CH39" i="23"/>
  <c r="CH9" i="29"/>
  <c r="CH10" i="29" s="1"/>
  <c r="M9" i="29"/>
  <c r="BQ9" i="29" s="1"/>
  <c r="BQ10" i="29" s="1"/>
  <c r="BQ41" i="29" s="1"/>
  <c r="L11" i="29"/>
  <c r="G146" i="5"/>
  <c r="CG46" i="24"/>
  <c r="CG67" i="24" s="1"/>
  <c r="CG42" i="24"/>
  <c r="CG66" i="24" s="1"/>
  <c r="BO68" i="24"/>
  <c r="CG62" i="23"/>
  <c r="CG64" i="23"/>
  <c r="CH35" i="23"/>
  <c r="CH38" i="23"/>
  <c r="H141" i="27"/>
  <c r="H118" i="27" s="1"/>
  <c r="CG63" i="23"/>
  <c r="CH26" i="23"/>
  <c r="CG68" i="23"/>
  <c r="BO62" i="24"/>
  <c r="CG29" i="1"/>
  <c r="CH34" i="23"/>
  <c r="CH36" i="23"/>
  <c r="CH45" i="23"/>
  <c r="CH33" i="23"/>
  <c r="G145" i="26"/>
  <c r="H143" i="27"/>
  <c r="H119" i="27" s="1"/>
  <c r="CH44" i="23"/>
  <c r="CF65" i="1"/>
  <c r="BO63" i="24"/>
  <c r="G149" i="26"/>
  <c r="BP36" i="29"/>
  <c r="BP43" i="29"/>
  <c r="BP40" i="29"/>
  <c r="BP37" i="29"/>
  <c r="BP34" i="29"/>
  <c r="BP24" i="29"/>
  <c r="BP60" i="29" s="1"/>
  <c r="BP42" i="29"/>
  <c r="BP66" i="29" s="1"/>
  <c r="BP33" i="29"/>
  <c r="BP29" i="29"/>
  <c r="BP26" i="29"/>
  <c r="BP25" i="29"/>
  <c r="BP39" i="29"/>
  <c r="BP23" i="29"/>
  <c r="BP59" i="29" s="1"/>
  <c r="BP45" i="29"/>
  <c r="BP46" i="29"/>
  <c r="BP67" i="29" s="1"/>
  <c r="BP27" i="29"/>
  <c r="BP41" i="29"/>
  <c r="BP32" i="29"/>
  <c r="BP38" i="29"/>
  <c r="BP44" i="29"/>
  <c r="BP35" i="29"/>
  <c r="CF62" i="1"/>
  <c r="G132" i="5"/>
  <c r="G116" i="5" s="1"/>
  <c r="CF61" i="29"/>
  <c r="H146" i="27"/>
  <c r="H145" i="27"/>
  <c r="BO64" i="24"/>
  <c r="CF61" i="24"/>
  <c r="BO61" i="24"/>
  <c r="BO65" i="24"/>
  <c r="H149" i="27"/>
  <c r="BP65" i="23"/>
  <c r="CH40" i="23"/>
  <c r="BP66" i="23"/>
  <c r="CH42" i="23"/>
  <c r="CH66" i="23" s="1"/>
  <c r="BP64" i="23"/>
  <c r="CH37" i="23"/>
  <c r="BP67" i="23"/>
  <c r="CH46" i="23"/>
  <c r="CH67" i="23" s="1"/>
  <c r="BP61" i="23"/>
  <c r="CH25" i="23"/>
  <c r="BP63" i="23"/>
  <c r="BP62" i="23"/>
  <c r="BP68" i="23"/>
  <c r="CG45" i="1"/>
  <c r="H149" i="5" s="1"/>
  <c r="BO68" i="1"/>
  <c r="BO65" i="1"/>
  <c r="BO64" i="1"/>
  <c r="CG27" i="1"/>
  <c r="BO62" i="1"/>
  <c r="BO63" i="1"/>
  <c r="CG25" i="1"/>
  <c r="BO61" i="1"/>
  <c r="CF61" i="1"/>
  <c r="CF62" i="24"/>
  <c r="CF63" i="1"/>
  <c r="CF64" i="1"/>
  <c r="BO64" i="29"/>
  <c r="BO68" i="29"/>
  <c r="CG25" i="29"/>
  <c r="CG39" i="29"/>
  <c r="H142" i="30" s="1"/>
  <c r="BO62" i="29"/>
  <c r="BO63" i="29"/>
  <c r="CF62" i="29"/>
  <c r="BO61" i="29"/>
  <c r="CF63" i="24"/>
  <c r="CF68" i="1"/>
  <c r="CF66" i="29"/>
  <c r="CF68" i="29"/>
  <c r="CF63" i="29"/>
  <c r="G146" i="26"/>
  <c r="CF68" i="24"/>
  <c r="CF65" i="24"/>
  <c r="CE63" i="29"/>
  <c r="CE64" i="29"/>
  <c r="CF64" i="24"/>
  <c r="CE65" i="29"/>
  <c r="CF64" i="29"/>
  <c r="F118" i="5"/>
  <c r="CF65" i="29"/>
  <c r="CE68" i="29"/>
  <c r="CE61" i="29"/>
  <c r="CE62" i="29"/>
  <c r="G147" i="5"/>
  <c r="G95" i="3"/>
  <c r="E95" i="3"/>
  <c r="G101" i="3"/>
  <c r="E101" i="3"/>
  <c r="G98" i="3"/>
  <c r="E98" i="3"/>
  <c r="G94" i="3"/>
  <c r="E94" i="3"/>
  <c r="G100" i="3"/>
  <c r="E100" i="3"/>
  <c r="G104" i="3"/>
  <c r="E104" i="3"/>
  <c r="G99" i="3"/>
  <c r="E99" i="3"/>
  <c r="G102" i="3"/>
  <c r="E102" i="3"/>
  <c r="G105" i="3"/>
  <c r="E105" i="3"/>
  <c r="G97" i="3"/>
  <c r="E97" i="3"/>
  <c r="G96" i="3"/>
  <c r="E96" i="3"/>
  <c r="G103" i="3"/>
  <c r="E103" i="3"/>
  <c r="BP44" i="24"/>
  <c r="BP45" i="24"/>
  <c r="CG32" i="29"/>
  <c r="H135" i="30" s="1"/>
  <c r="CG36" i="29"/>
  <c r="H139" i="30" s="1"/>
  <c r="CG36" i="24"/>
  <c r="H139" i="26" s="1"/>
  <c r="CG42" i="1"/>
  <c r="CG66" i="1" s="1"/>
  <c r="CG28" i="1"/>
  <c r="H132" i="5" s="1"/>
  <c r="BP40" i="24"/>
  <c r="BP27" i="24"/>
  <c r="CG27" i="29"/>
  <c r="H130" i="30" s="1"/>
  <c r="CG33" i="29"/>
  <c r="H136" i="30" s="1"/>
  <c r="CG29" i="24"/>
  <c r="H132" i="26" s="1"/>
  <c r="CG37" i="24"/>
  <c r="H140" i="26" s="1"/>
  <c r="CG46" i="1"/>
  <c r="CG67" i="1" s="1"/>
  <c r="BP39" i="24"/>
  <c r="CG24" i="29"/>
  <c r="CG60" i="29" s="1"/>
  <c r="CG43" i="29"/>
  <c r="H146" i="30" s="1"/>
  <c r="CG26" i="24"/>
  <c r="H129" i="26" s="1"/>
  <c r="CG34" i="24"/>
  <c r="H137" i="26" s="1"/>
  <c r="CG37" i="1"/>
  <c r="H141" i="5" s="1"/>
  <c r="CG43" i="1"/>
  <c r="H147" i="5" s="1"/>
  <c r="AG34" i="29"/>
  <c r="AG37" i="29"/>
  <c r="CH37" i="29" s="1"/>
  <c r="AG42" i="29"/>
  <c r="AG35" i="29"/>
  <c r="AG38" i="29"/>
  <c r="AG33" i="29"/>
  <c r="AG36" i="29"/>
  <c r="AG39" i="29"/>
  <c r="AG26" i="29"/>
  <c r="CH26" i="29" s="1"/>
  <c r="AG29" i="29"/>
  <c r="AG41" i="29"/>
  <c r="AG44" i="29"/>
  <c r="AG23" i="29"/>
  <c r="AG45" i="29"/>
  <c r="CH45" i="29" s="1"/>
  <c r="AG24" i="29"/>
  <c r="AG32" i="29"/>
  <c r="AG46" i="29"/>
  <c r="CH46" i="29" s="1"/>
  <c r="AG25" i="29"/>
  <c r="AG28" i="29"/>
  <c r="CH28" i="29" s="1"/>
  <c r="AG43" i="29"/>
  <c r="CH43" i="29" s="1"/>
  <c r="AG27" i="29"/>
  <c r="AG40" i="29"/>
  <c r="BP37" i="24"/>
  <c r="CG45" i="29"/>
  <c r="H148" i="30" s="1"/>
  <c r="CG38" i="29"/>
  <c r="H141" i="30" s="1"/>
  <c r="CG44" i="24"/>
  <c r="H147" i="26" s="1"/>
  <c r="CG34" i="1"/>
  <c r="H138" i="5" s="1"/>
  <c r="CG32" i="1"/>
  <c r="H136" i="5" s="1"/>
  <c r="CH9" i="24"/>
  <c r="CH10" i="24" s="1"/>
  <c r="BP46" i="24"/>
  <c r="BP67" i="24" s="1"/>
  <c r="CG23" i="29"/>
  <c r="CG59" i="29" s="1"/>
  <c r="CG35" i="29"/>
  <c r="H138" i="30" s="1"/>
  <c r="CG41" i="24"/>
  <c r="H144" i="26" s="1"/>
  <c r="CG38" i="1"/>
  <c r="H142" i="5" s="1"/>
  <c r="M9" i="24"/>
  <c r="BQ9" i="24" s="1"/>
  <c r="BQ10" i="24" s="1"/>
  <c r="BQ28" i="24" s="1"/>
  <c r="BP32" i="24"/>
  <c r="CG29" i="29"/>
  <c r="H132" i="30" s="1"/>
  <c r="CG42" i="29"/>
  <c r="H145" i="30" s="1"/>
  <c r="CG40" i="24"/>
  <c r="H143" i="26" s="1"/>
  <c r="H119" i="26" s="1"/>
  <c r="CG32" i="24"/>
  <c r="H135" i="26" s="1"/>
  <c r="CG35" i="1"/>
  <c r="H139" i="5" s="1"/>
  <c r="H31" i="5"/>
  <c r="H41" i="5" s="1"/>
  <c r="L11" i="24"/>
  <c r="BP29" i="24"/>
  <c r="BP41" i="24"/>
  <c r="CG26" i="29"/>
  <c r="CG43" i="24"/>
  <c r="H146" i="26" s="1"/>
  <c r="CG38" i="24"/>
  <c r="H141" i="26" s="1"/>
  <c r="CG44" i="1"/>
  <c r="H148" i="5" s="1"/>
  <c r="AH21" i="1"/>
  <c r="AG35" i="1"/>
  <c r="AG38" i="1"/>
  <c r="AG43" i="1"/>
  <c r="AG46" i="1"/>
  <c r="AG25" i="1"/>
  <c r="AG28" i="1"/>
  <c r="AG33" i="1"/>
  <c r="AG36" i="1"/>
  <c r="AG39" i="1"/>
  <c r="AG41" i="1"/>
  <c r="AG44" i="1"/>
  <c r="AG26" i="1"/>
  <c r="AG29" i="1"/>
  <c r="AG34" i="1"/>
  <c r="AG37" i="1"/>
  <c r="AG23" i="1"/>
  <c r="AG27" i="1"/>
  <c r="AG32" i="1"/>
  <c r="AG24" i="1"/>
  <c r="AG42" i="1"/>
  <c r="AG45" i="1"/>
  <c r="AG40" i="1"/>
  <c r="AH41" i="23"/>
  <c r="AH44" i="23"/>
  <c r="AH26" i="23"/>
  <c r="AH29" i="23"/>
  <c r="AH35" i="23"/>
  <c r="AH38" i="23"/>
  <c r="AH42" i="23"/>
  <c r="AH45" i="23"/>
  <c r="AH24" i="23"/>
  <c r="AH27" i="23"/>
  <c r="AH33" i="23"/>
  <c r="AH36" i="23"/>
  <c r="AH39" i="23"/>
  <c r="AH46" i="23"/>
  <c r="AH37" i="23"/>
  <c r="AH40" i="23"/>
  <c r="AH25" i="23"/>
  <c r="AH32" i="23"/>
  <c r="AH23" i="23"/>
  <c r="AH43" i="23"/>
  <c r="AH28" i="23"/>
  <c r="AH34" i="23"/>
  <c r="AG34" i="24"/>
  <c r="AG37" i="24"/>
  <c r="AG23" i="24"/>
  <c r="AG42" i="24"/>
  <c r="AG45" i="24"/>
  <c r="CH45" i="24" s="1"/>
  <c r="AG24" i="24"/>
  <c r="AG27" i="24"/>
  <c r="AG32" i="24"/>
  <c r="AG43" i="24"/>
  <c r="AG46" i="24"/>
  <c r="CH46" i="24" s="1"/>
  <c r="CH67" i="24" s="1"/>
  <c r="AG25" i="24"/>
  <c r="AG28" i="24"/>
  <c r="AG33" i="24"/>
  <c r="AG36" i="24"/>
  <c r="CH36" i="24" s="1"/>
  <c r="AG39" i="24"/>
  <c r="AG41" i="24"/>
  <c r="AG26" i="24"/>
  <c r="AG44" i="24"/>
  <c r="CH44" i="24" s="1"/>
  <c r="AG29" i="24"/>
  <c r="AG35" i="24"/>
  <c r="CH35" i="24" s="1"/>
  <c r="AG38" i="24"/>
  <c r="CH38" i="24" s="1"/>
  <c r="AG40" i="24"/>
  <c r="BP28" i="24"/>
  <c r="BP34" i="24"/>
  <c r="CG37" i="29"/>
  <c r="H140" i="30" s="1"/>
  <c r="CG28" i="24"/>
  <c r="CG35" i="24"/>
  <c r="H138" i="26" s="1"/>
  <c r="CG41" i="1"/>
  <c r="H145" i="5" s="1"/>
  <c r="BP26" i="24"/>
  <c r="BP33" i="24"/>
  <c r="CG40" i="29"/>
  <c r="H143" i="30" s="1"/>
  <c r="CG34" i="29"/>
  <c r="H137" i="30" s="1"/>
  <c r="CG33" i="24"/>
  <c r="H136" i="26" s="1"/>
  <c r="CG40" i="1"/>
  <c r="CG39" i="1"/>
  <c r="H143" i="5" s="1"/>
  <c r="BP25" i="24"/>
  <c r="BP43" i="24"/>
  <c r="CG28" i="29"/>
  <c r="CG44" i="29"/>
  <c r="H147" i="30" s="1"/>
  <c r="CG25" i="24"/>
  <c r="CG36" i="1"/>
  <c r="H140" i="5" s="1"/>
  <c r="BP42" i="24"/>
  <c r="BP66" i="24" s="1"/>
  <c r="CG46" i="29"/>
  <c r="CG41" i="29"/>
  <c r="H144" i="30" s="1"/>
  <c r="CG39" i="24"/>
  <c r="H142" i="26" s="1"/>
  <c r="CG33" i="1"/>
  <c r="H137" i="5" s="1"/>
  <c r="G126" i="30"/>
  <c r="G111" i="30" s="1"/>
  <c r="L87" i="23"/>
  <c r="L47" i="23"/>
  <c r="L101" i="23" s="1"/>
  <c r="L177" i="23"/>
  <c r="L98" i="23"/>
  <c r="I124" i="27"/>
  <c r="I31" i="27" s="1"/>
  <c r="I100" i="27" s="1"/>
  <c r="L100" i="23"/>
  <c r="L82" i="23"/>
  <c r="L96" i="23"/>
  <c r="L90" i="23"/>
  <c r="L86" i="23"/>
  <c r="L83" i="23"/>
  <c r="L99" i="23"/>
  <c r="L95" i="23"/>
  <c r="L97" i="23"/>
  <c r="M21" i="23"/>
  <c r="L79" i="23"/>
  <c r="F134" i="26"/>
  <c r="F116" i="26" s="1"/>
  <c r="H133" i="5"/>
  <c r="H131" i="5"/>
  <c r="BO48" i="29"/>
  <c r="H57" i="30" s="1"/>
  <c r="G128" i="26"/>
  <c r="G114" i="26" s="1"/>
  <c r="CF48" i="29"/>
  <c r="CE48" i="29"/>
  <c r="F135" i="5"/>
  <c r="F117" i="5" s="1"/>
  <c r="E134" i="26"/>
  <c r="E116" i="26" s="1"/>
  <c r="G150" i="5"/>
  <c r="F126" i="30"/>
  <c r="F111" i="30" s="1"/>
  <c r="F127" i="30"/>
  <c r="F112" i="30" s="1"/>
  <c r="G144" i="5"/>
  <c r="G120" i="5" s="1"/>
  <c r="G137" i="5"/>
  <c r="G118" i="5" s="1"/>
  <c r="L81" i="23"/>
  <c r="L80" i="23"/>
  <c r="L93" i="23"/>
  <c r="L92" i="23"/>
  <c r="L88" i="23"/>
  <c r="L94" i="23"/>
  <c r="L89" i="23"/>
  <c r="L91" i="23"/>
  <c r="L78" i="23"/>
  <c r="G56" i="27"/>
  <c r="H41" i="26"/>
  <c r="H100" i="26"/>
  <c r="H41" i="30"/>
  <c r="H100" i="30"/>
  <c r="C63" i="3"/>
  <c r="AC63" i="3"/>
  <c r="AD63" i="3"/>
  <c r="B64" i="3"/>
  <c r="AE63" i="3"/>
  <c r="CI21" i="1"/>
  <c r="DT21" i="1" s="1"/>
  <c r="CH58" i="1"/>
  <c r="BQ21" i="1"/>
  <c r="BP58" i="1"/>
  <c r="M21" i="1"/>
  <c r="I125" i="5"/>
  <c r="I31" i="5" s="1"/>
  <c r="I41" i="5" s="1"/>
  <c r="L65" i="1"/>
  <c r="W65" i="1" s="1"/>
  <c r="G132" i="30"/>
  <c r="G114" i="30" s="1"/>
  <c r="E134" i="27"/>
  <c r="E116" i="27" s="1"/>
  <c r="H137" i="27"/>
  <c r="H117" i="27" s="1"/>
  <c r="D152" i="30"/>
  <c r="D8" i="30" s="1"/>
  <c r="E134" i="30"/>
  <c r="E115" i="30" s="1"/>
  <c r="D134" i="27"/>
  <c r="D116" i="27" s="1"/>
  <c r="E151" i="30"/>
  <c r="F118" i="30"/>
  <c r="G116" i="30"/>
  <c r="G127" i="30"/>
  <c r="G112" i="30" s="1"/>
  <c r="F128" i="30"/>
  <c r="F113" i="30" s="1"/>
  <c r="G118" i="30"/>
  <c r="F117" i="30"/>
  <c r="E125" i="30"/>
  <c r="E110" i="30" s="1"/>
  <c r="F116" i="30"/>
  <c r="F130" i="30"/>
  <c r="F114" i="30" s="1"/>
  <c r="D116" i="26"/>
  <c r="H18" i="27"/>
  <c r="H56" i="27"/>
  <c r="E135" i="5"/>
  <c r="E117" i="5" s="1"/>
  <c r="E119" i="5"/>
  <c r="M50" i="23"/>
  <c r="W50" i="23" s="1"/>
  <c r="G118" i="27"/>
  <c r="L95" i="24"/>
  <c r="L89" i="24"/>
  <c r="L99" i="24"/>
  <c r="L97" i="24"/>
  <c r="L93" i="24"/>
  <c r="L91" i="24"/>
  <c r="L87" i="24"/>
  <c r="L79" i="24"/>
  <c r="L77" i="24"/>
  <c r="L81" i="24"/>
  <c r="L83" i="24"/>
  <c r="L98" i="24"/>
  <c r="L92" i="24"/>
  <c r="L86" i="24"/>
  <c r="L78" i="24"/>
  <c r="L100" i="24"/>
  <c r="L96" i="24"/>
  <c r="L94" i="24"/>
  <c r="L90" i="24"/>
  <c r="L88" i="24"/>
  <c r="L80" i="24"/>
  <c r="L82" i="24"/>
  <c r="K101" i="24"/>
  <c r="L78" i="29"/>
  <c r="L99" i="29"/>
  <c r="L97" i="29"/>
  <c r="L95" i="29"/>
  <c r="L93" i="29"/>
  <c r="L80" i="29"/>
  <c r="L91" i="29"/>
  <c r="L89" i="29"/>
  <c r="L82" i="29"/>
  <c r="L87" i="29"/>
  <c r="L47" i="29"/>
  <c r="L101" i="29" s="1"/>
  <c r="L77" i="29"/>
  <c r="L100" i="29"/>
  <c r="L98" i="29"/>
  <c r="L96" i="29"/>
  <c r="L79" i="29"/>
  <c r="L94" i="29"/>
  <c r="L92" i="29"/>
  <c r="L81" i="29"/>
  <c r="L86" i="29"/>
  <c r="L90" i="29"/>
  <c r="L88" i="29"/>
  <c r="L83" i="29"/>
  <c r="AA53" i="29"/>
  <c r="Y53" i="29"/>
  <c r="K101" i="1"/>
  <c r="G117" i="27"/>
  <c r="G134" i="27"/>
  <c r="G116" i="27" s="1"/>
  <c r="EB24" i="24"/>
  <c r="EB23" i="23"/>
  <c r="EA24" i="1"/>
  <c r="EA23" i="1"/>
  <c r="BQ27" i="23"/>
  <c r="BQ28" i="23"/>
  <c r="BQ26" i="23"/>
  <c r="CI26" i="23" s="1"/>
  <c r="BQ29" i="23"/>
  <c r="BQ25" i="23"/>
  <c r="BQ39" i="23"/>
  <c r="BQ37" i="23"/>
  <c r="CI37" i="23" s="1"/>
  <c r="BQ38" i="23"/>
  <c r="BQ32" i="23"/>
  <c r="BQ43" i="23"/>
  <c r="BQ41" i="23"/>
  <c r="BQ40" i="23"/>
  <c r="BQ35" i="23"/>
  <c r="CI35" i="23" s="1"/>
  <c r="BQ44" i="23"/>
  <c r="BQ42" i="23"/>
  <c r="BQ34" i="23"/>
  <c r="BQ45" i="23"/>
  <c r="BQ33" i="23"/>
  <c r="CI33" i="23" s="1"/>
  <c r="BQ46" i="23"/>
  <c r="BQ36" i="23"/>
  <c r="G8" i="1"/>
  <c r="BP9" i="1"/>
  <c r="BP10" i="1" s="1"/>
  <c r="G114" i="27"/>
  <c r="G115" i="27"/>
  <c r="H129" i="27"/>
  <c r="H128" i="27"/>
  <c r="H132" i="27"/>
  <c r="EA24" i="23"/>
  <c r="H130" i="27"/>
  <c r="H131" i="27"/>
  <c r="I18" i="35"/>
  <c r="AA18" i="35" s="1"/>
  <c r="H18" i="35"/>
  <c r="Z18" i="35" s="1"/>
  <c r="AG34" i="41"/>
  <c r="L18" i="35"/>
  <c r="AD18" i="35" s="1"/>
  <c r="M18" i="35"/>
  <c r="AE17" i="35"/>
  <c r="Y35" i="41"/>
  <c r="Y51" i="41" s="1"/>
  <c r="Y39" i="41"/>
  <c r="Y55" i="41" s="1"/>
  <c r="Y43" i="41"/>
  <c r="Y59" i="41" s="1"/>
  <c r="Y36" i="41"/>
  <c r="Y52" i="41" s="1"/>
  <c r="Y40" i="41"/>
  <c r="Y56" i="41" s="1"/>
  <c r="Y48" i="41"/>
  <c r="Y37" i="41"/>
  <c r="Y53" i="41" s="1"/>
  <c r="Y41" i="41"/>
  <c r="Y57" i="41" s="1"/>
  <c r="Y38" i="41"/>
  <c r="Y54" i="41" s="1"/>
  <c r="Y42" i="41"/>
  <c r="Y58" i="41" s="1"/>
  <c r="U17" i="35"/>
  <c r="B19" i="35"/>
  <c r="T18" i="35"/>
  <c r="G18" i="35"/>
  <c r="Y18" i="35" s="1"/>
  <c r="AF18" i="35"/>
  <c r="C18" i="35" s="1"/>
  <c r="Z46" i="41" s="1"/>
  <c r="F18" i="35"/>
  <c r="X18" i="35" s="1"/>
  <c r="EA23" i="24"/>
  <c r="G119" i="5"/>
  <c r="I118" i="3"/>
  <c r="H137" i="3"/>
  <c r="B136" i="3"/>
  <c r="C136" i="3"/>
  <c r="I136" i="3"/>
  <c r="E136" i="3"/>
  <c r="F136" i="3"/>
  <c r="G136" i="3"/>
  <c r="I112" i="3"/>
  <c r="H131" i="3"/>
  <c r="B141" i="3"/>
  <c r="C141" i="3"/>
  <c r="I141" i="3"/>
  <c r="E141" i="3"/>
  <c r="F141" i="3"/>
  <c r="G141" i="3"/>
  <c r="B115" i="3"/>
  <c r="C115" i="3"/>
  <c r="B121" i="3"/>
  <c r="C121" i="3"/>
  <c r="E140" i="3"/>
  <c r="F140" i="3"/>
  <c r="G140" i="3"/>
  <c r="B140" i="3"/>
  <c r="C140" i="3"/>
  <c r="I140" i="3"/>
  <c r="C120" i="3"/>
  <c r="B120" i="3"/>
  <c r="H139" i="3"/>
  <c r="I120" i="3"/>
  <c r="H133" i="3"/>
  <c r="I114" i="3"/>
  <c r="C123" i="3"/>
  <c r="B123" i="3"/>
  <c r="H142" i="3"/>
  <c r="I123" i="3"/>
  <c r="H146" i="3"/>
  <c r="I127" i="3"/>
  <c r="H145" i="3"/>
  <c r="I126" i="3"/>
  <c r="C126" i="3"/>
  <c r="B126" i="3"/>
  <c r="E137" i="3"/>
  <c r="F137" i="3"/>
  <c r="G137" i="3"/>
  <c r="B137" i="3"/>
  <c r="C137" i="3"/>
  <c r="I137" i="3"/>
  <c r="C118" i="3"/>
  <c r="B118" i="3"/>
  <c r="C117" i="3"/>
  <c r="B117" i="3"/>
  <c r="B124" i="3"/>
  <c r="C124" i="3"/>
  <c r="E143" i="3"/>
  <c r="F143" i="3"/>
  <c r="G143" i="3"/>
  <c r="B143" i="3"/>
  <c r="C143" i="3"/>
  <c r="I143" i="3"/>
  <c r="C112" i="3"/>
  <c r="B112" i="3"/>
  <c r="E138" i="3"/>
  <c r="F138" i="3"/>
  <c r="G138" i="3"/>
  <c r="B138" i="3"/>
  <c r="C138" i="3"/>
  <c r="I138" i="3"/>
  <c r="H138" i="3"/>
  <c r="I119" i="3"/>
  <c r="B125" i="3"/>
  <c r="C125" i="3"/>
  <c r="B146" i="3"/>
  <c r="C146" i="3"/>
  <c r="I146" i="3"/>
  <c r="E146" i="3"/>
  <c r="F146" i="3"/>
  <c r="G146" i="3"/>
  <c r="I145" i="3"/>
  <c r="E145" i="3"/>
  <c r="F145" i="3"/>
  <c r="G145" i="3"/>
  <c r="B145" i="3"/>
  <c r="C145" i="3"/>
  <c r="B132" i="3"/>
  <c r="C132" i="3"/>
  <c r="I132" i="3"/>
  <c r="E132" i="3"/>
  <c r="F132" i="3"/>
  <c r="G132" i="3"/>
  <c r="C113" i="3"/>
  <c r="B113" i="3"/>
  <c r="H143" i="3"/>
  <c r="I124" i="3"/>
  <c r="H135" i="3"/>
  <c r="I116" i="3"/>
  <c r="B131" i="3"/>
  <c r="C131" i="3"/>
  <c r="I131" i="3"/>
  <c r="E131" i="3"/>
  <c r="F131" i="3"/>
  <c r="G131" i="3"/>
  <c r="C119" i="3"/>
  <c r="B119" i="3"/>
  <c r="I122" i="3"/>
  <c r="H141" i="3"/>
  <c r="H134" i="3"/>
  <c r="I115" i="3"/>
  <c r="I125" i="3"/>
  <c r="H144" i="3"/>
  <c r="B139" i="3"/>
  <c r="C139" i="3"/>
  <c r="I139" i="3"/>
  <c r="E139" i="3"/>
  <c r="F139" i="3"/>
  <c r="G139" i="3"/>
  <c r="B133" i="3"/>
  <c r="C133" i="3"/>
  <c r="I133" i="3"/>
  <c r="E133" i="3"/>
  <c r="F133" i="3"/>
  <c r="G133" i="3"/>
  <c r="B142" i="3"/>
  <c r="C142" i="3"/>
  <c r="I142" i="3"/>
  <c r="E142" i="3"/>
  <c r="F142" i="3"/>
  <c r="G142" i="3"/>
  <c r="C127" i="3"/>
  <c r="B127" i="3"/>
  <c r="H132" i="3"/>
  <c r="I113" i="3"/>
  <c r="H136" i="3"/>
  <c r="I117" i="3"/>
  <c r="E135" i="3"/>
  <c r="F135" i="3"/>
  <c r="G135" i="3"/>
  <c r="B135" i="3"/>
  <c r="C135" i="3"/>
  <c r="I135" i="3"/>
  <c r="B116" i="3"/>
  <c r="C116" i="3"/>
  <c r="C122" i="3"/>
  <c r="B122" i="3"/>
  <c r="E134" i="3"/>
  <c r="F134" i="3"/>
  <c r="G134" i="3"/>
  <c r="B134" i="3"/>
  <c r="C134" i="3"/>
  <c r="I134" i="3"/>
  <c r="H140" i="3"/>
  <c r="I121" i="3"/>
  <c r="F144" i="3"/>
  <c r="G144" i="3"/>
  <c r="B144" i="3"/>
  <c r="C144" i="3"/>
  <c r="I144" i="3"/>
  <c r="E144" i="3"/>
  <c r="C114" i="3"/>
  <c r="B114" i="3"/>
  <c r="G113" i="30"/>
  <c r="G117" i="26"/>
  <c r="G115" i="5"/>
  <c r="L159" i="3"/>
  <c r="L160" i="3" s="1"/>
  <c r="G18" i="26"/>
  <c r="L177" i="24"/>
  <c r="L47" i="24"/>
  <c r="I124" i="26"/>
  <c r="I31" i="26" s="1"/>
  <c r="M21" i="24"/>
  <c r="M47" i="23"/>
  <c r="N21" i="23"/>
  <c r="L100" i="1"/>
  <c r="L96" i="1"/>
  <c r="L92" i="1"/>
  <c r="L88" i="1"/>
  <c r="L82" i="1"/>
  <c r="L78" i="1"/>
  <c r="L47" i="1"/>
  <c r="L99" i="1"/>
  <c r="L95" i="1"/>
  <c r="L91" i="1"/>
  <c r="L87" i="1"/>
  <c r="L81" i="1"/>
  <c r="L77" i="1"/>
  <c r="L93" i="1"/>
  <c r="L83" i="1"/>
  <c r="L177" i="1"/>
  <c r="L98" i="1"/>
  <c r="L94" i="1"/>
  <c r="L90" i="1"/>
  <c r="L86" i="1"/>
  <c r="L80" i="1"/>
  <c r="L97" i="1"/>
  <c r="L89" i="1"/>
  <c r="L79" i="1"/>
  <c r="I124" i="30"/>
  <c r="I31" i="30" s="1"/>
  <c r="L177" i="29"/>
  <c r="M21" i="29"/>
  <c r="DT21" i="24"/>
  <c r="BR21" i="29"/>
  <c r="G115" i="26"/>
  <c r="G18" i="5"/>
  <c r="G18" i="30"/>
  <c r="DB31" i="1"/>
  <c r="CJ21" i="29"/>
  <c r="CJ58" i="29" s="1"/>
  <c r="H110" i="26"/>
  <c r="H145" i="26"/>
  <c r="H148" i="26"/>
  <c r="H130" i="26"/>
  <c r="H6" i="26"/>
  <c r="H56" i="26" s="1"/>
  <c r="AH21" i="24"/>
  <c r="H109" i="30"/>
  <c r="H6" i="30"/>
  <c r="H56" i="30" s="1"/>
  <c r="G101" i="5"/>
  <c r="AI21" i="23"/>
  <c r="G118" i="26"/>
  <c r="N9" i="23"/>
  <c r="BR9" i="23" s="1"/>
  <c r="BR10" i="23" s="1"/>
  <c r="CI9" i="23"/>
  <c r="CI10" i="23" s="1"/>
  <c r="M11" i="23"/>
  <c r="BQ9" i="1"/>
  <c r="BQ10" i="1" s="1"/>
  <c r="CH9" i="1"/>
  <c r="CH10" i="1" s="1"/>
  <c r="L11" i="1"/>
  <c r="H111" i="5"/>
  <c r="H6" i="5"/>
  <c r="H56" i="5" s="1"/>
  <c r="AH21" i="29"/>
  <c r="AB15" i="3"/>
  <c r="M75" i="58" a="1"/>
  <c r="H149" i="26" l="1"/>
  <c r="X44" i="41"/>
  <c r="CI28" i="23"/>
  <c r="CI34" i="23"/>
  <c r="CI27" i="23"/>
  <c r="CH38" i="29"/>
  <c r="CH33" i="29"/>
  <c r="CH32" i="29"/>
  <c r="BQ37" i="24"/>
  <c r="BQ46" i="24"/>
  <c r="BQ67" i="24" s="1"/>
  <c r="BQ32" i="24"/>
  <c r="BQ44" i="24"/>
  <c r="BQ42" i="24"/>
  <c r="BQ66" i="24" s="1"/>
  <c r="CH40" i="24"/>
  <c r="I143" i="26" s="1"/>
  <c r="I119" i="26" s="1"/>
  <c r="BQ43" i="24"/>
  <c r="BQ36" i="24"/>
  <c r="BQ33" i="24"/>
  <c r="BQ45" i="24"/>
  <c r="BQ41" i="24"/>
  <c r="BQ40" i="24"/>
  <c r="BQ34" i="24"/>
  <c r="BQ39" i="24"/>
  <c r="BQ35" i="24"/>
  <c r="BQ38" i="24"/>
  <c r="CH37" i="24"/>
  <c r="I140" i="26" s="1"/>
  <c r="BQ29" i="24"/>
  <c r="BQ26" i="24"/>
  <c r="CI9" i="24"/>
  <c r="CI10" i="24" s="1"/>
  <c r="M11" i="24"/>
  <c r="CH65" i="23"/>
  <c r="M26" i="3"/>
  <c r="D19" i="35"/>
  <c r="V19" i="35" s="1"/>
  <c r="E19" i="35"/>
  <c r="W19" i="35" s="1"/>
  <c r="I6" i="27"/>
  <c r="CH24" i="29"/>
  <c r="CH60" i="29" s="1"/>
  <c r="M65" i="29"/>
  <c r="W65" i="29" s="1"/>
  <c r="M68" i="29"/>
  <c r="W68" i="29" s="1"/>
  <c r="M59" i="29"/>
  <c r="W59" i="29" s="1"/>
  <c r="M82" i="23"/>
  <c r="M64" i="23"/>
  <c r="W64" i="23" s="1"/>
  <c r="M54" i="23"/>
  <c r="W54" i="23" s="1"/>
  <c r="M177" i="23"/>
  <c r="J124" i="27"/>
  <c r="J31" i="27" s="1"/>
  <c r="J100" i="27" s="1"/>
  <c r="I110" i="27"/>
  <c r="I137" i="27"/>
  <c r="I140" i="27"/>
  <c r="M78" i="23"/>
  <c r="I146" i="27"/>
  <c r="M95" i="23"/>
  <c r="M80" i="23"/>
  <c r="CI44" i="23"/>
  <c r="I135" i="27"/>
  <c r="CH41" i="29"/>
  <c r="I144" i="30" s="1"/>
  <c r="CH40" i="29"/>
  <c r="I143" i="30" s="1"/>
  <c r="I118" i="30" s="1"/>
  <c r="CH41" i="24"/>
  <c r="CH34" i="24"/>
  <c r="I137" i="26" s="1"/>
  <c r="M83" i="23"/>
  <c r="M92" i="23"/>
  <c r="M75" i="58"/>
  <c r="BQ25" i="29"/>
  <c r="CI9" i="29"/>
  <c r="CI10" i="29" s="1"/>
  <c r="M11" i="29"/>
  <c r="N9" i="29"/>
  <c r="BR9" i="29" s="1"/>
  <c r="BR10" i="29" s="1"/>
  <c r="M50" i="1"/>
  <c r="W50" i="1" s="1"/>
  <c r="AA50" i="1" s="1"/>
  <c r="C121" i="1" s="1"/>
  <c r="B121" i="1" s="1"/>
  <c r="M191" i="1"/>
  <c r="M221" i="1" s="1"/>
  <c r="CG61" i="24"/>
  <c r="CG61" i="1"/>
  <c r="N9" i="24"/>
  <c r="BR9" i="24" s="1"/>
  <c r="BR10" i="24" s="1"/>
  <c r="BR26" i="24" s="1"/>
  <c r="BQ27" i="24"/>
  <c r="BQ25" i="24"/>
  <c r="M96" i="23"/>
  <c r="CH29" i="29"/>
  <c r="CH25" i="29"/>
  <c r="CH61" i="29" s="1"/>
  <c r="BQ42" i="29"/>
  <c r="BQ66" i="29" s="1"/>
  <c r="CH42" i="29"/>
  <c r="CH66" i="29" s="1"/>
  <c r="CH27" i="29"/>
  <c r="I130" i="30" s="1"/>
  <c r="CH34" i="29"/>
  <c r="I137" i="30" s="1"/>
  <c r="CH44" i="29"/>
  <c r="I147" i="30" s="1"/>
  <c r="CH35" i="29"/>
  <c r="I138" i="30" s="1"/>
  <c r="I148" i="30"/>
  <c r="I140" i="30"/>
  <c r="I146" i="30"/>
  <c r="I136" i="30"/>
  <c r="I141" i="30"/>
  <c r="I135" i="30"/>
  <c r="I142" i="27"/>
  <c r="I144" i="27"/>
  <c r="I143" i="27"/>
  <c r="I119" i="27" s="1"/>
  <c r="M97" i="23"/>
  <c r="I129" i="27"/>
  <c r="I141" i="27"/>
  <c r="I138" i="27"/>
  <c r="I139" i="27"/>
  <c r="CH33" i="24"/>
  <c r="I136" i="26" s="1"/>
  <c r="H128" i="26"/>
  <c r="H114" i="26" s="1"/>
  <c r="CH32" i="24"/>
  <c r="I135" i="26" s="1"/>
  <c r="CH27" i="24"/>
  <c r="I130" i="26" s="1"/>
  <c r="BQ27" i="29"/>
  <c r="BQ38" i="29"/>
  <c r="BQ24" i="29"/>
  <c r="BQ60" i="29" s="1"/>
  <c r="BQ35" i="29"/>
  <c r="BQ45" i="29"/>
  <c r="BQ28" i="29"/>
  <c r="BQ39" i="29"/>
  <c r="BQ46" i="29"/>
  <c r="BQ67" i="29" s="1"/>
  <c r="BQ43" i="29"/>
  <c r="BQ33" i="29"/>
  <c r="BQ40" i="29"/>
  <c r="BQ65" i="29" s="1"/>
  <c r="BQ36" i="29"/>
  <c r="BQ32" i="29"/>
  <c r="BQ37" i="29"/>
  <c r="BQ29" i="29"/>
  <c r="BQ34" i="29"/>
  <c r="BQ26" i="29"/>
  <c r="BQ23" i="29"/>
  <c r="BQ59" i="29" s="1"/>
  <c r="BQ44" i="29"/>
  <c r="CH23" i="29"/>
  <c r="CH59" i="29" s="1"/>
  <c r="CH36" i="29"/>
  <c r="I139" i="30" s="1"/>
  <c r="CG67" i="29"/>
  <c r="H149" i="30"/>
  <c r="CH67" i="29"/>
  <c r="I149" i="30"/>
  <c r="BP65" i="29"/>
  <c r="CI29" i="23"/>
  <c r="CI62" i="23" s="1"/>
  <c r="CI40" i="23"/>
  <c r="CI32" i="23"/>
  <c r="CI38" i="23"/>
  <c r="J141" i="27" s="1"/>
  <c r="CH29" i="24"/>
  <c r="I132" i="26" s="1"/>
  <c r="CH39" i="24"/>
  <c r="H150" i="5"/>
  <c r="CH64" i="23"/>
  <c r="BP62" i="29"/>
  <c r="BP63" i="29"/>
  <c r="CG62" i="24"/>
  <c r="I148" i="27"/>
  <c r="I147" i="27"/>
  <c r="M81" i="23"/>
  <c r="M100" i="23"/>
  <c r="CH61" i="23"/>
  <c r="I136" i="27"/>
  <c r="CG62" i="1"/>
  <c r="BP64" i="29"/>
  <c r="CH68" i="23"/>
  <c r="CH63" i="23"/>
  <c r="BP61" i="29"/>
  <c r="CI45" i="23"/>
  <c r="CI43" i="23"/>
  <c r="I145" i="27"/>
  <c r="G134" i="26"/>
  <c r="G116" i="26" s="1"/>
  <c r="CI36" i="23"/>
  <c r="I149" i="27"/>
  <c r="CI39" i="23"/>
  <c r="J142" i="27" s="1"/>
  <c r="CI41" i="23"/>
  <c r="BP68" i="24"/>
  <c r="CH39" i="29"/>
  <c r="BP48" i="29"/>
  <c r="I57" i="30" s="1"/>
  <c r="BP68" i="29"/>
  <c r="CG61" i="29"/>
  <c r="H129" i="5"/>
  <c r="H115" i="5" s="1"/>
  <c r="H146" i="5"/>
  <c r="H134" i="27"/>
  <c r="H116" i="27" s="1"/>
  <c r="CG68" i="24"/>
  <c r="BP64" i="24"/>
  <c r="BP61" i="24"/>
  <c r="BP63" i="24"/>
  <c r="BP62" i="24"/>
  <c r="BP65" i="24"/>
  <c r="BQ64" i="24"/>
  <c r="BQ61" i="23"/>
  <c r="CI25" i="23"/>
  <c r="CI61" i="23" s="1"/>
  <c r="BQ66" i="23"/>
  <c r="CI42" i="23"/>
  <c r="CI66" i="23" s="1"/>
  <c r="BQ67" i="23"/>
  <c r="CI46" i="23"/>
  <c r="CI67" i="23" s="1"/>
  <c r="M79" i="23"/>
  <c r="M93" i="23"/>
  <c r="M94" i="23"/>
  <c r="BQ62" i="23"/>
  <c r="M89" i="23"/>
  <c r="BQ65" i="23"/>
  <c r="M90" i="23"/>
  <c r="M91" i="23"/>
  <c r="M77" i="23"/>
  <c r="BQ68" i="23"/>
  <c r="M86" i="23"/>
  <c r="M87" i="23"/>
  <c r="BQ63" i="23"/>
  <c r="M88" i="23"/>
  <c r="M98" i="23"/>
  <c r="BQ64" i="23"/>
  <c r="M99" i="23"/>
  <c r="H126" i="30"/>
  <c r="H111" i="30" s="1"/>
  <c r="H129" i="30"/>
  <c r="BR58" i="29"/>
  <c r="CG62" i="29"/>
  <c r="CG68" i="1"/>
  <c r="H117" i="30"/>
  <c r="CG64" i="29"/>
  <c r="CG64" i="1"/>
  <c r="H144" i="5"/>
  <c r="H120" i="5" s="1"/>
  <c r="CG65" i="1"/>
  <c r="CG68" i="29"/>
  <c r="CG63" i="29"/>
  <c r="CG65" i="29"/>
  <c r="CG63" i="24"/>
  <c r="CG63" i="1"/>
  <c r="CG64" i="24"/>
  <c r="CG65" i="24"/>
  <c r="CG66" i="29"/>
  <c r="H131" i="26"/>
  <c r="H115" i="26" s="1"/>
  <c r="CH28" i="24"/>
  <c r="CH25" i="24"/>
  <c r="I128" i="26" s="1"/>
  <c r="AH41" i="29"/>
  <c r="CI41" i="29" s="1"/>
  <c r="AH44" i="29"/>
  <c r="CI44" i="29" s="1"/>
  <c r="AH34" i="29"/>
  <c r="AH37" i="29"/>
  <c r="CI37" i="29" s="1"/>
  <c r="AH42" i="29"/>
  <c r="AH43" i="29"/>
  <c r="AH26" i="29"/>
  <c r="AH29" i="29"/>
  <c r="AH35" i="29"/>
  <c r="AH38" i="29"/>
  <c r="AH32" i="29"/>
  <c r="AH45" i="29"/>
  <c r="AH24" i="29"/>
  <c r="AH27" i="29"/>
  <c r="AH25" i="29"/>
  <c r="CI25" i="29" s="1"/>
  <c r="AH33" i="29"/>
  <c r="CI33" i="29" s="1"/>
  <c r="AH46" i="29"/>
  <c r="AH23" i="29"/>
  <c r="AH36" i="29"/>
  <c r="AH28" i="29"/>
  <c r="AH39" i="29"/>
  <c r="CI39" i="29" s="1"/>
  <c r="AH40" i="29"/>
  <c r="CH43" i="24"/>
  <c r="CH68" i="24" s="1"/>
  <c r="AI34" i="23"/>
  <c r="AI37" i="23"/>
  <c r="AI41" i="23"/>
  <c r="AI44" i="23"/>
  <c r="AI26" i="23"/>
  <c r="AI29" i="23"/>
  <c r="AI35" i="23"/>
  <c r="AI38" i="23"/>
  <c r="AI32" i="23"/>
  <c r="AI23" i="23"/>
  <c r="AI42" i="23"/>
  <c r="AI45" i="23"/>
  <c r="AI24" i="23"/>
  <c r="AI27" i="23"/>
  <c r="AI39" i="23"/>
  <c r="AI46" i="23"/>
  <c r="AI33" i="23"/>
  <c r="AI40" i="23"/>
  <c r="AI25" i="23"/>
  <c r="AI36" i="23"/>
  <c r="AI43" i="23"/>
  <c r="AI28" i="23"/>
  <c r="CH26" i="24"/>
  <c r="I129" i="26" s="1"/>
  <c r="CH42" i="24"/>
  <c r="CH66" i="24" s="1"/>
  <c r="AI21" i="1"/>
  <c r="AH44" i="1"/>
  <c r="AH29" i="1"/>
  <c r="AH35" i="1"/>
  <c r="AH38" i="1"/>
  <c r="AH43" i="1"/>
  <c r="AH46" i="1"/>
  <c r="AH25" i="1"/>
  <c r="AH28" i="1"/>
  <c r="AH33" i="1"/>
  <c r="AH36" i="1"/>
  <c r="AH39" i="1"/>
  <c r="AH26" i="1"/>
  <c r="AH41" i="1"/>
  <c r="AH42" i="1"/>
  <c r="AH27" i="1"/>
  <c r="AH32" i="1"/>
  <c r="AH34" i="1"/>
  <c r="AH24" i="1"/>
  <c r="AH37" i="1"/>
  <c r="AH23" i="1"/>
  <c r="AH45" i="1"/>
  <c r="AH40" i="1"/>
  <c r="AH34" i="24"/>
  <c r="CI34" i="24" s="1"/>
  <c r="AH37" i="24"/>
  <c r="CI37" i="24" s="1"/>
  <c r="AH32" i="24"/>
  <c r="CI32" i="24" s="1"/>
  <c r="AH23" i="24"/>
  <c r="AH42" i="24"/>
  <c r="CI42" i="24" s="1"/>
  <c r="CI66" i="24" s="1"/>
  <c r="AH45" i="24"/>
  <c r="AH24" i="24"/>
  <c r="AH27" i="24"/>
  <c r="AH35" i="24"/>
  <c r="CI35" i="24" s="1"/>
  <c r="AH38" i="24"/>
  <c r="CI38" i="24" s="1"/>
  <c r="AH43" i="24"/>
  <c r="CI43" i="24" s="1"/>
  <c r="AH46" i="24"/>
  <c r="CI46" i="24" s="1"/>
  <c r="CI67" i="24" s="1"/>
  <c r="AH25" i="24"/>
  <c r="CI25" i="24" s="1"/>
  <c r="AH28" i="24"/>
  <c r="CI28" i="24" s="1"/>
  <c r="AH36" i="24"/>
  <c r="CI36" i="24" s="1"/>
  <c r="AH41" i="24"/>
  <c r="AH26" i="24"/>
  <c r="CI26" i="24" s="1"/>
  <c r="AH39" i="24"/>
  <c r="CI39" i="24" s="1"/>
  <c r="AH44" i="24"/>
  <c r="CI44" i="24" s="1"/>
  <c r="AH29" i="24"/>
  <c r="CI29" i="24" s="1"/>
  <c r="AH33" i="24"/>
  <c r="CI33" i="24" s="1"/>
  <c r="AH40" i="24"/>
  <c r="I41" i="27"/>
  <c r="BQ46" i="1"/>
  <c r="BQ67" i="1" s="1"/>
  <c r="H127" i="30"/>
  <c r="H112" i="30" s="1"/>
  <c r="H128" i="30"/>
  <c r="H131" i="30"/>
  <c r="H114" i="30" s="1"/>
  <c r="CG48" i="29"/>
  <c r="G135" i="5"/>
  <c r="G117" i="5" s="1"/>
  <c r="M62" i="24"/>
  <c r="M52" i="24"/>
  <c r="W52" i="24" s="1"/>
  <c r="I41" i="26"/>
  <c r="I100" i="26"/>
  <c r="I41" i="30"/>
  <c r="I100" i="30"/>
  <c r="D7" i="30"/>
  <c r="J41" i="27"/>
  <c r="D15" i="30"/>
  <c r="D12" i="30"/>
  <c r="D9" i="30"/>
  <c r="D13" i="30"/>
  <c r="D14" i="30"/>
  <c r="D10" i="30"/>
  <c r="D11" i="30"/>
  <c r="BR21" i="1"/>
  <c r="BQ58" i="1"/>
  <c r="CJ21" i="1"/>
  <c r="CI58" i="1"/>
  <c r="AA65" i="1"/>
  <c r="I140" i="1" s="1"/>
  <c r="G140" i="1" s="1"/>
  <c r="Y65" i="1"/>
  <c r="C64" i="3"/>
  <c r="B65" i="3"/>
  <c r="AE64" i="3"/>
  <c r="AC64" i="3"/>
  <c r="AD64" i="3"/>
  <c r="J125" i="5"/>
  <c r="J31" i="5" s="1"/>
  <c r="J41" i="5" s="1"/>
  <c r="N21" i="1"/>
  <c r="N52" i="1" s="1"/>
  <c r="W52" i="1" s="1"/>
  <c r="M62" i="1"/>
  <c r="G151" i="30"/>
  <c r="G152" i="30" s="1"/>
  <c r="G14" i="30" s="1"/>
  <c r="G125" i="30"/>
  <c r="G110" i="30" s="1"/>
  <c r="G134" i="30"/>
  <c r="G115" i="30" s="1"/>
  <c r="G117" i="30"/>
  <c r="E152" i="30"/>
  <c r="F134" i="30"/>
  <c r="F115" i="30" s="1"/>
  <c r="F125" i="30"/>
  <c r="F110" i="30" s="1"/>
  <c r="F151" i="30"/>
  <c r="I18" i="27"/>
  <c r="I56" i="27"/>
  <c r="H116" i="5"/>
  <c r="N96" i="23"/>
  <c r="N82" i="23"/>
  <c r="N100" i="23"/>
  <c r="N98" i="23"/>
  <c r="N87" i="23"/>
  <c r="N77" i="23"/>
  <c r="N91" i="23"/>
  <c r="N89" i="23"/>
  <c r="N79" i="23"/>
  <c r="N93" i="23"/>
  <c r="N81" i="23"/>
  <c r="N97" i="23"/>
  <c r="N95" i="23"/>
  <c r="N99" i="23"/>
  <c r="N83" i="23"/>
  <c r="N88" i="23"/>
  <c r="N86" i="23"/>
  <c r="N78" i="23"/>
  <c r="N90" i="23"/>
  <c r="N94" i="23"/>
  <c r="N92" i="23"/>
  <c r="N80" i="23"/>
  <c r="AA50" i="23"/>
  <c r="C121" i="23" s="1"/>
  <c r="B121" i="23" s="1"/>
  <c r="Y50" i="23"/>
  <c r="M101" i="23"/>
  <c r="H118" i="30"/>
  <c r="M99" i="24"/>
  <c r="M97" i="24"/>
  <c r="M93" i="24"/>
  <c r="M91" i="24"/>
  <c r="M87" i="24"/>
  <c r="M79" i="24"/>
  <c r="M77" i="24"/>
  <c r="M81" i="24"/>
  <c r="M83" i="24"/>
  <c r="M98" i="24"/>
  <c r="M92" i="24"/>
  <c r="M86" i="24"/>
  <c r="M78" i="24"/>
  <c r="M100" i="24"/>
  <c r="M96" i="24"/>
  <c r="M94" i="24"/>
  <c r="M90" i="24"/>
  <c r="M88" i="24"/>
  <c r="M80" i="24"/>
  <c r="M95" i="24"/>
  <c r="M82" i="24"/>
  <c r="M89" i="24"/>
  <c r="M68" i="24"/>
  <c r="W68" i="24" s="1"/>
  <c r="M73" i="24"/>
  <c r="W73" i="24" s="1"/>
  <c r="L101" i="24"/>
  <c r="M78" i="29"/>
  <c r="M99" i="29"/>
  <c r="M97" i="29"/>
  <c r="M95" i="29"/>
  <c r="M93" i="29"/>
  <c r="M80" i="29"/>
  <c r="M91" i="29"/>
  <c r="M89" i="29"/>
  <c r="M82" i="29"/>
  <c r="M87" i="29"/>
  <c r="M77" i="29"/>
  <c r="M100" i="29"/>
  <c r="M98" i="29"/>
  <c r="M96" i="29"/>
  <c r="M79" i="29"/>
  <c r="M47" i="29"/>
  <c r="M94" i="29"/>
  <c r="M92" i="29"/>
  <c r="M81" i="29"/>
  <c r="M90" i="29"/>
  <c r="M88" i="29"/>
  <c r="M86" i="29"/>
  <c r="M83" i="29"/>
  <c r="M73" i="29"/>
  <c r="W73" i="29" s="1"/>
  <c r="M50" i="29"/>
  <c r="W50" i="29" s="1"/>
  <c r="L101" i="1"/>
  <c r="BR34" i="29"/>
  <c r="BR37" i="29"/>
  <c r="BR40" i="29"/>
  <c r="BR43" i="29"/>
  <c r="BR46" i="29"/>
  <c r="BR67" i="29" s="1"/>
  <c r="BR25" i="29"/>
  <c r="BR28" i="29"/>
  <c r="BR35" i="29"/>
  <c r="BR38" i="29"/>
  <c r="BR41" i="29"/>
  <c r="BR44" i="29"/>
  <c r="BR26" i="29"/>
  <c r="BR29" i="29"/>
  <c r="BR32" i="29"/>
  <c r="BR23" i="29"/>
  <c r="BR59" i="29" s="1"/>
  <c r="BR33" i="29"/>
  <c r="BR36" i="29"/>
  <c r="BR39" i="29"/>
  <c r="BR42" i="29"/>
  <c r="BR66" i="29" s="1"/>
  <c r="BR45" i="29"/>
  <c r="BR24" i="29"/>
  <c r="BR60" i="29" s="1"/>
  <c r="BR27" i="29"/>
  <c r="EC23" i="23"/>
  <c r="DH23" i="23" s="1"/>
  <c r="EB23" i="24"/>
  <c r="EC23" i="24" s="1"/>
  <c r="EB24" i="23"/>
  <c r="EC24" i="24"/>
  <c r="CV24" i="24" s="1"/>
  <c r="BL24" i="24" s="1"/>
  <c r="EB23" i="1"/>
  <c r="EB24" i="1"/>
  <c r="BR25" i="23"/>
  <c r="BR28" i="23"/>
  <c r="CJ28" i="23" s="1"/>
  <c r="BR29" i="23"/>
  <c r="BR27" i="23"/>
  <c r="BR26" i="23"/>
  <c r="BR38" i="23"/>
  <c r="BR40" i="23"/>
  <c r="BR39" i="23"/>
  <c r="BR45" i="23"/>
  <c r="BR44" i="23"/>
  <c r="BR42" i="23"/>
  <c r="BR32" i="23"/>
  <c r="CJ32" i="23" s="1"/>
  <c r="BR41" i="23"/>
  <c r="BR43" i="23"/>
  <c r="BR36" i="23"/>
  <c r="BR33" i="23"/>
  <c r="BR46" i="23"/>
  <c r="BR34" i="23"/>
  <c r="BR35" i="23"/>
  <c r="BR37" i="23"/>
  <c r="CJ37" i="23" s="1"/>
  <c r="BP40" i="1"/>
  <c r="CH40" i="1" s="1"/>
  <c r="BP28" i="1"/>
  <c r="CH28" i="1" s="1"/>
  <c r="BP26" i="1"/>
  <c r="CH26" i="1" s="1"/>
  <c r="BP25" i="1"/>
  <c r="BP29" i="1"/>
  <c r="CH29" i="1" s="1"/>
  <c r="BP27" i="1"/>
  <c r="BQ25" i="1"/>
  <c r="BQ27" i="1"/>
  <c r="BQ29" i="1"/>
  <c r="BQ28" i="1"/>
  <c r="BQ26" i="1"/>
  <c r="BP44" i="1"/>
  <c r="CH44" i="1" s="1"/>
  <c r="BP41" i="1"/>
  <c r="CH41" i="1" s="1"/>
  <c r="BP38" i="1"/>
  <c r="CH38" i="1" s="1"/>
  <c r="BP43" i="1"/>
  <c r="BP36" i="1"/>
  <c r="CH36" i="1" s="1"/>
  <c r="BP35" i="1"/>
  <c r="CH35" i="1" s="1"/>
  <c r="BP32" i="1"/>
  <c r="BP46" i="1"/>
  <c r="BQ33" i="1"/>
  <c r="BQ36" i="1"/>
  <c r="BQ39" i="1"/>
  <c r="BQ42" i="1"/>
  <c r="BQ66" i="1" s="1"/>
  <c r="BQ45" i="1"/>
  <c r="BQ40" i="1"/>
  <c r="BQ43" i="1"/>
  <c r="BQ34" i="1"/>
  <c r="BQ37" i="1"/>
  <c r="BQ32" i="1"/>
  <c r="BQ35" i="1"/>
  <c r="BQ38" i="1"/>
  <c r="BQ41" i="1"/>
  <c r="BQ44" i="1"/>
  <c r="BP37" i="1"/>
  <c r="BP34" i="1"/>
  <c r="CH34" i="1" s="1"/>
  <c r="BP45" i="1"/>
  <c r="CH45" i="1" s="1"/>
  <c r="BP33" i="1"/>
  <c r="CH33" i="1" s="1"/>
  <c r="BP42" i="1"/>
  <c r="BP39" i="1"/>
  <c r="CH39" i="1" s="1"/>
  <c r="H115" i="27"/>
  <c r="H114" i="27"/>
  <c r="I128" i="27"/>
  <c r="I130" i="27"/>
  <c r="I131" i="27"/>
  <c r="I132" i="27"/>
  <c r="H19" i="35"/>
  <c r="Z19" i="35" s="1"/>
  <c r="I19" i="35"/>
  <c r="AA19" i="35" s="1"/>
  <c r="AH34" i="41"/>
  <c r="M19" i="35"/>
  <c r="L19" i="35"/>
  <c r="AD19" i="35" s="1"/>
  <c r="AE18" i="35"/>
  <c r="Y44" i="41"/>
  <c r="U18" i="35"/>
  <c r="B20" i="35"/>
  <c r="T19" i="35"/>
  <c r="AF19" i="35"/>
  <c r="C19" i="35" s="1"/>
  <c r="AA46" i="41" s="1"/>
  <c r="F19" i="35"/>
  <c r="X19" i="35" s="1"/>
  <c r="G19" i="35"/>
  <c r="Y19" i="35" s="1"/>
  <c r="H134" i="26"/>
  <c r="H116" i="30"/>
  <c r="H119" i="5"/>
  <c r="H118" i="5"/>
  <c r="CJ9" i="23"/>
  <c r="CJ10" i="23" s="1"/>
  <c r="N11" i="23"/>
  <c r="O9" i="23"/>
  <c r="BS9" i="23" s="1"/>
  <c r="BS10" i="23" s="1"/>
  <c r="AJ21" i="23"/>
  <c r="AI21" i="24"/>
  <c r="H18" i="26"/>
  <c r="BS21" i="29"/>
  <c r="J124" i="30"/>
  <c r="J31" i="30" s="1"/>
  <c r="M177" i="29"/>
  <c r="N21" i="29"/>
  <c r="N52" i="29" s="1"/>
  <c r="W52" i="29" s="1"/>
  <c r="M99" i="1"/>
  <c r="M95" i="1"/>
  <c r="M91" i="1"/>
  <c r="M87" i="1"/>
  <c r="M81" i="1"/>
  <c r="M77" i="1"/>
  <c r="M98" i="1"/>
  <c r="M94" i="1"/>
  <c r="M90" i="1"/>
  <c r="M86" i="1"/>
  <c r="M80" i="1"/>
  <c r="M100" i="1"/>
  <c r="M97" i="1"/>
  <c r="M93" i="1"/>
  <c r="M89" i="1"/>
  <c r="M83" i="1"/>
  <c r="M79" i="1"/>
  <c r="M177" i="1"/>
  <c r="M96" i="1"/>
  <c r="M92" i="1"/>
  <c r="M88" i="1"/>
  <c r="M82" i="1"/>
  <c r="M78" i="1"/>
  <c r="M47" i="1"/>
  <c r="J124" i="26"/>
  <c r="J31" i="26" s="1"/>
  <c r="M177" i="24"/>
  <c r="M47" i="24"/>
  <c r="N21" i="24"/>
  <c r="I148" i="26"/>
  <c r="I139" i="26"/>
  <c r="I147" i="26"/>
  <c r="I144" i="26"/>
  <c r="I141" i="26"/>
  <c r="I138" i="26"/>
  <c r="I149" i="26"/>
  <c r="I6" i="26"/>
  <c r="I56" i="26" s="1"/>
  <c r="I110" i="26"/>
  <c r="AB16" i="3"/>
  <c r="CI9" i="1"/>
  <c r="CI10" i="1" s="1"/>
  <c r="M11" i="1"/>
  <c r="BR9" i="1"/>
  <c r="BR10" i="1" s="1"/>
  <c r="H118" i="26"/>
  <c r="DC31" i="1"/>
  <c r="DT21" i="23"/>
  <c r="DU21" i="24"/>
  <c r="AI21" i="29"/>
  <c r="H101" i="5"/>
  <c r="H18" i="30"/>
  <c r="I109" i="30"/>
  <c r="I132" i="30"/>
  <c r="I129" i="30"/>
  <c r="I131" i="30"/>
  <c r="I6" i="30"/>
  <c r="I56" i="30" s="1"/>
  <c r="I111" i="5"/>
  <c r="I6" i="5"/>
  <c r="I56" i="5" s="1"/>
  <c r="M159" i="3"/>
  <c r="M160" i="3" s="1"/>
  <c r="H18" i="5"/>
  <c r="H117" i="26"/>
  <c r="CK21" i="29"/>
  <c r="CK58" i="29" s="1"/>
  <c r="CJ30" i="29"/>
  <c r="O9" i="29"/>
  <c r="BS9" i="29" s="1"/>
  <c r="BS10" i="29" s="1"/>
  <c r="CJ9" i="29"/>
  <c r="CJ10" i="29" s="1"/>
  <c r="N11" i="29"/>
  <c r="K124" i="27"/>
  <c r="K31" i="27" s="1"/>
  <c r="O21" i="23"/>
  <c r="N47" i="23"/>
  <c r="N101" i="23" s="1"/>
  <c r="N177" i="23"/>
  <c r="N75" i="58" a="1"/>
  <c r="BQ63" i="24" l="1"/>
  <c r="BQ68" i="24"/>
  <c r="BQ61" i="29"/>
  <c r="I127" i="30"/>
  <c r="I112" i="30" s="1"/>
  <c r="CJ40" i="23"/>
  <c r="CJ26" i="23"/>
  <c r="I128" i="30"/>
  <c r="I113" i="30" s="1"/>
  <c r="CJ33" i="23"/>
  <c r="CJ34" i="23"/>
  <c r="CJ45" i="23"/>
  <c r="CH65" i="24"/>
  <c r="CI42" i="29"/>
  <c r="CI66" i="29" s="1"/>
  <c r="CI32" i="29"/>
  <c r="J135" i="30" s="1"/>
  <c r="CI40" i="29"/>
  <c r="CI65" i="29" s="1"/>
  <c r="CI41" i="24"/>
  <c r="J144" i="26" s="1"/>
  <c r="CI45" i="24"/>
  <c r="J148" i="26" s="1"/>
  <c r="BQ65" i="24"/>
  <c r="J135" i="27"/>
  <c r="J6" i="27"/>
  <c r="J143" i="27"/>
  <c r="J119" i="27" s="1"/>
  <c r="J146" i="27"/>
  <c r="J110" i="27"/>
  <c r="J148" i="27"/>
  <c r="J137" i="27"/>
  <c r="J138" i="27"/>
  <c r="J140" i="27"/>
  <c r="J118" i="27" s="1"/>
  <c r="J144" i="27"/>
  <c r="J136" i="27"/>
  <c r="CH64" i="24"/>
  <c r="J147" i="27"/>
  <c r="CH65" i="29"/>
  <c r="BR25" i="24"/>
  <c r="BR61" i="24" s="1"/>
  <c r="BR44" i="24"/>
  <c r="BR35" i="24"/>
  <c r="BR42" i="24"/>
  <c r="BR66" i="24" s="1"/>
  <c r="CI40" i="24"/>
  <c r="BQ61" i="24"/>
  <c r="BQ62" i="24"/>
  <c r="M27" i="3"/>
  <c r="E20" i="35"/>
  <c r="W20" i="35" s="1"/>
  <c r="D20" i="35"/>
  <c r="V20" i="35" s="1"/>
  <c r="I117" i="27"/>
  <c r="BR46" i="24"/>
  <c r="BR67" i="24" s="1"/>
  <c r="BR33" i="24"/>
  <c r="BR45" i="24"/>
  <c r="BR40" i="24"/>
  <c r="BR34" i="24"/>
  <c r="BR32" i="24"/>
  <c r="I142" i="26"/>
  <c r="I118" i="26" s="1"/>
  <c r="CI27" i="24"/>
  <c r="CI62" i="24" s="1"/>
  <c r="CI28" i="29"/>
  <c r="J131" i="30" s="1"/>
  <c r="AA52" i="29"/>
  <c r="I121" i="29" s="1"/>
  <c r="G121" i="29" s="1"/>
  <c r="Y52" i="29"/>
  <c r="AA59" i="29"/>
  <c r="Y59" i="29"/>
  <c r="Y68" i="29"/>
  <c r="AA68" i="29"/>
  <c r="O140" i="29" s="1"/>
  <c r="M140" i="29" s="1"/>
  <c r="AA65" i="29"/>
  <c r="I140" i="29" s="1"/>
  <c r="G140" i="29" s="1"/>
  <c r="Y65" i="29"/>
  <c r="BR38" i="24"/>
  <c r="BR36" i="24"/>
  <c r="BR41" i="24"/>
  <c r="BR37" i="24"/>
  <c r="BR43" i="24"/>
  <c r="AA54" i="23"/>
  <c r="O121" i="23" s="1"/>
  <c r="M121" i="23" s="1"/>
  <c r="Y54" i="23"/>
  <c r="AA64" i="23"/>
  <c r="I140" i="23" s="1"/>
  <c r="G140" i="23" s="1"/>
  <c r="Y64" i="23"/>
  <c r="AA52" i="1"/>
  <c r="I121" i="1" s="1"/>
  <c r="G121" i="1" s="1"/>
  <c r="Y52" i="1"/>
  <c r="BR39" i="24"/>
  <c r="BR27" i="24"/>
  <c r="BR28" i="24"/>
  <c r="N11" i="24"/>
  <c r="CJ9" i="24"/>
  <c r="CJ10" i="24" s="1"/>
  <c r="O9" i="24"/>
  <c r="BS9" i="24" s="1"/>
  <c r="BS10" i="24" s="1"/>
  <c r="BS36" i="24" s="1"/>
  <c r="BR29" i="24"/>
  <c r="N75" i="58"/>
  <c r="Y50" i="1"/>
  <c r="N191" i="1"/>
  <c r="N221" i="1" s="1"/>
  <c r="I145" i="30"/>
  <c r="CH62" i="29"/>
  <c r="CI28" i="1"/>
  <c r="J132" i="5" s="1"/>
  <c r="CH68" i="29"/>
  <c r="CI24" i="29"/>
  <c r="CI60" i="29" s="1"/>
  <c r="CI45" i="29"/>
  <c r="J148" i="30" s="1"/>
  <c r="CI29" i="29"/>
  <c r="J132" i="30" s="1"/>
  <c r="CI46" i="29"/>
  <c r="CI67" i="29" s="1"/>
  <c r="CI35" i="29"/>
  <c r="J138" i="30" s="1"/>
  <c r="CI36" i="29"/>
  <c r="J139" i="30" s="1"/>
  <c r="CI34" i="29"/>
  <c r="CI26" i="29"/>
  <c r="CI61" i="29" s="1"/>
  <c r="CI27" i="29"/>
  <c r="J130" i="30" s="1"/>
  <c r="CI43" i="29"/>
  <c r="J146" i="30" s="1"/>
  <c r="BQ62" i="29"/>
  <c r="CI23" i="29"/>
  <c r="CI59" i="29" s="1"/>
  <c r="CI38" i="29"/>
  <c r="CI64" i="29" s="1"/>
  <c r="I118" i="27"/>
  <c r="I114" i="27"/>
  <c r="BQ63" i="29"/>
  <c r="BQ64" i="29"/>
  <c r="J142" i="30"/>
  <c r="CH63" i="29"/>
  <c r="J136" i="30"/>
  <c r="J140" i="30"/>
  <c r="J147" i="30"/>
  <c r="J144" i="30"/>
  <c r="CI64" i="23"/>
  <c r="CI65" i="23"/>
  <c r="CI63" i="23"/>
  <c r="CH63" i="24"/>
  <c r="CH62" i="24"/>
  <c r="BQ68" i="29"/>
  <c r="BQ48" i="29"/>
  <c r="J57" i="30" s="1"/>
  <c r="I126" i="30"/>
  <c r="I111" i="30" s="1"/>
  <c r="CH48" i="29"/>
  <c r="I142" i="30"/>
  <c r="I117" i="30" s="1"/>
  <c r="J145" i="30"/>
  <c r="J145" i="27"/>
  <c r="J149" i="27"/>
  <c r="I146" i="26"/>
  <c r="I145" i="26"/>
  <c r="I131" i="26"/>
  <c r="I115" i="26" s="1"/>
  <c r="I134" i="27"/>
  <c r="I116" i="27" s="1"/>
  <c r="J139" i="27"/>
  <c r="CI68" i="23"/>
  <c r="CJ41" i="23"/>
  <c r="CJ65" i="23" s="1"/>
  <c r="CH64" i="29"/>
  <c r="CJ44" i="23"/>
  <c r="K147" i="27" s="1"/>
  <c r="CJ39" i="23"/>
  <c r="K142" i="27" s="1"/>
  <c r="CJ29" i="23"/>
  <c r="CJ35" i="23"/>
  <c r="K138" i="27" s="1"/>
  <c r="CJ38" i="23"/>
  <c r="K141" i="27" s="1"/>
  <c r="CJ36" i="23"/>
  <c r="K139" i="27" s="1"/>
  <c r="D16" i="30"/>
  <c r="D58" i="30" s="1"/>
  <c r="H113" i="30"/>
  <c r="H135" i="5"/>
  <c r="H117" i="5" s="1"/>
  <c r="BP64" i="1"/>
  <c r="CI61" i="24"/>
  <c r="BR67" i="23"/>
  <c r="CJ46" i="23"/>
  <c r="CJ67" i="23" s="1"/>
  <c r="BR62" i="23"/>
  <c r="CJ27" i="23"/>
  <c r="BR68" i="23"/>
  <c r="CJ43" i="23"/>
  <c r="BR61" i="23"/>
  <c r="CJ25" i="23"/>
  <c r="CJ61" i="23" s="1"/>
  <c r="BR66" i="23"/>
  <c r="CJ42" i="23"/>
  <c r="CJ66" i="23" s="1"/>
  <c r="BR63" i="23"/>
  <c r="BR64" i="23"/>
  <c r="BR65" i="23"/>
  <c r="CI40" i="1"/>
  <c r="J144" i="5" s="1"/>
  <c r="J120" i="5" s="1"/>
  <c r="CI36" i="1"/>
  <c r="J140" i="5" s="1"/>
  <c r="CI45" i="1"/>
  <c r="J149" i="5" s="1"/>
  <c r="CI33" i="1"/>
  <c r="J137" i="5" s="1"/>
  <c r="CH37" i="1"/>
  <c r="I141" i="5" s="1"/>
  <c r="BQ62" i="1"/>
  <c r="CH46" i="1"/>
  <c r="CH67" i="1" s="1"/>
  <c r="BP67" i="1"/>
  <c r="CI25" i="1"/>
  <c r="BQ61" i="1"/>
  <c r="CH32" i="1"/>
  <c r="CH63" i="1" s="1"/>
  <c r="BP63" i="1"/>
  <c r="CH27" i="1"/>
  <c r="CH62" i="1" s="1"/>
  <c r="BP62" i="1"/>
  <c r="BQ63" i="1"/>
  <c r="BQ64" i="1"/>
  <c r="CH25" i="1"/>
  <c r="CH61" i="1" s="1"/>
  <c r="BP61" i="1"/>
  <c r="CH43" i="1"/>
  <c r="CH68" i="1" s="1"/>
  <c r="BP68" i="1"/>
  <c r="CH42" i="1"/>
  <c r="CH66" i="1" s="1"/>
  <c r="BP66" i="1"/>
  <c r="BQ68" i="1"/>
  <c r="BQ65" i="1"/>
  <c r="BP65" i="1"/>
  <c r="BR48" i="29"/>
  <c r="K57" i="30" s="1"/>
  <c r="BR62" i="29"/>
  <c r="BR61" i="29"/>
  <c r="BS58" i="29"/>
  <c r="BR68" i="29"/>
  <c r="BR65" i="29"/>
  <c r="BR63" i="29"/>
  <c r="BR64" i="29"/>
  <c r="CD24" i="24"/>
  <c r="CD60" i="24" s="1"/>
  <c r="BL60" i="24"/>
  <c r="CI63" i="24"/>
  <c r="CI64" i="24"/>
  <c r="CH61" i="24"/>
  <c r="CH65" i="1"/>
  <c r="CI26" i="1"/>
  <c r="CI29" i="1"/>
  <c r="J133" i="5" s="1"/>
  <c r="CI27" i="1"/>
  <c r="J131" i="5" s="1"/>
  <c r="H134" i="30"/>
  <c r="H115" i="30" s="1"/>
  <c r="CI37" i="1"/>
  <c r="J141" i="5" s="1"/>
  <c r="CI46" i="1"/>
  <c r="CI67" i="1" s="1"/>
  <c r="CI34" i="1"/>
  <c r="J138" i="5" s="1"/>
  <c r="CI43" i="1"/>
  <c r="J147" i="5" s="1"/>
  <c r="CI32" i="1"/>
  <c r="CI38" i="1"/>
  <c r="J142" i="5" s="1"/>
  <c r="CI35" i="1"/>
  <c r="J139" i="5" s="1"/>
  <c r="AI33" i="29"/>
  <c r="CJ33" i="29" s="1"/>
  <c r="AI36" i="29"/>
  <c r="CJ36" i="29" s="1"/>
  <c r="AI39" i="29"/>
  <c r="CJ39" i="29" s="1"/>
  <c r="AI34" i="29"/>
  <c r="CJ34" i="29" s="1"/>
  <c r="AI37" i="29"/>
  <c r="CJ37" i="29" s="1"/>
  <c r="AI42" i="29"/>
  <c r="CJ42" i="29" s="1"/>
  <c r="AI35" i="29"/>
  <c r="CJ35" i="29" s="1"/>
  <c r="AI38" i="29"/>
  <c r="CJ38" i="29" s="1"/>
  <c r="AI40" i="29"/>
  <c r="CJ40" i="29" s="1"/>
  <c r="AI43" i="29"/>
  <c r="CJ43" i="29" s="1"/>
  <c r="AI46" i="29"/>
  <c r="CJ46" i="29" s="1"/>
  <c r="AI41" i="29"/>
  <c r="CJ41" i="29" s="1"/>
  <c r="AI26" i="29"/>
  <c r="CJ26" i="29" s="1"/>
  <c r="AI29" i="29"/>
  <c r="CJ29" i="29" s="1"/>
  <c r="AI44" i="29"/>
  <c r="CJ44" i="29" s="1"/>
  <c r="AI32" i="29"/>
  <c r="CJ32" i="29" s="1"/>
  <c r="AI23" i="29"/>
  <c r="CJ23" i="29" s="1"/>
  <c r="AI45" i="29"/>
  <c r="CJ45" i="29" s="1"/>
  <c r="AI24" i="29"/>
  <c r="CJ24" i="29" s="1"/>
  <c r="CJ60" i="29" s="1"/>
  <c r="AI27" i="29"/>
  <c r="CJ27" i="29" s="1"/>
  <c r="AI25" i="29"/>
  <c r="CJ25" i="29" s="1"/>
  <c r="AI28" i="29"/>
  <c r="CJ28" i="29" s="1"/>
  <c r="CI42" i="1"/>
  <c r="CI66" i="1" s="1"/>
  <c r="CI41" i="1"/>
  <c r="J145" i="5" s="1"/>
  <c r="CI44" i="1"/>
  <c r="J148" i="5" s="1"/>
  <c r="AI41" i="24"/>
  <c r="AI44" i="24"/>
  <c r="CJ44" i="24" s="1"/>
  <c r="AI26" i="24"/>
  <c r="CJ26" i="24" s="1"/>
  <c r="AI29" i="24"/>
  <c r="AI32" i="24"/>
  <c r="CJ32" i="24" s="1"/>
  <c r="AI34" i="24"/>
  <c r="CJ34" i="24" s="1"/>
  <c r="AI37" i="24"/>
  <c r="AI23" i="24"/>
  <c r="AI42" i="24"/>
  <c r="CJ42" i="24" s="1"/>
  <c r="CJ66" i="24" s="1"/>
  <c r="AI45" i="24"/>
  <c r="AI24" i="24"/>
  <c r="AI27" i="24"/>
  <c r="AI35" i="24"/>
  <c r="CJ35" i="24" s="1"/>
  <c r="AI38" i="24"/>
  <c r="AI43" i="24"/>
  <c r="AI28" i="24"/>
  <c r="AI36" i="24"/>
  <c r="AI46" i="24"/>
  <c r="AI39" i="24"/>
  <c r="AI40" i="24"/>
  <c r="CJ40" i="24" s="1"/>
  <c r="AI25" i="24"/>
  <c r="CJ25" i="24" s="1"/>
  <c r="AI33" i="24"/>
  <c r="CJ33" i="24" s="1"/>
  <c r="AJ21" i="1"/>
  <c r="AI42" i="1"/>
  <c r="AI45" i="1"/>
  <c r="AI24" i="1"/>
  <c r="AI27" i="1"/>
  <c r="AI35" i="1"/>
  <c r="AI38" i="1"/>
  <c r="AI40" i="1"/>
  <c r="AI43" i="1"/>
  <c r="AI46" i="1"/>
  <c r="AI25" i="1"/>
  <c r="AI28" i="1"/>
  <c r="AI33" i="1"/>
  <c r="AI36" i="1"/>
  <c r="AI39" i="1"/>
  <c r="AI41" i="1"/>
  <c r="AI44" i="1"/>
  <c r="AI26" i="1"/>
  <c r="AI29" i="1"/>
  <c r="AI32" i="1"/>
  <c r="AI37" i="1"/>
  <c r="AI34" i="1"/>
  <c r="AI23" i="1"/>
  <c r="AJ40" i="23"/>
  <c r="AJ43" i="23"/>
  <c r="AJ46" i="23"/>
  <c r="AJ25" i="23"/>
  <c r="AJ28" i="23"/>
  <c r="AJ34" i="23"/>
  <c r="AJ37" i="23"/>
  <c r="AJ32" i="23"/>
  <c r="AJ41" i="23"/>
  <c r="AJ44" i="23"/>
  <c r="AJ26" i="23"/>
  <c r="AJ29" i="23"/>
  <c r="AJ23" i="23"/>
  <c r="AJ33" i="23"/>
  <c r="AJ36" i="23"/>
  <c r="AJ39" i="23"/>
  <c r="AJ24" i="23"/>
  <c r="AJ35" i="23"/>
  <c r="AJ42" i="23"/>
  <c r="AJ27" i="23"/>
  <c r="AJ38" i="23"/>
  <c r="AJ45" i="23"/>
  <c r="CI39" i="1"/>
  <c r="J143" i="5" s="1"/>
  <c r="I145" i="5"/>
  <c r="I148" i="5"/>
  <c r="I138" i="5"/>
  <c r="I139" i="5"/>
  <c r="I140" i="5"/>
  <c r="I149" i="5"/>
  <c r="I137" i="5"/>
  <c r="I142" i="5"/>
  <c r="I143" i="5"/>
  <c r="I132" i="5"/>
  <c r="I133" i="5"/>
  <c r="I130" i="5"/>
  <c r="H125" i="30"/>
  <c r="H110" i="30" s="1"/>
  <c r="H151" i="30"/>
  <c r="H152" i="30" s="1"/>
  <c r="H7" i="30" s="1"/>
  <c r="J100" i="26"/>
  <c r="J41" i="26"/>
  <c r="AA52" i="24"/>
  <c r="I121" i="24" s="1"/>
  <c r="G121" i="24" s="1"/>
  <c r="Y52" i="24"/>
  <c r="J100" i="30"/>
  <c r="J41" i="30"/>
  <c r="K41" i="27"/>
  <c r="K100" i="27"/>
  <c r="C65" i="3"/>
  <c r="AD65" i="3"/>
  <c r="AC65" i="3"/>
  <c r="AE65" i="3"/>
  <c r="B66" i="3"/>
  <c r="CK21" i="1"/>
  <c r="CJ58" i="1"/>
  <c r="K125" i="5"/>
  <c r="K31" i="5" s="1"/>
  <c r="O21" i="1"/>
  <c r="O62" i="1" s="1"/>
  <c r="BS21" i="1"/>
  <c r="BR58" i="1"/>
  <c r="G8" i="30"/>
  <c r="G7" i="30"/>
  <c r="G11" i="30"/>
  <c r="G15" i="30"/>
  <c r="G9" i="30"/>
  <c r="G10" i="30"/>
  <c r="G12" i="30"/>
  <c r="F152" i="30"/>
  <c r="G13" i="30"/>
  <c r="E15" i="30"/>
  <c r="E7" i="30"/>
  <c r="E14" i="30"/>
  <c r="E11" i="30"/>
  <c r="E8" i="30"/>
  <c r="E13" i="30"/>
  <c r="E9" i="30"/>
  <c r="E10" i="30"/>
  <c r="E12" i="30"/>
  <c r="H116" i="26"/>
  <c r="J18" i="27"/>
  <c r="J56" i="27"/>
  <c r="O100" i="23"/>
  <c r="O98" i="23"/>
  <c r="O87" i="23"/>
  <c r="O77" i="23"/>
  <c r="O91" i="23"/>
  <c r="O89" i="23"/>
  <c r="O79" i="23"/>
  <c r="O93" i="23"/>
  <c r="O81" i="23"/>
  <c r="O96" i="23"/>
  <c r="O97" i="23"/>
  <c r="O95" i="23"/>
  <c r="O99" i="23"/>
  <c r="O83" i="23"/>
  <c r="O88" i="23"/>
  <c r="O86" i="23"/>
  <c r="O78" i="23"/>
  <c r="O90" i="23"/>
  <c r="O94" i="23"/>
  <c r="O92" i="23"/>
  <c r="O80" i="23"/>
  <c r="O82" i="23"/>
  <c r="N81" i="24"/>
  <c r="N83" i="24"/>
  <c r="N98" i="24"/>
  <c r="N92" i="24"/>
  <c r="N86" i="24"/>
  <c r="N78" i="24"/>
  <c r="N100" i="24"/>
  <c r="N96" i="24"/>
  <c r="N94" i="24"/>
  <c r="N90" i="24"/>
  <c r="N88" i="24"/>
  <c r="N80" i="24"/>
  <c r="N82" i="24"/>
  <c r="N97" i="24"/>
  <c r="N93" i="24"/>
  <c r="N95" i="24"/>
  <c r="N89" i="24"/>
  <c r="N99" i="24"/>
  <c r="N91" i="24"/>
  <c r="N87" i="24"/>
  <c r="N79" i="24"/>
  <c r="N77" i="24"/>
  <c r="Y73" i="24"/>
  <c r="AA73" i="24"/>
  <c r="I159" i="24" s="1"/>
  <c r="G159" i="24" s="1"/>
  <c r="AA68" i="24"/>
  <c r="O140" i="24" s="1"/>
  <c r="M140" i="24" s="1"/>
  <c r="Y68" i="24"/>
  <c r="M101" i="24"/>
  <c r="N99" i="29"/>
  <c r="N97" i="29"/>
  <c r="N95" i="29"/>
  <c r="N93" i="29"/>
  <c r="N80" i="29"/>
  <c r="N91" i="29"/>
  <c r="N89" i="29"/>
  <c r="N82" i="29"/>
  <c r="N87" i="29"/>
  <c r="N77" i="29"/>
  <c r="N100" i="29"/>
  <c r="N98" i="29"/>
  <c r="N96" i="29"/>
  <c r="N79" i="29"/>
  <c r="N94" i="29"/>
  <c r="N92" i="29"/>
  <c r="N81" i="29"/>
  <c r="N90" i="29"/>
  <c r="N47" i="29"/>
  <c r="N101" i="29" s="1"/>
  <c r="N88" i="29"/>
  <c r="N86" i="29"/>
  <c r="N83" i="29"/>
  <c r="N78" i="29"/>
  <c r="M101" i="29"/>
  <c r="AA50" i="29"/>
  <c r="C121" i="29" s="1"/>
  <c r="B121" i="29" s="1"/>
  <c r="Y50" i="29"/>
  <c r="AA73" i="29"/>
  <c r="I159" i="29" s="1"/>
  <c r="G159" i="29" s="1"/>
  <c r="Y73" i="29"/>
  <c r="DF23" i="23"/>
  <c r="M101" i="1"/>
  <c r="BS33" i="29"/>
  <c r="BS36" i="29"/>
  <c r="BS39" i="29"/>
  <c r="BS42" i="29"/>
  <c r="BS66" i="29" s="1"/>
  <c r="BS45" i="29"/>
  <c r="BS24" i="29"/>
  <c r="BS60" i="29" s="1"/>
  <c r="BS27" i="29"/>
  <c r="BS34" i="29"/>
  <c r="BS37" i="29"/>
  <c r="BS40" i="29"/>
  <c r="BS43" i="29"/>
  <c r="BS46" i="29"/>
  <c r="BS67" i="29" s="1"/>
  <c r="BS25" i="29"/>
  <c r="BS28" i="29"/>
  <c r="BS32" i="29"/>
  <c r="BS35" i="29"/>
  <c r="BS38" i="29"/>
  <c r="BS41" i="29"/>
  <c r="BS44" i="29"/>
  <c r="BS26" i="29"/>
  <c r="BS29" i="29"/>
  <c r="BS23" i="29"/>
  <c r="BS59" i="29" s="1"/>
  <c r="BS28" i="24"/>
  <c r="DH24" i="24"/>
  <c r="DG23" i="24"/>
  <c r="DI23" i="23"/>
  <c r="CX23" i="23"/>
  <c r="BN23" i="23" s="1"/>
  <c r="CZ23" i="23"/>
  <c r="BP23" i="23" s="1"/>
  <c r="DB23" i="23"/>
  <c r="BR23" i="23" s="1"/>
  <c r="CU23" i="23"/>
  <c r="BK23" i="23" s="1"/>
  <c r="CY23" i="23"/>
  <c r="BO23" i="23" s="1"/>
  <c r="DC23" i="23"/>
  <c r="BS23" i="23" s="1"/>
  <c r="DA23" i="23"/>
  <c r="BQ23" i="23" s="1"/>
  <c r="CV23" i="23"/>
  <c r="BL23" i="23" s="1"/>
  <c r="CW23" i="23"/>
  <c r="BM23" i="23" s="1"/>
  <c r="DD23" i="23"/>
  <c r="DI23" i="24"/>
  <c r="CZ23" i="24"/>
  <c r="BP23" i="24" s="1"/>
  <c r="CY23" i="24"/>
  <c r="BO23" i="24" s="1"/>
  <c r="CU23" i="24"/>
  <c r="BK23" i="24" s="1"/>
  <c r="CW23" i="24"/>
  <c r="BM23" i="24" s="1"/>
  <c r="CV23" i="24"/>
  <c r="BL23" i="24" s="1"/>
  <c r="DC23" i="24"/>
  <c r="CX23" i="24"/>
  <c r="BN23" i="24" s="1"/>
  <c r="DB23" i="24"/>
  <c r="BR23" i="24" s="1"/>
  <c r="BR59" i="24" s="1"/>
  <c r="DI24" i="24"/>
  <c r="CW24" i="24"/>
  <c r="BM24" i="24" s="1"/>
  <c r="DB24" i="24"/>
  <c r="BR24" i="24" s="1"/>
  <c r="BR60" i="24" s="1"/>
  <c r="DD24" i="24"/>
  <c r="CZ24" i="24"/>
  <c r="BP24" i="24" s="1"/>
  <c r="DC24" i="24"/>
  <c r="CU24" i="24"/>
  <c r="BK24" i="24" s="1"/>
  <c r="DA24" i="24"/>
  <c r="BQ24" i="24" s="1"/>
  <c r="CX24" i="24"/>
  <c r="BN24" i="24" s="1"/>
  <c r="CY24" i="24"/>
  <c r="BO24" i="24" s="1"/>
  <c r="DE24" i="24"/>
  <c r="DF24" i="24"/>
  <c r="EC24" i="23"/>
  <c r="DF24" i="23" s="1"/>
  <c r="DE23" i="24"/>
  <c r="DF23" i="24"/>
  <c r="DE23" i="23"/>
  <c r="DG23" i="23"/>
  <c r="DA23" i="24"/>
  <c r="BQ23" i="24" s="1"/>
  <c r="DD23" i="24"/>
  <c r="DH23" i="24"/>
  <c r="DG24" i="24"/>
  <c r="EC24" i="1"/>
  <c r="DH24" i="1" s="1"/>
  <c r="EC23" i="1"/>
  <c r="BS26" i="23"/>
  <c r="BS27" i="23"/>
  <c r="BS25" i="23"/>
  <c r="BS28" i="23"/>
  <c r="BS29" i="23"/>
  <c r="BS40" i="23"/>
  <c r="BS38" i="23"/>
  <c r="BS41" i="23"/>
  <c r="BS43" i="23"/>
  <c r="BS45" i="23"/>
  <c r="BS44" i="23"/>
  <c r="BS33" i="23"/>
  <c r="BS42" i="23"/>
  <c r="BS39" i="23"/>
  <c r="BS46" i="23"/>
  <c r="BS32" i="23"/>
  <c r="BS34" i="23"/>
  <c r="BS36" i="23"/>
  <c r="BS35" i="23"/>
  <c r="BS37" i="23"/>
  <c r="BR25" i="1"/>
  <c r="BR27" i="1"/>
  <c r="BR29" i="1"/>
  <c r="BR26" i="1"/>
  <c r="BR28" i="1"/>
  <c r="DU21" i="1"/>
  <c r="BR33" i="1"/>
  <c r="BR36" i="1"/>
  <c r="BR39" i="1"/>
  <c r="BR42" i="1"/>
  <c r="BR66" i="1" s="1"/>
  <c r="BR45" i="1"/>
  <c r="BR34" i="1"/>
  <c r="BR37" i="1"/>
  <c r="BR40" i="1"/>
  <c r="BR46" i="1"/>
  <c r="BR67" i="1" s="1"/>
  <c r="BR43" i="1"/>
  <c r="BR32" i="1"/>
  <c r="BR35" i="1"/>
  <c r="BR38" i="1"/>
  <c r="BR41" i="1"/>
  <c r="BR44" i="1"/>
  <c r="I115" i="27"/>
  <c r="J132" i="27"/>
  <c r="J128" i="27"/>
  <c r="J129" i="26"/>
  <c r="J132" i="26"/>
  <c r="J128" i="26"/>
  <c r="J131" i="26"/>
  <c r="J131" i="27"/>
  <c r="J130" i="27"/>
  <c r="J129" i="27"/>
  <c r="I20" i="35"/>
  <c r="AA20" i="35" s="1"/>
  <c r="H20" i="35"/>
  <c r="Z20" i="35" s="1"/>
  <c r="AI34" i="41"/>
  <c r="L20" i="35"/>
  <c r="AD20" i="35" s="1"/>
  <c r="M20" i="35"/>
  <c r="AE19" i="35"/>
  <c r="U19" i="35"/>
  <c r="I114" i="26"/>
  <c r="B21" i="35"/>
  <c r="T20" i="35"/>
  <c r="G20" i="35"/>
  <c r="Y20" i="35" s="1"/>
  <c r="F20" i="35"/>
  <c r="X20" i="35" s="1"/>
  <c r="AF20" i="35"/>
  <c r="C20" i="35" s="1"/>
  <c r="AB46" i="41" s="1"/>
  <c r="I117" i="26"/>
  <c r="CK30" i="29"/>
  <c r="CL21" i="29"/>
  <c r="CL58" i="29" s="1"/>
  <c r="I101" i="5"/>
  <c r="I18" i="30"/>
  <c r="I116" i="30"/>
  <c r="DV21" i="24"/>
  <c r="I18" i="26"/>
  <c r="K124" i="26"/>
  <c r="K31" i="26" s="1"/>
  <c r="N177" i="24"/>
  <c r="N47" i="24"/>
  <c r="O21" i="24"/>
  <c r="CK9" i="24"/>
  <c r="CK10" i="24" s="1"/>
  <c r="O11" i="24"/>
  <c r="P9" i="24"/>
  <c r="BT9" i="24" s="1"/>
  <c r="BT10" i="24" s="1"/>
  <c r="J109" i="30"/>
  <c r="J128" i="30"/>
  <c r="J6" i="30"/>
  <c r="J56" i="30" s="1"/>
  <c r="AJ21" i="24"/>
  <c r="L124" i="27"/>
  <c r="L31" i="27" s="1"/>
  <c r="O177" i="23"/>
  <c r="O47" i="23"/>
  <c r="O101" i="23" s="1"/>
  <c r="P21" i="23"/>
  <c r="K110" i="27"/>
  <c r="K6" i="27"/>
  <c r="CK9" i="29"/>
  <c r="CK10" i="29" s="1"/>
  <c r="O11" i="29"/>
  <c r="P9" i="29"/>
  <c r="BT9" i="29" s="1"/>
  <c r="BT10" i="29" s="1"/>
  <c r="N159" i="3"/>
  <c r="N160" i="3" s="1"/>
  <c r="N11" i="1"/>
  <c r="BS9" i="1"/>
  <c r="BS10" i="1" s="1"/>
  <c r="CJ9" i="1"/>
  <c r="CJ10" i="1" s="1"/>
  <c r="J142" i="26"/>
  <c r="J139" i="26"/>
  <c r="J135" i="26"/>
  <c r="J147" i="26"/>
  <c r="J141" i="26"/>
  <c r="J138" i="26"/>
  <c r="J149" i="26"/>
  <c r="J146" i="26"/>
  <c r="J143" i="26"/>
  <c r="J119" i="26" s="1"/>
  <c r="J140" i="26"/>
  <c r="J137" i="26"/>
  <c r="J110" i="26"/>
  <c r="J145" i="26"/>
  <c r="J136" i="26"/>
  <c r="J6" i="26"/>
  <c r="J56" i="26" s="1"/>
  <c r="N98" i="1"/>
  <c r="N94" i="1"/>
  <c r="N90" i="1"/>
  <c r="N86" i="1"/>
  <c r="N80" i="1"/>
  <c r="N97" i="1"/>
  <c r="N93" i="1"/>
  <c r="N89" i="1"/>
  <c r="N83" i="1"/>
  <c r="N79" i="1"/>
  <c r="N99" i="1"/>
  <c r="N91" i="1"/>
  <c r="N81" i="1"/>
  <c r="N177" i="1"/>
  <c r="N100" i="1"/>
  <c r="N96" i="1"/>
  <c r="N92" i="1"/>
  <c r="N88" i="1"/>
  <c r="N82" i="1"/>
  <c r="N78" i="1"/>
  <c r="N47" i="1"/>
  <c r="N95" i="1"/>
  <c r="N87" i="1"/>
  <c r="N77" i="1"/>
  <c r="BT21" i="29"/>
  <c r="O11" i="23"/>
  <c r="P9" i="23"/>
  <c r="BT9" i="23" s="1"/>
  <c r="BT10" i="23" s="1"/>
  <c r="CK9" i="23"/>
  <c r="CK10" i="23" s="1"/>
  <c r="I18" i="5"/>
  <c r="AJ21" i="29"/>
  <c r="DD31" i="1"/>
  <c r="K124" i="30"/>
  <c r="K31" i="30" s="1"/>
  <c r="N177" i="29"/>
  <c r="O21" i="29"/>
  <c r="AK21" i="23"/>
  <c r="I114" i="30"/>
  <c r="K137" i="27"/>
  <c r="K148" i="27"/>
  <c r="K143" i="27"/>
  <c r="K119" i="27" s="1"/>
  <c r="DU21" i="23"/>
  <c r="K135" i="27"/>
  <c r="K140" i="27"/>
  <c r="K136" i="27"/>
  <c r="AB17" i="3"/>
  <c r="J111" i="5"/>
  <c r="J6" i="5"/>
  <c r="J56" i="5" s="1"/>
  <c r="O75" i="58" a="1"/>
  <c r="CK27" i="23" l="1"/>
  <c r="CJ45" i="1"/>
  <c r="CI68" i="24"/>
  <c r="J143" i="30"/>
  <c r="J118" i="30" s="1"/>
  <c r="J130" i="26"/>
  <c r="CK29" i="23"/>
  <c r="CK26" i="23"/>
  <c r="CJ28" i="1"/>
  <c r="K132" i="5" s="1"/>
  <c r="CI65" i="24"/>
  <c r="CJ34" i="1"/>
  <c r="K138" i="5" s="1"/>
  <c r="CK40" i="23"/>
  <c r="J117" i="27"/>
  <c r="CK33" i="23"/>
  <c r="L136" i="27" s="1"/>
  <c r="DH23" i="1"/>
  <c r="DI23" i="1"/>
  <c r="J127" i="30"/>
  <c r="J112" i="30" s="1"/>
  <c r="CJ45" i="24"/>
  <c r="K148" i="26" s="1"/>
  <c r="I134" i="26"/>
  <c r="BR68" i="24"/>
  <c r="BS23" i="24"/>
  <c r="BS26" i="24"/>
  <c r="BS24" i="24"/>
  <c r="BS60" i="24" s="1"/>
  <c r="BS29" i="24"/>
  <c r="BS25" i="24"/>
  <c r="BS61" i="24" s="1"/>
  <c r="BS27" i="24"/>
  <c r="CJ37" i="24"/>
  <c r="K140" i="26" s="1"/>
  <c r="CJ36" i="24"/>
  <c r="CJ63" i="24" s="1"/>
  <c r="CJ43" i="24"/>
  <c r="CJ41" i="24"/>
  <c r="CJ65" i="24" s="1"/>
  <c r="CJ46" i="24"/>
  <c r="CJ67" i="24" s="1"/>
  <c r="BS32" i="24"/>
  <c r="K144" i="27"/>
  <c r="BR65" i="24"/>
  <c r="CJ27" i="1"/>
  <c r="K131" i="5" s="1"/>
  <c r="CJ44" i="1"/>
  <c r="K148" i="5" s="1"/>
  <c r="CJ25" i="1"/>
  <c r="K129" i="5" s="1"/>
  <c r="AK27" i="3"/>
  <c r="AF27" i="3"/>
  <c r="AC27" i="3"/>
  <c r="AJ27" i="3"/>
  <c r="AI27" i="3"/>
  <c r="AH27" i="3"/>
  <c r="AG27" i="3"/>
  <c r="AE27" i="3"/>
  <c r="AD27" i="3"/>
  <c r="D21" i="35"/>
  <c r="V21" i="35" s="1"/>
  <c r="E21" i="35"/>
  <c r="W21" i="35" s="1"/>
  <c r="BR63" i="24"/>
  <c r="BS41" i="24"/>
  <c r="BS43" i="24"/>
  <c r="BS37" i="24"/>
  <c r="BR62" i="24"/>
  <c r="BR64" i="24"/>
  <c r="CJ28" i="24"/>
  <c r="K131" i="26" s="1"/>
  <c r="CJ29" i="24"/>
  <c r="K132" i="26" s="1"/>
  <c r="BS45" i="24"/>
  <c r="BS34" i="24"/>
  <c r="BS38" i="24"/>
  <c r="CJ27" i="24"/>
  <c r="K130" i="26" s="1"/>
  <c r="CJ38" i="24"/>
  <c r="K141" i="26" s="1"/>
  <c r="CJ39" i="24"/>
  <c r="K142" i="26" s="1"/>
  <c r="O69" i="29"/>
  <c r="W69" i="29" s="1"/>
  <c r="O62" i="29"/>
  <c r="W62" i="29" s="1"/>
  <c r="O54" i="24"/>
  <c r="W54" i="24" s="1"/>
  <c r="O62" i="24"/>
  <c r="W62" i="24" s="1"/>
  <c r="BS33" i="24"/>
  <c r="BS39" i="24"/>
  <c r="BS35" i="24"/>
  <c r="BS40" i="24"/>
  <c r="BR59" i="23"/>
  <c r="BS46" i="24"/>
  <c r="BS67" i="24" s="1"/>
  <c r="BS42" i="24"/>
  <c r="BS66" i="24" s="1"/>
  <c r="BS44" i="24"/>
  <c r="J134" i="27"/>
  <c r="J116" i="27" s="1"/>
  <c r="O75" i="58"/>
  <c r="J141" i="30"/>
  <c r="J117" i="30" s="1"/>
  <c r="J129" i="30"/>
  <c r="J113" i="30" s="1"/>
  <c r="O191" i="1"/>
  <c r="O221" i="1" s="1"/>
  <c r="I150" i="5"/>
  <c r="CI62" i="29"/>
  <c r="J149" i="30"/>
  <c r="CI48" i="29"/>
  <c r="CI68" i="29"/>
  <c r="J137" i="30"/>
  <c r="J116" i="30" s="1"/>
  <c r="CI63" i="29"/>
  <c r="J126" i="30"/>
  <c r="J111" i="30" s="1"/>
  <c r="I134" i="30"/>
  <c r="I115" i="30" s="1"/>
  <c r="K146" i="30"/>
  <c r="I147" i="5"/>
  <c r="I151" i="30"/>
  <c r="I152" i="30" s="1"/>
  <c r="I15" i="30" s="1"/>
  <c r="I125" i="30"/>
  <c r="I110" i="30" s="1"/>
  <c r="K144" i="30"/>
  <c r="K143" i="30"/>
  <c r="K141" i="30"/>
  <c r="K138" i="30"/>
  <c r="K148" i="30"/>
  <c r="K140" i="30"/>
  <c r="K135" i="30"/>
  <c r="K137" i="30"/>
  <c r="K147" i="30"/>
  <c r="K142" i="30"/>
  <c r="K139" i="30"/>
  <c r="K136" i="30"/>
  <c r="CJ66" i="29"/>
  <c r="K145" i="30"/>
  <c r="CJ67" i="29"/>
  <c r="K149" i="30"/>
  <c r="BS48" i="29"/>
  <c r="L57" i="30" s="1"/>
  <c r="CJ41" i="1"/>
  <c r="K145" i="5" s="1"/>
  <c r="CJ36" i="1"/>
  <c r="K140" i="5" s="1"/>
  <c r="CK28" i="23"/>
  <c r="CJ39" i="1"/>
  <c r="K143" i="5" s="1"/>
  <c r="CJ61" i="24"/>
  <c r="CJ23" i="24"/>
  <c r="CJ59" i="24" s="1"/>
  <c r="BR48" i="24"/>
  <c r="K57" i="26" s="1"/>
  <c r="CJ24" i="24"/>
  <c r="CJ60" i="24" s="1"/>
  <c r="K149" i="27"/>
  <c r="J150" i="5"/>
  <c r="CK40" i="29"/>
  <c r="N101" i="24"/>
  <c r="BT34" i="24"/>
  <c r="BT35" i="24"/>
  <c r="BT40" i="24"/>
  <c r="BT33" i="24"/>
  <c r="BT45" i="24"/>
  <c r="BT46" i="24"/>
  <c r="BT36" i="24"/>
  <c r="BT38" i="24"/>
  <c r="BT42" i="24"/>
  <c r="BT43" i="24"/>
  <c r="BT44" i="24"/>
  <c r="BT41" i="24"/>
  <c r="BT39" i="24"/>
  <c r="BT32" i="24"/>
  <c r="BT37" i="24"/>
  <c r="BS59" i="24"/>
  <c r="CJ62" i="23"/>
  <c r="CJ64" i="23"/>
  <c r="CJ68" i="23"/>
  <c r="CJ63" i="23"/>
  <c r="CK35" i="23"/>
  <c r="L138" i="27" s="1"/>
  <c r="CK34" i="23"/>
  <c r="L137" i="27" s="1"/>
  <c r="CK39" i="23"/>
  <c r="L142" i="27" s="1"/>
  <c r="CJ33" i="1"/>
  <c r="K137" i="5" s="1"/>
  <c r="CK36" i="23"/>
  <c r="L139" i="27" s="1"/>
  <c r="CJ68" i="29"/>
  <c r="CJ23" i="23"/>
  <c r="CJ59" i="23" s="1"/>
  <c r="CK45" i="23"/>
  <c r="L148" i="27" s="1"/>
  <c r="CK41" i="23"/>
  <c r="CK38" i="23"/>
  <c r="L141" i="27" s="1"/>
  <c r="CJ38" i="1"/>
  <c r="K142" i="5" s="1"/>
  <c r="CJ40" i="1"/>
  <c r="CJ35" i="1"/>
  <c r="K139" i="5" s="1"/>
  <c r="CJ32" i="1"/>
  <c r="K136" i="5" s="1"/>
  <c r="CK32" i="23"/>
  <c r="L135" i="27" s="1"/>
  <c r="CK44" i="23"/>
  <c r="L147" i="27" s="1"/>
  <c r="CJ26" i="1"/>
  <c r="CJ29" i="1"/>
  <c r="K133" i="5" s="1"/>
  <c r="CJ63" i="29"/>
  <c r="CJ65" i="29"/>
  <c r="K145" i="27"/>
  <c r="CH64" i="1"/>
  <c r="I129" i="5"/>
  <c r="I115" i="5" s="1"/>
  <c r="CJ61" i="29"/>
  <c r="I136" i="5"/>
  <c r="I118" i="5" s="1"/>
  <c r="CI61" i="1"/>
  <c r="I146" i="5"/>
  <c r="J146" i="5"/>
  <c r="I131" i="5"/>
  <c r="I116" i="5" s="1"/>
  <c r="J130" i="5"/>
  <c r="K146" i="27"/>
  <c r="BS67" i="23"/>
  <c r="CK46" i="23"/>
  <c r="CK67" i="23" s="1"/>
  <c r="BS59" i="23"/>
  <c r="CK23" i="23"/>
  <c r="BS66" i="23"/>
  <c r="CK42" i="23"/>
  <c r="CK66" i="23" s="1"/>
  <c r="BL59" i="23"/>
  <c r="CD23" i="23"/>
  <c r="E126" i="27" s="1"/>
  <c r="E112" i="27" s="1"/>
  <c r="BT41" i="23"/>
  <c r="BT45" i="23"/>
  <c r="BT38" i="23"/>
  <c r="BT46" i="23"/>
  <c r="BT43" i="23"/>
  <c r="BT40" i="23"/>
  <c r="BT42" i="23"/>
  <c r="BT37" i="23"/>
  <c r="BT33" i="23"/>
  <c r="BT39" i="23"/>
  <c r="BT34" i="23"/>
  <c r="BT36" i="23"/>
  <c r="BT35" i="23"/>
  <c r="BT32" i="23"/>
  <c r="BT44" i="23"/>
  <c r="BS61" i="23"/>
  <c r="CK25" i="23"/>
  <c r="CK61" i="23" s="1"/>
  <c r="BQ59" i="23"/>
  <c r="CI23" i="23"/>
  <c r="J126" i="27" s="1"/>
  <c r="J112" i="27" s="1"/>
  <c r="BS68" i="23"/>
  <c r="CK43" i="23"/>
  <c r="BO59" i="23"/>
  <c r="CG23" i="23"/>
  <c r="H126" i="27" s="1"/>
  <c r="H112" i="27" s="1"/>
  <c r="BS64" i="23"/>
  <c r="CK37" i="23"/>
  <c r="BP59" i="23"/>
  <c r="CH23" i="23"/>
  <c r="I126" i="27" s="1"/>
  <c r="I112" i="27" s="1"/>
  <c r="BM59" i="23"/>
  <c r="CE23" i="23"/>
  <c r="F126" i="27" s="1"/>
  <c r="F112" i="27" s="1"/>
  <c r="BN59" i="23"/>
  <c r="CF23" i="23"/>
  <c r="G126" i="27" s="1"/>
  <c r="G112" i="27" s="1"/>
  <c r="BS65" i="23"/>
  <c r="BS63" i="23"/>
  <c r="BS62" i="23"/>
  <c r="CJ46" i="1"/>
  <c r="CJ67" i="1" s="1"/>
  <c r="BR68" i="1"/>
  <c r="BR65" i="1"/>
  <c r="BR64" i="1"/>
  <c r="BR61" i="1"/>
  <c r="CJ42" i="1"/>
  <c r="CJ66" i="1" s="1"/>
  <c r="CJ37" i="1"/>
  <c r="CJ43" i="1"/>
  <c r="BR63" i="1"/>
  <c r="BR62" i="1"/>
  <c r="CJ62" i="29"/>
  <c r="CJ64" i="29"/>
  <c r="CJ59" i="29"/>
  <c r="CJ48" i="29"/>
  <c r="BS64" i="29"/>
  <c r="BT58" i="29"/>
  <c r="BS63" i="29"/>
  <c r="BS61" i="29"/>
  <c r="BS68" i="29"/>
  <c r="BS65" i="29"/>
  <c r="BS62" i="29"/>
  <c r="CE24" i="24"/>
  <c r="CE60" i="24" s="1"/>
  <c r="BM60" i="24"/>
  <c r="J136" i="5"/>
  <c r="CI63" i="1"/>
  <c r="CF23" i="24"/>
  <c r="CF59" i="24" s="1"/>
  <c r="BN59" i="24"/>
  <c r="CI68" i="1"/>
  <c r="CG24" i="24"/>
  <c r="CG60" i="24" s="1"/>
  <c r="BO60" i="24"/>
  <c r="CF24" i="24"/>
  <c r="CF60" i="24" s="1"/>
  <c r="BN60" i="24"/>
  <c r="CD23" i="24"/>
  <c r="CD59" i="24" s="1"/>
  <c r="BL59" i="24"/>
  <c r="CC23" i="23"/>
  <c r="CC59" i="23" s="1"/>
  <c r="BK59" i="23"/>
  <c r="CI65" i="1"/>
  <c r="CH24" i="24"/>
  <c r="CH60" i="24" s="1"/>
  <c r="BP60" i="24"/>
  <c r="CI24" i="24"/>
  <c r="CI60" i="24" s="1"/>
  <c r="BQ60" i="24"/>
  <c r="CE23" i="24"/>
  <c r="CE59" i="24" s="1"/>
  <c r="BM59" i="24"/>
  <c r="CI64" i="1"/>
  <c r="CC24" i="24"/>
  <c r="CC60" i="24" s="1"/>
  <c r="BK60" i="24"/>
  <c r="CC23" i="24"/>
  <c r="CC59" i="24" s="1"/>
  <c r="BK59" i="24"/>
  <c r="CH23" i="24"/>
  <c r="CH59" i="24" s="1"/>
  <c r="BP59" i="24"/>
  <c r="CI23" i="24"/>
  <c r="CI59" i="24" s="1"/>
  <c r="BQ59" i="24"/>
  <c r="CG23" i="24"/>
  <c r="CG59" i="24" s="1"/>
  <c r="BO59" i="24"/>
  <c r="CI62" i="1"/>
  <c r="AK21" i="1"/>
  <c r="AJ34" i="1"/>
  <c r="AJ37" i="1"/>
  <c r="AJ23" i="1"/>
  <c r="AJ42" i="1"/>
  <c r="AJ45" i="1"/>
  <c r="AJ24" i="1"/>
  <c r="AJ27" i="1"/>
  <c r="AJ35" i="1"/>
  <c r="AJ38" i="1"/>
  <c r="AJ40" i="1"/>
  <c r="AJ43" i="1"/>
  <c r="AJ46" i="1"/>
  <c r="AJ25" i="1"/>
  <c r="AJ28" i="1"/>
  <c r="AJ33" i="1"/>
  <c r="AJ36" i="1"/>
  <c r="AJ39" i="1"/>
  <c r="AJ32" i="1"/>
  <c r="AJ41" i="1"/>
  <c r="AJ44" i="1"/>
  <c r="AJ26" i="1"/>
  <c r="AJ29" i="1"/>
  <c r="AK40" i="23"/>
  <c r="AK43" i="23"/>
  <c r="AK46" i="23"/>
  <c r="AK25" i="23"/>
  <c r="AK28" i="23"/>
  <c r="AK34" i="23"/>
  <c r="AK37" i="23"/>
  <c r="AK32" i="23"/>
  <c r="AK35" i="23"/>
  <c r="AK38" i="23"/>
  <c r="AK42" i="23"/>
  <c r="AK45" i="23"/>
  <c r="AK24" i="23"/>
  <c r="AK27" i="23"/>
  <c r="AK39" i="23"/>
  <c r="AK44" i="23"/>
  <c r="AK29" i="23"/>
  <c r="AK33" i="23"/>
  <c r="AK23" i="23"/>
  <c r="AK36" i="23"/>
  <c r="AK41" i="23"/>
  <c r="AK26" i="23"/>
  <c r="AJ41" i="29"/>
  <c r="CK41" i="29" s="1"/>
  <c r="AJ44" i="29"/>
  <c r="CK44" i="29" s="1"/>
  <c r="AJ34" i="29"/>
  <c r="CK34" i="29" s="1"/>
  <c r="AJ37" i="29"/>
  <c r="CK37" i="29" s="1"/>
  <c r="AJ42" i="29"/>
  <c r="CK42" i="29" s="1"/>
  <c r="AJ35" i="29"/>
  <c r="CK35" i="29" s="1"/>
  <c r="AJ38" i="29"/>
  <c r="CK38" i="29" s="1"/>
  <c r="AJ40" i="29"/>
  <c r="AJ43" i="29"/>
  <c r="CK43" i="29" s="1"/>
  <c r="AJ46" i="29"/>
  <c r="CK46" i="29" s="1"/>
  <c r="AJ25" i="29"/>
  <c r="CK25" i="29" s="1"/>
  <c r="AJ28" i="29"/>
  <c r="CK28" i="29" s="1"/>
  <c r="AJ32" i="29"/>
  <c r="CK32" i="29" s="1"/>
  <c r="AJ26" i="29"/>
  <c r="CK26" i="29" s="1"/>
  <c r="AJ29" i="29"/>
  <c r="CK29" i="29" s="1"/>
  <c r="AJ23" i="29"/>
  <c r="CK23" i="29" s="1"/>
  <c r="AJ33" i="29"/>
  <c r="CK33" i="29" s="1"/>
  <c r="AJ36" i="29"/>
  <c r="CK36" i="29" s="1"/>
  <c r="AJ39" i="29"/>
  <c r="CK39" i="29" s="1"/>
  <c r="AJ45" i="29"/>
  <c r="CK45" i="29" s="1"/>
  <c r="AJ27" i="29"/>
  <c r="CK27" i="29" s="1"/>
  <c r="AJ24" i="29"/>
  <c r="CK24" i="29" s="1"/>
  <c r="CK60" i="29" s="1"/>
  <c r="AJ33" i="24"/>
  <c r="CK33" i="24" s="1"/>
  <c r="AJ36" i="24"/>
  <c r="CK36" i="24" s="1"/>
  <c r="AJ39" i="24"/>
  <c r="AJ32" i="24"/>
  <c r="AJ41" i="24"/>
  <c r="CK41" i="24" s="1"/>
  <c r="AJ44" i="24"/>
  <c r="AJ26" i="24"/>
  <c r="CK26" i="24" s="1"/>
  <c r="AJ29" i="24"/>
  <c r="AJ34" i="24"/>
  <c r="CK34" i="24" s="1"/>
  <c r="AJ37" i="24"/>
  <c r="AJ23" i="24"/>
  <c r="CK23" i="24" s="1"/>
  <c r="AJ40" i="24"/>
  <c r="CK40" i="24" s="1"/>
  <c r="AJ43" i="24"/>
  <c r="CK43" i="24" s="1"/>
  <c r="AJ46" i="24"/>
  <c r="AJ25" i="24"/>
  <c r="CK25" i="24" s="1"/>
  <c r="AJ28" i="24"/>
  <c r="CK28" i="24" s="1"/>
  <c r="AJ38" i="24"/>
  <c r="CK38" i="24" s="1"/>
  <c r="AJ24" i="24"/>
  <c r="CK24" i="24" s="1"/>
  <c r="CK60" i="24" s="1"/>
  <c r="AJ42" i="24"/>
  <c r="CK42" i="24" s="1"/>
  <c r="CK66" i="24" s="1"/>
  <c r="AJ27" i="24"/>
  <c r="CK27" i="24" s="1"/>
  <c r="AJ35" i="24"/>
  <c r="CK35" i="24" s="1"/>
  <c r="AJ45" i="24"/>
  <c r="CK45" i="24" s="1"/>
  <c r="BK48" i="24"/>
  <c r="D57" i="26" s="1"/>
  <c r="BO48" i="24"/>
  <c r="H57" i="26" s="1"/>
  <c r="BQ48" i="24"/>
  <c r="J57" i="26" s="1"/>
  <c r="BP48" i="24"/>
  <c r="I57" i="26" s="1"/>
  <c r="BL48" i="24"/>
  <c r="E57" i="26" s="1"/>
  <c r="BN48" i="24"/>
  <c r="G57" i="26" s="1"/>
  <c r="BM48" i="24"/>
  <c r="F57" i="26" s="1"/>
  <c r="H15" i="30"/>
  <c r="H8" i="30"/>
  <c r="H9" i="30"/>
  <c r="H14" i="30"/>
  <c r="H11" i="30"/>
  <c r="H12" i="30"/>
  <c r="H13" i="30"/>
  <c r="H10" i="30"/>
  <c r="K100" i="26"/>
  <c r="K41" i="26"/>
  <c r="K100" i="30"/>
  <c r="K41" i="30"/>
  <c r="L41" i="27"/>
  <c r="L100" i="27"/>
  <c r="K149" i="5"/>
  <c r="CL21" i="1"/>
  <c r="CK58" i="1"/>
  <c r="C66" i="3"/>
  <c r="B67" i="3"/>
  <c r="AE66" i="3"/>
  <c r="AC66" i="3"/>
  <c r="AD66" i="3"/>
  <c r="L125" i="5"/>
  <c r="L31" i="5" s="1"/>
  <c r="P21" i="1"/>
  <c r="BT21" i="1"/>
  <c r="BS58" i="1"/>
  <c r="G16" i="30"/>
  <c r="G58" i="30" s="1"/>
  <c r="I144" i="5"/>
  <c r="I120" i="5" s="1"/>
  <c r="J129" i="5"/>
  <c r="K41" i="5"/>
  <c r="E16" i="30"/>
  <c r="E58" i="30" s="1"/>
  <c r="F12" i="30"/>
  <c r="F11" i="30"/>
  <c r="F8" i="30"/>
  <c r="F14" i="30"/>
  <c r="F7" i="30"/>
  <c r="F9" i="30"/>
  <c r="F13" i="30"/>
  <c r="F10" i="30"/>
  <c r="F15" i="30"/>
  <c r="E127" i="26"/>
  <c r="E113" i="26" s="1"/>
  <c r="I116" i="26"/>
  <c r="K18" i="27"/>
  <c r="K56" i="27"/>
  <c r="J116" i="5"/>
  <c r="P87" i="23"/>
  <c r="P77" i="23"/>
  <c r="P91" i="23"/>
  <c r="P89" i="23"/>
  <c r="P79" i="23"/>
  <c r="P93" i="23"/>
  <c r="P81" i="23"/>
  <c r="P97" i="23"/>
  <c r="P95" i="23"/>
  <c r="P99" i="23"/>
  <c r="P83" i="23"/>
  <c r="P88" i="23"/>
  <c r="P86" i="23"/>
  <c r="P78" i="23"/>
  <c r="P90" i="23"/>
  <c r="P94" i="23"/>
  <c r="P92" i="23"/>
  <c r="P80" i="23"/>
  <c r="P96" i="23"/>
  <c r="P82" i="23"/>
  <c r="P100" i="23"/>
  <c r="P98" i="23"/>
  <c r="O81" i="24"/>
  <c r="O83" i="24"/>
  <c r="O98" i="24"/>
  <c r="O92" i="24"/>
  <c r="O86" i="24"/>
  <c r="O78" i="24"/>
  <c r="O100" i="24"/>
  <c r="O96" i="24"/>
  <c r="O94" i="24"/>
  <c r="O90" i="24"/>
  <c r="O88" i="24"/>
  <c r="O80" i="24"/>
  <c r="O82" i="24"/>
  <c r="O95" i="24"/>
  <c r="O89" i="24"/>
  <c r="O99" i="24"/>
  <c r="O97" i="24"/>
  <c r="O93" i="24"/>
  <c r="O91" i="24"/>
  <c r="O87" i="24"/>
  <c r="O79" i="24"/>
  <c r="O77" i="24"/>
  <c r="O93" i="29"/>
  <c r="O80" i="29"/>
  <c r="O91" i="29"/>
  <c r="O89" i="29"/>
  <c r="O82" i="29"/>
  <c r="O87" i="29"/>
  <c r="O77" i="29"/>
  <c r="O100" i="29"/>
  <c r="O98" i="29"/>
  <c r="O96" i="29"/>
  <c r="O79" i="29"/>
  <c r="O94" i="29"/>
  <c r="O92" i="29"/>
  <c r="O81" i="29"/>
  <c r="O90" i="29"/>
  <c r="O88" i="29"/>
  <c r="O86" i="29"/>
  <c r="O83" i="29"/>
  <c r="O99" i="29"/>
  <c r="O97" i="29"/>
  <c r="O47" i="29"/>
  <c r="O101" i="29" s="1"/>
  <c r="O78" i="29"/>
  <c r="O95" i="29"/>
  <c r="N101" i="1"/>
  <c r="DH24" i="23"/>
  <c r="I119" i="5"/>
  <c r="BT23" i="29"/>
  <c r="BT59" i="29" s="1"/>
  <c r="BT33" i="29"/>
  <c r="BT36" i="29"/>
  <c r="BT39" i="29"/>
  <c r="BT42" i="29"/>
  <c r="BT66" i="29" s="1"/>
  <c r="BT45" i="29"/>
  <c r="BT24" i="29"/>
  <c r="BT60" i="29" s="1"/>
  <c r="BT27" i="29"/>
  <c r="BT29" i="29"/>
  <c r="BT26" i="29"/>
  <c r="BT34" i="29"/>
  <c r="BT37" i="29"/>
  <c r="BT40" i="29"/>
  <c r="BT43" i="29"/>
  <c r="BT46" i="29"/>
  <c r="BT67" i="29" s="1"/>
  <c r="BT25" i="29"/>
  <c r="BT28" i="29"/>
  <c r="BT32" i="29"/>
  <c r="BT35" i="29"/>
  <c r="BT38" i="29"/>
  <c r="BT41" i="29"/>
  <c r="BT44" i="29"/>
  <c r="BT23" i="24"/>
  <c r="BT26" i="24"/>
  <c r="BT24" i="24"/>
  <c r="BT29" i="24"/>
  <c r="BT28" i="24"/>
  <c r="BT27" i="24"/>
  <c r="BT25" i="24"/>
  <c r="DD24" i="1"/>
  <c r="DI24" i="23"/>
  <c r="DC24" i="23"/>
  <c r="BS24" i="23" s="1"/>
  <c r="CK24" i="23" s="1"/>
  <c r="CK60" i="23" s="1"/>
  <c r="CU24" i="23"/>
  <c r="BK24" i="23" s="1"/>
  <c r="BK48" i="23" s="1"/>
  <c r="CV24" i="23"/>
  <c r="BL24" i="23" s="1"/>
  <c r="CD24" i="23" s="1"/>
  <c r="CD60" i="23" s="1"/>
  <c r="CY24" i="23"/>
  <c r="BO24" i="23" s="1"/>
  <c r="CG24" i="23" s="1"/>
  <c r="CG60" i="23" s="1"/>
  <c r="CW24" i="23"/>
  <c r="BM24" i="23" s="1"/>
  <c r="CE24" i="23" s="1"/>
  <c r="CE60" i="23" s="1"/>
  <c r="CX24" i="23"/>
  <c r="BN24" i="23" s="1"/>
  <c r="CF24" i="23" s="1"/>
  <c r="CF60" i="23" s="1"/>
  <c r="CZ24" i="23"/>
  <c r="BP24" i="23" s="1"/>
  <c r="DE24" i="23"/>
  <c r="DB24" i="23"/>
  <c r="BR24" i="23" s="1"/>
  <c r="DD24" i="23"/>
  <c r="BT24" i="23" s="1"/>
  <c r="DG24" i="23"/>
  <c r="DA24" i="23"/>
  <c r="BQ24" i="23" s="1"/>
  <c r="BQ48" i="23" s="1"/>
  <c r="DF24" i="1"/>
  <c r="DG24" i="1"/>
  <c r="DA24" i="1"/>
  <c r="BQ24" i="1" s="1"/>
  <c r="DC24" i="1"/>
  <c r="CV24" i="1"/>
  <c r="BL24" i="1" s="1"/>
  <c r="CY24" i="1"/>
  <c r="BO24" i="1" s="1"/>
  <c r="DC23" i="1"/>
  <c r="CX23" i="1"/>
  <c r="CU23" i="1"/>
  <c r="CW23" i="1"/>
  <c r="DD23" i="1"/>
  <c r="DA23" i="1"/>
  <c r="BQ23" i="1" s="1"/>
  <c r="DB23" i="1"/>
  <c r="BR23" i="1" s="1"/>
  <c r="BR59" i="1" s="1"/>
  <c r="DF23" i="1"/>
  <c r="DE23" i="1"/>
  <c r="CY23" i="1"/>
  <c r="CV23" i="1"/>
  <c r="DG23" i="1"/>
  <c r="DI24" i="1"/>
  <c r="CU24" i="1"/>
  <c r="BK24" i="1" s="1"/>
  <c r="DB24" i="1"/>
  <c r="BR24" i="1" s="1"/>
  <c r="BR60" i="1" s="1"/>
  <c r="CZ24" i="1"/>
  <c r="BP24" i="1" s="1"/>
  <c r="CX24" i="1"/>
  <c r="BN24" i="1" s="1"/>
  <c r="DE24" i="1"/>
  <c r="CW24" i="1"/>
  <c r="BM24" i="1" s="1"/>
  <c r="CZ23" i="1"/>
  <c r="BP23" i="1" s="1"/>
  <c r="L143" i="27"/>
  <c r="L119" i="27" s="1"/>
  <c r="BT25" i="23"/>
  <c r="CL25" i="23" s="1"/>
  <c r="BT23" i="23"/>
  <c r="BT29" i="23"/>
  <c r="BT27" i="23"/>
  <c r="BT26" i="23"/>
  <c r="BT28" i="23"/>
  <c r="DV21" i="1"/>
  <c r="BS28" i="1"/>
  <c r="CK28" i="1" s="1"/>
  <c r="BS25" i="1"/>
  <c r="BS27" i="1"/>
  <c r="BS24" i="1"/>
  <c r="BS60" i="1" s="1"/>
  <c r="BS29" i="1"/>
  <c r="BS23" i="1"/>
  <c r="BS59" i="1" s="1"/>
  <c r="BS26" i="1"/>
  <c r="BS35" i="1"/>
  <c r="BS33" i="1"/>
  <c r="BS36" i="1"/>
  <c r="BS39" i="1"/>
  <c r="BS42" i="1"/>
  <c r="BS66" i="1" s="1"/>
  <c r="BS45" i="1"/>
  <c r="BS34" i="1"/>
  <c r="BS37" i="1"/>
  <c r="CK37" i="1" s="1"/>
  <c r="BS40" i="1"/>
  <c r="CK40" i="1" s="1"/>
  <c r="BS43" i="1"/>
  <c r="CK43" i="1" s="1"/>
  <c r="BS46" i="1"/>
  <c r="BS67" i="1" s="1"/>
  <c r="BS32" i="1"/>
  <c r="BS38" i="1"/>
  <c r="BS41" i="1"/>
  <c r="BS44" i="1"/>
  <c r="J115" i="27"/>
  <c r="J114" i="27"/>
  <c r="K130" i="27"/>
  <c r="K129" i="27"/>
  <c r="K128" i="27"/>
  <c r="K132" i="27"/>
  <c r="K131" i="27"/>
  <c r="I21" i="35"/>
  <c r="AA21" i="35" s="1"/>
  <c r="H21" i="35"/>
  <c r="Z21" i="35" s="1"/>
  <c r="M21" i="35"/>
  <c r="L21" i="35"/>
  <c r="AD21" i="35" s="1"/>
  <c r="AE20" i="35"/>
  <c r="J134" i="26"/>
  <c r="U20" i="35"/>
  <c r="B22" i="35"/>
  <c r="T21" i="35"/>
  <c r="G21" i="35"/>
  <c r="Y21" i="35" s="1"/>
  <c r="AF21" i="35"/>
  <c r="C21" i="35" s="1"/>
  <c r="AC46" i="41" s="1"/>
  <c r="F21" i="35"/>
  <c r="X21" i="35" s="1"/>
  <c r="J118" i="26"/>
  <c r="K118" i="27"/>
  <c r="J114" i="30"/>
  <c r="K117" i="27"/>
  <c r="J18" i="5"/>
  <c r="AL21" i="23"/>
  <c r="L126" i="27"/>
  <c r="L112" i="27" s="1"/>
  <c r="BU21" i="29"/>
  <c r="J114" i="26"/>
  <c r="M124" i="27"/>
  <c r="M31" i="27" s="1"/>
  <c r="P177" i="23"/>
  <c r="P47" i="23"/>
  <c r="P101" i="23" s="1"/>
  <c r="Q21" i="23"/>
  <c r="P11" i="24"/>
  <c r="Q9" i="24"/>
  <c r="BU9" i="24" s="1"/>
  <c r="BU10" i="24" s="1"/>
  <c r="CL9" i="24"/>
  <c r="CL10" i="24" s="1"/>
  <c r="J119" i="5"/>
  <c r="K132" i="30"/>
  <c r="K129" i="30"/>
  <c r="K126" i="30"/>
  <c r="K111" i="30" s="1"/>
  <c r="K131" i="30"/>
  <c r="K128" i="30"/>
  <c r="K130" i="30"/>
  <c r="K127" i="30"/>
  <c r="K112" i="30" s="1"/>
  <c r="K109" i="30"/>
  <c r="K6" i="30"/>
  <c r="K56" i="30" s="1"/>
  <c r="P11" i="23"/>
  <c r="Q9" i="23"/>
  <c r="BU9" i="23" s="1"/>
  <c r="BU10" i="23" s="1"/>
  <c r="CL9" i="23"/>
  <c r="CL10" i="23" s="1"/>
  <c r="O97" i="1"/>
  <c r="O93" i="1"/>
  <c r="O89" i="1"/>
  <c r="O83" i="1"/>
  <c r="O79" i="1"/>
  <c r="O177" i="1"/>
  <c r="O100" i="1"/>
  <c r="O96" i="1"/>
  <c r="O92" i="1"/>
  <c r="O88" i="1"/>
  <c r="O82" i="1"/>
  <c r="O78" i="1"/>
  <c r="O47" i="1"/>
  <c r="O90" i="1"/>
  <c r="O80" i="1"/>
  <c r="O99" i="1"/>
  <c r="O95" i="1"/>
  <c r="O91" i="1"/>
  <c r="O87" i="1"/>
  <c r="O81" i="1"/>
  <c r="O77" i="1"/>
  <c r="O98" i="1"/>
  <c r="O94" i="1"/>
  <c r="O86" i="1"/>
  <c r="J18" i="26"/>
  <c r="J115" i="26"/>
  <c r="L110" i="27"/>
  <c r="L6" i="27"/>
  <c r="CM21" i="29"/>
  <c r="CM58" i="29" s="1"/>
  <c r="CL30" i="29"/>
  <c r="AK21" i="29"/>
  <c r="J117" i="26"/>
  <c r="L124" i="26"/>
  <c r="L31" i="26" s="1"/>
  <c r="O177" i="24"/>
  <c r="O47" i="24"/>
  <c r="O101" i="24" s="1"/>
  <c r="P21" i="24"/>
  <c r="K147" i="26"/>
  <c r="K138" i="26"/>
  <c r="K146" i="26"/>
  <c r="K143" i="26"/>
  <c r="K119" i="26" s="1"/>
  <c r="K137" i="26"/>
  <c r="K110" i="26"/>
  <c r="K145" i="26"/>
  <c r="K136" i="26"/>
  <c r="K129" i="26"/>
  <c r="K135" i="26"/>
  <c r="K128" i="26"/>
  <c r="K6" i="26"/>
  <c r="K56" i="26" s="1"/>
  <c r="J101" i="5"/>
  <c r="AB18" i="3"/>
  <c r="DV21" i="23"/>
  <c r="L124" i="30"/>
  <c r="L31" i="30" s="1"/>
  <c r="O177" i="29"/>
  <c r="P21" i="29"/>
  <c r="DE31" i="1"/>
  <c r="K111" i="5"/>
  <c r="K6" i="5"/>
  <c r="K56" i="5" s="1"/>
  <c r="O11" i="1"/>
  <c r="BT9" i="1"/>
  <c r="BT10" i="1" s="1"/>
  <c r="CK9" i="1"/>
  <c r="CK10" i="1" s="1"/>
  <c r="O159" i="3"/>
  <c r="O160" i="3" s="1"/>
  <c r="P11" i="29"/>
  <c r="Q9" i="29"/>
  <c r="BU9" i="29" s="1"/>
  <c r="BU10" i="29" s="1"/>
  <c r="CL9" i="29"/>
  <c r="CL10" i="29" s="1"/>
  <c r="CL42" i="29" s="1"/>
  <c r="AK21" i="24"/>
  <c r="J18" i="30"/>
  <c r="DW21" i="24"/>
  <c r="P75" i="58" a="1"/>
  <c r="CK62" i="23" l="1"/>
  <c r="CK65" i="23"/>
  <c r="CK44" i="1"/>
  <c r="CK35" i="1"/>
  <c r="CK34" i="1"/>
  <c r="CK25" i="1"/>
  <c r="CK38" i="1"/>
  <c r="CK26" i="1"/>
  <c r="CK29" i="1"/>
  <c r="CJ68" i="24"/>
  <c r="K144" i="26"/>
  <c r="K134" i="26" s="1"/>
  <c r="CL28" i="23"/>
  <c r="CJ68" i="1"/>
  <c r="BS62" i="24"/>
  <c r="CK37" i="24"/>
  <c r="CK29" i="24"/>
  <c r="CK62" i="24" s="1"/>
  <c r="K139" i="26"/>
  <c r="CK46" i="24"/>
  <c r="CK67" i="24" s="1"/>
  <c r="K149" i="26"/>
  <c r="CK32" i="24"/>
  <c r="CK63" i="24" s="1"/>
  <c r="CK39" i="24"/>
  <c r="CJ61" i="1"/>
  <c r="BT48" i="23"/>
  <c r="M57" i="27" s="1"/>
  <c r="BS48" i="23"/>
  <c r="L57" i="27" s="1"/>
  <c r="CJ64" i="24"/>
  <c r="BS65" i="24"/>
  <c r="BS64" i="24"/>
  <c r="P62" i="1"/>
  <c r="W62" i="1" s="1"/>
  <c r="P54" i="1"/>
  <c r="W54" i="1" s="1"/>
  <c r="BS63" i="24"/>
  <c r="CK27" i="1"/>
  <c r="CK41" i="1"/>
  <c r="L145" i="5" s="1"/>
  <c r="CJ62" i="24"/>
  <c r="E22" i="35"/>
  <c r="W22" i="35" s="1"/>
  <c r="D22" i="35"/>
  <c r="V22" i="35" s="1"/>
  <c r="BS68" i="24"/>
  <c r="J134" i="30"/>
  <c r="J115" i="30" s="1"/>
  <c r="Y62" i="29"/>
  <c r="AA62" i="29"/>
  <c r="C140" i="29" s="1"/>
  <c r="B140" i="29" s="1"/>
  <c r="AA69" i="29"/>
  <c r="C159" i="29" s="1"/>
  <c r="B159" i="29" s="1"/>
  <c r="Y69" i="29"/>
  <c r="BS48" i="24"/>
  <c r="L57" i="26" s="1"/>
  <c r="CK44" i="24"/>
  <c r="CK68" i="24" s="1"/>
  <c r="Y62" i="24"/>
  <c r="AA62" i="24"/>
  <c r="C140" i="24" s="1"/>
  <c r="B140" i="24" s="1"/>
  <c r="AA54" i="24"/>
  <c r="O121" i="24" s="1"/>
  <c r="M121" i="24" s="1"/>
  <c r="Y54" i="24"/>
  <c r="BR48" i="23"/>
  <c r="K57" i="27" s="1"/>
  <c r="BN48" i="23"/>
  <c r="BP48" i="23"/>
  <c r="I57" i="27" s="1"/>
  <c r="BO48" i="23"/>
  <c r="H57" i="27" s="1"/>
  <c r="BL48" i="23"/>
  <c r="BM48" i="23"/>
  <c r="F57" i="27" s="1"/>
  <c r="P75" i="58"/>
  <c r="J125" i="30"/>
  <c r="J110" i="30" s="1"/>
  <c r="P191" i="1"/>
  <c r="P221" i="1" s="1"/>
  <c r="J151" i="30"/>
  <c r="J152" i="30" s="1"/>
  <c r="J14" i="30" s="1"/>
  <c r="L140" i="30"/>
  <c r="L135" i="30"/>
  <c r="L142" i="30"/>
  <c r="L138" i="30"/>
  <c r="L136" i="30"/>
  <c r="L148" i="30"/>
  <c r="L141" i="30"/>
  <c r="L139" i="30"/>
  <c r="L144" i="30"/>
  <c r="L147" i="30"/>
  <c r="L143" i="30"/>
  <c r="L118" i="30" s="1"/>
  <c r="L137" i="30"/>
  <c r="L146" i="30"/>
  <c r="J135" i="5"/>
  <c r="J117" i="5" s="1"/>
  <c r="CK61" i="24"/>
  <c r="CK66" i="29"/>
  <c r="L145" i="30"/>
  <c r="CK67" i="29"/>
  <c r="L149" i="30"/>
  <c r="CK61" i="29"/>
  <c r="CL66" i="29"/>
  <c r="CK64" i="29"/>
  <c r="CL36" i="29"/>
  <c r="CL25" i="29"/>
  <c r="CL37" i="29"/>
  <c r="CL23" i="29"/>
  <c r="CL59" i="29" s="1"/>
  <c r="CL43" i="29"/>
  <c r="CL44" i="29"/>
  <c r="CK32" i="1"/>
  <c r="L136" i="5" s="1"/>
  <c r="CL29" i="23"/>
  <c r="CJ65" i="1"/>
  <c r="CK33" i="1"/>
  <c r="L137" i="5" s="1"/>
  <c r="CK65" i="29"/>
  <c r="CK45" i="1"/>
  <c r="CK68" i="1" s="1"/>
  <c r="CK39" i="1"/>
  <c r="CK64" i="1" s="1"/>
  <c r="CK36" i="1"/>
  <c r="L140" i="5" s="1"/>
  <c r="K127" i="26"/>
  <c r="K113" i="26" s="1"/>
  <c r="K126" i="26"/>
  <c r="K112" i="26" s="1"/>
  <c r="K130" i="5"/>
  <c r="K115" i="5" s="1"/>
  <c r="CK65" i="24"/>
  <c r="CJ48" i="24"/>
  <c r="CK46" i="1"/>
  <c r="CK67" i="1" s="1"/>
  <c r="CK24" i="1"/>
  <c r="CK60" i="1" s="1"/>
  <c r="K147" i="5"/>
  <c r="K126" i="27"/>
  <c r="K112" i="27" s="1"/>
  <c r="J126" i="26"/>
  <c r="J112" i="26" s="1"/>
  <c r="CK68" i="29"/>
  <c r="CK62" i="29"/>
  <c r="CK63" i="29"/>
  <c r="L128" i="27"/>
  <c r="CL26" i="29"/>
  <c r="CL32" i="29"/>
  <c r="K134" i="27"/>
  <c r="K116" i="27" s="1"/>
  <c r="CL38" i="29"/>
  <c r="CL45" i="29"/>
  <c r="K144" i="5"/>
  <c r="K120" i="5" s="1"/>
  <c r="CL27" i="29"/>
  <c r="CL33" i="29"/>
  <c r="CL39" i="29"/>
  <c r="CL46" i="29"/>
  <c r="CL28" i="29"/>
  <c r="CL34" i="29"/>
  <c r="CL40" i="29"/>
  <c r="CK59" i="29"/>
  <c r="CK48" i="29"/>
  <c r="CL29" i="29"/>
  <c r="CL35" i="29"/>
  <c r="CL41" i="29"/>
  <c r="BT48" i="29"/>
  <c r="M57" i="30" s="1"/>
  <c r="CL24" i="29"/>
  <c r="CL60" i="29" s="1"/>
  <c r="L144" i="27"/>
  <c r="BU37" i="23"/>
  <c r="BU46" i="23"/>
  <c r="BU40" i="23"/>
  <c r="BU32" i="23"/>
  <c r="BU45" i="23"/>
  <c r="BU43" i="23"/>
  <c r="BU39" i="23"/>
  <c r="BU42" i="23"/>
  <c r="BU44" i="23"/>
  <c r="BU35" i="23"/>
  <c r="BU33" i="23"/>
  <c r="BU34" i="23"/>
  <c r="BU36" i="23"/>
  <c r="BU38" i="23"/>
  <c r="BU41" i="23"/>
  <c r="BT68" i="24"/>
  <c r="BT59" i="24"/>
  <c r="BT48" i="24"/>
  <c r="M57" i="26" s="1"/>
  <c r="CK59" i="24"/>
  <c r="BT66" i="24"/>
  <c r="BT67" i="24"/>
  <c r="BU41" i="24"/>
  <c r="BU45" i="24"/>
  <c r="BU40" i="24"/>
  <c r="BU46" i="24"/>
  <c r="BU39" i="24"/>
  <c r="BU44" i="24"/>
  <c r="BU42" i="24"/>
  <c r="BU32" i="24"/>
  <c r="BU35" i="24"/>
  <c r="BU38" i="24"/>
  <c r="BU43" i="24"/>
  <c r="BU37" i="24"/>
  <c r="BU33" i="24"/>
  <c r="BU34" i="24"/>
  <c r="BU36" i="24"/>
  <c r="BT64" i="24"/>
  <c r="BT65" i="24"/>
  <c r="BT63" i="24"/>
  <c r="BT60" i="24"/>
  <c r="CK42" i="1"/>
  <c r="CK66" i="1" s="1"/>
  <c r="CK23" i="1"/>
  <c r="L127" i="5" s="1"/>
  <c r="BS48" i="1"/>
  <c r="L57" i="5" s="1"/>
  <c r="CJ63" i="1"/>
  <c r="CK68" i="23"/>
  <c r="CK64" i="23"/>
  <c r="CK63" i="23"/>
  <c r="BS60" i="23"/>
  <c r="CJ62" i="1"/>
  <c r="CL33" i="23"/>
  <c r="M136" i="27" s="1"/>
  <c r="CJ64" i="1"/>
  <c r="CL26" i="23"/>
  <c r="CL61" i="23" s="1"/>
  <c r="BR48" i="1"/>
  <c r="K57" i="5" s="1"/>
  <c r="CJ24" i="1"/>
  <c r="CJ60" i="1" s="1"/>
  <c r="CJ23" i="1"/>
  <c r="K127" i="5" s="1"/>
  <c r="BR60" i="23"/>
  <c r="CJ24" i="23"/>
  <c r="CL44" i="23"/>
  <c r="M147" i="27" s="1"/>
  <c r="CL38" i="23"/>
  <c r="M141" i="27" s="1"/>
  <c r="CL45" i="23"/>
  <c r="M148" i="27" s="1"/>
  <c r="CL35" i="23"/>
  <c r="M138" i="27" s="1"/>
  <c r="CL41" i="23"/>
  <c r="M144" i="27" s="1"/>
  <c r="CL36" i="23"/>
  <c r="M139" i="27" s="1"/>
  <c r="CL34" i="23"/>
  <c r="M137" i="27" s="1"/>
  <c r="CL39" i="23"/>
  <c r="M142" i="27" s="1"/>
  <c r="BT61" i="24"/>
  <c r="BT61" i="29"/>
  <c r="L145" i="27"/>
  <c r="L149" i="27"/>
  <c r="J115" i="5"/>
  <c r="K146" i="5"/>
  <c r="F126" i="26"/>
  <c r="F112" i="26" s="1"/>
  <c r="L146" i="27"/>
  <c r="CD48" i="24"/>
  <c r="K141" i="5"/>
  <c r="K119" i="5" s="1"/>
  <c r="L140" i="27"/>
  <c r="L118" i="27" s="1"/>
  <c r="J118" i="5"/>
  <c r="K150" i="5"/>
  <c r="BT62" i="24"/>
  <c r="CE59" i="23"/>
  <c r="CE48" i="23"/>
  <c r="CG59" i="23"/>
  <c r="CG48" i="23"/>
  <c r="CD59" i="23"/>
  <c r="CD48" i="23"/>
  <c r="BT60" i="23"/>
  <c r="CL24" i="23"/>
  <c r="CL60" i="23" s="1"/>
  <c r="BQ60" i="23"/>
  <c r="CI24" i="23"/>
  <c r="CI60" i="23" s="1"/>
  <c r="E57" i="27"/>
  <c r="BT62" i="23"/>
  <c r="CL27" i="23"/>
  <c r="CH59" i="23"/>
  <c r="CI59" i="23"/>
  <c r="CL37" i="23"/>
  <c r="BT64" i="23"/>
  <c r="J57" i="27"/>
  <c r="BT66" i="23"/>
  <c r="CL42" i="23"/>
  <c r="CL66" i="23" s="1"/>
  <c r="BT59" i="23"/>
  <c r="CL23" i="23"/>
  <c r="BP60" i="23"/>
  <c r="CH24" i="23"/>
  <c r="CH60" i="23" s="1"/>
  <c r="CF59" i="23"/>
  <c r="CF48" i="23"/>
  <c r="BT65" i="23"/>
  <c r="CL40" i="23"/>
  <c r="CK59" i="23"/>
  <c r="CK48" i="23"/>
  <c r="G57" i="27"/>
  <c r="CL43" i="23"/>
  <c r="M146" i="27" s="1"/>
  <c r="BT68" i="23"/>
  <c r="BT67" i="23"/>
  <c r="CL46" i="23"/>
  <c r="CL67" i="23" s="1"/>
  <c r="BT63" i="23"/>
  <c r="CL32" i="23"/>
  <c r="M135" i="27" s="1"/>
  <c r="BT61" i="23"/>
  <c r="BS68" i="1"/>
  <c r="BS62" i="1"/>
  <c r="BS61" i="1"/>
  <c r="BS63" i="1"/>
  <c r="BS65" i="1"/>
  <c r="BS64" i="1"/>
  <c r="BT68" i="29"/>
  <c r="BT62" i="29"/>
  <c r="BT63" i="29"/>
  <c r="BU58" i="29"/>
  <c r="BT65" i="29"/>
  <c r="BT64" i="29"/>
  <c r="CG24" i="1"/>
  <c r="CG60" i="1" s="1"/>
  <c r="BO60" i="1"/>
  <c r="BN60" i="23"/>
  <c r="CC24" i="1"/>
  <c r="CC60" i="1" s="1"/>
  <c r="BK60" i="1"/>
  <c r="CD24" i="1"/>
  <c r="CD60" i="1" s="1"/>
  <c r="BL60" i="1"/>
  <c r="BM60" i="23"/>
  <c r="BO60" i="23"/>
  <c r="CH23" i="1"/>
  <c r="CH59" i="1" s="1"/>
  <c r="BP59" i="1"/>
  <c r="CI24" i="1"/>
  <c r="CI60" i="1" s="1"/>
  <c r="BQ60" i="1"/>
  <c r="BL60" i="23"/>
  <c r="CE24" i="1"/>
  <c r="CE60" i="1" s="1"/>
  <c r="BM60" i="1"/>
  <c r="CC24" i="23"/>
  <c r="CC60" i="23" s="1"/>
  <c r="BK60" i="23"/>
  <c r="CI23" i="1"/>
  <c r="CI59" i="1" s="1"/>
  <c r="BQ59" i="1"/>
  <c r="CF24" i="1"/>
  <c r="CF60" i="1" s="1"/>
  <c r="BN60" i="1"/>
  <c r="CH24" i="1"/>
  <c r="CH60" i="1" s="1"/>
  <c r="BP60" i="1"/>
  <c r="CK61" i="1"/>
  <c r="AL32" i="23"/>
  <c r="AL40" i="23"/>
  <c r="AL43" i="23"/>
  <c r="AL46" i="23"/>
  <c r="AL25" i="23"/>
  <c r="AL28" i="23"/>
  <c r="AL34" i="23"/>
  <c r="AL37" i="23"/>
  <c r="AL41" i="23"/>
  <c r="AL44" i="23"/>
  <c r="AL26" i="23"/>
  <c r="AL29" i="23"/>
  <c r="AL35" i="23"/>
  <c r="AL38" i="23"/>
  <c r="AL23" i="23"/>
  <c r="AL24" i="23"/>
  <c r="AL39" i="23"/>
  <c r="AL42" i="23"/>
  <c r="AL27" i="23"/>
  <c r="AL33" i="23"/>
  <c r="AL45" i="23"/>
  <c r="AL36" i="23"/>
  <c r="AK33" i="24"/>
  <c r="CL33" i="24" s="1"/>
  <c r="AK36" i="24"/>
  <c r="CL36" i="24" s="1"/>
  <c r="AK39" i="24"/>
  <c r="CL39" i="24" s="1"/>
  <c r="AK41" i="24"/>
  <c r="CL41" i="24" s="1"/>
  <c r="AK44" i="24"/>
  <c r="CL44" i="24" s="1"/>
  <c r="AK26" i="24"/>
  <c r="CL26" i="24" s="1"/>
  <c r="AK29" i="24"/>
  <c r="CL29" i="24" s="1"/>
  <c r="AK42" i="24"/>
  <c r="CL42" i="24" s="1"/>
  <c r="CL66" i="24" s="1"/>
  <c r="AK45" i="24"/>
  <c r="CL45" i="24" s="1"/>
  <c r="AK24" i="24"/>
  <c r="CL24" i="24" s="1"/>
  <c r="CL60" i="24" s="1"/>
  <c r="AK27" i="24"/>
  <c r="CL27" i="24" s="1"/>
  <c r="AK35" i="24"/>
  <c r="CL35" i="24" s="1"/>
  <c r="AK38" i="24"/>
  <c r="CL38" i="24" s="1"/>
  <c r="AK43" i="24"/>
  <c r="CL43" i="24" s="1"/>
  <c r="AK28" i="24"/>
  <c r="CL28" i="24" s="1"/>
  <c r="AK34" i="24"/>
  <c r="CL34" i="24" s="1"/>
  <c r="AK46" i="24"/>
  <c r="CL46" i="24" s="1"/>
  <c r="CL67" i="24" s="1"/>
  <c r="AK37" i="24"/>
  <c r="CL37" i="24" s="1"/>
  <c r="AK40" i="24"/>
  <c r="CL40" i="24" s="1"/>
  <c r="AK25" i="24"/>
  <c r="CL25" i="24" s="1"/>
  <c r="AK23" i="24"/>
  <c r="CL23" i="24" s="1"/>
  <c r="AK32" i="24"/>
  <c r="CL32" i="24" s="1"/>
  <c r="AK33" i="29"/>
  <c r="AK36" i="29"/>
  <c r="AK39" i="29"/>
  <c r="AK41" i="29"/>
  <c r="AK34" i="29"/>
  <c r="AK37" i="29"/>
  <c r="AK35" i="29"/>
  <c r="AK38" i="29"/>
  <c r="AK40" i="29"/>
  <c r="AK43" i="29"/>
  <c r="AK46" i="29"/>
  <c r="AK25" i="29"/>
  <c r="AK28" i="29"/>
  <c r="AK32" i="29"/>
  <c r="AK44" i="29"/>
  <c r="AK42" i="29"/>
  <c r="AK45" i="29"/>
  <c r="AK24" i="29"/>
  <c r="AK27" i="29"/>
  <c r="AK23" i="29"/>
  <c r="AK26" i="29"/>
  <c r="AK29" i="29"/>
  <c r="AL21" i="1"/>
  <c r="AK34" i="1"/>
  <c r="AK37" i="1"/>
  <c r="AK23" i="1"/>
  <c r="AK42" i="1"/>
  <c r="AK45" i="1"/>
  <c r="AK24" i="1"/>
  <c r="AK27" i="1"/>
  <c r="AK35" i="1"/>
  <c r="AK38" i="1"/>
  <c r="AK40" i="1"/>
  <c r="AK43" i="1"/>
  <c r="AK46" i="1"/>
  <c r="AK25" i="1"/>
  <c r="AK28" i="1"/>
  <c r="AK32" i="1"/>
  <c r="AK33" i="1"/>
  <c r="AK36" i="1"/>
  <c r="AK39" i="1"/>
  <c r="AK44" i="1"/>
  <c r="AK29" i="1"/>
  <c r="AK41" i="1"/>
  <c r="AK26" i="1"/>
  <c r="E126" i="26"/>
  <c r="E125" i="26" s="1"/>
  <c r="E111" i="26" s="1"/>
  <c r="CH48" i="24"/>
  <c r="D57" i="27"/>
  <c r="BQ48" i="1"/>
  <c r="J57" i="5" s="1"/>
  <c r="BP48" i="1"/>
  <c r="I57" i="5" s="1"/>
  <c r="H16" i="30"/>
  <c r="H58" i="30" s="1"/>
  <c r="CF48" i="24"/>
  <c r="I126" i="26"/>
  <c r="I112" i="26" s="1"/>
  <c r="G126" i="26"/>
  <c r="G112" i="26" s="1"/>
  <c r="CI48" i="24"/>
  <c r="CG48" i="24"/>
  <c r="CE48" i="24"/>
  <c r="H126" i="26"/>
  <c r="H112" i="26" s="1"/>
  <c r="CC48" i="24"/>
  <c r="I135" i="5"/>
  <c r="I117" i="5" s="1"/>
  <c r="I12" i="30"/>
  <c r="I8" i="30"/>
  <c r="I7" i="30"/>
  <c r="I11" i="30"/>
  <c r="I9" i="30"/>
  <c r="I13" i="30"/>
  <c r="I10" i="30"/>
  <c r="I14" i="30"/>
  <c r="L100" i="26"/>
  <c r="L41" i="26"/>
  <c r="L100" i="30"/>
  <c r="L41" i="30"/>
  <c r="M41" i="27"/>
  <c r="M100" i="27"/>
  <c r="BU21" i="1"/>
  <c r="BT58" i="1"/>
  <c r="CM21" i="1"/>
  <c r="CL58" i="1"/>
  <c r="Q21" i="1"/>
  <c r="M125" i="5"/>
  <c r="M31" i="5" s="1"/>
  <c r="L144" i="5"/>
  <c r="L120" i="5" s="1"/>
  <c r="L132" i="5"/>
  <c r="L148" i="5"/>
  <c r="L139" i="5"/>
  <c r="L147" i="5"/>
  <c r="L138" i="5"/>
  <c r="L141" i="5"/>
  <c r="L130" i="5"/>
  <c r="L129" i="5"/>
  <c r="L133" i="5"/>
  <c r="L142" i="5"/>
  <c r="C67" i="3"/>
  <c r="AE67" i="3"/>
  <c r="B68" i="3"/>
  <c r="AD67" i="3"/>
  <c r="AC67" i="3"/>
  <c r="L41" i="5"/>
  <c r="F16" i="30"/>
  <c r="F58" i="30" s="1"/>
  <c r="D127" i="26"/>
  <c r="D113" i="26" s="1"/>
  <c r="J127" i="26"/>
  <c r="J113" i="26" s="1"/>
  <c r="I127" i="26"/>
  <c r="I113" i="26" s="1"/>
  <c r="D126" i="26"/>
  <c r="D112" i="26" s="1"/>
  <c r="G127" i="26"/>
  <c r="G113" i="26" s="1"/>
  <c r="H127" i="26"/>
  <c r="H113" i="26" s="1"/>
  <c r="D126" i="27"/>
  <c r="D112" i="27" s="1"/>
  <c r="F127" i="26"/>
  <c r="F113" i="26" s="1"/>
  <c r="J116" i="26"/>
  <c r="L18" i="27"/>
  <c r="L56" i="27"/>
  <c r="BM23" i="1"/>
  <c r="BK23" i="1"/>
  <c r="BN23" i="1"/>
  <c r="BL23" i="1"/>
  <c r="BO23" i="1"/>
  <c r="Q87" i="23"/>
  <c r="Q77" i="23"/>
  <c r="Q91" i="23"/>
  <c r="Q89" i="23"/>
  <c r="Q79" i="23"/>
  <c r="Q93" i="23"/>
  <c r="Q81" i="23"/>
  <c r="Q97" i="23"/>
  <c r="Q95" i="23"/>
  <c r="Q99" i="23"/>
  <c r="Q83" i="23"/>
  <c r="Q88" i="23"/>
  <c r="Q86" i="23"/>
  <c r="Q78" i="23"/>
  <c r="Q90" i="23"/>
  <c r="Q94" i="23"/>
  <c r="Q92" i="23"/>
  <c r="Q80" i="23"/>
  <c r="Q96" i="23"/>
  <c r="Q82" i="23"/>
  <c r="Q100" i="23"/>
  <c r="Q98" i="23"/>
  <c r="K118" i="30"/>
  <c r="P83" i="24"/>
  <c r="P98" i="24"/>
  <c r="P92" i="24"/>
  <c r="P86" i="24"/>
  <c r="P78" i="24"/>
  <c r="P100" i="24"/>
  <c r="P96" i="24"/>
  <c r="P94" i="24"/>
  <c r="P90" i="24"/>
  <c r="P88" i="24"/>
  <c r="P80" i="24"/>
  <c r="P82" i="24"/>
  <c r="P95" i="24"/>
  <c r="P89" i="24"/>
  <c r="P81" i="24"/>
  <c r="P99" i="24"/>
  <c r="P97" i="24"/>
  <c r="P93" i="24"/>
  <c r="P91" i="24"/>
  <c r="P87" i="24"/>
  <c r="P79" i="24"/>
  <c r="P77" i="24"/>
  <c r="P91" i="29"/>
  <c r="P89" i="29"/>
  <c r="P82" i="29"/>
  <c r="P87" i="29"/>
  <c r="P77" i="29"/>
  <c r="P100" i="29"/>
  <c r="P98" i="29"/>
  <c r="P96" i="29"/>
  <c r="P79" i="29"/>
  <c r="P94" i="29"/>
  <c r="P92" i="29"/>
  <c r="P81" i="29"/>
  <c r="P90" i="29"/>
  <c r="P88" i="29"/>
  <c r="P86" i="29"/>
  <c r="P83" i="29"/>
  <c r="P78" i="29"/>
  <c r="P47" i="29"/>
  <c r="P101" i="29" s="1"/>
  <c r="P99" i="29"/>
  <c r="P97" i="29"/>
  <c r="P95" i="29"/>
  <c r="P93" i="29"/>
  <c r="P80" i="29"/>
  <c r="O101" i="1"/>
  <c r="BU23" i="29"/>
  <c r="BU59" i="29" s="1"/>
  <c r="BU33" i="29"/>
  <c r="BU36" i="29"/>
  <c r="BU39" i="29"/>
  <c r="BU42" i="29"/>
  <c r="BU66" i="29" s="1"/>
  <c r="BU45" i="29"/>
  <c r="BU24" i="29"/>
  <c r="BU60" i="29" s="1"/>
  <c r="BU27" i="29"/>
  <c r="BU32" i="29"/>
  <c r="BU34" i="29"/>
  <c r="BU37" i="29"/>
  <c r="BU40" i="29"/>
  <c r="BU43" i="29"/>
  <c r="BU46" i="29"/>
  <c r="BU67" i="29" s="1"/>
  <c r="BU25" i="29"/>
  <c r="BU28" i="29"/>
  <c r="BU35" i="29"/>
  <c r="BU38" i="29"/>
  <c r="BU41" i="29"/>
  <c r="BU44" i="29"/>
  <c r="BU26" i="29"/>
  <c r="BU29" i="29"/>
  <c r="BU23" i="24"/>
  <c r="BU26" i="24"/>
  <c r="BU24" i="24"/>
  <c r="BU29" i="24"/>
  <c r="BU25" i="24"/>
  <c r="BU28" i="24"/>
  <c r="BU27" i="24"/>
  <c r="BU29" i="23"/>
  <c r="BU24" i="23"/>
  <c r="BU26" i="23"/>
  <c r="CM26" i="23" s="1"/>
  <c r="BU23" i="23"/>
  <c r="BU27" i="23"/>
  <c r="BU28" i="23"/>
  <c r="BU25" i="23"/>
  <c r="DW21" i="1"/>
  <c r="BT26" i="1"/>
  <c r="BT25" i="1"/>
  <c r="BT27" i="1"/>
  <c r="BT28" i="1"/>
  <c r="BT29" i="1"/>
  <c r="BT23" i="1"/>
  <c r="BT59" i="1" s="1"/>
  <c r="BT24" i="1"/>
  <c r="BT60" i="1" s="1"/>
  <c r="K115" i="27"/>
  <c r="K114" i="27"/>
  <c r="BT41" i="1"/>
  <c r="BT35" i="1"/>
  <c r="BT38" i="1"/>
  <c r="BT33" i="1"/>
  <c r="CL33" i="1" s="1"/>
  <c r="BT36" i="1"/>
  <c r="BT39" i="1"/>
  <c r="BT42" i="1"/>
  <c r="BT66" i="1" s="1"/>
  <c r="BT45" i="1"/>
  <c r="BT34" i="1"/>
  <c r="BT37" i="1"/>
  <c r="BT40" i="1"/>
  <c r="BT43" i="1"/>
  <c r="BT46" i="1"/>
  <c r="BT67" i="1" s="1"/>
  <c r="BT32" i="1"/>
  <c r="BT44" i="1"/>
  <c r="L131" i="27"/>
  <c r="L127" i="27"/>
  <c r="L113" i="27" s="1"/>
  <c r="L130" i="27"/>
  <c r="L129" i="27"/>
  <c r="L132" i="27"/>
  <c r="H22" i="35"/>
  <c r="Z22" i="35" s="1"/>
  <c r="I22" i="35"/>
  <c r="AA22" i="35" s="1"/>
  <c r="M22" i="35"/>
  <c r="L22" i="35"/>
  <c r="AD22" i="35" s="1"/>
  <c r="AE21" i="35"/>
  <c r="K134" i="30"/>
  <c r="K115" i="30" s="1"/>
  <c r="K151" i="30"/>
  <c r="K125" i="30"/>
  <c r="K110" i="30" s="1"/>
  <c r="U21" i="35"/>
  <c r="K114" i="26"/>
  <c r="B23" i="35"/>
  <c r="G22" i="35"/>
  <c r="Y22" i="35" s="1"/>
  <c r="T22" i="35"/>
  <c r="F22" i="35"/>
  <c r="X22" i="35" s="1"/>
  <c r="AF22" i="35"/>
  <c r="C22" i="35" s="1"/>
  <c r="AD46" i="41" s="1"/>
  <c r="K117" i="26"/>
  <c r="K114" i="30"/>
  <c r="K113" i="30"/>
  <c r="P159" i="3"/>
  <c r="P160" i="3" s="1"/>
  <c r="K18" i="5"/>
  <c r="L131" i="30"/>
  <c r="L128" i="30"/>
  <c r="L130" i="30"/>
  <c r="L127" i="30"/>
  <c r="L112" i="30" s="1"/>
  <c r="L109" i="30"/>
  <c r="L132" i="30"/>
  <c r="L129" i="30"/>
  <c r="L126" i="30"/>
  <c r="L111" i="30" s="1"/>
  <c r="L6" i="30"/>
  <c r="L56" i="30" s="1"/>
  <c r="AB19" i="3"/>
  <c r="CN21" i="29"/>
  <c r="CN58" i="29" s="1"/>
  <c r="CM30" i="29"/>
  <c r="P177" i="1"/>
  <c r="P100" i="1"/>
  <c r="P96" i="1"/>
  <c r="P92" i="1"/>
  <c r="P88" i="1"/>
  <c r="P82" i="1"/>
  <c r="P78" i="1"/>
  <c r="P47" i="1"/>
  <c r="P99" i="1"/>
  <c r="P95" i="1"/>
  <c r="P91" i="1"/>
  <c r="P87" i="1"/>
  <c r="P81" i="1"/>
  <c r="P77" i="1"/>
  <c r="P93" i="1"/>
  <c r="P83" i="1"/>
  <c r="P98" i="1"/>
  <c r="P94" i="1"/>
  <c r="P90" i="1"/>
  <c r="P86" i="1"/>
  <c r="P80" i="1"/>
  <c r="P97" i="1"/>
  <c r="P89" i="1"/>
  <c r="P79" i="1"/>
  <c r="K116" i="5"/>
  <c r="DW21" i="23"/>
  <c r="K115" i="26"/>
  <c r="M124" i="26"/>
  <c r="M31" i="26" s="1"/>
  <c r="P177" i="24"/>
  <c r="P47" i="24"/>
  <c r="Q21" i="24"/>
  <c r="R9" i="23"/>
  <c r="BV9" i="23" s="1"/>
  <c r="BV10" i="23" s="1"/>
  <c r="CM9" i="23"/>
  <c r="CM10" i="23" s="1"/>
  <c r="Q11" i="23"/>
  <c r="K117" i="30"/>
  <c r="AL21" i="24"/>
  <c r="Q11" i="29"/>
  <c r="R9" i="29"/>
  <c r="BV9" i="29" s="1"/>
  <c r="BV10" i="29" s="1"/>
  <c r="CM9" i="29"/>
  <c r="CM10" i="29" s="1"/>
  <c r="CM32" i="29" s="1"/>
  <c r="DF31" i="1"/>
  <c r="M124" i="30"/>
  <c r="M31" i="30" s="1"/>
  <c r="P177" i="29"/>
  <c r="Q21" i="29"/>
  <c r="AL21" i="29"/>
  <c r="K18" i="30"/>
  <c r="K116" i="30"/>
  <c r="AM21" i="23"/>
  <c r="DX21" i="24"/>
  <c r="BU9" i="1"/>
  <c r="BU10" i="1" s="1"/>
  <c r="CL9" i="1"/>
  <c r="CL10" i="1" s="1"/>
  <c r="P11" i="1"/>
  <c r="K101" i="5"/>
  <c r="K118" i="5"/>
  <c r="K18" i="26"/>
  <c r="K118" i="26"/>
  <c r="L146" i="26"/>
  <c r="L143" i="26"/>
  <c r="L119" i="26" s="1"/>
  <c r="L140" i="26"/>
  <c r="L137" i="26"/>
  <c r="L127" i="26"/>
  <c r="L113" i="26" s="1"/>
  <c r="L110" i="26"/>
  <c r="L145" i="26"/>
  <c r="L136" i="26"/>
  <c r="L129" i="26"/>
  <c r="L126" i="26"/>
  <c r="L112" i="26" s="1"/>
  <c r="L148" i="26"/>
  <c r="L142" i="26"/>
  <c r="L139" i="26"/>
  <c r="L135" i="26"/>
  <c r="L131" i="26"/>
  <c r="L128" i="26"/>
  <c r="L147" i="26"/>
  <c r="L144" i="26"/>
  <c r="L141" i="26"/>
  <c r="L138" i="26"/>
  <c r="L130" i="26"/>
  <c r="L6" i="26"/>
  <c r="L56" i="26" s="1"/>
  <c r="L117" i="27"/>
  <c r="L111" i="5"/>
  <c r="L6" i="5"/>
  <c r="L56" i="5" s="1"/>
  <c r="Q11" i="24"/>
  <c r="R9" i="24"/>
  <c r="BV9" i="24" s="1"/>
  <c r="BV10" i="24" s="1"/>
  <c r="CM9" i="24"/>
  <c r="CM10" i="24" s="1"/>
  <c r="N124" i="27"/>
  <c r="N31" i="27" s="1"/>
  <c r="Q177" i="23"/>
  <c r="Q47" i="23"/>
  <c r="Q101" i="23" s="1"/>
  <c r="R21" i="23"/>
  <c r="M110" i="27"/>
  <c r="M6" i="27"/>
  <c r="BV21" i="29"/>
  <c r="Q75" i="58" a="1"/>
  <c r="CK62" i="1" l="1"/>
  <c r="CL34" i="1"/>
  <c r="CL25" i="1"/>
  <c r="CL26" i="1"/>
  <c r="CM28" i="23"/>
  <c r="CL40" i="1"/>
  <c r="CL43" i="1"/>
  <c r="CK64" i="24"/>
  <c r="L132" i="26"/>
  <c r="CL32" i="1"/>
  <c r="L149" i="26"/>
  <c r="L134" i="26" s="1"/>
  <c r="CM29" i="23"/>
  <c r="N132" i="27" s="1"/>
  <c r="CL27" i="1"/>
  <c r="M131" i="5" s="1"/>
  <c r="CK48" i="24"/>
  <c r="CK65" i="1"/>
  <c r="L131" i="5"/>
  <c r="L128" i="5"/>
  <c r="BU48" i="23"/>
  <c r="N57" i="27" s="1"/>
  <c r="AA54" i="1"/>
  <c r="O121" i="1" s="1"/>
  <c r="M121" i="1" s="1"/>
  <c r="Y54" i="1"/>
  <c r="AA62" i="1"/>
  <c r="C140" i="1" s="1"/>
  <c r="B140" i="1" s="1"/>
  <c r="Y62" i="1"/>
  <c r="L143" i="5"/>
  <c r="AD47" i="41"/>
  <c r="AD43" i="41" s="1"/>
  <c r="E23" i="35"/>
  <c r="W23" i="35" s="1"/>
  <c r="D23" i="35"/>
  <c r="V23" i="35" s="1"/>
  <c r="Q75" i="58"/>
  <c r="Q191" i="1"/>
  <c r="Q221" i="1" s="1"/>
  <c r="L114" i="27"/>
  <c r="CL62" i="23"/>
  <c r="M138" i="30"/>
  <c r="M148" i="30"/>
  <c r="M139" i="30"/>
  <c r="M141" i="30"/>
  <c r="M135" i="30"/>
  <c r="M145" i="30"/>
  <c r="M143" i="30"/>
  <c r="M118" i="30" s="1"/>
  <c r="M137" i="30"/>
  <c r="M147" i="30"/>
  <c r="M142" i="30"/>
  <c r="M146" i="30"/>
  <c r="M136" i="30"/>
  <c r="M140" i="30"/>
  <c r="M144" i="30"/>
  <c r="L150" i="5"/>
  <c r="L149" i="5"/>
  <c r="CK63" i="1"/>
  <c r="CL64" i="24"/>
  <c r="CL61" i="29"/>
  <c r="CL67" i="29"/>
  <c r="M149" i="30"/>
  <c r="CM29" i="29"/>
  <c r="CM35" i="29"/>
  <c r="CM41" i="29"/>
  <c r="CM40" i="29"/>
  <c r="CL68" i="29"/>
  <c r="CL37" i="1"/>
  <c r="M141" i="5" s="1"/>
  <c r="CM25" i="23"/>
  <c r="CM61" i="23" s="1"/>
  <c r="K125" i="26"/>
  <c r="K111" i="26" s="1"/>
  <c r="K151" i="26"/>
  <c r="K152" i="26" s="1"/>
  <c r="CL39" i="1"/>
  <c r="M143" i="5" s="1"/>
  <c r="CL28" i="1"/>
  <c r="M132" i="5" s="1"/>
  <c r="CL36" i="1"/>
  <c r="M140" i="5" s="1"/>
  <c r="CL44" i="1"/>
  <c r="CL38" i="1"/>
  <c r="M142" i="5" s="1"/>
  <c r="CL41" i="1"/>
  <c r="CL65" i="1" s="1"/>
  <c r="CL35" i="1"/>
  <c r="M139" i="5" s="1"/>
  <c r="CM27" i="23"/>
  <c r="G128" i="5"/>
  <c r="G114" i="5" s="1"/>
  <c r="CL65" i="29"/>
  <c r="CL45" i="1"/>
  <c r="M149" i="5" s="1"/>
  <c r="CL29" i="1"/>
  <c r="M133" i="5" s="1"/>
  <c r="CL68" i="24"/>
  <c r="CL62" i="24"/>
  <c r="CL63" i="24"/>
  <c r="CL61" i="24"/>
  <c r="CL65" i="24"/>
  <c r="CM33" i="23"/>
  <c r="N136" i="27" s="1"/>
  <c r="CM35" i="23"/>
  <c r="N138" i="27" s="1"/>
  <c r="CM44" i="23"/>
  <c r="N147" i="27" s="1"/>
  <c r="CL63" i="29"/>
  <c r="CM39" i="23"/>
  <c r="CM45" i="23"/>
  <c r="N148" i="27" s="1"/>
  <c r="CM41" i="23"/>
  <c r="N144" i="27" s="1"/>
  <c r="CM38" i="23"/>
  <c r="N141" i="27" s="1"/>
  <c r="CM36" i="23"/>
  <c r="N139" i="27" s="1"/>
  <c r="CM34" i="23"/>
  <c r="N137" i="27" s="1"/>
  <c r="L146" i="5"/>
  <c r="CL24" i="1"/>
  <c r="CL60" i="1" s="1"/>
  <c r="F128" i="5"/>
  <c r="F114" i="5" s="1"/>
  <c r="K128" i="5"/>
  <c r="K114" i="5" s="1"/>
  <c r="CL64" i="29"/>
  <c r="J127" i="27"/>
  <c r="J113" i="27" s="1"/>
  <c r="CJ48" i="1"/>
  <c r="CL62" i="29"/>
  <c r="CM36" i="29"/>
  <c r="CM42" i="29"/>
  <c r="CM24" i="29"/>
  <c r="CM60" i="29" s="1"/>
  <c r="CM23" i="29"/>
  <c r="CM25" i="29"/>
  <c r="CM43" i="29"/>
  <c r="CM37" i="29"/>
  <c r="CM44" i="29"/>
  <c r="CM26" i="29"/>
  <c r="CM45" i="29"/>
  <c r="BU48" i="29"/>
  <c r="N57" i="30" s="1"/>
  <c r="CM38" i="29"/>
  <c r="CM33" i="29"/>
  <c r="J128" i="5"/>
  <c r="J114" i="5" s="1"/>
  <c r="CM27" i="29"/>
  <c r="CM46" i="29"/>
  <c r="CL48" i="29"/>
  <c r="H128" i="5"/>
  <c r="H114" i="5" s="1"/>
  <c r="CM39" i="29"/>
  <c r="CM34" i="29"/>
  <c r="CM28" i="29"/>
  <c r="BU67" i="23"/>
  <c r="CM46" i="23"/>
  <c r="CM67" i="23" s="1"/>
  <c r="CM40" i="23"/>
  <c r="N143" i="27" s="1"/>
  <c r="N119" i="27" s="1"/>
  <c r="BU65" i="23"/>
  <c r="CM37" i="23"/>
  <c r="BU64" i="23"/>
  <c r="BU59" i="23"/>
  <c r="CM23" i="23"/>
  <c r="BU60" i="23"/>
  <c r="CM24" i="23"/>
  <c r="CM60" i="23" s="1"/>
  <c r="BU66" i="23"/>
  <c r="CM42" i="23"/>
  <c r="CM66" i="23" s="1"/>
  <c r="BV41" i="23"/>
  <c r="BV32" i="23"/>
  <c r="BV43" i="23"/>
  <c r="BV42" i="23"/>
  <c r="BV39" i="23"/>
  <c r="BV45" i="23"/>
  <c r="BV34" i="23"/>
  <c r="BV38" i="23"/>
  <c r="BV33" i="23"/>
  <c r="BV46" i="23"/>
  <c r="BV37" i="23"/>
  <c r="BV44" i="23"/>
  <c r="BV36" i="23"/>
  <c r="BV35" i="23"/>
  <c r="BV40" i="23"/>
  <c r="CM43" i="23"/>
  <c r="BU68" i="23"/>
  <c r="CM32" i="23"/>
  <c r="BU63" i="23"/>
  <c r="BU64" i="24"/>
  <c r="BU68" i="24"/>
  <c r="BU63" i="24"/>
  <c r="BU66" i="24"/>
  <c r="BV40" i="24"/>
  <c r="BV44" i="24"/>
  <c r="BV42" i="24"/>
  <c r="BV39" i="24"/>
  <c r="BV35" i="24"/>
  <c r="BV41" i="24"/>
  <c r="BV32" i="24"/>
  <c r="BV38" i="24"/>
  <c r="BV37" i="24"/>
  <c r="BV34" i="24"/>
  <c r="BV46" i="24"/>
  <c r="BV33" i="24"/>
  <c r="BV45" i="24"/>
  <c r="BV36" i="24"/>
  <c r="BV43" i="24"/>
  <c r="BU67" i="24"/>
  <c r="CL59" i="24"/>
  <c r="CL48" i="24"/>
  <c r="BU60" i="24"/>
  <c r="P101" i="24"/>
  <c r="BU65" i="24"/>
  <c r="BU59" i="24"/>
  <c r="BU48" i="24"/>
  <c r="N57" i="26" s="1"/>
  <c r="CL46" i="1"/>
  <c r="CL67" i="1" s="1"/>
  <c r="CL42" i="1"/>
  <c r="CL66" i="1" s="1"/>
  <c r="CL23" i="1"/>
  <c r="M127" i="5" s="1"/>
  <c r="CK59" i="1"/>
  <c r="CK48" i="1"/>
  <c r="BT48" i="1"/>
  <c r="M57" i="5" s="1"/>
  <c r="CJ59" i="1"/>
  <c r="CL68" i="23"/>
  <c r="CL65" i="23"/>
  <c r="CL64" i="23"/>
  <c r="M143" i="27"/>
  <c r="M119" i="27" s="1"/>
  <c r="CL63" i="23"/>
  <c r="L134" i="27"/>
  <c r="L116" i="27" s="1"/>
  <c r="M140" i="27"/>
  <c r="M118" i="27" s="1"/>
  <c r="CJ60" i="23"/>
  <c r="CJ48" i="23"/>
  <c r="K127" i="27"/>
  <c r="K135" i="5"/>
  <c r="K117" i="5" s="1"/>
  <c r="BU61" i="24"/>
  <c r="I127" i="27"/>
  <c r="I113" i="27" s="1"/>
  <c r="M149" i="27"/>
  <c r="E151" i="26"/>
  <c r="E152" i="26" s="1"/>
  <c r="E14" i="26" s="1"/>
  <c r="I127" i="5"/>
  <c r="D128" i="5"/>
  <c r="D114" i="5" s="1"/>
  <c r="I128" i="5"/>
  <c r="I114" i="5" s="1"/>
  <c r="E128" i="5"/>
  <c r="E114" i="5" s="1"/>
  <c r="M145" i="27"/>
  <c r="CH48" i="23"/>
  <c r="BU62" i="24"/>
  <c r="CI48" i="23"/>
  <c r="CL59" i="23"/>
  <c r="CL48" i="23"/>
  <c r="CC48" i="23"/>
  <c r="BU61" i="23"/>
  <c r="BU62" i="23"/>
  <c r="BT64" i="1"/>
  <c r="BT62" i="1"/>
  <c r="BT63" i="1"/>
  <c r="BT61" i="1"/>
  <c r="BT68" i="1"/>
  <c r="BT65" i="1"/>
  <c r="CL61" i="1"/>
  <c r="K152" i="30"/>
  <c r="K12" i="30" s="1"/>
  <c r="BU63" i="29"/>
  <c r="BU62" i="29"/>
  <c r="BU61" i="29"/>
  <c r="BU68" i="29"/>
  <c r="BU65" i="29"/>
  <c r="BV58" i="29"/>
  <c r="BU64" i="29"/>
  <c r="CC23" i="1"/>
  <c r="CC59" i="1" s="1"/>
  <c r="BK59" i="1"/>
  <c r="CE23" i="1"/>
  <c r="CE59" i="1" s="1"/>
  <c r="BM59" i="1"/>
  <c r="CF23" i="1"/>
  <c r="CF59" i="1" s="1"/>
  <c r="BN59" i="1"/>
  <c r="CG23" i="1"/>
  <c r="CG59" i="1" s="1"/>
  <c r="BO59" i="1"/>
  <c r="E112" i="26"/>
  <c r="CD23" i="1"/>
  <c r="CD59" i="1" s="1"/>
  <c r="BL59" i="1"/>
  <c r="AL33" i="24"/>
  <c r="CM33" i="24" s="1"/>
  <c r="AL36" i="24"/>
  <c r="CM36" i="24" s="1"/>
  <c r="AL39" i="24"/>
  <c r="CM39" i="24" s="1"/>
  <c r="AL41" i="24"/>
  <c r="CM41" i="24" s="1"/>
  <c r="AL44" i="24"/>
  <c r="CM44" i="24" s="1"/>
  <c r="AL26" i="24"/>
  <c r="CM26" i="24" s="1"/>
  <c r="AL29" i="24"/>
  <c r="CM29" i="24" s="1"/>
  <c r="AL34" i="24"/>
  <c r="CM34" i="24" s="1"/>
  <c r="AL37" i="24"/>
  <c r="CM37" i="24" s="1"/>
  <c r="AL23" i="24"/>
  <c r="CM23" i="24" s="1"/>
  <c r="AL42" i="24"/>
  <c r="CM42" i="24" s="1"/>
  <c r="CM66" i="24" s="1"/>
  <c r="AL45" i="24"/>
  <c r="CM45" i="24" s="1"/>
  <c r="AL24" i="24"/>
  <c r="CM24" i="24" s="1"/>
  <c r="CM60" i="24" s="1"/>
  <c r="AL27" i="24"/>
  <c r="CM27" i="24" s="1"/>
  <c r="AL38" i="24"/>
  <c r="CM38" i="24" s="1"/>
  <c r="AL43" i="24"/>
  <c r="CM43" i="24" s="1"/>
  <c r="AL28" i="24"/>
  <c r="CM28" i="24" s="1"/>
  <c r="AL46" i="24"/>
  <c r="CM46" i="24" s="1"/>
  <c r="CM67" i="24" s="1"/>
  <c r="AL35" i="24"/>
  <c r="CM35" i="24" s="1"/>
  <c r="AL32" i="24"/>
  <c r="CM32" i="24" s="1"/>
  <c r="AL40" i="24"/>
  <c r="CM40" i="24" s="1"/>
  <c r="AL25" i="24"/>
  <c r="CM25" i="24" s="1"/>
  <c r="AM33" i="23"/>
  <c r="AM36" i="23"/>
  <c r="AM39" i="23"/>
  <c r="AM32" i="23"/>
  <c r="AM40" i="23"/>
  <c r="AM43" i="23"/>
  <c r="AM46" i="23"/>
  <c r="AM25" i="23"/>
  <c r="AM28" i="23"/>
  <c r="AM34" i="23"/>
  <c r="AM37" i="23"/>
  <c r="AM41" i="23"/>
  <c r="AM44" i="23"/>
  <c r="AM26" i="23"/>
  <c r="AM29" i="23"/>
  <c r="AM24" i="23"/>
  <c r="AM35" i="23"/>
  <c r="AM42" i="23"/>
  <c r="AM27" i="23"/>
  <c r="AM38" i="23"/>
  <c r="AM23" i="23"/>
  <c r="AM45" i="23"/>
  <c r="AM21" i="1"/>
  <c r="AL34" i="1"/>
  <c r="AL37" i="1"/>
  <c r="AL23" i="1"/>
  <c r="AL42" i="1"/>
  <c r="AL45" i="1"/>
  <c r="AL24" i="1"/>
  <c r="AL27" i="1"/>
  <c r="AL46" i="1"/>
  <c r="AL35" i="1"/>
  <c r="AL38" i="1"/>
  <c r="AL32" i="1"/>
  <c r="AL40" i="1"/>
  <c r="AL43" i="1"/>
  <c r="AL25" i="1"/>
  <c r="AL28" i="1"/>
  <c r="AL36" i="1"/>
  <c r="AL33" i="1"/>
  <c r="AL39" i="1"/>
  <c r="AL44" i="1"/>
  <c r="AL29" i="1"/>
  <c r="AL41" i="1"/>
  <c r="AL26" i="1"/>
  <c r="AL40" i="29"/>
  <c r="AL43" i="29"/>
  <c r="AL33" i="29"/>
  <c r="AL36" i="29"/>
  <c r="AL39" i="29"/>
  <c r="AL41" i="29"/>
  <c r="AL42" i="29"/>
  <c r="AL34" i="29"/>
  <c r="AL37" i="29"/>
  <c r="AL32" i="29"/>
  <c r="AL46" i="29"/>
  <c r="AL25" i="29"/>
  <c r="AL28" i="29"/>
  <c r="AL35" i="29"/>
  <c r="AL38" i="29"/>
  <c r="AL44" i="29"/>
  <c r="AL26" i="29"/>
  <c r="AL29" i="29"/>
  <c r="AL23" i="29"/>
  <c r="AL45" i="29"/>
  <c r="AL27" i="29"/>
  <c r="AL24" i="29"/>
  <c r="BO48" i="1"/>
  <c r="H57" i="5" s="1"/>
  <c r="BL48" i="1"/>
  <c r="E57" i="5" s="1"/>
  <c r="BN48" i="1"/>
  <c r="G57" i="5" s="1"/>
  <c r="BK48" i="1"/>
  <c r="D57" i="5" s="1"/>
  <c r="BM48" i="1"/>
  <c r="F57" i="5" s="1"/>
  <c r="I16" i="30"/>
  <c r="I58" i="30" s="1"/>
  <c r="G151" i="26"/>
  <c r="G152" i="26" s="1"/>
  <c r="G7" i="26" s="1"/>
  <c r="J13" i="30"/>
  <c r="J10" i="30"/>
  <c r="J7" i="30"/>
  <c r="D127" i="27"/>
  <c r="D113" i="27" s="1"/>
  <c r="M100" i="26"/>
  <c r="M41" i="26"/>
  <c r="M100" i="30"/>
  <c r="M41" i="30"/>
  <c r="N100" i="27"/>
  <c r="N41" i="27"/>
  <c r="M130" i="5"/>
  <c r="M136" i="5"/>
  <c r="M144" i="5"/>
  <c r="M120" i="5" s="1"/>
  <c r="M147" i="5"/>
  <c r="M137" i="5"/>
  <c r="M138" i="5"/>
  <c r="M129" i="5"/>
  <c r="N125" i="5"/>
  <c r="N31" i="5" s="1"/>
  <c r="R21" i="1"/>
  <c r="CN21" i="1"/>
  <c r="CM58" i="1"/>
  <c r="BV21" i="1"/>
  <c r="BU58" i="1"/>
  <c r="C68" i="3"/>
  <c r="AC68" i="3"/>
  <c r="AD68" i="3"/>
  <c r="AE68" i="3"/>
  <c r="B69" i="3"/>
  <c r="J125" i="26"/>
  <c r="J111" i="26" s="1"/>
  <c r="J151" i="26"/>
  <c r="J152" i="26" s="1"/>
  <c r="J7" i="26" s="1"/>
  <c r="G127" i="27"/>
  <c r="G113" i="27" s="1"/>
  <c r="J9" i="30"/>
  <c r="J11" i="30"/>
  <c r="J8" i="30"/>
  <c r="F127" i="27"/>
  <c r="F151" i="27" s="1"/>
  <c r="F152" i="27" s="1"/>
  <c r="J12" i="30"/>
  <c r="J15" i="30"/>
  <c r="J127" i="5"/>
  <c r="M41" i="5"/>
  <c r="I151" i="26"/>
  <c r="I152" i="26" s="1"/>
  <c r="I125" i="26"/>
  <c r="I111" i="26" s="1"/>
  <c r="H125" i="26"/>
  <c r="H111" i="26" s="1"/>
  <c r="H151" i="26"/>
  <c r="H152" i="26" s="1"/>
  <c r="G125" i="26"/>
  <c r="G111" i="26" s="1"/>
  <c r="E127" i="27"/>
  <c r="E151" i="27" s="1"/>
  <c r="E152" i="27" s="1"/>
  <c r="F125" i="26"/>
  <c r="F111" i="26" s="1"/>
  <c r="F151" i="26"/>
  <c r="CH48" i="1"/>
  <c r="D125" i="26"/>
  <c r="D151" i="26"/>
  <c r="H127" i="27"/>
  <c r="H151" i="27" s="1"/>
  <c r="CI48" i="1"/>
  <c r="K116" i="26"/>
  <c r="M18" i="27"/>
  <c r="M56" i="27"/>
  <c r="R91" i="23"/>
  <c r="R89" i="23"/>
  <c r="R79" i="23"/>
  <c r="R93" i="23"/>
  <c r="R81" i="23"/>
  <c r="R97" i="23"/>
  <c r="R95" i="23"/>
  <c r="R99" i="23"/>
  <c r="R83" i="23"/>
  <c r="R88" i="23"/>
  <c r="R86" i="23"/>
  <c r="R78" i="23"/>
  <c r="R90" i="23"/>
  <c r="R94" i="23"/>
  <c r="R92" i="23"/>
  <c r="R80" i="23"/>
  <c r="R96" i="23"/>
  <c r="R82" i="23"/>
  <c r="R100" i="23"/>
  <c r="R98" i="23"/>
  <c r="R87" i="23"/>
  <c r="R77" i="23"/>
  <c r="Q83" i="24"/>
  <c r="Q98" i="24"/>
  <c r="Q92" i="24"/>
  <c r="Q86" i="24"/>
  <c r="Q78" i="24"/>
  <c r="Q100" i="24"/>
  <c r="Q96" i="24"/>
  <c r="Q94" i="24"/>
  <c r="Q90" i="24"/>
  <c r="Q88" i="24"/>
  <c r="Q80" i="24"/>
  <c r="Q82" i="24"/>
  <c r="Q95" i="24"/>
  <c r="Q89" i="24"/>
  <c r="Q99" i="24"/>
  <c r="Q97" i="24"/>
  <c r="Q93" i="24"/>
  <c r="Q91" i="24"/>
  <c r="Q87" i="24"/>
  <c r="Q79" i="24"/>
  <c r="Q77" i="24"/>
  <c r="Q81" i="24"/>
  <c r="Q47" i="29"/>
  <c r="Q101" i="29" s="1"/>
  <c r="Q87" i="29"/>
  <c r="Q77" i="29"/>
  <c r="Q100" i="29"/>
  <c r="Q98" i="29"/>
  <c r="Q96" i="29"/>
  <c r="Q79" i="29"/>
  <c r="Q94" i="29"/>
  <c r="Q92" i="29"/>
  <c r="Q81" i="29"/>
  <c r="Q90" i="29"/>
  <c r="Q88" i="29"/>
  <c r="Q86" i="29"/>
  <c r="Q83" i="29"/>
  <c r="Q78" i="29"/>
  <c r="Q99" i="29"/>
  <c r="Q97" i="29"/>
  <c r="Q95" i="29"/>
  <c r="Q91" i="29"/>
  <c r="Q89" i="29"/>
  <c r="Q82" i="29"/>
  <c r="Q93" i="29"/>
  <c r="Q80" i="29"/>
  <c r="P101" i="1"/>
  <c r="BV23" i="29"/>
  <c r="BV59" i="29" s="1"/>
  <c r="BV33" i="29"/>
  <c r="BV36" i="29"/>
  <c r="BV39" i="29"/>
  <c r="BV42" i="29"/>
  <c r="BV66" i="29" s="1"/>
  <c r="BV45" i="29"/>
  <c r="BV24" i="29"/>
  <c r="BV60" i="29" s="1"/>
  <c r="BV27" i="29"/>
  <c r="BV32" i="29"/>
  <c r="BV34" i="29"/>
  <c r="BV37" i="29"/>
  <c r="BV40" i="29"/>
  <c r="BV43" i="29"/>
  <c r="BV46" i="29"/>
  <c r="BV67" i="29" s="1"/>
  <c r="BV25" i="29"/>
  <c r="BV28" i="29"/>
  <c r="BV35" i="29"/>
  <c r="BV38" i="29"/>
  <c r="BV41" i="29"/>
  <c r="BV44" i="29"/>
  <c r="BV26" i="29"/>
  <c r="BV29" i="29"/>
  <c r="BV24" i="24"/>
  <c r="BV23" i="24"/>
  <c r="BV26" i="24"/>
  <c r="BV29" i="24"/>
  <c r="BV28" i="24"/>
  <c r="BV27" i="24"/>
  <c r="BV25" i="24"/>
  <c r="BV26" i="23"/>
  <c r="CN26" i="23" s="1"/>
  <c r="BV29" i="23"/>
  <c r="BV25" i="23"/>
  <c r="BV23" i="23"/>
  <c r="BV24" i="23"/>
  <c r="BV27" i="23"/>
  <c r="BV28" i="23"/>
  <c r="DX21" i="1"/>
  <c r="BU26" i="1"/>
  <c r="BU24" i="1"/>
  <c r="BU60" i="1" s="1"/>
  <c r="BU28" i="1"/>
  <c r="BU23" i="1"/>
  <c r="BU59" i="1" s="1"/>
  <c r="BU29" i="1"/>
  <c r="BU27" i="1"/>
  <c r="BU25" i="1"/>
  <c r="CM25" i="1" s="1"/>
  <c r="L115" i="27"/>
  <c r="L125" i="27"/>
  <c r="L111" i="27" s="1"/>
  <c r="L151" i="27"/>
  <c r="M132" i="27"/>
  <c r="BU32" i="1"/>
  <c r="BU44" i="1"/>
  <c r="BU35" i="1"/>
  <c r="BU38" i="1"/>
  <c r="BU41" i="1"/>
  <c r="BU45" i="1"/>
  <c r="BU33" i="1"/>
  <c r="BU36" i="1"/>
  <c r="BU39" i="1"/>
  <c r="BU42" i="1"/>
  <c r="BU66" i="1" s="1"/>
  <c r="BU34" i="1"/>
  <c r="BU37" i="1"/>
  <c r="CM37" i="1" s="1"/>
  <c r="BU40" i="1"/>
  <c r="BU43" i="1"/>
  <c r="BU46" i="1"/>
  <c r="BU67" i="1" s="1"/>
  <c r="M130" i="27"/>
  <c r="M126" i="27"/>
  <c r="M131" i="27"/>
  <c r="M128" i="27"/>
  <c r="M129" i="27"/>
  <c r="M127" i="27"/>
  <c r="M113" i="27" s="1"/>
  <c r="I23" i="35"/>
  <c r="AA23" i="35" s="1"/>
  <c r="H23" i="35"/>
  <c r="Z23" i="35" s="1"/>
  <c r="L23" i="35"/>
  <c r="AD23" i="35" s="1"/>
  <c r="M23" i="35"/>
  <c r="AE22" i="35"/>
  <c r="L125" i="26"/>
  <c r="L111" i="26" s="1"/>
  <c r="L134" i="30"/>
  <c r="L115" i="30" s="1"/>
  <c r="L125" i="30"/>
  <c r="L110" i="30" s="1"/>
  <c r="L151" i="30"/>
  <c r="U22" i="35"/>
  <c r="B24" i="35"/>
  <c r="T23" i="35"/>
  <c r="AF23" i="35"/>
  <c r="C23" i="35" s="1"/>
  <c r="AE46" i="41" s="1"/>
  <c r="G23" i="35"/>
  <c r="Y23" i="35" s="1"/>
  <c r="F23" i="35"/>
  <c r="X23" i="35" s="1"/>
  <c r="M117" i="27"/>
  <c r="L114" i="26"/>
  <c r="L115" i="26"/>
  <c r="L117" i="30"/>
  <c r="L117" i="26"/>
  <c r="L113" i="30"/>
  <c r="N110" i="27"/>
  <c r="N6" i="27"/>
  <c r="S9" i="24"/>
  <c r="BW9" i="24" s="1"/>
  <c r="BW10" i="24" s="1"/>
  <c r="CN9" i="24"/>
  <c r="CN10" i="24" s="1"/>
  <c r="R11" i="24"/>
  <c r="L101" i="5"/>
  <c r="L118" i="5"/>
  <c r="AN21" i="23"/>
  <c r="CN9" i="23"/>
  <c r="CN10" i="23" s="1"/>
  <c r="R11" i="23"/>
  <c r="S9" i="23"/>
  <c r="BW9" i="23" s="1"/>
  <c r="BW10" i="23" s="1"/>
  <c r="N124" i="26"/>
  <c r="N31" i="26" s="1"/>
  <c r="Q177" i="24"/>
  <c r="Q47" i="24"/>
  <c r="Q101" i="24" s="1"/>
  <c r="R21" i="24"/>
  <c r="M145" i="26"/>
  <c r="M136" i="26"/>
  <c r="M132" i="26"/>
  <c r="M129" i="26"/>
  <c r="M126" i="26"/>
  <c r="M112" i="26" s="1"/>
  <c r="M148" i="26"/>
  <c r="M142" i="26"/>
  <c r="M139" i="26"/>
  <c r="M135" i="26"/>
  <c r="M131" i="26"/>
  <c r="M128" i="26"/>
  <c r="M147" i="26"/>
  <c r="M144" i="26"/>
  <c r="M141" i="26"/>
  <c r="M138" i="26"/>
  <c r="M130" i="26"/>
  <c r="M149" i="26"/>
  <c r="M146" i="26"/>
  <c r="M143" i="26"/>
  <c r="M119" i="26" s="1"/>
  <c r="M140" i="26"/>
  <c r="M137" i="26"/>
  <c r="M110" i="26"/>
  <c r="M6" i="26"/>
  <c r="M56" i="26" s="1"/>
  <c r="M127" i="26"/>
  <c r="M113" i="26" s="1"/>
  <c r="CO21" i="29"/>
  <c r="CO58" i="29" s="1"/>
  <c r="CN30" i="29"/>
  <c r="L119" i="5"/>
  <c r="DY21" i="24"/>
  <c r="N124" i="30"/>
  <c r="N31" i="30" s="1"/>
  <c r="Q177" i="29"/>
  <c r="R21" i="29"/>
  <c r="DG31" i="1"/>
  <c r="AM21" i="24"/>
  <c r="M111" i="5"/>
  <c r="M6" i="5"/>
  <c r="M56" i="5" s="1"/>
  <c r="L114" i="30"/>
  <c r="O124" i="27"/>
  <c r="O31" i="27" s="1"/>
  <c r="S21" i="23"/>
  <c r="R177" i="23"/>
  <c r="R47" i="23"/>
  <c r="R101" i="23" s="1"/>
  <c r="L18" i="26"/>
  <c r="CM9" i="1"/>
  <c r="CM10" i="1" s="1"/>
  <c r="Q11" i="1"/>
  <c r="BV9" i="1"/>
  <c r="BV10" i="1" s="1"/>
  <c r="AM21" i="29"/>
  <c r="N149" i="27"/>
  <c r="N142" i="27"/>
  <c r="DX21" i="23"/>
  <c r="Q99" i="1"/>
  <c r="Q95" i="1"/>
  <c r="Q91" i="1"/>
  <c r="Q87" i="1"/>
  <c r="Q81" i="1"/>
  <c r="Q77" i="1"/>
  <c r="Q98" i="1"/>
  <c r="Q94" i="1"/>
  <c r="Q90" i="1"/>
  <c r="Q86" i="1"/>
  <c r="Q80" i="1"/>
  <c r="Q177" i="1"/>
  <c r="Q100" i="1"/>
  <c r="Q97" i="1"/>
  <c r="Q93" i="1"/>
  <c r="Q89" i="1"/>
  <c r="Q83" i="1"/>
  <c r="Q79" i="1"/>
  <c r="Q96" i="1"/>
  <c r="Q92" i="1"/>
  <c r="Q88" i="1"/>
  <c r="Q82" i="1"/>
  <c r="Q78" i="1"/>
  <c r="Q47" i="1"/>
  <c r="AB20" i="3"/>
  <c r="L18" i="30"/>
  <c r="N131" i="27"/>
  <c r="BW21" i="29"/>
  <c r="BV31" i="29"/>
  <c r="L18" i="5"/>
  <c r="L118" i="26"/>
  <c r="M130" i="30"/>
  <c r="M127" i="30"/>
  <c r="M112" i="30" s="1"/>
  <c r="M109" i="30"/>
  <c r="M132" i="30"/>
  <c r="M129" i="30"/>
  <c r="M126" i="30"/>
  <c r="M111" i="30" s="1"/>
  <c r="M131" i="30"/>
  <c r="M128" i="30"/>
  <c r="M6" i="30"/>
  <c r="M56" i="30" s="1"/>
  <c r="S9" i="29"/>
  <c r="BW9" i="29" s="1"/>
  <c r="BW10" i="29" s="1"/>
  <c r="CN9" i="29"/>
  <c r="CN10" i="29" s="1"/>
  <c r="CN46" i="29" s="1"/>
  <c r="R11" i="29"/>
  <c r="L116" i="30"/>
  <c r="Q159" i="3"/>
  <c r="Q160" i="3" s="1"/>
  <c r="R75" i="58" a="1"/>
  <c r="AD39" i="41" l="1"/>
  <c r="CM39" i="1"/>
  <c r="L151" i="26"/>
  <c r="CM62" i="23"/>
  <c r="CN28" i="23"/>
  <c r="CM40" i="1"/>
  <c r="CN29" i="23"/>
  <c r="CM28" i="1"/>
  <c r="CM36" i="1"/>
  <c r="J151" i="27"/>
  <c r="CM27" i="1"/>
  <c r="N131" i="5" s="1"/>
  <c r="CM44" i="1"/>
  <c r="N148" i="5" s="1"/>
  <c r="CM38" i="1"/>
  <c r="N142" i="5" s="1"/>
  <c r="AD35" i="41"/>
  <c r="AD48" i="41"/>
  <c r="AD36" i="41"/>
  <c r="CM29" i="1"/>
  <c r="N133" i="5" s="1"/>
  <c r="AD38" i="41"/>
  <c r="AD41" i="41"/>
  <c r="AD42" i="41"/>
  <c r="AD37" i="41"/>
  <c r="AD53" i="41" s="1"/>
  <c r="CM26" i="1"/>
  <c r="AD40" i="41"/>
  <c r="AD56" i="41" s="1"/>
  <c r="CN27" i="23"/>
  <c r="CN62" i="23" s="1"/>
  <c r="BV48" i="23"/>
  <c r="O57" i="27" s="1"/>
  <c r="M128" i="5"/>
  <c r="D111" i="26"/>
  <c r="AE47" i="41"/>
  <c r="E24" i="35"/>
  <c r="W24" i="35" s="1"/>
  <c r="D24" i="35"/>
  <c r="V24" i="35" s="1"/>
  <c r="R75" i="58"/>
  <c r="R191" i="1"/>
  <c r="R221" i="1" s="1"/>
  <c r="CL62" i="1"/>
  <c r="N146" i="30"/>
  <c r="N138" i="30"/>
  <c r="N136" i="30"/>
  <c r="N139" i="30"/>
  <c r="N141" i="30"/>
  <c r="N148" i="30"/>
  <c r="N137" i="30"/>
  <c r="N147" i="30"/>
  <c r="CL63" i="1"/>
  <c r="N143" i="30"/>
  <c r="N135" i="30"/>
  <c r="N142" i="30"/>
  <c r="N140" i="30"/>
  <c r="N144" i="30"/>
  <c r="M145" i="5"/>
  <c r="CM65" i="29"/>
  <c r="L135" i="5"/>
  <c r="L117" i="5" s="1"/>
  <c r="CM41" i="1"/>
  <c r="CL64" i="1"/>
  <c r="CL68" i="1"/>
  <c r="J125" i="27"/>
  <c r="J111" i="27" s="1"/>
  <c r="CM64" i="23"/>
  <c r="K8" i="26"/>
  <c r="K14" i="26"/>
  <c r="CN67" i="29"/>
  <c r="CM67" i="29"/>
  <c r="N149" i="30"/>
  <c r="CM66" i="29"/>
  <c r="N145" i="30"/>
  <c r="CN39" i="29"/>
  <c r="CN28" i="29"/>
  <c r="CN40" i="29"/>
  <c r="CN41" i="29"/>
  <c r="CN34" i="29"/>
  <c r="CN35" i="29"/>
  <c r="CN24" i="29"/>
  <c r="CN60" i="29" s="1"/>
  <c r="CM34" i="1"/>
  <c r="N138" i="5" s="1"/>
  <c r="CM68" i="23"/>
  <c r="CM33" i="1"/>
  <c r="N137" i="5" s="1"/>
  <c r="K10" i="30"/>
  <c r="CM45" i="1"/>
  <c r="N149" i="5" s="1"/>
  <c r="M148" i="5"/>
  <c r="CM63" i="29"/>
  <c r="CM43" i="1"/>
  <c r="N147" i="5" s="1"/>
  <c r="CM35" i="1"/>
  <c r="N139" i="5" s="1"/>
  <c r="CM68" i="24"/>
  <c r="CM32" i="1"/>
  <c r="N136" i="5" s="1"/>
  <c r="CM61" i="24"/>
  <c r="CM63" i="23"/>
  <c r="CN25" i="23"/>
  <c r="CN61" i="23" s="1"/>
  <c r="CM62" i="24"/>
  <c r="CM65" i="24"/>
  <c r="CM64" i="24"/>
  <c r="CM63" i="24"/>
  <c r="CN33" i="23"/>
  <c r="O136" i="27" s="1"/>
  <c r="CN38" i="23"/>
  <c r="O141" i="27" s="1"/>
  <c r="CN34" i="23"/>
  <c r="O137" i="27" s="1"/>
  <c r="CN45" i="23"/>
  <c r="O148" i="27" s="1"/>
  <c r="CN39" i="23"/>
  <c r="O142" i="27" s="1"/>
  <c r="CN35" i="23"/>
  <c r="O138" i="27" s="1"/>
  <c r="CM65" i="23"/>
  <c r="CN36" i="23"/>
  <c r="O139" i="27" s="1"/>
  <c r="CN41" i="23"/>
  <c r="O144" i="27" s="1"/>
  <c r="CN44" i="23"/>
  <c r="O147" i="27" s="1"/>
  <c r="N140" i="27"/>
  <c r="N118" i="27" s="1"/>
  <c r="N146" i="27"/>
  <c r="K15" i="26"/>
  <c r="K12" i="26"/>
  <c r="K9" i="26"/>
  <c r="K13" i="26"/>
  <c r="K10" i="26"/>
  <c r="K7" i="26"/>
  <c r="K11" i="26"/>
  <c r="N135" i="27"/>
  <c r="N117" i="27" s="1"/>
  <c r="CM61" i="29"/>
  <c r="CM64" i="29"/>
  <c r="CM62" i="29"/>
  <c r="CM68" i="29"/>
  <c r="M146" i="5"/>
  <c r="CN29" i="29"/>
  <c r="CN36" i="29"/>
  <c r="CN42" i="29"/>
  <c r="L152" i="30"/>
  <c r="L9" i="30" s="1"/>
  <c r="CN25" i="29"/>
  <c r="CN23" i="29"/>
  <c r="CN32" i="29"/>
  <c r="CN43" i="29"/>
  <c r="CM59" i="29"/>
  <c r="CM48" i="29"/>
  <c r="CN37" i="29"/>
  <c r="CN44" i="29"/>
  <c r="N145" i="27"/>
  <c r="CN26" i="29"/>
  <c r="CN45" i="29"/>
  <c r="CN38" i="29"/>
  <c r="CN33" i="29"/>
  <c r="BV48" i="29"/>
  <c r="O57" i="30" s="1"/>
  <c r="M150" i="5"/>
  <c r="CN27" i="29"/>
  <c r="BV59" i="23"/>
  <c r="CN23" i="23"/>
  <c r="CM59" i="23"/>
  <c r="CM48" i="23"/>
  <c r="BW46" i="23"/>
  <c r="BW39" i="23"/>
  <c r="BW43" i="23"/>
  <c r="BW35" i="23"/>
  <c r="BW36" i="23"/>
  <c r="BW33" i="23"/>
  <c r="BW42" i="23"/>
  <c r="BW41" i="23"/>
  <c r="BW34" i="23"/>
  <c r="BW44" i="23"/>
  <c r="BW32" i="23"/>
  <c r="BW40" i="23"/>
  <c r="BW37" i="23"/>
  <c r="BW45" i="23"/>
  <c r="BW38" i="23"/>
  <c r="BV66" i="23"/>
  <c r="CN42" i="23"/>
  <c r="CN66" i="23" s="1"/>
  <c r="BV65" i="23"/>
  <c r="CN40" i="23"/>
  <c r="BV68" i="23"/>
  <c r="CN43" i="23"/>
  <c r="CN32" i="23"/>
  <c r="BV63" i="23"/>
  <c r="BV64" i="23"/>
  <c r="CN37" i="23"/>
  <c r="O140" i="27" s="1"/>
  <c r="BV60" i="23"/>
  <c r="CN24" i="23"/>
  <c r="CN60" i="23" s="1"/>
  <c r="BV67" i="23"/>
  <c r="CN46" i="23"/>
  <c r="CN67" i="23" s="1"/>
  <c r="BV67" i="24"/>
  <c r="L152" i="26"/>
  <c r="L15" i="26" s="1"/>
  <c r="BV64" i="24"/>
  <c r="BV63" i="24"/>
  <c r="BV59" i="24"/>
  <c r="BV48" i="24"/>
  <c r="O57" i="26" s="1"/>
  <c r="BW46" i="24"/>
  <c r="BW37" i="24"/>
  <c r="BW32" i="24"/>
  <c r="BW36" i="24"/>
  <c r="BW44" i="24"/>
  <c r="BW42" i="24"/>
  <c r="BW33" i="24"/>
  <c r="BW43" i="24"/>
  <c r="BW41" i="24"/>
  <c r="BW40" i="24"/>
  <c r="BW39" i="24"/>
  <c r="BW38" i="24"/>
  <c r="BW34" i="24"/>
  <c r="BW45" i="24"/>
  <c r="BW35" i="24"/>
  <c r="BV60" i="24"/>
  <c r="BV68" i="24"/>
  <c r="BV66" i="24"/>
  <c r="CM59" i="24"/>
  <c r="CM48" i="24"/>
  <c r="BV65" i="24"/>
  <c r="CM46" i="1"/>
  <c r="CM67" i="1" s="1"/>
  <c r="BU48" i="1"/>
  <c r="N57" i="5" s="1"/>
  <c r="CM42" i="1"/>
  <c r="CM66" i="1" s="1"/>
  <c r="CL59" i="1"/>
  <c r="CL48" i="1"/>
  <c r="CM23" i="1"/>
  <c r="N127" i="5" s="1"/>
  <c r="CM24" i="1"/>
  <c r="CM60" i="1" s="1"/>
  <c r="K15" i="30"/>
  <c r="K14" i="30"/>
  <c r="K9" i="30"/>
  <c r="K13" i="30"/>
  <c r="K7" i="30"/>
  <c r="M134" i="27"/>
  <c r="M116" i="27" s="1"/>
  <c r="K11" i="30"/>
  <c r="K8" i="30"/>
  <c r="I151" i="27"/>
  <c r="I152" i="27" s="1"/>
  <c r="K113" i="27"/>
  <c r="K125" i="27"/>
  <c r="K111" i="27" s="1"/>
  <c r="K151" i="27"/>
  <c r="K152" i="27" s="1"/>
  <c r="K8" i="27" s="1"/>
  <c r="I125" i="27"/>
  <c r="I111" i="27" s="1"/>
  <c r="BV61" i="24"/>
  <c r="BV65" i="29"/>
  <c r="G125" i="27"/>
  <c r="G111" i="27" s="1"/>
  <c r="BU61" i="1"/>
  <c r="G151" i="27"/>
  <c r="G152" i="27" s="1"/>
  <c r="G9" i="27" s="1"/>
  <c r="BV62" i="24"/>
  <c r="BV62" i="23"/>
  <c r="BV61" i="23"/>
  <c r="L152" i="27"/>
  <c r="L15" i="27" s="1"/>
  <c r="J152" i="27"/>
  <c r="J15" i="27" s="1"/>
  <c r="BU62" i="1"/>
  <c r="BU68" i="1"/>
  <c r="BU65" i="1"/>
  <c r="BU63" i="1"/>
  <c r="BU64" i="1"/>
  <c r="CM61" i="1"/>
  <c r="BV68" i="29"/>
  <c r="BV64" i="29"/>
  <c r="BV61" i="29"/>
  <c r="BW58" i="29"/>
  <c r="BV63" i="29"/>
  <c r="BV62" i="29"/>
  <c r="AM35" i="29"/>
  <c r="AM38" i="29"/>
  <c r="AM33" i="29"/>
  <c r="AM36" i="29"/>
  <c r="AM39" i="29"/>
  <c r="AM41" i="29"/>
  <c r="AM34" i="29"/>
  <c r="AM37" i="29"/>
  <c r="AM42" i="29"/>
  <c r="AM45" i="29"/>
  <c r="AM40" i="29"/>
  <c r="AM43" i="29"/>
  <c r="AM32" i="29"/>
  <c r="AM46" i="29"/>
  <c r="AM25" i="29"/>
  <c r="AM28" i="29"/>
  <c r="AM44" i="29"/>
  <c r="AM26" i="29"/>
  <c r="AM29" i="29"/>
  <c r="AM27" i="29"/>
  <c r="AM23" i="29"/>
  <c r="AM24" i="29"/>
  <c r="AM40" i="24"/>
  <c r="CN40" i="24" s="1"/>
  <c r="AM43" i="24"/>
  <c r="CN43" i="24" s="1"/>
  <c r="AM46" i="24"/>
  <c r="CN46" i="24" s="1"/>
  <c r="CN67" i="24" s="1"/>
  <c r="AM25" i="24"/>
  <c r="CN25" i="24" s="1"/>
  <c r="AM28" i="24"/>
  <c r="CN28" i="24" s="1"/>
  <c r="AM33" i="24"/>
  <c r="CN33" i="24" s="1"/>
  <c r="AM36" i="24"/>
  <c r="CN36" i="24" s="1"/>
  <c r="AM39" i="24"/>
  <c r="CN39" i="24" s="1"/>
  <c r="AM41" i="24"/>
  <c r="CN41" i="24" s="1"/>
  <c r="AM44" i="24"/>
  <c r="CN44" i="24" s="1"/>
  <c r="AM26" i="24"/>
  <c r="CN26" i="24" s="1"/>
  <c r="AM29" i="24"/>
  <c r="CN29" i="24" s="1"/>
  <c r="AM34" i="24"/>
  <c r="CN34" i="24" s="1"/>
  <c r="AM37" i="24"/>
  <c r="CN37" i="24" s="1"/>
  <c r="AM23" i="24"/>
  <c r="CN23" i="24" s="1"/>
  <c r="AM32" i="24"/>
  <c r="CN32" i="24" s="1"/>
  <c r="AM45" i="24"/>
  <c r="CN45" i="24" s="1"/>
  <c r="AM38" i="24"/>
  <c r="CN38" i="24" s="1"/>
  <c r="AM24" i="24"/>
  <c r="CN24" i="24" s="1"/>
  <c r="CN60" i="24" s="1"/>
  <c r="AM42" i="24"/>
  <c r="CN42" i="24" s="1"/>
  <c r="CN66" i="24" s="1"/>
  <c r="AM27" i="24"/>
  <c r="CN27" i="24" s="1"/>
  <c r="AM35" i="24"/>
  <c r="CN35" i="24" s="1"/>
  <c r="AN21" i="1"/>
  <c r="AM41" i="1"/>
  <c r="AM44" i="1"/>
  <c r="AM26" i="1"/>
  <c r="AM29" i="1"/>
  <c r="AM34" i="1"/>
  <c r="AM37" i="1"/>
  <c r="AM23" i="1"/>
  <c r="AM42" i="1"/>
  <c r="AM45" i="1"/>
  <c r="AM24" i="1"/>
  <c r="AM27" i="1"/>
  <c r="AM32" i="1"/>
  <c r="AM35" i="1"/>
  <c r="AM38" i="1"/>
  <c r="AM40" i="1"/>
  <c r="AM43" i="1"/>
  <c r="AM46" i="1"/>
  <c r="AM25" i="1"/>
  <c r="AM28" i="1"/>
  <c r="AM39" i="1"/>
  <c r="AM33" i="1"/>
  <c r="AM36" i="1"/>
  <c r="AN42" i="23"/>
  <c r="AN45" i="23"/>
  <c r="AN24" i="23"/>
  <c r="AN27" i="23"/>
  <c r="AN33" i="23"/>
  <c r="AN36" i="23"/>
  <c r="AN39" i="23"/>
  <c r="AN40" i="23"/>
  <c r="AN43" i="23"/>
  <c r="AN46" i="23"/>
  <c r="AN25" i="23"/>
  <c r="AN28" i="23"/>
  <c r="AN35" i="23"/>
  <c r="AN38" i="23"/>
  <c r="AN41" i="23"/>
  <c r="AN26" i="23"/>
  <c r="AN37" i="23"/>
  <c r="AN44" i="23"/>
  <c r="AN29" i="23"/>
  <c r="AN32" i="23"/>
  <c r="AN34" i="23"/>
  <c r="AN23" i="23"/>
  <c r="D125" i="27"/>
  <c r="D151" i="27"/>
  <c r="D152" i="27" s="1"/>
  <c r="D7" i="27" s="1"/>
  <c r="N100" i="26"/>
  <c r="N41" i="26"/>
  <c r="N100" i="30"/>
  <c r="N41" i="30"/>
  <c r="O100" i="27"/>
  <c r="O41" i="27"/>
  <c r="CO21" i="1"/>
  <c r="CN58" i="1"/>
  <c r="BW21" i="1"/>
  <c r="BV58" i="1"/>
  <c r="O125" i="5"/>
  <c r="O31" i="5" s="1"/>
  <c r="S21" i="1"/>
  <c r="N129" i="5"/>
  <c r="N143" i="5"/>
  <c r="N132" i="5"/>
  <c r="N144" i="5"/>
  <c r="N120" i="5" s="1"/>
  <c r="N141" i="5"/>
  <c r="N130" i="5"/>
  <c r="N140" i="5"/>
  <c r="C69" i="3"/>
  <c r="AE69" i="3"/>
  <c r="B70" i="3"/>
  <c r="AD69" i="3"/>
  <c r="AC69" i="3"/>
  <c r="F113" i="27"/>
  <c r="F125" i="27"/>
  <c r="F111" i="27" s="1"/>
  <c r="J16" i="30"/>
  <c r="J58" i="30" s="1"/>
  <c r="F9" i="27"/>
  <c r="F12" i="27"/>
  <c r="I13" i="26"/>
  <c r="I15" i="26"/>
  <c r="I10" i="26"/>
  <c r="I9" i="26"/>
  <c r="I8" i="26"/>
  <c r="I12" i="26"/>
  <c r="I7" i="26"/>
  <c r="I14" i="26"/>
  <c r="AD57" i="41"/>
  <c r="AD59" i="41"/>
  <c r="AD55" i="41"/>
  <c r="AD51" i="41"/>
  <c r="AD52" i="41"/>
  <c r="AD58" i="41"/>
  <c r="AD54" i="41"/>
  <c r="CF48" i="1"/>
  <c r="G127" i="5"/>
  <c r="CD48" i="1"/>
  <c r="E127" i="5"/>
  <c r="CE48" i="1"/>
  <c r="F127" i="5"/>
  <c r="CG48" i="1"/>
  <c r="H127" i="5"/>
  <c r="CC48" i="1"/>
  <c r="D127" i="5"/>
  <c r="N41" i="5"/>
  <c r="H13" i="26"/>
  <c r="H12" i="26"/>
  <c r="H11" i="26"/>
  <c r="H15" i="26"/>
  <c r="H14" i="26"/>
  <c r="H7" i="26"/>
  <c r="H10" i="26"/>
  <c r="H8" i="26"/>
  <c r="F7" i="27"/>
  <c r="G8" i="26"/>
  <c r="F8" i="27"/>
  <c r="F15" i="27"/>
  <c r="G13" i="26"/>
  <c r="G12" i="26"/>
  <c r="F14" i="27"/>
  <c r="F13" i="27"/>
  <c r="G10" i="26"/>
  <c r="F11" i="27"/>
  <c r="G14" i="26"/>
  <c r="G9" i="26"/>
  <c r="F10" i="27"/>
  <c r="G11" i="26"/>
  <c r="H125" i="27"/>
  <c r="H111" i="27" s="1"/>
  <c r="D152" i="26"/>
  <c r="D11" i="26" s="1"/>
  <c r="E8" i="26"/>
  <c r="E10" i="26"/>
  <c r="E12" i="26"/>
  <c r="E7" i="26"/>
  <c r="E9" i="26"/>
  <c r="E15" i="26"/>
  <c r="E13" i="26"/>
  <c r="E11" i="26"/>
  <c r="H113" i="27"/>
  <c r="E125" i="27"/>
  <c r="E111" i="27" s="1"/>
  <c r="E113" i="27"/>
  <c r="E8" i="27"/>
  <c r="E11" i="27"/>
  <c r="E10" i="27"/>
  <c r="E12" i="27"/>
  <c r="E13" i="27"/>
  <c r="E15" i="27"/>
  <c r="E9" i="27"/>
  <c r="E7" i="27"/>
  <c r="E14" i="27"/>
  <c r="J15" i="26"/>
  <c r="J9" i="26"/>
  <c r="F152" i="26"/>
  <c r="J12" i="26"/>
  <c r="I11" i="26"/>
  <c r="J11" i="26"/>
  <c r="H9" i="26"/>
  <c r="J14" i="26"/>
  <c r="J8" i="26"/>
  <c r="J10" i="26"/>
  <c r="J13" i="26"/>
  <c r="G15" i="26"/>
  <c r="H152" i="27"/>
  <c r="L116" i="26"/>
  <c r="N18" i="27"/>
  <c r="N56" i="27"/>
  <c r="S93" i="23"/>
  <c r="S81" i="23"/>
  <c r="S89" i="23"/>
  <c r="S97" i="23"/>
  <c r="S95" i="23"/>
  <c r="S91" i="23"/>
  <c r="S99" i="23"/>
  <c r="S83" i="23"/>
  <c r="S88" i="23"/>
  <c r="S86" i="23"/>
  <c r="S78" i="23"/>
  <c r="S90" i="23"/>
  <c r="S94" i="23"/>
  <c r="S92" i="23"/>
  <c r="S80" i="23"/>
  <c r="S96" i="23"/>
  <c r="S82" i="23"/>
  <c r="S100" i="23"/>
  <c r="S98" i="23"/>
  <c r="S87" i="23"/>
  <c r="S77" i="23"/>
  <c r="S79" i="23"/>
  <c r="R98" i="24"/>
  <c r="R92" i="24"/>
  <c r="R86" i="24"/>
  <c r="R78" i="24"/>
  <c r="R100" i="24"/>
  <c r="R96" i="24"/>
  <c r="R94" i="24"/>
  <c r="R90" i="24"/>
  <c r="R88" i="24"/>
  <c r="R80" i="24"/>
  <c r="R82" i="24"/>
  <c r="R95" i="24"/>
  <c r="R89" i="24"/>
  <c r="R99" i="24"/>
  <c r="R97" i="24"/>
  <c r="R93" i="24"/>
  <c r="R91" i="24"/>
  <c r="R87" i="24"/>
  <c r="R79" i="24"/>
  <c r="R77" i="24"/>
  <c r="R81" i="24"/>
  <c r="R83" i="24"/>
  <c r="R47" i="29"/>
  <c r="R101" i="29" s="1"/>
  <c r="R77" i="29"/>
  <c r="R100" i="29"/>
  <c r="R98" i="29"/>
  <c r="R96" i="29"/>
  <c r="R79" i="29"/>
  <c r="R94" i="29"/>
  <c r="R92" i="29"/>
  <c r="R81" i="29"/>
  <c r="R90" i="29"/>
  <c r="R88" i="29"/>
  <c r="R86" i="29"/>
  <c r="R83" i="29"/>
  <c r="R78" i="29"/>
  <c r="R99" i="29"/>
  <c r="R97" i="29"/>
  <c r="R95" i="29"/>
  <c r="R93" i="29"/>
  <c r="R80" i="29"/>
  <c r="R87" i="29"/>
  <c r="R91" i="29"/>
  <c r="R89" i="29"/>
  <c r="R82" i="29"/>
  <c r="Q101" i="1"/>
  <c r="BW35" i="29"/>
  <c r="BW38" i="29"/>
  <c r="BW41" i="29"/>
  <c r="BW44" i="29"/>
  <c r="BW26" i="29"/>
  <c r="BW29" i="29"/>
  <c r="BW32" i="29"/>
  <c r="BW23" i="29"/>
  <c r="BW59" i="29" s="1"/>
  <c r="BW33" i="29"/>
  <c r="BW36" i="29"/>
  <c r="BW39" i="29"/>
  <c r="BW42" i="29"/>
  <c r="BW66" i="29" s="1"/>
  <c r="BW45" i="29"/>
  <c r="BW24" i="29"/>
  <c r="BW60" i="29" s="1"/>
  <c r="BW27" i="29"/>
  <c r="BW34" i="29"/>
  <c r="BW37" i="29"/>
  <c r="BW40" i="29"/>
  <c r="BW43" i="29"/>
  <c r="BW46" i="29"/>
  <c r="BW67" i="29" s="1"/>
  <c r="BW25" i="29"/>
  <c r="BW28" i="29"/>
  <c r="BW23" i="24"/>
  <c r="BW29" i="24"/>
  <c r="BW26" i="24"/>
  <c r="BW24" i="24"/>
  <c r="BW28" i="24"/>
  <c r="BW27" i="24"/>
  <c r="BW25" i="24"/>
  <c r="BW26" i="23"/>
  <c r="BW24" i="23"/>
  <c r="BW29" i="23"/>
  <c r="CO29" i="23" s="1"/>
  <c r="BW23" i="23"/>
  <c r="BW28" i="23"/>
  <c r="BW25" i="23"/>
  <c r="BW27" i="23"/>
  <c r="BV28" i="1"/>
  <c r="BV29" i="1"/>
  <c r="CN29" i="1" s="1"/>
  <c r="BV26" i="1"/>
  <c r="BV23" i="1"/>
  <c r="BV59" i="1" s="1"/>
  <c r="BV27" i="1"/>
  <c r="BV24" i="1"/>
  <c r="BV60" i="1" s="1"/>
  <c r="BV25" i="1"/>
  <c r="DY21" i="1"/>
  <c r="M114" i="27"/>
  <c r="M115" i="27"/>
  <c r="M125" i="27"/>
  <c r="M111" i="27" s="1"/>
  <c r="M151" i="27"/>
  <c r="M112" i="27"/>
  <c r="N128" i="27"/>
  <c r="BV32" i="1"/>
  <c r="BV35" i="1"/>
  <c r="BV38" i="1"/>
  <c r="BV41" i="1"/>
  <c r="BV44" i="1"/>
  <c r="BV42" i="1"/>
  <c r="BV66" i="1" s="1"/>
  <c r="BV33" i="1"/>
  <c r="BV36" i="1"/>
  <c r="BV39" i="1"/>
  <c r="BV45" i="1"/>
  <c r="BV34" i="1"/>
  <c r="CN34" i="1" s="1"/>
  <c r="BV37" i="1"/>
  <c r="BV40" i="1"/>
  <c r="BV43" i="1"/>
  <c r="CN43" i="1" s="1"/>
  <c r="BV46" i="1"/>
  <c r="BV67" i="1" s="1"/>
  <c r="N130" i="27"/>
  <c r="N115" i="27" s="1"/>
  <c r="N129" i="27"/>
  <c r="N126" i="27"/>
  <c r="N112" i="27" s="1"/>
  <c r="N127" i="27"/>
  <c r="N113" i="27" s="1"/>
  <c r="H24" i="35"/>
  <c r="Z24" i="35" s="1"/>
  <c r="I24" i="35"/>
  <c r="AA24" i="35" s="1"/>
  <c r="L24" i="35"/>
  <c r="AD24" i="35" s="1"/>
  <c r="M24" i="35"/>
  <c r="AF47" i="41" s="1"/>
  <c r="AE23" i="35"/>
  <c r="AE37" i="41"/>
  <c r="AE41" i="41"/>
  <c r="AE38" i="41"/>
  <c r="AE42" i="41"/>
  <c r="AE35" i="41"/>
  <c r="AE39" i="41"/>
  <c r="AE43" i="41"/>
  <c r="AE36" i="41"/>
  <c r="AE40" i="41"/>
  <c r="AE48" i="41"/>
  <c r="M134" i="26"/>
  <c r="M134" i="30"/>
  <c r="M115" i="30" s="1"/>
  <c r="M151" i="30"/>
  <c r="M125" i="30"/>
  <c r="M110" i="30" s="1"/>
  <c r="M151" i="26"/>
  <c r="M125" i="26"/>
  <c r="M111" i="26" s="1"/>
  <c r="U23" i="35"/>
  <c r="M114" i="26"/>
  <c r="M115" i="26"/>
  <c r="T24" i="35"/>
  <c r="B25" i="35"/>
  <c r="AF24" i="35"/>
  <c r="C24" i="35" s="1"/>
  <c r="AF46" i="41" s="1"/>
  <c r="G24" i="35"/>
  <c r="Y24" i="35" s="1"/>
  <c r="F24" i="35"/>
  <c r="X24" i="35" s="1"/>
  <c r="M119" i="5"/>
  <c r="M116" i="30"/>
  <c r="M118" i="26"/>
  <c r="M114" i="30"/>
  <c r="O110" i="27"/>
  <c r="O6" i="27"/>
  <c r="DH31" i="1"/>
  <c r="CO30" i="29"/>
  <c r="CP21" i="29"/>
  <c r="CP58" i="29" s="1"/>
  <c r="AO21" i="23"/>
  <c r="O131" i="27"/>
  <c r="N111" i="5"/>
  <c r="N6" i="5"/>
  <c r="N56" i="5" s="1"/>
  <c r="DY21" i="23"/>
  <c r="P124" i="27"/>
  <c r="P31" i="27" s="1"/>
  <c r="S177" i="23"/>
  <c r="S47" i="23"/>
  <c r="T21" i="23"/>
  <c r="M18" i="5"/>
  <c r="M118" i="5"/>
  <c r="AN21" i="24"/>
  <c r="N127" i="30"/>
  <c r="N112" i="30" s="1"/>
  <c r="N109" i="30"/>
  <c r="N132" i="30"/>
  <c r="N129" i="30"/>
  <c r="N126" i="30"/>
  <c r="N111" i="30" s="1"/>
  <c r="N131" i="30"/>
  <c r="N128" i="30"/>
  <c r="N130" i="30"/>
  <c r="N6" i="30"/>
  <c r="N56" i="30" s="1"/>
  <c r="CO9" i="29"/>
  <c r="CO10" i="29" s="1"/>
  <c r="CO44" i="29" s="1"/>
  <c r="S11" i="29"/>
  <c r="T9" i="29"/>
  <c r="BX9" i="29" s="1"/>
  <c r="BX10" i="29" s="1"/>
  <c r="M113" i="30"/>
  <c r="M117" i="30"/>
  <c r="BW31" i="29"/>
  <c r="BX21" i="29"/>
  <c r="AB21" i="3"/>
  <c r="AN21" i="29"/>
  <c r="R11" i="1"/>
  <c r="BW9" i="1"/>
  <c r="BW10" i="1" s="1"/>
  <c r="CN9" i="1"/>
  <c r="CN10" i="1" s="1"/>
  <c r="M117" i="26"/>
  <c r="O124" i="26"/>
  <c r="O31" i="26" s="1"/>
  <c r="R177" i="24"/>
  <c r="S21" i="24"/>
  <c r="R47" i="24"/>
  <c r="R101" i="24" s="1"/>
  <c r="N148" i="26"/>
  <c r="N142" i="26"/>
  <c r="N139" i="26"/>
  <c r="N135" i="26"/>
  <c r="N131" i="26"/>
  <c r="N128" i="26"/>
  <c r="N147" i="26"/>
  <c r="N144" i="26"/>
  <c r="N141" i="26"/>
  <c r="N138" i="26"/>
  <c r="N130" i="26"/>
  <c r="N149" i="26"/>
  <c r="N146" i="26"/>
  <c r="N143" i="26"/>
  <c r="N119" i="26" s="1"/>
  <c r="N140" i="26"/>
  <c r="N137" i="26"/>
  <c r="N127" i="26"/>
  <c r="N113" i="26" s="1"/>
  <c r="N110" i="26"/>
  <c r="N145" i="26"/>
  <c r="N136" i="26"/>
  <c r="N132" i="26"/>
  <c r="N129" i="26"/>
  <c r="N126" i="26"/>
  <c r="N112" i="26" s="1"/>
  <c r="N6" i="26"/>
  <c r="N56" i="26" s="1"/>
  <c r="S11" i="23"/>
  <c r="T9" i="23"/>
  <c r="BX9" i="23" s="1"/>
  <c r="BX10" i="23" s="1"/>
  <c r="CO9" i="23"/>
  <c r="CO10" i="23" s="1"/>
  <c r="BV31" i="1"/>
  <c r="CO9" i="24"/>
  <c r="CO10" i="24" s="1"/>
  <c r="S11" i="24"/>
  <c r="T9" i="24"/>
  <c r="BX9" i="24" s="1"/>
  <c r="BX10" i="24" s="1"/>
  <c r="R159" i="3"/>
  <c r="R160" i="3" s="1"/>
  <c r="M18" i="30"/>
  <c r="R98" i="1"/>
  <c r="R94" i="1"/>
  <c r="R90" i="1"/>
  <c r="R86" i="1"/>
  <c r="R80" i="1"/>
  <c r="R97" i="1"/>
  <c r="R93" i="1"/>
  <c r="R89" i="1"/>
  <c r="R83" i="1"/>
  <c r="R79" i="1"/>
  <c r="R177" i="1"/>
  <c r="R100" i="1"/>
  <c r="R96" i="1"/>
  <c r="R92" i="1"/>
  <c r="R88" i="1"/>
  <c r="R82" i="1"/>
  <c r="R78" i="1"/>
  <c r="R47" i="1"/>
  <c r="R99" i="1"/>
  <c r="R95" i="1"/>
  <c r="R91" i="1"/>
  <c r="R87" i="1"/>
  <c r="R81" i="1"/>
  <c r="R77" i="1"/>
  <c r="M101" i="5"/>
  <c r="O124" i="30"/>
  <c r="O31" i="30" s="1"/>
  <c r="R177" i="29"/>
  <c r="S21" i="29"/>
  <c r="DZ21" i="24"/>
  <c r="M18" i="26"/>
  <c r="S75" i="58" a="1"/>
  <c r="CM65" i="1" l="1"/>
  <c r="AD44" i="41"/>
  <c r="CM64" i="1"/>
  <c r="CN36" i="1"/>
  <c r="CN39" i="1"/>
  <c r="CM62" i="1"/>
  <c r="CN38" i="1"/>
  <c r="CN44" i="1"/>
  <c r="CN40" i="1"/>
  <c r="CN26" i="1"/>
  <c r="O130" i="5" s="1"/>
  <c r="L12" i="26"/>
  <c r="CN27" i="1"/>
  <c r="O131" i="5" s="1"/>
  <c r="L10" i="26"/>
  <c r="CN25" i="1"/>
  <c r="O129" i="5" s="1"/>
  <c r="CO26" i="23"/>
  <c r="CN37" i="1"/>
  <c r="O141" i="5" s="1"/>
  <c r="L14" i="26"/>
  <c r="L11" i="26"/>
  <c r="CO27" i="23"/>
  <c r="L7" i="26"/>
  <c r="L8" i="26"/>
  <c r="CO28" i="23"/>
  <c r="BW48" i="23"/>
  <c r="P57" i="27" s="1"/>
  <c r="D111" i="27"/>
  <c r="E25" i="35"/>
  <c r="W25" i="35" s="1"/>
  <c r="D25" i="35"/>
  <c r="V25" i="35" s="1"/>
  <c r="N145" i="5"/>
  <c r="N146" i="5"/>
  <c r="S75" i="58"/>
  <c r="S191" i="1"/>
  <c r="CN65" i="29"/>
  <c r="CM68" i="1"/>
  <c r="CN68" i="23"/>
  <c r="O148" i="30"/>
  <c r="O138" i="30"/>
  <c r="O139" i="30"/>
  <c r="O137" i="30"/>
  <c r="O144" i="30"/>
  <c r="O147" i="30"/>
  <c r="O143" i="30"/>
  <c r="O118" i="30" s="1"/>
  <c r="O140" i="30"/>
  <c r="O142" i="30"/>
  <c r="O146" i="30"/>
  <c r="O135" i="30"/>
  <c r="O136" i="30"/>
  <c r="O149" i="30"/>
  <c r="O141" i="30"/>
  <c r="CN65" i="23"/>
  <c r="N134" i="27"/>
  <c r="N116" i="27" s="1"/>
  <c r="CN32" i="1"/>
  <c r="O136" i="5" s="1"/>
  <c r="CN66" i="29"/>
  <c r="O145" i="30"/>
  <c r="CO26" i="29"/>
  <c r="CO27" i="29"/>
  <c r="CO32" i="29"/>
  <c r="CO39" i="29"/>
  <c r="CO34" i="29"/>
  <c r="CO45" i="29"/>
  <c r="CO33" i="29"/>
  <c r="CO46" i="29"/>
  <c r="CN41" i="1"/>
  <c r="O145" i="5" s="1"/>
  <c r="CM63" i="1"/>
  <c r="CN35" i="1"/>
  <c r="O139" i="5" s="1"/>
  <c r="CN63" i="23"/>
  <c r="CN65" i="24"/>
  <c r="CN28" i="1"/>
  <c r="O135" i="27"/>
  <c r="O117" i="27" s="1"/>
  <c r="CN45" i="1"/>
  <c r="O149" i="5" s="1"/>
  <c r="CO25" i="23"/>
  <c r="CN64" i="24"/>
  <c r="CN68" i="24"/>
  <c r="CN33" i="1"/>
  <c r="CN64" i="23"/>
  <c r="CN62" i="24"/>
  <c r="CN63" i="24"/>
  <c r="CN61" i="24"/>
  <c r="CO44" i="23"/>
  <c r="P147" i="27" s="1"/>
  <c r="CO34" i="23"/>
  <c r="P137" i="27" s="1"/>
  <c r="CO41" i="23"/>
  <c r="CO33" i="23"/>
  <c r="P136" i="27" s="1"/>
  <c r="CO36" i="23"/>
  <c r="P139" i="27" s="1"/>
  <c r="CO35" i="23"/>
  <c r="P138" i="27" s="1"/>
  <c r="CO38" i="23"/>
  <c r="CO45" i="23"/>
  <c r="P148" i="27" s="1"/>
  <c r="CO39" i="23"/>
  <c r="P142" i="27" s="1"/>
  <c r="O145" i="27"/>
  <c r="O149" i="27"/>
  <c r="K16" i="26"/>
  <c r="K58" i="26" s="1"/>
  <c r="M135" i="5"/>
  <c r="M117" i="5" s="1"/>
  <c r="CN42" i="1"/>
  <c r="CN66" i="1" s="1"/>
  <c r="L7" i="30"/>
  <c r="L13" i="30"/>
  <c r="L8" i="30"/>
  <c r="N128" i="5"/>
  <c r="CN63" i="29"/>
  <c r="CN61" i="29"/>
  <c r="L12" i="30"/>
  <c r="L14" i="30"/>
  <c r="L10" i="30"/>
  <c r="L15" i="30"/>
  <c r="L11" i="30"/>
  <c r="CN62" i="29"/>
  <c r="CN68" i="29"/>
  <c r="CN64" i="29"/>
  <c r="L9" i="26"/>
  <c r="CO28" i="29"/>
  <c r="CO35" i="29"/>
  <c r="O143" i="27"/>
  <c r="O119" i="27" s="1"/>
  <c r="L13" i="26"/>
  <c r="N150" i="5"/>
  <c r="CO40" i="29"/>
  <c r="CO24" i="29"/>
  <c r="CO60" i="29" s="1"/>
  <c r="CN59" i="29"/>
  <c r="CN48" i="29"/>
  <c r="N134" i="30"/>
  <c r="N115" i="30" s="1"/>
  <c r="CO29" i="29"/>
  <c r="CO36" i="29"/>
  <c r="M152" i="30"/>
  <c r="M15" i="30" s="1"/>
  <c r="CO41" i="29"/>
  <c r="CO25" i="29"/>
  <c r="CO42" i="29"/>
  <c r="CO37" i="29"/>
  <c r="O146" i="27"/>
  <c r="CO23" i="29"/>
  <c r="BW48" i="29"/>
  <c r="P57" i="30" s="1"/>
  <c r="N125" i="30"/>
  <c r="N110" i="30" s="1"/>
  <c r="CO43" i="29"/>
  <c r="CO38" i="29"/>
  <c r="CO43" i="23"/>
  <c r="BW68" i="23"/>
  <c r="CO37" i="23"/>
  <c r="BW64" i="23"/>
  <c r="BW67" i="23"/>
  <c r="CO46" i="23"/>
  <c r="CO67" i="23" s="1"/>
  <c r="BW65" i="23"/>
  <c r="CO40" i="23"/>
  <c r="CO32" i="23"/>
  <c r="BW63" i="23"/>
  <c r="BW60" i="23"/>
  <c r="CO24" i="23"/>
  <c r="CO60" i="23" s="1"/>
  <c r="BX42" i="23"/>
  <c r="BX44" i="23"/>
  <c r="BX46" i="23"/>
  <c r="BX41" i="23"/>
  <c r="BX35" i="23"/>
  <c r="BX37" i="23"/>
  <c r="BX36" i="23"/>
  <c r="BX34" i="23"/>
  <c r="BX40" i="23"/>
  <c r="BX39" i="23"/>
  <c r="BX32" i="23"/>
  <c r="BX38" i="23"/>
  <c r="BX33" i="23"/>
  <c r="BX43" i="23"/>
  <c r="BX45" i="23"/>
  <c r="S101" i="23"/>
  <c r="BW59" i="23"/>
  <c r="CO23" i="23"/>
  <c r="CN59" i="23"/>
  <c r="CN48" i="23"/>
  <c r="BW66" i="23"/>
  <c r="CO42" i="23"/>
  <c r="CO66" i="23" s="1"/>
  <c r="CN59" i="24"/>
  <c r="CN48" i="24"/>
  <c r="BW65" i="24"/>
  <c r="BW59" i="24"/>
  <c r="BW48" i="24"/>
  <c r="P57" i="26" s="1"/>
  <c r="BW68" i="24"/>
  <c r="BW66" i="24"/>
  <c r="BW63" i="24"/>
  <c r="M152" i="26"/>
  <c r="M7" i="26" s="1"/>
  <c r="BW64" i="24"/>
  <c r="BW67" i="24"/>
  <c r="BX40" i="24"/>
  <c r="BX45" i="24"/>
  <c r="BX37" i="24"/>
  <c r="BX36" i="24"/>
  <c r="BX35" i="24"/>
  <c r="BX33" i="24"/>
  <c r="BX43" i="24"/>
  <c r="BX42" i="24"/>
  <c r="BX38" i="24"/>
  <c r="BX32" i="24"/>
  <c r="BX46" i="24"/>
  <c r="BX34" i="24"/>
  <c r="BX44" i="24"/>
  <c r="BX39" i="24"/>
  <c r="BX41" i="24"/>
  <c r="BW60" i="24"/>
  <c r="CN23" i="1"/>
  <c r="O127" i="5" s="1"/>
  <c r="CN24" i="1"/>
  <c r="CN60" i="1" s="1"/>
  <c r="CM59" i="1"/>
  <c r="CM48" i="1"/>
  <c r="CN46" i="1"/>
  <c r="CN67" i="1" s="1"/>
  <c r="BV48" i="1"/>
  <c r="O57" i="5" s="1"/>
  <c r="BW65" i="29"/>
  <c r="BW61" i="24"/>
  <c r="BV65" i="1"/>
  <c r="K16" i="30"/>
  <c r="K58" i="30" s="1"/>
  <c r="K11" i="27"/>
  <c r="K9" i="27"/>
  <c r="K13" i="27"/>
  <c r="K12" i="27"/>
  <c r="K10" i="27"/>
  <c r="K7" i="27"/>
  <c r="K15" i="27"/>
  <c r="K14" i="27"/>
  <c r="BW68" i="29"/>
  <c r="BW64" i="29"/>
  <c r="BW61" i="23"/>
  <c r="BV61" i="1"/>
  <c r="BV62" i="1"/>
  <c r="L11" i="27"/>
  <c r="L14" i="27"/>
  <c r="L9" i="27"/>
  <c r="L7" i="27"/>
  <c r="L12" i="27"/>
  <c r="L8" i="27"/>
  <c r="L10" i="27"/>
  <c r="BW62" i="24"/>
  <c r="M152" i="27"/>
  <c r="M14" i="27" s="1"/>
  <c r="I11" i="27"/>
  <c r="I10" i="27"/>
  <c r="I8" i="27"/>
  <c r="I12" i="27"/>
  <c r="I9" i="27"/>
  <c r="I13" i="27"/>
  <c r="I7" i="27"/>
  <c r="I14" i="27"/>
  <c r="I15" i="27"/>
  <c r="J14" i="27"/>
  <c r="J9" i="27"/>
  <c r="J10" i="27"/>
  <c r="J7" i="27"/>
  <c r="J12" i="27"/>
  <c r="J8" i="27"/>
  <c r="J13" i="27"/>
  <c r="J11" i="27"/>
  <c r="L13" i="27"/>
  <c r="BW62" i="23"/>
  <c r="BV64" i="1"/>
  <c r="BV68" i="1"/>
  <c r="BV63" i="1"/>
  <c r="BW61" i="29"/>
  <c r="BW62" i="29"/>
  <c r="BX58" i="29"/>
  <c r="BW63" i="29"/>
  <c r="AN35" i="24"/>
  <c r="CO35" i="24" s="1"/>
  <c r="AN38" i="24"/>
  <c r="CO38" i="24" s="1"/>
  <c r="AN40" i="24"/>
  <c r="CO40" i="24" s="1"/>
  <c r="AN43" i="24"/>
  <c r="CO43" i="24" s="1"/>
  <c r="AN46" i="24"/>
  <c r="CO46" i="24" s="1"/>
  <c r="CO67" i="24" s="1"/>
  <c r="AN25" i="24"/>
  <c r="CO25" i="24" s="1"/>
  <c r="AN28" i="24"/>
  <c r="CO28" i="24" s="1"/>
  <c r="AN33" i="24"/>
  <c r="CO33" i="24" s="1"/>
  <c r="AN36" i="24"/>
  <c r="CO36" i="24" s="1"/>
  <c r="AN39" i="24"/>
  <c r="CO39" i="24" s="1"/>
  <c r="AN42" i="24"/>
  <c r="CO42" i="24" s="1"/>
  <c r="CO66" i="24" s="1"/>
  <c r="AN45" i="24"/>
  <c r="CO45" i="24" s="1"/>
  <c r="AN24" i="24"/>
  <c r="CO24" i="24" s="1"/>
  <c r="CO60" i="24" s="1"/>
  <c r="AN27" i="24"/>
  <c r="CO27" i="24" s="1"/>
  <c r="AN23" i="24"/>
  <c r="CO23" i="24" s="1"/>
  <c r="AN41" i="24"/>
  <c r="CO41" i="24" s="1"/>
  <c r="AN26" i="24"/>
  <c r="CO26" i="24" s="1"/>
  <c r="AN34" i="24"/>
  <c r="CO34" i="24" s="1"/>
  <c r="AN44" i="24"/>
  <c r="CO44" i="24" s="1"/>
  <c r="AN29" i="24"/>
  <c r="CO29" i="24" s="1"/>
  <c r="AN37" i="24"/>
  <c r="CO37" i="24" s="1"/>
  <c r="AN32" i="24"/>
  <c r="CO32" i="24" s="1"/>
  <c r="AN40" i="29"/>
  <c r="AN43" i="29"/>
  <c r="AN33" i="29"/>
  <c r="AN36" i="29"/>
  <c r="AN39" i="29"/>
  <c r="AN41" i="29"/>
  <c r="AN34" i="29"/>
  <c r="AN37" i="29"/>
  <c r="AN42" i="29"/>
  <c r="AN32" i="29"/>
  <c r="AN45" i="29"/>
  <c r="AN24" i="29"/>
  <c r="AN27" i="29"/>
  <c r="AN46" i="29"/>
  <c r="AN25" i="29"/>
  <c r="AN28" i="29"/>
  <c r="AN35" i="29"/>
  <c r="AN38" i="29"/>
  <c r="AN29" i="29"/>
  <c r="AN23" i="29"/>
  <c r="AN26" i="29"/>
  <c r="AN44" i="29"/>
  <c r="AO42" i="23"/>
  <c r="AO45" i="23"/>
  <c r="AO24" i="23"/>
  <c r="AO27" i="23"/>
  <c r="AO33" i="23"/>
  <c r="AO36" i="23"/>
  <c r="AO39" i="23"/>
  <c r="AO34" i="23"/>
  <c r="AO37" i="23"/>
  <c r="AO41" i="23"/>
  <c r="AO44" i="23"/>
  <c r="AO26" i="23"/>
  <c r="AO29" i="23"/>
  <c r="AO46" i="23"/>
  <c r="AO35" i="23"/>
  <c r="AO32" i="23"/>
  <c r="AO40" i="23"/>
  <c r="AO25" i="23"/>
  <c r="AO38" i="23"/>
  <c r="AO43" i="23"/>
  <c r="AO23" i="23"/>
  <c r="AO28" i="23"/>
  <c r="AO21" i="1"/>
  <c r="AN33" i="1"/>
  <c r="AN36" i="1"/>
  <c r="AN39" i="1"/>
  <c r="AN41" i="1"/>
  <c r="AN44" i="1"/>
  <c r="AN26" i="1"/>
  <c r="AN29" i="1"/>
  <c r="AN34" i="1"/>
  <c r="AN37" i="1"/>
  <c r="AN32" i="1"/>
  <c r="AN23" i="1"/>
  <c r="AN42" i="1"/>
  <c r="AN45" i="1"/>
  <c r="AN24" i="1"/>
  <c r="AN27" i="1"/>
  <c r="AN35" i="1"/>
  <c r="AN38" i="1"/>
  <c r="AN40" i="1"/>
  <c r="AN43" i="1"/>
  <c r="AN46" i="1"/>
  <c r="AN25" i="1"/>
  <c r="AN28" i="1"/>
  <c r="O100" i="26"/>
  <c r="O41" i="26"/>
  <c r="O100" i="30"/>
  <c r="O41" i="30"/>
  <c r="P100" i="27"/>
  <c r="P41" i="27"/>
  <c r="BX21" i="1"/>
  <c r="BW58" i="1"/>
  <c r="C70" i="3"/>
  <c r="AC70" i="3"/>
  <c r="AD70" i="3"/>
  <c r="B71" i="3"/>
  <c r="AE70" i="3"/>
  <c r="P125" i="5"/>
  <c r="P31" i="5" s="1"/>
  <c r="T21" i="1"/>
  <c r="CP21" i="1"/>
  <c r="CO58" i="1"/>
  <c r="O143" i="5"/>
  <c r="O142" i="5"/>
  <c r="O147" i="5"/>
  <c r="O144" i="5"/>
  <c r="O120" i="5" s="1"/>
  <c r="O138" i="5"/>
  <c r="O133" i="5"/>
  <c r="O140" i="5"/>
  <c r="O148" i="5"/>
  <c r="D12" i="26"/>
  <c r="D8" i="26"/>
  <c r="D7" i="26"/>
  <c r="D13" i="26"/>
  <c r="D15" i="26"/>
  <c r="D10" i="26"/>
  <c r="D14" i="26"/>
  <c r="I16" i="26"/>
  <c r="I58" i="26" s="1"/>
  <c r="D9" i="26"/>
  <c r="H16" i="26"/>
  <c r="H58" i="26" s="1"/>
  <c r="F16" i="27"/>
  <c r="F58" i="27" s="1"/>
  <c r="AE54" i="41"/>
  <c r="AE57" i="41"/>
  <c r="AE53" i="41"/>
  <c r="AE56" i="41"/>
  <c r="AE52" i="41"/>
  <c r="AE59" i="41"/>
  <c r="AE55" i="41"/>
  <c r="G16" i="26"/>
  <c r="G58" i="26" s="1"/>
  <c r="AE51" i="41"/>
  <c r="E16" i="26"/>
  <c r="E58" i="26" s="1"/>
  <c r="AE58" i="41"/>
  <c r="D12" i="27"/>
  <c r="O41" i="5"/>
  <c r="E16" i="27"/>
  <c r="E58" i="27" s="1"/>
  <c r="G8" i="27"/>
  <c r="G15" i="27"/>
  <c r="D11" i="27"/>
  <c r="J16" i="26"/>
  <c r="J58" i="26" s="1"/>
  <c r="D15" i="27"/>
  <c r="F14" i="26"/>
  <c r="F10" i="26"/>
  <c r="F13" i="26"/>
  <c r="F12" i="26"/>
  <c r="F11" i="26"/>
  <c r="F8" i="26"/>
  <c r="F15" i="26"/>
  <c r="F7" i="26"/>
  <c r="F9" i="26"/>
  <c r="D13" i="27"/>
  <c r="G13" i="27"/>
  <c r="D9" i="27"/>
  <c r="D8" i="27"/>
  <c r="G14" i="27"/>
  <c r="G11" i="27"/>
  <c r="D10" i="27"/>
  <c r="G7" i="27"/>
  <c r="G12" i="27"/>
  <c r="H13" i="27"/>
  <c r="H7" i="27"/>
  <c r="H14" i="27"/>
  <c r="H9" i="27"/>
  <c r="H8" i="27"/>
  <c r="H15" i="27"/>
  <c r="H10" i="27"/>
  <c r="H12" i="27"/>
  <c r="H11" i="27"/>
  <c r="D14" i="27"/>
  <c r="G10" i="27"/>
  <c r="M116" i="26"/>
  <c r="O18" i="27"/>
  <c r="O56" i="27"/>
  <c r="T97" i="23"/>
  <c r="T95" i="23"/>
  <c r="T99" i="23"/>
  <c r="T83" i="23"/>
  <c r="T88" i="23"/>
  <c r="T86" i="23"/>
  <c r="T78" i="23"/>
  <c r="T90" i="23"/>
  <c r="T94" i="23"/>
  <c r="T92" i="23"/>
  <c r="T80" i="23"/>
  <c r="T96" i="23"/>
  <c r="T82" i="23"/>
  <c r="T100" i="23"/>
  <c r="T98" i="23"/>
  <c r="T87" i="23"/>
  <c r="T77" i="23"/>
  <c r="T91" i="23"/>
  <c r="T89" i="23"/>
  <c r="T79" i="23"/>
  <c r="T93" i="23"/>
  <c r="T81" i="23"/>
  <c r="N118" i="30"/>
  <c r="S100" i="24"/>
  <c r="S96" i="24"/>
  <c r="S94" i="24"/>
  <c r="S90" i="24"/>
  <c r="S88" i="24"/>
  <c r="S80" i="24"/>
  <c r="S82" i="24"/>
  <c r="S95" i="24"/>
  <c r="S89" i="24"/>
  <c r="S99" i="24"/>
  <c r="S97" i="24"/>
  <c r="S93" i="24"/>
  <c r="S91" i="24"/>
  <c r="S87" i="24"/>
  <c r="S79" i="24"/>
  <c r="S77" i="24"/>
  <c r="S81" i="24"/>
  <c r="S98" i="24"/>
  <c r="S86" i="24"/>
  <c r="S78" i="24"/>
  <c r="S83" i="24"/>
  <c r="S92" i="24"/>
  <c r="S77" i="29"/>
  <c r="S100" i="29"/>
  <c r="S98" i="29"/>
  <c r="S96" i="29"/>
  <c r="S79" i="29"/>
  <c r="S47" i="29"/>
  <c r="S101" i="29" s="1"/>
  <c r="S94" i="29"/>
  <c r="S92" i="29"/>
  <c r="S81" i="29"/>
  <c r="S90" i="29"/>
  <c r="S88" i="29"/>
  <c r="S86" i="29"/>
  <c r="S83" i="29"/>
  <c r="S78" i="29"/>
  <c r="S99" i="29"/>
  <c r="S97" i="29"/>
  <c r="S95" i="29"/>
  <c r="S93" i="29"/>
  <c r="S80" i="29"/>
  <c r="S91" i="29"/>
  <c r="S89" i="29"/>
  <c r="S82" i="29"/>
  <c r="S87" i="29"/>
  <c r="R101" i="1"/>
  <c r="BX35" i="29"/>
  <c r="BX38" i="29"/>
  <c r="BX41" i="29"/>
  <c r="BX44" i="29"/>
  <c r="BX26" i="29"/>
  <c r="BX29" i="29"/>
  <c r="BX32" i="29"/>
  <c r="BX23" i="29"/>
  <c r="BX59" i="29" s="1"/>
  <c r="BX33" i="29"/>
  <c r="BX36" i="29"/>
  <c r="BX39" i="29"/>
  <c r="BX42" i="29"/>
  <c r="BX66" i="29" s="1"/>
  <c r="BX45" i="29"/>
  <c r="BX24" i="29"/>
  <c r="BX60" i="29" s="1"/>
  <c r="BX27" i="29"/>
  <c r="BX25" i="29"/>
  <c r="BX34" i="29"/>
  <c r="BX37" i="29"/>
  <c r="BX40" i="29"/>
  <c r="BX43" i="29"/>
  <c r="BX46" i="29"/>
  <c r="BX67" i="29" s="1"/>
  <c r="BX28" i="29"/>
  <c r="BX23" i="24"/>
  <c r="BX26" i="24"/>
  <c r="BX24" i="24"/>
  <c r="BX29" i="24"/>
  <c r="BX28" i="24"/>
  <c r="BX27" i="24"/>
  <c r="BX25" i="24"/>
  <c r="BX24" i="23"/>
  <c r="BX26" i="23"/>
  <c r="BX29" i="23"/>
  <c r="BX23" i="23"/>
  <c r="BX28" i="23"/>
  <c r="BX25" i="23"/>
  <c r="BX27" i="23"/>
  <c r="BW27" i="1"/>
  <c r="BW29" i="1"/>
  <c r="BW28" i="1"/>
  <c r="BW26" i="1"/>
  <c r="BW25" i="1"/>
  <c r="BW24" i="1"/>
  <c r="BW60" i="1" s="1"/>
  <c r="BW23" i="1"/>
  <c r="BW59" i="1" s="1"/>
  <c r="DZ21" i="1"/>
  <c r="N114" i="27"/>
  <c r="N125" i="27"/>
  <c r="N111" i="27" s="1"/>
  <c r="N151" i="27"/>
  <c r="O127" i="27"/>
  <c r="O113" i="27" s="1"/>
  <c r="BW37" i="1"/>
  <c r="BW40" i="1"/>
  <c r="BW43" i="1"/>
  <c r="BW32" i="1"/>
  <c r="BW35" i="1"/>
  <c r="BW38" i="1"/>
  <c r="BW41" i="1"/>
  <c r="BW44" i="1"/>
  <c r="BW45" i="1"/>
  <c r="BW33" i="1"/>
  <c r="BW36" i="1"/>
  <c r="BW39" i="1"/>
  <c r="CO39" i="1" s="1"/>
  <c r="BW42" i="1"/>
  <c r="BW66" i="1" s="1"/>
  <c r="BW34" i="1"/>
  <c r="BW46" i="1"/>
  <c r="BW67" i="1" s="1"/>
  <c r="O130" i="27"/>
  <c r="O132" i="27"/>
  <c r="O129" i="27"/>
  <c r="O126" i="27"/>
  <c r="O128" i="27"/>
  <c r="H25" i="35"/>
  <c r="Z25" i="35" s="1"/>
  <c r="I25" i="35"/>
  <c r="AA25" i="35" s="1"/>
  <c r="M25" i="35"/>
  <c r="AG47" i="41" s="1"/>
  <c r="L25" i="35"/>
  <c r="AD25" i="35" s="1"/>
  <c r="AE24" i="35"/>
  <c r="AE44" i="41"/>
  <c r="AF37" i="41"/>
  <c r="AF41" i="41"/>
  <c r="AF43" i="41"/>
  <c r="AF39" i="41"/>
  <c r="AF38" i="41"/>
  <c r="AF42" i="41"/>
  <c r="AF36" i="41"/>
  <c r="AF40" i="41"/>
  <c r="AF48" i="41"/>
  <c r="AF35" i="41"/>
  <c r="N134" i="26"/>
  <c r="N151" i="30"/>
  <c r="N151" i="26"/>
  <c r="N125" i="26"/>
  <c r="N111" i="26" s="1"/>
  <c r="U24" i="35"/>
  <c r="AF25" i="35"/>
  <c r="C25" i="35" s="1"/>
  <c r="AG46" i="41" s="1"/>
  <c r="B26" i="35"/>
  <c r="T25" i="35"/>
  <c r="G25" i="35"/>
  <c r="Y25" i="35" s="1"/>
  <c r="F25" i="35"/>
  <c r="X25" i="35" s="1"/>
  <c r="O118" i="27"/>
  <c r="N115" i="26"/>
  <c r="N114" i="30"/>
  <c r="O111" i="5"/>
  <c r="O6" i="5"/>
  <c r="O56" i="5" s="1"/>
  <c r="T11" i="24"/>
  <c r="U9" i="24"/>
  <c r="BY9" i="24" s="1"/>
  <c r="BY10" i="24" s="1"/>
  <c r="CP9" i="24"/>
  <c r="CP10" i="24" s="1"/>
  <c r="N18" i="26"/>
  <c r="O147" i="26"/>
  <c r="O144" i="26"/>
  <c r="O141" i="26"/>
  <c r="O138" i="26"/>
  <c r="O130" i="26"/>
  <c r="O149" i="26"/>
  <c r="O146" i="26"/>
  <c r="O143" i="26"/>
  <c r="O119" i="26" s="1"/>
  <c r="O140" i="26"/>
  <c r="O137" i="26"/>
  <c r="O127" i="26"/>
  <c r="O113" i="26" s="1"/>
  <c r="O110" i="26"/>
  <c r="O145" i="26"/>
  <c r="O136" i="26"/>
  <c r="O132" i="26"/>
  <c r="O129" i="26"/>
  <c r="O126" i="26"/>
  <c r="O112" i="26" s="1"/>
  <c r="O148" i="26"/>
  <c r="O142" i="26"/>
  <c r="O139" i="26"/>
  <c r="O135" i="26"/>
  <c r="O6" i="26"/>
  <c r="O56" i="26" s="1"/>
  <c r="O131" i="26"/>
  <c r="O128" i="26"/>
  <c r="S11" i="1"/>
  <c r="BX9" i="1"/>
  <c r="BX10" i="1" s="1"/>
  <c r="CO9" i="1"/>
  <c r="CO10" i="1" s="1"/>
  <c r="BX31" i="29"/>
  <c r="BY21" i="29"/>
  <c r="N18" i="30"/>
  <c r="DZ21" i="23"/>
  <c r="P144" i="27"/>
  <c r="P141" i="27"/>
  <c r="P128" i="27"/>
  <c r="P124" i="30"/>
  <c r="P31" i="30" s="1"/>
  <c r="S177" i="29"/>
  <c r="T21" i="29"/>
  <c r="BW31" i="1"/>
  <c r="N117" i="26"/>
  <c r="AB22" i="3"/>
  <c r="N113" i="30"/>
  <c r="N118" i="5"/>
  <c r="N119" i="5"/>
  <c r="CQ21" i="29"/>
  <c r="CQ58" i="29" s="1"/>
  <c r="CP30" i="29"/>
  <c r="DI31" i="1"/>
  <c r="DJ31" i="1"/>
  <c r="S97" i="1"/>
  <c r="S93" i="1"/>
  <c r="S89" i="1"/>
  <c r="S83" i="1"/>
  <c r="S79" i="1"/>
  <c r="S177" i="1"/>
  <c r="S100" i="1"/>
  <c r="S96" i="1"/>
  <c r="S92" i="1"/>
  <c r="S88" i="1"/>
  <c r="S82" i="1"/>
  <c r="S78" i="1"/>
  <c r="S47" i="1"/>
  <c r="S94" i="1"/>
  <c r="S90" i="1"/>
  <c r="S86" i="1"/>
  <c r="S80" i="1"/>
  <c r="S99" i="1"/>
  <c r="S95" i="1"/>
  <c r="S91" i="1"/>
  <c r="S87" i="1"/>
  <c r="S81" i="1"/>
  <c r="S77" i="1"/>
  <c r="S98" i="1"/>
  <c r="T11" i="23"/>
  <c r="U9" i="23"/>
  <c r="BY9" i="23" s="1"/>
  <c r="BY10" i="23" s="1"/>
  <c r="CP9" i="23"/>
  <c r="CP10" i="23" s="1"/>
  <c r="P124" i="26"/>
  <c r="P31" i="26" s="1"/>
  <c r="S177" i="24"/>
  <c r="S47" i="24"/>
  <c r="T21" i="24"/>
  <c r="AO21" i="29"/>
  <c r="T11" i="29"/>
  <c r="U9" i="29"/>
  <c r="BY9" i="29" s="1"/>
  <c r="BY10" i="29" s="1"/>
  <c r="CP9" i="29"/>
  <c r="CP10" i="29" s="1"/>
  <c r="CP26" i="29" s="1"/>
  <c r="N117" i="30"/>
  <c r="Q124" i="27"/>
  <c r="Q31" i="27" s="1"/>
  <c r="T177" i="23"/>
  <c r="T47" i="23"/>
  <c r="T101" i="23" s="1"/>
  <c r="U21" i="23"/>
  <c r="N18" i="5"/>
  <c r="O132" i="30"/>
  <c r="O129" i="30"/>
  <c r="O126" i="30"/>
  <c r="O111" i="30" s="1"/>
  <c r="O131" i="30"/>
  <c r="O128" i="30"/>
  <c r="O130" i="30"/>
  <c r="O127" i="30"/>
  <c r="O112" i="30" s="1"/>
  <c r="O109" i="30"/>
  <c r="O6" i="30"/>
  <c r="O56" i="30" s="1"/>
  <c r="S159" i="3"/>
  <c r="S164" i="3" s="1"/>
  <c r="N118" i="26"/>
  <c r="N114" i="26"/>
  <c r="N116" i="30"/>
  <c r="AO21" i="24"/>
  <c r="P110" i="27"/>
  <c r="P6" i="27"/>
  <c r="N101" i="5"/>
  <c r="AP21" i="23"/>
  <c r="T75" i="58" a="1"/>
  <c r="CP28" i="23" l="1"/>
  <c r="CO43" i="1"/>
  <c r="M14" i="26"/>
  <c r="CN64" i="1"/>
  <c r="CN61" i="1"/>
  <c r="CO25" i="1"/>
  <c r="M12" i="26"/>
  <c r="M8" i="26"/>
  <c r="N135" i="5"/>
  <c r="N117" i="5" s="1"/>
  <c r="M9" i="26"/>
  <c r="M11" i="26"/>
  <c r="CN62" i="1"/>
  <c r="O146" i="5"/>
  <c r="O132" i="5"/>
  <c r="CO33" i="1"/>
  <c r="P137" i="5" s="1"/>
  <c r="CP29" i="23"/>
  <c r="CO36" i="1"/>
  <c r="P140" i="5" s="1"/>
  <c r="CO62" i="23"/>
  <c r="CO61" i="23"/>
  <c r="CO28" i="1"/>
  <c r="CP27" i="23"/>
  <c r="CO44" i="1"/>
  <c r="P148" i="5" s="1"/>
  <c r="CO38" i="1"/>
  <c r="P142" i="5" s="1"/>
  <c r="CO41" i="1"/>
  <c r="P145" i="5" s="1"/>
  <c r="CO35" i="1"/>
  <c r="P139" i="5" s="1"/>
  <c r="CO37" i="1"/>
  <c r="CO34" i="1"/>
  <c r="P138" i="5" s="1"/>
  <c r="CO29" i="1"/>
  <c r="P133" i="5" s="1"/>
  <c r="CP25" i="23"/>
  <c r="BX48" i="23"/>
  <c r="Q57" i="27" s="1"/>
  <c r="E26" i="35"/>
  <c r="W26" i="35" s="1"/>
  <c r="D26" i="35"/>
  <c r="V26" i="35" s="1"/>
  <c r="T75" i="58"/>
  <c r="T191" i="1"/>
  <c r="T221" i="1" s="1"/>
  <c r="S220" i="1"/>
  <c r="S221" i="1"/>
  <c r="P142" i="30"/>
  <c r="P147" i="30"/>
  <c r="P135" i="30"/>
  <c r="CO65" i="23"/>
  <c r="P143" i="30"/>
  <c r="P118" i="30" s="1"/>
  <c r="P140" i="30"/>
  <c r="P144" i="30"/>
  <c r="P138" i="30"/>
  <c r="P136" i="30"/>
  <c r="P139" i="30"/>
  <c r="P148" i="30"/>
  <c r="P141" i="30"/>
  <c r="P137" i="30"/>
  <c r="M13" i="26"/>
  <c r="M15" i="26"/>
  <c r="M10" i="26"/>
  <c r="CN68" i="1"/>
  <c r="P145" i="27"/>
  <c r="CN63" i="1"/>
  <c r="CN65" i="1"/>
  <c r="CO67" i="29"/>
  <c r="P149" i="30"/>
  <c r="CO68" i="29"/>
  <c r="P146" i="30"/>
  <c r="CO61" i="29"/>
  <c r="CO66" i="29"/>
  <c r="P145" i="30"/>
  <c r="L16" i="30"/>
  <c r="L58" i="30" s="1"/>
  <c r="CP43" i="29"/>
  <c r="CP44" i="29"/>
  <c r="CP45" i="29"/>
  <c r="CP38" i="29"/>
  <c r="M7" i="30"/>
  <c r="M11" i="30"/>
  <c r="M10" i="30"/>
  <c r="M14" i="30"/>
  <c r="M13" i="30"/>
  <c r="M8" i="30"/>
  <c r="M12" i="30"/>
  <c r="M9" i="30"/>
  <c r="CO32" i="1"/>
  <c r="P136" i="5" s="1"/>
  <c r="CO26" i="1"/>
  <c r="CO61" i="1" s="1"/>
  <c r="O137" i="5"/>
  <c r="O118" i="5" s="1"/>
  <c r="CO40" i="1"/>
  <c r="CO63" i="23"/>
  <c r="CO45" i="1"/>
  <c r="CP26" i="23"/>
  <c r="CO68" i="24"/>
  <c r="CO68" i="23"/>
  <c r="L16" i="26"/>
  <c r="L58" i="26" s="1"/>
  <c r="CO62" i="24"/>
  <c r="CO27" i="1"/>
  <c r="CO61" i="24"/>
  <c r="CO65" i="24"/>
  <c r="CO63" i="24"/>
  <c r="CO64" i="24"/>
  <c r="CP33" i="23"/>
  <c r="Q136" i="27" s="1"/>
  <c r="CP38" i="23"/>
  <c r="Q141" i="27" s="1"/>
  <c r="CP39" i="23"/>
  <c r="Q142" i="27" s="1"/>
  <c r="CP34" i="23"/>
  <c r="Q137" i="27" s="1"/>
  <c r="CP36" i="23"/>
  <c r="Q139" i="27" s="1"/>
  <c r="CP35" i="23"/>
  <c r="Q138" i="27" s="1"/>
  <c r="CP41" i="23"/>
  <c r="Q144" i="27" s="1"/>
  <c r="CP45" i="23"/>
  <c r="Q148" i="27" s="1"/>
  <c r="CP44" i="23"/>
  <c r="Q147" i="27" s="1"/>
  <c r="CO64" i="23"/>
  <c r="O134" i="27"/>
  <c r="O116" i="27" s="1"/>
  <c r="CO62" i="29"/>
  <c r="CO63" i="29"/>
  <c r="P146" i="27"/>
  <c r="CO64" i="29"/>
  <c r="O128" i="5"/>
  <c r="P140" i="27"/>
  <c r="P118" i="27" s="1"/>
  <c r="CO65" i="29"/>
  <c r="O150" i="5"/>
  <c r="P149" i="27"/>
  <c r="P143" i="27"/>
  <c r="P119" i="27" s="1"/>
  <c r="CO59" i="29"/>
  <c r="CO48" i="29"/>
  <c r="CP39" i="29"/>
  <c r="CP33" i="29"/>
  <c r="CP27" i="29"/>
  <c r="CP46" i="29"/>
  <c r="P135" i="27"/>
  <c r="P117" i="27" s="1"/>
  <c r="CP28" i="29"/>
  <c r="CP34" i="29"/>
  <c r="CP40" i="29"/>
  <c r="CP35" i="29"/>
  <c r="N152" i="30"/>
  <c r="N15" i="30" s="1"/>
  <c r="CP29" i="29"/>
  <c r="CP24" i="29"/>
  <c r="CP60" i="29" s="1"/>
  <c r="BX48" i="29"/>
  <c r="Q57" i="30" s="1"/>
  <c r="CP32" i="29"/>
  <c r="CP36" i="29"/>
  <c r="O134" i="30"/>
  <c r="O115" i="30" s="1"/>
  <c r="CP41" i="29"/>
  <c r="CP25" i="29"/>
  <c r="CP61" i="29" s="1"/>
  <c r="CP42" i="29"/>
  <c r="CP37" i="29"/>
  <c r="CP23" i="29"/>
  <c r="CP40" i="23"/>
  <c r="BX65" i="23"/>
  <c r="CO59" i="23"/>
  <c r="CO48" i="23"/>
  <c r="BX64" i="23"/>
  <c r="CP37" i="23"/>
  <c r="Q140" i="27" s="1"/>
  <c r="BX60" i="23"/>
  <c r="CP24" i="23"/>
  <c r="CP60" i="23" s="1"/>
  <c r="N152" i="27"/>
  <c r="N12" i="27" s="1"/>
  <c r="BX67" i="23"/>
  <c r="CP46" i="23"/>
  <c r="CP67" i="23" s="1"/>
  <c r="M8" i="27"/>
  <c r="CP43" i="23"/>
  <c r="BX68" i="23"/>
  <c r="M11" i="27"/>
  <c r="BX66" i="23"/>
  <c r="CP42" i="23"/>
  <c r="CP66" i="23" s="1"/>
  <c r="BY44" i="23"/>
  <c r="BY45" i="23"/>
  <c r="BY46" i="23"/>
  <c r="BY33" i="23"/>
  <c r="BY43" i="23"/>
  <c r="BY32" i="23"/>
  <c r="BY38" i="23"/>
  <c r="BY42" i="23"/>
  <c r="BY41" i="23"/>
  <c r="BY39" i="23"/>
  <c r="BY34" i="23"/>
  <c r="BY37" i="23"/>
  <c r="BY36" i="23"/>
  <c r="BY35" i="23"/>
  <c r="BY40" i="23"/>
  <c r="BX59" i="23"/>
  <c r="CP23" i="23"/>
  <c r="P127" i="27"/>
  <c r="P113" i="27" s="1"/>
  <c r="CP32" i="23"/>
  <c r="BX63" i="23"/>
  <c r="BX60" i="24"/>
  <c r="BX65" i="24"/>
  <c r="BX59" i="24"/>
  <c r="BX48" i="24"/>
  <c r="Q57" i="26" s="1"/>
  <c r="BX67" i="24"/>
  <c r="BX63" i="24"/>
  <c r="S101" i="24"/>
  <c r="BX66" i="24"/>
  <c r="CO59" i="24"/>
  <c r="CO48" i="24"/>
  <c r="BX68" i="24"/>
  <c r="BY37" i="24"/>
  <c r="BY41" i="24"/>
  <c r="BY36" i="24"/>
  <c r="BY34" i="24"/>
  <c r="BY38" i="24"/>
  <c r="BY32" i="24"/>
  <c r="BY46" i="24"/>
  <c r="BY40" i="24"/>
  <c r="BY39" i="24"/>
  <c r="BY44" i="24"/>
  <c r="BY33" i="24"/>
  <c r="BY45" i="24"/>
  <c r="BY42" i="24"/>
  <c r="BY43" i="24"/>
  <c r="BY35" i="24"/>
  <c r="N152" i="26"/>
  <c r="N14" i="26" s="1"/>
  <c r="BX64" i="24"/>
  <c r="CO42" i="1"/>
  <c r="CO66" i="1" s="1"/>
  <c r="CO23" i="1"/>
  <c r="P127" i="5" s="1"/>
  <c r="CO24" i="1"/>
  <c r="CO60" i="1" s="1"/>
  <c r="BW48" i="1"/>
  <c r="P57" i="5" s="1"/>
  <c r="CO46" i="1"/>
  <c r="CO67" i="1" s="1"/>
  <c r="CN59" i="1"/>
  <c r="CN48" i="1"/>
  <c r="BX61" i="29"/>
  <c r="K16" i="27"/>
  <c r="K58" i="27" s="1"/>
  <c r="L16" i="27"/>
  <c r="L58" i="27" s="1"/>
  <c r="D16" i="26"/>
  <c r="D58" i="26" s="1"/>
  <c r="BX62" i="29"/>
  <c r="I16" i="27"/>
  <c r="I58" i="27" s="1"/>
  <c r="J16" i="27"/>
  <c r="J58" i="27" s="1"/>
  <c r="M10" i="27"/>
  <c r="M13" i="27"/>
  <c r="M12" i="27"/>
  <c r="M15" i="27"/>
  <c r="M9" i="27"/>
  <c r="BX61" i="24"/>
  <c r="BX62" i="24"/>
  <c r="M7" i="27"/>
  <c r="BX62" i="23"/>
  <c r="BX61" i="23"/>
  <c r="BW61" i="1"/>
  <c r="BW64" i="1"/>
  <c r="BW63" i="1"/>
  <c r="BW62" i="1"/>
  <c r="BW68" i="1"/>
  <c r="BW65" i="1"/>
  <c r="BY58" i="29"/>
  <c r="BX68" i="29"/>
  <c r="BX65" i="29"/>
  <c r="BX63" i="29"/>
  <c r="BX64" i="29"/>
  <c r="AO35" i="24"/>
  <c r="CP35" i="24" s="1"/>
  <c r="AO38" i="24"/>
  <c r="CP38" i="24" s="1"/>
  <c r="AO40" i="24"/>
  <c r="CP40" i="24" s="1"/>
  <c r="AO43" i="24"/>
  <c r="CP43" i="24" s="1"/>
  <c r="AO46" i="24"/>
  <c r="CP46" i="24" s="1"/>
  <c r="CP67" i="24" s="1"/>
  <c r="AO25" i="24"/>
  <c r="CP25" i="24" s="1"/>
  <c r="AO28" i="24"/>
  <c r="CP28" i="24" s="1"/>
  <c r="AO41" i="24"/>
  <c r="CP41" i="24" s="1"/>
  <c r="AO44" i="24"/>
  <c r="CP44" i="24" s="1"/>
  <c r="AO26" i="24"/>
  <c r="CP26" i="24" s="1"/>
  <c r="AO29" i="24"/>
  <c r="CP29" i="24" s="1"/>
  <c r="AO32" i="24"/>
  <c r="CP32" i="24" s="1"/>
  <c r="AO34" i="24"/>
  <c r="CP34" i="24" s="1"/>
  <c r="AO37" i="24"/>
  <c r="CP37" i="24" s="1"/>
  <c r="AO23" i="24"/>
  <c r="CP23" i="24" s="1"/>
  <c r="AO45" i="24"/>
  <c r="CP45" i="24" s="1"/>
  <c r="AO36" i="24"/>
  <c r="CP36" i="24" s="1"/>
  <c r="AO24" i="24"/>
  <c r="CP24" i="24" s="1"/>
  <c r="CP60" i="24" s="1"/>
  <c r="AO39" i="24"/>
  <c r="CP39" i="24" s="1"/>
  <c r="AO42" i="24"/>
  <c r="CP42" i="24" s="1"/>
  <c r="CP66" i="24" s="1"/>
  <c r="AO27" i="24"/>
  <c r="CP27" i="24" s="1"/>
  <c r="AO33" i="24"/>
  <c r="CP33" i="24" s="1"/>
  <c r="AO35" i="29"/>
  <c r="AO38" i="29"/>
  <c r="AO40" i="29"/>
  <c r="AO43" i="29"/>
  <c r="AO33" i="29"/>
  <c r="AO36" i="29"/>
  <c r="AO39" i="29"/>
  <c r="AO34" i="29"/>
  <c r="AO37" i="29"/>
  <c r="AO23" i="29"/>
  <c r="AO45" i="29"/>
  <c r="AO24" i="29"/>
  <c r="AO27" i="29"/>
  <c r="AO41" i="29"/>
  <c r="AO46" i="29"/>
  <c r="AO44" i="29"/>
  <c r="AO26" i="29"/>
  <c r="AO29" i="29"/>
  <c r="AO25" i="29"/>
  <c r="AO32" i="29"/>
  <c r="AO28" i="29"/>
  <c r="AO42" i="29"/>
  <c r="AP21" i="1"/>
  <c r="AO33" i="1"/>
  <c r="AO36" i="1"/>
  <c r="AO39" i="1"/>
  <c r="AO41" i="1"/>
  <c r="AO44" i="1"/>
  <c r="AO26" i="1"/>
  <c r="AO29" i="1"/>
  <c r="AO32" i="1"/>
  <c r="AO34" i="1"/>
  <c r="AO37" i="1"/>
  <c r="AO23" i="1"/>
  <c r="AO42" i="1"/>
  <c r="AO45" i="1"/>
  <c r="AO24" i="1"/>
  <c r="AO27" i="1"/>
  <c r="AO35" i="1"/>
  <c r="AO38" i="1"/>
  <c r="AO43" i="1"/>
  <c r="AO28" i="1"/>
  <c r="AO40" i="1"/>
  <c r="AO25" i="1"/>
  <c r="AO46" i="1"/>
  <c r="AP23" i="23"/>
  <c r="AP42" i="23"/>
  <c r="AP45" i="23"/>
  <c r="AP24" i="23"/>
  <c r="AP27" i="23"/>
  <c r="AP33" i="23"/>
  <c r="AP36" i="23"/>
  <c r="AP39" i="23"/>
  <c r="AP40" i="23"/>
  <c r="AP43" i="23"/>
  <c r="AP46" i="23"/>
  <c r="AP25" i="23"/>
  <c r="AP28" i="23"/>
  <c r="AP34" i="23"/>
  <c r="AP37" i="23"/>
  <c r="AP32" i="23"/>
  <c r="AP41" i="23"/>
  <c r="AP26" i="23"/>
  <c r="AP44" i="23"/>
  <c r="AP29" i="23"/>
  <c r="AP35" i="23"/>
  <c r="AP38" i="23"/>
  <c r="P100" i="26"/>
  <c r="P41" i="26"/>
  <c r="P100" i="30"/>
  <c r="P41" i="30"/>
  <c r="Q100" i="27"/>
  <c r="Q41" i="27"/>
  <c r="BY21" i="1"/>
  <c r="BX58" i="1"/>
  <c r="P147" i="5"/>
  <c r="P143" i="5"/>
  <c r="P129" i="5"/>
  <c r="P132" i="5"/>
  <c r="S160" i="3"/>
  <c r="Q125" i="5"/>
  <c r="Q31" i="5" s="1"/>
  <c r="U21" i="1"/>
  <c r="C71" i="3"/>
  <c r="B72" i="3"/>
  <c r="AE71" i="3"/>
  <c r="AD71" i="3"/>
  <c r="AC71" i="3"/>
  <c r="CQ21" i="1"/>
  <c r="CP58" i="1"/>
  <c r="AF56" i="41"/>
  <c r="AF52" i="41"/>
  <c r="AF58" i="41"/>
  <c r="AF54" i="41"/>
  <c r="AF55" i="41"/>
  <c r="AF59" i="41"/>
  <c r="AF57" i="41"/>
  <c r="AF53" i="41"/>
  <c r="AF51" i="41"/>
  <c r="P41" i="5"/>
  <c r="D16" i="27"/>
  <c r="D58" i="27" s="1"/>
  <c r="F16" i="26"/>
  <c r="F58" i="26" s="1"/>
  <c r="G16" i="27"/>
  <c r="G58" i="27" s="1"/>
  <c r="H16" i="27"/>
  <c r="H58" i="27" s="1"/>
  <c r="N116" i="26"/>
  <c r="P18" i="27"/>
  <c r="P56" i="27"/>
  <c r="U99" i="23"/>
  <c r="U83" i="23"/>
  <c r="U88" i="23"/>
  <c r="U86" i="23"/>
  <c r="U78" i="23"/>
  <c r="U90" i="23"/>
  <c r="U94" i="23"/>
  <c r="U92" i="23"/>
  <c r="U80" i="23"/>
  <c r="U96" i="23"/>
  <c r="U82" i="23"/>
  <c r="U100" i="23"/>
  <c r="U98" i="23"/>
  <c r="U87" i="23"/>
  <c r="U77" i="23"/>
  <c r="U91" i="23"/>
  <c r="U89" i="23"/>
  <c r="U79" i="23"/>
  <c r="U93" i="23"/>
  <c r="U81" i="23"/>
  <c r="U97" i="23"/>
  <c r="U95" i="23"/>
  <c r="T80" i="24"/>
  <c r="T82" i="24"/>
  <c r="T95" i="24"/>
  <c r="T89" i="24"/>
  <c r="T99" i="24"/>
  <c r="T97" i="24"/>
  <c r="T93" i="24"/>
  <c r="T91" i="24"/>
  <c r="T87" i="24"/>
  <c r="T79" i="24"/>
  <c r="T77" i="24"/>
  <c r="T81" i="24"/>
  <c r="T83" i="24"/>
  <c r="T100" i="24"/>
  <c r="T96" i="24"/>
  <c r="T94" i="24"/>
  <c r="T90" i="24"/>
  <c r="T88" i="24"/>
  <c r="T98" i="24"/>
  <c r="T92" i="24"/>
  <c r="T86" i="24"/>
  <c r="T78" i="24"/>
  <c r="T100" i="29"/>
  <c r="T98" i="29"/>
  <c r="T96" i="29"/>
  <c r="T79" i="29"/>
  <c r="T94" i="29"/>
  <c r="T92" i="29"/>
  <c r="T81" i="29"/>
  <c r="T90" i="29"/>
  <c r="T47" i="29"/>
  <c r="T101" i="29" s="1"/>
  <c r="T88" i="29"/>
  <c r="T86" i="29"/>
  <c r="T83" i="29"/>
  <c r="T78" i="29"/>
  <c r="T99" i="29"/>
  <c r="T97" i="29"/>
  <c r="T95" i="29"/>
  <c r="T93" i="29"/>
  <c r="T80" i="29"/>
  <c r="T91" i="29"/>
  <c r="T89" i="29"/>
  <c r="T82" i="29"/>
  <c r="T87" i="29"/>
  <c r="T77" i="29"/>
  <c r="S101" i="1"/>
  <c r="BY32" i="29"/>
  <c r="BY35" i="29"/>
  <c r="BY38" i="29"/>
  <c r="BY41" i="29"/>
  <c r="BY44" i="29"/>
  <c r="BY26" i="29"/>
  <c r="BY29" i="29"/>
  <c r="BY23" i="29"/>
  <c r="BY59" i="29" s="1"/>
  <c r="BY33" i="29"/>
  <c r="BY36" i="29"/>
  <c r="BY39" i="29"/>
  <c r="BY42" i="29"/>
  <c r="BY66" i="29" s="1"/>
  <c r="BY45" i="29"/>
  <c r="BY24" i="29"/>
  <c r="BY60" i="29" s="1"/>
  <c r="BY27" i="29"/>
  <c r="BY34" i="29"/>
  <c r="BY37" i="29"/>
  <c r="BY40" i="29"/>
  <c r="BY43" i="29"/>
  <c r="BY46" i="29"/>
  <c r="BY67" i="29" s="1"/>
  <c r="BY25" i="29"/>
  <c r="BY28" i="29"/>
  <c r="BY23" i="24"/>
  <c r="BY26" i="24"/>
  <c r="BY24" i="24"/>
  <c r="BY29" i="24"/>
  <c r="BY28" i="24"/>
  <c r="BY27" i="24"/>
  <c r="BY25" i="24"/>
  <c r="BY29" i="23"/>
  <c r="CQ29" i="23" s="1"/>
  <c r="BY23" i="23"/>
  <c r="BY28" i="23"/>
  <c r="BY25" i="23"/>
  <c r="CQ25" i="23" s="1"/>
  <c r="BY24" i="23"/>
  <c r="BY26" i="23"/>
  <c r="CQ26" i="23" s="1"/>
  <c r="BY27" i="23"/>
  <c r="CQ27" i="23" s="1"/>
  <c r="EA21" i="1"/>
  <c r="BX27" i="1"/>
  <c r="BX28" i="1"/>
  <c r="BX29" i="1"/>
  <c r="BX26" i="1"/>
  <c r="BX25" i="1"/>
  <c r="BX23" i="1"/>
  <c r="BX59" i="1" s="1"/>
  <c r="BX24" i="1"/>
  <c r="BX60" i="1" s="1"/>
  <c r="O115" i="27"/>
  <c r="O114" i="27"/>
  <c r="O112" i="27"/>
  <c r="O125" i="27"/>
  <c r="O111" i="27" s="1"/>
  <c r="O151" i="27"/>
  <c r="BX43" i="1"/>
  <c r="BX40" i="1"/>
  <c r="BX32" i="1"/>
  <c r="BX35" i="1"/>
  <c r="BX38" i="1"/>
  <c r="BX41" i="1"/>
  <c r="BX44" i="1"/>
  <c r="BX45" i="1"/>
  <c r="BX33" i="1"/>
  <c r="BX36" i="1"/>
  <c r="CP36" i="1" s="1"/>
  <c r="BX39" i="1"/>
  <c r="BX42" i="1"/>
  <c r="BX66" i="1" s="1"/>
  <c r="BX34" i="1"/>
  <c r="BX37" i="1"/>
  <c r="BX46" i="1"/>
  <c r="BX67" i="1" s="1"/>
  <c r="P126" i="27"/>
  <c r="P129" i="27"/>
  <c r="P114" i="27" s="1"/>
  <c r="P131" i="27"/>
  <c r="P132" i="27"/>
  <c r="P130" i="27"/>
  <c r="I26" i="35"/>
  <c r="AA26" i="35" s="1"/>
  <c r="H26" i="35"/>
  <c r="Z26" i="35" s="1"/>
  <c r="M26" i="35"/>
  <c r="L26" i="35"/>
  <c r="AD26" i="35" s="1"/>
  <c r="AE25" i="35"/>
  <c r="AF44" i="41"/>
  <c r="AG36" i="41"/>
  <c r="AG40" i="41"/>
  <c r="AG48" i="41"/>
  <c r="AG37" i="41"/>
  <c r="AG41" i="41"/>
  <c r="AG39" i="41"/>
  <c r="AG43" i="41"/>
  <c r="AG38" i="41"/>
  <c r="AG42" i="41"/>
  <c r="AG35" i="41"/>
  <c r="O134" i="26"/>
  <c r="O151" i="30"/>
  <c r="O125" i="30"/>
  <c r="O110" i="30" s="1"/>
  <c r="O125" i="26"/>
  <c r="O111" i="26" s="1"/>
  <c r="O151" i="26"/>
  <c r="U25" i="35"/>
  <c r="O114" i="26"/>
  <c r="B27" i="35"/>
  <c r="T26" i="35"/>
  <c r="AF26" i="35"/>
  <c r="C26" i="35" s="1"/>
  <c r="AH46" i="41" s="1"/>
  <c r="F26" i="35"/>
  <c r="X26" i="35" s="1"/>
  <c r="G26" i="35"/>
  <c r="Y26" i="35" s="1"/>
  <c r="O117" i="30"/>
  <c r="O114" i="30"/>
  <c r="O116" i="30"/>
  <c r="T177" i="1"/>
  <c r="T100" i="1"/>
  <c r="T96" i="1"/>
  <c r="T92" i="1"/>
  <c r="T88" i="1"/>
  <c r="T82" i="1"/>
  <c r="T78" i="1"/>
  <c r="T47" i="1"/>
  <c r="T99" i="1"/>
  <c r="T95" i="1"/>
  <c r="T91" i="1"/>
  <c r="T87" i="1"/>
  <c r="T81" i="1"/>
  <c r="T77" i="1"/>
  <c r="T93" i="1"/>
  <c r="T83" i="1"/>
  <c r="T98" i="1"/>
  <c r="T94" i="1"/>
  <c r="T90" i="1"/>
  <c r="T86" i="1"/>
  <c r="T80" i="1"/>
  <c r="T97" i="1"/>
  <c r="T89" i="1"/>
  <c r="T79" i="1"/>
  <c r="BX31" i="1"/>
  <c r="O101" i="5"/>
  <c r="O119" i="5"/>
  <c r="AP21" i="24"/>
  <c r="T159" i="3"/>
  <c r="T164" i="3" s="1"/>
  <c r="P111" i="5"/>
  <c r="P6" i="5"/>
  <c r="P56" i="5" s="1"/>
  <c r="P131" i="30"/>
  <c r="P128" i="30"/>
  <c r="P130" i="30"/>
  <c r="P127" i="30"/>
  <c r="P112" i="30" s="1"/>
  <c r="P109" i="30"/>
  <c r="P132" i="30"/>
  <c r="P129" i="30"/>
  <c r="P126" i="30"/>
  <c r="P111" i="30" s="1"/>
  <c r="P6" i="30"/>
  <c r="P56" i="30" s="1"/>
  <c r="CP9" i="1"/>
  <c r="CP10" i="1" s="1"/>
  <c r="T11" i="1"/>
  <c r="O118" i="26"/>
  <c r="U11" i="24"/>
  <c r="V9" i="24"/>
  <c r="CQ9" i="24"/>
  <c r="CQ10" i="24" s="1"/>
  <c r="O113" i="30"/>
  <c r="R124" i="27"/>
  <c r="R31" i="27" s="1"/>
  <c r="U177" i="23"/>
  <c r="U47" i="23"/>
  <c r="U101" i="23" s="1"/>
  <c r="V21" i="23"/>
  <c r="U11" i="29"/>
  <c r="V9" i="29"/>
  <c r="CQ9" i="29"/>
  <c r="CQ10" i="29" s="1"/>
  <c r="CQ36" i="29" s="1"/>
  <c r="Q124" i="26"/>
  <c r="Q31" i="26" s="1"/>
  <c r="T177" i="24"/>
  <c r="T47" i="24"/>
  <c r="U21" i="24"/>
  <c r="AB23" i="3"/>
  <c r="Q130" i="27"/>
  <c r="Q131" i="27"/>
  <c r="BZ21" i="29"/>
  <c r="BY31" i="29"/>
  <c r="AQ21" i="23"/>
  <c r="O18" i="30"/>
  <c r="Q110" i="27"/>
  <c r="Q6" i="27"/>
  <c r="AP21" i="29"/>
  <c r="P149" i="26"/>
  <c r="P146" i="26"/>
  <c r="P143" i="26"/>
  <c r="P119" i="26" s="1"/>
  <c r="P140" i="26"/>
  <c r="P137" i="26"/>
  <c r="P127" i="26"/>
  <c r="P113" i="26" s="1"/>
  <c r="P110" i="26"/>
  <c r="P145" i="26"/>
  <c r="P136" i="26"/>
  <c r="P132" i="26"/>
  <c r="P129" i="26"/>
  <c r="P126" i="26"/>
  <c r="P112" i="26" s="1"/>
  <c r="P148" i="26"/>
  <c r="P142" i="26"/>
  <c r="P139" i="26"/>
  <c r="P135" i="26"/>
  <c r="P131" i="26"/>
  <c r="P128" i="26"/>
  <c r="P147" i="26"/>
  <c r="P144" i="26"/>
  <c r="P141" i="26"/>
  <c r="P138" i="26"/>
  <c r="P6" i="26"/>
  <c r="P56" i="26" s="1"/>
  <c r="P130" i="26"/>
  <c r="V9" i="23"/>
  <c r="CQ9" i="23"/>
  <c r="CQ10" i="23" s="1"/>
  <c r="U11" i="23"/>
  <c r="CR21" i="29"/>
  <c r="CR58" i="29" s="1"/>
  <c r="CQ30" i="29"/>
  <c r="Q124" i="30"/>
  <c r="Q31" i="30" s="1"/>
  <c r="T177" i="29"/>
  <c r="U21" i="29"/>
  <c r="O18" i="26"/>
  <c r="O117" i="26"/>
  <c r="O115" i="26"/>
  <c r="O18" i="5"/>
  <c r="U75" i="58" a="1"/>
  <c r="CO68" i="1" l="1"/>
  <c r="P149" i="5"/>
  <c r="CO64" i="1"/>
  <c r="CP62" i="23"/>
  <c r="CP40" i="1"/>
  <c r="P141" i="5"/>
  <c r="CP43" i="1"/>
  <c r="CP37" i="1"/>
  <c r="CO62" i="1"/>
  <c r="CP26" i="1"/>
  <c r="Q130" i="5" s="1"/>
  <c r="CP41" i="1"/>
  <c r="CO65" i="1"/>
  <c r="CP25" i="1"/>
  <c r="Q129" i="5" s="1"/>
  <c r="CP34" i="1"/>
  <c r="Q138" i="5" s="1"/>
  <c r="CP61" i="23"/>
  <c r="CP27" i="1"/>
  <c r="Q131" i="5" s="1"/>
  <c r="CP39" i="1"/>
  <c r="Q143" i="5" s="1"/>
  <c r="CP35" i="1"/>
  <c r="Q139" i="5" s="1"/>
  <c r="CP32" i="1"/>
  <c r="Q136" i="5" s="1"/>
  <c r="M16" i="26"/>
  <c r="M58" i="26" s="1"/>
  <c r="Q149" i="27"/>
  <c r="BY48" i="23"/>
  <c r="R57" i="27" s="1"/>
  <c r="E27" i="35"/>
  <c r="W27" i="35" s="1"/>
  <c r="D27" i="35"/>
  <c r="V27" i="35" s="1"/>
  <c r="P131" i="5"/>
  <c r="P130" i="5"/>
  <c r="P144" i="5"/>
  <c r="P120" i="5" s="1"/>
  <c r="U75" i="58"/>
  <c r="U191" i="1"/>
  <c r="U221" i="1" s="1"/>
  <c r="CP68" i="29"/>
  <c r="Q144" i="30"/>
  <c r="Q139" i="30"/>
  <c r="Q135" i="30"/>
  <c r="Q136" i="30"/>
  <c r="Q142" i="30"/>
  <c r="Q141" i="30"/>
  <c r="Q137" i="30"/>
  <c r="Q148" i="30"/>
  <c r="Q147" i="30"/>
  <c r="Q138" i="30"/>
  <c r="Q146" i="30"/>
  <c r="Q140" i="30"/>
  <c r="Q143" i="30"/>
  <c r="Q118" i="30" s="1"/>
  <c r="CP64" i="23"/>
  <c r="CP68" i="23"/>
  <c r="CP65" i="23"/>
  <c r="CO63" i="1"/>
  <c r="O135" i="5"/>
  <c r="O117" i="5" s="1"/>
  <c r="CP66" i="29"/>
  <c r="Q145" i="30"/>
  <c r="CP67" i="29"/>
  <c r="Q149" i="30"/>
  <c r="M16" i="30"/>
  <c r="M58" i="30" s="1"/>
  <c r="CQ26" i="29"/>
  <c r="CQ32" i="29"/>
  <c r="CQ46" i="29"/>
  <c r="CP44" i="1"/>
  <c r="Q148" i="5" s="1"/>
  <c r="CP38" i="1"/>
  <c r="Q142" i="5" s="1"/>
  <c r="CP29" i="1"/>
  <c r="CP28" i="1"/>
  <c r="Q132" i="5" s="1"/>
  <c r="CP45" i="1"/>
  <c r="Q149" i="5" s="1"/>
  <c r="CQ28" i="23"/>
  <c r="CQ62" i="23" s="1"/>
  <c r="N48" i="27" s="1"/>
  <c r="P150" i="5"/>
  <c r="CP33" i="1"/>
  <c r="CP61" i="24"/>
  <c r="CP65" i="29"/>
  <c r="N51" i="30" s="1"/>
  <c r="CP63" i="23"/>
  <c r="CP68" i="24"/>
  <c r="CP64" i="24"/>
  <c r="CP63" i="24"/>
  <c r="CP62" i="24"/>
  <c r="CQ35" i="23"/>
  <c r="R138" i="27" s="1"/>
  <c r="CQ45" i="23"/>
  <c r="CP65" i="24"/>
  <c r="CQ36" i="23"/>
  <c r="R139" i="27" s="1"/>
  <c r="CQ44" i="23"/>
  <c r="CQ34" i="23"/>
  <c r="CQ39" i="23"/>
  <c r="R142" i="27" s="1"/>
  <c r="CQ41" i="23"/>
  <c r="CQ38" i="23"/>
  <c r="R141" i="27" s="1"/>
  <c r="CQ33" i="23"/>
  <c r="P134" i="27"/>
  <c r="P116" i="27" s="1"/>
  <c r="Q146" i="27"/>
  <c r="Q135" i="27"/>
  <c r="Q117" i="27" s="1"/>
  <c r="CP64" i="29"/>
  <c r="N7" i="26"/>
  <c r="CP62" i="29"/>
  <c r="N48" i="30" s="1"/>
  <c r="N8" i="27"/>
  <c r="P146" i="5"/>
  <c r="Q145" i="27"/>
  <c r="CP63" i="29"/>
  <c r="N49" i="30" s="1"/>
  <c r="N8" i="30"/>
  <c r="N12" i="30"/>
  <c r="N10" i="30"/>
  <c r="N14" i="30"/>
  <c r="Q143" i="27"/>
  <c r="Q119" i="27" s="1"/>
  <c r="N9" i="30"/>
  <c r="N13" i="30"/>
  <c r="N7" i="30"/>
  <c r="N11" i="30"/>
  <c r="N10" i="27"/>
  <c r="CQ42" i="29"/>
  <c r="CQ25" i="29"/>
  <c r="CQ23" i="29"/>
  <c r="CQ37" i="29"/>
  <c r="O152" i="30"/>
  <c r="O15" i="30" s="1"/>
  <c r="N15" i="27"/>
  <c r="CQ43" i="29"/>
  <c r="CQ38" i="29"/>
  <c r="N13" i="27"/>
  <c r="CQ44" i="29"/>
  <c r="CQ27" i="29"/>
  <c r="CQ61" i="23"/>
  <c r="CQ45" i="29"/>
  <c r="CQ39" i="29"/>
  <c r="BY48" i="29"/>
  <c r="R57" i="30" s="1"/>
  <c r="P134" i="30"/>
  <c r="P115" i="30" s="1"/>
  <c r="CQ33" i="29"/>
  <c r="N11" i="27"/>
  <c r="CQ40" i="29"/>
  <c r="CQ34" i="29"/>
  <c r="N7" i="27"/>
  <c r="CQ28" i="29"/>
  <c r="CQ35" i="29"/>
  <c r="N14" i="27"/>
  <c r="CQ29" i="29"/>
  <c r="CQ24" i="29"/>
  <c r="CQ60" i="29" s="1"/>
  <c r="CQ41" i="29"/>
  <c r="CP59" i="29"/>
  <c r="N45" i="30" s="1"/>
  <c r="CP48" i="29"/>
  <c r="BY65" i="23"/>
  <c r="M51" i="27" s="1"/>
  <c r="CQ40" i="23"/>
  <c r="CQ37" i="23"/>
  <c r="BY64" i="23"/>
  <c r="M50" i="27" s="1"/>
  <c r="N9" i="27"/>
  <c r="BY66" i="23"/>
  <c r="M52" i="27" s="1"/>
  <c r="CQ42" i="23"/>
  <c r="CQ66" i="23" s="1"/>
  <c r="N52" i="27" s="1"/>
  <c r="P128" i="5"/>
  <c r="P114" i="5" s="1"/>
  <c r="CQ32" i="23"/>
  <c r="BY63" i="23"/>
  <c r="M49" i="27" s="1"/>
  <c r="BY59" i="23"/>
  <c r="M45" i="27" s="1"/>
  <c r="CQ23" i="23"/>
  <c r="R126" i="27" s="1"/>
  <c r="R112" i="27" s="1"/>
  <c r="BY60" i="23"/>
  <c r="M46" i="27" s="1"/>
  <c r="CQ24" i="23"/>
  <c r="CQ60" i="23" s="1"/>
  <c r="N46" i="27" s="1"/>
  <c r="CP59" i="23"/>
  <c r="CP48" i="23"/>
  <c r="CQ43" i="23"/>
  <c r="BY68" i="23"/>
  <c r="M54" i="27" s="1"/>
  <c r="BY67" i="23"/>
  <c r="M53" i="27" s="1"/>
  <c r="CQ46" i="23"/>
  <c r="CQ67" i="23" s="1"/>
  <c r="N53" i="27" s="1"/>
  <c r="O152" i="27"/>
  <c r="O9" i="27" s="1"/>
  <c r="N15" i="26"/>
  <c r="N11" i="26"/>
  <c r="N8" i="26"/>
  <c r="N12" i="26"/>
  <c r="N9" i="26"/>
  <c r="N13" i="26"/>
  <c r="N10" i="26"/>
  <c r="BY68" i="24"/>
  <c r="BY66" i="24"/>
  <c r="BY64" i="24"/>
  <c r="CP59" i="24"/>
  <c r="CP48" i="24"/>
  <c r="T101" i="24"/>
  <c r="BY60" i="24"/>
  <c r="O152" i="26"/>
  <c r="O14" i="26" s="1"/>
  <c r="BY65" i="24"/>
  <c r="BY59" i="24"/>
  <c r="BY48" i="24"/>
  <c r="R57" i="26" s="1"/>
  <c r="BY67" i="24"/>
  <c r="BY63" i="24"/>
  <c r="CP23" i="1"/>
  <c r="Q127" i="5" s="1"/>
  <c r="CP24" i="1"/>
  <c r="CP60" i="1" s="1"/>
  <c r="CP42" i="1"/>
  <c r="CP66" i="1" s="1"/>
  <c r="CP46" i="1"/>
  <c r="CP67" i="1" s="1"/>
  <c r="CO59" i="1"/>
  <c r="CO48" i="1"/>
  <c r="BX48" i="1"/>
  <c r="Q57" i="5" s="1"/>
  <c r="BX62" i="1"/>
  <c r="BX65" i="1"/>
  <c r="M16" i="27"/>
  <c r="M58" i="27" s="1"/>
  <c r="BY61" i="29"/>
  <c r="BY68" i="29"/>
  <c r="BY65" i="29"/>
  <c r="BY61" i="24"/>
  <c r="BY62" i="24"/>
  <c r="BY61" i="23"/>
  <c r="M47" i="27" s="1"/>
  <c r="BY62" i="23"/>
  <c r="M48" i="27" s="1"/>
  <c r="BX64" i="1"/>
  <c r="BX61" i="1"/>
  <c r="BX63" i="1"/>
  <c r="BX68" i="1"/>
  <c r="BZ58" i="29"/>
  <c r="N47" i="30"/>
  <c r="N54" i="30"/>
  <c r="N52" i="30"/>
  <c r="N53" i="30"/>
  <c r="N50" i="30"/>
  <c r="N46" i="30"/>
  <c r="BY64" i="29"/>
  <c r="BY62" i="29"/>
  <c r="BY63" i="29"/>
  <c r="AP35" i="24"/>
  <c r="CQ35" i="24" s="1"/>
  <c r="AP38" i="24"/>
  <c r="CQ38" i="24" s="1"/>
  <c r="AP40" i="24"/>
  <c r="CQ40" i="24" s="1"/>
  <c r="AP43" i="24"/>
  <c r="CQ43" i="24" s="1"/>
  <c r="AP46" i="24"/>
  <c r="CQ46" i="24" s="1"/>
  <c r="CQ67" i="24" s="1"/>
  <c r="AP25" i="24"/>
  <c r="CQ25" i="24" s="1"/>
  <c r="AP28" i="24"/>
  <c r="CQ28" i="24" s="1"/>
  <c r="AP33" i="24"/>
  <c r="CQ33" i="24" s="1"/>
  <c r="AP36" i="24"/>
  <c r="CQ36" i="24" s="1"/>
  <c r="AP39" i="24"/>
  <c r="CQ39" i="24" s="1"/>
  <c r="AP32" i="24"/>
  <c r="CQ32" i="24" s="1"/>
  <c r="AP41" i="24"/>
  <c r="CQ41" i="24" s="1"/>
  <c r="AP44" i="24"/>
  <c r="CQ44" i="24" s="1"/>
  <c r="AP26" i="24"/>
  <c r="CQ26" i="24" s="1"/>
  <c r="AP29" i="24"/>
  <c r="CQ29" i="24" s="1"/>
  <c r="AP23" i="24"/>
  <c r="CQ23" i="24" s="1"/>
  <c r="AP45" i="24"/>
  <c r="CQ45" i="24" s="1"/>
  <c r="AP34" i="24"/>
  <c r="CQ34" i="24" s="1"/>
  <c r="AP24" i="24"/>
  <c r="CQ24" i="24" s="1"/>
  <c r="CQ60" i="24" s="1"/>
  <c r="AP37" i="24"/>
  <c r="CQ37" i="24" s="1"/>
  <c r="AP42" i="24"/>
  <c r="CQ42" i="24" s="1"/>
  <c r="CQ66" i="24" s="1"/>
  <c r="AP27" i="24"/>
  <c r="CQ27" i="24" s="1"/>
  <c r="AQ21" i="1"/>
  <c r="AP33" i="1"/>
  <c r="AP36" i="1"/>
  <c r="AP39" i="1"/>
  <c r="AP32" i="1"/>
  <c r="AP41" i="1"/>
  <c r="AP44" i="1"/>
  <c r="AP26" i="1"/>
  <c r="AP29" i="1"/>
  <c r="AP27" i="1"/>
  <c r="AP34" i="1"/>
  <c r="AP37" i="1"/>
  <c r="AP23" i="1"/>
  <c r="AP42" i="1"/>
  <c r="AP45" i="1"/>
  <c r="AP24" i="1"/>
  <c r="AP46" i="1"/>
  <c r="AP38" i="1"/>
  <c r="AP43" i="1"/>
  <c r="AP28" i="1"/>
  <c r="AP35" i="1"/>
  <c r="AP25" i="1"/>
  <c r="AP40" i="1"/>
  <c r="AQ35" i="23"/>
  <c r="AQ38" i="23"/>
  <c r="AQ23" i="23"/>
  <c r="AQ42" i="23"/>
  <c r="AQ45" i="23"/>
  <c r="AQ24" i="23"/>
  <c r="AQ27" i="23"/>
  <c r="AQ33" i="23"/>
  <c r="AQ36" i="23"/>
  <c r="AQ39" i="23"/>
  <c r="AQ40" i="23"/>
  <c r="AQ43" i="23"/>
  <c r="AQ46" i="23"/>
  <c r="AQ25" i="23"/>
  <c r="AQ28" i="23"/>
  <c r="AQ34" i="23"/>
  <c r="AQ41" i="23"/>
  <c r="AQ26" i="23"/>
  <c r="AQ37" i="23"/>
  <c r="AQ32" i="23"/>
  <c r="AQ44" i="23"/>
  <c r="AQ29" i="23"/>
  <c r="AP42" i="29"/>
  <c r="AP35" i="29"/>
  <c r="AP38" i="29"/>
  <c r="AP40" i="29"/>
  <c r="AP43" i="29"/>
  <c r="AP41" i="29"/>
  <c r="AP23" i="29"/>
  <c r="AP34" i="29"/>
  <c r="AP37" i="29"/>
  <c r="AP45" i="29"/>
  <c r="AP24" i="29"/>
  <c r="AP27" i="29"/>
  <c r="AP46" i="29"/>
  <c r="AP25" i="29"/>
  <c r="AP28" i="29"/>
  <c r="AP32" i="29"/>
  <c r="AP29" i="29"/>
  <c r="AP33" i="29"/>
  <c r="AP36" i="29"/>
  <c r="AP39" i="29"/>
  <c r="AP26" i="29"/>
  <c r="AP44" i="29"/>
  <c r="Q41" i="26"/>
  <c r="Q100" i="26"/>
  <c r="Q41" i="30"/>
  <c r="Q100" i="30"/>
  <c r="R100" i="27"/>
  <c r="R41" i="27"/>
  <c r="Q133" i="5"/>
  <c r="Q140" i="5"/>
  <c r="Q141" i="5"/>
  <c r="Q147" i="5"/>
  <c r="Q144" i="5"/>
  <c r="Q120" i="5" s="1"/>
  <c r="CR21" i="1"/>
  <c r="CQ58" i="1"/>
  <c r="C72" i="3"/>
  <c r="B73" i="3"/>
  <c r="D73" i="3" s="1"/>
  <c r="AE72" i="3"/>
  <c r="AD72" i="3"/>
  <c r="AC72" i="3"/>
  <c r="BZ21" i="1"/>
  <c r="BY58" i="1"/>
  <c r="R125" i="5"/>
  <c r="R31" i="5" s="1"/>
  <c r="V21" i="1"/>
  <c r="T160" i="3"/>
  <c r="Q41" i="5"/>
  <c r="O116" i="26"/>
  <c r="Q18" i="27"/>
  <c r="Q56" i="27"/>
  <c r="V88" i="23"/>
  <c r="V86" i="23"/>
  <c r="V78" i="23"/>
  <c r="V90" i="23"/>
  <c r="V94" i="23"/>
  <c r="V92" i="23"/>
  <c r="V80" i="23"/>
  <c r="V96" i="23"/>
  <c r="V82" i="23"/>
  <c r="V100" i="23"/>
  <c r="V98" i="23"/>
  <c r="V87" i="23"/>
  <c r="V77" i="23"/>
  <c r="V91" i="23"/>
  <c r="V89" i="23"/>
  <c r="V79" i="23"/>
  <c r="V93" i="23"/>
  <c r="V81" i="23"/>
  <c r="V97" i="23"/>
  <c r="V95" i="23"/>
  <c r="V99" i="23"/>
  <c r="V83" i="23"/>
  <c r="U82" i="24"/>
  <c r="U95" i="24"/>
  <c r="U89" i="24"/>
  <c r="U99" i="24"/>
  <c r="U97" i="24"/>
  <c r="U93" i="24"/>
  <c r="U91" i="24"/>
  <c r="U87" i="24"/>
  <c r="U79" i="24"/>
  <c r="U77" i="24"/>
  <c r="U81" i="24"/>
  <c r="U83" i="24"/>
  <c r="U98" i="24"/>
  <c r="U92" i="24"/>
  <c r="U86" i="24"/>
  <c r="U78" i="24"/>
  <c r="U80" i="24"/>
  <c r="U100" i="24"/>
  <c r="U96" i="24"/>
  <c r="U94" i="24"/>
  <c r="U90" i="24"/>
  <c r="U88" i="24"/>
  <c r="U94" i="29"/>
  <c r="U92" i="29"/>
  <c r="U81" i="29"/>
  <c r="U90" i="29"/>
  <c r="U88" i="29"/>
  <c r="U86" i="29"/>
  <c r="U83" i="29"/>
  <c r="U47" i="29"/>
  <c r="U101" i="29" s="1"/>
  <c r="U78" i="29"/>
  <c r="U99" i="29"/>
  <c r="U97" i="29"/>
  <c r="U95" i="29"/>
  <c r="U93" i="29"/>
  <c r="U80" i="29"/>
  <c r="U91" i="29"/>
  <c r="U89" i="29"/>
  <c r="U82" i="29"/>
  <c r="U87" i="29"/>
  <c r="U100" i="29"/>
  <c r="U79" i="29"/>
  <c r="U77" i="29"/>
  <c r="U98" i="29"/>
  <c r="U96" i="29"/>
  <c r="T101" i="1"/>
  <c r="F71" i="3"/>
  <c r="BZ9" i="29"/>
  <c r="BZ10" i="29" s="1"/>
  <c r="E72" i="3"/>
  <c r="BZ9" i="24"/>
  <c r="BZ10" i="24" s="1"/>
  <c r="AG51" i="41"/>
  <c r="AG58" i="41"/>
  <c r="AG54" i="41"/>
  <c r="AG59" i="41"/>
  <c r="AG55" i="41"/>
  <c r="AG57" i="41"/>
  <c r="AG53" i="41"/>
  <c r="AG56" i="41"/>
  <c r="AG52" i="41"/>
  <c r="BZ9" i="23"/>
  <c r="BZ10" i="23" s="1"/>
  <c r="EB21" i="1"/>
  <c r="P115" i="27"/>
  <c r="P151" i="27"/>
  <c r="P112" i="27"/>
  <c r="P125" i="27"/>
  <c r="P111" i="27" s="1"/>
  <c r="BY9" i="1"/>
  <c r="BY10" i="1" s="1"/>
  <c r="Q129" i="27"/>
  <c r="Q127" i="27"/>
  <c r="Q113" i="27" s="1"/>
  <c r="Q126" i="27"/>
  <c r="Q112" i="27" s="1"/>
  <c r="Q132" i="27"/>
  <c r="Q115" i="27" s="1"/>
  <c r="Q128" i="27"/>
  <c r="I27" i="35"/>
  <c r="AA27" i="35" s="1"/>
  <c r="H27" i="35"/>
  <c r="Z27" i="35" s="1"/>
  <c r="M27" i="35"/>
  <c r="AE27" i="35" s="1"/>
  <c r="L27" i="35"/>
  <c r="AD27" i="35" s="1"/>
  <c r="AE26" i="35"/>
  <c r="AG44" i="41"/>
  <c r="P134" i="26"/>
  <c r="P125" i="30"/>
  <c r="P110" i="30" s="1"/>
  <c r="P151" i="30"/>
  <c r="P125" i="26"/>
  <c r="P111" i="26" s="1"/>
  <c r="P151" i="26"/>
  <c r="U26" i="35"/>
  <c r="P114" i="26"/>
  <c r="D68" i="3"/>
  <c r="D72" i="3"/>
  <c r="D70" i="3"/>
  <c r="F65" i="3"/>
  <c r="F68" i="3"/>
  <c r="F72" i="3"/>
  <c r="F70" i="3"/>
  <c r="D71" i="3"/>
  <c r="D69" i="3"/>
  <c r="F69" i="3"/>
  <c r="AF27" i="35"/>
  <c r="C27" i="35" s="1"/>
  <c r="U27" i="35" s="1"/>
  <c r="B28" i="35"/>
  <c r="T27" i="35"/>
  <c r="G27" i="35"/>
  <c r="Y27" i="35" s="1"/>
  <c r="F27" i="35"/>
  <c r="X27" i="35" s="1"/>
  <c r="E68" i="3"/>
  <c r="E70" i="3"/>
  <c r="E71" i="3"/>
  <c r="E69" i="3"/>
  <c r="P115" i="26"/>
  <c r="P119" i="5"/>
  <c r="P117" i="26"/>
  <c r="Q118" i="27"/>
  <c r="F67" i="3"/>
  <c r="R124" i="30"/>
  <c r="R31" i="30" s="1"/>
  <c r="U177" i="29"/>
  <c r="V21" i="29"/>
  <c r="CR30" i="29"/>
  <c r="P18" i="26"/>
  <c r="P118" i="26"/>
  <c r="AQ21" i="29"/>
  <c r="R129" i="27"/>
  <c r="R132" i="27"/>
  <c r="CR9" i="24"/>
  <c r="CR10" i="24" s="1"/>
  <c r="V11" i="24"/>
  <c r="E61" i="3"/>
  <c r="E60" i="3"/>
  <c r="E59" i="3"/>
  <c r="E62" i="3"/>
  <c r="E66" i="3"/>
  <c r="E64" i="3"/>
  <c r="E63" i="3"/>
  <c r="E65" i="3"/>
  <c r="E67" i="3"/>
  <c r="P101" i="5"/>
  <c r="P118" i="5"/>
  <c r="R148" i="27"/>
  <c r="R136" i="27"/>
  <c r="R147" i="27"/>
  <c r="R137" i="27"/>
  <c r="R144" i="27"/>
  <c r="Q111" i="5"/>
  <c r="Q6" i="5"/>
  <c r="Q56" i="5" s="1"/>
  <c r="Q130" i="30"/>
  <c r="Q127" i="30"/>
  <c r="Q112" i="30" s="1"/>
  <c r="Q109" i="30"/>
  <c r="Q132" i="30"/>
  <c r="Q129" i="30"/>
  <c r="Q126" i="30"/>
  <c r="Q111" i="30" s="1"/>
  <c r="Q131" i="30"/>
  <c r="Q128" i="30"/>
  <c r="Q6" i="30"/>
  <c r="Q56" i="30" s="1"/>
  <c r="CR9" i="23"/>
  <c r="CR10" i="23" s="1"/>
  <c r="V11" i="23"/>
  <c r="D63" i="3"/>
  <c r="D61" i="3"/>
  <c r="D60" i="3"/>
  <c r="D59" i="3"/>
  <c r="D62" i="3"/>
  <c r="D64" i="3"/>
  <c r="D67" i="3"/>
  <c r="D65" i="3"/>
  <c r="D66" i="3"/>
  <c r="Q145" i="26"/>
  <c r="Q136" i="26"/>
  <c r="Q132" i="26"/>
  <c r="Q129" i="26"/>
  <c r="Q126" i="26"/>
  <c r="Q112" i="26" s="1"/>
  <c r="Q148" i="26"/>
  <c r="Q142" i="26"/>
  <c r="Q139" i="26"/>
  <c r="Q135" i="26"/>
  <c r="Q131" i="26"/>
  <c r="Q128" i="26"/>
  <c r="Q147" i="26"/>
  <c r="Q144" i="26"/>
  <c r="Q141" i="26"/>
  <c r="Q138" i="26"/>
  <c r="Q130" i="26"/>
  <c r="Q149" i="26"/>
  <c r="Q146" i="26"/>
  <c r="Q143" i="26"/>
  <c r="Q119" i="26" s="1"/>
  <c r="Q140" i="26"/>
  <c r="Q137" i="26"/>
  <c r="Q127" i="26"/>
  <c r="Q113" i="26" s="1"/>
  <c r="Q6" i="26"/>
  <c r="Q56" i="26" s="1"/>
  <c r="Q110" i="26"/>
  <c r="CR9" i="29"/>
  <c r="CR10" i="29" s="1"/>
  <c r="V11" i="29"/>
  <c r="F61" i="3"/>
  <c r="F59" i="3"/>
  <c r="F60" i="3"/>
  <c r="C14" i="29"/>
  <c r="F62" i="3"/>
  <c r="F63" i="3"/>
  <c r="F64" i="3"/>
  <c r="F66" i="3"/>
  <c r="R110" i="27"/>
  <c r="R6" i="27"/>
  <c r="P18" i="30"/>
  <c r="P116" i="30"/>
  <c r="P18" i="5"/>
  <c r="BY31" i="1"/>
  <c r="U99" i="1"/>
  <c r="U95" i="1"/>
  <c r="U91" i="1"/>
  <c r="U87" i="1"/>
  <c r="U81" i="1"/>
  <c r="U77" i="1"/>
  <c r="U98" i="1"/>
  <c r="U94" i="1"/>
  <c r="U90" i="1"/>
  <c r="U86" i="1"/>
  <c r="U80" i="1"/>
  <c r="U100" i="1"/>
  <c r="U92" i="1"/>
  <c r="U82" i="1"/>
  <c r="U97" i="1"/>
  <c r="U93" i="1"/>
  <c r="U89" i="1"/>
  <c r="U83" i="1"/>
  <c r="U79" i="1"/>
  <c r="U177" i="1"/>
  <c r="U96" i="1"/>
  <c r="U88" i="1"/>
  <c r="U78" i="1"/>
  <c r="U47" i="1"/>
  <c r="BZ31" i="29"/>
  <c r="AB24" i="3"/>
  <c r="S124" i="27"/>
  <c r="S31" i="27" s="1"/>
  <c r="V177" i="23"/>
  <c r="V47" i="23"/>
  <c r="V101" i="23" s="1"/>
  <c r="CQ9" i="1"/>
  <c r="CQ10" i="1" s="1"/>
  <c r="U11" i="1"/>
  <c r="U159" i="3"/>
  <c r="E187" i="3"/>
  <c r="AQ21" i="24"/>
  <c r="R124" i="26"/>
  <c r="R31" i="26" s="1"/>
  <c r="U177" i="24"/>
  <c r="U47" i="24"/>
  <c r="U101" i="24" s="1"/>
  <c r="V21" i="24"/>
  <c r="P117" i="30"/>
  <c r="P114" i="30"/>
  <c r="P113" i="30"/>
  <c r="V75" i="58" a="1"/>
  <c r="CP65" i="1" l="1"/>
  <c r="Q145" i="5"/>
  <c r="CP61" i="1"/>
  <c r="N47" i="27"/>
  <c r="CP63" i="1"/>
  <c r="P135" i="5"/>
  <c r="P117" i="5" s="1"/>
  <c r="AI46" i="41"/>
  <c r="F21" i="52"/>
  <c r="E28" i="35"/>
  <c r="W28" i="35" s="1"/>
  <c r="D28" i="35"/>
  <c r="V28" i="35" s="1"/>
  <c r="V75" i="58"/>
  <c r="S125" i="5"/>
  <c r="V191" i="1"/>
  <c r="V221" i="1" s="1"/>
  <c r="CP62" i="1"/>
  <c r="CP68" i="1"/>
  <c r="G30" i="52"/>
  <c r="E32" i="52"/>
  <c r="F37" i="52"/>
  <c r="R138" i="30"/>
  <c r="R147" i="30"/>
  <c r="R137" i="30"/>
  <c r="R141" i="30"/>
  <c r="R139" i="30"/>
  <c r="R143" i="30"/>
  <c r="R118" i="30" s="1"/>
  <c r="R146" i="30"/>
  <c r="R136" i="30"/>
  <c r="R140" i="30"/>
  <c r="R144" i="30"/>
  <c r="R142" i="30"/>
  <c r="R135" i="30"/>
  <c r="R148" i="30"/>
  <c r="CQ65" i="23"/>
  <c r="N51" i="27" s="1"/>
  <c r="CQ61" i="29"/>
  <c r="CP64" i="1"/>
  <c r="CQ67" i="29"/>
  <c r="R149" i="30"/>
  <c r="CQ66" i="29"/>
  <c r="R145" i="30"/>
  <c r="N16" i="30"/>
  <c r="N58" i="30" s="1"/>
  <c r="CQ68" i="23"/>
  <c r="N54" i="27" s="1"/>
  <c r="Q137" i="5"/>
  <c r="Q118" i="5" s="1"/>
  <c r="O8" i="26"/>
  <c r="CQ63" i="23"/>
  <c r="N49" i="27" s="1"/>
  <c r="CQ65" i="24"/>
  <c r="O11" i="26"/>
  <c r="CQ64" i="23"/>
  <c r="N50" i="27" s="1"/>
  <c r="CQ63" i="24"/>
  <c r="CQ62" i="24"/>
  <c r="CQ64" i="24"/>
  <c r="CQ61" i="24"/>
  <c r="CQ68" i="24"/>
  <c r="N16" i="27"/>
  <c r="N58" i="27" s="1"/>
  <c r="N16" i="26"/>
  <c r="N58" i="26" s="1"/>
  <c r="O8" i="27"/>
  <c r="O10" i="27"/>
  <c r="O13" i="27"/>
  <c r="O15" i="27"/>
  <c r="O12" i="27"/>
  <c r="O11" i="30"/>
  <c r="O7" i="30"/>
  <c r="O9" i="30"/>
  <c r="O13" i="30"/>
  <c r="O8" i="30"/>
  <c r="O12" i="30"/>
  <c r="O10" i="30"/>
  <c r="O14" i="30"/>
  <c r="CQ65" i="29"/>
  <c r="CQ63" i="29"/>
  <c r="CQ64" i="29"/>
  <c r="Q134" i="27"/>
  <c r="Q116" i="27" s="1"/>
  <c r="R140" i="27"/>
  <c r="R118" i="27" s="1"/>
  <c r="S162" i="3" s="1"/>
  <c r="R143" i="27"/>
  <c r="R119" i="27" s="1"/>
  <c r="O14" i="27"/>
  <c r="O11" i="27"/>
  <c r="CQ62" i="29"/>
  <c r="R146" i="27"/>
  <c r="R145" i="27"/>
  <c r="CQ68" i="29"/>
  <c r="Q128" i="5"/>
  <c r="P152" i="30"/>
  <c r="P7" i="30" s="1"/>
  <c r="CQ59" i="29"/>
  <c r="CQ48" i="29"/>
  <c r="Q134" i="30"/>
  <c r="Q115" i="30" s="1"/>
  <c r="O12" i="26"/>
  <c r="R149" i="27"/>
  <c r="O9" i="26"/>
  <c r="O13" i="26"/>
  <c r="O7" i="26"/>
  <c r="Q150" i="5"/>
  <c r="O15" i="26"/>
  <c r="CQ59" i="23"/>
  <c r="N45" i="27" s="1"/>
  <c r="CQ48" i="23"/>
  <c r="O10" i="26"/>
  <c r="Q146" i="5"/>
  <c r="R135" i="27"/>
  <c r="P152" i="27"/>
  <c r="P13" i="27" s="1"/>
  <c r="BZ32" i="23"/>
  <c r="BZ37" i="23"/>
  <c r="BZ38" i="23"/>
  <c r="CR38" i="23" s="1"/>
  <c r="S141" i="27" s="1"/>
  <c r="BZ42" i="23"/>
  <c r="BZ35" i="23"/>
  <c r="CR35" i="23" s="1"/>
  <c r="BZ39" i="23"/>
  <c r="CR39" i="23" s="1"/>
  <c r="S142" i="27" s="1"/>
  <c r="BZ46" i="23"/>
  <c r="BZ44" i="23"/>
  <c r="CR44" i="23" s="1"/>
  <c r="S147" i="27" s="1"/>
  <c r="BZ34" i="23"/>
  <c r="CR34" i="23" s="1"/>
  <c r="S137" i="27" s="1"/>
  <c r="BZ40" i="23"/>
  <c r="BZ33" i="23"/>
  <c r="CR33" i="23" s="1"/>
  <c r="S136" i="27" s="1"/>
  <c r="BZ43" i="23"/>
  <c r="BZ41" i="23"/>
  <c r="CR41" i="23" s="1"/>
  <c r="BZ45" i="23"/>
  <c r="CR45" i="23" s="1"/>
  <c r="S148" i="27" s="1"/>
  <c r="BZ36" i="23"/>
  <c r="CR36" i="23" s="1"/>
  <c r="S139" i="27" s="1"/>
  <c r="O7" i="27"/>
  <c r="P152" i="26"/>
  <c r="P14" i="26" s="1"/>
  <c r="CQ59" i="24"/>
  <c r="CQ48" i="24"/>
  <c r="BZ46" i="24"/>
  <c r="BZ35" i="24"/>
  <c r="BZ33" i="24"/>
  <c r="BZ37" i="24"/>
  <c r="BZ45" i="24"/>
  <c r="BZ38" i="24"/>
  <c r="BZ41" i="24"/>
  <c r="BZ42" i="24"/>
  <c r="BZ44" i="24"/>
  <c r="BZ43" i="24"/>
  <c r="BZ40" i="24"/>
  <c r="BZ34" i="24"/>
  <c r="BZ32" i="24"/>
  <c r="BZ39" i="24"/>
  <c r="BZ36" i="24"/>
  <c r="CP59" i="1"/>
  <c r="CP48" i="1"/>
  <c r="G33" i="52"/>
  <c r="E36" i="52"/>
  <c r="F13" i="52"/>
  <c r="E15" i="52"/>
  <c r="E35" i="52"/>
  <c r="F33" i="52"/>
  <c r="G18" i="52"/>
  <c r="E37" i="52"/>
  <c r="F30" i="52"/>
  <c r="E31" i="52"/>
  <c r="G34" i="52"/>
  <c r="E34" i="52"/>
  <c r="E29" i="52"/>
  <c r="F20" i="52"/>
  <c r="G32" i="52"/>
  <c r="F32" i="52"/>
  <c r="F16" i="52"/>
  <c r="E13" i="52"/>
  <c r="E19" i="52"/>
  <c r="E17" i="52"/>
  <c r="E18" i="52"/>
  <c r="G13" i="52"/>
  <c r="G37" i="52"/>
  <c r="F15" i="52"/>
  <c r="E16" i="52"/>
  <c r="G36" i="52"/>
  <c r="G31" i="52"/>
  <c r="F17" i="52"/>
  <c r="G35" i="52"/>
  <c r="F19" i="52"/>
  <c r="G29" i="52"/>
  <c r="F36" i="52"/>
  <c r="F14" i="52"/>
  <c r="F29" i="52"/>
  <c r="G20" i="52"/>
  <c r="E14" i="52"/>
  <c r="E21" i="52"/>
  <c r="E30" i="52"/>
  <c r="G14" i="52"/>
  <c r="F31" i="52"/>
  <c r="E20" i="52"/>
  <c r="E33" i="52"/>
  <c r="G16" i="52"/>
  <c r="F35" i="52"/>
  <c r="F18" i="52"/>
  <c r="F34" i="52"/>
  <c r="G19" i="52"/>
  <c r="G17" i="52"/>
  <c r="G15" i="52"/>
  <c r="G21" i="52"/>
  <c r="M49" i="30"/>
  <c r="M52" i="30"/>
  <c r="M45" i="30"/>
  <c r="M47" i="30"/>
  <c r="M54" i="30"/>
  <c r="M48" i="30"/>
  <c r="M46" i="30"/>
  <c r="M51" i="30"/>
  <c r="M53" i="30"/>
  <c r="M50" i="30"/>
  <c r="AQ40" i="1"/>
  <c r="AQ43" i="1"/>
  <c r="AQ46" i="1"/>
  <c r="AQ25" i="1"/>
  <c r="AQ28" i="1"/>
  <c r="AQ32" i="1"/>
  <c r="AQ33" i="1"/>
  <c r="AQ36" i="1"/>
  <c r="AQ39" i="1"/>
  <c r="AQ41" i="1"/>
  <c r="AQ44" i="1"/>
  <c r="AQ26" i="1"/>
  <c r="AQ29" i="1"/>
  <c r="AQ34" i="1"/>
  <c r="AQ37" i="1"/>
  <c r="AQ23" i="1"/>
  <c r="AQ42" i="1"/>
  <c r="AQ45" i="1"/>
  <c r="AQ24" i="1"/>
  <c r="AQ27" i="1"/>
  <c r="AQ38" i="1"/>
  <c r="AQ35" i="1"/>
  <c r="AQ34" i="29"/>
  <c r="AQ37" i="29"/>
  <c r="AQ35" i="29"/>
  <c r="AQ38" i="29"/>
  <c r="AQ40" i="29"/>
  <c r="AQ43" i="29"/>
  <c r="AQ33" i="29"/>
  <c r="AQ36" i="29"/>
  <c r="AQ39" i="29"/>
  <c r="AQ41" i="29"/>
  <c r="AQ44" i="29"/>
  <c r="AQ23" i="29"/>
  <c r="AQ45" i="29"/>
  <c r="AQ24" i="29"/>
  <c r="AQ27" i="29"/>
  <c r="AQ46" i="29"/>
  <c r="AQ25" i="29"/>
  <c r="AQ28" i="29"/>
  <c r="AQ42" i="29"/>
  <c r="AQ29" i="29"/>
  <c r="AQ32" i="29"/>
  <c r="AQ26" i="29"/>
  <c r="AQ42" i="24"/>
  <c r="AQ45" i="24"/>
  <c r="AQ24" i="24"/>
  <c r="AQ27" i="24"/>
  <c r="AQ35" i="24"/>
  <c r="AQ38" i="24"/>
  <c r="AQ40" i="24"/>
  <c r="AQ43" i="24"/>
  <c r="AQ46" i="24"/>
  <c r="AQ25" i="24"/>
  <c r="AQ28" i="24"/>
  <c r="AQ33" i="24"/>
  <c r="AQ36" i="24"/>
  <c r="AQ39" i="24"/>
  <c r="AQ23" i="24"/>
  <c r="AQ41" i="24"/>
  <c r="AQ26" i="24"/>
  <c r="AQ34" i="24"/>
  <c r="AQ32" i="24"/>
  <c r="AQ44" i="24"/>
  <c r="AQ29" i="24"/>
  <c r="AQ37" i="24"/>
  <c r="E73" i="3"/>
  <c r="F73" i="3"/>
  <c r="R100" i="26"/>
  <c r="R41" i="26"/>
  <c r="R100" i="30"/>
  <c r="R41" i="30"/>
  <c r="S100" i="27"/>
  <c r="S41" i="27"/>
  <c r="C73" i="3"/>
  <c r="B74" i="3"/>
  <c r="AE73" i="3"/>
  <c r="AD73" i="3"/>
  <c r="AC73" i="3"/>
  <c r="U160" i="3"/>
  <c r="U161" i="3"/>
  <c r="BZ58" i="1"/>
  <c r="CR58" i="1"/>
  <c r="R41" i="5"/>
  <c r="P116" i="26"/>
  <c r="R18" i="27"/>
  <c r="R56" i="27"/>
  <c r="AB83" i="23"/>
  <c r="AC83" i="23"/>
  <c r="AB98" i="23"/>
  <c r="AC98" i="23"/>
  <c r="AB99" i="23"/>
  <c r="AC99" i="23"/>
  <c r="AC100" i="23"/>
  <c r="G161" i="23" s="1"/>
  <c r="AB100" i="23"/>
  <c r="G160" i="23" s="1"/>
  <c r="AB95" i="23"/>
  <c r="AC95" i="23"/>
  <c r="AC82" i="23"/>
  <c r="AB82" i="23"/>
  <c r="AC97" i="23"/>
  <c r="AB97" i="23"/>
  <c r="AB96" i="23"/>
  <c r="AC96" i="23"/>
  <c r="AB81" i="23"/>
  <c r="AC81" i="23"/>
  <c r="AC80" i="23"/>
  <c r="AB80" i="23"/>
  <c r="AB93" i="23"/>
  <c r="AC93" i="23"/>
  <c r="AC92" i="23"/>
  <c r="AB92" i="23"/>
  <c r="AC79" i="23"/>
  <c r="AB79" i="23"/>
  <c r="AC94" i="23"/>
  <c r="AB94" i="23"/>
  <c r="AB89" i="23"/>
  <c r="AC89" i="23"/>
  <c r="AB90" i="23"/>
  <c r="AC90" i="23"/>
  <c r="AB91" i="23"/>
  <c r="AC91" i="23"/>
  <c r="AB78" i="23"/>
  <c r="AC78" i="23"/>
  <c r="AB77" i="23"/>
  <c r="AC77" i="23"/>
  <c r="AB86" i="23"/>
  <c r="AC86" i="23"/>
  <c r="AB87" i="23"/>
  <c r="AC87" i="23"/>
  <c r="AC88" i="23"/>
  <c r="AB88" i="23"/>
  <c r="AC101" i="23"/>
  <c r="M161" i="23" s="1"/>
  <c r="AB101" i="23"/>
  <c r="M160" i="23" s="1"/>
  <c r="AB74" i="23"/>
  <c r="AE101" i="23"/>
  <c r="AF101" i="23" s="1"/>
  <c r="AD101" i="23"/>
  <c r="AC74" i="23"/>
  <c r="V82" i="24"/>
  <c r="V95" i="24"/>
  <c r="V89" i="24"/>
  <c r="V99" i="24"/>
  <c r="V97" i="24"/>
  <c r="V93" i="24"/>
  <c r="V91" i="24"/>
  <c r="V87" i="24"/>
  <c r="V79" i="24"/>
  <c r="V77" i="24"/>
  <c r="V81" i="24"/>
  <c r="V83" i="24"/>
  <c r="V98" i="24"/>
  <c r="V92" i="24"/>
  <c r="V86" i="24"/>
  <c r="V78" i="24"/>
  <c r="V100" i="24"/>
  <c r="V96" i="24"/>
  <c r="V94" i="24"/>
  <c r="V90" i="24"/>
  <c r="V88" i="24"/>
  <c r="V80" i="24"/>
  <c r="V90" i="29"/>
  <c r="V88" i="29"/>
  <c r="V86" i="29"/>
  <c r="V83" i="29"/>
  <c r="V78" i="29"/>
  <c r="V99" i="29"/>
  <c r="V97" i="29"/>
  <c r="V95" i="29"/>
  <c r="V47" i="29"/>
  <c r="V93" i="29"/>
  <c r="V80" i="29"/>
  <c r="V91" i="29"/>
  <c r="V89" i="29"/>
  <c r="V82" i="29"/>
  <c r="V87" i="29"/>
  <c r="V101" i="29"/>
  <c r="V94" i="29"/>
  <c r="V77" i="29"/>
  <c r="V92" i="29"/>
  <c r="V100" i="29"/>
  <c r="V98" i="29"/>
  <c r="V96" i="29"/>
  <c r="V79" i="29"/>
  <c r="V81" i="29"/>
  <c r="U101" i="1"/>
  <c r="BZ32" i="29"/>
  <c r="CR32" i="29" s="1"/>
  <c r="BZ35" i="29"/>
  <c r="CR35" i="29" s="1"/>
  <c r="BZ38" i="29"/>
  <c r="CR38" i="29" s="1"/>
  <c r="BZ41" i="29"/>
  <c r="CR41" i="29" s="1"/>
  <c r="BZ44" i="29"/>
  <c r="CR44" i="29" s="1"/>
  <c r="BZ26" i="29"/>
  <c r="CR26" i="29" s="1"/>
  <c r="BZ29" i="29"/>
  <c r="CR29" i="29" s="1"/>
  <c r="BZ23" i="29"/>
  <c r="CR23" i="29" s="1"/>
  <c r="CR59" i="29" s="1"/>
  <c r="BZ33" i="29"/>
  <c r="CR33" i="29" s="1"/>
  <c r="BZ36" i="29"/>
  <c r="CR36" i="29" s="1"/>
  <c r="BZ39" i="29"/>
  <c r="CR39" i="29" s="1"/>
  <c r="BZ42" i="29"/>
  <c r="BZ66" i="29" s="1"/>
  <c r="BZ45" i="29"/>
  <c r="CR45" i="29" s="1"/>
  <c r="BZ24" i="29"/>
  <c r="BZ60" i="29" s="1"/>
  <c r="BZ27" i="29"/>
  <c r="CR27" i="29" s="1"/>
  <c r="BZ34" i="29"/>
  <c r="CR34" i="29" s="1"/>
  <c r="BZ37" i="29"/>
  <c r="CR37" i="29" s="1"/>
  <c r="BZ40" i="29"/>
  <c r="CR40" i="29" s="1"/>
  <c r="BZ43" i="29"/>
  <c r="CR43" i="29" s="1"/>
  <c r="BZ46" i="29"/>
  <c r="BZ67" i="29" s="1"/>
  <c r="BZ25" i="29"/>
  <c r="CR25" i="29" s="1"/>
  <c r="BZ28" i="29"/>
  <c r="CR28" i="29" s="1"/>
  <c r="BZ23" i="24"/>
  <c r="BZ26" i="24"/>
  <c r="CR26" i="24" s="1"/>
  <c r="BZ24" i="24"/>
  <c r="BZ29" i="24"/>
  <c r="CR29" i="24" s="1"/>
  <c r="BZ28" i="24"/>
  <c r="BZ27" i="24"/>
  <c r="BZ25" i="24"/>
  <c r="CR25" i="24" s="1"/>
  <c r="BZ23" i="23"/>
  <c r="BZ29" i="23"/>
  <c r="CR29" i="23" s="1"/>
  <c r="S132" i="27" s="1"/>
  <c r="BZ28" i="23"/>
  <c r="CR28" i="23" s="1"/>
  <c r="S131" i="27" s="1"/>
  <c r="BZ25" i="23"/>
  <c r="CR25" i="23" s="1"/>
  <c r="BZ27" i="23"/>
  <c r="CR27" i="23" s="1"/>
  <c r="BZ26" i="23"/>
  <c r="CR26" i="23" s="1"/>
  <c r="S129" i="27" s="1"/>
  <c r="BZ24" i="23"/>
  <c r="EC21" i="1"/>
  <c r="BY34" i="1"/>
  <c r="CQ34" i="1" s="1"/>
  <c r="R138" i="5" s="1"/>
  <c r="BY27" i="1"/>
  <c r="CQ27" i="1" s="1"/>
  <c r="R131" i="5" s="1"/>
  <c r="BY28" i="1"/>
  <c r="CQ28" i="1" s="1"/>
  <c r="R132" i="5" s="1"/>
  <c r="BY29" i="1"/>
  <c r="CQ29" i="1" s="1"/>
  <c r="R133" i="5" s="1"/>
  <c r="BY26" i="1"/>
  <c r="CQ26" i="1" s="1"/>
  <c r="R130" i="5" s="1"/>
  <c r="BY25" i="1"/>
  <c r="CQ25" i="1" s="1"/>
  <c r="R129" i="5" s="1"/>
  <c r="BY23" i="1"/>
  <c r="BY24" i="1"/>
  <c r="Q114" i="27"/>
  <c r="Q125" i="27"/>
  <c r="Q111" i="27" s="1"/>
  <c r="Q151" i="27"/>
  <c r="BY42" i="1"/>
  <c r="BY39" i="1"/>
  <c r="CQ39" i="1" s="1"/>
  <c r="R143" i="5" s="1"/>
  <c r="BY36" i="1"/>
  <c r="CQ36" i="1" s="1"/>
  <c r="R140" i="5" s="1"/>
  <c r="BY33" i="1"/>
  <c r="CQ33" i="1" s="1"/>
  <c r="R137" i="5" s="1"/>
  <c r="BY44" i="1"/>
  <c r="CQ44" i="1" s="1"/>
  <c r="R148" i="5" s="1"/>
  <c r="BY38" i="1"/>
  <c r="CQ38" i="1" s="1"/>
  <c r="R142" i="5" s="1"/>
  <c r="BY35" i="1"/>
  <c r="CQ35" i="1" s="1"/>
  <c r="R139" i="5" s="1"/>
  <c r="BY41" i="1"/>
  <c r="CQ41" i="1" s="1"/>
  <c r="R145" i="5" s="1"/>
  <c r="BY32" i="1"/>
  <c r="CQ32" i="1" s="1"/>
  <c r="R136" i="5" s="1"/>
  <c r="BY46" i="1"/>
  <c r="BY40" i="1"/>
  <c r="CQ40" i="1" s="1"/>
  <c r="R144" i="5" s="1"/>
  <c r="R120" i="5" s="1"/>
  <c r="BY43" i="1"/>
  <c r="CQ43" i="1" s="1"/>
  <c r="BY37" i="1"/>
  <c r="CQ37" i="1" s="1"/>
  <c r="BY45" i="1"/>
  <c r="CQ45" i="1" s="1"/>
  <c r="R149" i="5" s="1"/>
  <c r="BZ9" i="1"/>
  <c r="BZ10" i="1" s="1"/>
  <c r="BZ33" i="1" s="1"/>
  <c r="R131" i="27"/>
  <c r="R130" i="27"/>
  <c r="R128" i="27"/>
  <c r="R114" i="27" s="1"/>
  <c r="R127" i="27"/>
  <c r="Q25" i="3"/>
  <c r="AF25" i="3" s="1"/>
  <c r="H28" i="35"/>
  <c r="Z28" i="35" s="1"/>
  <c r="I28" i="35"/>
  <c r="AA28" i="35" s="1"/>
  <c r="L28" i="35"/>
  <c r="AD28" i="35" s="1"/>
  <c r="M28" i="35"/>
  <c r="Q125" i="26"/>
  <c r="Q111" i="26" s="1"/>
  <c r="Q134" i="26"/>
  <c r="Q151" i="30"/>
  <c r="Q125" i="30"/>
  <c r="Q110" i="30" s="1"/>
  <c r="P8" i="26"/>
  <c r="Q151" i="26"/>
  <c r="Q114" i="26"/>
  <c r="AF28" i="35"/>
  <c r="T28" i="35"/>
  <c r="C28" i="35"/>
  <c r="F28" i="35"/>
  <c r="X28" i="35" s="1"/>
  <c r="G28" i="35"/>
  <c r="Y28" i="35" s="1"/>
  <c r="Q117" i="30"/>
  <c r="F112" i="3"/>
  <c r="F117" i="3"/>
  <c r="F118" i="3"/>
  <c r="Q115" i="26"/>
  <c r="Q113" i="30"/>
  <c r="Q118" i="26"/>
  <c r="Q119" i="5"/>
  <c r="S124" i="26"/>
  <c r="S31" i="26" s="1"/>
  <c r="V177" i="24"/>
  <c r="V47" i="24"/>
  <c r="V101" i="24" s="1"/>
  <c r="AB25" i="3"/>
  <c r="N25" i="3"/>
  <c r="AC25" i="3" s="1"/>
  <c r="R25" i="3"/>
  <c r="AG25" i="3" s="1"/>
  <c r="P25" i="3"/>
  <c r="AE25" i="3" s="1"/>
  <c r="O25" i="3"/>
  <c r="AD25" i="3" s="1"/>
  <c r="R111" i="5"/>
  <c r="R6" i="5"/>
  <c r="R56" i="5" s="1"/>
  <c r="AA11" i="29"/>
  <c r="AA10" i="29"/>
  <c r="Q114" i="30"/>
  <c r="S124" i="30"/>
  <c r="S31" i="30" s="1"/>
  <c r="V177" i="29"/>
  <c r="R148" i="26"/>
  <c r="R142" i="26"/>
  <c r="R139" i="26"/>
  <c r="R135" i="26"/>
  <c r="R131" i="26"/>
  <c r="R128" i="26"/>
  <c r="R147" i="26"/>
  <c r="R144" i="26"/>
  <c r="R141" i="26"/>
  <c r="R138" i="26"/>
  <c r="R130" i="26"/>
  <c r="R149" i="26"/>
  <c r="R146" i="26"/>
  <c r="R143" i="26"/>
  <c r="R119" i="26" s="1"/>
  <c r="R140" i="26"/>
  <c r="R137" i="26"/>
  <c r="R127" i="26"/>
  <c r="R113" i="26" s="1"/>
  <c r="R110" i="26"/>
  <c r="R145" i="26"/>
  <c r="R136" i="26"/>
  <c r="R132" i="26"/>
  <c r="R129" i="26"/>
  <c r="R126" i="26"/>
  <c r="R112" i="26" s="1"/>
  <c r="R6" i="26"/>
  <c r="R56" i="26" s="1"/>
  <c r="V11" i="1"/>
  <c r="CR9" i="1"/>
  <c r="CR10" i="1" s="1"/>
  <c r="C14" i="1"/>
  <c r="S144" i="27"/>
  <c r="S138" i="27"/>
  <c r="AA11" i="24"/>
  <c r="AA10" i="24"/>
  <c r="S31" i="5"/>
  <c r="V98" i="1"/>
  <c r="V94" i="1"/>
  <c r="V90" i="1"/>
  <c r="V86" i="1"/>
  <c r="V80" i="1"/>
  <c r="V97" i="1"/>
  <c r="V93" i="1"/>
  <c r="V89" i="1"/>
  <c r="V83" i="1"/>
  <c r="V79" i="1"/>
  <c r="V99" i="1"/>
  <c r="V177" i="1"/>
  <c r="V100" i="1"/>
  <c r="V96" i="1"/>
  <c r="V92" i="1"/>
  <c r="V88" i="1"/>
  <c r="V82" i="1"/>
  <c r="V78" i="1"/>
  <c r="V47" i="1"/>
  <c r="V95" i="1"/>
  <c r="V91" i="1"/>
  <c r="V87" i="1"/>
  <c r="V81" i="1"/>
  <c r="V77" i="1"/>
  <c r="Q18" i="26"/>
  <c r="Q117" i="26"/>
  <c r="Q18" i="30"/>
  <c r="Q116" i="30"/>
  <c r="Q18" i="5"/>
  <c r="Q101" i="5"/>
  <c r="R127" i="30"/>
  <c r="R112" i="30" s="1"/>
  <c r="R109" i="30"/>
  <c r="R132" i="30"/>
  <c r="R129" i="30"/>
  <c r="R126" i="30"/>
  <c r="R111" i="30" s="1"/>
  <c r="R131" i="30"/>
  <c r="R128" i="30"/>
  <c r="R130" i="30"/>
  <c r="R6" i="30"/>
  <c r="R56" i="30" s="1"/>
  <c r="V159" i="3"/>
  <c r="U162" i="3"/>
  <c r="S110" i="27"/>
  <c r="S6" i="27"/>
  <c r="BZ31" i="1"/>
  <c r="AA11" i="23"/>
  <c r="AA10" i="23"/>
  <c r="T162" i="3" l="1"/>
  <c r="P11" i="27"/>
  <c r="BZ48" i="23"/>
  <c r="T47" i="41"/>
  <c r="T46" i="41"/>
  <c r="O35" i="26"/>
  <c r="O36" i="26" s="1"/>
  <c r="V77" i="58"/>
  <c r="K35" i="30"/>
  <c r="K36" i="30" s="1"/>
  <c r="I35" i="30"/>
  <c r="I36" i="30" s="1"/>
  <c r="R35" i="30"/>
  <c r="R36" i="30" s="1"/>
  <c r="P35" i="5"/>
  <c r="P36" i="5" s="1"/>
  <c r="Q35" i="30"/>
  <c r="Q36" i="30" s="1"/>
  <c r="N35" i="26"/>
  <c r="N36" i="26" s="1"/>
  <c r="N35" i="30"/>
  <c r="N36" i="30" s="1"/>
  <c r="K35" i="27"/>
  <c r="K36" i="27" s="1"/>
  <c r="O35" i="30"/>
  <c r="O36" i="30" s="1"/>
  <c r="Q35" i="26"/>
  <c r="Q36" i="26" s="1"/>
  <c r="L35" i="27"/>
  <c r="L36" i="27" s="1"/>
  <c r="K35" i="26"/>
  <c r="K36" i="26" s="1"/>
  <c r="M35" i="5"/>
  <c r="M36" i="5" s="1"/>
  <c r="P35" i="27"/>
  <c r="P36" i="27" s="1"/>
  <c r="L35" i="30"/>
  <c r="L36" i="30" s="1"/>
  <c r="R35" i="5"/>
  <c r="R36" i="5" s="1"/>
  <c r="R35" i="26"/>
  <c r="R36" i="26" s="1"/>
  <c r="P35" i="26"/>
  <c r="P36" i="26" s="1"/>
  <c r="M35" i="30"/>
  <c r="M36" i="30" s="1"/>
  <c r="Q35" i="27"/>
  <c r="Q36" i="27" s="1"/>
  <c r="M35" i="27"/>
  <c r="M36" i="27" s="1"/>
  <c r="Q35" i="5"/>
  <c r="Q36" i="5" s="1"/>
  <c r="E35" i="27"/>
  <c r="E36" i="27" s="1"/>
  <c r="S35" i="27"/>
  <c r="S36" i="27" s="1"/>
  <c r="M35" i="26"/>
  <c r="M36" i="26" s="1"/>
  <c r="P35" i="30"/>
  <c r="P36" i="30" s="1"/>
  <c r="N35" i="5"/>
  <c r="N36" i="5" s="1"/>
  <c r="L35" i="26"/>
  <c r="L36" i="26" s="1"/>
  <c r="H35" i="27"/>
  <c r="H36" i="27" s="1"/>
  <c r="R35" i="27"/>
  <c r="R36" i="27" s="1"/>
  <c r="O35" i="5"/>
  <c r="O36" i="5" s="1"/>
  <c r="K35" i="5"/>
  <c r="K36" i="5" s="1"/>
  <c r="N35" i="27"/>
  <c r="N36" i="27" s="1"/>
  <c r="O35" i="27"/>
  <c r="O36" i="27" s="1"/>
  <c r="L35" i="5"/>
  <c r="L36" i="5" s="1"/>
  <c r="J35" i="27"/>
  <c r="J36" i="27" s="1"/>
  <c r="S148" i="30"/>
  <c r="S135" i="30"/>
  <c r="S146" i="30"/>
  <c r="X146" i="30" s="1"/>
  <c r="S142" i="30"/>
  <c r="X142" i="30" s="1"/>
  <c r="P13" i="26"/>
  <c r="S143" i="30"/>
  <c r="S118" i="30" s="1"/>
  <c r="S140" i="30"/>
  <c r="X140" i="30" s="1"/>
  <c r="S147" i="30"/>
  <c r="X147" i="30" s="1"/>
  <c r="S137" i="30"/>
  <c r="X137" i="30" s="1"/>
  <c r="S144" i="30"/>
  <c r="Y144" i="30" s="1"/>
  <c r="S141" i="30"/>
  <c r="Y141" i="30" s="1"/>
  <c r="S138" i="30"/>
  <c r="Y138" i="30" s="1"/>
  <c r="S139" i="30"/>
  <c r="Y139" i="30" s="1"/>
  <c r="S136" i="30"/>
  <c r="P9" i="26"/>
  <c r="P15" i="26"/>
  <c r="P10" i="26"/>
  <c r="P7" i="26"/>
  <c r="P16" i="26" s="1"/>
  <c r="P58" i="26" s="1"/>
  <c r="P11" i="26"/>
  <c r="P12" i="26"/>
  <c r="P12" i="30"/>
  <c r="P15" i="30"/>
  <c r="CR42" i="29"/>
  <c r="CR66" i="29" s="1"/>
  <c r="S145" i="30"/>
  <c r="Y145" i="30" s="1"/>
  <c r="CR64" i="29"/>
  <c r="CR65" i="29"/>
  <c r="CR68" i="29"/>
  <c r="CR61" i="29"/>
  <c r="CR46" i="29"/>
  <c r="CR24" i="29"/>
  <c r="CR60" i="29" s="1"/>
  <c r="O16" i="30"/>
  <c r="O58" i="30" s="1"/>
  <c r="CR33" i="1"/>
  <c r="S137" i="5" s="1"/>
  <c r="CR28" i="24"/>
  <c r="CR27" i="24"/>
  <c r="CR44" i="24"/>
  <c r="CR41" i="24"/>
  <c r="S144" i="26" s="1"/>
  <c r="CR38" i="24"/>
  <c r="S141" i="26" s="1"/>
  <c r="CR45" i="24"/>
  <c r="CR36" i="24"/>
  <c r="CR33" i="24"/>
  <c r="S136" i="26" s="1"/>
  <c r="CR39" i="24"/>
  <c r="S142" i="26" s="1"/>
  <c r="CR35" i="24"/>
  <c r="S138" i="26" s="1"/>
  <c r="CR34" i="24"/>
  <c r="S137" i="26" s="1"/>
  <c r="O16" i="27"/>
  <c r="O58" i="27" s="1"/>
  <c r="O16" i="26"/>
  <c r="O58" i="26" s="1"/>
  <c r="P12" i="27"/>
  <c r="P8" i="27"/>
  <c r="P10" i="27"/>
  <c r="P14" i="27"/>
  <c r="P7" i="27"/>
  <c r="P15" i="27"/>
  <c r="R134" i="27"/>
  <c r="R116" i="27" s="1"/>
  <c r="Q135" i="5"/>
  <c r="Q117" i="5" s="1"/>
  <c r="CR63" i="29"/>
  <c r="CR62" i="29"/>
  <c r="CR61" i="23"/>
  <c r="Q152" i="30"/>
  <c r="R134" i="30"/>
  <c r="R115" i="30" s="1"/>
  <c r="P9" i="30"/>
  <c r="CR62" i="23"/>
  <c r="P13" i="30"/>
  <c r="P10" i="30"/>
  <c r="BZ59" i="29"/>
  <c r="BZ48" i="29"/>
  <c r="S57" i="30" s="1"/>
  <c r="P14" i="30"/>
  <c r="P11" i="30"/>
  <c r="BZ65" i="29"/>
  <c r="P8" i="30"/>
  <c r="CR61" i="24"/>
  <c r="N47" i="26" s="1"/>
  <c r="CR40" i="23"/>
  <c r="BZ65" i="23"/>
  <c r="Q152" i="27"/>
  <c r="Q10" i="27" s="1"/>
  <c r="BZ67" i="23"/>
  <c r="CR46" i="23"/>
  <c r="BZ59" i="23"/>
  <c r="CR23" i="23"/>
  <c r="S57" i="27"/>
  <c r="BZ66" i="23"/>
  <c r="CR42" i="23"/>
  <c r="R117" i="27"/>
  <c r="CR37" i="23"/>
  <c r="BZ64" i="23"/>
  <c r="CR32" i="23"/>
  <c r="BZ63" i="23"/>
  <c r="S130" i="27"/>
  <c r="Y130" i="27" s="1"/>
  <c r="BZ60" i="23"/>
  <c r="CR24" i="23"/>
  <c r="CR43" i="23"/>
  <c r="BZ68" i="23"/>
  <c r="S128" i="27"/>
  <c r="X128" i="27" s="1"/>
  <c r="P9" i="27"/>
  <c r="BZ59" i="24"/>
  <c r="M45" i="26" s="1"/>
  <c r="CR23" i="24"/>
  <c r="S126" i="26" s="1"/>
  <c r="BZ48" i="24"/>
  <c r="S57" i="26" s="1"/>
  <c r="Q152" i="26"/>
  <c r="CR37" i="24"/>
  <c r="BZ64" i="24"/>
  <c r="M50" i="26" s="1"/>
  <c r="CR32" i="24"/>
  <c r="BZ63" i="24"/>
  <c r="M49" i="26" s="1"/>
  <c r="BZ67" i="24"/>
  <c r="M53" i="26" s="1"/>
  <c r="CR46" i="24"/>
  <c r="CR67" i="24" s="1"/>
  <c r="N53" i="26" s="1"/>
  <c r="BZ65" i="24"/>
  <c r="M51" i="26" s="1"/>
  <c r="CR40" i="24"/>
  <c r="CR43" i="24"/>
  <c r="BZ68" i="24"/>
  <c r="M54" i="26" s="1"/>
  <c r="BZ60" i="24"/>
  <c r="M46" i="26" s="1"/>
  <c r="CR24" i="24"/>
  <c r="CR60" i="24" s="1"/>
  <c r="N46" i="26" s="1"/>
  <c r="BZ66" i="24"/>
  <c r="M52" i="26" s="1"/>
  <c r="CR42" i="24"/>
  <c r="CR66" i="24" s="1"/>
  <c r="N52" i="26" s="1"/>
  <c r="CQ64" i="1"/>
  <c r="CQ61" i="1"/>
  <c r="D31" i="52" s="1"/>
  <c r="CQ68" i="1"/>
  <c r="CQ65" i="1"/>
  <c r="D35" i="52" s="1"/>
  <c r="CQ62" i="1"/>
  <c r="R147" i="5"/>
  <c r="CQ63" i="1"/>
  <c r="BY66" i="1"/>
  <c r="CQ42" i="1"/>
  <c r="BY60" i="1"/>
  <c r="D14" i="52" s="1"/>
  <c r="CQ24" i="1"/>
  <c r="BY59" i="1"/>
  <c r="D13" i="52" s="1"/>
  <c r="CQ23" i="1"/>
  <c r="BY48" i="1"/>
  <c r="R57" i="5" s="1"/>
  <c r="BY67" i="1"/>
  <c r="CQ46" i="1"/>
  <c r="R141" i="5"/>
  <c r="R119" i="5" s="1"/>
  <c r="S161" i="3" s="1"/>
  <c r="D34" i="52"/>
  <c r="I35" i="27"/>
  <c r="I36" i="27" s="1"/>
  <c r="BY65" i="1"/>
  <c r="D19" i="52"/>
  <c r="D20" i="52"/>
  <c r="D36" i="52"/>
  <c r="D21" i="52"/>
  <c r="D33" i="52"/>
  <c r="D32" i="52"/>
  <c r="D16" i="52"/>
  <c r="BZ62" i="24"/>
  <c r="M48" i="26" s="1"/>
  <c r="BZ61" i="29"/>
  <c r="BZ61" i="23"/>
  <c r="BY64" i="1"/>
  <c r="D18" i="52" s="1"/>
  <c r="BZ61" i="24"/>
  <c r="M47" i="26" s="1"/>
  <c r="BZ62" i="23"/>
  <c r="BY68" i="1"/>
  <c r="BY61" i="1"/>
  <c r="D15" i="52" s="1"/>
  <c r="BY63" i="1"/>
  <c r="D17" i="52" s="1"/>
  <c r="BY62" i="1"/>
  <c r="BZ62" i="29"/>
  <c r="BZ63" i="29"/>
  <c r="BZ68" i="29"/>
  <c r="BZ64" i="29"/>
  <c r="E39" i="52"/>
  <c r="J35" i="30"/>
  <c r="J36" i="30" s="1"/>
  <c r="F39" i="52"/>
  <c r="G39" i="52"/>
  <c r="H35" i="5"/>
  <c r="H36" i="5" s="1"/>
  <c r="G35" i="5"/>
  <c r="G36" i="5" s="1"/>
  <c r="S41" i="26"/>
  <c r="S100" i="26"/>
  <c r="S35" i="26"/>
  <c r="S36" i="26" s="1"/>
  <c r="S41" i="30"/>
  <c r="S100" i="30"/>
  <c r="S35" i="30"/>
  <c r="S36" i="30" s="1"/>
  <c r="C74" i="3"/>
  <c r="D74" i="3"/>
  <c r="B75" i="3"/>
  <c r="F74" i="3"/>
  <c r="E74" i="3"/>
  <c r="AE74" i="3"/>
  <c r="AC74" i="3"/>
  <c r="AD74" i="3"/>
  <c r="V160" i="3"/>
  <c r="V161" i="3"/>
  <c r="I35" i="26"/>
  <c r="I36" i="26" s="1"/>
  <c r="J35" i="5"/>
  <c r="J36" i="5" s="1"/>
  <c r="H35" i="26"/>
  <c r="H36" i="26" s="1"/>
  <c r="H35" i="30"/>
  <c r="H36" i="30" s="1"/>
  <c r="F35" i="27"/>
  <c r="F36" i="27" s="1"/>
  <c r="G35" i="27"/>
  <c r="G36" i="27" s="1"/>
  <c r="I35" i="5"/>
  <c r="I36" i="5" s="1"/>
  <c r="J35" i="26"/>
  <c r="J36" i="26" s="1"/>
  <c r="S41" i="5"/>
  <c r="S35" i="5"/>
  <c r="S36" i="5" s="1"/>
  <c r="Q116" i="26"/>
  <c r="S18" i="27"/>
  <c r="S56" i="27"/>
  <c r="AR25" i="3"/>
  <c r="U28" i="35"/>
  <c r="M32" i="27" s="1"/>
  <c r="M33" i="27" s="1"/>
  <c r="I158" i="23"/>
  <c r="AA78" i="23"/>
  <c r="AE74" i="23"/>
  <c r="AD74" i="23"/>
  <c r="Y136" i="27"/>
  <c r="X136" i="27"/>
  <c r="X148" i="27"/>
  <c r="Y148" i="27"/>
  <c r="X139" i="27"/>
  <c r="Y139" i="27"/>
  <c r="Y132" i="27"/>
  <c r="X132" i="27"/>
  <c r="X138" i="27"/>
  <c r="Y138" i="27"/>
  <c r="Y129" i="27"/>
  <c r="X129" i="27"/>
  <c r="Y131" i="27"/>
  <c r="X131" i="27"/>
  <c r="Y142" i="27"/>
  <c r="X142" i="27"/>
  <c r="Y144" i="27"/>
  <c r="X144" i="27"/>
  <c r="X137" i="27"/>
  <c r="Y137" i="27"/>
  <c r="Y141" i="27"/>
  <c r="X141" i="27"/>
  <c r="Y147" i="27"/>
  <c r="X147" i="27"/>
  <c r="AC81" i="24"/>
  <c r="AB81" i="24"/>
  <c r="AB80" i="24"/>
  <c r="AC80" i="24"/>
  <c r="AC77" i="24"/>
  <c r="AB77" i="24"/>
  <c r="AB90" i="24"/>
  <c r="AC90" i="24"/>
  <c r="AC87" i="24"/>
  <c r="AB87" i="24"/>
  <c r="AB94" i="24"/>
  <c r="AC94" i="24"/>
  <c r="AB91" i="24"/>
  <c r="AC91" i="24"/>
  <c r="AB96" i="24"/>
  <c r="AC96" i="24"/>
  <c r="AC93" i="24"/>
  <c r="AB93" i="24"/>
  <c r="AE101" i="24"/>
  <c r="AF101" i="24" s="1"/>
  <c r="AB74" i="24"/>
  <c r="AD101" i="24"/>
  <c r="AC74" i="24"/>
  <c r="AC100" i="24"/>
  <c r="G161" i="24" s="1"/>
  <c r="AB100" i="24"/>
  <c r="G160" i="24" s="1"/>
  <c r="AB97" i="24"/>
  <c r="AC97" i="24"/>
  <c r="AC88" i="24"/>
  <c r="AB88" i="24"/>
  <c r="AB78" i="24"/>
  <c r="AC78" i="24"/>
  <c r="AB99" i="24"/>
  <c r="AC99" i="24"/>
  <c r="AB79" i="24"/>
  <c r="AC79" i="24"/>
  <c r="AB86" i="24"/>
  <c r="AC86" i="24"/>
  <c r="AB89" i="24"/>
  <c r="AC89" i="24"/>
  <c r="AB92" i="24"/>
  <c r="AC92" i="24"/>
  <c r="AB95" i="24"/>
  <c r="AC95" i="24"/>
  <c r="AB98" i="24"/>
  <c r="AC98" i="24"/>
  <c r="AB101" i="24"/>
  <c r="M160" i="24" s="1"/>
  <c r="AC101" i="24"/>
  <c r="M161" i="24" s="1"/>
  <c r="AB83" i="24"/>
  <c r="AC83" i="24"/>
  <c r="AB82" i="24"/>
  <c r="AC82" i="24"/>
  <c r="AB79" i="29"/>
  <c r="AC79" i="29"/>
  <c r="AB80" i="29"/>
  <c r="AC80" i="29"/>
  <c r="AC98" i="29"/>
  <c r="AB98" i="29"/>
  <c r="AB74" i="29"/>
  <c r="AE101" i="29"/>
  <c r="AF101" i="29" s="1"/>
  <c r="AC74" i="29"/>
  <c r="AD101" i="29"/>
  <c r="AC100" i="29"/>
  <c r="G161" i="29" s="1"/>
  <c r="AB100" i="29"/>
  <c r="G160" i="29" s="1"/>
  <c r="AC95" i="29"/>
  <c r="AB95" i="29"/>
  <c r="AC91" i="29"/>
  <c r="AB91" i="29"/>
  <c r="AC92" i="29"/>
  <c r="AB92" i="29"/>
  <c r="AB97" i="29"/>
  <c r="AC97" i="29"/>
  <c r="AC93" i="29"/>
  <c r="AB93" i="29"/>
  <c r="AB77" i="29"/>
  <c r="AC77" i="29"/>
  <c r="AC99" i="29"/>
  <c r="AB99" i="29"/>
  <c r="AC94" i="29"/>
  <c r="AB94" i="29"/>
  <c r="AC78" i="29"/>
  <c r="AB78" i="29"/>
  <c r="AB101" i="29"/>
  <c r="M160" i="29" s="1"/>
  <c r="AC101" i="29"/>
  <c r="M161" i="29" s="1"/>
  <c r="AB83" i="29"/>
  <c r="AC83" i="29"/>
  <c r="AC96" i="29"/>
  <c r="AB96" i="29"/>
  <c r="AC87" i="29"/>
  <c r="AB87" i="29"/>
  <c r="AC86" i="29"/>
  <c r="AB86" i="29"/>
  <c r="AB82" i="29"/>
  <c r="AC82" i="29"/>
  <c r="AC88" i="29"/>
  <c r="AB88" i="29"/>
  <c r="AC81" i="29"/>
  <c r="AB81" i="29"/>
  <c r="AC89" i="29"/>
  <c r="AB89" i="29"/>
  <c r="AB90" i="29"/>
  <c r="AC90" i="29"/>
  <c r="O158" i="23"/>
  <c r="AB74" i="1"/>
  <c r="AC74" i="1"/>
  <c r="V101" i="1"/>
  <c r="AC101" i="1" s="1"/>
  <c r="M161" i="1" s="1"/>
  <c r="AE101" i="1"/>
  <c r="AF101" i="1" s="1"/>
  <c r="AD101" i="1"/>
  <c r="BZ34" i="1"/>
  <c r="CR34" i="1" s="1"/>
  <c r="S138" i="5" s="1"/>
  <c r="BZ27" i="1"/>
  <c r="CR27" i="1" s="1"/>
  <c r="S131" i="5" s="1"/>
  <c r="BZ28" i="1"/>
  <c r="CR28" i="1" s="1"/>
  <c r="S132" i="5" s="1"/>
  <c r="BZ29" i="1"/>
  <c r="CR29" i="1" s="1"/>
  <c r="S133" i="5" s="1"/>
  <c r="BZ26" i="1"/>
  <c r="CR26" i="1" s="1"/>
  <c r="S130" i="5" s="1"/>
  <c r="BZ23" i="1"/>
  <c r="BZ25" i="1"/>
  <c r="CR25" i="1" s="1"/>
  <c r="S129" i="5" s="1"/>
  <c r="BZ24" i="1"/>
  <c r="R115" i="27"/>
  <c r="R125" i="27"/>
  <c r="R111" i="27" s="1"/>
  <c r="R151" i="27"/>
  <c r="R113" i="27"/>
  <c r="G122" i="23"/>
  <c r="BZ39" i="1"/>
  <c r="CR39" i="1" s="1"/>
  <c r="S143" i="5" s="1"/>
  <c r="BZ46" i="1"/>
  <c r="BZ36" i="1"/>
  <c r="CR36" i="1" s="1"/>
  <c r="S140" i="5" s="1"/>
  <c r="BZ41" i="1"/>
  <c r="CR41" i="1" s="1"/>
  <c r="S145" i="5" s="1"/>
  <c r="BZ38" i="1"/>
  <c r="CR38" i="1" s="1"/>
  <c r="S142" i="5" s="1"/>
  <c r="BZ35" i="1"/>
  <c r="CR35" i="1" s="1"/>
  <c r="S139" i="5" s="1"/>
  <c r="BZ32" i="1"/>
  <c r="CR32" i="1" s="1"/>
  <c r="S136" i="5" s="1"/>
  <c r="BZ44" i="1"/>
  <c r="CR44" i="1" s="1"/>
  <c r="S148" i="5" s="1"/>
  <c r="BZ43" i="1"/>
  <c r="CR43" i="1" s="1"/>
  <c r="S147" i="5" s="1"/>
  <c r="BZ40" i="1"/>
  <c r="CR40" i="1" s="1"/>
  <c r="S144" i="5" s="1"/>
  <c r="BZ45" i="1"/>
  <c r="CR45" i="1" s="1"/>
  <c r="S149" i="5" s="1"/>
  <c r="BZ37" i="1"/>
  <c r="CR37" i="1" s="1"/>
  <c r="S141" i="5" s="1"/>
  <c r="BZ42" i="1"/>
  <c r="F120" i="3"/>
  <c r="F121" i="3"/>
  <c r="F119" i="3"/>
  <c r="F122" i="3"/>
  <c r="F124" i="3"/>
  <c r="F125" i="3"/>
  <c r="F126" i="3"/>
  <c r="Q26" i="3"/>
  <c r="AF26" i="3" s="1"/>
  <c r="AV26" i="3" s="1"/>
  <c r="F113" i="3"/>
  <c r="F116" i="3"/>
  <c r="F114" i="3"/>
  <c r="F115" i="3"/>
  <c r="F123" i="3"/>
  <c r="P24" i="3"/>
  <c r="AE24" i="3" s="1"/>
  <c r="R24" i="3"/>
  <c r="O24" i="3"/>
  <c r="AD24" i="3" s="1"/>
  <c r="N24" i="3"/>
  <c r="AC24" i="3" s="1"/>
  <c r="AE28" i="35"/>
  <c r="I38" i="27" s="1"/>
  <c r="Z47" i="41"/>
  <c r="AA47" i="41"/>
  <c r="AB47" i="41"/>
  <c r="AC47" i="41"/>
  <c r="AH47" i="41"/>
  <c r="AI47" i="41"/>
  <c r="P23" i="3"/>
  <c r="AE23" i="3" s="1"/>
  <c r="P21" i="3"/>
  <c r="AE21" i="3" s="1"/>
  <c r="R134" i="26"/>
  <c r="R116" i="26" s="1"/>
  <c r="Q10" i="30"/>
  <c r="R125" i="30"/>
  <c r="R110" i="30" s="1"/>
  <c r="R151" i="30"/>
  <c r="R151" i="26"/>
  <c r="R125" i="26"/>
  <c r="R111" i="26" s="1"/>
  <c r="C13" i="23"/>
  <c r="N162" i="3"/>
  <c r="O162" i="3"/>
  <c r="P162" i="3"/>
  <c r="R162" i="3"/>
  <c r="Q162" i="3"/>
  <c r="R23" i="3"/>
  <c r="O23" i="3"/>
  <c r="AD23" i="3" s="1"/>
  <c r="N23" i="3"/>
  <c r="AC23" i="3" s="1"/>
  <c r="M142" i="23"/>
  <c r="N18" i="3"/>
  <c r="AC18" i="3" s="1"/>
  <c r="P17" i="3"/>
  <c r="AE17" i="3" s="1"/>
  <c r="R22" i="3"/>
  <c r="AG22" i="3" s="1"/>
  <c r="N19" i="3"/>
  <c r="AC19" i="3" s="1"/>
  <c r="O22" i="3"/>
  <c r="AD22" i="3" s="1"/>
  <c r="O20" i="3"/>
  <c r="AD20" i="3" s="1"/>
  <c r="P20" i="3"/>
  <c r="AE20" i="3" s="1"/>
  <c r="P18" i="3"/>
  <c r="AE18" i="3" s="1"/>
  <c r="N22" i="3"/>
  <c r="AC22" i="3" s="1"/>
  <c r="R21" i="3"/>
  <c r="AG21" i="3" s="1"/>
  <c r="R19" i="3"/>
  <c r="AG19" i="3" s="1"/>
  <c r="O19" i="3"/>
  <c r="AD19" i="3" s="1"/>
  <c r="R20" i="3"/>
  <c r="AG20" i="3" s="1"/>
  <c r="O18" i="3"/>
  <c r="AD18" i="3" s="1"/>
  <c r="O21" i="3"/>
  <c r="AD21" i="3" s="1"/>
  <c r="N21" i="3"/>
  <c r="AC21" i="3" s="1"/>
  <c r="P19" i="3"/>
  <c r="AE19" i="3" s="1"/>
  <c r="P22" i="3"/>
  <c r="AE22" i="3" s="1"/>
  <c r="N20" i="3"/>
  <c r="AC20" i="3" s="1"/>
  <c r="R13" i="3"/>
  <c r="AG13" i="3" s="1"/>
  <c r="O11" i="3"/>
  <c r="P12" i="3"/>
  <c r="AE12" i="3" s="1"/>
  <c r="O14" i="3"/>
  <c r="AD14" i="3" s="1"/>
  <c r="P13" i="3"/>
  <c r="AE13" i="3" s="1"/>
  <c r="N11" i="3"/>
  <c r="R11" i="3"/>
  <c r="P15" i="3"/>
  <c r="AE15" i="3" s="1"/>
  <c r="N12" i="3"/>
  <c r="AC12" i="3" s="1"/>
  <c r="P11" i="3"/>
  <c r="AE11" i="3" s="1"/>
  <c r="R12" i="3"/>
  <c r="AG12" i="3" s="1"/>
  <c r="O12" i="3"/>
  <c r="AD12" i="3" s="1"/>
  <c r="R14" i="3"/>
  <c r="AG14" i="3" s="1"/>
  <c r="R16" i="3"/>
  <c r="AG16" i="3" s="1"/>
  <c r="P14" i="3"/>
  <c r="AE14" i="3" s="1"/>
  <c r="R17" i="3"/>
  <c r="AG17" i="3" s="1"/>
  <c r="O15" i="3"/>
  <c r="AD15" i="3" s="1"/>
  <c r="O16" i="3"/>
  <c r="AD16" i="3" s="1"/>
  <c r="R15" i="3"/>
  <c r="AG15" i="3" s="1"/>
  <c r="R18" i="3"/>
  <c r="AG18" i="3" s="1"/>
  <c r="P16" i="3"/>
  <c r="AE16" i="3" s="1"/>
  <c r="N17" i="3"/>
  <c r="AC17" i="3" s="1"/>
  <c r="O17" i="3"/>
  <c r="AD17" i="3" s="1"/>
  <c r="M141" i="23"/>
  <c r="G123" i="23"/>
  <c r="R113" i="30"/>
  <c r="R114" i="30"/>
  <c r="M122" i="23"/>
  <c r="R116" i="30"/>
  <c r="C13" i="24"/>
  <c r="B122" i="23"/>
  <c r="C13" i="29"/>
  <c r="R18" i="30"/>
  <c r="AC77" i="1"/>
  <c r="AB77" i="1"/>
  <c r="AB95" i="1"/>
  <c r="AC95" i="1"/>
  <c r="AC88" i="1"/>
  <c r="AB88" i="1"/>
  <c r="AB89" i="1"/>
  <c r="AC89" i="1"/>
  <c r="AC80" i="1"/>
  <c r="AB80" i="1"/>
  <c r="AC98" i="1"/>
  <c r="AB98" i="1"/>
  <c r="R18" i="26"/>
  <c r="R117" i="26"/>
  <c r="R118" i="5"/>
  <c r="V162" i="3"/>
  <c r="AB81" i="1"/>
  <c r="AC81" i="1"/>
  <c r="AC92" i="1"/>
  <c r="AB92" i="1"/>
  <c r="AC99" i="1"/>
  <c r="AB99" i="1"/>
  <c r="AB93" i="1"/>
  <c r="AC93" i="1"/>
  <c r="AB86" i="1"/>
  <c r="AC86" i="1"/>
  <c r="S111" i="5"/>
  <c r="S6" i="5"/>
  <c r="M123" i="23"/>
  <c r="B142" i="23"/>
  <c r="G142" i="23"/>
  <c r="B160" i="23"/>
  <c r="E162" i="3"/>
  <c r="F162" i="3"/>
  <c r="G162" i="3"/>
  <c r="H162" i="3"/>
  <c r="I162" i="3"/>
  <c r="J162" i="3"/>
  <c r="L162" i="3"/>
  <c r="K162" i="3"/>
  <c r="M162" i="3"/>
  <c r="AB87" i="1"/>
  <c r="AC87" i="1"/>
  <c r="AC78" i="1"/>
  <c r="AB78" i="1"/>
  <c r="AC96" i="1"/>
  <c r="AB96" i="1"/>
  <c r="AB79" i="1"/>
  <c r="AC79" i="1"/>
  <c r="AB97" i="1"/>
  <c r="AC97" i="1"/>
  <c r="AB90" i="1"/>
  <c r="AC90" i="1"/>
  <c r="B141" i="23"/>
  <c r="B123" i="23"/>
  <c r="R118" i="26"/>
  <c r="R114" i="26"/>
  <c r="S132" i="30"/>
  <c r="S129" i="30"/>
  <c r="S126" i="30"/>
  <c r="X148" i="30"/>
  <c r="S131" i="30"/>
  <c r="S128" i="30"/>
  <c r="S130" i="30"/>
  <c r="S127" i="30"/>
  <c r="S109" i="30"/>
  <c r="S6" i="30"/>
  <c r="S56" i="30" s="1"/>
  <c r="R101" i="5"/>
  <c r="P26" i="3"/>
  <c r="O26" i="3"/>
  <c r="AD26" i="3" s="1"/>
  <c r="AB26" i="3"/>
  <c r="N26" i="3"/>
  <c r="AC26" i="3" s="1"/>
  <c r="R26" i="3"/>
  <c r="AG26" i="3" s="1"/>
  <c r="AW26" i="3" s="1"/>
  <c r="G141" i="23"/>
  <c r="B161" i="23"/>
  <c r="S147" i="26"/>
  <c r="S130" i="26"/>
  <c r="S146" i="26"/>
  <c r="S110" i="26"/>
  <c r="S163" i="3" s="1"/>
  <c r="S132" i="26"/>
  <c r="S129" i="26"/>
  <c r="S148" i="26"/>
  <c r="S139" i="26"/>
  <c r="S131" i="26"/>
  <c r="S128" i="26"/>
  <c r="S6" i="26"/>
  <c r="S56" i="26" s="1"/>
  <c r="R117" i="30"/>
  <c r="AB91" i="1"/>
  <c r="AC91" i="1"/>
  <c r="AB82" i="1"/>
  <c r="AC82" i="1"/>
  <c r="AC100" i="1"/>
  <c r="G161" i="1" s="1"/>
  <c r="AB100" i="1"/>
  <c r="G160" i="1" s="1"/>
  <c r="AB83" i="1"/>
  <c r="AC83" i="1"/>
  <c r="AB94" i="1"/>
  <c r="AC94" i="1"/>
  <c r="AA11" i="1"/>
  <c r="AA10" i="1"/>
  <c r="R115" i="26"/>
  <c r="R18" i="5"/>
  <c r="V91" i="58"/>
  <c r="T163" i="3" l="1"/>
  <c r="P16" i="27"/>
  <c r="P58" i="27" s="1"/>
  <c r="M34" i="27"/>
  <c r="AD11" i="3"/>
  <c r="AC11" i="3"/>
  <c r="CS77" i="58"/>
  <c r="S43" i="59" s="1"/>
  <c r="S88" i="59" s="1"/>
  <c r="T36" i="41"/>
  <c r="T52" i="41" s="1"/>
  <c r="T35" i="41"/>
  <c r="T48" i="41"/>
  <c r="T38" i="41"/>
  <c r="T54" i="41" s="1"/>
  <c r="T40" i="41"/>
  <c r="T56" i="41" s="1"/>
  <c r="T41" i="41"/>
  <c r="T57" i="41" s="1"/>
  <c r="T43" i="41"/>
  <c r="T59" i="41" s="1"/>
  <c r="T42" i="41"/>
  <c r="T58" i="41" s="1"/>
  <c r="T37" i="41"/>
  <c r="T53" i="41" s="1"/>
  <c r="T39" i="41"/>
  <c r="T55" i="41" s="1"/>
  <c r="V107" i="58"/>
  <c r="BD141" i="58" s="1"/>
  <c r="U77" i="58"/>
  <c r="CT77" i="58"/>
  <c r="CS91" i="58"/>
  <c r="S58" i="59" s="1"/>
  <c r="V121" i="58"/>
  <c r="S32" i="5"/>
  <c r="F32" i="30"/>
  <c r="F34" i="30" s="1"/>
  <c r="F32" i="27"/>
  <c r="AE26" i="3"/>
  <c r="AU26" i="3" s="1"/>
  <c r="H38" i="5"/>
  <c r="G32" i="5"/>
  <c r="J32" i="5"/>
  <c r="S38" i="5"/>
  <c r="N32" i="26"/>
  <c r="H38" i="30"/>
  <c r="I38" i="30"/>
  <c r="I32" i="5"/>
  <c r="J32" i="26"/>
  <c r="H38" i="26"/>
  <c r="K38" i="26"/>
  <c r="O32" i="5"/>
  <c r="G38" i="27"/>
  <c r="S32" i="30"/>
  <c r="I32" i="26"/>
  <c r="I34" i="26" s="1"/>
  <c r="K38" i="5"/>
  <c r="L32" i="27"/>
  <c r="K32" i="26"/>
  <c r="Q32" i="30"/>
  <c r="Q33" i="30" s="1"/>
  <c r="M32" i="26"/>
  <c r="E38" i="27"/>
  <c r="J38" i="26"/>
  <c r="S38" i="30"/>
  <c r="Q38" i="26"/>
  <c r="Q38" i="5"/>
  <c r="L38" i="26"/>
  <c r="N38" i="26"/>
  <c r="H38" i="27"/>
  <c r="J32" i="30"/>
  <c r="F32" i="5"/>
  <c r="M38" i="27"/>
  <c r="O38" i="30"/>
  <c r="L38" i="5"/>
  <c r="L32" i="5"/>
  <c r="O32" i="26"/>
  <c r="J38" i="5"/>
  <c r="I32" i="30"/>
  <c r="I33" i="30" s="1"/>
  <c r="I32" i="27"/>
  <c r="Q32" i="27"/>
  <c r="Q33" i="27" s="1"/>
  <c r="M38" i="30"/>
  <c r="M38" i="5"/>
  <c r="P38" i="5"/>
  <c r="H32" i="5"/>
  <c r="I38" i="26"/>
  <c r="F32" i="26"/>
  <c r="F33" i="26" s="1"/>
  <c r="M32" i="30"/>
  <c r="J38" i="27"/>
  <c r="J37" i="27" s="1"/>
  <c r="M38" i="26"/>
  <c r="K38" i="30"/>
  <c r="Q38" i="27"/>
  <c r="N38" i="5"/>
  <c r="K38" i="27"/>
  <c r="R38" i="26"/>
  <c r="R38" i="5"/>
  <c r="R38" i="27"/>
  <c r="O38" i="5"/>
  <c r="P38" i="26"/>
  <c r="L38" i="30"/>
  <c r="Q38" i="30"/>
  <c r="O38" i="26"/>
  <c r="O38" i="27"/>
  <c r="L38" i="27"/>
  <c r="P38" i="27"/>
  <c r="R38" i="30"/>
  <c r="H32" i="26"/>
  <c r="H32" i="27"/>
  <c r="S32" i="26"/>
  <c r="G38" i="5"/>
  <c r="J38" i="30"/>
  <c r="S38" i="26"/>
  <c r="M32" i="5"/>
  <c r="P32" i="5"/>
  <c r="K32" i="30"/>
  <c r="N32" i="5"/>
  <c r="S32" i="27"/>
  <c r="P32" i="30"/>
  <c r="O32" i="27"/>
  <c r="L32" i="26"/>
  <c r="Q32" i="26"/>
  <c r="Q33" i="26" s="1"/>
  <c r="K32" i="27"/>
  <c r="N32" i="27"/>
  <c r="Q32" i="5"/>
  <c r="R32" i="26"/>
  <c r="R32" i="5"/>
  <c r="P32" i="27"/>
  <c r="K32" i="5"/>
  <c r="O32" i="30"/>
  <c r="R32" i="27"/>
  <c r="L32" i="30"/>
  <c r="R32" i="30"/>
  <c r="P32" i="26"/>
  <c r="J32" i="27"/>
  <c r="I38" i="5"/>
  <c r="G32" i="27"/>
  <c r="G33" i="27" s="1"/>
  <c r="S38" i="27"/>
  <c r="G32" i="30"/>
  <c r="G38" i="26"/>
  <c r="N32" i="30"/>
  <c r="N38" i="30"/>
  <c r="F38" i="27"/>
  <c r="G38" i="30"/>
  <c r="H37" i="30" s="1"/>
  <c r="N38" i="27"/>
  <c r="P38" i="30"/>
  <c r="Y128" i="27"/>
  <c r="AA128" i="27" s="1"/>
  <c r="S114" i="27"/>
  <c r="CR65" i="24"/>
  <c r="N51" i="26" s="1"/>
  <c r="CR62" i="24"/>
  <c r="N48" i="26" s="1"/>
  <c r="CR63" i="24"/>
  <c r="N49" i="26" s="1"/>
  <c r="Q12" i="27"/>
  <c r="Q11" i="27"/>
  <c r="Q7" i="27"/>
  <c r="Q8" i="27"/>
  <c r="Q15" i="27"/>
  <c r="Q13" i="27"/>
  <c r="Q14" i="27"/>
  <c r="CR48" i="29"/>
  <c r="CR67" i="29"/>
  <c r="S149" i="30"/>
  <c r="X149" i="30" s="1"/>
  <c r="Q13" i="30"/>
  <c r="D51" i="30" s="1"/>
  <c r="Q15" i="30"/>
  <c r="F53" i="30" s="1"/>
  <c r="Q14" i="30"/>
  <c r="Q8" i="30"/>
  <c r="Q12" i="30"/>
  <c r="Q7" i="30"/>
  <c r="Q11" i="30"/>
  <c r="Q9" i="30"/>
  <c r="P16" i="30"/>
  <c r="P58" i="30" s="1"/>
  <c r="CR68" i="24"/>
  <c r="N54" i="26" s="1"/>
  <c r="S135" i="26"/>
  <c r="X135" i="26" s="1"/>
  <c r="CR64" i="24"/>
  <c r="N50" i="26" s="1"/>
  <c r="S149" i="26"/>
  <c r="Y149" i="26" s="1"/>
  <c r="S143" i="26"/>
  <c r="S119" i="26" s="1"/>
  <c r="S127" i="26"/>
  <c r="S125" i="26" s="1"/>
  <c r="S115" i="27"/>
  <c r="X130" i="27"/>
  <c r="Z130" i="27" s="1"/>
  <c r="Q8" i="26"/>
  <c r="S125" i="30"/>
  <c r="Q12" i="26"/>
  <c r="Q7" i="26"/>
  <c r="Q11" i="26"/>
  <c r="R152" i="30"/>
  <c r="R34" i="30" s="1"/>
  <c r="R33" i="30"/>
  <c r="Q15" i="26"/>
  <c r="Q9" i="26"/>
  <c r="Q13" i="26"/>
  <c r="Q10" i="26"/>
  <c r="S145" i="26"/>
  <c r="X145" i="26" s="1"/>
  <c r="Q14" i="26"/>
  <c r="CR60" i="23"/>
  <c r="S127" i="27"/>
  <c r="CR59" i="23"/>
  <c r="CR48" i="23"/>
  <c r="S126" i="27"/>
  <c r="CR67" i="23"/>
  <c r="S149" i="27"/>
  <c r="R152" i="27"/>
  <c r="R15" i="27" s="1"/>
  <c r="R33" i="27"/>
  <c r="CR63" i="23"/>
  <c r="S135" i="27"/>
  <c r="Q74" i="23"/>
  <c r="R74" i="23"/>
  <c r="S74" i="23"/>
  <c r="T74" i="23"/>
  <c r="U74" i="23"/>
  <c r="V74" i="23"/>
  <c r="CR64" i="23"/>
  <c r="S140" i="27"/>
  <c r="Q9" i="27"/>
  <c r="Q34" i="27"/>
  <c r="CR68" i="23"/>
  <c r="S146" i="27"/>
  <c r="CR66" i="23"/>
  <c r="S145" i="27"/>
  <c r="CR65" i="23"/>
  <c r="S143" i="27"/>
  <c r="S140" i="26"/>
  <c r="R152" i="26"/>
  <c r="R34" i="26" s="1"/>
  <c r="R33" i="26"/>
  <c r="CR59" i="24"/>
  <c r="N45" i="26" s="1"/>
  <c r="CR48" i="24"/>
  <c r="CR61" i="1"/>
  <c r="N47" i="5" s="1"/>
  <c r="CR63" i="1"/>
  <c r="N49" i="5" s="1"/>
  <c r="CQ67" i="1"/>
  <c r="D37" i="52" s="1"/>
  <c r="R150" i="5"/>
  <c r="CQ59" i="1"/>
  <c r="D29" i="52" s="1"/>
  <c r="CQ48" i="1"/>
  <c r="R127" i="5"/>
  <c r="BZ60" i="1"/>
  <c r="M46" i="5" s="1"/>
  <c r="CR24" i="1"/>
  <c r="CQ60" i="1"/>
  <c r="D30" i="52" s="1"/>
  <c r="R128" i="5"/>
  <c r="BZ59" i="1"/>
  <c r="M45" i="5" s="1"/>
  <c r="BZ48" i="1"/>
  <c r="CR23" i="1"/>
  <c r="CQ66" i="1"/>
  <c r="R146" i="5"/>
  <c r="CR68" i="1"/>
  <c r="N54" i="5" s="1"/>
  <c r="CR65" i="1"/>
  <c r="N51" i="5" s="1"/>
  <c r="BZ66" i="1"/>
  <c r="M52" i="5" s="1"/>
  <c r="CR42" i="1"/>
  <c r="BZ67" i="1"/>
  <c r="M53" i="5" s="1"/>
  <c r="CR46" i="1"/>
  <c r="CR62" i="1"/>
  <c r="N48" i="5" s="1"/>
  <c r="CR64" i="1"/>
  <c r="N50" i="5" s="1"/>
  <c r="BZ65" i="1"/>
  <c r="M51" i="5" s="1"/>
  <c r="BZ68" i="1"/>
  <c r="M54" i="5" s="1"/>
  <c r="BZ61" i="1"/>
  <c r="M47" i="5" s="1"/>
  <c r="N74" i="23"/>
  <c r="O74" i="23"/>
  <c r="P74" i="23"/>
  <c r="O53" i="27"/>
  <c r="BZ62" i="1"/>
  <c r="M48" i="5" s="1"/>
  <c r="BZ64" i="1"/>
  <c r="M50" i="5" s="1"/>
  <c r="BZ63" i="1"/>
  <c r="M49" i="5" s="1"/>
  <c r="D23" i="52"/>
  <c r="AW14" i="3"/>
  <c r="F161" i="3"/>
  <c r="E161" i="3"/>
  <c r="G161" i="3"/>
  <c r="I161" i="3"/>
  <c r="H161" i="3"/>
  <c r="C75" i="3"/>
  <c r="B76" i="3"/>
  <c r="F75" i="3"/>
  <c r="AE75" i="3"/>
  <c r="E75" i="3"/>
  <c r="D75" i="3"/>
  <c r="AD75" i="3"/>
  <c r="AC75" i="3"/>
  <c r="H33" i="27"/>
  <c r="H34" i="27"/>
  <c r="F33" i="27"/>
  <c r="F34" i="27"/>
  <c r="G33" i="30"/>
  <c r="G34" i="30"/>
  <c r="J33" i="26"/>
  <c r="J34" i="26"/>
  <c r="O13" i="3"/>
  <c r="AD13" i="3" s="1"/>
  <c r="N16" i="3"/>
  <c r="D38" i="5"/>
  <c r="D38" i="30"/>
  <c r="D35" i="5"/>
  <c r="D36" i="5" s="1"/>
  <c r="D35" i="26"/>
  <c r="D36" i="26" s="1"/>
  <c r="D38" i="26"/>
  <c r="D35" i="30"/>
  <c r="D36" i="30" s="1"/>
  <c r="E38" i="5"/>
  <c r="F35" i="5"/>
  <c r="F36" i="5" s="1"/>
  <c r="E35" i="5"/>
  <c r="E36" i="5" s="1"/>
  <c r="E35" i="30"/>
  <c r="E36" i="30" s="1"/>
  <c r="E38" i="26"/>
  <c r="F35" i="26"/>
  <c r="F36" i="26" s="1"/>
  <c r="D38" i="27"/>
  <c r="E38" i="30"/>
  <c r="E35" i="26"/>
  <c r="E36" i="26" s="1"/>
  <c r="F35" i="30"/>
  <c r="F36" i="30" s="1"/>
  <c r="G35" i="26"/>
  <c r="G36" i="26" s="1"/>
  <c r="G35" i="30"/>
  <c r="G36" i="30" s="1"/>
  <c r="F38" i="5"/>
  <c r="D35" i="27"/>
  <c r="D36" i="27" s="1"/>
  <c r="U36" i="27" s="1"/>
  <c r="F38" i="30"/>
  <c r="F38" i="26"/>
  <c r="D32" i="26"/>
  <c r="E32" i="5"/>
  <c r="E32" i="26"/>
  <c r="D32" i="5"/>
  <c r="D32" i="30"/>
  <c r="E32" i="30"/>
  <c r="E32" i="27"/>
  <c r="D32" i="27"/>
  <c r="H32" i="30"/>
  <c r="G32" i="26"/>
  <c r="H33" i="26"/>
  <c r="H34" i="26"/>
  <c r="I40" i="26" s="1"/>
  <c r="J34" i="30"/>
  <c r="J33" i="30"/>
  <c r="AU16" i="3"/>
  <c r="S56" i="5"/>
  <c r="K161" i="3"/>
  <c r="L161" i="3"/>
  <c r="J161" i="3"/>
  <c r="B122" i="29"/>
  <c r="AT20" i="3"/>
  <c r="O158" i="29"/>
  <c r="AT17" i="3"/>
  <c r="AW22" i="3"/>
  <c r="AW18" i="3"/>
  <c r="AU19" i="3"/>
  <c r="AU22" i="3"/>
  <c r="AW20" i="3"/>
  <c r="AT16" i="3"/>
  <c r="AU18" i="3"/>
  <c r="AU20" i="3"/>
  <c r="AU24" i="3"/>
  <c r="AW16" i="3"/>
  <c r="AS20" i="3"/>
  <c r="AT21" i="3"/>
  <c r="AT15" i="3"/>
  <c r="AB101" i="1"/>
  <c r="M160" i="1" s="1"/>
  <c r="O158" i="1" s="1"/>
  <c r="AT26" i="3"/>
  <c r="E23" i="52"/>
  <c r="AU11" i="3"/>
  <c r="AR23" i="3"/>
  <c r="AS23" i="3"/>
  <c r="AU21" i="3"/>
  <c r="AR12" i="3"/>
  <c r="AT18" i="3"/>
  <c r="AU17" i="3"/>
  <c r="AT23" i="3"/>
  <c r="AW15" i="3"/>
  <c r="AU15" i="3"/>
  <c r="AR18" i="3"/>
  <c r="AS18" i="3"/>
  <c r="AG23" i="3"/>
  <c r="AW23" i="3" s="1"/>
  <c r="AT19" i="3"/>
  <c r="AS26" i="3"/>
  <c r="AR26" i="3"/>
  <c r="AR13" i="3"/>
  <c r="AS13" i="3"/>
  <c r="AW19" i="3"/>
  <c r="AR24" i="3"/>
  <c r="AS24" i="3"/>
  <c r="AW17" i="3"/>
  <c r="AT11" i="3"/>
  <c r="AW21" i="3"/>
  <c r="AU14" i="3"/>
  <c r="AR14" i="3"/>
  <c r="AS14" i="3"/>
  <c r="AW13" i="3"/>
  <c r="AR22" i="3"/>
  <c r="AS22" i="3"/>
  <c r="AS12" i="3"/>
  <c r="AU23" i="3"/>
  <c r="AR20" i="3"/>
  <c r="AU25" i="3"/>
  <c r="AS15" i="3"/>
  <c r="AR15" i="3"/>
  <c r="AU13" i="3"/>
  <c r="AT22" i="3"/>
  <c r="AS25" i="3"/>
  <c r="AR17" i="3"/>
  <c r="AS21" i="3"/>
  <c r="AR21" i="3"/>
  <c r="F23" i="52"/>
  <c r="G23" i="52"/>
  <c r="AG11" i="3"/>
  <c r="AW11" i="3" s="1"/>
  <c r="AA137" i="27"/>
  <c r="Z141" i="27"/>
  <c r="AA139" i="27"/>
  <c r="AA131" i="27"/>
  <c r="Z132" i="27"/>
  <c r="Z144" i="27"/>
  <c r="G74" i="23"/>
  <c r="H74" i="23"/>
  <c r="I74" i="23"/>
  <c r="J74" i="23"/>
  <c r="K74" i="23"/>
  <c r="L74" i="23"/>
  <c r="M74" i="23"/>
  <c r="Z147" i="27"/>
  <c r="X144" i="30"/>
  <c r="X139" i="30"/>
  <c r="Y146" i="30"/>
  <c r="Z146" i="30" s="1"/>
  <c r="Y140" i="30"/>
  <c r="AA140" i="30" s="1"/>
  <c r="AA136" i="27"/>
  <c r="X145" i="30"/>
  <c r="Y137" i="30"/>
  <c r="Z137" i="30" s="1"/>
  <c r="AA138" i="27"/>
  <c r="X141" i="30"/>
  <c r="X138" i="30"/>
  <c r="Y148" i="30"/>
  <c r="Z148" i="30" s="1"/>
  <c r="Y143" i="30"/>
  <c r="Y142" i="30"/>
  <c r="AA142" i="30" s="1"/>
  <c r="X143" i="30"/>
  <c r="Y147" i="30"/>
  <c r="AA147" i="30" s="1"/>
  <c r="Z129" i="27"/>
  <c r="U129" i="27" s="1"/>
  <c r="V129" i="27" s="1"/>
  <c r="Z148" i="27"/>
  <c r="AA132" i="27"/>
  <c r="Y128" i="30"/>
  <c r="X128" i="30"/>
  <c r="X131" i="30"/>
  <c r="Y131" i="30"/>
  <c r="Z139" i="27"/>
  <c r="Y135" i="30"/>
  <c r="X135" i="30"/>
  <c r="S111" i="30"/>
  <c r="Y126" i="30"/>
  <c r="X126" i="30"/>
  <c r="AA142" i="27"/>
  <c r="S112" i="30"/>
  <c r="X127" i="30"/>
  <c r="Y127" i="30"/>
  <c r="X130" i="30"/>
  <c r="Y130" i="30"/>
  <c r="X132" i="30"/>
  <c r="Y132" i="30"/>
  <c r="Y129" i="30"/>
  <c r="X129" i="30"/>
  <c r="X136" i="30"/>
  <c r="Y136" i="30"/>
  <c r="AA129" i="27"/>
  <c r="AA148" i="27"/>
  <c r="AA147" i="27"/>
  <c r="AA144" i="27"/>
  <c r="Z142" i="27"/>
  <c r="AA141" i="27"/>
  <c r="Z138" i="27"/>
  <c r="Z136" i="27"/>
  <c r="Z137" i="27"/>
  <c r="Z131" i="27"/>
  <c r="Y131" i="26"/>
  <c r="X131" i="26"/>
  <c r="Y129" i="26"/>
  <c r="X129" i="26"/>
  <c r="X128" i="26"/>
  <c r="Y128" i="26"/>
  <c r="Y136" i="26"/>
  <c r="X136" i="26"/>
  <c r="Y138" i="26"/>
  <c r="X138" i="26"/>
  <c r="Y130" i="26"/>
  <c r="X130" i="26"/>
  <c r="Y141" i="26"/>
  <c r="X141" i="26"/>
  <c r="Y144" i="26"/>
  <c r="X144" i="26"/>
  <c r="S112" i="26"/>
  <c r="X126" i="26"/>
  <c r="Y126" i="26"/>
  <c r="Y139" i="26"/>
  <c r="X139" i="26"/>
  <c r="Y137" i="26"/>
  <c r="X137" i="26"/>
  <c r="Y132" i="26"/>
  <c r="X132" i="26"/>
  <c r="X147" i="26"/>
  <c r="Y147" i="26"/>
  <c r="Y142" i="26"/>
  <c r="X142" i="26"/>
  <c r="Y148" i="26"/>
  <c r="X148" i="26"/>
  <c r="Y146" i="26"/>
  <c r="X146" i="26"/>
  <c r="O158" i="24"/>
  <c r="AA78" i="24"/>
  <c r="AD74" i="24"/>
  <c r="AE74" i="24"/>
  <c r="I158" i="24"/>
  <c r="I158" i="29"/>
  <c r="AA78" i="29"/>
  <c r="AD74" i="29"/>
  <c r="AE74" i="29"/>
  <c r="C158" i="23"/>
  <c r="C120" i="23"/>
  <c r="O120" i="23"/>
  <c r="I158" i="1"/>
  <c r="C139" i="23"/>
  <c r="O139" i="23"/>
  <c r="I120" i="23"/>
  <c r="I139" i="23"/>
  <c r="X138" i="5"/>
  <c r="Y138" i="5"/>
  <c r="X141" i="5"/>
  <c r="Y141" i="5"/>
  <c r="S120" i="5"/>
  <c r="X144" i="5"/>
  <c r="Y144" i="5"/>
  <c r="X143" i="5"/>
  <c r="Y143" i="5"/>
  <c r="X139" i="5"/>
  <c r="Y139" i="5"/>
  <c r="X149" i="5"/>
  <c r="Y149" i="5"/>
  <c r="X142" i="5"/>
  <c r="Y142" i="5"/>
  <c r="X145" i="5"/>
  <c r="Y145" i="5"/>
  <c r="B122" i="1"/>
  <c r="X147" i="5"/>
  <c r="Y147" i="5"/>
  <c r="X137" i="5"/>
  <c r="Y137" i="5"/>
  <c r="X148" i="5"/>
  <c r="Y148" i="5"/>
  <c r="AE74" i="1"/>
  <c r="AD74" i="1"/>
  <c r="X140" i="5"/>
  <c r="Y140" i="5"/>
  <c r="S118" i="5"/>
  <c r="AA78" i="1"/>
  <c r="AV27" i="3"/>
  <c r="Q27" i="3"/>
  <c r="Q12" i="3"/>
  <c r="AF12" i="3" s="1"/>
  <c r="Q18" i="3"/>
  <c r="AF18" i="3" s="1"/>
  <c r="Q20" i="3"/>
  <c r="AF20" i="3" s="1"/>
  <c r="Q13" i="3"/>
  <c r="AF13" i="3" s="1"/>
  <c r="Q24" i="3"/>
  <c r="AF24" i="3" s="1"/>
  <c r="Q11" i="3"/>
  <c r="Q21" i="3"/>
  <c r="AF21" i="3" s="1"/>
  <c r="Q23" i="3"/>
  <c r="AF23" i="3" s="1"/>
  <c r="Q22" i="3"/>
  <c r="AF22" i="3" s="1"/>
  <c r="Q19" i="3"/>
  <c r="AF19" i="3" s="1"/>
  <c r="Q17" i="3"/>
  <c r="AF17" i="3" s="1"/>
  <c r="Q16" i="3"/>
  <c r="AF16" i="3" s="1"/>
  <c r="Q15" i="3"/>
  <c r="AF15" i="3" s="1"/>
  <c r="Q14" i="3"/>
  <c r="AF14" i="3" s="1"/>
  <c r="AT24" i="3"/>
  <c r="AG24" i="3"/>
  <c r="AI36" i="41"/>
  <c r="AI40" i="41"/>
  <c r="AI48" i="41"/>
  <c r="AI37" i="41"/>
  <c r="AI41" i="41"/>
  <c r="AI38" i="41"/>
  <c r="AI35" i="41"/>
  <c r="AI39" i="41"/>
  <c r="AI43" i="41"/>
  <c r="AI42" i="41"/>
  <c r="AH38" i="41"/>
  <c r="AH42" i="41"/>
  <c r="O50" i="3" s="1"/>
  <c r="AH35" i="41"/>
  <c r="AH39" i="41"/>
  <c r="AH43" i="41"/>
  <c r="O51" i="3" s="1"/>
  <c r="AH48" i="41"/>
  <c r="AH36" i="41"/>
  <c r="AH40" i="41"/>
  <c r="AH37" i="41"/>
  <c r="AH41" i="41"/>
  <c r="AC35" i="41"/>
  <c r="AC43" i="41"/>
  <c r="AC40" i="41"/>
  <c r="AC41" i="41"/>
  <c r="AC37" i="41"/>
  <c r="AC38" i="41"/>
  <c r="AC48" i="41"/>
  <c r="AC42" i="41"/>
  <c r="AC36" i="41"/>
  <c r="AC39" i="41"/>
  <c r="AB48" i="41"/>
  <c r="AB37" i="41"/>
  <c r="AB41" i="41"/>
  <c r="AB38" i="41"/>
  <c r="AB36" i="41"/>
  <c r="AB42" i="41"/>
  <c r="AB35" i="41"/>
  <c r="AB39" i="41"/>
  <c r="AB43" i="41"/>
  <c r="AB40" i="41"/>
  <c r="AA36" i="41"/>
  <c r="AA40" i="41"/>
  <c r="AA48" i="41"/>
  <c r="AA35" i="41"/>
  <c r="AA38" i="41"/>
  <c r="AA42" i="41"/>
  <c r="AA39" i="41"/>
  <c r="AA41" i="41"/>
  <c r="AA43" i="41"/>
  <c r="AA37" i="41"/>
  <c r="Z43" i="41"/>
  <c r="Z59" i="41" s="1"/>
  <c r="Z36" i="41"/>
  <c r="Z52" i="41" s="1"/>
  <c r="Z40" i="41"/>
  <c r="Z56" i="41" s="1"/>
  <c r="Z42" i="41"/>
  <c r="Z58" i="41" s="1"/>
  <c r="Z48" i="41"/>
  <c r="Z37" i="41"/>
  <c r="Z53" i="41" s="1"/>
  <c r="Z38" i="41"/>
  <c r="Z54" i="41" s="1"/>
  <c r="Z35" i="41"/>
  <c r="Z51" i="41" s="1"/>
  <c r="Z41" i="41"/>
  <c r="Z57" i="41" s="1"/>
  <c r="Z39" i="41"/>
  <c r="Z55" i="41" s="1"/>
  <c r="R9" i="26"/>
  <c r="R10" i="26"/>
  <c r="M141" i="29"/>
  <c r="N164" i="3"/>
  <c r="O164" i="3"/>
  <c r="P164" i="3"/>
  <c r="Q164" i="3"/>
  <c r="R164" i="3"/>
  <c r="G141" i="1"/>
  <c r="G122" i="1"/>
  <c r="B123" i="24"/>
  <c r="O163" i="3"/>
  <c r="N163" i="3"/>
  <c r="P163" i="3"/>
  <c r="Q163" i="3"/>
  <c r="R163" i="3"/>
  <c r="G141" i="24"/>
  <c r="M141" i="24"/>
  <c r="M122" i="1"/>
  <c r="M141" i="1"/>
  <c r="G142" i="1"/>
  <c r="M142" i="1"/>
  <c r="G142" i="24"/>
  <c r="B161" i="29"/>
  <c r="S113" i="30"/>
  <c r="M142" i="29"/>
  <c r="M142" i="24"/>
  <c r="G123" i="1"/>
  <c r="S117" i="30"/>
  <c r="B142" i="29"/>
  <c r="B141" i="29"/>
  <c r="B160" i="29"/>
  <c r="S115" i="26"/>
  <c r="D52" i="30"/>
  <c r="M123" i="24"/>
  <c r="G122" i="29"/>
  <c r="S18" i="5"/>
  <c r="CE19" i="1"/>
  <c r="C13" i="1"/>
  <c r="E164" i="3"/>
  <c r="G164" i="3"/>
  <c r="F164" i="3"/>
  <c r="J164" i="3"/>
  <c r="H164" i="3"/>
  <c r="I164" i="3"/>
  <c r="K164" i="3"/>
  <c r="L164" i="3"/>
  <c r="M164" i="3"/>
  <c r="S116" i="30"/>
  <c r="B170" i="1"/>
  <c r="B123" i="1"/>
  <c r="M122" i="24"/>
  <c r="M123" i="29"/>
  <c r="B142" i="24"/>
  <c r="B161" i="24"/>
  <c r="B123" i="29"/>
  <c r="G141" i="29"/>
  <c r="S114" i="26"/>
  <c r="S18" i="30"/>
  <c r="F46" i="30"/>
  <c r="F51" i="30"/>
  <c r="F48" i="30"/>
  <c r="F52" i="30"/>
  <c r="F50" i="30"/>
  <c r="F49" i="30"/>
  <c r="F45" i="30"/>
  <c r="B160" i="1"/>
  <c r="G122" i="24"/>
  <c r="M122" i="29"/>
  <c r="S119" i="5"/>
  <c r="T161" i="3" s="1"/>
  <c r="B142" i="1"/>
  <c r="M123" i="1"/>
  <c r="B141" i="24"/>
  <c r="B160" i="24"/>
  <c r="G142" i="29"/>
  <c r="S18" i="26"/>
  <c r="F163" i="3"/>
  <c r="G163" i="3"/>
  <c r="H163" i="3"/>
  <c r="K163" i="3"/>
  <c r="I163" i="3"/>
  <c r="E163" i="3"/>
  <c r="J163" i="3"/>
  <c r="L163" i="3"/>
  <c r="M163" i="3"/>
  <c r="AW27" i="3"/>
  <c r="AB27" i="3"/>
  <c r="N27" i="3"/>
  <c r="R27" i="3"/>
  <c r="R35" i="3" s="1"/>
  <c r="AT27" i="3"/>
  <c r="P27" i="3"/>
  <c r="P35" i="3" s="1"/>
  <c r="O27" i="3"/>
  <c r="R1" i="3"/>
  <c r="S114" i="30"/>
  <c r="B161" i="1"/>
  <c r="G123" i="24"/>
  <c r="G123" i="29"/>
  <c r="S101" i="5"/>
  <c r="B141" i="1"/>
  <c r="B122" i="24"/>
  <c r="B169" i="1"/>
  <c r="V95" i="58"/>
  <c r="V94" i="58"/>
  <c r="V88" i="58"/>
  <c r="V80" i="58"/>
  <c r="U102" i="58"/>
  <c r="V96" i="58"/>
  <c r="U81" i="58"/>
  <c r="U94" i="58"/>
  <c r="V100" i="58"/>
  <c r="U91" i="58"/>
  <c r="V79" i="58"/>
  <c r="U92" i="58"/>
  <c r="U90" i="58"/>
  <c r="V101" i="58"/>
  <c r="U79" i="58"/>
  <c r="U85" i="58"/>
  <c r="V93" i="58"/>
  <c r="V90" i="58"/>
  <c r="U88" i="58"/>
  <c r="U95" i="58"/>
  <c r="U96" i="58"/>
  <c r="V104" i="58"/>
  <c r="U97" i="58"/>
  <c r="V89" i="58"/>
  <c r="U83" i="58"/>
  <c r="V85" i="58"/>
  <c r="U82" i="58"/>
  <c r="U99" i="58"/>
  <c r="V99" i="58"/>
  <c r="V84" i="58"/>
  <c r="V98" i="58"/>
  <c r="V83" i="58"/>
  <c r="U80" i="58"/>
  <c r="U101" i="58"/>
  <c r="U89" i="58"/>
  <c r="U100" i="58"/>
  <c r="V102" i="58"/>
  <c r="U98" i="58"/>
  <c r="V97" i="58"/>
  <c r="U84" i="58"/>
  <c r="V82" i="58"/>
  <c r="V81" i="58"/>
  <c r="U93" i="58"/>
  <c r="V92" i="58"/>
  <c r="CS95" i="58" l="1"/>
  <c r="S62" i="59" s="1"/>
  <c r="V125" i="58"/>
  <c r="O48" i="3"/>
  <c r="F33" i="30"/>
  <c r="R39" i="30"/>
  <c r="O44" i="3"/>
  <c r="O47" i="3"/>
  <c r="D39" i="52"/>
  <c r="O49" i="3"/>
  <c r="G34" i="27"/>
  <c r="Q16" i="27"/>
  <c r="Q58" i="27" s="1"/>
  <c r="R39" i="27"/>
  <c r="P33" i="30"/>
  <c r="Q39" i="30" s="1"/>
  <c r="P34" i="30"/>
  <c r="O33" i="30"/>
  <c r="O34" i="30"/>
  <c r="N33" i="30"/>
  <c r="N34" i="30"/>
  <c r="Q34" i="30"/>
  <c r="P33" i="26"/>
  <c r="Q39" i="26" s="1"/>
  <c r="P34" i="26"/>
  <c r="N34" i="26"/>
  <c r="N33" i="26"/>
  <c r="R39" i="26"/>
  <c r="I33" i="26"/>
  <c r="J39" i="26" s="1"/>
  <c r="O33" i="26"/>
  <c r="O34" i="26"/>
  <c r="Q34" i="26"/>
  <c r="N33" i="27"/>
  <c r="N39" i="27" s="1"/>
  <c r="N34" i="27"/>
  <c r="N40" i="27" s="1"/>
  <c r="O33" i="27"/>
  <c r="O34" i="27"/>
  <c r="L33" i="27"/>
  <c r="M39" i="27" s="1"/>
  <c r="L34" i="27"/>
  <c r="M40" i="27" s="1"/>
  <c r="P33" i="27"/>
  <c r="P34" i="27"/>
  <c r="CS101" i="58"/>
  <c r="S68" i="59" s="1"/>
  <c r="V131" i="58"/>
  <c r="V130" i="58"/>
  <c r="CS100" i="58"/>
  <c r="S67" i="59" s="1"/>
  <c r="V122" i="58"/>
  <c r="CS92" i="58"/>
  <c r="S59" i="59" s="1"/>
  <c r="CS82" i="58"/>
  <c r="S49" i="59" s="1"/>
  <c r="V112" i="58"/>
  <c r="V127" i="58"/>
  <c r="CS97" i="58"/>
  <c r="S64" i="59" s="1"/>
  <c r="S96" i="59" s="1"/>
  <c r="V128" i="58"/>
  <c r="CS98" i="58"/>
  <c r="S65" i="59" s="1"/>
  <c r="V115" i="58"/>
  <c r="CS85" i="58"/>
  <c r="S52" i="59" s="1"/>
  <c r="CS90" i="58"/>
  <c r="S57" i="59" s="1"/>
  <c r="V120" i="58"/>
  <c r="CS80" i="58"/>
  <c r="S47" i="59" s="1"/>
  <c r="S90" i="59" s="1"/>
  <c r="V110" i="58"/>
  <c r="V111" i="58"/>
  <c r="CS81" i="58"/>
  <c r="S48" i="59" s="1"/>
  <c r="S91" i="59" s="1"/>
  <c r="CS84" i="58"/>
  <c r="S51" i="59" s="1"/>
  <c r="V114" i="58"/>
  <c r="V123" i="58"/>
  <c r="CS93" i="58"/>
  <c r="S60" i="59" s="1"/>
  <c r="S94" i="59" s="1"/>
  <c r="V103" i="58"/>
  <c r="V109" i="58"/>
  <c r="V133" i="58" s="1"/>
  <c r="CS79" i="58"/>
  <c r="S46" i="59" s="1"/>
  <c r="S89" i="59" s="1"/>
  <c r="V118" i="58"/>
  <c r="CS88" i="58"/>
  <c r="S55" i="59" s="1"/>
  <c r="S93" i="59" s="1"/>
  <c r="V132" i="58"/>
  <c r="CS102" i="58"/>
  <c r="S69" i="59" s="1"/>
  <c r="V113" i="58"/>
  <c r="CS83" i="58"/>
  <c r="S50" i="59" s="1"/>
  <c r="S92" i="59" s="1"/>
  <c r="CS99" i="58"/>
  <c r="S66" i="59" s="1"/>
  <c r="V129" i="58"/>
  <c r="CS89" i="58"/>
  <c r="S56" i="59" s="1"/>
  <c r="V119" i="58"/>
  <c r="CS96" i="58"/>
  <c r="S63" i="59" s="1"/>
  <c r="S95" i="59" s="1"/>
  <c r="V126" i="58"/>
  <c r="CS94" i="58"/>
  <c r="S61" i="59" s="1"/>
  <c r="V124" i="58"/>
  <c r="AS28" i="3"/>
  <c r="N34" i="3" s="1"/>
  <c r="AV28" i="3"/>
  <c r="Q34" i="3" s="1"/>
  <c r="O43" i="3"/>
  <c r="O46" i="3"/>
  <c r="O45" i="3"/>
  <c r="AT28" i="3"/>
  <c r="O34" i="3" s="1"/>
  <c r="E37" i="27"/>
  <c r="F34" i="26"/>
  <c r="S110" i="30"/>
  <c r="B4" i="30"/>
  <c r="S111" i="26"/>
  <c r="B4" i="26"/>
  <c r="T77" i="58"/>
  <c r="S77" i="58" s="1"/>
  <c r="F37" i="27"/>
  <c r="T51" i="41"/>
  <c r="T44" i="41"/>
  <c r="CR77" i="58"/>
  <c r="R43" i="59" s="1"/>
  <c r="R88" i="59" s="1"/>
  <c r="U107" i="58"/>
  <c r="AR141" i="58" s="1"/>
  <c r="H37" i="27"/>
  <c r="M33" i="30"/>
  <c r="M34" i="30"/>
  <c r="M37" i="26"/>
  <c r="M33" i="26"/>
  <c r="M34" i="26"/>
  <c r="N40" i="26" s="1"/>
  <c r="I37" i="27"/>
  <c r="K33" i="27"/>
  <c r="K34" i="27"/>
  <c r="U113" i="58"/>
  <c r="CR83" i="58"/>
  <c r="R50" i="59" s="1"/>
  <c r="U121" i="58"/>
  <c r="CR91" i="58"/>
  <c r="R58" i="59" s="1"/>
  <c r="CR90" i="58"/>
  <c r="R57" i="59" s="1"/>
  <c r="U120" i="58"/>
  <c r="CR98" i="58"/>
  <c r="R65" i="59" s="1"/>
  <c r="U128" i="58"/>
  <c r="U124" i="58"/>
  <c r="CR94" i="58"/>
  <c r="R61" i="59" s="1"/>
  <c r="U115" i="58"/>
  <c r="CR85" i="58"/>
  <c r="R52" i="59" s="1"/>
  <c r="U122" i="58"/>
  <c r="CR92" i="58"/>
  <c r="R59" i="59" s="1"/>
  <c r="U127" i="58"/>
  <c r="CR97" i="58"/>
  <c r="R64" i="59" s="1"/>
  <c r="U123" i="58"/>
  <c r="CR93" i="58"/>
  <c r="R60" i="59" s="1"/>
  <c r="U114" i="58"/>
  <c r="CR84" i="58"/>
  <c r="R51" i="59" s="1"/>
  <c r="U130" i="58"/>
  <c r="CR100" i="58"/>
  <c r="R67" i="59" s="1"/>
  <c r="U109" i="58"/>
  <c r="U103" i="58"/>
  <c r="CR79" i="58"/>
  <c r="R46" i="59" s="1"/>
  <c r="CR101" i="58"/>
  <c r="R68" i="59" s="1"/>
  <c r="U131" i="58"/>
  <c r="U112" i="58"/>
  <c r="CR82" i="58"/>
  <c r="R49" i="59" s="1"/>
  <c r="U125" i="58"/>
  <c r="CR95" i="58"/>
  <c r="R62" i="59" s="1"/>
  <c r="U110" i="58"/>
  <c r="CR80" i="58"/>
  <c r="R47" i="59" s="1"/>
  <c r="R90" i="59" s="1"/>
  <c r="CR96" i="58"/>
  <c r="R63" i="59" s="1"/>
  <c r="R95" i="59" s="1"/>
  <c r="U126" i="58"/>
  <c r="U129" i="58"/>
  <c r="CR99" i="58"/>
  <c r="R66" i="59" s="1"/>
  <c r="U119" i="58"/>
  <c r="CR89" i="58"/>
  <c r="R56" i="59" s="1"/>
  <c r="U118" i="58"/>
  <c r="CR88" i="58"/>
  <c r="R55" i="59" s="1"/>
  <c r="CR81" i="58"/>
  <c r="R48" i="59" s="1"/>
  <c r="U111" i="58"/>
  <c r="U132" i="58"/>
  <c r="CR102" i="58"/>
  <c r="R69" i="59" s="1"/>
  <c r="CT100" i="58"/>
  <c r="CT88" i="58"/>
  <c r="CT94" i="58"/>
  <c r="CT84" i="58"/>
  <c r="CT99" i="58"/>
  <c r="CT80" i="58"/>
  <c r="CT85" i="58"/>
  <c r="CT91" i="58"/>
  <c r="CT92" i="58"/>
  <c r="CT90" i="58"/>
  <c r="CT97" i="58"/>
  <c r="CT98" i="58"/>
  <c r="CT96" i="58"/>
  <c r="CT83" i="58"/>
  <c r="CT93" i="58"/>
  <c r="CT82" i="58"/>
  <c r="CT79" i="58"/>
  <c r="CT95" i="58"/>
  <c r="CT101" i="58"/>
  <c r="CT81" i="58"/>
  <c r="CT89" i="58"/>
  <c r="CT102" i="58"/>
  <c r="I37" i="5"/>
  <c r="H37" i="5"/>
  <c r="I34" i="30"/>
  <c r="J40" i="30" s="1"/>
  <c r="L33" i="30"/>
  <c r="L34" i="30"/>
  <c r="K33" i="30"/>
  <c r="K39" i="30" s="1"/>
  <c r="K34" i="30"/>
  <c r="K40" i="30" s="1"/>
  <c r="L33" i="26"/>
  <c r="L34" i="26"/>
  <c r="K33" i="26"/>
  <c r="K39" i="26" s="1"/>
  <c r="K34" i="26"/>
  <c r="K40" i="26" s="1"/>
  <c r="J33" i="27"/>
  <c r="J34" i="27"/>
  <c r="I34" i="27"/>
  <c r="I33" i="27"/>
  <c r="I39" i="27" s="1"/>
  <c r="G37" i="27"/>
  <c r="I37" i="30"/>
  <c r="AU27" i="3"/>
  <c r="R135" i="5"/>
  <c r="R117" i="5" s="1"/>
  <c r="P37" i="30"/>
  <c r="N37" i="27"/>
  <c r="S37" i="5"/>
  <c r="N37" i="30"/>
  <c r="S37" i="27"/>
  <c r="J37" i="30"/>
  <c r="L37" i="5"/>
  <c r="Y149" i="30"/>
  <c r="Z149" i="30" s="1"/>
  <c r="J37" i="26"/>
  <c r="I37" i="26"/>
  <c r="AC16" i="3"/>
  <c r="AS17" i="3" s="1"/>
  <c r="K37" i="26"/>
  <c r="H37" i="26"/>
  <c r="J37" i="5"/>
  <c r="K37" i="5"/>
  <c r="R37" i="26"/>
  <c r="O37" i="27"/>
  <c r="Q37" i="5"/>
  <c r="K37" i="30"/>
  <c r="S37" i="26"/>
  <c r="O37" i="26"/>
  <c r="N37" i="5"/>
  <c r="O37" i="5"/>
  <c r="R37" i="27"/>
  <c r="Q37" i="26"/>
  <c r="Q37" i="30"/>
  <c r="S37" i="30"/>
  <c r="L37" i="30"/>
  <c r="P37" i="26"/>
  <c r="O37" i="30"/>
  <c r="M37" i="27"/>
  <c r="R37" i="5"/>
  <c r="P37" i="5"/>
  <c r="M37" i="5"/>
  <c r="R37" i="30"/>
  <c r="K37" i="27"/>
  <c r="M37" i="30"/>
  <c r="P37" i="27"/>
  <c r="N37" i="26"/>
  <c r="L37" i="27"/>
  <c r="Q37" i="27"/>
  <c r="L37" i="26"/>
  <c r="Z128" i="27"/>
  <c r="U128" i="27" s="1"/>
  <c r="V128" i="27" s="1"/>
  <c r="X149" i="26"/>
  <c r="Z149" i="26" s="1"/>
  <c r="X143" i="26"/>
  <c r="Y143" i="26"/>
  <c r="D23" i="5"/>
  <c r="AA130" i="27"/>
  <c r="U130" i="27" s="1"/>
  <c r="V130" i="27" s="1"/>
  <c r="D22" i="5"/>
  <c r="D21" i="5"/>
  <c r="D26" i="5"/>
  <c r="D24" i="5"/>
  <c r="D25" i="5"/>
  <c r="D19" i="5"/>
  <c r="D27" i="5"/>
  <c r="D20" i="5"/>
  <c r="Y127" i="26"/>
  <c r="S117" i="26"/>
  <c r="Y135" i="26"/>
  <c r="Z135" i="26" s="1"/>
  <c r="F47" i="30"/>
  <c r="S151" i="30"/>
  <c r="S33" i="30" s="1"/>
  <c r="S39" i="30" s="1"/>
  <c r="S134" i="30"/>
  <c r="S115" i="30" s="1"/>
  <c r="Q16" i="30"/>
  <c r="D53" i="30" s="1"/>
  <c r="D46" i="30"/>
  <c r="D49" i="30"/>
  <c r="X127" i="26"/>
  <c r="S113" i="26"/>
  <c r="Q16" i="26"/>
  <c r="Q58" i="26" s="1"/>
  <c r="R15" i="26"/>
  <c r="R12" i="27"/>
  <c r="R8" i="27"/>
  <c r="R9" i="27"/>
  <c r="F47" i="27" s="1"/>
  <c r="R13" i="26"/>
  <c r="R11" i="27"/>
  <c r="R14" i="26"/>
  <c r="R7" i="27"/>
  <c r="F45" i="27" s="1"/>
  <c r="R7" i="26"/>
  <c r="R14" i="27"/>
  <c r="F52" i="27" s="1"/>
  <c r="R11" i="26"/>
  <c r="R12" i="26"/>
  <c r="R8" i="26"/>
  <c r="R15" i="30"/>
  <c r="Y145" i="26"/>
  <c r="AA145" i="26" s="1"/>
  <c r="S134" i="26"/>
  <c r="S116" i="26" s="1"/>
  <c r="B123" i="30"/>
  <c r="B123" i="26"/>
  <c r="R10" i="30"/>
  <c r="R14" i="30"/>
  <c r="R8" i="30"/>
  <c r="R12" i="30"/>
  <c r="R13" i="30"/>
  <c r="R7" i="30"/>
  <c r="R11" i="30"/>
  <c r="R9" i="30"/>
  <c r="X140" i="26"/>
  <c r="Y140" i="26"/>
  <c r="S118" i="26"/>
  <c r="S118" i="27"/>
  <c r="X140" i="27"/>
  <c r="Y140" i="27"/>
  <c r="R10" i="27"/>
  <c r="F48" i="27" s="1"/>
  <c r="R34" i="27"/>
  <c r="R40" i="27" s="1"/>
  <c r="R13" i="27"/>
  <c r="Y149" i="27"/>
  <c r="X149" i="27"/>
  <c r="S112" i="27"/>
  <c r="X126" i="27"/>
  <c r="Y126" i="27"/>
  <c r="S151" i="27"/>
  <c r="S125" i="27"/>
  <c r="B4" i="27" s="1"/>
  <c r="Y143" i="27"/>
  <c r="S119" i="27"/>
  <c r="X143" i="27"/>
  <c r="Y145" i="27"/>
  <c r="X145" i="27"/>
  <c r="S113" i="27"/>
  <c r="X127" i="27"/>
  <c r="Y127" i="27"/>
  <c r="Y146" i="27"/>
  <c r="X146" i="27"/>
  <c r="X135" i="27"/>
  <c r="S134" i="27"/>
  <c r="S116" i="27" s="1"/>
  <c r="Y135" i="27"/>
  <c r="S117" i="27"/>
  <c r="S151" i="26"/>
  <c r="N74" i="24"/>
  <c r="O74" i="24"/>
  <c r="P74" i="24"/>
  <c r="Q74" i="24"/>
  <c r="R74" i="24"/>
  <c r="S74" i="24"/>
  <c r="T74" i="24"/>
  <c r="U74" i="24"/>
  <c r="V74" i="24"/>
  <c r="S57" i="5"/>
  <c r="N74" i="1"/>
  <c r="O74" i="1"/>
  <c r="P74" i="1"/>
  <c r="Q74" i="1"/>
  <c r="R74" i="1"/>
  <c r="S74" i="1"/>
  <c r="T74" i="1"/>
  <c r="U74" i="1"/>
  <c r="V74" i="1"/>
  <c r="CR67" i="1"/>
  <c r="N53" i="5" s="1"/>
  <c r="S150" i="5"/>
  <c r="X150" i="5" s="1"/>
  <c r="CR60" i="1"/>
  <c r="N46" i="5" s="1"/>
  <c r="S128" i="5"/>
  <c r="CR66" i="1"/>
  <c r="N52" i="5" s="1"/>
  <c r="S146" i="5"/>
  <c r="CR59" i="1"/>
  <c r="N45" i="5" s="1"/>
  <c r="CR48" i="1"/>
  <c r="S127" i="5"/>
  <c r="AT13" i="3"/>
  <c r="O53" i="26"/>
  <c r="O53" i="5"/>
  <c r="O53" i="30"/>
  <c r="R19" i="5"/>
  <c r="R27" i="5"/>
  <c r="R23" i="5"/>
  <c r="R24" i="5"/>
  <c r="R20" i="5"/>
  <c r="E37" i="30"/>
  <c r="U132" i="27"/>
  <c r="V132" i="27" s="1"/>
  <c r="G25" i="5"/>
  <c r="E25" i="5"/>
  <c r="F25" i="5"/>
  <c r="H25" i="5"/>
  <c r="I25" i="5"/>
  <c r="J25" i="5"/>
  <c r="K25" i="5"/>
  <c r="L25" i="5"/>
  <c r="M25" i="5"/>
  <c r="N25" i="5"/>
  <c r="O25" i="5"/>
  <c r="P25" i="5"/>
  <c r="Q25" i="5"/>
  <c r="G21" i="5"/>
  <c r="F21" i="5"/>
  <c r="I21" i="5"/>
  <c r="E21" i="5"/>
  <c r="H21" i="5"/>
  <c r="J21" i="5"/>
  <c r="K21" i="5"/>
  <c r="L21" i="5"/>
  <c r="M21" i="5"/>
  <c r="N21" i="5"/>
  <c r="O21" i="5"/>
  <c r="P21" i="5"/>
  <c r="Q21" i="5"/>
  <c r="G20" i="5"/>
  <c r="H20" i="5"/>
  <c r="E20" i="5"/>
  <c r="F20" i="5"/>
  <c r="I20" i="5"/>
  <c r="J20" i="5"/>
  <c r="K20" i="5"/>
  <c r="L20" i="5"/>
  <c r="M20" i="5"/>
  <c r="N20" i="5"/>
  <c r="O20" i="5"/>
  <c r="P20" i="5"/>
  <c r="Q20" i="5"/>
  <c r="H27" i="5"/>
  <c r="E27" i="5"/>
  <c r="G27" i="5"/>
  <c r="F27" i="5"/>
  <c r="I27" i="5"/>
  <c r="J27" i="5"/>
  <c r="K27" i="5"/>
  <c r="L27" i="5"/>
  <c r="M27" i="5"/>
  <c r="N27" i="5"/>
  <c r="O27" i="5"/>
  <c r="P27" i="5"/>
  <c r="Q27" i="5"/>
  <c r="F24" i="5"/>
  <c r="H24" i="5"/>
  <c r="E24" i="5"/>
  <c r="I24" i="5"/>
  <c r="G24" i="5"/>
  <c r="J24" i="5"/>
  <c r="K24" i="5"/>
  <c r="L24" i="5"/>
  <c r="M24" i="5"/>
  <c r="N24" i="5"/>
  <c r="O24" i="5"/>
  <c r="P24" i="5"/>
  <c r="Q24" i="5"/>
  <c r="E19" i="5"/>
  <c r="G19" i="5"/>
  <c r="I19" i="5"/>
  <c r="H19" i="5"/>
  <c r="F19" i="5"/>
  <c r="J19" i="5"/>
  <c r="K19" i="5"/>
  <c r="L19" i="5"/>
  <c r="M19" i="5"/>
  <c r="N19" i="5"/>
  <c r="O19" i="5"/>
  <c r="P19" i="5"/>
  <c r="Q19" i="5"/>
  <c r="I26" i="5"/>
  <c r="F26" i="5"/>
  <c r="E26" i="5"/>
  <c r="H26" i="5"/>
  <c r="G26" i="5"/>
  <c r="J26" i="5"/>
  <c r="K26" i="5"/>
  <c r="L26" i="5"/>
  <c r="M26" i="5"/>
  <c r="N26" i="5"/>
  <c r="O26" i="5"/>
  <c r="P26" i="5"/>
  <c r="Q26" i="5"/>
  <c r="R25" i="5"/>
  <c r="G23" i="5"/>
  <c r="H23" i="5"/>
  <c r="I23" i="5"/>
  <c r="F23" i="5"/>
  <c r="E23" i="5"/>
  <c r="J23" i="5"/>
  <c r="K23" i="5"/>
  <c r="L23" i="5"/>
  <c r="M23" i="5"/>
  <c r="N23" i="5"/>
  <c r="O23" i="5"/>
  <c r="P23" i="5"/>
  <c r="Q23" i="5"/>
  <c r="G22" i="5"/>
  <c r="E22" i="5"/>
  <c r="H22" i="5"/>
  <c r="I22" i="5"/>
  <c r="F22" i="5"/>
  <c r="J22" i="5"/>
  <c r="K22" i="5"/>
  <c r="L22" i="5"/>
  <c r="M22" i="5"/>
  <c r="N22" i="5"/>
  <c r="O22" i="5"/>
  <c r="P22" i="5"/>
  <c r="Q22" i="5"/>
  <c r="R22" i="5"/>
  <c r="R21" i="5"/>
  <c r="R26" i="5"/>
  <c r="O35" i="3"/>
  <c r="S26" i="5"/>
  <c r="S20" i="5"/>
  <c r="S19" i="5"/>
  <c r="S25" i="5"/>
  <c r="S24" i="5"/>
  <c r="S27" i="5"/>
  <c r="S21" i="5"/>
  <c r="S23" i="5"/>
  <c r="S22" i="5"/>
  <c r="F37" i="5"/>
  <c r="AI58" i="41"/>
  <c r="AI59" i="41"/>
  <c r="AI55" i="41"/>
  <c r="AI51" i="41"/>
  <c r="AI54" i="41"/>
  <c r="AI57" i="41"/>
  <c r="AI53" i="41"/>
  <c r="AI56" i="41"/>
  <c r="AI52" i="41"/>
  <c r="E37" i="5"/>
  <c r="F37" i="30"/>
  <c r="G39" i="27"/>
  <c r="C76" i="3"/>
  <c r="AC76" i="3"/>
  <c r="F76" i="3"/>
  <c r="F127" i="3" s="1"/>
  <c r="AE76" i="3"/>
  <c r="E76" i="3"/>
  <c r="AD76" i="3"/>
  <c r="D76" i="3"/>
  <c r="G39" i="30"/>
  <c r="G33" i="26"/>
  <c r="G39" i="26" s="1"/>
  <c r="G34" i="26"/>
  <c r="H40" i="26" s="1"/>
  <c r="H34" i="30"/>
  <c r="H33" i="30"/>
  <c r="H39" i="30" s="1"/>
  <c r="D33" i="27"/>
  <c r="D34" i="27"/>
  <c r="D101" i="27" s="1"/>
  <c r="U36" i="30"/>
  <c r="G40" i="27"/>
  <c r="E33" i="30"/>
  <c r="E34" i="30"/>
  <c r="F101" i="30" s="1"/>
  <c r="U36" i="26"/>
  <c r="H40" i="27"/>
  <c r="E34" i="27"/>
  <c r="F101" i="27" s="1"/>
  <c r="E33" i="27"/>
  <c r="D33" i="30"/>
  <c r="D34" i="30"/>
  <c r="D101" i="30" s="1"/>
  <c r="V10" i="3" s="1"/>
  <c r="U36" i="5"/>
  <c r="G37" i="30"/>
  <c r="H39" i="27"/>
  <c r="G37" i="5"/>
  <c r="E33" i="26"/>
  <c r="F39" i="26" s="1"/>
  <c r="E34" i="26"/>
  <c r="J39" i="30"/>
  <c r="D33" i="26"/>
  <c r="D34" i="26"/>
  <c r="D101" i="26" s="1"/>
  <c r="E37" i="26"/>
  <c r="F37" i="26"/>
  <c r="G37" i="26"/>
  <c r="J40" i="26"/>
  <c r="G40" i="30"/>
  <c r="C120" i="29"/>
  <c r="AH55" i="41"/>
  <c r="Q35" i="3"/>
  <c r="AB51" i="41"/>
  <c r="AC53" i="41"/>
  <c r="AH51" i="41"/>
  <c r="AC57" i="41"/>
  <c r="AH58" i="41"/>
  <c r="R22" i="26"/>
  <c r="N35" i="3"/>
  <c r="AB57" i="41"/>
  <c r="AC51" i="41"/>
  <c r="AB53" i="41"/>
  <c r="AH57" i="41"/>
  <c r="R24" i="26"/>
  <c r="C120" i="24"/>
  <c r="C139" i="24"/>
  <c r="O120" i="24"/>
  <c r="AS19" i="3"/>
  <c r="AR19" i="3"/>
  <c r="AV13" i="3"/>
  <c r="AU12" i="3"/>
  <c r="AV17" i="3"/>
  <c r="AV20" i="3"/>
  <c r="AV18" i="3"/>
  <c r="AT12" i="3"/>
  <c r="AV21" i="3"/>
  <c r="AV24" i="3"/>
  <c r="AV25" i="3"/>
  <c r="AW24" i="3"/>
  <c r="AW25" i="3"/>
  <c r="AV14" i="3"/>
  <c r="AV15" i="3"/>
  <c r="AV16" i="3"/>
  <c r="AV19" i="3"/>
  <c r="AR11" i="3"/>
  <c r="AS11" i="3"/>
  <c r="AV22" i="3"/>
  <c r="AV23" i="3"/>
  <c r="AW12" i="3"/>
  <c r="AT25" i="3"/>
  <c r="AS27" i="3"/>
  <c r="AR27" i="3"/>
  <c r="U141" i="27"/>
  <c r="V141" i="27" s="1"/>
  <c r="U139" i="27"/>
  <c r="V139" i="27" s="1"/>
  <c r="U148" i="27"/>
  <c r="V148" i="27" s="1"/>
  <c r="R19" i="26"/>
  <c r="U144" i="27"/>
  <c r="V144" i="27" s="1"/>
  <c r="AA126" i="30"/>
  <c r="U136" i="27"/>
  <c r="V136" i="27" s="1"/>
  <c r="AA146" i="30"/>
  <c r="U146" i="30" s="1"/>
  <c r="V146" i="30" s="1"/>
  <c r="U147" i="27"/>
  <c r="V147" i="27" s="1"/>
  <c r="AA136" i="30"/>
  <c r="AA137" i="30"/>
  <c r="U137" i="30" s="1"/>
  <c r="V137" i="30" s="1"/>
  <c r="Z142" i="30"/>
  <c r="U142" i="30" s="1"/>
  <c r="V142" i="30" s="1"/>
  <c r="AA128" i="26"/>
  <c r="Z140" i="30"/>
  <c r="U140" i="30" s="1"/>
  <c r="V140" i="30" s="1"/>
  <c r="AA148" i="30"/>
  <c r="U148" i="30" s="1"/>
  <c r="V148" i="30" s="1"/>
  <c r="O120" i="29"/>
  <c r="Z138" i="30"/>
  <c r="AA138" i="30"/>
  <c r="AA141" i="30"/>
  <c r="Z141" i="30"/>
  <c r="AA143" i="30"/>
  <c r="Z143" i="30"/>
  <c r="AA139" i="30"/>
  <c r="Z139" i="30"/>
  <c r="R23" i="30"/>
  <c r="Z147" i="30"/>
  <c r="U147" i="30" s="1"/>
  <c r="V147" i="30" s="1"/>
  <c r="AA145" i="30"/>
  <c r="Z145" i="30"/>
  <c r="Z128" i="30"/>
  <c r="Z144" i="30"/>
  <c r="AA144" i="30"/>
  <c r="AA147" i="26"/>
  <c r="AA126" i="26"/>
  <c r="U142" i="27"/>
  <c r="V142" i="27" s="1"/>
  <c r="Z146" i="26"/>
  <c r="Z142" i="26"/>
  <c r="AA131" i="26"/>
  <c r="Z136" i="30"/>
  <c r="Z126" i="30"/>
  <c r="Z132" i="26"/>
  <c r="AA129" i="30"/>
  <c r="Z129" i="30"/>
  <c r="Z137" i="26"/>
  <c r="Z138" i="26"/>
  <c r="AA135" i="30"/>
  <c r="Z135" i="30"/>
  <c r="AA132" i="30"/>
  <c r="Z132" i="30"/>
  <c r="AA148" i="26"/>
  <c r="AA130" i="30"/>
  <c r="Z130" i="30"/>
  <c r="AA127" i="30"/>
  <c r="Z127" i="30"/>
  <c r="AA131" i="30"/>
  <c r="Z131" i="30"/>
  <c r="AA128" i="30"/>
  <c r="U138" i="27"/>
  <c r="V138" i="27" s="1"/>
  <c r="U131" i="27"/>
  <c r="V131" i="27" s="1"/>
  <c r="U137" i="27"/>
  <c r="V137" i="27" s="1"/>
  <c r="Z141" i="26"/>
  <c r="Z130" i="26"/>
  <c r="AA139" i="26"/>
  <c r="AA136" i="26"/>
  <c r="AA144" i="26"/>
  <c r="Z129" i="26"/>
  <c r="AA132" i="26"/>
  <c r="AA130" i="26"/>
  <c r="AA137" i="26"/>
  <c r="AA138" i="26"/>
  <c r="Z148" i="26"/>
  <c r="Z139" i="26"/>
  <c r="Z136" i="26"/>
  <c r="Z144" i="26"/>
  <c r="Z128" i="26"/>
  <c r="AA146" i="26"/>
  <c r="AA142" i="26"/>
  <c r="AA141" i="26"/>
  <c r="AA129" i="26"/>
  <c r="Z131" i="26"/>
  <c r="Z147" i="26"/>
  <c r="Z126" i="26"/>
  <c r="I120" i="29"/>
  <c r="I120" i="24"/>
  <c r="O139" i="24"/>
  <c r="I139" i="24"/>
  <c r="C158" i="24"/>
  <c r="H74" i="24"/>
  <c r="G74" i="24"/>
  <c r="I74" i="24"/>
  <c r="J74" i="24"/>
  <c r="K74" i="24"/>
  <c r="L74" i="24"/>
  <c r="M74" i="24"/>
  <c r="C139" i="29"/>
  <c r="I139" i="29"/>
  <c r="C158" i="29"/>
  <c r="O139" i="29"/>
  <c r="O139" i="1"/>
  <c r="Z139" i="5"/>
  <c r="Z137" i="5"/>
  <c r="AA137" i="5"/>
  <c r="Z143" i="5"/>
  <c r="AA143" i="5"/>
  <c r="Z147" i="5"/>
  <c r="AA147" i="5"/>
  <c r="Z144" i="5"/>
  <c r="AA144" i="5"/>
  <c r="I120" i="1"/>
  <c r="Z145" i="5"/>
  <c r="AA145" i="5"/>
  <c r="Z140" i="5"/>
  <c r="AA140" i="5"/>
  <c r="Z141" i="5"/>
  <c r="AA141" i="5"/>
  <c r="O120" i="1"/>
  <c r="G74" i="1"/>
  <c r="H74" i="1"/>
  <c r="I74" i="1"/>
  <c r="J74" i="1"/>
  <c r="K74" i="1"/>
  <c r="L74" i="1"/>
  <c r="M74" i="1"/>
  <c r="Z142" i="5"/>
  <c r="AA142" i="5"/>
  <c r="Z138" i="5"/>
  <c r="AA138" i="5"/>
  <c r="Z149" i="5"/>
  <c r="AA149" i="5"/>
  <c r="Z148" i="5"/>
  <c r="AA148" i="5"/>
  <c r="I139" i="1"/>
  <c r="C158" i="1"/>
  <c r="C139" i="1"/>
  <c r="D24" i="27"/>
  <c r="AA56" i="41"/>
  <c r="D20" i="27"/>
  <c r="AA52" i="41"/>
  <c r="AC52" i="41"/>
  <c r="AH52" i="41"/>
  <c r="AH56" i="41"/>
  <c r="AC58" i="41"/>
  <c r="AB59" i="41"/>
  <c r="AH59" i="41"/>
  <c r="AB56" i="41"/>
  <c r="D21" i="27"/>
  <c r="AA53" i="41"/>
  <c r="AB55" i="41"/>
  <c r="AC54" i="41"/>
  <c r="AC55" i="41"/>
  <c r="D27" i="27"/>
  <c r="AA59" i="41"/>
  <c r="D25" i="27"/>
  <c r="AA57" i="41"/>
  <c r="AB58" i="41"/>
  <c r="D23" i="27"/>
  <c r="AA55" i="41"/>
  <c r="AB52" i="41"/>
  <c r="AC56" i="41"/>
  <c r="AH54" i="41"/>
  <c r="D26" i="27"/>
  <c r="AA58" i="41"/>
  <c r="AB54" i="41"/>
  <c r="AC59" i="41"/>
  <c r="D22" i="27"/>
  <c r="AA54" i="41"/>
  <c r="D19" i="27"/>
  <c r="AA51" i="41"/>
  <c r="R21" i="30"/>
  <c r="AH53" i="41"/>
  <c r="R21" i="26"/>
  <c r="R27" i="30"/>
  <c r="F53" i="27"/>
  <c r="F46" i="27"/>
  <c r="F50" i="27"/>
  <c r="R20" i="26"/>
  <c r="R20" i="30"/>
  <c r="R19" i="30"/>
  <c r="D21" i="30"/>
  <c r="D21" i="26"/>
  <c r="D27" i="30"/>
  <c r="D27" i="26"/>
  <c r="D25" i="30"/>
  <c r="D25" i="26"/>
  <c r="D20" i="30"/>
  <c r="D20" i="26"/>
  <c r="D23" i="30"/>
  <c r="D23" i="26"/>
  <c r="D26" i="30"/>
  <c r="D26" i="26"/>
  <c r="D22" i="26"/>
  <c r="D22" i="30"/>
  <c r="D19" i="26"/>
  <c r="D19" i="30"/>
  <c r="D24" i="30"/>
  <c r="D24" i="26"/>
  <c r="R25" i="26"/>
  <c r="R26" i="26"/>
  <c r="R27" i="26"/>
  <c r="R25" i="30"/>
  <c r="AF11" i="3"/>
  <c r="AV11" i="3" s="1"/>
  <c r="R23" i="26"/>
  <c r="R24" i="30"/>
  <c r="R26" i="30"/>
  <c r="R22" i="30"/>
  <c r="Z44" i="41"/>
  <c r="R26" i="27"/>
  <c r="H26" i="30"/>
  <c r="J26" i="26"/>
  <c r="E26" i="26"/>
  <c r="H26" i="26"/>
  <c r="K26" i="30"/>
  <c r="N26" i="26"/>
  <c r="F26" i="27"/>
  <c r="M26" i="27"/>
  <c r="P26" i="27"/>
  <c r="Q26" i="30"/>
  <c r="E26" i="30"/>
  <c r="J26" i="27"/>
  <c r="K26" i="26"/>
  <c r="N26" i="30"/>
  <c r="Q26" i="26"/>
  <c r="F26" i="30"/>
  <c r="N26" i="27"/>
  <c r="O26" i="26"/>
  <c r="S26" i="27"/>
  <c r="H26" i="27"/>
  <c r="I26" i="26"/>
  <c r="Q26" i="27"/>
  <c r="F26" i="26"/>
  <c r="I26" i="30"/>
  <c r="L26" i="30"/>
  <c r="P26" i="30"/>
  <c r="K26" i="27"/>
  <c r="L26" i="26"/>
  <c r="O26" i="30"/>
  <c r="P26" i="26"/>
  <c r="G26" i="26"/>
  <c r="M26" i="26"/>
  <c r="E26" i="27"/>
  <c r="G26" i="30"/>
  <c r="J26" i="30"/>
  <c r="O26" i="27"/>
  <c r="G26" i="27"/>
  <c r="I26" i="27"/>
  <c r="L26" i="27"/>
  <c r="M26" i="30"/>
  <c r="AC44" i="41"/>
  <c r="G27" i="27"/>
  <c r="M27" i="27"/>
  <c r="N27" i="26"/>
  <c r="P27" i="30"/>
  <c r="E27" i="30"/>
  <c r="H27" i="30"/>
  <c r="K27" i="26"/>
  <c r="P27" i="27"/>
  <c r="L27" i="27"/>
  <c r="K27" i="27"/>
  <c r="L27" i="30"/>
  <c r="O27" i="30"/>
  <c r="Q27" i="26"/>
  <c r="F27" i="26"/>
  <c r="N27" i="27"/>
  <c r="O27" i="26"/>
  <c r="F27" i="30"/>
  <c r="I27" i="30"/>
  <c r="R27" i="27"/>
  <c r="H27" i="27"/>
  <c r="I27" i="26"/>
  <c r="L27" i="26"/>
  <c r="Q27" i="27"/>
  <c r="G27" i="30"/>
  <c r="J27" i="30"/>
  <c r="M27" i="26"/>
  <c r="P27" i="26"/>
  <c r="O27" i="27"/>
  <c r="I27" i="27"/>
  <c r="E27" i="27"/>
  <c r="G27" i="26"/>
  <c r="J27" i="26"/>
  <c r="M27" i="30"/>
  <c r="E27" i="26"/>
  <c r="J27" i="27"/>
  <c r="K27" i="30"/>
  <c r="S27" i="27"/>
  <c r="F27" i="27"/>
  <c r="H27" i="26"/>
  <c r="N27" i="30"/>
  <c r="Q27" i="30"/>
  <c r="AA44" i="41"/>
  <c r="P23" i="26"/>
  <c r="F23" i="27"/>
  <c r="M23" i="27"/>
  <c r="N23" i="26"/>
  <c r="G23" i="27"/>
  <c r="J23" i="27"/>
  <c r="K23" i="26"/>
  <c r="N23" i="30"/>
  <c r="R23" i="27"/>
  <c r="K23" i="27"/>
  <c r="N23" i="27"/>
  <c r="O23" i="26"/>
  <c r="M23" i="30"/>
  <c r="F23" i="30"/>
  <c r="O23" i="30"/>
  <c r="Q23" i="30"/>
  <c r="H23" i="27"/>
  <c r="I23" i="26"/>
  <c r="L23" i="30"/>
  <c r="F23" i="26"/>
  <c r="I23" i="30"/>
  <c r="L23" i="26"/>
  <c r="Q23" i="27"/>
  <c r="I23" i="27"/>
  <c r="M23" i="26"/>
  <c r="S23" i="27"/>
  <c r="G23" i="26"/>
  <c r="J23" i="26"/>
  <c r="O23" i="27"/>
  <c r="K23" i="30"/>
  <c r="E23" i="27"/>
  <c r="G23" i="30"/>
  <c r="L23" i="27"/>
  <c r="Q23" i="26"/>
  <c r="J23" i="30"/>
  <c r="E23" i="30"/>
  <c r="H23" i="30"/>
  <c r="P23" i="27"/>
  <c r="P23" i="30"/>
  <c r="E23" i="26"/>
  <c r="H23" i="26"/>
  <c r="P19" i="26"/>
  <c r="H19" i="30"/>
  <c r="K19" i="30"/>
  <c r="P19" i="27"/>
  <c r="H19" i="26"/>
  <c r="G19" i="27"/>
  <c r="K19" i="27"/>
  <c r="L19" i="30"/>
  <c r="O19" i="26"/>
  <c r="F19" i="26"/>
  <c r="N19" i="27"/>
  <c r="O19" i="30"/>
  <c r="J19" i="27"/>
  <c r="R19" i="27"/>
  <c r="F19" i="30"/>
  <c r="I19" i="30"/>
  <c r="H19" i="27"/>
  <c r="I19" i="26"/>
  <c r="L19" i="26"/>
  <c r="Q19" i="27"/>
  <c r="P19" i="30"/>
  <c r="I19" i="27"/>
  <c r="J19" i="30"/>
  <c r="M19" i="26"/>
  <c r="F19" i="27"/>
  <c r="AI44" i="41"/>
  <c r="G19" i="26"/>
  <c r="K19" i="26"/>
  <c r="E19" i="27"/>
  <c r="J19" i="26"/>
  <c r="M19" i="30"/>
  <c r="Q19" i="30"/>
  <c r="Q19" i="26"/>
  <c r="E19" i="26"/>
  <c r="G19" i="30"/>
  <c r="L19" i="27"/>
  <c r="O19" i="27"/>
  <c r="S19" i="27"/>
  <c r="N19" i="30"/>
  <c r="E19" i="30"/>
  <c r="M19" i="27"/>
  <c r="N19" i="26"/>
  <c r="H22" i="27"/>
  <c r="I22" i="26"/>
  <c r="N22" i="27"/>
  <c r="Q22" i="27"/>
  <c r="K22" i="27"/>
  <c r="F22" i="26"/>
  <c r="L22" i="26"/>
  <c r="O22" i="26"/>
  <c r="Q22" i="26"/>
  <c r="K22" i="26"/>
  <c r="G22" i="26"/>
  <c r="M22" i="26"/>
  <c r="S22" i="27"/>
  <c r="L22" i="30"/>
  <c r="J22" i="26"/>
  <c r="P22" i="26"/>
  <c r="H22" i="30"/>
  <c r="I22" i="30"/>
  <c r="E22" i="27"/>
  <c r="G22" i="30"/>
  <c r="L22" i="27"/>
  <c r="M22" i="30"/>
  <c r="O22" i="30"/>
  <c r="P22" i="30"/>
  <c r="G22" i="27"/>
  <c r="I22" i="27"/>
  <c r="J22" i="30"/>
  <c r="O22" i="27"/>
  <c r="Q22" i="30"/>
  <c r="E22" i="30"/>
  <c r="N22" i="30"/>
  <c r="F22" i="27"/>
  <c r="J22" i="27"/>
  <c r="M22" i="27"/>
  <c r="N22" i="26"/>
  <c r="R22" i="27"/>
  <c r="E22" i="26"/>
  <c r="H22" i="26"/>
  <c r="K22" i="30"/>
  <c r="P22" i="27"/>
  <c r="F22" i="30"/>
  <c r="P25" i="30"/>
  <c r="K25" i="27"/>
  <c r="L25" i="26"/>
  <c r="O25" i="26"/>
  <c r="I25" i="30"/>
  <c r="J25" i="26"/>
  <c r="M25" i="26"/>
  <c r="Q25" i="26"/>
  <c r="H25" i="27"/>
  <c r="I25" i="27"/>
  <c r="S25" i="27"/>
  <c r="L25" i="30"/>
  <c r="P25" i="26"/>
  <c r="E25" i="27"/>
  <c r="G25" i="30"/>
  <c r="L25" i="27"/>
  <c r="M25" i="30"/>
  <c r="E25" i="30"/>
  <c r="G25" i="26"/>
  <c r="J25" i="30"/>
  <c r="O25" i="27"/>
  <c r="H25" i="30"/>
  <c r="Q25" i="30"/>
  <c r="O25" i="30"/>
  <c r="E25" i="26"/>
  <c r="J25" i="27"/>
  <c r="M25" i="27"/>
  <c r="N25" i="26"/>
  <c r="F25" i="27"/>
  <c r="H25" i="26"/>
  <c r="K25" i="26"/>
  <c r="N25" i="30"/>
  <c r="R25" i="27"/>
  <c r="G25" i="27"/>
  <c r="K25" i="30"/>
  <c r="P25" i="27"/>
  <c r="F25" i="26"/>
  <c r="I25" i="26"/>
  <c r="N25" i="27"/>
  <c r="Q25" i="27"/>
  <c r="F25" i="30"/>
  <c r="P21" i="30"/>
  <c r="J21" i="30"/>
  <c r="M21" i="30"/>
  <c r="Q21" i="26"/>
  <c r="G21" i="30"/>
  <c r="R21" i="27"/>
  <c r="E21" i="27"/>
  <c r="I21" i="27"/>
  <c r="L21" i="27"/>
  <c r="O21" i="27"/>
  <c r="Q21" i="30"/>
  <c r="S21" i="27"/>
  <c r="G21" i="26"/>
  <c r="M21" i="26"/>
  <c r="E21" i="26"/>
  <c r="H21" i="30"/>
  <c r="K21" i="30"/>
  <c r="F21" i="27"/>
  <c r="H21" i="26"/>
  <c r="M21" i="27"/>
  <c r="N21" i="26"/>
  <c r="O21" i="30"/>
  <c r="E21" i="30"/>
  <c r="K21" i="26"/>
  <c r="P21" i="27"/>
  <c r="P21" i="26"/>
  <c r="G21" i="27"/>
  <c r="J21" i="27"/>
  <c r="N21" i="30"/>
  <c r="J21" i="26"/>
  <c r="H21" i="27"/>
  <c r="I21" i="26"/>
  <c r="L21" i="30"/>
  <c r="Q21" i="27"/>
  <c r="I21" i="30"/>
  <c r="L21" i="26"/>
  <c r="F21" i="26"/>
  <c r="F21" i="30"/>
  <c r="K21" i="27"/>
  <c r="N21" i="27"/>
  <c r="O21" i="26"/>
  <c r="G24" i="30"/>
  <c r="J24" i="30"/>
  <c r="O24" i="27"/>
  <c r="Q24" i="30"/>
  <c r="S24" i="27"/>
  <c r="E24" i="27"/>
  <c r="I24" i="27"/>
  <c r="M24" i="30"/>
  <c r="F24" i="26"/>
  <c r="G24" i="26"/>
  <c r="J24" i="26"/>
  <c r="M24" i="26"/>
  <c r="E24" i="26"/>
  <c r="H24" i="26"/>
  <c r="K24" i="30"/>
  <c r="P24" i="26"/>
  <c r="F24" i="27"/>
  <c r="K24" i="26"/>
  <c r="N24" i="26"/>
  <c r="R24" i="27"/>
  <c r="G24" i="27"/>
  <c r="J24" i="27"/>
  <c r="M24" i="27"/>
  <c r="P24" i="27"/>
  <c r="E24" i="30"/>
  <c r="H24" i="30"/>
  <c r="N24" i="30"/>
  <c r="O24" i="30"/>
  <c r="P24" i="30"/>
  <c r="H24" i="27"/>
  <c r="I24" i="26"/>
  <c r="L24" i="26"/>
  <c r="Q24" i="27"/>
  <c r="I24" i="30"/>
  <c r="K24" i="27"/>
  <c r="L24" i="30"/>
  <c r="Q24" i="26"/>
  <c r="F24" i="30"/>
  <c r="N24" i="27"/>
  <c r="O24" i="26"/>
  <c r="L24" i="27"/>
  <c r="AB44" i="41"/>
  <c r="AH44" i="41"/>
  <c r="R20" i="27"/>
  <c r="E20" i="30"/>
  <c r="G20" i="30"/>
  <c r="L20" i="27"/>
  <c r="M20" i="26"/>
  <c r="H20" i="26"/>
  <c r="N20" i="30"/>
  <c r="E20" i="26"/>
  <c r="H20" i="30"/>
  <c r="K20" i="30"/>
  <c r="P20" i="27"/>
  <c r="J20" i="30"/>
  <c r="E20" i="27"/>
  <c r="S20" i="27"/>
  <c r="F20" i="27"/>
  <c r="M20" i="27"/>
  <c r="G20" i="27"/>
  <c r="J20" i="27"/>
  <c r="K20" i="26"/>
  <c r="N20" i="26"/>
  <c r="Q20" i="30"/>
  <c r="F20" i="30"/>
  <c r="K20" i="27"/>
  <c r="L20" i="26"/>
  <c r="Q20" i="27"/>
  <c r="M20" i="30"/>
  <c r="G20" i="26"/>
  <c r="F20" i="26"/>
  <c r="I20" i="26"/>
  <c r="L20" i="30"/>
  <c r="O20" i="26"/>
  <c r="H20" i="27"/>
  <c r="I20" i="30"/>
  <c r="N20" i="27"/>
  <c r="O20" i="30"/>
  <c r="P20" i="30"/>
  <c r="J20" i="26"/>
  <c r="P20" i="26"/>
  <c r="I20" i="27"/>
  <c r="O20" i="27"/>
  <c r="Q20" i="26"/>
  <c r="S27" i="30"/>
  <c r="S24" i="30"/>
  <c r="S21" i="30"/>
  <c r="S26" i="30"/>
  <c r="S23" i="30"/>
  <c r="S20" i="30"/>
  <c r="S25" i="30"/>
  <c r="S22" i="30"/>
  <c r="S19" i="30"/>
  <c r="S22" i="26"/>
  <c r="S26" i="26"/>
  <c r="S19" i="26"/>
  <c r="S23" i="26"/>
  <c r="S27" i="26"/>
  <c r="S20" i="26"/>
  <c r="S24" i="26"/>
  <c r="S21" i="26"/>
  <c r="S25" i="26"/>
  <c r="C120" i="1"/>
  <c r="T98" i="58"/>
  <c r="T88" i="58"/>
  <c r="T80" i="58"/>
  <c r="U104" i="58"/>
  <c r="T89" i="58"/>
  <c r="T85" i="58"/>
  <c r="T97" i="58"/>
  <c r="T96" i="58"/>
  <c r="T79" i="58"/>
  <c r="T101" i="58"/>
  <c r="S82" i="58"/>
  <c r="T81" i="58"/>
  <c r="T102" i="58"/>
  <c r="T90" i="58"/>
  <c r="S79" i="58"/>
  <c r="S85" i="58"/>
  <c r="T84" i="58"/>
  <c r="T95" i="58"/>
  <c r="S95" i="58"/>
  <c r="T91" i="58"/>
  <c r="T93" i="58"/>
  <c r="T99" i="58"/>
  <c r="S92" i="58"/>
  <c r="T94" i="58"/>
  <c r="T82" i="58"/>
  <c r="T92" i="58"/>
  <c r="S104" i="58"/>
  <c r="T83" i="58"/>
  <c r="T100" i="58"/>
  <c r="S81" i="58"/>
  <c r="S84" i="58"/>
  <c r="P39" i="26" l="1"/>
  <c r="I39" i="26"/>
  <c r="F40" i="26"/>
  <c r="P39" i="30"/>
  <c r="N39" i="30"/>
  <c r="S70" i="59"/>
  <c r="CS103" i="58"/>
  <c r="Q40" i="30"/>
  <c r="AU28" i="3"/>
  <c r="P34" i="3" s="1"/>
  <c r="N40" i="30"/>
  <c r="O40" i="27"/>
  <c r="O39" i="27"/>
  <c r="L39" i="27"/>
  <c r="L40" i="27"/>
  <c r="P39" i="27"/>
  <c r="Q39" i="27"/>
  <c r="N39" i="26"/>
  <c r="O51" i="26"/>
  <c r="Q40" i="26"/>
  <c r="P40" i="27"/>
  <c r="R40" i="26"/>
  <c r="R40" i="30"/>
  <c r="O40" i="30"/>
  <c r="O39" i="30"/>
  <c r="P40" i="30"/>
  <c r="P40" i="26"/>
  <c r="O40" i="26"/>
  <c r="O39" i="26"/>
  <c r="Q40" i="27"/>
  <c r="T107" i="58"/>
  <c r="T212" i="58" s="1"/>
  <c r="T213" i="58" s="1"/>
  <c r="AW28" i="3"/>
  <c r="CQ77" i="58"/>
  <c r="Q43" i="59" s="1"/>
  <c r="Q88" i="59" s="1"/>
  <c r="T109" i="58"/>
  <c r="T103" i="58"/>
  <c r="CQ79" i="58"/>
  <c r="Q46" i="59" s="1"/>
  <c r="CQ85" i="58"/>
  <c r="Q52" i="59" s="1"/>
  <c r="T115" i="58"/>
  <c r="CQ95" i="58"/>
  <c r="Q62" i="59" s="1"/>
  <c r="T125" i="58"/>
  <c r="CQ96" i="58"/>
  <c r="Q63" i="59" s="1"/>
  <c r="Q95" i="59" s="1"/>
  <c r="T126" i="58"/>
  <c r="CQ91" i="58"/>
  <c r="Q58" i="59" s="1"/>
  <c r="T121" i="58"/>
  <c r="T122" i="58"/>
  <c r="CQ92" i="58"/>
  <c r="Q59" i="59" s="1"/>
  <c r="CQ83" i="58"/>
  <c r="Q50" i="59" s="1"/>
  <c r="T113" i="58"/>
  <c r="T118" i="58"/>
  <c r="CQ88" i="58"/>
  <c r="Q55" i="59" s="1"/>
  <c r="T130" i="58"/>
  <c r="CQ100" i="58"/>
  <c r="Q67" i="59" s="1"/>
  <c r="CQ101" i="58"/>
  <c r="Q68" i="59" s="1"/>
  <c r="T131" i="58"/>
  <c r="T111" i="58"/>
  <c r="CQ81" i="58"/>
  <c r="Q48" i="59" s="1"/>
  <c r="CQ98" i="58"/>
  <c r="Q65" i="59" s="1"/>
  <c r="T128" i="58"/>
  <c r="CQ90" i="58"/>
  <c r="Q57" i="59" s="1"/>
  <c r="T120" i="58"/>
  <c r="T110" i="58"/>
  <c r="CQ80" i="58"/>
  <c r="Q47" i="59" s="1"/>
  <c r="Q90" i="59" s="1"/>
  <c r="CQ102" i="58"/>
  <c r="Q69" i="59" s="1"/>
  <c r="T132" i="58"/>
  <c r="CQ89" i="58"/>
  <c r="Q56" i="59" s="1"/>
  <c r="T119" i="58"/>
  <c r="CQ93" i="58"/>
  <c r="Q60" i="59" s="1"/>
  <c r="T123" i="58"/>
  <c r="T112" i="58"/>
  <c r="CQ82" i="58"/>
  <c r="Q49" i="59" s="1"/>
  <c r="T124" i="58"/>
  <c r="CQ94" i="58"/>
  <c r="Q61" i="59" s="1"/>
  <c r="CQ84" i="58"/>
  <c r="Q51" i="59" s="1"/>
  <c r="T114" i="58"/>
  <c r="CQ99" i="58"/>
  <c r="Q66" i="59" s="1"/>
  <c r="T129" i="58"/>
  <c r="CQ97" i="58"/>
  <c r="Q64" i="59" s="1"/>
  <c r="T127" i="58"/>
  <c r="R91" i="59"/>
  <c r="I40" i="30"/>
  <c r="K40" i="27"/>
  <c r="R93" i="59"/>
  <c r="R94" i="59"/>
  <c r="R92" i="59"/>
  <c r="R96" i="59"/>
  <c r="U133" i="58"/>
  <c r="CR103" i="58"/>
  <c r="CT103" i="58"/>
  <c r="G165" i="3"/>
  <c r="J40" i="27"/>
  <c r="I40" i="27"/>
  <c r="L40" i="30"/>
  <c r="M40" i="30"/>
  <c r="L39" i="30"/>
  <c r="M39" i="30"/>
  <c r="L40" i="26"/>
  <c r="M40" i="26"/>
  <c r="L39" i="26"/>
  <c r="M39" i="26"/>
  <c r="J39" i="27"/>
  <c r="K39" i="27"/>
  <c r="AR16" i="3"/>
  <c r="AS16" i="3"/>
  <c r="S98" i="59"/>
  <c r="S99" i="59"/>
  <c r="AA127" i="26"/>
  <c r="S109" i="58"/>
  <c r="CP79" i="58"/>
  <c r="S115" i="58"/>
  <c r="CP85" i="58"/>
  <c r="P52" i="59" s="1"/>
  <c r="CP84" i="58"/>
  <c r="P51" i="59" s="1"/>
  <c r="S114" i="58"/>
  <c r="CP92" i="58"/>
  <c r="P59" i="59" s="1"/>
  <c r="S122" i="58"/>
  <c r="CP81" i="58"/>
  <c r="P48" i="59" s="1"/>
  <c r="S111" i="58"/>
  <c r="S125" i="58"/>
  <c r="CP95" i="58"/>
  <c r="P62" i="59" s="1"/>
  <c r="S112" i="58"/>
  <c r="CP82" i="58"/>
  <c r="P49" i="59" s="1"/>
  <c r="S107" i="58"/>
  <c r="S212" i="58" s="1"/>
  <c r="S213" i="58" s="1"/>
  <c r="R77" i="58"/>
  <c r="CP77" i="58"/>
  <c r="P43" i="59" s="1"/>
  <c r="P88" i="59" s="1"/>
  <c r="S100" i="59"/>
  <c r="S97" i="59"/>
  <c r="R70" i="59"/>
  <c r="R89" i="59"/>
  <c r="AA135" i="26"/>
  <c r="U135" i="26" s="1"/>
  <c r="V135" i="26" s="1"/>
  <c r="AA143" i="26"/>
  <c r="Z127" i="26"/>
  <c r="AA149" i="30"/>
  <c r="U149" i="30" s="1"/>
  <c r="V149" i="30" s="1"/>
  <c r="Z143" i="26"/>
  <c r="U37" i="27"/>
  <c r="E165" i="3"/>
  <c r="AA149" i="26"/>
  <c r="U149" i="26" s="1"/>
  <c r="V149" i="26" s="1"/>
  <c r="Y151" i="30"/>
  <c r="G52" i="30"/>
  <c r="Z145" i="26"/>
  <c r="U145" i="26" s="1"/>
  <c r="V145" i="26" s="1"/>
  <c r="D52" i="27"/>
  <c r="X151" i="30"/>
  <c r="S152" i="30"/>
  <c r="S15" i="30" s="1"/>
  <c r="S51" i="3" s="1"/>
  <c r="Q58" i="30"/>
  <c r="D50" i="30"/>
  <c r="D48" i="30"/>
  <c r="D47" i="30"/>
  <c r="D45" i="30"/>
  <c r="R16" i="30"/>
  <c r="R58" i="30" s="1"/>
  <c r="O49" i="26"/>
  <c r="G49" i="26"/>
  <c r="G52" i="26"/>
  <c r="R16" i="27"/>
  <c r="F49" i="27"/>
  <c r="G47" i="30"/>
  <c r="O54" i="26"/>
  <c r="O46" i="5"/>
  <c r="O50" i="26"/>
  <c r="G53" i="26"/>
  <c r="G48" i="30"/>
  <c r="G51" i="30"/>
  <c r="G49" i="30"/>
  <c r="O47" i="5"/>
  <c r="G53" i="30"/>
  <c r="D49" i="27"/>
  <c r="G51" i="26"/>
  <c r="O46" i="26"/>
  <c r="R16" i="26"/>
  <c r="R58" i="26" s="1"/>
  <c r="Z140" i="26"/>
  <c r="AA140" i="26"/>
  <c r="S8" i="30"/>
  <c r="S44" i="3" s="1"/>
  <c r="Y150" i="5"/>
  <c r="AA150" i="5" s="1"/>
  <c r="O46" i="30"/>
  <c r="N28" i="30"/>
  <c r="N59" i="30" s="1"/>
  <c r="R28" i="30"/>
  <c r="R59" i="30" s="1"/>
  <c r="O28" i="30"/>
  <c r="O59" i="30" s="1"/>
  <c r="G50" i="30"/>
  <c r="G45" i="30"/>
  <c r="P28" i="30"/>
  <c r="P59" i="30" s="1"/>
  <c r="Q28" i="30"/>
  <c r="Q59" i="30" s="1"/>
  <c r="L28" i="30"/>
  <c r="L59" i="30" s="1"/>
  <c r="M28" i="30"/>
  <c r="M59" i="30" s="1"/>
  <c r="S28" i="30"/>
  <c r="S59" i="30" s="1"/>
  <c r="S28" i="27"/>
  <c r="S59" i="27" s="1"/>
  <c r="Z126" i="27"/>
  <c r="AA126" i="27"/>
  <c r="AA146" i="27"/>
  <c r="Z146" i="27"/>
  <c r="Z127" i="27"/>
  <c r="AA127" i="27"/>
  <c r="AA149" i="27"/>
  <c r="Z149" i="27"/>
  <c r="Z145" i="27"/>
  <c r="AA145" i="27"/>
  <c r="F51" i="27"/>
  <c r="D51" i="27"/>
  <c r="AA143" i="27"/>
  <c r="Z143" i="27"/>
  <c r="AA140" i="27"/>
  <c r="Z140" i="27"/>
  <c r="S33" i="27"/>
  <c r="S39" i="27" s="1"/>
  <c r="S152" i="27"/>
  <c r="Y151" i="27"/>
  <c r="X151" i="27"/>
  <c r="AA135" i="27"/>
  <c r="Z135" i="27"/>
  <c r="S111" i="27"/>
  <c r="B123" i="27"/>
  <c r="Y151" i="26"/>
  <c r="X151" i="26"/>
  <c r="S33" i="26"/>
  <c r="S39" i="26" s="1"/>
  <c r="S152" i="26"/>
  <c r="O47" i="26"/>
  <c r="O48" i="26"/>
  <c r="L28" i="26"/>
  <c r="L59" i="26" s="1"/>
  <c r="N28" i="26"/>
  <c r="N59" i="26" s="1"/>
  <c r="K28" i="26"/>
  <c r="K59" i="26" s="1"/>
  <c r="R28" i="26"/>
  <c r="R59" i="26" s="1"/>
  <c r="P28" i="26"/>
  <c r="P59" i="26" s="1"/>
  <c r="M28" i="26"/>
  <c r="M59" i="26" s="1"/>
  <c r="O52" i="26"/>
  <c r="Q28" i="26"/>
  <c r="Q59" i="26" s="1"/>
  <c r="O28" i="26"/>
  <c r="O59" i="26" s="1"/>
  <c r="S28" i="26"/>
  <c r="S59" i="26" s="1"/>
  <c r="O48" i="5"/>
  <c r="O49" i="5"/>
  <c r="O52" i="5"/>
  <c r="G49" i="5"/>
  <c r="O45" i="5"/>
  <c r="O50" i="5"/>
  <c r="S135" i="5"/>
  <c r="S117" i="5" s="1"/>
  <c r="X146" i="5"/>
  <c r="Y146" i="5"/>
  <c r="O54" i="5"/>
  <c r="S28" i="5"/>
  <c r="S59" i="5" s="1"/>
  <c r="O51" i="5"/>
  <c r="R28" i="5"/>
  <c r="R59" i="5" s="1"/>
  <c r="AT14" i="3"/>
  <c r="O54" i="27"/>
  <c r="O52" i="27"/>
  <c r="G46" i="26"/>
  <c r="O51" i="27"/>
  <c r="G48" i="26"/>
  <c r="G45" i="26"/>
  <c r="O45" i="26"/>
  <c r="G50" i="26"/>
  <c r="G47" i="26"/>
  <c r="O45" i="27"/>
  <c r="O50" i="27"/>
  <c r="O46" i="27"/>
  <c r="O49" i="27"/>
  <c r="O47" i="27"/>
  <c r="O48" i="27"/>
  <c r="G45" i="5"/>
  <c r="G53" i="5"/>
  <c r="O47" i="30"/>
  <c r="O48" i="30"/>
  <c r="O52" i="30"/>
  <c r="O50" i="30"/>
  <c r="O49" i="30"/>
  <c r="K28" i="30"/>
  <c r="K59" i="30" s="1"/>
  <c r="O54" i="30"/>
  <c r="O51" i="30"/>
  <c r="I39" i="30"/>
  <c r="H101" i="27"/>
  <c r="E39" i="27"/>
  <c r="U37" i="30"/>
  <c r="J101" i="30"/>
  <c r="I101" i="30"/>
  <c r="G101" i="30"/>
  <c r="G101" i="27"/>
  <c r="U37" i="5"/>
  <c r="J101" i="26"/>
  <c r="F101" i="26"/>
  <c r="H101" i="26"/>
  <c r="K101" i="26"/>
  <c r="L101" i="26"/>
  <c r="M101" i="26"/>
  <c r="N101" i="26"/>
  <c r="O101" i="26"/>
  <c r="P101" i="26"/>
  <c r="Q101" i="26"/>
  <c r="R101" i="26"/>
  <c r="I101" i="26"/>
  <c r="F40" i="30"/>
  <c r="K101" i="30"/>
  <c r="L101" i="30"/>
  <c r="M101" i="30"/>
  <c r="N101" i="30"/>
  <c r="O101" i="30"/>
  <c r="P101" i="30"/>
  <c r="Q101" i="30"/>
  <c r="R101" i="30"/>
  <c r="E39" i="30"/>
  <c r="F40" i="27"/>
  <c r="I101" i="27"/>
  <c r="J101" i="27"/>
  <c r="K101" i="27"/>
  <c r="L101" i="27"/>
  <c r="M101" i="27"/>
  <c r="N101" i="27"/>
  <c r="O101" i="27"/>
  <c r="P101" i="27"/>
  <c r="Q101" i="27"/>
  <c r="R101" i="27"/>
  <c r="F39" i="30"/>
  <c r="F39" i="27"/>
  <c r="G101" i="26"/>
  <c r="G40" i="26"/>
  <c r="U37" i="26"/>
  <c r="H40" i="30"/>
  <c r="H101" i="30"/>
  <c r="E101" i="26"/>
  <c r="E40" i="26"/>
  <c r="E39" i="26"/>
  <c r="E40" i="30"/>
  <c r="E101" i="30"/>
  <c r="E101" i="27"/>
  <c r="E40" i="27"/>
  <c r="H39" i="26"/>
  <c r="G46" i="30"/>
  <c r="O45" i="30"/>
  <c r="R34" i="3"/>
  <c r="I165" i="3"/>
  <c r="G48" i="27"/>
  <c r="AV12" i="3"/>
  <c r="T10" i="3"/>
  <c r="U141" i="30"/>
  <c r="V141" i="30" s="1"/>
  <c r="U136" i="30"/>
  <c r="V136" i="30" s="1"/>
  <c r="U147" i="5"/>
  <c r="V147" i="5" s="1"/>
  <c r="U126" i="30"/>
  <c r="V126" i="30" s="1"/>
  <c r="J165" i="3"/>
  <c r="H165" i="3"/>
  <c r="G49" i="27"/>
  <c r="G51" i="27"/>
  <c r="G50" i="27"/>
  <c r="G53" i="27"/>
  <c r="U142" i="26"/>
  <c r="V142" i="26" s="1"/>
  <c r="U130" i="30"/>
  <c r="V130" i="30" s="1"/>
  <c r="U138" i="30"/>
  <c r="V138" i="30" s="1"/>
  <c r="K165" i="3"/>
  <c r="U127" i="30"/>
  <c r="V127" i="30" s="1"/>
  <c r="U137" i="26"/>
  <c r="V137" i="26" s="1"/>
  <c r="U131" i="30"/>
  <c r="V131" i="30" s="1"/>
  <c r="U139" i="30"/>
  <c r="V139" i="30" s="1"/>
  <c r="U146" i="26"/>
  <c r="V146" i="26" s="1"/>
  <c r="U128" i="30"/>
  <c r="V128" i="30" s="1"/>
  <c r="U129" i="30"/>
  <c r="V129" i="30" s="1"/>
  <c r="U143" i="30"/>
  <c r="V143" i="30" s="1"/>
  <c r="U144" i="30"/>
  <c r="V144" i="30" s="1"/>
  <c r="U145" i="30"/>
  <c r="V145" i="30" s="1"/>
  <c r="U138" i="26"/>
  <c r="V138" i="26" s="1"/>
  <c r="U130" i="26"/>
  <c r="V130" i="26" s="1"/>
  <c r="U143" i="5"/>
  <c r="V143" i="5" s="1"/>
  <c r="U137" i="5"/>
  <c r="V137" i="5" s="1"/>
  <c r="U144" i="5"/>
  <c r="V144" i="5" s="1"/>
  <c r="U132" i="26"/>
  <c r="V132" i="26" s="1"/>
  <c r="U141" i="26"/>
  <c r="V141" i="26" s="1"/>
  <c r="U142" i="5"/>
  <c r="V142" i="5" s="1"/>
  <c r="U135" i="30"/>
  <c r="V135" i="30" s="1"/>
  <c r="U144" i="26"/>
  <c r="V144" i="26" s="1"/>
  <c r="U129" i="26"/>
  <c r="V129" i="26" s="1"/>
  <c r="U138" i="5"/>
  <c r="V138" i="5" s="1"/>
  <c r="U141" i="5"/>
  <c r="V141" i="5" s="1"/>
  <c r="U132" i="30"/>
  <c r="V132" i="30" s="1"/>
  <c r="U145" i="5"/>
  <c r="V145" i="5" s="1"/>
  <c r="U139" i="5"/>
  <c r="V139" i="5" s="1"/>
  <c r="U148" i="5"/>
  <c r="V148" i="5" s="1"/>
  <c r="U149" i="5"/>
  <c r="V149" i="5" s="1"/>
  <c r="U140" i="5"/>
  <c r="V140" i="5" s="1"/>
  <c r="U131" i="26"/>
  <c r="V131" i="26" s="1"/>
  <c r="U147" i="26"/>
  <c r="V147" i="26" s="1"/>
  <c r="U128" i="26"/>
  <c r="V128" i="26" s="1"/>
  <c r="U136" i="26"/>
  <c r="V136" i="26" s="1"/>
  <c r="U126" i="26"/>
  <c r="V126" i="26" s="1"/>
  <c r="U139" i="26"/>
  <c r="V139" i="26" s="1"/>
  <c r="U148" i="26"/>
  <c r="V148" i="26" s="1"/>
  <c r="D28" i="27"/>
  <c r="D59" i="27" s="1"/>
  <c r="G51" i="5"/>
  <c r="G52" i="5"/>
  <c r="H28" i="27"/>
  <c r="H59" i="27" s="1"/>
  <c r="G46" i="27"/>
  <c r="G52" i="27"/>
  <c r="G47" i="27"/>
  <c r="G46" i="5"/>
  <c r="D45" i="27"/>
  <c r="D48" i="27"/>
  <c r="D47" i="27"/>
  <c r="D46" i="27"/>
  <c r="R28" i="27"/>
  <c r="R59" i="27" s="1"/>
  <c r="G45" i="27"/>
  <c r="Q28" i="27"/>
  <c r="Q59" i="27" s="1"/>
  <c r="N28" i="27"/>
  <c r="N59" i="27" s="1"/>
  <c r="M28" i="27"/>
  <c r="M59" i="27" s="1"/>
  <c r="K28" i="27"/>
  <c r="K59" i="27" s="1"/>
  <c r="O28" i="27"/>
  <c r="O59" i="27" s="1"/>
  <c r="L28" i="27"/>
  <c r="L59" i="27" s="1"/>
  <c r="P28" i="27"/>
  <c r="P59" i="27" s="1"/>
  <c r="K28" i="5"/>
  <c r="K59" i="5" s="1"/>
  <c r="F28" i="5"/>
  <c r="F59" i="5" s="1"/>
  <c r="E28" i="5"/>
  <c r="E59" i="5" s="1"/>
  <c r="G47" i="5"/>
  <c r="G48" i="5"/>
  <c r="H28" i="5"/>
  <c r="H59" i="5" s="1"/>
  <c r="Q28" i="5"/>
  <c r="Q59" i="5" s="1"/>
  <c r="G50" i="5"/>
  <c r="N28" i="5"/>
  <c r="N59" i="5" s="1"/>
  <c r="M28" i="5"/>
  <c r="M59" i="5" s="1"/>
  <c r="P28" i="5"/>
  <c r="P59" i="5" s="1"/>
  <c r="O28" i="5"/>
  <c r="O59" i="5" s="1"/>
  <c r="L28" i="5"/>
  <c r="L59" i="5" s="1"/>
  <c r="I28" i="27"/>
  <c r="I59" i="27" s="1"/>
  <c r="J28" i="27"/>
  <c r="J59" i="27" s="1"/>
  <c r="N165" i="3"/>
  <c r="F165" i="3"/>
  <c r="G28" i="27"/>
  <c r="G59" i="27" s="1"/>
  <c r="F28" i="27"/>
  <c r="F59" i="27" s="1"/>
  <c r="D28" i="30"/>
  <c r="D59" i="30" s="1"/>
  <c r="G28" i="5"/>
  <c r="G59" i="5" s="1"/>
  <c r="D28" i="26"/>
  <c r="D59" i="26" s="1"/>
  <c r="L165" i="3"/>
  <c r="D28" i="5"/>
  <c r="D59" i="5" s="1"/>
  <c r="I28" i="5"/>
  <c r="I59" i="5" s="1"/>
  <c r="E28" i="30"/>
  <c r="E59" i="30" s="1"/>
  <c r="G28" i="30"/>
  <c r="G59" i="30" s="1"/>
  <c r="I28" i="30"/>
  <c r="I59" i="30" s="1"/>
  <c r="F28" i="30"/>
  <c r="F59" i="30" s="1"/>
  <c r="J28" i="30"/>
  <c r="J59" i="30" s="1"/>
  <c r="H28" i="30"/>
  <c r="H59" i="30" s="1"/>
  <c r="F28" i="26"/>
  <c r="F59" i="26" s="1"/>
  <c r="I28" i="26"/>
  <c r="I59" i="26" s="1"/>
  <c r="G28" i="26"/>
  <c r="G59" i="26" s="1"/>
  <c r="H28" i="26"/>
  <c r="H59" i="26" s="1"/>
  <c r="E28" i="26"/>
  <c r="E59" i="26" s="1"/>
  <c r="J28" i="26"/>
  <c r="J59" i="26" s="1"/>
  <c r="J28" i="5"/>
  <c r="J59" i="5" s="1"/>
  <c r="M165" i="3"/>
  <c r="S165" i="3"/>
  <c r="R165" i="3"/>
  <c r="Q165" i="3"/>
  <c r="P165" i="3"/>
  <c r="O165" i="3"/>
  <c r="E28" i="27"/>
  <c r="E59" i="27" s="1"/>
  <c r="T165" i="3"/>
  <c r="AK10" i="3"/>
  <c r="BA10" i="3" s="1"/>
  <c r="S96" i="58"/>
  <c r="S102" i="58"/>
  <c r="S94" i="58"/>
  <c r="S89" i="58"/>
  <c r="S90" i="58"/>
  <c r="T104" i="58"/>
  <c r="S83" i="58"/>
  <c r="S100" i="58"/>
  <c r="S98" i="58"/>
  <c r="S91" i="58"/>
  <c r="S99" i="58"/>
  <c r="S80" i="58"/>
  <c r="S97" i="58"/>
  <c r="S101" i="58"/>
  <c r="R102" i="58"/>
  <c r="S88" i="58"/>
  <c r="S93" i="58"/>
  <c r="R104" i="58"/>
  <c r="T207" i="58" l="1"/>
  <c r="T208" i="58" s="1"/>
  <c r="T162" i="58"/>
  <c r="T163" i="58" s="1"/>
  <c r="T192" i="58"/>
  <c r="T193" i="58" s="1"/>
  <c r="T172" i="58"/>
  <c r="T173" i="58" s="1"/>
  <c r="T137" i="58"/>
  <c r="T138" i="58" s="1"/>
  <c r="T187" i="58"/>
  <c r="T188" i="58" s="1"/>
  <c r="T142" i="58"/>
  <c r="T143" i="58" s="1"/>
  <c r="T202" i="58"/>
  <c r="T203" i="58" s="1"/>
  <c r="T157" i="58"/>
  <c r="T158" i="58" s="1"/>
  <c r="T177" i="58"/>
  <c r="T178" i="58" s="1"/>
  <c r="T147" i="58"/>
  <c r="T148" i="58" s="1"/>
  <c r="T182" i="58"/>
  <c r="T183" i="58" s="1"/>
  <c r="T197" i="58"/>
  <c r="T198" i="58" s="1"/>
  <c r="T167" i="58"/>
  <c r="T168" i="58" s="1"/>
  <c r="T152" i="58"/>
  <c r="T153" i="58" s="1"/>
  <c r="U127" i="26"/>
  <c r="V127" i="26" s="1"/>
  <c r="U11" i="3"/>
  <c r="Q94" i="59"/>
  <c r="Q91" i="59"/>
  <c r="Q96" i="59"/>
  <c r="Q93" i="59"/>
  <c r="T133" i="58"/>
  <c r="CQ103" i="58"/>
  <c r="Q92" i="59"/>
  <c r="R98" i="59"/>
  <c r="R99" i="59"/>
  <c r="U143" i="26"/>
  <c r="V143" i="26" s="1"/>
  <c r="S128" i="58"/>
  <c r="CP98" i="58"/>
  <c r="P65" i="59" s="1"/>
  <c r="CP101" i="58"/>
  <c r="P68" i="59" s="1"/>
  <c r="S131" i="58"/>
  <c r="S130" i="58"/>
  <c r="CP100" i="58"/>
  <c r="P67" i="59" s="1"/>
  <c r="S126" i="58"/>
  <c r="CP96" i="58"/>
  <c r="P63" i="59" s="1"/>
  <c r="P95" i="59" s="1"/>
  <c r="S129" i="58"/>
  <c r="CP99" i="58"/>
  <c r="P66" i="59" s="1"/>
  <c r="CP91" i="58"/>
  <c r="P58" i="59" s="1"/>
  <c r="S121" i="58"/>
  <c r="CP97" i="58"/>
  <c r="P64" i="59" s="1"/>
  <c r="S127" i="58"/>
  <c r="CP102" i="58"/>
  <c r="P69" i="59" s="1"/>
  <c r="S132" i="58"/>
  <c r="CP94" i="58"/>
  <c r="P61" i="59" s="1"/>
  <c r="S124" i="58"/>
  <c r="S110" i="58"/>
  <c r="CP80" i="58"/>
  <c r="P47" i="59" s="1"/>
  <c r="P90" i="59" s="1"/>
  <c r="S103" i="58"/>
  <c r="S119" i="58"/>
  <c r="CP89" i="58"/>
  <c r="P56" i="59" s="1"/>
  <c r="CP88" i="58"/>
  <c r="P55" i="59" s="1"/>
  <c r="S118" i="58"/>
  <c r="S123" i="58"/>
  <c r="CP93" i="58"/>
  <c r="P60" i="59" s="1"/>
  <c r="CP83" i="58"/>
  <c r="P50" i="59" s="1"/>
  <c r="P92" i="59" s="1"/>
  <c r="S113" i="58"/>
  <c r="S120" i="58"/>
  <c r="CP90" i="58"/>
  <c r="P57" i="59" s="1"/>
  <c r="P91" i="59"/>
  <c r="CO102" i="58"/>
  <c r="O69" i="59" s="1"/>
  <c r="R132" i="58"/>
  <c r="CO77" i="58"/>
  <c r="O43" i="59" s="1"/>
  <c r="O88" i="59" s="1"/>
  <c r="R107" i="58"/>
  <c r="R212" i="58" s="1"/>
  <c r="R213" i="58" s="1"/>
  <c r="Q77" i="58"/>
  <c r="S187" i="58"/>
  <c r="S188" i="58" s="1"/>
  <c r="S207" i="58"/>
  <c r="S208" i="58" s="1"/>
  <c r="S162" i="58"/>
  <c r="S163" i="58" s="1"/>
  <c r="S182" i="58"/>
  <c r="S183" i="58" s="1"/>
  <c r="S167" i="58"/>
  <c r="S168" i="58" s="1"/>
  <c r="S177" i="58"/>
  <c r="S178" i="58" s="1"/>
  <c r="S147" i="58"/>
  <c r="S148" i="58" s="1"/>
  <c r="S197" i="58"/>
  <c r="S198" i="58" s="1"/>
  <c r="S172" i="58"/>
  <c r="S173" i="58" s="1"/>
  <c r="S152" i="58"/>
  <c r="S153" i="58" s="1"/>
  <c r="S157" i="58"/>
  <c r="S158" i="58" s="1"/>
  <c r="S202" i="58"/>
  <c r="S203" i="58" s="1"/>
  <c r="S142" i="58"/>
  <c r="S143" i="58" s="1"/>
  <c r="S137" i="58"/>
  <c r="S138" i="58" s="1"/>
  <c r="S192" i="58"/>
  <c r="S193" i="58" s="1"/>
  <c r="R100" i="59"/>
  <c r="R97" i="59"/>
  <c r="Q89" i="59"/>
  <c r="Q70" i="59"/>
  <c r="P46" i="59"/>
  <c r="Z151" i="30"/>
  <c r="Z150" i="5"/>
  <c r="U150" i="5" s="1"/>
  <c r="V150" i="5" s="1"/>
  <c r="U140" i="26"/>
  <c r="V140" i="26" s="1"/>
  <c r="U135" i="27"/>
  <c r="V135" i="27" s="1"/>
  <c r="U140" i="27"/>
  <c r="V140" i="27" s="1"/>
  <c r="U146" i="27"/>
  <c r="V146" i="27" s="1"/>
  <c r="S7" i="30"/>
  <c r="S9" i="30"/>
  <c r="S45" i="3" s="1"/>
  <c r="S13" i="30"/>
  <c r="S49" i="3" s="1"/>
  <c r="AA151" i="30"/>
  <c r="S34" i="30"/>
  <c r="S40" i="30" s="1"/>
  <c r="Y152" i="30"/>
  <c r="S14" i="30"/>
  <c r="S50" i="3" s="1"/>
  <c r="S10" i="30"/>
  <c r="S46" i="3" s="1"/>
  <c r="S12" i="30"/>
  <c r="S48" i="3" s="1"/>
  <c r="S11" i="30"/>
  <c r="S47" i="3" s="1"/>
  <c r="X152" i="30"/>
  <c r="R58" i="27"/>
  <c r="D53" i="27"/>
  <c r="D50" i="27"/>
  <c r="U127" i="27"/>
  <c r="V127" i="27" s="1"/>
  <c r="U126" i="27"/>
  <c r="V126" i="27" s="1"/>
  <c r="U149" i="27"/>
  <c r="V149" i="27" s="1"/>
  <c r="U145" i="27"/>
  <c r="V145" i="27" s="1"/>
  <c r="Z151" i="27"/>
  <c r="AA151" i="27"/>
  <c r="S15" i="27"/>
  <c r="Q51" i="3" s="1"/>
  <c r="S34" i="27"/>
  <c r="S10" i="27"/>
  <c r="Q46" i="3" s="1"/>
  <c r="S12" i="27"/>
  <c r="Q48" i="3" s="1"/>
  <c r="S8" i="27"/>
  <c r="Q44" i="3" s="1"/>
  <c r="S14" i="27"/>
  <c r="Q50" i="3" s="1"/>
  <c r="S13" i="27"/>
  <c r="Q49" i="3" s="1"/>
  <c r="S9" i="27"/>
  <c r="Q45" i="3" s="1"/>
  <c r="S7" i="27"/>
  <c r="Q43" i="3" s="1"/>
  <c r="S11" i="27"/>
  <c r="Q47" i="3" s="1"/>
  <c r="X152" i="27"/>
  <c r="Y152" i="27"/>
  <c r="U143" i="27"/>
  <c r="V143" i="27" s="1"/>
  <c r="U13" i="3"/>
  <c r="AJ13" i="3" s="1"/>
  <c r="X152" i="26"/>
  <c r="S15" i="26"/>
  <c r="R51" i="3" s="1"/>
  <c r="Y152" i="26"/>
  <c r="S9" i="26"/>
  <c r="R45" i="3" s="1"/>
  <c r="S12" i="26"/>
  <c r="R48" i="3" s="1"/>
  <c r="S8" i="26"/>
  <c r="R44" i="3" s="1"/>
  <c r="S13" i="26"/>
  <c r="R49" i="3" s="1"/>
  <c r="S11" i="26"/>
  <c r="R47" i="3" s="1"/>
  <c r="S7" i="26"/>
  <c r="R43" i="3" s="1"/>
  <c r="S14" i="26"/>
  <c r="R50" i="3" s="1"/>
  <c r="S10" i="26"/>
  <c r="R46" i="3" s="1"/>
  <c r="S34" i="26"/>
  <c r="Z151" i="26"/>
  <c r="AA151" i="26"/>
  <c r="Z146" i="5"/>
  <c r="AA146" i="5"/>
  <c r="T21" i="3"/>
  <c r="AI21" i="3" s="1"/>
  <c r="T18" i="3"/>
  <c r="AI18" i="3" s="1"/>
  <c r="U22" i="3"/>
  <c r="AJ22" i="3" s="1"/>
  <c r="U24" i="3"/>
  <c r="AJ24" i="3" s="1"/>
  <c r="U21" i="3"/>
  <c r="AJ21" i="3" s="1"/>
  <c r="U19" i="3"/>
  <c r="AJ19" i="3" s="1"/>
  <c r="U23" i="3"/>
  <c r="AJ23" i="3" s="1"/>
  <c r="U39" i="27"/>
  <c r="U40" i="27"/>
  <c r="U26" i="3"/>
  <c r="AJ26" i="3" s="1"/>
  <c r="AZ27" i="3" s="1"/>
  <c r="V26" i="3"/>
  <c r="AK26" i="3" s="1"/>
  <c r="BA27" i="3" s="1"/>
  <c r="U20" i="3"/>
  <c r="AJ20" i="3" s="1"/>
  <c r="U27" i="3"/>
  <c r="U39" i="30"/>
  <c r="V27" i="3"/>
  <c r="V22" i="3"/>
  <c r="AK22" i="3" s="1"/>
  <c r="V14" i="3"/>
  <c r="AK14" i="3" s="1"/>
  <c r="V12" i="3"/>
  <c r="AK12" i="3" s="1"/>
  <c r="V13" i="3"/>
  <c r="AK13" i="3" s="1"/>
  <c r="V15" i="3"/>
  <c r="AK15" i="3" s="1"/>
  <c r="V11" i="3"/>
  <c r="AK11" i="3" s="1"/>
  <c r="BA11" i="3" s="1"/>
  <c r="V16" i="3"/>
  <c r="AK16" i="3" s="1"/>
  <c r="V20" i="3"/>
  <c r="AK20" i="3" s="1"/>
  <c r="V23" i="3"/>
  <c r="AK23" i="3" s="1"/>
  <c r="V21" i="3"/>
  <c r="AK21" i="3" s="1"/>
  <c r="T27" i="3"/>
  <c r="T15" i="3"/>
  <c r="AI15" i="3" s="1"/>
  <c r="T16" i="3"/>
  <c r="AI16" i="3" s="1"/>
  <c r="T11" i="3"/>
  <c r="AI11" i="3" s="1"/>
  <c r="U15" i="3"/>
  <c r="AJ15" i="3" s="1"/>
  <c r="U16" i="3"/>
  <c r="AJ16" i="3" s="1"/>
  <c r="U12" i="3"/>
  <c r="AJ12" i="3" s="1"/>
  <c r="U14" i="3"/>
  <c r="AJ14" i="3" s="1"/>
  <c r="V24" i="3"/>
  <c r="AK24" i="3" s="1"/>
  <c r="T17" i="3"/>
  <c r="AI17" i="3" s="1"/>
  <c r="T24" i="3"/>
  <c r="AI24" i="3" s="1"/>
  <c r="T20" i="3"/>
  <c r="AI20" i="3" s="1"/>
  <c r="V17" i="3"/>
  <c r="AK17" i="3" s="1"/>
  <c r="T19" i="3"/>
  <c r="AI19" i="3" s="1"/>
  <c r="T23" i="3"/>
  <c r="AI23" i="3" s="1"/>
  <c r="T14" i="3"/>
  <c r="AI14" i="3" s="1"/>
  <c r="V18" i="3"/>
  <c r="AK18" i="3" s="1"/>
  <c r="T12" i="3"/>
  <c r="AI12" i="3" s="1"/>
  <c r="T22" i="3"/>
  <c r="AI22" i="3" s="1"/>
  <c r="T13" i="3"/>
  <c r="AI13" i="3" s="1"/>
  <c r="V19" i="3"/>
  <c r="AK19" i="3" s="1"/>
  <c r="T26" i="3"/>
  <c r="AI26" i="3" s="1"/>
  <c r="AY27" i="3" s="1"/>
  <c r="U40" i="26"/>
  <c r="U39" i="26"/>
  <c r="U40" i="30"/>
  <c r="AI10" i="3"/>
  <c r="AY10" i="3" s="1"/>
  <c r="AJ11" i="3"/>
  <c r="L127" i="3"/>
  <c r="K146" i="3" s="1"/>
  <c r="U17" i="3"/>
  <c r="AJ17" i="3" s="1"/>
  <c r="U18" i="3"/>
  <c r="AJ18" i="3" s="1"/>
  <c r="U10" i="3"/>
  <c r="U44" i="41"/>
  <c r="R80" i="58"/>
  <c r="Q96" i="58"/>
  <c r="R99" i="58"/>
  <c r="Q94" i="58"/>
  <c r="R85" i="58"/>
  <c r="Q99" i="58"/>
  <c r="R101" i="58"/>
  <c r="R82" i="58"/>
  <c r="R89" i="58"/>
  <c r="R88" i="58"/>
  <c r="R100" i="58"/>
  <c r="R92" i="58"/>
  <c r="R81" i="58"/>
  <c r="R79" i="58"/>
  <c r="R94" i="58"/>
  <c r="R91" i="58"/>
  <c r="R83" i="58"/>
  <c r="R84" i="58"/>
  <c r="R98" i="58"/>
  <c r="R93" i="58"/>
  <c r="Q79" i="58"/>
  <c r="R97" i="58"/>
  <c r="Q83" i="58"/>
  <c r="R96" i="58"/>
  <c r="Q81" i="58"/>
  <c r="Q80" i="58"/>
  <c r="Q85" i="58"/>
  <c r="R90" i="58"/>
  <c r="Q102" i="58"/>
  <c r="R95" i="58"/>
  <c r="CO98" i="58" l="1"/>
  <c r="O65" i="59" s="1"/>
  <c r="R128" i="58"/>
  <c r="CO94" i="58"/>
  <c r="O61" i="59" s="1"/>
  <c r="R124" i="58"/>
  <c r="CO92" i="58"/>
  <c r="O59" i="59" s="1"/>
  <c r="R122" i="58"/>
  <c r="CO89" i="58"/>
  <c r="O56" i="59" s="1"/>
  <c r="R119" i="58"/>
  <c r="R110" i="58"/>
  <c r="CO80" i="58"/>
  <c r="O47" i="59" s="1"/>
  <c r="O90" i="59" s="1"/>
  <c r="S16" i="30"/>
  <c r="S58" i="30" s="1"/>
  <c r="S43" i="3"/>
  <c r="R123" i="58"/>
  <c r="CO93" i="58"/>
  <c r="O60" i="59" s="1"/>
  <c r="O94" i="59" s="1"/>
  <c r="R113" i="58"/>
  <c r="CO83" i="58"/>
  <c r="O50" i="59" s="1"/>
  <c r="O92" i="59" s="1"/>
  <c r="CO100" i="58"/>
  <c r="O67" i="59" s="1"/>
  <c r="R130" i="58"/>
  <c r="R129" i="58"/>
  <c r="CO99" i="58"/>
  <c r="O66" i="59" s="1"/>
  <c r="R109" i="58"/>
  <c r="R133" i="58" s="1"/>
  <c r="R103" i="58"/>
  <c r="CO79" i="58"/>
  <c r="O46" i="59" s="1"/>
  <c r="R114" i="58"/>
  <c r="CO84" i="58"/>
  <c r="O51" i="59" s="1"/>
  <c r="R126" i="58"/>
  <c r="CO96" i="58"/>
  <c r="O63" i="59" s="1"/>
  <c r="O95" i="59" s="1"/>
  <c r="R127" i="58"/>
  <c r="CO97" i="58"/>
  <c r="O64" i="59" s="1"/>
  <c r="O96" i="59" s="1"/>
  <c r="CO85" i="58"/>
  <c r="O52" i="59" s="1"/>
  <c r="R115" i="58"/>
  <c r="R121" i="58"/>
  <c r="CO91" i="58"/>
  <c r="O58" i="59" s="1"/>
  <c r="R111" i="58"/>
  <c r="CO81" i="58"/>
  <c r="O48" i="59" s="1"/>
  <c r="O91" i="59" s="1"/>
  <c r="CO88" i="58"/>
  <c r="O55" i="59" s="1"/>
  <c r="O93" i="59" s="1"/>
  <c r="R118" i="58"/>
  <c r="CO82" i="58"/>
  <c r="O49" i="59" s="1"/>
  <c r="R112" i="58"/>
  <c r="CO101" i="58"/>
  <c r="O68" i="59" s="1"/>
  <c r="R131" i="58"/>
  <c r="R125" i="58"/>
  <c r="CO95" i="58"/>
  <c r="O62" i="59" s="1"/>
  <c r="R120" i="58"/>
  <c r="CO90" i="58"/>
  <c r="O57" i="59" s="1"/>
  <c r="Q98" i="59"/>
  <c r="Q99" i="59"/>
  <c r="P94" i="59"/>
  <c r="P96" i="59"/>
  <c r="S133" i="58"/>
  <c r="P93" i="59"/>
  <c r="CP103" i="58"/>
  <c r="P98" i="59"/>
  <c r="CN96" i="58"/>
  <c r="N63" i="59" s="1"/>
  <c r="N95" i="59" s="1"/>
  <c r="Q126" i="58"/>
  <c r="Q113" i="58"/>
  <c r="CN83" i="58"/>
  <c r="N50" i="59" s="1"/>
  <c r="CN81" i="58"/>
  <c r="N48" i="59" s="1"/>
  <c r="Q111" i="58"/>
  <c r="CN99" i="58"/>
  <c r="N66" i="59" s="1"/>
  <c r="Q129" i="58"/>
  <c r="Q132" i="58"/>
  <c r="CN102" i="58"/>
  <c r="N69" i="59" s="1"/>
  <c r="CN85" i="58"/>
  <c r="N52" i="59" s="1"/>
  <c r="Q115" i="58"/>
  <c r="Q110" i="58"/>
  <c r="CN80" i="58"/>
  <c r="N47" i="59" s="1"/>
  <c r="N90" i="59" s="1"/>
  <c r="Q124" i="58"/>
  <c r="CN94" i="58"/>
  <c r="N61" i="59" s="1"/>
  <c r="Q109" i="58"/>
  <c r="Q103" i="58"/>
  <c r="CN79" i="58"/>
  <c r="R182" i="58"/>
  <c r="R183" i="58" s="1"/>
  <c r="R177" i="58"/>
  <c r="R178" i="58" s="1"/>
  <c r="R172" i="58"/>
  <c r="R173" i="58" s="1"/>
  <c r="R152" i="58"/>
  <c r="R153" i="58" s="1"/>
  <c r="R167" i="58"/>
  <c r="R168" i="58" s="1"/>
  <c r="R197" i="58"/>
  <c r="R198" i="58" s="1"/>
  <c r="R192" i="58"/>
  <c r="R193" i="58" s="1"/>
  <c r="R187" i="58"/>
  <c r="R188" i="58" s="1"/>
  <c r="R207" i="58"/>
  <c r="R208" i="58" s="1"/>
  <c r="R137" i="58"/>
  <c r="R138" i="58" s="1"/>
  <c r="R142" i="58"/>
  <c r="R143" i="58" s="1"/>
  <c r="R157" i="58"/>
  <c r="R158" i="58" s="1"/>
  <c r="R162" i="58"/>
  <c r="R163" i="58" s="1"/>
  <c r="R147" i="58"/>
  <c r="R148" i="58" s="1"/>
  <c r="R202" i="58"/>
  <c r="R203" i="58" s="1"/>
  <c r="P70" i="59"/>
  <c r="P89" i="59"/>
  <c r="Q100" i="59"/>
  <c r="Q97" i="59"/>
  <c r="CN77" i="58"/>
  <c r="N43" i="59" s="1"/>
  <c r="N88" i="59" s="1"/>
  <c r="Q107" i="58"/>
  <c r="Q212" i="58" s="1"/>
  <c r="Q213" i="58" s="1"/>
  <c r="P77" i="58"/>
  <c r="U151" i="30"/>
  <c r="V151" i="30" s="1"/>
  <c r="AA152" i="30"/>
  <c r="S101" i="30"/>
  <c r="V25" i="3" s="1"/>
  <c r="AK25" i="3" s="1"/>
  <c r="BA26" i="3" s="1"/>
  <c r="D47" i="26"/>
  <c r="F47" i="26"/>
  <c r="D50" i="26"/>
  <c r="F50" i="26"/>
  <c r="F53" i="26"/>
  <c r="D53" i="26"/>
  <c r="AZ14" i="3"/>
  <c r="D48" i="26"/>
  <c r="F48" i="26"/>
  <c r="D52" i="26"/>
  <c r="F52" i="26"/>
  <c r="F45" i="26"/>
  <c r="D45" i="26"/>
  <c r="F49" i="26"/>
  <c r="D49" i="26"/>
  <c r="D51" i="26"/>
  <c r="F51" i="26"/>
  <c r="D46" i="26"/>
  <c r="F46" i="26"/>
  <c r="Z152" i="30"/>
  <c r="AZ13" i="3"/>
  <c r="S16" i="27"/>
  <c r="S58" i="27" s="1"/>
  <c r="S16" i="26"/>
  <c r="S58" i="26" s="1"/>
  <c r="U151" i="27"/>
  <c r="V151" i="27" s="1"/>
  <c r="U151" i="26"/>
  <c r="V151" i="26" s="1"/>
  <c r="S40" i="27"/>
  <c r="S101" i="27"/>
  <c r="T25" i="3" s="1"/>
  <c r="AI25" i="3" s="1"/>
  <c r="AY26" i="3" s="1"/>
  <c r="Z152" i="27"/>
  <c r="AA152" i="27"/>
  <c r="S40" i="26"/>
  <c r="S101" i="26"/>
  <c r="U25" i="3" s="1"/>
  <c r="AJ25" i="3" s="1"/>
  <c r="AZ26" i="3" s="1"/>
  <c r="U146" i="5"/>
  <c r="V146" i="5" s="1"/>
  <c r="Z152" i="26"/>
  <c r="AA152" i="26"/>
  <c r="AY22" i="3"/>
  <c r="AY19" i="3"/>
  <c r="AZ20" i="3"/>
  <c r="AZ22" i="3"/>
  <c r="AZ23" i="3"/>
  <c r="BA18" i="3"/>
  <c r="AY15" i="3"/>
  <c r="BA23" i="3"/>
  <c r="BA19" i="3"/>
  <c r="AY17" i="3"/>
  <c r="AY14" i="3"/>
  <c r="BA12" i="3"/>
  <c r="AZ21" i="3"/>
  <c r="AZ17" i="3"/>
  <c r="BA15" i="3"/>
  <c r="AY12" i="3"/>
  <c r="BA13" i="3"/>
  <c r="BA21" i="3"/>
  <c r="AY20" i="3"/>
  <c r="AY13" i="3"/>
  <c r="BA16" i="3"/>
  <c r="AY23" i="3"/>
  <c r="BA20" i="3"/>
  <c r="AY21" i="3"/>
  <c r="AZ16" i="3"/>
  <c r="AZ15" i="3"/>
  <c r="AY18" i="3"/>
  <c r="AY16" i="3"/>
  <c r="BA14" i="3"/>
  <c r="BA22" i="3"/>
  <c r="BA17" i="3"/>
  <c r="AY11" i="3"/>
  <c r="AZ18" i="3"/>
  <c r="BA24" i="3"/>
  <c r="AZ19" i="3"/>
  <c r="AZ24" i="3"/>
  <c r="AZ12" i="3"/>
  <c r="AY24" i="3"/>
  <c r="AJ10" i="3"/>
  <c r="AZ10" i="3" s="1"/>
  <c r="Q92" i="58"/>
  <c r="Q82" i="58"/>
  <c r="Q84" i="58"/>
  <c r="P95" i="58"/>
  <c r="Q101" i="58"/>
  <c r="Q88" i="58"/>
  <c r="Q98" i="58"/>
  <c r="Q91" i="58"/>
  <c r="Q95" i="58"/>
  <c r="Q104" i="58"/>
  <c r="Q100" i="58"/>
  <c r="Q90" i="58"/>
  <c r="P80" i="58"/>
  <c r="Q97" i="58"/>
  <c r="Q89" i="58"/>
  <c r="Q93" i="58"/>
  <c r="P93" i="58"/>
  <c r="P85" i="58"/>
  <c r="CO103" i="58" l="1"/>
  <c r="Q128" i="58"/>
  <c r="CN98" i="58"/>
  <c r="N65" i="59" s="1"/>
  <c r="Q119" i="58"/>
  <c r="CN89" i="58"/>
  <c r="N56" i="59" s="1"/>
  <c r="Q120" i="58"/>
  <c r="CN90" i="58"/>
  <c r="N57" i="59" s="1"/>
  <c r="Q121" i="58"/>
  <c r="CN91" i="58"/>
  <c r="N58" i="59" s="1"/>
  <c r="CN82" i="58"/>
  <c r="N49" i="59" s="1"/>
  <c r="Q112" i="58"/>
  <c r="Q122" i="58"/>
  <c r="CN92" i="58"/>
  <c r="N59" i="59" s="1"/>
  <c r="CN84" i="58"/>
  <c r="N51" i="59" s="1"/>
  <c r="Q114" i="58"/>
  <c r="Q130" i="58"/>
  <c r="CN100" i="58"/>
  <c r="N67" i="59" s="1"/>
  <c r="Q123" i="58"/>
  <c r="CN93" i="58"/>
  <c r="N60" i="59" s="1"/>
  <c r="N94" i="59" s="1"/>
  <c r="Q127" i="58"/>
  <c r="CN97" i="58"/>
  <c r="N64" i="59" s="1"/>
  <c r="N96" i="59" s="1"/>
  <c r="Q125" i="58"/>
  <c r="CN95" i="58"/>
  <c r="N62" i="59" s="1"/>
  <c r="CN88" i="58"/>
  <c r="N55" i="59" s="1"/>
  <c r="N93" i="59" s="1"/>
  <c r="Q118" i="58"/>
  <c r="Q131" i="58"/>
  <c r="CN101" i="58"/>
  <c r="N68" i="59" s="1"/>
  <c r="T28" i="3"/>
  <c r="P99" i="59"/>
  <c r="O98" i="59"/>
  <c r="N92" i="59"/>
  <c r="N91" i="59"/>
  <c r="O99" i="59"/>
  <c r="Q133" i="58"/>
  <c r="P123" i="58"/>
  <c r="CM93" i="58"/>
  <c r="M60" i="59" s="1"/>
  <c r="P125" i="58"/>
  <c r="CM95" i="58"/>
  <c r="M62" i="59" s="1"/>
  <c r="P110" i="58"/>
  <c r="CM80" i="58"/>
  <c r="M47" i="59" s="1"/>
  <c r="M90" i="59" s="1"/>
  <c r="CM85" i="58"/>
  <c r="M52" i="59" s="1"/>
  <c r="P115" i="58"/>
  <c r="N46" i="59"/>
  <c r="CN103" i="58"/>
  <c r="O89" i="59"/>
  <c r="O70" i="59"/>
  <c r="Q182" i="58"/>
  <c r="Q183" i="58" s="1"/>
  <c r="Q167" i="58"/>
  <c r="Q168" i="58" s="1"/>
  <c r="Q177" i="58"/>
  <c r="Q178" i="58" s="1"/>
  <c r="Q192" i="58"/>
  <c r="Q193" i="58" s="1"/>
  <c r="Q202" i="58"/>
  <c r="Q203" i="58" s="1"/>
  <c r="Q172" i="58"/>
  <c r="Q173" i="58" s="1"/>
  <c r="Q207" i="58"/>
  <c r="Q208" i="58" s="1"/>
  <c r="Q137" i="58"/>
  <c r="Q138" i="58" s="1"/>
  <c r="Q187" i="58"/>
  <c r="Q188" i="58" s="1"/>
  <c r="Q162" i="58"/>
  <c r="Q163" i="58" s="1"/>
  <c r="Q157" i="58"/>
  <c r="Q158" i="58" s="1"/>
  <c r="Q142" i="58"/>
  <c r="Q143" i="58" s="1"/>
  <c r="Q152" i="58"/>
  <c r="Q153" i="58" s="1"/>
  <c r="Q147" i="58"/>
  <c r="Q148" i="58" s="1"/>
  <c r="Q197" i="58"/>
  <c r="Q198" i="58" s="1"/>
  <c r="P107" i="58"/>
  <c r="P212" i="58" s="1"/>
  <c r="P213" i="58" s="1"/>
  <c r="CM77" i="58"/>
  <c r="M43" i="59" s="1"/>
  <c r="M88" i="59" s="1"/>
  <c r="O77" i="58"/>
  <c r="P97" i="59"/>
  <c r="P100" i="59"/>
  <c r="U152" i="30"/>
  <c r="V152" i="30" s="1"/>
  <c r="V30" i="3"/>
  <c r="V35" i="3"/>
  <c r="V31" i="3"/>
  <c r="U152" i="27"/>
  <c r="V152" i="27" s="1"/>
  <c r="BA25" i="3"/>
  <c r="BA28" i="3" s="1"/>
  <c r="V34" i="3" s="1"/>
  <c r="V28" i="3"/>
  <c r="AY25" i="3"/>
  <c r="AY28" i="3" s="1"/>
  <c r="T34" i="3" s="1"/>
  <c r="T35" i="3"/>
  <c r="U31" i="3"/>
  <c r="U152" i="26"/>
  <c r="V152" i="26" s="1"/>
  <c r="T30" i="3"/>
  <c r="T31" i="3"/>
  <c r="AZ25" i="3"/>
  <c r="U28" i="3"/>
  <c r="U30" i="3"/>
  <c r="U35" i="3"/>
  <c r="AZ11" i="3"/>
  <c r="D113" i="5"/>
  <c r="D126" i="5"/>
  <c r="P88" i="58"/>
  <c r="P97" i="58"/>
  <c r="P92" i="58"/>
  <c r="P83" i="58"/>
  <c r="P94" i="58"/>
  <c r="O102" i="58"/>
  <c r="P99" i="58"/>
  <c r="P79" i="58"/>
  <c r="P81" i="58"/>
  <c r="O95" i="58"/>
  <c r="O92" i="58"/>
  <c r="P82" i="58"/>
  <c r="P101" i="58"/>
  <c r="O99" i="58"/>
  <c r="P84" i="58"/>
  <c r="O88" i="58"/>
  <c r="O83" i="58"/>
  <c r="P104" i="58"/>
  <c r="O79" i="58"/>
  <c r="P98" i="58"/>
  <c r="O94" i="58"/>
  <c r="O85" i="58"/>
  <c r="P90" i="58"/>
  <c r="P89" i="58"/>
  <c r="O93" i="58"/>
  <c r="P102" i="58"/>
  <c r="P91" i="58"/>
  <c r="O89" i="58"/>
  <c r="P100" i="58"/>
  <c r="P96" i="58"/>
  <c r="O100" i="58"/>
  <c r="O101" i="58"/>
  <c r="CM98" i="58" l="1"/>
  <c r="M65" i="59" s="1"/>
  <c r="P128" i="58"/>
  <c r="P131" i="58"/>
  <c r="CM101" i="58"/>
  <c r="M68" i="59" s="1"/>
  <c r="P111" i="58"/>
  <c r="CM81" i="58"/>
  <c r="M48" i="59" s="1"/>
  <c r="M91" i="59" s="1"/>
  <c r="CM88" i="58"/>
  <c r="M55" i="59" s="1"/>
  <c r="P118" i="58"/>
  <c r="CM99" i="58"/>
  <c r="M66" i="59" s="1"/>
  <c r="P129" i="58"/>
  <c r="P126" i="58"/>
  <c r="CM96" i="58"/>
  <c r="M63" i="59" s="1"/>
  <c r="M95" i="59" s="1"/>
  <c r="P124" i="58"/>
  <c r="CM94" i="58"/>
  <c r="M61" i="59" s="1"/>
  <c r="CM89" i="58"/>
  <c r="M56" i="59" s="1"/>
  <c r="P119" i="58"/>
  <c r="CM83" i="58"/>
  <c r="M50" i="59" s="1"/>
  <c r="P113" i="58"/>
  <c r="CM79" i="58"/>
  <c r="M46" i="59" s="1"/>
  <c r="P109" i="58"/>
  <c r="CM82" i="58"/>
  <c r="M49" i="59" s="1"/>
  <c r="P112" i="58"/>
  <c r="P121" i="58"/>
  <c r="CM91" i="58"/>
  <c r="M58" i="59" s="1"/>
  <c r="CM102" i="58"/>
  <c r="M69" i="59" s="1"/>
  <c r="P132" i="58"/>
  <c r="P103" i="58"/>
  <c r="P130" i="58"/>
  <c r="CM100" i="58"/>
  <c r="M67" i="59" s="1"/>
  <c r="P114" i="58"/>
  <c r="CM84" i="58"/>
  <c r="M51" i="59" s="1"/>
  <c r="CM92" i="58"/>
  <c r="M59" i="59" s="1"/>
  <c r="P122" i="58"/>
  <c r="P120" i="58"/>
  <c r="CM90" i="58"/>
  <c r="M57" i="59" s="1"/>
  <c r="CM97" i="58"/>
  <c r="M64" i="59" s="1"/>
  <c r="P127" i="58"/>
  <c r="N99" i="59"/>
  <c r="N98" i="59"/>
  <c r="M94" i="59"/>
  <c r="O130" i="58"/>
  <c r="CL100" i="58"/>
  <c r="L67" i="59" s="1"/>
  <c r="O123" i="58"/>
  <c r="CL93" i="58"/>
  <c r="L60" i="59" s="1"/>
  <c r="O122" i="58"/>
  <c r="CL92" i="58"/>
  <c r="L59" i="59" s="1"/>
  <c r="CL83" i="58"/>
  <c r="L50" i="59" s="1"/>
  <c r="O113" i="58"/>
  <c r="O115" i="58"/>
  <c r="CL85" i="58"/>
  <c r="L52" i="59" s="1"/>
  <c r="CL102" i="58"/>
  <c r="L69" i="59" s="1"/>
  <c r="O132" i="58"/>
  <c r="CL89" i="58"/>
  <c r="L56" i="59" s="1"/>
  <c r="O119" i="58"/>
  <c r="O129" i="58"/>
  <c r="CL99" i="58"/>
  <c r="L66" i="59" s="1"/>
  <c r="O109" i="58"/>
  <c r="CL79" i="58"/>
  <c r="O125" i="58"/>
  <c r="CL95" i="58"/>
  <c r="L62" i="59" s="1"/>
  <c r="CL94" i="58"/>
  <c r="L61" i="59" s="1"/>
  <c r="O124" i="58"/>
  <c r="O131" i="58"/>
  <c r="CL101" i="58"/>
  <c r="L68" i="59" s="1"/>
  <c r="CL88" i="58"/>
  <c r="L55" i="59" s="1"/>
  <c r="O118" i="58"/>
  <c r="N89" i="59"/>
  <c r="N70" i="59"/>
  <c r="O100" i="59"/>
  <c r="O97" i="59"/>
  <c r="P177" i="58"/>
  <c r="P178" i="58" s="1"/>
  <c r="P162" i="58"/>
  <c r="P163" i="58" s="1"/>
  <c r="P182" i="58"/>
  <c r="P183" i="58" s="1"/>
  <c r="P172" i="58"/>
  <c r="P173" i="58" s="1"/>
  <c r="P152" i="58"/>
  <c r="P153" i="58" s="1"/>
  <c r="P197" i="58"/>
  <c r="P198" i="58" s="1"/>
  <c r="P157" i="58"/>
  <c r="P158" i="58" s="1"/>
  <c r="P142" i="58"/>
  <c r="P143" i="58" s="1"/>
  <c r="P137" i="58"/>
  <c r="P138" i="58" s="1"/>
  <c r="P167" i="58"/>
  <c r="P168" i="58" s="1"/>
  <c r="P187" i="58"/>
  <c r="P188" i="58" s="1"/>
  <c r="P207" i="58"/>
  <c r="P208" i="58" s="1"/>
  <c r="P147" i="58"/>
  <c r="P148" i="58" s="1"/>
  <c r="P192" i="58"/>
  <c r="P193" i="58" s="1"/>
  <c r="P202" i="58"/>
  <c r="P203" i="58" s="1"/>
  <c r="CL77" i="58"/>
  <c r="L43" i="59" s="1"/>
  <c r="L88" i="59" s="1"/>
  <c r="N77" i="58"/>
  <c r="O107" i="58"/>
  <c r="O212" i="58" s="1"/>
  <c r="O213" i="58" s="1"/>
  <c r="V29" i="3"/>
  <c r="U29" i="3"/>
  <c r="T29" i="3"/>
  <c r="AZ28" i="3"/>
  <c r="U34" i="3" s="1"/>
  <c r="E152" i="5"/>
  <c r="E33" i="5" s="1"/>
  <c r="E113" i="5"/>
  <c r="E126" i="5"/>
  <c r="E112" i="5" s="1"/>
  <c r="F126" i="5"/>
  <c r="F112" i="5" s="1"/>
  <c r="F113" i="5"/>
  <c r="F152" i="5"/>
  <c r="F33" i="5" s="1"/>
  <c r="G113" i="5"/>
  <c r="G152" i="5"/>
  <c r="G33" i="5" s="1"/>
  <c r="G126" i="5"/>
  <c r="G112" i="5" s="1"/>
  <c r="D112" i="5"/>
  <c r="O84" i="58"/>
  <c r="O81" i="58"/>
  <c r="O90" i="58"/>
  <c r="O97" i="58"/>
  <c r="O98" i="58"/>
  <c r="O91" i="58"/>
  <c r="O82" i="58"/>
  <c r="O80" i="58"/>
  <c r="N104" i="58"/>
  <c r="O96" i="58"/>
  <c r="O104" i="58"/>
  <c r="N84" i="58"/>
  <c r="M92" i="59" l="1"/>
  <c r="M93" i="59"/>
  <c r="P133" i="58"/>
  <c r="M96" i="59"/>
  <c r="CM103" i="58"/>
  <c r="O103" i="58"/>
  <c r="O110" i="58"/>
  <c r="CL80" i="58"/>
  <c r="L47" i="59" s="1"/>
  <c r="L90" i="59" s="1"/>
  <c r="CL82" i="58"/>
  <c r="L49" i="59" s="1"/>
  <c r="O112" i="58"/>
  <c r="O121" i="58"/>
  <c r="CL91" i="58"/>
  <c r="L58" i="59" s="1"/>
  <c r="CL81" i="58"/>
  <c r="L48" i="59" s="1"/>
  <c r="O111" i="58"/>
  <c r="CL98" i="58"/>
  <c r="L65" i="59" s="1"/>
  <c r="O128" i="58"/>
  <c r="O126" i="58"/>
  <c r="CL96" i="58"/>
  <c r="L63" i="59" s="1"/>
  <c r="L95" i="59" s="1"/>
  <c r="O120" i="58"/>
  <c r="CL90" i="58"/>
  <c r="L57" i="59" s="1"/>
  <c r="CL84" i="58"/>
  <c r="L51" i="59" s="1"/>
  <c r="L92" i="59" s="1"/>
  <c r="O114" i="58"/>
  <c r="O127" i="58"/>
  <c r="CL97" i="58"/>
  <c r="L64" i="59" s="1"/>
  <c r="M98" i="59"/>
  <c r="L94" i="59"/>
  <c r="N114" i="58"/>
  <c r="CK84" i="58"/>
  <c r="K51" i="59" s="1"/>
  <c r="N100" i="59"/>
  <c r="N97" i="59"/>
  <c r="L46" i="59"/>
  <c r="M89" i="59"/>
  <c r="M70" i="59"/>
  <c r="M77" i="58"/>
  <c r="N107" i="58"/>
  <c r="N212" i="58" s="1"/>
  <c r="N213" i="58" s="1"/>
  <c r="CK77" i="58"/>
  <c r="K43" i="59" s="1"/>
  <c r="K88" i="59" s="1"/>
  <c r="O187" i="58"/>
  <c r="O188" i="58" s="1"/>
  <c r="O142" i="58"/>
  <c r="O143" i="58" s="1"/>
  <c r="O182" i="58"/>
  <c r="O183" i="58" s="1"/>
  <c r="O162" i="58"/>
  <c r="O163" i="58" s="1"/>
  <c r="O157" i="58"/>
  <c r="O158" i="58" s="1"/>
  <c r="O152" i="58"/>
  <c r="O153" i="58" s="1"/>
  <c r="O192" i="58"/>
  <c r="O193" i="58" s="1"/>
  <c r="O202" i="58"/>
  <c r="O203" i="58" s="1"/>
  <c r="O177" i="58"/>
  <c r="O178" i="58" s="1"/>
  <c r="O172" i="58"/>
  <c r="O173" i="58" s="1"/>
  <c r="O147" i="58"/>
  <c r="O148" i="58" s="1"/>
  <c r="O197" i="58"/>
  <c r="O198" i="58" s="1"/>
  <c r="O167" i="58"/>
  <c r="O168" i="58" s="1"/>
  <c r="O207" i="58"/>
  <c r="O208" i="58" s="1"/>
  <c r="O137" i="58"/>
  <c r="O138" i="58" s="1"/>
  <c r="F39" i="5"/>
  <c r="G39" i="5"/>
  <c r="F153" i="5"/>
  <c r="F34" i="5" s="1"/>
  <c r="G153" i="5"/>
  <c r="G34" i="5" s="1"/>
  <c r="E153" i="5"/>
  <c r="E34" i="5" s="1"/>
  <c r="N88" i="58"/>
  <c r="N80" i="58"/>
  <c r="N95" i="58"/>
  <c r="N89" i="58"/>
  <c r="N85" i="58"/>
  <c r="N100" i="58"/>
  <c r="N90" i="58"/>
  <c r="N92" i="58"/>
  <c r="N97" i="58"/>
  <c r="M98" i="58"/>
  <c r="N94" i="58"/>
  <c r="N102" i="58"/>
  <c r="N93" i="58"/>
  <c r="N99" i="58"/>
  <c r="N98" i="58"/>
  <c r="N96" i="58"/>
  <c r="N101" i="58"/>
  <c r="N79" i="58"/>
  <c r="N91" i="58"/>
  <c r="N81" i="58"/>
  <c r="N82" i="58"/>
  <c r="N83" i="58"/>
  <c r="N123" i="58" l="1"/>
  <c r="CK93" i="58"/>
  <c r="K60" i="59" s="1"/>
  <c r="CK88" i="58"/>
  <c r="K55" i="59" s="1"/>
  <c r="N118" i="58"/>
  <c r="N124" i="58"/>
  <c r="CK94" i="58"/>
  <c r="K61" i="59" s="1"/>
  <c r="M99" i="59"/>
  <c r="O133" i="58"/>
  <c r="L91" i="59"/>
  <c r="L98" i="59" s="1"/>
  <c r="L93" i="59"/>
  <c r="L96" i="59"/>
  <c r="CL103" i="58"/>
  <c r="CK80" i="58"/>
  <c r="K47" i="59" s="1"/>
  <c r="K90" i="59" s="1"/>
  <c r="N110" i="58"/>
  <c r="CK92" i="58"/>
  <c r="K59" i="59" s="1"/>
  <c r="N122" i="58"/>
  <c r="CK99" i="58"/>
  <c r="K66" i="59" s="1"/>
  <c r="N129" i="58"/>
  <c r="N132" i="58"/>
  <c r="CK102" i="58"/>
  <c r="K69" i="59" s="1"/>
  <c r="CK81" i="58"/>
  <c r="K48" i="59" s="1"/>
  <c r="N111" i="58"/>
  <c r="CK96" i="58"/>
  <c r="K63" i="59" s="1"/>
  <c r="K95" i="59" s="1"/>
  <c r="N126" i="58"/>
  <c r="CK101" i="58"/>
  <c r="K68" i="59" s="1"/>
  <c r="N131" i="58"/>
  <c r="CK98" i="58"/>
  <c r="K65" i="59" s="1"/>
  <c r="N128" i="58"/>
  <c r="CK83" i="58"/>
  <c r="K50" i="59" s="1"/>
  <c r="N113" i="58"/>
  <c r="N121" i="58"/>
  <c r="CK91" i="58"/>
  <c r="K58" i="59" s="1"/>
  <c r="N115" i="58"/>
  <c r="CK85" i="58"/>
  <c r="K52" i="59" s="1"/>
  <c r="N103" i="58"/>
  <c r="N109" i="58"/>
  <c r="CK79" i="58"/>
  <c r="CK97" i="58"/>
  <c r="K64" i="59" s="1"/>
  <c r="N127" i="58"/>
  <c r="N119" i="58"/>
  <c r="CK89" i="58"/>
  <c r="K56" i="59" s="1"/>
  <c r="CK90" i="58"/>
  <c r="K57" i="59" s="1"/>
  <c r="N120" i="58"/>
  <c r="CK82" i="58"/>
  <c r="K49" i="59" s="1"/>
  <c r="N112" i="58"/>
  <c r="CK100" i="58"/>
  <c r="K67" i="59" s="1"/>
  <c r="N130" i="58"/>
  <c r="N125" i="58"/>
  <c r="CK95" i="58"/>
  <c r="K62" i="59" s="1"/>
  <c r="CJ98" i="58"/>
  <c r="J65" i="59" s="1"/>
  <c r="M128" i="58"/>
  <c r="L89" i="59"/>
  <c r="L70" i="59"/>
  <c r="N162" i="58"/>
  <c r="N163" i="58" s="1"/>
  <c r="N187" i="58"/>
  <c r="N188" i="58" s="1"/>
  <c r="N142" i="58"/>
  <c r="N143" i="58" s="1"/>
  <c r="N137" i="58"/>
  <c r="N138" i="58" s="1"/>
  <c r="N192" i="58"/>
  <c r="N193" i="58" s="1"/>
  <c r="N182" i="58"/>
  <c r="N183" i="58" s="1"/>
  <c r="N172" i="58"/>
  <c r="N173" i="58" s="1"/>
  <c r="N197" i="58"/>
  <c r="N198" i="58" s="1"/>
  <c r="N202" i="58"/>
  <c r="N203" i="58" s="1"/>
  <c r="N167" i="58"/>
  <c r="N168" i="58" s="1"/>
  <c r="N207" i="58"/>
  <c r="N208" i="58" s="1"/>
  <c r="N157" i="58"/>
  <c r="N158" i="58" s="1"/>
  <c r="N152" i="58"/>
  <c r="N153" i="58" s="1"/>
  <c r="N177" i="58"/>
  <c r="N178" i="58" s="1"/>
  <c r="N147" i="58"/>
  <c r="N148" i="58" s="1"/>
  <c r="M107" i="58"/>
  <c r="M212" i="58" s="1"/>
  <c r="M213" i="58" s="1"/>
  <c r="CJ77" i="58"/>
  <c r="J43" i="59" s="1"/>
  <c r="J88" i="59" s="1"/>
  <c r="L77" i="58"/>
  <c r="M97" i="59"/>
  <c r="M100" i="59"/>
  <c r="G40" i="5"/>
  <c r="F40" i="5"/>
  <c r="E7" i="5"/>
  <c r="E15" i="5"/>
  <c r="E13" i="5"/>
  <c r="E8" i="5"/>
  <c r="E11" i="5"/>
  <c r="E14" i="5"/>
  <c r="E9" i="5"/>
  <c r="E10" i="5"/>
  <c r="E12" i="5"/>
  <c r="F9" i="5"/>
  <c r="F8" i="5"/>
  <c r="F13" i="5"/>
  <c r="F14" i="5"/>
  <c r="F7" i="5"/>
  <c r="F11" i="5"/>
  <c r="F12" i="5"/>
  <c r="F15" i="5"/>
  <c r="F10" i="5"/>
  <c r="G13" i="5"/>
  <c r="G8" i="5"/>
  <c r="G9" i="5"/>
  <c r="G7" i="5"/>
  <c r="G10" i="5"/>
  <c r="G11" i="5"/>
  <c r="G14" i="5"/>
  <c r="G12" i="5"/>
  <c r="G15" i="5"/>
  <c r="M92" i="58"/>
  <c r="M89" i="58"/>
  <c r="M99" i="58"/>
  <c r="M82" i="58"/>
  <c r="M94" i="58"/>
  <c r="M88" i="58"/>
  <c r="M80" i="58"/>
  <c r="M83" i="58"/>
  <c r="M93" i="58"/>
  <c r="M90" i="58"/>
  <c r="M85" i="58"/>
  <c r="M79" i="58"/>
  <c r="M95" i="58"/>
  <c r="M81" i="58"/>
  <c r="M102" i="58"/>
  <c r="M101" i="58"/>
  <c r="M91" i="58"/>
  <c r="M84" i="58"/>
  <c r="M97" i="58"/>
  <c r="M104" i="58"/>
  <c r="M100" i="58"/>
  <c r="M96" i="58"/>
  <c r="L104" i="58"/>
  <c r="M126" i="58" l="1"/>
  <c r="CJ96" i="58"/>
  <c r="J63" i="59" s="1"/>
  <c r="J95" i="59" s="1"/>
  <c r="K94" i="59"/>
  <c r="L99" i="59"/>
  <c r="K93" i="59"/>
  <c r="K91" i="59"/>
  <c r="K92" i="59"/>
  <c r="K96" i="59"/>
  <c r="CK103" i="58"/>
  <c r="N133" i="58"/>
  <c r="K46" i="59"/>
  <c r="K70" i="59" s="1"/>
  <c r="M123" i="58"/>
  <c r="CJ93" i="58"/>
  <c r="J60" i="59" s="1"/>
  <c r="CJ97" i="58"/>
  <c r="J64" i="59" s="1"/>
  <c r="M127" i="58"/>
  <c r="CJ100" i="58"/>
  <c r="J67" i="59" s="1"/>
  <c r="M130" i="58"/>
  <c r="M115" i="58"/>
  <c r="CJ85" i="58"/>
  <c r="J52" i="59" s="1"/>
  <c r="CJ82" i="58"/>
  <c r="J49" i="59" s="1"/>
  <c r="M112" i="58"/>
  <c r="CJ101" i="58"/>
  <c r="J68" i="59" s="1"/>
  <c r="M131" i="58"/>
  <c r="CJ81" i="58"/>
  <c r="J48" i="59" s="1"/>
  <c r="M111" i="58"/>
  <c r="CJ79" i="58"/>
  <c r="J46" i="59" s="1"/>
  <c r="M109" i="58"/>
  <c r="M103" i="58"/>
  <c r="M121" i="58"/>
  <c r="CJ91" i="58"/>
  <c r="J58" i="59" s="1"/>
  <c r="CJ90" i="58"/>
  <c r="J57" i="59" s="1"/>
  <c r="M120" i="58"/>
  <c r="CJ83" i="58"/>
  <c r="J50" i="59" s="1"/>
  <c r="M113" i="58"/>
  <c r="M122" i="58"/>
  <c r="CJ92" i="58"/>
  <c r="J59" i="59" s="1"/>
  <c r="CJ89" i="58"/>
  <c r="J56" i="59" s="1"/>
  <c r="M119" i="58"/>
  <c r="M110" i="58"/>
  <c r="CJ80" i="58"/>
  <c r="J47" i="59" s="1"/>
  <c r="J90" i="59" s="1"/>
  <c r="CJ99" i="58"/>
  <c r="J66" i="59" s="1"/>
  <c r="M129" i="58"/>
  <c r="M118" i="58"/>
  <c r="CJ88" i="58"/>
  <c r="J55" i="59" s="1"/>
  <c r="M114" i="58"/>
  <c r="CJ84" i="58"/>
  <c r="J51" i="59" s="1"/>
  <c r="CJ94" i="58"/>
  <c r="J61" i="59" s="1"/>
  <c r="M124" i="58"/>
  <c r="CJ95" i="58"/>
  <c r="J62" i="59" s="1"/>
  <c r="M125" i="58"/>
  <c r="CJ102" i="58"/>
  <c r="J69" i="59" s="1"/>
  <c r="M132" i="58"/>
  <c r="K77" i="58"/>
  <c r="CI77" i="58"/>
  <c r="I43" i="59" s="1"/>
  <c r="I88" i="59" s="1"/>
  <c r="L107" i="58"/>
  <c r="L212" i="58" s="1"/>
  <c r="L213" i="58" s="1"/>
  <c r="M187" i="58"/>
  <c r="M188" i="58" s="1"/>
  <c r="M162" i="58"/>
  <c r="M163" i="58" s="1"/>
  <c r="M172" i="58"/>
  <c r="M173" i="58" s="1"/>
  <c r="M147" i="58"/>
  <c r="M148" i="58" s="1"/>
  <c r="M152" i="58"/>
  <c r="M153" i="58" s="1"/>
  <c r="M142" i="58"/>
  <c r="M143" i="58" s="1"/>
  <c r="M137" i="58"/>
  <c r="M138" i="58" s="1"/>
  <c r="M197" i="58"/>
  <c r="M198" i="58" s="1"/>
  <c r="M182" i="58"/>
  <c r="M183" i="58" s="1"/>
  <c r="M167" i="58"/>
  <c r="M168" i="58" s="1"/>
  <c r="M207" i="58"/>
  <c r="M208" i="58" s="1"/>
  <c r="M192" i="58"/>
  <c r="M193" i="58" s="1"/>
  <c r="M157" i="58"/>
  <c r="M158" i="58" s="1"/>
  <c r="M202" i="58"/>
  <c r="M203" i="58" s="1"/>
  <c r="M177" i="58"/>
  <c r="M178" i="58" s="1"/>
  <c r="L97" i="59"/>
  <c r="L100" i="59"/>
  <c r="F16" i="5"/>
  <c r="F58" i="5" s="1"/>
  <c r="G16" i="5"/>
  <c r="G58" i="5" s="1"/>
  <c r="E16" i="5"/>
  <c r="E58" i="5" s="1"/>
  <c r="L88" i="58"/>
  <c r="L97" i="58"/>
  <c r="K85" i="58"/>
  <c r="L81" i="58"/>
  <c r="L92" i="58"/>
  <c r="L93" i="58"/>
  <c r="L94" i="58"/>
  <c r="L95" i="58"/>
  <c r="K91" i="58"/>
  <c r="L84" i="58"/>
  <c r="L98" i="58"/>
  <c r="L80" i="58"/>
  <c r="K90" i="58"/>
  <c r="K95" i="58"/>
  <c r="K82" i="58"/>
  <c r="L85" i="58"/>
  <c r="L82" i="58"/>
  <c r="K104" i="58"/>
  <c r="K84" i="58"/>
  <c r="K97" i="58"/>
  <c r="L91" i="58"/>
  <c r="L96" i="58"/>
  <c r="L100" i="58"/>
  <c r="L102" i="58"/>
  <c r="L79" i="58"/>
  <c r="L101" i="58"/>
  <c r="L90" i="58"/>
  <c r="L89" i="58"/>
  <c r="K96" i="58"/>
  <c r="L99" i="58"/>
  <c r="L83" i="58"/>
  <c r="K83" i="58"/>
  <c r="K79" i="58"/>
  <c r="K102" i="58"/>
  <c r="K89" i="58"/>
  <c r="CI91" i="58" l="1"/>
  <c r="I58" i="59" s="1"/>
  <c r="L121" i="58"/>
  <c r="L110" i="58"/>
  <c r="CI80" i="58"/>
  <c r="I47" i="59" s="1"/>
  <c r="I90" i="59" s="1"/>
  <c r="L125" i="58"/>
  <c r="CI95" i="58"/>
  <c r="I62" i="59" s="1"/>
  <c r="L118" i="58"/>
  <c r="CI88" i="58"/>
  <c r="I55" i="59" s="1"/>
  <c r="CI81" i="58"/>
  <c r="I48" i="59" s="1"/>
  <c r="I91" i="59" s="1"/>
  <c r="L111" i="58"/>
  <c r="K99" i="59"/>
  <c r="J91" i="59"/>
  <c r="K98" i="59"/>
  <c r="K89" i="59"/>
  <c r="K97" i="59" s="1"/>
  <c r="CI84" i="58"/>
  <c r="I51" i="59" s="1"/>
  <c r="L114" i="58"/>
  <c r="CI90" i="58"/>
  <c r="I57" i="59" s="1"/>
  <c r="L120" i="58"/>
  <c r="L122" i="58"/>
  <c r="CI92" i="58"/>
  <c r="I59" i="59" s="1"/>
  <c r="L126" i="58"/>
  <c r="CI96" i="58"/>
  <c r="I63" i="59" s="1"/>
  <c r="I95" i="59" s="1"/>
  <c r="CI89" i="58"/>
  <c r="I56" i="59" s="1"/>
  <c r="L119" i="58"/>
  <c r="CI100" i="58"/>
  <c r="I67" i="59" s="1"/>
  <c r="L130" i="58"/>
  <c r="CI93" i="58"/>
  <c r="I60" i="59" s="1"/>
  <c r="I94" i="59" s="1"/>
  <c r="L123" i="58"/>
  <c r="L124" i="58"/>
  <c r="CI94" i="58"/>
  <c r="I61" i="59" s="1"/>
  <c r="L127" i="58"/>
  <c r="CI97" i="58"/>
  <c r="I64" i="59" s="1"/>
  <c r="I96" i="59" s="1"/>
  <c r="CI85" i="58"/>
  <c r="I52" i="59" s="1"/>
  <c r="L115" i="58"/>
  <c r="J96" i="59"/>
  <c r="J94" i="59"/>
  <c r="M133" i="58"/>
  <c r="J92" i="59"/>
  <c r="J93" i="59"/>
  <c r="CJ103" i="58"/>
  <c r="L103" i="58"/>
  <c r="L109" i="58"/>
  <c r="L133" i="58" s="1"/>
  <c r="CI79" i="58"/>
  <c r="CI103" i="58" s="1"/>
  <c r="L131" i="58"/>
  <c r="CI101" i="58"/>
  <c r="I68" i="59" s="1"/>
  <c r="L132" i="58"/>
  <c r="CI102" i="58"/>
  <c r="I69" i="59" s="1"/>
  <c r="L129" i="58"/>
  <c r="CI99" i="58"/>
  <c r="I66" i="59" s="1"/>
  <c r="CI83" i="58"/>
  <c r="I50" i="59" s="1"/>
  <c r="I92" i="59" s="1"/>
  <c r="L113" i="58"/>
  <c r="L128" i="58"/>
  <c r="CI98" i="58"/>
  <c r="I65" i="59" s="1"/>
  <c r="CI82" i="58"/>
  <c r="I49" i="59" s="1"/>
  <c r="L112" i="58"/>
  <c r="I93" i="59"/>
  <c r="K112" i="58"/>
  <c r="CH82" i="58"/>
  <c r="H49" i="59" s="1"/>
  <c r="K125" i="58"/>
  <c r="CH95" i="58"/>
  <c r="H62" i="59" s="1"/>
  <c r="K127" i="58"/>
  <c r="CH97" i="58"/>
  <c r="H64" i="59" s="1"/>
  <c r="CH85" i="58"/>
  <c r="H52" i="59" s="1"/>
  <c r="K115" i="58"/>
  <c r="K114" i="58"/>
  <c r="CH84" i="58"/>
  <c r="H51" i="59" s="1"/>
  <c r="CH96" i="58"/>
  <c r="H63" i="59" s="1"/>
  <c r="H95" i="59" s="1"/>
  <c r="K126" i="58"/>
  <c r="CH83" i="58"/>
  <c r="H50" i="59" s="1"/>
  <c r="K113" i="58"/>
  <c r="K109" i="58"/>
  <c r="K103" i="58"/>
  <c r="CH79" i="58"/>
  <c r="CH89" i="58"/>
  <c r="H56" i="59" s="1"/>
  <c r="K119" i="58"/>
  <c r="CH102" i="58"/>
  <c r="H69" i="59" s="1"/>
  <c r="K132" i="58"/>
  <c r="CH91" i="58"/>
  <c r="H58" i="59" s="1"/>
  <c r="K121" i="58"/>
  <c r="CH90" i="58"/>
  <c r="H57" i="59" s="1"/>
  <c r="K120" i="58"/>
  <c r="L167" i="58"/>
  <c r="L168" i="58" s="1"/>
  <c r="L197" i="58"/>
  <c r="L198" i="58" s="1"/>
  <c r="L182" i="58"/>
  <c r="L183" i="58" s="1"/>
  <c r="L142" i="58"/>
  <c r="L143" i="58" s="1"/>
  <c r="L187" i="58"/>
  <c r="L188" i="58" s="1"/>
  <c r="L152" i="58"/>
  <c r="L153" i="58" s="1"/>
  <c r="L157" i="58"/>
  <c r="L158" i="58" s="1"/>
  <c r="L162" i="58"/>
  <c r="L163" i="58" s="1"/>
  <c r="L207" i="58"/>
  <c r="L208" i="58" s="1"/>
  <c r="L137" i="58"/>
  <c r="L138" i="58" s="1"/>
  <c r="L192" i="58"/>
  <c r="L193" i="58" s="1"/>
  <c r="L172" i="58"/>
  <c r="L173" i="58" s="1"/>
  <c r="L202" i="58"/>
  <c r="L203" i="58" s="1"/>
  <c r="L147" i="58"/>
  <c r="L148" i="58" s="1"/>
  <c r="L177" i="58"/>
  <c r="L178" i="58" s="1"/>
  <c r="J70" i="59"/>
  <c r="J89" i="59"/>
  <c r="J77" i="58"/>
  <c r="K107" i="58"/>
  <c r="K212" i="58" s="1"/>
  <c r="K213" i="58" s="1"/>
  <c r="CH77" i="58"/>
  <c r="H43" i="59" s="1"/>
  <c r="H88" i="59" s="1"/>
  <c r="H126" i="5"/>
  <c r="H113" i="5"/>
  <c r="H152" i="5"/>
  <c r="H33" i="5" s="1"/>
  <c r="H39" i="5" s="1"/>
  <c r="K93" i="58"/>
  <c r="J82" i="58"/>
  <c r="K99" i="58"/>
  <c r="J104" i="58"/>
  <c r="J97" i="58"/>
  <c r="K101" i="58"/>
  <c r="K100" i="58"/>
  <c r="K92" i="58"/>
  <c r="K98" i="58"/>
  <c r="J88" i="58"/>
  <c r="K94" i="58"/>
  <c r="K80" i="58"/>
  <c r="K88" i="58"/>
  <c r="K81" i="58"/>
  <c r="J90" i="58"/>
  <c r="I98" i="59" l="1"/>
  <c r="J98" i="59"/>
  <c r="K100" i="59"/>
  <c r="CH92" i="58"/>
  <c r="H59" i="59" s="1"/>
  <c r="K122" i="58"/>
  <c r="J99" i="59"/>
  <c r="I46" i="59"/>
  <c r="I70" i="59" s="1"/>
  <c r="K110" i="58"/>
  <c r="CH80" i="58"/>
  <c r="H47" i="59" s="1"/>
  <c r="H90" i="59" s="1"/>
  <c r="CH81" i="58"/>
  <c r="H48" i="59" s="1"/>
  <c r="H91" i="59" s="1"/>
  <c r="K111" i="58"/>
  <c r="CH88" i="58"/>
  <c r="H55" i="59" s="1"/>
  <c r="H93" i="59" s="1"/>
  <c r="K118" i="58"/>
  <c r="K128" i="58"/>
  <c r="CH98" i="58"/>
  <c r="H65" i="59" s="1"/>
  <c r="CH101" i="58"/>
  <c r="H68" i="59" s="1"/>
  <c r="K131" i="58"/>
  <c r="CH99" i="58"/>
  <c r="H66" i="59" s="1"/>
  <c r="K129" i="58"/>
  <c r="CH93" i="58"/>
  <c r="H60" i="59" s="1"/>
  <c r="H94" i="59" s="1"/>
  <c r="K123" i="58"/>
  <c r="CH94" i="58"/>
  <c r="H61" i="59" s="1"/>
  <c r="K124" i="58"/>
  <c r="CH100" i="58"/>
  <c r="H67" i="59" s="1"/>
  <c r="K130" i="58"/>
  <c r="H92" i="59"/>
  <c r="K133" i="58"/>
  <c r="H96" i="59"/>
  <c r="I99" i="59"/>
  <c r="CG90" i="58"/>
  <c r="G57" i="59" s="1"/>
  <c r="J120" i="58"/>
  <c r="J127" i="58"/>
  <c r="CG97" i="58"/>
  <c r="G64" i="59" s="1"/>
  <c r="CG82" i="58"/>
  <c r="G49" i="59" s="1"/>
  <c r="J112" i="58"/>
  <c r="J118" i="58"/>
  <c r="CG88" i="58"/>
  <c r="G55" i="59" s="1"/>
  <c r="K177" i="58"/>
  <c r="K178" i="58" s="1"/>
  <c r="K147" i="58"/>
  <c r="K148" i="58" s="1"/>
  <c r="K192" i="58"/>
  <c r="K193" i="58" s="1"/>
  <c r="K202" i="58"/>
  <c r="K203" i="58" s="1"/>
  <c r="K182" i="58"/>
  <c r="K183" i="58" s="1"/>
  <c r="K172" i="58"/>
  <c r="K173" i="58" s="1"/>
  <c r="K162" i="58"/>
  <c r="K163" i="58" s="1"/>
  <c r="K207" i="58"/>
  <c r="K208" i="58" s="1"/>
  <c r="K197" i="58"/>
  <c r="K198" i="58" s="1"/>
  <c r="K157" i="58"/>
  <c r="K158" i="58" s="1"/>
  <c r="K187" i="58"/>
  <c r="K188" i="58" s="1"/>
  <c r="K152" i="58"/>
  <c r="K153" i="58" s="1"/>
  <c r="K167" i="58"/>
  <c r="K168" i="58" s="1"/>
  <c r="K142" i="58"/>
  <c r="K143" i="58" s="1"/>
  <c r="K137" i="58"/>
  <c r="K138" i="58" s="1"/>
  <c r="I77" i="58"/>
  <c r="J107" i="58"/>
  <c r="J212" i="58" s="1"/>
  <c r="J213" i="58" s="1"/>
  <c r="CG77" i="58"/>
  <c r="G43" i="59" s="1"/>
  <c r="G88" i="59" s="1"/>
  <c r="H46" i="59"/>
  <c r="CH103" i="58"/>
  <c r="J100" i="59"/>
  <c r="J97" i="59"/>
  <c r="H153" i="5"/>
  <c r="H34" i="5" s="1"/>
  <c r="H112" i="5"/>
  <c r="J81" i="58"/>
  <c r="J101" i="58"/>
  <c r="J99" i="58"/>
  <c r="J102" i="58"/>
  <c r="J96" i="58"/>
  <c r="J83" i="58"/>
  <c r="J80" i="58"/>
  <c r="J89" i="58"/>
  <c r="I90" i="58"/>
  <c r="J92" i="58"/>
  <c r="I104" i="58"/>
  <c r="J95" i="58"/>
  <c r="J100" i="58"/>
  <c r="I82" i="58"/>
  <c r="J85" i="58"/>
  <c r="J91" i="58"/>
  <c r="J84" i="58"/>
  <c r="J93" i="58"/>
  <c r="J79" i="58"/>
  <c r="I101" i="58"/>
  <c r="J94" i="58"/>
  <c r="J98" i="58"/>
  <c r="CG98" i="58" l="1"/>
  <c r="G65" i="59" s="1"/>
  <c r="J128" i="58"/>
  <c r="J114" i="58"/>
  <c r="CG84" i="58"/>
  <c r="G51" i="59" s="1"/>
  <c r="J119" i="58"/>
  <c r="CG89" i="58"/>
  <c r="G56" i="59" s="1"/>
  <c r="CG96" i="58"/>
  <c r="G63" i="59" s="1"/>
  <c r="G95" i="59" s="1"/>
  <c r="J126" i="58"/>
  <c r="CG99" i="58"/>
  <c r="G66" i="59" s="1"/>
  <c r="J129" i="58"/>
  <c r="J132" i="58"/>
  <c r="CG102" i="58"/>
  <c r="G69" i="59" s="1"/>
  <c r="J131" i="58"/>
  <c r="CG101" i="58"/>
  <c r="G68" i="59" s="1"/>
  <c r="J109" i="58"/>
  <c r="J133" i="58" s="1"/>
  <c r="J103" i="58"/>
  <c r="CG79" i="58"/>
  <c r="G46" i="59" s="1"/>
  <c r="CG91" i="58"/>
  <c r="G58" i="59" s="1"/>
  <c r="J121" i="58"/>
  <c r="H98" i="59"/>
  <c r="I89" i="59"/>
  <c r="I97" i="59" s="1"/>
  <c r="CG94" i="58"/>
  <c r="G61" i="59" s="1"/>
  <c r="J124" i="58"/>
  <c r="J125" i="58"/>
  <c r="CG95" i="58"/>
  <c r="G62" i="59" s="1"/>
  <c r="J111" i="58"/>
  <c r="CG81" i="58"/>
  <c r="G48" i="59" s="1"/>
  <c r="G91" i="59" s="1"/>
  <c r="J130" i="58"/>
  <c r="CG100" i="58"/>
  <c r="G67" i="59" s="1"/>
  <c r="J122" i="58"/>
  <c r="CG92" i="58"/>
  <c r="G59" i="59" s="1"/>
  <c r="CG80" i="58"/>
  <c r="G47" i="59" s="1"/>
  <c r="G90" i="59" s="1"/>
  <c r="J110" i="58"/>
  <c r="J113" i="58"/>
  <c r="CG83" i="58"/>
  <c r="G50" i="59" s="1"/>
  <c r="G92" i="59" s="1"/>
  <c r="CG85" i="58"/>
  <c r="G52" i="59" s="1"/>
  <c r="J115" i="58"/>
  <c r="CG93" i="58"/>
  <c r="G60" i="59" s="1"/>
  <c r="G94" i="59" s="1"/>
  <c r="J123" i="58"/>
  <c r="H99" i="59"/>
  <c r="G96" i="59"/>
  <c r="G93" i="59"/>
  <c r="CF101" i="58"/>
  <c r="F68" i="59" s="1"/>
  <c r="I131" i="58"/>
  <c r="I112" i="58"/>
  <c r="CF82" i="58"/>
  <c r="F49" i="59" s="1"/>
  <c r="CF90" i="58"/>
  <c r="F57" i="59" s="1"/>
  <c r="I120" i="58"/>
  <c r="I107" i="58"/>
  <c r="I212" i="58" s="1"/>
  <c r="I213" i="58" s="1"/>
  <c r="H77" i="58"/>
  <c r="CF77" i="58"/>
  <c r="F43" i="59" s="1"/>
  <c r="F88" i="59" s="1"/>
  <c r="J197" i="58"/>
  <c r="J198" i="58" s="1"/>
  <c r="J162" i="58"/>
  <c r="J163" i="58" s="1"/>
  <c r="J142" i="58"/>
  <c r="J143" i="58" s="1"/>
  <c r="J207" i="58"/>
  <c r="J208" i="58" s="1"/>
  <c r="J172" i="58"/>
  <c r="J173" i="58" s="1"/>
  <c r="J187" i="58"/>
  <c r="J188" i="58" s="1"/>
  <c r="J177" i="58"/>
  <c r="J178" i="58" s="1"/>
  <c r="J147" i="58"/>
  <c r="J148" i="58" s="1"/>
  <c r="J157" i="58"/>
  <c r="J158" i="58" s="1"/>
  <c r="J167" i="58"/>
  <c r="J168" i="58" s="1"/>
  <c r="J137" i="58"/>
  <c r="J138" i="58" s="1"/>
  <c r="J152" i="58"/>
  <c r="J153" i="58" s="1"/>
  <c r="J202" i="58"/>
  <c r="J203" i="58" s="1"/>
  <c r="J182" i="58"/>
  <c r="J183" i="58" s="1"/>
  <c r="J192" i="58"/>
  <c r="J193" i="58" s="1"/>
  <c r="H70" i="59"/>
  <c r="H89" i="59"/>
  <c r="H40" i="5"/>
  <c r="H13" i="5"/>
  <c r="H9" i="5"/>
  <c r="H10" i="5"/>
  <c r="H11" i="5"/>
  <c r="H8" i="5"/>
  <c r="H14" i="5"/>
  <c r="H12" i="5"/>
  <c r="H7" i="5"/>
  <c r="H15" i="5"/>
  <c r="I88" i="58"/>
  <c r="I85" i="58"/>
  <c r="I79" i="58"/>
  <c r="H95" i="58"/>
  <c r="I92" i="58"/>
  <c r="I95" i="58"/>
  <c r="I97" i="58"/>
  <c r="I93" i="58"/>
  <c r="H92" i="58"/>
  <c r="H85" i="58"/>
  <c r="H84" i="58"/>
  <c r="H91" i="58"/>
  <c r="H100" i="58"/>
  <c r="H90" i="58"/>
  <c r="I91" i="58"/>
  <c r="I80" i="58"/>
  <c r="I89" i="58"/>
  <c r="I98" i="58"/>
  <c r="H94" i="58"/>
  <c r="I100" i="58"/>
  <c r="I99" i="58"/>
  <c r="H97" i="58"/>
  <c r="H101" i="58"/>
  <c r="I83" i="58"/>
  <c r="I81" i="58"/>
  <c r="H80" i="58"/>
  <c r="I96" i="58"/>
  <c r="H79" i="58"/>
  <c r="I84" i="58"/>
  <c r="I94" i="58"/>
  <c r="I102" i="58"/>
  <c r="H104" i="58"/>
  <c r="CG103" i="58" l="1"/>
  <c r="I100" i="59"/>
  <c r="I126" i="58"/>
  <c r="CF96" i="58"/>
  <c r="F63" i="59" s="1"/>
  <c r="F95" i="59" s="1"/>
  <c r="I129" i="58"/>
  <c r="CF99" i="58"/>
  <c r="F66" i="59" s="1"/>
  <c r="I132" i="58"/>
  <c r="CF102" i="58"/>
  <c r="F69" i="59" s="1"/>
  <c r="I110" i="58"/>
  <c r="CF80" i="58"/>
  <c r="F47" i="59" s="1"/>
  <c r="F90" i="59" s="1"/>
  <c r="I128" i="58"/>
  <c r="CF98" i="58"/>
  <c r="F65" i="59" s="1"/>
  <c r="CF93" i="58"/>
  <c r="F60" i="59" s="1"/>
  <c r="F94" i="59" s="1"/>
  <c r="I123" i="58"/>
  <c r="I119" i="58"/>
  <c r="CF89" i="58"/>
  <c r="F56" i="59" s="1"/>
  <c r="I118" i="58"/>
  <c r="CF88" i="58"/>
  <c r="F55" i="59" s="1"/>
  <c r="F93" i="59" s="1"/>
  <c r="F99" i="59" s="1"/>
  <c r="CF81" i="58"/>
  <c r="F48" i="59" s="1"/>
  <c r="F91" i="59" s="1"/>
  <c r="F98" i="59" s="1"/>
  <c r="I111" i="58"/>
  <c r="CF91" i="58"/>
  <c r="F58" i="59" s="1"/>
  <c r="I121" i="58"/>
  <c r="I113" i="58"/>
  <c r="CF83" i="58"/>
  <c r="F50" i="59" s="1"/>
  <c r="F92" i="59" s="1"/>
  <c r="I115" i="58"/>
  <c r="CF85" i="58"/>
  <c r="F52" i="59" s="1"/>
  <c r="I122" i="58"/>
  <c r="CF92" i="58"/>
  <c r="F59" i="59" s="1"/>
  <c r="CF79" i="58"/>
  <c r="F46" i="59" s="1"/>
  <c r="I103" i="58"/>
  <c r="I109" i="58"/>
  <c r="I133" i="58" s="1"/>
  <c r="CF95" i="58"/>
  <c r="F62" i="59" s="1"/>
  <c r="I125" i="58"/>
  <c r="I124" i="58"/>
  <c r="CF94" i="58"/>
  <c r="F61" i="59" s="1"/>
  <c r="I130" i="58"/>
  <c r="CF100" i="58"/>
  <c r="F67" i="59" s="1"/>
  <c r="I114" i="58"/>
  <c r="CF84" i="58"/>
  <c r="F51" i="59" s="1"/>
  <c r="I127" i="58"/>
  <c r="CF97" i="58"/>
  <c r="F64" i="59" s="1"/>
  <c r="F96" i="59" s="1"/>
  <c r="G98" i="59"/>
  <c r="G99" i="59"/>
  <c r="CE90" i="58"/>
  <c r="E57" i="59" s="1"/>
  <c r="H120" i="58"/>
  <c r="H125" i="58"/>
  <c r="CE95" i="58"/>
  <c r="E62" i="59" s="1"/>
  <c r="H121" i="58"/>
  <c r="CE91" i="58"/>
  <c r="E58" i="59" s="1"/>
  <c r="CE92" i="58"/>
  <c r="E59" i="59" s="1"/>
  <c r="H122" i="58"/>
  <c r="H124" i="58"/>
  <c r="CE94" i="58"/>
  <c r="E61" i="59" s="1"/>
  <c r="H115" i="58"/>
  <c r="CE85" i="58"/>
  <c r="E52" i="59" s="1"/>
  <c r="H114" i="58"/>
  <c r="CE84" i="58"/>
  <c r="E51" i="59" s="1"/>
  <c r="H131" i="58"/>
  <c r="CE101" i="58"/>
  <c r="E68" i="59" s="1"/>
  <c r="H110" i="58"/>
  <c r="CE80" i="58"/>
  <c r="E47" i="59" s="1"/>
  <c r="E90" i="59" s="1"/>
  <c r="H130" i="58"/>
  <c r="CE100" i="58"/>
  <c r="E67" i="59" s="1"/>
  <c r="H127" i="58"/>
  <c r="CE97" i="58"/>
  <c r="E64" i="59" s="1"/>
  <c r="H109" i="58"/>
  <c r="H103" i="58"/>
  <c r="CE79" i="58"/>
  <c r="G77" i="58"/>
  <c r="D423" i="58" s="1"/>
  <c r="CE77" i="58"/>
  <c r="E43" i="59" s="1"/>
  <c r="E88" i="59" s="1"/>
  <c r="H107" i="58"/>
  <c r="H212" i="58" s="1"/>
  <c r="H213" i="58" s="1"/>
  <c r="I197" i="58"/>
  <c r="I198" i="58" s="1"/>
  <c r="I177" i="58"/>
  <c r="I178" i="58" s="1"/>
  <c r="I182" i="58"/>
  <c r="I183" i="58" s="1"/>
  <c r="I162" i="58"/>
  <c r="I163" i="58" s="1"/>
  <c r="I172" i="58"/>
  <c r="I173" i="58" s="1"/>
  <c r="I152" i="58"/>
  <c r="I153" i="58" s="1"/>
  <c r="I187" i="58"/>
  <c r="I188" i="58" s="1"/>
  <c r="I157" i="58"/>
  <c r="I158" i="58" s="1"/>
  <c r="I142" i="58"/>
  <c r="I143" i="58" s="1"/>
  <c r="I192" i="58"/>
  <c r="I193" i="58" s="1"/>
  <c r="I167" i="58"/>
  <c r="I168" i="58" s="1"/>
  <c r="I202" i="58"/>
  <c r="I203" i="58" s="1"/>
  <c r="I147" i="58"/>
  <c r="I148" i="58" s="1"/>
  <c r="I207" i="58"/>
  <c r="I208" i="58" s="1"/>
  <c r="I137" i="58"/>
  <c r="I138" i="58" s="1"/>
  <c r="G89" i="59"/>
  <c r="G70" i="59"/>
  <c r="H100" i="59"/>
  <c r="H97" i="59"/>
  <c r="H16" i="5"/>
  <c r="H58" i="5" s="1"/>
  <c r="H99" i="58"/>
  <c r="H96" i="58"/>
  <c r="H102" i="58"/>
  <c r="H82" i="58"/>
  <c r="G93" i="58"/>
  <c r="H98" i="58"/>
  <c r="H81" i="58"/>
  <c r="H83" i="58"/>
  <c r="G83" i="58"/>
  <c r="G96" i="58"/>
  <c r="H93" i="58"/>
  <c r="H88" i="58"/>
  <c r="H89" i="58"/>
  <c r="D450" i="58" l="1"/>
  <c r="D451" i="58" s="1"/>
  <c r="D438" i="58"/>
  <c r="D439" i="58" s="1"/>
  <c r="D408" i="58"/>
  <c r="D409" i="58" s="1"/>
  <c r="D453" i="58"/>
  <c r="D454" i="58" s="1"/>
  <c r="D393" i="58"/>
  <c r="D394" i="58" s="1"/>
  <c r="D339" i="58"/>
  <c r="D340" i="58" s="1"/>
  <c r="D354" i="58"/>
  <c r="D355" i="58" s="1"/>
  <c r="D309" i="58"/>
  <c r="D310" i="58" s="1"/>
  <c r="D324" i="58"/>
  <c r="D325" i="58" s="1"/>
  <c r="D279" i="58"/>
  <c r="D280" i="58" s="1"/>
  <c r="D294" i="58"/>
  <c r="D295" i="58" s="1"/>
  <c r="D249" i="58"/>
  <c r="D250" i="58" s="1"/>
  <c r="D264" i="58"/>
  <c r="D265" i="58" s="1"/>
  <c r="D230" i="58"/>
  <c r="D231" i="58" s="1"/>
  <c r="D233" i="58"/>
  <c r="D234" i="58" s="1"/>
  <c r="D243" i="58"/>
  <c r="D244" i="58" s="1"/>
  <c r="D227" i="58"/>
  <c r="D228" i="58" s="1"/>
  <c r="U214" i="58"/>
  <c r="V214" i="58"/>
  <c r="AH214" i="58"/>
  <c r="AT214" i="58"/>
  <c r="AI214" i="58"/>
  <c r="W214" i="58"/>
  <c r="AU214" i="58"/>
  <c r="X214" i="58"/>
  <c r="AJ214" i="58"/>
  <c r="AV214" i="58"/>
  <c r="Y214" i="58"/>
  <c r="AK214" i="58"/>
  <c r="AW214" i="58"/>
  <c r="AY214" i="58"/>
  <c r="Z214" i="58"/>
  <c r="AL214" i="58"/>
  <c r="AX214" i="58"/>
  <c r="AM214" i="58"/>
  <c r="AA214" i="58"/>
  <c r="AB214" i="58"/>
  <c r="AN214" i="58"/>
  <c r="AZ214" i="58"/>
  <c r="BC214" i="58"/>
  <c r="AC214" i="58"/>
  <c r="AO214" i="58"/>
  <c r="BA214" i="58"/>
  <c r="AQ214" i="58"/>
  <c r="AD214" i="58"/>
  <c r="AP214" i="58"/>
  <c r="BB214" i="58"/>
  <c r="AE214" i="58"/>
  <c r="AF214" i="58"/>
  <c r="AR214" i="58"/>
  <c r="BD214" i="58"/>
  <c r="AG214" i="58"/>
  <c r="AS214" i="58"/>
  <c r="T214" i="58"/>
  <c r="S214" i="58"/>
  <c r="R214" i="58"/>
  <c r="Q214" i="58"/>
  <c r="P214" i="58"/>
  <c r="O214" i="58"/>
  <c r="N214" i="58"/>
  <c r="M214" i="58"/>
  <c r="L214" i="58"/>
  <c r="K214" i="58"/>
  <c r="I214" i="58"/>
  <c r="J214" i="58"/>
  <c r="D447" i="58"/>
  <c r="D448" i="58" s="1"/>
  <c r="D432" i="58"/>
  <c r="D433" i="58" s="1"/>
  <c r="D435" i="58"/>
  <c r="D436" i="58" s="1"/>
  <c r="D417" i="58"/>
  <c r="D418" i="58" s="1"/>
  <c r="D424" i="58"/>
  <c r="D420" i="58"/>
  <c r="D421" i="58" s="1"/>
  <c r="D402" i="58"/>
  <c r="D403" i="58" s="1"/>
  <c r="D405" i="58"/>
  <c r="D406" i="58" s="1"/>
  <c r="D387" i="58"/>
  <c r="D388" i="58" s="1"/>
  <c r="D390" i="58"/>
  <c r="D391" i="58" s="1"/>
  <c r="D348" i="58"/>
  <c r="D349" i="58" s="1"/>
  <c r="D351" i="58"/>
  <c r="D352" i="58" s="1"/>
  <c r="D333" i="58"/>
  <c r="D334" i="58" s="1"/>
  <c r="D336" i="58"/>
  <c r="D337" i="58" s="1"/>
  <c r="D318" i="58"/>
  <c r="D319" i="58" s="1"/>
  <c r="D321" i="58"/>
  <c r="D322" i="58" s="1"/>
  <c r="D303" i="58"/>
  <c r="D304" i="58" s="1"/>
  <c r="D306" i="58"/>
  <c r="D307" i="58" s="1"/>
  <c r="D288" i="58"/>
  <c r="D289" i="58" s="1"/>
  <c r="D291" i="58"/>
  <c r="D292" i="58" s="1"/>
  <c r="D273" i="58"/>
  <c r="D274" i="58" s="1"/>
  <c r="D276" i="58"/>
  <c r="D277" i="58" s="1"/>
  <c r="D258" i="58"/>
  <c r="D259" i="58" s="1"/>
  <c r="D261" i="58"/>
  <c r="D262" i="58" s="1"/>
  <c r="D246" i="58"/>
  <c r="D247" i="58" s="1"/>
  <c r="CF103" i="58"/>
  <c r="H132" i="58"/>
  <c r="CE102" i="58"/>
  <c r="E69" i="59" s="1"/>
  <c r="CE98" i="58"/>
  <c r="E65" i="59" s="1"/>
  <c r="H128" i="58"/>
  <c r="CE96" i="58"/>
  <c r="E63" i="59" s="1"/>
  <c r="E95" i="59" s="1"/>
  <c r="H126" i="58"/>
  <c r="CE99" i="58"/>
  <c r="E66" i="59" s="1"/>
  <c r="H129" i="58"/>
  <c r="H123" i="58"/>
  <c r="CE93" i="58"/>
  <c r="E60" i="59" s="1"/>
  <c r="E94" i="59" s="1"/>
  <c r="CE83" i="58"/>
  <c r="E50" i="59" s="1"/>
  <c r="E92" i="59" s="1"/>
  <c r="H113" i="58"/>
  <c r="CE82" i="58"/>
  <c r="E49" i="59" s="1"/>
  <c r="H112" i="58"/>
  <c r="H119" i="58"/>
  <c r="CE89" i="58"/>
  <c r="E56" i="59" s="1"/>
  <c r="H118" i="58"/>
  <c r="CE88" i="58"/>
  <c r="E55" i="59" s="1"/>
  <c r="E93" i="59" s="1"/>
  <c r="CE81" i="58"/>
  <c r="E48" i="59" s="1"/>
  <c r="E91" i="59" s="1"/>
  <c r="H111" i="58"/>
  <c r="H133" i="58"/>
  <c r="E96" i="59"/>
  <c r="G113" i="58"/>
  <c r="CD83" i="58"/>
  <c r="D50" i="59" s="1"/>
  <c r="CD93" i="58"/>
  <c r="D60" i="59" s="1"/>
  <c r="G123" i="58"/>
  <c r="G126" i="58"/>
  <c r="CD96" i="58"/>
  <c r="D63" i="59" s="1"/>
  <c r="D95" i="59" s="1"/>
  <c r="D375" i="58"/>
  <c r="D376" i="58" s="1"/>
  <c r="D366" i="58"/>
  <c r="D367" i="58" s="1"/>
  <c r="D378" i="58"/>
  <c r="D379" i="58" s="1"/>
  <c r="G107" i="58"/>
  <c r="D363" i="58"/>
  <c r="D364" i="58" s="1"/>
  <c r="CD77" i="58"/>
  <c r="D43" i="59" s="1"/>
  <c r="D88" i="59" s="1"/>
  <c r="G100" i="59"/>
  <c r="G97" i="59"/>
  <c r="E46" i="59"/>
  <c r="CE103" i="58"/>
  <c r="F89" i="59"/>
  <c r="F70" i="59"/>
  <c r="H147" i="58"/>
  <c r="H148" i="58" s="1"/>
  <c r="H157" i="58"/>
  <c r="H158" i="58" s="1"/>
  <c r="H192" i="58"/>
  <c r="H193" i="58" s="1"/>
  <c r="H152" i="58"/>
  <c r="H153" i="58" s="1"/>
  <c r="H142" i="58"/>
  <c r="H143" i="58" s="1"/>
  <c r="H177" i="58"/>
  <c r="H178" i="58" s="1"/>
  <c r="H202" i="58"/>
  <c r="H203" i="58" s="1"/>
  <c r="H137" i="58"/>
  <c r="H138" i="58" s="1"/>
  <c r="H207" i="58"/>
  <c r="H208" i="58" s="1"/>
  <c r="H187" i="58"/>
  <c r="H188" i="58" s="1"/>
  <c r="H182" i="58"/>
  <c r="H183" i="58" s="1"/>
  <c r="H167" i="58"/>
  <c r="H168" i="58" s="1"/>
  <c r="H197" i="58"/>
  <c r="H198" i="58" s="1"/>
  <c r="H172" i="58"/>
  <c r="H173" i="58" s="1"/>
  <c r="H162" i="58"/>
  <c r="H163" i="58" s="1"/>
  <c r="I113" i="5"/>
  <c r="I126" i="5"/>
  <c r="I152" i="5"/>
  <c r="I33" i="5" s="1"/>
  <c r="I39" i="5" s="1"/>
  <c r="G80" i="58"/>
  <c r="G89" i="58"/>
  <c r="G79" i="58"/>
  <c r="G85" i="58"/>
  <c r="G82" i="58"/>
  <c r="G92" i="58"/>
  <c r="G91" i="58"/>
  <c r="G99" i="58"/>
  <c r="G81" i="58"/>
  <c r="G90" i="58"/>
  <c r="G97" i="58"/>
  <c r="G100" i="58"/>
  <c r="G94" i="58"/>
  <c r="G88" i="58"/>
  <c r="G84" i="58"/>
  <c r="G102" i="58"/>
  <c r="G95" i="58"/>
  <c r="G101" i="58"/>
  <c r="G104" i="58"/>
  <c r="G98" i="58"/>
  <c r="G132" i="58" l="1"/>
  <c r="CD102" i="58"/>
  <c r="D69" i="59" s="1"/>
  <c r="G130" i="58"/>
  <c r="CD100" i="58"/>
  <c r="D67" i="59" s="1"/>
  <c r="CD90" i="58"/>
  <c r="D57" i="59" s="1"/>
  <c r="G120" i="58"/>
  <c r="G122" i="58"/>
  <c r="CD92" i="58"/>
  <c r="D59" i="59" s="1"/>
  <c r="CD85" i="58"/>
  <c r="D52" i="59" s="1"/>
  <c r="G115" i="58"/>
  <c r="G110" i="58"/>
  <c r="CD80" i="58"/>
  <c r="D47" i="59" s="1"/>
  <c r="D90" i="59" s="1"/>
  <c r="G109" i="58"/>
  <c r="G133" i="58" s="1"/>
  <c r="G103" i="58"/>
  <c r="CD79" i="58"/>
  <c r="CD84" i="58"/>
  <c r="D51" i="59" s="1"/>
  <c r="G114" i="58"/>
  <c r="G128" i="58"/>
  <c r="CD98" i="58"/>
  <c r="D65" i="59" s="1"/>
  <c r="G112" i="58"/>
  <c r="CD82" i="58"/>
  <c r="D49" i="59" s="1"/>
  <c r="G127" i="58"/>
  <c r="CD97" i="58"/>
  <c r="D64" i="59" s="1"/>
  <c r="D96" i="59" s="1"/>
  <c r="G125" i="58"/>
  <c r="CD95" i="58"/>
  <c r="D62" i="59" s="1"/>
  <c r="CD101" i="58"/>
  <c r="D68" i="59" s="1"/>
  <c r="G131" i="58"/>
  <c r="G118" i="58"/>
  <c r="CD88" i="58"/>
  <c r="D55" i="59" s="1"/>
  <c r="G124" i="58"/>
  <c r="CD94" i="58"/>
  <c r="D61" i="59" s="1"/>
  <c r="G111" i="58"/>
  <c r="CD81" i="58"/>
  <c r="D48" i="59" s="1"/>
  <c r="D91" i="59" s="1"/>
  <c r="G129" i="58"/>
  <c r="CD99" i="58"/>
  <c r="D66" i="59" s="1"/>
  <c r="G121" i="58"/>
  <c r="CD91" i="58"/>
  <c r="D58" i="59" s="1"/>
  <c r="CD89" i="58"/>
  <c r="D56" i="59" s="1"/>
  <c r="G119" i="58"/>
  <c r="H214" i="58"/>
  <c r="I139" i="58"/>
  <c r="G212" i="58"/>
  <c r="G213" i="58" s="1"/>
  <c r="E98" i="59"/>
  <c r="I184" i="58"/>
  <c r="D94" i="59"/>
  <c r="D93" i="59"/>
  <c r="E99" i="59"/>
  <c r="D92" i="59"/>
  <c r="I164" i="58"/>
  <c r="I179" i="58"/>
  <c r="I169" i="58"/>
  <c r="I189" i="58"/>
  <c r="I144" i="58"/>
  <c r="I174" i="58"/>
  <c r="I159" i="58"/>
  <c r="I204" i="58"/>
  <c r="I199" i="58"/>
  <c r="I149" i="58"/>
  <c r="I194" i="58"/>
  <c r="I154" i="58"/>
  <c r="F100" i="59"/>
  <c r="F97" i="59"/>
  <c r="E70" i="59"/>
  <c r="E89" i="59"/>
  <c r="I209" i="58"/>
  <c r="G177" i="58"/>
  <c r="G178" i="58" s="1"/>
  <c r="W174" i="58"/>
  <c r="AL189" i="58"/>
  <c r="AP184" i="58"/>
  <c r="AH149" i="58"/>
  <c r="AT174" i="58"/>
  <c r="AQ189" i="58"/>
  <c r="AS184" i="58"/>
  <c r="BA149" i="58"/>
  <c r="AR174" i="58"/>
  <c r="Y189" i="58"/>
  <c r="BD169" i="58"/>
  <c r="AA149" i="58"/>
  <c r="AZ164" i="58"/>
  <c r="AP209" i="58"/>
  <c r="AE149" i="58"/>
  <c r="AY139" i="58"/>
  <c r="AO204" i="58"/>
  <c r="AJ169" i="58"/>
  <c r="AI199" i="58"/>
  <c r="Y154" i="58"/>
  <c r="Z204" i="58"/>
  <c r="AD159" i="58"/>
  <c r="AW174" i="58"/>
  <c r="AB189" i="58"/>
  <c r="Y169" i="58"/>
  <c r="AV144" i="58"/>
  <c r="AX164" i="58"/>
  <c r="AT184" i="58"/>
  <c r="AV159" i="58"/>
  <c r="BC144" i="58"/>
  <c r="BD154" i="58"/>
  <c r="V179" i="58"/>
  <c r="Z209" i="58"/>
  <c r="AY159" i="58"/>
  <c r="AU174" i="58"/>
  <c r="AR189" i="58"/>
  <c r="AW209" i="58"/>
  <c r="AA159" i="58"/>
  <c r="AF179" i="58"/>
  <c r="AY169" i="58"/>
  <c r="AT149" i="58"/>
  <c r="BB164" i="58"/>
  <c r="AW164" i="58"/>
  <c r="AY194" i="58"/>
  <c r="AJ149" i="58"/>
  <c r="AI164" i="58"/>
  <c r="BC149" i="58"/>
  <c r="AE179" i="58"/>
  <c r="AO199" i="58"/>
  <c r="AR144" i="58"/>
  <c r="AN209" i="58"/>
  <c r="AU164" i="58"/>
  <c r="AI149" i="58"/>
  <c r="AT209" i="58"/>
  <c r="AZ174" i="58"/>
  <c r="AP179" i="58"/>
  <c r="BC194" i="58"/>
  <c r="G157" i="58"/>
  <c r="G158" i="58" s="1"/>
  <c r="AG174" i="58"/>
  <c r="BB189" i="58"/>
  <c r="AB209" i="58"/>
  <c r="AO149" i="58"/>
  <c r="AT139" i="58"/>
  <c r="AN189" i="58"/>
  <c r="AA169" i="58"/>
  <c r="AR149" i="58"/>
  <c r="BD174" i="58"/>
  <c r="AI179" i="58"/>
  <c r="AX169" i="58"/>
  <c r="AP199" i="58"/>
  <c r="AN164" i="58"/>
  <c r="AM209" i="58"/>
  <c r="AM149" i="58"/>
  <c r="AS154" i="58"/>
  <c r="AL204" i="58"/>
  <c r="BD194" i="58"/>
  <c r="AR199" i="58"/>
  <c r="AB164" i="58"/>
  <c r="W204" i="58"/>
  <c r="Y159" i="58"/>
  <c r="AO174" i="58"/>
  <c r="X189" i="58"/>
  <c r="AF194" i="58"/>
  <c r="AU144" i="58"/>
  <c r="Y164" i="58"/>
  <c r="AV184" i="58"/>
  <c r="BD159" i="58"/>
  <c r="AZ144" i="58"/>
  <c r="AD154" i="58"/>
  <c r="AH179" i="58"/>
  <c r="W209" i="58"/>
  <c r="AX149" i="58"/>
  <c r="AH174" i="58"/>
  <c r="AA189" i="58"/>
  <c r="U209" i="58"/>
  <c r="AV149" i="58"/>
  <c r="AS204" i="58"/>
  <c r="AU169" i="58"/>
  <c r="AS149" i="58"/>
  <c r="AK144" i="58"/>
  <c r="AO189" i="58"/>
  <c r="AL199" i="58"/>
  <c r="AX194" i="58"/>
  <c r="AO184" i="58"/>
  <c r="AT164" i="58"/>
  <c r="X209" i="58"/>
  <c r="AM164" i="58"/>
  <c r="AQ209" i="58"/>
  <c r="AX174" i="58"/>
  <c r="AG154" i="58"/>
  <c r="Z194" i="58"/>
  <c r="AZ209" i="58"/>
  <c r="G167" i="58"/>
  <c r="G168" i="58" s="1"/>
  <c r="AV174" i="58"/>
  <c r="AE189" i="58"/>
  <c r="Y209" i="58"/>
  <c r="U149" i="58"/>
  <c r="AC139" i="58"/>
  <c r="V189" i="58"/>
  <c r="BC169" i="58"/>
  <c r="X199" i="58"/>
  <c r="X174" i="58"/>
  <c r="BC179" i="58"/>
  <c r="AG194" i="58"/>
  <c r="Z199" i="58"/>
  <c r="AS189" i="58"/>
  <c r="AJ209" i="58"/>
  <c r="AU199" i="58"/>
  <c r="AK154" i="58"/>
  <c r="AI204" i="58"/>
  <c r="AD194" i="58"/>
  <c r="AP144" i="58"/>
  <c r="W164" i="58"/>
  <c r="U184" i="58"/>
  <c r="AC159" i="58"/>
  <c r="AD174" i="58"/>
  <c r="AG179" i="58"/>
  <c r="AZ194" i="58"/>
  <c r="AN174" i="58"/>
  <c r="AU189" i="58"/>
  <c r="AQ184" i="58"/>
  <c r="BA159" i="58"/>
  <c r="AG144" i="58"/>
  <c r="AH154" i="58"/>
  <c r="AN204" i="58"/>
  <c r="V209" i="58"/>
  <c r="V149" i="58"/>
  <c r="U174" i="58"/>
  <c r="W189" i="58"/>
  <c r="AD144" i="58"/>
  <c r="V199" i="58"/>
  <c r="AN184" i="58"/>
  <c r="X159" i="58"/>
  <c r="AE199" i="58"/>
  <c r="AU139" i="58"/>
  <c r="AB179" i="58"/>
  <c r="AB204" i="58"/>
  <c r="AF159" i="58"/>
  <c r="AZ159" i="58"/>
  <c r="U164" i="58"/>
  <c r="X154" i="58"/>
  <c r="AK179" i="58"/>
  <c r="AJ139" i="58"/>
  <c r="AD149" i="58"/>
  <c r="Z189" i="58"/>
  <c r="X184" i="58"/>
  <c r="AI159" i="58"/>
  <c r="AY144" i="58"/>
  <c r="W194" i="58"/>
  <c r="G162" i="58"/>
  <c r="G163" i="58" s="1"/>
  <c r="AP139" i="58"/>
  <c r="AH189" i="58"/>
  <c r="AM169" i="58"/>
  <c r="AP149" i="58"/>
  <c r="Z139" i="58"/>
  <c r="AU179" i="58"/>
  <c r="AS194" i="58"/>
  <c r="U199" i="58"/>
  <c r="AF139" i="58"/>
  <c r="X179" i="58"/>
  <c r="BB194" i="58"/>
  <c r="AC144" i="58"/>
  <c r="W179" i="58"/>
  <c r="AV169" i="58"/>
  <c r="BD199" i="58"/>
  <c r="AA154" i="58"/>
  <c r="BC204" i="58"/>
  <c r="Y194" i="58"/>
  <c r="AL144" i="58"/>
  <c r="AG164" i="58"/>
  <c r="AD184" i="58"/>
  <c r="AG149" i="58"/>
  <c r="AK139" i="58"/>
  <c r="BB204" i="58"/>
  <c r="AH194" i="58"/>
  <c r="AK174" i="58"/>
  <c r="AW189" i="58"/>
  <c r="AI184" i="58"/>
  <c r="U159" i="58"/>
  <c r="AS144" i="58"/>
  <c r="AT154" i="58"/>
  <c r="AK204" i="58"/>
  <c r="AH169" i="58"/>
  <c r="AF149" i="58"/>
  <c r="AG139" i="58"/>
  <c r="AJ189" i="58"/>
  <c r="AM174" i="58"/>
  <c r="AK189" i="58"/>
  <c r="AF209" i="58"/>
  <c r="AU149" i="58"/>
  <c r="AO144" i="58"/>
  <c r="V164" i="58"/>
  <c r="V169" i="58"/>
  <c r="AM194" i="58"/>
  <c r="AV199" i="58"/>
  <c r="G172" i="58"/>
  <c r="G173" i="58" s="1"/>
  <c r="AF144" i="58"/>
  <c r="AX184" i="58"/>
  <c r="AY164" i="58"/>
  <c r="AP159" i="58"/>
  <c r="AW159" i="58"/>
  <c r="X149" i="58"/>
  <c r="AI139" i="58"/>
  <c r="AY199" i="58"/>
  <c r="AY174" i="58"/>
  <c r="AN169" i="58"/>
  <c r="G147" i="58"/>
  <c r="G148" i="58" s="1"/>
  <c r="AM139" i="58"/>
  <c r="AO179" i="58"/>
  <c r="AL169" i="58"/>
  <c r="AJ199" i="58"/>
  <c r="AI154" i="58"/>
  <c r="AC179" i="58"/>
  <c r="V194" i="58"/>
  <c r="BB199" i="58"/>
  <c r="W154" i="58"/>
  <c r="AE184" i="58"/>
  <c r="AW194" i="58"/>
  <c r="AE174" i="58"/>
  <c r="AQ179" i="58"/>
  <c r="AE169" i="58"/>
  <c r="AD199" i="58"/>
  <c r="AP164" i="58"/>
  <c r="AJ184" i="58"/>
  <c r="AT194" i="58"/>
  <c r="AI144" i="58"/>
  <c r="U189" i="58"/>
  <c r="W184" i="58"/>
  <c r="AB149" i="58"/>
  <c r="AE139" i="58"/>
  <c r="AZ184" i="58"/>
  <c r="AO194" i="58"/>
  <c r="BA174" i="58"/>
  <c r="U179" i="58"/>
  <c r="AO209" i="58"/>
  <c r="AN149" i="58"/>
  <c r="AB174" i="58"/>
  <c r="AA164" i="58"/>
  <c r="AH204" i="58"/>
  <c r="AO169" i="58"/>
  <c r="AK199" i="58"/>
  <c r="AD139" i="58"/>
  <c r="AR179" i="58"/>
  <c r="AI174" i="58"/>
  <c r="V174" i="58"/>
  <c r="AW169" i="58"/>
  <c r="AQ199" i="58"/>
  <c r="AR154" i="58"/>
  <c r="AD189" i="58"/>
  <c r="AX159" i="58"/>
  <c r="AA139" i="58"/>
  <c r="BA139" i="58"/>
  <c r="AP169" i="58"/>
  <c r="AO159" i="58"/>
  <c r="AP204" i="58"/>
  <c r="G197" i="58"/>
  <c r="G198" i="58" s="1"/>
  <c r="G142" i="58"/>
  <c r="G143" i="58" s="1"/>
  <c r="V139" i="58"/>
  <c r="Z179" i="58"/>
  <c r="AD169" i="58"/>
  <c r="AG199" i="58"/>
  <c r="BC154" i="58"/>
  <c r="AN179" i="58"/>
  <c r="AL194" i="58"/>
  <c r="AA199" i="58"/>
  <c r="AQ154" i="58"/>
  <c r="BD184" i="58"/>
  <c r="AU194" i="58"/>
  <c r="AL174" i="58"/>
  <c r="AY179" i="58"/>
  <c r="AK169" i="58"/>
  <c r="BD144" i="58"/>
  <c r="AK164" i="58"/>
  <c r="AR184" i="58"/>
  <c r="AU159" i="58"/>
  <c r="BB174" i="58"/>
  <c r="AP189" i="58"/>
  <c r="AK184" i="58"/>
  <c r="W199" i="58"/>
  <c r="AZ139" i="58"/>
  <c r="Y184" i="58"/>
  <c r="W159" i="58"/>
  <c r="BD139" i="58"/>
  <c r="BB179" i="58"/>
  <c r="AL209" i="58"/>
  <c r="AK149" i="58"/>
  <c r="Y174" i="58"/>
  <c r="AO164" i="58"/>
  <c r="AQ204" i="58"/>
  <c r="BA169" i="58"/>
  <c r="AH199" i="58"/>
  <c r="Y139" i="58"/>
  <c r="AZ179" i="58"/>
  <c r="AS174" i="58"/>
  <c r="X139" i="58"/>
  <c r="BC159" i="58"/>
  <c r="AM144" i="58"/>
  <c r="BA164" i="58"/>
  <c r="AT179" i="58"/>
  <c r="AM199" i="58"/>
  <c r="AC154" i="58"/>
  <c r="AY154" i="58"/>
  <c r="AX144" i="58"/>
  <c r="AD204" i="58"/>
  <c r="AO139" i="58"/>
  <c r="X144" i="58"/>
  <c r="AV189" i="58"/>
  <c r="AD179" i="58"/>
  <c r="G187" i="58"/>
  <c r="G188" i="58" s="1"/>
  <c r="BC174" i="58"/>
  <c r="AF164" i="58"/>
  <c r="AC204" i="58"/>
  <c r="AX154" i="58"/>
  <c r="Y199" i="58"/>
  <c r="G202" i="58"/>
  <c r="G203" i="58" s="1"/>
  <c r="G152" i="58"/>
  <c r="G153" i="58" s="1"/>
  <c r="AU154" i="58"/>
  <c r="AM204" i="58"/>
  <c r="AB169" i="58"/>
  <c r="AB199" i="58"/>
  <c r="AB154" i="58"/>
  <c r="Y179" i="58"/>
  <c r="AN159" i="58"/>
  <c r="V144" i="58"/>
  <c r="AM154" i="58"/>
  <c r="AM184" i="58"/>
  <c r="AJ194" i="58"/>
  <c r="AF174" i="58"/>
  <c r="AL179" i="58"/>
  <c r="AC169" i="58"/>
  <c r="BA144" i="58"/>
  <c r="AH164" i="58"/>
  <c r="BB184" i="58"/>
  <c r="AR159" i="58"/>
  <c r="AW139" i="58"/>
  <c r="AM189" i="58"/>
  <c r="AS209" i="58"/>
  <c r="AF199" i="58"/>
  <c r="U154" i="58"/>
  <c r="BA209" i="58"/>
  <c r="V159" i="58"/>
  <c r="BB139" i="58"/>
  <c r="AW179" i="58"/>
  <c r="AI209" i="58"/>
  <c r="AW149" i="58"/>
  <c r="AJ174" i="58"/>
  <c r="AJ164" i="58"/>
  <c r="AH184" i="58"/>
  <c r="AB194" i="58"/>
  <c r="BC199" i="58"/>
  <c r="Z154" i="58"/>
  <c r="AF204" i="58"/>
  <c r="AH139" i="58"/>
  <c r="BD179" i="58"/>
  <c r="AS199" i="58"/>
  <c r="Z164" i="58"/>
  <c r="AV179" i="58"/>
  <c r="AE209" i="58"/>
  <c r="BB149" i="58"/>
  <c r="AY204" i="58"/>
  <c r="AT189" i="58"/>
  <c r="AQ174" i="58"/>
  <c r="AY149" i="58"/>
  <c r="AT204" i="58"/>
  <c r="AS164" i="58"/>
  <c r="X194" i="58"/>
  <c r="AA174" i="58"/>
  <c r="AQ169" i="58"/>
  <c r="AM179" i="58"/>
  <c r="AI169" i="58"/>
  <c r="AC209" i="58"/>
  <c r="AL149" i="58"/>
  <c r="G207" i="58"/>
  <c r="G208" i="58" s="1"/>
  <c r="G137" i="58"/>
  <c r="G138" i="58" s="1"/>
  <c r="AN154" i="58"/>
  <c r="AJ204" i="58"/>
  <c r="AA194" i="58"/>
  <c r="AH144" i="58"/>
  <c r="BD164" i="58"/>
  <c r="AA204" i="58"/>
  <c r="AS159" i="58"/>
  <c r="Y144" i="58"/>
  <c r="AV154" i="58"/>
  <c r="BB209" i="58"/>
  <c r="AB159" i="58"/>
  <c r="BC139" i="58"/>
  <c r="BA204" i="58"/>
  <c r="U194" i="58"/>
  <c r="AW144" i="58"/>
  <c r="AG189" i="58"/>
  <c r="AL184" i="58"/>
  <c r="AM159" i="58"/>
  <c r="AS139" i="58"/>
  <c r="AY189" i="58"/>
  <c r="X169" i="58"/>
  <c r="BA199" i="58"/>
  <c r="BB154" i="58"/>
  <c r="AX209" i="58"/>
  <c r="AZ149" i="58"/>
  <c r="AL139" i="58"/>
  <c r="AJ179" i="58"/>
  <c r="AH209" i="58"/>
  <c r="AW199" i="58"/>
  <c r="AC174" i="58"/>
  <c r="AF189" i="58"/>
  <c r="AG184" i="58"/>
  <c r="BA194" i="58"/>
  <c r="AA144" i="58"/>
  <c r="AF154" i="58"/>
  <c r="AU184" i="58"/>
  <c r="AI189" i="58"/>
  <c r="V204" i="58"/>
  <c r="V184" i="58"/>
  <c r="AX189" i="58"/>
  <c r="BC209" i="58"/>
  <c r="U169" i="58"/>
  <c r="AQ144" i="58"/>
  <c r="BA184" i="58"/>
  <c r="Y204" i="58"/>
  <c r="BB159" i="58"/>
  <c r="AN199" i="58"/>
  <c r="AX199" i="58"/>
  <c r="Z184" i="58"/>
  <c r="BC164" i="58"/>
  <c r="AT159" i="58"/>
  <c r="G192" i="58"/>
  <c r="G193" i="58" s="1"/>
  <c r="AT144" i="58"/>
  <c r="AZ154" i="58"/>
  <c r="AG204" i="58"/>
  <c r="AV194" i="58"/>
  <c r="AN144" i="58"/>
  <c r="AQ164" i="58"/>
  <c r="X204" i="58"/>
  <c r="Z159" i="58"/>
  <c r="U144" i="58"/>
  <c r="AR164" i="58"/>
  <c r="AY209" i="58"/>
  <c r="AE159" i="58"/>
  <c r="AX139" i="58"/>
  <c r="AX204" i="58"/>
  <c r="AP194" i="58"/>
  <c r="Z174" i="58"/>
  <c r="BD189" i="58"/>
  <c r="AD209" i="58"/>
  <c r="AH159" i="58"/>
  <c r="AB139" i="58"/>
  <c r="AS179" i="58"/>
  <c r="BB169" i="58"/>
  <c r="AZ199" i="58"/>
  <c r="AJ154" i="58"/>
  <c r="AU209" i="58"/>
  <c r="BD149" i="58"/>
  <c r="AP154" i="58"/>
  <c r="AZ204" i="58"/>
  <c r="AT169" i="58"/>
  <c r="AT199" i="58"/>
  <c r="AR139" i="58"/>
  <c r="BC189" i="58"/>
  <c r="AB184" i="58"/>
  <c r="AC194" i="58"/>
  <c r="Z144" i="58"/>
  <c r="AO154" i="58"/>
  <c r="BC184" i="58"/>
  <c r="AV204" i="58"/>
  <c r="AG209" i="58"/>
  <c r="AL154" i="58"/>
  <c r="BA179" i="58"/>
  <c r="AG169" i="58"/>
  <c r="AE194" i="58"/>
  <c r="AQ139" i="58"/>
  <c r="AK209" i="58"/>
  <c r="BD209" i="58"/>
  <c r="AV139" i="58"/>
  <c r="AN194" i="58"/>
  <c r="AZ169" i="58"/>
  <c r="AC189" i="58"/>
  <c r="AC149" i="58"/>
  <c r="AR204" i="58"/>
  <c r="AV164" i="58"/>
  <c r="G182" i="58"/>
  <c r="G183" i="58" s="1"/>
  <c r="BB144" i="58"/>
  <c r="AL164" i="58"/>
  <c r="BD204" i="58"/>
  <c r="AI194" i="58"/>
  <c r="AJ144" i="58"/>
  <c r="X164" i="58"/>
  <c r="U204" i="58"/>
  <c r="AQ159" i="58"/>
  <c r="AE144" i="58"/>
  <c r="AC164" i="58"/>
  <c r="AV209" i="58"/>
  <c r="AK159" i="58"/>
  <c r="AE154" i="58"/>
  <c r="AU204" i="58"/>
  <c r="AK194" i="58"/>
  <c r="AP174" i="58"/>
  <c r="BA189" i="58"/>
  <c r="AA209" i="58"/>
  <c r="W149" i="58"/>
  <c r="W139" i="58"/>
  <c r="AA179" i="58"/>
  <c r="Z169" i="58"/>
  <c r="AB144" i="58"/>
  <c r="V154" i="58"/>
  <c r="AR209" i="58"/>
  <c r="Y149" i="58"/>
  <c r="AW154" i="58"/>
  <c r="AW204" i="58"/>
  <c r="W169" i="58"/>
  <c r="AC199" i="58"/>
  <c r="AN139" i="58"/>
  <c r="AZ189" i="58"/>
  <c r="AY184" i="58"/>
  <c r="AG159" i="58"/>
  <c r="W144" i="58"/>
  <c r="BA154" i="58"/>
  <c r="AW184" i="58"/>
  <c r="AF184" i="58"/>
  <c r="AR169" i="58"/>
  <c r="AD164" i="58"/>
  <c r="AE204" i="58"/>
  <c r="AQ194" i="58"/>
  <c r="Z149" i="58"/>
  <c r="AX179" i="58"/>
  <c r="AF169" i="58"/>
  <c r="AQ149" i="58"/>
  <c r="AR194" i="58"/>
  <c r="AA184" i="58"/>
  <c r="AS169" i="58"/>
  <c r="AC184" i="58"/>
  <c r="AJ159" i="58"/>
  <c r="AE164" i="58"/>
  <c r="AL159" i="58"/>
  <c r="U139" i="58"/>
  <c r="T194" i="58"/>
  <c r="T179" i="58"/>
  <c r="T149" i="58"/>
  <c r="T174" i="58"/>
  <c r="T159" i="58"/>
  <c r="T209" i="58"/>
  <c r="T204" i="58"/>
  <c r="T199" i="58"/>
  <c r="T189" i="58"/>
  <c r="T164" i="58"/>
  <c r="T144" i="58"/>
  <c r="T184" i="58"/>
  <c r="T139" i="58"/>
  <c r="T154" i="58"/>
  <c r="T169" i="58"/>
  <c r="S164" i="58"/>
  <c r="S204" i="58"/>
  <c r="S144" i="58"/>
  <c r="S149" i="58"/>
  <c r="S179" i="58"/>
  <c r="S209" i="58"/>
  <c r="S184" i="58"/>
  <c r="S169" i="58"/>
  <c r="S154" i="58"/>
  <c r="S194" i="58"/>
  <c r="S159" i="58"/>
  <c r="S139" i="58"/>
  <c r="S174" i="58"/>
  <c r="S199" i="58"/>
  <c r="S189" i="58"/>
  <c r="R209" i="58"/>
  <c r="R154" i="58"/>
  <c r="R194" i="58"/>
  <c r="R204" i="58"/>
  <c r="R149" i="58"/>
  <c r="R164" i="58"/>
  <c r="R179" i="58"/>
  <c r="R139" i="58"/>
  <c r="R199" i="58"/>
  <c r="R184" i="58"/>
  <c r="R189" i="58"/>
  <c r="R174" i="58"/>
  <c r="R159" i="58"/>
  <c r="R144" i="58"/>
  <c r="R169" i="58"/>
  <c r="Q179" i="58"/>
  <c r="Q189" i="58"/>
  <c r="Q154" i="58"/>
  <c r="Q199" i="58"/>
  <c r="Q194" i="58"/>
  <c r="Q139" i="58"/>
  <c r="Q159" i="58"/>
  <c r="Q204" i="58"/>
  <c r="Q169" i="58"/>
  <c r="Q184" i="58"/>
  <c r="Q164" i="58"/>
  <c r="Q174" i="58"/>
  <c r="Q144" i="58"/>
  <c r="Q149" i="58"/>
  <c r="Q209" i="58"/>
  <c r="P199" i="58"/>
  <c r="P209" i="58"/>
  <c r="P204" i="58"/>
  <c r="P159" i="58"/>
  <c r="P144" i="58"/>
  <c r="P139" i="58"/>
  <c r="P184" i="58"/>
  <c r="P194" i="58"/>
  <c r="P164" i="58"/>
  <c r="P154" i="58"/>
  <c r="P169" i="58"/>
  <c r="P179" i="58"/>
  <c r="P149" i="58"/>
  <c r="P189" i="58"/>
  <c r="P174" i="58"/>
  <c r="O139" i="58"/>
  <c r="O159" i="58"/>
  <c r="O179" i="58"/>
  <c r="O209" i="58"/>
  <c r="O184" i="58"/>
  <c r="O174" i="58"/>
  <c r="O194" i="58"/>
  <c r="O199" i="58"/>
  <c r="O204" i="58"/>
  <c r="O144" i="58"/>
  <c r="O169" i="58"/>
  <c r="O164" i="58"/>
  <c r="O189" i="58"/>
  <c r="O149" i="58"/>
  <c r="O154" i="58"/>
  <c r="N209" i="58"/>
  <c r="N144" i="58"/>
  <c r="N159" i="58"/>
  <c r="N154" i="58"/>
  <c r="N149" i="58"/>
  <c r="N139" i="58"/>
  <c r="N199" i="58"/>
  <c r="N204" i="58"/>
  <c r="N169" i="58"/>
  <c r="N164" i="58"/>
  <c r="N189" i="58"/>
  <c r="N184" i="58"/>
  <c r="N179" i="58"/>
  <c r="N174" i="58"/>
  <c r="N194" i="58"/>
  <c r="M144" i="58"/>
  <c r="M189" i="58"/>
  <c r="M179" i="58"/>
  <c r="M164" i="58"/>
  <c r="M149" i="58"/>
  <c r="M204" i="58"/>
  <c r="M154" i="58"/>
  <c r="M184" i="58"/>
  <c r="M194" i="58"/>
  <c r="M139" i="58"/>
  <c r="M174" i="58"/>
  <c r="M199" i="58"/>
  <c r="M159" i="58"/>
  <c r="M169" i="58"/>
  <c r="M209" i="58"/>
  <c r="L199" i="58"/>
  <c r="L144" i="58"/>
  <c r="L159" i="58"/>
  <c r="L184" i="58"/>
  <c r="L204" i="58"/>
  <c r="L164" i="58"/>
  <c r="L194" i="58"/>
  <c r="L179" i="58"/>
  <c r="L174" i="58"/>
  <c r="L154" i="58"/>
  <c r="L149" i="58"/>
  <c r="L189" i="58"/>
  <c r="L169" i="58"/>
  <c r="L139" i="58"/>
  <c r="L209" i="58"/>
  <c r="K169" i="58"/>
  <c r="K184" i="58"/>
  <c r="K199" i="58"/>
  <c r="K154" i="58"/>
  <c r="K139" i="58"/>
  <c r="K209" i="58"/>
  <c r="K194" i="58"/>
  <c r="K189" i="58"/>
  <c r="K204" i="58"/>
  <c r="K149" i="58"/>
  <c r="K179" i="58"/>
  <c r="K159" i="58"/>
  <c r="K174" i="58"/>
  <c r="K164" i="58"/>
  <c r="K144" i="58"/>
  <c r="J209" i="58"/>
  <c r="J159" i="58"/>
  <c r="J144" i="58"/>
  <c r="J154" i="58"/>
  <c r="J199" i="58"/>
  <c r="J184" i="58"/>
  <c r="J194" i="58"/>
  <c r="J164" i="58"/>
  <c r="J179" i="58"/>
  <c r="J174" i="58"/>
  <c r="J149" i="58"/>
  <c r="J139" i="58"/>
  <c r="J189" i="58"/>
  <c r="J204" i="58"/>
  <c r="J169" i="58"/>
  <c r="H184" i="58"/>
  <c r="H149" i="58"/>
  <c r="H209" i="58"/>
  <c r="H189" i="58"/>
  <c r="H174" i="58"/>
  <c r="H159" i="58"/>
  <c r="H139" i="58"/>
  <c r="H204" i="58"/>
  <c r="H164" i="58"/>
  <c r="H199" i="58"/>
  <c r="H154" i="58"/>
  <c r="H169" i="58"/>
  <c r="H194" i="58"/>
  <c r="H144" i="58"/>
  <c r="H179" i="58"/>
  <c r="D46" i="59"/>
  <c r="CD103" i="58"/>
  <c r="I153" i="5"/>
  <c r="I34" i="5" s="1"/>
  <c r="I112" i="5"/>
  <c r="D98" i="59" l="1"/>
  <c r="G214" i="58"/>
  <c r="D99" i="59"/>
  <c r="D89" i="59"/>
  <c r="D70" i="59"/>
  <c r="G159" i="58"/>
  <c r="G179" i="58"/>
  <c r="G199" i="58"/>
  <c r="G184" i="58"/>
  <c r="G189" i="58"/>
  <c r="G209" i="58"/>
  <c r="G139" i="58"/>
  <c r="G194" i="58"/>
  <c r="G164" i="58"/>
  <c r="G149" i="58"/>
  <c r="G144" i="58"/>
  <c r="G174" i="58"/>
  <c r="G154" i="58"/>
  <c r="G204" i="58"/>
  <c r="G169" i="58"/>
  <c r="E100" i="59"/>
  <c r="E97" i="59"/>
  <c r="I40" i="5"/>
  <c r="I9" i="5"/>
  <c r="I8" i="5"/>
  <c r="I13" i="5"/>
  <c r="I10" i="5"/>
  <c r="I12" i="5"/>
  <c r="I14" i="5"/>
  <c r="I15" i="5"/>
  <c r="I11" i="5"/>
  <c r="I7" i="5"/>
  <c r="D97" i="59" l="1"/>
  <c r="D100" i="59"/>
  <c r="I16" i="5"/>
  <c r="I58" i="5" s="1"/>
  <c r="J126" i="5" l="1"/>
  <c r="J113" i="5"/>
  <c r="J152" i="5"/>
  <c r="J33" i="5" s="1"/>
  <c r="J39" i="5" l="1"/>
  <c r="J153" i="5"/>
  <c r="J34" i="5" s="1"/>
  <c r="J112" i="5"/>
  <c r="J40" i="5" l="1"/>
  <c r="J11" i="5"/>
  <c r="J14" i="5"/>
  <c r="J8" i="5"/>
  <c r="J15" i="5"/>
  <c r="J9" i="5"/>
  <c r="J12" i="5"/>
  <c r="J10" i="5"/>
  <c r="J13" i="5"/>
  <c r="J7" i="5"/>
  <c r="J16" i="5" l="1"/>
  <c r="J58" i="5" s="1"/>
  <c r="D135" i="5" l="1"/>
  <c r="D117" i="5" s="1"/>
  <c r="Y136" i="5"/>
  <c r="X136" i="5"/>
  <c r="D118" i="5"/>
  <c r="D152" i="5"/>
  <c r="D33" i="5" s="1"/>
  <c r="E39" i="5" s="1"/>
  <c r="AA136" i="5" l="1"/>
  <c r="Z136" i="5"/>
  <c r="D153" i="5"/>
  <c r="D34" i="5" s="1"/>
  <c r="F102" i="5" l="1"/>
  <c r="G102" i="5"/>
  <c r="E102" i="5"/>
  <c r="H102" i="5"/>
  <c r="I102" i="5"/>
  <c r="J102" i="5"/>
  <c r="E40" i="5"/>
  <c r="D102" i="5"/>
  <c r="S10" i="3" s="1"/>
  <c r="U136" i="5"/>
  <c r="V136" i="5" s="1"/>
  <c r="D10" i="5"/>
  <c r="D13" i="5"/>
  <c r="D12" i="5"/>
  <c r="D9" i="5"/>
  <c r="D7" i="5"/>
  <c r="D15" i="5"/>
  <c r="D11" i="5"/>
  <c r="D14" i="5"/>
  <c r="D8" i="5"/>
  <c r="D16" i="5" l="1"/>
  <c r="D58" i="5" s="1"/>
  <c r="AL10" i="3" l="1"/>
  <c r="AH10" i="3"/>
  <c r="AX10" i="3" l="1"/>
  <c r="L113" i="5"/>
  <c r="K113" i="5"/>
  <c r="K126" i="5"/>
  <c r="K152" i="5"/>
  <c r="K33" i="5" s="1"/>
  <c r="K39" i="5" l="1"/>
  <c r="K153" i="5"/>
  <c r="K34" i="5" s="1"/>
  <c r="K112" i="5"/>
  <c r="K40" i="5" l="1"/>
  <c r="K102" i="5"/>
  <c r="K9" i="5"/>
  <c r="K11" i="5"/>
  <c r="K14" i="5"/>
  <c r="K8" i="5"/>
  <c r="K7" i="5"/>
  <c r="K10" i="5"/>
  <c r="K12" i="5"/>
  <c r="K13" i="5"/>
  <c r="K15" i="5"/>
  <c r="K16" i="5" l="1"/>
  <c r="K58" i="5" s="1"/>
  <c r="K131" i="3" l="1"/>
  <c r="L115" i="5" l="1"/>
  <c r="L152" i="5"/>
  <c r="L33" i="5" s="1"/>
  <c r="L39" i="5" s="1"/>
  <c r="L126" i="5"/>
  <c r="L114" i="5"/>
  <c r="L116" i="5"/>
  <c r="M161" i="3" l="1"/>
  <c r="L112" i="5"/>
  <c r="L153" i="5"/>
  <c r="L34" i="5" s="1"/>
  <c r="L102" i="5" l="1"/>
  <c r="L40" i="5"/>
  <c r="L8" i="5"/>
  <c r="L10" i="5"/>
  <c r="L13" i="5"/>
  <c r="L9" i="5"/>
  <c r="L12" i="5"/>
  <c r="L15" i="5"/>
  <c r="L7" i="5"/>
  <c r="L11" i="5"/>
  <c r="L14" i="5"/>
  <c r="S13" i="3" l="1"/>
  <c r="AH13" i="3" s="1"/>
  <c r="S12" i="3"/>
  <c r="S11" i="3"/>
  <c r="L16" i="5"/>
  <c r="L58" i="5" s="1"/>
  <c r="AL13" i="3" l="1"/>
  <c r="AL11" i="3"/>
  <c r="AH11" i="3"/>
  <c r="AX11" i="3" s="1"/>
  <c r="AH12" i="3"/>
  <c r="AL12" i="3"/>
  <c r="L120" i="3"/>
  <c r="AX12" i="3" l="1"/>
  <c r="AX13" i="3"/>
  <c r="L113" i="3"/>
  <c r="K139" i="3"/>
  <c r="K132" i="3" l="1"/>
  <c r="M113" i="5"/>
  <c r="M114" i="5" l="1"/>
  <c r="M116" i="5" l="1"/>
  <c r="M115" i="5"/>
  <c r="M152" i="5"/>
  <c r="M33" i="5" s="1"/>
  <c r="M39" i="5" s="1"/>
  <c r="M126" i="5"/>
  <c r="N161" i="3" l="1"/>
  <c r="M153" i="5"/>
  <c r="M34" i="5" s="1"/>
  <c r="M112" i="5"/>
  <c r="M40" i="5" l="1"/>
  <c r="M102" i="5"/>
  <c r="M7" i="5"/>
  <c r="M10" i="5"/>
  <c r="M12" i="5"/>
  <c r="M13" i="5"/>
  <c r="M14" i="5"/>
  <c r="M11" i="5"/>
  <c r="M15" i="5"/>
  <c r="M8" i="5"/>
  <c r="M9" i="5"/>
  <c r="S26" i="3" l="1"/>
  <c r="AH26" i="3" s="1"/>
  <c r="AX27" i="3" s="1"/>
  <c r="S14" i="3"/>
  <c r="M16" i="5"/>
  <c r="M58" i="5" s="1"/>
  <c r="AH14" i="3" l="1"/>
  <c r="AX14" i="3" s="1"/>
  <c r="AL14" i="3"/>
  <c r="L121" i="3"/>
  <c r="L114" i="3" l="1"/>
  <c r="K140" i="3"/>
  <c r="K133" i="3" l="1"/>
  <c r="N113" i="5"/>
  <c r="N114" i="5" l="1"/>
  <c r="N115" i="5"/>
  <c r="O161" i="3" s="1"/>
  <c r="N116" i="5"/>
  <c r="N126" i="5"/>
  <c r="N152" i="5"/>
  <c r="N33" i="5" s="1"/>
  <c r="N39" i="5" s="1"/>
  <c r="N112" i="5" l="1"/>
  <c r="N153" i="5"/>
  <c r="N34" i="5" s="1"/>
  <c r="N40" i="5" l="1"/>
  <c r="N102" i="5"/>
  <c r="S27" i="3" s="1"/>
  <c r="N8" i="5"/>
  <c r="N9" i="5"/>
  <c r="N7" i="5"/>
  <c r="N14" i="5"/>
  <c r="N10" i="5"/>
  <c r="N15" i="5"/>
  <c r="N11" i="5"/>
  <c r="N13" i="5"/>
  <c r="N12" i="5"/>
  <c r="S15" i="3" l="1"/>
  <c r="N16" i="5"/>
  <c r="N58" i="5" s="1"/>
  <c r="AH15" i="3" l="1"/>
  <c r="AX15" i="3" s="1"/>
  <c r="AL15" i="3"/>
  <c r="L115" i="3"/>
  <c r="L122" i="3"/>
  <c r="K134" i="3" l="1"/>
  <c r="K141" i="3"/>
  <c r="O113" i="5" l="1"/>
  <c r="R114" i="5"/>
  <c r="S114" i="5"/>
  <c r="Q114" i="5"/>
  <c r="X131" i="5" l="1"/>
  <c r="Y131" i="5"/>
  <c r="Y128" i="5"/>
  <c r="X128" i="5"/>
  <c r="Y129" i="5"/>
  <c r="X129" i="5"/>
  <c r="Y132" i="5"/>
  <c r="X132" i="5"/>
  <c r="X130" i="5"/>
  <c r="Y130" i="5"/>
  <c r="R115" i="5"/>
  <c r="P115" i="5"/>
  <c r="O116" i="5"/>
  <c r="Q115" i="5"/>
  <c r="S115" i="5"/>
  <c r="O115" i="5"/>
  <c r="P161" i="3" s="1"/>
  <c r="O152" i="5"/>
  <c r="O33" i="5" s="1"/>
  <c r="O39" i="5" s="1"/>
  <c r="O126" i="5"/>
  <c r="O114" i="5"/>
  <c r="Z130" i="5" l="1"/>
  <c r="Z129" i="5"/>
  <c r="AA129" i="5"/>
  <c r="Z132" i="5"/>
  <c r="AA132" i="5"/>
  <c r="AA130" i="5"/>
  <c r="Z128" i="5"/>
  <c r="AA128" i="5"/>
  <c r="Z131" i="5"/>
  <c r="AA131" i="5"/>
  <c r="O153" i="5"/>
  <c r="O34" i="5" s="1"/>
  <c r="O112" i="5"/>
  <c r="O40" i="5" l="1"/>
  <c r="O102" i="5"/>
  <c r="U130" i="5"/>
  <c r="V130" i="5" s="1"/>
  <c r="U131" i="5"/>
  <c r="V131" i="5" s="1"/>
  <c r="U132" i="5"/>
  <c r="V132" i="5" s="1"/>
  <c r="U128" i="5"/>
  <c r="V128" i="5" s="1"/>
  <c r="U129" i="5"/>
  <c r="V129" i="5" s="1"/>
  <c r="O10" i="5"/>
  <c r="O8" i="5"/>
  <c r="O14" i="5"/>
  <c r="O7" i="5"/>
  <c r="O9" i="5"/>
  <c r="O13" i="5"/>
  <c r="O15" i="5"/>
  <c r="O12" i="5"/>
  <c r="O11" i="5"/>
  <c r="S16" i="3" l="1"/>
  <c r="O16" i="5"/>
  <c r="O58" i="5" s="1"/>
  <c r="AH16" i="3" l="1"/>
  <c r="AX16" i="3" s="1"/>
  <c r="AL16" i="3"/>
  <c r="L116" i="3"/>
  <c r="L123" i="3"/>
  <c r="K135" i="3" l="1"/>
  <c r="K142" i="3"/>
  <c r="Y127" i="5" l="1"/>
  <c r="X127" i="5"/>
  <c r="Q113" i="5"/>
  <c r="P113" i="5"/>
  <c r="R113" i="5"/>
  <c r="S113" i="5"/>
  <c r="Q116" i="5"/>
  <c r="R161" i="3" s="1"/>
  <c r="Y133" i="5" l="1"/>
  <c r="X133" i="5"/>
  <c r="AA127" i="5"/>
  <c r="Z127" i="5"/>
  <c r="P152" i="5"/>
  <c r="P33" i="5" s="1"/>
  <c r="P39" i="5" s="1"/>
  <c r="P116" i="5"/>
  <c r="Q161" i="3" s="1"/>
  <c r="P126" i="5"/>
  <c r="S126" i="5"/>
  <c r="S152" i="5"/>
  <c r="S33" i="5" s="1"/>
  <c r="S116" i="5"/>
  <c r="R126" i="5"/>
  <c r="R112" i="5" s="1"/>
  <c r="R116" i="5"/>
  <c r="R152" i="5"/>
  <c r="R33" i="5" s="1"/>
  <c r="Q126" i="5"/>
  <c r="Q112" i="5" s="1"/>
  <c r="Q152" i="5"/>
  <c r="Q33" i="5" s="1"/>
  <c r="B4" i="5" l="1"/>
  <c r="S39" i="5"/>
  <c r="Q39" i="5"/>
  <c r="R39" i="5"/>
  <c r="S112" i="5"/>
  <c r="B124" i="5"/>
  <c r="AA133" i="5"/>
  <c r="U127" i="5"/>
  <c r="V127" i="5" s="1"/>
  <c r="Y152" i="5"/>
  <c r="X152" i="5"/>
  <c r="Z133" i="5"/>
  <c r="S153" i="5"/>
  <c r="S34" i="5" s="1"/>
  <c r="P112" i="5"/>
  <c r="Q153" i="5"/>
  <c r="Q34" i="5" s="1"/>
  <c r="R153" i="5"/>
  <c r="R34" i="5" s="1"/>
  <c r="P153" i="5"/>
  <c r="P34" i="5" s="1"/>
  <c r="U39" i="5" l="1"/>
  <c r="S40" i="5"/>
  <c r="S102" i="5"/>
  <c r="P40" i="5"/>
  <c r="P102" i="5"/>
  <c r="R40" i="5"/>
  <c r="R102" i="5"/>
  <c r="Q40" i="5"/>
  <c r="Q102" i="5"/>
  <c r="S21" i="3" s="1"/>
  <c r="AH21" i="3" s="1"/>
  <c r="L118" i="3"/>
  <c r="L119" i="3"/>
  <c r="U133" i="5"/>
  <c r="V133" i="5" s="1"/>
  <c r="Y153" i="5"/>
  <c r="X153" i="5"/>
  <c r="Z152" i="5"/>
  <c r="AA152" i="5"/>
  <c r="L126" i="3"/>
  <c r="P8" i="5"/>
  <c r="P13" i="5"/>
  <c r="P9" i="5"/>
  <c r="P12" i="5"/>
  <c r="P15" i="5"/>
  <c r="P7" i="5"/>
  <c r="P14" i="5"/>
  <c r="P11" i="5"/>
  <c r="P10" i="5"/>
  <c r="Q8" i="5"/>
  <c r="P44" i="3" s="1"/>
  <c r="Q13" i="5"/>
  <c r="Q14" i="5"/>
  <c r="Q12" i="5"/>
  <c r="Q15" i="5"/>
  <c r="P51" i="3" s="1"/>
  <c r="Q11" i="5"/>
  <c r="Q10" i="5"/>
  <c r="P46" i="3" s="1"/>
  <c r="Q7" i="5"/>
  <c r="Q9" i="5"/>
  <c r="P45" i="3" s="1"/>
  <c r="L125" i="3"/>
  <c r="R13" i="5"/>
  <c r="R9" i="5"/>
  <c r="R8" i="5"/>
  <c r="R15" i="5"/>
  <c r="R10" i="5"/>
  <c r="R14" i="5"/>
  <c r="R12" i="5"/>
  <c r="R7" i="5"/>
  <c r="R11" i="5"/>
  <c r="S12" i="5"/>
  <c r="S13" i="5"/>
  <c r="S7" i="5"/>
  <c r="S8" i="5"/>
  <c r="S11" i="5"/>
  <c r="S10" i="5"/>
  <c r="S14" i="5"/>
  <c r="S15" i="5"/>
  <c r="S9" i="5"/>
  <c r="P48" i="3" l="1"/>
  <c r="P43" i="3"/>
  <c r="P49" i="3"/>
  <c r="P50" i="3"/>
  <c r="P47" i="3"/>
  <c r="S23" i="3"/>
  <c r="AH23" i="3" s="1"/>
  <c r="S18" i="3"/>
  <c r="AH18" i="3" s="1"/>
  <c r="S24" i="3"/>
  <c r="AH24" i="3" s="1"/>
  <c r="S19" i="3"/>
  <c r="AH19" i="3" s="1"/>
  <c r="S22" i="3"/>
  <c r="S17" i="3"/>
  <c r="S25" i="3"/>
  <c r="AH25" i="3" s="1"/>
  <c r="AX26" i="3" s="1"/>
  <c r="S20" i="3"/>
  <c r="AH20" i="3" s="1"/>
  <c r="U40" i="5"/>
  <c r="K138" i="3"/>
  <c r="K137" i="3"/>
  <c r="U152" i="5"/>
  <c r="V152" i="5" s="1"/>
  <c r="Z153" i="5"/>
  <c r="AA153" i="5"/>
  <c r="S16" i="5"/>
  <c r="S58" i="5" s="1"/>
  <c r="D49" i="5"/>
  <c r="F49" i="5"/>
  <c r="F53" i="5"/>
  <c r="F50" i="5"/>
  <c r="F47" i="5"/>
  <c r="R16" i="5"/>
  <c r="R58" i="5" s="1"/>
  <c r="F45" i="5"/>
  <c r="Q16" i="5"/>
  <c r="F52" i="5"/>
  <c r="F51" i="5"/>
  <c r="D51" i="5"/>
  <c r="F46" i="5"/>
  <c r="P16" i="5"/>
  <c r="P58" i="5" s="1"/>
  <c r="F48" i="5"/>
  <c r="K144" i="3"/>
  <c r="K145" i="3"/>
  <c r="D52" i="5" l="1"/>
  <c r="AX19" i="3"/>
  <c r="S35" i="3"/>
  <c r="AX25" i="3"/>
  <c r="S28" i="3"/>
  <c r="AX20" i="3"/>
  <c r="AX21" i="3"/>
  <c r="AL17" i="3"/>
  <c r="AH17" i="3"/>
  <c r="AX17" i="3" s="1"/>
  <c r="AX24" i="3"/>
  <c r="D53" i="5"/>
  <c r="D50" i="5"/>
  <c r="U153" i="5"/>
  <c r="V153" i="5" s="1"/>
  <c r="D48" i="5"/>
  <c r="Q58" i="5"/>
  <c r="L117" i="3"/>
  <c r="S30" i="3"/>
  <c r="S31" i="3"/>
  <c r="D46" i="5"/>
  <c r="D47" i="5"/>
  <c r="D45" i="5"/>
  <c r="AH22" i="3"/>
  <c r="L124" i="3"/>
  <c r="AX18" i="3" l="1"/>
  <c r="S29" i="3"/>
  <c r="M28" i="3" s="1"/>
  <c r="K136" i="3"/>
  <c r="AX22" i="3"/>
  <c r="AX23" i="3"/>
  <c r="K143" i="3"/>
  <c r="AX28" i="3" l="1"/>
  <c r="S34"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jwilliamson</author>
  </authors>
  <commentList>
    <comment ref="H9" authorId="0" shapeId="0" xr:uid="{B9491EF6-07EE-4417-BECB-CDF8DC9DC715}">
      <text>
        <r>
          <rPr>
            <b/>
            <sz val="9"/>
            <color indexed="81"/>
            <rFont val="Tahoma"/>
            <family val="2"/>
          </rPr>
          <t>Select source from dropdown to add additional survey or FPET data// Sélectionnez une source dans la liste déroulante pour ajouter d'autres données d'enquête ou FPET.</t>
        </r>
      </text>
    </comment>
    <comment ref="J9" authorId="0" shapeId="0" xr:uid="{703C1215-13B0-417C-B1B2-E405958CBE88}">
      <text>
        <r>
          <rPr>
            <b/>
            <sz val="9"/>
            <color indexed="81"/>
            <rFont val="Tahoma"/>
            <family val="2"/>
          </rPr>
          <t>Select source from dropdown to add additional survey or FPET data// Sélectionnez une source dans la liste déroulante pour ajouter d'autres données d'enquête ou FPET.</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jwilliamson</author>
  </authors>
  <commentList>
    <comment ref="AA38" authorId="0" shapeId="0" xr:uid="{00000000-0006-0000-1100-000002000000}">
      <text>
        <r>
          <rPr>
            <b/>
            <sz val="9"/>
            <color indexed="81"/>
            <rFont val="Tahoma"/>
            <family val="2"/>
          </rPr>
          <t>Minipill</t>
        </r>
      </text>
    </comment>
    <comment ref="BJ38" authorId="0" shapeId="0" xr:uid="{92E58B4A-A3FF-4097-9B04-4518F5D62908}">
      <text>
        <r>
          <rPr>
            <b/>
            <sz val="9"/>
            <color indexed="81"/>
            <rFont val="Tahoma"/>
            <family val="2"/>
          </rPr>
          <t>Minipill</t>
        </r>
      </text>
    </comment>
    <comment ref="CB38" authorId="0" shapeId="0" xr:uid="{C34509C5-674D-45D7-AB79-F3096BE6CA01}">
      <text>
        <r>
          <rPr>
            <b/>
            <sz val="9"/>
            <color indexed="81"/>
            <rFont val="Tahoma"/>
            <family val="2"/>
          </rPr>
          <t>Minipill</t>
        </r>
      </text>
    </comment>
    <comment ref="C42" authorId="0" shapeId="0" xr:uid="{00000000-0006-0000-1100-000005000000}">
      <text>
        <r>
          <rPr>
            <b/>
            <sz val="9"/>
            <color indexed="81"/>
            <rFont val="Tahoma"/>
            <family val="2"/>
          </rPr>
          <t>Lactational Amenorrhea Method</t>
        </r>
      </text>
    </comment>
    <comment ref="AA42" authorId="0" shapeId="0" xr:uid="{00000000-0006-0000-1100-000006000000}">
      <text>
        <r>
          <rPr>
            <b/>
            <sz val="9"/>
            <color indexed="81"/>
            <rFont val="Tahoma"/>
            <family val="2"/>
          </rPr>
          <t>Lactational Amenorrhea Method</t>
        </r>
      </text>
    </comment>
    <comment ref="BJ42" authorId="0" shapeId="0" xr:uid="{B85DAF81-597C-4405-8968-6E7A0073A4D3}">
      <text>
        <r>
          <rPr>
            <b/>
            <sz val="9"/>
            <color indexed="81"/>
            <rFont val="Tahoma"/>
            <family val="2"/>
          </rPr>
          <t>Lactational Amenorrhea Method</t>
        </r>
      </text>
    </comment>
    <comment ref="CB42" authorId="0" shapeId="0" xr:uid="{6642B2FE-2FCF-44E2-A2C8-E8DEF223827D}">
      <text>
        <r>
          <rPr>
            <b/>
            <sz val="9"/>
            <color indexed="81"/>
            <rFont val="Tahoma"/>
            <family val="2"/>
          </rPr>
          <t>Lactational Amenorrhea Method</t>
        </r>
      </text>
    </comment>
    <comment ref="B47" authorId="0" shapeId="0" xr:uid="{62D277C1-3122-40D3-8352-7B3C294231BF}">
      <text>
        <r>
          <rPr>
            <b/>
            <sz val="9"/>
            <color indexed="81"/>
            <rFont val="Tahoma"/>
            <family val="2"/>
          </rPr>
          <t>Couple Years of Protection // Années de Protection par Couple</t>
        </r>
      </text>
    </comment>
    <comment ref="C69" authorId="0" shapeId="0" xr:uid="{B355F8D6-9CE0-46A8-8B58-C125F5F92D0F}">
      <text>
        <r>
          <rPr>
            <b/>
            <sz val="9"/>
            <color indexed="81"/>
            <rFont val="Tahoma"/>
            <family val="2"/>
          </rPr>
          <t>Lactational Amenorrhea Method</t>
        </r>
      </text>
    </comment>
    <comment ref="C96" authorId="0" shapeId="0" xr:uid="{08BDF5EA-14EB-47AB-8D8B-C68F1392B0FB}">
      <text>
        <r>
          <rPr>
            <b/>
            <sz val="9"/>
            <color indexed="81"/>
            <rFont val="Tahoma"/>
            <family val="2"/>
          </rPr>
          <t>Lactational Amenorrhea Method</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jwilliamson</author>
  </authors>
  <commentList>
    <comment ref="C141" authorId="0" shapeId="0" xr:uid="{00000000-0006-0000-1200-000001000000}">
      <text>
        <r>
          <rPr>
            <b/>
            <sz val="9"/>
            <color indexed="81"/>
            <rFont val="Tahoma"/>
            <family val="2"/>
          </rPr>
          <t>Minipill</t>
        </r>
      </text>
    </comment>
    <comment ref="C145" authorId="0" shapeId="0" xr:uid="{00000000-0006-0000-1200-000002000000}">
      <text>
        <r>
          <rPr>
            <b/>
            <sz val="9"/>
            <color indexed="81"/>
            <rFont val="Tahoma"/>
            <family val="2"/>
          </rPr>
          <t>Lactational Amenorrhea Method</t>
        </r>
      </text>
    </comment>
    <comment ref="B152" authorId="0" shapeId="0" xr:uid="{00000000-0006-0000-1200-000003000000}">
      <text>
        <r>
          <rPr>
            <sz val="9"/>
            <color indexed="81"/>
            <rFont val="Tahoma"/>
            <family val="2"/>
          </rPr>
          <t xml:space="preserve">Users excluding Condoms is the recommended value for calculating EMU given data issues with Condoms.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jwilliamson</author>
  </authors>
  <commentList>
    <comment ref="R21" authorId="0" shapeId="0" xr:uid="{00000000-0006-0000-0000-000002000000}">
      <text>
        <r>
          <rPr>
            <b/>
            <sz val="9"/>
            <color indexed="81"/>
            <rFont val="Tahoma"/>
            <family val="2"/>
          </rPr>
          <t>Minipill</t>
        </r>
      </text>
    </comment>
    <comment ref="P25" authorId="0" shapeId="0" xr:uid="{00000000-0006-0000-0000-000004000000}">
      <text>
        <r>
          <rPr>
            <b/>
            <sz val="9"/>
            <color indexed="81"/>
            <rFont val="Tahoma"/>
            <family val="2"/>
          </rPr>
          <t>Lactational Amenorrhea Method</t>
        </r>
      </text>
    </comment>
    <comment ref="R25" authorId="0" shapeId="0" xr:uid="{00000000-0006-0000-0000-000005000000}">
      <text>
        <r>
          <rPr>
            <b/>
            <sz val="9"/>
            <color indexed="81"/>
            <rFont val="Tahoma"/>
            <family val="2"/>
          </rPr>
          <t>Lactational Amenorrhea Method</t>
        </r>
      </text>
    </comment>
    <comment ref="T25" authorId="0" shapeId="0" xr:uid="{00000000-0006-0000-0000-000006000000}">
      <text>
        <r>
          <rPr>
            <b/>
            <sz val="9"/>
            <color indexed="81"/>
            <rFont val="Tahoma"/>
            <family val="2"/>
          </rPr>
          <t>Lactational Amenorrhea Method</t>
        </r>
      </text>
    </comment>
    <comment ref="O32" authorId="0" shapeId="0" xr:uid="{00000000-0006-0000-0000-000007000000}">
      <text>
        <r>
          <rPr>
            <sz val="9"/>
            <color indexed="81"/>
            <rFont val="Tahoma"/>
            <family val="2"/>
          </rPr>
          <t xml:space="preserve">Users excluding Condoms is the recommended value for calculating EMU given data issues with Condoms.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jwilliamson</author>
  </authors>
  <commentList>
    <comment ref="C46" authorId="0" shapeId="0" xr:uid="{07A08E35-2AE1-4E11-9614-9579CBECE1FC}">
      <text>
        <r>
          <rPr>
            <b/>
            <sz val="9"/>
            <color indexed="81"/>
            <rFont val="Tahoma"/>
            <family val="2"/>
          </rPr>
          <t>Lactational Amenorrhea Method</t>
        </r>
      </text>
    </comment>
    <comment ref="CC46" authorId="0" shapeId="0" xr:uid="{57780E79-6FFF-49BF-9142-1DD16A9794ED}">
      <text>
        <r>
          <rPr>
            <b/>
            <sz val="9"/>
            <color indexed="81"/>
            <rFont val="Tahoma"/>
            <family val="2"/>
          </rPr>
          <t>Lactational Amenorrhea Method</t>
        </r>
      </text>
    </comment>
    <comment ref="B51" authorId="0" shapeId="0" xr:uid="{D8CE2C8D-398C-44D5-BFD2-BFA4A6248413}">
      <text>
        <r>
          <rPr>
            <b/>
            <sz val="9"/>
            <color indexed="81"/>
            <rFont val="Tahoma"/>
            <family val="2"/>
          </rPr>
          <t>Couple Years of Protection // Années de Protection par Couple</t>
        </r>
      </text>
    </comment>
    <comment ref="CB51" authorId="0" shapeId="0" xr:uid="{03F07EB2-D123-4FAF-A6FD-C969D768FBD3}">
      <text>
        <r>
          <rPr>
            <b/>
            <sz val="9"/>
            <color indexed="81"/>
            <rFont val="Tahoma"/>
            <family val="2"/>
          </rPr>
          <t>Couple Years of Protection // Années de Protection par Couple</t>
        </r>
      </text>
    </comment>
    <comment ref="C98" authorId="0" shapeId="0" xr:uid="{A90B33F1-6F0F-41EB-96BF-2C318614CBE4}">
      <text>
        <r>
          <rPr>
            <b/>
            <sz val="9"/>
            <color indexed="81"/>
            <rFont val="Tahoma"/>
            <family val="2"/>
          </rPr>
          <t>Lactational Amenorrhea Method</t>
        </r>
      </text>
    </comment>
    <comment ref="CC98" authorId="0" shapeId="0" xr:uid="{1F05488C-7055-485B-9820-C8C37A1D3560}">
      <text>
        <r>
          <rPr>
            <b/>
            <sz val="9"/>
            <color indexed="81"/>
            <rFont val="Tahoma"/>
            <family val="2"/>
          </rPr>
          <t>Lactational Amenorrhea Method</t>
        </r>
      </text>
    </comment>
    <comment ref="B103" authorId="0" shapeId="0" xr:uid="{C8972898-8CC0-4967-84DC-90D770AFF337}">
      <text>
        <r>
          <rPr>
            <b/>
            <sz val="9"/>
            <color indexed="81"/>
            <rFont val="Tahoma"/>
            <family val="2"/>
          </rPr>
          <t>Couple Years of Protection // Années de Protection par Couple</t>
        </r>
      </text>
    </comment>
    <comment ref="CB103" authorId="0" shapeId="0" xr:uid="{526C6777-5E56-4554-AD88-8E412833BF9A}">
      <text>
        <r>
          <rPr>
            <b/>
            <sz val="9"/>
            <color indexed="81"/>
            <rFont val="Tahoma"/>
            <family val="2"/>
          </rPr>
          <t>Couple Years of Protection // Années de Protection par Couple</t>
        </r>
      </text>
    </comment>
    <comment ref="C128" authorId="0" shapeId="0" xr:uid="{5F5703DE-60ED-4034-9404-3070BA4573E2}">
      <text>
        <r>
          <rPr>
            <b/>
            <sz val="9"/>
            <color indexed="81"/>
            <rFont val="Tahoma"/>
            <family val="2"/>
          </rPr>
          <t>Lactational Amenorrhea Method</t>
        </r>
      </text>
    </comment>
    <comment ref="B133" authorId="0" shapeId="0" xr:uid="{AE2DCC1D-6B78-4489-831E-E745D5C7E979}">
      <text>
        <r>
          <rPr>
            <b/>
            <sz val="9"/>
            <color indexed="81"/>
            <rFont val="Tahoma"/>
            <family val="2"/>
          </rPr>
          <t>Couple Years of Protection // Années de Protection par Couple</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jwilliamson</author>
  </authors>
  <commentList>
    <comment ref="C34" authorId="0" shapeId="0" xr:uid="{CAD54E99-FF71-4BEF-9A2A-047DA199AF22}">
      <text>
        <r>
          <rPr>
            <b/>
            <sz val="9"/>
            <color indexed="81"/>
            <rFont val="Tahoma"/>
            <family val="2"/>
          </rPr>
          <t>Lactational Amenorrhea Method</t>
        </r>
      </text>
    </comment>
    <comment ref="B39" authorId="0" shapeId="0" xr:uid="{F92239F0-4A2B-4AAE-A87E-4F78B0BD480E}">
      <text>
        <r>
          <rPr>
            <b/>
            <sz val="9"/>
            <color indexed="81"/>
            <rFont val="Tahoma"/>
            <family val="2"/>
          </rPr>
          <t>Couple Years of Protection // Années de Protection par Couple</t>
        </r>
      </text>
    </comment>
    <comment ref="C65" authorId="0" shapeId="0" xr:uid="{D653BAF6-32F0-4C0E-BEAE-139EB47ED734}">
      <text>
        <r>
          <rPr>
            <b/>
            <sz val="9"/>
            <color indexed="81"/>
            <rFont val="Tahoma"/>
            <family val="2"/>
          </rPr>
          <t>Lactational Amenorrhea Method</t>
        </r>
      </text>
    </comment>
    <comment ref="B70" authorId="0" shapeId="0" xr:uid="{A5CA49D9-B022-49CC-8FDA-3642FC3B2035}">
      <text>
        <r>
          <rPr>
            <b/>
            <sz val="9"/>
            <color indexed="81"/>
            <rFont val="Tahoma"/>
            <family val="2"/>
          </rPr>
          <t>Couple Years of Protection // Années de Protection par Couple</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jwilliamson</author>
  </authors>
  <commentList>
    <comment ref="C23" authorId="0" shapeId="0" xr:uid="{6EBEB326-5532-431F-89A1-8761D6FFFB85}">
      <text>
        <r>
          <rPr>
            <b/>
            <sz val="9"/>
            <color indexed="81"/>
            <rFont val="Tahoma"/>
            <family val="2"/>
          </rPr>
          <t>Minipill</t>
        </r>
      </text>
    </comment>
    <comment ref="C27" authorId="0" shapeId="0" xr:uid="{5C308510-B385-458F-8E4D-5DBE361DD22C}">
      <text>
        <r>
          <rPr>
            <b/>
            <sz val="9"/>
            <color indexed="81"/>
            <rFont val="Tahoma"/>
            <family val="2"/>
          </rPr>
          <t>Lactational Amenorrhea Method</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jwilliamson</author>
  </authors>
  <commentList>
    <comment ref="A2" authorId="0" shapeId="0" xr:uid="{CAE36D5E-95C4-4E5A-A0A2-E5673DE83CB9}">
      <text>
        <r>
          <rPr>
            <b/>
            <sz val="9"/>
            <color indexed="81"/>
            <rFont val="Tahoma"/>
            <family val="2"/>
          </rPr>
          <t>FROM UNPD Run of AW Model Feb 2019</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jwilliamson</author>
  </authors>
  <commentList>
    <comment ref="A2" authorId="0" shapeId="0" xr:uid="{0D7DB891-9F9F-407C-8395-F7AB3D851046}">
      <text>
        <r>
          <rPr>
            <b/>
            <sz val="9"/>
            <color indexed="81"/>
            <rFont val="Tahoma"/>
            <family val="2"/>
          </rPr>
          <t>FROM UNPD Run of AW Model Feb 2019</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jwilliamson</author>
  </authors>
  <commentList>
    <comment ref="B17" authorId="0" shapeId="0" xr:uid="{00000000-0006-0000-0300-000001000000}">
      <text>
        <r>
          <rPr>
            <b/>
            <sz val="9"/>
            <color indexed="81"/>
            <rFont val="Tahoma"/>
            <family val="2"/>
          </rPr>
          <t>This covers data on family planning methods distributed to individual men and women. This type of data would typically be reported from SDPs. //
Ces données couvrent le nombre de services / produits de planification familiale distribués à des femmes et à des hommes. Ce type de données serait généralement rapporté par PPS.</t>
        </r>
      </text>
    </comment>
    <comment ref="I17" authorId="0" shapeId="0" xr:uid="{00000000-0006-0000-0300-000002000000}">
      <text>
        <r>
          <rPr>
            <b/>
            <sz val="9"/>
            <color indexed="81"/>
            <rFont val="Tahoma"/>
            <family val="2"/>
          </rPr>
          <t>This covers data on family planning methods distributed to health facilities. This type of data would typically be reported from a central distribution point. //
Ces données couvrent le nombre de produits / méthodes de planification familiale distribués aux établissements de santé. Ce type de données serait généralement signalé à partir d'un point de distribution central.</t>
        </r>
      </text>
    </comment>
    <comment ref="B26" authorId="0" shapeId="0" xr:uid="{00000000-0006-0000-0300-000003000000}">
      <text>
        <r>
          <rPr>
            <b/>
            <sz val="9"/>
            <color indexed="81"/>
            <rFont val="Tahoma"/>
            <family val="2"/>
          </rPr>
          <t>This data covers the number of individual FP client visits that were conducted. This is generally reported out by SDPs. //
Ces données couvrent le nombre de visites individuelles effectuées par des clients de PF. Ceci est généralement rapporté par PPS.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jwilliamson</author>
  </authors>
  <commentList>
    <comment ref="C31" authorId="0" shapeId="0" xr:uid="{00000000-0006-0000-0700-000001000000}">
      <text>
        <r>
          <rPr>
            <b/>
            <sz val="9"/>
            <color indexed="81"/>
            <rFont val="Tahoma"/>
            <family val="2"/>
          </rPr>
          <t>Minipill</t>
        </r>
      </text>
    </comment>
    <comment ref="T31" authorId="0" shapeId="0" xr:uid="{00000000-0006-0000-0700-000002000000}">
      <text>
        <r>
          <rPr>
            <b/>
            <sz val="9"/>
            <color indexed="81"/>
            <rFont val="Tahoma"/>
            <family val="2"/>
          </rPr>
          <t>Minipill</t>
        </r>
      </text>
    </comment>
    <comment ref="C35" authorId="0" shapeId="0" xr:uid="{00000000-0006-0000-0700-000003000000}">
      <text>
        <r>
          <rPr>
            <b/>
            <sz val="9"/>
            <color indexed="81"/>
            <rFont val="Tahoma"/>
            <family val="2"/>
          </rPr>
          <t>Lactational Amenorrhea Method</t>
        </r>
      </text>
    </comment>
    <comment ref="T35" authorId="0" shapeId="0" xr:uid="{00000000-0006-0000-0700-000004000000}">
      <text>
        <r>
          <rPr>
            <b/>
            <sz val="9"/>
            <color indexed="81"/>
            <rFont val="Tahoma"/>
            <family val="2"/>
          </rPr>
          <t>Lactational Amenorrhea Method</t>
        </r>
      </text>
    </comment>
    <comment ref="C83" authorId="0" shapeId="0" xr:uid="{00000000-0006-0000-0700-000005000000}">
      <text>
        <r>
          <rPr>
            <b/>
            <sz val="9"/>
            <color indexed="81"/>
            <rFont val="Tahoma"/>
            <family val="2"/>
          </rPr>
          <t>Minipill</t>
        </r>
      </text>
    </comment>
    <comment ref="C87" authorId="0" shapeId="0" xr:uid="{00000000-0006-0000-0700-000006000000}">
      <text>
        <r>
          <rPr>
            <b/>
            <sz val="9"/>
            <color indexed="81"/>
            <rFont val="Tahoma"/>
            <family val="2"/>
          </rPr>
          <t>Lactational Amenorrhea Method</t>
        </r>
      </text>
    </comment>
    <comment ref="C109" authorId="0" shapeId="0" xr:uid="{579867AE-D2CD-4288-9606-958B80E3FAD9}">
      <text>
        <r>
          <rPr>
            <b/>
            <sz val="9"/>
            <color indexed="81"/>
            <rFont val="Tahoma"/>
            <family val="2"/>
          </rPr>
          <t>Minipill</t>
        </r>
      </text>
    </comment>
    <comment ref="C113" authorId="0" shapeId="0" xr:uid="{81AB0FC2-BF82-4644-BE99-CC0576F98D89}">
      <text>
        <r>
          <rPr>
            <b/>
            <sz val="9"/>
            <color indexed="81"/>
            <rFont val="Tahoma"/>
            <family val="2"/>
          </rPr>
          <t>Lactational Amenorrhea Method</t>
        </r>
      </text>
    </comment>
    <comment ref="C156" authorId="0" shapeId="0" xr:uid="{1564F49A-AD26-400B-BDEC-6E01D1A2D713}">
      <text>
        <r>
          <rPr>
            <b/>
            <sz val="9"/>
            <color indexed="81"/>
            <rFont val="Tahoma"/>
            <family val="2"/>
          </rPr>
          <t>Lactational Amenorrhea Method</t>
        </r>
      </text>
    </comment>
    <comment ref="C169" authorId="0" shapeId="0" xr:uid="{B8383DBF-0B75-4C2A-B447-C3B2E4C9E3B8}">
      <text>
        <r>
          <rPr>
            <b/>
            <sz val="9"/>
            <color indexed="81"/>
            <rFont val="Tahoma"/>
            <family val="2"/>
          </rPr>
          <t>Lactational Amenorrhea Method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jwilliamson</author>
  </authors>
  <commentList>
    <comment ref="AA38" authorId="0" shapeId="0" xr:uid="{00000000-0006-0000-0800-000002000000}">
      <text>
        <r>
          <rPr>
            <b/>
            <sz val="9"/>
            <color indexed="81"/>
            <rFont val="Tahoma"/>
            <family val="2"/>
          </rPr>
          <t>Minipill</t>
        </r>
      </text>
    </comment>
    <comment ref="BJ38" authorId="0" shapeId="0" xr:uid="{00000000-0006-0000-0800-000003000000}">
      <text>
        <r>
          <rPr>
            <b/>
            <sz val="9"/>
            <color indexed="81"/>
            <rFont val="Tahoma"/>
            <family val="2"/>
          </rPr>
          <t>Minipill</t>
        </r>
      </text>
    </comment>
    <comment ref="CB38" authorId="0" shapeId="0" xr:uid="{C6815B72-3E64-4DAE-9230-581D30CC87D2}">
      <text>
        <r>
          <rPr>
            <b/>
            <sz val="9"/>
            <color indexed="81"/>
            <rFont val="Tahoma"/>
            <family val="2"/>
          </rPr>
          <t>Minipill</t>
        </r>
      </text>
    </comment>
    <comment ref="CT38" authorId="0" shapeId="0" xr:uid="{335BC313-9517-4BFE-A26D-4D8C742DC677}">
      <text>
        <r>
          <rPr>
            <b/>
            <sz val="9"/>
            <color indexed="81"/>
            <rFont val="Tahoma"/>
            <family val="2"/>
          </rPr>
          <t>Minipill</t>
        </r>
      </text>
    </comment>
    <comment ref="C42" authorId="0" shapeId="0" xr:uid="{00000000-0006-0000-0800-000005000000}">
      <text>
        <r>
          <rPr>
            <b/>
            <sz val="9"/>
            <color indexed="81"/>
            <rFont val="Tahoma"/>
            <family val="2"/>
          </rPr>
          <t>Lactational Amenorrhea Method</t>
        </r>
      </text>
    </comment>
    <comment ref="AA42" authorId="0" shapeId="0" xr:uid="{00000000-0006-0000-0800-000006000000}">
      <text>
        <r>
          <rPr>
            <b/>
            <sz val="9"/>
            <color indexed="81"/>
            <rFont val="Tahoma"/>
            <family val="2"/>
          </rPr>
          <t>Lactational Amenorrhea Method</t>
        </r>
      </text>
    </comment>
    <comment ref="BJ42" authorId="0" shapeId="0" xr:uid="{00000000-0006-0000-0800-000007000000}">
      <text>
        <r>
          <rPr>
            <b/>
            <sz val="9"/>
            <color indexed="81"/>
            <rFont val="Tahoma"/>
            <family val="2"/>
          </rPr>
          <t>Lactational Amenorrhea Method</t>
        </r>
      </text>
    </comment>
    <comment ref="CB42" authorId="0" shapeId="0" xr:uid="{0BE68CA6-03E1-45FE-86A0-767215A04344}">
      <text>
        <r>
          <rPr>
            <b/>
            <sz val="9"/>
            <color indexed="81"/>
            <rFont val="Tahoma"/>
            <family val="2"/>
          </rPr>
          <t>Lactational Amenorrhea Method</t>
        </r>
      </text>
    </comment>
    <comment ref="CT42" authorId="0" shapeId="0" xr:uid="{5230B0D3-64EA-462D-A663-C8D1C4400536}">
      <text>
        <r>
          <rPr>
            <b/>
            <sz val="9"/>
            <color indexed="81"/>
            <rFont val="Tahoma"/>
            <family val="2"/>
          </rPr>
          <t>Lactational Amenorrhea Method</t>
        </r>
      </text>
    </comment>
    <comment ref="B47" authorId="0" shapeId="0" xr:uid="{DC249079-53EE-4E00-8256-4DB1D6CBC990}">
      <text>
        <r>
          <rPr>
            <b/>
            <sz val="9"/>
            <color indexed="81"/>
            <rFont val="Tahoma"/>
            <family val="2"/>
          </rPr>
          <t>Couple Years of Protection // Années de Protection par Couple</t>
        </r>
      </text>
    </comment>
    <comment ref="C69" authorId="0" shapeId="0" xr:uid="{0BBCEC80-EBFB-4C63-ABBB-569E0B05B8A6}">
      <text>
        <r>
          <rPr>
            <b/>
            <sz val="9"/>
            <color indexed="81"/>
            <rFont val="Tahoma"/>
            <family val="2"/>
          </rPr>
          <t>Lactational Amenorrhea Method</t>
        </r>
      </text>
    </comment>
    <comment ref="C96" authorId="0" shapeId="0" xr:uid="{C2F7F0C6-672C-43FF-856E-216623B8F93D}">
      <text>
        <r>
          <rPr>
            <b/>
            <sz val="9"/>
            <color indexed="81"/>
            <rFont val="Tahoma"/>
            <family val="2"/>
          </rPr>
          <t>Lactational Amenorrhea Method</t>
        </r>
      </text>
    </comment>
    <comment ref="D212" authorId="0" shapeId="0" xr:uid="{1398AFF0-78C6-4797-A879-B8DA99383649}">
      <text>
        <r>
          <rPr>
            <b/>
            <sz val="9"/>
            <color indexed="81"/>
            <rFont val="Tahoma"/>
            <family val="2"/>
          </rPr>
          <t>Lactational Amenorrhea Method</t>
        </r>
      </text>
    </comment>
    <comment ref="C217" authorId="0" shapeId="0" xr:uid="{210C25DC-018C-4246-9D66-84E7FA66C679}">
      <text>
        <r>
          <rPr>
            <b/>
            <sz val="9"/>
            <color indexed="81"/>
            <rFont val="Tahoma"/>
            <family val="2"/>
          </rPr>
          <t>Couple Years of Protection // Années de Protection par Couple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jwilliamson</author>
  </authors>
  <commentList>
    <comment ref="C142" authorId="0" shapeId="0" xr:uid="{00000000-0006-0000-0A00-000001000000}">
      <text>
        <r>
          <rPr>
            <b/>
            <sz val="9"/>
            <color indexed="81"/>
            <rFont val="Tahoma"/>
            <family val="2"/>
          </rPr>
          <t>Minipill</t>
        </r>
      </text>
    </comment>
    <comment ref="C146" authorId="0" shapeId="0" xr:uid="{00000000-0006-0000-0A00-000002000000}">
      <text>
        <r>
          <rPr>
            <b/>
            <sz val="9"/>
            <color indexed="81"/>
            <rFont val="Tahoma"/>
            <family val="2"/>
          </rPr>
          <t>Lactational Amenorrhea Method</t>
        </r>
      </text>
    </comment>
    <comment ref="B153" authorId="0" shapeId="0" xr:uid="{00000000-0006-0000-0A00-000003000000}">
      <text>
        <r>
          <rPr>
            <sz val="9"/>
            <color indexed="81"/>
            <rFont val="Tahoma"/>
            <family val="2"/>
          </rPr>
          <t xml:space="preserve">Users excluding Condoms is the recommended value for calculating EMU given data issues with Condoms.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jwilliamson</author>
  </authors>
  <commentList>
    <comment ref="AA38" authorId="0" shapeId="0" xr:uid="{00000000-0006-0000-0B00-000002000000}">
      <text>
        <r>
          <rPr>
            <b/>
            <sz val="9"/>
            <color indexed="81"/>
            <rFont val="Tahoma"/>
            <family val="2"/>
          </rPr>
          <t>Minipill</t>
        </r>
      </text>
    </comment>
    <comment ref="BJ38" authorId="0" shapeId="0" xr:uid="{CCDCA379-2011-447E-BED9-81D065C60F9C}">
      <text>
        <r>
          <rPr>
            <b/>
            <sz val="9"/>
            <color indexed="81"/>
            <rFont val="Tahoma"/>
            <family val="2"/>
          </rPr>
          <t>Minipill</t>
        </r>
      </text>
    </comment>
    <comment ref="CB38" authorId="0" shapeId="0" xr:uid="{1BB1E4C7-2312-483C-886B-A6400DDB180A}">
      <text>
        <r>
          <rPr>
            <b/>
            <sz val="9"/>
            <color indexed="81"/>
            <rFont val="Tahoma"/>
            <family val="2"/>
          </rPr>
          <t>Minipill</t>
        </r>
      </text>
    </comment>
    <comment ref="CT38" authorId="0" shapeId="0" xr:uid="{AC293124-676E-494D-BB4A-7D80C3265FFA}">
      <text>
        <r>
          <rPr>
            <b/>
            <sz val="9"/>
            <color indexed="81"/>
            <rFont val="Tahoma"/>
            <family val="2"/>
          </rPr>
          <t>Minipill</t>
        </r>
      </text>
    </comment>
    <comment ref="C42" authorId="0" shapeId="0" xr:uid="{00000000-0006-0000-0B00-000005000000}">
      <text>
        <r>
          <rPr>
            <b/>
            <sz val="9"/>
            <color indexed="81"/>
            <rFont val="Tahoma"/>
            <family val="2"/>
          </rPr>
          <t>Lactational Amenorrhea Method</t>
        </r>
      </text>
    </comment>
    <comment ref="AA42" authorId="0" shapeId="0" xr:uid="{00000000-0006-0000-0B00-000006000000}">
      <text>
        <r>
          <rPr>
            <b/>
            <sz val="9"/>
            <color indexed="81"/>
            <rFont val="Tahoma"/>
            <family val="2"/>
          </rPr>
          <t>Lactational Amenorrhea Method</t>
        </r>
      </text>
    </comment>
    <comment ref="BJ42" authorId="0" shapeId="0" xr:uid="{9D92A75B-C2D8-4516-878C-C05DFDF8A6A7}">
      <text>
        <r>
          <rPr>
            <b/>
            <sz val="9"/>
            <color indexed="81"/>
            <rFont val="Tahoma"/>
            <family val="2"/>
          </rPr>
          <t>Lactational Amenorrhea Method</t>
        </r>
      </text>
    </comment>
    <comment ref="CB42" authorId="0" shapeId="0" xr:uid="{F354B544-0AD1-47C5-9EBF-12638B5F119A}">
      <text>
        <r>
          <rPr>
            <b/>
            <sz val="9"/>
            <color indexed="81"/>
            <rFont val="Tahoma"/>
            <family val="2"/>
          </rPr>
          <t>Lactational Amenorrhea Method</t>
        </r>
      </text>
    </comment>
    <comment ref="CT42" authorId="0" shapeId="0" xr:uid="{5797FFB8-2960-4D95-8CF8-27F9DF8BC486}">
      <text>
        <r>
          <rPr>
            <b/>
            <sz val="9"/>
            <color indexed="81"/>
            <rFont val="Tahoma"/>
            <family val="2"/>
          </rPr>
          <t>Lactational Amenorrhea Method</t>
        </r>
      </text>
    </comment>
    <comment ref="B47" authorId="0" shapeId="0" xr:uid="{A1BDC52A-9E62-4547-BC1A-448CE346E6B4}">
      <text>
        <r>
          <rPr>
            <b/>
            <sz val="9"/>
            <color indexed="81"/>
            <rFont val="Tahoma"/>
            <family val="2"/>
          </rPr>
          <t>Couple Years of Protection // Années de Protection par Couple</t>
        </r>
      </text>
    </comment>
    <comment ref="C69" authorId="0" shapeId="0" xr:uid="{96EB33D6-2B1F-4950-9180-291597BABD90}">
      <text>
        <r>
          <rPr>
            <b/>
            <sz val="9"/>
            <color indexed="81"/>
            <rFont val="Tahoma"/>
            <family val="2"/>
          </rPr>
          <t>Lactational Amenorrhea Method</t>
        </r>
      </text>
    </comment>
    <comment ref="C96" authorId="0" shapeId="0" xr:uid="{D4800518-E45C-406B-95BD-4A8D5E413C3B}">
      <text>
        <r>
          <rPr>
            <b/>
            <sz val="9"/>
            <color indexed="81"/>
            <rFont val="Tahoma"/>
            <family val="2"/>
          </rPr>
          <t>Lactational Amenorrhea Method</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jwilliamson</author>
  </authors>
  <commentList>
    <comment ref="C141" authorId="0" shapeId="0" xr:uid="{00000000-0006-0000-0D00-000001000000}">
      <text>
        <r>
          <rPr>
            <b/>
            <sz val="9"/>
            <color indexed="81"/>
            <rFont val="Tahoma"/>
            <family val="2"/>
          </rPr>
          <t>Minipill</t>
        </r>
      </text>
    </comment>
    <comment ref="C145" authorId="0" shapeId="0" xr:uid="{00000000-0006-0000-0D00-000002000000}">
      <text>
        <r>
          <rPr>
            <b/>
            <sz val="9"/>
            <color indexed="81"/>
            <rFont val="Tahoma"/>
            <family val="2"/>
          </rPr>
          <t>Lactational Amenorrhea Method</t>
        </r>
      </text>
    </comment>
    <comment ref="B152" authorId="0" shapeId="0" xr:uid="{00000000-0006-0000-0D00-000003000000}">
      <text>
        <r>
          <rPr>
            <sz val="9"/>
            <color indexed="81"/>
            <rFont val="Tahoma"/>
            <family val="2"/>
          </rPr>
          <t xml:space="preserve">Users excluding Condoms is the recommended value for calculating EMU given data issues with Condoms.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jwilliamson</author>
  </authors>
  <commentList>
    <comment ref="AA38" authorId="0" shapeId="0" xr:uid="{00000000-0006-0000-0E00-000002000000}">
      <text>
        <r>
          <rPr>
            <b/>
            <sz val="9"/>
            <color indexed="81"/>
            <rFont val="Tahoma"/>
            <family val="2"/>
          </rPr>
          <t>Minipill</t>
        </r>
      </text>
    </comment>
    <comment ref="BJ38" authorId="0" shapeId="0" xr:uid="{47116ED5-ACEA-4E92-9519-02556279D4DE}">
      <text>
        <r>
          <rPr>
            <b/>
            <sz val="9"/>
            <color indexed="81"/>
            <rFont val="Tahoma"/>
            <family val="2"/>
          </rPr>
          <t>Minipill</t>
        </r>
      </text>
    </comment>
    <comment ref="CB38" authorId="0" shapeId="0" xr:uid="{3AB145C3-4BAD-49C7-AF81-92307AF93F74}">
      <text>
        <r>
          <rPr>
            <b/>
            <sz val="9"/>
            <color indexed="81"/>
            <rFont val="Tahoma"/>
            <family val="2"/>
          </rPr>
          <t>Minipill</t>
        </r>
      </text>
    </comment>
    <comment ref="CT38" authorId="0" shapeId="0" xr:uid="{BDE396F9-3CEB-4E10-8E42-8BF8990CCBD0}">
      <text>
        <r>
          <rPr>
            <b/>
            <sz val="9"/>
            <color indexed="81"/>
            <rFont val="Tahoma"/>
            <family val="2"/>
          </rPr>
          <t>Minipill</t>
        </r>
      </text>
    </comment>
    <comment ref="C42" authorId="0" shapeId="0" xr:uid="{00000000-0006-0000-0E00-000005000000}">
      <text>
        <r>
          <rPr>
            <b/>
            <sz val="9"/>
            <color indexed="81"/>
            <rFont val="Tahoma"/>
            <family val="2"/>
          </rPr>
          <t>Lactational Amenorrhea Method</t>
        </r>
      </text>
    </comment>
    <comment ref="AA42" authorId="0" shapeId="0" xr:uid="{00000000-0006-0000-0E00-000006000000}">
      <text>
        <r>
          <rPr>
            <b/>
            <sz val="9"/>
            <color indexed="81"/>
            <rFont val="Tahoma"/>
            <family val="2"/>
          </rPr>
          <t>Lactational Amenorrhea Method</t>
        </r>
      </text>
    </comment>
    <comment ref="BJ42" authorId="0" shapeId="0" xr:uid="{58D8514A-6A17-415F-BEF8-DB52ABEAC2FA}">
      <text>
        <r>
          <rPr>
            <b/>
            <sz val="9"/>
            <color indexed="81"/>
            <rFont val="Tahoma"/>
            <family val="2"/>
          </rPr>
          <t>Lactational Amenorrhea Method</t>
        </r>
      </text>
    </comment>
    <comment ref="CB42" authorId="0" shapeId="0" xr:uid="{13E14D90-A37E-4A98-A6F2-6C0E6C5D402F}">
      <text>
        <r>
          <rPr>
            <b/>
            <sz val="9"/>
            <color indexed="81"/>
            <rFont val="Tahoma"/>
            <family val="2"/>
          </rPr>
          <t>Lactational Amenorrhea Method</t>
        </r>
      </text>
    </comment>
    <comment ref="CT42" authorId="0" shapeId="0" xr:uid="{66C7F1E9-A6C7-410F-B458-728097200069}">
      <text>
        <r>
          <rPr>
            <b/>
            <sz val="9"/>
            <color indexed="81"/>
            <rFont val="Tahoma"/>
            <family val="2"/>
          </rPr>
          <t>Lactational Amenorrhea Method</t>
        </r>
      </text>
    </comment>
    <comment ref="B47" authorId="0" shapeId="0" xr:uid="{054BC8AF-9708-4C3F-989A-E8B0CD44E368}">
      <text>
        <r>
          <rPr>
            <b/>
            <sz val="9"/>
            <color indexed="81"/>
            <rFont val="Tahoma"/>
            <family val="2"/>
          </rPr>
          <t>Couple Years of Protection // Années de Protection par Couple</t>
        </r>
      </text>
    </comment>
    <comment ref="C69" authorId="0" shapeId="0" xr:uid="{63E9DDEA-EE94-4DA5-8026-FD8C2F525F9D}">
      <text>
        <r>
          <rPr>
            <b/>
            <sz val="9"/>
            <color indexed="81"/>
            <rFont val="Tahoma"/>
            <family val="2"/>
          </rPr>
          <t>Lactational Amenorrhea Method</t>
        </r>
      </text>
    </comment>
    <comment ref="C96" authorId="0" shapeId="0" xr:uid="{24571630-8ACB-4487-B4BB-D0D85340B192}">
      <text>
        <r>
          <rPr>
            <b/>
            <sz val="9"/>
            <color indexed="81"/>
            <rFont val="Tahoma"/>
            <family val="2"/>
          </rPr>
          <t>Lactational Amenorrhea Method</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jwilliamson</author>
  </authors>
  <commentList>
    <comment ref="C141" authorId="0" shapeId="0" xr:uid="{00000000-0006-0000-0F00-000001000000}">
      <text>
        <r>
          <rPr>
            <b/>
            <sz val="9"/>
            <color indexed="81"/>
            <rFont val="Tahoma"/>
            <family val="2"/>
          </rPr>
          <t>Minipill</t>
        </r>
      </text>
    </comment>
    <comment ref="C145" authorId="0" shapeId="0" xr:uid="{00000000-0006-0000-0F00-000002000000}">
      <text>
        <r>
          <rPr>
            <b/>
            <sz val="9"/>
            <color indexed="81"/>
            <rFont val="Tahoma"/>
            <family val="2"/>
          </rPr>
          <t>Lactational Amenorrhea Method</t>
        </r>
      </text>
    </comment>
    <comment ref="B152" authorId="0" shapeId="0" xr:uid="{00000000-0006-0000-0F00-000003000000}">
      <text>
        <r>
          <rPr>
            <sz val="9"/>
            <color indexed="81"/>
            <rFont val="Tahoma"/>
            <family val="2"/>
          </rPr>
          <t xml:space="preserve">Users excluding Condoms is the recommended value for calculating EMU given data issues with Condoms.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<sst xmlns="http://schemas.openxmlformats.org/spreadsheetml/2006/main" count="11324" uniqueCount="2510">
  <si>
    <t>Condom</t>
  </si>
  <si>
    <t>Sterilization</t>
  </si>
  <si>
    <t>Injectable</t>
  </si>
  <si>
    <t>Implant</t>
  </si>
  <si>
    <t>Pill</t>
  </si>
  <si>
    <t>IUD</t>
  </si>
  <si>
    <t>METHOD</t>
  </si>
  <si>
    <t>Emergency contraception</t>
  </si>
  <si>
    <t>CYP FACTOR</t>
  </si>
  <si>
    <t>years of protection</t>
  </si>
  <si>
    <t>Country</t>
  </si>
  <si>
    <t>Afghanistan</t>
  </si>
  <si>
    <t>Bangladesh</t>
  </si>
  <si>
    <t>Benin</t>
  </si>
  <si>
    <t>Bhutan</t>
  </si>
  <si>
    <t>Bolivia</t>
  </si>
  <si>
    <t>Burkina Faso</t>
  </si>
  <si>
    <t>Burundi</t>
  </si>
  <si>
    <t>Cambodia</t>
  </si>
  <si>
    <t>Cameroon</t>
  </si>
  <si>
    <t>Chad</t>
  </si>
  <si>
    <t>Comoros</t>
  </si>
  <si>
    <t>Congo</t>
  </si>
  <si>
    <t>Côte d'Ivoire</t>
  </si>
  <si>
    <t>Djibouti</t>
  </si>
  <si>
    <t>DPR Korea</t>
  </si>
  <si>
    <t>DR Congo</t>
  </si>
  <si>
    <t>Egypt</t>
  </si>
  <si>
    <t>Eritrea</t>
  </si>
  <si>
    <t>Ethiopia</t>
  </si>
  <si>
    <t>Gambia</t>
  </si>
  <si>
    <t>Ghana</t>
  </si>
  <si>
    <t>Guinea</t>
  </si>
  <si>
    <t>Guinea-Bissau</t>
  </si>
  <si>
    <t>Haiti</t>
  </si>
  <si>
    <t>Honduras</t>
  </si>
  <si>
    <t>India</t>
  </si>
  <si>
    <t>Indonesia</t>
  </si>
  <si>
    <t>Iraq</t>
  </si>
  <si>
    <t>Kenya</t>
  </si>
  <si>
    <t>Kyrgyzstan</t>
  </si>
  <si>
    <t>Lao PDR</t>
  </si>
  <si>
    <t>Lesotho</t>
  </si>
  <si>
    <t>Liberia</t>
  </si>
  <si>
    <t>Madagascar</t>
  </si>
  <si>
    <t>Malawi</t>
  </si>
  <si>
    <t>Mali</t>
  </si>
  <si>
    <t>Mauritania</t>
  </si>
  <si>
    <t>Mongolia</t>
  </si>
  <si>
    <t>Mozambique</t>
  </si>
  <si>
    <t>Myanmar</t>
  </si>
  <si>
    <t>Nepal</t>
  </si>
  <si>
    <t>Nicaragua</t>
  </si>
  <si>
    <t>Niger</t>
  </si>
  <si>
    <t>Nigeria</t>
  </si>
  <si>
    <t>Pakistan</t>
  </si>
  <si>
    <t>Papua New Guinea</t>
  </si>
  <si>
    <t>Philippines</t>
  </si>
  <si>
    <t>Rwanda</t>
  </si>
  <si>
    <t>Sao Tome and Principe</t>
  </si>
  <si>
    <t>Senegal</t>
  </si>
  <si>
    <t>Sierra Leone</t>
  </si>
  <si>
    <t>Solomon Islands</t>
  </si>
  <si>
    <t>Somalia</t>
  </si>
  <si>
    <t>South Africa</t>
  </si>
  <si>
    <t>South Sudan</t>
  </si>
  <si>
    <t>Sri Lanka</t>
  </si>
  <si>
    <t>State of Palestine</t>
  </si>
  <si>
    <t>Sudan</t>
  </si>
  <si>
    <t>Tajikistan</t>
  </si>
  <si>
    <t>Tanzania</t>
  </si>
  <si>
    <t>Timor-Leste</t>
  </si>
  <si>
    <t>Togo</t>
  </si>
  <si>
    <t>Uganda</t>
  </si>
  <si>
    <t>Uzbekistan</t>
  </si>
  <si>
    <t>Viet Nam</t>
  </si>
  <si>
    <t>Western Sahara</t>
  </si>
  <si>
    <t>Yemen</t>
  </si>
  <si>
    <t>Zambia</t>
  </si>
  <si>
    <t>Zimbabwe</t>
  </si>
  <si>
    <t>Source:</t>
  </si>
  <si>
    <t>Enter the annual commodities figures by method in the table below for whichever methods are used in your country. Enter data for each year.</t>
  </si>
  <si>
    <t>If you do not have an estimate of what % of the full market this data represents, leave this blank.</t>
  </si>
  <si>
    <t>per user per year</t>
  </si>
  <si>
    <t>UNITS</t>
  </si>
  <si>
    <t>Reporting Rates</t>
  </si>
  <si>
    <t>Current year of data available</t>
  </si>
  <si>
    <t>First year of data available</t>
  </si>
  <si>
    <t>Yes</t>
  </si>
  <si>
    <t>No</t>
  </si>
  <si>
    <t xml:space="preserve">Below you are asked to answer some questions about the service statistics data that you have available to you. You will be asked about the kind of data you have available, the source of that data, for what time period you have data, and what sectors the data covers. Please answer to the best of your knowledge. You will provided with space to add additional notes about your data on the data entry sheets. </t>
  </si>
  <si>
    <t>FP Visits</t>
  </si>
  <si>
    <t>FP Users</t>
  </si>
  <si>
    <t>Other</t>
  </si>
  <si>
    <t>Long Acting and Permanent Methods</t>
  </si>
  <si>
    <t>Short-Term Methods</t>
  </si>
  <si>
    <t>Vasectomy (M)</t>
  </si>
  <si>
    <t>Tubal Ligation (F)</t>
  </si>
  <si>
    <t>Noristerat (NET-En)</t>
  </si>
  <si>
    <t>Depo Provera (DMPA)</t>
  </si>
  <si>
    <t>Lunelle</t>
  </si>
  <si>
    <t>Sayana Press</t>
  </si>
  <si>
    <t>Adjustment Factor</t>
  </si>
  <si>
    <t>Male Condom</t>
  </si>
  <si>
    <t>LAM</t>
  </si>
  <si>
    <t>SDM (Standard Days)</t>
  </si>
  <si>
    <t>Vaginal barrier</t>
  </si>
  <si>
    <t>Spermicides</t>
  </si>
  <si>
    <t>EC</t>
  </si>
  <si>
    <t>Total CYPs</t>
  </si>
  <si>
    <t>OC Pills</t>
  </si>
  <si>
    <t>Condoms</t>
  </si>
  <si>
    <t>If no private sector data is included in the figures below, a potential source for these adjustments is using DHS data by method on % accessing each method from the public sector</t>
  </si>
  <si>
    <t xml:space="preserve">Review the graphs below showing the data you entered above. Keep an eye out for any anomolies that might indicator errors. Once you have validated the data, click the arrow to take you to review your outputs. </t>
  </si>
  <si>
    <t>Copper- T 380-A IUD</t>
  </si>
  <si>
    <t>If these data look good,
 continue on to review</t>
  </si>
  <si>
    <t>Reporting rates should be above 80% to use data in FPET. If rates are between 60% and 80%, please discuss with a Track20 Team Member</t>
  </si>
  <si>
    <t>Last Updated</t>
  </si>
  <si>
    <t>Modern method mix</t>
  </si>
  <si>
    <t>Long acting and permanent methods</t>
  </si>
  <si>
    <t>Short term methods</t>
  </si>
  <si>
    <t>Source</t>
  </si>
  <si>
    <t>Population</t>
  </si>
  <si>
    <t>MW</t>
  </si>
  <si>
    <t>AW</t>
  </si>
  <si>
    <t>SOURCE</t>
  </si>
  <si>
    <t>Background Data</t>
  </si>
  <si>
    <t>Modern Contraceptive Method Mix</t>
  </si>
  <si>
    <t>Female Sterilization</t>
  </si>
  <si>
    <t>Male Sterilization</t>
  </si>
  <si>
    <t>Other Modern Methods</t>
  </si>
  <si>
    <t>Albania</t>
  </si>
  <si>
    <t>Algeria</t>
  </si>
  <si>
    <t>American Samoa</t>
  </si>
  <si>
    <t>Angola</t>
  </si>
  <si>
    <t>Anguilla</t>
  </si>
  <si>
    <t>Antigua and Barbuda</t>
  </si>
  <si>
    <t>Argentina</t>
  </si>
  <si>
    <t>Armenia</t>
  </si>
  <si>
    <t>Aruba</t>
  </si>
  <si>
    <t>Australia</t>
  </si>
  <si>
    <t>Austria</t>
  </si>
  <si>
    <t>Azerbaijan</t>
  </si>
  <si>
    <t>Bahamas</t>
  </si>
  <si>
    <t>Bahrain</t>
  </si>
  <si>
    <t>Barbados</t>
  </si>
  <si>
    <t>Belarus</t>
  </si>
  <si>
    <t>Belgium</t>
  </si>
  <si>
    <t>Belize</t>
  </si>
  <si>
    <t>Bermuda</t>
  </si>
  <si>
    <t>Bosnia and Hercegovina</t>
  </si>
  <si>
    <t>Botswana</t>
  </si>
  <si>
    <t>Brazil</t>
  </si>
  <si>
    <t>British Virgin Islands</t>
  </si>
  <si>
    <t>Brunei Darussalam</t>
  </si>
  <si>
    <t>Bulgaria</t>
  </si>
  <si>
    <t>Cabo Verde</t>
  </si>
  <si>
    <t>Canada</t>
  </si>
  <si>
    <t>Cayman Islands</t>
  </si>
  <si>
    <t>Chile</t>
  </si>
  <si>
    <t>China</t>
  </si>
  <si>
    <t>China, Hong Kong SAR</t>
  </si>
  <si>
    <t>China, Macao SAR</t>
  </si>
  <si>
    <t>Colombia</t>
  </si>
  <si>
    <t>Cook Islands</t>
  </si>
  <si>
    <t>Costa Rica</t>
  </si>
  <si>
    <t>Croatia</t>
  </si>
  <si>
    <t>Cuba</t>
  </si>
  <si>
    <t>Cyprus</t>
  </si>
  <si>
    <t>Czech Republic</t>
  </si>
  <si>
    <t>Denmark</t>
  </si>
  <si>
    <t>Dominica</t>
  </si>
  <si>
    <t>Dominican Republic</t>
  </si>
  <si>
    <t>Ecuador</t>
  </si>
  <si>
    <t>El Salvador</t>
  </si>
  <si>
    <t>Equatorial Guinea</t>
  </si>
  <si>
    <t>Estonia</t>
  </si>
  <si>
    <t>Faeroe Islands</t>
  </si>
  <si>
    <t>Falkland Islands (Malvinas)</t>
  </si>
  <si>
    <t>Fiji</t>
  </si>
  <si>
    <t>Finland</t>
  </si>
  <si>
    <t>France</t>
  </si>
  <si>
    <t>French Guiana</t>
  </si>
  <si>
    <t>French Polynesia</t>
  </si>
  <si>
    <t>Gabon</t>
  </si>
  <si>
    <t>Georgia</t>
  </si>
  <si>
    <t>Germany</t>
  </si>
  <si>
    <t>Gibraltar</t>
  </si>
  <si>
    <t>Greece</t>
  </si>
  <si>
    <t>Greenland</t>
  </si>
  <si>
    <t>Grenada</t>
  </si>
  <si>
    <t>Guadeloupe</t>
  </si>
  <si>
    <t>Guam</t>
  </si>
  <si>
    <t>Guatemala</t>
  </si>
  <si>
    <t>Guyana</t>
  </si>
  <si>
    <t>Hungary</t>
  </si>
  <si>
    <t>Iceland</t>
  </si>
  <si>
    <t>Iran (Islamic Republic of)</t>
  </si>
  <si>
    <t>Ireland</t>
  </si>
  <si>
    <t>Israel</t>
  </si>
  <si>
    <t>Italy</t>
  </si>
  <si>
    <t>Jamaica</t>
  </si>
  <si>
    <t>Japan</t>
  </si>
  <si>
    <t>Jordan</t>
  </si>
  <si>
    <t>Kazakhstan</t>
  </si>
  <si>
    <t>Kiribati</t>
  </si>
  <si>
    <t>Kuwait</t>
  </si>
  <si>
    <t>Latvia</t>
  </si>
  <si>
    <t>Lebanon</t>
  </si>
  <si>
    <t>Libya</t>
  </si>
  <si>
    <t>Liechtenstein</t>
  </si>
  <si>
    <t>Lithuania</t>
  </si>
  <si>
    <t>Luxembourg</t>
  </si>
  <si>
    <t>Malaysia</t>
  </si>
  <si>
    <t>Maldives</t>
  </si>
  <si>
    <t>Malta</t>
  </si>
  <si>
    <t>Marshall Islands</t>
  </si>
  <si>
    <t>Martinique</t>
  </si>
  <si>
    <t>Mauritius</t>
  </si>
  <si>
    <t>Mayotte</t>
  </si>
  <si>
    <t>Mexico</t>
  </si>
  <si>
    <t>Montenegro</t>
  </si>
  <si>
    <t>Montserrat</t>
  </si>
  <si>
    <t>Morocco</t>
  </si>
  <si>
    <t>Namibia</t>
  </si>
  <si>
    <t>Nauru</t>
  </si>
  <si>
    <t>Netherlands</t>
  </si>
  <si>
    <t>Netherlands Antilles</t>
  </si>
  <si>
    <t>New Caledonia</t>
  </si>
  <si>
    <t>New Zealand</t>
  </si>
  <si>
    <t>Norway</t>
  </si>
  <si>
    <t>Oman</t>
  </si>
  <si>
    <t>Palau</t>
  </si>
  <si>
    <t>Panama</t>
  </si>
  <si>
    <t>Paraguay</t>
  </si>
  <si>
    <t>Peru</t>
  </si>
  <si>
    <t>Poland</t>
  </si>
  <si>
    <t>Portugal</t>
  </si>
  <si>
    <t>Puerto Rico</t>
  </si>
  <si>
    <t>Qatar</t>
  </si>
  <si>
    <t>Republic of Korea</t>
  </si>
  <si>
    <t>Republic of Moldova</t>
  </si>
  <si>
    <t>Réunion</t>
  </si>
  <si>
    <t>Romania</t>
  </si>
  <si>
    <t>Russian Federation</t>
  </si>
  <si>
    <t>Saint Kitts and Nevis</t>
  </si>
  <si>
    <t>Saint Lucia</t>
  </si>
  <si>
    <t>Saint Vincent and the Grenadines</t>
  </si>
  <si>
    <t>Saint-Pierre-et-Miquelon</t>
  </si>
  <si>
    <t>Samoa</t>
  </si>
  <si>
    <t>San Marino</t>
  </si>
  <si>
    <t>Saudi Arabia</t>
  </si>
  <si>
    <t>Serbia</t>
  </si>
  <si>
    <t>Seychelles</t>
  </si>
  <si>
    <t>Singapore</t>
  </si>
  <si>
    <t>Slovakia</t>
  </si>
  <si>
    <t>Slovenia</t>
  </si>
  <si>
    <t>Spain</t>
  </si>
  <si>
    <t>Suriname</t>
  </si>
  <si>
    <t>Swaziland</t>
  </si>
  <si>
    <t>Sweden</t>
  </si>
  <si>
    <t>Switzerland</t>
  </si>
  <si>
    <t>Thailand</t>
  </si>
  <si>
    <t>The former Yugoslav Republic of Macedonia</t>
  </si>
  <si>
    <t>Tokelau</t>
  </si>
  <si>
    <t>Tonga</t>
  </si>
  <si>
    <t>Trinidad and Tobago</t>
  </si>
  <si>
    <t>Tunisia</t>
  </si>
  <si>
    <t>Turkey</t>
  </si>
  <si>
    <t>Turkmenistan</t>
  </si>
  <si>
    <t>Turks and Caicos Islands</t>
  </si>
  <si>
    <t>Tuvalu</t>
  </si>
  <si>
    <t>Ukraine</t>
  </si>
  <si>
    <t>United Arab Emirates</t>
  </si>
  <si>
    <t>United Kingdom</t>
  </si>
  <si>
    <t>United States of America</t>
  </si>
  <si>
    <t>United States Virgin Islands</t>
  </si>
  <si>
    <t>Uruguay</t>
  </si>
  <si>
    <t>Vanuatu</t>
  </si>
  <si>
    <t>Venezuela (Bolivarian Republic of)</t>
  </si>
  <si>
    <t>Wallis and Futuna Islands</t>
  </si>
  <si>
    <t>Married Women</t>
  </si>
  <si>
    <t>All Women</t>
  </si>
  <si>
    <t xml:space="preserve">Review the graph above for outliers, unexpected changes in method trends or rapid changes in particular methods. 
Please comment belowand explain the trends above. </t>
  </si>
  <si>
    <t># visits per user</t>
  </si>
  <si>
    <t>Yr 0</t>
  </si>
  <si>
    <t>yr 1</t>
  </si>
  <si>
    <t>yr 2</t>
  </si>
  <si>
    <t>yr 3</t>
  </si>
  <si>
    <t>yr 4</t>
  </si>
  <si>
    <t>yr 5</t>
  </si>
  <si>
    <t>yr 6</t>
  </si>
  <si>
    <t>yr 7</t>
  </si>
  <si>
    <t>yr 8</t>
  </si>
  <si>
    <t>yr 9</t>
  </si>
  <si>
    <t>yr 10</t>
  </si>
  <si>
    <t xml:space="preserve"> </t>
  </si>
  <si>
    <t>Implant - 5 yr</t>
  </si>
  <si>
    <t>Implant - 4 yr</t>
  </si>
  <si>
    <t xml:space="preserve">Standard Days Method (SDM) </t>
  </si>
  <si>
    <t>0 to 1</t>
  </si>
  <si>
    <t>1 to 2</t>
  </si>
  <si>
    <t>2 to 3</t>
  </si>
  <si>
    <t>3 to 4</t>
  </si>
  <si>
    <t>4 to 5</t>
  </si>
  <si>
    <t>5 to 6</t>
  </si>
  <si>
    <t>6 to 7</t>
  </si>
  <si>
    <t>7 to 8</t>
  </si>
  <si>
    <t>8 to 9</t>
  </si>
  <si>
    <t>9 to 10</t>
  </si>
  <si>
    <t>Any Decline?</t>
  </si>
  <si>
    <t>Other Injectable</t>
  </si>
  <si>
    <t>More than 150% Growth</t>
  </si>
  <si>
    <t>Total</t>
  </si>
  <si>
    <t>Population and Prevalence Data</t>
  </si>
  <si>
    <t xml:space="preserve">Source for pop, if changed: </t>
  </si>
  <si>
    <t xml:space="preserve">This data is used to provide context to the service statistics data you will be entering and reviewing. Providing this information is important in order to understand whether the service statistics data is accurate and aligns with data from other sources. </t>
  </si>
  <si>
    <t>Year</t>
  </si>
  <si>
    <t>Estimated Modern Users</t>
  </si>
  <si>
    <t>1. Users Trends by Method</t>
  </si>
  <si>
    <t>EMU: Commodities ex. Condoms</t>
  </si>
  <si>
    <t xml:space="preserve">Compare the two graphs and look for large differences between the method mix from the survey and the method mix produced from your service statistics data. Please explain any large discrepancies in the method mix. </t>
  </si>
  <si>
    <t>EMU : Commodities to Clients</t>
  </si>
  <si>
    <t>EMU : Commodities to Facilities</t>
  </si>
  <si>
    <t>EMU : Visits</t>
  </si>
  <si>
    <t>EMU : Users</t>
  </si>
  <si>
    <t>Return to Set Up Page</t>
  </si>
  <si>
    <t>Go to Final EMU Review</t>
  </si>
  <si>
    <t>Final Review of EMU for Use in FPET</t>
  </si>
  <si>
    <t>Average annual % pt growth in mCPR/EMU</t>
  </si>
  <si>
    <t>Country letter code</t>
  </si>
  <si>
    <t>ISO code</t>
  </si>
  <si>
    <t>New population</t>
  </si>
  <si>
    <t>EXCLUDE?</t>
  </si>
  <si>
    <t>Start year</t>
  </si>
  <si>
    <t>End year</t>
  </si>
  <si>
    <t>Age  range</t>
  </si>
  <si>
    <t>Population type</t>
  </si>
  <si>
    <t>Contraceptive-use-ANY</t>
  </si>
  <si>
    <t>Contraceptive-use-MODERN</t>
  </si>
  <si>
    <t>GEO biases (unknown direction)</t>
  </si>
  <si>
    <t>Non-pregnant and other positive biases</t>
  </si>
  <si>
    <t>Modern method bias</t>
  </si>
  <si>
    <t>Folk method positive bias</t>
  </si>
  <si>
    <t>Unmet</t>
  </si>
  <si>
    <t>Data series/type</t>
  </si>
  <si>
    <t>Source name</t>
  </si>
  <si>
    <t xml:space="preserve">AFG </t>
  </si>
  <si>
    <t xml:space="preserve">ALB </t>
  </si>
  <si>
    <t xml:space="preserve">DZA </t>
  </si>
  <si>
    <t xml:space="preserve">AGO </t>
  </si>
  <si>
    <t xml:space="preserve">AIA </t>
  </si>
  <si>
    <t xml:space="preserve">ATG </t>
  </si>
  <si>
    <t xml:space="preserve">ARG </t>
  </si>
  <si>
    <t xml:space="preserve">ARM </t>
  </si>
  <si>
    <t xml:space="preserve">AUS </t>
  </si>
  <si>
    <t xml:space="preserve">AUT </t>
  </si>
  <si>
    <t xml:space="preserve">AZE </t>
  </si>
  <si>
    <t xml:space="preserve">BHS </t>
  </si>
  <si>
    <t xml:space="preserve">BHR </t>
  </si>
  <si>
    <t xml:space="preserve">BGD </t>
  </si>
  <si>
    <t xml:space="preserve">BRB </t>
  </si>
  <si>
    <t xml:space="preserve">BLR </t>
  </si>
  <si>
    <t xml:space="preserve">BEL </t>
  </si>
  <si>
    <t xml:space="preserve">BLZ </t>
  </si>
  <si>
    <t xml:space="preserve">BEN </t>
  </si>
  <si>
    <t xml:space="preserve">BTN </t>
  </si>
  <si>
    <t>Bolivia (Plurinational State of)</t>
  </si>
  <si>
    <t xml:space="preserve">BOL </t>
  </si>
  <si>
    <t>Bosnia and Herzegovina</t>
  </si>
  <si>
    <t xml:space="preserve">BIH </t>
  </si>
  <si>
    <t xml:space="preserve">BWA </t>
  </si>
  <si>
    <t xml:space="preserve">BRA </t>
  </si>
  <si>
    <t xml:space="preserve">BGR </t>
  </si>
  <si>
    <t xml:space="preserve">BFA </t>
  </si>
  <si>
    <t/>
  </si>
  <si>
    <t xml:space="preserve">BDI </t>
  </si>
  <si>
    <t xml:space="preserve">CPV </t>
  </si>
  <si>
    <t xml:space="preserve">KHM </t>
  </si>
  <si>
    <t xml:space="preserve">CMR </t>
  </si>
  <si>
    <t xml:space="preserve">CAN </t>
  </si>
  <si>
    <t xml:space="preserve">CAF </t>
  </si>
  <si>
    <t xml:space="preserve">TCD </t>
  </si>
  <si>
    <t xml:space="preserve">CHL </t>
  </si>
  <si>
    <t xml:space="preserve">CHN </t>
  </si>
  <si>
    <t>HKG</t>
  </si>
  <si>
    <t xml:space="preserve">COL </t>
  </si>
  <si>
    <t xml:space="preserve">COM </t>
  </si>
  <si>
    <t xml:space="preserve">COG </t>
  </si>
  <si>
    <t xml:space="preserve">COK </t>
  </si>
  <si>
    <t xml:space="preserve">CRI </t>
  </si>
  <si>
    <t xml:space="preserve">CIV </t>
  </si>
  <si>
    <t xml:space="preserve">HRV </t>
  </si>
  <si>
    <t xml:space="preserve">CUB </t>
  </si>
  <si>
    <t xml:space="preserve">CZE </t>
  </si>
  <si>
    <t>Democratic People's Republic of Korea</t>
  </si>
  <si>
    <t xml:space="preserve">PRK </t>
  </si>
  <si>
    <t>Democratic Republic of the Congo</t>
  </si>
  <si>
    <t xml:space="preserve">COD </t>
  </si>
  <si>
    <t xml:space="preserve">DNK </t>
  </si>
  <si>
    <t xml:space="preserve">DJI </t>
  </si>
  <si>
    <t xml:space="preserve">DMA </t>
  </si>
  <si>
    <t xml:space="preserve">DOM </t>
  </si>
  <si>
    <t xml:space="preserve">ECU </t>
  </si>
  <si>
    <t xml:space="preserve">EGY </t>
  </si>
  <si>
    <t xml:space="preserve">SLV </t>
  </si>
  <si>
    <t xml:space="preserve">GNQ </t>
  </si>
  <si>
    <t xml:space="preserve">ERI </t>
  </si>
  <si>
    <t xml:space="preserve">EST </t>
  </si>
  <si>
    <t xml:space="preserve">ETH </t>
  </si>
  <si>
    <t xml:space="preserve">FJI </t>
  </si>
  <si>
    <t xml:space="preserve">FIN </t>
  </si>
  <si>
    <t xml:space="preserve">FRA </t>
  </si>
  <si>
    <t xml:space="preserve">GAB </t>
  </si>
  <si>
    <t xml:space="preserve">GMB </t>
  </si>
  <si>
    <t xml:space="preserve">GEO </t>
  </si>
  <si>
    <t xml:space="preserve">DEU </t>
  </si>
  <si>
    <t xml:space="preserve">GHA </t>
  </si>
  <si>
    <t xml:space="preserve">GRC </t>
  </si>
  <si>
    <t xml:space="preserve">GRD </t>
  </si>
  <si>
    <t xml:space="preserve">GLP </t>
  </si>
  <si>
    <t xml:space="preserve">GUM </t>
  </si>
  <si>
    <t xml:space="preserve">GTM </t>
  </si>
  <si>
    <t xml:space="preserve">GIN </t>
  </si>
  <si>
    <t xml:space="preserve">GNB </t>
  </si>
  <si>
    <t xml:space="preserve">GUY </t>
  </si>
  <si>
    <t xml:space="preserve">HTI </t>
  </si>
  <si>
    <t xml:space="preserve">HND </t>
  </si>
  <si>
    <t xml:space="preserve">HUN </t>
  </si>
  <si>
    <t xml:space="preserve">IND </t>
  </si>
  <si>
    <t xml:space="preserve">IDN </t>
  </si>
  <si>
    <t xml:space="preserve">IRN </t>
  </si>
  <si>
    <t xml:space="preserve">IRQ </t>
  </si>
  <si>
    <t xml:space="preserve">IRL </t>
  </si>
  <si>
    <t xml:space="preserve">ISR </t>
  </si>
  <si>
    <t xml:space="preserve">ITA </t>
  </si>
  <si>
    <t xml:space="preserve">JAM </t>
  </si>
  <si>
    <t xml:space="preserve">JPN </t>
  </si>
  <si>
    <t xml:space="preserve">JOR </t>
  </si>
  <si>
    <t xml:space="preserve">KAZ </t>
  </si>
  <si>
    <t xml:space="preserve">KEN </t>
  </si>
  <si>
    <t xml:space="preserve">KIR </t>
  </si>
  <si>
    <t xml:space="preserve">KWT </t>
  </si>
  <si>
    <t xml:space="preserve">KGZ </t>
  </si>
  <si>
    <t>Lao People's Democratic Republic</t>
  </si>
  <si>
    <t xml:space="preserve">LAO </t>
  </si>
  <si>
    <t xml:space="preserve">LVA </t>
  </si>
  <si>
    <t xml:space="preserve">LBN </t>
  </si>
  <si>
    <t xml:space="preserve">LSO </t>
  </si>
  <si>
    <t xml:space="preserve">LBR </t>
  </si>
  <si>
    <t xml:space="preserve">LBY </t>
  </si>
  <si>
    <t xml:space="preserve">LTU </t>
  </si>
  <si>
    <t xml:space="preserve">MDG </t>
  </si>
  <si>
    <t xml:space="preserve">MWI </t>
  </si>
  <si>
    <t xml:space="preserve">MYS </t>
  </si>
  <si>
    <t xml:space="preserve">MDV </t>
  </si>
  <si>
    <t xml:space="preserve">MLI </t>
  </si>
  <si>
    <t xml:space="preserve">MLT </t>
  </si>
  <si>
    <t xml:space="preserve">MHL </t>
  </si>
  <si>
    <t xml:space="preserve">MTQ </t>
  </si>
  <si>
    <t xml:space="preserve">MRT </t>
  </si>
  <si>
    <t xml:space="preserve">MUS </t>
  </si>
  <si>
    <t xml:space="preserve">MEX </t>
  </si>
  <si>
    <t xml:space="preserve">MNG </t>
  </si>
  <si>
    <t>MNE</t>
  </si>
  <si>
    <t xml:space="preserve">MSR </t>
  </si>
  <si>
    <t xml:space="preserve">MAR </t>
  </si>
  <si>
    <t xml:space="preserve">MOZ </t>
  </si>
  <si>
    <t xml:space="preserve">MMR </t>
  </si>
  <si>
    <t xml:space="preserve">NAM </t>
  </si>
  <si>
    <t xml:space="preserve">NRU </t>
  </si>
  <si>
    <t xml:space="preserve">NPL </t>
  </si>
  <si>
    <t xml:space="preserve">NLD </t>
  </si>
  <si>
    <t xml:space="preserve">NZL </t>
  </si>
  <si>
    <t xml:space="preserve">NIC </t>
  </si>
  <si>
    <t xml:space="preserve">NER </t>
  </si>
  <si>
    <t xml:space="preserve">NGA </t>
  </si>
  <si>
    <t>Northern Mariana Islands</t>
  </si>
  <si>
    <t xml:space="preserve">MNP </t>
  </si>
  <si>
    <t xml:space="preserve">NOR </t>
  </si>
  <si>
    <t xml:space="preserve">OMN </t>
  </si>
  <si>
    <t xml:space="preserve">PAK </t>
  </si>
  <si>
    <t xml:space="preserve">PLW </t>
  </si>
  <si>
    <t xml:space="preserve">PAN </t>
  </si>
  <si>
    <t xml:space="preserve">PNG </t>
  </si>
  <si>
    <t xml:space="preserve">PRY </t>
  </si>
  <si>
    <t xml:space="preserve">PER </t>
  </si>
  <si>
    <t xml:space="preserve">PHL </t>
  </si>
  <si>
    <t xml:space="preserve">POL </t>
  </si>
  <si>
    <t xml:space="preserve">PRT </t>
  </si>
  <si>
    <t xml:space="preserve">PRI </t>
  </si>
  <si>
    <t xml:space="preserve">QAT </t>
  </si>
  <si>
    <t xml:space="preserve">KOR </t>
  </si>
  <si>
    <t>MDA</t>
  </si>
  <si>
    <t>Reunion</t>
  </si>
  <si>
    <t xml:space="preserve">REU </t>
  </si>
  <si>
    <t xml:space="preserve">ROU </t>
  </si>
  <si>
    <t xml:space="preserve">RUS </t>
  </si>
  <si>
    <t xml:space="preserve">RWA </t>
  </si>
  <si>
    <t>KNA</t>
  </si>
  <si>
    <t xml:space="preserve">LCA </t>
  </si>
  <si>
    <t xml:space="preserve">VCT </t>
  </si>
  <si>
    <t xml:space="preserve">WSM </t>
  </si>
  <si>
    <t xml:space="preserve">STP </t>
  </si>
  <si>
    <t xml:space="preserve">SAU </t>
  </si>
  <si>
    <t xml:space="preserve">SEN </t>
  </si>
  <si>
    <t>SRB</t>
  </si>
  <si>
    <t xml:space="preserve">SLE </t>
  </si>
  <si>
    <t xml:space="preserve">SGP </t>
  </si>
  <si>
    <t xml:space="preserve">SVK </t>
  </si>
  <si>
    <t xml:space="preserve">SVN </t>
  </si>
  <si>
    <t xml:space="preserve">SLB </t>
  </si>
  <si>
    <t xml:space="preserve">SOM </t>
  </si>
  <si>
    <t xml:space="preserve">ZAF </t>
  </si>
  <si>
    <t>SSD</t>
  </si>
  <si>
    <t xml:space="preserve">ESP </t>
  </si>
  <si>
    <t xml:space="preserve">LKA </t>
  </si>
  <si>
    <t xml:space="preserve">PSE </t>
  </si>
  <si>
    <t>SDN</t>
  </si>
  <si>
    <t xml:space="preserve">SUR </t>
  </si>
  <si>
    <t xml:space="preserve">SWZ </t>
  </si>
  <si>
    <t xml:space="preserve">SWE </t>
  </si>
  <si>
    <t xml:space="preserve">CHE </t>
  </si>
  <si>
    <t xml:space="preserve">SYR </t>
  </si>
  <si>
    <t xml:space="preserve">TJK </t>
  </si>
  <si>
    <t xml:space="preserve">THA </t>
  </si>
  <si>
    <t xml:space="preserve">MKD </t>
  </si>
  <si>
    <t>TLS</t>
  </si>
  <si>
    <t xml:space="preserve">TGO </t>
  </si>
  <si>
    <t>TON</t>
  </si>
  <si>
    <t xml:space="preserve">TTO </t>
  </si>
  <si>
    <t xml:space="preserve">TUN </t>
  </si>
  <si>
    <t xml:space="preserve">TUR </t>
  </si>
  <si>
    <t xml:space="preserve">TKM </t>
  </si>
  <si>
    <t xml:space="preserve">TUV </t>
  </si>
  <si>
    <t xml:space="preserve">UGA </t>
  </si>
  <si>
    <t xml:space="preserve">UKR </t>
  </si>
  <si>
    <t xml:space="preserve">ARE </t>
  </si>
  <si>
    <t xml:space="preserve">GBR </t>
  </si>
  <si>
    <t>United Republic of Tanzania</t>
  </si>
  <si>
    <t xml:space="preserve">TZA </t>
  </si>
  <si>
    <t xml:space="preserve">USA </t>
  </si>
  <si>
    <t xml:space="preserve">VIR </t>
  </si>
  <si>
    <t xml:space="preserve">URY </t>
  </si>
  <si>
    <t xml:space="preserve">UZB </t>
  </si>
  <si>
    <t xml:space="preserve">VUT </t>
  </si>
  <si>
    <t xml:space="preserve">VEN </t>
  </si>
  <si>
    <t xml:space="preserve">VNM </t>
  </si>
  <si>
    <t xml:space="preserve">YEM </t>
  </si>
  <si>
    <t xml:space="preserve">ZMB </t>
  </si>
  <si>
    <t>ZWE</t>
  </si>
  <si>
    <t>mCPR/EMU</t>
  </si>
  <si>
    <t>Lower</t>
  </si>
  <si>
    <t>Med</t>
  </si>
  <si>
    <t>High</t>
  </si>
  <si>
    <t>Reporting Rates : Commodities to Clients</t>
  </si>
  <si>
    <t>Reporting Rates : Commodities to Facilities</t>
  </si>
  <si>
    <t>Reporting Rates : Visits</t>
  </si>
  <si>
    <t>Reporting Rates : Users</t>
  </si>
  <si>
    <t>2. Which data type has an annual growth rate most consistent with FPET &amp; Surveys?</t>
  </si>
  <si>
    <t>1: Which data type had a trend most consistent with FPET &amp; Surveys?</t>
  </si>
  <si>
    <t>EMU: Commodities inc. Condoms</t>
  </si>
  <si>
    <t>On this page, you will enter your commodities distributed to clients data following the four steps below</t>
  </si>
  <si>
    <t>For LARCs, Adjusted for Reporting Rates</t>
  </si>
  <si>
    <t xml:space="preserve">Note: If Reporting Rates were below 60% for a given year, those values have been excluded below and cannot be used for producing the EMU. </t>
  </si>
  <si>
    <t>FOR SLOPE</t>
  </si>
  <si>
    <t>FOR GRAPH</t>
  </si>
  <si>
    <t>Choosing a data type</t>
  </si>
  <si>
    <t>Labels for HLOOKUP</t>
  </si>
  <si>
    <t>For RR Graph</t>
  </si>
  <si>
    <t>Enter the annual FP visits figures by method in the table below for whichever methods are used in your country. Enter data for each year.</t>
  </si>
  <si>
    <t>visits per year</t>
  </si>
  <si>
    <t>Enter the annual FP users figures by method in the table below for whichever methods are used in your country. Enter data for each year.</t>
  </si>
  <si>
    <t>If you do not see one of your country's method's in column C, replace a method you don't use with the one used in your country.</t>
  </si>
  <si>
    <t>Output: Review FP Users and EMU calculated from the Family Planning Visits data.</t>
  </si>
  <si>
    <t>Output: Review FP Users and EMU calculated from the Family Planning Users data.</t>
  </si>
  <si>
    <t>* Note: Years with low reporting rates (&lt;60%) have been excluded in the graphs above</t>
  </si>
  <si>
    <t>Estimated Modern Users ex Condoms**</t>
  </si>
  <si>
    <t xml:space="preserve">Input your MW to AW Ratio Here. If you have both AW &amp; MW mCPR from a recent survey, input AW/MW values. If you assume no unmarried use, input % Married. </t>
  </si>
  <si>
    <t>Only one EMU trend can be used in FPET- use the questions below to help decide if your data is suitable to use in FPET, and if so, which trend to use.</t>
  </si>
  <si>
    <t>mCPR slopes are calculated based on data from 2005 onward and may differ from slopes shown on Output pages</t>
  </si>
  <si>
    <t>Are you using subnational data?</t>
  </si>
  <si>
    <t>Output: Review FP Users and EMU calculated from the commodities distributed to clients data</t>
  </si>
  <si>
    <t>Output: Review FP Users and EMU calculated from the commodities distributed to facilities data</t>
  </si>
  <si>
    <t xml:space="preserve">**For calculating the EMU, excluding condoms is recommended in order to avoid potential issues with condom data related to dual method use, challenges estimating "user" from condom data and because in many countries, condoms are typically accessed through the private sector. </t>
  </si>
  <si>
    <t xml:space="preserve">Compare the EMU calculated from your commodity data to mCPR from FPET and surveys. Does the EMU follow the mCPR trends seen in the FPET and surveys? Do the slopes look similar?  Would you use this data in FPET? Please comment below. </t>
  </si>
  <si>
    <t>Select which ratio you used from dropdown</t>
  </si>
  <si>
    <t>Survey</t>
  </si>
  <si>
    <t>Median Age @ Sterilization</t>
  </si>
  <si>
    <t>Moldova</t>
  </si>
  <si>
    <t>Venezuela</t>
  </si>
  <si>
    <t>2015 DHS</t>
  </si>
  <si>
    <t>2008-09 DHS</t>
  </si>
  <si>
    <t>2015-16 DHS</t>
  </si>
  <si>
    <t>2010 DHS</t>
  </si>
  <si>
    <t>2006 DHS</t>
  </si>
  <si>
    <t>2014 DHS</t>
  </si>
  <si>
    <t>2011-12 DHS</t>
  </si>
  <si>
    <t>2008 DHS</t>
  </si>
  <si>
    <t>1988 DHS</t>
  </si>
  <si>
    <t>1996 DHS</t>
  </si>
  <si>
    <t>2011 DHS</t>
  </si>
  <si>
    <t>1994-95 DHS</t>
  </si>
  <si>
    <t>2014-15 DHS</t>
  </si>
  <si>
    <t>2012 DHS</t>
  </si>
  <si>
    <t>2013 DHS</t>
  </si>
  <si>
    <t>2013-14 DHS</t>
  </si>
  <si>
    <t>1987 DHS</t>
  </si>
  <si>
    <t>1985 DHS</t>
  </si>
  <si>
    <t>2002 DHS</t>
  </si>
  <si>
    <t>2016 DHS</t>
  </si>
  <si>
    <t>2009 DHS</t>
  </si>
  <si>
    <t>2005-06 DHS</t>
  </si>
  <si>
    <t>1999 DHS</t>
  </si>
  <si>
    <t>2012-13 DHS</t>
  </si>
  <si>
    <t>2000-01 DHS</t>
  </si>
  <si>
    <t>2003-04 DHS</t>
  </si>
  <si>
    <t>2001 DHS</t>
  </si>
  <si>
    <t>1990 DHS</t>
  </si>
  <si>
    <t>2005 DHS</t>
  </si>
  <si>
    <t>1998 DHS</t>
  </si>
  <si>
    <t>2006-07 DHS</t>
  </si>
  <si>
    <t>2009-10 DHS</t>
  </si>
  <si>
    <t>2000 DHS</t>
  </si>
  <si>
    <t>2007 DHS</t>
  </si>
  <si>
    <t>Years of Sterilization Duration (up to 49)</t>
  </si>
  <si>
    <t>What sectors are reporting?</t>
  </si>
  <si>
    <t>Language</t>
  </si>
  <si>
    <t>English</t>
  </si>
  <si>
    <t>Idioma</t>
  </si>
  <si>
    <t>Español</t>
  </si>
  <si>
    <t>País</t>
  </si>
  <si>
    <t>Seleccione de la lista desplegable</t>
  </si>
  <si>
    <t>Select from the dropdown list</t>
  </si>
  <si>
    <t>Población</t>
  </si>
  <si>
    <t>Mujeres Casadas</t>
  </si>
  <si>
    <t>Todas las Mujeres</t>
  </si>
  <si>
    <t>Sí</t>
  </si>
  <si>
    <t>Esterilización</t>
  </si>
  <si>
    <t>ligadura de trompas (F)</t>
  </si>
  <si>
    <t>vasectomía (M)</t>
  </si>
  <si>
    <t>DIU</t>
  </si>
  <si>
    <t>DIU a cobre - T 380-A</t>
  </si>
  <si>
    <t>Implantes</t>
  </si>
  <si>
    <t>Métodos a corto plazo</t>
  </si>
  <si>
    <t>Inyección</t>
  </si>
  <si>
    <t>Píldora</t>
  </si>
  <si>
    <t>Píldora solo de progestina</t>
  </si>
  <si>
    <t>Condón</t>
  </si>
  <si>
    <t>Condón masculino</t>
  </si>
  <si>
    <t>Condón feminino</t>
  </si>
  <si>
    <t>MELA</t>
  </si>
  <si>
    <t>El método de los días estándar (CycleBeads)</t>
  </si>
  <si>
    <t>Barrera anticonceptiva vaginal</t>
  </si>
  <si>
    <t>Espermicida</t>
  </si>
  <si>
    <t>Métodos a largo plazo y permanentes</t>
  </si>
  <si>
    <t>Spanish</t>
  </si>
  <si>
    <t>Anticoncepción de emergencia</t>
  </si>
  <si>
    <t>AE</t>
  </si>
  <si>
    <t>Used</t>
  </si>
  <si>
    <t>Row Labels</t>
  </si>
  <si>
    <t>Channel Islands</t>
  </si>
  <si>
    <t>China, Taiwan Province of China</t>
  </si>
  <si>
    <t>Curaçao</t>
  </si>
  <si>
    <t>Czechia</t>
  </si>
  <si>
    <t>Iran</t>
  </si>
  <si>
    <t>Seleccione su país y luego complete el formulario a continuación</t>
  </si>
  <si>
    <t>seleccionar de la lista desplegable</t>
  </si>
  <si>
    <t>select from the dropdown list</t>
  </si>
  <si>
    <t>Fuente:</t>
  </si>
  <si>
    <t>Primer año de datos disponibles:'</t>
  </si>
  <si>
    <t>First year of data available:</t>
  </si>
  <si>
    <t>Último año de datos disponibles:</t>
  </si>
  <si>
    <t>¿Qué sectores están reportando?</t>
  </si>
  <si>
    <t>Contraceptive Commodities</t>
  </si>
  <si>
    <t>Contraceptive commodities distributed to clients</t>
  </si>
  <si>
    <t>Contraceptive commodities distributed to facilities</t>
  </si>
  <si>
    <t>Do you have data on contraceptive commodities?</t>
  </si>
  <si>
    <t>(HMIS, DHIS2, LMIS)</t>
  </si>
  <si>
    <t>Visitas de PF y Usuarias de PF</t>
  </si>
  <si>
    <t>FP Visits and Users</t>
  </si>
  <si>
    <t>Visitas de PF</t>
  </si>
  <si>
    <t>Usuarias de PF</t>
  </si>
  <si>
    <t>Do you have data on FP visits?</t>
  </si>
  <si>
    <t>¿Tiene datos sobre visitas de PF?</t>
  </si>
  <si>
    <t>Do you have data on FP users?</t>
  </si>
  <si>
    <t>¿Tiene datos sobre usuarias de PF?</t>
  </si>
  <si>
    <t>Source &amp; Year</t>
  </si>
  <si>
    <t>Fuente y año</t>
  </si>
  <si>
    <t>Otros Métodos Modernos</t>
  </si>
  <si>
    <t>Mezcla de Métodos modernos</t>
  </si>
  <si>
    <t>FamPlan</t>
  </si>
  <si>
    <t>Commodities to Clients</t>
  </si>
  <si>
    <t>Commodities to Facilities</t>
  </si>
  <si>
    <t>APP Total</t>
  </si>
  <si>
    <t>These graphs have been designed to help identify potential issues with the service statistics data and analyze trends and comparability with surveys.</t>
  </si>
  <si>
    <t>Usuarias  estimadas de anticonceptivos modernos estimados ex condones**</t>
  </si>
  <si>
    <t>Usuarias estimadas de anticonceptivos modernos</t>
  </si>
  <si>
    <t>Estimated Modern Method Mix</t>
  </si>
  <si>
    <t xml:space="preserve">Mezcla estimada de Métodos modernos </t>
  </si>
  <si>
    <t>Insumos anticonceptivos distribuidos a los clientes</t>
  </si>
  <si>
    <t>Los Insumos Anticonceptivos</t>
  </si>
  <si>
    <t>Insumos anticonceptivos distribuidos a los instalaciones</t>
  </si>
  <si>
    <t>¿Tiene datos sobre Insumos anticonceptivos?</t>
  </si>
  <si>
    <t>Insumos anticonceptivos (clientes)</t>
  </si>
  <si>
    <t>Insumos anticonceptivos (instalaciones)</t>
  </si>
  <si>
    <t xml:space="preserve">Tasa de reportando </t>
  </si>
  <si>
    <t>Results: Prevalence/Estimated Modern Method Use (EMU)</t>
  </si>
  <si>
    <t>Resultados : Prevalencia/ Uso estimado del métodos modernos (UEMM)</t>
  </si>
  <si>
    <t>Results: Acceptors/Users by method</t>
  </si>
  <si>
    <t>Resultados : Aceptantes/Usarias par método</t>
  </si>
  <si>
    <t>Datos de población y prevalencia</t>
  </si>
  <si>
    <t>2014 MICS</t>
  </si>
  <si>
    <t>2010 MICS</t>
  </si>
  <si>
    <t>2016-17 DHS</t>
  </si>
  <si>
    <t>2014-15 MICS</t>
  </si>
  <si>
    <t>2012 PAPFAM</t>
  </si>
  <si>
    <t>2011-12 National</t>
  </si>
  <si>
    <t>2006 MICS</t>
  </si>
  <si>
    <t>2010 SHHS2</t>
  </si>
  <si>
    <t>Indicator 9: Percentage of women using each modern method of contraception</t>
  </si>
  <si>
    <t>Results: Trends in Users by Method</t>
  </si>
  <si>
    <t>LAPM</t>
  </si>
  <si>
    <t>STM</t>
  </si>
  <si>
    <t>Toutes les Femmes</t>
  </si>
  <si>
    <t>Esterilización (f)</t>
  </si>
  <si>
    <t>Esterilización (m)</t>
  </si>
  <si>
    <t>Condom (m+f)</t>
  </si>
  <si>
    <t>Condón (m+f)</t>
  </si>
  <si>
    <t>CYP and Visit Factors</t>
  </si>
  <si>
    <t>Contraceptive Continuation Curves - For estimating continuation of LARCs</t>
  </si>
  <si>
    <t>Scaling Factor 
(1 or less)</t>
  </si>
  <si>
    <t xml:space="preserve">&lt;-- Use this to scale down contraceptive continuation if discontinuation rates are higher than those described here. </t>
  </si>
  <si>
    <t>Overall Average (DHS)</t>
  </si>
  <si>
    <t>Average Ex India, Bangladesh, Nepal (DHS)</t>
  </si>
  <si>
    <t xml:space="preserve">note: for countries without data - global average (ex India, Nepal, and Bangladesh) of 16.5 years duration of sterilization was used. </t>
  </si>
  <si>
    <t>Pharmacy</t>
  </si>
  <si>
    <t>Other Source</t>
  </si>
  <si>
    <t>MW/AW Ratio</t>
  </si>
  <si>
    <t>% Married</t>
  </si>
  <si>
    <t>French</t>
  </si>
  <si>
    <t>% Casadas</t>
  </si>
  <si>
    <t>Rapport de FM/TF</t>
  </si>
  <si>
    <t>Proporción de MC/TM</t>
  </si>
  <si>
    <t>% Mariées</t>
  </si>
  <si>
    <t>Femmes Mariées</t>
  </si>
  <si>
    <t>Public Only</t>
  </si>
  <si>
    <t>Public and Some Private</t>
  </si>
  <si>
    <t>All Public and Private</t>
  </si>
  <si>
    <t>Tous publics et privés</t>
  </si>
  <si>
    <t>Public Seulement</t>
  </si>
  <si>
    <t>Public et certains privés</t>
  </si>
  <si>
    <t>Shop/ Church/ Friend</t>
  </si>
  <si>
    <t>Pays</t>
  </si>
  <si>
    <t>Utilisez-vous des données sous-nationales ?</t>
  </si>
  <si>
    <t>Francais</t>
  </si>
  <si>
    <t>Sélectionnez dans la liste déroulante</t>
  </si>
  <si>
    <t>Produits Contraceptifs</t>
  </si>
  <si>
    <t>Produits de planification familiale distribués aux clients</t>
  </si>
  <si>
    <t>Produits de planification familiale distribués aux établissements</t>
  </si>
  <si>
    <t>Disposez-vous de données sur les produits?</t>
  </si>
  <si>
    <t>Première année de données disponible:</t>
  </si>
  <si>
    <t>Most recent full year of data available:</t>
  </si>
  <si>
    <t>Quels secteurs rapportent?</t>
  </si>
  <si>
    <t>Visites de PF</t>
  </si>
  <si>
    <t>Disposez-vous de données sur les visites ?</t>
  </si>
  <si>
    <t>Données démographiques et de prévalence</t>
  </si>
  <si>
    <t>Méthode de contraception moderne utilisée</t>
  </si>
  <si>
    <t xml:space="preserve">Source y An </t>
  </si>
  <si>
    <t>Population (WRA)</t>
  </si>
  <si>
    <t xml:space="preserve"> (Survey)</t>
  </si>
  <si>
    <t xml:space="preserve"> (Encuesta)</t>
  </si>
  <si>
    <t xml:space="preserve"> (Enquête)</t>
  </si>
  <si>
    <t>Plus récent complet année de données disponibles:</t>
  </si>
  <si>
    <t>Données générales</t>
  </si>
  <si>
    <r>
      <t>M</t>
    </r>
    <r>
      <rPr>
        <b/>
        <sz val="14"/>
        <color theme="0"/>
        <rFont val="Calibri"/>
        <family val="2"/>
      </rPr>
      <t>é</t>
    </r>
    <r>
      <rPr>
        <b/>
        <sz val="14"/>
        <color theme="0"/>
        <rFont val="Calibri"/>
        <family val="2"/>
        <scheme val="minor"/>
      </rPr>
      <t xml:space="preserve">thodes </t>
    </r>
    <r>
      <rPr>
        <b/>
        <sz val="14"/>
        <color theme="0"/>
        <rFont val="Calibri"/>
        <family val="2"/>
      </rPr>
      <t>à</t>
    </r>
    <r>
      <rPr>
        <b/>
        <sz val="14"/>
        <color theme="0"/>
        <rFont val="Calibri"/>
        <family val="2"/>
        <scheme val="minor"/>
      </rPr>
      <t xml:space="preserve"> Long Terme et Permanentes</t>
    </r>
  </si>
  <si>
    <t>Stérilisation</t>
  </si>
  <si>
    <t>Ligature des trompes</t>
  </si>
  <si>
    <t>Vasectomie</t>
  </si>
  <si>
    <t>Copper- T 380-A DIU</t>
  </si>
  <si>
    <r>
      <t>M</t>
    </r>
    <r>
      <rPr>
        <b/>
        <sz val="14"/>
        <color theme="0"/>
        <rFont val="Calibri"/>
        <family val="2"/>
      </rPr>
      <t>é</t>
    </r>
    <r>
      <rPr>
        <b/>
        <sz val="14"/>
        <color theme="0"/>
        <rFont val="Calibri"/>
        <family val="2"/>
        <scheme val="minor"/>
      </rPr>
      <t xml:space="preserve">thodes </t>
    </r>
    <r>
      <rPr>
        <b/>
        <sz val="14"/>
        <color theme="0"/>
        <rFont val="Calibri"/>
        <family val="2"/>
      </rPr>
      <t>à</t>
    </r>
    <r>
      <rPr>
        <b/>
        <sz val="14"/>
        <color theme="0"/>
        <rFont val="Calibri"/>
        <family val="2"/>
        <scheme val="minor"/>
      </rPr>
      <t xml:space="preserve"> Court Terme</t>
    </r>
  </si>
  <si>
    <t>Produits injectables</t>
  </si>
  <si>
    <t>Autre Injectable</t>
  </si>
  <si>
    <t>Pilule</t>
  </si>
  <si>
    <r>
      <t>Pr</t>
    </r>
    <r>
      <rPr>
        <b/>
        <sz val="11"/>
        <color rgb="FF002060"/>
        <rFont val="Calibri"/>
        <family val="2"/>
      </rPr>
      <t>éservatifs</t>
    </r>
  </si>
  <si>
    <t>Préservatifs masculin</t>
  </si>
  <si>
    <t>Préservatifs feminin</t>
  </si>
  <si>
    <t>MAMA</t>
  </si>
  <si>
    <t>MJF (Jours fixes)</t>
  </si>
  <si>
    <t>Barrière vaginale</t>
  </si>
  <si>
    <t>Contraception d'urgence</t>
  </si>
  <si>
    <t>CU</t>
  </si>
  <si>
    <t>mCPR (MW)</t>
  </si>
  <si>
    <t>mCPR (AW)</t>
  </si>
  <si>
    <t>TPCm (MC)</t>
  </si>
  <si>
    <t>TPCm ™</t>
  </si>
  <si>
    <t>TPCm (FM)</t>
  </si>
  <si>
    <t>TPCm (TF)</t>
  </si>
  <si>
    <t>Subnational?</t>
  </si>
  <si>
    <t>Oui</t>
  </si>
  <si>
    <t>La langue</t>
  </si>
  <si>
    <t>NUMBER CODE</t>
  </si>
  <si>
    <t>Stérilisation (f)</t>
  </si>
  <si>
    <t>Stérilisation (m)</t>
  </si>
  <si>
    <t>Préservatifs (m+f)</t>
  </si>
  <si>
    <t>Autres méthodes modernes</t>
  </si>
  <si>
    <t>Median age at Sterilization</t>
  </si>
  <si>
    <t>Subnational Area name</t>
  </si>
  <si>
    <t>Subnational Area</t>
  </si>
  <si>
    <t>Configuration : Entrez les Données Générales</t>
  </si>
  <si>
    <t xml:space="preserve">Country: </t>
  </si>
  <si>
    <t>Median Duration of Sterilization 
(49 years - Median age)</t>
  </si>
  <si>
    <t>Enter an alternative median duration of sterilization here to adjust sterilization continuation in the user calculations</t>
  </si>
  <si>
    <t xml:space="preserve"># of years it is estimated that a woman sterilized would continue to count as user in user estimates: </t>
  </si>
  <si>
    <t>NGO</t>
  </si>
  <si>
    <t>Source pour la population, si différente :</t>
  </si>
  <si>
    <t>Sélectionnez le rapport que vous utilisez à partir du menu déroulant</t>
  </si>
  <si>
    <t>OPTIONAL: ENTER ADJUSTMENTS FOR MISSING PRIVATE SECTOR DATA</t>
  </si>
  <si>
    <t>*Déclin = supérieur à 25% de déclin sur un an</t>
  </si>
  <si>
    <t>**Croissance spectaculaire = supérieure à 150% de croissance sur un an.</t>
  </si>
  <si>
    <t>Déclin visible dans la tendance*</t>
  </si>
  <si>
    <t>Croissance spectaculaire visible dans la tendance**</t>
  </si>
  <si>
    <t>Saisissez les chiffres des produits annuels par méthode dans le tableau ci-dessous pour les méthodes utilisées dans votre pays. Saisissez les données pour chaque année.</t>
  </si>
  <si>
    <t xml:space="preserve">Examinez les graphiques ci-dessous illustrant les données que vous avez saisies ci-dessus. Veillez aux anomalies qui pourraient indiquer des erreurs. Une fois que vous avez validé les données, cliquez sur la flèche pour réviser vos résultats. </t>
  </si>
  <si>
    <t>Si les données semblent bonnes, 
continuez la révision.</t>
  </si>
  <si>
    <t>Ces graphiques ont été conçus pour aider à identifier les problèmes éventuels liés aux données des statistiques des services et analyser si ce type de données peut être utilisé dans FPET.</t>
  </si>
  <si>
    <t>Examinez le graphique ci-dessus pour les cas particuliers, les changements inattendus dans les tendances des méthodes ou les changements rapides dans les méthodes particulières.  Veuillez commenter ci-dessous et expliquez les tendances ci-dessus.</t>
  </si>
  <si>
    <t>Comparez les deux graphiques et recherchez de grandes divergences entre la méthode utilisée à partir de l'enquête et la méthode utilisée produite à partir de vos données des statistiques de services. Veuillez expliquer toutes les irrégularités importantes dans la méthode utilisée.</t>
  </si>
  <si>
    <t>Comparez l'EUM calculée à partir des vos données sur les produits au TPCM à partir du FPET et des enquêtes? Les pentes sont-elles identiques? Utiliseriez-vous ces données dans FPET? Veuillez commentez ci-dessous.</t>
  </si>
  <si>
    <t>Comparez les augmentations annuelles moyennes en points de % du TPCM / EUM entre les tendances. Les pentes sont-elles similaires? La pente de l'EUM est-elle réalisable compte tenu de ce que vous savez sur le rythme de croissance de la prévalence?</t>
  </si>
  <si>
    <t>Mélange Estimée de Méthodes Modernes</t>
  </si>
  <si>
    <t>EUM: Produits inc. Préservatifs</t>
  </si>
  <si>
    <t>EUM: Produits ex. Préservatifs</t>
  </si>
  <si>
    <t>Retour à la Page de configuration</t>
  </si>
  <si>
    <t>Allez à Examen final de l'EUM</t>
  </si>
  <si>
    <t>années de protection</t>
  </si>
  <si>
    <t>par utilisateur par année</t>
  </si>
  <si>
    <t>OPTIONNEL: SAISIR LES AJUSTEMENTS POUR LES DONNÉES DU SECTEUR PRIVÉ MANQUANTES</t>
  </si>
  <si>
    <t>Facteur d'ajustement</t>
  </si>
  <si>
    <t xml:space="preserve">user </t>
  </si>
  <si>
    <t xml:space="preserve">Augmentation annuelle moyenne en points de % du TPCM / EUM </t>
  </si>
  <si>
    <t xml:space="preserve">Average Annual % Pt Increase in mCPR/EMU
</t>
  </si>
  <si>
    <t>mCPR - EMU</t>
  </si>
  <si>
    <t>TPCm - EUM</t>
  </si>
  <si>
    <t>Estimated Modern Users: Adjusted for the Private Sector</t>
  </si>
  <si>
    <t>Saisissez les chiffres des visites annuelles par méthode dans le tableau ci-dessous pour les méthodes utilisées dans votre pays. Saisissez les données pour chaque année.</t>
  </si>
  <si>
    <t>visites par an</t>
  </si>
  <si>
    <t>consultation par utilisateur</t>
  </si>
  <si>
    <t>consultation per user</t>
  </si>
  <si>
    <t>Set up: Enter the Private Sector Adjustment</t>
  </si>
  <si>
    <t>Configuration : Entrez les Ajustements du Secteur Privé</t>
  </si>
  <si>
    <t>Résultats: Prévalence / Estimation de l'Utilisation des Méthodes Modernes (EUM)</t>
  </si>
  <si>
    <t>Comparing EMUs and mCPR (AW)</t>
  </si>
  <si>
    <t>Comparing Average annual % pt growth in mCPR/EMU</t>
  </si>
  <si>
    <t>Comparing Reporting Rates</t>
  </si>
  <si>
    <t>Comparez Taux de Declaration</t>
  </si>
  <si>
    <t xml:space="preserve">Comparez les augmentations annuelles moyennes en points de % du TPCM / EUM </t>
  </si>
  <si>
    <t>Comparez EUM and TPCM</t>
  </si>
  <si>
    <t>Seule une tendance de l'EUM peut être utilisée dans FPET - Utilisez les questions ci-dessous pour vous aider à décider si vos données sont adaptées et peuvent être utilisées dans FPET, et si oui, quelle tendance utiliser.</t>
  </si>
  <si>
    <t>Choisissez un type de données</t>
  </si>
  <si>
    <t>Expliquez le choix</t>
  </si>
  <si>
    <t>1 : Quel type de données avait une tendance plus cohérente avec FPET et les Enquêtes ?</t>
  </si>
  <si>
    <t xml:space="preserve">2 : Quel type de données a un taux de croissance annuel plus cohérent avec FPET et les Enquêtes ? </t>
  </si>
  <si>
    <t>Explain choice</t>
  </si>
  <si>
    <t>Dates Covered</t>
  </si>
  <si>
    <t>Contraceptive Use - modern (%)</t>
  </si>
  <si>
    <t>Population Type</t>
  </si>
  <si>
    <t>Ages covered</t>
  </si>
  <si>
    <t xml:space="preserve">Based on your selection above, the table below will populate with the EMU from the given data type. This data can be entered into your FPET Input CSV file or in the online FPET data entry, which can then be run in FPET at http://fpet.track20.org/ . </t>
  </si>
  <si>
    <t xml:space="preserve">Sur la base de votre sélection ci-dessus, le tableau ci-dessous se remplira avec l'EUM à partir du type de données fourni. Ces données peuvent être entrées dans votre fichier CSV source ou dans l'entrée de données FPET en ligne, qui peut alors être exécuté dans FPET à l'adresse  http://fpet.track20.org/ . </t>
  </si>
  <si>
    <t>Standard Days</t>
  </si>
  <si>
    <t>Vaginal Barrier</t>
  </si>
  <si>
    <t>Spemicide</t>
  </si>
  <si>
    <t>Don't Know</t>
  </si>
  <si>
    <t>Missing</t>
  </si>
  <si>
    <t>Method</t>
  </si>
  <si>
    <t>Country:Method</t>
  </si>
  <si>
    <t>N</t>
  </si>
  <si>
    <t>AF7</t>
  </si>
  <si>
    <t>Ever Married</t>
  </si>
  <si>
    <t>BD6</t>
  </si>
  <si>
    <t>BO5</t>
  </si>
  <si>
    <t>BF6</t>
  </si>
  <si>
    <t>KH6</t>
  </si>
  <si>
    <t>TD6</t>
  </si>
  <si>
    <t>KM6</t>
  </si>
  <si>
    <t>CG6</t>
  </si>
  <si>
    <t>CI6</t>
  </si>
  <si>
    <t>CD6</t>
  </si>
  <si>
    <t>EG6</t>
  </si>
  <si>
    <t>ET7</t>
  </si>
  <si>
    <t>GH6</t>
  </si>
  <si>
    <t>HN6</t>
  </si>
  <si>
    <t>KE6</t>
  </si>
  <si>
    <t>KY6</t>
  </si>
  <si>
    <t>LS6</t>
  </si>
  <si>
    <t>LB6</t>
  </si>
  <si>
    <t>MW7</t>
  </si>
  <si>
    <t>MZ6</t>
  </si>
  <si>
    <t>MM7</t>
  </si>
  <si>
    <t>NP7</t>
  </si>
  <si>
    <t>NC4</t>
  </si>
  <si>
    <t>NI6</t>
  </si>
  <si>
    <t>ST5</t>
  </si>
  <si>
    <t>SL6</t>
  </si>
  <si>
    <t>TZ7</t>
  </si>
  <si>
    <t>TG6</t>
  </si>
  <si>
    <t>VNT</t>
  </si>
  <si>
    <t>YE6</t>
  </si>
  <si>
    <t>ZW7</t>
  </si>
  <si>
    <t xml:space="preserve">Percent distribution of users of modern contraceptive methods age 15-49 by most recent source of method, according to method.  </t>
  </si>
  <si>
    <t xml:space="preserve">Répartition (en %) des utilisatrices actuelles de méthodes contraceptives modernes âgées de 15-49 ans par source d'approvisionnement la plus récente, en fonction de la méthode. </t>
  </si>
  <si>
    <t>Data Type</t>
  </si>
  <si>
    <t>Sectors Reporting</t>
  </si>
  <si>
    <t>Secteurs rapportent</t>
  </si>
  <si>
    <t>Sectores que están reportando</t>
  </si>
  <si>
    <t xml:space="preserve">This table is pre-populated with data from the DHS. If your country has not had a DHS, these cells will be blank and should be filled in using other data sources or your best judgement. In countries with a DHS, blank cells indicate that data wasn't available for a given method. Blank cells can be left blank, in which case the tool will assume that the services reported in your data represent 100% of those delivered in the given year, or blank cells can be filled in with data from a similar method or using your best judgement. </t>
  </si>
  <si>
    <t xml:space="preserve">Total </t>
  </si>
  <si>
    <t>Autres Méthodes Modernes</t>
  </si>
  <si>
    <t>Autre pilule</t>
  </si>
  <si>
    <t>Other OC Pill</t>
  </si>
  <si>
    <t>Oral combinado</t>
  </si>
  <si>
    <t>Otro Píldora</t>
  </si>
  <si>
    <t>Government Home/ Community Delivery</t>
  </si>
  <si>
    <t>Private Hospital/ Clinic Delivery</t>
  </si>
  <si>
    <t>Government Hospital/ Clinic/ Pharmacy</t>
  </si>
  <si>
    <t>For example: Female Sterilization</t>
  </si>
  <si>
    <t>How to read this table:</t>
  </si>
  <si>
    <t>EXAMPLE</t>
  </si>
  <si>
    <t>Next</t>
  </si>
  <si>
    <t>Prochain</t>
  </si>
  <si>
    <t>Les pentes de TPCM sont calculés a partir de 2005 et peut être différent de les pentes quis sont dans les onglets de résultats.</t>
  </si>
  <si>
    <t>Produits aux clients</t>
  </si>
  <si>
    <t>Produits aux établissements</t>
  </si>
  <si>
    <t>Visites</t>
  </si>
  <si>
    <t>Skip this data type</t>
  </si>
  <si>
    <t>Passer ce type de données</t>
  </si>
  <si>
    <t>Type de données</t>
  </si>
  <si>
    <t>OPTIONAL: EDIT ADJUSTMENTS FOR MISSING PRIVATE SECTOR DATA (TREND)</t>
  </si>
  <si>
    <t>&lt;-- Adjust to grow or reduce sterilization continuation estimates.</t>
  </si>
  <si>
    <t>* modified CYP factors to distribute across the year,</t>
  </si>
  <si>
    <t>Next, Click Below to Enter Data</t>
  </si>
  <si>
    <t>Prochain, Cliquez ci-dessous pour entrer les données</t>
  </si>
  <si>
    <t>Saisissez ici votre rapport Femmes mariées et Toutes les femmes. Si vous avez le TPCM pour Toutes les femmes et les Femmes mariées à partir d'une enquête récente, saisissez les valeurs de Toutes les femmes / Femmes mariées. Si vous supposez qu'il n'y a pas d'utilisation chez les non mariées, saisissez le pourcentage pour les Mariées.</t>
  </si>
  <si>
    <t>Select the Language</t>
  </si>
  <si>
    <t>Select the Country</t>
  </si>
  <si>
    <t>Are you using national or subnational data?</t>
  </si>
  <si>
    <t>National</t>
  </si>
  <si>
    <t>Subnational</t>
  </si>
  <si>
    <t>Sous-national</t>
  </si>
  <si>
    <t>Name of Subnational Area</t>
  </si>
  <si>
    <t>Nom de la zone sous-nationale</t>
  </si>
  <si>
    <t>Does your family planning data include all women or only married women?</t>
  </si>
  <si>
    <t>Vos données de planification familiale incluent-elles toutes les femmes ou uniquement les femmes mariées?</t>
  </si>
  <si>
    <t>Choisissez votre langue</t>
  </si>
  <si>
    <t>Choisissez votre pays</t>
  </si>
  <si>
    <t xml:space="preserve">Select "All Women" unless your family planning program exclusively serves married women. </t>
  </si>
  <si>
    <t>Boxes in gold indicate a place where you need to enter data or select from a dropdown.</t>
  </si>
  <si>
    <t>Les cellules jaunes indiquent un lieu où vous devez saisir des données ou effectuer une sélection dans une liste déroulante.</t>
  </si>
  <si>
    <t>What is the most recent year for which you have complete service statistics data?</t>
  </si>
  <si>
    <t>Set up: Enter Background Data - Population and Prevalence</t>
  </si>
  <si>
    <t>Newer Data</t>
  </si>
  <si>
    <t>MICS</t>
  </si>
  <si>
    <t>PMA</t>
  </si>
  <si>
    <r>
      <t xml:space="preserve">Enter contraceptive </t>
    </r>
    <r>
      <rPr>
        <b/>
        <sz val="11"/>
        <color theme="1"/>
        <rFont val="Calibri"/>
        <family val="2"/>
        <scheme val="minor"/>
      </rPr>
      <t>prevalence</t>
    </r>
    <r>
      <rPr>
        <sz val="11"/>
        <color theme="1"/>
        <rFont val="Calibri"/>
        <family val="2"/>
        <scheme val="minor"/>
      </rPr>
      <t>, by method, from most recent survey</t>
    </r>
  </si>
  <si>
    <t>Saisir la prévalence contraceptive, par méthode, à partir de la dernière enquête</t>
  </si>
  <si>
    <t>BU7</t>
  </si>
  <si>
    <t>standard days method (sdm)</t>
  </si>
  <si>
    <t>HT7</t>
  </si>
  <si>
    <t>2017 DHS</t>
  </si>
  <si>
    <t>PH7</t>
  </si>
  <si>
    <t>SN7</t>
  </si>
  <si>
    <t>ZA7</t>
  </si>
  <si>
    <t>TJ7</t>
  </si>
  <si>
    <t>TL7</t>
  </si>
  <si>
    <t>UG7</t>
  </si>
  <si>
    <t>Government Health Facilities and Home/Community Delivery</t>
  </si>
  <si>
    <t>Most recent source of national method mix preloaded is</t>
  </si>
  <si>
    <t>La source la plus récente de mélange de méthodes national préchargé est</t>
  </si>
  <si>
    <t>Non</t>
  </si>
  <si>
    <t>Missing (Excluded from Reweighted values)</t>
  </si>
  <si>
    <t>2017 MICS</t>
  </si>
  <si>
    <t>Reweighted to Remove Missing and DK</t>
  </si>
  <si>
    <t>Partially</t>
  </si>
  <si>
    <t>en partie</t>
  </si>
  <si>
    <t>en parte</t>
  </si>
  <si>
    <t>Country :</t>
  </si>
  <si>
    <t>Pays :</t>
  </si>
  <si>
    <t xml:space="preserve">Source : </t>
  </si>
  <si>
    <t xml:space="preserve">Set-up: Select the types of service statistics data you have available and enter information about that data. </t>
  </si>
  <si>
    <t>Configuration : Sélectionnez les types de données de statistiques de service disponibles et entrez des informations sur ces données.</t>
  </si>
  <si>
    <t>If you do not have an estimate of what % of the full market this data represents, leave this as 100%.</t>
  </si>
  <si>
    <t>DHS</t>
  </si>
  <si>
    <t>Select Year for Comparison</t>
  </si>
  <si>
    <t>5. Comparing User Trends: EMU (Service Statistics) and Surveys (FPET)</t>
  </si>
  <si>
    <t>6. Comparez les pentes : EUM, FPET, et Enquêtes</t>
  </si>
  <si>
    <t>Users by Method
 (service statistics)</t>
  </si>
  <si>
    <t>Users by Method 
(survey)</t>
  </si>
  <si>
    <t>TRANSLATE</t>
  </si>
  <si>
    <t>Public Sector</t>
  </si>
  <si>
    <t>Secteur public</t>
  </si>
  <si>
    <t>Secteur médical privé</t>
  </si>
  <si>
    <t>Private Medical Sector</t>
  </si>
  <si>
    <t>Autre source</t>
  </si>
  <si>
    <t>ONG</t>
  </si>
  <si>
    <t>Boutique / Église / Ami</t>
  </si>
  <si>
    <t>Hôpital/clinique privé</t>
  </si>
  <si>
    <t>Pharmacie</t>
  </si>
  <si>
    <t>Établissements de santé public et soins de santé communautaires</t>
  </si>
  <si>
    <t>Autre</t>
  </si>
  <si>
    <t>Exclude Condoms</t>
  </si>
  <si>
    <t>Exclure les Préservatifs</t>
  </si>
  <si>
    <t>Include Condoms</t>
  </si>
  <si>
    <t>Inclure des Préservatifs</t>
  </si>
  <si>
    <t>2. Comparing Estimated Total FP Users: Service Statistics and Surveys</t>
  </si>
  <si>
    <t xml:space="preserve">Add Users by Method Comparison </t>
  </si>
  <si>
    <t xml:space="preserve">Step 1 of 3 : Enter/Check Source of Modern Contraceptives </t>
  </si>
  <si>
    <t xml:space="preserve">Étape 1 de 3 : Entrer ou vérifier source d'approvisionnement des méthodes modernes </t>
  </si>
  <si>
    <t>Users Adjusted for Missing Private Sector and dropped if Reporting Rate is Below 60%</t>
  </si>
  <si>
    <t>CYP Factor</t>
  </si>
  <si>
    <t>Female Condom</t>
  </si>
  <si>
    <t>Sector</t>
  </si>
  <si>
    <t>Included in your data?</t>
  </si>
  <si>
    <t>(ex. Community Health Center)</t>
  </si>
  <si>
    <t>(ex. centre de santé communautaire)</t>
  </si>
  <si>
    <t>(ex. public or private)</t>
  </si>
  <si>
    <t xml:space="preserve">Source </t>
  </si>
  <si>
    <t>(ex. public ou privé)</t>
  </si>
  <si>
    <t>Secteur</t>
  </si>
  <si>
    <t>Yes? No? Partially?</t>
  </si>
  <si>
    <t>Oui? Non? Partiellement?</t>
  </si>
  <si>
    <t xml:space="preserve">Inclus dans vos données? </t>
  </si>
  <si>
    <t xml:space="preserve">Below please enter all the sources/providers that people use to access contraceptives in your country (ex. Public Hospitals, Public Clinics, Community Health Centers, Private Doctors, Private Pharmacies, etc). Then enter the sector of that source (public, private, other) and indicate whether that source reports into your data system or is represented in the data you have to analyze. </t>
  </si>
  <si>
    <t xml:space="preserve">Based on what you entered on the previous sheet, in your summary of FP Sources, review the table below and select from the dropdown to indicate which sectors are included in the service statistics data you have on hand. </t>
  </si>
  <si>
    <t>2017-18 DHS</t>
  </si>
  <si>
    <t>2004 DHS</t>
  </si>
  <si>
    <t>2003 DHS</t>
  </si>
  <si>
    <t>Eswatini</t>
  </si>
  <si>
    <t>2002-03 DHS</t>
  </si>
  <si>
    <t>2016 MIS</t>
  </si>
  <si>
    <t>2015 AIS</t>
  </si>
  <si>
    <t>2004-06 DHS</t>
  </si>
  <si>
    <t>2007-08 DHS</t>
  </si>
  <si>
    <t>2010-11 DHS</t>
  </si>
  <si>
    <t>2004-05 DHS</t>
  </si>
  <si>
    <t>2001-02 DHS</t>
  </si>
  <si>
    <t>Set Up : Language and Country Information</t>
  </si>
  <si>
    <t>Configuration : Choisissez votre langue et pays</t>
  </si>
  <si>
    <t>Name</t>
  </si>
  <si>
    <t>Iso</t>
  </si>
  <si>
    <t>Percentile</t>
  </si>
  <si>
    <t>CountryYear</t>
  </si>
  <si>
    <t>MICS 2018</t>
  </si>
  <si>
    <t>MICS 2017</t>
  </si>
  <si>
    <t>NOTE - Sterilization and IUD assume Users in Baseline Year = Adjusted CYPs, For Implants assume Users in Baseline Year = Adjusted Commodities</t>
  </si>
  <si>
    <t>Most Recent Survey</t>
  </si>
  <si>
    <t>HIDDEN FOR CALCULATIONS</t>
  </si>
  <si>
    <t xml:space="preserve">Optional. Review your user numbers, calculated from the commodities to clients data you entered on the previous page. </t>
  </si>
  <si>
    <t xml:space="preserve">Based on your data, we have calculated modern users by method, modern method mix, and the resulting Estimated Modern Use (EMU) - calculated as Users / Women of Reproductive Age. Review the results in the graphs and tables below. </t>
  </si>
  <si>
    <t>2016 MICS</t>
  </si>
  <si>
    <t>Implant - 3 yr</t>
  </si>
  <si>
    <t>10 to 11</t>
  </si>
  <si>
    <t>11 to 12</t>
  </si>
  <si>
    <t>12 to 13</t>
  </si>
  <si>
    <t>Step 2 of 3: What sectors are reporting in your data?</t>
  </si>
  <si>
    <t>Étape 2 de 3: Quels secteurs rapportent dans votre système?</t>
  </si>
  <si>
    <t>Étape 3 de 3: Examiner le Facteur d'Ajustement</t>
  </si>
  <si>
    <t>Step 3 of 3: Review your Adjustment Factor</t>
  </si>
  <si>
    <t>FOR LINE</t>
  </si>
  <si>
    <t xml:space="preserve">Optional. Review your user numbers, calculated from the commodities to facilities data you entered on the previous page. </t>
  </si>
  <si>
    <t>HIDDEN CALCULATIONS</t>
  </si>
  <si>
    <t>Standard CYP Factor</t>
  </si>
  <si>
    <t>STEP 2 of 3. ENTER COMMODITIES DATA</t>
  </si>
  <si>
    <t>ÉTAPE 2 de 3. SAISIR LES DONNÉES DES PRODUITS</t>
  </si>
  <si>
    <t>STEP 3 of 3: REVIEW YOUR DATA</t>
  </si>
  <si>
    <t>ÉTAPE 3 of 3. EXAMINER VOS DONNÉES</t>
  </si>
  <si>
    <t>ÉTAPE 2 of 3. SAISIR LES DONNÉES DES PRODUITS</t>
  </si>
  <si>
    <t>ÉTAPE 3 de 3. EXAMINER VOS DONNÉES</t>
  </si>
  <si>
    <t>STEP 2 of 3. ENTER VISITS DATA</t>
  </si>
  <si>
    <t>ÉTAPE 2 de 3. SAISIR LES DONNÉES DES VISITES</t>
  </si>
  <si>
    <t>If these data look good,
 continue on to review outputs</t>
  </si>
  <si>
    <t>Set up : Contraceptive Method Mix</t>
  </si>
  <si>
    <t>Sélectionnez l'année pour la comparaison</t>
  </si>
  <si>
    <t>STEP 2 of 3. ENTER USERS DATA</t>
  </si>
  <si>
    <t>ÉTAPE 2 of 3. SAISIR LES DONNÉES DES UTILISATEURS</t>
  </si>
  <si>
    <t>Méthode</t>
  </si>
  <si>
    <t>Status: New? Scaling? Static?</t>
  </si>
  <si>
    <t>Statut: Nouveau? Mise à l'échelle? Statique?</t>
  </si>
  <si>
    <t>New</t>
  </si>
  <si>
    <t>Scaling Up</t>
  </si>
  <si>
    <t>Static (Flat)</t>
  </si>
  <si>
    <t>Declining</t>
  </si>
  <si>
    <t>Nouveau</t>
  </si>
  <si>
    <t>Mise à l'échelle</t>
  </si>
  <si>
    <t>Statique (plat)</t>
  </si>
  <si>
    <t>En déclin</t>
  </si>
  <si>
    <t>If method is new - assume baseline = first year of provision</t>
  </si>
  <si>
    <t>if method is scaling assume baseline = first year</t>
  </si>
  <si>
    <t>Method Continuation Rates</t>
  </si>
  <si>
    <t>Year of method acceptance</t>
  </si>
  <si>
    <t xml:space="preserve">NEXT: Enter Information on Source of Modern Contraceptives </t>
  </si>
  <si>
    <t xml:space="preserve">Prochain: Entrer donees de le source d'approvisionnement des méthodes modernes </t>
  </si>
  <si>
    <t>New FPET Run</t>
  </si>
  <si>
    <t>Utilisez-vous des données nationales ou sous-nationales ?</t>
  </si>
  <si>
    <t>Sélectionnez "Toutes les femmes" sauf si votre programme de planification familiale est exclusivement destiné aux femmes mariées.</t>
  </si>
  <si>
    <t>Les cases en jaune clair indiquent où les données sont automatiquement renseignées ou calculées, mais vous pouvez les remplacer si vous disposez de données plus récentes.
Veuillez documenter toute modification des données par défaut</t>
  </si>
  <si>
    <t xml:space="preserve">Boxes in light yellow indicate a place where data is automatically populated or calculated, but you can replace if you have more recent data.
 Please document any changes that you make to the default data </t>
  </si>
  <si>
    <t>Les données sur le mélange de méthodes contraceptives modernes seront préremplies à partir de la dernière enquête disponible depuis le rapport FP2020 de 2018. Si une enquête plus récente est disponible, vous pouvez sélectionner "oui" à l'étape 2, puis saisir la prévalence, par méthode, dans les cellules jaunes à droite. Le mélange de méthodes modernes sera calculé dans la colonne de gauche et dans le graphique.</t>
  </si>
  <si>
    <t>Mélange de Méthodes Contraceptives Modernes</t>
  </si>
  <si>
    <t>Configuration : Mélange de Méthodes Contraceptives Modernes</t>
  </si>
  <si>
    <t>Compare estimated users between surveys and service statistics. Do levels look consistent? Do any methods appear dramatically different? Is there a reason for this difference?</t>
  </si>
  <si>
    <t>EMU / EUM</t>
  </si>
  <si>
    <t>Year / An</t>
  </si>
  <si>
    <t>Service Statistic Type / 
Type de statistique de service</t>
  </si>
  <si>
    <t>Passez en revue les données et ajoutez tous les sondages ou points de données manquants:</t>
  </si>
  <si>
    <t>`Review data and add any missing surveys or data points:</t>
  </si>
  <si>
    <t>13 to 14</t>
  </si>
  <si>
    <t>14 to 15</t>
  </si>
  <si>
    <t>15 to 16</t>
  </si>
  <si>
    <t>Step 1 of 3: Review graphs below comparing EMU from Service Statistics considering questions in the blue boxes to the right</t>
  </si>
  <si>
    <t>Étape 1 de 3 : Examiner les graphiques ci-dessous en comparant l'EUM des Statistiques des services en prenant en compte les questions dans les cases en bleu à droite.</t>
  </si>
  <si>
    <t>Step 2 of 3. Based on reviewing the graphs above, answer the following questions and select data for FPET</t>
  </si>
  <si>
    <t>Étape 2 of 3. Sur la base de l'examen des graphiques ci-dessus, répondez aux questions suivantes et sélectionnez les données pour FPET.</t>
  </si>
  <si>
    <t>Step 3 of 3. Review and Export Data for FPET</t>
  </si>
  <si>
    <t>Étape 3 de 3. Examinez et exportez les données pour FPET</t>
  </si>
  <si>
    <t>Examen final de l'EUM pour utilisation dans FPET</t>
  </si>
  <si>
    <t>Veuillez indiquer ci-dessous toutes les sources / prestataires que les personnes utilisent pour accéder aux contraceptifs dans votre pays (par exemple, hôpitaux publics, cliniques publiques, centres de santé communautaires, médecins privés, pharmacies privées, etc.). Entrez ensuite le secteur de cette source (public, privé, autre) et indiquez si cette source est rapportée dans votre système de données ou si elle est représentée dans les données à analyser.</t>
  </si>
  <si>
    <t>Ce tableau est pré-rempli avec les données de l'EDS. Si votre pays n'a pas eu d'EDS, ces cellules seront vides et devront être renseignées avec d'autres sources de données ou selon votre meilleur jugement. Dans les pays dotés d'une EDS, les cellules vides ne sont pas disponibles pour une méthode donnée. Les cellules vides peuvent être laissées vides. Dans ce cas, l'outil suppose que les services déclarés dans vos données représentent 100% de ceux fournis dans l'année.</t>
  </si>
  <si>
    <t>ÉTAPE 1 DE 3. SAISIR LES TAUX DE COMPLÉTUDE</t>
  </si>
  <si>
    <t>ÉTAPE 1 de 3. SAISIR LES TAUX DE COMPLÉTUDE</t>
  </si>
  <si>
    <t>ÉTAPE 1 of 3. SAISIR LES TAUX DE COMPLÉTUDE</t>
  </si>
  <si>
    <t>Saisissez les taux de complétude pour chaque année des données disponibles. Examinez si les taux de complétude sont assez élevés et cohérents pour utiliser les données.</t>
  </si>
  <si>
    <t>Les taux de complétude devraient être supérieurs à 80% pour utiliser les données dans FPET. Si les taux varient entre 60% et 80%, veuillez discuter avec un membre de l'équipe de Track20.</t>
  </si>
  <si>
    <t>*Note : Les années avec des taux de complétude faibles (&lt;60%) ont été exclues dans les graphiques ci-dessus</t>
  </si>
  <si>
    <t>Note : Si les taux de complétude étaient inférieurs à 60% pour une année donnée, ces valeurs ont été exclues ci-dessous et ne peuvent pas être utilisées pour produire l'EUM.</t>
  </si>
  <si>
    <t>Taux de complétude</t>
  </si>
  <si>
    <t>Taux de complétude : Produits aux clients</t>
  </si>
  <si>
    <t>Taux de complétude : Produits aux établissements</t>
  </si>
  <si>
    <t>Taux de complétude : Visites</t>
  </si>
  <si>
    <t>Oraux combinés (COC)</t>
  </si>
  <si>
    <t>Combined Oral (COC)</t>
  </si>
  <si>
    <t>Progestin only (POP)</t>
  </si>
  <si>
    <t>Progestatifs seul (POP)</t>
  </si>
  <si>
    <t>Saisissez les taux de complétude</t>
  </si>
  <si>
    <t>2016 National DHS</t>
  </si>
  <si>
    <t>2010 EPHS</t>
  </si>
  <si>
    <t>2018 DHS</t>
  </si>
  <si>
    <t>2018 MICS</t>
  </si>
  <si>
    <t>2016-18 DHS</t>
  </si>
  <si>
    <t>NOTES</t>
  </si>
  <si>
    <t>2009 AIS</t>
  </si>
  <si>
    <t>2019 DHS</t>
  </si>
  <si>
    <t>2017 PMA2020 R2</t>
  </si>
  <si>
    <t>Other Modern Method</t>
  </si>
  <si>
    <t>BJ7</t>
  </si>
  <si>
    <t>GN7</t>
  </si>
  <si>
    <t>ID7</t>
  </si>
  <si>
    <t>ML7</t>
  </si>
  <si>
    <t>NG7</t>
  </si>
  <si>
    <t>PK7</t>
  </si>
  <si>
    <t>PG7</t>
  </si>
  <si>
    <t>ZM7</t>
  </si>
  <si>
    <t>WRA</t>
  </si>
  <si>
    <t>North Macedonia</t>
  </si>
  <si>
    <t>Median age at Sterilization - NO LONGER USED</t>
  </si>
  <si>
    <t>2018-2019 PMA-R6</t>
  </si>
  <si>
    <t>2017-2018 PMA-R5</t>
  </si>
  <si>
    <t>2016-2017 PMA-R4</t>
  </si>
  <si>
    <t>2016 PMA-R3</t>
  </si>
  <si>
    <t>2015 PMA-R2</t>
  </si>
  <si>
    <t>2014 PMA-R1</t>
  </si>
  <si>
    <t>2018 PMA-R2</t>
  </si>
  <si>
    <t>2017 PMA-R1</t>
  </si>
  <si>
    <t>2018 PMA-R6</t>
  </si>
  <si>
    <t>2017 PMA-R5</t>
  </si>
  <si>
    <t>2016 PMA-R4</t>
  </si>
  <si>
    <t>2015 PMA-R3</t>
  </si>
  <si>
    <t>2014 PMA-R2</t>
  </si>
  <si>
    <t>2017 PMA-R6</t>
  </si>
  <si>
    <t>2016 PMA-R5</t>
  </si>
  <si>
    <t>2015 PMA-R4</t>
  </si>
  <si>
    <t>2014 PMA-R3</t>
  </si>
  <si>
    <t>2013 PMA-R1</t>
  </si>
  <si>
    <t>2016-2017 PMA-R2</t>
  </si>
  <si>
    <t>2015 PMA-R1</t>
  </si>
  <si>
    <t>2018 PMA-R7</t>
  </si>
  <si>
    <t>2017 PMA-R2</t>
  </si>
  <si>
    <t>2016 PMA-R1</t>
  </si>
  <si>
    <t>2018 PMA-R3</t>
  </si>
  <si>
    <t xml:space="preserve">In the first year of data available, note below any long-acting methods that were newly introduced in the country or undergoing substantial scale-up.  
Leave the cells blank if the method was not newly introduced or scaling-up. </t>
  </si>
  <si>
    <t>Users NOT Adjusted for Missing Private Sector</t>
  </si>
  <si>
    <t>Adjustment (Flat/Scaling/No Prior Distribution)</t>
  </si>
  <si>
    <t>"Historic" Users (LAPMs) Continued - NOT Adjusted for Private Sector</t>
  </si>
  <si>
    <t>Historic Users is an estimation of users still using LAPMs received prior to the first year of data. Assumption based on the first year of data either held constant (standard = 1), scaling up (1/2), or new (0)</t>
  </si>
  <si>
    <t>Users NOT Adjusted for Missing Private Sector (Dropped if RR&lt;60%)</t>
  </si>
  <si>
    <t>Average</t>
  </si>
  <si>
    <t>Standard Deviation*2</t>
  </si>
  <si>
    <t>Those &gt;2 SDs</t>
  </si>
  <si>
    <t>Those less than -2SDs</t>
  </si>
  <si>
    <t>+2 SDs from average</t>
  </si>
  <si>
    <t>-2 SDs from Average</t>
  </si>
  <si>
    <t>Timor Leste</t>
  </si>
  <si>
    <t>1994 DHS</t>
  </si>
  <si>
    <t>Additional Analysis</t>
  </si>
  <si>
    <t>Unadjusted C2C</t>
  </si>
  <si>
    <t>(Min - Max)
2 SDs</t>
  </si>
  <si>
    <t>** Decline = greater than 25% decline over one year</t>
  </si>
  <si>
    <t>*** Dramatic Growth = greater than 150% growth over one year</t>
  </si>
  <si>
    <t>*Outliers= values more than 2 Standard Deviations from the Average</t>
  </si>
  <si>
    <t>*Valeurs aberrantes = valeurs de plus que 2 écart types de la moyenne</t>
  </si>
  <si>
    <t>Outliers*</t>
  </si>
  <si>
    <t>Valeurs aberrantes*</t>
  </si>
  <si>
    <t>Decline seen in trend**</t>
  </si>
  <si>
    <t>Déclin visible dans la tendance**</t>
  </si>
  <si>
    <t>Dramatic growth seen in trend***</t>
  </si>
  <si>
    <t>Croissance spectaculaire visible dans la tendance***</t>
  </si>
  <si>
    <t>CHECKING FOR OUTLIERS</t>
  </si>
  <si>
    <t>CHECKING FOR RAPID GROWTH/ DECLINE</t>
  </si>
  <si>
    <t>THIS AREA IS FOR DATA CHECKS AND TRIGGERS NOTES BELOW BASED ON METHOD INPUTS</t>
  </si>
  <si>
    <t>Upper Bound (outliers)</t>
  </si>
  <si>
    <t>Lower Bound (Outliers)</t>
  </si>
  <si>
    <t>Unadjusted C2F</t>
  </si>
  <si>
    <t>Unadjusted Visits</t>
  </si>
  <si>
    <t>Unadjusted Users</t>
  </si>
  <si>
    <t>adjusted*</t>
  </si>
  <si>
    <t>unadjusted*</t>
  </si>
  <si>
    <t xml:space="preserve">Note - the purpose of this information is to help estimate the number of women who were using long-acting methods before the first year of data available. </t>
  </si>
  <si>
    <t xml:space="preserve"> to </t>
  </si>
  <si>
    <t xml:space="preserve"> à </t>
  </si>
  <si>
    <t xml:space="preserve">EMU Outliers. Consider whether these values should be included. </t>
  </si>
  <si>
    <t>Adjusted C2C</t>
  </si>
  <si>
    <t>Adjusted C2F</t>
  </si>
  <si>
    <t>Adjusted Visits</t>
  </si>
  <si>
    <t>Adjusted Users</t>
  </si>
  <si>
    <t>Syria</t>
  </si>
  <si>
    <t xml:space="preserve">* You may choose to adjust condom data to account for private sector provision, however we recommend leaving the condom values unadjusted to avoid overestimating condom use. Selecting "adjusted" from the dropdown list to the right will adjust your condom estimates to account for the private sector. </t>
  </si>
  <si>
    <t>* Vous pouvez choisir d'ajuster les données sur le préservatif pour tenir compte de l'approvisionnement du secteur privé, mais nous vous recommandons de laisser les valeurs du préservatif non ajustées pour éviter de surestimer l'utilisation du préservatif. Sélectionner "ajusté" dans la liste déroulante à droite ajustera vos estimations de préservatifs pour tenir compte du secteur privé.</t>
  </si>
  <si>
    <t>ajustées*</t>
  </si>
  <si>
    <t>non ajustées*</t>
  </si>
  <si>
    <t xml:space="preserve">Your data represents &lt;25% of FP services/commodities. </t>
  </si>
  <si>
    <t xml:space="preserve">Your data represents &lt;10% of FP services/commodities. </t>
  </si>
  <si>
    <t>Vos données représentent &lt;25% des services/produits de PF</t>
  </si>
  <si>
    <t>Vos données représentent &lt;10% des services/produits de PF</t>
  </si>
  <si>
    <t>Note - Le but de ces informations est d'aider à estimer le nombre de femmes qui utilisaient des méthodes à longue durée avant la première année de données disponibles.</t>
  </si>
  <si>
    <t xml:space="preserve">Users by Method 
</t>
  </si>
  <si>
    <t>Users by Method 
(service statistics - adjusted)</t>
  </si>
  <si>
    <t>Users by Method 
(service statistics - unadjusted)</t>
  </si>
  <si>
    <t>Total Users (service statisics - unadjusted)</t>
  </si>
  <si>
    <t>Total Users (service statistics - adjusted)</t>
  </si>
  <si>
    <t xml:space="preserve">STEP 1 of 3. Review the graphs below showing the impact of the private sector adjustment. </t>
  </si>
  <si>
    <t xml:space="preserve">These graphs have been designed to help illustrate the impact of the private sector adjustment, which is intended to help account for services provided by sectors that are not included in your data. Please review the impact of the adjustment factor. If you would like to make changes to the adjustment factor, please return to step 4. FPSource Set Up.  </t>
  </si>
  <si>
    <t xml:space="preserve">Compare the graphs and look for large differences between the method mix from the survey and the method mix produced from your service statistics data (adjusted vs unadjusted). Please explain any large discrepancies in the method mix. </t>
  </si>
  <si>
    <t xml:space="preserve">STEP 2 of 3. Review and comment on the graphs below. </t>
  </si>
  <si>
    <t xml:space="preserve">STEP 3 of 3. Choose whether to include or exclude condoms in the final EMU value. </t>
  </si>
  <si>
    <t>ÉTAPE 3 de 3. Choisissez d'inclure ou d'exclure les préservatifs de la valeur finale de EMU.</t>
  </si>
  <si>
    <t>ÉTAPE 2 de 3. Examiner et commenter les graphiques ci-dessous.</t>
  </si>
  <si>
    <t>ÉTAPE 1 de 3. Examiner et commenter les graphiques ci-dessous.</t>
  </si>
  <si>
    <t>Average Annual Growth</t>
  </si>
  <si>
    <t>6. Comparing Growth Rates: EMU (Service Statistics) and Surveys (FPET)</t>
  </si>
  <si>
    <t xml:space="preserve">Compare the EMU calculated from your commodity data to mCPR from FPET and surveys. Does the EMU follow the mCPR trends seen in the FPET and surveys? Do the growth rates look similar?  Would you use this data in FPET? Please comment below. </t>
  </si>
  <si>
    <t xml:space="preserve">Compare the average annual % pt increases in mCPR/EMU between the trends. Are the growth rates similar? Is the slope of the EMU feasible given what you know about how fast prevalence can grow? </t>
  </si>
  <si>
    <t xml:space="preserve">Compare the average annual % pt increases in mCPR/EMU between the trends. Are the growth rates similar? Is the growth rate of the EMU feasible given what you know about how fast prevalence can grow? </t>
  </si>
  <si>
    <t>Sectors Included</t>
  </si>
  <si>
    <t>Review of Private Sector Adjustment</t>
  </si>
  <si>
    <t>Distribution of Modern Method Users by Source</t>
  </si>
  <si>
    <t xml:space="preserve">Data on the mix of modern contraceptive methods will be pre-populated from the latest survey available since the 2018 FP2020 report. If a more recent survey is available, you can select "yes" in step 2, then enter the prevalence, by method, in the yellow cells on the right. The modern method mix will be calculated in the left column and shown in the graph. </t>
  </si>
  <si>
    <t>Adjusting for the first year of data availabilty for long acting methods</t>
  </si>
  <si>
    <t>Goal is to make sure that long-acting methods aren't overestimated</t>
  </si>
  <si>
    <t xml:space="preserve">In order more accurately estimate long-acting users, we need to account for women who received their method prior to the first year of data. To help estimate the number of long-acting users who received their method prior to the first year of data, please note below any methods that were newly introduced or undergoing substantial scale-up in the FIRST YEAR of data available, by data type and method. If no methods were introduced or scaling up in the first year of data, leave the cells blank. </t>
  </si>
  <si>
    <t xml:space="preserve">Sources of Contraception </t>
  </si>
  <si>
    <t>Sources de contraception</t>
  </si>
  <si>
    <t xml:space="preserve">Indiquer ci-dessous les principales sources de contraceptifs dans votre pays. Entrez ensuite le secteur de cette source et s'il est représenté dans vos données. </t>
  </si>
  <si>
    <t xml:space="preserve">List the primary sources of contraception in your country. Then enter the sector of each source and select whether or not that source is represented in your data. </t>
  </si>
  <si>
    <t>Long-Acting Methods : Introduced or Scaled-Up?</t>
  </si>
  <si>
    <t xml:space="preserve">You are inflating by a factor of 2 or more to account for the private sector. </t>
  </si>
  <si>
    <t>You are inflating by a factor of 10 or more to account for the private sector</t>
  </si>
  <si>
    <t xml:space="preserve">If you'd like to vary the private sector adjustment over time, you may do so below. These numbers represent the  inflation factor, by method, that will be used to adjust the values you entered to left to represent the full market (all public and private sector FP provision). Note - a value of 1 means that no adjustment will be made to your inputs. </t>
  </si>
  <si>
    <t>STEP 1 of 3. ENTER REPORTING RATES FOR THE REPORTING FORM USED FOR THIS TYPE OF DATA</t>
  </si>
  <si>
    <t xml:space="preserve">Enter the reporting rates for the form used to report this type of FP data for each year of data you have available. Review whether reporting rates are high enough and consistent enough to use the data. </t>
  </si>
  <si>
    <t>3. Which data type has the method mix most consistent with Surveys?</t>
  </si>
  <si>
    <t>4. Which data type has the highest and most consistent reporting rates?</t>
  </si>
  <si>
    <t xml:space="preserve">5. Based on your answers above, which data is suitable for use in FPET? </t>
  </si>
  <si>
    <t xml:space="preserve">3 : Quel type de données a un mélange de méthodes modernes plus cohérent avec les Enquêtes ? </t>
  </si>
  <si>
    <t>4 : Quel type de données a le taux de complétude le plus élevé et le plus cohérent ?</t>
  </si>
  <si>
    <t>5 : Sur la base de vos réponses ci-dessus, quelles données sont adaptées pour être utilisées dans FPET ?</t>
  </si>
  <si>
    <t>NOTE below any methods INTRODUCED/SCALED UP in the FIRST YEAR of data available for each data type and method.</t>
  </si>
  <si>
    <t xml:space="preserve">In order to more accurately estimate long-acting users, we need to account for women who received their method prior to the first year of data. To help estimate the number of long-acting users who received their method prior to the first year of data, please note below any methods that were newly introduced or undergoing substantial scale-up in the FIRST YEAR of data available, by data type and method. If methods were NOT newly introduced or scaling up in the first year of data, leave the cells BLANK. </t>
  </si>
  <si>
    <t xml:space="preserve">In the table below, for each type of data available, the value represents the adjustment factor that will be multipled by your FP Commodity/Visits/Users data in order to inflate the values to represent the full market (ALL public and private FP Provision).
If the value in the table is 1.00, then it is assumed that your data represents ALL of that FP method provided in the country (based on the data from DHS and your answers above). 
If the value in the table is greater than 1, it is assumed that your data DOES NOT represent all of that type of commodity/service provided in the country. Your data will be multiplied by that value to estimate the total number of that FP method provided in both the public and private sector in the country. </t>
  </si>
  <si>
    <t xml:space="preserve">Using DHS data on Contraceptive Source by Method, we can adjust our estimates to try and estimate the number of users who access services from other sectors which are not reporting into the government HMIS. </t>
  </si>
  <si>
    <t xml:space="preserve">SET UP: Use this tab to review and edit the adjustment factor used to adjust for the private sector not reporting into HMIS. Using this adjustment factor, we will inflate the volume of FP commodities/services/users entered in order to get a nationally representative estimate of contraceptive use. </t>
  </si>
  <si>
    <t>OPTIONAL : Return to FP Source Set Up to review Private Sector Adjustment</t>
  </si>
  <si>
    <t xml:space="preserve">Generally, family planning is provided in both the public and private sector. Not all private providers report into government HMIS. 
The data and calculations below are intended to help account for those FP services that are being provided through sources of family planning that are not represented in government HMIS.  
Within this tab, you will review and have the opportunity to edit the adjustment factor that will be used to adjust (inflate) your service numbers to account for the sectors that are not included in your data. Please read the instructions and review the data below carefully as this will have an impact on your final EMU estimates. </t>
  </si>
  <si>
    <t xml:space="preserve">The graphs below are designed to help understand the impact of the private sector adjustment. The first table/graph compares, from your most recent DHS, the prevalence of the sectors included in your HMIS data (by method), against the unadjusted EMU estimates from your service statistics data. The second table/graph compares, from your most recent DHS, the total prevalence (of all sectors), against the adjusted EMU from your Service Statistics.  Comparing these can help illustrate how the private sector adjustment is impacting your EMU and whether it results in a method mix and total coverage more consistent with DHS. </t>
  </si>
  <si>
    <t>4.2.20</t>
  </si>
  <si>
    <t>For Review</t>
  </si>
  <si>
    <t>MICS 2019</t>
  </si>
  <si>
    <t>2017-18 MICS</t>
  </si>
  <si>
    <t>Updated</t>
  </si>
  <si>
    <t>Méthodes à long durée: introduites ou mis à l'echelle?</t>
  </si>
  <si>
    <t>NOTEZ ci-dessous toutes les méthodes INTRODUITES /MIS À L'ÉCHELLE AU COURS DE LA PREMIÈRE ANNÉE de données disponibles pour chaque type et méthode de données.</t>
  </si>
  <si>
    <t>Afin d'estimer plus précisément les utilisatrices de méthodes à longue durée, nous devons tenir compte des femmes qui ont reçu leur méthode avant la première année de données. Pour aider à estimer le nombre d'utilisatrices des méthodes à longue durée qui ont reçu leur méthode avant la première année de données, veuillez noter ci-dessous toutes les méthodes qui ont été récemment introduites ou qui ont connu une mise à l'échelle substantielle au cours de la PREMIÈRE ANNÉE de données disponibles, par type de données et méthode . Si les méthodes n'ont PAS été récemment introduites ou mises à l'échelle au cours de la première année de données, laissez les cellules VIDES.</t>
  </si>
  <si>
    <t>Récemment Introduites</t>
  </si>
  <si>
    <t>Newly Introduced</t>
  </si>
  <si>
    <t>En général, la planification familiale est fournie à la fois dans le secteur public et privé. Tous les prestataires privés ne rapportent pas au SNIS du gouvernement.
Les données et calculs ci-dessous sont destinés à aider à rendre compte des services de PF qui sont fournis par le biais de sources de planification familiale qui ne sont pas représentées dans le SNIS du gouvernement.
Dans cet onglet, vous examinerez et aurez la possibilité de modifier le facteur d'ajustement qui sera utilisé pour ajuster (gonfler) vos numéros de service pour tenir compte des secteurs qui ne sont pas inclus dans vos données. Veuillez lire les instructions et examiner attentivement les données ci-dessous car cela aura un impact sur vos estimations finales de l'EMU.</t>
  </si>
  <si>
    <t>Dans le tableau ci-dessous, pour chaque type de données disponibles, la valeur représente le facteur d'ajustement qui sera multiplié par vos données "Produits FP" / "Visites" / "Utilisatrices" afin de gonfler les valeurs pour représenter le marché complet (TOUT l'approvisionnement FP publiques et privées) .
Si la valeur dans le tableau est 1,00, il est supposé que vos données représentent TOUTES cette méthode de PF fournie dans le pays (sur la base des données d'EDS et de vos réponses ci-dessus).
Si la valeur dans le tableau est supérieure à 1, il est supposé que vos données NE représentent PAS tout ce type de produit / service fourni dans votre pays. Vos données seront multipliées par cette valeur pour estimer le nombre total de cette méthode de PF fournie dans le secteur public et privé du pays.</t>
  </si>
  <si>
    <t>Comparez les graphiques et recherchez les grandes différences entre l'éventail des méthodes de l'enquête et l'éventail des méthodes produite à partir de vos données statistiques sur les services (ajustées vs non ajustées). Veuillez expliquer tout écart important dans l'éventail des méthodes.</t>
  </si>
  <si>
    <t>ÉTAPE 1 de 3. Examinez les graphiques ci-dessous montrant l'impact de l'ajustement du secteur privé.</t>
  </si>
  <si>
    <t>Ces graphiques ont été conçus pour aider à illustrer l'impact de l'ajustement du secteur privé, qui vise à aider à rendre compte des services fournis par les secteurs qui ne sont pas inclus dans vos données. Veuillez examiner l'impact du facteur d'ajustement. Si vous souhaitez apporter des modifications au facteur d'ajustement, veuillez revenir à l'étape 4. FPSource Set Up</t>
  </si>
  <si>
    <t>Si vous souhaitez modifier l'ajustement du secteur privé au fil du temps, vous pouvez le faire ci-dessous. Ces chiffres représentent le facteur d'inflation, par méthode, qui sera utilisé pour ajuster les valeurs que vous avez saisies à gauche pour représenter l'ensemble du marché (toutes les prestations de PF du secteur public et privé).</t>
  </si>
  <si>
    <t>SDM</t>
  </si>
  <si>
    <t>2018-19 MICS</t>
  </si>
  <si>
    <t>Sterilization (F)</t>
  </si>
  <si>
    <t>Sterilization (M)</t>
  </si>
  <si>
    <t>Jan</t>
  </si>
  <si>
    <t>Feb</t>
  </si>
  <si>
    <t>Mar</t>
  </si>
  <si>
    <t>Apr</t>
  </si>
  <si>
    <t>May</t>
  </si>
  <si>
    <t>Jun</t>
  </si>
  <si>
    <t>Jul</t>
  </si>
  <si>
    <t>Aug</t>
  </si>
  <si>
    <t>Sep</t>
  </si>
  <si>
    <t>Oct</t>
  </si>
  <si>
    <t>Nov</t>
  </si>
  <si>
    <t>Dec</t>
  </si>
  <si>
    <t>PMs</t>
  </si>
  <si>
    <t>LARCs</t>
  </si>
  <si>
    <t>STMs</t>
  </si>
  <si>
    <t>country_code</t>
  </si>
  <si>
    <t>country_name</t>
  </si>
  <si>
    <t>01Jan2020</t>
  </si>
  <si>
    <t>02Jan2020</t>
  </si>
  <si>
    <t>03Jan2020</t>
  </si>
  <si>
    <t>04Jan2020</t>
  </si>
  <si>
    <t>05Jan2020</t>
  </si>
  <si>
    <t>06Jan2020</t>
  </si>
  <si>
    <t>07Jan2020</t>
  </si>
  <si>
    <t>08Jan2020</t>
  </si>
  <si>
    <t>09Jan2020</t>
  </si>
  <si>
    <t>10Jan2020</t>
  </si>
  <si>
    <t>11Jan2020</t>
  </si>
  <si>
    <t>12Jan2020</t>
  </si>
  <si>
    <t>13Jan2020</t>
  </si>
  <si>
    <t>14Jan2020</t>
  </si>
  <si>
    <t>15Jan2020</t>
  </si>
  <si>
    <t>16Jan2020</t>
  </si>
  <si>
    <t>17Jan2020</t>
  </si>
  <si>
    <t>18Jan2020</t>
  </si>
  <si>
    <t>19Jan2020</t>
  </si>
  <si>
    <t>20Jan2020</t>
  </si>
  <si>
    <t>21Jan2020</t>
  </si>
  <si>
    <t>22Jan2020</t>
  </si>
  <si>
    <t>23Jan2020</t>
  </si>
  <si>
    <t>24Jan2020</t>
  </si>
  <si>
    <t>25Jan2020</t>
  </si>
  <si>
    <t>26Jan2020</t>
  </si>
  <si>
    <t>27Jan2020</t>
  </si>
  <si>
    <t>28Jan2020</t>
  </si>
  <si>
    <t>29Jan2020</t>
  </si>
  <si>
    <t>30Jan2020</t>
  </si>
  <si>
    <t>31Jan2020</t>
  </si>
  <si>
    <t>01Feb2020</t>
  </si>
  <si>
    <t>02Feb2020</t>
  </si>
  <si>
    <t>03Feb2020</t>
  </si>
  <si>
    <t>04Feb2020</t>
  </si>
  <si>
    <t>05Feb2020</t>
  </si>
  <si>
    <t>06Feb2020</t>
  </si>
  <si>
    <t>07Feb2020</t>
  </si>
  <si>
    <t>08Feb2020</t>
  </si>
  <si>
    <t>09Feb2020</t>
  </si>
  <si>
    <t>10Feb2020</t>
  </si>
  <si>
    <t>11Feb2020</t>
  </si>
  <si>
    <t>12Feb2020</t>
  </si>
  <si>
    <t>13Feb2020</t>
  </si>
  <si>
    <t>14Feb2020</t>
  </si>
  <si>
    <t>15Feb2020</t>
  </si>
  <si>
    <t>16Feb2020</t>
  </si>
  <si>
    <t>17Feb2020</t>
  </si>
  <si>
    <t>18Feb2020</t>
  </si>
  <si>
    <t>19Feb2020</t>
  </si>
  <si>
    <t>20Feb2020</t>
  </si>
  <si>
    <t>21Feb2020</t>
  </si>
  <si>
    <t>22Feb2020</t>
  </si>
  <si>
    <t>23Feb2020</t>
  </si>
  <si>
    <t>24Feb2020</t>
  </si>
  <si>
    <t>25Feb2020</t>
  </si>
  <si>
    <t>26Feb2020</t>
  </si>
  <si>
    <t>27Feb2020</t>
  </si>
  <si>
    <t>28Feb2020</t>
  </si>
  <si>
    <t>29Feb2020</t>
  </si>
  <si>
    <t>01Mar2020</t>
  </si>
  <si>
    <t>02Mar2020</t>
  </si>
  <si>
    <t>03Mar2020</t>
  </si>
  <si>
    <t>04Mar2020</t>
  </si>
  <si>
    <t>05Mar2020</t>
  </si>
  <si>
    <t>06Mar2020</t>
  </si>
  <si>
    <t>07Mar2020</t>
  </si>
  <si>
    <t>08Mar2020</t>
  </si>
  <si>
    <t>09Mar2020</t>
  </si>
  <si>
    <t>10Mar2020</t>
  </si>
  <si>
    <t>11Mar2020</t>
  </si>
  <si>
    <t>12Mar2020</t>
  </si>
  <si>
    <t>13Mar2020</t>
  </si>
  <si>
    <t>14Mar2020</t>
  </si>
  <si>
    <t>15Mar2020</t>
  </si>
  <si>
    <t>16Mar2020</t>
  </si>
  <si>
    <t>17Mar2020</t>
  </si>
  <si>
    <t>18Mar2020</t>
  </si>
  <si>
    <t>19Mar2020</t>
  </si>
  <si>
    <t>20Mar2020</t>
  </si>
  <si>
    <t>21Mar2020</t>
  </si>
  <si>
    <t>22Mar2020</t>
  </si>
  <si>
    <t>23Mar2020</t>
  </si>
  <si>
    <t>24Mar2020</t>
  </si>
  <si>
    <t>25Mar2020</t>
  </si>
  <si>
    <t>26Mar2020</t>
  </si>
  <si>
    <t>27Mar2020</t>
  </si>
  <si>
    <t>28Mar2020</t>
  </si>
  <si>
    <t>29Mar2020</t>
  </si>
  <si>
    <t>30Mar2020</t>
  </si>
  <si>
    <t>31Mar2020</t>
  </si>
  <si>
    <t>01Apr2020</t>
  </si>
  <si>
    <t>02Apr2020</t>
  </si>
  <si>
    <t>03Apr2020</t>
  </si>
  <si>
    <t>04Apr2020</t>
  </si>
  <si>
    <t>05Apr2020</t>
  </si>
  <si>
    <t>06Apr2020</t>
  </si>
  <si>
    <t>07Apr2020</t>
  </si>
  <si>
    <t>08Apr2020</t>
  </si>
  <si>
    <t>09Apr2020</t>
  </si>
  <si>
    <t>10Apr2020</t>
  </si>
  <si>
    <t>11Apr2020</t>
  </si>
  <si>
    <t>12Apr2020</t>
  </si>
  <si>
    <t>13Apr2020</t>
  </si>
  <si>
    <t>14Apr2020</t>
  </si>
  <si>
    <t>15Apr2020</t>
  </si>
  <si>
    <t>16Apr2020</t>
  </si>
  <si>
    <t>17Apr2020</t>
  </si>
  <si>
    <t>18Apr2020</t>
  </si>
  <si>
    <t>19Apr2020</t>
  </si>
  <si>
    <t>20Apr2020</t>
  </si>
  <si>
    <t>21Apr2020</t>
  </si>
  <si>
    <t>22Apr2020</t>
  </si>
  <si>
    <t>23Apr2020</t>
  </si>
  <si>
    <t>24Apr2020</t>
  </si>
  <si>
    <t>25Apr2020</t>
  </si>
  <si>
    <t>26Apr2020</t>
  </si>
  <si>
    <t>27Apr2020</t>
  </si>
  <si>
    <t>28Apr2020</t>
  </si>
  <si>
    <t>29Apr2020</t>
  </si>
  <si>
    <t>30Apr2020</t>
  </si>
  <si>
    <t>01May2020</t>
  </si>
  <si>
    <t>02May2020</t>
  </si>
  <si>
    <t>03May2020</t>
  </si>
  <si>
    <t>04May2020</t>
  </si>
  <si>
    <t>05May2020</t>
  </si>
  <si>
    <t>06May2020</t>
  </si>
  <si>
    <t>07May2020</t>
  </si>
  <si>
    <t>08May2020</t>
  </si>
  <si>
    <t>09May2020</t>
  </si>
  <si>
    <t>10May2020</t>
  </si>
  <si>
    <t>11May2020</t>
  </si>
  <si>
    <t>12May2020</t>
  </si>
  <si>
    <t>13May2020</t>
  </si>
  <si>
    <t>14May2020</t>
  </si>
  <si>
    <t>15May2020</t>
  </si>
  <si>
    <t>16May2020</t>
  </si>
  <si>
    <t>17May2020</t>
  </si>
  <si>
    <t>18May2020</t>
  </si>
  <si>
    <t>19May2020</t>
  </si>
  <si>
    <t>20May2020</t>
  </si>
  <si>
    <t>21May2020</t>
  </si>
  <si>
    <t>22May2020</t>
  </si>
  <si>
    <t>23May2020</t>
  </si>
  <si>
    <t>24May2020</t>
  </si>
  <si>
    <t>25May2020</t>
  </si>
  <si>
    <t>26May2020</t>
  </si>
  <si>
    <t>27May2020</t>
  </si>
  <si>
    <t>28May2020</t>
  </si>
  <si>
    <t>29May2020</t>
  </si>
  <si>
    <t>30May2020</t>
  </si>
  <si>
    <t>31May2020</t>
  </si>
  <si>
    <t>01Jun2020</t>
  </si>
  <si>
    <t>02Jun2020</t>
  </si>
  <si>
    <t>03Jun2020</t>
  </si>
  <si>
    <t>04Jun2020</t>
  </si>
  <si>
    <t>05Jun2020</t>
  </si>
  <si>
    <t>06Jun2020</t>
  </si>
  <si>
    <t>07Jun2020</t>
  </si>
  <si>
    <t>08Jun2020</t>
  </si>
  <si>
    <t>09Jun2020</t>
  </si>
  <si>
    <t>10Jun2020</t>
  </si>
  <si>
    <t>11Jun2020</t>
  </si>
  <si>
    <t>12Jun2020</t>
  </si>
  <si>
    <t>13Jun2020</t>
  </si>
  <si>
    <t>14Jun2020</t>
  </si>
  <si>
    <t>15Jun2020</t>
  </si>
  <si>
    <t>16Jun2020</t>
  </si>
  <si>
    <t>17Jun2020</t>
  </si>
  <si>
    <t>18Jun2020</t>
  </si>
  <si>
    <t>19Jun2020</t>
  </si>
  <si>
    <t>20Jun2020</t>
  </si>
  <si>
    <t>21Jun2020</t>
  </si>
  <si>
    <t>22Jun2020</t>
  </si>
  <si>
    <t>23Jun2020</t>
  </si>
  <si>
    <t>24Jun2020</t>
  </si>
  <si>
    <t>25Jun2020</t>
  </si>
  <si>
    <t>26Jun2020</t>
  </si>
  <si>
    <t>27Jun2020</t>
  </si>
  <si>
    <t>28Jun2020</t>
  </si>
  <si>
    <t>29Jun2020</t>
  </si>
  <si>
    <t>30Jun2020</t>
  </si>
  <si>
    <t>01Jul2020</t>
  </si>
  <si>
    <t>02Jul2020</t>
  </si>
  <si>
    <t>03Jul2020</t>
  </si>
  <si>
    <t>04Jul2020</t>
  </si>
  <si>
    <t>05Jul2020</t>
  </si>
  <si>
    <t>06Jul2020</t>
  </si>
  <si>
    <t>07Jul2020</t>
  </si>
  <si>
    <t>08Jul2020</t>
  </si>
  <si>
    <t>09Jul2020</t>
  </si>
  <si>
    <t>10Jul2020</t>
  </si>
  <si>
    <t>11Jul2020</t>
  </si>
  <si>
    <t>12Jul2020</t>
  </si>
  <si>
    <t>13Jul2020</t>
  </si>
  <si>
    <t>14Jul2020</t>
  </si>
  <si>
    <t>15Jul2020</t>
  </si>
  <si>
    <t>16Jul2020</t>
  </si>
  <si>
    <t>17Jul2020</t>
  </si>
  <si>
    <t>18Jul2020</t>
  </si>
  <si>
    <t>19Jul2020</t>
  </si>
  <si>
    <t>20Jul2020</t>
  </si>
  <si>
    <t>21Jul2020</t>
  </si>
  <si>
    <t>22Jul2020</t>
  </si>
  <si>
    <t>23Jul2020</t>
  </si>
  <si>
    <t>24Jul2020</t>
  </si>
  <si>
    <t>25Jul2020</t>
  </si>
  <si>
    <t>26Jul2020</t>
  </si>
  <si>
    <t>27Jul2020</t>
  </si>
  <si>
    <t>28Jul2020</t>
  </si>
  <si>
    <t>29Jul2020</t>
  </si>
  <si>
    <t>30Jul2020</t>
  </si>
  <si>
    <t>31Jul2020</t>
  </si>
  <si>
    <t>01Aug2020</t>
  </si>
  <si>
    <t>02Aug2020</t>
  </si>
  <si>
    <t>03Aug2020</t>
  </si>
  <si>
    <t>04Aug2020</t>
  </si>
  <si>
    <t>05Aug2020</t>
  </si>
  <si>
    <t>06Aug2020</t>
  </si>
  <si>
    <t>07Aug2020</t>
  </si>
  <si>
    <t>08Aug2020</t>
  </si>
  <si>
    <t>09Aug2020</t>
  </si>
  <si>
    <t>10Aug2020</t>
  </si>
  <si>
    <t>11Aug2020</t>
  </si>
  <si>
    <t>12Aug2020</t>
  </si>
  <si>
    <t>13Aug2020</t>
  </si>
  <si>
    <t>14Aug2020</t>
  </si>
  <si>
    <t>15Aug2020</t>
  </si>
  <si>
    <t>16Aug2020</t>
  </si>
  <si>
    <t>17Aug2020</t>
  </si>
  <si>
    <t>18Aug2020</t>
  </si>
  <si>
    <t>19Aug2020</t>
  </si>
  <si>
    <t>20Aug2020</t>
  </si>
  <si>
    <t>21Aug2020</t>
  </si>
  <si>
    <t>22Aug2020</t>
  </si>
  <si>
    <t>23Aug2020</t>
  </si>
  <si>
    <t>24Aug2020</t>
  </si>
  <si>
    <t>25Aug2020</t>
  </si>
  <si>
    <t>26Aug2020</t>
  </si>
  <si>
    <t>27Aug2020</t>
  </si>
  <si>
    <t>28Aug2020</t>
  </si>
  <si>
    <t>29Aug2020</t>
  </si>
  <si>
    <t>30Aug2020</t>
  </si>
  <si>
    <t>31Aug2020</t>
  </si>
  <si>
    <t>01Sep2020</t>
  </si>
  <si>
    <t>02Sep2020</t>
  </si>
  <si>
    <t>03Sep2020</t>
  </si>
  <si>
    <t>04Sep2020</t>
  </si>
  <si>
    <t>05Sep2020</t>
  </si>
  <si>
    <t>06Sep2020</t>
  </si>
  <si>
    <t>07Sep2020</t>
  </si>
  <si>
    <t>08Sep2020</t>
  </si>
  <si>
    <t>09Sep2020</t>
  </si>
  <si>
    <t>10Sep2020</t>
  </si>
  <si>
    <t>11Sep2020</t>
  </si>
  <si>
    <t>12Sep2020</t>
  </si>
  <si>
    <t>13Sep2020</t>
  </si>
  <si>
    <t>14Sep2020</t>
  </si>
  <si>
    <t>15Sep2020</t>
  </si>
  <si>
    <t>16Sep2020</t>
  </si>
  <si>
    <t>17Sep2020</t>
  </si>
  <si>
    <t>18Sep2020</t>
  </si>
  <si>
    <t>19Sep2020</t>
  </si>
  <si>
    <t>20Sep2020</t>
  </si>
  <si>
    <t>21Sep2020</t>
  </si>
  <si>
    <t>22Sep2020</t>
  </si>
  <si>
    <t>23Sep2020</t>
  </si>
  <si>
    <t>24Sep2020</t>
  </si>
  <si>
    <t>25Sep2020</t>
  </si>
  <si>
    <t>26Sep2020</t>
  </si>
  <si>
    <t>27Sep2020</t>
  </si>
  <si>
    <t>28Sep2020</t>
  </si>
  <si>
    <t>29Sep2020</t>
  </si>
  <si>
    <t>30Sep2020</t>
  </si>
  <si>
    <t>01Oct2020</t>
  </si>
  <si>
    <t>02Oct2020</t>
  </si>
  <si>
    <t>03Oct2020</t>
  </si>
  <si>
    <t>04Oct2020</t>
  </si>
  <si>
    <t>05Oct2020</t>
  </si>
  <si>
    <t>06Oct2020</t>
  </si>
  <si>
    <t>07Oct2020</t>
  </si>
  <si>
    <t>08Oct2020</t>
  </si>
  <si>
    <t>09Oct2020</t>
  </si>
  <si>
    <t>10Oct2020</t>
  </si>
  <si>
    <t>11Oct2020</t>
  </si>
  <si>
    <t>12Oct2020</t>
  </si>
  <si>
    <t>13Oct2020</t>
  </si>
  <si>
    <t>14Oct2020</t>
  </si>
  <si>
    <t>15Oct2020</t>
  </si>
  <si>
    <t>16Oct2020</t>
  </si>
  <si>
    <t>17Oct2020</t>
  </si>
  <si>
    <t>18Oct2020</t>
  </si>
  <si>
    <t>19Oct2020</t>
  </si>
  <si>
    <t>20Oct2020</t>
  </si>
  <si>
    <t>21Oct2020</t>
  </si>
  <si>
    <t>22Oct2020</t>
  </si>
  <si>
    <t>23Oct2020</t>
  </si>
  <si>
    <t>24Oct2020</t>
  </si>
  <si>
    <t>25Oct2020</t>
  </si>
  <si>
    <t>26Oct2020</t>
  </si>
  <si>
    <t>27Oct2020</t>
  </si>
  <si>
    <t>28Oct2020</t>
  </si>
  <si>
    <t>29Oct2020</t>
  </si>
  <si>
    <t>30Oct2020</t>
  </si>
  <si>
    <t>31Oct2020</t>
  </si>
  <si>
    <t>01Nov2020</t>
  </si>
  <si>
    <t>02Nov2020</t>
  </si>
  <si>
    <t>03Nov2020</t>
  </si>
  <si>
    <t>04Nov2020</t>
  </si>
  <si>
    <t>05Nov2020</t>
  </si>
  <si>
    <t>06Nov2020</t>
  </si>
  <si>
    <t>07Nov2020</t>
  </si>
  <si>
    <t>08Nov2020</t>
  </si>
  <si>
    <t>09Nov2020</t>
  </si>
  <si>
    <t>10Nov2020</t>
  </si>
  <si>
    <t>11Nov2020</t>
  </si>
  <si>
    <t>12Nov2020</t>
  </si>
  <si>
    <t>13Nov2020</t>
  </si>
  <si>
    <t>14Nov2020</t>
  </si>
  <si>
    <t>15Nov2020</t>
  </si>
  <si>
    <t>16Nov2020</t>
  </si>
  <si>
    <t>17Nov2020</t>
  </si>
  <si>
    <t>18Nov2020</t>
  </si>
  <si>
    <t>19Nov2020</t>
  </si>
  <si>
    <t>20Nov2020</t>
  </si>
  <si>
    <t>21Nov2020</t>
  </si>
  <si>
    <t>22Nov2020</t>
  </si>
  <si>
    <t>23Nov2020</t>
  </si>
  <si>
    <t>24Nov2020</t>
  </si>
  <si>
    <t>25Nov2020</t>
  </si>
  <si>
    <t>26Nov2020</t>
  </si>
  <si>
    <t>27Nov2020</t>
  </si>
  <si>
    <t>28Nov2020</t>
  </si>
  <si>
    <t>29Nov2020</t>
  </si>
  <si>
    <t>30Nov2020</t>
  </si>
  <si>
    <t>01Dec2020</t>
  </si>
  <si>
    <t>02Dec2020</t>
  </si>
  <si>
    <t>03Dec2020</t>
  </si>
  <si>
    <t>04Dec2020</t>
  </si>
  <si>
    <t>05Dec2020</t>
  </si>
  <si>
    <t>06Dec2020</t>
  </si>
  <si>
    <t>07Dec2020</t>
  </si>
  <si>
    <t>08Dec2020</t>
  </si>
  <si>
    <t>09Dec2020</t>
  </si>
  <si>
    <t>10Dec2020</t>
  </si>
  <si>
    <t>11Dec2020</t>
  </si>
  <si>
    <t>12Dec2020</t>
  </si>
  <si>
    <t>13Dec2020</t>
  </si>
  <si>
    <t>14Dec2020</t>
  </si>
  <si>
    <t>15Dec2020</t>
  </si>
  <si>
    <t>16Dec2020</t>
  </si>
  <si>
    <t>17Dec2020</t>
  </si>
  <si>
    <t>18Dec2020</t>
  </si>
  <si>
    <t>19Dec2020</t>
  </si>
  <si>
    <t>20Dec2020</t>
  </si>
  <si>
    <t>21Dec2020</t>
  </si>
  <si>
    <t>22Dec2020</t>
  </si>
  <si>
    <t>23Dec2020</t>
  </si>
  <si>
    <t>24Dec2020</t>
  </si>
  <si>
    <t>25Dec2020</t>
  </si>
  <si>
    <t>26Dec2020</t>
  </si>
  <si>
    <t>27Dec2020</t>
  </si>
  <si>
    <t>28Dec2020</t>
  </si>
  <si>
    <t>29Dec2020</t>
  </si>
  <si>
    <t>30Dec2020</t>
  </si>
  <si>
    <t>31Dec2020</t>
  </si>
  <si>
    <t>01Jan2021</t>
  </si>
  <si>
    <t>02Jan2021</t>
  </si>
  <si>
    <t>03Jan2021</t>
  </si>
  <si>
    <t>04Jan2021</t>
  </si>
  <si>
    <t>05Jan2021</t>
  </si>
  <si>
    <t>06Jan2021</t>
  </si>
  <si>
    <t>07Jan2021</t>
  </si>
  <si>
    <t>08Jan2021</t>
  </si>
  <si>
    <t>09Jan2021</t>
  </si>
  <si>
    <t>10Jan2021</t>
  </si>
  <si>
    <t>11Jan2021</t>
  </si>
  <si>
    <t>12Jan2021</t>
  </si>
  <si>
    <t>13Jan2021</t>
  </si>
  <si>
    <t>14Jan2021</t>
  </si>
  <si>
    <t>15Jan2021</t>
  </si>
  <si>
    <t>16Jan2021</t>
  </si>
  <si>
    <t>17Jan2021</t>
  </si>
  <si>
    <t>18Jan2021</t>
  </si>
  <si>
    <t>19Jan2021</t>
  </si>
  <si>
    <t>20Jan2021</t>
  </si>
  <si>
    <t>21Jan2021</t>
  </si>
  <si>
    <t>22Jan2021</t>
  </si>
  <si>
    <t>23Jan2021</t>
  </si>
  <si>
    <t>24Jan2021</t>
  </si>
  <si>
    <t>25Jan2021</t>
  </si>
  <si>
    <t>26Jan2021</t>
  </si>
  <si>
    <t>27Jan2021</t>
  </si>
  <si>
    <t>28Jan2021</t>
  </si>
  <si>
    <t>29Jan2021</t>
  </si>
  <si>
    <t>30Jan2021</t>
  </si>
  <si>
    <t>31Jan2021</t>
  </si>
  <si>
    <t>01Feb2021</t>
  </si>
  <si>
    <t>02Feb2021</t>
  </si>
  <si>
    <t>03Feb2021</t>
  </si>
  <si>
    <t>04Feb2021</t>
  </si>
  <si>
    <t>05Feb2021</t>
  </si>
  <si>
    <t>06Feb2021</t>
  </si>
  <si>
    <t>07Feb2021</t>
  </si>
  <si>
    <t>08Feb2021</t>
  </si>
  <si>
    <t>09Feb2021</t>
  </si>
  <si>
    <t>10Feb2021</t>
  </si>
  <si>
    <t>11Feb2021</t>
  </si>
  <si>
    <t>12Feb2021</t>
  </si>
  <si>
    <t>13Feb2021</t>
  </si>
  <si>
    <t>14Feb2021</t>
  </si>
  <si>
    <t>15Feb2021</t>
  </si>
  <si>
    <t>16Feb2021</t>
  </si>
  <si>
    <t>17Feb2021</t>
  </si>
  <si>
    <t>18Feb2021</t>
  </si>
  <si>
    <t>19Feb2021</t>
  </si>
  <si>
    <t>20Feb2021</t>
  </si>
  <si>
    <t>21Feb2021</t>
  </si>
  <si>
    <t>22Feb2021</t>
  </si>
  <si>
    <t>23Feb2021</t>
  </si>
  <si>
    <t>24Feb2021</t>
  </si>
  <si>
    <t>25Feb2021</t>
  </si>
  <si>
    <t>26Feb2021</t>
  </si>
  <si>
    <t>27Feb2021</t>
  </si>
  <si>
    <t>28Feb2021</t>
  </si>
  <si>
    <t>01Mar2021</t>
  </si>
  <si>
    <t>02Mar2021</t>
  </si>
  <si>
    <t>03Mar2021</t>
  </si>
  <si>
    <t>04Mar2021</t>
  </si>
  <si>
    <t>05Mar2021</t>
  </si>
  <si>
    <t>06Mar2021</t>
  </si>
  <si>
    <t>07Mar2021</t>
  </si>
  <si>
    <t>08Mar2021</t>
  </si>
  <si>
    <t>09Mar2021</t>
  </si>
  <si>
    <t>10Mar2021</t>
  </si>
  <si>
    <t>11Mar2021</t>
  </si>
  <si>
    <t>12Mar2021</t>
  </si>
  <si>
    <t>13Mar2021</t>
  </si>
  <si>
    <t>14Mar2021</t>
  </si>
  <si>
    <t>15Mar2021</t>
  </si>
  <si>
    <t>16Mar2021</t>
  </si>
  <si>
    <t>17Mar2021</t>
  </si>
  <si>
    <t>18Mar2021</t>
  </si>
  <si>
    <t>19Mar2021</t>
  </si>
  <si>
    <t>20Mar2021</t>
  </si>
  <si>
    <t>21Mar2021</t>
  </si>
  <si>
    <t>22Mar2021</t>
  </si>
  <si>
    <t>23Mar2021</t>
  </si>
  <si>
    <t>24Mar2021</t>
  </si>
  <si>
    <t>25Mar2021</t>
  </si>
  <si>
    <t>26Mar2021</t>
  </si>
  <si>
    <t>27Mar2021</t>
  </si>
  <si>
    <t>28Mar2021</t>
  </si>
  <si>
    <t>29Mar2021</t>
  </si>
  <si>
    <t>30Mar2021</t>
  </si>
  <si>
    <t>31Mar2021</t>
  </si>
  <si>
    <t>01Apr2021</t>
  </si>
  <si>
    <t>02Apr2021</t>
  </si>
  <si>
    <t>03Apr2021</t>
  </si>
  <si>
    <t>04Apr2021</t>
  </si>
  <si>
    <t>05Apr2021</t>
  </si>
  <si>
    <t>06Apr2021</t>
  </si>
  <si>
    <t>07Apr2021</t>
  </si>
  <si>
    <t>08Apr2021</t>
  </si>
  <si>
    <t>09Apr2021</t>
  </si>
  <si>
    <t>10Apr2021</t>
  </si>
  <si>
    <t>11Apr2021</t>
  </si>
  <si>
    <t>12Apr2021</t>
  </si>
  <si>
    <t>13Apr2021</t>
  </si>
  <si>
    <t>ABW</t>
  </si>
  <si>
    <t>AFG</t>
  </si>
  <si>
    <t>AGO</t>
  </si>
  <si>
    <t>ALB</t>
  </si>
  <si>
    <t>AND</t>
  </si>
  <si>
    <t>Andorra</t>
  </si>
  <si>
    <t>ARE</t>
  </si>
  <si>
    <t>ARG</t>
  </si>
  <si>
    <t>AUS</t>
  </si>
  <si>
    <t>AUT</t>
  </si>
  <si>
    <t>AZE</t>
  </si>
  <si>
    <t>BDI</t>
  </si>
  <si>
    <t>BEL</t>
  </si>
  <si>
    <t>BEN</t>
  </si>
  <si>
    <t>BFA</t>
  </si>
  <si>
    <t>BGD</t>
  </si>
  <si>
    <t>BGR</t>
  </si>
  <si>
    <t>BHR</t>
  </si>
  <si>
    <t>BHS</t>
  </si>
  <si>
    <t>BIH</t>
  </si>
  <si>
    <t>BLR</t>
  </si>
  <si>
    <t>BLZ</t>
  </si>
  <si>
    <t>BMU</t>
  </si>
  <si>
    <t>BOL</t>
  </si>
  <si>
    <t>BRA</t>
  </si>
  <si>
    <t>BRB</t>
  </si>
  <si>
    <t>BRN</t>
  </si>
  <si>
    <t>Brunei</t>
  </si>
  <si>
    <t>BTN</t>
  </si>
  <si>
    <t>BWA</t>
  </si>
  <si>
    <t>CAF</t>
  </si>
  <si>
    <t>CAN</t>
  </si>
  <si>
    <t>CHE</t>
  </si>
  <si>
    <t>CHL</t>
  </si>
  <si>
    <t>CHN</t>
  </si>
  <si>
    <t>CIV</t>
  </si>
  <si>
    <t>CMR</t>
  </si>
  <si>
    <t>COD</t>
  </si>
  <si>
    <t>COG</t>
  </si>
  <si>
    <t>COL</t>
  </si>
  <si>
    <t>COM</t>
  </si>
  <si>
    <t>CPV</t>
  </si>
  <si>
    <t>Cape Verde</t>
  </si>
  <si>
    <t>CRI</t>
  </si>
  <si>
    <t>CUB</t>
  </si>
  <si>
    <t>CYP</t>
  </si>
  <si>
    <t>CZE</t>
  </si>
  <si>
    <t>DEU</t>
  </si>
  <si>
    <t>DJI</t>
  </si>
  <si>
    <t>DMA</t>
  </si>
  <si>
    <t>DNK</t>
  </si>
  <si>
    <t>DOM</t>
  </si>
  <si>
    <t>DZA</t>
  </si>
  <si>
    <t>ECU</t>
  </si>
  <si>
    <t>EGY</t>
  </si>
  <si>
    <t>ERI</t>
  </si>
  <si>
    <t>ESP</t>
  </si>
  <si>
    <t>EST</t>
  </si>
  <si>
    <t>ETH</t>
  </si>
  <si>
    <t>FIN</t>
  </si>
  <si>
    <t>FJI</t>
  </si>
  <si>
    <t>FRA</t>
  </si>
  <si>
    <t>FRO</t>
  </si>
  <si>
    <t>GAB</t>
  </si>
  <si>
    <t>GBR</t>
  </si>
  <si>
    <t>GEO</t>
  </si>
  <si>
    <t>GHA</t>
  </si>
  <si>
    <t>GIN</t>
  </si>
  <si>
    <t>GMB</t>
  </si>
  <si>
    <t>GRC</t>
  </si>
  <si>
    <t>GRL</t>
  </si>
  <si>
    <t>GTM</t>
  </si>
  <si>
    <t>GUM</t>
  </si>
  <si>
    <t>GUY</t>
  </si>
  <si>
    <t>Hong Kong</t>
  </si>
  <si>
    <t>HND</t>
  </si>
  <si>
    <t>HRV</t>
  </si>
  <si>
    <t>HTI</t>
  </si>
  <si>
    <t>HUN</t>
  </si>
  <si>
    <t>IDN</t>
  </si>
  <si>
    <t>IND</t>
  </si>
  <si>
    <t>IRL</t>
  </si>
  <si>
    <t>IRN</t>
  </si>
  <si>
    <t>IRQ</t>
  </si>
  <si>
    <t>ISL</t>
  </si>
  <si>
    <t>ISR</t>
  </si>
  <si>
    <t>ITA</t>
  </si>
  <si>
    <t>JAM</t>
  </si>
  <si>
    <t>JOR</t>
  </si>
  <si>
    <t>JPN</t>
  </si>
  <si>
    <t>KAZ</t>
  </si>
  <si>
    <t>KEN</t>
  </si>
  <si>
    <t>KGZ</t>
  </si>
  <si>
    <t>KHM</t>
  </si>
  <si>
    <t>KIR</t>
  </si>
  <si>
    <t>KOR</t>
  </si>
  <si>
    <t>South Korea</t>
  </si>
  <si>
    <t>KWT</t>
  </si>
  <si>
    <t>LAO</t>
  </si>
  <si>
    <t>LBN</t>
  </si>
  <si>
    <t>LBR</t>
  </si>
  <si>
    <t>LBY</t>
  </si>
  <si>
    <t>LIE</t>
  </si>
  <si>
    <t>LKA</t>
  </si>
  <si>
    <t>LSO</t>
  </si>
  <si>
    <t>LTU</t>
  </si>
  <si>
    <t>LUX</t>
  </si>
  <si>
    <t>LVA</t>
  </si>
  <si>
    <t>MAC</t>
  </si>
  <si>
    <t>Macao</t>
  </si>
  <si>
    <t>MAR</t>
  </si>
  <si>
    <t>MCO</t>
  </si>
  <si>
    <t>Monaco</t>
  </si>
  <si>
    <t>MDG</t>
  </si>
  <si>
    <t>MEX</t>
  </si>
  <si>
    <t>MLI</t>
  </si>
  <si>
    <t>MLT</t>
  </si>
  <si>
    <t>MMR</t>
  </si>
  <si>
    <t>MNG</t>
  </si>
  <si>
    <t>MOZ</t>
  </si>
  <si>
    <t>MRT</t>
  </si>
  <si>
    <t>MUS</t>
  </si>
  <si>
    <t>MWI</t>
  </si>
  <si>
    <t>MYS</t>
  </si>
  <si>
    <t>NAM</t>
  </si>
  <si>
    <t>NER</t>
  </si>
  <si>
    <t>NGA</t>
  </si>
  <si>
    <t>NIC</t>
  </si>
  <si>
    <t>NLD</t>
  </si>
  <si>
    <t>NOR</t>
  </si>
  <si>
    <t>NPL</t>
  </si>
  <si>
    <t>NZL</t>
  </si>
  <si>
    <t>OMN</t>
  </si>
  <si>
    <t>PAK</t>
  </si>
  <si>
    <t>PAN</t>
  </si>
  <si>
    <t>PER</t>
  </si>
  <si>
    <t>PHL</t>
  </si>
  <si>
    <t>PNG</t>
  </si>
  <si>
    <t>POL</t>
  </si>
  <si>
    <t>PRI</t>
  </si>
  <si>
    <t>PRT</t>
  </si>
  <si>
    <t>PRY</t>
  </si>
  <si>
    <t>PSE</t>
  </si>
  <si>
    <t>QAT</t>
  </si>
  <si>
    <t>RKS</t>
  </si>
  <si>
    <t>Kosovo</t>
  </si>
  <si>
    <t>ROU</t>
  </si>
  <si>
    <t>RUS</t>
  </si>
  <si>
    <t>Russia</t>
  </si>
  <si>
    <t>RWA</t>
  </si>
  <si>
    <t>SAU</t>
  </si>
  <si>
    <t>SEN</t>
  </si>
  <si>
    <t>SGP</t>
  </si>
  <si>
    <t>SLB</t>
  </si>
  <si>
    <t>SLE</t>
  </si>
  <si>
    <t>SLV</t>
  </si>
  <si>
    <t>SMR</t>
  </si>
  <si>
    <t>SOM</t>
  </si>
  <si>
    <t>SUR</t>
  </si>
  <si>
    <t>SVK</t>
  </si>
  <si>
    <t>Slovak Republic</t>
  </si>
  <si>
    <t>SVN</t>
  </si>
  <si>
    <t>SWE</t>
  </si>
  <si>
    <t>SWZ</t>
  </si>
  <si>
    <t>SYC</t>
  </si>
  <si>
    <t>SYR</t>
  </si>
  <si>
    <t>TCD</t>
  </si>
  <si>
    <t>TGO</t>
  </si>
  <si>
    <t>THA</t>
  </si>
  <si>
    <t>TJK</t>
  </si>
  <si>
    <t>TKM</t>
  </si>
  <si>
    <t>TTO</t>
  </si>
  <si>
    <t>TUN</t>
  </si>
  <si>
    <t>TUR</t>
  </si>
  <si>
    <t>TWN</t>
  </si>
  <si>
    <t>Taiwan</t>
  </si>
  <si>
    <t>TZA</t>
  </si>
  <si>
    <t>UGA</t>
  </si>
  <si>
    <t>UKR</t>
  </si>
  <si>
    <t>URY</t>
  </si>
  <si>
    <t>USA</t>
  </si>
  <si>
    <t>United States</t>
  </si>
  <si>
    <t>UZB</t>
  </si>
  <si>
    <t>VEN</t>
  </si>
  <si>
    <t>VIR</t>
  </si>
  <si>
    <t>VNM</t>
  </si>
  <si>
    <t>VUT</t>
  </si>
  <si>
    <t>YEM</t>
  </si>
  <si>
    <t>ZAF</t>
  </si>
  <si>
    <t>ZMB</t>
  </si>
  <si>
    <t># of Days per month with restrictions</t>
  </si>
  <si>
    <t>Y/N Restrictions (&gt;10 days)</t>
  </si>
  <si>
    <t>Commodities (Clients) Input'!</t>
  </si>
  <si>
    <t>Visits Input'!</t>
  </si>
  <si>
    <t>Users Input'!</t>
  </si>
  <si>
    <t>V</t>
  </si>
  <si>
    <t>U</t>
  </si>
  <si>
    <t>Year_C2C</t>
  </si>
  <si>
    <t>Year_C2F</t>
  </si>
  <si>
    <t>Commodities (Facility) Input'!</t>
  </si>
  <si>
    <t>Slope of the best fit line</t>
  </si>
  <si>
    <t xml:space="preserve">Pente de la ligne de meilleur ajustement </t>
  </si>
  <si>
    <t>Users by Method 
(survey / FPET)</t>
  </si>
  <si>
    <t>Total Users (survey / FPET)</t>
  </si>
  <si>
    <t>1. Total Users Trends, FPET Estimates vs. Service Statistics Estimates (Adjusted and Unadjusted)</t>
  </si>
  <si>
    <t>1. Tendances totales des utilisatrices, les estimations de l'FPET vs. les estimations des statistiques de service (ajustées et non ajustées)</t>
  </si>
  <si>
    <t>2. Comparing Estimated Total FP Users, Survey/FPET vs Service Statistics (Adjusted and Unadjusted)</t>
  </si>
  <si>
    <t>2. Comparaison du nombre total estimé d'utilisatrices de PF, Enquête / FPET vs statistiques de service (ajustées et non ajustées)</t>
  </si>
  <si>
    <t xml:space="preserve">Review the graph above for consistency between survey (FPET) trends in Users compared to adjusted and unadjusted service statistics. Please comment belowand explain the trends above. </t>
  </si>
  <si>
    <t>Examinez le graphique ci-dessus pour examiner la cohérence entre les tendances des enquêtes (FPET) chez les utilisatrices et les statistiques de service ajustées et non ajustées. Veuillez commenter ci-dessous et expliquer les tendances ci-dessus.</t>
  </si>
  <si>
    <t>2018 AHS</t>
  </si>
  <si>
    <t>2015-2016 MICS</t>
  </si>
  <si>
    <t>2018 DHS-RHS</t>
  </si>
  <si>
    <t>Central African Rep.</t>
  </si>
  <si>
    <t>2019 MICS</t>
  </si>
  <si>
    <t>Cote d'Ivoire</t>
  </si>
  <si>
    <t>2019-20 DHS</t>
  </si>
  <si>
    <t>2010 MIDHS</t>
  </si>
  <si>
    <t>2018-2019 MICS</t>
  </si>
  <si>
    <t>Kyrgyz Rep.</t>
  </si>
  <si>
    <t>2018 ENPSF</t>
  </si>
  <si>
    <t>2020 DHS</t>
  </si>
  <si>
    <t>2020 SHDS</t>
  </si>
  <si>
    <t>2019-2020 MICS</t>
  </si>
  <si>
    <t>2009 FHS</t>
  </si>
  <si>
    <t>2012 MICS</t>
  </si>
  <si>
    <t>2013 DHS-NS</t>
  </si>
  <si>
    <t xml:space="preserve">Married Women </t>
  </si>
  <si>
    <t xml:space="preserve">All Women </t>
  </si>
  <si>
    <t>All</t>
  </si>
  <si>
    <t>Hormonal IUD (LNG-IUS)</t>
  </si>
  <si>
    <t>DIU Hormonal (LNG-IUS)</t>
  </si>
  <si>
    <t>IUD - Hormonal</t>
  </si>
  <si>
    <t>IUD - Copper</t>
  </si>
  <si>
    <t>3 Year Implant (Implanon, Levoplant)</t>
  </si>
  <si>
    <t>Implant de 3 ans (Implanon, Levoplant)</t>
  </si>
  <si>
    <t>5 Year Implant (Jadelle)</t>
  </si>
  <si>
    <t>Implant de 5 ans (Jadelle)</t>
  </si>
  <si>
    <t>4 Year Implant (Sino-Implant)</t>
  </si>
  <si>
    <t>Implant de 4 ans (Sino-Implant)</t>
  </si>
  <si>
    <t>Monthly Data Input</t>
  </si>
  <si>
    <t>Lookup Tab for Annual Data</t>
  </si>
  <si>
    <t>Data Type #</t>
  </si>
  <si>
    <t xml:space="preserve">STEP 1 of 3. Select Data Type for Monthly/Annual Data Comparison: </t>
  </si>
  <si>
    <t xml:space="preserve">ÉTAPE 1 DE 3. Sélectionnez le type de données pour la comparaison des données mensuelles / annuelles: </t>
  </si>
  <si>
    <t>STEP 2 of 3. ENTER REPORTING RATES FOR THE REPORTING FORM USED FOR THIS TYPE OF DATA</t>
  </si>
  <si>
    <t>ÉTAPE 2 DE 3. SAISIR LES TAUX DE COMPLÉTUDE</t>
  </si>
  <si>
    <t>STEP 2 of 3. ENTER MONTHLY DATA</t>
  </si>
  <si>
    <t>ÉTAPE 2 de 3. SAISIR LES DONNÉES MENSUELLES</t>
  </si>
  <si>
    <t xml:space="preserve">Paste in the monthly data (as values), by method, for the data type selected, from your COVID tool. </t>
  </si>
  <si>
    <t xml:space="preserve">Collez les données mensuelles (en tant que valeurs), par méthode, pour le type de données sélectionné, à partir de votre outil COVID. </t>
  </si>
  <si>
    <t>Average without Restriction</t>
  </si>
  <si>
    <t>Average During Restriction</t>
  </si>
  <si>
    <t>Sum of 2019 Monthly Services</t>
  </si>
  <si>
    <t>Sum of 2020 Montly Services</t>
  </si>
  <si>
    <t>Total Users</t>
  </si>
  <si>
    <t>STEP 3 of 4. Review COVID Restricted Movement Timeframe</t>
  </si>
  <si>
    <t xml:space="preserve">ÉTAPE 3 de 4. Examiner le délai de mouvement restreint COVID </t>
  </si>
  <si>
    <t xml:space="preserve">Data sourced from  Oxford Coronavirus Government Response Tracker (OxCGRT) : https://covidtracker.bsg.ox.ac.uk/ </t>
  </si>
  <si>
    <t>Months with COVID Restrictions</t>
  </si>
  <si>
    <t>1= Restricted movement for 10+ days in the month</t>
  </si>
  <si>
    <t>Services Aggregated by Method Type</t>
  </si>
  <si>
    <t>Without Restrictions</t>
  </si>
  <si>
    <t>With Restrictions</t>
  </si>
  <si>
    <t>ANNUAL DATA</t>
  </si>
  <si>
    <t>ANNUAL DATA / 12 - To COMPARE TO MONTHLY</t>
  </si>
  <si>
    <t>DATA FOR TREND GRAPHS BELOW</t>
  </si>
  <si>
    <t>Monthly Data</t>
  </si>
  <si>
    <t>Annual Data (Monthly Average)</t>
  </si>
  <si>
    <t>COVID Restrictions</t>
  </si>
  <si>
    <t>STEP 4 of 4. Review Monthly Service Provision Data (2019-2020) compared to Average Monthly Provision (from Annual Data Entry) against COVID Lockdown Period</t>
  </si>
  <si>
    <t xml:space="preserve">ÉTAPE 4 de 4. Examiner les données mensuelles de fourniture de service (2019-2020) par rapport à la fourniture mensuelle moyenne (à partir de la saisie annuelle des données) par rapport à la période de verrouillage COVID </t>
  </si>
  <si>
    <t>During COVID Lockdown (restricted movement)</t>
  </si>
  <si>
    <t>Outside of COVID Lockdown</t>
  </si>
  <si>
    <t>Comparing Annual and Monthly Totals</t>
  </si>
  <si>
    <t>2019 Annual Services</t>
  </si>
  <si>
    <t>Difference (sum of months minus annual)</t>
  </si>
  <si>
    <t>Sum of 2020 Monthly Services</t>
  </si>
  <si>
    <t>2020 Annual Services</t>
  </si>
  <si>
    <t>Monthly CYPs (if commodities or visits data entered) or USERS (if Users data entered)</t>
  </si>
  <si>
    <t>Annual CYPs (if commodities or visits) or USERS (if Users data entered)</t>
  </si>
  <si>
    <t>Monthly</t>
  </si>
  <si>
    <t>Permanent Methods</t>
  </si>
  <si>
    <t>Long Acting Reversible Methods</t>
  </si>
  <si>
    <t>Short Term Methods</t>
  </si>
  <si>
    <t>Annual</t>
  </si>
  <si>
    <t>Annual Data</t>
  </si>
  <si>
    <t>AL</t>
  </si>
  <si>
    <t>Female sterilization</t>
  </si>
  <si>
    <t>Male sterilization</t>
  </si>
  <si>
    <t>Implants</t>
  </si>
  <si>
    <t>AO</t>
  </si>
  <si>
    <t>CF</t>
  </si>
  <si>
    <t>1999-00 DHS</t>
  </si>
  <si>
    <t>1996-97 DHS</t>
  </si>
  <si>
    <t>1993-94 DHS</t>
  </si>
  <si>
    <t>1989 DHS</t>
  </si>
  <si>
    <t>1986 DHS</t>
  </si>
  <si>
    <t>1998-99 DHS</t>
  </si>
  <si>
    <t>1993 DHS</t>
  </si>
  <si>
    <t>1991 DHS</t>
  </si>
  <si>
    <t>1995 DHS</t>
  </si>
  <si>
    <t>Congo Democratic Republic</t>
  </si>
  <si>
    <t>1992 DHS</t>
  </si>
  <si>
    <t>1992-93 DHS</t>
  </si>
  <si>
    <t>1997 DHS</t>
  </si>
  <si>
    <t>1995-96 DHS</t>
  </si>
  <si>
    <t>1990-91 DHS</t>
  </si>
  <si>
    <t>1991-92 DHS</t>
  </si>
  <si>
    <t>1989-90 DHS</t>
  </si>
  <si>
    <t>1988-89 DHS</t>
  </si>
  <si>
    <t>Vietnam</t>
  </si>
  <si>
    <t>MICS 2015-16</t>
  </si>
  <si>
    <t>MICS 2018-19</t>
  </si>
  <si>
    <t>MICS 2019-20</t>
  </si>
  <si>
    <t>Updated 3.3.22</t>
  </si>
  <si>
    <t>Updated 3.3.22 based on 2021 report, but need to check for new surveys</t>
  </si>
  <si>
    <t>14Apr2021</t>
  </si>
  <si>
    <t>15Apr2021</t>
  </si>
  <si>
    <t>16Apr2021</t>
  </si>
  <si>
    <t>17Apr2021</t>
  </si>
  <si>
    <t>18Apr2021</t>
  </si>
  <si>
    <t>19Apr2021</t>
  </si>
  <si>
    <t>20Apr2021</t>
  </si>
  <si>
    <t>21Apr2021</t>
  </si>
  <si>
    <t>22Apr2021</t>
  </si>
  <si>
    <t>23Apr2021</t>
  </si>
  <si>
    <t>24Apr2021</t>
  </si>
  <si>
    <t>25Apr2021</t>
  </si>
  <si>
    <t>26Apr2021</t>
  </si>
  <si>
    <t>27Apr2021</t>
  </si>
  <si>
    <t>28Apr2021</t>
  </si>
  <si>
    <t>29Apr2021</t>
  </si>
  <si>
    <t>30Apr2021</t>
  </si>
  <si>
    <t>01May2021</t>
  </si>
  <si>
    <t>02May2021</t>
  </si>
  <si>
    <t>03May2021</t>
  </si>
  <si>
    <t>04May2021</t>
  </si>
  <si>
    <t>05May2021</t>
  </si>
  <si>
    <t>06May2021</t>
  </si>
  <si>
    <t>07May2021</t>
  </si>
  <si>
    <t>08May2021</t>
  </si>
  <si>
    <t>09May2021</t>
  </si>
  <si>
    <t>10May2021</t>
  </si>
  <si>
    <t>11May2021</t>
  </si>
  <si>
    <t>12May2021</t>
  </si>
  <si>
    <t>13May2021</t>
  </si>
  <si>
    <t>14May2021</t>
  </si>
  <si>
    <t>15May2021</t>
  </si>
  <si>
    <t>16May2021</t>
  </si>
  <si>
    <t>17May2021</t>
  </si>
  <si>
    <t>18May2021</t>
  </si>
  <si>
    <t>19May2021</t>
  </si>
  <si>
    <t>20May2021</t>
  </si>
  <si>
    <t>21May2021</t>
  </si>
  <si>
    <t>22May2021</t>
  </si>
  <si>
    <t>23May2021</t>
  </si>
  <si>
    <t>24May2021</t>
  </si>
  <si>
    <t>25May2021</t>
  </si>
  <si>
    <t>26May2021</t>
  </si>
  <si>
    <t>27May2021</t>
  </si>
  <si>
    <t>28May2021</t>
  </si>
  <si>
    <t>29May2021</t>
  </si>
  <si>
    <t>30May2021</t>
  </si>
  <si>
    <t>31May2021</t>
  </si>
  <si>
    <t>01Jun2021</t>
  </si>
  <si>
    <t>02Jun2021</t>
  </si>
  <si>
    <t>03Jun2021</t>
  </si>
  <si>
    <t>04Jun2021</t>
  </si>
  <si>
    <t>05Jun2021</t>
  </si>
  <si>
    <t>06Jun2021</t>
  </si>
  <si>
    <t>07Jun2021</t>
  </si>
  <si>
    <t>08Jun2021</t>
  </si>
  <si>
    <t>09Jun2021</t>
  </si>
  <si>
    <t>10Jun2021</t>
  </si>
  <si>
    <t>11Jun2021</t>
  </si>
  <si>
    <t>12Jun2021</t>
  </si>
  <si>
    <t>13Jun2021</t>
  </si>
  <si>
    <t>14Jun2021</t>
  </si>
  <si>
    <t>15Jun2021</t>
  </si>
  <si>
    <t>16Jun2021</t>
  </si>
  <si>
    <t>17Jun2021</t>
  </si>
  <si>
    <t>18Jun2021</t>
  </si>
  <si>
    <t>19Jun2021</t>
  </si>
  <si>
    <t>20Jun2021</t>
  </si>
  <si>
    <t>21Jun2021</t>
  </si>
  <si>
    <t>22Jun2021</t>
  </si>
  <si>
    <t>23Jun2021</t>
  </si>
  <si>
    <t>24Jun2021</t>
  </si>
  <si>
    <t>25Jun2021</t>
  </si>
  <si>
    <t>26Jun2021</t>
  </si>
  <si>
    <t>27Jun2021</t>
  </si>
  <si>
    <t>28Jun2021</t>
  </si>
  <si>
    <t>29Jun2021</t>
  </si>
  <si>
    <t>30Jun2021</t>
  </si>
  <si>
    <t>01Jul2021</t>
  </si>
  <si>
    <t>02Jul2021</t>
  </si>
  <si>
    <t>03Jul2021</t>
  </si>
  <si>
    <t>04Jul2021</t>
  </si>
  <si>
    <t>05Jul2021</t>
  </si>
  <si>
    <t>06Jul2021</t>
  </si>
  <si>
    <t>07Jul2021</t>
  </si>
  <si>
    <t>08Jul2021</t>
  </si>
  <si>
    <t>09Jul2021</t>
  </si>
  <si>
    <t>10Jul2021</t>
  </si>
  <si>
    <t>11Jul2021</t>
  </si>
  <si>
    <t>12Jul2021</t>
  </si>
  <si>
    <t>13Jul2021</t>
  </si>
  <si>
    <t>14Jul2021</t>
  </si>
  <si>
    <t>15Jul2021</t>
  </si>
  <si>
    <t>16Jul2021</t>
  </si>
  <si>
    <t>17Jul2021</t>
  </si>
  <si>
    <t>18Jul2021</t>
  </si>
  <si>
    <t>19Jul2021</t>
  </si>
  <si>
    <t>20Jul2021</t>
  </si>
  <si>
    <t>21Jul2021</t>
  </si>
  <si>
    <t>22Jul2021</t>
  </si>
  <si>
    <t>23Jul2021</t>
  </si>
  <si>
    <t>24Jul2021</t>
  </si>
  <si>
    <t>25Jul2021</t>
  </si>
  <si>
    <t>26Jul2021</t>
  </si>
  <si>
    <t>27Jul2021</t>
  </si>
  <si>
    <t>28Jul2021</t>
  </si>
  <si>
    <t>29Jul2021</t>
  </si>
  <si>
    <t>30Jul2021</t>
  </si>
  <si>
    <t>31Jul2021</t>
  </si>
  <si>
    <t>01Aug2021</t>
  </si>
  <si>
    <t>02Aug2021</t>
  </si>
  <si>
    <t>03Aug2021</t>
  </si>
  <si>
    <t>04Aug2021</t>
  </si>
  <si>
    <t>05Aug2021</t>
  </si>
  <si>
    <t>06Aug2021</t>
  </si>
  <si>
    <t>07Aug2021</t>
  </si>
  <si>
    <t>08Aug2021</t>
  </si>
  <si>
    <t>09Aug2021</t>
  </si>
  <si>
    <t>10Aug2021</t>
  </si>
  <si>
    <t>11Aug2021</t>
  </si>
  <si>
    <t>12Aug2021</t>
  </si>
  <si>
    <t>13Aug2021</t>
  </si>
  <si>
    <t>14Aug2021</t>
  </si>
  <si>
    <t>15Aug2021</t>
  </si>
  <si>
    <t>16Aug2021</t>
  </si>
  <si>
    <t>17Aug2021</t>
  </si>
  <si>
    <t>18Aug2021</t>
  </si>
  <si>
    <t>19Aug2021</t>
  </si>
  <si>
    <t>20Aug2021</t>
  </si>
  <si>
    <t>21Aug2021</t>
  </si>
  <si>
    <t>22Aug2021</t>
  </si>
  <si>
    <t>23Aug2021</t>
  </si>
  <si>
    <t>24Aug2021</t>
  </si>
  <si>
    <t>25Aug2021</t>
  </si>
  <si>
    <t>26Aug2021</t>
  </si>
  <si>
    <t>27Aug2021</t>
  </si>
  <si>
    <t>28Aug2021</t>
  </si>
  <si>
    <t>29Aug2021</t>
  </si>
  <si>
    <t>30Aug2021</t>
  </si>
  <si>
    <t>31Aug2021</t>
  </si>
  <si>
    <t>01Sep2021</t>
  </si>
  <si>
    <t>02Sep2021</t>
  </si>
  <si>
    <t>03Sep2021</t>
  </si>
  <si>
    <t>04Sep2021</t>
  </si>
  <si>
    <t>05Sep2021</t>
  </si>
  <si>
    <t>06Sep2021</t>
  </si>
  <si>
    <t>07Sep2021</t>
  </si>
  <si>
    <t>08Sep2021</t>
  </si>
  <si>
    <t>09Sep2021</t>
  </si>
  <si>
    <t>10Sep2021</t>
  </si>
  <si>
    <t>11Sep2021</t>
  </si>
  <si>
    <t>12Sep2021</t>
  </si>
  <si>
    <t>13Sep2021</t>
  </si>
  <si>
    <t>14Sep2021</t>
  </si>
  <si>
    <t>15Sep2021</t>
  </si>
  <si>
    <t>16Sep2021</t>
  </si>
  <si>
    <t>17Sep2021</t>
  </si>
  <si>
    <t>18Sep2021</t>
  </si>
  <si>
    <t>19Sep2021</t>
  </si>
  <si>
    <t>20Sep2021</t>
  </si>
  <si>
    <t>21Sep2021</t>
  </si>
  <si>
    <t>22Sep2021</t>
  </si>
  <si>
    <t>23Sep2021</t>
  </si>
  <si>
    <t>24Sep2021</t>
  </si>
  <si>
    <t>25Sep2021</t>
  </si>
  <si>
    <t>26Sep2021</t>
  </si>
  <si>
    <t>27Sep2021</t>
  </si>
  <si>
    <t>28Sep2021</t>
  </si>
  <si>
    <t>29Sep2021</t>
  </si>
  <si>
    <t>30Sep2021</t>
  </si>
  <si>
    <t>01Oct2021</t>
  </si>
  <si>
    <t>02Oct2021</t>
  </si>
  <si>
    <t>03Oct2021</t>
  </si>
  <si>
    <t>04Oct2021</t>
  </si>
  <si>
    <t>05Oct2021</t>
  </si>
  <si>
    <t>06Oct2021</t>
  </si>
  <si>
    <t>07Oct2021</t>
  </si>
  <si>
    <t>08Oct2021</t>
  </si>
  <si>
    <t>09Oct2021</t>
  </si>
  <si>
    <t>10Oct2021</t>
  </si>
  <si>
    <t>11Oct2021</t>
  </si>
  <si>
    <t>12Oct2021</t>
  </si>
  <si>
    <t>13Oct2021</t>
  </si>
  <si>
    <t>14Oct2021</t>
  </si>
  <si>
    <t>15Oct2021</t>
  </si>
  <si>
    <t>16Oct2021</t>
  </si>
  <si>
    <t>17Oct2021</t>
  </si>
  <si>
    <t>18Oct2021</t>
  </si>
  <si>
    <t>19Oct2021</t>
  </si>
  <si>
    <t>20Oct2021</t>
  </si>
  <si>
    <t>21Oct2021</t>
  </si>
  <si>
    <t>22Oct2021</t>
  </si>
  <si>
    <t>23Oct2021</t>
  </si>
  <si>
    <t>24Oct2021</t>
  </si>
  <si>
    <t>25Oct2021</t>
  </si>
  <si>
    <t>26Oct2021</t>
  </si>
  <si>
    <t>27Oct2021</t>
  </si>
  <si>
    <t>28Oct2021</t>
  </si>
  <si>
    <t>29Oct2021</t>
  </si>
  <si>
    <t>30Oct2021</t>
  </si>
  <si>
    <t>31Oct2021</t>
  </si>
  <si>
    <t>01Nov2021</t>
  </si>
  <si>
    <t>02Nov2021</t>
  </si>
  <si>
    <t>03Nov2021</t>
  </si>
  <si>
    <t>04Nov2021</t>
  </si>
  <si>
    <t>05Nov2021</t>
  </si>
  <si>
    <t>06Nov2021</t>
  </si>
  <si>
    <t>07Nov2021</t>
  </si>
  <si>
    <t>08Nov2021</t>
  </si>
  <si>
    <t>09Nov2021</t>
  </si>
  <si>
    <t>10Nov2021</t>
  </si>
  <si>
    <t>11Nov2021</t>
  </si>
  <si>
    <t>12Nov2021</t>
  </si>
  <si>
    <t>13Nov2021</t>
  </si>
  <si>
    <t>14Nov2021</t>
  </si>
  <si>
    <t>15Nov2021</t>
  </si>
  <si>
    <t>16Nov2021</t>
  </si>
  <si>
    <t>17Nov2021</t>
  </si>
  <si>
    <t>18Nov2021</t>
  </si>
  <si>
    <t>19Nov2021</t>
  </si>
  <si>
    <t>20Nov2021</t>
  </si>
  <si>
    <t>21Nov2021</t>
  </si>
  <si>
    <t>22Nov2021</t>
  </si>
  <si>
    <t>23Nov2021</t>
  </si>
  <si>
    <t>24Nov2021</t>
  </si>
  <si>
    <t>25Nov2021</t>
  </si>
  <si>
    <t>26Nov2021</t>
  </si>
  <si>
    <t>27Nov2021</t>
  </si>
  <si>
    <t>28Nov2021</t>
  </si>
  <si>
    <t>29Nov2021</t>
  </si>
  <si>
    <t>30Nov2021</t>
  </si>
  <si>
    <t>01Dec2021</t>
  </si>
  <si>
    <t>02Dec2021</t>
  </si>
  <si>
    <t>03Dec2021</t>
  </si>
  <si>
    <t>04Dec2021</t>
  </si>
  <si>
    <t>05Dec2021</t>
  </si>
  <si>
    <t>06Dec2021</t>
  </si>
  <si>
    <t>07Dec2021</t>
  </si>
  <si>
    <t>08Dec2021</t>
  </si>
  <si>
    <t>09Dec2021</t>
  </si>
  <si>
    <t>10Dec2021</t>
  </si>
  <si>
    <t>11Dec2021</t>
  </si>
  <si>
    <t>12Dec2021</t>
  </si>
  <si>
    <t>13Dec2021</t>
  </si>
  <si>
    <t>14Dec2021</t>
  </si>
  <si>
    <t>15Dec2021</t>
  </si>
  <si>
    <t>16Dec2021</t>
  </si>
  <si>
    <t>17Dec2021</t>
  </si>
  <si>
    <t>18Dec2021</t>
  </si>
  <si>
    <t>19Dec2021</t>
  </si>
  <si>
    <t>20Dec2021</t>
  </si>
  <si>
    <t>21Dec2021</t>
  </si>
  <si>
    <t>22Dec2021</t>
  </si>
  <si>
    <t>23Dec2021</t>
  </si>
  <si>
    <t>24Dec2021</t>
  </si>
  <si>
    <t>25Dec2021</t>
  </si>
  <si>
    <t>26Dec2021</t>
  </si>
  <si>
    <t>27Dec2021</t>
  </si>
  <si>
    <t>28Dec2021</t>
  </si>
  <si>
    <t>29Dec2021</t>
  </si>
  <si>
    <t>30Dec2021</t>
  </si>
  <si>
    <t>31Dec2021</t>
  </si>
  <si>
    <t>Democratic Republic of Congo</t>
  </si>
  <si>
    <t>Laos</t>
  </si>
  <si>
    <t>Palestine</t>
  </si>
  <si>
    <t>Sum of 2021 Montly Services</t>
  </si>
  <si>
    <t>Overall Monthly Average (2019-2021)</t>
  </si>
  <si>
    <t>Sum of 2021 Monthly Services</t>
  </si>
  <si>
    <t>Overall (2019-2021)</t>
  </si>
  <si>
    <t>2021 Annual Services</t>
  </si>
  <si>
    <t>Average Monthly Services (2019-2021)</t>
  </si>
  <si>
    <t>Pendant le verrouillage COVID (circulation restreinte)</t>
  </si>
  <si>
    <t>En dehors du verrouillage COVID</t>
  </si>
  <si>
    <t>Comparaison des totaux annuels et mensuels</t>
  </si>
  <si>
    <t>Somme des services mensuels 2019</t>
  </si>
  <si>
    <t>Prestations annuelles 2019</t>
  </si>
  <si>
    <t>Différence (somme des mois moins annuelle)</t>
  </si>
  <si>
    <t>Somme des services mensuels 2020</t>
  </si>
  <si>
    <t>Prestations annuelles 2020</t>
  </si>
  <si>
    <t>Services mensuels moyens (2019-2021)</t>
  </si>
  <si>
    <t>Globalement (2019-2021)</t>
  </si>
  <si>
    <t>Somme des services mensuels 2021</t>
  </si>
  <si>
    <t>Prestations annuelles 2021</t>
  </si>
  <si>
    <t>Saisie mensuelle des données</t>
  </si>
  <si>
    <t>FACTEUR CAP</t>
  </si>
  <si>
    <t>UNITÉS</t>
  </si>
  <si>
    <t>Mois avec restrictions COVID</t>
  </si>
  <si>
    <t>Données provenant d'Oxford Coronavirus Government Response Tracker (OxCGRT) : https://covidtracker.bsg.ox.ac.uk/</t>
  </si>
  <si>
    <t>1 = Mouvement restreint pendant plus de 10 jours dans le mois</t>
  </si>
  <si>
    <t>The graphs below compare, by method,  monthly service provision data from 2019-2021 and annual service provision data (for as many years as available) to help illustrate the variability in monthly data and highlight the possible impact that COVID lockdowns may have had on service provision. This is also intended to help indicate discrepancies between Annual and Monthly data for 2019, 2020, and 2021 (see the table)</t>
  </si>
  <si>
    <t>Les graphiques ci-dessous comparent, par méthode, les données mensuelles sur la fourniture de services de 2019-2021 et les données annuelles sur la fourniture de services (pour autant d'années que disponibles) pour aider à illustrer la variabilité des données mensuelles et mettre en évidence l'impact possible que les blocages COVID ont pu avoir sur le service. disposition. Ceci est également destiné à aider à indiquer les écarts entre les données annuelles et mensuelles pour 2019, 2020, et 2021 (voir le tableau)</t>
  </si>
  <si>
    <t>Les données annuelles (moyenne mensuelle)</t>
  </si>
  <si>
    <t>Average Monthly (from Annual) vs Actual Monthly Service Provision</t>
  </si>
  <si>
    <t>Moyenne mensuelle (par rapport à annuelle) contre la prestation de service mensuelle réelle</t>
  </si>
  <si>
    <t>Les données mensuelles</t>
  </si>
  <si>
    <t>Les données annuelles</t>
  </si>
  <si>
    <t>Visites &amp; Utilisatrices de PF</t>
  </si>
  <si>
    <t>Utilisatrices de PF</t>
  </si>
  <si>
    <t>Résultat : Examinez les Utilisatrices PF et l'EUM calculés à partir des données des produits distribués aux clients</t>
  </si>
  <si>
    <t>Utilisatrices par méthode 
(statistiques de service)</t>
  </si>
  <si>
    <t>Utilisatrices par méthode 
(enquête)</t>
  </si>
  <si>
    <t>Utilisatrices par méthode 
(statistiques de service - non ajustées)</t>
  </si>
  <si>
    <t>Utilisatrices par méthode 
(statistiques de service - ajustées)</t>
  </si>
  <si>
    <t>Utilisatrices par méthode 
(enquête / FPET)</t>
  </si>
  <si>
    <t>Utilisatrices (statistiques de service - non ajustées)</t>
  </si>
  <si>
    <t>Utilisatrices (statistiques de service - ajustées)</t>
  </si>
  <si>
    <t>Utilisatrices (enquête / FPET)</t>
  </si>
  <si>
    <t xml:space="preserve">Utilisatrices par méthode 
</t>
  </si>
  <si>
    <t>Résultat : Examinez les Utilisatrices PF et l'EUM calculés à partir des données des produits distribués aux établissement</t>
  </si>
  <si>
    <t>Résultat : Examinez les Utilisatrices PF et l'EUM calculés à partir des données des visites</t>
  </si>
  <si>
    <t>Résultat : Examinez les Utilisatrices PF et l'EUM calculés à partir des données des utlisateurs</t>
  </si>
  <si>
    <t>Taux de complétude : Utilisatrices</t>
  </si>
  <si>
    <t>Disposez-vous de données sur les utilisatrices ?</t>
  </si>
  <si>
    <t>CONFIGURATION: utilisez cet onglet pour examiner et modifier le facteur d'ajustement utilisé pour ajuster pour le secteur privé ne rapportent pas dans le SNIS. En utilisant ce facteur d'ajustement, nous gonflerons le volume de produits / services / utilisatrices de PF saisis afin d'obtenir une estimation représentative au niveau national de l'utilisation des contraceptifs.</t>
  </si>
  <si>
    <t>En utilisant les données de l'EDS sur la méthode contraceptive par méthode, nous pouvons ajuster nos estimations pour tenter d'intégrer les utilisatrices qui accèdent aux services d'autres secteurs qui ne déclarent pas dans les systèmes nationaux d'information sur la santé.</t>
  </si>
  <si>
    <t>1. Tendances des utilisatrices par Méthode</t>
  </si>
  <si>
    <t>2. Comparaison du nombre total estimé d'utilisatrices de PF : Statistiques des services et enquêtes</t>
  </si>
  <si>
    <t>Comparez les utilisatrices estimés entre les enquêtes et les statistiques de service. Les niveaux semblent-ils cohérents? Des méthodes semblent-elles radicalement différentes? Y a-t-il une raison à cette différence?</t>
  </si>
  <si>
    <t>Sur la base de vos données, nous avons calculé les utilisatrices modernes par méthode, combinaison de méthodes modernes, et l'utilisation moderne estimée (EMU) qui en résulte, calculées en tant qu'utilisatrices / femmes en âge de procréer. Passez en revue les résultats dans les graphiques et les tableaux ci-dessous.</t>
  </si>
  <si>
    <t>5. Comparez les tendances des utilisatrices : EUM, FPET, et Enquêtes</t>
  </si>
  <si>
    <t>ÉTAPE OPTIONNELLE : Examinez les nombres de vos utilisatrices, calculés à partir des données sur les produits aux clients que vous avez saisies sur la page précédente.</t>
  </si>
  <si>
    <t xml:space="preserve">**Pour calculer l'EUM, l'exclusion des préservatifs est recommandée pour éviter des problèmes éventuels avec les données sur les préservatifs liées à une utilisation d'une double méthode , les difficultés liées à l'estimation des utilisatrices à partir des données sur les préservatifs et parce que dans de nombreux pays, les préservatifs sont généralement accédés par le secteur privé.   </t>
  </si>
  <si>
    <t>ÉTAPE OPTIONNELLE : Examinez les nombres de vos utilisatrices, calculés à partir des données des produits distribués aux établissement que vous avez saisies sur la page précédente.</t>
  </si>
  <si>
    <t>Saisissez les chiffres des utilisatrices annuels par méthode dans le tableau ci-dessous pour les méthodes utilisées dans votre pays. Saisissez les données pour chaque année.</t>
  </si>
  <si>
    <t>utilisatrices</t>
  </si>
  <si>
    <t>Résultats: Tendances des utilisatrices par méthode</t>
  </si>
  <si>
    <t>Estimation des Utilisatrices Modernes</t>
  </si>
  <si>
    <t>Estimation des Utilisatrices Modernes , exclusion des Préservatifs**</t>
  </si>
  <si>
    <t>Estimation des Utilisatrices Modernes: Ajusté pour le secteur privé</t>
  </si>
  <si>
    <t xml:space="preserve">Review of Monthly vs Annual Data: </t>
  </si>
  <si>
    <t>Examen des données mensuelles vs annuelles :</t>
  </si>
  <si>
    <t xml:space="preserve">Data Type Compared: </t>
  </si>
  <si>
    <t>Type de données comparé :</t>
  </si>
  <si>
    <t>CAP mensuels (si les données sur les produits ou les visites sont saisies) ou UTILISATRICES (si les données sur les utilisatrices sont saisies)</t>
  </si>
  <si>
    <t>CAP annuels (si les données sur les produits ou les visites sont saisies) ou UTILISATRICES (si les données sur les utilisatrices sont saisies)</t>
  </si>
  <si>
    <t>Stérilisation (F)</t>
  </si>
  <si>
    <t>Stérilisation (M)</t>
  </si>
  <si>
    <t>Condom (M+F)</t>
  </si>
  <si>
    <t>Préservatifs (M+F)</t>
  </si>
  <si>
    <t>Méthodes permanentes</t>
  </si>
  <si>
    <t>Méthodes réversibles à longue durée d'action</t>
  </si>
  <si>
    <t>Méthodes à court terme</t>
  </si>
  <si>
    <t>Period of Monthly Comparison</t>
  </si>
  <si>
    <t>Période de comparaison mensuelle</t>
  </si>
  <si>
    <t>Données annuelles</t>
  </si>
  <si>
    <t>Montly Data</t>
  </si>
  <si>
    <t>Données mensuelles</t>
  </si>
  <si>
    <t>Trend in Total CYPs</t>
  </si>
  <si>
    <t>Tendance des CAP totaux</t>
  </si>
  <si>
    <t xml:space="preserve">Indicator: </t>
  </si>
  <si>
    <t>CAP Totale</t>
  </si>
  <si>
    <t>Tendance par type de méthode</t>
  </si>
  <si>
    <t>Trend by Method Type</t>
  </si>
  <si>
    <t>Tendance par méthode</t>
  </si>
  <si>
    <t>Trend by Method</t>
  </si>
  <si>
    <t>Trend in the CYP Method Mix</t>
  </si>
  <si>
    <t>Les taux de complétude</t>
  </si>
  <si>
    <t>Comparing Annual and Monthly Rates</t>
  </si>
  <si>
    <t>Comparaison des taux annuels et mensuels</t>
  </si>
  <si>
    <t>Average of 2019 Monthly Rates</t>
  </si>
  <si>
    <t>2019 Annual Rates</t>
  </si>
  <si>
    <t>% Difference</t>
  </si>
  <si>
    <t>Average of 2020 Monthly Rates</t>
  </si>
  <si>
    <t>2020 Annual Rates</t>
  </si>
  <si>
    <t>Average of 2021 Monthly Rates</t>
  </si>
  <si>
    <t>2021 Annual Rates</t>
  </si>
  <si>
    <t>Moyenne des taux mensuels de 2019</t>
  </si>
  <si>
    <t>Taux annuels 2019</t>
  </si>
  <si>
    <t>% Différence</t>
  </si>
  <si>
    <t>Moyenne des taux mensuels de 2020</t>
  </si>
  <si>
    <t>Taux annuels 2020</t>
  </si>
  <si>
    <t>Moyenne des taux mensuels de 2021</t>
  </si>
  <si>
    <t>Taux annuels 2021</t>
  </si>
  <si>
    <t>Annual vs Monthly Reporting Rates</t>
  </si>
  <si>
    <t>Les taux de complétude annuels vs mensuels</t>
  </si>
  <si>
    <t>Tendance dans le mélange de méthodes pour les CAP</t>
  </si>
  <si>
    <t>GM7</t>
  </si>
  <si>
    <t>2019-21 DHS</t>
  </si>
  <si>
    <t>IA7</t>
  </si>
  <si>
    <t>RW7</t>
  </si>
  <si>
    <t>2021 DHS</t>
  </si>
  <si>
    <t>MD7</t>
  </si>
  <si>
    <t>2020 PMA</t>
  </si>
  <si>
    <t>2019-2021 NFHS</t>
  </si>
  <si>
    <t>PMA 2021</t>
  </si>
  <si>
    <t>2019-20 MICS</t>
  </si>
  <si>
    <t>2020-21 MICS</t>
  </si>
  <si>
    <t>Updated 11.8.22 FPET GLOBAL RUN for 2022</t>
  </si>
  <si>
    <t>WRA WPP 2022 - Updated Nov 2022</t>
  </si>
  <si>
    <t>mWRA - based on WPP 2022 * Marriage Estimates 2020 (Both from UNPD); Updated Nov 2022</t>
  </si>
  <si>
    <t>Micronesia</t>
  </si>
  <si>
    <t>FPET Global Run (2022)</t>
  </si>
  <si>
    <t>Note - If unedited, population data is sourced from  UNPD's World Population Prospects 2022</t>
  </si>
  <si>
    <t>Remarque - Si non édité, les données démographiques proviennent de Perspectives de la population mondiale 2022 de l'UNPD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</si>
</sst>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_(* \(#,##0.00\);_(* &quot;-&quot;??_);_(@_)"/>
    <numFmt numFmtId="164" formatCode="_(* #,##0_);_(* \(#,##0\);_(* &quot;-&quot;??_);_(@_)"/>
    <numFmt numFmtId="165" formatCode="0.0%"/>
    <numFmt numFmtId="166" formatCode="0.000%"/>
    <numFmt numFmtId="167" formatCode="0.0"/>
    <numFmt numFmtId="168" formatCode="_(* #,##0.0_);_(* \(#,##0.0\);_(* &quot;-&quot;??_);_(@_)"/>
    <numFmt numFmtId="169" formatCode="0.000"/>
    <numFmt numFmtId="170" formatCode="mmm"/>
    <numFmt numFmtId="171" formatCode="#,##0.000000000000000000"/>
  </numFmts>
  <fonts count="116" x14ac:knownFonts="1">
    <font>
      <sz val="11"/>
      <color theme="1"/>
      <name val="Calibri"/>
      <family val="2"/>
      <scheme val="minor"/>
    </font>
    <font>
      <sz val="11"/>
      <color theme="1"/>
      <name val="Calibri"/>
      <family val="2"/>
      <scheme val="minor"/>
    </font>
    <font>
      <b/>
      <sz val="11"/>
      <color theme="1"/>
      <name val="Calibri"/>
      <family val="2"/>
      <scheme val="minor"/>
    </font>
    <font>
      <b/>
      <sz val="10"/>
      <color theme="1"/>
      <name val="Calibri"/>
      <family val="2"/>
      <scheme val="minor"/>
    </font>
    <font>
      <sz val="10"/>
      <color theme="1"/>
      <name val="Calibri"/>
      <family val="2"/>
      <scheme val="minor"/>
    </font>
    <font>
      <b/>
      <sz val="11"/>
      <color theme="8" tint="-0.249977111117893"/>
      <name val="Calibri"/>
      <family val="2"/>
      <scheme val="minor"/>
    </font>
    <font>
      <sz val="10"/>
      <name val="Calibri"/>
      <family val="2"/>
      <scheme val="minor"/>
    </font>
    <font>
      <b/>
      <sz val="10"/>
      <name val="Calibri"/>
      <family val="2"/>
      <scheme val="minor"/>
    </font>
    <font>
      <sz val="11"/>
      <color rgb="FFFF0000"/>
      <name val="Calibri"/>
      <family val="2"/>
      <scheme val="minor"/>
    </font>
    <font>
      <i/>
      <sz val="11"/>
      <color theme="1"/>
      <name val="Calibri"/>
      <family val="2"/>
      <scheme val="minor"/>
    </font>
    <font>
      <b/>
      <sz val="11"/>
      <color rgb="FF002060"/>
      <name val="Calibri"/>
      <family val="2"/>
      <scheme val="minor"/>
    </font>
    <font>
      <sz val="11"/>
      <color rgb="FF002060"/>
      <name val="Calibri"/>
      <family val="2"/>
      <scheme val="minor"/>
    </font>
    <font>
      <b/>
      <sz val="14"/>
      <color rgb="FF002060"/>
      <name val="Calibri"/>
      <family val="2"/>
      <scheme val="minor"/>
    </font>
    <font>
      <i/>
      <sz val="11"/>
      <color rgb="FFFF0000"/>
      <name val="Calibri"/>
      <family val="2"/>
      <scheme val="minor"/>
    </font>
    <font>
      <b/>
      <sz val="12"/>
      <color theme="1"/>
      <name val="Calibri"/>
      <family val="2"/>
      <scheme val="minor"/>
    </font>
    <font>
      <i/>
      <sz val="10"/>
      <color rgb="FFFF0000"/>
      <name val="Calibri"/>
      <family val="2"/>
      <scheme val="minor"/>
    </font>
    <font>
      <b/>
      <sz val="16"/>
      <color theme="0"/>
      <name val="Calibri"/>
      <family val="2"/>
      <scheme val="minor"/>
    </font>
    <font>
      <b/>
      <sz val="11"/>
      <color theme="0"/>
      <name val="Calibri"/>
      <family val="2"/>
      <scheme val="minor"/>
    </font>
    <font>
      <b/>
      <sz val="14"/>
      <color theme="0"/>
      <name val="Calibri"/>
      <family val="2"/>
      <scheme val="minor"/>
    </font>
    <font>
      <u/>
      <sz val="11"/>
      <color theme="10"/>
      <name val="Calibri"/>
      <family val="2"/>
      <scheme val="minor"/>
    </font>
    <font>
      <sz val="11"/>
      <color theme="0"/>
      <name val="Calibri"/>
      <family val="2"/>
      <scheme val="minor"/>
    </font>
    <font>
      <sz val="8"/>
      <color theme="1"/>
      <name val="Calibri"/>
      <family val="2"/>
      <scheme val="minor"/>
    </font>
    <font>
      <b/>
      <sz val="9"/>
      <color indexed="81"/>
      <name val="Tahoma"/>
      <family val="2"/>
    </font>
    <font>
      <i/>
      <sz val="11"/>
      <color theme="0"/>
      <name val="Calibri"/>
      <family val="2"/>
      <scheme val="minor"/>
    </font>
    <font>
      <b/>
      <sz val="18"/>
      <color theme="0"/>
      <name val="Calibri"/>
      <family val="2"/>
      <scheme val="minor"/>
    </font>
    <font>
      <b/>
      <sz val="20"/>
      <color theme="0"/>
      <name val="Calibri"/>
      <family val="2"/>
      <scheme val="minor"/>
    </font>
    <font>
      <b/>
      <sz val="16"/>
      <color theme="2"/>
      <name val="Calibri"/>
      <family val="2"/>
      <scheme val="minor"/>
    </font>
    <font>
      <b/>
      <sz val="11"/>
      <color theme="2"/>
      <name val="Calibri"/>
      <family val="2"/>
      <scheme val="minor"/>
    </font>
    <font>
      <i/>
      <sz val="12"/>
      <color theme="1"/>
      <name val="Calibri"/>
      <family val="2"/>
      <scheme val="minor"/>
    </font>
    <font>
      <i/>
      <sz val="14"/>
      <color theme="1"/>
      <name val="Calibri"/>
      <family val="2"/>
      <scheme val="minor"/>
    </font>
    <font>
      <b/>
      <sz val="10"/>
      <color theme="0"/>
      <name val="Calibri"/>
      <family val="2"/>
      <scheme val="minor"/>
    </font>
    <font>
      <sz val="10"/>
      <color rgb="FFFF0000"/>
      <name val="Calibri"/>
      <family val="2"/>
      <scheme val="minor"/>
    </font>
    <font>
      <sz val="10"/>
      <color theme="0"/>
      <name val="Calibri"/>
      <family val="2"/>
      <scheme val="minor"/>
    </font>
    <font>
      <sz val="11"/>
      <name val="Calibri"/>
      <family val="2"/>
      <scheme val="minor"/>
    </font>
    <font>
      <i/>
      <sz val="10"/>
      <color theme="1"/>
      <name val="Calibri"/>
      <family val="2"/>
      <scheme val="minor"/>
    </font>
    <font>
      <b/>
      <sz val="8"/>
      <color indexed="8"/>
      <name val="Arial"/>
      <family val="2"/>
    </font>
    <font>
      <sz val="8"/>
      <color indexed="8"/>
      <name val="Arial"/>
      <family val="2"/>
    </font>
    <font>
      <i/>
      <sz val="9"/>
      <color theme="1"/>
      <name val="Calibri"/>
      <family val="2"/>
      <scheme val="minor"/>
    </font>
    <font>
      <sz val="11"/>
      <color rgb="FFC00000"/>
      <name val="Calibri"/>
      <family val="2"/>
      <scheme val="minor"/>
    </font>
    <font>
      <sz val="11"/>
      <color theme="2" tint="-0.499984740745262"/>
      <name val="Calibri"/>
      <family val="2"/>
      <scheme val="minor"/>
    </font>
    <font>
      <sz val="9"/>
      <color theme="1"/>
      <name val="Calibri"/>
      <family val="2"/>
      <scheme val="minor"/>
    </font>
    <font>
      <b/>
      <sz val="11"/>
      <color rgb="FFC00000"/>
      <name val="Calibri"/>
      <family val="2"/>
      <scheme val="minor"/>
    </font>
    <font>
      <sz val="9"/>
      <color indexed="81"/>
      <name val="Tahoma"/>
      <family val="2"/>
    </font>
    <font>
      <b/>
      <i/>
      <sz val="14"/>
      <color theme="0"/>
      <name val="Calibri"/>
      <family val="2"/>
      <scheme val="minor"/>
    </font>
    <font>
      <b/>
      <sz val="11"/>
      <name val="Calibri"/>
      <family val="2"/>
      <scheme val="minor"/>
    </font>
    <font>
      <b/>
      <sz val="14"/>
      <name val="Calibri"/>
      <family val="2"/>
      <scheme val="minor"/>
    </font>
    <font>
      <sz val="14"/>
      <color theme="1"/>
      <name val="Calibri"/>
      <family val="2"/>
      <scheme val="minor"/>
    </font>
    <font>
      <sz val="20"/>
      <color theme="0"/>
      <name val="Calibri"/>
      <family val="2"/>
      <scheme val="minor"/>
    </font>
    <font>
      <sz val="12"/>
      <name val="Calibri"/>
      <family val="2"/>
      <scheme val="minor"/>
    </font>
    <font>
      <b/>
      <sz val="24"/>
      <color theme="0"/>
      <name val="Calibri"/>
      <family val="2"/>
      <scheme val="minor"/>
    </font>
    <font>
      <b/>
      <sz val="18"/>
      <color theme="2"/>
      <name val="Calibri"/>
      <family val="2"/>
      <scheme val="minor"/>
    </font>
    <font>
      <sz val="11"/>
      <color theme="2"/>
      <name val="Calibri"/>
      <family val="2"/>
      <scheme val="minor"/>
    </font>
    <font>
      <i/>
      <sz val="11"/>
      <name val="Calibri"/>
      <family val="2"/>
      <scheme val="minor"/>
    </font>
    <font>
      <i/>
      <sz val="16"/>
      <color theme="2"/>
      <name val="Calibri"/>
      <family val="2"/>
      <scheme val="minor"/>
    </font>
    <font>
      <b/>
      <sz val="20"/>
      <color theme="2"/>
      <name val="Calibri"/>
      <family val="2"/>
      <scheme val="minor"/>
    </font>
    <font>
      <b/>
      <sz val="12"/>
      <color theme="0"/>
      <name val="Calibri"/>
      <family val="2"/>
      <scheme val="minor"/>
    </font>
    <font>
      <b/>
      <sz val="22"/>
      <color theme="3"/>
      <name val="Calibri"/>
      <family val="2"/>
      <scheme val="minor"/>
    </font>
    <font>
      <b/>
      <sz val="22"/>
      <color rgb="FFFF0000"/>
      <name val="Calibri"/>
      <family val="2"/>
      <scheme val="minor"/>
    </font>
    <font>
      <b/>
      <i/>
      <sz val="12"/>
      <color theme="1"/>
      <name val="Calibri"/>
      <family val="2"/>
      <scheme val="minor"/>
    </font>
    <font>
      <sz val="11"/>
      <color theme="1"/>
      <name val="Calibri"/>
      <family val="2"/>
    </font>
    <font>
      <b/>
      <sz val="14"/>
      <color theme="1"/>
      <name val="Calibri"/>
      <family val="2"/>
      <scheme val="minor"/>
    </font>
    <font>
      <b/>
      <i/>
      <sz val="11"/>
      <color theme="1"/>
      <name val="Calibri"/>
      <family val="2"/>
      <scheme val="minor"/>
    </font>
    <font>
      <sz val="9"/>
      <color theme="1"/>
      <name val="Calibri"/>
      <family val="2"/>
    </font>
    <font>
      <sz val="9"/>
      <color rgb="FF000000"/>
      <name val="Arial"/>
      <family val="2"/>
    </font>
    <font>
      <b/>
      <sz val="8"/>
      <color rgb="FF000000"/>
      <name val="Arial"/>
      <family val="2"/>
    </font>
    <font>
      <b/>
      <sz val="11"/>
      <color theme="1"/>
      <name val="Calibri"/>
      <family val="2"/>
    </font>
    <font>
      <b/>
      <sz val="9"/>
      <color theme="0"/>
      <name val="Calibri"/>
      <family val="2"/>
    </font>
    <font>
      <b/>
      <sz val="22"/>
      <color theme="0"/>
      <name val="Calibri"/>
      <family val="2"/>
      <scheme val="minor"/>
    </font>
    <font>
      <sz val="16"/>
      <color theme="0"/>
      <name val="Calibri"/>
      <family val="2"/>
      <scheme val="minor"/>
    </font>
    <font>
      <b/>
      <sz val="9"/>
      <color theme="1"/>
      <name val="Calibri"/>
      <family val="2"/>
      <scheme val="minor"/>
    </font>
    <font>
      <i/>
      <sz val="12"/>
      <color theme="0"/>
      <name val="Calibri"/>
      <family val="2"/>
      <scheme val="minor"/>
    </font>
    <font>
      <b/>
      <sz val="14"/>
      <color theme="0"/>
      <name val="Calibri"/>
      <family val="2"/>
    </font>
    <font>
      <b/>
      <sz val="11"/>
      <color rgb="FF002060"/>
      <name val="Calibri"/>
      <family val="2"/>
    </font>
    <font>
      <b/>
      <i/>
      <sz val="14"/>
      <name val="Calibri"/>
      <family val="2"/>
      <scheme val="minor"/>
    </font>
    <font>
      <b/>
      <sz val="12"/>
      <color rgb="FF002060"/>
      <name val="Calibri"/>
      <family val="2"/>
      <scheme val="minor"/>
    </font>
    <font>
      <b/>
      <sz val="12"/>
      <name val="Calibri"/>
      <family val="2"/>
      <scheme val="minor"/>
    </font>
    <font>
      <b/>
      <sz val="12"/>
      <color theme="7" tint="-0.499984740745262"/>
      <name val="Calibri"/>
      <family val="2"/>
      <scheme val="minor"/>
    </font>
    <font>
      <sz val="12"/>
      <color theme="0"/>
      <name val="Calibri"/>
      <family val="2"/>
      <scheme val="minor"/>
    </font>
    <font>
      <i/>
      <sz val="10"/>
      <color theme="0"/>
      <name val="Calibri"/>
      <family val="2"/>
      <scheme val="minor"/>
    </font>
    <font>
      <b/>
      <sz val="14"/>
      <color theme="2"/>
      <name val="Calibri"/>
      <family val="2"/>
      <scheme val="minor"/>
    </font>
    <font>
      <sz val="12"/>
      <color theme="1"/>
      <name val="Calibri"/>
      <family val="2"/>
      <scheme val="minor"/>
    </font>
    <font>
      <i/>
      <sz val="16"/>
      <color theme="0"/>
      <name val="Calibri"/>
      <family val="2"/>
      <scheme val="minor"/>
    </font>
    <font>
      <b/>
      <sz val="18"/>
      <color theme="3"/>
      <name val="Calibri"/>
      <family val="2"/>
      <scheme val="minor"/>
    </font>
    <font>
      <b/>
      <i/>
      <sz val="10"/>
      <color theme="1"/>
      <name val="Calibri"/>
      <family val="2"/>
      <scheme val="minor"/>
    </font>
    <font>
      <b/>
      <i/>
      <sz val="12"/>
      <name val="Calibri"/>
      <family val="2"/>
      <scheme val="minor"/>
    </font>
    <font>
      <i/>
      <sz val="12"/>
      <color rgb="FFFF0000"/>
      <name val="Calibri"/>
      <family val="2"/>
      <scheme val="minor"/>
    </font>
    <font>
      <i/>
      <sz val="20"/>
      <color theme="0"/>
      <name val="Calibri"/>
      <family val="2"/>
      <scheme val="minor"/>
    </font>
    <font>
      <b/>
      <sz val="11"/>
      <color rgb="FFFF0000"/>
      <name val="Calibri"/>
      <family val="2"/>
      <scheme val="minor"/>
    </font>
    <font>
      <b/>
      <sz val="9"/>
      <color rgb="FFC00000"/>
      <name val="Calibri"/>
      <family val="2"/>
      <scheme val="minor"/>
    </font>
    <font>
      <b/>
      <sz val="16"/>
      <name val="Calibri"/>
      <family val="2"/>
      <scheme val="minor"/>
    </font>
    <font>
      <i/>
      <sz val="10"/>
      <name val="Calibri"/>
      <family val="2"/>
      <scheme val="minor"/>
    </font>
    <font>
      <b/>
      <sz val="14"/>
      <color rgb="FFC00000"/>
      <name val="Calibri"/>
      <family val="2"/>
      <scheme val="minor"/>
    </font>
    <font>
      <b/>
      <sz val="16"/>
      <color theme="3" tint="-0.499984740745262"/>
      <name val="Calibri"/>
      <family val="2"/>
      <scheme val="minor"/>
    </font>
    <font>
      <b/>
      <sz val="16"/>
      <color theme="4"/>
      <name val="Calibri"/>
      <family val="2"/>
      <scheme val="minor"/>
    </font>
    <font>
      <b/>
      <i/>
      <sz val="12"/>
      <color theme="0"/>
      <name val="Calibri"/>
      <family val="2"/>
      <scheme val="minor"/>
    </font>
    <font>
      <b/>
      <sz val="11"/>
      <color theme="3"/>
      <name val="Calibri"/>
      <family val="2"/>
      <scheme val="minor"/>
    </font>
    <font>
      <sz val="8"/>
      <name val="Calibri"/>
      <family val="2"/>
      <scheme val="minor"/>
    </font>
    <font>
      <b/>
      <i/>
      <sz val="11"/>
      <color rgb="FFFF0000"/>
      <name val="Calibri"/>
      <family val="2"/>
      <scheme val="minor"/>
    </font>
    <font>
      <b/>
      <sz val="11"/>
      <color theme="8" tint="-0.499984740745262"/>
      <name val="Calibri"/>
      <family val="2"/>
      <scheme val="minor"/>
    </font>
    <font>
      <i/>
      <sz val="11"/>
      <color rgb="FFC00000"/>
      <name val="Calibri"/>
      <family val="2"/>
      <scheme val="minor"/>
    </font>
    <font>
      <sz val="8"/>
      <color rgb="FFC00000"/>
      <name val="Calibri"/>
      <family val="2"/>
      <scheme val="minor"/>
    </font>
    <font>
      <b/>
      <i/>
      <sz val="11"/>
      <color rgb="FFC00000"/>
      <name val="Calibri"/>
      <family val="2"/>
      <scheme val="minor"/>
    </font>
    <font>
      <sz val="11"/>
      <color theme="6" tint="-0.499984740745262"/>
      <name val="Calibri"/>
      <family val="2"/>
      <scheme val="minor"/>
    </font>
    <font>
      <i/>
      <sz val="8"/>
      <color theme="7" tint="-0.249977111117893"/>
      <name val="Calibri"/>
      <family val="2"/>
      <scheme val="minor"/>
    </font>
    <font>
      <i/>
      <sz val="14"/>
      <color theme="0"/>
      <name val="Calibri"/>
      <family val="2"/>
      <scheme val="minor"/>
    </font>
    <font>
      <b/>
      <i/>
      <sz val="16"/>
      <color rgb="FFC00000"/>
      <name val="Calibri"/>
      <family val="2"/>
      <scheme val="minor"/>
    </font>
    <font>
      <sz val="11"/>
      <color rgb="FF000000"/>
      <name val="Calibri"/>
      <family val="2"/>
      <scheme val="minor"/>
    </font>
    <font>
      <b/>
      <sz val="16"/>
      <color theme="1"/>
      <name val="Calibri"/>
      <family val="2"/>
      <scheme val="minor"/>
    </font>
    <font>
      <b/>
      <sz val="14"/>
      <color theme="1" tint="4.9989318521683403E-2"/>
      <name val="Calibri"/>
      <family val="2"/>
      <scheme val="minor"/>
    </font>
    <font>
      <b/>
      <sz val="10"/>
      <color theme="3" tint="0.39997558519241921"/>
      <name val="Calibri"/>
      <family val="2"/>
      <scheme val="minor"/>
    </font>
    <font>
      <b/>
      <i/>
      <sz val="24"/>
      <color theme="2"/>
      <name val="Calibri"/>
      <family val="2"/>
      <scheme val="minor"/>
    </font>
    <font>
      <b/>
      <sz val="12"/>
      <color theme="1" tint="4.9989318521683403E-2"/>
      <name val="Calibri"/>
      <family val="2"/>
      <scheme val="minor"/>
    </font>
    <font>
      <b/>
      <i/>
      <sz val="14"/>
      <color theme="1"/>
      <name val="Calibri"/>
      <family val="2"/>
      <scheme val="minor"/>
    </font>
    <font>
      <b/>
      <i/>
      <sz val="14"/>
      <color theme="3"/>
      <name val="Calibri"/>
      <family val="2"/>
      <scheme val="minor"/>
    </font>
    <font>
      <b/>
      <sz val="22"/>
      <color theme="2"/>
      <name val="Calibri"/>
      <family val="2"/>
      <scheme val="minor"/>
    </font>
    <font>
      <b/>
      <sz val="10"/>
      <color rgb="FF002060"/>
      <name val="Calibri"/>
      <family val="2"/>
      <scheme val="minor"/>
    </font>
  </fonts>
  <fills count="38">
    <fill>
      <patternFill patternType="none"/>
    </fill>
    <fill>
      <patternFill patternType="gray125"/>
    </fill>
    <fill>
      <patternFill patternType="solid">
        <fgColor rgb="FFFFFF00"/>
        <bgColor indexed="64"/>
      </patternFill>
    </fill>
    <fill>
      <patternFill patternType="solid">
        <fgColor theme="4" tint="0.79998168889431442"/>
        <bgColor indexed="64"/>
      </patternFill>
    </fill>
    <fill>
      <patternFill patternType="solid">
        <fgColor theme="0"/>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4"/>
        <bgColor indexed="64"/>
      </patternFill>
    </fill>
    <fill>
      <patternFill patternType="solid">
        <fgColor theme="9"/>
        <bgColor indexed="64"/>
      </patternFill>
    </fill>
    <fill>
      <patternFill patternType="solid">
        <fgColor theme="3"/>
        <bgColor indexed="64"/>
      </patternFill>
    </fill>
    <fill>
      <patternFill patternType="solid">
        <fgColor theme="2"/>
        <bgColor indexed="64"/>
      </patternFill>
    </fill>
    <fill>
      <patternFill patternType="solid">
        <fgColor theme="4" tint="0.39997558519241921"/>
        <bgColor indexed="64"/>
      </patternFill>
    </fill>
    <fill>
      <patternFill patternType="solid">
        <fgColor indexed="22"/>
        <bgColor indexed="64"/>
      </patternFill>
    </fill>
    <fill>
      <patternFill patternType="solid">
        <fgColor theme="6" tint="0.79998168889431442"/>
        <bgColor indexed="64"/>
      </patternFill>
    </fill>
    <fill>
      <patternFill patternType="solid">
        <fgColor rgb="FFFF9966"/>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3" tint="0.39997558519241921"/>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theme="7"/>
        <bgColor indexed="64"/>
      </patternFill>
    </fill>
    <fill>
      <patternFill patternType="solid">
        <fgColor theme="8"/>
        <bgColor indexed="64"/>
      </patternFill>
    </fill>
    <fill>
      <patternFill patternType="solid">
        <fgColor theme="6"/>
        <bgColor indexed="64"/>
      </patternFill>
    </fill>
    <fill>
      <patternFill patternType="solid">
        <fgColor theme="5"/>
        <bgColor indexed="64"/>
      </patternFill>
    </fill>
    <fill>
      <patternFill patternType="solid">
        <fgColor theme="4" tint="0.79998168889431442"/>
        <bgColor rgb="FF000000"/>
      </patternFill>
    </fill>
    <fill>
      <patternFill patternType="solid">
        <fgColor theme="5"/>
        <bgColor rgb="FF000000"/>
      </patternFill>
    </fill>
    <fill>
      <patternFill patternType="solid">
        <fgColor theme="2" tint="0.79998168889431442"/>
        <bgColor indexed="64"/>
      </patternFill>
    </fill>
    <fill>
      <patternFill patternType="solid">
        <fgColor theme="7" tint="0.39997558519241921"/>
        <bgColor indexed="64"/>
      </patternFill>
    </fill>
    <fill>
      <patternFill patternType="solid">
        <fgColor theme="7" tint="-0.499984740745262"/>
        <bgColor indexed="64"/>
      </patternFill>
    </fill>
    <fill>
      <patternFill patternType="solid">
        <fgColor theme="3" tint="0.79998168889431442"/>
        <bgColor indexed="64"/>
      </patternFill>
    </fill>
    <fill>
      <patternFill patternType="solid">
        <fgColor theme="8" tint="0.59999389629810485"/>
        <bgColor indexed="64"/>
      </patternFill>
    </fill>
    <fill>
      <patternFill patternType="solid">
        <fgColor theme="4" tint="0.79998168889431442"/>
        <bgColor theme="4" tint="0.79998168889431442"/>
      </patternFill>
    </fill>
    <fill>
      <patternFill patternType="solid">
        <fgColor theme="7"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0" tint="-4.9989318521683403E-2"/>
        <bgColor indexed="64"/>
      </patternFill>
    </fill>
    <fill>
      <patternFill patternType="solid">
        <fgColor theme="8" tint="0.39997558519241921"/>
        <bgColor indexed="64"/>
      </patternFill>
    </fill>
  </fills>
  <borders count="274">
    <border>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bottom/>
      <diagonal/>
    </border>
    <border>
      <left style="thin">
        <color indexed="64"/>
      </left>
      <right style="double">
        <color indexed="64"/>
      </right>
      <top style="thin">
        <color indexed="64"/>
      </top>
      <bottom/>
      <diagonal/>
    </border>
    <border>
      <left/>
      <right style="double">
        <color indexed="64"/>
      </right>
      <top/>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4"/>
      </left>
      <right style="thin">
        <color indexed="64"/>
      </right>
      <top/>
      <bottom/>
      <diagonal/>
    </border>
    <border>
      <left style="thin">
        <color auto="1"/>
      </left>
      <right style="thin">
        <color auto="1"/>
      </right>
      <top style="medium">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diagonal/>
    </border>
    <border>
      <left style="thin">
        <color indexed="64"/>
      </left>
      <right style="thin">
        <color indexed="64"/>
      </right>
      <top style="thin">
        <color theme="8" tint="-0.24994659260841701"/>
      </top>
      <bottom style="thin">
        <color auto="1"/>
      </bottom>
      <diagonal/>
    </border>
    <border>
      <left style="thin">
        <color indexed="64"/>
      </left>
      <right style="thin">
        <color indexed="64"/>
      </right>
      <top style="thin">
        <color theme="8" tint="-0.24994659260841701"/>
      </top>
      <bottom style="thin">
        <color theme="8" tint="-0.24994659260841701"/>
      </bottom>
      <diagonal/>
    </border>
    <border>
      <left style="double">
        <color indexed="64"/>
      </left>
      <right style="thin">
        <color indexed="64"/>
      </right>
      <top style="thin">
        <color theme="8" tint="-0.24994659260841701"/>
      </top>
      <bottom style="thin">
        <color auto="1"/>
      </bottom>
      <diagonal/>
    </border>
    <border>
      <left style="double">
        <color indexed="64"/>
      </left>
      <right style="thin">
        <color indexed="64"/>
      </right>
      <top style="thin">
        <color theme="8" tint="-0.24994659260841701"/>
      </top>
      <bottom style="thin">
        <color theme="8" tint="-0.24994659260841701"/>
      </bottom>
      <diagonal/>
    </border>
    <border>
      <left style="thick">
        <color theme="3" tint="-0.24994659260841701"/>
      </left>
      <right/>
      <top style="thick">
        <color theme="3" tint="-0.24994659260841701"/>
      </top>
      <bottom style="thick">
        <color theme="3" tint="-0.24994659260841701"/>
      </bottom>
      <diagonal/>
    </border>
    <border>
      <left/>
      <right/>
      <top style="thick">
        <color theme="3" tint="-0.24994659260841701"/>
      </top>
      <bottom style="thick">
        <color theme="3" tint="-0.24994659260841701"/>
      </bottom>
      <diagonal/>
    </border>
    <border>
      <left style="thin">
        <color indexed="64"/>
      </left>
      <right style="thin">
        <color indexed="64"/>
      </right>
      <top style="thick">
        <color theme="3" tint="-0.24994659260841701"/>
      </top>
      <bottom style="thick">
        <color theme="3" tint="-0.24994659260841701"/>
      </bottom>
      <diagonal/>
    </border>
    <border>
      <left style="thin">
        <color indexed="64"/>
      </left>
      <right style="thin">
        <color indexed="64"/>
      </right>
      <top style="thin">
        <color theme="8" tint="-0.24994659260841701"/>
      </top>
      <bottom/>
      <diagonal/>
    </border>
    <border>
      <left style="double">
        <color indexed="64"/>
      </left>
      <right style="thin">
        <color indexed="64"/>
      </right>
      <top style="thin">
        <color theme="8" tint="-0.24994659260841701"/>
      </top>
      <bottom/>
      <diagonal/>
    </border>
    <border>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hair">
        <color theme="3"/>
      </top>
      <bottom style="hair">
        <color theme="3"/>
      </bottom>
      <diagonal/>
    </border>
    <border>
      <left style="thin">
        <color indexed="64"/>
      </left>
      <right style="thin">
        <color indexed="64"/>
      </right>
      <top style="hair">
        <color theme="3"/>
      </top>
      <bottom style="hair">
        <color theme="3"/>
      </bottom>
      <diagonal/>
    </border>
    <border>
      <left style="thin">
        <color indexed="64"/>
      </left>
      <right/>
      <top style="hair">
        <color theme="3"/>
      </top>
      <bottom style="hair">
        <color theme="3"/>
      </bottom>
      <diagonal/>
    </border>
    <border>
      <left style="thin">
        <color indexed="64"/>
      </left>
      <right style="medium">
        <color indexed="64"/>
      </right>
      <top style="hair">
        <color theme="3"/>
      </top>
      <bottom style="hair">
        <color theme="3"/>
      </bottom>
      <diagonal/>
    </border>
    <border>
      <left style="medium">
        <color indexed="64"/>
      </left>
      <right style="thin">
        <color indexed="64"/>
      </right>
      <top style="hair">
        <color theme="3"/>
      </top>
      <bottom style="thin">
        <color indexed="64"/>
      </bottom>
      <diagonal/>
    </border>
    <border>
      <left style="thin">
        <color indexed="64"/>
      </left>
      <right style="thin">
        <color indexed="64"/>
      </right>
      <top style="hair">
        <color theme="3"/>
      </top>
      <bottom style="thin">
        <color indexed="64"/>
      </bottom>
      <diagonal/>
    </border>
    <border>
      <left style="thin">
        <color indexed="64"/>
      </left>
      <right/>
      <top style="hair">
        <color theme="3"/>
      </top>
      <bottom style="thin">
        <color indexed="64"/>
      </bottom>
      <diagonal/>
    </border>
    <border>
      <left style="thin">
        <color indexed="64"/>
      </left>
      <right style="medium">
        <color indexed="64"/>
      </right>
      <top style="hair">
        <color theme="3"/>
      </top>
      <bottom style="thin">
        <color indexed="64"/>
      </bottom>
      <diagonal/>
    </border>
    <border>
      <left style="medium">
        <color indexed="64"/>
      </left>
      <right style="thin">
        <color indexed="64"/>
      </right>
      <top style="thin">
        <color auto="1"/>
      </top>
      <bottom style="hair">
        <color auto="1"/>
      </bottom>
      <diagonal/>
    </border>
    <border>
      <left style="thin">
        <color indexed="64"/>
      </left>
      <right/>
      <top style="thin">
        <color auto="1"/>
      </top>
      <bottom style="hair">
        <color auto="1"/>
      </bottom>
      <diagonal/>
    </border>
    <border>
      <left style="thin">
        <color indexed="64"/>
      </left>
      <right style="medium">
        <color indexed="64"/>
      </right>
      <top style="thin">
        <color auto="1"/>
      </top>
      <bottom style="hair">
        <color auto="1"/>
      </bottom>
      <diagonal/>
    </border>
    <border>
      <left/>
      <right style="medium">
        <color indexed="64"/>
      </right>
      <top style="hair">
        <color auto="1"/>
      </top>
      <bottom style="hair">
        <color auto="1"/>
      </bottom>
      <diagonal/>
    </border>
    <border>
      <left style="medium">
        <color indexed="64"/>
      </left>
      <right style="thin">
        <color indexed="64"/>
      </right>
      <top style="hair">
        <color auto="1"/>
      </top>
      <bottom style="hair">
        <color auto="1"/>
      </bottom>
      <diagonal/>
    </border>
    <border>
      <left style="thin">
        <color indexed="64"/>
      </left>
      <right style="thin">
        <color indexed="64"/>
      </right>
      <top style="hair">
        <color auto="1"/>
      </top>
      <bottom style="hair">
        <color auto="1"/>
      </bottom>
      <diagonal/>
    </border>
    <border>
      <left style="thin">
        <color indexed="64"/>
      </left>
      <right/>
      <top style="hair">
        <color auto="1"/>
      </top>
      <bottom style="hair">
        <color auto="1"/>
      </bottom>
      <diagonal/>
    </border>
    <border>
      <left style="thin">
        <color indexed="64"/>
      </left>
      <right style="medium">
        <color indexed="64"/>
      </right>
      <top style="hair">
        <color auto="1"/>
      </top>
      <bottom style="hair">
        <color auto="1"/>
      </bottom>
      <diagonal/>
    </border>
    <border>
      <left/>
      <right style="medium">
        <color indexed="64"/>
      </right>
      <top style="hair">
        <color auto="1"/>
      </top>
      <bottom style="thin">
        <color indexed="64"/>
      </bottom>
      <diagonal/>
    </border>
    <border>
      <left style="medium">
        <color indexed="64"/>
      </left>
      <right style="thin">
        <color indexed="64"/>
      </right>
      <top style="hair">
        <color auto="1"/>
      </top>
      <bottom style="thin">
        <color indexed="64"/>
      </bottom>
      <diagonal/>
    </border>
    <border>
      <left style="thin">
        <color indexed="64"/>
      </left>
      <right style="thin">
        <color indexed="64"/>
      </right>
      <top style="hair">
        <color auto="1"/>
      </top>
      <bottom style="thin">
        <color indexed="64"/>
      </bottom>
      <diagonal/>
    </border>
    <border>
      <left style="thin">
        <color indexed="64"/>
      </left>
      <right/>
      <top style="hair">
        <color auto="1"/>
      </top>
      <bottom style="thin">
        <color indexed="64"/>
      </bottom>
      <diagonal/>
    </border>
    <border>
      <left style="thin">
        <color indexed="64"/>
      </left>
      <right style="medium">
        <color indexed="64"/>
      </right>
      <top style="hair">
        <color auto="1"/>
      </top>
      <bottom style="thin">
        <color indexed="64"/>
      </bottom>
      <diagonal/>
    </border>
    <border>
      <left style="medium">
        <color indexed="64"/>
      </left>
      <right style="thin">
        <color indexed="64"/>
      </right>
      <top style="thin">
        <color auto="1"/>
      </top>
      <bottom style="hair">
        <color theme="3"/>
      </bottom>
      <diagonal/>
    </border>
    <border>
      <left style="thin">
        <color indexed="64"/>
      </left>
      <right style="thin">
        <color indexed="64"/>
      </right>
      <top style="thin">
        <color auto="1"/>
      </top>
      <bottom style="hair">
        <color theme="3"/>
      </bottom>
      <diagonal/>
    </border>
    <border>
      <left style="thin">
        <color indexed="64"/>
      </left>
      <right/>
      <top style="thin">
        <color auto="1"/>
      </top>
      <bottom style="hair">
        <color theme="3"/>
      </bottom>
      <diagonal/>
    </border>
    <border>
      <left style="thin">
        <color indexed="64"/>
      </left>
      <right style="medium">
        <color indexed="64"/>
      </right>
      <top style="thin">
        <color auto="1"/>
      </top>
      <bottom style="hair">
        <color theme="3"/>
      </bottom>
      <diagonal/>
    </border>
    <border>
      <left/>
      <right style="medium">
        <color indexed="64"/>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style="thin">
        <color indexed="64"/>
      </left>
      <right style="medium">
        <color indexed="64"/>
      </right>
      <top/>
      <bottom style="hair">
        <color indexed="64"/>
      </bottom>
      <diagonal/>
    </border>
    <border>
      <left/>
      <right/>
      <top style="thin">
        <color auto="1"/>
      </top>
      <bottom style="hair">
        <color auto="1"/>
      </bottom>
      <diagonal/>
    </border>
    <border>
      <left/>
      <right/>
      <top style="hair">
        <color auto="1"/>
      </top>
      <bottom style="thin">
        <color auto="1"/>
      </bottom>
      <diagonal/>
    </border>
    <border>
      <left/>
      <right/>
      <top style="hair">
        <color auto="1"/>
      </top>
      <bottom style="hair">
        <color auto="1"/>
      </bottom>
      <diagonal/>
    </border>
    <border>
      <left style="thin">
        <color theme="4"/>
      </left>
      <right/>
      <top style="thin">
        <color theme="4"/>
      </top>
      <bottom/>
      <diagonal/>
    </border>
    <border>
      <left/>
      <right/>
      <top style="thin">
        <color theme="4"/>
      </top>
      <bottom/>
      <diagonal/>
    </border>
    <border>
      <left/>
      <right style="thin">
        <color theme="4"/>
      </right>
      <top style="thin">
        <color theme="4"/>
      </top>
      <bottom/>
      <diagonal/>
    </border>
    <border>
      <left style="thin">
        <color theme="4"/>
      </left>
      <right/>
      <top/>
      <bottom/>
      <diagonal/>
    </border>
    <border>
      <left/>
      <right style="thin">
        <color theme="4"/>
      </right>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right/>
      <top style="medium">
        <color indexed="64"/>
      </top>
      <bottom/>
      <diagonal/>
    </border>
    <border>
      <left/>
      <right/>
      <top/>
      <bottom style="thin">
        <color theme="0" tint="-0.499984740745262"/>
      </bottom>
      <diagonal/>
    </border>
    <border>
      <left style="medium">
        <color indexed="64"/>
      </left>
      <right/>
      <top/>
      <bottom/>
      <diagonal/>
    </border>
    <border>
      <left/>
      <right/>
      <top style="thin">
        <color theme="0" tint="-0.499984740745262"/>
      </top>
      <bottom style="thin">
        <color theme="0" tint="-0.499984740745262"/>
      </bottom>
      <diagonal/>
    </border>
    <border>
      <left style="medium">
        <color indexed="64"/>
      </left>
      <right/>
      <top style="thin">
        <color theme="0" tint="-0.499984740745262"/>
      </top>
      <bottom style="thin">
        <color theme="0" tint="-0.499984740745262"/>
      </bottom>
      <diagonal/>
    </border>
    <border>
      <left/>
      <right style="medium">
        <color indexed="64"/>
      </right>
      <top style="thin">
        <color theme="0" tint="-0.499984740745262"/>
      </top>
      <bottom style="thin">
        <color theme="0" tint="-0.499984740745262"/>
      </bottom>
      <diagonal/>
    </border>
    <border>
      <left style="double">
        <color indexed="64"/>
      </left>
      <right style="thin">
        <color indexed="64"/>
      </right>
      <top style="hair">
        <color indexed="64"/>
      </top>
      <bottom style="hair">
        <color indexed="64"/>
      </bottom>
      <diagonal/>
    </border>
    <border>
      <left style="double">
        <color indexed="64"/>
      </left>
      <right style="thin">
        <color indexed="64"/>
      </right>
      <top style="hair">
        <color indexed="64"/>
      </top>
      <bottom style="thin">
        <color auto="1"/>
      </bottom>
      <diagonal/>
    </border>
    <border>
      <left style="double">
        <color indexed="64"/>
      </left>
      <right style="double">
        <color indexed="64"/>
      </right>
      <top style="double">
        <color indexed="64"/>
      </top>
      <bottom style="double">
        <color indexed="64"/>
      </bottom>
      <diagonal/>
    </border>
    <border>
      <left style="thin">
        <color auto="1"/>
      </left>
      <right/>
      <top/>
      <bottom style="thin">
        <color auto="1"/>
      </bottom>
      <diagonal/>
    </border>
    <border>
      <left style="medium">
        <color indexed="64"/>
      </left>
      <right style="thin">
        <color indexed="23"/>
      </right>
      <top style="medium">
        <color indexed="64"/>
      </top>
      <bottom style="medium">
        <color indexed="64"/>
      </bottom>
      <diagonal/>
    </border>
    <border>
      <left style="thin">
        <color indexed="23"/>
      </left>
      <right style="thin">
        <color indexed="23"/>
      </right>
      <top style="medium">
        <color indexed="64"/>
      </top>
      <bottom style="medium">
        <color indexed="64"/>
      </bottom>
      <diagonal/>
    </border>
    <border>
      <left style="thin">
        <color indexed="23"/>
      </left>
      <right style="medium">
        <color indexed="64"/>
      </right>
      <top style="medium">
        <color indexed="64"/>
      </top>
      <bottom style="medium">
        <color indexed="64"/>
      </bottom>
      <diagonal/>
    </border>
    <border>
      <left style="medium">
        <color indexed="64"/>
      </left>
      <right style="thin">
        <color indexed="22"/>
      </right>
      <top style="medium">
        <color indexed="64"/>
      </top>
      <bottom style="thin">
        <color indexed="22"/>
      </bottom>
      <diagonal/>
    </border>
    <border>
      <left style="thin">
        <color indexed="22"/>
      </left>
      <right style="thin">
        <color indexed="22"/>
      </right>
      <top style="medium">
        <color indexed="64"/>
      </top>
      <bottom style="thin">
        <color indexed="22"/>
      </bottom>
      <diagonal/>
    </border>
    <border>
      <left style="medium">
        <color indexed="64"/>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2"/>
      </left>
      <right style="medium">
        <color indexed="64"/>
      </right>
      <top style="thin">
        <color indexed="22"/>
      </top>
      <bottom style="thin">
        <color indexed="22"/>
      </bottom>
      <diagonal/>
    </border>
    <border>
      <left style="medium">
        <color indexed="64"/>
      </left>
      <right style="thin">
        <color indexed="22"/>
      </right>
      <top style="thin">
        <color indexed="22"/>
      </top>
      <bottom style="medium">
        <color indexed="64"/>
      </bottom>
      <diagonal/>
    </border>
    <border>
      <left style="thin">
        <color indexed="22"/>
      </left>
      <right style="thin">
        <color indexed="22"/>
      </right>
      <top style="thin">
        <color indexed="22"/>
      </top>
      <bottom style="medium">
        <color indexed="64"/>
      </bottom>
      <diagonal/>
    </border>
    <border>
      <left style="thin">
        <color indexed="22"/>
      </left>
      <right style="medium">
        <color indexed="64"/>
      </right>
      <top style="thin">
        <color indexed="22"/>
      </top>
      <bottom style="medium">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left style="thin">
        <color auto="1"/>
      </left>
      <right/>
      <top/>
      <bottom/>
      <diagonal/>
    </border>
    <border>
      <left style="medium">
        <color theme="4"/>
      </left>
      <right/>
      <top/>
      <bottom/>
      <diagonal/>
    </border>
    <border>
      <left/>
      <right style="medium">
        <color theme="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medium">
        <color auto="1"/>
      </top>
      <bottom style="hair">
        <color auto="1"/>
      </bottom>
      <diagonal/>
    </border>
    <border>
      <left style="thin">
        <color indexed="64"/>
      </left>
      <right style="thin">
        <color indexed="64"/>
      </right>
      <top style="medium">
        <color auto="1"/>
      </top>
      <bottom style="hair">
        <color auto="1"/>
      </bottom>
      <diagonal/>
    </border>
    <border>
      <left style="thin">
        <color auto="1"/>
      </left>
      <right/>
      <top style="medium">
        <color auto="1"/>
      </top>
      <bottom/>
      <diagonal/>
    </border>
    <border>
      <left style="thin">
        <color indexed="64"/>
      </left>
      <right style="thin">
        <color indexed="64"/>
      </right>
      <top style="thin">
        <color auto="1"/>
      </top>
      <bottom style="hair">
        <color auto="1"/>
      </bottom>
      <diagonal/>
    </border>
    <border>
      <left/>
      <right/>
      <top style="hair">
        <color auto="1"/>
      </top>
      <bottom style="medium">
        <color auto="1"/>
      </bottom>
      <diagonal/>
    </border>
    <border>
      <left style="thin">
        <color indexed="64"/>
      </left>
      <right style="thin">
        <color indexed="64"/>
      </right>
      <top style="thin">
        <color auto="1"/>
      </top>
      <bottom style="medium">
        <color auto="1"/>
      </bottom>
      <diagonal/>
    </border>
    <border>
      <left style="thin">
        <color indexed="64"/>
      </left>
      <right style="thin">
        <color indexed="64"/>
      </right>
      <top style="medium">
        <color indexed="64"/>
      </top>
      <bottom style="medium">
        <color indexed="64"/>
      </bottom>
      <diagonal/>
    </border>
    <border>
      <left style="thin">
        <color auto="1"/>
      </left>
      <right/>
      <top style="medium">
        <color indexed="64"/>
      </top>
      <bottom style="medium">
        <color indexed="64"/>
      </bottom>
      <diagonal/>
    </border>
    <border>
      <left style="medium">
        <color auto="1"/>
      </left>
      <right/>
      <top/>
      <bottom style="thin">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medium">
        <color indexed="64"/>
      </left>
      <right style="medium">
        <color indexed="64"/>
      </right>
      <top style="medium">
        <color indexed="64"/>
      </top>
      <bottom style="medium">
        <color indexed="64"/>
      </bottom>
      <diagonal/>
    </border>
    <border>
      <left/>
      <right/>
      <top style="hair">
        <color theme="0" tint="-0.24994659260841701"/>
      </top>
      <bottom style="hair">
        <color theme="0" tint="-0.24994659260841701"/>
      </bottom>
      <diagonal/>
    </border>
    <border>
      <left/>
      <right/>
      <top style="hair">
        <color theme="0" tint="-0.24994659260841701"/>
      </top>
      <bottom/>
      <diagonal/>
    </border>
    <border>
      <left/>
      <right style="thin">
        <color auto="1"/>
      </right>
      <top/>
      <bottom style="hair">
        <color auto="1"/>
      </bottom>
      <diagonal/>
    </border>
    <border>
      <left/>
      <right style="thin">
        <color auto="1"/>
      </right>
      <top style="hair">
        <color auto="1"/>
      </top>
      <bottom style="hair">
        <color auto="1"/>
      </bottom>
      <diagonal/>
    </border>
    <border>
      <left style="medium">
        <color indexed="64"/>
      </left>
      <right style="thin">
        <color indexed="64"/>
      </right>
      <top style="medium">
        <color auto="1"/>
      </top>
      <bottom style="hair">
        <color indexed="64"/>
      </bottom>
      <diagonal/>
    </border>
    <border>
      <left style="thin">
        <color indexed="64"/>
      </left>
      <right/>
      <top style="medium">
        <color auto="1"/>
      </top>
      <bottom style="hair">
        <color indexed="64"/>
      </bottom>
      <diagonal/>
    </border>
    <border>
      <left style="thin">
        <color indexed="64"/>
      </left>
      <right style="medium">
        <color indexed="64"/>
      </right>
      <top style="medium">
        <color auto="1"/>
      </top>
      <bottom style="hair">
        <color indexed="64"/>
      </bottom>
      <diagonal/>
    </border>
    <border>
      <left/>
      <right/>
      <top/>
      <bottom style="medium">
        <color theme="2"/>
      </bottom>
      <diagonal/>
    </border>
    <border>
      <left/>
      <right/>
      <top/>
      <bottom style="hair">
        <color auto="1"/>
      </bottom>
      <diagonal/>
    </border>
    <border>
      <left/>
      <right/>
      <top style="medium">
        <color theme="2"/>
      </top>
      <bottom/>
      <diagonal/>
    </border>
    <border>
      <left/>
      <right style="thin">
        <color auto="1"/>
      </right>
      <top/>
      <bottom/>
      <diagonal/>
    </border>
    <border>
      <left style="thin">
        <color auto="1"/>
      </left>
      <right style="thin">
        <color auto="1"/>
      </right>
      <top style="thin">
        <color auto="1"/>
      </top>
      <bottom style="thin">
        <color auto="1"/>
      </bottom>
      <diagonal/>
    </border>
    <border>
      <left style="thin">
        <color auto="1"/>
      </left>
      <right/>
      <top style="thin">
        <color indexed="64"/>
      </top>
      <bottom/>
      <diagonal/>
    </border>
    <border>
      <left style="thin">
        <color auto="1"/>
      </left>
      <right style="thin">
        <color auto="1"/>
      </right>
      <top/>
      <bottom style="thin">
        <color auto="1"/>
      </bottom>
      <diagonal/>
    </border>
    <border>
      <left style="thin">
        <color indexed="64"/>
      </left>
      <right style="thin">
        <color indexed="64"/>
      </right>
      <top style="thin">
        <color indexed="64"/>
      </top>
      <bottom style="thin">
        <color indexed="64"/>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indexed="64"/>
      </left>
      <right/>
      <top style="medium">
        <color indexed="64"/>
      </top>
      <bottom style="thin">
        <color auto="1"/>
      </bottom>
      <diagonal/>
    </border>
    <border>
      <left/>
      <right style="thin">
        <color auto="1"/>
      </right>
      <top style="medium">
        <color indexed="64"/>
      </top>
      <bottom style="thin">
        <color auto="1"/>
      </bottom>
      <diagonal/>
    </border>
    <border>
      <left style="medium">
        <color indexed="64"/>
      </left>
      <right/>
      <top style="thin">
        <color auto="1"/>
      </top>
      <bottom style="medium">
        <color indexed="64"/>
      </bottom>
      <diagonal/>
    </border>
    <border>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style="medium">
        <color indexed="64"/>
      </right>
      <top/>
      <bottom style="thin">
        <color indexed="64"/>
      </bottom>
      <diagonal/>
    </border>
    <border>
      <left/>
      <right/>
      <top style="thin">
        <color indexed="64"/>
      </top>
      <bottom/>
      <diagonal/>
    </border>
    <border>
      <left style="medium">
        <color indexed="64"/>
      </left>
      <right/>
      <top style="thin">
        <color indexed="64"/>
      </top>
      <bottom/>
      <diagonal/>
    </border>
    <border>
      <left/>
      <right/>
      <top style="thin">
        <color auto="1"/>
      </top>
      <bottom style="hair">
        <color auto="1"/>
      </bottom>
      <diagonal/>
    </border>
    <border>
      <left/>
      <right/>
      <top style="thin">
        <color indexed="64"/>
      </top>
      <bottom style="medium">
        <color indexed="64"/>
      </bottom>
      <diagonal/>
    </border>
    <border>
      <left style="thin">
        <color indexed="64"/>
      </left>
      <right style="medium">
        <color indexed="64"/>
      </right>
      <top/>
      <bottom/>
      <diagonal/>
    </border>
    <border>
      <left style="thin">
        <color indexed="64"/>
      </left>
      <right style="thin">
        <color indexed="64"/>
      </right>
      <top style="thin">
        <color auto="1"/>
      </top>
      <bottom style="hair">
        <color auto="1"/>
      </bottom>
      <diagonal/>
    </border>
    <border>
      <left style="thin">
        <color indexed="64"/>
      </left>
      <right style="medium">
        <color indexed="64"/>
      </right>
      <top style="thin">
        <color auto="1"/>
      </top>
      <bottom style="hair">
        <color auto="1"/>
      </bottom>
      <diagonal/>
    </border>
    <border>
      <left style="thin">
        <color indexed="64"/>
      </left>
      <right style="medium">
        <color indexed="64"/>
      </right>
      <top style="medium">
        <color indexed="64"/>
      </top>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indexed="64"/>
      </left>
      <right style="medium">
        <color indexed="64"/>
      </right>
      <top style="thin">
        <color indexed="64"/>
      </top>
      <bottom/>
      <diagonal/>
    </border>
    <border>
      <left style="thin">
        <color auto="1"/>
      </left>
      <right/>
      <top style="medium">
        <color auto="1"/>
      </top>
      <bottom style="thin">
        <color auto="1"/>
      </bottom>
      <diagonal/>
    </border>
    <border>
      <left/>
      <right style="double">
        <color indexed="64"/>
      </right>
      <top style="double">
        <color indexed="64"/>
      </top>
      <bottom style="double">
        <color indexed="64"/>
      </bottom>
      <diagonal/>
    </border>
    <border>
      <left style="double">
        <color indexed="64"/>
      </left>
      <right/>
      <top style="medium">
        <color auto="1"/>
      </top>
      <bottom style="thin">
        <color indexed="64"/>
      </bottom>
      <diagonal/>
    </border>
    <border>
      <left style="medium">
        <color auto="1"/>
      </left>
      <right/>
      <top style="thin">
        <color auto="1"/>
      </top>
      <bottom style="hair">
        <color auto="1"/>
      </bottom>
      <diagonal/>
    </border>
    <border>
      <left style="double">
        <color indexed="64"/>
      </left>
      <right style="thin">
        <color indexed="64"/>
      </right>
      <top style="thin">
        <color auto="1"/>
      </top>
      <bottom style="hair">
        <color indexed="64"/>
      </bottom>
      <diagonal/>
    </border>
    <border>
      <left style="medium">
        <color auto="1"/>
      </left>
      <right/>
      <top style="hair">
        <color auto="1"/>
      </top>
      <bottom style="thin">
        <color auto="1"/>
      </bottom>
      <diagonal/>
    </border>
    <border>
      <left style="medium">
        <color auto="1"/>
      </left>
      <right/>
      <top style="hair">
        <color auto="1"/>
      </top>
      <bottom style="hair">
        <color auto="1"/>
      </bottom>
      <diagonal/>
    </border>
    <border>
      <left style="double">
        <color indexed="64"/>
      </left>
      <right style="thin">
        <color indexed="64"/>
      </right>
      <top style="thin">
        <color auto="1"/>
      </top>
      <bottom style="thin">
        <color theme="8" tint="-0.24994659260841701"/>
      </bottom>
      <diagonal/>
    </border>
    <border>
      <left style="thin">
        <color indexed="64"/>
      </left>
      <right style="thin">
        <color indexed="64"/>
      </right>
      <top style="thin">
        <color auto="1"/>
      </top>
      <bottom style="thin">
        <color theme="8" tint="-0.24994659260841701"/>
      </bottom>
      <diagonal/>
    </border>
    <border>
      <left style="thin">
        <color indexed="64"/>
      </left>
      <right style="medium">
        <color auto="1"/>
      </right>
      <top style="thin">
        <color auto="1"/>
      </top>
      <bottom style="thin">
        <color theme="8" tint="-0.24994659260841701"/>
      </bottom>
      <diagonal/>
    </border>
    <border>
      <left style="thin">
        <color indexed="64"/>
      </left>
      <right style="medium">
        <color auto="1"/>
      </right>
      <top style="thin">
        <color theme="8" tint="-0.24994659260841701"/>
      </top>
      <bottom style="thin">
        <color theme="8" tint="-0.24994659260841701"/>
      </bottom>
      <diagonal/>
    </border>
    <border>
      <left style="thin">
        <color indexed="64"/>
      </left>
      <right style="medium">
        <color auto="1"/>
      </right>
      <top style="thin">
        <color theme="8" tint="-0.24994659260841701"/>
      </top>
      <bottom/>
      <diagonal/>
    </border>
    <border>
      <left style="thin">
        <color indexed="64"/>
      </left>
      <right style="medium">
        <color auto="1"/>
      </right>
      <top style="thin">
        <color theme="8" tint="-0.24994659260841701"/>
      </top>
      <bottom style="thin">
        <color auto="1"/>
      </bottom>
      <diagonal/>
    </border>
    <border>
      <left style="double">
        <color indexed="64"/>
      </left>
      <right style="thin">
        <color indexed="64"/>
      </right>
      <top style="thin">
        <color indexed="64"/>
      </top>
      <bottom style="medium">
        <color auto="1"/>
      </bottom>
      <diagonal/>
    </border>
    <border>
      <left/>
      <right/>
      <top style="hair">
        <color auto="1"/>
      </top>
      <bottom/>
      <diagonal/>
    </border>
    <border>
      <left style="medium">
        <color indexed="64"/>
      </left>
      <right style="thin">
        <color indexed="64"/>
      </right>
      <top/>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hair">
        <color indexed="64"/>
      </left>
      <right/>
      <top style="medium">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hair">
        <color indexed="64"/>
      </left>
      <right/>
      <top/>
      <bottom style="hair">
        <color indexed="64"/>
      </bottom>
      <diagonal/>
    </border>
    <border>
      <left style="hair">
        <color indexed="64"/>
      </left>
      <right/>
      <top style="hair">
        <color indexed="64"/>
      </top>
      <bottom style="medium">
        <color indexed="64"/>
      </bottom>
      <diagonal/>
    </border>
    <border>
      <left style="medium">
        <color indexed="64"/>
      </left>
      <right/>
      <top style="hair">
        <color auto="1"/>
      </top>
      <bottom style="medium">
        <color indexed="64"/>
      </bottom>
      <diagonal/>
    </border>
    <border>
      <left/>
      <right style="medium">
        <color indexed="64"/>
      </right>
      <top style="thin">
        <color indexed="64"/>
      </top>
      <bottom style="hair">
        <color auto="1"/>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style="hair">
        <color indexed="64"/>
      </right>
      <top/>
      <bottom/>
      <diagonal/>
    </border>
    <border>
      <left style="hair">
        <color indexed="64"/>
      </left>
      <right style="hair">
        <color indexed="64"/>
      </right>
      <top/>
      <bottom/>
      <diagonal/>
    </border>
    <border>
      <left style="hair">
        <color indexed="64"/>
      </left>
      <right style="medium">
        <color indexed="64"/>
      </right>
      <top/>
      <bottom/>
      <diagonal/>
    </border>
    <border>
      <left style="medium">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thin">
        <color auto="1"/>
      </bottom>
      <diagonal/>
    </border>
    <border>
      <left style="thin">
        <color indexed="64"/>
      </left>
      <right style="medium">
        <color auto="1"/>
      </right>
      <top/>
      <bottom style="thin">
        <color auto="1"/>
      </bottom>
      <diagonal/>
    </border>
    <border>
      <left style="medium">
        <color indexed="64"/>
      </left>
      <right style="thin">
        <color auto="1"/>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auto="1"/>
      </bottom>
      <diagonal/>
    </border>
    <border>
      <left style="thin">
        <color auto="1"/>
      </left>
      <right/>
      <top style="thin">
        <color auto="1"/>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top style="medium">
        <color theme="4"/>
      </top>
      <bottom style="thin">
        <color auto="1"/>
      </bottom>
      <diagonal/>
    </border>
    <border>
      <left style="medium">
        <color indexed="64"/>
      </left>
      <right style="thin">
        <color auto="1"/>
      </right>
      <top style="thin">
        <color indexed="64"/>
      </top>
      <bottom/>
      <diagonal/>
    </border>
    <border>
      <left style="medium">
        <color indexed="64"/>
      </left>
      <right/>
      <top style="medium">
        <color indexed="64"/>
      </top>
      <bottom style="hair">
        <color auto="1"/>
      </bottom>
      <diagonal/>
    </border>
    <border>
      <left/>
      <right/>
      <top/>
      <bottom style="thin">
        <color theme="4" tint="0.39997558519241921"/>
      </bottom>
      <diagonal/>
    </border>
    <border>
      <left/>
      <right/>
      <top style="thin">
        <color theme="4"/>
      </top>
      <bottom style="thin">
        <color theme="4"/>
      </bottom>
      <diagonal/>
    </border>
    <border>
      <left/>
      <right style="thin">
        <color indexed="64"/>
      </right>
      <top style="thin">
        <color indexed="64"/>
      </top>
      <bottom/>
      <diagonal/>
    </border>
    <border>
      <left style="medium">
        <color indexed="64"/>
      </left>
      <right/>
      <top style="hair">
        <color auto="1"/>
      </top>
      <bottom/>
      <diagonal/>
    </border>
    <border>
      <left/>
      <right/>
      <top style="thin">
        <color theme="4"/>
      </top>
      <bottom style="thin">
        <color auto="1"/>
      </bottom>
      <diagonal/>
    </border>
    <border>
      <left/>
      <right style="thin">
        <color auto="1"/>
      </right>
      <top style="medium">
        <color indexed="64"/>
      </top>
      <bottom style="medium">
        <color indexed="64"/>
      </bottom>
      <diagonal/>
    </border>
    <border>
      <left/>
      <right style="thin">
        <color auto="1"/>
      </right>
      <top style="medium">
        <color indexed="64"/>
      </top>
      <bottom/>
      <diagonal/>
    </border>
    <border>
      <left style="medium">
        <color auto="1"/>
      </left>
      <right/>
      <top/>
      <bottom style="hair">
        <color auto="1"/>
      </bottom>
      <diagonal/>
    </border>
    <border>
      <left/>
      <right style="hair">
        <color indexed="64"/>
      </right>
      <top style="hair">
        <color indexed="64"/>
      </top>
      <bottom style="hair">
        <color indexed="64"/>
      </bottom>
      <diagonal/>
    </border>
    <border>
      <left/>
      <right/>
      <top style="thin">
        <color theme="4" tint="0.39997558519241921"/>
      </top>
      <bottom/>
      <diagonal/>
    </border>
    <border>
      <left/>
      <right/>
      <top style="thin">
        <color theme="0" tint="-0.499984740745262"/>
      </top>
      <bottom style="thin">
        <color auto="1"/>
      </bottom>
      <diagonal/>
    </border>
    <border>
      <left style="thin">
        <color indexed="64"/>
      </left>
      <right/>
      <top style="thin">
        <color auto="1"/>
      </top>
      <bottom style="hair">
        <color auto="1"/>
      </bottom>
      <diagonal/>
    </border>
    <border>
      <left style="medium">
        <color indexed="64"/>
      </left>
      <right style="thin">
        <color indexed="64"/>
      </right>
      <top style="thin">
        <color auto="1"/>
      </top>
      <bottom style="hair">
        <color auto="1"/>
      </bottom>
      <diagonal/>
    </border>
    <border>
      <left style="medium">
        <color indexed="64"/>
      </left>
      <right/>
      <top style="dotted">
        <color indexed="64"/>
      </top>
      <bottom style="medium">
        <color indexed="64"/>
      </bottom>
      <diagonal/>
    </border>
    <border>
      <left/>
      <right style="medium">
        <color indexed="64"/>
      </right>
      <top style="dotted">
        <color indexed="64"/>
      </top>
      <bottom style="medium">
        <color indexed="64"/>
      </bottom>
      <diagonal/>
    </border>
    <border>
      <left/>
      <right/>
      <top/>
      <bottom style="thick">
        <color theme="2"/>
      </bottom>
      <diagonal/>
    </border>
    <border>
      <left style="medium">
        <color indexed="64"/>
      </left>
      <right style="medium">
        <color indexed="64"/>
      </right>
      <top/>
      <bottom style="medium">
        <color indexed="64"/>
      </bottom>
      <diagonal/>
    </border>
    <border>
      <left style="medium">
        <color theme="3"/>
      </left>
      <right/>
      <top style="medium">
        <color theme="3"/>
      </top>
      <bottom/>
      <diagonal/>
    </border>
    <border>
      <left/>
      <right/>
      <top style="medium">
        <color theme="3"/>
      </top>
      <bottom/>
      <diagonal/>
    </border>
    <border>
      <left style="medium">
        <color theme="4"/>
      </left>
      <right/>
      <top style="medium">
        <color theme="3"/>
      </top>
      <bottom/>
      <diagonal/>
    </border>
    <border>
      <left/>
      <right style="medium">
        <color theme="3"/>
      </right>
      <top style="medium">
        <color theme="3"/>
      </top>
      <bottom/>
      <diagonal/>
    </border>
    <border>
      <left style="medium">
        <color theme="3"/>
      </left>
      <right/>
      <top/>
      <bottom/>
      <diagonal/>
    </border>
    <border>
      <left/>
      <right style="medium">
        <color theme="3"/>
      </right>
      <top/>
      <bottom/>
      <diagonal/>
    </border>
    <border>
      <left style="medium">
        <color theme="3"/>
      </left>
      <right/>
      <top/>
      <bottom style="medium">
        <color theme="3"/>
      </bottom>
      <diagonal/>
    </border>
    <border>
      <left/>
      <right/>
      <top/>
      <bottom style="medium">
        <color theme="3"/>
      </bottom>
      <diagonal/>
    </border>
    <border>
      <left style="medium">
        <color theme="4"/>
      </left>
      <right/>
      <top/>
      <bottom style="medium">
        <color theme="3"/>
      </bottom>
      <diagonal/>
    </border>
    <border>
      <left/>
      <right style="medium">
        <color theme="3"/>
      </right>
      <top/>
      <bottom style="medium">
        <color theme="3"/>
      </bottom>
      <diagonal/>
    </border>
    <border>
      <left/>
      <right style="medium">
        <color theme="3"/>
      </right>
      <top/>
      <bottom style="medium">
        <color theme="4"/>
      </bottom>
      <diagonal/>
    </border>
    <border>
      <left/>
      <right style="medium">
        <color theme="3"/>
      </right>
      <top style="medium">
        <color theme="4"/>
      </top>
      <bottom/>
      <diagonal/>
    </border>
    <border>
      <left/>
      <right/>
      <top style="thin">
        <color theme="6" tint="0.79998168889431442"/>
      </top>
      <bottom style="thin">
        <color theme="6" tint="0.79998168889431442"/>
      </bottom>
      <diagonal/>
    </border>
  </borders>
  <cellStyleXfs count="5">
    <xf numFmtId="0" fontId="0" fillId="0" borderId="0"/>
    <xf numFmtId="9" fontId="1" fillId="0" borderId="0" applyFont="0" applyFill="0" applyBorder="0" applyAlignment="0" applyProtection="0"/>
    <xf numFmtId="43" fontId="1" fillId="0" borderId="0" applyFont="0" applyFill="0" applyBorder="0" applyAlignment="0" applyProtection="0"/>
    <xf numFmtId="0" fontId="19" fillId="0" borderId="0" applyNumberFormat="0" applyFill="0" applyBorder="0" applyAlignment="0" applyProtection="0"/>
    <xf numFmtId="0" fontId="106" fillId="0" borderId="0"/>
  </cellStyleXfs>
  <cellXfs count="1730">
    <xf numFmtId="0" fontId="0" fillId="0" borderId="0" xfId="0"/>
    <xf numFmtId="0" fontId="2" fillId="0" borderId="0" xfId="0" applyFont="1"/>
    <xf numFmtId="3" fontId="0" fillId="0" borderId="0" xfId="0" applyNumberFormat="1"/>
    <xf numFmtId="0" fontId="0" fillId="0" borderId="0" xfId="0" applyAlignment="1">
      <alignment vertical="top" wrapText="1"/>
    </xf>
    <xf numFmtId="0" fontId="0" fillId="0" borderId="0" xfId="0" applyAlignment="1">
      <alignment vertical="top"/>
    </xf>
    <xf numFmtId="0" fontId="5" fillId="0" borderId="0" xfId="0" applyFont="1"/>
    <xf numFmtId="0" fontId="6" fillId="0" borderId="0" xfId="0" applyFont="1"/>
    <xf numFmtId="0" fontId="7" fillId="0" borderId="2" xfId="0" applyFont="1" applyBorder="1" applyAlignment="1">
      <alignment wrapText="1"/>
    </xf>
    <xf numFmtId="0" fontId="6" fillId="0" borderId="0" xfId="0" applyFont="1" applyAlignment="1">
      <alignment vertical="center" wrapText="1"/>
    </xf>
    <xf numFmtId="0" fontId="6" fillId="0" borderId="0" xfId="0" applyFont="1" applyAlignment="1">
      <alignment vertical="center"/>
    </xf>
    <xf numFmtId="0" fontId="8" fillId="0" borderId="0" xfId="0" applyFont="1"/>
    <xf numFmtId="0" fontId="10" fillId="0" borderId="0" xfId="0" applyFont="1"/>
    <xf numFmtId="0" fontId="10" fillId="4" borderId="5" xfId="0" applyFont="1" applyFill="1" applyBorder="1" applyAlignment="1">
      <alignment horizontal="center"/>
    </xf>
    <xf numFmtId="0" fontId="10" fillId="4" borderId="1" xfId="0" applyFont="1" applyFill="1" applyBorder="1" applyAlignment="1">
      <alignment horizontal="center"/>
    </xf>
    <xf numFmtId="0" fontId="12" fillId="0" borderId="0" xfId="0" applyFont="1"/>
    <xf numFmtId="0" fontId="9" fillId="0" borderId="0" xfId="0" applyFont="1"/>
    <xf numFmtId="0" fontId="10" fillId="4" borderId="10" xfId="0" applyFont="1" applyFill="1" applyBorder="1" applyAlignment="1">
      <alignment horizontal="center"/>
    </xf>
    <xf numFmtId="164" fontId="6" fillId="0" borderId="0" xfId="2" applyNumberFormat="1" applyFont="1" applyFill="1" applyBorder="1"/>
    <xf numFmtId="0" fontId="15" fillId="0" borderId="0" xfId="0" applyFont="1"/>
    <xf numFmtId="0" fontId="5" fillId="0" borderId="0" xfId="0" applyFont="1" applyAlignment="1">
      <alignment horizontal="left" wrapText="1"/>
    </xf>
    <xf numFmtId="0" fontId="0" fillId="0" borderId="0" xfId="0" applyAlignment="1">
      <alignment horizontal="left" indent="1"/>
    </xf>
    <xf numFmtId="0" fontId="0" fillId="0" borderId="0" xfId="0" applyAlignment="1">
      <alignment horizontal="right" indent="1"/>
    </xf>
    <xf numFmtId="0" fontId="9" fillId="0" borderId="0" xfId="0" applyFont="1" applyAlignment="1">
      <alignment horizontal="left" indent="1"/>
    </xf>
    <xf numFmtId="9" fontId="0" fillId="0" borderId="0" xfId="1" applyFont="1"/>
    <xf numFmtId="1" fontId="0" fillId="0" borderId="0" xfId="0" applyNumberFormat="1"/>
    <xf numFmtId="0" fontId="8" fillId="0" borderId="0" xfId="0" applyFont="1" applyAlignment="1">
      <alignment wrapText="1"/>
    </xf>
    <xf numFmtId="1" fontId="8" fillId="0" borderId="0" xfId="0" applyNumberFormat="1" applyFont="1"/>
    <xf numFmtId="9" fontId="8" fillId="0" borderId="0" xfId="1" applyFont="1"/>
    <xf numFmtId="0" fontId="0" fillId="6" borderId="21" xfId="0" applyFill="1" applyBorder="1"/>
    <xf numFmtId="43" fontId="6" fillId="0" borderId="0" xfId="0" applyNumberFormat="1" applyFont="1"/>
    <xf numFmtId="0" fontId="0" fillId="0" borderId="0" xfId="0" applyAlignment="1">
      <alignment horizontal="right"/>
    </xf>
    <xf numFmtId="0" fontId="16" fillId="0" borderId="0" xfId="0" applyFont="1" applyAlignment="1">
      <alignment horizontal="right" vertical="center"/>
    </xf>
    <xf numFmtId="0" fontId="0" fillId="0" borderId="0" xfId="0" applyAlignment="1">
      <alignment horizontal="center"/>
    </xf>
    <xf numFmtId="0" fontId="3" fillId="0" borderId="0" xfId="0" applyFont="1" applyAlignment="1">
      <alignment vertical="center" wrapText="1"/>
    </xf>
    <xf numFmtId="0" fontId="3" fillId="0" borderId="0" xfId="0" applyFont="1" applyAlignment="1">
      <alignment horizontal="right" vertical="center"/>
    </xf>
    <xf numFmtId="0" fontId="3" fillId="0" borderId="0" xfId="0" applyFont="1" applyAlignment="1">
      <alignment horizontal="center" vertical="top" wrapText="1"/>
    </xf>
    <xf numFmtId="0" fontId="21" fillId="0" borderId="0" xfId="0" applyFont="1" applyAlignment="1">
      <alignment wrapText="1"/>
    </xf>
    <xf numFmtId="0" fontId="20" fillId="0" borderId="0" xfId="0" applyFont="1" applyAlignment="1">
      <alignment horizontal="left" wrapText="1"/>
    </xf>
    <xf numFmtId="0" fontId="9" fillId="0" borderId="0" xfId="0" applyFont="1" applyAlignment="1">
      <alignment vertical="center"/>
    </xf>
    <xf numFmtId="0" fontId="2" fillId="0" borderId="0" xfId="0" applyFont="1" applyAlignment="1">
      <alignment horizontal="center"/>
    </xf>
    <xf numFmtId="0" fontId="10" fillId="0" borderId="0" xfId="0" applyFont="1" applyAlignment="1">
      <alignment horizontal="center"/>
    </xf>
    <xf numFmtId="0" fontId="0" fillId="0" borderId="0" xfId="0" applyAlignment="1">
      <alignment vertical="center"/>
    </xf>
    <xf numFmtId="0" fontId="20" fillId="9" borderId="0" xfId="0" applyFont="1" applyFill="1"/>
    <xf numFmtId="0" fontId="20" fillId="9" borderId="22" xfId="0" applyFont="1" applyFill="1" applyBorder="1" applyAlignment="1">
      <alignment horizontal="center"/>
    </xf>
    <xf numFmtId="0" fontId="23" fillId="9" borderId="22" xfId="0" applyFont="1" applyFill="1" applyBorder="1" applyAlignment="1">
      <alignment horizontal="center"/>
    </xf>
    <xf numFmtId="0" fontId="23" fillId="9" borderId="7" xfId="0" applyFont="1" applyFill="1" applyBorder="1" applyAlignment="1">
      <alignment horizontal="center"/>
    </xf>
    <xf numFmtId="0" fontId="20" fillId="9" borderId="17" xfId="0" applyFont="1" applyFill="1" applyBorder="1" applyAlignment="1">
      <alignment horizontal="center"/>
    </xf>
    <xf numFmtId="0" fontId="10" fillId="0" borderId="5" xfId="0" applyFont="1" applyBorder="1" applyAlignment="1">
      <alignment horizontal="center" vertical="center"/>
    </xf>
    <xf numFmtId="0" fontId="10" fillId="0" borderId="8" xfId="0" applyFont="1" applyBorder="1" applyAlignment="1">
      <alignment horizontal="center" vertical="center"/>
    </xf>
    <xf numFmtId="9" fontId="2" fillId="2" borderId="29" xfId="0" applyNumberFormat="1" applyFont="1" applyFill="1" applyBorder="1" applyAlignment="1">
      <alignment horizontal="center" vertical="center"/>
    </xf>
    <xf numFmtId="0" fontId="17" fillId="9" borderId="0" xfId="0" applyFont="1" applyFill="1" applyAlignment="1">
      <alignment horizontal="left"/>
    </xf>
    <xf numFmtId="0" fontId="17" fillId="9" borderId="0" xfId="0" applyFont="1" applyFill="1"/>
    <xf numFmtId="3" fontId="4" fillId="0" borderId="33" xfId="0" applyNumberFormat="1" applyFont="1" applyBorder="1" applyAlignment="1">
      <alignment horizontal="center" vertical="center"/>
    </xf>
    <xf numFmtId="3" fontId="4" fillId="0" borderId="34" xfId="0" applyNumberFormat="1" applyFont="1" applyBorder="1" applyAlignment="1">
      <alignment horizontal="center" vertical="center"/>
    </xf>
    <xf numFmtId="3" fontId="4" fillId="0" borderId="35" xfId="0" applyNumberFormat="1" applyFont="1" applyBorder="1" applyAlignment="1">
      <alignment horizontal="center" vertical="center"/>
    </xf>
    <xf numFmtId="3" fontId="4" fillId="0" borderId="36" xfId="0" applyNumberFormat="1" applyFont="1" applyBorder="1" applyAlignment="1">
      <alignment horizontal="center" vertical="center"/>
    </xf>
    <xf numFmtId="3" fontId="4" fillId="0" borderId="37" xfId="0" applyNumberFormat="1" applyFont="1" applyBorder="1" applyAlignment="1">
      <alignment horizontal="center" vertical="center"/>
    </xf>
    <xf numFmtId="3" fontId="4" fillId="0" borderId="38" xfId="0" applyNumberFormat="1" applyFont="1" applyBorder="1" applyAlignment="1">
      <alignment horizontal="center" vertical="center"/>
    </xf>
    <xf numFmtId="3" fontId="4" fillId="0" borderId="39" xfId="0" applyNumberFormat="1" applyFont="1" applyBorder="1" applyAlignment="1">
      <alignment horizontal="center" vertical="center"/>
    </xf>
    <xf numFmtId="3" fontId="4" fillId="0" borderId="40" xfId="0" applyNumberFormat="1" applyFont="1" applyBorder="1" applyAlignment="1">
      <alignment horizontal="center" vertical="center"/>
    </xf>
    <xf numFmtId="3" fontId="4" fillId="0" borderId="41" xfId="0" applyNumberFormat="1" applyFont="1" applyBorder="1" applyAlignment="1">
      <alignment horizontal="center" vertical="center"/>
    </xf>
    <xf numFmtId="3" fontId="4" fillId="0" borderId="42" xfId="0" applyNumberFormat="1" applyFont="1" applyBorder="1" applyAlignment="1">
      <alignment horizontal="center" vertical="center"/>
    </xf>
    <xf numFmtId="3" fontId="4" fillId="0" borderId="43" xfId="0" applyNumberFormat="1" applyFont="1" applyBorder="1" applyAlignment="1">
      <alignment horizontal="center" vertical="center"/>
    </xf>
    <xf numFmtId="3" fontId="4" fillId="0" borderId="44" xfId="0" applyNumberFormat="1" applyFont="1" applyBorder="1" applyAlignment="1">
      <alignment horizontal="center" vertical="center"/>
    </xf>
    <xf numFmtId="3" fontId="4" fillId="0" borderId="45" xfId="0" applyNumberFormat="1" applyFont="1" applyBorder="1" applyAlignment="1">
      <alignment horizontal="center" vertical="center"/>
    </xf>
    <xf numFmtId="3" fontId="4" fillId="0" borderId="46" xfId="0" applyNumberFormat="1" applyFont="1" applyBorder="1" applyAlignment="1">
      <alignment horizontal="center" vertical="center"/>
    </xf>
    <xf numFmtId="3" fontId="4" fillId="0" borderId="47" xfId="0" applyNumberFormat="1" applyFont="1" applyBorder="1" applyAlignment="1">
      <alignment horizontal="center" vertical="center"/>
    </xf>
    <xf numFmtId="3" fontId="4" fillId="0" borderId="49" xfId="0" applyNumberFormat="1" applyFont="1" applyBorder="1" applyAlignment="1">
      <alignment horizontal="center" vertical="center"/>
    </xf>
    <xf numFmtId="3" fontId="4" fillId="0" borderId="50" xfId="0" applyNumberFormat="1" applyFont="1" applyBorder="1" applyAlignment="1">
      <alignment horizontal="center" vertical="center"/>
    </xf>
    <xf numFmtId="3" fontId="4" fillId="0" borderId="51" xfId="0" applyNumberFormat="1" applyFont="1" applyBorder="1" applyAlignment="1">
      <alignment horizontal="center" vertical="center"/>
    </xf>
    <xf numFmtId="3" fontId="4" fillId="0" borderId="52" xfId="0" applyNumberFormat="1" applyFont="1" applyBorder="1" applyAlignment="1">
      <alignment horizontal="center" vertical="center"/>
    </xf>
    <xf numFmtId="3" fontId="4" fillId="0" borderId="54" xfId="0" applyNumberFormat="1" applyFont="1" applyBorder="1" applyAlignment="1">
      <alignment horizontal="center" vertical="center"/>
    </xf>
    <xf numFmtId="3" fontId="4" fillId="0" borderId="55" xfId="0" applyNumberFormat="1" applyFont="1" applyBorder="1" applyAlignment="1">
      <alignment horizontal="center" vertical="center"/>
    </xf>
    <xf numFmtId="3" fontId="4" fillId="0" borderId="56" xfId="0" applyNumberFormat="1" applyFont="1" applyBorder="1" applyAlignment="1">
      <alignment horizontal="center" vertical="center"/>
    </xf>
    <xf numFmtId="3" fontId="4" fillId="0" borderId="57" xfId="0" applyNumberFormat="1" applyFont="1" applyBorder="1" applyAlignment="1">
      <alignment horizontal="center" vertical="center"/>
    </xf>
    <xf numFmtId="3" fontId="4" fillId="0" borderId="58" xfId="0" applyNumberFormat="1" applyFont="1" applyBorder="1" applyAlignment="1">
      <alignment horizontal="center" vertical="center"/>
    </xf>
    <xf numFmtId="3" fontId="4" fillId="0" borderId="59" xfId="0" applyNumberFormat="1" applyFont="1" applyBorder="1" applyAlignment="1">
      <alignment horizontal="center" vertical="center"/>
    </xf>
    <xf numFmtId="3" fontId="4" fillId="0" borderId="60" xfId="0" applyNumberFormat="1" applyFont="1" applyBorder="1" applyAlignment="1">
      <alignment horizontal="center" vertical="center"/>
    </xf>
    <xf numFmtId="3" fontId="4" fillId="0" borderId="61" xfId="0" applyNumberFormat="1" applyFont="1" applyBorder="1" applyAlignment="1">
      <alignment horizontal="center" vertical="center"/>
    </xf>
    <xf numFmtId="3" fontId="4" fillId="0" borderId="49" xfId="0" applyNumberFormat="1" applyFont="1" applyBorder="1" applyAlignment="1">
      <alignment horizontal="center"/>
    </xf>
    <xf numFmtId="3" fontId="4" fillId="0" borderId="50" xfId="0" applyNumberFormat="1" applyFont="1" applyBorder="1" applyAlignment="1">
      <alignment horizontal="center"/>
    </xf>
    <xf numFmtId="3" fontId="4" fillId="0" borderId="51" xfId="0" applyNumberFormat="1" applyFont="1" applyBorder="1" applyAlignment="1">
      <alignment horizontal="center"/>
    </xf>
    <xf numFmtId="3" fontId="4" fillId="0" borderId="52" xfId="0" applyNumberFormat="1" applyFont="1" applyBorder="1" applyAlignment="1">
      <alignment horizontal="center"/>
    </xf>
    <xf numFmtId="3" fontId="4" fillId="0" borderId="63" xfId="0" applyNumberFormat="1" applyFont="1" applyBorder="1" applyAlignment="1">
      <alignment horizontal="center"/>
    </xf>
    <xf numFmtId="3" fontId="4" fillId="0" borderId="64" xfId="0" applyNumberFormat="1" applyFont="1" applyBorder="1" applyAlignment="1">
      <alignment horizontal="center"/>
    </xf>
    <xf numFmtId="3" fontId="4" fillId="0" borderId="65" xfId="0" applyNumberFormat="1" applyFont="1" applyBorder="1" applyAlignment="1">
      <alignment horizontal="center"/>
    </xf>
    <xf numFmtId="3" fontId="4" fillId="0" borderId="66" xfId="0" applyNumberFormat="1" applyFont="1" applyBorder="1" applyAlignment="1">
      <alignment horizontal="center"/>
    </xf>
    <xf numFmtId="3" fontId="4" fillId="0" borderId="67" xfId="0" applyNumberFormat="1" applyFont="1" applyBorder="1" applyAlignment="1">
      <alignment horizontal="center"/>
    </xf>
    <xf numFmtId="3" fontId="4" fillId="0" borderId="68" xfId="0" applyNumberFormat="1" applyFont="1" applyBorder="1" applyAlignment="1">
      <alignment horizontal="center"/>
    </xf>
    <xf numFmtId="3" fontId="4" fillId="0" borderId="69" xfId="0" applyNumberFormat="1" applyFont="1" applyBorder="1" applyAlignment="1">
      <alignment horizontal="center"/>
    </xf>
    <xf numFmtId="3" fontId="4" fillId="0" borderId="70" xfId="0" applyNumberFormat="1" applyFont="1" applyBorder="1" applyAlignment="1">
      <alignment horizontal="center"/>
    </xf>
    <xf numFmtId="3" fontId="4" fillId="0" borderId="54" xfId="0" applyNumberFormat="1" applyFont="1" applyBorder="1" applyAlignment="1">
      <alignment horizontal="center"/>
    </xf>
    <xf numFmtId="3" fontId="4" fillId="0" borderId="55" xfId="0" applyNumberFormat="1" applyFont="1" applyBorder="1" applyAlignment="1">
      <alignment horizontal="center"/>
    </xf>
    <xf numFmtId="3" fontId="4" fillId="0" borderId="56" xfId="0" applyNumberFormat="1" applyFont="1" applyBorder="1" applyAlignment="1">
      <alignment horizontal="center"/>
    </xf>
    <xf numFmtId="3" fontId="4" fillId="0" borderId="57" xfId="0" applyNumberFormat="1" applyFont="1" applyBorder="1" applyAlignment="1">
      <alignment horizontal="center"/>
    </xf>
    <xf numFmtId="3" fontId="4" fillId="0" borderId="45" xfId="0" applyNumberFormat="1" applyFont="1" applyBorder="1" applyAlignment="1">
      <alignment horizontal="center"/>
    </xf>
    <xf numFmtId="3" fontId="4" fillId="0" borderId="46" xfId="0" applyNumberFormat="1" applyFont="1" applyBorder="1" applyAlignment="1">
      <alignment horizontal="center"/>
    </xf>
    <xf numFmtId="3" fontId="4" fillId="0" borderId="47" xfId="0" applyNumberFormat="1" applyFont="1" applyBorder="1" applyAlignment="1">
      <alignment horizontal="center"/>
    </xf>
    <xf numFmtId="0" fontId="10" fillId="0" borderId="0" xfId="0" applyFont="1" applyAlignment="1">
      <alignment horizontal="center" vertical="center" wrapText="1"/>
    </xf>
    <xf numFmtId="0" fontId="0" fillId="2" borderId="72" xfId="0" applyFill="1" applyBorder="1" applyAlignment="1">
      <alignment horizontal="center"/>
    </xf>
    <xf numFmtId="0" fontId="4" fillId="0" borderId="72" xfId="0" applyFont="1" applyBorder="1"/>
    <xf numFmtId="0" fontId="0" fillId="2" borderId="73" xfId="0" applyFill="1" applyBorder="1" applyAlignment="1">
      <alignment horizontal="center"/>
    </xf>
    <xf numFmtId="0" fontId="4" fillId="0" borderId="73" xfId="0" applyFont="1" applyBorder="1"/>
    <xf numFmtId="0" fontId="28" fillId="0" borderId="0" xfId="0" applyFont="1"/>
    <xf numFmtId="0" fontId="18" fillId="9" borderId="0" xfId="0" applyFont="1" applyFill="1" applyAlignment="1">
      <alignment vertical="center"/>
    </xf>
    <xf numFmtId="0" fontId="0" fillId="0" borderId="77" xfId="0" applyBorder="1"/>
    <xf numFmtId="0" fontId="0" fillId="0" borderId="78" xfId="0" applyBorder="1"/>
    <xf numFmtId="0" fontId="15" fillId="0" borderId="78" xfId="0" applyFont="1" applyBorder="1"/>
    <xf numFmtId="0" fontId="27" fillId="0" borderId="77" xfId="0" applyFont="1" applyBorder="1"/>
    <xf numFmtId="0" fontId="5" fillId="0" borderId="77" xfId="0" applyFont="1" applyBorder="1"/>
    <xf numFmtId="0" fontId="27" fillId="0" borderId="79" xfId="0" applyFont="1" applyBorder="1"/>
    <xf numFmtId="0" fontId="0" fillId="0" borderId="80" xfId="0" applyBorder="1"/>
    <xf numFmtId="0" fontId="0" fillId="0" borderId="81" xfId="0" applyBorder="1"/>
    <xf numFmtId="1" fontId="30" fillId="0" borderId="0" xfId="0" applyNumberFormat="1" applyFont="1" applyAlignment="1">
      <alignment horizontal="center" vertical="center"/>
    </xf>
    <xf numFmtId="0" fontId="31" fillId="0" borderId="0" xfId="0" applyFont="1"/>
    <xf numFmtId="0" fontId="0" fillId="11" borderId="0" xfId="0" applyFill="1"/>
    <xf numFmtId="166" fontId="0" fillId="0" borderId="0" xfId="1" applyNumberFormat="1" applyFont="1"/>
    <xf numFmtId="0" fontId="34" fillId="0" borderId="0" xfId="0" applyFont="1"/>
    <xf numFmtId="0" fontId="18" fillId="10" borderId="90" xfId="0" applyFont="1" applyFill="1" applyBorder="1" applyAlignment="1">
      <alignment horizontal="center" vertical="center"/>
    </xf>
    <xf numFmtId="0" fontId="0" fillId="0" borderId="0" xfId="0" applyAlignment="1">
      <alignment wrapText="1"/>
    </xf>
    <xf numFmtId="0" fontId="35" fillId="12" borderId="92" xfId="0" applyFont="1" applyFill="1" applyBorder="1" applyAlignment="1">
      <alignment horizontal="center" vertical="center"/>
    </xf>
    <xf numFmtId="0" fontId="35" fillId="12" borderId="93" xfId="0" applyFont="1" applyFill="1" applyBorder="1" applyAlignment="1">
      <alignment horizontal="center" vertical="center"/>
    </xf>
    <xf numFmtId="0" fontId="35" fillId="12" borderId="94" xfId="0" applyFont="1" applyFill="1" applyBorder="1" applyAlignment="1">
      <alignment horizontal="center" vertical="center"/>
    </xf>
    <xf numFmtId="0" fontId="36" fillId="13" borderId="95" xfId="0" applyFont="1" applyFill="1" applyBorder="1" applyAlignment="1">
      <alignment horizontal="left" indent="1"/>
    </xf>
    <xf numFmtId="0" fontId="36" fillId="13" borderId="97" xfId="0" applyFont="1" applyFill="1" applyBorder="1" applyAlignment="1">
      <alignment horizontal="left" indent="1"/>
    </xf>
    <xf numFmtId="0" fontId="36" fillId="3" borderId="97" xfId="0" applyFont="1" applyFill="1" applyBorder="1" applyAlignment="1">
      <alignment horizontal="left" indent="1"/>
    </xf>
    <xf numFmtId="0" fontId="36" fillId="13" borderId="100" xfId="0" applyFont="1" applyFill="1" applyBorder="1" applyAlignment="1">
      <alignment horizontal="left" indent="1"/>
    </xf>
    <xf numFmtId="3" fontId="36" fillId="0" borderId="96" xfId="0" applyNumberFormat="1" applyFont="1" applyBorder="1"/>
    <xf numFmtId="3" fontId="36" fillId="0" borderId="98" xfId="0" applyNumberFormat="1" applyFont="1" applyBorder="1"/>
    <xf numFmtId="3" fontId="36" fillId="0" borderId="99" xfId="0" applyNumberFormat="1" applyFont="1" applyBorder="1"/>
    <xf numFmtId="3" fontId="36" fillId="3" borderId="98" xfId="0" applyNumberFormat="1" applyFont="1" applyFill="1" applyBorder="1"/>
    <xf numFmtId="3" fontId="36" fillId="3" borderId="99" xfId="0" applyNumberFormat="1" applyFont="1" applyFill="1" applyBorder="1"/>
    <xf numFmtId="3" fontId="36" fillId="0" borderId="101" xfId="0" applyNumberFormat="1" applyFont="1" applyBorder="1"/>
    <xf numFmtId="3" fontId="36" fillId="0" borderId="102" xfId="0" applyNumberFormat="1" applyFont="1" applyBorder="1"/>
    <xf numFmtId="0" fontId="37" fillId="0" borderId="0" xfId="0" applyFont="1" applyAlignment="1">
      <alignment vertical="center"/>
    </xf>
    <xf numFmtId="0" fontId="0" fillId="0" borderId="106" xfId="0" applyBorder="1"/>
    <xf numFmtId="0" fontId="0" fillId="0" borderId="107" xfId="0" applyBorder="1"/>
    <xf numFmtId="0" fontId="0" fillId="0" borderId="108" xfId="0" applyBorder="1"/>
    <xf numFmtId="3" fontId="0" fillId="0" borderId="4" xfId="0" applyNumberFormat="1" applyBorder="1"/>
    <xf numFmtId="0" fontId="0" fillId="0" borderId="6" xfId="0" applyBorder="1" applyAlignment="1">
      <alignment horizontal="left" indent="1"/>
    </xf>
    <xf numFmtId="0" fontId="0" fillId="5" borderId="6" xfId="0" applyFill="1" applyBorder="1"/>
    <xf numFmtId="0" fontId="0" fillId="5" borderId="6" xfId="0" applyFill="1" applyBorder="1" applyAlignment="1">
      <alignment wrapText="1"/>
    </xf>
    <xf numFmtId="0" fontId="0" fillId="0" borderId="110" xfId="0" applyBorder="1"/>
    <xf numFmtId="0" fontId="0" fillId="0" borderId="111" xfId="0" applyBorder="1"/>
    <xf numFmtId="0" fontId="15" fillId="0" borderId="110" xfId="0" applyFont="1" applyBorder="1"/>
    <xf numFmtId="0" fontId="15" fillId="0" borderId="111" xfId="0" applyFont="1" applyBorder="1"/>
    <xf numFmtId="0" fontId="13" fillId="0" borderId="111" xfId="0" applyFont="1" applyBorder="1"/>
    <xf numFmtId="0" fontId="0" fillId="0" borderId="19" xfId="0" applyBorder="1"/>
    <xf numFmtId="0" fontId="0" fillId="0" borderId="82" xfId="0" applyBorder="1"/>
    <xf numFmtId="0" fontId="0" fillId="0" borderId="12" xfId="0" applyBorder="1"/>
    <xf numFmtId="0" fontId="0" fillId="0" borderId="84" xfId="0" applyBorder="1"/>
    <xf numFmtId="0" fontId="0" fillId="0" borderId="113" xfId="0" applyBorder="1"/>
    <xf numFmtId="2" fontId="0" fillId="0" borderId="0" xfId="0" applyNumberFormat="1"/>
    <xf numFmtId="1" fontId="1" fillId="3" borderId="109" xfId="2" applyNumberFormat="1" applyFont="1" applyFill="1" applyBorder="1" applyAlignment="1">
      <alignment horizontal="center"/>
    </xf>
    <xf numFmtId="1" fontId="0" fillId="3" borderId="0" xfId="0" applyNumberFormat="1" applyFill="1" applyAlignment="1">
      <alignment horizontal="center"/>
    </xf>
    <xf numFmtId="0" fontId="27" fillId="0" borderId="0" xfId="0" applyFont="1"/>
    <xf numFmtId="0" fontId="20" fillId="9" borderId="17" xfId="0" applyFont="1" applyFill="1" applyBorder="1" applyAlignment="1">
      <alignment horizontal="center" wrapText="1"/>
    </xf>
    <xf numFmtId="0" fontId="23" fillId="9" borderId="22" xfId="0" applyFont="1" applyFill="1" applyBorder="1" applyAlignment="1">
      <alignment horizontal="center" wrapText="1"/>
    </xf>
    <xf numFmtId="0" fontId="20" fillId="9" borderId="0" xfId="0" applyFont="1" applyFill="1" applyAlignment="1">
      <alignment horizontal="center"/>
    </xf>
    <xf numFmtId="0" fontId="23" fillId="9" borderId="0" xfId="0" applyFont="1" applyFill="1" applyAlignment="1">
      <alignment horizontal="center"/>
    </xf>
    <xf numFmtId="0" fontId="23" fillId="9" borderId="9" xfId="0" applyFont="1" applyFill="1" applyBorder="1" applyAlignment="1">
      <alignment horizontal="center"/>
    </xf>
    <xf numFmtId="1" fontId="1" fillId="3" borderId="121" xfId="2" applyNumberFormat="1" applyFont="1" applyFill="1" applyBorder="1" applyAlignment="1">
      <alignment horizontal="center"/>
    </xf>
    <xf numFmtId="1" fontId="0" fillId="3" borderId="82" xfId="0" applyNumberFormat="1" applyFill="1" applyBorder="1" applyAlignment="1">
      <alignment horizontal="center"/>
    </xf>
    <xf numFmtId="1" fontId="1" fillId="3" borderId="35" xfId="2" applyNumberFormat="1" applyFont="1" applyFill="1" applyBorder="1" applyAlignment="1">
      <alignment horizontal="center"/>
    </xf>
    <xf numFmtId="1" fontId="0" fillId="3" borderId="12" xfId="0" applyNumberFormat="1" applyFill="1" applyBorder="1" applyAlignment="1">
      <alignment horizontal="center"/>
    </xf>
    <xf numFmtId="1" fontId="1" fillId="3" borderId="126" xfId="2" applyNumberFormat="1" applyFont="1" applyFill="1" applyBorder="1" applyAlignment="1">
      <alignment horizontal="center"/>
    </xf>
    <xf numFmtId="1" fontId="0" fillId="3" borderId="113" xfId="0" applyNumberFormat="1" applyFill="1" applyBorder="1" applyAlignment="1">
      <alignment horizontal="center"/>
    </xf>
    <xf numFmtId="0" fontId="2" fillId="5" borderId="0" xfId="0" applyFont="1" applyFill="1" applyAlignment="1">
      <alignment horizontal="left" indent="1"/>
    </xf>
    <xf numFmtId="3" fontId="0" fillId="0" borderId="116" xfId="0" applyNumberFormat="1" applyBorder="1" applyAlignment="1">
      <alignment horizontal="center" vertical="center"/>
    </xf>
    <xf numFmtId="0" fontId="2" fillId="0" borderId="0" xfId="0" applyFont="1" applyAlignment="1">
      <alignment horizontal="center" vertical="center" wrapText="1"/>
    </xf>
    <xf numFmtId="0" fontId="0" fillId="6" borderId="84" xfId="0" applyFill="1" applyBorder="1"/>
    <xf numFmtId="0" fontId="0" fillId="6" borderId="32" xfId="0" applyFill="1" applyBorder="1"/>
    <xf numFmtId="0" fontId="2" fillId="0" borderId="127" xfId="0" applyFont="1" applyBorder="1" applyAlignment="1">
      <alignment horizontal="center" wrapText="1"/>
    </xf>
    <xf numFmtId="0" fontId="0" fillId="0" borderId="0" xfId="0" applyAlignment="1">
      <alignment horizontal="center" wrapText="1"/>
    </xf>
    <xf numFmtId="0" fontId="2" fillId="0" borderId="112" xfId="0" applyFont="1" applyBorder="1" applyAlignment="1">
      <alignment vertical="center"/>
    </xf>
    <xf numFmtId="0" fontId="0" fillId="0" borderId="0" xfId="0" applyAlignment="1">
      <alignment vertical="center" wrapText="1"/>
    </xf>
    <xf numFmtId="3" fontId="0" fillId="19" borderId="0" xfId="0" applyNumberFormat="1" applyFill="1"/>
    <xf numFmtId="0" fontId="20" fillId="9" borderId="82" xfId="0" applyFont="1" applyFill="1" applyBorder="1"/>
    <xf numFmtId="0" fontId="11" fillId="0" borderId="0" xfId="0" applyFont="1" applyAlignment="1">
      <alignment vertical="center"/>
    </xf>
    <xf numFmtId="0" fontId="10" fillId="0" borderId="115" xfId="0" applyFont="1" applyBorder="1" applyAlignment="1">
      <alignment horizontal="center" vertical="center" wrapText="1"/>
    </xf>
    <xf numFmtId="0" fontId="0" fillId="20" borderId="0" xfId="0" applyFill="1"/>
    <xf numFmtId="0" fontId="2" fillId="20" borderId="0" xfId="0" applyFont="1" applyFill="1"/>
    <xf numFmtId="0" fontId="0" fillId="20" borderId="0" xfId="0" applyFill="1" applyAlignment="1">
      <alignment vertical="center"/>
    </xf>
    <xf numFmtId="0" fontId="9" fillId="0" borderId="132" xfId="0" applyFont="1" applyBorder="1" applyAlignment="1">
      <alignment horizontal="left" vertical="center"/>
    </xf>
    <xf numFmtId="0" fontId="0" fillId="0" borderId="22" xfId="0" applyBorder="1"/>
    <xf numFmtId="9" fontId="0" fillId="0" borderId="22" xfId="1" applyFont="1" applyFill="1" applyBorder="1"/>
    <xf numFmtId="0" fontId="39" fillId="17" borderId="116" xfId="0" applyFont="1" applyFill="1" applyBorder="1" applyAlignment="1">
      <alignment horizontal="center" vertical="center" wrapText="1"/>
    </xf>
    <xf numFmtId="0" fontId="16" fillId="0" borderId="0" xfId="3" applyFont="1" applyFill="1" applyAlignment="1">
      <alignment vertical="center" wrapText="1"/>
    </xf>
    <xf numFmtId="0" fontId="46" fillId="0" borderId="0" xfId="0" applyFont="1"/>
    <xf numFmtId="0" fontId="47" fillId="7" borderId="0" xfId="0" applyFont="1" applyFill="1"/>
    <xf numFmtId="0" fontId="48" fillId="5" borderId="0" xfId="0" applyFont="1" applyFill="1"/>
    <xf numFmtId="1" fontId="0" fillId="0" borderId="134" xfId="0" applyNumberFormat="1" applyBorder="1" applyAlignment="1">
      <alignment horizontal="center"/>
    </xf>
    <xf numFmtId="9" fontId="0" fillId="0" borderId="50" xfId="0" applyNumberFormat="1" applyBorder="1" applyAlignment="1">
      <alignment horizontal="center"/>
    </xf>
    <xf numFmtId="9" fontId="0" fillId="2" borderId="11" xfId="1" applyFont="1" applyFill="1" applyBorder="1" applyAlignment="1">
      <alignment horizontal="center"/>
    </xf>
    <xf numFmtId="9" fontId="0" fillId="2" borderId="114" xfId="1" applyFont="1" applyFill="1" applyBorder="1" applyAlignment="1">
      <alignment horizontal="center"/>
    </xf>
    <xf numFmtId="9" fontId="0" fillId="2" borderId="117" xfId="1" applyFont="1" applyFill="1" applyBorder="1" applyAlignment="1">
      <alignment horizontal="center"/>
    </xf>
    <xf numFmtId="0" fontId="28" fillId="0" borderId="0" xfId="0" applyFont="1" applyAlignment="1">
      <alignment vertical="center"/>
    </xf>
    <xf numFmtId="3" fontId="4" fillId="0" borderId="135" xfId="0" applyNumberFormat="1" applyFont="1" applyBorder="1" applyAlignment="1">
      <alignment horizontal="center"/>
    </xf>
    <xf numFmtId="3" fontId="4" fillId="0" borderId="120" xfId="0" applyNumberFormat="1" applyFont="1" applyBorder="1" applyAlignment="1">
      <alignment horizontal="center"/>
    </xf>
    <xf numFmtId="3" fontId="4" fillId="0" borderId="136" xfId="0" applyNumberFormat="1" applyFont="1" applyBorder="1" applyAlignment="1">
      <alignment horizontal="center"/>
    </xf>
    <xf numFmtId="3" fontId="4" fillId="0" borderId="137" xfId="0" applyNumberFormat="1" applyFont="1" applyBorder="1" applyAlignment="1">
      <alignment horizontal="center"/>
    </xf>
    <xf numFmtId="3" fontId="4" fillId="0" borderId="122" xfId="0" applyNumberFormat="1" applyFont="1" applyBorder="1" applyAlignment="1">
      <alignment horizontal="center"/>
    </xf>
    <xf numFmtId="3" fontId="4" fillId="0" borderId="122" xfId="0" applyNumberFormat="1" applyFont="1" applyBorder="1" applyAlignment="1">
      <alignment horizontal="center" vertical="center"/>
    </xf>
    <xf numFmtId="3" fontId="18" fillId="9" borderId="113" xfId="0" applyNumberFormat="1" applyFont="1" applyFill="1" applyBorder="1" applyAlignment="1">
      <alignment horizontal="center" vertical="center"/>
    </xf>
    <xf numFmtId="3" fontId="18" fillId="18" borderId="113" xfId="0" applyNumberFormat="1" applyFont="1" applyFill="1" applyBorder="1" applyAlignment="1">
      <alignment horizontal="center" vertical="center"/>
    </xf>
    <xf numFmtId="1" fontId="0" fillId="20" borderId="0" xfId="0" applyNumberFormat="1" applyFill="1"/>
    <xf numFmtId="9" fontId="0" fillId="20" borderId="0" xfId="1" applyFont="1" applyFill="1"/>
    <xf numFmtId="1" fontId="8" fillId="20" borderId="0" xfId="0" applyNumberFormat="1" applyFont="1" applyFill="1"/>
    <xf numFmtId="0" fontId="10" fillId="0" borderId="68" xfId="0" applyFont="1" applyBorder="1" applyAlignment="1">
      <alignment horizontal="left"/>
    </xf>
    <xf numFmtId="0" fontId="10" fillId="0" borderId="69" xfId="0" applyFont="1" applyBorder="1" applyAlignment="1">
      <alignment horizontal="left"/>
    </xf>
    <xf numFmtId="0" fontId="8" fillId="0" borderId="0" xfId="0" applyFont="1" applyAlignment="1">
      <alignment horizontal="left"/>
    </xf>
    <xf numFmtId="2" fontId="0" fillId="0" borderId="0" xfId="0" applyNumberFormat="1" applyAlignment="1">
      <alignment wrapText="1"/>
    </xf>
    <xf numFmtId="2" fontId="0" fillId="0" borderId="0" xfId="0" applyNumberFormat="1" applyAlignment="1">
      <alignment horizontal="center" wrapText="1"/>
    </xf>
    <xf numFmtId="0" fontId="0" fillId="0" borderId="0" xfId="0" applyAlignment="1">
      <alignment horizontal="left" wrapText="1"/>
    </xf>
    <xf numFmtId="0" fontId="8" fillId="0" borderId="0" xfId="0" applyFont="1" applyAlignment="1">
      <alignment horizontal="left" wrapText="1"/>
    </xf>
    <xf numFmtId="0" fontId="33" fillId="0" borderId="0" xfId="0" applyFont="1" applyAlignment="1">
      <alignment horizontal="left"/>
    </xf>
    <xf numFmtId="0" fontId="20" fillId="0" borderId="0" xfId="0" applyFont="1"/>
    <xf numFmtId="0" fontId="17" fillId="7" borderId="68" xfId="0" applyFont="1" applyFill="1" applyBorder="1" applyAlignment="1">
      <alignment horizontal="center" wrapText="1"/>
    </xf>
    <xf numFmtId="0" fontId="17" fillId="7" borderId="69" xfId="0" applyFont="1" applyFill="1" applyBorder="1" applyAlignment="1">
      <alignment horizontal="center" wrapText="1"/>
    </xf>
    <xf numFmtId="0" fontId="18" fillId="9" borderId="19" xfId="0" applyFont="1" applyFill="1" applyBorder="1"/>
    <xf numFmtId="0" fontId="18" fillId="9" borderId="82" xfId="0" applyFont="1" applyFill="1" applyBorder="1"/>
    <xf numFmtId="0" fontId="18" fillId="9" borderId="20" xfId="0" applyFont="1" applyFill="1" applyBorder="1"/>
    <xf numFmtId="0" fontId="10" fillId="4" borderId="130" xfId="0" applyFont="1" applyFill="1" applyBorder="1" applyAlignment="1">
      <alignment horizontal="center"/>
    </xf>
    <xf numFmtId="0" fontId="18" fillId="7" borderId="133" xfId="0" applyFont="1" applyFill="1" applyBorder="1" applyAlignment="1">
      <alignment horizontal="center" vertical="center"/>
    </xf>
    <xf numFmtId="0" fontId="17" fillId="7" borderId="68" xfId="0" applyFont="1" applyFill="1" applyBorder="1" applyAlignment="1">
      <alignment horizontal="center" vertical="center" wrapText="1"/>
    </xf>
    <xf numFmtId="0" fontId="17" fillId="7" borderId="69" xfId="0" applyFont="1" applyFill="1" applyBorder="1" applyAlignment="1">
      <alignment horizontal="center" vertical="center" wrapText="1"/>
    </xf>
    <xf numFmtId="0" fontId="38" fillId="14" borderId="0" xfId="0" applyFont="1" applyFill="1"/>
    <xf numFmtId="0" fontId="39" fillId="17" borderId="0" xfId="0" applyFont="1" applyFill="1"/>
    <xf numFmtId="0" fontId="38" fillId="14" borderId="116" xfId="0" applyFont="1" applyFill="1" applyBorder="1" applyAlignment="1">
      <alignment horizontal="center" vertical="center" wrapText="1"/>
    </xf>
    <xf numFmtId="0" fontId="10" fillId="0" borderId="0" xfId="0" applyFont="1" applyAlignment="1">
      <alignment horizontal="center" vertical="center"/>
    </xf>
    <xf numFmtId="0" fontId="24" fillId="0" borderId="0" xfId="0" applyFont="1" applyAlignment="1">
      <alignment vertical="center"/>
    </xf>
    <xf numFmtId="0" fontId="26" fillId="0" borderId="0" xfId="0" applyFont="1"/>
    <xf numFmtId="0" fontId="51" fillId="0" borderId="138" xfId="0" applyFont="1" applyBorder="1"/>
    <xf numFmtId="0" fontId="52" fillId="23" borderId="0" xfId="0" applyFont="1" applyFill="1"/>
    <xf numFmtId="0" fontId="33" fillId="23" borderId="0" xfId="0" applyFont="1" applyFill="1"/>
    <xf numFmtId="9" fontId="0" fillId="0" borderId="0" xfId="0" applyNumberFormat="1"/>
    <xf numFmtId="0" fontId="53" fillId="0" borderId="0" xfId="0" applyFont="1" applyAlignment="1">
      <alignment vertical="top"/>
    </xf>
    <xf numFmtId="0" fontId="33" fillId="0" borderId="0" xfId="0" applyFont="1" applyAlignment="1">
      <alignment horizontal="right"/>
    </xf>
    <xf numFmtId="0" fontId="33" fillId="0" borderId="0" xfId="0" applyFont="1"/>
    <xf numFmtId="0" fontId="34" fillId="0" borderId="0" xfId="0" applyFont="1" applyAlignment="1">
      <alignment vertical="top"/>
    </xf>
    <xf numFmtId="0" fontId="29" fillId="0" borderId="0" xfId="0" applyFont="1" applyAlignment="1">
      <alignment vertical="top"/>
    </xf>
    <xf numFmtId="0" fontId="18" fillId="7" borderId="133" xfId="0" applyFont="1" applyFill="1" applyBorder="1" applyAlignment="1">
      <alignment horizontal="center" vertical="center" wrapText="1"/>
    </xf>
    <xf numFmtId="0" fontId="50" fillId="0" borderId="138" xfId="0" applyFont="1" applyBorder="1"/>
    <xf numFmtId="0" fontId="54" fillId="0" borderId="138" xfId="0" applyFont="1" applyBorder="1"/>
    <xf numFmtId="0" fontId="48" fillId="0" borderId="0" xfId="0" applyFont="1"/>
    <xf numFmtId="0" fontId="51" fillId="0" borderId="0" xfId="0" applyFont="1"/>
    <xf numFmtId="0" fontId="8" fillId="0" borderId="84" xfId="0" applyFont="1" applyBorder="1"/>
    <xf numFmtId="0" fontId="8" fillId="0" borderId="32" xfId="0" applyFont="1" applyBorder="1"/>
    <xf numFmtId="9" fontId="8" fillId="0" borderId="84" xfId="1" applyFont="1" applyBorder="1"/>
    <xf numFmtId="9" fontId="8" fillId="0" borderId="0" xfId="1" applyFont="1" applyBorder="1"/>
    <xf numFmtId="9" fontId="8" fillId="0" borderId="32" xfId="1" applyFont="1" applyBorder="1"/>
    <xf numFmtId="9" fontId="8" fillId="0" borderId="21" xfId="1" applyFont="1" applyBorder="1"/>
    <xf numFmtId="9" fontId="8" fillId="0" borderId="12" xfId="1" applyFont="1" applyBorder="1"/>
    <xf numFmtId="9" fontId="8" fillId="0" borderId="13" xfId="1" applyFont="1" applyBorder="1"/>
    <xf numFmtId="9" fontId="8" fillId="0" borderId="19" xfId="1" applyFont="1" applyBorder="1" applyAlignment="1">
      <alignment horizontal="center" vertical="center" wrapText="1"/>
    </xf>
    <xf numFmtId="9" fontId="8" fillId="0" borderId="82" xfId="1" applyFont="1" applyBorder="1" applyAlignment="1">
      <alignment horizontal="center" vertical="center" wrapText="1"/>
    </xf>
    <xf numFmtId="9" fontId="8" fillId="0" borderId="20" xfId="1" applyFont="1" applyBorder="1" applyAlignment="1">
      <alignment horizontal="center" vertical="center" wrapText="1"/>
    </xf>
    <xf numFmtId="0" fontId="0" fillId="0" borderId="84" xfId="0" applyBorder="1" applyAlignment="1">
      <alignment horizontal="center" vertical="center"/>
    </xf>
    <xf numFmtId="0" fontId="0" fillId="0" borderId="0" xfId="0" applyAlignment="1">
      <alignment horizontal="center" vertical="center"/>
    </xf>
    <xf numFmtId="0" fontId="0" fillId="0" borderId="32" xfId="0" applyBorder="1" applyAlignment="1">
      <alignment horizontal="center" vertical="center"/>
    </xf>
    <xf numFmtId="0" fontId="0" fillId="0" borderId="21" xfId="0" applyBorder="1" applyAlignment="1">
      <alignment horizontal="center" vertical="center"/>
    </xf>
    <xf numFmtId="0" fontId="0" fillId="0" borderId="12" xfId="0" applyBorder="1" applyAlignment="1">
      <alignment horizontal="center" vertical="center"/>
    </xf>
    <xf numFmtId="0" fontId="0" fillId="0" borderId="13" xfId="0" applyBorder="1" applyAlignment="1">
      <alignment horizontal="center" vertical="center"/>
    </xf>
    <xf numFmtId="0" fontId="47" fillId="0" borderId="0" xfId="0" applyFont="1"/>
    <xf numFmtId="1" fontId="0" fillId="6" borderId="13" xfId="0" applyNumberFormat="1" applyFill="1" applyBorder="1"/>
    <xf numFmtId="9" fontId="33" fillId="0" borderId="0" xfId="1" applyFont="1" applyAlignment="1" applyProtection="1">
      <alignment horizontal="left"/>
      <protection locked="0"/>
    </xf>
    <xf numFmtId="1" fontId="33" fillId="0" borderId="0" xfId="1" applyNumberFormat="1" applyFont="1" applyAlignment="1" applyProtection="1">
      <alignment horizontal="center"/>
      <protection locked="0"/>
    </xf>
    <xf numFmtId="1" fontId="33" fillId="0" borderId="0" xfId="0" applyNumberFormat="1" applyFont="1" applyAlignment="1" applyProtection="1">
      <alignment horizontal="left"/>
      <protection locked="0"/>
    </xf>
    <xf numFmtId="0" fontId="33" fillId="0" borderId="0" xfId="0" applyFont="1" applyAlignment="1" applyProtection="1">
      <alignment horizontal="left"/>
      <protection locked="0"/>
    </xf>
    <xf numFmtId="2" fontId="33" fillId="0" borderId="0" xfId="0" applyNumberFormat="1" applyFont="1" applyAlignment="1" applyProtection="1">
      <alignment horizontal="left"/>
      <protection locked="0"/>
    </xf>
    <xf numFmtId="0" fontId="2" fillId="22" borderId="6" xfId="0" applyFont="1" applyFill="1" applyBorder="1" applyAlignment="1" applyProtection="1">
      <alignment horizontal="center" vertical="center"/>
      <protection locked="0"/>
    </xf>
    <xf numFmtId="0" fontId="0" fillId="22" borderId="6" xfId="0" applyFill="1" applyBorder="1" applyAlignment="1" applyProtection="1">
      <alignment horizontal="center" vertical="center"/>
      <protection locked="0"/>
    </xf>
    <xf numFmtId="0" fontId="56" fillId="0" borderId="0" xfId="0" applyFont="1"/>
    <xf numFmtId="9" fontId="2" fillId="22" borderId="29" xfId="0" applyNumberFormat="1" applyFont="1" applyFill="1" applyBorder="1" applyAlignment="1" applyProtection="1">
      <alignment horizontal="center" vertical="center"/>
      <protection locked="0"/>
    </xf>
    <xf numFmtId="0" fontId="11" fillId="0" borderId="71" xfId="0" applyFont="1" applyBorder="1" applyProtection="1">
      <protection locked="0"/>
    </xf>
    <xf numFmtId="0" fontId="11" fillId="0" borderId="72" xfId="0" applyFont="1" applyBorder="1" applyProtection="1">
      <protection locked="0"/>
    </xf>
    <xf numFmtId="0" fontId="0" fillId="15" borderId="72" xfId="0" applyFill="1" applyBorder="1" applyAlignment="1" applyProtection="1">
      <alignment horizontal="center"/>
      <protection locked="0"/>
    </xf>
    <xf numFmtId="0" fontId="11" fillId="0" borderId="73" xfId="0" applyFont="1" applyBorder="1" applyProtection="1">
      <protection locked="0"/>
    </xf>
    <xf numFmtId="0" fontId="0" fillId="15" borderId="73" xfId="0" applyFill="1" applyBorder="1" applyAlignment="1" applyProtection="1">
      <alignment horizontal="center"/>
      <protection locked="0"/>
    </xf>
    <xf numFmtId="0" fontId="0" fillId="0" borderId="0" xfId="0" applyProtection="1">
      <protection locked="0"/>
    </xf>
    <xf numFmtId="0" fontId="17" fillId="9" borderId="0" xfId="0" applyFont="1" applyFill="1" applyProtection="1">
      <protection locked="0"/>
    </xf>
    <xf numFmtId="0" fontId="11" fillId="0" borderId="115" xfId="0" applyFont="1" applyBorder="1" applyAlignment="1" applyProtection="1">
      <alignment vertical="center"/>
      <protection locked="0"/>
    </xf>
    <xf numFmtId="3" fontId="0" fillId="22" borderId="50" xfId="0" applyNumberFormat="1" applyFill="1" applyBorder="1" applyAlignment="1" applyProtection="1">
      <alignment horizontal="center"/>
      <protection locked="0"/>
    </xf>
    <xf numFmtId="3" fontId="1" fillId="22" borderId="50" xfId="1" applyNumberFormat="1" applyFont="1" applyFill="1" applyBorder="1" applyAlignment="1" applyProtection="1">
      <alignment horizontal="center"/>
      <protection locked="0"/>
    </xf>
    <xf numFmtId="3" fontId="0" fillId="22" borderId="55" xfId="0" applyNumberFormat="1" applyFill="1" applyBorder="1" applyAlignment="1" applyProtection="1">
      <alignment horizontal="center"/>
      <protection locked="0"/>
    </xf>
    <xf numFmtId="3" fontId="1" fillId="22" borderId="55" xfId="1" applyNumberFormat="1" applyFont="1" applyFill="1" applyBorder="1" applyAlignment="1" applyProtection="1">
      <alignment horizontal="center"/>
      <protection locked="0"/>
    </xf>
    <xf numFmtId="0" fontId="0" fillId="22" borderId="90" xfId="0" applyFill="1" applyBorder="1" applyAlignment="1" applyProtection="1">
      <alignment vertical="center"/>
      <protection locked="0"/>
    </xf>
    <xf numFmtId="0" fontId="0" fillId="9" borderId="0" xfId="0" applyFill="1"/>
    <xf numFmtId="9" fontId="58" fillId="0" borderId="0" xfId="1" applyFont="1"/>
    <xf numFmtId="0" fontId="0" fillId="5" borderId="142" xfId="0" applyFill="1" applyBorder="1" applyAlignment="1">
      <alignment wrapText="1"/>
    </xf>
    <xf numFmtId="0" fontId="0" fillId="5" borderId="142" xfId="0" applyFill="1" applyBorder="1"/>
    <xf numFmtId="0" fontId="33" fillId="0" borderId="0" xfId="1" applyNumberFormat="1" applyFont="1" applyAlignment="1" applyProtection="1">
      <alignment horizontal="left"/>
      <protection locked="0"/>
    </xf>
    <xf numFmtId="0" fontId="59" fillId="0" borderId="0" xfId="0" applyFont="1"/>
    <xf numFmtId="0" fontId="2" fillId="0" borderId="0" xfId="0" applyFont="1" applyAlignment="1">
      <alignment horizontal="right" vertical="center"/>
    </xf>
    <xf numFmtId="0" fontId="2" fillId="0" borderId="0" xfId="0" applyFont="1" applyAlignment="1">
      <alignment horizontal="right"/>
    </xf>
    <xf numFmtId="0" fontId="2" fillId="0" borderId="0" xfId="0" applyFont="1" applyAlignment="1">
      <alignment horizontal="right" vertical="center" wrapText="1"/>
    </xf>
    <xf numFmtId="0" fontId="18" fillId="9" borderId="109" xfId="0" applyFont="1" applyFill="1" applyBorder="1" applyAlignment="1">
      <alignment vertical="center"/>
    </xf>
    <xf numFmtId="0" fontId="10" fillId="0" borderId="117" xfId="0" applyFont="1" applyBorder="1" applyAlignment="1">
      <alignment horizontal="center" vertical="center" wrapText="1"/>
    </xf>
    <xf numFmtId="0" fontId="11" fillId="0" borderId="114" xfId="0" applyFont="1" applyBorder="1" applyAlignment="1" applyProtection="1">
      <alignment vertical="center"/>
      <protection locked="0"/>
    </xf>
    <xf numFmtId="3" fontId="20" fillId="9" borderId="4" xfId="0" applyNumberFormat="1" applyFont="1" applyFill="1" applyBorder="1" applyAlignment="1">
      <alignment horizontal="center"/>
    </xf>
    <xf numFmtId="3" fontId="23" fillId="9" borderId="4" xfId="0" applyNumberFormat="1" applyFont="1" applyFill="1" applyBorder="1" applyAlignment="1">
      <alignment horizontal="center"/>
    </xf>
    <xf numFmtId="0" fontId="0" fillId="0" borderId="32" xfId="0" applyBorder="1"/>
    <xf numFmtId="0" fontId="17" fillId="7" borderId="21" xfId="0" applyFont="1" applyFill="1" applyBorder="1"/>
    <xf numFmtId="0" fontId="17" fillId="7" borderId="13" xfId="0" applyFont="1" applyFill="1" applyBorder="1"/>
    <xf numFmtId="0" fontId="17" fillId="9" borderId="19" xfId="0" applyFont="1" applyFill="1" applyBorder="1" applyAlignment="1">
      <alignment horizontal="center" vertical="center"/>
    </xf>
    <xf numFmtId="0" fontId="17" fillId="9" borderId="20" xfId="0" applyFont="1" applyFill="1" applyBorder="1" applyAlignment="1">
      <alignment horizontal="center" vertical="center"/>
    </xf>
    <xf numFmtId="1" fontId="0" fillId="0" borderId="0" xfId="0" applyNumberFormat="1" applyAlignment="1">
      <alignment horizontal="center"/>
    </xf>
    <xf numFmtId="3" fontId="0" fillId="0" borderId="0" xfId="0" applyNumberFormat="1" applyAlignment="1">
      <alignment horizontal="center" vertical="center"/>
    </xf>
    <xf numFmtId="9" fontId="0" fillId="2" borderId="0" xfId="1" applyFont="1" applyFill="1" applyBorder="1" applyAlignment="1">
      <alignment horizontal="center"/>
    </xf>
    <xf numFmtId="0" fontId="10" fillId="0" borderId="0" xfId="0" applyFont="1" applyAlignment="1">
      <alignment vertical="center"/>
    </xf>
    <xf numFmtId="0" fontId="3" fillId="5" borderId="4" xfId="0" applyFont="1" applyFill="1" applyBorder="1" applyAlignment="1">
      <alignment wrapText="1"/>
    </xf>
    <xf numFmtId="0" fontId="10" fillId="0" borderId="115" xfId="0" applyFont="1" applyBorder="1" applyAlignment="1">
      <alignment horizontal="center" vertical="center"/>
    </xf>
    <xf numFmtId="9" fontId="0" fillId="0" borderId="0" xfId="0" applyNumberFormat="1" applyAlignment="1">
      <alignment horizontal="center"/>
    </xf>
    <xf numFmtId="14" fontId="27" fillId="0" borderId="0" xfId="0" applyNumberFormat="1" applyFont="1" applyAlignment="1">
      <alignment horizontal="left"/>
    </xf>
    <xf numFmtId="0" fontId="4" fillId="11" borderId="83" xfId="0" applyFont="1" applyFill="1" applyBorder="1" applyAlignment="1">
      <alignment vertical="center"/>
    </xf>
    <xf numFmtId="0" fontId="17" fillId="9" borderId="0" xfId="0" applyFont="1" applyFill="1" applyAlignment="1">
      <alignment horizontal="left" vertical="center"/>
    </xf>
    <xf numFmtId="0" fontId="10" fillId="4" borderId="0" xfId="0" applyFont="1" applyFill="1" applyAlignment="1">
      <alignment horizontal="center"/>
    </xf>
    <xf numFmtId="0" fontId="10" fillId="0" borderId="129" xfId="0" applyFont="1" applyBorder="1"/>
    <xf numFmtId="0" fontId="10" fillId="4" borderId="18" xfId="0" applyFont="1" applyFill="1" applyBorder="1" applyAlignment="1">
      <alignment horizontal="center"/>
    </xf>
    <xf numFmtId="0" fontId="10" fillId="4" borderId="148" xfId="0" applyFont="1" applyFill="1" applyBorder="1" applyAlignment="1">
      <alignment horizontal="center"/>
    </xf>
    <xf numFmtId="0" fontId="10" fillId="0" borderId="146" xfId="0" applyFont="1" applyBorder="1"/>
    <xf numFmtId="0" fontId="0" fillId="0" borderId="146" xfId="0" applyBorder="1" applyAlignment="1">
      <alignment horizontal="left" indent="1"/>
    </xf>
    <xf numFmtId="0" fontId="0" fillId="0" borderId="149" xfId="0" applyBorder="1" applyAlignment="1">
      <alignment horizontal="left" indent="1"/>
    </xf>
    <xf numFmtId="3" fontId="10" fillId="4" borderId="145" xfId="0" applyNumberFormat="1" applyFont="1" applyFill="1" applyBorder="1" applyAlignment="1">
      <alignment horizontal="center"/>
    </xf>
    <xf numFmtId="3" fontId="10" fillId="4" borderId="147" xfId="0" applyNumberFormat="1" applyFont="1" applyFill="1" applyBorder="1" applyAlignment="1">
      <alignment horizontal="center"/>
    </xf>
    <xf numFmtId="3" fontId="0" fillId="0" borderId="145" xfId="0" applyNumberFormat="1" applyBorder="1"/>
    <xf numFmtId="3" fontId="0" fillId="0" borderId="147" xfId="0" applyNumberFormat="1" applyBorder="1"/>
    <xf numFmtId="3" fontId="0" fillId="0" borderId="150" xfId="0" applyNumberFormat="1" applyBorder="1"/>
    <xf numFmtId="3" fontId="0" fillId="0" borderId="151" xfId="0" applyNumberFormat="1" applyBorder="1"/>
    <xf numFmtId="0" fontId="2" fillId="0" borderId="146" xfId="0" applyFont="1" applyBorder="1"/>
    <xf numFmtId="3" fontId="2" fillId="0" borderId="145" xfId="0" applyNumberFormat="1" applyFont="1" applyBorder="1"/>
    <xf numFmtId="3" fontId="2" fillId="0" borderId="147" xfId="0" applyNumberFormat="1" applyFont="1" applyBorder="1"/>
    <xf numFmtId="1" fontId="0" fillId="0" borderId="68" xfId="1" applyNumberFormat="1" applyFont="1" applyBorder="1" applyAlignment="1">
      <alignment horizontal="center" vertical="center"/>
    </xf>
    <xf numFmtId="0" fontId="0" fillId="0" borderId="68" xfId="0" applyBorder="1" applyAlignment="1">
      <alignment horizontal="center" vertical="center"/>
    </xf>
    <xf numFmtId="3" fontId="0" fillId="0" borderId="50" xfId="0" applyNumberFormat="1" applyBorder="1"/>
    <xf numFmtId="0" fontId="0" fillId="22" borderId="153" xfId="0" applyFill="1" applyBorder="1"/>
    <xf numFmtId="0" fontId="0" fillId="11" borderId="84" xfId="0" applyFill="1" applyBorder="1" applyAlignment="1">
      <alignment vertical="center"/>
    </xf>
    <xf numFmtId="0" fontId="0" fillId="11" borderId="0" xfId="0" applyFill="1" applyAlignment="1">
      <alignment vertical="center"/>
    </xf>
    <xf numFmtId="0" fontId="0" fillId="0" borderId="153" xfId="0" applyBorder="1"/>
    <xf numFmtId="0" fontId="4" fillId="11" borderId="84" xfId="0" applyFont="1" applyFill="1" applyBorder="1" applyAlignment="1">
      <alignment vertical="center" wrapText="1"/>
    </xf>
    <xf numFmtId="0" fontId="4" fillId="11" borderId="0" xfId="0" applyFont="1" applyFill="1" applyAlignment="1">
      <alignment vertical="center" wrapText="1"/>
    </xf>
    <xf numFmtId="0" fontId="4" fillId="11" borderId="32" xfId="0" applyFont="1" applyFill="1" applyBorder="1" applyAlignment="1">
      <alignment vertical="center" wrapText="1"/>
    </xf>
    <xf numFmtId="43" fontId="4" fillId="0" borderId="86" xfId="2" applyFont="1" applyFill="1" applyBorder="1"/>
    <xf numFmtId="43" fontId="4" fillId="0" borderId="85" xfId="2" applyFont="1" applyFill="1" applyBorder="1"/>
    <xf numFmtId="43" fontId="4" fillId="0" borderId="87" xfId="2" applyFont="1" applyFill="1" applyBorder="1"/>
    <xf numFmtId="2" fontId="4" fillId="0" borderId="32" xfId="1" applyNumberFormat="1" applyFont="1" applyBorder="1"/>
    <xf numFmtId="0" fontId="0" fillId="3" borderId="153" xfId="0" applyFill="1" applyBorder="1"/>
    <xf numFmtId="0" fontId="0" fillId="16" borderId="153" xfId="0" applyFill="1" applyBorder="1"/>
    <xf numFmtId="0" fontId="0" fillId="6" borderId="153" xfId="0" applyFill="1" applyBorder="1"/>
    <xf numFmtId="2" fontId="0" fillId="16" borderId="153" xfId="0" applyNumberFormat="1" applyFill="1" applyBorder="1"/>
    <xf numFmtId="0" fontId="0" fillId="7" borderId="153" xfId="0" applyFill="1" applyBorder="1"/>
    <xf numFmtId="2" fontId="0" fillId="3" borderId="153" xfId="0" applyNumberFormat="1" applyFill="1" applyBorder="1"/>
    <xf numFmtId="0" fontId="17" fillId="7" borderId="0" xfId="0" applyFont="1" applyFill="1" applyAlignment="1">
      <alignment wrapText="1"/>
    </xf>
    <xf numFmtId="0" fontId="17" fillId="7" borderId="153" xfId="0" applyFont="1" applyFill="1" applyBorder="1" applyAlignment="1">
      <alignment horizontal="center" vertical="center" wrapText="1"/>
    </xf>
    <xf numFmtId="0" fontId="62" fillId="0" borderId="153" xfId="0" applyFont="1" applyBorder="1" applyAlignment="1">
      <alignment horizontal="left" wrapText="1"/>
    </xf>
    <xf numFmtId="0" fontId="65" fillId="0" borderId="18" xfId="0" applyFont="1" applyBorder="1"/>
    <xf numFmtId="168" fontId="65" fillId="0" borderId="148" xfId="2" applyNumberFormat="1" applyFont="1" applyFill="1" applyBorder="1"/>
    <xf numFmtId="0" fontId="65" fillId="0" borderId="160" xfId="0" applyFont="1" applyBorder="1"/>
    <xf numFmtId="168" fontId="65" fillId="0" borderId="161" xfId="2" applyNumberFormat="1" applyFont="1" applyFill="1" applyBorder="1"/>
    <xf numFmtId="0" fontId="63" fillId="25" borderId="153" xfId="0" applyFont="1" applyFill="1" applyBorder="1" applyAlignment="1">
      <alignment wrapText="1"/>
    </xf>
    <xf numFmtId="0" fontId="66" fillId="7" borderId="153" xfId="0" applyFont="1" applyFill="1" applyBorder="1" applyAlignment="1">
      <alignment horizontal="left" vertical="center" wrapText="1"/>
    </xf>
    <xf numFmtId="0" fontId="62" fillId="0" borderId="153" xfId="0" applyFont="1" applyBorder="1" applyAlignment="1">
      <alignment horizontal="center" wrapText="1"/>
    </xf>
    <xf numFmtId="167" fontId="62" fillId="0" borderId="153" xfId="0" applyNumberFormat="1" applyFont="1" applyBorder="1" applyAlignment="1">
      <alignment horizontal="center" wrapText="1"/>
    </xf>
    <xf numFmtId="0" fontId="11" fillId="0" borderId="165" xfId="0" applyFont="1" applyBorder="1" applyProtection="1">
      <protection locked="0"/>
    </xf>
    <xf numFmtId="0" fontId="18" fillId="9" borderId="84" xfId="0" applyFont="1" applyFill="1" applyBorder="1" applyAlignment="1">
      <alignment horizontal="left" vertical="center"/>
    </xf>
    <xf numFmtId="0" fontId="11" fillId="0" borderId="165" xfId="0" applyFont="1" applyBorder="1" applyAlignment="1" applyProtection="1">
      <alignment wrapText="1"/>
      <protection locked="0"/>
    </xf>
    <xf numFmtId="0" fontId="11" fillId="0" borderId="72" xfId="0" applyFont="1" applyBorder="1" applyAlignment="1" applyProtection="1">
      <alignment wrapText="1"/>
      <protection locked="0"/>
    </xf>
    <xf numFmtId="0" fontId="11" fillId="0" borderId="73" xfId="0" applyFont="1" applyBorder="1" applyAlignment="1" applyProtection="1">
      <alignment wrapText="1"/>
      <protection locked="0"/>
    </xf>
    <xf numFmtId="0" fontId="0" fillId="0" borderId="22" xfId="0" applyBorder="1" applyAlignment="1">
      <alignment wrapText="1"/>
    </xf>
    <xf numFmtId="0" fontId="11" fillId="0" borderId="166" xfId="0" applyFont="1" applyBorder="1" applyAlignment="1" applyProtection="1">
      <alignment vertical="center" wrapText="1"/>
      <protection locked="0"/>
    </xf>
    <xf numFmtId="0" fontId="17" fillId="9" borderId="153" xfId="0" applyFont="1" applyFill="1" applyBorder="1"/>
    <xf numFmtId="0" fontId="17" fillId="7" borderId="153" xfId="0" applyFont="1" applyFill="1" applyBorder="1"/>
    <xf numFmtId="0" fontId="0" fillId="0" borderId="153" xfId="0" applyBorder="1" applyAlignment="1">
      <alignment wrapText="1"/>
    </xf>
    <xf numFmtId="0" fontId="69" fillId="0" borderId="0" xfId="0" applyFont="1" applyAlignment="1">
      <alignment vertical="top" wrapText="1"/>
    </xf>
    <xf numFmtId="0" fontId="2" fillId="22" borderId="153" xfId="0" applyFont="1" applyFill="1" applyBorder="1" applyAlignment="1" applyProtection="1">
      <alignment horizontal="center" vertical="center"/>
      <protection locked="0"/>
    </xf>
    <xf numFmtId="0" fontId="67" fillId="7" borderId="0" xfId="0" applyFont="1" applyFill="1"/>
    <xf numFmtId="0" fontId="45" fillId="5" borderId="0" xfId="0" applyFont="1" applyFill="1"/>
    <xf numFmtId="0" fontId="0" fillId="0" borderId="0" xfId="0" applyAlignment="1">
      <alignment horizontal="right" vertical="center" wrapText="1"/>
    </xf>
    <xf numFmtId="0" fontId="10" fillId="0" borderId="164" xfId="0" applyFont="1" applyBorder="1" applyAlignment="1">
      <alignment horizontal="center" vertical="center" wrapText="1"/>
    </xf>
    <xf numFmtId="0" fontId="70" fillId="9" borderId="22" xfId="0" applyFont="1" applyFill="1" applyBorder="1" applyAlignment="1">
      <alignment horizontal="center" vertical="center" wrapText="1"/>
    </xf>
    <xf numFmtId="0" fontId="70" fillId="8" borderId="167" xfId="0" applyFont="1" applyFill="1" applyBorder="1" applyAlignment="1">
      <alignment horizontal="center" vertical="center" wrapText="1"/>
    </xf>
    <xf numFmtId="0" fontId="13" fillId="0" borderId="0" xfId="0" applyFont="1" applyAlignment="1">
      <alignment horizontal="center"/>
    </xf>
    <xf numFmtId="0" fontId="0" fillId="0" borderId="0" xfId="0" applyAlignment="1">
      <alignment horizontal="right" vertical="center" wrapText="1" indent="1"/>
    </xf>
    <xf numFmtId="0" fontId="52" fillId="0" borderId="0" xfId="0" applyFont="1" applyAlignment="1">
      <alignment horizontal="right"/>
    </xf>
    <xf numFmtId="9" fontId="4" fillId="0" borderId="141" xfId="1" applyFont="1" applyBorder="1" applyProtection="1"/>
    <xf numFmtId="9" fontId="4" fillId="0" borderId="22" xfId="1" applyFont="1" applyBorder="1" applyProtection="1"/>
    <xf numFmtId="9" fontId="32" fillId="9" borderId="17" xfId="1" applyFont="1" applyFill="1" applyBorder="1" applyAlignment="1" applyProtection="1">
      <alignment horizontal="center"/>
    </xf>
    <xf numFmtId="9" fontId="32" fillId="9" borderId="22" xfId="1" applyFont="1" applyFill="1" applyBorder="1" applyAlignment="1" applyProtection="1">
      <alignment horizontal="center"/>
    </xf>
    <xf numFmtId="0" fontId="2" fillId="3" borderId="153" xfId="0" applyFont="1" applyFill="1" applyBorder="1"/>
    <xf numFmtId="0" fontId="2" fillId="16" borderId="153" xfId="0" applyFont="1" applyFill="1" applyBorder="1"/>
    <xf numFmtId="0" fontId="2" fillId="6" borderId="153" xfId="0" applyFont="1" applyFill="1" applyBorder="1"/>
    <xf numFmtId="0" fontId="17" fillId="7" borderId="154" xfId="0" applyFont="1" applyFill="1" applyBorder="1" applyAlignment="1">
      <alignment horizontal="center" vertical="center" wrapText="1"/>
    </xf>
    <xf numFmtId="2" fontId="0" fillId="3" borderId="154" xfId="0" applyNumberFormat="1" applyFill="1" applyBorder="1"/>
    <xf numFmtId="2" fontId="0" fillId="16" borderId="154" xfId="0" applyNumberFormat="1" applyFill="1" applyBorder="1"/>
    <xf numFmtId="0" fontId="61" fillId="22" borderId="129" xfId="0" applyFont="1" applyFill="1" applyBorder="1" applyAlignment="1">
      <alignment horizontal="center" vertical="center" wrapText="1"/>
    </xf>
    <xf numFmtId="2" fontId="61" fillId="22" borderId="171" xfId="0" applyNumberFormat="1" applyFont="1" applyFill="1" applyBorder="1" applyAlignment="1">
      <alignment horizontal="center"/>
    </xf>
    <xf numFmtId="2" fontId="61" fillId="22" borderId="172" xfId="0" applyNumberFormat="1" applyFont="1" applyFill="1" applyBorder="1" applyAlignment="1">
      <alignment horizontal="center"/>
    </xf>
    <xf numFmtId="0" fontId="11" fillId="0" borderId="163" xfId="0" applyFont="1" applyBorder="1" applyAlignment="1" applyProtection="1">
      <alignment vertical="center"/>
      <protection locked="0"/>
    </xf>
    <xf numFmtId="0" fontId="0" fillId="7" borderId="141" xfId="0" applyFill="1" applyBorder="1"/>
    <xf numFmtId="0" fontId="0" fillId="0" borderId="153" xfId="0" applyBorder="1" applyAlignment="1">
      <alignment horizontal="center"/>
    </xf>
    <xf numFmtId="0" fontId="2" fillId="3" borderId="22" xfId="0" applyFont="1" applyFill="1" applyBorder="1" applyAlignment="1">
      <alignment horizontal="left" vertical="center"/>
    </xf>
    <xf numFmtId="0" fontId="18" fillId="9" borderId="15" xfId="0" applyFont="1" applyFill="1" applyBorder="1" applyAlignment="1">
      <alignment vertical="center"/>
    </xf>
    <xf numFmtId="0" fontId="17" fillId="9" borderId="82" xfId="0" applyFont="1" applyFill="1" applyBorder="1"/>
    <xf numFmtId="0" fontId="17" fillId="9" borderId="82" xfId="0" applyFont="1" applyFill="1" applyBorder="1" applyAlignment="1">
      <alignment horizontal="left"/>
    </xf>
    <xf numFmtId="0" fontId="20" fillId="9" borderId="15" xfId="0" applyFont="1" applyFill="1" applyBorder="1" applyAlignment="1">
      <alignment horizontal="center"/>
    </xf>
    <xf numFmtId="0" fontId="23" fillId="9" borderId="15" xfId="0" applyFont="1" applyFill="1" applyBorder="1" applyAlignment="1">
      <alignment horizontal="center"/>
    </xf>
    <xf numFmtId="0" fontId="23" fillId="9" borderId="16" xfId="0" applyFont="1" applyFill="1" applyBorder="1" applyAlignment="1">
      <alignment horizontal="center"/>
    </xf>
    <xf numFmtId="0" fontId="0" fillId="15" borderId="165" xfId="0" applyFill="1" applyBorder="1" applyAlignment="1" applyProtection="1">
      <alignment horizontal="center"/>
      <protection locked="0"/>
    </xf>
    <xf numFmtId="0" fontId="0" fillId="2" borderId="165" xfId="0" applyFill="1" applyBorder="1" applyAlignment="1">
      <alignment horizontal="center"/>
    </xf>
    <xf numFmtId="3" fontId="0" fillId="22" borderId="168" xfId="0" applyNumberFormat="1" applyFill="1" applyBorder="1" applyAlignment="1" applyProtection="1">
      <alignment horizontal="center"/>
      <protection locked="0"/>
    </xf>
    <xf numFmtId="3" fontId="1" fillId="22" borderId="168" xfId="1" applyNumberFormat="1" applyFont="1" applyFill="1" applyBorder="1" applyAlignment="1" applyProtection="1">
      <alignment horizontal="center"/>
      <protection locked="0"/>
    </xf>
    <xf numFmtId="3" fontId="1" fillId="22" borderId="169" xfId="1" applyNumberFormat="1" applyFont="1" applyFill="1" applyBorder="1" applyAlignment="1" applyProtection="1">
      <alignment horizontal="center"/>
      <protection locked="0"/>
    </xf>
    <xf numFmtId="3" fontId="1" fillId="22" borderId="57" xfId="1" applyNumberFormat="1" applyFont="1" applyFill="1" applyBorder="1" applyAlignment="1" applyProtection="1">
      <alignment horizontal="center"/>
      <protection locked="0"/>
    </xf>
    <xf numFmtId="3" fontId="1" fillId="22" borderId="52" xfId="1" applyNumberFormat="1" applyFont="1" applyFill="1" applyBorder="1" applyAlignment="1" applyProtection="1">
      <alignment horizontal="center"/>
      <protection locked="0"/>
    </xf>
    <xf numFmtId="0" fontId="23" fillId="9" borderId="162" xfId="0" applyFont="1" applyFill="1" applyBorder="1" applyAlignment="1">
      <alignment horizontal="center"/>
    </xf>
    <xf numFmtId="0" fontId="18" fillId="9" borderId="156" xfId="0" applyFont="1" applyFill="1" applyBorder="1" applyAlignment="1">
      <alignment vertical="center"/>
    </xf>
    <xf numFmtId="0" fontId="4" fillId="0" borderId="165" xfId="0" applyFont="1" applyBorder="1"/>
    <xf numFmtId="0" fontId="0" fillId="15" borderId="163" xfId="0" applyFill="1" applyBorder="1" applyAlignment="1" applyProtection="1">
      <alignment horizontal="center" vertical="center"/>
      <protection locked="0"/>
    </xf>
    <xf numFmtId="0" fontId="0" fillId="2" borderId="163" xfId="0" applyFill="1" applyBorder="1" applyAlignment="1">
      <alignment horizontal="center" vertical="center"/>
    </xf>
    <xf numFmtId="0" fontId="4" fillId="0" borderId="163" xfId="0" applyFont="1" applyBorder="1" applyAlignment="1">
      <alignment vertical="center"/>
    </xf>
    <xf numFmtId="3" fontId="0" fillId="22" borderId="152" xfId="0" applyNumberFormat="1" applyFill="1" applyBorder="1" applyAlignment="1" applyProtection="1">
      <alignment horizontal="center" vertical="center"/>
      <protection locked="0"/>
    </xf>
    <xf numFmtId="3" fontId="1" fillId="22" borderId="152" xfId="1" applyNumberFormat="1" applyFont="1" applyFill="1" applyBorder="1" applyAlignment="1" applyProtection="1">
      <alignment horizontal="center" vertical="center"/>
      <protection locked="0"/>
    </xf>
    <xf numFmtId="3" fontId="1" fillId="22" borderId="173" xfId="1" applyNumberFormat="1" applyFont="1" applyFill="1" applyBorder="1" applyAlignment="1" applyProtection="1">
      <alignment horizontal="center" vertical="center"/>
      <protection locked="0"/>
    </xf>
    <xf numFmtId="0" fontId="24" fillId="9" borderId="156" xfId="0" applyFont="1" applyFill="1" applyBorder="1"/>
    <xf numFmtId="0" fontId="24" fillId="9" borderId="15" xfId="0" applyFont="1" applyFill="1" applyBorder="1"/>
    <xf numFmtId="0" fontId="24" fillId="9" borderId="16" xfId="0" applyFont="1" applyFill="1" applyBorder="1"/>
    <xf numFmtId="0" fontId="10" fillId="0" borderId="172" xfId="0" applyFont="1" applyBorder="1" applyAlignment="1">
      <alignment horizontal="center" vertical="center"/>
    </xf>
    <xf numFmtId="0" fontId="10" fillId="0" borderId="160" xfId="0" applyFont="1" applyBorder="1" applyAlignment="1">
      <alignment horizontal="center" vertical="center"/>
    </xf>
    <xf numFmtId="0" fontId="10" fillId="0" borderId="161" xfId="0" applyFont="1" applyBorder="1" applyAlignment="1">
      <alignment horizontal="center" vertical="center"/>
    </xf>
    <xf numFmtId="0" fontId="16" fillId="9" borderId="112" xfId="0" applyFont="1" applyFill="1" applyBorder="1" applyAlignment="1">
      <alignment vertical="center"/>
    </xf>
    <xf numFmtId="0" fontId="17" fillId="9" borderId="113" xfId="0" applyFont="1" applyFill="1" applyBorder="1"/>
    <xf numFmtId="0" fontId="17" fillId="9" borderId="113" xfId="0" applyFont="1" applyFill="1" applyBorder="1" applyAlignment="1">
      <alignment horizontal="left"/>
    </xf>
    <xf numFmtId="0" fontId="20" fillId="9" borderId="113" xfId="0" applyFont="1" applyFill="1" applyBorder="1"/>
    <xf numFmtId="37" fontId="18" fillId="9" borderId="113" xfId="2" applyNumberFormat="1" applyFont="1" applyFill="1" applyBorder="1" applyAlignment="1">
      <alignment horizontal="center"/>
    </xf>
    <xf numFmtId="0" fontId="43" fillId="9" borderId="128" xfId="0" applyFont="1" applyFill="1" applyBorder="1" applyAlignment="1">
      <alignment horizontal="center"/>
    </xf>
    <xf numFmtId="0" fontId="2" fillId="3" borderId="153" xfId="0" applyFont="1" applyFill="1" applyBorder="1" applyAlignment="1">
      <alignment horizontal="left" vertical="center"/>
    </xf>
    <xf numFmtId="0" fontId="38" fillId="14" borderId="0" xfId="0" applyFont="1" applyFill="1" applyAlignment="1">
      <alignment horizontal="center" vertical="center" wrapText="1"/>
    </xf>
    <xf numFmtId="0" fontId="39" fillId="17" borderId="0" xfId="0" applyFont="1" applyFill="1" applyAlignment="1">
      <alignment horizontal="center" vertical="center" wrapText="1"/>
    </xf>
    <xf numFmtId="9" fontId="0" fillId="0" borderId="0" xfId="1" applyFont="1" applyFill="1" applyBorder="1" applyAlignment="1" applyProtection="1">
      <alignment vertical="center"/>
      <protection locked="0"/>
    </xf>
    <xf numFmtId="0" fontId="44" fillId="0" borderId="153" xfId="0" applyFont="1" applyBorder="1"/>
    <xf numFmtId="0" fontId="33" fillId="0" borderId="153" xfId="0" applyFont="1" applyBorder="1"/>
    <xf numFmtId="167" fontId="0" fillId="24" borderId="153" xfId="0" applyNumberFormat="1" applyFill="1" applyBorder="1" applyAlignment="1">
      <alignment horizontal="center" vertical="center"/>
    </xf>
    <xf numFmtId="0" fontId="0" fillId="24" borderId="153" xfId="0" applyFill="1" applyBorder="1" applyAlignment="1">
      <alignment horizontal="center" vertical="center" wrapText="1"/>
    </xf>
    <xf numFmtId="167" fontId="20" fillId="9" borderId="0" xfId="0" applyNumberFormat="1" applyFont="1" applyFill="1" applyAlignment="1">
      <alignment horizontal="center" vertical="center" wrapText="1"/>
    </xf>
    <xf numFmtId="0" fontId="2" fillId="0" borderId="112" xfId="0" applyFont="1" applyBorder="1" applyAlignment="1">
      <alignment vertical="center" wrapText="1"/>
    </xf>
    <xf numFmtId="0" fontId="0" fillId="27" borderId="22" xfId="0" applyFill="1" applyBorder="1"/>
    <xf numFmtId="0" fontId="46" fillId="27" borderId="22" xfId="0" applyFont="1" applyFill="1" applyBorder="1"/>
    <xf numFmtId="0" fontId="0" fillId="3" borderId="22" xfId="0" applyFill="1" applyBorder="1"/>
    <xf numFmtId="0" fontId="46" fillId="3" borderId="22" xfId="0" applyFont="1" applyFill="1" applyBorder="1"/>
    <xf numFmtId="0" fontId="0" fillId="13" borderId="22" xfId="0" applyFill="1" applyBorder="1"/>
    <xf numFmtId="0" fontId="46" fillId="13" borderId="22" xfId="0" applyFont="1" applyFill="1" applyBorder="1"/>
    <xf numFmtId="0" fontId="20" fillId="13" borderId="22" xfId="0" applyFont="1" applyFill="1" applyBorder="1"/>
    <xf numFmtId="0" fontId="70" fillId="10" borderId="22" xfId="0" applyFont="1" applyFill="1" applyBorder="1" applyAlignment="1">
      <alignment horizontal="center" vertical="center" wrapText="1"/>
    </xf>
    <xf numFmtId="0" fontId="28" fillId="0" borderId="140" xfId="0" applyFont="1" applyBorder="1" applyAlignment="1">
      <alignment vertical="center" wrapText="1"/>
    </xf>
    <xf numFmtId="0" fontId="18" fillId="10" borderId="175" xfId="0" applyFont="1" applyFill="1" applyBorder="1" applyAlignment="1">
      <alignment horizontal="center" vertical="center"/>
    </xf>
    <xf numFmtId="0" fontId="24" fillId="9" borderId="176" xfId="0" applyFont="1" applyFill="1" applyBorder="1" applyAlignment="1">
      <alignment horizontal="left"/>
    </xf>
    <xf numFmtId="0" fontId="24" fillId="9" borderId="15" xfId="0" applyFont="1" applyFill="1" applyBorder="1" applyAlignment="1">
      <alignment horizontal="left"/>
    </xf>
    <xf numFmtId="0" fontId="24" fillId="9" borderId="16" xfId="0" applyFont="1" applyFill="1" applyBorder="1" applyAlignment="1">
      <alignment horizontal="left"/>
    </xf>
    <xf numFmtId="0" fontId="10" fillId="0" borderId="152" xfId="0" applyFont="1" applyBorder="1" applyAlignment="1">
      <alignment horizontal="center" vertical="center"/>
    </xf>
    <xf numFmtId="0" fontId="10" fillId="0" borderId="173" xfId="0" applyFont="1" applyBorder="1" applyAlignment="1">
      <alignment horizontal="center" vertical="center"/>
    </xf>
    <xf numFmtId="0" fontId="18" fillId="9" borderId="84" xfId="0" applyFont="1" applyFill="1" applyBorder="1" applyAlignment="1">
      <alignment vertical="center"/>
    </xf>
    <xf numFmtId="0" fontId="23" fillId="9" borderId="167" xfId="0" applyFont="1" applyFill="1" applyBorder="1" applyAlignment="1">
      <alignment horizontal="center"/>
    </xf>
    <xf numFmtId="0" fontId="11" fillId="0" borderId="177" xfId="0" applyFont="1" applyBorder="1" applyProtection="1">
      <protection locked="0"/>
    </xf>
    <xf numFmtId="0" fontId="11" fillId="0" borderId="179" xfId="0" applyFont="1" applyBorder="1" applyProtection="1">
      <protection locked="0"/>
    </xf>
    <xf numFmtId="0" fontId="11" fillId="0" borderId="180" xfId="0" applyFont="1" applyBorder="1" applyProtection="1">
      <protection locked="0"/>
    </xf>
    <xf numFmtId="9" fontId="4" fillId="0" borderId="167" xfId="1" applyFont="1" applyBorder="1" applyProtection="1"/>
    <xf numFmtId="9" fontId="32" fillId="9" borderId="167" xfId="1" applyFont="1" applyFill="1" applyBorder="1" applyAlignment="1" applyProtection="1">
      <alignment horizontal="center"/>
    </xf>
    <xf numFmtId="0" fontId="11" fillId="0" borderId="158" xfId="0" applyFont="1" applyBorder="1" applyAlignment="1" applyProtection="1">
      <alignment vertical="center"/>
      <protection locked="0"/>
    </xf>
    <xf numFmtId="0" fontId="39" fillId="17" borderId="153" xfId="0" applyFont="1" applyFill="1" applyBorder="1" applyAlignment="1">
      <alignment horizontal="center" vertical="center" wrapText="1"/>
    </xf>
    <xf numFmtId="0" fontId="4" fillId="0" borderId="165" xfId="0" applyFont="1" applyBorder="1" applyAlignment="1">
      <alignment vertical="center"/>
    </xf>
    <xf numFmtId="0" fontId="14" fillId="0" borderId="0" xfId="0" applyFont="1" applyAlignment="1">
      <alignment vertical="top" wrapText="1"/>
    </xf>
    <xf numFmtId="0" fontId="14" fillId="0" borderId="0" xfId="0" applyFont="1" applyAlignment="1">
      <alignment vertical="top"/>
    </xf>
    <xf numFmtId="0" fontId="0" fillId="27" borderId="22" xfId="0" applyFill="1" applyBorder="1" applyAlignment="1">
      <alignment vertical="center"/>
    </xf>
    <xf numFmtId="0" fontId="0" fillId="13" borderId="22" xfId="0" applyFill="1" applyBorder="1" applyAlignment="1">
      <alignment vertical="center"/>
    </xf>
    <xf numFmtId="0" fontId="0" fillId="3" borderId="22" xfId="0" applyFill="1" applyBorder="1" applyAlignment="1">
      <alignment vertical="center"/>
    </xf>
    <xf numFmtId="0" fontId="8" fillId="3" borderId="22" xfId="0" applyFont="1" applyFill="1" applyBorder="1"/>
    <xf numFmtId="0" fontId="8" fillId="3" borderId="22" xfId="0" applyFont="1" applyFill="1" applyBorder="1" applyAlignment="1">
      <alignment wrapText="1"/>
    </xf>
    <xf numFmtId="2" fontId="0" fillId="3" borderId="22" xfId="1" applyNumberFormat="1" applyFont="1" applyFill="1" applyBorder="1"/>
    <xf numFmtId="0" fontId="8" fillId="13" borderId="22" xfId="0" applyFont="1" applyFill="1" applyBorder="1"/>
    <xf numFmtId="0" fontId="8" fillId="13" borderId="22" xfId="0" applyFont="1" applyFill="1" applyBorder="1" applyAlignment="1">
      <alignment wrapText="1"/>
    </xf>
    <xf numFmtId="0" fontId="2" fillId="13" borderId="22" xfId="0" applyFont="1" applyFill="1" applyBorder="1"/>
    <xf numFmtId="0" fontId="0" fillId="16" borderId="22" xfId="0" applyFill="1" applyBorder="1"/>
    <xf numFmtId="0" fontId="8" fillId="16" borderId="22" xfId="0" applyFont="1" applyFill="1" applyBorder="1"/>
    <xf numFmtId="0" fontId="8" fillId="16" borderId="22" xfId="0" applyFont="1" applyFill="1" applyBorder="1" applyAlignment="1">
      <alignment wrapText="1"/>
    </xf>
    <xf numFmtId="9" fontId="52" fillId="0" borderId="140" xfId="1" applyFont="1" applyBorder="1" applyAlignment="1"/>
    <xf numFmtId="1" fontId="0" fillId="0" borderId="0" xfId="0" applyNumberFormat="1" applyAlignment="1">
      <alignment vertical="center"/>
    </xf>
    <xf numFmtId="0" fontId="0" fillId="16" borderId="22" xfId="0" applyFill="1" applyBorder="1" applyAlignment="1">
      <alignment vertical="center"/>
    </xf>
    <xf numFmtId="1" fontId="0" fillId="21" borderId="0" xfId="0" applyNumberFormat="1" applyFill="1"/>
    <xf numFmtId="9" fontId="0" fillId="21" borderId="0" xfId="1" applyFont="1" applyFill="1"/>
    <xf numFmtId="0" fontId="0" fillId="21" borderId="0" xfId="0" applyFill="1"/>
    <xf numFmtId="0" fontId="0" fillId="21" borderId="22" xfId="0" applyFill="1" applyBorder="1"/>
    <xf numFmtId="0" fontId="0" fillId="0" borderId="153" xfId="1" applyNumberFormat="1" applyFont="1" applyBorder="1" applyAlignment="1">
      <alignment horizontal="center" vertical="center"/>
    </xf>
    <xf numFmtId="9" fontId="0" fillId="0" borderId="153" xfId="1" applyFont="1" applyBorder="1" applyAlignment="1">
      <alignment horizontal="center" vertical="center"/>
    </xf>
    <xf numFmtId="1" fontId="33" fillId="0" borderId="153" xfId="0" applyNumberFormat="1" applyFont="1" applyBorder="1" applyAlignment="1" applyProtection="1">
      <alignment horizontal="center" vertical="center"/>
      <protection locked="0"/>
    </xf>
    <xf numFmtId="0" fontId="0" fillId="0" borderId="153" xfId="0" applyBorder="1" applyAlignment="1">
      <alignment horizontal="center" vertical="center"/>
    </xf>
    <xf numFmtId="1" fontId="0" fillId="0" borderId="153" xfId="0" applyNumberFormat="1" applyBorder="1" applyAlignment="1">
      <alignment horizontal="center" vertical="center"/>
    </xf>
    <xf numFmtId="2" fontId="0" fillId="0" borderId="153" xfId="0" applyNumberFormat="1" applyBorder="1" applyAlignment="1">
      <alignment horizontal="center" vertical="center"/>
    </xf>
    <xf numFmtId="0" fontId="9" fillId="0" borderId="153" xfId="0" applyFont="1" applyBorder="1" applyAlignment="1">
      <alignment horizontal="center" vertical="center"/>
    </xf>
    <xf numFmtId="9" fontId="44" fillId="0" borderId="0" xfId="1" applyFont="1" applyFill="1" applyAlignment="1"/>
    <xf numFmtId="0" fontId="70" fillId="8" borderId="22" xfId="0" applyFont="1" applyFill="1" applyBorder="1" applyAlignment="1">
      <alignment horizontal="center" vertical="center" wrapText="1"/>
    </xf>
    <xf numFmtId="0" fontId="70" fillId="8" borderId="0" xfId="0" applyFont="1" applyFill="1" applyAlignment="1">
      <alignment horizontal="center" vertical="center" wrapText="1"/>
    </xf>
    <xf numFmtId="3" fontId="0" fillId="0" borderId="0" xfId="0" applyNumberFormat="1" applyAlignment="1">
      <alignment wrapText="1"/>
    </xf>
    <xf numFmtId="9" fontId="0" fillId="0" borderId="0" xfId="1" applyFont="1" applyAlignment="1">
      <alignment wrapText="1"/>
    </xf>
    <xf numFmtId="0" fontId="70" fillId="9" borderId="189" xfId="0" applyFont="1" applyFill="1" applyBorder="1" applyAlignment="1">
      <alignment horizontal="center" vertical="center" wrapText="1"/>
    </xf>
    <xf numFmtId="0" fontId="70" fillId="9" borderId="167" xfId="0" applyFont="1" applyFill="1" applyBorder="1" applyAlignment="1">
      <alignment horizontal="center" vertical="center" wrapText="1"/>
    </xf>
    <xf numFmtId="0" fontId="44" fillId="0" borderId="194" xfId="0" applyFont="1" applyBorder="1" applyAlignment="1">
      <alignment horizontal="center" vertical="center" wrapText="1"/>
    </xf>
    <xf numFmtId="0" fontId="44" fillId="0" borderId="193" xfId="0" applyFont="1" applyBorder="1" applyAlignment="1">
      <alignment horizontal="center" vertical="center" wrapText="1"/>
    </xf>
    <xf numFmtId="0" fontId="52" fillId="0" borderId="0" xfId="0" applyFont="1" applyAlignment="1">
      <alignment horizontal="left" vertical="center" wrapText="1"/>
    </xf>
    <xf numFmtId="0" fontId="0" fillId="0" borderId="138" xfId="0" applyBorder="1"/>
    <xf numFmtId="0" fontId="54" fillId="0" borderId="0" xfId="0" applyFont="1"/>
    <xf numFmtId="0" fontId="74" fillId="0" borderId="0" xfId="0" applyFont="1" applyAlignment="1">
      <alignment horizontal="center" vertical="center" wrapText="1"/>
    </xf>
    <xf numFmtId="9" fontId="11" fillId="0" borderId="0" xfId="1" applyFont="1" applyBorder="1" applyAlignment="1" applyProtection="1">
      <alignment horizontal="center" vertical="center" wrapText="1"/>
      <protection locked="0"/>
    </xf>
    <xf numFmtId="0" fontId="17" fillId="9" borderId="82" xfId="0" applyFont="1" applyFill="1" applyBorder="1" applyAlignment="1">
      <alignment horizontal="center" vertical="center" wrapText="1"/>
    </xf>
    <xf numFmtId="0" fontId="17" fillId="9" borderId="20" xfId="0" applyFont="1" applyFill="1" applyBorder="1" applyAlignment="1">
      <alignment horizontal="center" vertical="center" wrapText="1"/>
    </xf>
    <xf numFmtId="9" fontId="33" fillId="5" borderId="165" xfId="1" applyFont="1" applyFill="1" applyBorder="1" applyAlignment="1" applyProtection="1">
      <alignment horizontal="center" vertical="center" wrapText="1"/>
      <protection locked="0"/>
    </xf>
    <xf numFmtId="9" fontId="33" fillId="6" borderId="216" xfId="1" applyFont="1" applyFill="1" applyBorder="1" applyAlignment="1" applyProtection="1">
      <alignment horizontal="center" vertical="center" wrapText="1"/>
      <protection locked="0"/>
    </xf>
    <xf numFmtId="9" fontId="33" fillId="5" borderId="123" xfId="1" applyFont="1" applyFill="1" applyBorder="1" applyAlignment="1" applyProtection="1">
      <alignment horizontal="center" vertical="center" wrapText="1"/>
      <protection locked="0"/>
    </xf>
    <xf numFmtId="9" fontId="33" fillId="6" borderId="62" xfId="1" applyFont="1" applyFill="1" applyBorder="1" applyAlignment="1" applyProtection="1">
      <alignment horizontal="center" vertical="center" wrapText="1"/>
      <protection locked="0"/>
    </xf>
    <xf numFmtId="0" fontId="48" fillId="0" borderId="196" xfId="0" applyFont="1" applyBorder="1" applyAlignment="1" applyProtection="1">
      <alignment wrapText="1"/>
      <protection locked="0"/>
    </xf>
    <xf numFmtId="0" fontId="48" fillId="0" borderId="199" xfId="0" applyFont="1" applyBorder="1" applyAlignment="1" applyProtection="1">
      <alignment wrapText="1"/>
      <protection locked="0"/>
    </xf>
    <xf numFmtId="0" fontId="48" fillId="0" borderId="208" xfId="0" applyFont="1" applyBorder="1" applyAlignment="1" applyProtection="1">
      <alignment wrapText="1"/>
      <protection locked="0"/>
    </xf>
    <xf numFmtId="0" fontId="48" fillId="0" borderId="205" xfId="0" applyFont="1" applyBorder="1" applyAlignment="1" applyProtection="1">
      <alignment wrapText="1"/>
      <protection locked="0"/>
    </xf>
    <xf numFmtId="0" fontId="48" fillId="0" borderId="202" xfId="0" applyFont="1" applyBorder="1" applyAlignment="1" applyProtection="1">
      <alignment vertical="center" wrapText="1"/>
      <protection locked="0"/>
    </xf>
    <xf numFmtId="0" fontId="44" fillId="0" borderId="0" xfId="0" applyFont="1" applyAlignment="1">
      <alignment horizontal="center"/>
    </xf>
    <xf numFmtId="0" fontId="44" fillId="0" borderId="12" xfId="0" applyFont="1" applyBorder="1" applyAlignment="1">
      <alignment horizontal="center"/>
    </xf>
    <xf numFmtId="0" fontId="48" fillId="0" borderId="165" xfId="0" applyFont="1" applyBorder="1" applyAlignment="1" applyProtection="1">
      <alignment wrapText="1"/>
      <protection locked="0"/>
    </xf>
    <xf numFmtId="0" fontId="48" fillId="0" borderId="73" xfId="0" applyFont="1" applyBorder="1" applyAlignment="1" applyProtection="1">
      <alignment wrapText="1"/>
      <protection locked="0"/>
    </xf>
    <xf numFmtId="0" fontId="48" fillId="0" borderId="72" xfId="0" applyFont="1" applyBorder="1" applyAlignment="1" applyProtection="1">
      <alignment wrapText="1"/>
      <protection locked="0"/>
    </xf>
    <xf numFmtId="0" fontId="48" fillId="0" borderId="123" xfId="0" applyFont="1" applyBorder="1" applyAlignment="1" applyProtection="1">
      <alignment vertical="center" wrapText="1"/>
      <protection locked="0"/>
    </xf>
    <xf numFmtId="0" fontId="8" fillId="0" borderId="19" xfId="0" applyFont="1" applyBorder="1"/>
    <xf numFmtId="0" fontId="8" fillId="0" borderId="82" xfId="0" applyFont="1" applyBorder="1"/>
    <xf numFmtId="0" fontId="8" fillId="0" borderId="20" xfId="0" applyFont="1" applyBorder="1"/>
    <xf numFmtId="0" fontId="18" fillId="29" borderId="19" xfId="0" applyFont="1" applyFill="1" applyBorder="1" applyAlignment="1">
      <alignment horizontal="center" vertical="center"/>
    </xf>
    <xf numFmtId="0" fontId="17" fillId="29" borderId="82" xfId="0" applyFont="1" applyFill="1" applyBorder="1" applyAlignment="1">
      <alignment horizontal="center" vertical="center" wrapText="1"/>
    </xf>
    <xf numFmtId="0" fontId="17" fillId="29" borderId="20" xfId="0" applyFont="1" applyFill="1" applyBorder="1" applyAlignment="1">
      <alignment horizontal="center" vertical="center" wrapText="1"/>
    </xf>
    <xf numFmtId="0" fontId="76" fillId="0" borderId="177" xfId="0" applyFont="1" applyBorder="1" applyAlignment="1">
      <alignment horizontal="center" vertical="center" wrapText="1"/>
    </xf>
    <xf numFmtId="0" fontId="76" fillId="0" borderId="215" xfId="0" applyFont="1" applyBorder="1" applyAlignment="1">
      <alignment horizontal="center" vertical="center"/>
    </xf>
    <xf numFmtId="0" fontId="0" fillId="15" borderId="90" xfId="0" applyFill="1" applyBorder="1" applyAlignment="1" applyProtection="1">
      <alignment vertical="center"/>
      <protection locked="0"/>
    </xf>
    <xf numFmtId="9" fontId="18" fillId="7" borderId="0" xfId="1" applyFont="1" applyFill="1"/>
    <xf numFmtId="9" fontId="18" fillId="7" borderId="0" xfId="1" applyFont="1" applyFill="1" applyAlignment="1"/>
    <xf numFmtId="0" fontId="77" fillId="9" borderId="82" xfId="0" applyFont="1" applyFill="1" applyBorder="1" applyAlignment="1">
      <alignment vertical="center"/>
    </xf>
    <xf numFmtId="0" fontId="77" fillId="9" borderId="0" xfId="0" applyFont="1" applyFill="1" applyAlignment="1">
      <alignment vertical="center"/>
    </xf>
    <xf numFmtId="0" fontId="6" fillId="0" borderId="210" xfId="0" applyFont="1" applyBorder="1" applyAlignment="1">
      <alignment horizontal="center" vertical="center" wrapText="1"/>
    </xf>
    <xf numFmtId="0" fontId="6" fillId="0" borderId="211" xfId="0" applyFont="1" applyBorder="1" applyAlignment="1">
      <alignment horizontal="center" vertical="center" wrapText="1"/>
    </xf>
    <xf numFmtId="0" fontId="6" fillId="0" borderId="212" xfId="0" applyFont="1" applyBorder="1" applyAlignment="1">
      <alignment horizontal="center" vertical="center" wrapText="1"/>
    </xf>
    <xf numFmtId="0" fontId="6" fillId="0" borderId="211" xfId="0" applyFont="1" applyBorder="1" applyAlignment="1">
      <alignment horizontal="center" vertical="center"/>
    </xf>
    <xf numFmtId="0" fontId="6" fillId="0" borderId="211" xfId="0" applyFont="1" applyBorder="1" applyAlignment="1">
      <alignment vertical="center"/>
    </xf>
    <xf numFmtId="0" fontId="6" fillId="0" borderId="214" xfId="0" applyFont="1" applyBorder="1" applyAlignment="1">
      <alignment horizontal="center" vertical="center" wrapText="1"/>
    </xf>
    <xf numFmtId="0" fontId="6" fillId="0" borderId="165" xfId="0" applyFont="1" applyBorder="1" applyAlignment="1">
      <alignment horizontal="center" vertical="center" wrapText="1"/>
    </xf>
    <xf numFmtId="0" fontId="6" fillId="0" borderId="73" xfId="0" applyFont="1" applyBorder="1" applyAlignment="1">
      <alignment horizontal="center" vertical="center" wrapText="1"/>
    </xf>
    <xf numFmtId="0" fontId="6" fillId="0" borderId="72" xfId="0" applyFont="1" applyBorder="1" applyAlignment="1">
      <alignment horizontal="center" vertical="center" wrapText="1"/>
    </xf>
    <xf numFmtId="0" fontId="6" fillId="0" borderId="123" xfId="0" applyFont="1" applyBorder="1" applyAlignment="1">
      <alignment horizontal="center" vertical="center" wrapText="1"/>
    </xf>
    <xf numFmtId="9" fontId="6" fillId="0" borderId="195" xfId="1" applyFont="1" applyBorder="1" applyAlignment="1" applyProtection="1">
      <alignment horizontal="center" vertical="center" wrapText="1"/>
      <protection locked="0"/>
    </xf>
    <xf numFmtId="9" fontId="6" fillId="0" borderId="197" xfId="1" applyFont="1" applyBorder="1" applyAlignment="1" applyProtection="1">
      <alignment horizontal="center" vertical="center" wrapText="1"/>
      <protection locked="0"/>
    </xf>
    <xf numFmtId="9" fontId="6" fillId="0" borderId="196" xfId="1" applyFont="1" applyBorder="1" applyAlignment="1" applyProtection="1">
      <alignment horizontal="center" vertical="center" wrapText="1"/>
      <protection locked="0"/>
    </xf>
    <xf numFmtId="9" fontId="6" fillId="0" borderId="198" xfId="1" applyFont="1" applyBorder="1" applyAlignment="1" applyProtection="1">
      <alignment horizontal="center" vertical="center" wrapText="1"/>
      <protection locked="0"/>
    </xf>
    <xf numFmtId="9" fontId="6" fillId="0" borderId="200" xfId="1" applyFont="1" applyBorder="1" applyAlignment="1" applyProtection="1">
      <alignment horizontal="center" vertical="center" wrapText="1"/>
      <protection locked="0"/>
    </xf>
    <xf numFmtId="9" fontId="6" fillId="0" borderId="199" xfId="1" applyFont="1" applyBorder="1" applyAlignment="1" applyProtection="1">
      <alignment horizontal="center" vertical="center" wrapText="1"/>
      <protection locked="0"/>
    </xf>
    <xf numFmtId="9" fontId="6" fillId="0" borderId="207" xfId="1" applyFont="1" applyBorder="1" applyAlignment="1" applyProtection="1">
      <alignment horizontal="center" vertical="center" wrapText="1"/>
      <protection locked="0"/>
    </xf>
    <xf numFmtId="9" fontId="6" fillId="0" borderId="209" xfId="1" applyFont="1" applyBorder="1" applyAlignment="1" applyProtection="1">
      <alignment horizontal="center" vertical="center" wrapText="1"/>
      <protection locked="0"/>
    </xf>
    <xf numFmtId="9" fontId="6" fillId="0" borderId="208" xfId="1" applyFont="1" applyBorder="1" applyAlignment="1" applyProtection="1">
      <alignment horizontal="center" vertical="center" wrapText="1"/>
      <protection locked="0"/>
    </xf>
    <xf numFmtId="9" fontId="6" fillId="0" borderId="204" xfId="1" applyFont="1" applyBorder="1" applyAlignment="1" applyProtection="1">
      <alignment horizontal="center" vertical="center" wrapText="1"/>
      <protection locked="0"/>
    </xf>
    <xf numFmtId="9" fontId="6" fillId="0" borderId="206" xfId="1" applyFont="1" applyBorder="1" applyAlignment="1" applyProtection="1">
      <alignment horizontal="center" vertical="center" wrapText="1"/>
      <protection locked="0"/>
    </xf>
    <xf numFmtId="9" fontId="6" fillId="0" borderId="205" xfId="1" applyFont="1" applyBorder="1" applyAlignment="1" applyProtection="1">
      <alignment horizontal="center" vertical="center" wrapText="1"/>
      <protection locked="0"/>
    </xf>
    <xf numFmtId="9" fontId="6" fillId="0" borderId="201" xfId="1" applyFont="1" applyBorder="1" applyAlignment="1" applyProtection="1">
      <alignment horizontal="center" vertical="center" wrapText="1"/>
      <protection locked="0"/>
    </xf>
    <xf numFmtId="9" fontId="6" fillId="0" borderId="203" xfId="1" applyFont="1" applyBorder="1" applyAlignment="1" applyProtection="1">
      <alignment horizontal="center" vertical="center" wrapText="1"/>
      <protection locked="0"/>
    </xf>
    <xf numFmtId="9" fontId="6" fillId="0" borderId="202" xfId="1" applyFont="1" applyBorder="1" applyAlignment="1" applyProtection="1">
      <alignment horizontal="center" vertical="center" wrapText="1"/>
      <protection locked="0"/>
    </xf>
    <xf numFmtId="169" fontId="2" fillId="22" borderId="130" xfId="0" applyNumberFormat="1" applyFont="1" applyFill="1" applyBorder="1" applyAlignment="1" applyProtection="1">
      <alignment horizontal="center" vertical="center"/>
      <protection locked="0"/>
    </xf>
    <xf numFmtId="0" fontId="17" fillId="0" borderId="0" xfId="0" applyFont="1" applyAlignment="1">
      <alignment vertical="center" wrapText="1"/>
    </xf>
    <xf numFmtId="0" fontId="33" fillId="15" borderId="90" xfId="0" applyFont="1" applyFill="1" applyBorder="1" applyAlignment="1" applyProtection="1">
      <alignment vertical="center"/>
      <protection locked="0"/>
    </xf>
    <xf numFmtId="0" fontId="2" fillId="0" borderId="112" xfId="0" applyFont="1" applyBorder="1" applyAlignment="1">
      <alignment wrapText="1"/>
    </xf>
    <xf numFmtId="9" fontId="4" fillId="0" borderId="141" xfId="1" applyFont="1" applyFill="1" applyBorder="1" applyProtection="1"/>
    <xf numFmtId="9" fontId="4" fillId="0" borderId="22" xfId="1" applyFont="1" applyFill="1" applyBorder="1" applyProtection="1"/>
    <xf numFmtId="9" fontId="4" fillId="0" borderId="167" xfId="1" applyFont="1" applyFill="1" applyBorder="1" applyProtection="1"/>
    <xf numFmtId="43" fontId="0" fillId="0" borderId="0" xfId="0" applyNumberFormat="1"/>
    <xf numFmtId="0" fontId="4" fillId="0" borderId="0" xfId="0" applyFont="1" applyAlignment="1">
      <alignment horizontal="center" vertical="center" wrapText="1"/>
    </xf>
    <xf numFmtId="0" fontId="14" fillId="22" borderId="153" xfId="0" applyFont="1" applyFill="1" applyBorder="1" applyAlignment="1" applyProtection="1">
      <alignment horizontal="center" vertical="center"/>
      <protection locked="0"/>
    </xf>
    <xf numFmtId="0" fontId="80" fillId="0" borderId="0" xfId="0" applyFont="1"/>
    <xf numFmtId="0" fontId="14" fillId="22" borderId="6" xfId="0" applyFont="1" applyFill="1" applyBorder="1" applyAlignment="1" applyProtection="1">
      <alignment horizontal="center" vertical="center"/>
      <protection locked="0"/>
    </xf>
    <xf numFmtId="0" fontId="60" fillId="0" borderId="0" xfId="0" applyFont="1" applyAlignment="1">
      <alignment horizontal="center" vertical="center"/>
    </xf>
    <xf numFmtId="0" fontId="46" fillId="0" borderId="0" xfId="0" applyFont="1" applyAlignment="1">
      <alignment horizontal="center" vertical="center"/>
    </xf>
    <xf numFmtId="0" fontId="60" fillId="0" borderId="0" xfId="0" applyFont="1" applyAlignment="1">
      <alignment horizontal="center" vertical="center" wrapText="1"/>
    </xf>
    <xf numFmtId="0" fontId="4" fillId="0" borderId="0" xfId="0" applyFont="1" applyAlignment="1">
      <alignment horizontal="left" vertical="center"/>
    </xf>
    <xf numFmtId="0" fontId="0" fillId="23" borderId="22" xfId="0" applyFill="1" applyBorder="1"/>
    <xf numFmtId="0" fontId="34" fillId="0" borderId="0" xfId="0" applyFont="1" applyAlignment="1">
      <alignment horizontal="center" vertical="center" wrapText="1"/>
    </xf>
    <xf numFmtId="0" fontId="20" fillId="9" borderId="0" xfId="0" applyFont="1" applyFill="1" applyAlignment="1">
      <alignment vertical="center"/>
    </xf>
    <xf numFmtId="0" fontId="67" fillId="9" borderId="0" xfId="0" applyFont="1" applyFill="1" applyAlignment="1">
      <alignment vertical="center"/>
    </xf>
    <xf numFmtId="0" fontId="0" fillId="21" borderId="0" xfId="0" applyFill="1" applyAlignment="1">
      <alignment vertical="center"/>
    </xf>
    <xf numFmtId="0" fontId="0" fillId="0" borderId="22" xfId="0" applyBorder="1" applyAlignment="1">
      <alignment vertical="center"/>
    </xf>
    <xf numFmtId="0" fontId="0" fillId="0" borderId="22" xfId="0" applyBorder="1" applyAlignment="1">
      <alignment vertical="center" wrapText="1"/>
    </xf>
    <xf numFmtId="0" fontId="67" fillId="9" borderId="0" xfId="0" applyFont="1" applyFill="1"/>
    <xf numFmtId="0" fontId="23" fillId="9" borderId="0" xfId="0" applyFont="1" applyFill="1"/>
    <xf numFmtId="0" fontId="81" fillId="9" borderId="0" xfId="0" applyFont="1" applyFill="1"/>
    <xf numFmtId="0" fontId="4" fillId="0" borderId="0" xfId="0" applyFont="1" applyAlignment="1">
      <alignment horizontal="center" vertical="top" wrapText="1"/>
    </xf>
    <xf numFmtId="0" fontId="0" fillId="21" borderId="153" xfId="0" applyFill="1" applyBorder="1" applyAlignment="1" applyProtection="1">
      <alignment horizontal="center" vertical="center" wrapText="1"/>
      <protection locked="0"/>
    </xf>
    <xf numFmtId="9" fontId="0" fillId="21" borderId="153" xfId="1" applyFont="1" applyFill="1" applyBorder="1" applyAlignment="1" applyProtection="1">
      <alignment horizontal="center"/>
      <protection locked="0"/>
    </xf>
    <xf numFmtId="0" fontId="4" fillId="0" borderId="0" xfId="0" applyFont="1" applyAlignment="1">
      <alignment vertical="top" wrapText="1"/>
    </xf>
    <xf numFmtId="0" fontId="0" fillId="23" borderId="153" xfId="0" applyFill="1" applyBorder="1"/>
    <xf numFmtId="9" fontId="0" fillId="21" borderId="152" xfId="1" applyFont="1" applyFill="1" applyBorder="1" applyAlignment="1" applyProtection="1">
      <alignment horizontal="center"/>
      <protection locked="0"/>
    </xf>
    <xf numFmtId="0" fontId="0" fillId="0" borderId="114" xfId="0" applyBorder="1"/>
    <xf numFmtId="0" fontId="81" fillId="9" borderId="0" xfId="0" applyFont="1" applyFill="1" applyAlignment="1">
      <alignment horizontal="right"/>
    </xf>
    <xf numFmtId="0" fontId="0" fillId="9" borderId="0" xfId="0" applyFill="1" applyAlignment="1">
      <alignment vertical="center"/>
    </xf>
    <xf numFmtId="0" fontId="81" fillId="9" borderId="0" xfId="0" applyFont="1" applyFill="1" applyAlignment="1">
      <alignment vertical="center"/>
    </xf>
    <xf numFmtId="0" fontId="23" fillId="9" borderId="0" xfId="0" applyFont="1" applyFill="1" applyAlignment="1">
      <alignment vertical="center"/>
    </xf>
    <xf numFmtId="0" fontId="81" fillId="9" borderId="0" xfId="0" applyFont="1" applyFill="1" applyAlignment="1">
      <alignment horizontal="right" vertical="center"/>
    </xf>
    <xf numFmtId="0" fontId="82" fillId="0" borderId="0" xfId="0" applyFont="1" applyAlignment="1">
      <alignment horizontal="center" vertical="center"/>
    </xf>
    <xf numFmtId="0" fontId="82" fillId="0" borderId="0" xfId="0" applyFont="1" applyAlignment="1">
      <alignment horizontal="center" vertical="center" wrapText="1"/>
    </xf>
    <xf numFmtId="0" fontId="2" fillId="0" borderId="0" xfId="0" applyFont="1" applyAlignment="1">
      <alignment vertical="center"/>
    </xf>
    <xf numFmtId="0" fontId="4" fillId="0" borderId="0" xfId="0" applyFont="1" applyAlignment="1">
      <alignment vertical="center" wrapText="1"/>
    </xf>
    <xf numFmtId="0" fontId="68" fillId="9" borderId="0" xfId="0" applyFont="1" applyFill="1"/>
    <xf numFmtId="10" fontId="0" fillId="0" borderId="0" xfId="0" applyNumberFormat="1"/>
    <xf numFmtId="9" fontId="0" fillId="0" borderId="0" xfId="0" applyNumberFormat="1" applyAlignment="1">
      <alignment horizontal="center" vertical="center"/>
    </xf>
    <xf numFmtId="0" fontId="0" fillId="0" borderId="0" xfId="0" applyAlignment="1">
      <alignment horizontal="left" vertical="top" wrapText="1"/>
    </xf>
    <xf numFmtId="167" fontId="4" fillId="0" borderId="86" xfId="2" applyNumberFormat="1" applyFont="1" applyFill="1" applyBorder="1" applyAlignment="1">
      <alignment horizontal="center" vertical="center"/>
    </xf>
    <xf numFmtId="167" fontId="4" fillId="0" borderId="85" xfId="2" applyNumberFormat="1" applyFont="1" applyFill="1" applyBorder="1" applyAlignment="1">
      <alignment horizontal="center" vertical="center"/>
    </xf>
    <xf numFmtId="9" fontId="6" fillId="0" borderId="217" xfId="1" applyFont="1" applyBorder="1" applyAlignment="1" applyProtection="1">
      <alignment horizontal="center" vertical="center" wrapText="1"/>
      <protection locked="0"/>
    </xf>
    <xf numFmtId="9" fontId="6" fillId="0" borderId="218" xfId="1" applyFont="1" applyBorder="1" applyAlignment="1" applyProtection="1">
      <alignment horizontal="center" vertical="center" wrapText="1"/>
      <protection locked="0"/>
    </xf>
    <xf numFmtId="9" fontId="6" fillId="0" borderId="219" xfId="1" applyFont="1" applyBorder="1" applyAlignment="1" applyProtection="1">
      <alignment horizontal="center" vertical="center" wrapText="1"/>
      <protection locked="0"/>
    </xf>
    <xf numFmtId="9" fontId="6" fillId="0" borderId="220" xfId="1" applyFont="1" applyBorder="1" applyAlignment="1" applyProtection="1">
      <alignment horizontal="center" vertical="center" wrapText="1"/>
      <protection locked="0"/>
    </xf>
    <xf numFmtId="9" fontId="6" fillId="0" borderId="221" xfId="1" applyFont="1" applyBorder="1" applyAlignment="1" applyProtection="1">
      <alignment horizontal="center" vertical="center" wrapText="1"/>
      <protection locked="0"/>
    </xf>
    <xf numFmtId="0" fontId="78" fillId="10" borderId="225" xfId="0" applyFont="1" applyFill="1" applyBorder="1" applyAlignment="1">
      <alignment horizontal="center" vertical="center" wrapText="1"/>
    </xf>
    <xf numFmtId="0" fontId="78" fillId="10" borderId="226" xfId="0" applyFont="1" applyFill="1" applyBorder="1" applyAlignment="1">
      <alignment horizontal="center" vertical="center" wrapText="1"/>
    </xf>
    <xf numFmtId="0" fontId="78" fillId="10" borderId="227" xfId="0" applyFont="1" applyFill="1" applyBorder="1" applyAlignment="1">
      <alignment horizontal="center" vertical="center" wrapText="1"/>
    </xf>
    <xf numFmtId="0" fontId="78" fillId="23" borderId="228" xfId="0" applyFont="1" applyFill="1" applyBorder="1" applyAlignment="1">
      <alignment horizontal="center" vertical="center" wrapText="1"/>
    </xf>
    <xf numFmtId="0" fontId="78" fillId="23" borderId="229" xfId="0" applyFont="1" applyFill="1" applyBorder="1" applyAlignment="1">
      <alignment horizontal="center" vertical="center" wrapText="1"/>
    </xf>
    <xf numFmtId="0" fontId="55" fillId="7" borderId="191" xfId="0" applyFont="1" applyFill="1" applyBorder="1" applyAlignment="1">
      <alignment horizontal="center" vertical="center" wrapText="1"/>
    </xf>
    <xf numFmtId="0" fontId="78" fillId="7" borderId="190" xfId="0" applyFont="1" applyFill="1" applyBorder="1" applyAlignment="1">
      <alignment horizontal="center" vertical="center" wrapText="1"/>
    </xf>
    <xf numFmtId="0" fontId="17" fillId="9" borderId="82" xfId="0" applyFont="1" applyFill="1" applyBorder="1" applyAlignment="1">
      <alignment horizontal="center" vertical="center"/>
    </xf>
    <xf numFmtId="0" fontId="0" fillId="0" borderId="21" xfId="0" applyBorder="1" applyAlignment="1">
      <alignment horizontal="center"/>
    </xf>
    <xf numFmtId="0" fontId="0" fillId="0" borderId="12" xfId="0" applyBorder="1" applyAlignment="1">
      <alignment horizontal="center"/>
    </xf>
    <xf numFmtId="0" fontId="0" fillId="0" borderId="13" xfId="0" applyBorder="1"/>
    <xf numFmtId="0" fontId="78" fillId="10" borderId="189" xfId="0" applyFont="1" applyFill="1" applyBorder="1" applyAlignment="1">
      <alignment horizontal="center" vertical="center" wrapText="1"/>
    </xf>
    <xf numFmtId="0" fontId="78" fillId="10" borderId="22" xfId="0" applyFont="1" applyFill="1" applyBorder="1" applyAlignment="1">
      <alignment horizontal="center" vertical="center" wrapText="1"/>
    </xf>
    <xf numFmtId="0" fontId="78" fillId="10" borderId="167" xfId="0" applyFont="1" applyFill="1" applyBorder="1" applyAlignment="1">
      <alignment horizontal="center" vertical="center" wrapText="1"/>
    </xf>
    <xf numFmtId="0" fontId="78" fillId="23" borderId="232" xfId="0" applyFont="1" applyFill="1" applyBorder="1" applyAlignment="1">
      <alignment horizontal="center" vertical="center" wrapText="1"/>
    </xf>
    <xf numFmtId="0" fontId="78" fillId="23" borderId="233" xfId="0" applyFont="1" applyFill="1" applyBorder="1" applyAlignment="1">
      <alignment horizontal="center" vertical="center" wrapText="1"/>
    </xf>
    <xf numFmtId="0" fontId="84" fillId="0" borderId="0" xfId="0" applyFont="1" applyAlignment="1">
      <alignment horizontal="right"/>
    </xf>
    <xf numFmtId="0" fontId="85" fillId="0" borderId="0" xfId="0" applyFont="1"/>
    <xf numFmtId="0" fontId="80" fillId="22" borderId="114" xfId="0" applyFont="1" applyFill="1" applyBorder="1" applyAlignment="1">
      <alignment horizontal="center"/>
    </xf>
    <xf numFmtId="0" fontId="17" fillId="9" borderId="129" xfId="0" applyFont="1" applyFill="1" applyBorder="1" applyAlignment="1">
      <alignment vertical="center" wrapText="1"/>
    </xf>
    <xf numFmtId="0" fontId="2" fillId="0" borderId="6" xfId="0" applyFont="1" applyBorder="1" applyAlignment="1">
      <alignment horizontal="center" vertical="center"/>
    </xf>
    <xf numFmtId="0" fontId="9" fillId="0" borderId="232" xfId="0" applyFont="1" applyBorder="1" applyAlignment="1">
      <alignment horizontal="center" vertical="center" wrapText="1"/>
    </xf>
    <xf numFmtId="0" fontId="9" fillId="0" borderId="233" xfId="0" applyFont="1" applyBorder="1" applyAlignment="1">
      <alignment horizontal="center" vertical="center" wrapText="1"/>
    </xf>
    <xf numFmtId="9" fontId="44" fillId="28" borderId="171" xfId="1" applyFont="1" applyFill="1" applyBorder="1" applyAlignment="1">
      <alignment horizontal="center" vertical="center"/>
    </xf>
    <xf numFmtId="9" fontId="44" fillId="28" borderId="153" xfId="1" applyFont="1" applyFill="1" applyBorder="1" applyAlignment="1">
      <alignment horizontal="center" vertical="center"/>
    </xf>
    <xf numFmtId="9" fontId="44" fillId="28" borderId="147" xfId="1" applyFont="1" applyFill="1" applyBorder="1" applyAlignment="1">
      <alignment horizontal="center" vertical="center"/>
    </xf>
    <xf numFmtId="2" fontId="0" fillId="0" borderId="0" xfId="2" applyNumberFormat="1" applyFont="1" applyBorder="1"/>
    <xf numFmtId="9" fontId="0" fillId="0" borderId="6" xfId="1" applyFont="1" applyBorder="1"/>
    <xf numFmtId="9" fontId="0" fillId="0" borderId="142" xfId="1" applyFont="1" applyBorder="1"/>
    <xf numFmtId="0" fontId="16" fillId="0" borderId="110" xfId="0" applyFont="1" applyBorder="1" applyAlignment="1">
      <alignment horizontal="left" vertical="center"/>
    </xf>
    <xf numFmtId="0" fontId="16" fillId="0" borderId="0" xfId="0" applyFont="1" applyAlignment="1">
      <alignment horizontal="left" vertical="center"/>
    </xf>
    <xf numFmtId="0" fontId="16" fillId="0" borderId="111" xfId="0" applyFont="1" applyBorder="1" applyAlignment="1">
      <alignment horizontal="left" vertical="center"/>
    </xf>
    <xf numFmtId="0" fontId="2" fillId="22" borderId="130" xfId="0" applyFont="1" applyFill="1" applyBorder="1" applyAlignment="1">
      <alignment horizontal="center" vertical="center"/>
    </xf>
    <xf numFmtId="0" fontId="33" fillId="0" borderId="22" xfId="0" applyFont="1" applyBorder="1"/>
    <xf numFmtId="0" fontId="0" fillId="27" borderId="22" xfId="0" applyFill="1" applyBorder="1" applyAlignment="1">
      <alignment wrapText="1"/>
    </xf>
    <xf numFmtId="0" fontId="0" fillId="3" borderId="22" xfId="0" applyFill="1" applyBorder="1" applyAlignment="1">
      <alignment wrapText="1"/>
    </xf>
    <xf numFmtId="0" fontId="86" fillId="9" borderId="0" xfId="0" applyFont="1" applyFill="1" applyAlignment="1">
      <alignment horizontal="right"/>
    </xf>
    <xf numFmtId="0" fontId="0" fillId="0" borderId="153" xfId="0" applyBorder="1" applyAlignment="1">
      <alignment vertical="center"/>
    </xf>
    <xf numFmtId="0" fontId="0" fillId="0" borderId="152" xfId="0" applyBorder="1" applyAlignment="1">
      <alignment vertical="center"/>
    </xf>
    <xf numFmtId="0" fontId="2" fillId="22" borderId="0" xfId="0" applyFont="1" applyFill="1" applyAlignment="1">
      <alignment horizontal="center" vertical="center" wrapText="1"/>
    </xf>
    <xf numFmtId="0" fontId="16" fillId="0" borderId="0" xfId="0" applyFont="1" applyAlignment="1">
      <alignment horizontal="left" vertical="center" wrapText="1"/>
    </xf>
    <xf numFmtId="0" fontId="16" fillId="0" borderId="111" xfId="0" applyFont="1" applyBorder="1" applyAlignment="1">
      <alignment horizontal="left" vertical="center" wrapText="1"/>
    </xf>
    <xf numFmtId="0" fontId="0" fillId="0" borderId="171" xfId="0" applyBorder="1" applyAlignment="1">
      <alignment horizontal="left" indent="1"/>
    </xf>
    <xf numFmtId="9" fontId="0" fillId="0" borderId="0" xfId="1" applyFont="1" applyBorder="1"/>
    <xf numFmtId="3" fontId="0" fillId="3" borderId="168" xfId="0" applyNumberFormat="1" applyFill="1" applyBorder="1" applyAlignment="1" applyProtection="1">
      <alignment horizontal="center"/>
      <protection locked="0"/>
    </xf>
    <xf numFmtId="3" fontId="1" fillId="3" borderId="168" xfId="1" applyNumberFormat="1" applyFont="1" applyFill="1" applyBorder="1" applyAlignment="1" applyProtection="1">
      <alignment horizontal="center"/>
      <protection locked="0"/>
    </xf>
    <xf numFmtId="3" fontId="1" fillId="3" borderId="169" xfId="1" applyNumberFormat="1" applyFont="1" applyFill="1" applyBorder="1" applyAlignment="1" applyProtection="1">
      <alignment horizontal="center"/>
      <protection locked="0"/>
    </xf>
    <xf numFmtId="3" fontId="0" fillId="3" borderId="55" xfId="0" applyNumberFormat="1" applyFill="1" applyBorder="1" applyAlignment="1" applyProtection="1">
      <alignment horizontal="center"/>
      <protection locked="0"/>
    </xf>
    <xf numFmtId="3" fontId="1" fillId="3" borderId="55" xfId="1" applyNumberFormat="1" applyFont="1" applyFill="1" applyBorder="1" applyAlignment="1" applyProtection="1">
      <alignment horizontal="center"/>
      <protection locked="0"/>
    </xf>
    <xf numFmtId="3" fontId="1" fillId="3" borderId="57" xfId="1" applyNumberFormat="1" applyFont="1" applyFill="1" applyBorder="1" applyAlignment="1" applyProtection="1">
      <alignment horizontal="center"/>
      <protection locked="0"/>
    </xf>
    <xf numFmtId="3" fontId="0" fillId="3" borderId="50" xfId="0" applyNumberFormat="1" applyFill="1" applyBorder="1" applyAlignment="1" applyProtection="1">
      <alignment horizontal="center"/>
      <protection locked="0"/>
    </xf>
    <xf numFmtId="3" fontId="1" fillId="3" borderId="50" xfId="1" applyNumberFormat="1" applyFont="1" applyFill="1" applyBorder="1" applyAlignment="1" applyProtection="1">
      <alignment horizontal="center"/>
      <protection locked="0"/>
    </xf>
    <xf numFmtId="3" fontId="1" fillId="3" borderId="52" xfId="1" applyNumberFormat="1" applyFont="1" applyFill="1" applyBorder="1" applyAlignment="1" applyProtection="1">
      <alignment horizontal="center"/>
      <protection locked="0"/>
    </xf>
    <xf numFmtId="0" fontId="2" fillId="15" borderId="0" xfId="0" applyFont="1" applyFill="1" applyAlignment="1">
      <alignment horizontal="center" vertical="center" wrapText="1"/>
    </xf>
    <xf numFmtId="0" fontId="2" fillId="6" borderId="0" xfId="0" applyFont="1" applyFill="1" applyAlignment="1">
      <alignment horizontal="center" vertical="center" wrapText="1"/>
    </xf>
    <xf numFmtId="0" fontId="2" fillId="0" borderId="84" xfId="0" applyFont="1" applyBorder="1"/>
    <xf numFmtId="0" fontId="11" fillId="3" borderId="177" xfId="0" applyFont="1" applyFill="1" applyBorder="1"/>
    <xf numFmtId="0" fontId="11" fillId="3" borderId="179" xfId="0" applyFont="1" applyFill="1" applyBorder="1"/>
    <xf numFmtId="0" fontId="11" fillId="3" borderId="180" xfId="0" applyFont="1" applyFill="1" applyBorder="1"/>
    <xf numFmtId="0" fontId="17" fillId="9" borderId="84" xfId="0" applyFont="1" applyFill="1" applyBorder="1"/>
    <xf numFmtId="0" fontId="11" fillId="3" borderId="158" xfId="0" applyFont="1" applyFill="1" applyBorder="1" applyAlignment="1">
      <alignment vertical="center"/>
    </xf>
    <xf numFmtId="3" fontId="0" fillId="3" borderId="160" xfId="0" applyNumberFormat="1" applyFill="1" applyBorder="1" applyAlignment="1" applyProtection="1">
      <alignment horizontal="center" vertical="center"/>
      <protection locked="0"/>
    </xf>
    <xf numFmtId="3" fontId="1" fillId="3" borderId="160" xfId="1" applyNumberFormat="1" applyFont="1" applyFill="1" applyBorder="1" applyAlignment="1" applyProtection="1">
      <alignment horizontal="center" vertical="center"/>
      <protection locked="0"/>
    </xf>
    <xf numFmtId="3" fontId="1" fillId="3" borderId="161" xfId="1" applyNumberFormat="1" applyFont="1" applyFill="1" applyBorder="1" applyAlignment="1" applyProtection="1">
      <alignment horizontal="center" vertical="center"/>
      <protection locked="0"/>
    </xf>
    <xf numFmtId="0" fontId="75" fillId="0" borderId="153" xfId="0" applyFont="1" applyBorder="1" applyAlignment="1">
      <alignment horizontal="center" vertical="center"/>
    </xf>
    <xf numFmtId="0" fontId="48" fillId="0" borderId="153" xfId="0" applyFont="1" applyBorder="1" applyAlignment="1">
      <alignment horizontal="center" vertical="center"/>
    </xf>
    <xf numFmtId="0" fontId="44" fillId="0" borderId="236" xfId="0" applyFont="1" applyBorder="1" applyAlignment="1">
      <alignment horizontal="center" vertical="center" wrapText="1"/>
    </xf>
    <xf numFmtId="0" fontId="52" fillId="0" borderId="174" xfId="0" applyFont="1" applyBorder="1" applyAlignment="1">
      <alignment horizontal="center" vertical="center"/>
    </xf>
    <xf numFmtId="0" fontId="52" fillId="0" borderId="154" xfId="0" applyFont="1" applyBorder="1" applyAlignment="1">
      <alignment horizontal="center" vertical="center"/>
    </xf>
    <xf numFmtId="0" fontId="52" fillId="0" borderId="237" xfId="0" applyFont="1" applyBorder="1" applyAlignment="1">
      <alignment horizontal="center" vertical="center"/>
    </xf>
    <xf numFmtId="9" fontId="9" fillId="3" borderId="236" xfId="1" applyFont="1" applyFill="1" applyBorder="1" applyAlignment="1">
      <alignment horizontal="center" vertical="center"/>
    </xf>
    <xf numFmtId="9" fontId="9" fillId="3" borderId="194" xfId="1" applyFont="1" applyFill="1" applyBorder="1" applyAlignment="1">
      <alignment horizontal="center" vertical="center"/>
    </xf>
    <xf numFmtId="9" fontId="9" fillId="3" borderId="193" xfId="1" applyFont="1" applyFill="1" applyBorder="1" applyAlignment="1">
      <alignment horizontal="center" vertical="center"/>
    </xf>
    <xf numFmtId="9" fontId="9" fillId="16" borderId="129" xfId="1" applyFont="1" applyFill="1" applyBorder="1" applyAlignment="1">
      <alignment horizontal="center" vertical="center"/>
    </xf>
    <xf numFmtId="9" fontId="9" fillId="16" borderId="18" xfId="1" applyFont="1" applyFill="1" applyBorder="1" applyAlignment="1">
      <alignment horizontal="center" vertical="center"/>
    </xf>
    <xf numFmtId="9" fontId="9" fillId="16" borderId="148" xfId="1" applyFont="1" applyFill="1" applyBorder="1" applyAlignment="1">
      <alignment horizontal="center" vertical="center"/>
    </xf>
    <xf numFmtId="9" fontId="9" fillId="16" borderId="171" xfId="1" applyFont="1" applyFill="1" applyBorder="1" applyAlignment="1">
      <alignment horizontal="center" vertical="center"/>
    </xf>
    <xf numFmtId="9" fontId="9" fillId="16" borderId="153" xfId="1" applyFont="1" applyFill="1" applyBorder="1" applyAlignment="1">
      <alignment horizontal="center" vertical="center"/>
    </xf>
    <xf numFmtId="9" fontId="9" fillId="16" borderId="147" xfId="1" applyFont="1" applyFill="1" applyBorder="1" applyAlignment="1">
      <alignment horizontal="center" vertical="center"/>
    </xf>
    <xf numFmtId="9" fontId="9" fillId="16" borderId="172" xfId="1" applyFont="1" applyFill="1" applyBorder="1" applyAlignment="1">
      <alignment horizontal="center" vertical="center"/>
    </xf>
    <xf numFmtId="9" fontId="9" fillId="16" borderId="160" xfId="1" applyFont="1" applyFill="1" applyBorder="1" applyAlignment="1">
      <alignment horizontal="center" vertical="center"/>
    </xf>
    <xf numFmtId="9" fontId="9" fillId="16" borderId="161" xfId="1" applyFont="1" applyFill="1" applyBorder="1" applyAlignment="1">
      <alignment horizontal="center" vertical="center"/>
    </xf>
    <xf numFmtId="9" fontId="9" fillId="13" borderId="157" xfId="1" applyFont="1" applyFill="1" applyBorder="1" applyAlignment="1">
      <alignment horizontal="center" vertical="center"/>
    </xf>
    <xf numFmtId="9" fontId="9" fillId="13" borderId="148" xfId="1" applyFont="1" applyFill="1" applyBorder="1" applyAlignment="1">
      <alignment horizontal="center" vertical="center"/>
    </xf>
    <xf numFmtId="9" fontId="9" fillId="13" borderId="155" xfId="1" applyFont="1" applyFill="1" applyBorder="1" applyAlignment="1">
      <alignment horizontal="center" vertical="center"/>
    </xf>
    <xf numFmtId="9" fontId="9" fillId="13" borderId="147" xfId="1" applyFont="1" applyFill="1" applyBorder="1" applyAlignment="1">
      <alignment horizontal="center" vertical="center"/>
    </xf>
    <xf numFmtId="9" fontId="9" fillId="13" borderId="159" xfId="1" applyFont="1" applyFill="1" applyBorder="1" applyAlignment="1">
      <alignment horizontal="center" vertical="center"/>
    </xf>
    <xf numFmtId="9" fontId="9" fillId="13" borderId="161" xfId="1" applyFont="1" applyFill="1" applyBorder="1" applyAlignment="1">
      <alignment horizontal="center" vertical="center"/>
    </xf>
    <xf numFmtId="165" fontId="75" fillId="0" borderId="153" xfId="0" applyNumberFormat="1" applyFont="1" applyBorder="1" applyAlignment="1">
      <alignment horizontal="center" vertical="center"/>
    </xf>
    <xf numFmtId="165" fontId="0" fillId="0" borderId="153" xfId="1" applyNumberFormat="1" applyFont="1" applyBorder="1" applyAlignment="1">
      <alignment horizontal="center" vertical="center"/>
    </xf>
    <xf numFmtId="165" fontId="0" fillId="0" borderId="0" xfId="0" applyNumberFormat="1"/>
    <xf numFmtId="3" fontId="0" fillId="9" borderId="0" xfId="0" applyNumberFormat="1" applyFill="1"/>
    <xf numFmtId="3" fontId="0" fillId="0" borderId="153" xfId="0" applyNumberFormat="1" applyBorder="1"/>
    <xf numFmtId="0" fontId="20" fillId="0" borderId="0" xfId="0" applyFont="1" applyAlignment="1">
      <alignment horizontal="center"/>
    </xf>
    <xf numFmtId="9" fontId="0" fillId="0" borderId="130" xfId="1" applyFont="1" applyBorder="1" applyAlignment="1">
      <alignment horizontal="center"/>
    </xf>
    <xf numFmtId="0" fontId="0" fillId="4" borderId="165" xfId="0" applyFill="1" applyBorder="1" applyAlignment="1" applyProtection="1">
      <alignment horizontal="center"/>
      <protection locked="0"/>
    </xf>
    <xf numFmtId="0" fontId="0" fillId="4" borderId="72" xfId="0" applyFill="1" applyBorder="1" applyAlignment="1" applyProtection="1">
      <alignment horizontal="center"/>
      <protection locked="0"/>
    </xf>
    <xf numFmtId="0" fontId="0" fillId="4" borderId="73" xfId="0" applyFill="1" applyBorder="1" applyAlignment="1" applyProtection="1">
      <alignment horizontal="center"/>
      <protection locked="0"/>
    </xf>
    <xf numFmtId="0" fontId="0" fillId="4" borderId="163" xfId="0" applyFill="1" applyBorder="1" applyAlignment="1" applyProtection="1">
      <alignment horizontal="center" vertical="center"/>
      <protection locked="0"/>
    </xf>
    <xf numFmtId="43" fontId="4" fillId="0" borderId="85" xfId="2" applyFont="1" applyFill="1" applyBorder="1" applyAlignment="1">
      <alignment horizontal="center"/>
    </xf>
    <xf numFmtId="43" fontId="4" fillId="0" borderId="87" xfId="2" applyFont="1" applyFill="1" applyBorder="1" applyAlignment="1">
      <alignment horizontal="center"/>
    </xf>
    <xf numFmtId="0" fontId="6" fillId="0" borderId="85" xfId="0" applyFont="1" applyBorder="1" applyAlignment="1">
      <alignment horizontal="center"/>
    </xf>
    <xf numFmtId="0" fontId="89" fillId="0" borderId="0" xfId="0" applyFont="1" applyAlignment="1">
      <alignment vertical="center"/>
    </xf>
    <xf numFmtId="0" fontId="6" fillId="11" borderId="0" xfId="0" applyFont="1" applyFill="1"/>
    <xf numFmtId="0" fontId="6" fillId="11" borderId="83" xfId="0" applyFont="1" applyFill="1" applyBorder="1" applyAlignment="1">
      <alignment vertical="center"/>
    </xf>
    <xf numFmtId="0" fontId="2" fillId="3" borderId="19" xfId="0" applyFont="1" applyFill="1" applyBorder="1" applyAlignment="1">
      <alignment horizontal="left" indent="1"/>
    </xf>
    <xf numFmtId="0" fontId="0" fillId="3" borderId="82" xfId="0" applyFill="1" applyBorder="1"/>
    <xf numFmtId="0" fontId="0" fillId="3" borderId="20" xfId="0" applyFill="1" applyBorder="1"/>
    <xf numFmtId="0" fontId="2" fillId="5" borderId="84" xfId="0" applyFont="1" applyFill="1" applyBorder="1" applyAlignment="1">
      <alignment horizontal="left" indent="1"/>
    </xf>
    <xf numFmtId="3" fontId="0" fillId="0" borderId="32" xfId="0" applyNumberFormat="1" applyBorder="1"/>
    <xf numFmtId="3" fontId="0" fillId="0" borderId="162" xfId="0" applyNumberFormat="1" applyBorder="1"/>
    <xf numFmtId="0" fontId="2" fillId="5" borderId="21" xfId="0" applyFont="1" applyFill="1" applyBorder="1" applyAlignment="1">
      <alignment horizontal="left" indent="1"/>
    </xf>
    <xf numFmtId="3" fontId="0" fillId="0" borderId="12" xfId="0" applyNumberFormat="1" applyBorder="1"/>
    <xf numFmtId="3" fontId="0" fillId="0" borderId="13" xfId="0" applyNumberFormat="1" applyBorder="1"/>
    <xf numFmtId="0" fontId="2" fillId="3" borderId="156" xfId="0" applyFont="1" applyFill="1" applyBorder="1" applyAlignment="1">
      <alignment horizontal="left" indent="1"/>
    </xf>
    <xf numFmtId="0" fontId="0" fillId="3" borderId="15" xfId="0" applyFill="1" applyBorder="1"/>
    <xf numFmtId="0" fontId="0" fillId="0" borderId="238" xfId="0" applyBorder="1"/>
    <xf numFmtId="0" fontId="0" fillId="0" borderId="158" xfId="0" applyBorder="1"/>
    <xf numFmtId="0" fontId="0" fillId="27" borderId="0" xfId="0" applyFill="1"/>
    <xf numFmtId="0" fontId="0" fillId="3" borderId="0" xfId="0" applyFill="1"/>
    <xf numFmtId="0" fontId="2" fillId="30" borderId="153" xfId="0" applyFont="1" applyFill="1" applyBorder="1"/>
    <xf numFmtId="2" fontId="0" fillId="30" borderId="153" xfId="0" applyNumberFormat="1" applyFill="1" applyBorder="1"/>
    <xf numFmtId="0" fontId="91" fillId="0" borderId="0" xfId="0" applyFont="1" applyAlignment="1">
      <alignment horizontal="left" indent="6"/>
    </xf>
    <xf numFmtId="0" fontId="0" fillId="0" borderId="129" xfId="0" applyBorder="1" applyAlignment="1">
      <alignment horizontal="left" indent="1"/>
    </xf>
    <xf numFmtId="0" fontId="0" fillId="5" borderId="18" xfId="0" applyFill="1" applyBorder="1" applyAlignment="1">
      <alignment wrapText="1"/>
    </xf>
    <xf numFmtId="0" fontId="0" fillId="5" borderId="148" xfId="0" applyFill="1" applyBorder="1" applyAlignment="1">
      <alignment wrapText="1"/>
    </xf>
    <xf numFmtId="0" fontId="0" fillId="5" borderId="153" xfId="0" applyFill="1" applyBorder="1"/>
    <xf numFmtId="0" fontId="0" fillId="5" borderId="147" xfId="0" applyFill="1" applyBorder="1"/>
    <xf numFmtId="9" fontId="0" fillId="0" borderId="153" xfId="1" applyFont="1" applyBorder="1"/>
    <xf numFmtId="0" fontId="0" fillId="0" borderId="172" xfId="0" applyBorder="1" applyAlignment="1">
      <alignment horizontal="left" indent="1"/>
    </xf>
    <xf numFmtId="9" fontId="0" fillId="0" borderId="160" xfId="1" applyFont="1" applyBorder="1"/>
    <xf numFmtId="3" fontId="0" fillId="0" borderId="160" xfId="0" applyNumberFormat="1" applyBorder="1"/>
    <xf numFmtId="3" fontId="0" fillId="0" borderId="161" xfId="0" applyNumberFormat="1" applyBorder="1"/>
    <xf numFmtId="37" fontId="8" fillId="0" borderId="0" xfId="2" applyNumberFormat="1" applyFont="1"/>
    <xf numFmtId="0" fontId="0" fillId="22" borderId="153" xfId="0" applyFill="1" applyBorder="1" applyAlignment="1">
      <alignment horizontal="center" vertical="center"/>
    </xf>
    <xf numFmtId="9" fontId="0" fillId="0" borderId="0" xfId="1" applyFont="1" applyAlignment="1">
      <alignment horizontal="center"/>
    </xf>
    <xf numFmtId="0" fontId="20" fillId="7" borderId="19" xfId="0" applyFont="1" applyFill="1" applyBorder="1"/>
    <xf numFmtId="0" fontId="17" fillId="7" borderId="120" xfId="0" applyFont="1" applyFill="1" applyBorder="1" applyAlignment="1">
      <alignment horizontal="center" vertical="center" wrapText="1"/>
    </xf>
    <xf numFmtId="0" fontId="17" fillId="7" borderId="137" xfId="0" applyFont="1" applyFill="1" applyBorder="1" applyAlignment="1">
      <alignment horizontal="center" vertical="center" wrapText="1"/>
    </xf>
    <xf numFmtId="165" fontId="0" fillId="0" borderId="64" xfId="0" applyNumberFormat="1" applyBorder="1" applyAlignment="1">
      <alignment horizontal="center" vertical="center"/>
    </xf>
    <xf numFmtId="165" fontId="0" fillId="0" borderId="66" xfId="0" applyNumberFormat="1" applyBorder="1" applyAlignment="1">
      <alignment horizontal="center" vertical="center"/>
    </xf>
    <xf numFmtId="0" fontId="18" fillId="7" borderId="135" xfId="0" applyFont="1" applyFill="1" applyBorder="1" applyAlignment="1">
      <alignment horizontal="center" vertical="center"/>
    </xf>
    <xf numFmtId="1" fontId="0" fillId="0" borderId="49" xfId="0" applyNumberFormat="1" applyBorder="1" applyAlignment="1">
      <alignment horizontal="center"/>
    </xf>
    <xf numFmtId="9" fontId="0" fillId="0" borderId="52" xfId="0" applyNumberFormat="1" applyBorder="1" applyAlignment="1">
      <alignment horizontal="center"/>
    </xf>
    <xf numFmtId="1" fontId="0" fillId="0" borderId="63" xfId="0" applyNumberFormat="1" applyBorder="1" applyAlignment="1">
      <alignment horizontal="center"/>
    </xf>
    <xf numFmtId="9" fontId="0" fillId="0" borderId="64" xfId="0" applyNumberFormat="1" applyBorder="1" applyAlignment="1">
      <alignment horizontal="center"/>
    </xf>
    <xf numFmtId="9" fontId="0" fillId="0" borderId="66" xfId="0" applyNumberFormat="1" applyBorder="1" applyAlignment="1">
      <alignment horizontal="center"/>
    </xf>
    <xf numFmtId="0" fontId="0" fillId="13" borderId="22" xfId="0" applyFill="1" applyBorder="1" applyAlignment="1">
      <alignment wrapText="1"/>
    </xf>
    <xf numFmtId="0" fontId="11" fillId="21" borderId="177" xfId="0" applyFont="1" applyFill="1" applyBorder="1"/>
    <xf numFmtId="3" fontId="0" fillId="21" borderId="168" xfId="0" applyNumberFormat="1" applyFill="1" applyBorder="1" applyAlignment="1" applyProtection="1">
      <alignment horizontal="center"/>
      <protection locked="0"/>
    </xf>
    <xf numFmtId="3" fontId="1" fillId="21" borderId="168" xfId="1" applyNumberFormat="1" applyFont="1" applyFill="1" applyBorder="1" applyAlignment="1" applyProtection="1">
      <alignment horizontal="center"/>
      <protection locked="0"/>
    </xf>
    <xf numFmtId="3" fontId="1" fillId="21" borderId="169" xfId="1" applyNumberFormat="1" applyFont="1" applyFill="1" applyBorder="1" applyAlignment="1" applyProtection="1">
      <alignment horizontal="center"/>
      <protection locked="0"/>
    </xf>
    <xf numFmtId="0" fontId="11" fillId="21" borderId="180" xfId="0" applyFont="1" applyFill="1" applyBorder="1"/>
    <xf numFmtId="3" fontId="0" fillId="21" borderId="50" xfId="0" applyNumberFormat="1" applyFill="1" applyBorder="1" applyAlignment="1" applyProtection="1">
      <alignment horizontal="center"/>
      <protection locked="0"/>
    </xf>
    <xf numFmtId="3" fontId="1" fillId="21" borderId="50" xfId="1" applyNumberFormat="1" applyFont="1" applyFill="1" applyBorder="1" applyAlignment="1" applyProtection="1">
      <alignment horizontal="center"/>
      <protection locked="0"/>
    </xf>
    <xf numFmtId="3" fontId="1" fillId="21" borderId="52" xfId="1" applyNumberFormat="1" applyFont="1" applyFill="1" applyBorder="1" applyAlignment="1" applyProtection="1">
      <alignment horizontal="center"/>
      <protection locked="0"/>
    </xf>
    <xf numFmtId="0" fontId="11" fillId="21" borderId="179" xfId="0" applyFont="1" applyFill="1" applyBorder="1"/>
    <xf numFmtId="3" fontId="0" fillId="21" borderId="55" xfId="0" applyNumberFormat="1" applyFill="1" applyBorder="1" applyAlignment="1" applyProtection="1">
      <alignment horizontal="center"/>
      <protection locked="0"/>
    </xf>
    <xf numFmtId="3" fontId="1" fillId="21" borderId="55" xfId="1" applyNumberFormat="1" applyFont="1" applyFill="1" applyBorder="1" applyAlignment="1" applyProtection="1">
      <alignment horizontal="center"/>
      <protection locked="0"/>
    </xf>
    <xf numFmtId="3" fontId="1" fillId="21" borderId="57" xfId="1" applyNumberFormat="1" applyFont="1" applyFill="1" applyBorder="1" applyAlignment="1" applyProtection="1">
      <alignment horizontal="center"/>
      <protection locked="0"/>
    </xf>
    <xf numFmtId="0" fontId="11" fillId="21" borderId="158" xfId="0" applyFont="1" applyFill="1" applyBorder="1" applyAlignment="1">
      <alignment vertical="center"/>
    </xf>
    <xf numFmtId="3" fontId="0" fillId="21" borderId="160" xfId="0" applyNumberFormat="1" applyFill="1" applyBorder="1" applyAlignment="1" applyProtection="1">
      <alignment horizontal="center" vertical="center"/>
      <protection locked="0"/>
    </xf>
    <xf numFmtId="3" fontId="1" fillId="21" borderId="160" xfId="1" applyNumberFormat="1" applyFont="1" applyFill="1" applyBorder="1" applyAlignment="1" applyProtection="1">
      <alignment horizontal="center" vertical="center"/>
      <protection locked="0"/>
    </xf>
    <xf numFmtId="3" fontId="1" fillId="21" borderId="161" xfId="1" applyNumberFormat="1" applyFont="1" applyFill="1" applyBorder="1" applyAlignment="1" applyProtection="1">
      <alignment horizontal="center" vertical="center"/>
      <protection locked="0"/>
    </xf>
    <xf numFmtId="0" fontId="17" fillId="9" borderId="0" xfId="0" applyFont="1" applyFill="1" applyAlignment="1">
      <alignment vertical="center" wrapText="1"/>
    </xf>
    <xf numFmtId="0" fontId="25" fillId="10" borderId="138" xfId="0" applyFont="1" applyFill="1" applyBorder="1"/>
    <xf numFmtId="0" fontId="24" fillId="10" borderId="138" xfId="0" applyFont="1" applyFill="1" applyBorder="1"/>
    <xf numFmtId="0" fontId="20" fillId="10" borderId="138" xfId="0" applyFont="1" applyFill="1" applyBorder="1"/>
    <xf numFmtId="0" fontId="19" fillId="0" borderId="0" xfId="3"/>
    <xf numFmtId="0" fontId="19" fillId="0" borderId="0" xfId="3" quotePrefix="1"/>
    <xf numFmtId="0" fontId="0" fillId="0" borderId="153" xfId="0" applyBorder="1" applyAlignment="1" applyProtection="1">
      <alignment horizontal="center" vertical="center" wrapText="1"/>
      <protection locked="0"/>
    </xf>
    <xf numFmtId="165" fontId="0" fillId="0" borderId="153" xfId="1" applyNumberFormat="1" applyFont="1" applyFill="1" applyBorder="1" applyAlignment="1" applyProtection="1">
      <alignment horizontal="center"/>
      <protection locked="0"/>
    </xf>
    <xf numFmtId="0" fontId="95" fillId="0" borderId="153" xfId="0" applyFont="1" applyBorder="1" applyAlignment="1">
      <alignment horizontal="center" vertical="center"/>
    </xf>
    <xf numFmtId="0" fontId="9" fillId="0" borderId="129" xfId="0" applyFont="1" applyBorder="1" applyAlignment="1">
      <alignment horizontal="center" vertical="center" wrapText="1"/>
    </xf>
    <xf numFmtId="0" fontId="9" fillId="0" borderId="148" xfId="0" applyFont="1" applyBorder="1" applyAlignment="1">
      <alignment horizontal="center" vertical="center" wrapText="1"/>
    </xf>
    <xf numFmtId="0" fontId="0" fillId="0" borderId="129" xfId="0" applyBorder="1" applyAlignment="1">
      <alignment wrapText="1"/>
    </xf>
    <xf numFmtId="0" fontId="2" fillId="0" borderId="20" xfId="0" applyFont="1" applyBorder="1" applyAlignment="1">
      <alignment horizontal="center" vertical="center" wrapText="1"/>
    </xf>
    <xf numFmtId="1" fontId="0" fillId="0" borderId="171" xfId="0" applyNumberFormat="1" applyBorder="1" applyAlignment="1">
      <alignment horizontal="center"/>
    </xf>
    <xf numFmtId="3" fontId="0" fillId="15" borderId="147" xfId="0" applyNumberFormat="1" applyFill="1" applyBorder="1" applyAlignment="1" applyProtection="1">
      <alignment horizontal="center" vertical="center"/>
      <protection locked="0"/>
    </xf>
    <xf numFmtId="1" fontId="0" fillId="0" borderId="172" xfId="0" applyNumberFormat="1" applyBorder="1" applyAlignment="1">
      <alignment horizontal="center"/>
    </xf>
    <xf numFmtId="3" fontId="0" fillId="15" borderId="161" xfId="0" applyNumberFormat="1" applyFill="1" applyBorder="1" applyAlignment="1" applyProtection="1">
      <alignment horizontal="center" vertical="center"/>
      <protection locked="0"/>
    </xf>
    <xf numFmtId="0" fontId="0" fillId="0" borderId="109" xfId="0" applyBorder="1" applyAlignment="1">
      <alignment horizontal="center" vertical="center"/>
    </xf>
    <xf numFmtId="0" fontId="17" fillId="7" borderId="91" xfId="0" applyFont="1" applyFill="1" applyBorder="1" applyAlignment="1">
      <alignment horizontal="center" vertical="center" wrapText="1"/>
    </xf>
    <xf numFmtId="1" fontId="4" fillId="0" borderId="63" xfId="0" applyNumberFormat="1" applyFont="1" applyBorder="1" applyAlignment="1">
      <alignment horizontal="center" vertical="center" wrapText="1"/>
    </xf>
    <xf numFmtId="3" fontId="6" fillId="0" borderId="153" xfId="0" applyNumberFormat="1" applyFont="1" applyBorder="1" applyAlignment="1">
      <alignment horizontal="center" vertical="center"/>
    </xf>
    <xf numFmtId="0" fontId="38" fillId="14" borderId="153" xfId="0" applyFont="1" applyFill="1" applyBorder="1" applyAlignment="1">
      <alignment horizontal="center" vertical="center" wrapText="1"/>
    </xf>
    <xf numFmtId="0" fontId="0" fillId="21" borderId="0" xfId="0" applyFill="1" applyAlignment="1">
      <alignment wrapText="1"/>
    </xf>
    <xf numFmtId="3" fontId="0" fillId="21" borderId="0" xfId="0" applyNumberFormat="1" applyFill="1"/>
    <xf numFmtId="0" fontId="20" fillId="21" borderId="0" xfId="0" applyFont="1" applyFill="1"/>
    <xf numFmtId="0" fontId="46" fillId="21" borderId="0" xfId="0" applyFont="1" applyFill="1"/>
    <xf numFmtId="165" fontId="0" fillId="22" borderId="153" xfId="1" applyNumberFormat="1" applyFont="1" applyFill="1" applyBorder="1" applyAlignment="1">
      <alignment horizontal="center" vertical="center"/>
    </xf>
    <xf numFmtId="168" fontId="4" fillId="0" borderId="86" xfId="2" applyNumberFormat="1" applyFont="1" applyFill="1" applyBorder="1"/>
    <xf numFmtId="168" fontId="4" fillId="0" borderId="85" xfId="2" applyNumberFormat="1" applyFont="1" applyFill="1" applyBorder="1"/>
    <xf numFmtId="168" fontId="4" fillId="0" borderId="86" xfId="2" applyNumberFormat="1" applyFont="1" applyFill="1" applyBorder="1" applyAlignment="1">
      <alignment horizontal="center"/>
    </xf>
    <xf numFmtId="168" fontId="4" fillId="0" borderId="85" xfId="2" applyNumberFormat="1" applyFont="1" applyFill="1" applyBorder="1" applyAlignment="1">
      <alignment horizontal="center"/>
    </xf>
    <xf numFmtId="10" fontId="0" fillId="0" borderId="0" xfId="0" applyNumberFormat="1" applyAlignment="1">
      <alignment wrapText="1"/>
    </xf>
    <xf numFmtId="9" fontId="70" fillId="21" borderId="0" xfId="1" applyFont="1" applyFill="1" applyBorder="1" applyAlignment="1">
      <alignment horizontal="center" vertical="center" wrapText="1"/>
    </xf>
    <xf numFmtId="9" fontId="0" fillId="0" borderId="0" xfId="1" applyFont="1" applyAlignment="1">
      <alignment horizontal="center" vertical="center"/>
    </xf>
    <xf numFmtId="9" fontId="0" fillId="21" borderId="0" xfId="1" applyFont="1" applyFill="1" applyAlignment="1">
      <alignment horizontal="center" vertical="center"/>
    </xf>
    <xf numFmtId="9" fontId="0" fillId="21" borderId="0" xfId="1" applyFont="1" applyFill="1" applyAlignment="1">
      <alignment horizontal="center" vertical="center" wrapText="1"/>
    </xf>
    <xf numFmtId="10" fontId="0" fillId="21" borderId="0" xfId="0" applyNumberFormat="1" applyFill="1"/>
    <xf numFmtId="10" fontId="0" fillId="21" borderId="0" xfId="0" applyNumberFormat="1" applyFill="1" applyAlignment="1">
      <alignment wrapText="1"/>
    </xf>
    <xf numFmtId="165" fontId="0" fillId="0" borderId="0" xfId="1" applyNumberFormat="1" applyFont="1"/>
    <xf numFmtId="1" fontId="0" fillId="3" borderId="82" xfId="0" applyNumberFormat="1" applyFill="1" applyBorder="1"/>
    <xf numFmtId="164" fontId="0" fillId="0" borderId="0" xfId="2" applyNumberFormat="1" applyFont="1"/>
    <xf numFmtId="164" fontId="0" fillId="0" borderId="0" xfId="0" applyNumberFormat="1"/>
    <xf numFmtId="0" fontId="97" fillId="0" borderId="0" xfId="0" applyFont="1"/>
    <xf numFmtId="165" fontId="0" fillId="15" borderId="171" xfId="1" applyNumberFormat="1" applyFont="1" applyFill="1" applyBorder="1" applyAlignment="1" applyProtection="1">
      <alignment horizontal="center"/>
      <protection locked="0"/>
    </xf>
    <xf numFmtId="165" fontId="0" fillId="15" borderId="147" xfId="1" applyNumberFormat="1" applyFont="1" applyFill="1" applyBorder="1" applyAlignment="1" applyProtection="1">
      <alignment horizontal="center"/>
      <protection locked="0"/>
    </xf>
    <xf numFmtId="165" fontId="0" fillId="15" borderId="172" xfId="1" applyNumberFormat="1" applyFont="1" applyFill="1" applyBorder="1" applyAlignment="1" applyProtection="1">
      <alignment horizontal="center"/>
      <protection locked="0"/>
    </xf>
    <xf numFmtId="165" fontId="0" fillId="15" borderId="161" xfId="1" applyNumberFormat="1" applyFont="1" applyFill="1" applyBorder="1" applyAlignment="1" applyProtection="1">
      <alignment horizontal="center"/>
      <protection locked="0"/>
    </xf>
    <xf numFmtId="9" fontId="0" fillId="2" borderId="0" xfId="1" applyFont="1" applyFill="1"/>
    <xf numFmtId="0" fontId="0" fillId="21" borderId="6" xfId="0" applyFill="1" applyBorder="1" applyAlignment="1" applyProtection="1">
      <alignment horizontal="center" vertical="center"/>
      <protection locked="0"/>
    </xf>
    <xf numFmtId="0" fontId="0" fillId="21" borderId="6" xfId="0" applyFill="1" applyBorder="1" applyAlignment="1" applyProtection="1">
      <alignment horizontal="center" vertical="center" wrapText="1"/>
      <protection locked="0"/>
    </xf>
    <xf numFmtId="9" fontId="44" fillId="28" borderId="172" xfId="1" applyFont="1" applyFill="1" applyBorder="1" applyAlignment="1">
      <alignment horizontal="center" vertical="center"/>
    </xf>
    <xf numFmtId="9" fontId="44" fillId="28" borderId="160" xfId="1" applyFont="1" applyFill="1" applyBorder="1" applyAlignment="1">
      <alignment horizontal="center" vertical="center"/>
    </xf>
    <xf numFmtId="9" fontId="44" fillId="28" borderId="161" xfId="1" applyFont="1" applyFill="1" applyBorder="1" applyAlignment="1">
      <alignment horizontal="center" vertical="center"/>
    </xf>
    <xf numFmtId="0" fontId="6" fillId="0" borderId="165" xfId="0" applyFont="1" applyBorder="1" applyAlignment="1">
      <alignment horizontal="center" vertical="center"/>
    </xf>
    <xf numFmtId="0" fontId="6" fillId="0" borderId="73" xfId="0" applyFont="1" applyBorder="1" applyAlignment="1">
      <alignment horizontal="center" vertical="center"/>
    </xf>
    <xf numFmtId="0" fontId="17" fillId="9" borderId="19" xfId="0" applyFont="1" applyFill="1" applyBorder="1"/>
    <xf numFmtId="3" fontId="0" fillId="9" borderId="82" xfId="0" applyNumberFormat="1" applyFill="1" applyBorder="1"/>
    <xf numFmtId="3" fontId="0" fillId="9" borderId="20" xfId="0" applyNumberFormat="1" applyFill="1" applyBorder="1"/>
    <xf numFmtId="3" fontId="0" fillId="3" borderId="169" xfId="0" applyNumberFormat="1" applyFill="1" applyBorder="1" applyAlignment="1" applyProtection="1">
      <alignment horizontal="center"/>
      <protection locked="0"/>
    </xf>
    <xf numFmtId="0" fontId="11" fillId="3" borderId="243" xfId="0" applyFont="1" applyFill="1" applyBorder="1"/>
    <xf numFmtId="3" fontId="0" fillId="3" borderId="120" xfId="0" applyNumberFormat="1" applyFill="1" applyBorder="1" applyAlignment="1" applyProtection="1">
      <alignment horizontal="center"/>
      <protection locked="0"/>
    </xf>
    <xf numFmtId="3" fontId="0" fillId="3" borderId="137" xfId="0" applyNumberFormat="1" applyFill="1" applyBorder="1" applyAlignment="1" applyProtection="1">
      <alignment horizontal="center"/>
      <protection locked="0"/>
    </xf>
    <xf numFmtId="3" fontId="0" fillId="3" borderId="57" xfId="0" applyNumberFormat="1" applyFill="1" applyBorder="1" applyAlignment="1" applyProtection="1">
      <alignment horizontal="center"/>
      <protection locked="0"/>
    </xf>
    <xf numFmtId="0" fontId="11" fillId="3" borderId="215" xfId="0" applyFont="1" applyFill="1" applyBorder="1"/>
    <xf numFmtId="3" fontId="0" fillId="3" borderId="64" xfId="0" applyNumberFormat="1" applyFill="1" applyBorder="1" applyAlignment="1" applyProtection="1">
      <alignment horizontal="center"/>
      <protection locked="0"/>
    </xf>
    <xf numFmtId="3" fontId="1" fillId="3" borderId="64" xfId="1" applyNumberFormat="1" applyFont="1" applyFill="1" applyBorder="1" applyAlignment="1" applyProtection="1">
      <alignment horizontal="center"/>
      <protection locked="0"/>
    </xf>
    <xf numFmtId="3" fontId="0" fillId="3" borderId="66" xfId="0" applyNumberFormat="1" applyFill="1" applyBorder="1" applyAlignment="1" applyProtection="1">
      <alignment horizontal="center"/>
      <protection locked="0"/>
    </xf>
    <xf numFmtId="3" fontId="20" fillId="9" borderId="15" xfId="0" applyNumberFormat="1" applyFont="1" applyFill="1" applyBorder="1" applyAlignment="1">
      <alignment horizontal="center"/>
    </xf>
    <xf numFmtId="3" fontId="23" fillId="9" borderId="15" xfId="0" applyNumberFormat="1" applyFont="1" applyFill="1" applyBorder="1" applyAlignment="1">
      <alignment horizontal="center"/>
    </xf>
    <xf numFmtId="3" fontId="20" fillId="9" borderId="162" xfId="0" applyNumberFormat="1" applyFont="1" applyFill="1" applyBorder="1" applyAlignment="1">
      <alignment horizontal="center"/>
    </xf>
    <xf numFmtId="0" fontId="20" fillId="9" borderId="22" xfId="0" quotePrefix="1" applyFont="1" applyFill="1" applyBorder="1" applyAlignment="1">
      <alignment horizontal="center"/>
    </xf>
    <xf numFmtId="0" fontId="23" fillId="9" borderId="22" xfId="0" quotePrefix="1" applyFont="1" applyFill="1" applyBorder="1" applyAlignment="1">
      <alignment horizontal="center"/>
    </xf>
    <xf numFmtId="3" fontId="21" fillId="0" borderId="0" xfId="0" applyNumberFormat="1" applyFont="1"/>
    <xf numFmtId="1" fontId="21" fillId="3" borderId="82" xfId="0" applyNumberFormat="1" applyFont="1" applyFill="1" applyBorder="1" applyAlignment="1">
      <alignment horizontal="center"/>
    </xf>
    <xf numFmtId="1" fontId="0" fillId="2" borderId="22" xfId="0" applyNumberFormat="1" applyFill="1" applyBorder="1" applyAlignment="1">
      <alignment horizontal="center"/>
    </xf>
    <xf numFmtId="0" fontId="8" fillId="15" borderId="139" xfId="0" applyFont="1" applyFill="1" applyBorder="1" applyAlignment="1">
      <alignment horizontal="center"/>
    </xf>
    <xf numFmtId="0" fontId="2" fillId="0" borderId="244" xfId="0" applyFont="1" applyBorder="1"/>
    <xf numFmtId="0" fontId="2" fillId="0" borderId="245" xfId="0" applyFont="1" applyBorder="1"/>
    <xf numFmtId="165" fontId="0" fillId="0" borderId="0" xfId="0" applyNumberFormat="1" applyAlignment="1">
      <alignment horizontal="center" vertical="center"/>
    </xf>
    <xf numFmtId="165" fontId="2" fillId="0" borderId="245" xfId="0" applyNumberFormat="1" applyFont="1" applyBorder="1" applyAlignment="1">
      <alignment horizontal="center" vertical="center"/>
    </xf>
    <xf numFmtId="165" fontId="2" fillId="0" borderId="245" xfId="0" applyNumberFormat="1" applyFont="1" applyBorder="1"/>
    <xf numFmtId="0" fontId="2" fillId="32" borderId="244" xfId="0" applyFont="1" applyFill="1" applyBorder="1" applyAlignment="1">
      <alignment wrapText="1"/>
    </xf>
    <xf numFmtId="0" fontId="10" fillId="0" borderId="127" xfId="0" applyFont="1" applyBorder="1" applyAlignment="1">
      <alignment vertical="center"/>
    </xf>
    <xf numFmtId="0" fontId="10" fillId="0" borderId="84" xfId="0" applyFont="1" applyBorder="1" applyAlignment="1">
      <alignment vertical="center"/>
    </xf>
    <xf numFmtId="0" fontId="10" fillId="0" borderId="164" xfId="0" applyFont="1" applyBorder="1" applyAlignment="1">
      <alignment horizontal="left" vertical="center" wrapText="1"/>
    </xf>
    <xf numFmtId="0" fontId="78" fillId="23" borderId="91" xfId="0" applyFont="1" applyFill="1" applyBorder="1" applyAlignment="1">
      <alignment horizontal="center" vertical="center" wrapText="1"/>
    </xf>
    <xf numFmtId="0" fontId="48" fillId="0" borderId="188" xfId="0" applyFont="1" applyBorder="1" applyAlignment="1" applyProtection="1">
      <alignment vertical="center" wrapText="1"/>
      <protection locked="0"/>
    </xf>
    <xf numFmtId="0" fontId="6" fillId="0" borderId="188" xfId="0" applyFont="1" applyBorder="1" applyAlignment="1">
      <alignment horizontal="center" vertical="center" wrapText="1"/>
    </xf>
    <xf numFmtId="0" fontId="0" fillId="0" borderId="112" xfId="0" applyBorder="1"/>
    <xf numFmtId="165" fontId="6" fillId="0" borderId="165" xfId="1" applyNumberFormat="1" applyFont="1" applyBorder="1" applyAlignment="1" applyProtection="1">
      <alignment horizontal="center" vertical="center" wrapText="1"/>
      <protection locked="0"/>
    </xf>
    <xf numFmtId="165" fontId="6" fillId="0" borderId="163" xfId="1" applyNumberFormat="1" applyFont="1" applyBorder="1" applyAlignment="1" applyProtection="1">
      <alignment horizontal="center" vertical="center" wrapText="1"/>
      <protection locked="0"/>
    </xf>
    <xf numFmtId="165" fontId="0" fillId="0" borderId="113" xfId="0" applyNumberFormat="1" applyBorder="1" applyAlignment="1">
      <alignment horizontal="center"/>
    </xf>
    <xf numFmtId="3" fontId="99" fillId="0" borderId="0" xfId="0" applyNumberFormat="1" applyFont="1"/>
    <xf numFmtId="0" fontId="100" fillId="0" borderId="0" xfId="0" applyFont="1" applyAlignment="1">
      <alignment horizontal="center" vertical="center"/>
    </xf>
    <xf numFmtId="0" fontId="41" fillId="0" borderId="0" xfId="0" applyFont="1"/>
    <xf numFmtId="0" fontId="40" fillId="0" borderId="0" xfId="0" applyFont="1" applyAlignment="1" applyProtection="1">
      <alignment horizontal="center"/>
      <protection locked="0"/>
    </xf>
    <xf numFmtId="0" fontId="39" fillId="17" borderId="0" xfId="0" applyFont="1" applyFill="1" applyAlignment="1">
      <alignment horizontal="center" wrapText="1"/>
    </xf>
    <xf numFmtId="0" fontId="39" fillId="17" borderId="143" xfId="0" applyFont="1" applyFill="1" applyBorder="1" applyAlignment="1">
      <alignment horizontal="center" vertical="center" wrapText="1"/>
    </xf>
    <xf numFmtId="0" fontId="40" fillId="0" borderId="163" xfId="0" applyFont="1" applyBorder="1" applyAlignment="1" applyProtection="1">
      <alignment horizontal="center"/>
      <protection locked="0"/>
    </xf>
    <xf numFmtId="1" fontId="0" fillId="33" borderId="120" xfId="0" applyNumberFormat="1" applyFill="1" applyBorder="1" applyAlignment="1">
      <alignment horizontal="center"/>
    </xf>
    <xf numFmtId="1" fontId="0" fillId="33" borderId="22" xfId="0" applyNumberFormat="1" applyFill="1" applyBorder="1" applyAlignment="1">
      <alignment horizontal="center"/>
    </xf>
    <xf numFmtId="0" fontId="11" fillId="33" borderId="165" xfId="0" applyFont="1" applyFill="1" applyBorder="1" applyProtection="1">
      <protection locked="0"/>
    </xf>
    <xf numFmtId="0" fontId="0" fillId="33" borderId="119" xfId="0" applyFill="1" applyBorder="1" applyAlignment="1">
      <alignment horizontal="center"/>
    </xf>
    <xf numFmtId="0" fontId="4" fillId="33" borderId="119" xfId="0" applyFont="1" applyFill="1" applyBorder="1"/>
    <xf numFmtId="0" fontId="11" fillId="33" borderId="72" xfId="0" applyFont="1" applyFill="1" applyBorder="1" applyProtection="1">
      <protection locked="0"/>
    </xf>
    <xf numFmtId="0" fontId="0" fillId="33" borderId="123" xfId="0" applyFill="1" applyBorder="1" applyAlignment="1">
      <alignment horizontal="center"/>
    </xf>
    <xf numFmtId="0" fontId="4" fillId="33" borderId="123" xfId="0" applyFont="1" applyFill="1" applyBorder="1"/>
    <xf numFmtId="0" fontId="11" fillId="33" borderId="73" xfId="0" applyFont="1" applyFill="1" applyBorder="1" applyProtection="1">
      <protection locked="0"/>
    </xf>
    <xf numFmtId="0" fontId="0" fillId="33" borderId="73" xfId="0" applyFill="1" applyBorder="1" applyAlignment="1">
      <alignment horizontal="center"/>
    </xf>
    <xf numFmtId="0" fontId="4" fillId="33" borderId="73" xfId="0" applyFont="1" applyFill="1" applyBorder="1"/>
    <xf numFmtId="0" fontId="10" fillId="33" borderId="164" xfId="0" applyFont="1" applyFill="1" applyBorder="1" applyAlignment="1">
      <alignment horizontal="center" vertical="center" wrapText="1"/>
    </xf>
    <xf numFmtId="0" fontId="11" fillId="33" borderId="163" xfId="0" applyFont="1" applyFill="1" applyBorder="1" applyAlignment="1" applyProtection="1">
      <alignment vertical="center"/>
      <protection locked="0"/>
    </xf>
    <xf numFmtId="0" fontId="0" fillId="33" borderId="113" xfId="0" applyFill="1" applyBorder="1" applyAlignment="1">
      <alignment horizontal="center" vertical="center"/>
    </xf>
    <xf numFmtId="0" fontId="4" fillId="33" borderId="113" xfId="0" applyFont="1" applyFill="1" applyBorder="1" applyAlignment="1">
      <alignment vertical="center"/>
    </xf>
    <xf numFmtId="0" fontId="10" fillId="33" borderId="0" xfId="0" applyFont="1" applyFill="1" applyAlignment="1">
      <alignment horizontal="center" vertical="center" wrapText="1"/>
    </xf>
    <xf numFmtId="0" fontId="11" fillId="33" borderId="0" xfId="0" applyFont="1" applyFill="1" applyAlignment="1" applyProtection="1">
      <alignment vertical="center"/>
      <protection locked="0"/>
    </xf>
    <xf numFmtId="0" fontId="0" fillId="33" borderId="0" xfId="0" applyFill="1" applyAlignment="1">
      <alignment horizontal="center" vertical="center"/>
    </xf>
    <xf numFmtId="0" fontId="4" fillId="33" borderId="0" xfId="0" applyFont="1" applyFill="1" applyAlignment="1">
      <alignment vertical="center"/>
    </xf>
    <xf numFmtId="1" fontId="0" fillId="33" borderId="0" xfId="0" applyNumberFormat="1" applyFill="1" applyAlignment="1">
      <alignment horizontal="center"/>
    </xf>
    <xf numFmtId="9" fontId="1" fillId="33" borderId="120" xfId="1" applyFont="1" applyFill="1" applyBorder="1" applyAlignment="1">
      <alignment horizontal="center"/>
    </xf>
    <xf numFmtId="1" fontId="0" fillId="33" borderId="64" xfId="0" applyNumberFormat="1" applyFill="1" applyBorder="1" applyAlignment="1">
      <alignment horizontal="center"/>
    </xf>
    <xf numFmtId="9" fontId="1" fillId="33" borderId="124" xfId="1" applyFont="1" applyFill="1" applyBorder="1" applyAlignment="1">
      <alignment horizontal="center"/>
    </xf>
    <xf numFmtId="1" fontId="0" fillId="33" borderId="50" xfId="0" applyNumberFormat="1" applyFill="1" applyBorder="1" applyAlignment="1">
      <alignment horizontal="center"/>
    </xf>
    <xf numFmtId="9" fontId="1" fillId="33" borderId="122" xfId="1" applyFont="1" applyFill="1" applyBorder="1" applyAlignment="1">
      <alignment horizontal="center"/>
    </xf>
    <xf numFmtId="3" fontId="0" fillId="33" borderId="120" xfId="0" applyNumberFormat="1" applyFill="1" applyBorder="1" applyAlignment="1">
      <alignment horizontal="center"/>
    </xf>
    <xf numFmtId="3" fontId="0" fillId="33" borderId="50" xfId="0" applyNumberFormat="1" applyFill="1" applyBorder="1" applyAlignment="1">
      <alignment horizontal="center"/>
    </xf>
    <xf numFmtId="3" fontId="0" fillId="33" borderId="64" xfId="0" applyNumberFormat="1" applyFill="1" applyBorder="1" applyAlignment="1">
      <alignment horizontal="center"/>
    </xf>
    <xf numFmtId="0" fontId="10" fillId="33" borderId="113" xfId="0" applyFont="1" applyFill="1" applyBorder="1" applyAlignment="1">
      <alignment horizontal="center" vertical="center" wrapText="1"/>
    </xf>
    <xf numFmtId="3" fontId="0" fillId="33" borderId="125" xfId="0" applyNumberFormat="1" applyFill="1" applyBorder="1" applyAlignment="1">
      <alignment horizontal="center" vertical="center"/>
    </xf>
    <xf numFmtId="9" fontId="1" fillId="33" borderId="125" xfId="1" applyFont="1" applyFill="1" applyBorder="1" applyAlignment="1">
      <alignment horizontal="center"/>
    </xf>
    <xf numFmtId="0" fontId="0" fillId="33" borderId="0" xfId="0" applyFill="1"/>
    <xf numFmtId="0" fontId="10" fillId="0" borderId="164" xfId="0" applyFont="1" applyBorder="1" applyAlignment="1">
      <alignment horizontal="left" vertical="center"/>
    </xf>
    <xf numFmtId="0" fontId="10" fillId="0" borderId="158" xfId="0" applyFont="1" applyBorder="1" applyAlignment="1">
      <alignment horizontal="left" vertical="center" wrapText="1"/>
    </xf>
    <xf numFmtId="0" fontId="0" fillId="0" borderId="21" xfId="0" applyBorder="1"/>
    <xf numFmtId="0" fontId="0" fillId="15" borderId="82" xfId="0" applyFill="1" applyBorder="1"/>
    <xf numFmtId="0" fontId="0" fillId="15" borderId="20" xfId="0" applyFill="1" applyBorder="1"/>
    <xf numFmtId="0" fontId="0" fillId="15" borderId="84" xfId="0" applyFill="1" applyBorder="1"/>
    <xf numFmtId="0" fontId="0" fillId="15" borderId="0" xfId="0" applyFill="1"/>
    <xf numFmtId="3" fontId="0" fillId="15" borderId="0" xfId="0" applyNumberFormat="1" applyFill="1"/>
    <xf numFmtId="3" fontId="0" fillId="15" borderId="32" xfId="0" applyNumberFormat="1" applyFill="1" applyBorder="1"/>
    <xf numFmtId="0" fontId="0" fillId="15" borderId="21" xfId="0" applyFill="1" applyBorder="1"/>
    <xf numFmtId="0" fontId="0" fillId="15" borderId="12" xfId="0" applyFill="1" applyBorder="1"/>
    <xf numFmtId="0" fontId="0" fillId="15" borderId="13" xfId="0" applyFill="1" applyBorder="1"/>
    <xf numFmtId="0" fontId="46" fillId="0" borderId="0" xfId="0" applyFont="1" applyAlignment="1">
      <alignment vertical="center"/>
    </xf>
    <xf numFmtId="3" fontId="99" fillId="0" borderId="0" xfId="0" applyNumberFormat="1" applyFont="1" applyAlignment="1">
      <alignment vertical="center"/>
    </xf>
    <xf numFmtId="3" fontId="55" fillId="9" borderId="113" xfId="0" applyNumberFormat="1" applyFont="1" applyFill="1" applyBorder="1" applyAlignment="1">
      <alignment horizontal="center" vertical="center"/>
    </xf>
    <xf numFmtId="165" fontId="0" fillId="0" borderId="0" xfId="1" applyNumberFormat="1" applyFont="1" applyBorder="1"/>
    <xf numFmtId="165" fontId="0" fillId="0" borderId="32" xfId="1" applyNumberFormat="1" applyFont="1" applyBorder="1"/>
    <xf numFmtId="165" fontId="0" fillId="0" borderId="113" xfId="0" applyNumberFormat="1" applyBorder="1"/>
    <xf numFmtId="165" fontId="0" fillId="0" borderId="128" xfId="0" applyNumberFormat="1" applyBorder="1"/>
    <xf numFmtId="3" fontId="21" fillId="3" borderId="82" xfId="0" applyNumberFormat="1" applyFont="1" applyFill="1" applyBorder="1" applyAlignment="1">
      <alignment horizontal="center"/>
    </xf>
    <xf numFmtId="9" fontId="51" fillId="0" borderId="138" xfId="0" applyNumberFormat="1" applyFont="1" applyBorder="1"/>
    <xf numFmtId="165" fontId="51" fillId="0" borderId="138" xfId="1" applyNumberFormat="1" applyFont="1" applyFill="1" applyBorder="1"/>
    <xf numFmtId="0" fontId="17" fillId="9" borderId="112" xfId="0" applyFont="1" applyFill="1" applyBorder="1" applyAlignment="1">
      <alignment horizontal="center" vertical="center"/>
    </xf>
    <xf numFmtId="0" fontId="17" fillId="9" borderId="113" xfId="0" applyFont="1" applyFill="1" applyBorder="1" applyAlignment="1">
      <alignment horizontal="center" vertical="center" wrapText="1"/>
    </xf>
    <xf numFmtId="0" fontId="17" fillId="9" borderId="128" xfId="0" applyFont="1" applyFill="1" applyBorder="1" applyAlignment="1">
      <alignment horizontal="center" vertical="center" wrapText="1"/>
    </xf>
    <xf numFmtId="165" fontId="0" fillId="0" borderId="15" xfId="1" applyNumberFormat="1" applyFont="1" applyBorder="1"/>
    <xf numFmtId="165" fontId="0" fillId="0" borderId="16" xfId="1" applyNumberFormat="1" applyFont="1" applyBorder="1"/>
    <xf numFmtId="165" fontId="0" fillId="0" borderId="114" xfId="1" applyNumberFormat="1" applyFont="1" applyBorder="1"/>
    <xf numFmtId="165" fontId="0" fillId="0" borderId="239" xfId="1" applyNumberFormat="1" applyFont="1" applyBorder="1"/>
    <xf numFmtId="165" fontId="0" fillId="0" borderId="166" xfId="1" applyNumberFormat="1" applyFont="1" applyBorder="1"/>
    <xf numFmtId="165" fontId="0" fillId="0" borderId="240" xfId="1" applyNumberFormat="1" applyFont="1" applyBorder="1"/>
    <xf numFmtId="165" fontId="2" fillId="0" borderId="113" xfId="1" applyNumberFormat="1" applyFont="1" applyBorder="1"/>
    <xf numFmtId="165" fontId="2" fillId="0" borderId="128" xfId="1" applyNumberFormat="1" applyFont="1" applyBorder="1"/>
    <xf numFmtId="0" fontId="95" fillId="0" borderId="112" xfId="0" applyFont="1" applyBorder="1"/>
    <xf numFmtId="0" fontId="37" fillId="0" borderId="0" xfId="0" applyFont="1" applyAlignment="1">
      <alignment vertical="center" wrapText="1"/>
    </xf>
    <xf numFmtId="0" fontId="38" fillId="14" borderId="144" xfId="0" applyFont="1" applyFill="1" applyBorder="1" applyAlignment="1">
      <alignment horizontal="center" vertical="center" wrapText="1"/>
    </xf>
    <xf numFmtId="0" fontId="98" fillId="35" borderId="0" xfId="0" applyFont="1" applyFill="1" applyAlignment="1">
      <alignment vertical="center"/>
    </xf>
    <xf numFmtId="0" fontId="102" fillId="35" borderId="0" xfId="0" applyFont="1" applyFill="1" applyAlignment="1">
      <alignment vertical="center"/>
    </xf>
    <xf numFmtId="0" fontId="102" fillId="35" borderId="234" xfId="0" applyFont="1" applyFill="1" applyBorder="1" applyAlignment="1">
      <alignment horizontal="center" vertical="center"/>
    </xf>
    <xf numFmtId="10" fontId="51" fillId="0" borderId="138" xfId="0" applyNumberFormat="1" applyFont="1" applyBorder="1"/>
    <xf numFmtId="9" fontId="8" fillId="0" borderId="0" xfId="0" applyNumberFormat="1" applyFont="1"/>
    <xf numFmtId="166" fontId="33" fillId="0" borderId="0" xfId="0" applyNumberFormat="1" applyFont="1"/>
    <xf numFmtId="1" fontId="34" fillId="36" borderId="234" xfId="0" applyNumberFormat="1" applyFont="1" applyFill="1" applyBorder="1" applyAlignment="1">
      <alignment horizontal="center" vertical="center" wrapText="1"/>
    </xf>
    <xf numFmtId="165" fontId="34" fillId="36" borderId="125" xfId="0" applyNumberFormat="1" applyFont="1" applyFill="1" applyBorder="1" applyAlignment="1">
      <alignment horizontal="center" vertical="center"/>
    </xf>
    <xf numFmtId="3" fontId="55" fillId="18" borderId="113" xfId="0" applyNumberFormat="1" applyFont="1" applyFill="1" applyBorder="1" applyAlignment="1">
      <alignment horizontal="center" vertical="center"/>
    </xf>
    <xf numFmtId="0" fontId="25" fillId="0" borderId="138" xfId="0" applyFont="1" applyBorder="1"/>
    <xf numFmtId="0" fontId="24" fillId="0" borderId="138" xfId="0" applyFont="1" applyBorder="1"/>
    <xf numFmtId="0" fontId="20" fillId="0" borderId="138" xfId="0" applyFont="1" applyBorder="1"/>
    <xf numFmtId="0" fontId="48" fillId="0" borderId="139" xfId="0" applyFont="1" applyBorder="1" applyAlignment="1" applyProtection="1">
      <alignment wrapText="1"/>
      <protection locked="0"/>
    </xf>
    <xf numFmtId="3" fontId="0" fillId="0" borderId="0" xfId="2" applyNumberFormat="1" applyFont="1"/>
    <xf numFmtId="0" fontId="10" fillId="0" borderId="0" xfId="0" applyFont="1" applyAlignment="1">
      <alignment horizontal="left" vertical="center"/>
    </xf>
    <xf numFmtId="3" fontId="0" fillId="0" borderId="0" xfId="2" applyNumberFormat="1" applyFont="1" applyBorder="1"/>
    <xf numFmtId="0" fontId="0" fillId="27" borderId="22" xfId="0" applyFill="1" applyBorder="1" applyAlignment="1">
      <alignment vertical="center" wrapText="1"/>
    </xf>
    <xf numFmtId="165" fontId="0" fillId="0" borderId="22" xfId="1" applyNumberFormat="1" applyFont="1" applyFill="1" applyBorder="1"/>
    <xf numFmtId="1" fontId="20" fillId="0" borderId="0" xfId="0" applyNumberFormat="1" applyFont="1" applyAlignment="1">
      <alignment horizontal="center"/>
    </xf>
    <xf numFmtId="165" fontId="0" fillId="0" borderId="50" xfId="1" applyNumberFormat="1" applyFont="1" applyFill="1" applyBorder="1" applyAlignment="1">
      <alignment horizontal="center"/>
    </xf>
    <xf numFmtId="165" fontId="33" fillId="0" borderId="0" xfId="1" applyNumberFormat="1" applyFont="1"/>
    <xf numFmtId="165" fontId="0" fillId="0" borderId="4" xfId="1" applyNumberFormat="1" applyFont="1" applyBorder="1"/>
    <xf numFmtId="165" fontId="0" fillId="0" borderId="162" xfId="1" applyNumberFormat="1" applyFont="1" applyBorder="1"/>
    <xf numFmtId="0" fontId="10" fillId="0" borderId="19" xfId="0" applyFont="1" applyBorder="1" applyAlignment="1">
      <alignment horizontal="left" vertical="center"/>
    </xf>
    <xf numFmtId="0" fontId="0" fillId="0" borderId="0" xfId="0" applyAlignment="1" applyProtection="1">
      <alignment horizontal="center"/>
      <protection locked="0"/>
    </xf>
    <xf numFmtId="165" fontId="0" fillId="0" borderId="0" xfId="1" applyNumberFormat="1" applyFont="1" applyAlignment="1">
      <alignment horizontal="center" vertical="center"/>
    </xf>
    <xf numFmtId="0" fontId="2" fillId="5" borderId="112" xfId="0" applyFont="1" applyFill="1" applyBorder="1" applyAlignment="1">
      <alignment horizontal="left" indent="1"/>
    </xf>
    <xf numFmtId="3" fontId="0" fillId="0" borderId="113" xfId="0" applyNumberFormat="1" applyBorder="1"/>
    <xf numFmtId="3" fontId="0" fillId="0" borderId="128" xfId="0" applyNumberFormat="1" applyBorder="1"/>
    <xf numFmtId="0" fontId="9" fillId="22" borderId="198" xfId="0" applyFont="1" applyFill="1" applyBorder="1" applyAlignment="1">
      <alignment horizontal="center"/>
    </xf>
    <xf numFmtId="43" fontId="0" fillId="0" borderId="0" xfId="2" applyFont="1"/>
    <xf numFmtId="0" fontId="20" fillId="9" borderId="22" xfId="0" quotePrefix="1" applyFont="1" applyFill="1" applyBorder="1" applyAlignment="1">
      <alignment horizontal="center" wrapText="1"/>
    </xf>
    <xf numFmtId="0" fontId="23" fillId="9" borderId="22" xfId="0" quotePrefix="1" applyFont="1" applyFill="1" applyBorder="1" applyAlignment="1">
      <alignment horizontal="center" wrapText="1"/>
    </xf>
    <xf numFmtId="0" fontId="2" fillId="0" borderId="0" xfId="0" applyFont="1" applyAlignment="1">
      <alignment vertical="center" wrapText="1"/>
    </xf>
    <xf numFmtId="0" fontId="44" fillId="0" borderId="242" xfId="0" applyFont="1" applyBorder="1" applyAlignment="1">
      <alignment vertical="center"/>
    </xf>
    <xf numFmtId="0" fontId="44" fillId="0" borderId="189" xfId="0" applyFont="1" applyBorder="1" applyAlignment="1">
      <alignment vertical="center"/>
    </xf>
    <xf numFmtId="0" fontId="44" fillId="0" borderId="232" xfId="0" applyFont="1" applyBorder="1" applyAlignment="1">
      <alignment vertical="center"/>
    </xf>
    <xf numFmtId="0" fontId="33" fillId="0" borderId="154" xfId="0" applyFont="1" applyBorder="1" applyAlignment="1" applyProtection="1">
      <alignment vertical="center"/>
      <protection locked="0"/>
    </xf>
    <xf numFmtId="0" fontId="0" fillId="0" borderId="4" xfId="0" applyBorder="1"/>
    <xf numFmtId="0" fontId="9" fillId="0" borderId="0" xfId="0" applyFont="1" applyAlignment="1">
      <alignment vertical="center" wrapText="1"/>
    </xf>
    <xf numFmtId="0" fontId="44" fillId="0" borderId="230" xfId="0" applyFont="1" applyBorder="1" applyAlignment="1">
      <alignment vertical="center"/>
    </xf>
    <xf numFmtId="0" fontId="33" fillId="0" borderId="174" xfId="0" applyFont="1" applyBorder="1" applyAlignment="1" applyProtection="1">
      <alignment vertical="center"/>
      <protection locked="0"/>
    </xf>
    <xf numFmtId="0" fontId="44" fillId="0" borderId="33" xfId="0" applyFont="1" applyBorder="1" applyAlignment="1">
      <alignment vertical="center"/>
    </xf>
    <xf numFmtId="0" fontId="33" fillId="0" borderId="237" xfId="0" applyFont="1" applyBorder="1" applyAlignment="1" applyProtection="1">
      <alignment vertical="center"/>
      <protection locked="0"/>
    </xf>
    <xf numFmtId="0" fontId="33" fillId="0" borderId="15" xfId="0" applyFont="1" applyBorder="1" applyAlignment="1" applyProtection="1">
      <alignment vertical="center"/>
      <protection locked="0"/>
    </xf>
    <xf numFmtId="0" fontId="33" fillId="0" borderId="114" xfId="0" applyFont="1" applyBorder="1" applyAlignment="1" applyProtection="1">
      <alignment vertical="center"/>
      <protection locked="0"/>
    </xf>
    <xf numFmtId="0" fontId="33" fillId="0" borderId="166" xfId="0" applyFont="1" applyBorder="1" applyAlignment="1" applyProtection="1">
      <alignment vertical="center"/>
      <protection locked="0"/>
    </xf>
    <xf numFmtId="0" fontId="80" fillId="0" borderId="0" xfId="0" applyFont="1" applyAlignment="1">
      <alignment horizontal="left" vertical="top" wrapText="1"/>
    </xf>
    <xf numFmtId="2" fontId="6" fillId="0" borderId="165" xfId="2" applyNumberFormat="1" applyFont="1" applyBorder="1" applyAlignment="1" applyProtection="1">
      <alignment horizontal="center" vertical="center" wrapText="1"/>
      <protection locked="0"/>
    </xf>
    <xf numFmtId="0" fontId="9" fillId="22" borderId="252" xfId="0" applyFont="1" applyFill="1" applyBorder="1" applyAlignment="1">
      <alignment horizontal="center"/>
    </xf>
    <xf numFmtId="2" fontId="6" fillId="0" borderId="216" xfId="2" applyNumberFormat="1" applyFont="1" applyBorder="1" applyAlignment="1" applyProtection="1">
      <alignment horizontal="center" vertical="center" wrapText="1"/>
      <protection locked="0"/>
    </xf>
    <xf numFmtId="2" fontId="6" fillId="0" borderId="73" xfId="2" applyNumberFormat="1" applyFont="1" applyBorder="1" applyAlignment="1" applyProtection="1">
      <alignment horizontal="center" vertical="center" wrapText="1"/>
      <protection locked="0"/>
    </xf>
    <xf numFmtId="2" fontId="6" fillId="0" borderId="72" xfId="2" applyNumberFormat="1" applyFont="1" applyBorder="1" applyAlignment="1" applyProtection="1">
      <alignment horizontal="center" vertical="center" wrapText="1"/>
      <protection locked="0"/>
    </xf>
    <xf numFmtId="2" fontId="6" fillId="0" borderId="48" xfId="2" applyNumberFormat="1" applyFont="1" applyBorder="1" applyAlignment="1" applyProtection="1">
      <alignment horizontal="center" vertical="center" wrapText="1"/>
      <protection locked="0"/>
    </xf>
    <xf numFmtId="2" fontId="6" fillId="0" borderId="123" xfId="2" applyNumberFormat="1" applyFont="1" applyBorder="1" applyAlignment="1" applyProtection="1">
      <alignment horizontal="center" vertical="center" wrapText="1"/>
      <protection locked="0"/>
    </xf>
    <xf numFmtId="2" fontId="6" fillId="0" borderId="62" xfId="2" applyNumberFormat="1" applyFont="1" applyBorder="1" applyAlignment="1" applyProtection="1">
      <alignment horizontal="center" vertical="center" wrapText="1"/>
      <protection locked="0"/>
    </xf>
    <xf numFmtId="2" fontId="6" fillId="0" borderId="53" xfId="2" applyNumberFormat="1" applyFont="1" applyBorder="1" applyAlignment="1" applyProtection="1">
      <alignment horizontal="center" vertical="center" wrapText="1"/>
      <protection locked="0"/>
    </xf>
    <xf numFmtId="2" fontId="4" fillId="15" borderId="178" xfId="1" applyNumberFormat="1" applyFont="1" applyFill="1" applyBorder="1" applyAlignment="1" applyProtection="1">
      <alignment horizontal="center"/>
    </xf>
    <xf numFmtId="2" fontId="4" fillId="15" borderId="168" xfId="1" applyNumberFormat="1" applyFont="1" applyFill="1" applyBorder="1" applyAlignment="1" applyProtection="1">
      <alignment horizontal="center"/>
    </xf>
    <xf numFmtId="2" fontId="4" fillId="15" borderId="169" xfId="1" applyNumberFormat="1" applyFont="1" applyFill="1" applyBorder="1" applyAlignment="1" applyProtection="1">
      <alignment horizontal="center"/>
    </xf>
    <xf numFmtId="2" fontId="6" fillId="15" borderId="26" xfId="1" applyNumberFormat="1" applyFont="1" applyFill="1" applyBorder="1" applyAlignment="1" applyProtection="1">
      <alignment horizontal="center"/>
    </xf>
    <xf numFmtId="2" fontId="6" fillId="15" borderId="24" xfId="1" applyNumberFormat="1" applyFont="1" applyFill="1" applyBorder="1" applyAlignment="1" applyProtection="1">
      <alignment horizontal="center"/>
    </xf>
    <xf numFmtId="2" fontId="6" fillId="15" borderId="184" xfId="1" applyNumberFormat="1" applyFont="1" applyFill="1" applyBorder="1" applyAlignment="1" applyProtection="1">
      <alignment horizontal="center"/>
    </xf>
    <xf numFmtId="2" fontId="6" fillId="15" borderId="31" xfId="1" applyNumberFormat="1" applyFont="1" applyFill="1" applyBorder="1" applyAlignment="1" applyProtection="1">
      <alignment horizontal="center"/>
    </xf>
    <xf numFmtId="2" fontId="6" fillId="15" borderId="30" xfId="1" applyNumberFormat="1" applyFont="1" applyFill="1" applyBorder="1" applyAlignment="1" applyProtection="1">
      <alignment horizontal="center"/>
    </xf>
    <xf numFmtId="2" fontId="6" fillId="15" borderId="185" xfId="1" applyNumberFormat="1" applyFont="1" applyFill="1" applyBorder="1" applyAlignment="1" applyProtection="1">
      <alignment horizontal="center"/>
    </xf>
    <xf numFmtId="2" fontId="6" fillId="15" borderId="178" xfId="1" applyNumberFormat="1" applyFont="1" applyFill="1" applyBorder="1" applyAlignment="1" applyProtection="1">
      <alignment horizontal="center"/>
    </xf>
    <xf numFmtId="2" fontId="6" fillId="15" borderId="168" xfId="1" applyNumberFormat="1" applyFont="1" applyFill="1" applyBorder="1" applyAlignment="1" applyProtection="1">
      <alignment horizontal="center"/>
    </xf>
    <xf numFmtId="2" fontId="6" fillId="15" borderId="169" xfId="1" applyNumberFormat="1" applyFont="1" applyFill="1" applyBorder="1" applyAlignment="1" applyProtection="1">
      <alignment horizontal="center"/>
    </xf>
    <xf numFmtId="2" fontId="6" fillId="15" borderId="88" xfId="1" applyNumberFormat="1" applyFont="1" applyFill="1" applyBorder="1" applyAlignment="1" applyProtection="1">
      <alignment horizontal="center"/>
    </xf>
    <xf numFmtId="2" fontId="6" fillId="15" borderId="50" xfId="1" applyNumberFormat="1" applyFont="1" applyFill="1" applyBorder="1" applyAlignment="1" applyProtection="1">
      <alignment horizontal="center"/>
    </xf>
    <xf numFmtId="2" fontId="6" fillId="15" borderId="52" xfId="1" applyNumberFormat="1" applyFont="1" applyFill="1" applyBorder="1" applyAlignment="1" applyProtection="1">
      <alignment horizontal="center"/>
    </xf>
    <xf numFmtId="2" fontId="6" fillId="15" borderId="89" xfId="1" applyNumberFormat="1" applyFont="1" applyFill="1" applyBorder="1" applyAlignment="1" applyProtection="1">
      <alignment horizontal="center"/>
    </xf>
    <xf numFmtId="2" fontId="6" fillId="15" borderId="55" xfId="1" applyNumberFormat="1" applyFont="1" applyFill="1" applyBorder="1" applyAlignment="1" applyProtection="1">
      <alignment horizontal="center"/>
    </xf>
    <xf numFmtId="2" fontId="6" fillId="15" borderId="57" xfId="1" applyNumberFormat="1" applyFont="1" applyFill="1" applyBorder="1" applyAlignment="1" applyProtection="1">
      <alignment horizontal="center"/>
    </xf>
    <xf numFmtId="2" fontId="6" fillId="15" borderId="181" xfId="1" applyNumberFormat="1" applyFont="1" applyFill="1" applyBorder="1" applyAlignment="1" applyProtection="1">
      <alignment horizontal="center"/>
    </xf>
    <xf numFmtId="2" fontId="6" fillId="15" borderId="182" xfId="1" applyNumberFormat="1" applyFont="1" applyFill="1" applyBorder="1" applyAlignment="1" applyProtection="1">
      <alignment horizontal="center"/>
    </xf>
    <xf numFmtId="2" fontId="6" fillId="15" borderId="183" xfId="1" applyNumberFormat="1" applyFont="1" applyFill="1" applyBorder="1" applyAlignment="1" applyProtection="1">
      <alignment horizontal="center"/>
    </xf>
    <xf numFmtId="2" fontId="6" fillId="15" borderId="25" xfId="1" applyNumberFormat="1" applyFont="1" applyFill="1" applyBorder="1" applyAlignment="1" applyProtection="1">
      <alignment horizontal="center"/>
    </xf>
    <xf numFmtId="2" fontId="6" fillId="15" borderId="23" xfId="1" applyNumberFormat="1" applyFont="1" applyFill="1" applyBorder="1" applyAlignment="1" applyProtection="1">
      <alignment horizontal="center"/>
    </xf>
    <xf numFmtId="2" fontId="6" fillId="15" borderId="186" xfId="1" applyNumberFormat="1" applyFont="1" applyFill="1" applyBorder="1" applyAlignment="1" applyProtection="1">
      <alignment horizontal="center"/>
    </xf>
    <xf numFmtId="2" fontId="6" fillId="15" borderId="187" xfId="1" applyNumberFormat="1" applyFont="1" applyFill="1" applyBorder="1" applyAlignment="1" applyProtection="1">
      <alignment horizontal="center" vertical="center"/>
    </xf>
    <xf numFmtId="2" fontId="6" fillId="15" borderId="160" xfId="1" applyNumberFormat="1" applyFont="1" applyFill="1" applyBorder="1" applyAlignment="1" applyProtection="1">
      <alignment horizontal="center" vertical="center"/>
    </xf>
    <xf numFmtId="2" fontId="6" fillId="15" borderId="161" xfId="1" applyNumberFormat="1" applyFont="1" applyFill="1" applyBorder="1" applyAlignment="1" applyProtection="1">
      <alignment horizontal="center" vertical="center"/>
    </xf>
    <xf numFmtId="2" fontId="4" fillId="15" borderId="89" xfId="1" applyNumberFormat="1" applyFont="1" applyFill="1" applyBorder="1" applyAlignment="1" applyProtection="1">
      <alignment horizontal="center"/>
    </xf>
    <xf numFmtId="2" fontId="4" fillId="15" borderId="55" xfId="1" applyNumberFormat="1" applyFont="1" applyFill="1" applyBorder="1" applyAlignment="1" applyProtection="1">
      <alignment horizontal="center"/>
    </xf>
    <xf numFmtId="2" fontId="4" fillId="15" borderId="57" xfId="1" applyNumberFormat="1" applyFont="1" applyFill="1" applyBorder="1" applyAlignment="1" applyProtection="1">
      <alignment horizontal="center"/>
    </xf>
    <xf numFmtId="2" fontId="4" fillId="15" borderId="88" xfId="1" applyNumberFormat="1" applyFont="1" applyFill="1" applyBorder="1" applyAlignment="1" applyProtection="1">
      <alignment horizontal="center"/>
    </xf>
    <xf numFmtId="2" fontId="4" fillId="15" borderId="50" xfId="1" applyNumberFormat="1" applyFont="1" applyFill="1" applyBorder="1" applyAlignment="1" applyProtection="1">
      <alignment horizontal="center"/>
    </xf>
    <xf numFmtId="2" fontId="4" fillId="15" borderId="52" xfId="1" applyNumberFormat="1" applyFont="1" applyFill="1" applyBorder="1" applyAlignment="1" applyProtection="1">
      <alignment horizontal="center"/>
    </xf>
    <xf numFmtId="2" fontId="4" fillId="15" borderId="26" xfId="1" applyNumberFormat="1" applyFont="1" applyFill="1" applyBorder="1" applyAlignment="1" applyProtection="1">
      <alignment horizontal="center"/>
    </xf>
    <xf numFmtId="2" fontId="4" fillId="15" borderId="24" xfId="1" applyNumberFormat="1" applyFont="1" applyFill="1" applyBorder="1" applyAlignment="1" applyProtection="1">
      <alignment horizontal="center"/>
    </xf>
    <xf numFmtId="2" fontId="4" fillId="15" borderId="184" xfId="1" applyNumberFormat="1" applyFont="1" applyFill="1" applyBorder="1" applyAlignment="1" applyProtection="1">
      <alignment horizontal="center"/>
    </xf>
    <xf numFmtId="2" fontId="4" fillId="15" borderId="31" xfId="1" applyNumberFormat="1" applyFont="1" applyFill="1" applyBorder="1" applyAlignment="1" applyProtection="1">
      <alignment horizontal="center"/>
    </xf>
    <xf numFmtId="2" fontId="4" fillId="15" borderId="30" xfId="1" applyNumberFormat="1" applyFont="1" applyFill="1" applyBorder="1" applyAlignment="1" applyProtection="1">
      <alignment horizontal="center"/>
    </xf>
    <xf numFmtId="2" fontId="4" fillId="15" borderId="185" xfId="1" applyNumberFormat="1" applyFont="1" applyFill="1" applyBorder="1" applyAlignment="1" applyProtection="1">
      <alignment horizontal="center"/>
    </xf>
    <xf numFmtId="2" fontId="4" fillId="15" borderId="181" xfId="1" applyNumberFormat="1" applyFont="1" applyFill="1" applyBorder="1" applyAlignment="1" applyProtection="1">
      <alignment horizontal="center"/>
    </xf>
    <xf numFmtId="2" fontId="4" fillId="15" borderId="182" xfId="1" applyNumberFormat="1" applyFont="1" applyFill="1" applyBorder="1" applyAlignment="1" applyProtection="1">
      <alignment horizontal="center"/>
    </xf>
    <xf numFmtId="2" fontId="4" fillId="15" borderId="183" xfId="1" applyNumberFormat="1" applyFont="1" applyFill="1" applyBorder="1" applyAlignment="1" applyProtection="1">
      <alignment horizontal="center"/>
    </xf>
    <xf numFmtId="2" fontId="4" fillId="15" borderId="25" xfId="1" applyNumberFormat="1" applyFont="1" applyFill="1" applyBorder="1" applyAlignment="1" applyProtection="1">
      <alignment horizontal="center"/>
    </xf>
    <xf numFmtId="2" fontId="4" fillId="15" borderId="23" xfId="1" applyNumberFormat="1" applyFont="1" applyFill="1" applyBorder="1" applyAlignment="1" applyProtection="1">
      <alignment horizontal="center"/>
    </xf>
    <xf numFmtId="2" fontId="4" fillId="15" borderId="186" xfId="1" applyNumberFormat="1" applyFont="1" applyFill="1" applyBorder="1" applyAlignment="1" applyProtection="1">
      <alignment horizontal="center"/>
    </xf>
    <xf numFmtId="2" fontId="4" fillId="15" borderId="187" xfId="1" applyNumberFormat="1" applyFont="1" applyFill="1" applyBorder="1" applyAlignment="1" applyProtection="1">
      <alignment horizontal="center" vertical="center"/>
    </xf>
    <xf numFmtId="2" fontId="4" fillId="15" borderId="160" xfId="1" applyNumberFormat="1" applyFont="1" applyFill="1" applyBorder="1" applyAlignment="1" applyProtection="1">
      <alignment horizontal="center" vertical="center"/>
    </xf>
    <xf numFmtId="2" fontId="4" fillId="15" borderId="161" xfId="1" applyNumberFormat="1" applyFont="1" applyFill="1" applyBorder="1" applyAlignment="1" applyProtection="1">
      <alignment horizontal="center" vertical="center"/>
    </xf>
    <xf numFmtId="0" fontId="38" fillId="0" borderId="22" xfId="0" applyFont="1" applyBorder="1"/>
    <xf numFmtId="0" fontId="33" fillId="0" borderId="0" xfId="0" applyFont="1" applyAlignment="1">
      <alignment vertical="top"/>
    </xf>
    <xf numFmtId="0" fontId="103" fillId="0" borderId="0" xfId="0" applyFont="1" applyAlignment="1">
      <alignment horizontal="center" vertical="center" wrapText="1"/>
    </xf>
    <xf numFmtId="0" fontId="105" fillId="0" borderId="0" xfId="0" applyFont="1" applyAlignment="1">
      <alignment vertical="center"/>
    </xf>
    <xf numFmtId="0" fontId="95" fillId="0" borderId="0" xfId="0" applyFont="1"/>
    <xf numFmtId="165" fontId="0" fillId="0" borderId="153" xfId="1" applyNumberFormat="1" applyFont="1" applyFill="1" applyBorder="1" applyAlignment="1">
      <alignment horizontal="center" vertical="center"/>
    </xf>
    <xf numFmtId="0" fontId="48" fillId="22" borderId="153" xfId="0" applyFont="1" applyFill="1" applyBorder="1" applyAlignment="1">
      <alignment horizontal="center" vertical="center"/>
    </xf>
    <xf numFmtId="0" fontId="17" fillId="21" borderId="82" xfId="0" applyFont="1" applyFill="1" applyBorder="1" applyAlignment="1">
      <alignment horizontal="center" vertical="center" wrapText="1"/>
    </xf>
    <xf numFmtId="0" fontId="17" fillId="21" borderId="20" xfId="0" applyFont="1" applyFill="1" applyBorder="1" applyAlignment="1">
      <alignment horizontal="center" vertical="center" wrapText="1"/>
    </xf>
    <xf numFmtId="0" fontId="48" fillId="21" borderId="165" xfId="0" applyFont="1" applyFill="1" applyBorder="1" applyAlignment="1" applyProtection="1">
      <alignment wrapText="1"/>
      <protection locked="0"/>
    </xf>
    <xf numFmtId="0" fontId="6" fillId="21" borderId="165" xfId="0" applyFont="1" applyFill="1" applyBorder="1" applyAlignment="1">
      <alignment horizontal="center" vertical="center" wrapText="1"/>
    </xf>
    <xf numFmtId="9" fontId="6" fillId="21" borderId="165" xfId="1" applyFont="1" applyFill="1" applyBorder="1" applyAlignment="1" applyProtection="1">
      <alignment horizontal="center" vertical="center" wrapText="1"/>
      <protection locked="0"/>
    </xf>
    <xf numFmtId="9" fontId="6" fillId="21" borderId="216" xfId="1" applyFont="1" applyFill="1" applyBorder="1" applyAlignment="1" applyProtection="1">
      <alignment horizontal="center" vertical="center" wrapText="1"/>
      <protection locked="0"/>
    </xf>
    <xf numFmtId="0" fontId="48" fillId="21" borderId="73" xfId="0" applyFont="1" applyFill="1" applyBorder="1" applyAlignment="1" applyProtection="1">
      <alignment wrapText="1"/>
      <protection locked="0"/>
    </xf>
    <xf numFmtId="0" fontId="6" fillId="21" borderId="73" xfId="0" applyFont="1" applyFill="1" applyBorder="1" applyAlignment="1">
      <alignment horizontal="center" vertical="center" wrapText="1"/>
    </xf>
    <xf numFmtId="9" fontId="6" fillId="21" borderId="73" xfId="1" applyFont="1" applyFill="1" applyBorder="1" applyAlignment="1" applyProtection="1">
      <alignment horizontal="center" vertical="center" wrapText="1"/>
      <protection locked="0"/>
    </xf>
    <xf numFmtId="9" fontId="6" fillId="21" borderId="48" xfId="1" applyFont="1" applyFill="1" applyBorder="1" applyAlignment="1" applyProtection="1">
      <alignment horizontal="center" vertical="center" wrapText="1"/>
      <protection locked="0"/>
    </xf>
    <xf numFmtId="0" fontId="48" fillId="21" borderId="72" xfId="0" applyFont="1" applyFill="1" applyBorder="1" applyAlignment="1" applyProtection="1">
      <alignment wrapText="1"/>
      <protection locked="0"/>
    </xf>
    <xf numFmtId="0" fontId="6" fillId="21" borderId="72" xfId="0" applyFont="1" applyFill="1" applyBorder="1" applyAlignment="1">
      <alignment horizontal="center" vertical="center" wrapText="1"/>
    </xf>
    <xf numFmtId="9" fontId="6" fillId="21" borderId="72" xfId="1" applyFont="1" applyFill="1" applyBorder="1" applyAlignment="1" applyProtection="1">
      <alignment horizontal="center" vertical="center" wrapText="1"/>
      <protection locked="0"/>
    </xf>
    <xf numFmtId="9" fontId="6" fillId="21" borderId="53" xfId="1" applyFont="1" applyFill="1" applyBorder="1" applyAlignment="1" applyProtection="1">
      <alignment horizontal="center" vertical="center" wrapText="1"/>
      <protection locked="0"/>
    </xf>
    <xf numFmtId="0" fontId="6" fillId="21" borderId="73" xfId="0" applyFont="1" applyFill="1" applyBorder="1" applyAlignment="1">
      <alignment horizontal="center" vertical="center"/>
    </xf>
    <xf numFmtId="0" fontId="48" fillId="21" borderId="123" xfId="0" applyFont="1" applyFill="1" applyBorder="1" applyAlignment="1" applyProtection="1">
      <alignment vertical="center" wrapText="1"/>
      <protection locked="0"/>
    </xf>
    <xf numFmtId="0" fontId="6" fillId="21" borderId="123" xfId="0" applyFont="1" applyFill="1" applyBorder="1" applyAlignment="1">
      <alignment horizontal="center" vertical="center" wrapText="1"/>
    </xf>
    <xf numFmtId="9" fontId="6" fillId="21" borderId="123" xfId="1" applyFont="1" applyFill="1" applyBorder="1" applyAlignment="1" applyProtection="1">
      <alignment horizontal="center" vertical="center" wrapText="1"/>
      <protection locked="0"/>
    </xf>
    <xf numFmtId="9" fontId="6" fillId="21" borderId="62" xfId="1" applyFont="1" applyFill="1" applyBorder="1" applyAlignment="1" applyProtection="1">
      <alignment horizontal="center" vertical="center" wrapText="1"/>
      <protection locked="0"/>
    </xf>
    <xf numFmtId="0" fontId="18" fillId="9" borderId="156" xfId="0" applyFont="1" applyFill="1" applyBorder="1" applyAlignment="1">
      <alignment horizontal="left" vertical="center"/>
    </xf>
    <xf numFmtId="0" fontId="17" fillId="9" borderId="15" xfId="0" applyFont="1" applyFill="1" applyBorder="1" applyAlignment="1">
      <alignment vertical="center"/>
    </xf>
    <xf numFmtId="0" fontId="17" fillId="9" borderId="16" xfId="0" applyFont="1" applyFill="1" applyBorder="1" applyAlignment="1">
      <alignment vertical="center"/>
    </xf>
    <xf numFmtId="0" fontId="8" fillId="0" borderId="0" xfId="0" applyFont="1" applyAlignment="1">
      <alignment horizontal="left" vertical="center" wrapText="1"/>
    </xf>
    <xf numFmtId="0" fontId="8" fillId="0" borderId="0" xfId="0" applyFont="1" applyAlignment="1">
      <alignment horizontal="left" vertical="center"/>
    </xf>
    <xf numFmtId="0" fontId="38" fillId="0" borderId="0" xfId="0" applyFont="1" applyAlignment="1">
      <alignment horizontal="left" vertical="center"/>
    </xf>
    <xf numFmtId="0" fontId="0" fillId="0" borderId="22" xfId="0" applyBorder="1" applyAlignment="1">
      <alignment horizontal="left" vertical="center" wrapText="1"/>
    </xf>
    <xf numFmtId="0" fontId="0" fillId="0" borderId="22" xfId="0" applyBorder="1" applyAlignment="1">
      <alignment horizontal="left" vertical="center"/>
    </xf>
    <xf numFmtId="0" fontId="17" fillId="9" borderId="0" xfId="0" applyFont="1" applyFill="1" applyAlignment="1">
      <alignment vertical="center"/>
    </xf>
    <xf numFmtId="9" fontId="0" fillId="0" borderId="153" xfId="1" applyFont="1" applyFill="1" applyBorder="1" applyAlignment="1">
      <alignment horizontal="center" vertical="center"/>
    </xf>
    <xf numFmtId="9" fontId="0" fillId="0" borderId="0" xfId="1" applyFont="1" applyFill="1" applyAlignment="1">
      <alignment horizontal="center" vertical="center"/>
    </xf>
    <xf numFmtId="9" fontId="0" fillId="0" borderId="0" xfId="1" applyFont="1" applyFill="1"/>
    <xf numFmtId="9" fontId="0" fillId="0" borderId="0" xfId="1" applyFont="1" applyFill="1" applyAlignment="1">
      <alignment wrapText="1"/>
    </xf>
    <xf numFmtId="43" fontId="4" fillId="15" borderId="178" xfId="2" applyFont="1" applyFill="1" applyBorder="1" applyAlignment="1" applyProtection="1">
      <alignment horizontal="center"/>
    </xf>
    <xf numFmtId="43" fontId="4" fillId="15" borderId="168" xfId="2" applyFont="1" applyFill="1" applyBorder="1" applyAlignment="1" applyProtection="1">
      <alignment horizontal="center"/>
    </xf>
    <xf numFmtId="43" fontId="4" fillId="15" borderId="169" xfId="2" applyFont="1" applyFill="1" applyBorder="1" applyAlignment="1" applyProtection="1">
      <alignment horizontal="center"/>
    </xf>
    <xf numFmtId="43" fontId="4" fillId="15" borderId="89" xfId="2" applyFont="1" applyFill="1" applyBorder="1" applyAlignment="1" applyProtection="1">
      <alignment horizontal="center"/>
    </xf>
    <xf numFmtId="43" fontId="4" fillId="15" borderId="55" xfId="2" applyFont="1" applyFill="1" applyBorder="1" applyAlignment="1" applyProtection="1">
      <alignment horizontal="center"/>
    </xf>
    <xf numFmtId="43" fontId="4" fillId="15" borderId="57" xfId="2" applyFont="1" applyFill="1" applyBorder="1" applyAlignment="1" applyProtection="1">
      <alignment horizontal="center"/>
    </xf>
    <xf numFmtId="43" fontId="4" fillId="15" borderId="88" xfId="2" applyFont="1" applyFill="1" applyBorder="1" applyAlignment="1" applyProtection="1">
      <alignment horizontal="center"/>
    </xf>
    <xf numFmtId="43" fontId="4" fillId="15" borderId="50" xfId="2" applyFont="1" applyFill="1" applyBorder="1" applyAlignment="1" applyProtection="1">
      <alignment horizontal="center"/>
    </xf>
    <xf numFmtId="43" fontId="4" fillId="15" borderId="52" xfId="2" applyFont="1" applyFill="1" applyBorder="1" applyAlignment="1" applyProtection="1">
      <alignment horizontal="center"/>
    </xf>
    <xf numFmtId="43" fontId="4" fillId="0" borderId="141" xfId="2" applyFont="1" applyBorder="1" applyProtection="1"/>
    <xf numFmtId="43" fontId="4" fillId="0" borderId="22" xfId="2" applyFont="1" applyBorder="1" applyProtection="1"/>
    <xf numFmtId="43" fontId="4" fillId="0" borderId="167" xfId="2" applyFont="1" applyBorder="1" applyProtection="1"/>
    <xf numFmtId="43" fontId="32" fillId="9" borderId="17" xfId="2" applyFont="1" applyFill="1" applyBorder="1" applyAlignment="1" applyProtection="1">
      <alignment horizontal="center"/>
    </xf>
    <xf numFmtId="43" fontId="32" fillId="9" borderId="22" xfId="2" applyFont="1" applyFill="1" applyBorder="1" applyAlignment="1" applyProtection="1">
      <alignment horizontal="center"/>
    </xf>
    <xf numFmtId="43" fontId="32" fillId="9" borderId="167" xfId="2" applyFont="1" applyFill="1" applyBorder="1" applyAlignment="1" applyProtection="1">
      <alignment horizontal="center"/>
    </xf>
    <xf numFmtId="43" fontId="4" fillId="15" borderId="26" xfId="2" applyFont="1" applyFill="1" applyBorder="1" applyAlignment="1" applyProtection="1">
      <alignment horizontal="center"/>
    </xf>
    <xf numFmtId="43" fontId="4" fillId="15" borderId="24" xfId="2" applyFont="1" applyFill="1" applyBorder="1" applyAlignment="1" applyProtection="1">
      <alignment horizontal="center"/>
    </xf>
    <xf numFmtId="43" fontId="4" fillId="15" borderId="184" xfId="2" applyFont="1" applyFill="1" applyBorder="1" applyAlignment="1" applyProtection="1">
      <alignment horizontal="center"/>
    </xf>
    <xf numFmtId="43" fontId="4" fillId="15" borderId="31" xfId="2" applyFont="1" applyFill="1" applyBorder="1" applyAlignment="1" applyProtection="1">
      <alignment horizontal="center"/>
    </xf>
    <xf numFmtId="43" fontId="4" fillId="15" borderId="30" xfId="2" applyFont="1" applyFill="1" applyBorder="1" applyAlignment="1" applyProtection="1">
      <alignment horizontal="center"/>
    </xf>
    <xf numFmtId="43" fontId="4" fillId="15" borderId="185" xfId="2" applyFont="1" applyFill="1" applyBorder="1" applyAlignment="1" applyProtection="1">
      <alignment horizontal="center"/>
    </xf>
    <xf numFmtId="43" fontId="4" fillId="15" borderId="181" xfId="2" applyFont="1" applyFill="1" applyBorder="1" applyAlignment="1" applyProtection="1">
      <alignment horizontal="center"/>
    </xf>
    <xf numFmtId="43" fontId="4" fillId="15" borderId="182" xfId="2" applyFont="1" applyFill="1" applyBorder="1" applyAlignment="1" applyProtection="1">
      <alignment horizontal="center"/>
    </xf>
    <xf numFmtId="43" fontId="4" fillId="15" borderId="183" xfId="2" applyFont="1" applyFill="1" applyBorder="1" applyAlignment="1" applyProtection="1">
      <alignment horizontal="center"/>
    </xf>
    <xf numFmtId="43" fontId="4" fillId="15" borderId="25" xfId="2" applyFont="1" applyFill="1" applyBorder="1" applyAlignment="1" applyProtection="1">
      <alignment horizontal="center"/>
    </xf>
    <xf numFmtId="43" fontId="4" fillId="15" borderId="23" xfId="2" applyFont="1" applyFill="1" applyBorder="1" applyAlignment="1" applyProtection="1">
      <alignment horizontal="center"/>
    </xf>
    <xf numFmtId="43" fontId="4" fillId="15" borderId="186" xfId="2" applyFont="1" applyFill="1" applyBorder="1" applyAlignment="1" applyProtection="1">
      <alignment horizontal="center"/>
    </xf>
    <xf numFmtId="43" fontId="4" fillId="15" borderId="187" xfId="2" applyFont="1" applyFill="1" applyBorder="1" applyAlignment="1" applyProtection="1">
      <alignment horizontal="center" vertical="center"/>
    </xf>
    <xf numFmtId="43" fontId="4" fillId="15" borderId="160" xfId="2" applyFont="1" applyFill="1" applyBorder="1" applyAlignment="1" applyProtection="1">
      <alignment horizontal="center" vertical="center"/>
    </xf>
    <xf numFmtId="43" fontId="4" fillId="15" borderId="161" xfId="2" applyFont="1" applyFill="1" applyBorder="1" applyAlignment="1" applyProtection="1">
      <alignment horizontal="center" vertical="center"/>
    </xf>
    <xf numFmtId="0" fontId="74" fillId="15" borderId="129" xfId="0" applyFont="1" applyFill="1" applyBorder="1" applyAlignment="1">
      <alignment horizontal="center" vertical="center" wrapText="1"/>
    </xf>
    <xf numFmtId="0" fontId="20" fillId="9" borderId="4" xfId="0" applyFont="1" applyFill="1" applyBorder="1" applyAlignment="1">
      <alignment horizontal="center"/>
    </xf>
    <xf numFmtId="0" fontId="23" fillId="9" borderId="4" xfId="0" applyFont="1" applyFill="1" applyBorder="1" applyAlignment="1">
      <alignment horizontal="center"/>
    </xf>
    <xf numFmtId="3" fontId="20" fillId="9" borderId="0" xfId="0" applyNumberFormat="1" applyFont="1" applyFill="1" applyAlignment="1">
      <alignment horizontal="center"/>
    </xf>
    <xf numFmtId="3" fontId="23" fillId="9" borderId="0" xfId="0" applyNumberFormat="1" applyFont="1" applyFill="1" applyAlignment="1">
      <alignment horizontal="center"/>
    </xf>
    <xf numFmtId="0" fontId="11" fillId="0" borderId="119" xfId="0" applyFont="1" applyBorder="1" applyProtection="1">
      <protection locked="0"/>
    </xf>
    <xf numFmtId="0" fontId="10" fillId="0" borderId="164" xfId="0" applyFont="1" applyBorder="1" applyAlignment="1">
      <alignment horizontal="center" vertical="center"/>
    </xf>
    <xf numFmtId="3" fontId="0" fillId="22" borderId="168" xfId="0" applyNumberFormat="1" applyFill="1" applyBorder="1" applyProtection="1">
      <protection locked="0"/>
    </xf>
    <xf numFmtId="3" fontId="0" fillId="22" borderId="55" xfId="0" applyNumberFormat="1" applyFill="1" applyBorder="1" applyProtection="1">
      <protection locked="0"/>
    </xf>
    <xf numFmtId="3" fontId="0" fillId="22" borderId="50" xfId="0" applyNumberFormat="1" applyFill="1" applyBorder="1" applyProtection="1">
      <protection locked="0"/>
    </xf>
    <xf numFmtId="3" fontId="0" fillId="15" borderId="82" xfId="0" applyNumberFormat="1" applyFill="1" applyBorder="1"/>
    <xf numFmtId="3" fontId="0" fillId="15" borderId="12" xfId="0" applyNumberFormat="1" applyFill="1" applyBorder="1"/>
    <xf numFmtId="0" fontId="106" fillId="0" borderId="0" xfId="4"/>
    <xf numFmtId="0" fontId="0" fillId="0" borderId="0" xfId="0" quotePrefix="1"/>
    <xf numFmtId="49" fontId="0" fillId="0" borderId="0" xfId="0" quotePrefix="1" applyNumberFormat="1"/>
    <xf numFmtId="0" fontId="10" fillId="0" borderId="163" xfId="0" applyFont="1" applyBorder="1" applyAlignment="1">
      <alignment horizontal="center" vertical="center" wrapText="1"/>
    </xf>
    <xf numFmtId="0" fontId="2" fillId="32" borderId="253" xfId="0" applyFont="1" applyFill="1" applyBorder="1"/>
    <xf numFmtId="0" fontId="2" fillId="32" borderId="253" xfId="0" applyFont="1" applyFill="1" applyBorder="1" applyAlignment="1">
      <alignment wrapText="1"/>
    </xf>
    <xf numFmtId="0" fontId="0" fillId="0" borderId="254" xfId="0" applyBorder="1"/>
    <xf numFmtId="165" fontId="0" fillId="0" borderId="254" xfId="1" applyNumberFormat="1" applyFont="1" applyFill="1" applyBorder="1" applyAlignment="1">
      <alignment horizontal="center" vertical="center"/>
    </xf>
    <xf numFmtId="0" fontId="33" fillId="0" borderId="114" xfId="0" applyFont="1" applyBorder="1"/>
    <xf numFmtId="49" fontId="10" fillId="0" borderId="171" xfId="0" applyNumberFormat="1" applyFont="1" applyBorder="1" applyAlignment="1">
      <alignment horizontal="center" vertical="center"/>
    </xf>
    <xf numFmtId="170" fontId="10" fillId="0" borderId="153" xfId="0" applyNumberFormat="1" applyFont="1" applyBorder="1" applyAlignment="1">
      <alignment horizontal="center" vertical="center"/>
    </xf>
    <xf numFmtId="170" fontId="10" fillId="0" borderId="147" xfId="0" applyNumberFormat="1" applyFont="1" applyBorder="1" applyAlignment="1">
      <alignment horizontal="center" vertical="center"/>
    </xf>
    <xf numFmtId="170" fontId="10" fillId="0" borderId="154" xfId="0" applyNumberFormat="1" applyFont="1" applyBorder="1" applyAlignment="1">
      <alignment horizontal="center" vertical="center"/>
    </xf>
    <xf numFmtId="1" fontId="109" fillId="0" borderId="172" xfId="0" applyNumberFormat="1" applyFont="1" applyBorder="1" applyAlignment="1">
      <alignment horizontal="center" vertical="center"/>
    </xf>
    <xf numFmtId="1" fontId="109" fillId="0" borderId="160" xfId="0" applyNumberFormat="1" applyFont="1" applyBorder="1" applyAlignment="1">
      <alignment horizontal="center" vertical="center"/>
    </xf>
    <xf numFmtId="1" fontId="109" fillId="0" borderId="161" xfId="0" applyNumberFormat="1" applyFont="1" applyBorder="1" applyAlignment="1">
      <alignment horizontal="center" vertical="center"/>
    </xf>
    <xf numFmtId="1" fontId="109" fillId="0" borderId="237" xfId="0" applyNumberFormat="1" applyFont="1" applyBorder="1" applyAlignment="1">
      <alignment horizontal="center" vertical="center"/>
    </xf>
    <xf numFmtId="9" fontId="2" fillId="22" borderId="33" xfId="0" applyNumberFormat="1" applyFont="1" applyFill="1" applyBorder="1" applyAlignment="1" applyProtection="1">
      <alignment horizontal="center" vertical="center"/>
      <protection locked="0"/>
    </xf>
    <xf numFmtId="9" fontId="2" fillId="22" borderId="34" xfId="0" applyNumberFormat="1" applyFont="1" applyFill="1" applyBorder="1" applyAlignment="1" applyProtection="1">
      <alignment horizontal="center" vertical="center"/>
      <protection locked="0"/>
    </xf>
    <xf numFmtId="9" fontId="2" fillId="22" borderId="35" xfId="0" applyNumberFormat="1" applyFont="1" applyFill="1" applyBorder="1" applyAlignment="1" applyProtection="1">
      <alignment horizontal="center" vertical="center"/>
      <protection locked="0"/>
    </xf>
    <xf numFmtId="0" fontId="110" fillId="0" borderId="138" xfId="0" applyFont="1" applyBorder="1"/>
    <xf numFmtId="0" fontId="24" fillId="9" borderId="19" xfId="0" applyFont="1" applyFill="1" applyBorder="1"/>
    <xf numFmtId="0" fontId="24" fillId="9" borderId="82" xfId="0" applyFont="1" applyFill="1" applyBorder="1"/>
    <xf numFmtId="0" fontId="74" fillId="15" borderId="18" xfId="0" applyFont="1" applyFill="1" applyBorder="1" applyAlignment="1">
      <alignment horizontal="center" vertical="center" wrapText="1"/>
    </xf>
    <xf numFmtId="0" fontId="74" fillId="15" borderId="174" xfId="0" applyFont="1" applyFill="1" applyBorder="1" applyAlignment="1">
      <alignment horizontal="center" vertical="center" wrapText="1"/>
    </xf>
    <xf numFmtId="0" fontId="111" fillId="13" borderId="129" xfId="0" applyFont="1" applyFill="1" applyBorder="1" applyAlignment="1">
      <alignment horizontal="center" vertical="center" wrapText="1"/>
    </xf>
    <xf numFmtId="0" fontId="111" fillId="13" borderId="18" xfId="0" applyFont="1" applyFill="1" applyBorder="1" applyAlignment="1">
      <alignment horizontal="center" vertical="center" wrapText="1"/>
    </xf>
    <xf numFmtId="0" fontId="111" fillId="13" borderId="174" xfId="0" applyFont="1" applyFill="1" applyBorder="1" applyAlignment="1">
      <alignment horizontal="center" vertical="center" wrapText="1"/>
    </xf>
    <xf numFmtId="0" fontId="111" fillId="13" borderId="148" xfId="0" applyFont="1" applyFill="1" applyBorder="1" applyAlignment="1">
      <alignment horizontal="center" vertical="center" wrapText="1"/>
    </xf>
    <xf numFmtId="49" fontId="10" fillId="15" borderId="172" xfId="0" applyNumberFormat="1" applyFont="1" applyFill="1" applyBorder="1" applyAlignment="1">
      <alignment horizontal="center" vertical="center" wrapText="1"/>
    </xf>
    <xf numFmtId="0" fontId="10" fillId="15" borderId="160" xfId="0" applyFont="1" applyFill="1" applyBorder="1" applyAlignment="1">
      <alignment horizontal="center" vertical="center" wrapText="1"/>
    </xf>
    <xf numFmtId="0" fontId="10" fillId="15" borderId="237" xfId="0" applyFont="1" applyFill="1" applyBorder="1" applyAlignment="1">
      <alignment horizontal="center" vertical="center" wrapText="1"/>
    </xf>
    <xf numFmtId="0" fontId="111" fillId="13" borderId="172" xfId="0" applyFont="1" applyFill="1" applyBorder="1" applyAlignment="1">
      <alignment horizontal="center" vertical="center" wrapText="1"/>
    </xf>
    <xf numFmtId="0" fontId="111" fillId="13" borderId="160" xfId="0" applyFont="1" applyFill="1" applyBorder="1" applyAlignment="1">
      <alignment horizontal="center" vertical="center" wrapText="1"/>
    </xf>
    <xf numFmtId="0" fontId="111" fillId="13" borderId="161" xfId="0" applyFont="1" applyFill="1" applyBorder="1" applyAlignment="1">
      <alignment horizontal="center" vertical="center" wrapText="1"/>
    </xf>
    <xf numFmtId="0" fontId="10" fillId="15" borderId="0" xfId="0" applyFont="1" applyFill="1" applyAlignment="1">
      <alignment horizontal="center" vertical="center" wrapText="1"/>
    </xf>
    <xf numFmtId="0" fontId="10" fillId="15" borderId="84" xfId="0" applyFont="1" applyFill="1" applyBorder="1" applyAlignment="1">
      <alignment horizontal="center" vertical="center" wrapText="1"/>
    </xf>
    <xf numFmtId="0" fontId="10" fillId="15" borderId="32" xfId="0" applyFont="1" applyFill="1" applyBorder="1" applyAlignment="1">
      <alignment horizontal="center" vertical="center" wrapText="1"/>
    </xf>
    <xf numFmtId="0" fontId="20" fillId="9" borderId="84" xfId="0" applyFont="1" applyFill="1" applyBorder="1" applyAlignment="1">
      <alignment horizontal="center"/>
    </xf>
    <xf numFmtId="0" fontId="23" fillId="9" borderId="32" xfId="0" applyFont="1" applyFill="1" applyBorder="1" applyAlignment="1">
      <alignment horizontal="center"/>
    </xf>
    <xf numFmtId="3" fontId="0" fillId="22" borderId="255" xfId="0" applyNumberFormat="1" applyFill="1" applyBorder="1" applyAlignment="1" applyProtection="1">
      <alignment horizontal="center"/>
      <protection locked="0"/>
    </xf>
    <xf numFmtId="3" fontId="0" fillId="35" borderId="135" xfId="0" applyNumberFormat="1" applyFill="1" applyBorder="1" applyAlignment="1" applyProtection="1">
      <alignment horizontal="center"/>
      <protection locked="0"/>
    </xf>
    <xf numFmtId="3" fontId="0" fillId="35" borderId="120" xfId="0" applyNumberFormat="1" applyFill="1" applyBorder="1" applyAlignment="1" applyProtection="1">
      <alignment horizontal="center"/>
      <protection locked="0"/>
    </xf>
    <xf numFmtId="3" fontId="0" fillId="35" borderId="136" xfId="0" applyNumberFormat="1" applyFill="1" applyBorder="1" applyAlignment="1" applyProtection="1">
      <alignment horizontal="center"/>
      <protection locked="0"/>
    </xf>
    <xf numFmtId="3" fontId="0" fillId="22" borderId="56" xfId="0" applyNumberFormat="1" applyFill="1" applyBorder="1" applyAlignment="1" applyProtection="1">
      <alignment horizontal="center"/>
      <protection locked="0"/>
    </xf>
    <xf numFmtId="3" fontId="0" fillId="35" borderId="54" xfId="0" applyNumberFormat="1" applyFill="1" applyBorder="1" applyAlignment="1" applyProtection="1">
      <alignment horizontal="center"/>
      <protection locked="0"/>
    </xf>
    <xf numFmtId="3" fontId="0" fillId="35" borderId="55" xfId="0" applyNumberFormat="1" applyFill="1" applyBorder="1" applyAlignment="1" applyProtection="1">
      <alignment horizontal="center"/>
      <protection locked="0"/>
    </xf>
    <xf numFmtId="3" fontId="0" fillId="35" borderId="56" xfId="0" applyNumberFormat="1" applyFill="1" applyBorder="1" applyAlignment="1" applyProtection="1">
      <alignment horizontal="center"/>
      <protection locked="0"/>
    </xf>
    <xf numFmtId="3" fontId="0" fillId="35" borderId="57" xfId="0" applyNumberFormat="1" applyFill="1" applyBorder="1" applyAlignment="1" applyProtection="1">
      <alignment horizontal="center"/>
      <protection locked="0"/>
    </xf>
    <xf numFmtId="3" fontId="0" fillId="35" borderId="256" xfId="0" applyNumberFormat="1" applyFill="1" applyBorder="1" applyAlignment="1" applyProtection="1">
      <alignment horizontal="center"/>
      <protection locked="0"/>
    </xf>
    <xf numFmtId="3" fontId="0" fillId="35" borderId="168" xfId="0" applyNumberFormat="1" applyFill="1" applyBorder="1" applyAlignment="1" applyProtection="1">
      <alignment horizontal="center"/>
      <protection locked="0"/>
    </xf>
    <xf numFmtId="3" fontId="0" fillId="35" borderId="255" xfId="0" applyNumberFormat="1" applyFill="1" applyBorder="1" applyAlignment="1" applyProtection="1">
      <alignment horizontal="center"/>
      <protection locked="0"/>
    </xf>
    <xf numFmtId="3" fontId="0" fillId="35" borderId="169" xfId="0" applyNumberFormat="1" applyFill="1" applyBorder="1" applyAlignment="1" applyProtection="1">
      <alignment horizontal="center"/>
      <protection locked="0"/>
    </xf>
    <xf numFmtId="3" fontId="0" fillId="22" borderId="51" xfId="0" applyNumberFormat="1" applyFill="1" applyBorder="1" applyAlignment="1" applyProtection="1">
      <alignment horizontal="center"/>
      <protection locked="0"/>
    </xf>
    <xf numFmtId="3" fontId="0" fillId="35" borderId="49" xfId="0" applyNumberFormat="1" applyFill="1" applyBorder="1" applyAlignment="1" applyProtection="1">
      <alignment horizontal="center"/>
      <protection locked="0"/>
    </xf>
    <xf numFmtId="3" fontId="0" fillId="35" borderId="50" xfId="0" applyNumberFormat="1" applyFill="1" applyBorder="1" applyAlignment="1" applyProtection="1">
      <alignment horizontal="center"/>
      <protection locked="0"/>
    </xf>
    <xf numFmtId="3" fontId="0" fillId="35" borderId="51" xfId="0" applyNumberFormat="1" applyFill="1" applyBorder="1" applyAlignment="1" applyProtection="1">
      <alignment horizontal="center"/>
      <protection locked="0"/>
    </xf>
    <xf numFmtId="3" fontId="0" fillId="35" borderId="52" xfId="0" applyNumberFormat="1" applyFill="1" applyBorder="1" applyAlignment="1" applyProtection="1">
      <alignment horizontal="center"/>
      <protection locked="0"/>
    </xf>
    <xf numFmtId="3" fontId="0" fillId="35" borderId="63" xfId="0" applyNumberFormat="1" applyFill="1" applyBorder="1" applyAlignment="1" applyProtection="1">
      <alignment horizontal="center"/>
      <protection locked="0"/>
    </xf>
    <xf numFmtId="3" fontId="0" fillId="35" borderId="64" xfId="0" applyNumberFormat="1" applyFill="1" applyBorder="1" applyAlignment="1" applyProtection="1">
      <alignment horizontal="center"/>
      <protection locked="0"/>
    </xf>
    <xf numFmtId="3" fontId="0" fillId="35" borderId="65" xfId="0" applyNumberFormat="1" applyFill="1" applyBorder="1" applyAlignment="1" applyProtection="1">
      <alignment horizontal="center"/>
      <protection locked="0"/>
    </xf>
    <xf numFmtId="3" fontId="0" fillId="0" borderId="84" xfId="0" applyNumberFormat="1" applyBorder="1"/>
    <xf numFmtId="3" fontId="20" fillId="9" borderId="84" xfId="0" applyNumberFormat="1" applyFont="1" applyFill="1" applyBorder="1" applyAlignment="1">
      <alignment horizontal="center"/>
    </xf>
    <xf numFmtId="3" fontId="20" fillId="9" borderId="32" xfId="0" applyNumberFormat="1" applyFont="1" applyFill="1" applyBorder="1" applyAlignment="1">
      <alignment horizontal="center"/>
    </xf>
    <xf numFmtId="0" fontId="0" fillId="15" borderId="119" xfId="0" applyFill="1" applyBorder="1" applyAlignment="1" applyProtection="1">
      <alignment horizontal="center"/>
      <protection locked="0"/>
    </xf>
    <xf numFmtId="0" fontId="0" fillId="2" borderId="119" xfId="0" applyFill="1" applyBorder="1" applyAlignment="1">
      <alignment horizontal="center"/>
    </xf>
    <xf numFmtId="0" fontId="4" fillId="0" borderId="119" xfId="0" applyFont="1" applyBorder="1"/>
    <xf numFmtId="3" fontId="0" fillId="35" borderId="171" xfId="0" applyNumberFormat="1" applyFill="1" applyBorder="1" applyAlignment="1" applyProtection="1">
      <alignment horizontal="center"/>
      <protection locked="0"/>
    </xf>
    <xf numFmtId="3" fontId="0" fillId="35" borderId="153" xfId="0" applyNumberFormat="1" applyFill="1" applyBorder="1" applyAlignment="1" applyProtection="1">
      <alignment horizontal="center"/>
      <protection locked="0"/>
    </xf>
    <xf numFmtId="3" fontId="0" fillId="35" borderId="147" xfId="0" applyNumberFormat="1" applyFill="1" applyBorder="1" applyAlignment="1" applyProtection="1">
      <alignment horizontal="center"/>
      <protection locked="0"/>
    </xf>
    <xf numFmtId="37" fontId="55" fillId="9" borderId="113" xfId="2" applyNumberFormat="1" applyFont="1" applyFill="1" applyBorder="1" applyAlignment="1">
      <alignment horizontal="center"/>
    </xf>
    <xf numFmtId="37" fontId="55" fillId="9" borderId="112" xfId="2" applyNumberFormat="1" applyFont="1" applyFill="1" applyBorder="1" applyAlignment="1">
      <alignment horizontal="center"/>
    </xf>
    <xf numFmtId="37" fontId="55" fillId="9" borderId="128" xfId="2" applyNumberFormat="1" applyFont="1" applyFill="1" applyBorder="1" applyAlignment="1">
      <alignment horizontal="center"/>
    </xf>
    <xf numFmtId="37" fontId="18" fillId="9" borderId="12" xfId="2" applyNumberFormat="1" applyFont="1" applyFill="1" applyBorder="1" applyAlignment="1">
      <alignment horizontal="center"/>
    </xf>
    <xf numFmtId="49" fontId="0" fillId="15" borderId="82" xfId="0" applyNumberFormat="1" applyFill="1" applyBorder="1"/>
    <xf numFmtId="37" fontId="18" fillId="21" borderId="113" xfId="2" applyNumberFormat="1" applyFont="1" applyFill="1" applyBorder="1" applyAlignment="1">
      <alignment horizontal="center"/>
    </xf>
    <xf numFmtId="0" fontId="112" fillId="0" borderId="0" xfId="0" applyFont="1"/>
    <xf numFmtId="0" fontId="0" fillId="15" borderId="19" xfId="0" applyFill="1" applyBorder="1"/>
    <xf numFmtId="164" fontId="0" fillId="15" borderId="82" xfId="2" applyNumberFormat="1" applyFont="1" applyFill="1" applyBorder="1"/>
    <xf numFmtId="164" fontId="0" fillId="15" borderId="20" xfId="2" applyNumberFormat="1" applyFont="1" applyFill="1" applyBorder="1"/>
    <xf numFmtId="164" fontId="0" fillId="15" borderId="0" xfId="2" applyNumberFormat="1" applyFont="1" applyFill="1" applyBorder="1"/>
    <xf numFmtId="164" fontId="0" fillId="15" borderId="32" xfId="2" applyNumberFormat="1" applyFont="1" applyFill="1" applyBorder="1"/>
    <xf numFmtId="164" fontId="0" fillId="15" borderId="12" xfId="2" applyNumberFormat="1" applyFont="1" applyFill="1" applyBorder="1"/>
    <xf numFmtId="164" fontId="0" fillId="15" borderId="13" xfId="2" applyNumberFormat="1" applyFont="1" applyFill="1" applyBorder="1"/>
    <xf numFmtId="165" fontId="2" fillId="0" borderId="13" xfId="1" applyNumberFormat="1" applyFont="1" applyBorder="1"/>
    <xf numFmtId="0" fontId="60" fillId="0" borderId="0" xfId="0" applyFont="1"/>
    <xf numFmtId="0" fontId="0" fillId="0" borderId="20" xfId="0" applyBorder="1"/>
    <xf numFmtId="0" fontId="0" fillId="0" borderId="84" xfId="0" applyBorder="1" applyAlignment="1">
      <alignment horizontal="center" vertical="center" wrapText="1"/>
    </xf>
    <xf numFmtId="3" fontId="2" fillId="3" borderId="32" xfId="0" applyNumberFormat="1" applyFont="1" applyFill="1" applyBorder="1" applyAlignment="1">
      <alignment horizontal="center" vertical="center"/>
    </xf>
    <xf numFmtId="3" fontId="2" fillId="3" borderId="13" xfId="0" applyNumberFormat="1" applyFont="1" applyFill="1" applyBorder="1" applyAlignment="1">
      <alignment horizontal="center" vertical="center"/>
    </xf>
    <xf numFmtId="0" fontId="9" fillId="5" borderId="257" xfId="0" applyFont="1" applyFill="1" applyBorder="1" applyAlignment="1">
      <alignment horizontal="center" vertical="center" wrapText="1"/>
    </xf>
    <xf numFmtId="3" fontId="61" fillId="5" borderId="258" xfId="0" applyNumberFormat="1" applyFont="1" applyFill="1" applyBorder="1" applyAlignment="1">
      <alignment horizontal="center" vertical="center"/>
    </xf>
    <xf numFmtId="0" fontId="107" fillId="0" borderId="0" xfId="0" applyFont="1" applyAlignment="1">
      <alignment horizontal="left"/>
    </xf>
    <xf numFmtId="37" fontId="55" fillId="9" borderId="130" xfId="2" applyNumberFormat="1" applyFont="1" applyFill="1" applyBorder="1" applyAlignment="1">
      <alignment horizontal="center" vertical="center"/>
    </xf>
    <xf numFmtId="0" fontId="10" fillId="15" borderId="234" xfId="0" applyFont="1" applyFill="1" applyBorder="1" applyAlignment="1">
      <alignment horizontal="center" vertical="center" wrapText="1"/>
    </xf>
    <xf numFmtId="0" fontId="10" fillId="15" borderId="130" xfId="0" applyFont="1" applyFill="1" applyBorder="1" applyAlignment="1">
      <alignment horizontal="center" vertical="center" wrapText="1"/>
    </xf>
    <xf numFmtId="3" fontId="0" fillId="3" borderId="56" xfId="0" applyNumberFormat="1" applyFill="1" applyBorder="1" applyAlignment="1" applyProtection="1">
      <alignment horizontal="center"/>
      <protection locked="0"/>
    </xf>
    <xf numFmtId="3" fontId="0" fillId="3" borderId="54" xfId="0" applyNumberFormat="1" applyFill="1" applyBorder="1" applyAlignment="1" applyProtection="1">
      <alignment horizontal="center"/>
      <protection locked="0"/>
    </xf>
    <xf numFmtId="3" fontId="0" fillId="3" borderId="255" xfId="0" applyNumberFormat="1" applyFill="1" applyBorder="1" applyAlignment="1" applyProtection="1">
      <alignment horizontal="center"/>
      <protection locked="0"/>
    </xf>
    <xf numFmtId="3" fontId="0" fillId="3" borderId="256" xfId="0" applyNumberFormat="1" applyFill="1" applyBorder="1" applyAlignment="1" applyProtection="1">
      <alignment horizontal="center"/>
      <protection locked="0"/>
    </xf>
    <xf numFmtId="3" fontId="0" fillId="3" borderId="51" xfId="0" applyNumberFormat="1" applyFill="1" applyBorder="1" applyAlignment="1" applyProtection="1">
      <alignment horizontal="center"/>
      <protection locked="0"/>
    </xf>
    <xf numFmtId="3" fontId="0" fillId="3" borderId="49" xfId="0" applyNumberFormat="1" applyFill="1" applyBorder="1" applyAlignment="1" applyProtection="1">
      <alignment horizontal="center"/>
      <protection locked="0"/>
    </xf>
    <xf numFmtId="3" fontId="0" fillId="3" borderId="63" xfId="0" applyNumberFormat="1" applyFill="1" applyBorder="1" applyAlignment="1" applyProtection="1">
      <alignment horizontal="center"/>
      <protection locked="0"/>
    </xf>
    <xf numFmtId="3" fontId="0" fillId="3" borderId="135" xfId="0" applyNumberFormat="1" applyFill="1" applyBorder="1" applyAlignment="1" applyProtection="1">
      <alignment horizontal="center"/>
      <protection locked="0"/>
    </xf>
    <xf numFmtId="3" fontId="0" fillId="3" borderId="171" xfId="0" applyNumberFormat="1" applyFill="1" applyBorder="1" applyAlignment="1" applyProtection="1">
      <alignment horizontal="center"/>
      <protection locked="0"/>
    </xf>
    <xf numFmtId="3" fontId="0" fillId="3" borderId="153" xfId="0" applyNumberFormat="1" applyFill="1" applyBorder="1" applyAlignment="1" applyProtection="1">
      <alignment horizontal="center"/>
      <protection locked="0"/>
    </xf>
    <xf numFmtId="3" fontId="0" fillId="15" borderId="20" xfId="0" applyNumberFormat="1" applyFill="1" applyBorder="1"/>
    <xf numFmtId="3" fontId="0" fillId="15" borderId="13" xfId="0" applyNumberFormat="1" applyFill="1" applyBorder="1"/>
    <xf numFmtId="0" fontId="0" fillId="31" borderId="19" xfId="0" applyFill="1" applyBorder="1"/>
    <xf numFmtId="3" fontId="0" fillId="31" borderId="82" xfId="0" applyNumberFormat="1" applyFill="1" applyBorder="1"/>
    <xf numFmtId="3" fontId="0" fillId="31" borderId="20" xfId="0" applyNumberFormat="1" applyFill="1" applyBorder="1"/>
    <xf numFmtId="0" fontId="0" fillId="31" borderId="84" xfId="0" applyFill="1" applyBorder="1"/>
    <xf numFmtId="3" fontId="0" fillId="31" borderId="0" xfId="0" applyNumberFormat="1" applyFill="1"/>
    <xf numFmtId="3" fontId="0" fillId="31" borderId="32" xfId="0" applyNumberFormat="1" applyFill="1" applyBorder="1"/>
    <xf numFmtId="0" fontId="0" fillId="31" borderId="21" xfId="0" applyFill="1" applyBorder="1"/>
    <xf numFmtId="3" fontId="0" fillId="31" borderId="12" xfId="0" applyNumberFormat="1" applyFill="1" applyBorder="1"/>
    <xf numFmtId="3" fontId="0" fillId="31" borderId="13" xfId="0" applyNumberFormat="1" applyFill="1" applyBorder="1"/>
    <xf numFmtId="0" fontId="0" fillId="37" borderId="112" xfId="0" applyFill="1" applyBorder="1"/>
    <xf numFmtId="3" fontId="0" fillId="37" borderId="113" xfId="0" applyNumberFormat="1" applyFill="1" applyBorder="1"/>
    <xf numFmtId="3" fontId="0" fillId="37" borderId="128" xfId="0" applyNumberFormat="1" applyFill="1" applyBorder="1"/>
    <xf numFmtId="0" fontId="2" fillId="15" borderId="0" xfId="0" applyFont="1" applyFill="1" applyAlignment="1">
      <alignment horizontal="center" vertical="center" textRotation="90"/>
    </xf>
    <xf numFmtId="0" fontId="0" fillId="37" borderId="0" xfId="0" applyFill="1"/>
    <xf numFmtId="3" fontId="0" fillId="37" borderId="0" xfId="0" applyNumberFormat="1" applyFill="1"/>
    <xf numFmtId="49" fontId="0" fillId="0" borderId="0" xfId="0" applyNumberFormat="1"/>
    <xf numFmtId="0" fontId="0" fillId="0" borderId="265" xfId="0" applyBorder="1"/>
    <xf numFmtId="0" fontId="0" fillId="0" borderId="266" xfId="0" applyBorder="1"/>
    <xf numFmtId="0" fontId="0" fillId="0" borderId="267" xfId="0" applyBorder="1"/>
    <xf numFmtId="0" fontId="0" fillId="0" borderId="268" xfId="0" applyBorder="1"/>
    <xf numFmtId="0" fontId="0" fillId="0" borderId="269" xfId="0" applyBorder="1"/>
    <xf numFmtId="0" fontId="0" fillId="0" borderId="270" xfId="0" applyBorder="1"/>
    <xf numFmtId="0" fontId="0" fillId="0" borderId="271" xfId="0" applyBorder="1"/>
    <xf numFmtId="0" fontId="0" fillId="0" borderId="261" xfId="0" applyBorder="1"/>
    <xf numFmtId="0" fontId="0" fillId="0" borderId="262" xfId="0" applyBorder="1"/>
    <xf numFmtId="0" fontId="0" fillId="0" borderId="103" xfId="0" applyBorder="1"/>
    <xf numFmtId="0" fontId="0" fillId="0" borderId="104" xfId="0" applyBorder="1"/>
    <xf numFmtId="0" fontId="0" fillId="0" borderId="272" xfId="0" applyBorder="1"/>
    <xf numFmtId="3" fontId="0" fillId="22" borderId="135" xfId="0" applyNumberFormat="1" applyFill="1" applyBorder="1" applyAlignment="1" applyProtection="1">
      <alignment horizontal="center"/>
      <protection locked="0"/>
    </xf>
    <xf numFmtId="3" fontId="0" fillId="22" borderId="120" xfId="0" applyNumberFormat="1" applyFill="1" applyBorder="1" applyAlignment="1" applyProtection="1">
      <alignment horizontal="center"/>
      <protection locked="0"/>
    </xf>
    <xf numFmtId="3" fontId="0" fillId="22" borderId="137" xfId="0" applyNumberFormat="1" applyFill="1" applyBorder="1" applyAlignment="1" applyProtection="1">
      <alignment horizontal="center"/>
      <protection locked="0"/>
    </xf>
    <xf numFmtId="3" fontId="0" fillId="22" borderId="54" xfId="0" applyNumberFormat="1" applyFill="1" applyBorder="1" applyAlignment="1" applyProtection="1">
      <alignment horizontal="center"/>
      <protection locked="0"/>
    </xf>
    <xf numFmtId="3" fontId="0" fillId="22" borderId="57" xfId="0" applyNumberFormat="1" applyFill="1" applyBorder="1" applyAlignment="1" applyProtection="1">
      <alignment horizontal="center"/>
      <protection locked="0"/>
    </xf>
    <xf numFmtId="3" fontId="0" fillId="22" borderId="256" xfId="0" applyNumberFormat="1" applyFill="1" applyBorder="1" applyAlignment="1" applyProtection="1">
      <alignment horizontal="center"/>
      <protection locked="0"/>
    </xf>
    <xf numFmtId="3" fontId="0" fillId="22" borderId="169" xfId="0" applyNumberFormat="1" applyFill="1" applyBorder="1" applyAlignment="1" applyProtection="1">
      <alignment horizontal="center"/>
      <protection locked="0"/>
    </xf>
    <xf numFmtId="3" fontId="0" fillId="22" borderId="49" xfId="0" applyNumberFormat="1" applyFill="1" applyBorder="1" applyAlignment="1" applyProtection="1">
      <alignment horizontal="center"/>
      <protection locked="0"/>
    </xf>
    <xf numFmtId="3" fontId="0" fillId="22" borderId="52" xfId="0" applyNumberFormat="1" applyFill="1" applyBorder="1" applyAlignment="1" applyProtection="1">
      <alignment horizontal="center"/>
      <protection locked="0"/>
    </xf>
    <xf numFmtId="3" fontId="0" fillId="22" borderId="63" xfId="0" applyNumberFormat="1" applyFill="1" applyBorder="1" applyAlignment="1" applyProtection="1">
      <alignment horizontal="center"/>
      <protection locked="0"/>
    </xf>
    <xf numFmtId="3" fontId="0" fillId="22" borderId="64" xfId="0" applyNumberFormat="1" applyFill="1" applyBorder="1" applyAlignment="1" applyProtection="1">
      <alignment horizontal="center"/>
      <protection locked="0"/>
    </xf>
    <xf numFmtId="3" fontId="0" fillId="22" borderId="66" xfId="0" applyNumberFormat="1" applyFill="1" applyBorder="1" applyAlignment="1" applyProtection="1">
      <alignment horizontal="center"/>
      <protection locked="0"/>
    </xf>
    <xf numFmtId="3" fontId="0" fillId="22" borderId="242" xfId="0" applyNumberFormat="1" applyFill="1" applyBorder="1" applyAlignment="1" applyProtection="1">
      <alignment horizontal="center"/>
      <protection locked="0"/>
    </xf>
    <xf numFmtId="3" fontId="0" fillId="22" borderId="152" xfId="0" applyNumberFormat="1" applyFill="1" applyBorder="1" applyAlignment="1" applyProtection="1">
      <alignment horizontal="center"/>
      <protection locked="0"/>
    </xf>
    <xf numFmtId="3" fontId="0" fillId="22" borderId="173" xfId="0" applyNumberFormat="1" applyFill="1" applyBorder="1" applyAlignment="1" applyProtection="1">
      <alignment horizontal="center"/>
      <protection locked="0"/>
    </xf>
    <xf numFmtId="0" fontId="0" fillId="20" borderId="0" xfId="0" applyFill="1" applyAlignment="1">
      <alignment wrapText="1"/>
    </xf>
    <xf numFmtId="0" fontId="0" fillId="15" borderId="0" xfId="0" applyFill="1" applyAlignment="1">
      <alignment wrapText="1"/>
    </xf>
    <xf numFmtId="3" fontId="0" fillId="15" borderId="0" xfId="0" applyNumberFormat="1" applyFill="1" applyAlignment="1">
      <alignment wrapText="1"/>
    </xf>
    <xf numFmtId="0" fontId="114" fillId="0" borderId="0" xfId="0" applyFont="1" applyAlignment="1">
      <alignment horizontal="left"/>
    </xf>
    <xf numFmtId="0" fontId="0" fillId="0" borderId="273" xfId="0" applyBorder="1"/>
    <xf numFmtId="165" fontId="0" fillId="21" borderId="0" xfId="1" applyNumberFormat="1" applyFont="1" applyFill="1" applyAlignment="1">
      <alignment horizontal="center" vertical="center"/>
    </xf>
    <xf numFmtId="0" fontId="10" fillId="0" borderId="127" xfId="0" applyFont="1" applyBorder="1" applyAlignment="1">
      <alignment horizontal="center" vertical="center"/>
    </xf>
    <xf numFmtId="0" fontId="10" fillId="0" borderId="84" xfId="0" applyFont="1" applyBorder="1" applyAlignment="1">
      <alignment horizontal="center" vertical="center"/>
    </xf>
    <xf numFmtId="0" fontId="10" fillId="0" borderId="19" xfId="0" applyFont="1" applyBorder="1" applyAlignment="1">
      <alignment horizontal="center" vertical="center"/>
    </xf>
    <xf numFmtId="0" fontId="115" fillId="0" borderId="0" xfId="0" applyFont="1" applyAlignment="1">
      <alignment horizontal="center" vertical="center"/>
    </xf>
    <xf numFmtId="0" fontId="0" fillId="16" borderId="0" xfId="0" applyFill="1"/>
    <xf numFmtId="9" fontId="0" fillId="35" borderId="120" xfId="1" applyFont="1" applyFill="1" applyBorder="1" applyAlignment="1" applyProtection="1">
      <alignment horizontal="center"/>
      <protection locked="0"/>
    </xf>
    <xf numFmtId="9" fontId="0" fillId="35" borderId="136" xfId="1" applyFont="1" applyFill="1" applyBorder="1" applyAlignment="1" applyProtection="1">
      <alignment horizontal="center"/>
      <protection locked="0"/>
    </xf>
    <xf numFmtId="9" fontId="0" fillId="35" borderId="120" xfId="1" applyFont="1" applyFill="1" applyBorder="1" applyAlignment="1" applyProtection="1">
      <alignment horizontal="center" vertical="center"/>
      <protection locked="0"/>
    </xf>
    <xf numFmtId="9" fontId="0" fillId="22" borderId="0" xfId="1" applyFont="1" applyFill="1" applyBorder="1" applyAlignment="1" applyProtection="1">
      <alignment horizontal="center"/>
      <protection locked="0"/>
    </xf>
    <xf numFmtId="9" fontId="2" fillId="3" borderId="32" xfId="1" applyFont="1" applyFill="1" applyBorder="1" applyAlignment="1">
      <alignment horizontal="center" vertical="center"/>
    </xf>
    <xf numFmtId="9" fontId="2" fillId="3" borderId="13" xfId="1" applyFont="1" applyFill="1" applyBorder="1" applyAlignment="1">
      <alignment horizontal="center" vertical="center"/>
    </xf>
    <xf numFmtId="37" fontId="17" fillId="9" borderId="113" xfId="2" applyNumberFormat="1" applyFont="1" applyFill="1" applyBorder="1" applyAlignment="1">
      <alignment horizontal="center"/>
    </xf>
    <xf numFmtId="9" fontId="61" fillId="5" borderId="258" xfId="1" applyFont="1" applyFill="1" applyBorder="1" applyAlignment="1">
      <alignment horizontal="center" vertical="center"/>
    </xf>
    <xf numFmtId="0" fontId="20" fillId="9" borderId="156" xfId="0" applyFont="1" applyFill="1" applyBorder="1" applyAlignment="1">
      <alignment horizontal="center"/>
    </xf>
    <xf numFmtId="3" fontId="1" fillId="22" borderId="66" xfId="1" applyNumberFormat="1" applyFont="1" applyFill="1" applyBorder="1" applyAlignment="1" applyProtection="1">
      <alignment horizontal="center"/>
      <protection locked="0"/>
    </xf>
    <xf numFmtId="3" fontId="20" fillId="9" borderId="127" xfId="0" applyNumberFormat="1" applyFont="1" applyFill="1" applyBorder="1" applyAlignment="1">
      <alignment horizontal="center"/>
    </xf>
    <xf numFmtId="3" fontId="0" fillId="22" borderId="242" xfId="0" applyNumberFormat="1" applyFill="1" applyBorder="1" applyAlignment="1" applyProtection="1">
      <alignment horizontal="center" vertical="center"/>
      <protection locked="0"/>
    </xf>
    <xf numFmtId="37" fontId="18" fillId="9" borderId="112" xfId="2" applyNumberFormat="1" applyFont="1" applyFill="1" applyBorder="1" applyAlignment="1">
      <alignment horizontal="center"/>
    </xf>
    <xf numFmtId="37" fontId="18" fillId="9" borderId="128" xfId="2" applyNumberFormat="1" applyFont="1" applyFill="1" applyBorder="1" applyAlignment="1">
      <alignment horizontal="center"/>
    </xf>
    <xf numFmtId="171" fontId="0" fillId="0" borderId="0" xfId="0" applyNumberFormat="1"/>
    <xf numFmtId="0" fontId="34" fillId="0" borderId="109" xfId="0" applyFont="1" applyBorder="1" applyAlignment="1">
      <alignment horizontal="left" vertical="center" wrapText="1"/>
    </xf>
    <xf numFmtId="0" fontId="34" fillId="0" borderId="0" xfId="0" applyFont="1" applyAlignment="1">
      <alignment horizontal="left" vertical="center" wrapText="1"/>
    </xf>
    <xf numFmtId="0" fontId="49" fillId="10" borderId="0" xfId="3" applyFont="1" applyFill="1" applyAlignment="1">
      <alignment horizontal="center" vertical="center"/>
    </xf>
    <xf numFmtId="165" fontId="2" fillId="0" borderId="0" xfId="0" applyNumberFormat="1" applyFont="1" applyAlignment="1" applyProtection="1">
      <alignment horizontal="center" vertical="center"/>
      <protection locked="0"/>
    </xf>
    <xf numFmtId="0" fontId="9" fillId="0" borderId="0" xfId="0" applyFont="1" applyAlignment="1">
      <alignment horizontal="center" vertical="center" wrapText="1"/>
    </xf>
    <xf numFmtId="0" fontId="3" fillId="0" borderId="0" xfId="0" applyFont="1" applyAlignment="1">
      <alignment horizontal="center" vertical="top" wrapText="1"/>
    </xf>
    <xf numFmtId="0" fontId="17" fillId="9" borderId="0" xfId="0" applyFont="1" applyFill="1" applyAlignment="1">
      <alignment horizontal="center" wrapText="1"/>
    </xf>
    <xf numFmtId="0" fontId="17" fillId="7" borderId="234" xfId="0" applyFont="1" applyFill="1" applyBorder="1" applyAlignment="1">
      <alignment horizontal="center" vertical="center" wrapText="1"/>
    </xf>
    <xf numFmtId="0" fontId="17" fillId="7" borderId="235" xfId="0" applyFont="1" applyFill="1" applyBorder="1" applyAlignment="1">
      <alignment horizontal="center" vertical="center" wrapText="1"/>
    </xf>
    <xf numFmtId="0" fontId="44" fillId="15" borderId="234" xfId="0" applyFont="1" applyFill="1" applyBorder="1" applyAlignment="1">
      <alignment horizontal="center" vertical="center" wrapText="1"/>
    </xf>
    <xf numFmtId="0" fontId="44" fillId="15" borderId="235" xfId="0" applyFont="1" applyFill="1" applyBorder="1" applyAlignment="1">
      <alignment horizontal="center" vertical="center" wrapText="1"/>
    </xf>
    <xf numFmtId="0" fontId="67" fillId="10" borderId="0" xfId="3" applyFont="1" applyFill="1" applyAlignment="1">
      <alignment horizontal="center" vertical="center"/>
    </xf>
    <xf numFmtId="0" fontId="17" fillId="9" borderId="0" xfId="0" applyFont="1" applyFill="1" applyAlignment="1">
      <alignment horizontal="left" vertical="center"/>
    </xf>
    <xf numFmtId="0" fontId="0" fillId="15" borderId="130" xfId="0" applyFill="1" applyBorder="1" applyAlignment="1">
      <alignment horizontal="center"/>
    </xf>
    <xf numFmtId="0" fontId="2" fillId="0" borderId="130" xfId="0" applyFont="1" applyBorder="1" applyAlignment="1">
      <alignment horizontal="center" vertical="center"/>
    </xf>
    <xf numFmtId="0" fontId="2" fillId="0" borderId="112" xfId="0" applyFont="1" applyBorder="1" applyAlignment="1">
      <alignment horizontal="left" wrapText="1"/>
    </xf>
    <xf numFmtId="0" fontId="2" fillId="0" borderId="113" xfId="0" applyFont="1" applyBorder="1" applyAlignment="1">
      <alignment horizontal="left" wrapText="1"/>
    </xf>
    <xf numFmtId="0" fontId="0" fillId="22" borderId="112" xfId="0" applyFill="1" applyBorder="1" applyAlignment="1" applyProtection="1">
      <alignment horizontal="center" vertical="center"/>
      <protection locked="0"/>
    </xf>
    <xf numFmtId="0" fontId="0" fillId="22" borderId="128" xfId="0" applyFill="1" applyBorder="1" applyAlignment="1" applyProtection="1">
      <alignment horizontal="center" vertical="center"/>
      <protection locked="0"/>
    </xf>
    <xf numFmtId="0" fontId="9" fillId="0" borderId="0" xfId="0" applyFont="1" applyAlignment="1">
      <alignment horizontal="right" vertical="center" wrapText="1"/>
    </xf>
    <xf numFmtId="0" fontId="9" fillId="0" borderId="32" xfId="0" applyFont="1" applyBorder="1" applyAlignment="1">
      <alignment horizontal="right" vertical="center" wrapText="1"/>
    </xf>
    <xf numFmtId="0" fontId="0" fillId="22" borderId="238" xfId="0" applyFill="1" applyBorder="1" applyAlignment="1">
      <alignment horizontal="center" vertical="center" wrapText="1"/>
    </xf>
    <xf numFmtId="0" fontId="0" fillId="22" borderId="239" xfId="0" applyFill="1" applyBorder="1" applyAlignment="1">
      <alignment horizontal="center" vertical="center" wrapText="1"/>
    </xf>
    <xf numFmtId="0" fontId="0" fillId="22" borderId="158" xfId="0" applyFill="1" applyBorder="1" applyAlignment="1">
      <alignment horizontal="center" vertical="center" wrapText="1"/>
    </xf>
    <xf numFmtId="0" fontId="0" fillId="22" borderId="240" xfId="0" applyFill="1" applyBorder="1" applyAlignment="1">
      <alignment horizontal="center" vertical="center" wrapText="1"/>
    </xf>
    <xf numFmtId="0" fontId="18" fillId="9" borderId="0" xfId="0" applyFont="1" applyFill="1" applyAlignment="1">
      <alignment horizontal="left" vertical="center"/>
    </xf>
    <xf numFmtId="0" fontId="55" fillId="7" borderId="0" xfId="0" applyFont="1" applyFill="1" applyAlignment="1">
      <alignment horizontal="left" vertical="center"/>
    </xf>
    <xf numFmtId="0" fontId="2" fillId="0" borderId="234" xfId="0" applyFont="1" applyBorder="1" applyAlignment="1">
      <alignment horizontal="center" vertical="center" wrapText="1"/>
    </xf>
    <xf numFmtId="0" fontId="2" fillId="0" borderId="125" xfId="0" applyFont="1" applyBorder="1" applyAlignment="1">
      <alignment horizontal="center" vertical="center" wrapText="1"/>
    </xf>
    <xf numFmtId="0" fontId="2" fillId="0" borderId="235" xfId="0" applyFont="1" applyBorder="1" applyAlignment="1">
      <alignment horizontal="center" vertical="center" wrapText="1"/>
    </xf>
    <xf numFmtId="0" fontId="9" fillId="15" borderId="230" xfId="0" applyFont="1" applyFill="1" applyBorder="1" applyAlignment="1">
      <alignment horizontal="center" vertical="center" wrapText="1"/>
    </xf>
    <xf numFmtId="0" fontId="9" fillId="15" borderId="231" xfId="0" applyFont="1" applyFill="1" applyBorder="1" applyAlignment="1">
      <alignment horizontal="center" vertical="center" wrapText="1"/>
    </xf>
    <xf numFmtId="0" fontId="9" fillId="15" borderId="170" xfId="0" applyFont="1" applyFill="1" applyBorder="1" applyAlignment="1">
      <alignment horizontal="center" vertical="center" wrapText="1"/>
    </xf>
    <xf numFmtId="0" fontId="0" fillId="22" borderId="129" xfId="0" applyFill="1" applyBorder="1" applyAlignment="1">
      <alignment horizontal="center" vertical="center" wrapText="1"/>
    </xf>
    <xf numFmtId="0" fontId="0" fillId="22" borderId="18" xfId="0" applyFill="1" applyBorder="1" applyAlignment="1">
      <alignment horizontal="center" vertical="center" wrapText="1"/>
    </xf>
    <xf numFmtId="0" fontId="0" fillId="22" borderId="148" xfId="0" applyFill="1" applyBorder="1" applyAlignment="1">
      <alignment horizontal="center" vertical="center" wrapText="1"/>
    </xf>
    <xf numFmtId="0" fontId="0" fillId="22" borderId="171" xfId="0" applyFill="1" applyBorder="1" applyAlignment="1">
      <alignment horizontal="center" vertical="center" wrapText="1"/>
    </xf>
    <xf numFmtId="0" fontId="0" fillId="22" borderId="153" xfId="0" applyFill="1" applyBorder="1" applyAlignment="1">
      <alignment horizontal="center" vertical="center" wrapText="1"/>
    </xf>
    <xf numFmtId="0" fontId="0" fillId="22" borderId="147" xfId="0" applyFill="1" applyBorder="1" applyAlignment="1">
      <alignment horizontal="center" vertical="center" wrapText="1"/>
    </xf>
    <xf numFmtId="0" fontId="0" fillId="22" borderId="172" xfId="0" applyFill="1" applyBorder="1" applyAlignment="1">
      <alignment horizontal="center" vertical="center" wrapText="1"/>
    </xf>
    <xf numFmtId="0" fontId="0" fillId="22" borderId="160" xfId="0" applyFill="1" applyBorder="1" applyAlignment="1">
      <alignment horizontal="center" vertical="center" wrapText="1"/>
    </xf>
    <xf numFmtId="0" fontId="0" fillId="22" borderId="161" xfId="0" applyFill="1" applyBorder="1" applyAlignment="1">
      <alignment horizontal="center" vertical="center" wrapText="1"/>
    </xf>
    <xf numFmtId="0" fontId="0" fillId="0" borderId="0" xfId="0"/>
    <xf numFmtId="0" fontId="2" fillId="0" borderId="113" xfId="0" applyFont="1" applyBorder="1" applyAlignment="1">
      <alignment horizontal="center" vertical="center" wrapText="1"/>
    </xf>
    <xf numFmtId="0" fontId="9" fillId="15" borderId="82" xfId="0" applyFont="1" applyFill="1" applyBorder="1" applyAlignment="1">
      <alignment horizontal="center" vertical="center" wrapText="1"/>
    </xf>
    <xf numFmtId="0" fontId="0" fillId="22" borderId="15" xfId="0" applyFill="1" applyBorder="1" applyAlignment="1">
      <alignment horizontal="center" vertical="center" wrapText="1"/>
    </xf>
    <xf numFmtId="0" fontId="0" fillId="22" borderId="114" xfId="0" applyFill="1" applyBorder="1" applyAlignment="1">
      <alignment horizontal="center" vertical="center" wrapText="1"/>
    </xf>
    <xf numFmtId="0" fontId="0" fillId="22" borderId="166" xfId="0" applyFill="1" applyBorder="1" applyAlignment="1">
      <alignment horizontal="center" vertical="center" wrapText="1"/>
    </xf>
    <xf numFmtId="0" fontId="0" fillId="22" borderId="156" xfId="0" applyFill="1" applyBorder="1" applyAlignment="1">
      <alignment horizontal="center" vertical="center" wrapText="1"/>
    </xf>
    <xf numFmtId="0" fontId="0" fillId="22" borderId="16" xfId="0" applyFill="1" applyBorder="1" applyAlignment="1">
      <alignment horizontal="center" vertical="center" wrapText="1"/>
    </xf>
    <xf numFmtId="0" fontId="9" fillId="0" borderId="19" xfId="0" applyFont="1" applyBorder="1" applyAlignment="1">
      <alignment horizontal="center" vertical="center" wrapText="1"/>
    </xf>
    <xf numFmtId="0" fontId="9" fillId="0" borderId="82" xfId="0" applyFont="1" applyBorder="1" applyAlignment="1">
      <alignment horizontal="center" vertical="center" wrapText="1"/>
    </xf>
    <xf numFmtId="0" fontId="9" fillId="15" borderId="19" xfId="0" applyFont="1" applyFill="1" applyBorder="1" applyAlignment="1">
      <alignment horizontal="center" vertical="center" wrapText="1"/>
    </xf>
    <xf numFmtId="0" fontId="9" fillId="15" borderId="20" xfId="0" applyFont="1" applyFill="1" applyBorder="1" applyAlignment="1">
      <alignment horizontal="center" vertical="center" wrapText="1"/>
    </xf>
    <xf numFmtId="0" fontId="2" fillId="0" borderId="112" xfId="0" applyFont="1" applyBorder="1" applyAlignment="1">
      <alignment horizontal="center" vertical="center" wrapText="1"/>
    </xf>
    <xf numFmtId="0" fontId="2" fillId="0" borderId="128" xfId="0" applyFont="1" applyBorder="1" applyAlignment="1">
      <alignment horizontal="center" vertical="center" wrapText="1"/>
    </xf>
    <xf numFmtId="9" fontId="44" fillId="0" borderId="153" xfId="1" applyFont="1" applyFill="1" applyBorder="1" applyAlignment="1">
      <alignment horizontal="center" vertical="center"/>
    </xf>
    <xf numFmtId="0" fontId="55" fillId="7" borderId="153" xfId="0" applyFont="1" applyFill="1" applyBorder="1" applyAlignment="1">
      <alignment horizontal="center" vertical="center" wrapText="1"/>
    </xf>
    <xf numFmtId="0" fontId="9" fillId="3" borderId="153" xfId="0" applyFont="1" applyFill="1" applyBorder="1" applyAlignment="1">
      <alignment horizontal="center"/>
    </xf>
    <xf numFmtId="0" fontId="0" fillId="0" borderId="153" xfId="0" applyBorder="1"/>
    <xf numFmtId="0" fontId="94" fillId="9" borderId="153" xfId="0" applyFont="1" applyFill="1" applyBorder="1" applyAlignment="1">
      <alignment horizontal="center" vertical="center" wrapText="1"/>
    </xf>
    <xf numFmtId="0" fontId="9" fillId="3" borderId="153" xfId="0" applyFont="1" applyFill="1" applyBorder="1" applyAlignment="1">
      <alignment horizontal="center" vertical="center" wrapText="1"/>
    </xf>
    <xf numFmtId="0" fontId="17" fillId="9" borderId="0" xfId="0" applyFont="1" applyFill="1" applyAlignment="1">
      <alignment horizontal="left" wrapText="1"/>
    </xf>
    <xf numFmtId="0" fontId="25" fillId="9" borderId="0" xfId="0" applyFont="1" applyFill="1" applyAlignment="1">
      <alignment horizontal="left" wrapText="1"/>
    </xf>
    <xf numFmtId="0" fontId="2" fillId="22" borderId="154" xfId="0" applyFont="1" applyFill="1" applyBorder="1" applyAlignment="1" applyProtection="1">
      <alignment horizontal="center" vertical="center"/>
      <protection locked="0"/>
    </xf>
    <xf numFmtId="0" fontId="2" fillId="22" borderId="155" xfId="0" applyFont="1" applyFill="1" applyBorder="1" applyAlignment="1" applyProtection="1">
      <alignment horizontal="center" vertical="center"/>
      <protection locked="0"/>
    </xf>
    <xf numFmtId="0" fontId="0" fillId="0" borderId="0" xfId="0" applyAlignment="1">
      <alignment horizontal="right" vertical="center" wrapText="1"/>
    </xf>
    <xf numFmtId="0" fontId="0" fillId="0" borderId="141" xfId="0" applyBorder="1" applyAlignment="1">
      <alignment horizontal="right" vertical="center" wrapText="1"/>
    </xf>
    <xf numFmtId="0" fontId="0" fillId="0" borderId="0" xfId="0" applyAlignment="1">
      <alignment horizontal="right" vertical="center" wrapText="1" indent="1"/>
    </xf>
    <xf numFmtId="0" fontId="0" fillId="0" borderId="141" xfId="0" applyBorder="1" applyAlignment="1">
      <alignment horizontal="right" vertical="center" wrapText="1" indent="1"/>
    </xf>
    <xf numFmtId="0" fontId="18" fillId="7" borderId="0" xfId="0" applyFont="1" applyFill="1" applyAlignment="1">
      <alignment horizontal="left" vertical="center"/>
    </xf>
    <xf numFmtId="0" fontId="0" fillId="0" borderId="0" xfId="0" applyAlignment="1">
      <alignment horizontal="left" vertical="top" wrapText="1"/>
    </xf>
    <xf numFmtId="0" fontId="79" fillId="0" borderId="0" xfId="0" applyFont="1" applyAlignment="1">
      <alignment horizontal="left" vertical="center" wrapText="1"/>
    </xf>
    <xf numFmtId="0" fontId="17" fillId="9" borderId="156" xfId="0" applyFont="1" applyFill="1" applyBorder="1" applyAlignment="1">
      <alignment horizontal="center" vertical="center"/>
    </xf>
    <xf numFmtId="0" fontId="17" fillId="9" borderId="15" xfId="0" applyFont="1" applyFill="1" applyBorder="1" applyAlignment="1">
      <alignment horizontal="center" vertical="center"/>
    </xf>
    <xf numFmtId="0" fontId="75" fillId="5" borderId="177" xfId="0" applyFont="1" applyFill="1" applyBorder="1" applyAlignment="1">
      <alignment horizontal="center" vertical="center" wrapText="1"/>
    </xf>
    <xf numFmtId="0" fontId="75" fillId="5" borderId="180" xfId="0" applyFont="1" applyFill="1" applyBorder="1" applyAlignment="1">
      <alignment horizontal="center" vertical="center" wrapText="1"/>
    </xf>
    <xf numFmtId="0" fontId="75" fillId="5" borderId="179" xfId="0" applyFont="1" applyFill="1" applyBorder="1" applyAlignment="1">
      <alignment horizontal="center" vertical="center" wrapText="1"/>
    </xf>
    <xf numFmtId="0" fontId="75" fillId="5" borderId="215" xfId="0" applyFont="1" applyFill="1" applyBorder="1" applyAlignment="1">
      <alignment horizontal="center" vertical="center" wrapText="1"/>
    </xf>
    <xf numFmtId="0" fontId="6" fillId="0" borderId="165" xfId="0" applyFont="1" applyBorder="1" applyAlignment="1">
      <alignment horizontal="center" vertical="center"/>
    </xf>
    <xf numFmtId="0" fontId="6" fillId="0" borderId="73" xfId="0" applyFont="1" applyBorder="1" applyAlignment="1">
      <alignment horizontal="center" vertical="center"/>
    </xf>
    <xf numFmtId="0" fontId="75" fillId="21" borderId="177" xfId="0" applyFont="1" applyFill="1" applyBorder="1" applyAlignment="1">
      <alignment horizontal="center" vertical="center" wrapText="1"/>
    </xf>
    <xf numFmtId="0" fontId="75" fillId="21" borderId="180" xfId="0" applyFont="1" applyFill="1" applyBorder="1" applyAlignment="1">
      <alignment horizontal="center" vertical="center" wrapText="1"/>
    </xf>
    <xf numFmtId="0" fontId="75" fillId="21" borderId="179" xfId="0" applyFont="1" applyFill="1" applyBorder="1" applyAlignment="1">
      <alignment horizontal="center" vertical="center" wrapText="1"/>
    </xf>
    <xf numFmtId="0" fontId="0" fillId="0" borderId="0" xfId="0" applyAlignment="1">
      <alignment horizontal="center"/>
    </xf>
    <xf numFmtId="0" fontId="55" fillId="9" borderId="191" xfId="0" applyFont="1" applyFill="1" applyBorder="1" applyAlignment="1">
      <alignment horizontal="center" vertical="center"/>
    </xf>
    <xf numFmtId="0" fontId="55" fillId="9" borderId="192" xfId="0" applyFont="1" applyFill="1" applyBorder="1" applyAlignment="1">
      <alignment horizontal="center" vertical="center"/>
    </xf>
    <xf numFmtId="0" fontId="55" fillId="9" borderId="191" xfId="0" applyFont="1" applyFill="1" applyBorder="1" applyAlignment="1">
      <alignment horizontal="center" vertical="center" wrapText="1"/>
    </xf>
    <xf numFmtId="0" fontId="55" fillId="9" borderId="192" xfId="0" applyFont="1" applyFill="1" applyBorder="1" applyAlignment="1">
      <alignment horizontal="center" vertical="center" wrapText="1"/>
    </xf>
    <xf numFmtId="0" fontId="75" fillId="21" borderId="215" xfId="0" applyFont="1" applyFill="1" applyBorder="1" applyAlignment="1">
      <alignment horizontal="center" vertical="center" wrapText="1"/>
    </xf>
    <xf numFmtId="0" fontId="6" fillId="0" borderId="213" xfId="0" applyFont="1" applyBorder="1" applyAlignment="1">
      <alignment horizontal="center" vertical="center"/>
    </xf>
    <xf numFmtId="0" fontId="6" fillId="0" borderId="211" xfId="0" applyFont="1" applyBorder="1" applyAlignment="1">
      <alignment horizontal="center" vertical="center"/>
    </xf>
    <xf numFmtId="0" fontId="75" fillId="5" borderId="195" xfId="0" applyFont="1" applyFill="1" applyBorder="1" applyAlignment="1">
      <alignment horizontal="center" vertical="center" wrapText="1"/>
    </xf>
    <xf numFmtId="0" fontId="75" fillId="5" borderId="198" xfId="0" applyFont="1" applyFill="1" applyBorder="1" applyAlignment="1">
      <alignment horizontal="center" vertical="center" wrapText="1"/>
    </xf>
    <xf numFmtId="0" fontId="75" fillId="5" borderId="207" xfId="0" applyFont="1" applyFill="1" applyBorder="1" applyAlignment="1">
      <alignment horizontal="center" vertical="center" wrapText="1"/>
    </xf>
    <xf numFmtId="0" fontId="75" fillId="5" borderId="204" xfId="0" applyFont="1" applyFill="1" applyBorder="1" applyAlignment="1">
      <alignment horizontal="center" vertical="center" wrapText="1"/>
    </xf>
    <xf numFmtId="0" fontId="75" fillId="5" borderId="201" xfId="0" applyFont="1" applyFill="1" applyBorder="1" applyAlignment="1">
      <alignment horizontal="center" vertical="center" wrapText="1"/>
    </xf>
    <xf numFmtId="0" fontId="33" fillId="16" borderId="140" xfId="0" applyFont="1" applyFill="1" applyBorder="1" applyAlignment="1">
      <alignment horizontal="left" vertical="center" wrapText="1"/>
    </xf>
    <xf numFmtId="0" fontId="55" fillId="9" borderId="19" xfId="0" applyFont="1" applyFill="1" applyBorder="1" applyAlignment="1">
      <alignment horizontal="center" vertical="center"/>
    </xf>
    <xf numFmtId="0" fontId="55" fillId="9" borderId="82" xfId="0" applyFont="1" applyFill="1" applyBorder="1" applyAlignment="1">
      <alignment horizontal="center" vertical="center"/>
    </xf>
    <xf numFmtId="0" fontId="55" fillId="9" borderId="20" xfId="0" applyFont="1" applyFill="1" applyBorder="1" applyAlignment="1">
      <alignment horizontal="center" vertical="center"/>
    </xf>
    <xf numFmtId="0" fontId="55" fillId="9" borderId="21" xfId="0" applyFont="1" applyFill="1" applyBorder="1" applyAlignment="1">
      <alignment horizontal="center" vertical="center"/>
    </xf>
    <xf numFmtId="0" fontId="55" fillId="9" borderId="12" xfId="0" applyFont="1" applyFill="1" applyBorder="1" applyAlignment="1">
      <alignment horizontal="center" vertical="center"/>
    </xf>
    <xf numFmtId="0" fontId="55" fillId="9" borderId="13" xfId="0" applyFont="1" applyFill="1" applyBorder="1" applyAlignment="1">
      <alignment horizontal="center" vertical="center"/>
    </xf>
    <xf numFmtId="0" fontId="52" fillId="0" borderId="0" xfId="0" applyFont="1" applyAlignment="1">
      <alignment horizontal="left" vertical="center" wrapText="1"/>
    </xf>
    <xf numFmtId="0" fontId="55" fillId="10" borderId="230" xfId="0" applyFont="1" applyFill="1" applyBorder="1" applyAlignment="1">
      <alignment horizontal="center" vertical="center" wrapText="1"/>
    </xf>
    <xf numFmtId="0" fontId="55" fillId="10" borderId="231" xfId="0" applyFont="1" applyFill="1" applyBorder="1" applyAlignment="1">
      <alignment horizontal="center" vertical="center" wrapText="1"/>
    </xf>
    <xf numFmtId="0" fontId="55" fillId="10" borderId="170" xfId="0" applyFont="1" applyFill="1" applyBorder="1" applyAlignment="1">
      <alignment horizontal="center" vertical="center" wrapText="1"/>
    </xf>
    <xf numFmtId="0" fontId="55" fillId="23" borderId="230" xfId="0" applyFont="1" applyFill="1" applyBorder="1" applyAlignment="1">
      <alignment horizontal="center" vertical="center" wrapText="1"/>
    </xf>
    <xf numFmtId="0" fontId="55" fillId="23" borderId="170" xfId="0" applyFont="1" applyFill="1" applyBorder="1" applyAlignment="1">
      <alignment horizontal="center" vertical="center" wrapText="1"/>
    </xf>
    <xf numFmtId="0" fontId="0" fillId="16" borderId="0" xfId="0" applyFill="1" applyAlignment="1">
      <alignment horizontal="left" vertical="top" wrapText="1"/>
    </xf>
    <xf numFmtId="0" fontId="14" fillId="15" borderId="112" xfId="0" applyFont="1" applyFill="1" applyBorder="1" applyAlignment="1">
      <alignment horizontal="left"/>
    </xf>
    <xf numFmtId="0" fontId="14" fillId="15" borderId="113" xfId="0" applyFont="1" applyFill="1" applyBorder="1" applyAlignment="1">
      <alignment horizontal="left"/>
    </xf>
    <xf numFmtId="0" fontId="14" fillId="15" borderId="128" xfId="0" applyFont="1" applyFill="1" applyBorder="1" applyAlignment="1">
      <alignment horizontal="left"/>
    </xf>
    <xf numFmtId="0" fontId="33" fillId="16" borderId="0" xfId="0" applyFont="1" applyFill="1" applyAlignment="1">
      <alignment horizontal="left" vertical="center" wrapText="1"/>
    </xf>
    <xf numFmtId="0" fontId="55" fillId="10" borderId="222" xfId="0" applyFont="1" applyFill="1" applyBorder="1" applyAlignment="1">
      <alignment horizontal="center" vertical="center" wrapText="1"/>
    </xf>
    <xf numFmtId="0" fontId="55" fillId="10" borderId="223" xfId="0" applyFont="1" applyFill="1" applyBorder="1" applyAlignment="1">
      <alignment horizontal="center" vertical="center" wrapText="1"/>
    </xf>
    <xf numFmtId="0" fontId="55" fillId="10" borderId="224" xfId="0" applyFont="1" applyFill="1" applyBorder="1" applyAlignment="1">
      <alignment horizontal="center" vertical="center" wrapText="1"/>
    </xf>
    <xf numFmtId="0" fontId="55" fillId="23" borderId="222" xfId="0" applyFont="1" applyFill="1" applyBorder="1" applyAlignment="1">
      <alignment horizontal="center" vertical="center" wrapText="1"/>
    </xf>
    <xf numFmtId="0" fontId="55" fillId="23" borderId="224" xfId="0" applyFont="1" applyFill="1" applyBorder="1" applyAlignment="1">
      <alignment horizontal="center" vertical="center" wrapText="1"/>
    </xf>
    <xf numFmtId="0" fontId="14" fillId="0" borderId="0" xfId="0" applyFont="1" applyAlignment="1">
      <alignment horizontal="left"/>
    </xf>
    <xf numFmtId="0" fontId="17" fillId="21" borderId="156" xfId="0" applyFont="1" applyFill="1" applyBorder="1" applyAlignment="1">
      <alignment horizontal="center" vertical="center"/>
    </xf>
    <xf numFmtId="0" fontId="17" fillId="21" borderId="15" xfId="0" applyFont="1" applyFill="1" applyBorder="1" applyAlignment="1">
      <alignment horizontal="center" vertical="center"/>
    </xf>
    <xf numFmtId="0" fontId="0" fillId="0" borderId="12" xfId="0" applyBorder="1" applyAlignment="1">
      <alignment horizontal="center"/>
    </xf>
    <xf numFmtId="0" fontId="0" fillId="0" borderId="0" xfId="0" applyAlignment="1">
      <alignment horizontal="center" vertical="center"/>
    </xf>
    <xf numFmtId="0" fontId="9" fillId="0" borderId="82" xfId="0" applyFont="1" applyBorder="1" applyAlignment="1">
      <alignment horizontal="left" vertical="top" wrapText="1"/>
    </xf>
    <xf numFmtId="0" fontId="34" fillId="31" borderId="0" xfId="0" applyFont="1" applyFill="1" applyAlignment="1">
      <alignment horizontal="left"/>
    </xf>
    <xf numFmtId="0" fontId="34" fillId="35" borderId="0" xfId="0" applyFont="1" applyFill="1" applyAlignment="1">
      <alignment horizontal="left"/>
    </xf>
    <xf numFmtId="0" fontId="55" fillId="23" borderId="121" xfId="0" applyFont="1" applyFill="1" applyBorder="1" applyAlignment="1">
      <alignment horizontal="center" vertical="center" wrapText="1"/>
    </xf>
    <xf numFmtId="0" fontId="75" fillId="5" borderId="247" xfId="0" applyFont="1" applyFill="1" applyBorder="1" applyAlignment="1">
      <alignment horizontal="center" vertical="center" wrapText="1"/>
    </xf>
    <xf numFmtId="0" fontId="6" fillId="21" borderId="165" xfId="0" applyFont="1" applyFill="1" applyBorder="1" applyAlignment="1">
      <alignment horizontal="center" vertical="center"/>
    </xf>
    <xf numFmtId="0" fontId="6" fillId="21" borderId="73" xfId="0" applyFont="1" applyFill="1" applyBorder="1" applyAlignment="1">
      <alignment horizontal="center" vertical="center"/>
    </xf>
    <xf numFmtId="0" fontId="75" fillId="5" borderId="251" xfId="0" applyFont="1" applyFill="1" applyBorder="1" applyAlignment="1">
      <alignment horizontal="center" vertical="center" wrapText="1"/>
    </xf>
    <xf numFmtId="165" fontId="0" fillId="0" borderId="0" xfId="1" applyNumberFormat="1" applyFont="1" applyBorder="1"/>
    <xf numFmtId="165" fontId="0" fillId="0" borderId="32" xfId="1" applyNumberFormat="1" applyFont="1" applyBorder="1"/>
    <xf numFmtId="165" fontId="0" fillId="0" borderId="12" xfId="1" applyNumberFormat="1" applyFont="1" applyBorder="1"/>
    <xf numFmtId="165" fontId="0" fillId="0" borderId="13" xfId="1" applyNumberFormat="1" applyFont="1" applyBorder="1"/>
    <xf numFmtId="165" fontId="0" fillId="0" borderId="112" xfId="0" applyNumberFormat="1" applyBorder="1" applyAlignment="1">
      <alignment horizontal="center"/>
    </xf>
    <xf numFmtId="165" fontId="0" fillId="0" borderId="113" xfId="0" applyNumberFormat="1" applyBorder="1" applyAlignment="1">
      <alignment horizontal="center"/>
    </xf>
    <xf numFmtId="165" fontId="0" fillId="0" borderId="128" xfId="0" applyNumberFormat="1" applyBorder="1" applyAlignment="1">
      <alignment horizontal="center"/>
    </xf>
    <xf numFmtId="0" fontId="2" fillId="21" borderId="19" xfId="0" applyFont="1" applyFill="1" applyBorder="1" applyAlignment="1">
      <alignment horizontal="center"/>
    </xf>
    <xf numFmtId="0" fontId="2" fillId="21" borderId="82" xfId="0" applyFont="1" applyFill="1" applyBorder="1" applyAlignment="1">
      <alignment horizontal="center"/>
    </xf>
    <xf numFmtId="0" fontId="2" fillId="21" borderId="20" xfId="0" applyFont="1" applyFill="1" applyBorder="1" applyAlignment="1">
      <alignment horizontal="center"/>
    </xf>
    <xf numFmtId="0" fontId="2" fillId="21" borderId="127" xfId="0" applyFont="1" applyFill="1" applyBorder="1" applyAlignment="1">
      <alignment horizontal="center"/>
    </xf>
    <xf numFmtId="0" fontId="2" fillId="21" borderId="4" xfId="0" applyFont="1" applyFill="1" applyBorder="1" applyAlignment="1">
      <alignment horizontal="center"/>
    </xf>
    <xf numFmtId="0" fontId="2" fillId="21" borderId="162" xfId="0" applyFont="1" applyFill="1" applyBorder="1" applyAlignment="1">
      <alignment horizontal="center"/>
    </xf>
    <xf numFmtId="165" fontId="0" fillId="0" borderId="84" xfId="0" applyNumberFormat="1" applyBorder="1" applyAlignment="1">
      <alignment horizontal="center"/>
    </xf>
    <xf numFmtId="165" fontId="0" fillId="0" borderId="0" xfId="0" applyNumberFormat="1" applyAlignment="1">
      <alignment horizontal="center"/>
    </xf>
    <xf numFmtId="165" fontId="0" fillId="0" borderId="32" xfId="0" applyNumberFormat="1" applyBorder="1" applyAlignment="1">
      <alignment horizontal="center"/>
    </xf>
    <xf numFmtId="165" fontId="0" fillId="0" borderId="113" xfId="0" applyNumberFormat="1" applyBorder="1"/>
    <xf numFmtId="165" fontId="0" fillId="0" borderId="128" xfId="0" applyNumberFormat="1" applyBorder="1"/>
    <xf numFmtId="0" fontId="17" fillId="9" borderId="82" xfId="0" applyFont="1" applyFill="1" applyBorder="1" applyAlignment="1">
      <alignment horizontal="center" vertical="center" wrapText="1"/>
    </xf>
    <xf numFmtId="0" fontId="17" fillId="9" borderId="20" xfId="0" applyFont="1" applyFill="1" applyBorder="1" applyAlignment="1">
      <alignment horizontal="center" vertical="center" wrapText="1"/>
    </xf>
    <xf numFmtId="0" fontId="61" fillId="0" borderId="0" xfId="0" applyFont="1" applyAlignment="1">
      <alignment horizontal="center"/>
    </xf>
    <xf numFmtId="0" fontId="80" fillId="3" borderId="153" xfId="0" applyFont="1" applyFill="1" applyBorder="1" applyAlignment="1">
      <alignment horizontal="center" vertical="center" wrapText="1"/>
    </xf>
    <xf numFmtId="0" fontId="14" fillId="3" borderId="154" xfId="0" applyFont="1" applyFill="1" applyBorder="1" applyAlignment="1">
      <alignment horizontal="center" vertical="center" wrapText="1"/>
    </xf>
    <xf numFmtId="0" fontId="14" fillId="3" borderId="155" xfId="0" applyFont="1" applyFill="1" applyBorder="1" applyAlignment="1">
      <alignment horizontal="center" vertical="center" wrapText="1"/>
    </xf>
    <xf numFmtId="0" fontId="14" fillId="22" borderId="154" xfId="0" applyFont="1" applyFill="1" applyBorder="1" applyAlignment="1">
      <alignment horizontal="center" vertical="center" wrapText="1"/>
    </xf>
    <xf numFmtId="0" fontId="14" fillId="22" borderId="155" xfId="0" applyFont="1" applyFill="1" applyBorder="1" applyAlignment="1">
      <alignment horizontal="center" vertical="center" wrapText="1"/>
    </xf>
    <xf numFmtId="0" fontId="8" fillId="0" borderId="154" xfId="0" applyFont="1" applyBorder="1" applyAlignment="1">
      <alignment horizontal="center"/>
    </xf>
    <xf numFmtId="0" fontId="8" fillId="0" borderId="114" xfId="0" applyFont="1" applyBorder="1" applyAlignment="1">
      <alignment horizontal="center"/>
    </xf>
    <xf numFmtId="0" fontId="8" fillId="0" borderId="155" xfId="0" applyFont="1" applyBorder="1" applyAlignment="1">
      <alignment horizontal="center"/>
    </xf>
    <xf numFmtId="0" fontId="0" fillId="0" borderId="153" xfId="0" applyBorder="1" applyAlignment="1">
      <alignment horizontal="center" vertical="center" wrapText="1"/>
    </xf>
    <xf numFmtId="0" fontId="83" fillId="0" borderId="153" xfId="0" applyFont="1" applyBorder="1" applyAlignment="1">
      <alignment horizontal="center" vertical="center" wrapText="1"/>
    </xf>
    <xf numFmtId="0" fontId="17" fillId="10" borderId="0" xfId="3" applyFont="1" applyFill="1" applyAlignment="1">
      <alignment horizontal="center" vertical="center" wrapText="1"/>
    </xf>
    <xf numFmtId="0" fontId="79" fillId="0" borderId="0" xfId="0" applyFont="1" applyAlignment="1">
      <alignment horizontal="center" vertical="center" wrapText="1"/>
    </xf>
    <xf numFmtId="0" fontId="10" fillId="0" borderId="164" xfId="0" applyFont="1" applyBorder="1" applyAlignment="1">
      <alignment horizontal="center" vertical="center"/>
    </xf>
    <xf numFmtId="0" fontId="10" fillId="0" borderId="127" xfId="0" applyFont="1" applyBorder="1" applyAlignment="1">
      <alignment horizontal="center" vertical="center"/>
    </xf>
    <xf numFmtId="0" fontId="10" fillId="0" borderId="84" xfId="0" applyFont="1" applyBorder="1" applyAlignment="1">
      <alignment horizontal="center" vertical="center"/>
    </xf>
    <xf numFmtId="0" fontId="10" fillId="0" borderId="19" xfId="0" applyFont="1" applyBorder="1" applyAlignment="1">
      <alignment horizontal="center" vertical="center"/>
    </xf>
    <xf numFmtId="0" fontId="2" fillId="3" borderId="152" xfId="0" applyFont="1" applyFill="1" applyBorder="1" applyAlignment="1">
      <alignment horizontal="center" vertical="center"/>
    </xf>
    <xf numFmtId="0" fontId="2" fillId="3" borderId="144" xfId="0" applyFont="1" applyFill="1" applyBorder="1" applyAlignment="1">
      <alignment horizontal="center" vertical="center"/>
    </xf>
    <xf numFmtId="0" fontId="2" fillId="16" borderId="152" xfId="0" applyFont="1" applyFill="1" applyBorder="1" applyAlignment="1">
      <alignment horizontal="center" vertical="center"/>
    </xf>
    <xf numFmtId="0" fontId="2" fillId="16" borderId="22" xfId="0" applyFont="1" applyFill="1" applyBorder="1" applyAlignment="1">
      <alignment horizontal="center" vertical="center"/>
    </xf>
    <xf numFmtId="0" fontId="2" fillId="16" borderId="144" xfId="0" applyFont="1" applyFill="1" applyBorder="1" applyAlignment="1">
      <alignment horizontal="center" vertical="center"/>
    </xf>
    <xf numFmtId="0" fontId="2" fillId="30" borderId="152" xfId="0" applyFont="1" applyFill="1" applyBorder="1" applyAlignment="1">
      <alignment horizontal="center" vertical="center"/>
    </xf>
    <xf numFmtId="0" fontId="2" fillId="30" borderId="144" xfId="0" applyFont="1" applyFill="1" applyBorder="1" applyAlignment="1">
      <alignment horizontal="center" vertical="center"/>
    </xf>
    <xf numFmtId="0" fontId="10" fillId="0" borderId="164" xfId="0" applyFont="1" applyBorder="1" applyAlignment="1">
      <alignment horizontal="center" vertical="center" wrapText="1"/>
    </xf>
    <xf numFmtId="0" fontId="10" fillId="0" borderId="84" xfId="0" applyFont="1" applyBorder="1" applyAlignment="1">
      <alignment horizontal="center" vertical="center" wrapText="1"/>
    </xf>
    <xf numFmtId="0" fontId="10" fillId="0" borderId="127" xfId="0" applyFont="1" applyBorder="1" applyAlignment="1">
      <alignment horizontal="center" vertical="center" wrapText="1"/>
    </xf>
    <xf numFmtId="0" fontId="10" fillId="33" borderId="82" xfId="0" applyFont="1" applyFill="1" applyBorder="1" applyAlignment="1">
      <alignment horizontal="center" vertical="center"/>
    </xf>
    <xf numFmtId="0" fontId="10" fillId="33" borderId="12" xfId="0" applyFont="1" applyFill="1" applyBorder="1" applyAlignment="1">
      <alignment horizontal="center" vertical="center"/>
    </xf>
    <xf numFmtId="0" fontId="10" fillId="33" borderId="0" xfId="0" applyFont="1" applyFill="1" applyAlignment="1">
      <alignment horizontal="center" vertical="center"/>
    </xf>
    <xf numFmtId="0" fontId="0" fillId="15" borderId="19" xfId="0" applyFill="1" applyBorder="1" applyAlignment="1">
      <alignment horizontal="center"/>
    </xf>
    <xf numFmtId="0" fontId="0" fillId="15" borderId="82" xfId="0" applyFill="1" applyBorder="1" applyAlignment="1">
      <alignment horizontal="center"/>
    </xf>
    <xf numFmtId="0" fontId="9" fillId="0" borderId="75" xfId="0" applyFont="1" applyBorder="1" applyAlignment="1">
      <alignment horizontal="left"/>
    </xf>
    <xf numFmtId="0" fontId="39" fillId="17" borderId="154" xfId="0" applyFont="1" applyFill="1" applyBorder="1" applyAlignment="1">
      <alignment horizontal="center" vertical="center" wrapText="1"/>
    </xf>
    <xf numFmtId="0" fontId="39" fillId="17" borderId="155" xfId="0" applyFont="1" applyFill="1" applyBorder="1" applyAlignment="1">
      <alignment horizontal="center" vertical="center" wrapText="1"/>
    </xf>
    <xf numFmtId="0" fontId="38" fillId="14" borderId="91" xfId="0" applyFont="1" applyFill="1" applyBorder="1" applyAlignment="1">
      <alignment horizontal="center" vertical="center" wrapText="1"/>
    </xf>
    <xf numFmtId="0" fontId="38" fillId="14" borderId="2" xfId="0" applyFont="1" applyFill="1" applyBorder="1" applyAlignment="1">
      <alignment horizontal="center" vertical="center" wrapText="1"/>
    </xf>
    <xf numFmtId="0" fontId="18" fillId="7" borderId="103" xfId="0" applyFont="1" applyFill="1" applyBorder="1" applyAlignment="1">
      <alignment horizontal="center" vertical="center"/>
    </xf>
    <xf numFmtId="0" fontId="18" fillId="7" borderId="104" xfId="0" applyFont="1" applyFill="1" applyBorder="1" applyAlignment="1">
      <alignment horizontal="center" vertical="center"/>
    </xf>
    <xf numFmtId="0" fontId="18" fillId="7" borderId="105" xfId="0" applyFont="1" applyFill="1" applyBorder="1" applyAlignment="1">
      <alignment horizontal="center" vertical="center"/>
    </xf>
    <xf numFmtId="0" fontId="24" fillId="10" borderId="0" xfId="3" applyFont="1" applyFill="1" applyAlignment="1">
      <alignment horizontal="center" vertical="center" wrapText="1"/>
    </xf>
    <xf numFmtId="0" fontId="9" fillId="0" borderId="104" xfId="0" applyFont="1" applyBorder="1" applyAlignment="1">
      <alignment horizontal="center"/>
    </xf>
    <xf numFmtId="0" fontId="24" fillId="9" borderId="84" xfId="0" applyFont="1" applyFill="1" applyBorder="1" applyAlignment="1">
      <alignment horizontal="left" vertical="center"/>
    </xf>
    <xf numFmtId="0" fontId="24" fillId="9" borderId="0" xfId="0" applyFont="1" applyFill="1" applyAlignment="1">
      <alignment horizontal="left" vertical="center"/>
    </xf>
    <xf numFmtId="0" fontId="24" fillId="9" borderId="9" xfId="0" applyFont="1" applyFill="1" applyBorder="1" applyAlignment="1">
      <alignment horizontal="left" vertical="center"/>
    </xf>
    <xf numFmtId="0" fontId="49" fillId="9" borderId="0" xfId="0" applyFont="1" applyFill="1" applyAlignment="1">
      <alignment horizontal="left" vertical="center"/>
    </xf>
    <xf numFmtId="0" fontId="92" fillId="0" borderId="27" xfId="0" applyFont="1" applyBorder="1" applyAlignment="1">
      <alignment horizontal="right" vertical="center"/>
    </xf>
    <xf numFmtId="0" fontId="92" fillId="0" borderId="28" xfId="0" applyFont="1" applyBorder="1" applyAlignment="1">
      <alignment horizontal="right" vertical="center"/>
    </xf>
    <xf numFmtId="0" fontId="10" fillId="0" borderId="0" xfId="0" applyFont="1" applyAlignment="1">
      <alignment horizontal="center" vertical="center"/>
    </xf>
    <xf numFmtId="0" fontId="73" fillId="23" borderId="0" xfId="0" applyFont="1" applyFill="1" applyAlignment="1">
      <alignment horizontal="left" vertical="center"/>
    </xf>
    <xf numFmtId="0" fontId="24" fillId="7" borderId="0" xfId="0" applyFont="1" applyFill="1" applyAlignment="1">
      <alignment horizontal="center" vertical="center"/>
    </xf>
    <xf numFmtId="0" fontId="8" fillId="0" borderId="0" xfId="0" applyFont="1" applyAlignment="1">
      <alignment horizontal="center" wrapText="1"/>
    </xf>
    <xf numFmtId="0" fontId="57" fillId="0" borderId="0" xfId="0" applyFont="1" applyAlignment="1">
      <alignment horizontal="center"/>
    </xf>
    <xf numFmtId="0" fontId="16" fillId="10" borderId="0" xfId="3" applyFont="1" applyFill="1" applyAlignment="1">
      <alignment horizontal="center" vertical="center"/>
    </xf>
    <xf numFmtId="0" fontId="88" fillId="0" borderId="0" xfId="0" applyFont="1" applyAlignment="1">
      <alignment horizontal="center"/>
    </xf>
    <xf numFmtId="0" fontId="41" fillId="0" borderId="4" xfId="0" applyFont="1" applyBorder="1" applyAlignment="1">
      <alignment horizontal="left"/>
    </xf>
    <xf numFmtId="0" fontId="9" fillId="0" borderId="131" xfId="0" applyFont="1" applyBorder="1" applyAlignment="1">
      <alignment horizontal="left" vertical="center" wrapText="1"/>
    </xf>
    <xf numFmtId="0" fontId="18" fillId="7" borderId="74" xfId="0" applyFont="1" applyFill="1" applyBorder="1" applyAlignment="1">
      <alignment horizontal="center" vertical="center"/>
    </xf>
    <xf numFmtId="0" fontId="18" fillId="7" borderId="75" xfId="0" applyFont="1" applyFill="1" applyBorder="1" applyAlignment="1">
      <alignment horizontal="center" vertical="center"/>
    </xf>
    <xf numFmtId="0" fontId="18" fillId="7" borderId="76" xfId="0" applyFont="1" applyFill="1" applyBorder="1" applyAlignment="1">
      <alignment horizontal="center" vertical="center"/>
    </xf>
    <xf numFmtId="0" fontId="10" fillId="33" borderId="164" xfId="0" applyFont="1" applyFill="1" applyBorder="1" applyAlignment="1">
      <alignment horizontal="center" vertical="center"/>
    </xf>
    <xf numFmtId="0" fontId="10" fillId="33" borderId="127" xfId="0" applyFont="1" applyFill="1" applyBorder="1" applyAlignment="1">
      <alignment horizontal="center" vertical="center"/>
    </xf>
    <xf numFmtId="0" fontId="10" fillId="33" borderId="84" xfId="0" applyFont="1" applyFill="1" applyBorder="1" applyAlignment="1">
      <alignment horizontal="center" vertical="center"/>
    </xf>
    <xf numFmtId="0" fontId="10" fillId="33" borderId="164" xfId="0" applyFont="1" applyFill="1" applyBorder="1" applyAlignment="1">
      <alignment horizontal="center" vertical="center" wrapText="1"/>
    </xf>
    <xf numFmtId="0" fontId="10" fillId="33" borderId="84" xfId="0" applyFont="1" applyFill="1" applyBorder="1" applyAlignment="1">
      <alignment horizontal="center" vertical="center" wrapText="1"/>
    </xf>
    <xf numFmtId="0" fontId="10" fillId="33" borderId="127" xfId="0" applyFont="1" applyFill="1" applyBorder="1" applyAlignment="1">
      <alignment horizontal="center" vertical="center" wrapText="1"/>
    </xf>
    <xf numFmtId="0" fontId="18" fillId="9" borderId="15" xfId="0" applyFont="1" applyFill="1" applyBorder="1" applyAlignment="1">
      <alignment horizontal="center" vertical="center"/>
    </xf>
    <xf numFmtId="0" fontId="18" fillId="9" borderId="16" xfId="0" applyFont="1" applyFill="1" applyBorder="1" applyAlignment="1">
      <alignment horizontal="center" vertical="center"/>
    </xf>
    <xf numFmtId="0" fontId="18" fillId="9" borderId="82" xfId="0" applyFont="1" applyFill="1" applyBorder="1" applyAlignment="1">
      <alignment horizontal="center" vertical="center"/>
    </xf>
    <xf numFmtId="0" fontId="18" fillId="9" borderId="20" xfId="0" applyFont="1" applyFill="1" applyBorder="1" applyAlignment="1">
      <alignment horizontal="center" vertical="center"/>
    </xf>
    <xf numFmtId="0" fontId="61" fillId="22" borderId="141" xfId="0" applyFont="1" applyFill="1" applyBorder="1" applyAlignment="1">
      <alignment horizontal="center" vertical="center" wrapText="1"/>
    </xf>
    <xf numFmtId="0" fontId="61" fillId="22" borderId="2" xfId="0" applyFont="1" applyFill="1" applyBorder="1" applyAlignment="1">
      <alignment horizontal="center" vertical="center" wrapText="1"/>
    </xf>
    <xf numFmtId="0" fontId="2" fillId="0" borderId="109" xfId="0" applyFont="1" applyBorder="1" applyAlignment="1">
      <alignment horizontal="center" wrapText="1"/>
    </xf>
    <xf numFmtId="0" fontId="2" fillId="0" borderId="91" xfId="0" applyFont="1" applyBorder="1" applyAlignment="1">
      <alignment horizontal="center" wrapText="1"/>
    </xf>
    <xf numFmtId="0" fontId="28" fillId="0" borderId="140" xfId="0" applyFont="1" applyBorder="1" applyAlignment="1">
      <alignment horizontal="left" vertical="center" wrapText="1"/>
    </xf>
    <xf numFmtId="0" fontId="2" fillId="0" borderId="32" xfId="0" applyFont="1" applyBorder="1" applyAlignment="1">
      <alignment horizontal="right" wrapText="1"/>
    </xf>
    <xf numFmtId="0" fontId="54" fillId="0" borderId="138" xfId="0" applyFont="1" applyBorder="1" applyAlignment="1">
      <alignment horizontal="left"/>
    </xf>
    <xf numFmtId="0" fontId="40" fillId="15" borderId="121" xfId="0" applyFont="1" applyFill="1" applyBorder="1" applyAlignment="1" applyProtection="1">
      <alignment horizontal="center"/>
      <protection locked="0"/>
    </xf>
    <xf numFmtId="0" fontId="40" fillId="15" borderId="250" xfId="0" applyFont="1" applyFill="1" applyBorder="1" applyAlignment="1" applyProtection="1">
      <alignment horizontal="center"/>
      <protection locked="0"/>
    </xf>
    <xf numFmtId="0" fontId="40" fillId="15" borderId="91" xfId="0" applyFont="1" applyFill="1" applyBorder="1" applyAlignment="1" applyProtection="1">
      <alignment horizontal="center"/>
      <protection locked="0"/>
    </xf>
    <xf numFmtId="0" fontId="40" fillId="15" borderId="2" xfId="0" applyFont="1" applyFill="1" applyBorder="1" applyAlignment="1" applyProtection="1">
      <alignment horizontal="center"/>
      <protection locked="0"/>
    </xf>
    <xf numFmtId="0" fontId="40" fillId="15" borderId="82" xfId="0" applyFont="1" applyFill="1" applyBorder="1" applyAlignment="1" applyProtection="1">
      <alignment horizontal="center"/>
      <protection locked="0"/>
    </xf>
    <xf numFmtId="0" fontId="40" fillId="15" borderId="4" xfId="0" applyFont="1" applyFill="1" applyBorder="1" applyAlignment="1" applyProtection="1">
      <alignment horizontal="center"/>
      <protection locked="0"/>
    </xf>
    <xf numFmtId="0" fontId="40" fillId="0" borderId="126" xfId="0" applyFont="1" applyBorder="1" applyAlignment="1" applyProtection="1">
      <alignment horizontal="center" vertical="center" wrapText="1"/>
      <protection locked="0"/>
    </xf>
    <xf numFmtId="0" fontId="40" fillId="0" borderId="128" xfId="0" applyFont="1" applyBorder="1" applyAlignment="1" applyProtection="1">
      <alignment horizontal="center" vertical="center" wrapText="1"/>
      <protection locked="0"/>
    </xf>
    <xf numFmtId="0" fontId="102" fillId="35" borderId="112" xfId="0" applyFont="1" applyFill="1" applyBorder="1" applyAlignment="1">
      <alignment horizontal="center" vertical="center"/>
    </xf>
    <xf numFmtId="0" fontId="102" fillId="35" borderId="249" xfId="0" applyFont="1" applyFill="1" applyBorder="1" applyAlignment="1">
      <alignment horizontal="center" vertical="center"/>
    </xf>
    <xf numFmtId="0" fontId="40" fillId="0" borderId="126" xfId="0" applyFont="1" applyBorder="1" applyAlignment="1">
      <alignment horizontal="center" vertical="center"/>
    </xf>
    <xf numFmtId="0" fontId="40" fillId="0" borderId="113" xfId="0" applyFont="1" applyBorder="1" applyAlignment="1">
      <alignment horizontal="center" vertical="center"/>
    </xf>
    <xf numFmtId="0" fontId="40" fillId="0" borderId="128" xfId="0" applyFont="1" applyBorder="1" applyAlignment="1">
      <alignment horizontal="center" vertical="center"/>
    </xf>
    <xf numFmtId="0" fontId="2" fillId="33" borderId="0" xfId="0" applyFont="1" applyFill="1" applyAlignment="1">
      <alignment horizontal="center" vertical="top" textRotation="90" wrapText="1"/>
    </xf>
    <xf numFmtId="0" fontId="40" fillId="0" borderId="125" xfId="0" applyFont="1" applyBorder="1" applyAlignment="1">
      <alignment horizontal="center" vertical="center"/>
    </xf>
    <xf numFmtId="0" fontId="40" fillId="0" borderId="235" xfId="0" applyFont="1" applyBorder="1" applyAlignment="1">
      <alignment horizontal="center" vertical="center"/>
    </xf>
    <xf numFmtId="0" fontId="40" fillId="0" borderId="125" xfId="0" applyFont="1" applyBorder="1" applyAlignment="1" applyProtection="1">
      <alignment horizontal="center" vertical="center" wrapText="1"/>
      <protection locked="0"/>
    </xf>
    <xf numFmtId="0" fontId="40" fillId="0" borderId="235" xfId="0" applyFont="1" applyBorder="1" applyAlignment="1" applyProtection="1">
      <alignment horizontal="center" vertical="center" wrapText="1"/>
      <protection locked="0"/>
    </xf>
    <xf numFmtId="0" fontId="79" fillId="0" borderId="0" xfId="0" applyFont="1" applyAlignment="1">
      <alignment horizontal="left" wrapText="1"/>
    </xf>
    <xf numFmtId="0" fontId="0" fillId="22" borderId="106" xfId="0" applyFill="1" applyBorder="1" applyAlignment="1" applyProtection="1">
      <alignment horizontal="center"/>
      <protection locked="0"/>
    </xf>
    <xf numFmtId="0" fontId="0" fillId="22" borderId="107" xfId="0" applyFill="1" applyBorder="1" applyAlignment="1" applyProtection="1">
      <alignment horizontal="center"/>
      <protection locked="0"/>
    </xf>
    <xf numFmtId="0" fontId="0" fillId="22" borderId="108" xfId="0" applyFill="1" applyBorder="1" applyAlignment="1" applyProtection="1">
      <alignment horizontal="center"/>
      <protection locked="0"/>
    </xf>
    <xf numFmtId="0" fontId="9" fillId="0" borderId="82" xfId="0" applyFont="1" applyBorder="1" applyAlignment="1">
      <alignment horizontal="left" wrapText="1"/>
    </xf>
    <xf numFmtId="0" fontId="9" fillId="0" borderId="110" xfId="0" applyFont="1" applyBorder="1" applyAlignment="1">
      <alignment horizontal="center" vertical="center"/>
    </xf>
    <xf numFmtId="0" fontId="9" fillId="0" borderId="0" xfId="0" applyFont="1" applyAlignment="1">
      <alignment horizontal="center" vertical="center"/>
    </xf>
    <xf numFmtId="0" fontId="9" fillId="0" borderId="32" xfId="0" applyFont="1" applyBorder="1" applyAlignment="1">
      <alignment horizontal="center" vertical="center"/>
    </xf>
    <xf numFmtId="0" fontId="93" fillId="0" borderId="103" xfId="0" applyFont="1" applyBorder="1" applyAlignment="1">
      <alignment horizontal="center" vertical="center" wrapText="1"/>
    </xf>
    <xf numFmtId="0" fontId="93" fillId="0" borderId="104" xfId="0" applyFont="1" applyBorder="1" applyAlignment="1">
      <alignment horizontal="center" vertical="center" wrapText="1"/>
    </xf>
    <xf numFmtId="0" fontId="93" fillId="0" borderId="105" xfId="0" applyFont="1" applyBorder="1" applyAlignment="1">
      <alignment horizontal="center" vertical="center" wrapText="1"/>
    </xf>
    <xf numFmtId="0" fontId="0" fillId="0" borderId="106" xfId="0" applyBorder="1"/>
    <xf numFmtId="0" fontId="0" fillId="0" borderId="107" xfId="0" applyBorder="1"/>
    <xf numFmtId="0" fontId="0" fillId="0" borderId="108" xfId="0" applyBorder="1"/>
    <xf numFmtId="0" fontId="33" fillId="3" borderId="103" xfId="0" applyFont="1" applyFill="1" applyBorder="1" applyAlignment="1">
      <alignment horizontal="center" vertical="center" wrapText="1"/>
    </xf>
    <xf numFmtId="0" fontId="33" fillId="3" borderId="104" xfId="0" applyFont="1" applyFill="1" applyBorder="1" applyAlignment="1">
      <alignment horizontal="center" vertical="center" wrapText="1"/>
    </xf>
    <xf numFmtId="0" fontId="33" fillId="3" borderId="105" xfId="0" applyFont="1" applyFill="1" applyBorder="1" applyAlignment="1">
      <alignment horizontal="center" vertical="center" wrapText="1"/>
    </xf>
    <xf numFmtId="0" fontId="10" fillId="0" borderId="3" xfId="0" applyFont="1" applyBorder="1" applyAlignment="1">
      <alignment horizontal="center" vertical="center"/>
    </xf>
    <xf numFmtId="0" fontId="10" fillId="0" borderId="4" xfId="0" applyFont="1" applyBorder="1" applyAlignment="1">
      <alignment horizontal="center" vertical="center"/>
    </xf>
    <xf numFmtId="0" fontId="18" fillId="9" borderId="14" xfId="0" applyFont="1" applyFill="1" applyBorder="1" applyAlignment="1">
      <alignment horizontal="center" vertical="center"/>
    </xf>
    <xf numFmtId="0" fontId="93" fillId="0" borderId="103" xfId="0" applyFont="1" applyBorder="1" applyAlignment="1">
      <alignment horizontal="center" vertical="center"/>
    </xf>
    <xf numFmtId="0" fontId="93" fillId="0" borderId="104" xfId="0" applyFont="1" applyBorder="1" applyAlignment="1">
      <alignment horizontal="center" vertical="center"/>
    </xf>
    <xf numFmtId="0" fontId="93" fillId="0" borderId="105" xfId="0" applyFont="1" applyBorder="1" applyAlignment="1">
      <alignment horizontal="center" vertical="center"/>
    </xf>
    <xf numFmtId="0" fontId="18" fillId="18" borderId="113" xfId="0" applyFont="1" applyFill="1" applyBorder="1"/>
    <xf numFmtId="0" fontId="18" fillId="9" borderId="113" xfId="0" applyFont="1" applyFill="1" applyBorder="1" applyAlignment="1">
      <alignment wrapText="1"/>
    </xf>
    <xf numFmtId="0" fontId="10" fillId="0" borderId="3" xfId="0" applyFont="1" applyBorder="1" applyAlignment="1">
      <alignment horizontal="center" vertical="center" wrapText="1"/>
    </xf>
    <xf numFmtId="0" fontId="10" fillId="0" borderId="0" xfId="0" applyFont="1" applyAlignment="1">
      <alignment horizontal="center" vertical="center" wrapText="1"/>
    </xf>
    <xf numFmtId="0" fontId="10" fillId="0" borderId="4" xfId="0" applyFont="1" applyBorder="1" applyAlignment="1">
      <alignment horizontal="center" vertical="center" wrapText="1"/>
    </xf>
    <xf numFmtId="0" fontId="87" fillId="0" borderId="0" xfId="0" applyFont="1" applyAlignment="1">
      <alignment horizontal="center" vertical="center" wrapText="1"/>
    </xf>
    <xf numFmtId="0" fontId="87" fillId="0" borderId="32" xfId="0" applyFont="1" applyBorder="1" applyAlignment="1">
      <alignment horizontal="center" vertical="center" wrapText="1"/>
    </xf>
    <xf numFmtId="0" fontId="47" fillId="10" borderId="0" xfId="3" applyFont="1" applyFill="1" applyAlignment="1">
      <alignment horizontal="center" vertical="center"/>
    </xf>
    <xf numFmtId="0" fontId="47" fillId="9" borderId="0" xfId="3" applyFont="1" applyFill="1" applyAlignment="1">
      <alignment horizontal="center" vertical="center"/>
    </xf>
    <xf numFmtId="0" fontId="25" fillId="10" borderId="138" xfId="0" applyFont="1" applyFill="1" applyBorder="1" applyAlignment="1">
      <alignment horizontal="left" vertical="top" wrapText="1"/>
    </xf>
    <xf numFmtId="0" fontId="55" fillId="9" borderId="0" xfId="0" applyFont="1" applyFill="1" applyAlignment="1">
      <alignment horizontal="center" vertical="center" wrapText="1"/>
    </xf>
    <xf numFmtId="0" fontId="20" fillId="9" borderId="0" xfId="0" applyFont="1" applyFill="1" applyAlignment="1">
      <alignment horizontal="center" wrapText="1"/>
    </xf>
    <xf numFmtId="0" fontId="23" fillId="9" borderId="0" xfId="0" applyFont="1" applyFill="1" applyAlignment="1">
      <alignment horizontal="center" wrapText="1"/>
    </xf>
    <xf numFmtId="0" fontId="23" fillId="9" borderId="12" xfId="0" applyFont="1" applyFill="1" applyBorder="1" applyAlignment="1">
      <alignment horizontal="center" wrapText="1"/>
    </xf>
    <xf numFmtId="0" fontId="20" fillId="9" borderId="0" xfId="0" quotePrefix="1" applyFont="1" applyFill="1" applyAlignment="1">
      <alignment horizontal="center" wrapText="1"/>
    </xf>
    <xf numFmtId="0" fontId="23" fillId="9" borderId="0" xfId="0" quotePrefix="1" applyFont="1" applyFill="1" applyAlignment="1">
      <alignment horizontal="center" wrapText="1"/>
    </xf>
    <xf numFmtId="0" fontId="29" fillId="0" borderId="140" xfId="0" applyFont="1" applyBorder="1" applyAlignment="1">
      <alignment horizontal="left" vertical="top" wrapText="1"/>
    </xf>
    <xf numFmtId="0" fontId="104" fillId="7" borderId="0" xfId="3" applyFont="1" applyFill="1" applyBorder="1" applyAlignment="1" applyProtection="1">
      <alignment horizontal="center" vertical="center" wrapText="1"/>
      <protection locked="0"/>
    </xf>
    <xf numFmtId="0" fontId="52" fillId="0" borderId="104" xfId="0" applyFont="1" applyBorder="1" applyAlignment="1" applyProtection="1">
      <alignment horizontal="left" wrapText="1"/>
      <protection locked="0"/>
    </xf>
    <xf numFmtId="0" fontId="16" fillId="10" borderId="0" xfId="3" applyFont="1" applyFill="1" applyAlignment="1">
      <alignment horizontal="center" vertical="center" wrapText="1"/>
    </xf>
    <xf numFmtId="0" fontId="88" fillId="0" borderId="32" xfId="0" applyFont="1" applyBorder="1" applyAlignment="1">
      <alignment horizontal="center"/>
    </xf>
    <xf numFmtId="0" fontId="101" fillId="0" borderId="75" xfId="0" applyFont="1" applyBorder="1" applyAlignment="1">
      <alignment horizontal="left"/>
    </xf>
    <xf numFmtId="0" fontId="38" fillId="14" borderId="144" xfId="0" applyFont="1" applyFill="1" applyBorder="1" applyAlignment="1">
      <alignment horizontal="center" vertical="center" wrapText="1"/>
    </xf>
    <xf numFmtId="0" fontId="101" fillId="0" borderId="248" xfId="0" applyFont="1" applyBorder="1" applyAlignment="1">
      <alignment horizontal="left"/>
    </xf>
    <xf numFmtId="0" fontId="38" fillId="14" borderId="153" xfId="0" applyFont="1" applyFill="1" applyBorder="1" applyAlignment="1">
      <alignment horizontal="center" vertical="center" wrapText="1"/>
    </xf>
    <xf numFmtId="0" fontId="39" fillId="17" borderId="153" xfId="0" applyFont="1" applyFill="1" applyBorder="1" applyAlignment="1">
      <alignment horizontal="center" wrapText="1"/>
    </xf>
    <xf numFmtId="0" fontId="40" fillId="31" borderId="143" xfId="0" applyFont="1" applyFill="1" applyBorder="1" applyAlignment="1" applyProtection="1">
      <alignment horizontal="center"/>
      <protection locked="0"/>
    </xf>
    <xf numFmtId="0" fontId="40" fillId="31" borderId="246" xfId="0" applyFont="1" applyFill="1" applyBorder="1" applyAlignment="1" applyProtection="1">
      <alignment horizontal="center"/>
      <protection locked="0"/>
    </xf>
    <xf numFmtId="0" fontId="40" fillId="31" borderId="91" xfId="0" applyFont="1" applyFill="1" applyBorder="1" applyAlignment="1" applyProtection="1">
      <alignment horizontal="center"/>
      <protection locked="0"/>
    </xf>
    <xf numFmtId="0" fontId="40" fillId="31" borderId="2" xfId="0" applyFont="1" applyFill="1" applyBorder="1" applyAlignment="1" applyProtection="1">
      <alignment horizontal="center"/>
      <protection locked="0"/>
    </xf>
    <xf numFmtId="0" fontId="40" fillId="31" borderId="163" xfId="0" applyFont="1" applyFill="1" applyBorder="1" applyAlignment="1" applyProtection="1">
      <alignment horizontal="center"/>
      <protection locked="0"/>
    </xf>
    <xf numFmtId="0" fontId="40" fillId="31" borderId="4" xfId="0" applyFont="1" applyFill="1" applyBorder="1" applyAlignment="1" applyProtection="1">
      <alignment horizontal="center"/>
      <protection locked="0"/>
    </xf>
    <xf numFmtId="0" fontId="40" fillId="31" borderId="109" xfId="0" applyFont="1" applyFill="1" applyBorder="1" applyAlignment="1" applyProtection="1">
      <alignment horizontal="center"/>
      <protection locked="0"/>
    </xf>
    <xf numFmtId="0" fontId="40" fillId="31" borderId="141" xfId="0" applyFont="1" applyFill="1" applyBorder="1" applyAlignment="1" applyProtection="1">
      <alignment horizontal="center"/>
      <protection locked="0"/>
    </xf>
    <xf numFmtId="0" fontId="40" fillId="31" borderId="0" xfId="0" applyFont="1" applyFill="1" applyAlignment="1" applyProtection="1">
      <alignment horizontal="center"/>
      <protection locked="0"/>
    </xf>
    <xf numFmtId="0" fontId="101" fillId="0" borderId="241" xfId="0" applyFont="1" applyBorder="1" applyAlignment="1">
      <alignment horizontal="center"/>
    </xf>
    <xf numFmtId="0" fontId="101" fillId="0" borderId="104" xfId="0" applyFont="1" applyBorder="1" applyAlignment="1">
      <alignment horizontal="center"/>
    </xf>
    <xf numFmtId="0" fontId="25" fillId="10" borderId="138" xfId="0" applyFont="1" applyFill="1" applyBorder="1" applyAlignment="1">
      <alignment horizontal="left" vertical="center" wrapText="1"/>
    </xf>
    <xf numFmtId="0" fontId="38" fillId="14" borderId="116" xfId="0" applyFont="1" applyFill="1" applyBorder="1" applyAlignment="1">
      <alignment horizontal="center" vertical="center" wrapText="1"/>
    </xf>
    <xf numFmtId="0" fontId="18" fillId="10" borderId="0" xfId="3" applyFont="1" applyFill="1" applyAlignment="1">
      <alignment horizontal="center" vertical="center" wrapText="1"/>
    </xf>
    <xf numFmtId="0" fontId="39" fillId="17" borderId="116" xfId="0" applyFont="1" applyFill="1" applyBorder="1" applyAlignment="1">
      <alignment horizontal="center" wrapText="1"/>
    </xf>
    <xf numFmtId="0" fontId="40" fillId="31" borderId="121" xfId="0" applyFont="1" applyFill="1" applyBorder="1" applyAlignment="1" applyProtection="1">
      <alignment horizontal="center"/>
      <protection locked="0"/>
    </xf>
    <xf numFmtId="0" fontId="40" fillId="31" borderId="250" xfId="0" applyFont="1" applyFill="1" applyBorder="1" applyAlignment="1" applyProtection="1">
      <alignment horizontal="center"/>
      <protection locked="0"/>
    </xf>
    <xf numFmtId="0" fontId="40" fillId="31" borderId="82" xfId="0" applyFont="1" applyFill="1" applyBorder="1" applyAlignment="1" applyProtection="1">
      <alignment horizontal="center"/>
      <protection locked="0"/>
    </xf>
    <xf numFmtId="0" fontId="0" fillId="0" borderId="140" xfId="0" applyBorder="1" applyAlignment="1">
      <alignment horizontal="center"/>
    </xf>
    <xf numFmtId="9" fontId="16" fillId="9" borderId="154" xfId="1" applyFont="1" applyFill="1" applyBorder="1" applyAlignment="1">
      <alignment horizontal="center" vertical="center"/>
    </xf>
    <xf numFmtId="9" fontId="16" fillId="9" borderId="114" xfId="1" applyFont="1" applyFill="1" applyBorder="1" applyAlignment="1">
      <alignment horizontal="center" vertical="center"/>
    </xf>
    <xf numFmtId="9" fontId="16" fillId="9" borderId="155" xfId="1" applyFont="1" applyFill="1" applyBorder="1" applyAlignment="1">
      <alignment horizontal="center" vertical="center"/>
    </xf>
    <xf numFmtId="0" fontId="17" fillId="7" borderId="154" xfId="0" applyFont="1" applyFill="1" applyBorder="1" applyAlignment="1">
      <alignment horizontal="center" vertical="center" wrapText="1"/>
    </xf>
    <xf numFmtId="0" fontId="17" fillId="7" borderId="114" xfId="0" applyFont="1" applyFill="1" applyBorder="1" applyAlignment="1">
      <alignment horizontal="center" vertical="center" wrapText="1"/>
    </xf>
    <xf numFmtId="0" fontId="17" fillId="7" borderId="155" xfId="0" applyFont="1" applyFill="1" applyBorder="1" applyAlignment="1">
      <alignment horizontal="center" vertical="center" wrapText="1"/>
    </xf>
    <xf numFmtId="0" fontId="0" fillId="0" borderId="154" xfId="0" applyBorder="1" applyAlignment="1">
      <alignment vertical="center"/>
    </xf>
    <xf numFmtId="0" fontId="0" fillId="0" borderId="114" xfId="0" applyBorder="1" applyAlignment="1">
      <alignment vertical="center"/>
    </xf>
    <xf numFmtId="0" fontId="0" fillId="0" borderId="155" xfId="0" applyBorder="1" applyAlignment="1">
      <alignment vertical="center"/>
    </xf>
    <xf numFmtId="9" fontId="17" fillId="7" borderId="153" xfId="1" applyFont="1" applyFill="1" applyBorder="1" applyAlignment="1">
      <alignment horizontal="center" vertical="center"/>
    </xf>
    <xf numFmtId="9" fontId="0" fillId="0" borderId="0" xfId="1" applyFont="1" applyAlignment="1">
      <alignment horizontal="right"/>
    </xf>
    <xf numFmtId="9" fontId="33" fillId="22" borderId="117" xfId="1" applyFont="1" applyFill="1" applyBorder="1" applyAlignment="1">
      <alignment horizontal="center"/>
    </xf>
    <xf numFmtId="9" fontId="33" fillId="22" borderId="118" xfId="1" applyFont="1" applyFill="1" applyBorder="1" applyAlignment="1">
      <alignment horizontal="center"/>
    </xf>
    <xf numFmtId="0" fontId="0" fillId="0" borderId="134" xfId="0" applyBorder="1" applyAlignment="1">
      <alignment horizontal="right"/>
    </xf>
    <xf numFmtId="0" fontId="0" fillId="0" borderId="50" xfId="0" applyBorder="1" applyAlignment="1">
      <alignment horizontal="right"/>
    </xf>
    <xf numFmtId="9" fontId="0" fillId="0" borderId="134" xfId="1" applyFont="1" applyBorder="1" applyAlignment="1">
      <alignment horizontal="right"/>
    </xf>
    <xf numFmtId="9" fontId="0" fillId="0" borderId="50" xfId="1" applyFont="1" applyBorder="1" applyAlignment="1">
      <alignment horizontal="right"/>
    </xf>
    <xf numFmtId="9" fontId="0" fillId="0" borderId="139" xfId="1" applyFont="1" applyBorder="1" applyAlignment="1">
      <alignment horizontal="center"/>
    </xf>
    <xf numFmtId="9" fontId="0" fillId="0" borderId="133" xfId="1" applyFont="1" applyBorder="1" applyAlignment="1">
      <alignment horizontal="center"/>
    </xf>
    <xf numFmtId="0" fontId="25" fillId="9" borderId="0" xfId="0" applyFont="1" applyFill="1" applyAlignment="1">
      <alignment horizontal="left" vertical="center"/>
    </xf>
    <xf numFmtId="9" fontId="44" fillId="22" borderId="139" xfId="1" applyFont="1" applyFill="1" applyBorder="1" applyAlignment="1" applyProtection="1">
      <alignment horizontal="center" vertical="center"/>
      <protection locked="0"/>
    </xf>
    <xf numFmtId="9" fontId="44" fillId="22" borderId="73" xfId="1" applyFont="1" applyFill="1" applyBorder="1" applyAlignment="1" applyProtection="1">
      <alignment horizontal="center" vertical="center"/>
      <protection locked="0"/>
    </xf>
    <xf numFmtId="0" fontId="44" fillId="3" borderId="188" xfId="0" applyFont="1" applyFill="1" applyBorder="1" applyAlignment="1">
      <alignment horizontal="left" vertical="center" wrapText="1"/>
    </xf>
    <xf numFmtId="9" fontId="17" fillId="9" borderId="0" xfId="1" applyFont="1" applyFill="1" applyAlignment="1">
      <alignment horizontal="center"/>
    </xf>
    <xf numFmtId="0" fontId="8" fillId="15" borderId="139" xfId="0" applyFont="1" applyFill="1" applyBorder="1" applyAlignment="1">
      <alignment horizontal="center"/>
    </xf>
    <xf numFmtId="9" fontId="8" fillId="0" borderId="0" xfId="1" applyFont="1" applyBorder="1" applyAlignment="1">
      <alignment horizontal="center"/>
    </xf>
    <xf numFmtId="9" fontId="33" fillId="3" borderId="139" xfId="1" applyFont="1" applyFill="1" applyBorder="1" applyAlignment="1">
      <alignment vertical="center" wrapText="1"/>
    </xf>
    <xf numFmtId="9" fontId="90" fillId="0" borderId="154" xfId="1" applyFont="1" applyBorder="1" applyAlignment="1">
      <alignment horizontal="right" vertical="center"/>
    </xf>
    <xf numFmtId="9" fontId="90" fillId="0" borderId="114" xfId="1" applyFont="1" applyBorder="1" applyAlignment="1">
      <alignment horizontal="right" vertical="center"/>
    </xf>
    <xf numFmtId="9" fontId="90" fillId="0" borderId="155" xfId="1" applyFont="1" applyBorder="1" applyAlignment="1">
      <alignment horizontal="right" vertical="center"/>
    </xf>
    <xf numFmtId="0" fontId="52" fillId="34" borderId="82" xfId="0" applyFont="1" applyFill="1" applyBorder="1" applyAlignment="1">
      <alignment horizontal="left" vertical="center"/>
    </xf>
    <xf numFmtId="0" fontId="54" fillId="0" borderId="138" xfId="0" applyFont="1" applyBorder="1" applyAlignment="1">
      <alignment horizontal="left" wrapText="1"/>
    </xf>
    <xf numFmtId="0" fontId="16" fillId="9" borderId="0" xfId="0" applyFont="1" applyFill="1" applyAlignment="1">
      <alignment horizontal="center" vertical="center"/>
    </xf>
    <xf numFmtId="0" fontId="16" fillId="9" borderId="0" xfId="0" applyFont="1" applyFill="1" applyAlignment="1">
      <alignment horizontal="center" vertical="center" wrapText="1"/>
    </xf>
    <xf numFmtId="0" fontId="2" fillId="0" borderId="153" xfId="0" applyFont="1" applyBorder="1" applyAlignment="1">
      <alignment horizontal="center"/>
    </xf>
    <xf numFmtId="0" fontId="0" fillId="0" borderId="153" xfId="0" applyBorder="1" applyAlignment="1">
      <alignment horizontal="left" indent="1"/>
    </xf>
    <xf numFmtId="0" fontId="20" fillId="7" borderId="153" xfId="0" applyFont="1" applyFill="1" applyBorder="1" applyAlignment="1">
      <alignment horizontal="center"/>
    </xf>
    <xf numFmtId="9" fontId="8" fillId="0" borderId="0" xfId="1" applyFont="1" applyAlignment="1">
      <alignment horizontal="right" vertical="center"/>
    </xf>
    <xf numFmtId="9" fontId="52" fillId="0" borderId="140" xfId="1" applyFont="1" applyBorder="1" applyAlignment="1">
      <alignment horizontal="left" wrapText="1"/>
    </xf>
    <xf numFmtId="9" fontId="2" fillId="0" borderId="153" xfId="0" applyNumberFormat="1" applyFont="1" applyBorder="1" applyAlignment="1">
      <alignment horizontal="center"/>
    </xf>
    <xf numFmtId="169" fontId="2" fillId="0" borderId="153" xfId="0" applyNumberFormat="1" applyFont="1" applyBorder="1" applyAlignment="1">
      <alignment horizontal="center"/>
    </xf>
    <xf numFmtId="0" fontId="10" fillId="0" borderId="143" xfId="0" applyFont="1" applyBorder="1" applyAlignment="1">
      <alignment horizontal="center" vertical="center"/>
    </xf>
    <xf numFmtId="0" fontId="10" fillId="0" borderId="109" xfId="0" applyFont="1" applyBorder="1" applyAlignment="1">
      <alignment horizontal="center" vertical="center"/>
    </xf>
    <xf numFmtId="0" fontId="10" fillId="0" borderId="91" xfId="0" applyFont="1" applyBorder="1" applyAlignment="1">
      <alignment horizontal="center" vertical="center"/>
    </xf>
    <xf numFmtId="0" fontId="60" fillId="0" borderId="0" xfId="0" applyFont="1" applyAlignment="1">
      <alignment horizontal="center"/>
    </xf>
    <xf numFmtId="0" fontId="10" fillId="0" borderId="163" xfId="0" applyFont="1" applyBorder="1" applyAlignment="1">
      <alignment horizontal="center" vertical="center" wrapText="1"/>
    </xf>
    <xf numFmtId="0" fontId="10" fillId="0" borderId="163" xfId="0" applyFont="1" applyBorder="1" applyAlignment="1">
      <alignment horizontal="center" vertical="center"/>
    </xf>
    <xf numFmtId="0" fontId="44" fillId="0" borderId="0" xfId="0" applyFont="1" applyAlignment="1">
      <alignment horizontal="left" vertical="center" wrapText="1"/>
    </xf>
    <xf numFmtId="0" fontId="54" fillId="0" borderId="0" xfId="0" applyFont="1" applyAlignment="1">
      <alignment horizontal="left" vertical="center" wrapText="1"/>
    </xf>
    <xf numFmtId="0" fontId="107" fillId="22" borderId="112" xfId="0" applyFont="1" applyFill="1" applyBorder="1" applyAlignment="1">
      <alignment horizontal="center" vertical="center"/>
    </xf>
    <xf numFmtId="0" fontId="107" fillId="22" borderId="113" xfId="0" applyFont="1" applyFill="1" applyBorder="1" applyAlignment="1">
      <alignment horizontal="center" vertical="center"/>
    </xf>
    <xf numFmtId="0" fontId="107" fillId="22" borderId="128" xfId="0" applyFont="1" applyFill="1" applyBorder="1" applyAlignment="1">
      <alignment horizontal="center" vertical="center"/>
    </xf>
    <xf numFmtId="0" fontId="41" fillId="0" borderId="0" xfId="0" applyFont="1" applyAlignment="1">
      <alignment horizontal="left"/>
    </xf>
    <xf numFmtId="0" fontId="108" fillId="0" borderId="129" xfId="0" applyFont="1" applyBorder="1" applyAlignment="1">
      <alignment horizontal="center"/>
    </xf>
    <xf numFmtId="0" fontId="108" fillId="0" borderId="18" xfId="0" applyFont="1" applyBorder="1" applyAlignment="1">
      <alignment horizontal="center"/>
    </xf>
    <xf numFmtId="0" fontId="108" fillId="0" borderId="148" xfId="0" applyFont="1" applyBorder="1" applyAlignment="1">
      <alignment horizontal="center"/>
    </xf>
    <xf numFmtId="0" fontId="108" fillId="0" borderId="174" xfId="0" applyFont="1" applyBorder="1" applyAlignment="1">
      <alignment horizontal="center"/>
    </xf>
    <xf numFmtId="0" fontId="2" fillId="0" borderId="0" xfId="0" applyFont="1" applyAlignment="1">
      <alignment horizontal="center" vertical="center" wrapText="1"/>
    </xf>
    <xf numFmtId="0" fontId="115" fillId="0" borderId="0" xfId="0" applyFont="1" applyAlignment="1">
      <alignment horizontal="center" vertical="center" wrapText="1"/>
    </xf>
    <xf numFmtId="0" fontId="10" fillId="0" borderId="19" xfId="0" applyFont="1" applyBorder="1" applyAlignment="1">
      <alignment horizontal="center" vertical="center" wrapText="1"/>
    </xf>
    <xf numFmtId="0" fontId="17" fillId="7" borderId="19" xfId="0" applyFont="1" applyFill="1" applyBorder="1" applyAlignment="1">
      <alignment horizontal="center" vertical="center" wrapText="1"/>
    </xf>
    <xf numFmtId="0" fontId="17" fillId="7" borderId="20" xfId="0" applyFont="1" applyFill="1" applyBorder="1" applyAlignment="1">
      <alignment horizontal="center" vertical="center" wrapText="1"/>
    </xf>
    <xf numFmtId="0" fontId="18" fillId="9" borderId="19" xfId="0" applyFont="1" applyFill="1" applyBorder="1" applyAlignment="1">
      <alignment horizontal="center" vertical="center" textRotation="90"/>
    </xf>
    <xf numFmtId="0" fontId="18" fillId="9" borderId="84" xfId="0" applyFont="1" applyFill="1" applyBorder="1" applyAlignment="1">
      <alignment horizontal="center" vertical="center" textRotation="90"/>
    </xf>
    <xf numFmtId="0" fontId="18" fillId="9" borderId="21" xfId="0" applyFont="1" applyFill="1" applyBorder="1" applyAlignment="1">
      <alignment horizontal="center" vertical="center" textRotation="90"/>
    </xf>
    <xf numFmtId="0" fontId="18" fillId="9" borderId="191" xfId="0" applyFont="1" applyFill="1" applyBorder="1" applyAlignment="1">
      <alignment horizontal="center" vertical="center" textRotation="90"/>
    </xf>
    <xf numFmtId="0" fontId="18" fillId="9" borderId="190" xfId="0" applyFont="1" applyFill="1" applyBorder="1" applyAlignment="1">
      <alignment horizontal="center" vertical="center" textRotation="90"/>
    </xf>
    <xf numFmtId="0" fontId="18" fillId="9" borderId="260" xfId="0" applyFont="1" applyFill="1" applyBorder="1" applyAlignment="1">
      <alignment horizontal="center" vertical="center" textRotation="90"/>
    </xf>
    <xf numFmtId="0" fontId="2" fillId="0" borderId="12" xfId="0" applyFont="1" applyBorder="1" applyAlignment="1">
      <alignment horizontal="center" vertical="center" wrapText="1"/>
    </xf>
    <xf numFmtId="0" fontId="114" fillId="0" borderId="259" xfId="0" applyFont="1" applyBorder="1" applyAlignment="1">
      <alignment horizontal="left"/>
    </xf>
    <xf numFmtId="0" fontId="113" fillId="0" borderId="0" xfId="0" applyFont="1" applyAlignment="1">
      <alignment horizontal="center"/>
    </xf>
    <xf numFmtId="0" fontId="25" fillId="9" borderId="0" xfId="0" applyFont="1" applyFill="1" applyAlignment="1">
      <alignment horizontal="center" vertical="center"/>
    </xf>
    <xf numFmtId="0" fontId="25" fillId="9" borderId="0" xfId="0" applyFont="1" applyFill="1" applyAlignment="1">
      <alignment horizontal="center"/>
    </xf>
    <xf numFmtId="0" fontId="16" fillId="7" borderId="263" xfId="0" applyFont="1" applyFill="1" applyBorder="1" applyAlignment="1">
      <alignment horizontal="center"/>
    </xf>
    <xf numFmtId="0" fontId="16" fillId="7" borderId="262" xfId="0" applyFont="1" applyFill="1" applyBorder="1" applyAlignment="1">
      <alignment horizontal="center"/>
    </xf>
    <xf numFmtId="0" fontId="16" fillId="7" borderId="264" xfId="0" applyFont="1" applyFill="1" applyBorder="1" applyAlignment="1">
      <alignment horizontal="center"/>
    </xf>
    <xf numFmtId="0" fontId="2" fillId="15" borderId="191" xfId="0" applyFont="1" applyFill="1" applyBorder="1" applyAlignment="1">
      <alignment horizontal="center" vertical="center" textRotation="90"/>
    </xf>
    <xf numFmtId="0" fontId="2" fillId="15" borderId="190" xfId="0" applyFont="1" applyFill="1" applyBorder="1" applyAlignment="1">
      <alignment horizontal="center" vertical="center" textRotation="90"/>
    </xf>
    <xf numFmtId="0" fontId="2" fillId="15" borderId="260" xfId="0" applyFont="1" applyFill="1" applyBorder="1" applyAlignment="1">
      <alignment horizontal="center" vertical="center" textRotation="90"/>
    </xf>
    <xf numFmtId="0" fontId="16" fillId="9" borderId="261" xfId="0" applyFont="1" applyFill="1" applyBorder="1" applyAlignment="1">
      <alignment horizontal="center"/>
    </xf>
    <xf numFmtId="0" fontId="16" fillId="9" borderId="262" xfId="0" applyFont="1" applyFill="1" applyBorder="1" applyAlignment="1">
      <alignment horizontal="center"/>
    </xf>
    <xf numFmtId="0" fontId="16" fillId="9" borderId="0" xfId="0" applyFont="1" applyFill="1" applyAlignment="1">
      <alignment horizontal="left"/>
    </xf>
    <xf numFmtId="0" fontId="18" fillId="9" borderId="0" xfId="0" applyFont="1" applyFill="1" applyAlignment="1">
      <alignment horizontal="left"/>
    </xf>
    <xf numFmtId="0" fontId="2" fillId="3" borderId="153" xfId="0" applyFont="1" applyFill="1" applyBorder="1" applyAlignment="1">
      <alignment horizontal="center" vertical="center"/>
    </xf>
    <xf numFmtId="0" fontId="2" fillId="16" borderId="153" xfId="0" applyFont="1" applyFill="1" applyBorder="1" applyAlignment="1">
      <alignment horizontal="center" vertical="center"/>
    </xf>
    <xf numFmtId="0" fontId="9" fillId="22" borderId="170" xfId="0" applyFont="1" applyFill="1" applyBorder="1" applyAlignment="1">
      <alignment horizontal="left" vertical="center" wrapText="1"/>
    </xf>
    <xf numFmtId="0" fontId="9" fillId="22" borderId="167" xfId="0" applyFont="1" applyFill="1" applyBorder="1" applyAlignment="1">
      <alignment horizontal="left" vertical="center" wrapText="1"/>
    </xf>
    <xf numFmtId="0" fontId="9" fillId="22" borderId="36" xfId="0" applyFont="1" applyFill="1" applyBorder="1" applyAlignment="1">
      <alignment horizontal="left" vertical="center" wrapText="1"/>
    </xf>
    <xf numFmtId="0" fontId="64" fillId="26" borderId="156" xfId="0" applyFont="1" applyFill="1" applyBorder="1" applyAlignment="1">
      <alignment horizontal="left"/>
    </xf>
    <xf numFmtId="0" fontId="64" fillId="26" borderId="157" xfId="0" applyFont="1" applyFill="1" applyBorder="1" applyAlignment="1">
      <alignment horizontal="left"/>
    </xf>
    <xf numFmtId="0" fontId="64" fillId="26" borderId="158" xfId="0" applyFont="1" applyFill="1" applyBorder="1" applyAlignment="1">
      <alignment horizontal="left"/>
    </xf>
    <xf numFmtId="0" fontId="64" fillId="26" borderId="159" xfId="0" applyFont="1" applyFill="1" applyBorder="1" applyAlignment="1">
      <alignment horizontal="left"/>
    </xf>
    <xf numFmtId="0" fontId="2" fillId="0" borderId="153" xfId="0" applyFont="1" applyBorder="1" applyAlignment="1">
      <alignment horizontal="left" vertical="top" wrapText="1"/>
    </xf>
    <xf numFmtId="0" fontId="2" fillId="22" borderId="153" xfId="0" applyFont="1" applyFill="1" applyBorder="1" applyAlignment="1">
      <alignment horizontal="left" vertical="top" wrapText="1"/>
    </xf>
    <xf numFmtId="0" fontId="9" fillId="22" borderId="109" xfId="0" applyFont="1" applyFill="1" applyBorder="1" applyAlignment="1">
      <alignment horizontal="center" wrapText="1"/>
    </xf>
    <xf numFmtId="0" fontId="9" fillId="22" borderId="0" xfId="0" applyFont="1" applyFill="1" applyAlignment="1">
      <alignment horizontal="center" wrapText="1"/>
    </xf>
    <xf numFmtId="0" fontId="0" fillId="0" borderId="0" xfId="0" applyAlignment="1">
      <alignment horizontal="center" wrapText="1"/>
    </xf>
    <xf numFmtId="0" fontId="2" fillId="11" borderId="19" xfId="0" applyFont="1" applyFill="1" applyBorder="1" applyAlignment="1">
      <alignment horizontal="center"/>
    </xf>
    <xf numFmtId="0" fontId="2" fillId="11" borderId="82" xfId="0" applyFont="1" applyFill="1" applyBorder="1" applyAlignment="1">
      <alignment horizontal="center"/>
    </xf>
    <xf numFmtId="0" fontId="2" fillId="11" borderId="20" xfId="0" applyFont="1" applyFill="1" applyBorder="1" applyAlignment="1">
      <alignment horizontal="center"/>
    </xf>
  </cellXfs>
  <cellStyles count="5">
    <cellStyle name="Comma" xfId="2" builtinId="3"/>
    <cellStyle name="Hyperlink" xfId="3" builtinId="8"/>
    <cellStyle name="Normal" xfId="0" builtinId="0"/>
    <cellStyle name="Normal 2" xfId="4" xr:uid="{706C2B19-1325-47A4-96B0-B0F6AB974D40}"/>
    <cellStyle name="Percent" xfId="1" builtinId="5"/>
  </cellStyles>
  <dxfs count="287">
    <dxf>
      <font>
        <color theme="7"/>
      </font>
      <fill>
        <patternFill>
          <bgColor theme="7"/>
        </patternFill>
      </fill>
    </dxf>
    <dxf>
      <fill>
        <patternFill>
          <bgColor theme="0"/>
        </patternFill>
      </fill>
    </dxf>
    <dxf>
      <fill>
        <patternFill>
          <bgColor rgb="FFFF9966"/>
        </patternFill>
      </fill>
    </dxf>
    <dxf>
      <fill>
        <patternFill>
          <bgColor theme="8" tint="0.39994506668294322"/>
        </patternFill>
      </fill>
    </dxf>
    <dxf>
      <fill>
        <patternFill>
          <bgColor theme="5" tint="0.39994506668294322"/>
        </patternFill>
      </fill>
    </dxf>
    <dxf>
      <fill>
        <patternFill>
          <bgColor theme="8"/>
        </patternFill>
      </fill>
    </dxf>
    <dxf>
      <fill>
        <patternFill>
          <bgColor rgb="FFFF9966"/>
        </patternFill>
      </fill>
    </dxf>
    <dxf>
      <fill>
        <patternFill>
          <bgColor theme="8" tint="0.39994506668294322"/>
        </patternFill>
      </fill>
    </dxf>
    <dxf>
      <fill>
        <patternFill>
          <bgColor theme="5" tint="0.39994506668294322"/>
        </patternFill>
      </fill>
    </dxf>
    <dxf>
      <fill>
        <patternFill>
          <bgColor theme="8"/>
        </patternFill>
      </fill>
    </dxf>
    <dxf>
      <fill>
        <patternFill>
          <bgColor theme="0"/>
        </patternFill>
      </fill>
    </dxf>
    <dxf>
      <fill>
        <patternFill>
          <bgColor rgb="FFFF9966"/>
        </patternFill>
      </fill>
    </dxf>
    <dxf>
      <fill>
        <patternFill>
          <bgColor theme="8" tint="0.39994506668294322"/>
        </patternFill>
      </fill>
    </dxf>
    <dxf>
      <fill>
        <patternFill>
          <bgColor theme="5" tint="0.39994506668294322"/>
        </patternFill>
      </fill>
    </dxf>
    <dxf>
      <fill>
        <patternFill>
          <bgColor theme="8"/>
        </patternFill>
      </fill>
    </dxf>
    <dxf>
      <fill>
        <patternFill>
          <bgColor rgb="FFFF9966"/>
        </patternFill>
      </fill>
    </dxf>
    <dxf>
      <fill>
        <patternFill>
          <bgColor theme="8" tint="0.39994506668294322"/>
        </patternFill>
      </fill>
    </dxf>
    <dxf>
      <fill>
        <patternFill>
          <bgColor theme="5" tint="0.39994506668294322"/>
        </patternFill>
      </fill>
    </dxf>
    <dxf>
      <fill>
        <patternFill>
          <bgColor theme="8"/>
        </patternFill>
      </fill>
    </dxf>
    <dxf>
      <fill>
        <patternFill>
          <bgColor theme="0"/>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6" tint="0.59996337778862885"/>
        </patternFill>
      </fill>
    </dxf>
    <dxf>
      <fill>
        <patternFill>
          <bgColor theme="6" tint="0.59996337778862885"/>
        </patternFill>
      </fill>
    </dxf>
    <dxf>
      <fill>
        <patternFill>
          <bgColor theme="0"/>
        </patternFill>
      </fill>
    </dxf>
    <dxf>
      <font>
        <color theme="0"/>
      </font>
    </dxf>
    <dxf>
      <font>
        <color theme="0"/>
      </font>
    </dxf>
    <dxf>
      <font>
        <color theme="0"/>
      </font>
    </dxf>
    <dxf>
      <font>
        <color theme="0"/>
      </font>
      <fill>
        <patternFill>
          <bgColor theme="4"/>
        </patternFill>
      </fill>
    </dxf>
    <dxf>
      <font>
        <color theme="0" tint="-0.14996795556505021"/>
      </font>
      <numFmt numFmtId="0" formatCode="General"/>
      <fill>
        <patternFill>
          <bgColor theme="0" tint="-0.14996795556505021"/>
        </patternFill>
      </fill>
    </dxf>
    <dxf>
      <font>
        <color rgb="FFC00000"/>
      </font>
      <fill>
        <patternFill>
          <bgColor rgb="FFFFCCCC"/>
        </patternFill>
      </fill>
    </dxf>
    <dxf>
      <font>
        <color theme="8" tint="-0.499984740745262"/>
      </font>
      <fill>
        <patternFill>
          <bgColor theme="8" tint="0.79998168889431442"/>
        </patternFill>
      </fill>
    </dxf>
    <dxf>
      <font>
        <color theme="2" tint="-0.24994659260841701"/>
      </font>
      <fill>
        <patternFill>
          <bgColor theme="5" tint="0.79998168889431442"/>
        </patternFill>
      </fill>
    </dxf>
    <dxf>
      <fill>
        <patternFill>
          <bgColor theme="0"/>
        </patternFill>
      </fill>
    </dxf>
    <dxf>
      <fill>
        <patternFill>
          <bgColor theme="8"/>
        </patternFill>
      </fill>
    </dxf>
    <dxf>
      <fill>
        <patternFill>
          <bgColor theme="6" tint="0.79998168889431442"/>
        </patternFill>
      </fill>
    </dxf>
    <dxf>
      <fill>
        <patternFill>
          <bgColor theme="6" tint="0.79998168889431442"/>
        </patternFill>
      </fill>
    </dxf>
    <dxf>
      <fill>
        <patternFill>
          <bgColor theme="0"/>
        </patternFill>
      </fill>
    </dxf>
    <dxf>
      <fill>
        <patternFill>
          <bgColor theme="6" tint="0.79998168889431442"/>
        </patternFill>
      </fill>
    </dxf>
    <dxf>
      <fill>
        <patternFill>
          <bgColor theme="6" tint="0.79998168889431442"/>
        </patternFill>
      </fill>
    </dxf>
    <dxf>
      <fill>
        <patternFill>
          <bgColor theme="0"/>
        </patternFill>
      </fill>
    </dxf>
    <dxf>
      <fill>
        <patternFill>
          <bgColor rgb="FFFF9966"/>
        </patternFill>
      </fill>
    </dxf>
    <dxf>
      <fill>
        <patternFill>
          <bgColor theme="8" tint="0.39994506668294322"/>
        </patternFill>
      </fill>
    </dxf>
    <dxf>
      <fill>
        <patternFill>
          <bgColor theme="5" tint="0.39994506668294322"/>
        </patternFill>
      </fill>
    </dxf>
    <dxf>
      <fill>
        <patternFill>
          <bgColor theme="8"/>
        </patternFill>
      </fill>
    </dxf>
    <dxf>
      <fill>
        <patternFill>
          <bgColor theme="0"/>
        </patternFill>
      </fill>
    </dxf>
    <dxf>
      <fill>
        <patternFill>
          <bgColor rgb="FFFF9966"/>
        </patternFill>
      </fill>
    </dxf>
    <dxf>
      <fill>
        <patternFill>
          <bgColor theme="8" tint="0.39994506668294322"/>
        </patternFill>
      </fill>
    </dxf>
    <dxf>
      <fill>
        <patternFill>
          <bgColor theme="5" tint="0.39994506668294322"/>
        </patternFill>
      </fill>
    </dxf>
    <dxf>
      <fill>
        <patternFill>
          <bgColor theme="8"/>
        </patternFill>
      </fill>
    </dxf>
    <dxf>
      <fill>
        <patternFill>
          <bgColor theme="0"/>
        </patternFill>
      </fill>
    </dxf>
    <dxf>
      <fill>
        <patternFill>
          <bgColor theme="0"/>
        </patternFill>
      </fill>
    </dxf>
    <dxf>
      <fill>
        <patternFill>
          <bgColor rgb="FFFF9966"/>
        </patternFill>
      </fill>
    </dxf>
    <dxf>
      <fill>
        <patternFill>
          <bgColor theme="8" tint="0.39994506668294322"/>
        </patternFill>
      </fill>
    </dxf>
    <dxf>
      <fill>
        <patternFill>
          <bgColor theme="5" tint="0.39994506668294322"/>
        </patternFill>
      </fill>
    </dxf>
    <dxf>
      <fill>
        <patternFill>
          <bgColor theme="8"/>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2"/>
        </patternFill>
      </fill>
    </dxf>
    <dxf>
      <font>
        <color rgb="FFC00000"/>
      </font>
      <fill>
        <patternFill>
          <bgColor rgb="FFFFCCCC"/>
        </patternFill>
      </fill>
    </dxf>
    <dxf>
      <font>
        <color theme="1"/>
      </font>
      <fill>
        <patternFill>
          <bgColor theme="8" tint="0.3999450666829432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6" tint="0.79998168889431442"/>
        </patternFill>
      </fill>
    </dxf>
    <dxf>
      <fill>
        <patternFill>
          <bgColor theme="0"/>
        </patternFill>
      </fill>
    </dxf>
    <dxf>
      <fill>
        <patternFill>
          <bgColor theme="6" tint="0.79998168889431442"/>
        </patternFill>
      </fill>
    </dxf>
    <dxf>
      <fill>
        <patternFill>
          <bgColor theme="6" tint="0.79998168889431442"/>
        </patternFill>
      </fill>
    </dxf>
    <dxf>
      <fill>
        <patternFill>
          <bgColor theme="0"/>
        </patternFill>
      </fill>
    </dxf>
    <dxf>
      <font>
        <b/>
        <i val="0"/>
        <color rgb="FFC00000"/>
      </font>
      <fill>
        <patternFill>
          <bgColor rgb="FFFAC8C8"/>
        </patternFill>
      </fill>
    </dxf>
    <dxf>
      <fill>
        <patternFill>
          <bgColor rgb="FFFF9966"/>
        </patternFill>
      </fill>
    </dxf>
    <dxf>
      <fill>
        <patternFill>
          <bgColor theme="8" tint="0.39994506668294322"/>
        </patternFill>
      </fill>
    </dxf>
    <dxf>
      <fill>
        <patternFill>
          <bgColor theme="5" tint="0.39994506668294322"/>
        </patternFill>
      </fill>
    </dxf>
    <dxf>
      <fill>
        <patternFill>
          <bgColor theme="8"/>
        </patternFill>
      </fill>
    </dxf>
    <dxf>
      <fill>
        <patternFill>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bgColor theme="0"/>
        </patternFill>
      </fill>
    </dxf>
    <dxf>
      <fill>
        <patternFill>
          <bgColor theme="0"/>
        </patternFill>
      </fill>
    </dxf>
    <dxf>
      <fill>
        <patternFill>
          <bgColor theme="0"/>
        </patternFill>
      </fill>
    </dxf>
    <dxf>
      <fill>
        <patternFill>
          <bgColor rgb="FFFF9966"/>
        </patternFill>
      </fill>
    </dxf>
    <dxf>
      <fill>
        <patternFill>
          <bgColor theme="8" tint="0.39994506668294322"/>
        </patternFill>
      </fill>
    </dxf>
    <dxf>
      <fill>
        <patternFill>
          <bgColor theme="5" tint="0.39994506668294322"/>
        </patternFill>
      </fill>
    </dxf>
    <dxf>
      <fill>
        <patternFill>
          <bgColor theme="8"/>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2"/>
        </patternFill>
      </fill>
    </dxf>
    <dxf>
      <font>
        <color rgb="FFC00000"/>
      </font>
      <fill>
        <patternFill>
          <bgColor rgb="FFFFCCCC"/>
        </patternFill>
      </fill>
    </dxf>
    <dxf>
      <font>
        <color theme="1"/>
      </font>
      <fill>
        <patternFill>
          <bgColor theme="8" tint="0.3999450666829432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6" tint="0.79998168889431442"/>
        </patternFill>
      </fill>
    </dxf>
    <dxf>
      <fill>
        <patternFill>
          <bgColor theme="0"/>
        </patternFill>
      </fill>
    </dxf>
    <dxf>
      <fill>
        <patternFill>
          <bgColor theme="6" tint="0.79998168889431442"/>
        </patternFill>
      </fill>
    </dxf>
    <dxf>
      <fill>
        <patternFill>
          <bgColor theme="6" tint="0.79998168889431442"/>
        </patternFill>
      </fill>
    </dxf>
    <dxf>
      <fill>
        <patternFill>
          <bgColor theme="0"/>
        </patternFill>
      </fill>
    </dxf>
    <dxf>
      <font>
        <b/>
        <i val="0"/>
        <color rgb="FFC00000"/>
      </font>
      <fill>
        <patternFill>
          <bgColor rgb="FFFAC8C8"/>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bgColor theme="0"/>
        </patternFill>
      </fill>
    </dxf>
    <dxf>
      <fill>
        <patternFill>
          <bgColor rgb="FFFF9966"/>
        </patternFill>
      </fill>
    </dxf>
    <dxf>
      <fill>
        <patternFill>
          <bgColor theme="8" tint="0.39994506668294322"/>
        </patternFill>
      </fill>
    </dxf>
    <dxf>
      <fill>
        <patternFill>
          <bgColor theme="5" tint="0.39994506668294322"/>
        </patternFill>
      </fill>
    </dxf>
    <dxf>
      <fill>
        <patternFill>
          <bgColor theme="8"/>
        </patternFill>
      </fill>
    </dxf>
    <dxf>
      <fill>
        <patternFill>
          <bgColor rgb="FFFF9966"/>
        </patternFill>
      </fill>
    </dxf>
    <dxf>
      <fill>
        <patternFill>
          <bgColor theme="8" tint="0.39994506668294322"/>
        </patternFill>
      </fill>
    </dxf>
    <dxf>
      <fill>
        <patternFill>
          <bgColor theme="5" tint="0.39994506668294322"/>
        </patternFill>
      </fill>
    </dxf>
    <dxf>
      <fill>
        <patternFill>
          <bgColor theme="8"/>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2"/>
        </patternFill>
      </fill>
    </dxf>
    <dxf>
      <font>
        <color rgb="FFC00000"/>
      </font>
      <fill>
        <patternFill>
          <bgColor rgb="FFFFCCCC"/>
        </patternFill>
      </fill>
    </dxf>
    <dxf>
      <font>
        <color theme="1"/>
      </font>
      <fill>
        <patternFill>
          <bgColor theme="8" tint="0.39994506668294322"/>
        </patternFill>
      </fill>
    </dxf>
    <dxf>
      <fill>
        <patternFill>
          <bgColor theme="0"/>
        </patternFill>
      </fill>
    </dxf>
    <dxf>
      <fill>
        <patternFill>
          <bgColor theme="0"/>
        </patternFill>
      </fill>
    </dxf>
    <dxf>
      <fill>
        <patternFill>
          <bgColor theme="6" tint="0.79998168889431442"/>
        </patternFill>
      </fill>
    </dxf>
    <dxf>
      <fill>
        <patternFill>
          <bgColor theme="6" tint="0.79998168889431442"/>
        </patternFill>
      </fill>
    </dxf>
    <dxf>
      <fill>
        <patternFill>
          <bgColor theme="0"/>
        </patternFill>
      </fill>
    </dxf>
    <dxf>
      <fill>
        <patternFill>
          <bgColor theme="6" tint="0.79998168889431442"/>
        </patternFill>
      </fill>
    </dxf>
    <dxf>
      <fill>
        <patternFill>
          <bgColor theme="6" tint="0.79998168889431442"/>
        </patternFill>
      </fill>
    </dxf>
    <dxf>
      <fill>
        <patternFill>
          <bgColor theme="0"/>
        </patternFill>
      </fill>
    </dxf>
    <dxf>
      <font>
        <b/>
        <i val="0"/>
        <color rgb="FFC00000"/>
      </font>
      <fill>
        <patternFill>
          <bgColor rgb="FFFAC8C8"/>
        </patternFill>
      </fill>
    </dxf>
    <dxf>
      <fill>
        <patternFill>
          <bgColor theme="0"/>
        </patternFill>
      </fill>
    </dxf>
    <dxf>
      <fill>
        <patternFill>
          <bgColor rgb="FFFF9966"/>
        </patternFill>
      </fill>
    </dxf>
    <dxf>
      <fill>
        <patternFill>
          <bgColor theme="8" tint="0.39994506668294322"/>
        </patternFill>
      </fill>
    </dxf>
    <dxf>
      <fill>
        <patternFill>
          <bgColor theme="5" tint="0.39994506668294322"/>
        </patternFill>
      </fill>
    </dxf>
    <dxf>
      <fill>
        <patternFill>
          <bgColor theme="8"/>
        </patternFill>
      </fill>
    </dxf>
    <dxf>
      <fill>
        <patternFill>
          <bgColor rgb="FFFF9966"/>
        </patternFill>
      </fill>
    </dxf>
    <dxf>
      <fill>
        <patternFill>
          <bgColor theme="8" tint="0.39994506668294322"/>
        </patternFill>
      </fill>
    </dxf>
    <dxf>
      <fill>
        <patternFill>
          <bgColor theme="5" tint="0.39994506668294322"/>
        </patternFill>
      </fill>
    </dxf>
    <dxf>
      <fill>
        <patternFill>
          <bgColor theme="8"/>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bgColor theme="0"/>
        </patternFill>
      </fill>
    </dxf>
    <dxf>
      <fill>
        <patternFill>
          <bgColor rgb="FFFF9966"/>
        </patternFill>
      </fill>
    </dxf>
    <dxf>
      <fill>
        <patternFill>
          <bgColor theme="8" tint="0.39994506668294322"/>
        </patternFill>
      </fill>
    </dxf>
    <dxf>
      <fill>
        <patternFill>
          <bgColor theme="5" tint="0.39994506668294322"/>
        </patternFill>
      </fill>
    </dxf>
    <dxf>
      <fill>
        <patternFill>
          <bgColor theme="8"/>
        </patternFill>
      </fill>
    </dxf>
    <dxf>
      <fill>
        <patternFill>
          <bgColor rgb="FFFF9966"/>
        </patternFill>
      </fill>
    </dxf>
    <dxf>
      <fill>
        <patternFill>
          <bgColor theme="8" tint="0.39994506668294322"/>
        </patternFill>
      </fill>
    </dxf>
    <dxf>
      <fill>
        <patternFill>
          <bgColor theme="5" tint="0.39994506668294322"/>
        </patternFill>
      </fill>
    </dxf>
    <dxf>
      <fill>
        <patternFill>
          <bgColor theme="8"/>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2"/>
        </patternFill>
      </fill>
    </dxf>
    <dxf>
      <font>
        <color rgb="FFC00000"/>
      </font>
      <fill>
        <patternFill>
          <bgColor rgb="FFFFCCCC"/>
        </patternFill>
      </fill>
    </dxf>
    <dxf>
      <font>
        <color theme="1"/>
      </font>
      <fill>
        <patternFill>
          <bgColor theme="8" tint="0.39994506668294322"/>
        </patternFill>
      </fill>
    </dxf>
    <dxf>
      <fill>
        <patternFill>
          <bgColor theme="0"/>
        </patternFill>
      </fill>
    </dxf>
    <dxf>
      <fill>
        <patternFill>
          <bgColor theme="0"/>
        </patternFill>
      </fill>
    </dxf>
    <dxf>
      <fill>
        <patternFill>
          <bgColor theme="8"/>
        </patternFill>
      </fill>
    </dxf>
    <dxf>
      <fill>
        <patternFill>
          <bgColor theme="8"/>
        </patternFill>
      </fill>
    </dxf>
    <dxf>
      <fill>
        <patternFill>
          <bgColor theme="7" tint="0.39994506668294322"/>
        </patternFill>
      </fill>
    </dxf>
    <dxf>
      <fill>
        <patternFill>
          <bgColor theme="8" tint="0.59996337778862885"/>
        </patternFill>
      </fill>
    </dxf>
    <dxf>
      <fill>
        <patternFill>
          <bgColor theme="6" tint="0.39994506668294322"/>
        </patternFill>
      </fill>
    </dxf>
    <dxf>
      <fill>
        <patternFill>
          <bgColor theme="7" tint="0.59996337778862885"/>
        </patternFill>
      </fill>
    </dxf>
    <dxf>
      <fill>
        <patternFill>
          <bgColor theme="7" tint="0.39994506668294322"/>
        </patternFill>
      </fill>
    </dxf>
    <dxf>
      <fill>
        <patternFill>
          <bgColor theme="7" tint="0.39994506668294322"/>
        </patternFill>
      </fill>
    </dxf>
    <dxf>
      <fill>
        <patternFill>
          <bgColor theme="8" tint="0.59996337778862885"/>
        </patternFill>
      </fill>
    </dxf>
    <dxf>
      <fill>
        <patternFill>
          <bgColor theme="6" tint="0.39994506668294322"/>
        </patternFill>
      </fill>
    </dxf>
    <dxf>
      <fill>
        <patternFill>
          <bgColor theme="7" tint="0.39994506668294322"/>
        </patternFill>
      </fill>
    </dxf>
    <dxf>
      <fill>
        <patternFill>
          <bgColor theme="7" tint="0.39994506668294322"/>
        </patternFill>
      </fill>
    </dxf>
    <dxf>
      <fill>
        <patternFill>
          <bgColor theme="8" tint="0.79998168889431442"/>
        </patternFill>
      </fill>
    </dxf>
    <dxf>
      <fill>
        <patternFill>
          <bgColor theme="8"/>
        </patternFill>
      </fill>
    </dxf>
    <dxf>
      <fill>
        <patternFill>
          <bgColor theme="8"/>
        </patternFill>
      </fill>
    </dxf>
    <dxf>
      <fill>
        <patternFill>
          <bgColor theme="7" tint="0.79998168889431442"/>
        </patternFill>
      </fill>
    </dxf>
    <dxf>
      <fill>
        <patternFill>
          <bgColor theme="7" tint="0.79998168889431442"/>
        </patternFill>
      </fill>
    </dxf>
    <dxf>
      <fill>
        <patternFill>
          <bgColor theme="5" tint="0.39994506668294322"/>
        </patternFill>
      </fill>
    </dxf>
    <dxf>
      <fill>
        <patternFill>
          <bgColor theme="8" tint="0.39994506668294322"/>
        </patternFill>
      </fill>
    </dxf>
    <dxf>
      <fill>
        <patternFill>
          <bgColor theme="7" tint="0.39994506668294322"/>
        </patternFill>
      </fill>
    </dxf>
    <dxf>
      <fill>
        <patternFill>
          <bgColor theme="7" tint="0.39994506668294322"/>
        </patternFill>
      </fill>
    </dxf>
    <dxf>
      <fill>
        <patternFill>
          <bgColor theme="8" tint="0.79998168889431442"/>
        </patternFill>
      </fill>
    </dxf>
    <dxf>
      <fill>
        <patternFill>
          <bgColor theme="8" tint="0.79998168889431442"/>
        </patternFill>
      </fill>
    </dxf>
    <dxf>
      <fill>
        <patternFill>
          <bgColor theme="7" tint="0.3999450666829432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border>
        <left style="thin">
          <color auto="1"/>
        </left>
        <right style="thin">
          <color auto="1"/>
        </right>
        <top style="thin">
          <color auto="1"/>
        </top>
        <bottom style="thin">
          <color auto="1"/>
        </bottom>
      </border>
    </dxf>
    <dxf>
      <fill>
        <patternFill>
          <bgColor theme="8"/>
        </patternFill>
      </fill>
      <border>
        <left style="thin">
          <color auto="1"/>
        </left>
        <right style="thin">
          <color auto="1"/>
        </right>
        <top style="thin">
          <color auto="1"/>
        </top>
        <bottom style="thin">
          <color auto="1"/>
        </bottom>
      </border>
    </dxf>
    <dxf>
      <fill>
        <patternFill>
          <bgColor theme="8"/>
        </patternFill>
      </fill>
      <border>
        <left style="thin">
          <color auto="1"/>
        </left>
        <right style="thin">
          <color auto="1"/>
        </right>
        <top style="thin">
          <color auto="1"/>
        </top>
        <bottom style="thin">
          <color auto="1"/>
        </bottom>
      </border>
    </dxf>
  </dxfs>
  <tableStyles count="0" defaultTableStyle="TableStyleMedium2" defaultPivotStyle="PivotStyleLight16"/>
  <colors>
    <mruColors>
      <color rgb="FFFAC8C8"/>
      <color rgb="FFFFC9C9"/>
      <color rgb="FFFFA7A7"/>
      <color rgb="FFFFA3A3"/>
      <color rgb="FFFFFFFF"/>
      <color rgb="FFFFCCCC"/>
      <color rgb="FFFF99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00.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10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106.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6.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7.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2.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3.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4.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5.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6.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7.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8.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9.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30.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31.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2.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4.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5.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3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0.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41.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42.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3.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44.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45.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46.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47.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8.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49.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1.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52.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53.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54.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55.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58.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59.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0.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61.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62.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63.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64.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65.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66.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67.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69.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0.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71.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7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74.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76.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77.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78.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79.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0.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82.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85.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89.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'4. FPSource Set Up'!$AB$40</c:f>
          <c:strCache>
            <c:ptCount val="1"/>
            <c:pt idx="0">
              <c:v>0</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597822723725316"/>
          <c:y val="0.24489049986946201"/>
          <c:w val="0.86156046419981702"/>
          <c:h val="0.60827226381223587"/>
        </c:manualLayout>
      </c:layout>
      <c:barChart>
        <c:barDir val="bar"/>
        <c:grouping val="percentStacked"/>
        <c:varyColors val="0"/>
        <c:ser>
          <c:idx val="0"/>
          <c:order val="0"/>
          <c:tx>
            <c:strRef>
              <c:f>'4. FPSource Set Up'!$E$17</c:f>
              <c:strCache>
                <c:ptCount val="1"/>
                <c:pt idx="0">
                  <c:v>Établissements de santé public et soins de santé communautaires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 FPSource Set Up'!$D$18:$D$33</c:f>
              <c:strCache>
                <c:ptCount val="7"/>
                <c:pt idx="0">
                  <c:v>Stérilisation (F)</c:v>
                </c:pt>
                <c:pt idx="1">
                  <c:v>Stérilisation (M)</c:v>
                </c:pt>
                <c:pt idx="2">
                  <c:v>DIU</c:v>
                </c:pt>
                <c:pt idx="3">
                  <c:v>Implant</c:v>
                </c:pt>
                <c:pt idx="4">
                  <c:v>Produits injectables</c:v>
                </c:pt>
                <c:pt idx="5">
                  <c:v>Pilule</c:v>
                </c:pt>
                <c:pt idx="6">
                  <c:v>Préservatifs (M)</c:v>
                </c:pt>
              </c:strCache>
            </c:strRef>
          </c:cat>
          <c:val>
            <c:numRef>
              <c:f>'4. FPSource Set Up'!$E$18:$E$33</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F562-4B5D-AAD2-98EE8E1BA7E5}"/>
            </c:ext>
          </c:extLst>
        </c:ser>
        <c:ser>
          <c:idx val="1"/>
          <c:order val="1"/>
          <c:tx>
            <c:strRef>
              <c:f>'4. FPSource Set Up'!$F$17</c:f>
              <c:strCache>
                <c:ptCount val="1"/>
                <c:pt idx="0">
                  <c:v>ONG</c:v>
                </c:pt>
              </c:strCache>
            </c:strRef>
          </c:tx>
          <c:spPr>
            <a:solidFill>
              <a:schemeClr val="accent2">
                <a:lumMod val="40000"/>
                <a:lumOff val="60000"/>
              </a:schemeClr>
            </a:solidFill>
            <a:ln>
              <a:noFill/>
            </a:ln>
            <a:effectLst/>
          </c:spPr>
          <c:invertIfNegative val="0"/>
          <c:cat>
            <c:strRef>
              <c:f>'4. FPSource Set Up'!$D$18:$D$33</c:f>
              <c:strCache>
                <c:ptCount val="7"/>
                <c:pt idx="0">
                  <c:v>Stérilisation (F)</c:v>
                </c:pt>
                <c:pt idx="1">
                  <c:v>Stérilisation (M)</c:v>
                </c:pt>
                <c:pt idx="2">
                  <c:v>DIU</c:v>
                </c:pt>
                <c:pt idx="3">
                  <c:v>Implant</c:v>
                </c:pt>
                <c:pt idx="4">
                  <c:v>Produits injectables</c:v>
                </c:pt>
                <c:pt idx="5">
                  <c:v>Pilule</c:v>
                </c:pt>
                <c:pt idx="6">
                  <c:v>Préservatifs (M)</c:v>
                </c:pt>
              </c:strCache>
            </c:strRef>
          </c:cat>
          <c:val>
            <c:numRef>
              <c:f>'4. FPSource Set Up'!$F$18:$F$33</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1-F562-4B5D-AAD2-98EE8E1BA7E5}"/>
            </c:ext>
          </c:extLst>
        </c:ser>
        <c:ser>
          <c:idx val="2"/>
          <c:order val="2"/>
          <c:tx>
            <c:strRef>
              <c:f>'4. FPSource Set Up'!$G$17</c:f>
              <c:strCache>
                <c:ptCount val="1"/>
                <c:pt idx="0">
                  <c:v>Hôpital/clinique privé</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 FPSource Set Up'!$D$18:$D$33</c:f>
              <c:strCache>
                <c:ptCount val="7"/>
                <c:pt idx="0">
                  <c:v>Stérilisation (F)</c:v>
                </c:pt>
                <c:pt idx="1">
                  <c:v>Stérilisation (M)</c:v>
                </c:pt>
                <c:pt idx="2">
                  <c:v>DIU</c:v>
                </c:pt>
                <c:pt idx="3">
                  <c:v>Implant</c:v>
                </c:pt>
                <c:pt idx="4">
                  <c:v>Produits injectables</c:v>
                </c:pt>
                <c:pt idx="5">
                  <c:v>Pilule</c:v>
                </c:pt>
                <c:pt idx="6">
                  <c:v>Préservatifs (M)</c:v>
                </c:pt>
              </c:strCache>
            </c:strRef>
          </c:cat>
          <c:val>
            <c:numRef>
              <c:f>'4. FPSource Set Up'!$G$18:$G$33</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2-F562-4B5D-AAD2-98EE8E1BA7E5}"/>
            </c:ext>
          </c:extLst>
        </c:ser>
        <c:ser>
          <c:idx val="3"/>
          <c:order val="3"/>
          <c:tx>
            <c:strRef>
              <c:f>'4. FPSource Set Up'!$H$17</c:f>
              <c:strCache>
                <c:ptCount val="1"/>
                <c:pt idx="0">
                  <c:v>Pharmacie</c:v>
                </c:pt>
              </c:strCache>
            </c:strRef>
          </c:tx>
          <c:spPr>
            <a:solidFill>
              <a:schemeClr val="bg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 FPSource Set Up'!$D$18:$D$33</c:f>
              <c:strCache>
                <c:ptCount val="7"/>
                <c:pt idx="0">
                  <c:v>Stérilisation (F)</c:v>
                </c:pt>
                <c:pt idx="1">
                  <c:v>Stérilisation (M)</c:v>
                </c:pt>
                <c:pt idx="2">
                  <c:v>DIU</c:v>
                </c:pt>
                <c:pt idx="3">
                  <c:v>Implant</c:v>
                </c:pt>
                <c:pt idx="4">
                  <c:v>Produits injectables</c:v>
                </c:pt>
                <c:pt idx="5">
                  <c:v>Pilule</c:v>
                </c:pt>
                <c:pt idx="6">
                  <c:v>Préservatifs (M)</c:v>
                </c:pt>
              </c:strCache>
            </c:strRef>
          </c:cat>
          <c:val>
            <c:numRef>
              <c:f>'4. FPSource Set Up'!$H$18:$H$33</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3-F562-4B5D-AAD2-98EE8E1BA7E5}"/>
            </c:ext>
          </c:extLst>
        </c:ser>
        <c:ser>
          <c:idx val="4"/>
          <c:order val="4"/>
          <c:tx>
            <c:strRef>
              <c:f>'4. FPSource Set Up'!$I$17</c:f>
              <c:strCache>
                <c:ptCount val="1"/>
                <c:pt idx="0">
                  <c:v>Boutique / Église / Ami</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 FPSource Set Up'!$D$18:$D$33</c:f>
              <c:strCache>
                <c:ptCount val="7"/>
                <c:pt idx="0">
                  <c:v>Stérilisation (F)</c:v>
                </c:pt>
                <c:pt idx="1">
                  <c:v>Stérilisation (M)</c:v>
                </c:pt>
                <c:pt idx="2">
                  <c:v>DIU</c:v>
                </c:pt>
                <c:pt idx="3">
                  <c:v>Implant</c:v>
                </c:pt>
                <c:pt idx="4">
                  <c:v>Produits injectables</c:v>
                </c:pt>
                <c:pt idx="5">
                  <c:v>Pilule</c:v>
                </c:pt>
                <c:pt idx="6">
                  <c:v>Préservatifs (M)</c:v>
                </c:pt>
              </c:strCache>
            </c:strRef>
          </c:cat>
          <c:val>
            <c:numRef>
              <c:f>'4. FPSource Set Up'!$I$18:$I$33</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4-F562-4B5D-AAD2-98EE8E1BA7E5}"/>
            </c:ext>
          </c:extLst>
        </c:ser>
        <c:ser>
          <c:idx val="5"/>
          <c:order val="5"/>
          <c:tx>
            <c:strRef>
              <c:f>'4. FPSource Set Up'!$J$17</c:f>
              <c:strCache>
                <c:ptCount val="1"/>
                <c:pt idx="0">
                  <c:v>Autre</c:v>
                </c:pt>
              </c:strCache>
            </c:strRef>
          </c:tx>
          <c:spPr>
            <a:solidFill>
              <a:schemeClr val="accent3">
                <a:lumMod val="40000"/>
                <a:lumOff val="60000"/>
              </a:schemeClr>
            </a:solidFill>
            <a:ln>
              <a:noFill/>
            </a:ln>
            <a:effectLst/>
          </c:spPr>
          <c:invertIfNegative val="0"/>
          <c:cat>
            <c:strRef>
              <c:f>'4. FPSource Set Up'!$D$18:$D$33</c:f>
              <c:strCache>
                <c:ptCount val="7"/>
                <c:pt idx="0">
                  <c:v>Stérilisation (F)</c:v>
                </c:pt>
                <c:pt idx="1">
                  <c:v>Stérilisation (M)</c:v>
                </c:pt>
                <c:pt idx="2">
                  <c:v>DIU</c:v>
                </c:pt>
                <c:pt idx="3">
                  <c:v>Implant</c:v>
                </c:pt>
                <c:pt idx="4">
                  <c:v>Produits injectables</c:v>
                </c:pt>
                <c:pt idx="5">
                  <c:v>Pilule</c:v>
                </c:pt>
                <c:pt idx="6">
                  <c:v>Préservatifs (M)</c:v>
                </c:pt>
              </c:strCache>
            </c:strRef>
          </c:cat>
          <c:val>
            <c:numRef>
              <c:f>'4. FPSource Set Up'!$J$18:$J$33</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5-F562-4B5D-AAD2-98EE8E1BA7E5}"/>
            </c:ext>
          </c:extLst>
        </c:ser>
        <c:dLbls>
          <c:showLegendKey val="0"/>
          <c:showVal val="0"/>
          <c:showCatName val="0"/>
          <c:showSerName val="0"/>
          <c:showPercent val="0"/>
          <c:showBubbleSize val="0"/>
        </c:dLbls>
        <c:gapWidth val="25"/>
        <c:overlap val="100"/>
        <c:axId val="894251976"/>
        <c:axId val="894253288"/>
      </c:barChart>
      <c:catAx>
        <c:axId val="89425197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894253288"/>
        <c:crosses val="autoZero"/>
        <c:auto val="1"/>
        <c:lblAlgn val="ctr"/>
        <c:lblOffset val="100"/>
        <c:noMultiLvlLbl val="0"/>
      </c:catAx>
      <c:valAx>
        <c:axId val="894253288"/>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4251976"/>
        <c:crosses val="autoZero"/>
        <c:crossBetween val="between"/>
      </c:valAx>
      <c:spPr>
        <a:noFill/>
        <a:ln>
          <a:noFill/>
        </a:ln>
        <a:effectLst/>
      </c:spPr>
    </c:plotArea>
    <c:legend>
      <c:legendPos val="b"/>
      <c:layout>
        <c:manualLayout>
          <c:xMode val="edge"/>
          <c:yMode val="edge"/>
          <c:x val="6.0654123746077919E-2"/>
          <c:y val="0.90038666783796495"/>
          <c:w val="0.92353564634606999"/>
          <c:h val="9.961333216203516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'Commodities (Clients) Input'!$C$42</c:f>
              <c:strCache>
                <c:ptCount val="1"/>
                <c:pt idx="0">
                  <c:v>MAMA</c:v>
                </c:pt>
              </c:strCache>
            </c:strRef>
          </c:tx>
          <c:spPr>
            <a:solidFill>
              <a:schemeClr val="accent1"/>
            </a:solidFill>
            <a:ln>
              <a:noFill/>
            </a:ln>
            <a:effectLst/>
          </c:spPr>
          <c:invertIfNegative val="0"/>
          <c:cat>
            <c:numRef>
              <c:f>[0]!Year_C2C</c:f>
              <c:numCache>
                <c:formatCode>General</c:formatCode>
                <c:ptCount val="1"/>
                <c:pt idx="0">
                  <c:v>0</c:v>
                </c:pt>
              </c:numCache>
            </c:numRef>
          </c:cat>
          <c:val>
            <c:numRef>
              <c:f>'Commodities (Clients) Input'!LAM</c:f>
              <c:numCache>
                <c:formatCode>#,##0</c:formatCode>
                <c:ptCount val="1"/>
              </c:numCache>
            </c:numRef>
          </c:val>
          <c:extLst>
            <c:ext xmlns:c16="http://schemas.microsoft.com/office/drawing/2014/chart" uri="{C3380CC4-5D6E-409C-BE32-E72D297353CC}">
              <c16:uniqueId val="{00000000-B398-448A-8F97-8D9D873E38F6}"/>
            </c:ext>
          </c:extLst>
        </c:ser>
        <c:ser>
          <c:idx val="1"/>
          <c:order val="1"/>
          <c:tx>
            <c:strRef>
              <c:f>'Commodities (Clients) Input'!$C$43</c:f>
              <c:strCache>
                <c:ptCount val="1"/>
                <c:pt idx="0">
                  <c:v>MJF (Jours fixes)</c:v>
                </c:pt>
              </c:strCache>
            </c:strRef>
          </c:tx>
          <c:spPr>
            <a:solidFill>
              <a:schemeClr val="accent2"/>
            </a:solidFill>
            <a:ln>
              <a:noFill/>
            </a:ln>
            <a:effectLst/>
          </c:spPr>
          <c:invertIfNegative val="0"/>
          <c:cat>
            <c:numRef>
              <c:f>[0]!Year_C2C</c:f>
              <c:numCache>
                <c:formatCode>General</c:formatCode>
                <c:ptCount val="1"/>
                <c:pt idx="0">
                  <c:v>0</c:v>
                </c:pt>
              </c:numCache>
            </c:numRef>
          </c:cat>
          <c:val>
            <c:numRef>
              <c:f>'Commodities (Clients) Input'!SDM</c:f>
              <c:numCache>
                <c:formatCode>#,##0</c:formatCode>
                <c:ptCount val="1"/>
              </c:numCache>
            </c:numRef>
          </c:val>
          <c:extLst>
            <c:ext xmlns:c16="http://schemas.microsoft.com/office/drawing/2014/chart" uri="{C3380CC4-5D6E-409C-BE32-E72D297353CC}">
              <c16:uniqueId val="{00000001-B398-448A-8F97-8D9D873E38F6}"/>
            </c:ext>
          </c:extLst>
        </c:ser>
        <c:ser>
          <c:idx val="2"/>
          <c:order val="2"/>
          <c:tx>
            <c:strRef>
              <c:f>'Commodities (Clients) Input'!$C$44</c:f>
              <c:strCache>
                <c:ptCount val="1"/>
                <c:pt idx="0">
                  <c:v>Barrière vaginale</c:v>
                </c:pt>
              </c:strCache>
            </c:strRef>
          </c:tx>
          <c:spPr>
            <a:solidFill>
              <a:schemeClr val="accent3"/>
            </a:solidFill>
            <a:ln>
              <a:noFill/>
            </a:ln>
            <a:effectLst/>
          </c:spPr>
          <c:invertIfNegative val="0"/>
          <c:cat>
            <c:numRef>
              <c:f>[0]!Year_C2C</c:f>
              <c:numCache>
                <c:formatCode>General</c:formatCode>
                <c:ptCount val="1"/>
                <c:pt idx="0">
                  <c:v>0</c:v>
                </c:pt>
              </c:numCache>
            </c:numRef>
          </c:cat>
          <c:val>
            <c:numRef>
              <c:f>'Commodities (Clients) Input'!VBarrier</c:f>
              <c:numCache>
                <c:formatCode>#,##0</c:formatCode>
                <c:ptCount val="1"/>
              </c:numCache>
            </c:numRef>
          </c:val>
          <c:extLst>
            <c:ext xmlns:c16="http://schemas.microsoft.com/office/drawing/2014/chart" uri="{C3380CC4-5D6E-409C-BE32-E72D297353CC}">
              <c16:uniqueId val="{00000002-B398-448A-8F97-8D9D873E38F6}"/>
            </c:ext>
          </c:extLst>
        </c:ser>
        <c:ser>
          <c:idx val="3"/>
          <c:order val="3"/>
          <c:tx>
            <c:strRef>
              <c:f>'Commodities (Clients) Input'!$C$45</c:f>
              <c:strCache>
                <c:ptCount val="1"/>
                <c:pt idx="0">
                  <c:v>Spermicides</c:v>
                </c:pt>
              </c:strCache>
            </c:strRef>
          </c:tx>
          <c:spPr>
            <a:solidFill>
              <a:schemeClr val="accent4"/>
            </a:solidFill>
            <a:ln>
              <a:noFill/>
            </a:ln>
            <a:effectLst/>
          </c:spPr>
          <c:invertIfNegative val="0"/>
          <c:cat>
            <c:numRef>
              <c:f>[0]!Year_C2C</c:f>
              <c:numCache>
                <c:formatCode>General</c:formatCode>
                <c:ptCount val="1"/>
                <c:pt idx="0">
                  <c:v>0</c:v>
                </c:pt>
              </c:numCache>
            </c:numRef>
          </c:cat>
          <c:val>
            <c:numRef>
              <c:f>'Commodities (Clients) Input'!Spermicide</c:f>
              <c:numCache>
                <c:formatCode>#,##0</c:formatCode>
                <c:ptCount val="1"/>
              </c:numCache>
            </c:numRef>
          </c:val>
          <c:extLst>
            <c:ext xmlns:c16="http://schemas.microsoft.com/office/drawing/2014/chart" uri="{C3380CC4-5D6E-409C-BE32-E72D297353CC}">
              <c16:uniqueId val="{00000003-B398-448A-8F97-8D9D873E38F6}"/>
            </c:ext>
          </c:extLst>
        </c:ser>
        <c:dLbls>
          <c:showLegendKey val="0"/>
          <c:showVal val="0"/>
          <c:showCatName val="0"/>
          <c:showSerName val="0"/>
          <c:showPercent val="0"/>
          <c:showBubbleSize val="0"/>
        </c:dLbls>
        <c:gapWidth val="50"/>
        <c:axId val="320856328"/>
        <c:axId val="320863544"/>
      </c:barChart>
      <c:catAx>
        <c:axId val="320856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863544"/>
        <c:crosses val="autoZero"/>
        <c:auto val="1"/>
        <c:lblAlgn val="ctr"/>
        <c:lblOffset val="100"/>
        <c:noMultiLvlLbl val="0"/>
      </c:catAx>
      <c:valAx>
        <c:axId val="32086354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856328"/>
        <c:crosses val="autoZero"/>
        <c:crossBetween val="between"/>
      </c:valAx>
      <c:spPr>
        <a:noFill/>
        <a:ln>
          <a:noFill/>
        </a:ln>
        <a:effectLst/>
      </c:spPr>
    </c:plotArea>
    <c:legend>
      <c:legendPos val="b"/>
      <c:layout>
        <c:manualLayout>
          <c:xMode val="edge"/>
          <c:yMode val="edge"/>
          <c:x val="2.9434097915687109E-2"/>
          <c:y val="0.87095238840537137"/>
          <c:w val="0.96428938905914807"/>
          <c:h val="9.879770078685806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'Monthly Data Input'!$BR$218</c:f>
          <c:strCache>
            <c:ptCount val="1"/>
            <c:pt idx="0">
              <c:v>Les taux de complétude annuels vs mensuels</c:v>
            </c:pt>
          </c:strCache>
        </c:strRef>
      </c:tx>
      <c:layout>
        <c:manualLayout>
          <c:xMode val="edge"/>
          <c:yMode val="edge"/>
          <c:x val="0.35182222272151287"/>
          <c:y val="3.5631095985124623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1372187670216384E-2"/>
          <c:y val="0.12775391567102706"/>
          <c:w val="0.91723340672671183"/>
          <c:h val="0.71442629773580102"/>
        </c:manualLayout>
      </c:layout>
      <c:barChart>
        <c:barDir val="col"/>
        <c:grouping val="clustered"/>
        <c:varyColors val="0"/>
        <c:ser>
          <c:idx val="2"/>
          <c:order val="2"/>
          <c:tx>
            <c:strRef>
              <c:f>'Monthly Data Input'!$D$215:$F$215</c:f>
              <c:strCache>
                <c:ptCount val="3"/>
                <c:pt idx="0">
                  <c:v>Mois avec restrictions COVID</c:v>
                </c:pt>
              </c:strCache>
            </c:strRef>
          </c:tx>
          <c:spPr>
            <a:solidFill>
              <a:schemeClr val="accent4">
                <a:alpha val="50000"/>
              </a:schemeClr>
            </a:solidFill>
            <a:ln w="28575" cap="rnd">
              <a:noFill/>
              <a:round/>
            </a:ln>
            <a:effectLst/>
          </c:spPr>
          <c:invertIfNegative val="0"/>
          <c:cat>
            <c:strRef>
              <c:f>'Monthly Data Input'!$G$137:$BD$137</c:f>
              <c:strCach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Jan2019</c:v>
                </c:pt>
                <c:pt idx="15">
                  <c:v>Feb2019</c:v>
                </c:pt>
                <c:pt idx="16">
                  <c:v>Mar2019</c:v>
                </c:pt>
                <c:pt idx="17">
                  <c:v>Apr2019</c:v>
                </c:pt>
                <c:pt idx="18">
                  <c:v>May2019</c:v>
                </c:pt>
                <c:pt idx="19">
                  <c:v>Jun2019</c:v>
                </c:pt>
                <c:pt idx="20">
                  <c:v>Jul2019</c:v>
                </c:pt>
                <c:pt idx="21">
                  <c:v>Aug2019</c:v>
                </c:pt>
                <c:pt idx="22">
                  <c:v>Sep2019</c:v>
                </c:pt>
                <c:pt idx="23">
                  <c:v>Oct2019</c:v>
                </c:pt>
                <c:pt idx="24">
                  <c:v>Nov2019</c:v>
                </c:pt>
                <c:pt idx="25">
                  <c:v>Dec2019</c:v>
                </c:pt>
                <c:pt idx="26">
                  <c:v>Jan2020</c:v>
                </c:pt>
                <c:pt idx="27">
                  <c:v>Feb2020</c:v>
                </c:pt>
                <c:pt idx="28">
                  <c:v>Mar2020</c:v>
                </c:pt>
                <c:pt idx="29">
                  <c:v>Apr2020</c:v>
                </c:pt>
                <c:pt idx="30">
                  <c:v>May2020</c:v>
                </c:pt>
                <c:pt idx="31">
                  <c:v>Jun2020</c:v>
                </c:pt>
                <c:pt idx="32">
                  <c:v>Jul2020</c:v>
                </c:pt>
                <c:pt idx="33">
                  <c:v>Aug2020</c:v>
                </c:pt>
                <c:pt idx="34">
                  <c:v>Sep2020</c:v>
                </c:pt>
                <c:pt idx="35">
                  <c:v>Oct2020</c:v>
                </c:pt>
                <c:pt idx="36">
                  <c:v>Nov2020</c:v>
                </c:pt>
                <c:pt idx="37">
                  <c:v>Dec2020</c:v>
                </c:pt>
                <c:pt idx="38">
                  <c:v>Jan2021</c:v>
                </c:pt>
                <c:pt idx="39">
                  <c:v>Feb2021</c:v>
                </c:pt>
                <c:pt idx="40">
                  <c:v>Mar2021</c:v>
                </c:pt>
                <c:pt idx="41">
                  <c:v>Apr2021</c:v>
                </c:pt>
                <c:pt idx="42">
                  <c:v>May2021</c:v>
                </c:pt>
                <c:pt idx="43">
                  <c:v>Jun2021</c:v>
                </c:pt>
                <c:pt idx="44">
                  <c:v>Jul2021</c:v>
                </c:pt>
                <c:pt idx="45">
                  <c:v>Aug2021</c:v>
                </c:pt>
                <c:pt idx="46">
                  <c:v>Sep2021</c:v>
                </c:pt>
                <c:pt idx="47">
                  <c:v>Oct2021</c:v>
                </c:pt>
                <c:pt idx="48">
                  <c:v>Nov2021</c:v>
                </c:pt>
                <c:pt idx="49">
                  <c:v>Dec2021</c:v>
                </c:pt>
              </c:strCache>
            </c:strRef>
          </c:cat>
          <c:val>
            <c:numRef>
              <c:f>'Monthly Data Input'!$G$215:$BD$215</c:f>
              <c:numCache>
                <c:formatCode>#,##0</c:formatCode>
                <c:ptCount val="50"/>
                <c:pt idx="14">
                  <c:v>0</c:v>
                </c:pt>
                <c:pt idx="15">
                  <c:v>0</c:v>
                </c:pt>
                <c:pt idx="16">
                  <c:v>0</c:v>
                </c:pt>
                <c:pt idx="17">
                  <c:v>0</c:v>
                </c:pt>
                <c:pt idx="18">
                  <c:v>0</c:v>
                </c:pt>
                <c:pt idx="19">
                  <c:v>0</c:v>
                </c:pt>
                <c:pt idx="20">
                  <c:v>0</c:v>
                </c:pt>
                <c:pt idx="21">
                  <c:v>0</c:v>
                </c:pt>
                <c:pt idx="22">
                  <c:v>0</c:v>
                </c:pt>
                <c:pt idx="23">
                  <c:v>0</c:v>
                </c:pt>
                <c:pt idx="24">
                  <c:v>0</c:v>
                </c:pt>
                <c:pt idx="25">
                  <c:v>0</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numCache>
            </c:numRef>
          </c:val>
          <c:extLst>
            <c:ext xmlns:c16="http://schemas.microsoft.com/office/drawing/2014/chart" uri="{C3380CC4-5D6E-409C-BE32-E72D297353CC}">
              <c16:uniqueId val="{00000000-25F6-4D36-B691-B5E5EF21967C}"/>
            </c:ext>
          </c:extLst>
        </c:ser>
        <c:dLbls>
          <c:showLegendKey val="0"/>
          <c:showVal val="0"/>
          <c:showCatName val="0"/>
          <c:showSerName val="0"/>
          <c:showPercent val="0"/>
          <c:showBubbleSize val="0"/>
        </c:dLbls>
        <c:gapWidth val="0"/>
        <c:axId val="1258402383"/>
        <c:axId val="1258400303"/>
      </c:barChart>
      <c:lineChart>
        <c:grouping val="standard"/>
        <c:varyColors val="0"/>
        <c:ser>
          <c:idx val="0"/>
          <c:order val="0"/>
          <c:tx>
            <c:strRef>
              <c:f>'Monthly Data Input'!$D$213:$F$213</c:f>
              <c:strCache>
                <c:ptCount val="3"/>
                <c:pt idx="0">
                  <c:v>Les données mensuelles</c:v>
                </c:pt>
              </c:strCache>
            </c:strRef>
          </c:tx>
          <c:spPr>
            <a:ln w="28575" cap="rnd">
              <a:solidFill>
                <a:schemeClr val="accent1"/>
              </a:solidFill>
              <a:round/>
            </a:ln>
            <a:effectLst/>
          </c:spPr>
          <c:marker>
            <c:symbol val="circle"/>
            <c:size val="10"/>
            <c:spPr>
              <a:solidFill>
                <a:schemeClr val="accent1"/>
              </a:solidFill>
              <a:ln w="9525">
                <a:solidFill>
                  <a:schemeClr val="accent1"/>
                </a:solidFill>
              </a:ln>
              <a:effectLst/>
            </c:spPr>
          </c:marker>
          <c:cat>
            <c:strRef>
              <c:f>'Monthly Data Input'!$G$137:$BD$137</c:f>
              <c:strCach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Jan2019</c:v>
                </c:pt>
                <c:pt idx="15">
                  <c:v>Feb2019</c:v>
                </c:pt>
                <c:pt idx="16">
                  <c:v>Mar2019</c:v>
                </c:pt>
                <c:pt idx="17">
                  <c:v>Apr2019</c:v>
                </c:pt>
                <c:pt idx="18">
                  <c:v>May2019</c:v>
                </c:pt>
                <c:pt idx="19">
                  <c:v>Jun2019</c:v>
                </c:pt>
                <c:pt idx="20">
                  <c:v>Jul2019</c:v>
                </c:pt>
                <c:pt idx="21">
                  <c:v>Aug2019</c:v>
                </c:pt>
                <c:pt idx="22">
                  <c:v>Sep2019</c:v>
                </c:pt>
                <c:pt idx="23">
                  <c:v>Oct2019</c:v>
                </c:pt>
                <c:pt idx="24">
                  <c:v>Nov2019</c:v>
                </c:pt>
                <c:pt idx="25">
                  <c:v>Dec2019</c:v>
                </c:pt>
                <c:pt idx="26">
                  <c:v>Jan2020</c:v>
                </c:pt>
                <c:pt idx="27">
                  <c:v>Feb2020</c:v>
                </c:pt>
                <c:pt idx="28">
                  <c:v>Mar2020</c:v>
                </c:pt>
                <c:pt idx="29">
                  <c:v>Apr2020</c:v>
                </c:pt>
                <c:pt idx="30">
                  <c:v>May2020</c:v>
                </c:pt>
                <c:pt idx="31">
                  <c:v>Jun2020</c:v>
                </c:pt>
                <c:pt idx="32">
                  <c:v>Jul2020</c:v>
                </c:pt>
                <c:pt idx="33">
                  <c:v>Aug2020</c:v>
                </c:pt>
                <c:pt idx="34">
                  <c:v>Sep2020</c:v>
                </c:pt>
                <c:pt idx="35">
                  <c:v>Oct2020</c:v>
                </c:pt>
                <c:pt idx="36">
                  <c:v>Nov2020</c:v>
                </c:pt>
                <c:pt idx="37">
                  <c:v>Dec2020</c:v>
                </c:pt>
                <c:pt idx="38">
                  <c:v>Jan2021</c:v>
                </c:pt>
                <c:pt idx="39">
                  <c:v>Feb2021</c:v>
                </c:pt>
                <c:pt idx="40">
                  <c:v>Mar2021</c:v>
                </c:pt>
                <c:pt idx="41">
                  <c:v>Apr2021</c:v>
                </c:pt>
                <c:pt idx="42">
                  <c:v>May2021</c:v>
                </c:pt>
                <c:pt idx="43">
                  <c:v>Jun2021</c:v>
                </c:pt>
                <c:pt idx="44">
                  <c:v>Jul2021</c:v>
                </c:pt>
                <c:pt idx="45">
                  <c:v>Aug2021</c:v>
                </c:pt>
                <c:pt idx="46">
                  <c:v>Sep2021</c:v>
                </c:pt>
                <c:pt idx="47">
                  <c:v>Oct2021</c:v>
                </c:pt>
                <c:pt idx="48">
                  <c:v>Nov2021</c:v>
                </c:pt>
                <c:pt idx="49">
                  <c:v>Dec2021</c:v>
                </c:pt>
              </c:strCache>
            </c:strRef>
          </c:cat>
          <c:val>
            <c:numRef>
              <c:f>'Monthly Data Input'!$G$213:$BD$213</c:f>
              <c:numCache>
                <c:formatCode>0%</c:formatCod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smooth val="1"/>
          <c:extLst>
            <c:ext xmlns:c16="http://schemas.microsoft.com/office/drawing/2014/chart" uri="{C3380CC4-5D6E-409C-BE32-E72D297353CC}">
              <c16:uniqueId val="{00000001-25F6-4D36-B691-B5E5EF21967C}"/>
            </c:ext>
          </c:extLst>
        </c:ser>
        <c:ser>
          <c:idx val="1"/>
          <c:order val="1"/>
          <c:tx>
            <c:strRef>
              <c:f>'Monthly Data Input'!$D$214:$F$214</c:f>
              <c:strCache>
                <c:ptCount val="3"/>
                <c:pt idx="0">
                  <c:v>Les données annuelles</c:v>
                </c:pt>
              </c:strCache>
            </c:strRef>
          </c:tx>
          <c:spPr>
            <a:ln w="28575" cap="rnd">
              <a:solidFill>
                <a:schemeClr val="tx2"/>
              </a:solidFill>
              <a:round/>
            </a:ln>
            <a:effectLst/>
          </c:spPr>
          <c:marker>
            <c:symbol val="circle"/>
            <c:size val="10"/>
            <c:spPr>
              <a:solidFill>
                <a:schemeClr val="tx2"/>
              </a:solidFill>
              <a:ln w="9525">
                <a:solidFill>
                  <a:schemeClr val="tx2"/>
                </a:solidFill>
              </a:ln>
              <a:effectLst/>
            </c:spPr>
          </c:marker>
          <c:cat>
            <c:strRef>
              <c:f>'Monthly Data Input'!$G$137:$BD$137</c:f>
              <c:strCach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Jan2019</c:v>
                </c:pt>
                <c:pt idx="15">
                  <c:v>Feb2019</c:v>
                </c:pt>
                <c:pt idx="16">
                  <c:v>Mar2019</c:v>
                </c:pt>
                <c:pt idx="17">
                  <c:v>Apr2019</c:v>
                </c:pt>
                <c:pt idx="18">
                  <c:v>May2019</c:v>
                </c:pt>
                <c:pt idx="19">
                  <c:v>Jun2019</c:v>
                </c:pt>
                <c:pt idx="20">
                  <c:v>Jul2019</c:v>
                </c:pt>
                <c:pt idx="21">
                  <c:v>Aug2019</c:v>
                </c:pt>
                <c:pt idx="22">
                  <c:v>Sep2019</c:v>
                </c:pt>
                <c:pt idx="23">
                  <c:v>Oct2019</c:v>
                </c:pt>
                <c:pt idx="24">
                  <c:v>Nov2019</c:v>
                </c:pt>
                <c:pt idx="25">
                  <c:v>Dec2019</c:v>
                </c:pt>
                <c:pt idx="26">
                  <c:v>Jan2020</c:v>
                </c:pt>
                <c:pt idx="27">
                  <c:v>Feb2020</c:v>
                </c:pt>
                <c:pt idx="28">
                  <c:v>Mar2020</c:v>
                </c:pt>
                <c:pt idx="29">
                  <c:v>Apr2020</c:v>
                </c:pt>
                <c:pt idx="30">
                  <c:v>May2020</c:v>
                </c:pt>
                <c:pt idx="31">
                  <c:v>Jun2020</c:v>
                </c:pt>
                <c:pt idx="32">
                  <c:v>Jul2020</c:v>
                </c:pt>
                <c:pt idx="33">
                  <c:v>Aug2020</c:v>
                </c:pt>
                <c:pt idx="34">
                  <c:v>Sep2020</c:v>
                </c:pt>
                <c:pt idx="35">
                  <c:v>Oct2020</c:v>
                </c:pt>
                <c:pt idx="36">
                  <c:v>Nov2020</c:v>
                </c:pt>
                <c:pt idx="37">
                  <c:v>Dec2020</c:v>
                </c:pt>
                <c:pt idx="38">
                  <c:v>Jan2021</c:v>
                </c:pt>
                <c:pt idx="39">
                  <c:v>Feb2021</c:v>
                </c:pt>
                <c:pt idx="40">
                  <c:v>Mar2021</c:v>
                </c:pt>
                <c:pt idx="41">
                  <c:v>Apr2021</c:v>
                </c:pt>
                <c:pt idx="42">
                  <c:v>May2021</c:v>
                </c:pt>
                <c:pt idx="43">
                  <c:v>Jun2021</c:v>
                </c:pt>
                <c:pt idx="44">
                  <c:v>Jul2021</c:v>
                </c:pt>
                <c:pt idx="45">
                  <c:v>Aug2021</c:v>
                </c:pt>
                <c:pt idx="46">
                  <c:v>Sep2021</c:v>
                </c:pt>
                <c:pt idx="47">
                  <c:v>Oct2021</c:v>
                </c:pt>
                <c:pt idx="48">
                  <c:v>Nov2021</c:v>
                </c:pt>
                <c:pt idx="49">
                  <c:v>Dec2021</c:v>
                </c:pt>
              </c:strCache>
            </c:strRef>
          </c:cat>
          <c:val>
            <c:numRef>
              <c:f>'Monthly Data Input'!$G$214:$BD$214</c:f>
              <c:numCache>
                <c:formatCode>0%</c:formatCod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numCache>
            </c:numRef>
          </c:val>
          <c:smooth val="1"/>
          <c:extLst>
            <c:ext xmlns:c16="http://schemas.microsoft.com/office/drawing/2014/chart" uri="{C3380CC4-5D6E-409C-BE32-E72D297353CC}">
              <c16:uniqueId val="{00000002-25F6-4D36-B691-B5E5EF21967C}"/>
            </c:ext>
          </c:extLst>
        </c:ser>
        <c:dLbls>
          <c:showLegendKey val="0"/>
          <c:showVal val="0"/>
          <c:showCatName val="0"/>
          <c:showSerName val="0"/>
          <c:showPercent val="0"/>
          <c:showBubbleSize val="0"/>
        </c:dLbls>
        <c:marker val="1"/>
        <c:smooth val="0"/>
        <c:axId val="1522245199"/>
        <c:axId val="1522244367"/>
      </c:lineChart>
      <c:catAx>
        <c:axId val="15222451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2244367"/>
        <c:crosses val="autoZero"/>
        <c:auto val="1"/>
        <c:lblAlgn val="ctr"/>
        <c:lblOffset val="100"/>
        <c:noMultiLvlLbl val="0"/>
      </c:catAx>
      <c:valAx>
        <c:axId val="1522244367"/>
        <c:scaling>
          <c:orientation val="minMax"/>
          <c:min val="0"/>
        </c:scaling>
        <c:delete val="0"/>
        <c:axPos val="l"/>
        <c:majorGridlines>
          <c:spPr>
            <a:ln w="9525" cap="flat" cmpd="sng" algn="ctr">
              <a:solidFill>
                <a:schemeClr val="tx1">
                  <a:lumMod val="15000"/>
                  <a:lumOff val="85000"/>
                </a:schemeClr>
              </a:solidFill>
              <a:round/>
            </a:ln>
            <a:effectLst/>
          </c:spPr>
        </c:majorGridlines>
        <c:title>
          <c:tx>
            <c:strRef>
              <c:f>'Monthly Data Input'!$B$221</c:f>
              <c:strCache>
                <c:ptCount val="1"/>
                <c:pt idx="0">
                  <c:v>Les taux de complétude</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2245199"/>
        <c:crosses val="autoZero"/>
        <c:crossBetween val="between"/>
      </c:valAx>
      <c:valAx>
        <c:axId val="1258400303"/>
        <c:scaling>
          <c:orientation val="minMax"/>
          <c:max val="1"/>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58402383"/>
        <c:crosses val="max"/>
        <c:crossBetween val="between"/>
      </c:valAx>
      <c:catAx>
        <c:axId val="1258402383"/>
        <c:scaling>
          <c:orientation val="minMax"/>
        </c:scaling>
        <c:delete val="1"/>
        <c:axPos val="b"/>
        <c:numFmt formatCode="General" sourceLinked="1"/>
        <c:majorTickMark val="out"/>
        <c:minorTickMark val="none"/>
        <c:tickLblPos val="nextTo"/>
        <c:crossAx val="1258400303"/>
        <c:crosses val="autoZero"/>
        <c:auto val="1"/>
        <c:lblAlgn val="ctr"/>
        <c:lblOffset val="100"/>
        <c:noMultiLvlLbl val="0"/>
      </c:catAx>
      <c:spPr>
        <a:noFill/>
        <a:ln>
          <a:noFill/>
        </a:ln>
        <a:effectLst/>
      </c:spPr>
    </c:plotArea>
    <c:legend>
      <c:legendPos val="b"/>
      <c:layout>
        <c:manualLayout>
          <c:xMode val="edge"/>
          <c:yMode val="edge"/>
          <c:x val="7.6770620738634623E-2"/>
          <c:y val="6.3270416006183369E-2"/>
          <c:w val="0.87779030033190142"/>
          <c:h val="6.210369103070324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'Monthly Data Output'!$AV$138</c:f>
          <c:strCache>
            <c:ptCount val="1"/>
            <c:pt idx="0">
              <c:v>Tendance par type de méthode</c:v>
            </c:pt>
          </c:strCache>
        </c:strRef>
      </c:tx>
      <c:overlay val="0"/>
      <c:txPr>
        <a:bodyPr/>
        <a:lstStyle/>
        <a:p>
          <a:pPr>
            <a:defRPr sz="1400">
              <a:solidFill>
                <a:schemeClr val="tx2"/>
              </a:solidFill>
            </a:defRPr>
          </a:pPr>
          <a:endParaRPr lang="en-US"/>
        </a:p>
      </c:txPr>
    </c:title>
    <c:autoTitleDeleted val="0"/>
    <c:plotArea>
      <c:layout>
        <c:manualLayout>
          <c:layoutTarget val="inner"/>
          <c:xMode val="edge"/>
          <c:yMode val="edge"/>
          <c:x val="0.26146966357690471"/>
          <c:y val="9.2068296150481191E-2"/>
          <c:w val="0.7141301531446691"/>
          <c:h val="0.8034222545752453"/>
        </c:manualLayout>
      </c:layout>
      <c:barChart>
        <c:barDir val="col"/>
        <c:grouping val="clustered"/>
        <c:varyColors val="0"/>
        <c:ser>
          <c:idx val="3"/>
          <c:order val="3"/>
          <c:tx>
            <c:strRef>
              <c:f>'Monthly Data Output'!$C$101</c:f>
              <c:strCache>
                <c:ptCount val="1"/>
                <c:pt idx="0">
                  <c:v>Période de comparaison mensuelle</c:v>
                </c:pt>
              </c:strCache>
            </c:strRef>
          </c:tx>
          <c:spPr>
            <a:solidFill>
              <a:schemeClr val="accent3">
                <a:alpha val="50000"/>
              </a:schemeClr>
            </a:solidFill>
          </c:spPr>
          <c:invertIfNegative val="0"/>
          <c:cat>
            <c:numRef>
              <c:extLst>
                <c:ext xmlns:c15="http://schemas.microsoft.com/office/drawing/2012/chart" uri="{02D57815-91ED-43cb-92C2-25804820EDAC}">
                  <c15:fullRef>
                    <c15:sqref>'Monthly Data Output'!$D$88:$S$88</c15:sqref>
                  </c15:fullRef>
                </c:ext>
              </c:extLst>
              <c:f>'Monthly Data Output'!$M$88:$S$88</c:f>
              <c:numCache>
                <c:formatCode>General</c:formatCode>
                <c:ptCount val="7"/>
                <c:pt idx="0">
                  <c:v>#N/A</c:v>
                </c:pt>
                <c:pt idx="1">
                  <c:v>#N/A</c:v>
                </c:pt>
                <c:pt idx="2">
                  <c:v>#N/A</c:v>
                </c:pt>
                <c:pt idx="3">
                  <c:v>#N/A</c:v>
                </c:pt>
                <c:pt idx="4">
                  <c:v>#N/A</c:v>
                </c:pt>
                <c:pt idx="5">
                  <c:v>#N/A</c:v>
                </c:pt>
                <c:pt idx="6">
                  <c:v>#N/A</c:v>
                </c:pt>
              </c:numCache>
            </c:numRef>
          </c:cat>
          <c:val>
            <c:numRef>
              <c:extLst>
                <c:ext xmlns:c15="http://schemas.microsoft.com/office/drawing/2012/chart" uri="{02D57815-91ED-43cb-92C2-25804820EDAC}">
                  <c15:fullRef>
                    <c15:sqref>'Monthly Data Output'!$D$101:$S$101</c15:sqref>
                  </c15:fullRef>
                </c:ext>
              </c:extLst>
              <c:f>'Monthly Data Output'!$M$101:$S$101</c:f>
              <c:numCache>
                <c:formatCode>#,##0</c:formatCode>
                <c:ptCount val="7"/>
                <c:pt idx="5">
                  <c:v>1</c:v>
                </c:pt>
                <c:pt idx="6">
                  <c:v>1</c:v>
                </c:pt>
              </c:numCache>
            </c:numRef>
          </c:val>
          <c:extLst>
            <c:ext xmlns:c16="http://schemas.microsoft.com/office/drawing/2014/chart" uri="{C3380CC4-5D6E-409C-BE32-E72D297353CC}">
              <c16:uniqueId val="{00000000-4040-43B3-9D5E-6267E51881B8}"/>
            </c:ext>
          </c:extLst>
        </c:ser>
        <c:dLbls>
          <c:showLegendKey val="0"/>
          <c:showVal val="0"/>
          <c:showCatName val="0"/>
          <c:showSerName val="0"/>
          <c:showPercent val="0"/>
          <c:showBubbleSize val="0"/>
        </c:dLbls>
        <c:gapWidth val="0"/>
        <c:axId val="596244271"/>
        <c:axId val="596249263"/>
      </c:barChart>
      <c:lineChart>
        <c:grouping val="standard"/>
        <c:varyColors val="0"/>
        <c:ser>
          <c:idx val="0"/>
          <c:order val="0"/>
          <c:tx>
            <c:strRef>
              <c:f>'Monthly Data Output'!$C$97</c:f>
              <c:strCache>
                <c:ptCount val="1"/>
                <c:pt idx="0">
                  <c:v>Méthodes permanentes</c:v>
                </c:pt>
              </c:strCache>
            </c:strRef>
          </c:tx>
          <c:spPr>
            <a:ln>
              <a:solidFill>
                <a:schemeClr val="accent6"/>
              </a:solidFill>
            </a:ln>
          </c:spPr>
          <c:marker>
            <c:symbol val="none"/>
          </c:marker>
          <c:trendline>
            <c:spPr>
              <a:ln w="19050">
                <a:solidFill>
                  <a:schemeClr val="accent6"/>
                </a:solidFill>
                <a:prstDash val="sysDot"/>
              </a:ln>
            </c:spPr>
            <c:trendlineType val="linear"/>
            <c:dispRSqr val="0"/>
            <c:dispEq val="0"/>
          </c:trendline>
          <c:cat>
            <c:numRef>
              <c:extLst>
                <c:ext xmlns:c15="http://schemas.microsoft.com/office/drawing/2012/chart" uri="{02D57815-91ED-43cb-92C2-25804820EDAC}">
                  <c15:fullRef>
                    <c15:sqref>'Monthly Data Output'!$D$88:$S$88</c15:sqref>
                  </c15:fullRef>
                </c:ext>
              </c:extLst>
              <c:f>'Monthly Data Output'!$M$88:$S$88</c:f>
              <c:numCache>
                <c:formatCode>General</c:formatCode>
                <c:ptCount val="7"/>
                <c:pt idx="0">
                  <c:v>#N/A</c:v>
                </c:pt>
                <c:pt idx="1">
                  <c:v>#N/A</c:v>
                </c:pt>
                <c:pt idx="2">
                  <c:v>#N/A</c:v>
                </c:pt>
                <c:pt idx="3">
                  <c:v>#N/A</c:v>
                </c:pt>
                <c:pt idx="4">
                  <c:v>#N/A</c:v>
                </c:pt>
                <c:pt idx="5">
                  <c:v>#N/A</c:v>
                </c:pt>
                <c:pt idx="6">
                  <c:v>#N/A</c:v>
                </c:pt>
              </c:numCache>
            </c:numRef>
          </c:cat>
          <c:val>
            <c:numRef>
              <c:extLst>
                <c:ext xmlns:c15="http://schemas.microsoft.com/office/drawing/2012/chart" uri="{02D57815-91ED-43cb-92C2-25804820EDAC}">
                  <c15:fullRef>
                    <c15:sqref>'Monthly Data Output'!$D$97:$S$97</c15:sqref>
                  </c15:fullRef>
                </c:ext>
              </c:extLst>
              <c:f>'Monthly Data Output'!$M$97:$S$97</c:f>
              <c:numCache>
                <c:formatCode>#,##0</c:formatCode>
                <c:ptCount val="7"/>
                <c:pt idx="0">
                  <c:v>#N/A</c:v>
                </c:pt>
                <c:pt idx="1">
                  <c:v>#N/A</c:v>
                </c:pt>
                <c:pt idx="2">
                  <c:v>#N/A</c:v>
                </c:pt>
                <c:pt idx="3">
                  <c:v>#N/A</c:v>
                </c:pt>
                <c:pt idx="4">
                  <c:v>#N/A</c:v>
                </c:pt>
                <c:pt idx="5">
                  <c:v>#N/A</c:v>
                </c:pt>
                <c:pt idx="6">
                  <c:v>#N/A</c:v>
                </c:pt>
              </c:numCache>
            </c:numRef>
          </c:val>
          <c:smooth val="1"/>
          <c:extLst>
            <c:ext xmlns:c16="http://schemas.microsoft.com/office/drawing/2014/chart" uri="{C3380CC4-5D6E-409C-BE32-E72D297353CC}">
              <c16:uniqueId val="{00000002-4040-43B3-9D5E-6267E51881B8}"/>
            </c:ext>
          </c:extLst>
        </c:ser>
        <c:ser>
          <c:idx val="1"/>
          <c:order val="1"/>
          <c:tx>
            <c:strRef>
              <c:f>'Monthly Data Output'!$C$98</c:f>
              <c:strCache>
                <c:ptCount val="1"/>
                <c:pt idx="0">
                  <c:v>Méthodes réversibles à longue durée d'action</c:v>
                </c:pt>
              </c:strCache>
            </c:strRef>
          </c:tx>
          <c:spPr>
            <a:ln>
              <a:solidFill>
                <a:schemeClr val="tx2"/>
              </a:solidFill>
            </a:ln>
          </c:spPr>
          <c:marker>
            <c:symbol val="none"/>
          </c:marker>
          <c:trendline>
            <c:spPr>
              <a:ln w="19050">
                <a:solidFill>
                  <a:schemeClr val="tx2"/>
                </a:solidFill>
                <a:prstDash val="sysDot"/>
              </a:ln>
            </c:spPr>
            <c:trendlineType val="linear"/>
            <c:dispRSqr val="0"/>
            <c:dispEq val="0"/>
          </c:trendline>
          <c:cat>
            <c:numRef>
              <c:extLst>
                <c:ext xmlns:c15="http://schemas.microsoft.com/office/drawing/2012/chart" uri="{02D57815-91ED-43cb-92C2-25804820EDAC}">
                  <c15:fullRef>
                    <c15:sqref>'Monthly Data Output'!$D$88:$S$88</c15:sqref>
                  </c15:fullRef>
                </c:ext>
              </c:extLst>
              <c:f>'Monthly Data Output'!$M$88:$S$88</c:f>
              <c:numCache>
                <c:formatCode>General</c:formatCode>
                <c:ptCount val="7"/>
                <c:pt idx="0">
                  <c:v>#N/A</c:v>
                </c:pt>
                <c:pt idx="1">
                  <c:v>#N/A</c:v>
                </c:pt>
                <c:pt idx="2">
                  <c:v>#N/A</c:v>
                </c:pt>
                <c:pt idx="3">
                  <c:v>#N/A</c:v>
                </c:pt>
                <c:pt idx="4">
                  <c:v>#N/A</c:v>
                </c:pt>
                <c:pt idx="5">
                  <c:v>#N/A</c:v>
                </c:pt>
                <c:pt idx="6">
                  <c:v>#N/A</c:v>
                </c:pt>
              </c:numCache>
            </c:numRef>
          </c:cat>
          <c:val>
            <c:numRef>
              <c:extLst>
                <c:ext xmlns:c15="http://schemas.microsoft.com/office/drawing/2012/chart" uri="{02D57815-91ED-43cb-92C2-25804820EDAC}">
                  <c15:fullRef>
                    <c15:sqref>'Monthly Data Output'!$D$98:$S$98</c15:sqref>
                  </c15:fullRef>
                </c:ext>
              </c:extLst>
              <c:f>'Monthly Data Output'!$M$98:$S$98</c:f>
              <c:numCache>
                <c:formatCode>#,##0</c:formatCode>
                <c:ptCount val="7"/>
                <c:pt idx="0">
                  <c:v>#N/A</c:v>
                </c:pt>
                <c:pt idx="1">
                  <c:v>#N/A</c:v>
                </c:pt>
                <c:pt idx="2">
                  <c:v>#N/A</c:v>
                </c:pt>
                <c:pt idx="3">
                  <c:v>#N/A</c:v>
                </c:pt>
                <c:pt idx="4">
                  <c:v>#N/A</c:v>
                </c:pt>
                <c:pt idx="5">
                  <c:v>#N/A</c:v>
                </c:pt>
                <c:pt idx="6">
                  <c:v>#N/A</c:v>
                </c:pt>
              </c:numCache>
            </c:numRef>
          </c:val>
          <c:smooth val="1"/>
          <c:extLst>
            <c:ext xmlns:c16="http://schemas.microsoft.com/office/drawing/2014/chart" uri="{C3380CC4-5D6E-409C-BE32-E72D297353CC}">
              <c16:uniqueId val="{00000004-4040-43B3-9D5E-6267E51881B8}"/>
            </c:ext>
          </c:extLst>
        </c:ser>
        <c:ser>
          <c:idx val="2"/>
          <c:order val="2"/>
          <c:tx>
            <c:strRef>
              <c:f>'Monthly Data Output'!$C$99</c:f>
              <c:strCache>
                <c:ptCount val="1"/>
                <c:pt idx="0">
                  <c:v>Méthodes à court terme</c:v>
                </c:pt>
              </c:strCache>
            </c:strRef>
          </c:tx>
          <c:spPr>
            <a:ln>
              <a:solidFill>
                <a:schemeClr val="bg2"/>
              </a:solidFill>
            </a:ln>
          </c:spPr>
          <c:marker>
            <c:symbol val="none"/>
          </c:marker>
          <c:trendline>
            <c:spPr>
              <a:ln w="19050">
                <a:solidFill>
                  <a:schemeClr val="bg2"/>
                </a:solidFill>
                <a:prstDash val="sysDot"/>
              </a:ln>
            </c:spPr>
            <c:trendlineType val="linear"/>
            <c:dispRSqr val="0"/>
            <c:dispEq val="0"/>
          </c:trendline>
          <c:cat>
            <c:numRef>
              <c:extLst>
                <c:ext xmlns:c15="http://schemas.microsoft.com/office/drawing/2012/chart" uri="{02D57815-91ED-43cb-92C2-25804820EDAC}">
                  <c15:fullRef>
                    <c15:sqref>'Monthly Data Output'!$D$88:$S$88</c15:sqref>
                  </c15:fullRef>
                </c:ext>
              </c:extLst>
              <c:f>'Monthly Data Output'!$M$88:$S$88</c:f>
              <c:numCache>
                <c:formatCode>General</c:formatCode>
                <c:ptCount val="7"/>
                <c:pt idx="0">
                  <c:v>#N/A</c:v>
                </c:pt>
                <c:pt idx="1">
                  <c:v>#N/A</c:v>
                </c:pt>
                <c:pt idx="2">
                  <c:v>#N/A</c:v>
                </c:pt>
                <c:pt idx="3">
                  <c:v>#N/A</c:v>
                </c:pt>
                <c:pt idx="4">
                  <c:v>#N/A</c:v>
                </c:pt>
                <c:pt idx="5">
                  <c:v>#N/A</c:v>
                </c:pt>
                <c:pt idx="6">
                  <c:v>#N/A</c:v>
                </c:pt>
              </c:numCache>
            </c:numRef>
          </c:cat>
          <c:val>
            <c:numRef>
              <c:extLst>
                <c:ext xmlns:c15="http://schemas.microsoft.com/office/drawing/2012/chart" uri="{02D57815-91ED-43cb-92C2-25804820EDAC}">
                  <c15:fullRef>
                    <c15:sqref>'Monthly Data Output'!$D$99:$S$99</c15:sqref>
                  </c15:fullRef>
                </c:ext>
              </c:extLst>
              <c:f>'Monthly Data Output'!$M$99:$S$99</c:f>
              <c:numCache>
                <c:formatCode>#,##0</c:formatCode>
                <c:ptCount val="7"/>
                <c:pt idx="0">
                  <c:v>#N/A</c:v>
                </c:pt>
                <c:pt idx="1">
                  <c:v>#N/A</c:v>
                </c:pt>
                <c:pt idx="2">
                  <c:v>#N/A</c:v>
                </c:pt>
                <c:pt idx="3">
                  <c:v>#N/A</c:v>
                </c:pt>
                <c:pt idx="4">
                  <c:v>#N/A</c:v>
                </c:pt>
                <c:pt idx="5">
                  <c:v>#N/A</c:v>
                </c:pt>
                <c:pt idx="6">
                  <c:v>#N/A</c:v>
                </c:pt>
              </c:numCache>
            </c:numRef>
          </c:val>
          <c:smooth val="1"/>
          <c:extLst>
            <c:ext xmlns:c16="http://schemas.microsoft.com/office/drawing/2014/chart" uri="{C3380CC4-5D6E-409C-BE32-E72D297353CC}">
              <c16:uniqueId val="{00000006-4040-43B3-9D5E-6267E51881B8}"/>
            </c:ext>
          </c:extLst>
        </c:ser>
        <c:dLbls>
          <c:showLegendKey val="0"/>
          <c:showVal val="0"/>
          <c:showCatName val="0"/>
          <c:showSerName val="0"/>
          <c:showPercent val="0"/>
          <c:showBubbleSize val="0"/>
        </c:dLbls>
        <c:marker val="1"/>
        <c:smooth val="0"/>
        <c:axId val="1068113584"/>
        <c:axId val="1068127688"/>
      </c:lineChart>
      <c:catAx>
        <c:axId val="1068113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068127688"/>
        <c:crosses val="autoZero"/>
        <c:auto val="1"/>
        <c:lblAlgn val="ctr"/>
        <c:lblOffset val="100"/>
        <c:noMultiLvlLbl val="0"/>
      </c:catAx>
      <c:valAx>
        <c:axId val="1068127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068113584"/>
        <c:crosses val="autoZero"/>
        <c:crossBetween val="between"/>
      </c:valAx>
      <c:valAx>
        <c:axId val="596249263"/>
        <c:scaling>
          <c:orientation val="minMax"/>
          <c:max val="1"/>
        </c:scaling>
        <c:delete val="0"/>
        <c:axPos val="r"/>
        <c:numFmt formatCode="#,##0" sourceLinked="1"/>
        <c:majorTickMark val="out"/>
        <c:minorTickMark val="none"/>
        <c:tickLblPos val="nextTo"/>
        <c:spPr>
          <a:ln>
            <a:noFill/>
          </a:ln>
        </c:spPr>
        <c:txPr>
          <a:bodyPr/>
          <a:lstStyle/>
          <a:p>
            <a:pPr>
              <a:defRPr>
                <a:solidFill>
                  <a:schemeClr val="bg1"/>
                </a:solidFill>
              </a:defRPr>
            </a:pPr>
            <a:endParaRPr lang="en-US"/>
          </a:p>
        </c:txPr>
        <c:crossAx val="596244271"/>
        <c:crosses val="max"/>
        <c:crossBetween val="between"/>
      </c:valAx>
      <c:catAx>
        <c:axId val="596244271"/>
        <c:scaling>
          <c:orientation val="minMax"/>
        </c:scaling>
        <c:delete val="1"/>
        <c:axPos val="b"/>
        <c:numFmt formatCode="General" sourceLinked="1"/>
        <c:majorTickMark val="out"/>
        <c:minorTickMark val="none"/>
        <c:tickLblPos val="nextTo"/>
        <c:crossAx val="596249263"/>
        <c:crosses val="autoZero"/>
        <c:auto val="1"/>
        <c:lblAlgn val="ctr"/>
        <c:lblOffset val="100"/>
        <c:noMultiLvlLbl val="0"/>
      </c:catAx>
    </c:plotArea>
    <c:legend>
      <c:legendPos val="b"/>
      <c:layout>
        <c:manualLayout>
          <c:xMode val="edge"/>
          <c:yMode val="edge"/>
          <c:x val="2.9422880405531966E-3"/>
          <c:y val="0"/>
          <c:w val="0.16324571591528694"/>
          <c:h val="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extLst/>
  </c:chart>
  <c:spPr>
    <a:solidFill>
      <a:schemeClr val="bg1"/>
    </a:solidFill>
    <a:ln w="2857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'Monthly Data Output'!$AV$138</c:f>
          <c:strCache>
            <c:ptCount val="1"/>
            <c:pt idx="0">
              <c:v>Tendance par type de méthode</c:v>
            </c:pt>
          </c:strCache>
        </c:strRef>
      </c:tx>
      <c:overlay val="0"/>
      <c:txPr>
        <a:bodyPr/>
        <a:lstStyle/>
        <a:p>
          <a:pPr>
            <a:defRPr sz="1400">
              <a:solidFill>
                <a:schemeClr val="tx2"/>
              </a:solidFill>
            </a:defRPr>
          </a:pPr>
          <a:endParaRPr lang="en-US"/>
        </a:p>
      </c:txPr>
    </c:title>
    <c:autoTitleDeleted val="0"/>
    <c:plotArea>
      <c:layout>
        <c:manualLayout>
          <c:layoutTarget val="inner"/>
          <c:xMode val="edge"/>
          <c:yMode val="edge"/>
          <c:x val="0.21894976804408031"/>
          <c:y val="9.0520193525801901E-2"/>
          <c:w val="0.77206425487964736"/>
          <c:h val="0.72117597578047621"/>
        </c:manualLayout>
      </c:layout>
      <c:lineChart>
        <c:grouping val="standard"/>
        <c:varyColors val="0"/>
        <c:ser>
          <c:idx val="0"/>
          <c:order val="0"/>
          <c:tx>
            <c:strRef>
              <c:f>'Monthly Data Output'!$C$83</c:f>
              <c:strCache>
                <c:ptCount val="1"/>
                <c:pt idx="0">
                  <c:v>Méthodes permanentes</c:v>
                </c:pt>
              </c:strCache>
            </c:strRef>
          </c:tx>
          <c:spPr>
            <a:ln>
              <a:solidFill>
                <a:schemeClr val="accent6"/>
              </a:solidFill>
            </a:ln>
          </c:spPr>
          <c:marker>
            <c:symbol val="none"/>
          </c:marker>
          <c:trendline>
            <c:spPr>
              <a:ln w="19050">
                <a:solidFill>
                  <a:schemeClr val="accent6"/>
                </a:solidFill>
                <a:prstDash val="sysDot"/>
              </a:ln>
            </c:spPr>
            <c:trendlineType val="linear"/>
            <c:dispRSqr val="0"/>
            <c:dispEq val="0"/>
          </c:trendline>
          <c:cat>
            <c:strRef>
              <c:f>'Monthly Data Output'!$D$74:$AM$74</c:f>
              <c:strCache>
                <c:ptCount val="36"/>
                <c:pt idx="0">
                  <c:v>Jan2019</c:v>
                </c:pt>
                <c:pt idx="1">
                  <c:v>Feb2019</c:v>
                </c:pt>
                <c:pt idx="2">
                  <c:v>Mar2019</c:v>
                </c:pt>
                <c:pt idx="3">
                  <c:v>Apr2019</c:v>
                </c:pt>
                <c:pt idx="4">
                  <c:v>May2019</c:v>
                </c:pt>
                <c:pt idx="5">
                  <c:v>Jun2019</c:v>
                </c:pt>
                <c:pt idx="6">
                  <c:v>Jul2019</c:v>
                </c:pt>
                <c:pt idx="7">
                  <c:v>Aug2019</c:v>
                </c:pt>
                <c:pt idx="8">
                  <c:v>Sep2019</c:v>
                </c:pt>
                <c:pt idx="9">
                  <c:v>Oct2019</c:v>
                </c:pt>
                <c:pt idx="10">
                  <c:v>Nov2019</c:v>
                </c:pt>
                <c:pt idx="11">
                  <c:v>Dec2019</c:v>
                </c:pt>
                <c:pt idx="12">
                  <c:v>Jan2020</c:v>
                </c:pt>
                <c:pt idx="13">
                  <c:v>Feb2020</c:v>
                </c:pt>
                <c:pt idx="14">
                  <c:v>Mar2020</c:v>
                </c:pt>
                <c:pt idx="15">
                  <c:v>Apr2020</c:v>
                </c:pt>
                <c:pt idx="16">
                  <c:v>May2020</c:v>
                </c:pt>
                <c:pt idx="17">
                  <c:v>Jun2020</c:v>
                </c:pt>
                <c:pt idx="18">
                  <c:v>Jul2020</c:v>
                </c:pt>
                <c:pt idx="19">
                  <c:v>Aug2020</c:v>
                </c:pt>
                <c:pt idx="20">
                  <c:v>Sep2020</c:v>
                </c:pt>
                <c:pt idx="21">
                  <c:v>Oct2020</c:v>
                </c:pt>
                <c:pt idx="22">
                  <c:v>Nov2020</c:v>
                </c:pt>
                <c:pt idx="23">
                  <c:v>Dec2020</c:v>
                </c:pt>
                <c:pt idx="24">
                  <c:v>Jan2021</c:v>
                </c:pt>
                <c:pt idx="25">
                  <c:v>Feb2021</c:v>
                </c:pt>
                <c:pt idx="26">
                  <c:v>Mar2021</c:v>
                </c:pt>
                <c:pt idx="27">
                  <c:v>Apr2021</c:v>
                </c:pt>
                <c:pt idx="28">
                  <c:v>May2021</c:v>
                </c:pt>
                <c:pt idx="29">
                  <c:v>Jun2021</c:v>
                </c:pt>
                <c:pt idx="30">
                  <c:v>Jul2021</c:v>
                </c:pt>
                <c:pt idx="31">
                  <c:v>Aug2021</c:v>
                </c:pt>
                <c:pt idx="32">
                  <c:v>Sep2021</c:v>
                </c:pt>
                <c:pt idx="33">
                  <c:v>Oct2021</c:v>
                </c:pt>
                <c:pt idx="34">
                  <c:v>Nov2021</c:v>
                </c:pt>
                <c:pt idx="35">
                  <c:v>Dec2021</c:v>
                </c:pt>
              </c:strCache>
            </c:strRef>
          </c:cat>
          <c:val>
            <c:numRef>
              <c:f>'Monthly Data Output'!$D$83:$AM$83</c:f>
              <c:numCache>
                <c:formatCode>#,##0</c:formatCode>
                <c:ptCount val="3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numCache>
            </c:numRef>
          </c:val>
          <c:smooth val="1"/>
          <c:extLst>
            <c:ext xmlns:c16="http://schemas.microsoft.com/office/drawing/2014/chart" uri="{C3380CC4-5D6E-409C-BE32-E72D297353CC}">
              <c16:uniqueId val="{00000001-B49E-436A-AE1F-1ECE7089BE4A}"/>
            </c:ext>
          </c:extLst>
        </c:ser>
        <c:ser>
          <c:idx val="1"/>
          <c:order val="1"/>
          <c:tx>
            <c:strRef>
              <c:f>'Monthly Data Output'!$C$84</c:f>
              <c:strCache>
                <c:ptCount val="1"/>
                <c:pt idx="0">
                  <c:v>Méthodes réversibles à longue durée d'action</c:v>
                </c:pt>
              </c:strCache>
            </c:strRef>
          </c:tx>
          <c:spPr>
            <a:ln>
              <a:solidFill>
                <a:schemeClr val="tx2"/>
              </a:solidFill>
            </a:ln>
          </c:spPr>
          <c:marker>
            <c:symbol val="none"/>
          </c:marker>
          <c:trendline>
            <c:spPr>
              <a:ln w="19050">
                <a:solidFill>
                  <a:schemeClr val="tx2"/>
                </a:solidFill>
                <a:prstDash val="sysDot"/>
              </a:ln>
            </c:spPr>
            <c:trendlineType val="linear"/>
            <c:dispRSqr val="0"/>
            <c:dispEq val="0"/>
          </c:trendline>
          <c:cat>
            <c:strRef>
              <c:f>'Monthly Data Output'!$D$74:$AM$74</c:f>
              <c:strCache>
                <c:ptCount val="36"/>
                <c:pt idx="0">
                  <c:v>Jan2019</c:v>
                </c:pt>
                <c:pt idx="1">
                  <c:v>Feb2019</c:v>
                </c:pt>
                <c:pt idx="2">
                  <c:v>Mar2019</c:v>
                </c:pt>
                <c:pt idx="3">
                  <c:v>Apr2019</c:v>
                </c:pt>
                <c:pt idx="4">
                  <c:v>May2019</c:v>
                </c:pt>
                <c:pt idx="5">
                  <c:v>Jun2019</c:v>
                </c:pt>
                <c:pt idx="6">
                  <c:v>Jul2019</c:v>
                </c:pt>
                <c:pt idx="7">
                  <c:v>Aug2019</c:v>
                </c:pt>
                <c:pt idx="8">
                  <c:v>Sep2019</c:v>
                </c:pt>
                <c:pt idx="9">
                  <c:v>Oct2019</c:v>
                </c:pt>
                <c:pt idx="10">
                  <c:v>Nov2019</c:v>
                </c:pt>
                <c:pt idx="11">
                  <c:v>Dec2019</c:v>
                </c:pt>
                <c:pt idx="12">
                  <c:v>Jan2020</c:v>
                </c:pt>
                <c:pt idx="13">
                  <c:v>Feb2020</c:v>
                </c:pt>
                <c:pt idx="14">
                  <c:v>Mar2020</c:v>
                </c:pt>
                <c:pt idx="15">
                  <c:v>Apr2020</c:v>
                </c:pt>
                <c:pt idx="16">
                  <c:v>May2020</c:v>
                </c:pt>
                <c:pt idx="17">
                  <c:v>Jun2020</c:v>
                </c:pt>
                <c:pt idx="18">
                  <c:v>Jul2020</c:v>
                </c:pt>
                <c:pt idx="19">
                  <c:v>Aug2020</c:v>
                </c:pt>
                <c:pt idx="20">
                  <c:v>Sep2020</c:v>
                </c:pt>
                <c:pt idx="21">
                  <c:v>Oct2020</c:v>
                </c:pt>
                <c:pt idx="22">
                  <c:v>Nov2020</c:v>
                </c:pt>
                <c:pt idx="23">
                  <c:v>Dec2020</c:v>
                </c:pt>
                <c:pt idx="24">
                  <c:v>Jan2021</c:v>
                </c:pt>
                <c:pt idx="25">
                  <c:v>Feb2021</c:v>
                </c:pt>
                <c:pt idx="26">
                  <c:v>Mar2021</c:v>
                </c:pt>
                <c:pt idx="27">
                  <c:v>Apr2021</c:v>
                </c:pt>
                <c:pt idx="28">
                  <c:v>May2021</c:v>
                </c:pt>
                <c:pt idx="29">
                  <c:v>Jun2021</c:v>
                </c:pt>
                <c:pt idx="30">
                  <c:v>Jul2021</c:v>
                </c:pt>
                <c:pt idx="31">
                  <c:v>Aug2021</c:v>
                </c:pt>
                <c:pt idx="32">
                  <c:v>Sep2021</c:v>
                </c:pt>
                <c:pt idx="33">
                  <c:v>Oct2021</c:v>
                </c:pt>
                <c:pt idx="34">
                  <c:v>Nov2021</c:v>
                </c:pt>
                <c:pt idx="35">
                  <c:v>Dec2021</c:v>
                </c:pt>
              </c:strCache>
            </c:strRef>
          </c:cat>
          <c:val>
            <c:numRef>
              <c:f>'Monthly Data Output'!$D$84:$AM$84</c:f>
              <c:numCache>
                <c:formatCode>#,##0</c:formatCode>
                <c:ptCount val="3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numCache>
            </c:numRef>
          </c:val>
          <c:smooth val="1"/>
          <c:extLst>
            <c:ext xmlns:c16="http://schemas.microsoft.com/office/drawing/2014/chart" uri="{C3380CC4-5D6E-409C-BE32-E72D297353CC}">
              <c16:uniqueId val="{00000003-B49E-436A-AE1F-1ECE7089BE4A}"/>
            </c:ext>
          </c:extLst>
        </c:ser>
        <c:ser>
          <c:idx val="2"/>
          <c:order val="2"/>
          <c:tx>
            <c:strRef>
              <c:f>'Monthly Data Output'!$C$85</c:f>
              <c:strCache>
                <c:ptCount val="1"/>
                <c:pt idx="0">
                  <c:v>Méthodes à court terme</c:v>
                </c:pt>
              </c:strCache>
            </c:strRef>
          </c:tx>
          <c:spPr>
            <a:ln>
              <a:solidFill>
                <a:schemeClr val="bg2"/>
              </a:solidFill>
            </a:ln>
          </c:spPr>
          <c:marker>
            <c:symbol val="none"/>
          </c:marker>
          <c:trendline>
            <c:spPr>
              <a:ln w="19050">
                <a:solidFill>
                  <a:schemeClr val="bg2"/>
                </a:solidFill>
                <a:prstDash val="sysDot"/>
              </a:ln>
            </c:spPr>
            <c:trendlineType val="linear"/>
            <c:dispRSqr val="0"/>
            <c:dispEq val="0"/>
          </c:trendline>
          <c:cat>
            <c:strRef>
              <c:f>'Monthly Data Output'!$D$74:$AM$74</c:f>
              <c:strCache>
                <c:ptCount val="36"/>
                <c:pt idx="0">
                  <c:v>Jan2019</c:v>
                </c:pt>
                <c:pt idx="1">
                  <c:v>Feb2019</c:v>
                </c:pt>
                <c:pt idx="2">
                  <c:v>Mar2019</c:v>
                </c:pt>
                <c:pt idx="3">
                  <c:v>Apr2019</c:v>
                </c:pt>
                <c:pt idx="4">
                  <c:v>May2019</c:v>
                </c:pt>
                <c:pt idx="5">
                  <c:v>Jun2019</c:v>
                </c:pt>
                <c:pt idx="6">
                  <c:v>Jul2019</c:v>
                </c:pt>
                <c:pt idx="7">
                  <c:v>Aug2019</c:v>
                </c:pt>
                <c:pt idx="8">
                  <c:v>Sep2019</c:v>
                </c:pt>
                <c:pt idx="9">
                  <c:v>Oct2019</c:v>
                </c:pt>
                <c:pt idx="10">
                  <c:v>Nov2019</c:v>
                </c:pt>
                <c:pt idx="11">
                  <c:v>Dec2019</c:v>
                </c:pt>
                <c:pt idx="12">
                  <c:v>Jan2020</c:v>
                </c:pt>
                <c:pt idx="13">
                  <c:v>Feb2020</c:v>
                </c:pt>
                <c:pt idx="14">
                  <c:v>Mar2020</c:v>
                </c:pt>
                <c:pt idx="15">
                  <c:v>Apr2020</c:v>
                </c:pt>
                <c:pt idx="16">
                  <c:v>May2020</c:v>
                </c:pt>
                <c:pt idx="17">
                  <c:v>Jun2020</c:v>
                </c:pt>
                <c:pt idx="18">
                  <c:v>Jul2020</c:v>
                </c:pt>
                <c:pt idx="19">
                  <c:v>Aug2020</c:v>
                </c:pt>
                <c:pt idx="20">
                  <c:v>Sep2020</c:v>
                </c:pt>
                <c:pt idx="21">
                  <c:v>Oct2020</c:v>
                </c:pt>
                <c:pt idx="22">
                  <c:v>Nov2020</c:v>
                </c:pt>
                <c:pt idx="23">
                  <c:v>Dec2020</c:v>
                </c:pt>
                <c:pt idx="24">
                  <c:v>Jan2021</c:v>
                </c:pt>
                <c:pt idx="25">
                  <c:v>Feb2021</c:v>
                </c:pt>
                <c:pt idx="26">
                  <c:v>Mar2021</c:v>
                </c:pt>
                <c:pt idx="27">
                  <c:v>Apr2021</c:v>
                </c:pt>
                <c:pt idx="28">
                  <c:v>May2021</c:v>
                </c:pt>
                <c:pt idx="29">
                  <c:v>Jun2021</c:v>
                </c:pt>
                <c:pt idx="30">
                  <c:v>Jul2021</c:v>
                </c:pt>
                <c:pt idx="31">
                  <c:v>Aug2021</c:v>
                </c:pt>
                <c:pt idx="32">
                  <c:v>Sep2021</c:v>
                </c:pt>
                <c:pt idx="33">
                  <c:v>Oct2021</c:v>
                </c:pt>
                <c:pt idx="34">
                  <c:v>Nov2021</c:v>
                </c:pt>
                <c:pt idx="35">
                  <c:v>Dec2021</c:v>
                </c:pt>
              </c:strCache>
            </c:strRef>
          </c:cat>
          <c:val>
            <c:numRef>
              <c:f>'Monthly Data Output'!$D$85:$AM$85</c:f>
              <c:numCache>
                <c:formatCode>#,##0</c:formatCode>
                <c:ptCount val="3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numCache>
            </c:numRef>
          </c:val>
          <c:smooth val="1"/>
          <c:extLst>
            <c:ext xmlns:c16="http://schemas.microsoft.com/office/drawing/2014/chart" uri="{C3380CC4-5D6E-409C-BE32-E72D297353CC}">
              <c16:uniqueId val="{00000005-B49E-436A-AE1F-1ECE7089BE4A}"/>
            </c:ext>
          </c:extLst>
        </c:ser>
        <c:dLbls>
          <c:showLegendKey val="0"/>
          <c:showVal val="0"/>
          <c:showCatName val="0"/>
          <c:showSerName val="0"/>
          <c:showPercent val="0"/>
          <c:showBubbleSize val="0"/>
        </c:dLbls>
        <c:smooth val="0"/>
        <c:axId val="1068113584"/>
        <c:axId val="1068127688"/>
      </c:lineChart>
      <c:catAx>
        <c:axId val="1068113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068127688"/>
        <c:crosses val="autoZero"/>
        <c:auto val="1"/>
        <c:lblAlgn val="ctr"/>
        <c:lblOffset val="100"/>
        <c:noMultiLvlLbl val="0"/>
      </c:catAx>
      <c:valAx>
        <c:axId val="1068127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068113584"/>
        <c:crosses val="autoZero"/>
        <c:crossBetween val="between"/>
      </c:valAx>
    </c:plotArea>
    <c:legend>
      <c:legendPos val="b"/>
      <c:layout>
        <c:manualLayout>
          <c:xMode val="edge"/>
          <c:yMode val="edge"/>
          <c:x val="2.9422880405531966E-3"/>
          <c:y val="7.9518768905898846E-2"/>
          <c:w val="0.15241448984213063"/>
          <c:h val="0.9131444519652774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extLst/>
  </c:chart>
  <c:spPr>
    <a:solidFill>
      <a:schemeClr val="bg1"/>
    </a:solidFill>
    <a:ln w="2857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'Monthly Data Output'!$AV$159</c:f>
          <c:strCache>
            <c:ptCount val="1"/>
            <c:pt idx="0">
              <c:v>Tendance par méthode</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2"/>
              </a:solidFill>
              <a:latin typeface="+mn-lt"/>
              <a:ea typeface="+mn-ea"/>
              <a:cs typeface="+mn-cs"/>
            </a:defRPr>
          </a:pPr>
          <a:endParaRPr lang="en-US"/>
        </a:p>
      </c:txPr>
    </c:title>
    <c:autoTitleDeleted val="0"/>
    <c:plotArea>
      <c:layout>
        <c:manualLayout>
          <c:layoutTarget val="inner"/>
          <c:xMode val="edge"/>
          <c:yMode val="edge"/>
          <c:x val="8.9574373982744357E-2"/>
          <c:y val="0.22638073944410969"/>
          <c:w val="0.88819665802633307"/>
          <c:h val="0.68455263141324763"/>
        </c:manualLayout>
      </c:layout>
      <c:barChart>
        <c:barDir val="col"/>
        <c:grouping val="clustered"/>
        <c:varyColors val="0"/>
        <c:ser>
          <c:idx val="8"/>
          <c:order val="8"/>
          <c:tx>
            <c:strRef>
              <c:f>'Monthly Data Output'!$C$101</c:f>
              <c:strCache>
                <c:ptCount val="1"/>
                <c:pt idx="0">
                  <c:v>Période de comparaison mensuelle</c:v>
                </c:pt>
              </c:strCache>
            </c:strRef>
          </c:tx>
          <c:spPr>
            <a:solidFill>
              <a:schemeClr val="accent3">
                <a:alpha val="50000"/>
              </a:schemeClr>
            </a:solidFill>
            <a:ln>
              <a:noFill/>
            </a:ln>
            <a:effectLst/>
          </c:spPr>
          <c:invertIfNegative val="0"/>
          <c:cat>
            <c:numRef>
              <c:extLst>
                <c:ext xmlns:c15="http://schemas.microsoft.com/office/drawing/2012/chart" uri="{02D57815-91ED-43cb-92C2-25804820EDAC}">
                  <c15:fullRef>
                    <c15:sqref>'Monthly Data Output'!$D$88:$S$88</c15:sqref>
                  </c15:fullRef>
                </c:ext>
              </c:extLst>
              <c:f>'Monthly Data Output'!$M$88:$S$88</c:f>
              <c:numCache>
                <c:formatCode>General</c:formatCode>
                <c:ptCount val="7"/>
                <c:pt idx="0">
                  <c:v>#N/A</c:v>
                </c:pt>
                <c:pt idx="1">
                  <c:v>#N/A</c:v>
                </c:pt>
                <c:pt idx="2">
                  <c:v>#N/A</c:v>
                </c:pt>
                <c:pt idx="3">
                  <c:v>#N/A</c:v>
                </c:pt>
                <c:pt idx="4">
                  <c:v>#N/A</c:v>
                </c:pt>
                <c:pt idx="5">
                  <c:v>#N/A</c:v>
                </c:pt>
                <c:pt idx="6">
                  <c:v>#N/A</c:v>
                </c:pt>
              </c:numCache>
            </c:numRef>
          </c:cat>
          <c:val>
            <c:numRef>
              <c:extLst>
                <c:ext xmlns:c15="http://schemas.microsoft.com/office/drawing/2012/chart" uri="{02D57815-91ED-43cb-92C2-25804820EDAC}">
                  <c15:fullRef>
                    <c15:sqref>'Monthly Data Output'!$D$101:$S$101</c15:sqref>
                  </c15:fullRef>
                </c:ext>
              </c:extLst>
              <c:f>'Monthly Data Output'!$M$101:$S$101</c:f>
              <c:numCache>
                <c:formatCode>#,##0</c:formatCode>
                <c:ptCount val="7"/>
                <c:pt idx="5">
                  <c:v>1</c:v>
                </c:pt>
                <c:pt idx="6">
                  <c:v>1</c:v>
                </c:pt>
              </c:numCache>
            </c:numRef>
          </c:val>
          <c:extLst>
            <c:ext xmlns:c16="http://schemas.microsoft.com/office/drawing/2014/chart" uri="{C3380CC4-5D6E-409C-BE32-E72D297353CC}">
              <c16:uniqueId val="{00000000-1D25-4E42-9C0E-A0CA9B38F975}"/>
            </c:ext>
          </c:extLst>
        </c:ser>
        <c:dLbls>
          <c:showLegendKey val="0"/>
          <c:showVal val="0"/>
          <c:showCatName val="0"/>
          <c:showSerName val="0"/>
          <c:showPercent val="0"/>
          <c:showBubbleSize val="0"/>
        </c:dLbls>
        <c:gapWidth val="0"/>
        <c:axId val="1085990639"/>
        <c:axId val="1085989807"/>
      </c:barChart>
      <c:lineChart>
        <c:grouping val="standard"/>
        <c:varyColors val="0"/>
        <c:ser>
          <c:idx val="0"/>
          <c:order val="0"/>
          <c:tx>
            <c:strRef>
              <c:f>'Monthly Data Output'!$C$89</c:f>
              <c:strCache>
                <c:ptCount val="1"/>
                <c:pt idx="0">
                  <c:v>Stérilisation (F)</c:v>
                </c:pt>
              </c:strCache>
            </c:strRef>
          </c:tx>
          <c:spPr>
            <a:ln w="28575" cap="rnd">
              <a:solidFill>
                <a:schemeClr val="accent6"/>
              </a:solidFill>
              <a:round/>
            </a:ln>
            <a:effectLst/>
          </c:spPr>
          <c:marker>
            <c:symbol val="none"/>
          </c:marker>
          <c:cat>
            <c:numRef>
              <c:extLst>
                <c:ext xmlns:c15="http://schemas.microsoft.com/office/drawing/2012/chart" uri="{02D57815-91ED-43cb-92C2-25804820EDAC}">
                  <c15:fullRef>
                    <c15:sqref>'Monthly Data Output'!$D$88:$S$88</c15:sqref>
                  </c15:fullRef>
                </c:ext>
              </c:extLst>
              <c:f>'Monthly Data Output'!$M$88:$S$88</c:f>
              <c:numCache>
                <c:formatCode>General</c:formatCode>
                <c:ptCount val="7"/>
                <c:pt idx="0">
                  <c:v>#N/A</c:v>
                </c:pt>
                <c:pt idx="1">
                  <c:v>#N/A</c:v>
                </c:pt>
                <c:pt idx="2">
                  <c:v>#N/A</c:v>
                </c:pt>
                <c:pt idx="3">
                  <c:v>#N/A</c:v>
                </c:pt>
                <c:pt idx="4">
                  <c:v>#N/A</c:v>
                </c:pt>
                <c:pt idx="5">
                  <c:v>#N/A</c:v>
                </c:pt>
                <c:pt idx="6">
                  <c:v>#N/A</c:v>
                </c:pt>
              </c:numCache>
            </c:numRef>
          </c:cat>
          <c:val>
            <c:numRef>
              <c:extLst>
                <c:ext xmlns:c15="http://schemas.microsoft.com/office/drawing/2012/chart" uri="{02D57815-91ED-43cb-92C2-25804820EDAC}">
                  <c15:fullRef>
                    <c15:sqref>'Monthly Data Output'!$D$89:$S$89</c15:sqref>
                  </c15:fullRef>
                </c:ext>
              </c:extLst>
              <c:f>'Monthly Data Output'!$M$89:$S$89</c:f>
              <c:numCache>
                <c:formatCode>#,##0</c:formatCode>
                <c:ptCount val="7"/>
                <c:pt idx="0">
                  <c:v>#N/A</c:v>
                </c:pt>
                <c:pt idx="1">
                  <c:v>#N/A</c:v>
                </c:pt>
                <c:pt idx="2">
                  <c:v>#N/A</c:v>
                </c:pt>
                <c:pt idx="3">
                  <c:v>#N/A</c:v>
                </c:pt>
                <c:pt idx="4">
                  <c:v>#N/A</c:v>
                </c:pt>
                <c:pt idx="5">
                  <c:v>#N/A</c:v>
                </c:pt>
                <c:pt idx="6">
                  <c:v>#N/A</c:v>
                </c:pt>
              </c:numCache>
            </c:numRef>
          </c:val>
          <c:smooth val="1"/>
          <c:extLst>
            <c:ext xmlns:c16="http://schemas.microsoft.com/office/drawing/2014/chart" uri="{C3380CC4-5D6E-409C-BE32-E72D297353CC}">
              <c16:uniqueId val="{00000001-1D25-4E42-9C0E-A0CA9B38F975}"/>
            </c:ext>
          </c:extLst>
        </c:ser>
        <c:ser>
          <c:idx val="1"/>
          <c:order val="1"/>
          <c:tx>
            <c:strRef>
              <c:f>'Monthly Data Output'!$C$90</c:f>
              <c:strCache>
                <c:ptCount val="1"/>
                <c:pt idx="0">
                  <c:v>Stérilisation (M)</c:v>
                </c:pt>
              </c:strCache>
            </c:strRef>
          </c:tx>
          <c:spPr>
            <a:ln w="28575" cap="rnd">
              <a:solidFill>
                <a:schemeClr val="accent6">
                  <a:lumMod val="50000"/>
                </a:schemeClr>
              </a:solidFill>
              <a:round/>
            </a:ln>
            <a:effectLst/>
          </c:spPr>
          <c:marker>
            <c:symbol val="none"/>
          </c:marker>
          <c:cat>
            <c:numRef>
              <c:extLst>
                <c:ext xmlns:c15="http://schemas.microsoft.com/office/drawing/2012/chart" uri="{02D57815-91ED-43cb-92C2-25804820EDAC}">
                  <c15:fullRef>
                    <c15:sqref>'Monthly Data Output'!$D$88:$S$88</c15:sqref>
                  </c15:fullRef>
                </c:ext>
              </c:extLst>
              <c:f>'Monthly Data Output'!$M$88:$S$88</c:f>
              <c:numCache>
                <c:formatCode>General</c:formatCode>
                <c:ptCount val="7"/>
                <c:pt idx="0">
                  <c:v>#N/A</c:v>
                </c:pt>
                <c:pt idx="1">
                  <c:v>#N/A</c:v>
                </c:pt>
                <c:pt idx="2">
                  <c:v>#N/A</c:v>
                </c:pt>
                <c:pt idx="3">
                  <c:v>#N/A</c:v>
                </c:pt>
                <c:pt idx="4">
                  <c:v>#N/A</c:v>
                </c:pt>
                <c:pt idx="5">
                  <c:v>#N/A</c:v>
                </c:pt>
                <c:pt idx="6">
                  <c:v>#N/A</c:v>
                </c:pt>
              </c:numCache>
            </c:numRef>
          </c:cat>
          <c:val>
            <c:numRef>
              <c:extLst>
                <c:ext xmlns:c15="http://schemas.microsoft.com/office/drawing/2012/chart" uri="{02D57815-91ED-43cb-92C2-25804820EDAC}">
                  <c15:fullRef>
                    <c15:sqref>'Monthly Data Output'!$D$90:$S$90</c15:sqref>
                  </c15:fullRef>
                </c:ext>
              </c:extLst>
              <c:f>'Monthly Data Output'!$M$90:$S$90</c:f>
              <c:numCache>
                <c:formatCode>#,##0</c:formatCode>
                <c:ptCount val="7"/>
                <c:pt idx="0">
                  <c:v>#N/A</c:v>
                </c:pt>
                <c:pt idx="1">
                  <c:v>#N/A</c:v>
                </c:pt>
                <c:pt idx="2">
                  <c:v>#N/A</c:v>
                </c:pt>
                <c:pt idx="3">
                  <c:v>#N/A</c:v>
                </c:pt>
                <c:pt idx="4">
                  <c:v>#N/A</c:v>
                </c:pt>
                <c:pt idx="5">
                  <c:v>#N/A</c:v>
                </c:pt>
                <c:pt idx="6">
                  <c:v>#N/A</c:v>
                </c:pt>
              </c:numCache>
            </c:numRef>
          </c:val>
          <c:smooth val="1"/>
          <c:extLst>
            <c:ext xmlns:c16="http://schemas.microsoft.com/office/drawing/2014/chart" uri="{C3380CC4-5D6E-409C-BE32-E72D297353CC}">
              <c16:uniqueId val="{00000002-1D25-4E42-9C0E-A0CA9B38F975}"/>
            </c:ext>
          </c:extLst>
        </c:ser>
        <c:ser>
          <c:idx val="2"/>
          <c:order val="2"/>
          <c:tx>
            <c:strRef>
              <c:f>'Monthly Data Output'!$C$91</c:f>
              <c:strCache>
                <c:ptCount val="1"/>
                <c:pt idx="0">
                  <c:v>DIU</c:v>
                </c:pt>
              </c:strCache>
            </c:strRef>
          </c:tx>
          <c:spPr>
            <a:ln w="28575" cap="rnd">
              <a:solidFill>
                <a:schemeClr val="tx2"/>
              </a:solidFill>
              <a:round/>
            </a:ln>
            <a:effectLst/>
          </c:spPr>
          <c:marker>
            <c:symbol val="none"/>
          </c:marker>
          <c:cat>
            <c:numRef>
              <c:extLst>
                <c:ext xmlns:c15="http://schemas.microsoft.com/office/drawing/2012/chart" uri="{02D57815-91ED-43cb-92C2-25804820EDAC}">
                  <c15:fullRef>
                    <c15:sqref>'Monthly Data Output'!$D$88:$S$88</c15:sqref>
                  </c15:fullRef>
                </c:ext>
              </c:extLst>
              <c:f>'Monthly Data Output'!$M$88:$S$88</c:f>
              <c:numCache>
                <c:formatCode>General</c:formatCode>
                <c:ptCount val="7"/>
                <c:pt idx="0">
                  <c:v>#N/A</c:v>
                </c:pt>
                <c:pt idx="1">
                  <c:v>#N/A</c:v>
                </c:pt>
                <c:pt idx="2">
                  <c:v>#N/A</c:v>
                </c:pt>
                <c:pt idx="3">
                  <c:v>#N/A</c:v>
                </c:pt>
                <c:pt idx="4">
                  <c:v>#N/A</c:v>
                </c:pt>
                <c:pt idx="5">
                  <c:v>#N/A</c:v>
                </c:pt>
                <c:pt idx="6">
                  <c:v>#N/A</c:v>
                </c:pt>
              </c:numCache>
            </c:numRef>
          </c:cat>
          <c:val>
            <c:numRef>
              <c:extLst>
                <c:ext xmlns:c15="http://schemas.microsoft.com/office/drawing/2012/chart" uri="{02D57815-91ED-43cb-92C2-25804820EDAC}">
                  <c15:fullRef>
                    <c15:sqref>'Monthly Data Output'!$D$91:$S$91</c15:sqref>
                  </c15:fullRef>
                </c:ext>
              </c:extLst>
              <c:f>'Monthly Data Output'!$M$91:$S$91</c:f>
              <c:numCache>
                <c:formatCode>#,##0</c:formatCode>
                <c:ptCount val="7"/>
                <c:pt idx="0">
                  <c:v>#N/A</c:v>
                </c:pt>
                <c:pt idx="1">
                  <c:v>#N/A</c:v>
                </c:pt>
                <c:pt idx="2">
                  <c:v>#N/A</c:v>
                </c:pt>
                <c:pt idx="3">
                  <c:v>#N/A</c:v>
                </c:pt>
                <c:pt idx="4">
                  <c:v>#N/A</c:v>
                </c:pt>
                <c:pt idx="5">
                  <c:v>#N/A</c:v>
                </c:pt>
                <c:pt idx="6">
                  <c:v>#N/A</c:v>
                </c:pt>
              </c:numCache>
            </c:numRef>
          </c:val>
          <c:smooth val="1"/>
          <c:extLst>
            <c:ext xmlns:c16="http://schemas.microsoft.com/office/drawing/2014/chart" uri="{C3380CC4-5D6E-409C-BE32-E72D297353CC}">
              <c16:uniqueId val="{00000003-1D25-4E42-9C0E-A0CA9B38F975}"/>
            </c:ext>
          </c:extLst>
        </c:ser>
        <c:ser>
          <c:idx val="3"/>
          <c:order val="3"/>
          <c:tx>
            <c:strRef>
              <c:f>'Monthly Data Output'!$C$92</c:f>
              <c:strCache>
                <c:ptCount val="1"/>
                <c:pt idx="0">
                  <c:v>Implant</c:v>
                </c:pt>
              </c:strCache>
            </c:strRef>
          </c:tx>
          <c:spPr>
            <a:ln w="28575" cap="rnd">
              <a:solidFill>
                <a:schemeClr val="accent1"/>
              </a:solidFill>
              <a:round/>
            </a:ln>
            <a:effectLst/>
          </c:spPr>
          <c:marker>
            <c:symbol val="none"/>
          </c:marker>
          <c:cat>
            <c:numRef>
              <c:extLst>
                <c:ext xmlns:c15="http://schemas.microsoft.com/office/drawing/2012/chart" uri="{02D57815-91ED-43cb-92C2-25804820EDAC}">
                  <c15:fullRef>
                    <c15:sqref>'Monthly Data Output'!$D$88:$S$88</c15:sqref>
                  </c15:fullRef>
                </c:ext>
              </c:extLst>
              <c:f>'Monthly Data Output'!$M$88:$S$88</c:f>
              <c:numCache>
                <c:formatCode>General</c:formatCode>
                <c:ptCount val="7"/>
                <c:pt idx="0">
                  <c:v>#N/A</c:v>
                </c:pt>
                <c:pt idx="1">
                  <c:v>#N/A</c:v>
                </c:pt>
                <c:pt idx="2">
                  <c:v>#N/A</c:v>
                </c:pt>
                <c:pt idx="3">
                  <c:v>#N/A</c:v>
                </c:pt>
                <c:pt idx="4">
                  <c:v>#N/A</c:v>
                </c:pt>
                <c:pt idx="5">
                  <c:v>#N/A</c:v>
                </c:pt>
                <c:pt idx="6">
                  <c:v>#N/A</c:v>
                </c:pt>
              </c:numCache>
            </c:numRef>
          </c:cat>
          <c:val>
            <c:numRef>
              <c:extLst>
                <c:ext xmlns:c15="http://schemas.microsoft.com/office/drawing/2012/chart" uri="{02D57815-91ED-43cb-92C2-25804820EDAC}">
                  <c15:fullRef>
                    <c15:sqref>'Monthly Data Output'!$D$92:$S$92</c15:sqref>
                  </c15:fullRef>
                </c:ext>
              </c:extLst>
              <c:f>'Monthly Data Output'!$M$92:$S$92</c:f>
              <c:numCache>
                <c:formatCode>#,##0</c:formatCode>
                <c:ptCount val="7"/>
                <c:pt idx="0">
                  <c:v>#N/A</c:v>
                </c:pt>
                <c:pt idx="1">
                  <c:v>#N/A</c:v>
                </c:pt>
                <c:pt idx="2">
                  <c:v>#N/A</c:v>
                </c:pt>
                <c:pt idx="3">
                  <c:v>#N/A</c:v>
                </c:pt>
                <c:pt idx="4">
                  <c:v>#N/A</c:v>
                </c:pt>
                <c:pt idx="5">
                  <c:v>#N/A</c:v>
                </c:pt>
                <c:pt idx="6">
                  <c:v>#N/A</c:v>
                </c:pt>
              </c:numCache>
            </c:numRef>
          </c:val>
          <c:smooth val="1"/>
          <c:extLst>
            <c:ext xmlns:c16="http://schemas.microsoft.com/office/drawing/2014/chart" uri="{C3380CC4-5D6E-409C-BE32-E72D297353CC}">
              <c16:uniqueId val="{00000004-1D25-4E42-9C0E-A0CA9B38F975}"/>
            </c:ext>
          </c:extLst>
        </c:ser>
        <c:ser>
          <c:idx val="4"/>
          <c:order val="4"/>
          <c:tx>
            <c:strRef>
              <c:f>'Monthly Data Output'!$C$93</c:f>
              <c:strCache>
                <c:ptCount val="1"/>
                <c:pt idx="0">
                  <c:v>Produits injectables</c:v>
                </c:pt>
              </c:strCache>
            </c:strRef>
          </c:tx>
          <c:spPr>
            <a:ln w="28575" cap="rnd">
              <a:solidFill>
                <a:schemeClr val="bg2"/>
              </a:solidFill>
              <a:round/>
            </a:ln>
            <a:effectLst/>
          </c:spPr>
          <c:marker>
            <c:symbol val="none"/>
          </c:marker>
          <c:cat>
            <c:numRef>
              <c:extLst>
                <c:ext xmlns:c15="http://schemas.microsoft.com/office/drawing/2012/chart" uri="{02D57815-91ED-43cb-92C2-25804820EDAC}">
                  <c15:fullRef>
                    <c15:sqref>'Monthly Data Output'!$D$88:$S$88</c15:sqref>
                  </c15:fullRef>
                </c:ext>
              </c:extLst>
              <c:f>'Monthly Data Output'!$M$88:$S$88</c:f>
              <c:numCache>
                <c:formatCode>General</c:formatCode>
                <c:ptCount val="7"/>
                <c:pt idx="0">
                  <c:v>#N/A</c:v>
                </c:pt>
                <c:pt idx="1">
                  <c:v>#N/A</c:v>
                </c:pt>
                <c:pt idx="2">
                  <c:v>#N/A</c:v>
                </c:pt>
                <c:pt idx="3">
                  <c:v>#N/A</c:v>
                </c:pt>
                <c:pt idx="4">
                  <c:v>#N/A</c:v>
                </c:pt>
                <c:pt idx="5">
                  <c:v>#N/A</c:v>
                </c:pt>
                <c:pt idx="6">
                  <c:v>#N/A</c:v>
                </c:pt>
              </c:numCache>
            </c:numRef>
          </c:cat>
          <c:val>
            <c:numRef>
              <c:extLst>
                <c:ext xmlns:c15="http://schemas.microsoft.com/office/drawing/2012/chart" uri="{02D57815-91ED-43cb-92C2-25804820EDAC}">
                  <c15:fullRef>
                    <c15:sqref>'Monthly Data Output'!$D$93:$S$93</c15:sqref>
                  </c15:fullRef>
                </c:ext>
              </c:extLst>
              <c:f>'Monthly Data Output'!$M$93:$S$93</c:f>
              <c:numCache>
                <c:formatCode>#,##0</c:formatCode>
                <c:ptCount val="7"/>
                <c:pt idx="0">
                  <c:v>#N/A</c:v>
                </c:pt>
                <c:pt idx="1">
                  <c:v>#N/A</c:v>
                </c:pt>
                <c:pt idx="2">
                  <c:v>#N/A</c:v>
                </c:pt>
                <c:pt idx="3">
                  <c:v>#N/A</c:v>
                </c:pt>
                <c:pt idx="4">
                  <c:v>#N/A</c:v>
                </c:pt>
                <c:pt idx="5">
                  <c:v>#N/A</c:v>
                </c:pt>
                <c:pt idx="6">
                  <c:v>#N/A</c:v>
                </c:pt>
              </c:numCache>
            </c:numRef>
          </c:val>
          <c:smooth val="1"/>
          <c:extLst>
            <c:ext xmlns:c16="http://schemas.microsoft.com/office/drawing/2014/chart" uri="{C3380CC4-5D6E-409C-BE32-E72D297353CC}">
              <c16:uniqueId val="{00000005-1D25-4E42-9C0E-A0CA9B38F975}"/>
            </c:ext>
          </c:extLst>
        </c:ser>
        <c:ser>
          <c:idx val="5"/>
          <c:order val="5"/>
          <c:tx>
            <c:strRef>
              <c:f>'Monthly Data Output'!$C$94</c:f>
              <c:strCache>
                <c:ptCount val="1"/>
                <c:pt idx="0">
                  <c:v>Pilule</c:v>
                </c:pt>
              </c:strCache>
            </c:strRef>
          </c:tx>
          <c:spPr>
            <a:ln w="28575" cap="rnd">
              <a:solidFill>
                <a:schemeClr val="accent2"/>
              </a:solidFill>
              <a:round/>
            </a:ln>
            <a:effectLst/>
          </c:spPr>
          <c:marker>
            <c:symbol val="none"/>
          </c:marker>
          <c:cat>
            <c:numRef>
              <c:extLst>
                <c:ext xmlns:c15="http://schemas.microsoft.com/office/drawing/2012/chart" uri="{02D57815-91ED-43cb-92C2-25804820EDAC}">
                  <c15:fullRef>
                    <c15:sqref>'Monthly Data Output'!$D$88:$S$88</c15:sqref>
                  </c15:fullRef>
                </c:ext>
              </c:extLst>
              <c:f>'Monthly Data Output'!$M$88:$S$88</c:f>
              <c:numCache>
                <c:formatCode>General</c:formatCode>
                <c:ptCount val="7"/>
                <c:pt idx="0">
                  <c:v>#N/A</c:v>
                </c:pt>
                <c:pt idx="1">
                  <c:v>#N/A</c:v>
                </c:pt>
                <c:pt idx="2">
                  <c:v>#N/A</c:v>
                </c:pt>
                <c:pt idx="3">
                  <c:v>#N/A</c:v>
                </c:pt>
                <c:pt idx="4">
                  <c:v>#N/A</c:v>
                </c:pt>
                <c:pt idx="5">
                  <c:v>#N/A</c:v>
                </c:pt>
                <c:pt idx="6">
                  <c:v>#N/A</c:v>
                </c:pt>
              </c:numCache>
            </c:numRef>
          </c:cat>
          <c:val>
            <c:numRef>
              <c:extLst>
                <c:ext xmlns:c15="http://schemas.microsoft.com/office/drawing/2012/chart" uri="{02D57815-91ED-43cb-92C2-25804820EDAC}">
                  <c15:fullRef>
                    <c15:sqref>'Monthly Data Output'!$D$94:$S$94</c15:sqref>
                  </c15:fullRef>
                </c:ext>
              </c:extLst>
              <c:f>'Monthly Data Output'!$M$94:$S$94</c:f>
              <c:numCache>
                <c:formatCode>#,##0</c:formatCode>
                <c:ptCount val="7"/>
                <c:pt idx="0">
                  <c:v>#N/A</c:v>
                </c:pt>
                <c:pt idx="1">
                  <c:v>#N/A</c:v>
                </c:pt>
                <c:pt idx="2">
                  <c:v>#N/A</c:v>
                </c:pt>
                <c:pt idx="3">
                  <c:v>#N/A</c:v>
                </c:pt>
                <c:pt idx="4">
                  <c:v>#N/A</c:v>
                </c:pt>
                <c:pt idx="5">
                  <c:v>#N/A</c:v>
                </c:pt>
                <c:pt idx="6">
                  <c:v>#N/A</c:v>
                </c:pt>
              </c:numCache>
            </c:numRef>
          </c:val>
          <c:smooth val="1"/>
          <c:extLst>
            <c:ext xmlns:c16="http://schemas.microsoft.com/office/drawing/2014/chart" uri="{C3380CC4-5D6E-409C-BE32-E72D297353CC}">
              <c16:uniqueId val="{00000006-1D25-4E42-9C0E-A0CA9B38F975}"/>
            </c:ext>
          </c:extLst>
        </c:ser>
        <c:ser>
          <c:idx val="6"/>
          <c:order val="6"/>
          <c:tx>
            <c:strRef>
              <c:f>'Monthly Data Output'!$C$95</c:f>
              <c:strCache>
                <c:ptCount val="1"/>
                <c:pt idx="0">
                  <c:v>Préservatifs (M+F)</c:v>
                </c:pt>
              </c:strCache>
            </c:strRef>
          </c:tx>
          <c:spPr>
            <a:ln w="28575" cap="rnd">
              <a:solidFill>
                <a:schemeClr val="accent5"/>
              </a:solidFill>
              <a:round/>
            </a:ln>
            <a:effectLst/>
          </c:spPr>
          <c:marker>
            <c:symbol val="none"/>
          </c:marker>
          <c:cat>
            <c:numRef>
              <c:extLst>
                <c:ext xmlns:c15="http://schemas.microsoft.com/office/drawing/2012/chart" uri="{02D57815-91ED-43cb-92C2-25804820EDAC}">
                  <c15:fullRef>
                    <c15:sqref>'Monthly Data Output'!$D$88:$S$88</c15:sqref>
                  </c15:fullRef>
                </c:ext>
              </c:extLst>
              <c:f>'Monthly Data Output'!$M$88:$S$88</c:f>
              <c:numCache>
                <c:formatCode>General</c:formatCode>
                <c:ptCount val="7"/>
                <c:pt idx="0">
                  <c:v>#N/A</c:v>
                </c:pt>
                <c:pt idx="1">
                  <c:v>#N/A</c:v>
                </c:pt>
                <c:pt idx="2">
                  <c:v>#N/A</c:v>
                </c:pt>
                <c:pt idx="3">
                  <c:v>#N/A</c:v>
                </c:pt>
                <c:pt idx="4">
                  <c:v>#N/A</c:v>
                </c:pt>
                <c:pt idx="5">
                  <c:v>#N/A</c:v>
                </c:pt>
                <c:pt idx="6">
                  <c:v>#N/A</c:v>
                </c:pt>
              </c:numCache>
            </c:numRef>
          </c:cat>
          <c:val>
            <c:numRef>
              <c:extLst>
                <c:ext xmlns:c15="http://schemas.microsoft.com/office/drawing/2012/chart" uri="{02D57815-91ED-43cb-92C2-25804820EDAC}">
                  <c15:fullRef>
                    <c15:sqref>'Monthly Data Output'!$D$95:$S$95</c15:sqref>
                  </c15:fullRef>
                </c:ext>
              </c:extLst>
              <c:f>'Monthly Data Output'!$M$95:$S$95</c:f>
              <c:numCache>
                <c:formatCode>#,##0</c:formatCode>
                <c:ptCount val="7"/>
                <c:pt idx="0">
                  <c:v>#N/A</c:v>
                </c:pt>
                <c:pt idx="1">
                  <c:v>#N/A</c:v>
                </c:pt>
                <c:pt idx="2">
                  <c:v>#N/A</c:v>
                </c:pt>
                <c:pt idx="3">
                  <c:v>#N/A</c:v>
                </c:pt>
                <c:pt idx="4">
                  <c:v>#N/A</c:v>
                </c:pt>
                <c:pt idx="5">
                  <c:v>#N/A</c:v>
                </c:pt>
                <c:pt idx="6">
                  <c:v>#N/A</c:v>
                </c:pt>
              </c:numCache>
            </c:numRef>
          </c:val>
          <c:smooth val="1"/>
          <c:extLst>
            <c:ext xmlns:c16="http://schemas.microsoft.com/office/drawing/2014/chart" uri="{C3380CC4-5D6E-409C-BE32-E72D297353CC}">
              <c16:uniqueId val="{00000007-1D25-4E42-9C0E-A0CA9B38F975}"/>
            </c:ext>
          </c:extLst>
        </c:ser>
        <c:ser>
          <c:idx val="7"/>
          <c:order val="7"/>
          <c:tx>
            <c:strRef>
              <c:f>'Monthly Data Output'!$C$96</c:f>
              <c:strCache>
                <c:ptCount val="1"/>
                <c:pt idx="0">
                  <c:v>Autres Méthodes Modernes</c:v>
                </c:pt>
              </c:strCache>
            </c:strRef>
          </c:tx>
          <c:spPr>
            <a:ln w="28575" cap="rnd">
              <a:solidFill>
                <a:schemeClr val="accent4"/>
              </a:solidFill>
              <a:round/>
            </a:ln>
            <a:effectLst/>
          </c:spPr>
          <c:marker>
            <c:symbol val="none"/>
          </c:marker>
          <c:cat>
            <c:numRef>
              <c:extLst>
                <c:ext xmlns:c15="http://schemas.microsoft.com/office/drawing/2012/chart" uri="{02D57815-91ED-43cb-92C2-25804820EDAC}">
                  <c15:fullRef>
                    <c15:sqref>'Monthly Data Output'!$D$88:$S$88</c15:sqref>
                  </c15:fullRef>
                </c:ext>
              </c:extLst>
              <c:f>'Monthly Data Output'!$M$88:$S$88</c:f>
              <c:numCache>
                <c:formatCode>General</c:formatCode>
                <c:ptCount val="7"/>
                <c:pt idx="0">
                  <c:v>#N/A</c:v>
                </c:pt>
                <c:pt idx="1">
                  <c:v>#N/A</c:v>
                </c:pt>
                <c:pt idx="2">
                  <c:v>#N/A</c:v>
                </c:pt>
                <c:pt idx="3">
                  <c:v>#N/A</c:v>
                </c:pt>
                <c:pt idx="4">
                  <c:v>#N/A</c:v>
                </c:pt>
                <c:pt idx="5">
                  <c:v>#N/A</c:v>
                </c:pt>
                <c:pt idx="6">
                  <c:v>#N/A</c:v>
                </c:pt>
              </c:numCache>
            </c:numRef>
          </c:cat>
          <c:val>
            <c:numRef>
              <c:extLst>
                <c:ext xmlns:c15="http://schemas.microsoft.com/office/drawing/2012/chart" uri="{02D57815-91ED-43cb-92C2-25804820EDAC}">
                  <c15:fullRef>
                    <c15:sqref>'Monthly Data Output'!$D$96:$S$96</c15:sqref>
                  </c15:fullRef>
                </c:ext>
              </c:extLst>
              <c:f>'Monthly Data Output'!$M$96:$S$96</c:f>
              <c:numCache>
                <c:formatCode>#,##0</c:formatCode>
                <c:ptCount val="7"/>
                <c:pt idx="0">
                  <c:v>#N/A</c:v>
                </c:pt>
                <c:pt idx="1">
                  <c:v>#N/A</c:v>
                </c:pt>
                <c:pt idx="2">
                  <c:v>#N/A</c:v>
                </c:pt>
                <c:pt idx="3">
                  <c:v>#N/A</c:v>
                </c:pt>
                <c:pt idx="4">
                  <c:v>#N/A</c:v>
                </c:pt>
                <c:pt idx="5">
                  <c:v>#N/A</c:v>
                </c:pt>
                <c:pt idx="6">
                  <c:v>#N/A</c:v>
                </c:pt>
              </c:numCache>
            </c:numRef>
          </c:val>
          <c:smooth val="0"/>
          <c:extLst>
            <c:ext xmlns:c16="http://schemas.microsoft.com/office/drawing/2014/chart" uri="{C3380CC4-5D6E-409C-BE32-E72D297353CC}">
              <c16:uniqueId val="{00000008-1D25-4E42-9C0E-A0CA9B38F975}"/>
            </c:ext>
          </c:extLst>
        </c:ser>
        <c:dLbls>
          <c:showLegendKey val="0"/>
          <c:showVal val="0"/>
          <c:showCatName val="0"/>
          <c:showSerName val="0"/>
          <c:showPercent val="0"/>
          <c:showBubbleSize val="0"/>
        </c:dLbls>
        <c:marker val="1"/>
        <c:smooth val="0"/>
        <c:axId val="517670511"/>
        <c:axId val="517661775"/>
      </c:lineChart>
      <c:catAx>
        <c:axId val="5176705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7661775"/>
        <c:crosses val="autoZero"/>
        <c:auto val="1"/>
        <c:lblAlgn val="ctr"/>
        <c:lblOffset val="100"/>
        <c:noMultiLvlLbl val="0"/>
      </c:catAx>
      <c:valAx>
        <c:axId val="51766177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7670511"/>
        <c:crosses val="autoZero"/>
        <c:crossBetween val="between"/>
      </c:valAx>
      <c:valAx>
        <c:axId val="1085989807"/>
        <c:scaling>
          <c:orientation val="minMax"/>
          <c:max val="1"/>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085990639"/>
        <c:crosses val="max"/>
        <c:crossBetween val="between"/>
      </c:valAx>
      <c:catAx>
        <c:axId val="1085990639"/>
        <c:scaling>
          <c:orientation val="minMax"/>
        </c:scaling>
        <c:delete val="1"/>
        <c:axPos val="b"/>
        <c:numFmt formatCode="General" sourceLinked="1"/>
        <c:majorTickMark val="out"/>
        <c:minorTickMark val="none"/>
        <c:tickLblPos val="nextTo"/>
        <c:crossAx val="1085989807"/>
        <c:crosses val="autoZero"/>
        <c:auto val="1"/>
        <c:lblAlgn val="ctr"/>
        <c:lblOffset val="100"/>
        <c:noMultiLvlLbl val="0"/>
      </c:catAx>
      <c:spPr>
        <a:noFill/>
        <a:ln>
          <a:noFill/>
        </a:ln>
        <a:effectLst/>
      </c:spPr>
    </c:plotArea>
    <c:legend>
      <c:legendPos val="b"/>
      <c:layout>
        <c:manualLayout>
          <c:xMode val="edge"/>
          <c:yMode val="edge"/>
          <c:x val="2.9950970084864279E-2"/>
          <c:y val="0.10172717127105814"/>
          <c:w val="0.94834603752696234"/>
          <c:h val="0.108217051716916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857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'Monthly Data Output'!$AV$159</c:f>
          <c:strCache>
            <c:ptCount val="1"/>
            <c:pt idx="0">
              <c:v>Tendance par méthode</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2"/>
              </a:solidFill>
              <a:latin typeface="+mn-lt"/>
              <a:ea typeface="+mn-ea"/>
              <a:cs typeface="+mn-cs"/>
            </a:defRPr>
          </a:pPr>
          <a:endParaRPr lang="en-US"/>
        </a:p>
      </c:txPr>
    </c:title>
    <c:autoTitleDeleted val="0"/>
    <c:plotArea>
      <c:layout>
        <c:manualLayout>
          <c:layoutTarget val="inner"/>
          <c:xMode val="edge"/>
          <c:yMode val="edge"/>
          <c:x val="6.8602119179547005E-2"/>
          <c:y val="0.20551992049869006"/>
          <c:w val="0.91442257217847767"/>
          <c:h val="0.60595082635917397"/>
        </c:manualLayout>
      </c:layout>
      <c:lineChart>
        <c:grouping val="standard"/>
        <c:varyColors val="0"/>
        <c:ser>
          <c:idx val="0"/>
          <c:order val="0"/>
          <c:tx>
            <c:strRef>
              <c:f>'Monthly Data Output'!$C$75</c:f>
              <c:strCache>
                <c:ptCount val="1"/>
                <c:pt idx="0">
                  <c:v>Stérilisation (F)</c:v>
                </c:pt>
              </c:strCache>
            </c:strRef>
          </c:tx>
          <c:spPr>
            <a:ln w="28575" cap="rnd">
              <a:solidFill>
                <a:schemeClr val="accent6"/>
              </a:solidFill>
              <a:round/>
            </a:ln>
            <a:effectLst/>
          </c:spPr>
          <c:marker>
            <c:symbol val="none"/>
          </c:marker>
          <c:cat>
            <c:strRef>
              <c:f>'Monthly Data Output'!$D$74:$AM$74</c:f>
              <c:strCache>
                <c:ptCount val="36"/>
                <c:pt idx="0">
                  <c:v>Jan2019</c:v>
                </c:pt>
                <c:pt idx="1">
                  <c:v>Feb2019</c:v>
                </c:pt>
                <c:pt idx="2">
                  <c:v>Mar2019</c:v>
                </c:pt>
                <c:pt idx="3">
                  <c:v>Apr2019</c:v>
                </c:pt>
                <c:pt idx="4">
                  <c:v>May2019</c:v>
                </c:pt>
                <c:pt idx="5">
                  <c:v>Jun2019</c:v>
                </c:pt>
                <c:pt idx="6">
                  <c:v>Jul2019</c:v>
                </c:pt>
                <c:pt idx="7">
                  <c:v>Aug2019</c:v>
                </c:pt>
                <c:pt idx="8">
                  <c:v>Sep2019</c:v>
                </c:pt>
                <c:pt idx="9">
                  <c:v>Oct2019</c:v>
                </c:pt>
                <c:pt idx="10">
                  <c:v>Nov2019</c:v>
                </c:pt>
                <c:pt idx="11">
                  <c:v>Dec2019</c:v>
                </c:pt>
                <c:pt idx="12">
                  <c:v>Jan2020</c:v>
                </c:pt>
                <c:pt idx="13">
                  <c:v>Feb2020</c:v>
                </c:pt>
                <c:pt idx="14">
                  <c:v>Mar2020</c:v>
                </c:pt>
                <c:pt idx="15">
                  <c:v>Apr2020</c:v>
                </c:pt>
                <c:pt idx="16">
                  <c:v>May2020</c:v>
                </c:pt>
                <c:pt idx="17">
                  <c:v>Jun2020</c:v>
                </c:pt>
                <c:pt idx="18">
                  <c:v>Jul2020</c:v>
                </c:pt>
                <c:pt idx="19">
                  <c:v>Aug2020</c:v>
                </c:pt>
                <c:pt idx="20">
                  <c:v>Sep2020</c:v>
                </c:pt>
                <c:pt idx="21">
                  <c:v>Oct2020</c:v>
                </c:pt>
                <c:pt idx="22">
                  <c:v>Nov2020</c:v>
                </c:pt>
                <c:pt idx="23">
                  <c:v>Dec2020</c:v>
                </c:pt>
                <c:pt idx="24">
                  <c:v>Jan2021</c:v>
                </c:pt>
                <c:pt idx="25">
                  <c:v>Feb2021</c:v>
                </c:pt>
                <c:pt idx="26">
                  <c:v>Mar2021</c:v>
                </c:pt>
                <c:pt idx="27">
                  <c:v>Apr2021</c:v>
                </c:pt>
                <c:pt idx="28">
                  <c:v>May2021</c:v>
                </c:pt>
                <c:pt idx="29">
                  <c:v>Jun2021</c:v>
                </c:pt>
                <c:pt idx="30">
                  <c:v>Jul2021</c:v>
                </c:pt>
                <c:pt idx="31">
                  <c:v>Aug2021</c:v>
                </c:pt>
                <c:pt idx="32">
                  <c:v>Sep2021</c:v>
                </c:pt>
                <c:pt idx="33">
                  <c:v>Oct2021</c:v>
                </c:pt>
                <c:pt idx="34">
                  <c:v>Nov2021</c:v>
                </c:pt>
                <c:pt idx="35">
                  <c:v>Dec2021</c:v>
                </c:pt>
              </c:strCache>
            </c:strRef>
          </c:cat>
          <c:val>
            <c:numRef>
              <c:f>'Monthly Data Output'!$D$75:$AM$75</c:f>
              <c:numCache>
                <c:formatCode>#,##0</c:formatCode>
                <c:ptCount val="3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numCache>
            </c:numRef>
          </c:val>
          <c:smooth val="1"/>
          <c:extLst>
            <c:ext xmlns:c16="http://schemas.microsoft.com/office/drawing/2014/chart" uri="{C3380CC4-5D6E-409C-BE32-E72D297353CC}">
              <c16:uniqueId val="{00000000-694C-40E4-9D36-FF216C8A6438}"/>
            </c:ext>
          </c:extLst>
        </c:ser>
        <c:ser>
          <c:idx val="1"/>
          <c:order val="1"/>
          <c:tx>
            <c:strRef>
              <c:f>'Monthly Data Output'!$C$76</c:f>
              <c:strCache>
                <c:ptCount val="1"/>
                <c:pt idx="0">
                  <c:v>Stérilisation (M)</c:v>
                </c:pt>
              </c:strCache>
            </c:strRef>
          </c:tx>
          <c:spPr>
            <a:ln w="28575" cap="rnd">
              <a:solidFill>
                <a:schemeClr val="accent6">
                  <a:lumMod val="50000"/>
                </a:schemeClr>
              </a:solidFill>
              <a:round/>
            </a:ln>
            <a:effectLst/>
          </c:spPr>
          <c:marker>
            <c:symbol val="none"/>
          </c:marker>
          <c:cat>
            <c:strRef>
              <c:f>'Monthly Data Output'!$D$74:$AM$74</c:f>
              <c:strCache>
                <c:ptCount val="36"/>
                <c:pt idx="0">
                  <c:v>Jan2019</c:v>
                </c:pt>
                <c:pt idx="1">
                  <c:v>Feb2019</c:v>
                </c:pt>
                <c:pt idx="2">
                  <c:v>Mar2019</c:v>
                </c:pt>
                <c:pt idx="3">
                  <c:v>Apr2019</c:v>
                </c:pt>
                <c:pt idx="4">
                  <c:v>May2019</c:v>
                </c:pt>
                <c:pt idx="5">
                  <c:v>Jun2019</c:v>
                </c:pt>
                <c:pt idx="6">
                  <c:v>Jul2019</c:v>
                </c:pt>
                <c:pt idx="7">
                  <c:v>Aug2019</c:v>
                </c:pt>
                <c:pt idx="8">
                  <c:v>Sep2019</c:v>
                </c:pt>
                <c:pt idx="9">
                  <c:v>Oct2019</c:v>
                </c:pt>
                <c:pt idx="10">
                  <c:v>Nov2019</c:v>
                </c:pt>
                <c:pt idx="11">
                  <c:v>Dec2019</c:v>
                </c:pt>
                <c:pt idx="12">
                  <c:v>Jan2020</c:v>
                </c:pt>
                <c:pt idx="13">
                  <c:v>Feb2020</c:v>
                </c:pt>
                <c:pt idx="14">
                  <c:v>Mar2020</c:v>
                </c:pt>
                <c:pt idx="15">
                  <c:v>Apr2020</c:v>
                </c:pt>
                <c:pt idx="16">
                  <c:v>May2020</c:v>
                </c:pt>
                <c:pt idx="17">
                  <c:v>Jun2020</c:v>
                </c:pt>
                <c:pt idx="18">
                  <c:v>Jul2020</c:v>
                </c:pt>
                <c:pt idx="19">
                  <c:v>Aug2020</c:v>
                </c:pt>
                <c:pt idx="20">
                  <c:v>Sep2020</c:v>
                </c:pt>
                <c:pt idx="21">
                  <c:v>Oct2020</c:v>
                </c:pt>
                <c:pt idx="22">
                  <c:v>Nov2020</c:v>
                </c:pt>
                <c:pt idx="23">
                  <c:v>Dec2020</c:v>
                </c:pt>
                <c:pt idx="24">
                  <c:v>Jan2021</c:v>
                </c:pt>
                <c:pt idx="25">
                  <c:v>Feb2021</c:v>
                </c:pt>
                <c:pt idx="26">
                  <c:v>Mar2021</c:v>
                </c:pt>
                <c:pt idx="27">
                  <c:v>Apr2021</c:v>
                </c:pt>
                <c:pt idx="28">
                  <c:v>May2021</c:v>
                </c:pt>
                <c:pt idx="29">
                  <c:v>Jun2021</c:v>
                </c:pt>
                <c:pt idx="30">
                  <c:v>Jul2021</c:v>
                </c:pt>
                <c:pt idx="31">
                  <c:v>Aug2021</c:v>
                </c:pt>
                <c:pt idx="32">
                  <c:v>Sep2021</c:v>
                </c:pt>
                <c:pt idx="33">
                  <c:v>Oct2021</c:v>
                </c:pt>
                <c:pt idx="34">
                  <c:v>Nov2021</c:v>
                </c:pt>
                <c:pt idx="35">
                  <c:v>Dec2021</c:v>
                </c:pt>
              </c:strCache>
            </c:strRef>
          </c:cat>
          <c:val>
            <c:numRef>
              <c:f>'Monthly Data Output'!$D$76:$AM$76</c:f>
              <c:numCache>
                <c:formatCode>#,##0</c:formatCode>
                <c:ptCount val="3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numCache>
            </c:numRef>
          </c:val>
          <c:smooth val="1"/>
          <c:extLst>
            <c:ext xmlns:c16="http://schemas.microsoft.com/office/drawing/2014/chart" uri="{C3380CC4-5D6E-409C-BE32-E72D297353CC}">
              <c16:uniqueId val="{00000001-694C-40E4-9D36-FF216C8A6438}"/>
            </c:ext>
          </c:extLst>
        </c:ser>
        <c:ser>
          <c:idx val="2"/>
          <c:order val="2"/>
          <c:tx>
            <c:strRef>
              <c:f>'Monthly Data Output'!$C$77</c:f>
              <c:strCache>
                <c:ptCount val="1"/>
                <c:pt idx="0">
                  <c:v>DIU</c:v>
                </c:pt>
              </c:strCache>
            </c:strRef>
          </c:tx>
          <c:spPr>
            <a:ln w="28575" cap="rnd">
              <a:solidFill>
                <a:schemeClr val="tx2"/>
              </a:solidFill>
              <a:round/>
            </a:ln>
            <a:effectLst/>
          </c:spPr>
          <c:marker>
            <c:symbol val="none"/>
          </c:marker>
          <c:cat>
            <c:strRef>
              <c:f>'Monthly Data Output'!$D$74:$AM$74</c:f>
              <c:strCache>
                <c:ptCount val="36"/>
                <c:pt idx="0">
                  <c:v>Jan2019</c:v>
                </c:pt>
                <c:pt idx="1">
                  <c:v>Feb2019</c:v>
                </c:pt>
                <c:pt idx="2">
                  <c:v>Mar2019</c:v>
                </c:pt>
                <c:pt idx="3">
                  <c:v>Apr2019</c:v>
                </c:pt>
                <c:pt idx="4">
                  <c:v>May2019</c:v>
                </c:pt>
                <c:pt idx="5">
                  <c:v>Jun2019</c:v>
                </c:pt>
                <c:pt idx="6">
                  <c:v>Jul2019</c:v>
                </c:pt>
                <c:pt idx="7">
                  <c:v>Aug2019</c:v>
                </c:pt>
                <c:pt idx="8">
                  <c:v>Sep2019</c:v>
                </c:pt>
                <c:pt idx="9">
                  <c:v>Oct2019</c:v>
                </c:pt>
                <c:pt idx="10">
                  <c:v>Nov2019</c:v>
                </c:pt>
                <c:pt idx="11">
                  <c:v>Dec2019</c:v>
                </c:pt>
                <c:pt idx="12">
                  <c:v>Jan2020</c:v>
                </c:pt>
                <c:pt idx="13">
                  <c:v>Feb2020</c:v>
                </c:pt>
                <c:pt idx="14">
                  <c:v>Mar2020</c:v>
                </c:pt>
                <c:pt idx="15">
                  <c:v>Apr2020</c:v>
                </c:pt>
                <c:pt idx="16">
                  <c:v>May2020</c:v>
                </c:pt>
                <c:pt idx="17">
                  <c:v>Jun2020</c:v>
                </c:pt>
                <c:pt idx="18">
                  <c:v>Jul2020</c:v>
                </c:pt>
                <c:pt idx="19">
                  <c:v>Aug2020</c:v>
                </c:pt>
                <c:pt idx="20">
                  <c:v>Sep2020</c:v>
                </c:pt>
                <c:pt idx="21">
                  <c:v>Oct2020</c:v>
                </c:pt>
                <c:pt idx="22">
                  <c:v>Nov2020</c:v>
                </c:pt>
                <c:pt idx="23">
                  <c:v>Dec2020</c:v>
                </c:pt>
                <c:pt idx="24">
                  <c:v>Jan2021</c:v>
                </c:pt>
                <c:pt idx="25">
                  <c:v>Feb2021</c:v>
                </c:pt>
                <c:pt idx="26">
                  <c:v>Mar2021</c:v>
                </c:pt>
                <c:pt idx="27">
                  <c:v>Apr2021</c:v>
                </c:pt>
                <c:pt idx="28">
                  <c:v>May2021</c:v>
                </c:pt>
                <c:pt idx="29">
                  <c:v>Jun2021</c:v>
                </c:pt>
                <c:pt idx="30">
                  <c:v>Jul2021</c:v>
                </c:pt>
                <c:pt idx="31">
                  <c:v>Aug2021</c:v>
                </c:pt>
                <c:pt idx="32">
                  <c:v>Sep2021</c:v>
                </c:pt>
                <c:pt idx="33">
                  <c:v>Oct2021</c:v>
                </c:pt>
                <c:pt idx="34">
                  <c:v>Nov2021</c:v>
                </c:pt>
                <c:pt idx="35">
                  <c:v>Dec2021</c:v>
                </c:pt>
              </c:strCache>
            </c:strRef>
          </c:cat>
          <c:val>
            <c:numRef>
              <c:f>'Monthly Data Output'!$D$77:$AM$77</c:f>
              <c:numCache>
                <c:formatCode>#,##0</c:formatCode>
                <c:ptCount val="3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numCache>
            </c:numRef>
          </c:val>
          <c:smooth val="1"/>
          <c:extLst>
            <c:ext xmlns:c16="http://schemas.microsoft.com/office/drawing/2014/chart" uri="{C3380CC4-5D6E-409C-BE32-E72D297353CC}">
              <c16:uniqueId val="{00000002-694C-40E4-9D36-FF216C8A6438}"/>
            </c:ext>
          </c:extLst>
        </c:ser>
        <c:ser>
          <c:idx val="3"/>
          <c:order val="3"/>
          <c:tx>
            <c:strRef>
              <c:f>'Monthly Data Output'!$C$78</c:f>
              <c:strCache>
                <c:ptCount val="1"/>
                <c:pt idx="0">
                  <c:v>Implant</c:v>
                </c:pt>
              </c:strCache>
            </c:strRef>
          </c:tx>
          <c:spPr>
            <a:ln w="28575" cap="rnd">
              <a:solidFill>
                <a:schemeClr val="accent1"/>
              </a:solidFill>
              <a:round/>
            </a:ln>
            <a:effectLst/>
          </c:spPr>
          <c:marker>
            <c:symbol val="none"/>
          </c:marker>
          <c:cat>
            <c:strRef>
              <c:f>'Monthly Data Output'!$D$74:$AM$74</c:f>
              <c:strCache>
                <c:ptCount val="36"/>
                <c:pt idx="0">
                  <c:v>Jan2019</c:v>
                </c:pt>
                <c:pt idx="1">
                  <c:v>Feb2019</c:v>
                </c:pt>
                <c:pt idx="2">
                  <c:v>Mar2019</c:v>
                </c:pt>
                <c:pt idx="3">
                  <c:v>Apr2019</c:v>
                </c:pt>
                <c:pt idx="4">
                  <c:v>May2019</c:v>
                </c:pt>
                <c:pt idx="5">
                  <c:v>Jun2019</c:v>
                </c:pt>
                <c:pt idx="6">
                  <c:v>Jul2019</c:v>
                </c:pt>
                <c:pt idx="7">
                  <c:v>Aug2019</c:v>
                </c:pt>
                <c:pt idx="8">
                  <c:v>Sep2019</c:v>
                </c:pt>
                <c:pt idx="9">
                  <c:v>Oct2019</c:v>
                </c:pt>
                <c:pt idx="10">
                  <c:v>Nov2019</c:v>
                </c:pt>
                <c:pt idx="11">
                  <c:v>Dec2019</c:v>
                </c:pt>
                <c:pt idx="12">
                  <c:v>Jan2020</c:v>
                </c:pt>
                <c:pt idx="13">
                  <c:v>Feb2020</c:v>
                </c:pt>
                <c:pt idx="14">
                  <c:v>Mar2020</c:v>
                </c:pt>
                <c:pt idx="15">
                  <c:v>Apr2020</c:v>
                </c:pt>
                <c:pt idx="16">
                  <c:v>May2020</c:v>
                </c:pt>
                <c:pt idx="17">
                  <c:v>Jun2020</c:v>
                </c:pt>
                <c:pt idx="18">
                  <c:v>Jul2020</c:v>
                </c:pt>
                <c:pt idx="19">
                  <c:v>Aug2020</c:v>
                </c:pt>
                <c:pt idx="20">
                  <c:v>Sep2020</c:v>
                </c:pt>
                <c:pt idx="21">
                  <c:v>Oct2020</c:v>
                </c:pt>
                <c:pt idx="22">
                  <c:v>Nov2020</c:v>
                </c:pt>
                <c:pt idx="23">
                  <c:v>Dec2020</c:v>
                </c:pt>
                <c:pt idx="24">
                  <c:v>Jan2021</c:v>
                </c:pt>
                <c:pt idx="25">
                  <c:v>Feb2021</c:v>
                </c:pt>
                <c:pt idx="26">
                  <c:v>Mar2021</c:v>
                </c:pt>
                <c:pt idx="27">
                  <c:v>Apr2021</c:v>
                </c:pt>
                <c:pt idx="28">
                  <c:v>May2021</c:v>
                </c:pt>
                <c:pt idx="29">
                  <c:v>Jun2021</c:v>
                </c:pt>
                <c:pt idx="30">
                  <c:v>Jul2021</c:v>
                </c:pt>
                <c:pt idx="31">
                  <c:v>Aug2021</c:v>
                </c:pt>
                <c:pt idx="32">
                  <c:v>Sep2021</c:v>
                </c:pt>
                <c:pt idx="33">
                  <c:v>Oct2021</c:v>
                </c:pt>
                <c:pt idx="34">
                  <c:v>Nov2021</c:v>
                </c:pt>
                <c:pt idx="35">
                  <c:v>Dec2021</c:v>
                </c:pt>
              </c:strCache>
            </c:strRef>
          </c:cat>
          <c:val>
            <c:numRef>
              <c:f>'Monthly Data Output'!$D$78:$AM$78</c:f>
              <c:numCache>
                <c:formatCode>#,##0</c:formatCode>
                <c:ptCount val="3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numCache>
            </c:numRef>
          </c:val>
          <c:smooth val="1"/>
          <c:extLst>
            <c:ext xmlns:c16="http://schemas.microsoft.com/office/drawing/2014/chart" uri="{C3380CC4-5D6E-409C-BE32-E72D297353CC}">
              <c16:uniqueId val="{00000003-694C-40E4-9D36-FF216C8A6438}"/>
            </c:ext>
          </c:extLst>
        </c:ser>
        <c:ser>
          <c:idx val="4"/>
          <c:order val="4"/>
          <c:tx>
            <c:strRef>
              <c:f>'Monthly Data Output'!$C$79</c:f>
              <c:strCache>
                <c:ptCount val="1"/>
                <c:pt idx="0">
                  <c:v>Produits injectables</c:v>
                </c:pt>
              </c:strCache>
            </c:strRef>
          </c:tx>
          <c:spPr>
            <a:ln w="28575" cap="rnd">
              <a:solidFill>
                <a:schemeClr val="bg2"/>
              </a:solidFill>
              <a:round/>
            </a:ln>
            <a:effectLst/>
          </c:spPr>
          <c:marker>
            <c:symbol val="none"/>
          </c:marker>
          <c:cat>
            <c:strRef>
              <c:f>'Monthly Data Output'!$D$74:$AM$74</c:f>
              <c:strCache>
                <c:ptCount val="36"/>
                <c:pt idx="0">
                  <c:v>Jan2019</c:v>
                </c:pt>
                <c:pt idx="1">
                  <c:v>Feb2019</c:v>
                </c:pt>
                <c:pt idx="2">
                  <c:v>Mar2019</c:v>
                </c:pt>
                <c:pt idx="3">
                  <c:v>Apr2019</c:v>
                </c:pt>
                <c:pt idx="4">
                  <c:v>May2019</c:v>
                </c:pt>
                <c:pt idx="5">
                  <c:v>Jun2019</c:v>
                </c:pt>
                <c:pt idx="6">
                  <c:v>Jul2019</c:v>
                </c:pt>
                <c:pt idx="7">
                  <c:v>Aug2019</c:v>
                </c:pt>
                <c:pt idx="8">
                  <c:v>Sep2019</c:v>
                </c:pt>
                <c:pt idx="9">
                  <c:v>Oct2019</c:v>
                </c:pt>
                <c:pt idx="10">
                  <c:v>Nov2019</c:v>
                </c:pt>
                <c:pt idx="11">
                  <c:v>Dec2019</c:v>
                </c:pt>
                <c:pt idx="12">
                  <c:v>Jan2020</c:v>
                </c:pt>
                <c:pt idx="13">
                  <c:v>Feb2020</c:v>
                </c:pt>
                <c:pt idx="14">
                  <c:v>Mar2020</c:v>
                </c:pt>
                <c:pt idx="15">
                  <c:v>Apr2020</c:v>
                </c:pt>
                <c:pt idx="16">
                  <c:v>May2020</c:v>
                </c:pt>
                <c:pt idx="17">
                  <c:v>Jun2020</c:v>
                </c:pt>
                <c:pt idx="18">
                  <c:v>Jul2020</c:v>
                </c:pt>
                <c:pt idx="19">
                  <c:v>Aug2020</c:v>
                </c:pt>
                <c:pt idx="20">
                  <c:v>Sep2020</c:v>
                </c:pt>
                <c:pt idx="21">
                  <c:v>Oct2020</c:v>
                </c:pt>
                <c:pt idx="22">
                  <c:v>Nov2020</c:v>
                </c:pt>
                <c:pt idx="23">
                  <c:v>Dec2020</c:v>
                </c:pt>
                <c:pt idx="24">
                  <c:v>Jan2021</c:v>
                </c:pt>
                <c:pt idx="25">
                  <c:v>Feb2021</c:v>
                </c:pt>
                <c:pt idx="26">
                  <c:v>Mar2021</c:v>
                </c:pt>
                <c:pt idx="27">
                  <c:v>Apr2021</c:v>
                </c:pt>
                <c:pt idx="28">
                  <c:v>May2021</c:v>
                </c:pt>
                <c:pt idx="29">
                  <c:v>Jun2021</c:v>
                </c:pt>
                <c:pt idx="30">
                  <c:v>Jul2021</c:v>
                </c:pt>
                <c:pt idx="31">
                  <c:v>Aug2021</c:v>
                </c:pt>
                <c:pt idx="32">
                  <c:v>Sep2021</c:v>
                </c:pt>
                <c:pt idx="33">
                  <c:v>Oct2021</c:v>
                </c:pt>
                <c:pt idx="34">
                  <c:v>Nov2021</c:v>
                </c:pt>
                <c:pt idx="35">
                  <c:v>Dec2021</c:v>
                </c:pt>
              </c:strCache>
            </c:strRef>
          </c:cat>
          <c:val>
            <c:numRef>
              <c:f>'Monthly Data Output'!$D$79:$AM$79</c:f>
              <c:numCache>
                <c:formatCode>#,##0</c:formatCode>
                <c:ptCount val="3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numCache>
            </c:numRef>
          </c:val>
          <c:smooth val="1"/>
          <c:extLst>
            <c:ext xmlns:c16="http://schemas.microsoft.com/office/drawing/2014/chart" uri="{C3380CC4-5D6E-409C-BE32-E72D297353CC}">
              <c16:uniqueId val="{00000004-694C-40E4-9D36-FF216C8A6438}"/>
            </c:ext>
          </c:extLst>
        </c:ser>
        <c:ser>
          <c:idx val="5"/>
          <c:order val="5"/>
          <c:tx>
            <c:strRef>
              <c:f>'Monthly Data Output'!$C$80</c:f>
              <c:strCache>
                <c:ptCount val="1"/>
                <c:pt idx="0">
                  <c:v>Pilule</c:v>
                </c:pt>
              </c:strCache>
            </c:strRef>
          </c:tx>
          <c:spPr>
            <a:ln w="28575" cap="rnd">
              <a:solidFill>
                <a:schemeClr val="accent2"/>
              </a:solidFill>
              <a:round/>
            </a:ln>
            <a:effectLst/>
          </c:spPr>
          <c:marker>
            <c:symbol val="none"/>
          </c:marker>
          <c:cat>
            <c:strRef>
              <c:f>'Monthly Data Output'!$D$74:$AM$74</c:f>
              <c:strCache>
                <c:ptCount val="36"/>
                <c:pt idx="0">
                  <c:v>Jan2019</c:v>
                </c:pt>
                <c:pt idx="1">
                  <c:v>Feb2019</c:v>
                </c:pt>
                <c:pt idx="2">
                  <c:v>Mar2019</c:v>
                </c:pt>
                <c:pt idx="3">
                  <c:v>Apr2019</c:v>
                </c:pt>
                <c:pt idx="4">
                  <c:v>May2019</c:v>
                </c:pt>
                <c:pt idx="5">
                  <c:v>Jun2019</c:v>
                </c:pt>
                <c:pt idx="6">
                  <c:v>Jul2019</c:v>
                </c:pt>
                <c:pt idx="7">
                  <c:v>Aug2019</c:v>
                </c:pt>
                <c:pt idx="8">
                  <c:v>Sep2019</c:v>
                </c:pt>
                <c:pt idx="9">
                  <c:v>Oct2019</c:v>
                </c:pt>
                <c:pt idx="10">
                  <c:v>Nov2019</c:v>
                </c:pt>
                <c:pt idx="11">
                  <c:v>Dec2019</c:v>
                </c:pt>
                <c:pt idx="12">
                  <c:v>Jan2020</c:v>
                </c:pt>
                <c:pt idx="13">
                  <c:v>Feb2020</c:v>
                </c:pt>
                <c:pt idx="14">
                  <c:v>Mar2020</c:v>
                </c:pt>
                <c:pt idx="15">
                  <c:v>Apr2020</c:v>
                </c:pt>
                <c:pt idx="16">
                  <c:v>May2020</c:v>
                </c:pt>
                <c:pt idx="17">
                  <c:v>Jun2020</c:v>
                </c:pt>
                <c:pt idx="18">
                  <c:v>Jul2020</c:v>
                </c:pt>
                <c:pt idx="19">
                  <c:v>Aug2020</c:v>
                </c:pt>
                <c:pt idx="20">
                  <c:v>Sep2020</c:v>
                </c:pt>
                <c:pt idx="21">
                  <c:v>Oct2020</c:v>
                </c:pt>
                <c:pt idx="22">
                  <c:v>Nov2020</c:v>
                </c:pt>
                <c:pt idx="23">
                  <c:v>Dec2020</c:v>
                </c:pt>
                <c:pt idx="24">
                  <c:v>Jan2021</c:v>
                </c:pt>
                <c:pt idx="25">
                  <c:v>Feb2021</c:v>
                </c:pt>
                <c:pt idx="26">
                  <c:v>Mar2021</c:v>
                </c:pt>
                <c:pt idx="27">
                  <c:v>Apr2021</c:v>
                </c:pt>
                <c:pt idx="28">
                  <c:v>May2021</c:v>
                </c:pt>
                <c:pt idx="29">
                  <c:v>Jun2021</c:v>
                </c:pt>
                <c:pt idx="30">
                  <c:v>Jul2021</c:v>
                </c:pt>
                <c:pt idx="31">
                  <c:v>Aug2021</c:v>
                </c:pt>
                <c:pt idx="32">
                  <c:v>Sep2021</c:v>
                </c:pt>
                <c:pt idx="33">
                  <c:v>Oct2021</c:v>
                </c:pt>
                <c:pt idx="34">
                  <c:v>Nov2021</c:v>
                </c:pt>
                <c:pt idx="35">
                  <c:v>Dec2021</c:v>
                </c:pt>
              </c:strCache>
            </c:strRef>
          </c:cat>
          <c:val>
            <c:numRef>
              <c:f>'Monthly Data Output'!$D$80:$AM$80</c:f>
              <c:numCache>
                <c:formatCode>#,##0</c:formatCode>
                <c:ptCount val="3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numCache>
            </c:numRef>
          </c:val>
          <c:smooth val="1"/>
          <c:extLst>
            <c:ext xmlns:c16="http://schemas.microsoft.com/office/drawing/2014/chart" uri="{C3380CC4-5D6E-409C-BE32-E72D297353CC}">
              <c16:uniqueId val="{00000005-694C-40E4-9D36-FF216C8A6438}"/>
            </c:ext>
          </c:extLst>
        </c:ser>
        <c:ser>
          <c:idx val="6"/>
          <c:order val="6"/>
          <c:tx>
            <c:strRef>
              <c:f>'Monthly Data Output'!$C$81</c:f>
              <c:strCache>
                <c:ptCount val="1"/>
                <c:pt idx="0">
                  <c:v>Préservatifs (M+F)</c:v>
                </c:pt>
              </c:strCache>
            </c:strRef>
          </c:tx>
          <c:spPr>
            <a:ln w="28575" cap="rnd">
              <a:solidFill>
                <a:schemeClr val="accent5"/>
              </a:solidFill>
              <a:round/>
            </a:ln>
            <a:effectLst/>
          </c:spPr>
          <c:marker>
            <c:symbol val="none"/>
          </c:marker>
          <c:cat>
            <c:strRef>
              <c:f>'Monthly Data Output'!$D$74:$AM$74</c:f>
              <c:strCache>
                <c:ptCount val="36"/>
                <c:pt idx="0">
                  <c:v>Jan2019</c:v>
                </c:pt>
                <c:pt idx="1">
                  <c:v>Feb2019</c:v>
                </c:pt>
                <c:pt idx="2">
                  <c:v>Mar2019</c:v>
                </c:pt>
                <c:pt idx="3">
                  <c:v>Apr2019</c:v>
                </c:pt>
                <c:pt idx="4">
                  <c:v>May2019</c:v>
                </c:pt>
                <c:pt idx="5">
                  <c:v>Jun2019</c:v>
                </c:pt>
                <c:pt idx="6">
                  <c:v>Jul2019</c:v>
                </c:pt>
                <c:pt idx="7">
                  <c:v>Aug2019</c:v>
                </c:pt>
                <c:pt idx="8">
                  <c:v>Sep2019</c:v>
                </c:pt>
                <c:pt idx="9">
                  <c:v>Oct2019</c:v>
                </c:pt>
                <c:pt idx="10">
                  <c:v>Nov2019</c:v>
                </c:pt>
                <c:pt idx="11">
                  <c:v>Dec2019</c:v>
                </c:pt>
                <c:pt idx="12">
                  <c:v>Jan2020</c:v>
                </c:pt>
                <c:pt idx="13">
                  <c:v>Feb2020</c:v>
                </c:pt>
                <c:pt idx="14">
                  <c:v>Mar2020</c:v>
                </c:pt>
                <c:pt idx="15">
                  <c:v>Apr2020</c:v>
                </c:pt>
                <c:pt idx="16">
                  <c:v>May2020</c:v>
                </c:pt>
                <c:pt idx="17">
                  <c:v>Jun2020</c:v>
                </c:pt>
                <c:pt idx="18">
                  <c:v>Jul2020</c:v>
                </c:pt>
                <c:pt idx="19">
                  <c:v>Aug2020</c:v>
                </c:pt>
                <c:pt idx="20">
                  <c:v>Sep2020</c:v>
                </c:pt>
                <c:pt idx="21">
                  <c:v>Oct2020</c:v>
                </c:pt>
                <c:pt idx="22">
                  <c:v>Nov2020</c:v>
                </c:pt>
                <c:pt idx="23">
                  <c:v>Dec2020</c:v>
                </c:pt>
                <c:pt idx="24">
                  <c:v>Jan2021</c:v>
                </c:pt>
                <c:pt idx="25">
                  <c:v>Feb2021</c:v>
                </c:pt>
                <c:pt idx="26">
                  <c:v>Mar2021</c:v>
                </c:pt>
                <c:pt idx="27">
                  <c:v>Apr2021</c:v>
                </c:pt>
                <c:pt idx="28">
                  <c:v>May2021</c:v>
                </c:pt>
                <c:pt idx="29">
                  <c:v>Jun2021</c:v>
                </c:pt>
                <c:pt idx="30">
                  <c:v>Jul2021</c:v>
                </c:pt>
                <c:pt idx="31">
                  <c:v>Aug2021</c:v>
                </c:pt>
                <c:pt idx="32">
                  <c:v>Sep2021</c:v>
                </c:pt>
                <c:pt idx="33">
                  <c:v>Oct2021</c:v>
                </c:pt>
                <c:pt idx="34">
                  <c:v>Nov2021</c:v>
                </c:pt>
                <c:pt idx="35">
                  <c:v>Dec2021</c:v>
                </c:pt>
              </c:strCache>
            </c:strRef>
          </c:cat>
          <c:val>
            <c:numRef>
              <c:f>'Monthly Data Output'!$D$81:$AM$81</c:f>
              <c:numCache>
                <c:formatCode>#,##0</c:formatCode>
                <c:ptCount val="3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numCache>
            </c:numRef>
          </c:val>
          <c:smooth val="1"/>
          <c:extLst>
            <c:ext xmlns:c16="http://schemas.microsoft.com/office/drawing/2014/chart" uri="{C3380CC4-5D6E-409C-BE32-E72D297353CC}">
              <c16:uniqueId val="{00000006-694C-40E4-9D36-FF216C8A6438}"/>
            </c:ext>
          </c:extLst>
        </c:ser>
        <c:ser>
          <c:idx val="7"/>
          <c:order val="7"/>
          <c:tx>
            <c:strRef>
              <c:f>'Monthly Data Output'!$C$82</c:f>
              <c:strCache>
                <c:ptCount val="1"/>
                <c:pt idx="0">
                  <c:v>Autres Méthodes Modernes</c:v>
                </c:pt>
              </c:strCache>
            </c:strRef>
          </c:tx>
          <c:spPr>
            <a:ln w="28575" cap="rnd">
              <a:solidFill>
                <a:schemeClr val="accent4"/>
              </a:solidFill>
              <a:round/>
            </a:ln>
            <a:effectLst/>
          </c:spPr>
          <c:marker>
            <c:symbol val="none"/>
          </c:marker>
          <c:cat>
            <c:strRef>
              <c:f>'Monthly Data Output'!$D$74:$AM$74</c:f>
              <c:strCache>
                <c:ptCount val="36"/>
                <c:pt idx="0">
                  <c:v>Jan2019</c:v>
                </c:pt>
                <c:pt idx="1">
                  <c:v>Feb2019</c:v>
                </c:pt>
                <c:pt idx="2">
                  <c:v>Mar2019</c:v>
                </c:pt>
                <c:pt idx="3">
                  <c:v>Apr2019</c:v>
                </c:pt>
                <c:pt idx="4">
                  <c:v>May2019</c:v>
                </c:pt>
                <c:pt idx="5">
                  <c:v>Jun2019</c:v>
                </c:pt>
                <c:pt idx="6">
                  <c:v>Jul2019</c:v>
                </c:pt>
                <c:pt idx="7">
                  <c:v>Aug2019</c:v>
                </c:pt>
                <c:pt idx="8">
                  <c:v>Sep2019</c:v>
                </c:pt>
                <c:pt idx="9">
                  <c:v>Oct2019</c:v>
                </c:pt>
                <c:pt idx="10">
                  <c:v>Nov2019</c:v>
                </c:pt>
                <c:pt idx="11">
                  <c:v>Dec2019</c:v>
                </c:pt>
                <c:pt idx="12">
                  <c:v>Jan2020</c:v>
                </c:pt>
                <c:pt idx="13">
                  <c:v>Feb2020</c:v>
                </c:pt>
                <c:pt idx="14">
                  <c:v>Mar2020</c:v>
                </c:pt>
                <c:pt idx="15">
                  <c:v>Apr2020</c:v>
                </c:pt>
                <c:pt idx="16">
                  <c:v>May2020</c:v>
                </c:pt>
                <c:pt idx="17">
                  <c:v>Jun2020</c:v>
                </c:pt>
                <c:pt idx="18">
                  <c:v>Jul2020</c:v>
                </c:pt>
                <c:pt idx="19">
                  <c:v>Aug2020</c:v>
                </c:pt>
                <c:pt idx="20">
                  <c:v>Sep2020</c:v>
                </c:pt>
                <c:pt idx="21">
                  <c:v>Oct2020</c:v>
                </c:pt>
                <c:pt idx="22">
                  <c:v>Nov2020</c:v>
                </c:pt>
                <c:pt idx="23">
                  <c:v>Dec2020</c:v>
                </c:pt>
                <c:pt idx="24">
                  <c:v>Jan2021</c:v>
                </c:pt>
                <c:pt idx="25">
                  <c:v>Feb2021</c:v>
                </c:pt>
                <c:pt idx="26">
                  <c:v>Mar2021</c:v>
                </c:pt>
                <c:pt idx="27">
                  <c:v>Apr2021</c:v>
                </c:pt>
                <c:pt idx="28">
                  <c:v>May2021</c:v>
                </c:pt>
                <c:pt idx="29">
                  <c:v>Jun2021</c:v>
                </c:pt>
                <c:pt idx="30">
                  <c:v>Jul2021</c:v>
                </c:pt>
                <c:pt idx="31">
                  <c:v>Aug2021</c:v>
                </c:pt>
                <c:pt idx="32">
                  <c:v>Sep2021</c:v>
                </c:pt>
                <c:pt idx="33">
                  <c:v>Oct2021</c:v>
                </c:pt>
                <c:pt idx="34">
                  <c:v>Nov2021</c:v>
                </c:pt>
                <c:pt idx="35">
                  <c:v>Dec2021</c:v>
                </c:pt>
              </c:strCache>
            </c:strRef>
          </c:cat>
          <c:val>
            <c:numRef>
              <c:f>'Monthly Data Output'!$D$82:$AM$82</c:f>
              <c:numCache>
                <c:formatCode>#,##0</c:formatCode>
                <c:ptCount val="3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numCache>
            </c:numRef>
          </c:val>
          <c:smooth val="0"/>
          <c:extLst>
            <c:ext xmlns:c16="http://schemas.microsoft.com/office/drawing/2014/chart" uri="{C3380CC4-5D6E-409C-BE32-E72D297353CC}">
              <c16:uniqueId val="{00000007-694C-40E4-9D36-FF216C8A6438}"/>
            </c:ext>
          </c:extLst>
        </c:ser>
        <c:dLbls>
          <c:showLegendKey val="0"/>
          <c:showVal val="0"/>
          <c:showCatName val="0"/>
          <c:showSerName val="0"/>
          <c:showPercent val="0"/>
          <c:showBubbleSize val="0"/>
        </c:dLbls>
        <c:smooth val="0"/>
        <c:axId val="517670511"/>
        <c:axId val="517661775"/>
      </c:lineChart>
      <c:catAx>
        <c:axId val="5176705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7661775"/>
        <c:crosses val="autoZero"/>
        <c:auto val="1"/>
        <c:lblAlgn val="ctr"/>
        <c:lblOffset val="100"/>
        <c:noMultiLvlLbl val="0"/>
      </c:catAx>
      <c:valAx>
        <c:axId val="51766177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7670511"/>
        <c:crosses val="autoZero"/>
        <c:crossBetween val="between"/>
      </c:valAx>
    </c:plotArea>
    <c:legend>
      <c:legendPos val="b"/>
      <c:layout>
        <c:manualLayout>
          <c:xMode val="edge"/>
          <c:yMode val="edge"/>
          <c:x val="6.851851851851852E-2"/>
          <c:y val="0.10172717127105814"/>
          <c:w val="0.9"/>
          <c:h val="0.1155733867722303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extLst/>
  </c:chart>
  <c:spPr>
    <a:solidFill>
      <a:schemeClr val="bg1"/>
    </a:solidFill>
    <a:ln w="2857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'Monthly Data Output'!$AV$180</c:f>
          <c:strCache>
            <c:ptCount val="1"/>
            <c:pt idx="0">
              <c:v>Tendance dans le mélange de méthodes pour les CAP</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2"/>
              </a:solidFill>
              <a:latin typeface="+mn-lt"/>
              <a:ea typeface="+mn-ea"/>
              <a:cs typeface="+mn-cs"/>
            </a:defRPr>
          </a:pPr>
          <a:endParaRPr lang="en-US"/>
        </a:p>
      </c:txPr>
    </c:title>
    <c:autoTitleDeleted val="0"/>
    <c:plotArea>
      <c:layout>
        <c:manualLayout>
          <c:layoutTarget val="inner"/>
          <c:xMode val="edge"/>
          <c:yMode val="edge"/>
          <c:x val="6.8602119179547005E-2"/>
          <c:y val="0.16727492930485205"/>
          <c:w val="0.91442257217847767"/>
          <c:h val="0.69596234767261278"/>
        </c:manualLayout>
      </c:layout>
      <c:areaChart>
        <c:grouping val="percentStacked"/>
        <c:varyColors val="0"/>
        <c:ser>
          <c:idx val="0"/>
          <c:order val="0"/>
          <c:tx>
            <c:strRef>
              <c:f>'Monthly Data Output'!$C$89</c:f>
              <c:strCache>
                <c:ptCount val="1"/>
                <c:pt idx="0">
                  <c:v>Stérilisation (F)</c:v>
                </c:pt>
              </c:strCache>
            </c:strRef>
          </c:tx>
          <c:spPr>
            <a:solidFill>
              <a:schemeClr val="accent6"/>
            </a:solidFill>
            <a:ln>
              <a:solidFill>
                <a:schemeClr val="bg1"/>
              </a:solidFill>
            </a:ln>
            <a:effectLst/>
          </c:spPr>
          <c:cat>
            <c:numRef>
              <c:extLst>
                <c:ext xmlns:c15="http://schemas.microsoft.com/office/drawing/2012/chart" uri="{02D57815-91ED-43cb-92C2-25804820EDAC}">
                  <c15:fullRef>
                    <c15:sqref>'Monthly Data Output'!$D$88:$S$88</c15:sqref>
                  </c15:fullRef>
                </c:ext>
              </c:extLst>
              <c:f>'Monthly Data Output'!$M$88:$S$88</c:f>
              <c:numCache>
                <c:formatCode>General</c:formatCode>
                <c:ptCount val="7"/>
                <c:pt idx="0">
                  <c:v>#N/A</c:v>
                </c:pt>
                <c:pt idx="1">
                  <c:v>#N/A</c:v>
                </c:pt>
                <c:pt idx="2">
                  <c:v>#N/A</c:v>
                </c:pt>
                <c:pt idx="3">
                  <c:v>#N/A</c:v>
                </c:pt>
                <c:pt idx="4">
                  <c:v>#N/A</c:v>
                </c:pt>
                <c:pt idx="5">
                  <c:v>#N/A</c:v>
                </c:pt>
                <c:pt idx="6">
                  <c:v>#N/A</c:v>
                </c:pt>
              </c:numCache>
            </c:numRef>
          </c:cat>
          <c:val>
            <c:numRef>
              <c:extLst>
                <c:ext xmlns:c15="http://schemas.microsoft.com/office/drawing/2012/chart" uri="{02D57815-91ED-43cb-92C2-25804820EDAC}">
                  <c15:fullRef>
                    <c15:sqref>'Monthly Data Output'!$D$89:$S$89</c15:sqref>
                  </c15:fullRef>
                </c:ext>
              </c:extLst>
              <c:f>'Monthly Data Output'!$M$89:$S$89</c:f>
              <c:numCache>
                <c:formatCode>#,##0</c:formatCode>
                <c:ptCount val="7"/>
                <c:pt idx="0">
                  <c:v>#N/A</c:v>
                </c:pt>
                <c:pt idx="1">
                  <c:v>#N/A</c:v>
                </c:pt>
                <c:pt idx="2">
                  <c:v>#N/A</c:v>
                </c:pt>
                <c:pt idx="3">
                  <c:v>#N/A</c:v>
                </c:pt>
                <c:pt idx="4">
                  <c:v>#N/A</c:v>
                </c:pt>
                <c:pt idx="5">
                  <c:v>#N/A</c:v>
                </c:pt>
                <c:pt idx="6">
                  <c:v>#N/A</c:v>
                </c:pt>
              </c:numCache>
            </c:numRef>
          </c:val>
          <c:extLst>
            <c:ext xmlns:c16="http://schemas.microsoft.com/office/drawing/2014/chart" uri="{C3380CC4-5D6E-409C-BE32-E72D297353CC}">
              <c16:uniqueId val="{00000000-4828-486D-8824-A0C841FAAD33}"/>
            </c:ext>
          </c:extLst>
        </c:ser>
        <c:ser>
          <c:idx val="1"/>
          <c:order val="1"/>
          <c:tx>
            <c:strRef>
              <c:f>'Monthly Data Output'!$C$90</c:f>
              <c:strCache>
                <c:ptCount val="1"/>
                <c:pt idx="0">
                  <c:v>Stérilisation (M)</c:v>
                </c:pt>
              </c:strCache>
            </c:strRef>
          </c:tx>
          <c:spPr>
            <a:solidFill>
              <a:schemeClr val="accent6">
                <a:lumMod val="50000"/>
              </a:schemeClr>
            </a:solidFill>
            <a:ln>
              <a:solidFill>
                <a:schemeClr val="bg1"/>
              </a:solidFill>
            </a:ln>
            <a:effectLst/>
          </c:spPr>
          <c:cat>
            <c:numRef>
              <c:extLst>
                <c:ext xmlns:c15="http://schemas.microsoft.com/office/drawing/2012/chart" uri="{02D57815-91ED-43cb-92C2-25804820EDAC}">
                  <c15:fullRef>
                    <c15:sqref>'Monthly Data Output'!$D$88:$S$88</c15:sqref>
                  </c15:fullRef>
                </c:ext>
              </c:extLst>
              <c:f>'Monthly Data Output'!$M$88:$S$88</c:f>
              <c:numCache>
                <c:formatCode>General</c:formatCode>
                <c:ptCount val="7"/>
                <c:pt idx="0">
                  <c:v>#N/A</c:v>
                </c:pt>
                <c:pt idx="1">
                  <c:v>#N/A</c:v>
                </c:pt>
                <c:pt idx="2">
                  <c:v>#N/A</c:v>
                </c:pt>
                <c:pt idx="3">
                  <c:v>#N/A</c:v>
                </c:pt>
                <c:pt idx="4">
                  <c:v>#N/A</c:v>
                </c:pt>
                <c:pt idx="5">
                  <c:v>#N/A</c:v>
                </c:pt>
                <c:pt idx="6">
                  <c:v>#N/A</c:v>
                </c:pt>
              </c:numCache>
            </c:numRef>
          </c:cat>
          <c:val>
            <c:numRef>
              <c:extLst>
                <c:ext xmlns:c15="http://schemas.microsoft.com/office/drawing/2012/chart" uri="{02D57815-91ED-43cb-92C2-25804820EDAC}">
                  <c15:fullRef>
                    <c15:sqref>'Monthly Data Output'!$D$90:$S$90</c15:sqref>
                  </c15:fullRef>
                </c:ext>
              </c:extLst>
              <c:f>'Monthly Data Output'!$M$90:$S$90</c:f>
              <c:numCache>
                <c:formatCode>#,##0</c:formatCode>
                <c:ptCount val="7"/>
                <c:pt idx="0">
                  <c:v>#N/A</c:v>
                </c:pt>
                <c:pt idx="1">
                  <c:v>#N/A</c:v>
                </c:pt>
                <c:pt idx="2">
                  <c:v>#N/A</c:v>
                </c:pt>
                <c:pt idx="3">
                  <c:v>#N/A</c:v>
                </c:pt>
                <c:pt idx="4">
                  <c:v>#N/A</c:v>
                </c:pt>
                <c:pt idx="5">
                  <c:v>#N/A</c:v>
                </c:pt>
                <c:pt idx="6">
                  <c:v>#N/A</c:v>
                </c:pt>
              </c:numCache>
            </c:numRef>
          </c:val>
          <c:extLst>
            <c:ext xmlns:c16="http://schemas.microsoft.com/office/drawing/2014/chart" uri="{C3380CC4-5D6E-409C-BE32-E72D297353CC}">
              <c16:uniqueId val="{00000001-4828-486D-8824-A0C841FAAD33}"/>
            </c:ext>
          </c:extLst>
        </c:ser>
        <c:ser>
          <c:idx val="2"/>
          <c:order val="2"/>
          <c:tx>
            <c:strRef>
              <c:f>'Monthly Data Output'!$C$91</c:f>
              <c:strCache>
                <c:ptCount val="1"/>
                <c:pt idx="0">
                  <c:v>DIU</c:v>
                </c:pt>
              </c:strCache>
            </c:strRef>
          </c:tx>
          <c:spPr>
            <a:solidFill>
              <a:schemeClr val="tx2"/>
            </a:solidFill>
            <a:ln>
              <a:solidFill>
                <a:schemeClr val="bg1"/>
              </a:solidFill>
            </a:ln>
            <a:effectLst/>
          </c:spPr>
          <c:cat>
            <c:numRef>
              <c:extLst>
                <c:ext xmlns:c15="http://schemas.microsoft.com/office/drawing/2012/chart" uri="{02D57815-91ED-43cb-92C2-25804820EDAC}">
                  <c15:fullRef>
                    <c15:sqref>'Monthly Data Output'!$D$88:$S$88</c15:sqref>
                  </c15:fullRef>
                </c:ext>
              </c:extLst>
              <c:f>'Monthly Data Output'!$M$88:$S$88</c:f>
              <c:numCache>
                <c:formatCode>General</c:formatCode>
                <c:ptCount val="7"/>
                <c:pt idx="0">
                  <c:v>#N/A</c:v>
                </c:pt>
                <c:pt idx="1">
                  <c:v>#N/A</c:v>
                </c:pt>
                <c:pt idx="2">
                  <c:v>#N/A</c:v>
                </c:pt>
                <c:pt idx="3">
                  <c:v>#N/A</c:v>
                </c:pt>
                <c:pt idx="4">
                  <c:v>#N/A</c:v>
                </c:pt>
                <c:pt idx="5">
                  <c:v>#N/A</c:v>
                </c:pt>
                <c:pt idx="6">
                  <c:v>#N/A</c:v>
                </c:pt>
              </c:numCache>
            </c:numRef>
          </c:cat>
          <c:val>
            <c:numRef>
              <c:extLst>
                <c:ext xmlns:c15="http://schemas.microsoft.com/office/drawing/2012/chart" uri="{02D57815-91ED-43cb-92C2-25804820EDAC}">
                  <c15:fullRef>
                    <c15:sqref>'Monthly Data Output'!$D$91:$S$91</c15:sqref>
                  </c15:fullRef>
                </c:ext>
              </c:extLst>
              <c:f>'Monthly Data Output'!$M$91:$S$91</c:f>
              <c:numCache>
                <c:formatCode>#,##0</c:formatCode>
                <c:ptCount val="7"/>
                <c:pt idx="0">
                  <c:v>#N/A</c:v>
                </c:pt>
                <c:pt idx="1">
                  <c:v>#N/A</c:v>
                </c:pt>
                <c:pt idx="2">
                  <c:v>#N/A</c:v>
                </c:pt>
                <c:pt idx="3">
                  <c:v>#N/A</c:v>
                </c:pt>
                <c:pt idx="4">
                  <c:v>#N/A</c:v>
                </c:pt>
                <c:pt idx="5">
                  <c:v>#N/A</c:v>
                </c:pt>
                <c:pt idx="6">
                  <c:v>#N/A</c:v>
                </c:pt>
              </c:numCache>
            </c:numRef>
          </c:val>
          <c:extLst>
            <c:ext xmlns:c16="http://schemas.microsoft.com/office/drawing/2014/chart" uri="{C3380CC4-5D6E-409C-BE32-E72D297353CC}">
              <c16:uniqueId val="{00000002-4828-486D-8824-A0C841FAAD33}"/>
            </c:ext>
          </c:extLst>
        </c:ser>
        <c:ser>
          <c:idx val="3"/>
          <c:order val="3"/>
          <c:tx>
            <c:strRef>
              <c:f>'Monthly Data Output'!$C$92</c:f>
              <c:strCache>
                <c:ptCount val="1"/>
                <c:pt idx="0">
                  <c:v>Implant</c:v>
                </c:pt>
              </c:strCache>
            </c:strRef>
          </c:tx>
          <c:spPr>
            <a:solidFill>
              <a:schemeClr val="accent1"/>
            </a:solidFill>
            <a:ln>
              <a:solidFill>
                <a:schemeClr val="bg1"/>
              </a:solidFill>
            </a:ln>
            <a:effectLst/>
          </c:spPr>
          <c:cat>
            <c:numRef>
              <c:extLst>
                <c:ext xmlns:c15="http://schemas.microsoft.com/office/drawing/2012/chart" uri="{02D57815-91ED-43cb-92C2-25804820EDAC}">
                  <c15:fullRef>
                    <c15:sqref>'Monthly Data Output'!$D$88:$S$88</c15:sqref>
                  </c15:fullRef>
                </c:ext>
              </c:extLst>
              <c:f>'Monthly Data Output'!$M$88:$S$88</c:f>
              <c:numCache>
                <c:formatCode>General</c:formatCode>
                <c:ptCount val="7"/>
                <c:pt idx="0">
                  <c:v>#N/A</c:v>
                </c:pt>
                <c:pt idx="1">
                  <c:v>#N/A</c:v>
                </c:pt>
                <c:pt idx="2">
                  <c:v>#N/A</c:v>
                </c:pt>
                <c:pt idx="3">
                  <c:v>#N/A</c:v>
                </c:pt>
                <c:pt idx="4">
                  <c:v>#N/A</c:v>
                </c:pt>
                <c:pt idx="5">
                  <c:v>#N/A</c:v>
                </c:pt>
                <c:pt idx="6">
                  <c:v>#N/A</c:v>
                </c:pt>
              </c:numCache>
            </c:numRef>
          </c:cat>
          <c:val>
            <c:numRef>
              <c:extLst>
                <c:ext xmlns:c15="http://schemas.microsoft.com/office/drawing/2012/chart" uri="{02D57815-91ED-43cb-92C2-25804820EDAC}">
                  <c15:fullRef>
                    <c15:sqref>'Monthly Data Output'!$D$92:$S$92</c15:sqref>
                  </c15:fullRef>
                </c:ext>
              </c:extLst>
              <c:f>'Monthly Data Output'!$M$92:$S$92</c:f>
              <c:numCache>
                <c:formatCode>#,##0</c:formatCode>
                <c:ptCount val="7"/>
                <c:pt idx="0">
                  <c:v>#N/A</c:v>
                </c:pt>
                <c:pt idx="1">
                  <c:v>#N/A</c:v>
                </c:pt>
                <c:pt idx="2">
                  <c:v>#N/A</c:v>
                </c:pt>
                <c:pt idx="3">
                  <c:v>#N/A</c:v>
                </c:pt>
                <c:pt idx="4">
                  <c:v>#N/A</c:v>
                </c:pt>
                <c:pt idx="5">
                  <c:v>#N/A</c:v>
                </c:pt>
                <c:pt idx="6">
                  <c:v>#N/A</c:v>
                </c:pt>
              </c:numCache>
            </c:numRef>
          </c:val>
          <c:extLst>
            <c:ext xmlns:c16="http://schemas.microsoft.com/office/drawing/2014/chart" uri="{C3380CC4-5D6E-409C-BE32-E72D297353CC}">
              <c16:uniqueId val="{00000003-4828-486D-8824-A0C841FAAD33}"/>
            </c:ext>
          </c:extLst>
        </c:ser>
        <c:ser>
          <c:idx val="4"/>
          <c:order val="4"/>
          <c:tx>
            <c:strRef>
              <c:f>'Monthly Data Output'!$C$93</c:f>
              <c:strCache>
                <c:ptCount val="1"/>
                <c:pt idx="0">
                  <c:v>Produits injectables</c:v>
                </c:pt>
              </c:strCache>
            </c:strRef>
          </c:tx>
          <c:spPr>
            <a:solidFill>
              <a:schemeClr val="bg2"/>
            </a:solidFill>
            <a:ln>
              <a:solidFill>
                <a:schemeClr val="bg1"/>
              </a:solidFill>
            </a:ln>
            <a:effectLst/>
          </c:spPr>
          <c:cat>
            <c:numRef>
              <c:extLst>
                <c:ext xmlns:c15="http://schemas.microsoft.com/office/drawing/2012/chart" uri="{02D57815-91ED-43cb-92C2-25804820EDAC}">
                  <c15:fullRef>
                    <c15:sqref>'Monthly Data Output'!$D$88:$S$88</c15:sqref>
                  </c15:fullRef>
                </c:ext>
              </c:extLst>
              <c:f>'Monthly Data Output'!$M$88:$S$88</c:f>
              <c:numCache>
                <c:formatCode>General</c:formatCode>
                <c:ptCount val="7"/>
                <c:pt idx="0">
                  <c:v>#N/A</c:v>
                </c:pt>
                <c:pt idx="1">
                  <c:v>#N/A</c:v>
                </c:pt>
                <c:pt idx="2">
                  <c:v>#N/A</c:v>
                </c:pt>
                <c:pt idx="3">
                  <c:v>#N/A</c:v>
                </c:pt>
                <c:pt idx="4">
                  <c:v>#N/A</c:v>
                </c:pt>
                <c:pt idx="5">
                  <c:v>#N/A</c:v>
                </c:pt>
                <c:pt idx="6">
                  <c:v>#N/A</c:v>
                </c:pt>
              </c:numCache>
            </c:numRef>
          </c:cat>
          <c:val>
            <c:numRef>
              <c:extLst>
                <c:ext xmlns:c15="http://schemas.microsoft.com/office/drawing/2012/chart" uri="{02D57815-91ED-43cb-92C2-25804820EDAC}">
                  <c15:fullRef>
                    <c15:sqref>'Monthly Data Output'!$D$93:$S$93</c15:sqref>
                  </c15:fullRef>
                </c:ext>
              </c:extLst>
              <c:f>'Monthly Data Output'!$M$93:$S$93</c:f>
              <c:numCache>
                <c:formatCode>#,##0</c:formatCode>
                <c:ptCount val="7"/>
                <c:pt idx="0">
                  <c:v>#N/A</c:v>
                </c:pt>
                <c:pt idx="1">
                  <c:v>#N/A</c:v>
                </c:pt>
                <c:pt idx="2">
                  <c:v>#N/A</c:v>
                </c:pt>
                <c:pt idx="3">
                  <c:v>#N/A</c:v>
                </c:pt>
                <c:pt idx="4">
                  <c:v>#N/A</c:v>
                </c:pt>
                <c:pt idx="5">
                  <c:v>#N/A</c:v>
                </c:pt>
                <c:pt idx="6">
                  <c:v>#N/A</c:v>
                </c:pt>
              </c:numCache>
            </c:numRef>
          </c:val>
          <c:extLst>
            <c:ext xmlns:c16="http://schemas.microsoft.com/office/drawing/2014/chart" uri="{C3380CC4-5D6E-409C-BE32-E72D297353CC}">
              <c16:uniqueId val="{00000004-4828-486D-8824-A0C841FAAD33}"/>
            </c:ext>
          </c:extLst>
        </c:ser>
        <c:ser>
          <c:idx val="5"/>
          <c:order val="5"/>
          <c:tx>
            <c:strRef>
              <c:f>'Monthly Data Output'!$C$94</c:f>
              <c:strCache>
                <c:ptCount val="1"/>
                <c:pt idx="0">
                  <c:v>Pilule</c:v>
                </c:pt>
              </c:strCache>
            </c:strRef>
          </c:tx>
          <c:spPr>
            <a:solidFill>
              <a:schemeClr val="accent2"/>
            </a:solidFill>
            <a:ln>
              <a:solidFill>
                <a:schemeClr val="bg1"/>
              </a:solidFill>
            </a:ln>
            <a:effectLst/>
          </c:spPr>
          <c:cat>
            <c:numRef>
              <c:extLst>
                <c:ext xmlns:c15="http://schemas.microsoft.com/office/drawing/2012/chart" uri="{02D57815-91ED-43cb-92C2-25804820EDAC}">
                  <c15:fullRef>
                    <c15:sqref>'Monthly Data Output'!$D$88:$S$88</c15:sqref>
                  </c15:fullRef>
                </c:ext>
              </c:extLst>
              <c:f>'Monthly Data Output'!$M$88:$S$88</c:f>
              <c:numCache>
                <c:formatCode>General</c:formatCode>
                <c:ptCount val="7"/>
                <c:pt idx="0">
                  <c:v>#N/A</c:v>
                </c:pt>
                <c:pt idx="1">
                  <c:v>#N/A</c:v>
                </c:pt>
                <c:pt idx="2">
                  <c:v>#N/A</c:v>
                </c:pt>
                <c:pt idx="3">
                  <c:v>#N/A</c:v>
                </c:pt>
                <c:pt idx="4">
                  <c:v>#N/A</c:v>
                </c:pt>
                <c:pt idx="5">
                  <c:v>#N/A</c:v>
                </c:pt>
                <c:pt idx="6">
                  <c:v>#N/A</c:v>
                </c:pt>
              </c:numCache>
            </c:numRef>
          </c:cat>
          <c:val>
            <c:numRef>
              <c:extLst>
                <c:ext xmlns:c15="http://schemas.microsoft.com/office/drawing/2012/chart" uri="{02D57815-91ED-43cb-92C2-25804820EDAC}">
                  <c15:fullRef>
                    <c15:sqref>'Monthly Data Output'!$D$94:$S$94</c15:sqref>
                  </c15:fullRef>
                </c:ext>
              </c:extLst>
              <c:f>'Monthly Data Output'!$M$94:$S$94</c:f>
              <c:numCache>
                <c:formatCode>#,##0</c:formatCode>
                <c:ptCount val="7"/>
                <c:pt idx="0">
                  <c:v>#N/A</c:v>
                </c:pt>
                <c:pt idx="1">
                  <c:v>#N/A</c:v>
                </c:pt>
                <c:pt idx="2">
                  <c:v>#N/A</c:v>
                </c:pt>
                <c:pt idx="3">
                  <c:v>#N/A</c:v>
                </c:pt>
                <c:pt idx="4">
                  <c:v>#N/A</c:v>
                </c:pt>
                <c:pt idx="5">
                  <c:v>#N/A</c:v>
                </c:pt>
                <c:pt idx="6">
                  <c:v>#N/A</c:v>
                </c:pt>
              </c:numCache>
            </c:numRef>
          </c:val>
          <c:extLst>
            <c:ext xmlns:c16="http://schemas.microsoft.com/office/drawing/2014/chart" uri="{C3380CC4-5D6E-409C-BE32-E72D297353CC}">
              <c16:uniqueId val="{00000005-4828-486D-8824-A0C841FAAD33}"/>
            </c:ext>
          </c:extLst>
        </c:ser>
        <c:ser>
          <c:idx val="6"/>
          <c:order val="6"/>
          <c:tx>
            <c:strRef>
              <c:f>'Monthly Data Output'!$C$95</c:f>
              <c:strCache>
                <c:ptCount val="1"/>
                <c:pt idx="0">
                  <c:v>Préservatifs (M+F)</c:v>
                </c:pt>
              </c:strCache>
            </c:strRef>
          </c:tx>
          <c:spPr>
            <a:solidFill>
              <a:schemeClr val="accent5"/>
            </a:solidFill>
            <a:ln>
              <a:solidFill>
                <a:schemeClr val="bg1"/>
              </a:solidFill>
            </a:ln>
            <a:effectLst/>
          </c:spPr>
          <c:cat>
            <c:numRef>
              <c:extLst>
                <c:ext xmlns:c15="http://schemas.microsoft.com/office/drawing/2012/chart" uri="{02D57815-91ED-43cb-92C2-25804820EDAC}">
                  <c15:fullRef>
                    <c15:sqref>'Monthly Data Output'!$D$88:$S$88</c15:sqref>
                  </c15:fullRef>
                </c:ext>
              </c:extLst>
              <c:f>'Monthly Data Output'!$M$88:$S$88</c:f>
              <c:numCache>
                <c:formatCode>General</c:formatCode>
                <c:ptCount val="7"/>
                <c:pt idx="0">
                  <c:v>#N/A</c:v>
                </c:pt>
                <c:pt idx="1">
                  <c:v>#N/A</c:v>
                </c:pt>
                <c:pt idx="2">
                  <c:v>#N/A</c:v>
                </c:pt>
                <c:pt idx="3">
                  <c:v>#N/A</c:v>
                </c:pt>
                <c:pt idx="4">
                  <c:v>#N/A</c:v>
                </c:pt>
                <c:pt idx="5">
                  <c:v>#N/A</c:v>
                </c:pt>
                <c:pt idx="6">
                  <c:v>#N/A</c:v>
                </c:pt>
              </c:numCache>
            </c:numRef>
          </c:cat>
          <c:val>
            <c:numRef>
              <c:extLst>
                <c:ext xmlns:c15="http://schemas.microsoft.com/office/drawing/2012/chart" uri="{02D57815-91ED-43cb-92C2-25804820EDAC}">
                  <c15:fullRef>
                    <c15:sqref>'Monthly Data Output'!$D$95:$S$95</c15:sqref>
                  </c15:fullRef>
                </c:ext>
              </c:extLst>
              <c:f>'Monthly Data Output'!$M$95:$S$95</c:f>
              <c:numCache>
                <c:formatCode>#,##0</c:formatCode>
                <c:ptCount val="7"/>
                <c:pt idx="0">
                  <c:v>#N/A</c:v>
                </c:pt>
                <c:pt idx="1">
                  <c:v>#N/A</c:v>
                </c:pt>
                <c:pt idx="2">
                  <c:v>#N/A</c:v>
                </c:pt>
                <c:pt idx="3">
                  <c:v>#N/A</c:v>
                </c:pt>
                <c:pt idx="4">
                  <c:v>#N/A</c:v>
                </c:pt>
                <c:pt idx="5">
                  <c:v>#N/A</c:v>
                </c:pt>
                <c:pt idx="6">
                  <c:v>#N/A</c:v>
                </c:pt>
              </c:numCache>
            </c:numRef>
          </c:val>
          <c:extLst>
            <c:ext xmlns:c16="http://schemas.microsoft.com/office/drawing/2014/chart" uri="{C3380CC4-5D6E-409C-BE32-E72D297353CC}">
              <c16:uniqueId val="{00000006-4828-486D-8824-A0C841FAAD33}"/>
            </c:ext>
          </c:extLst>
        </c:ser>
        <c:ser>
          <c:idx val="7"/>
          <c:order val="7"/>
          <c:tx>
            <c:strRef>
              <c:f>'Monthly Data Output'!$C$96</c:f>
              <c:strCache>
                <c:ptCount val="1"/>
                <c:pt idx="0">
                  <c:v>Autres Méthodes Modernes</c:v>
                </c:pt>
              </c:strCache>
            </c:strRef>
          </c:tx>
          <c:spPr>
            <a:solidFill>
              <a:schemeClr val="accent4"/>
            </a:solidFill>
            <a:ln>
              <a:noFill/>
            </a:ln>
            <a:effectLst/>
          </c:spPr>
          <c:cat>
            <c:numRef>
              <c:extLst>
                <c:ext xmlns:c15="http://schemas.microsoft.com/office/drawing/2012/chart" uri="{02D57815-91ED-43cb-92C2-25804820EDAC}">
                  <c15:fullRef>
                    <c15:sqref>'Monthly Data Output'!$D$88:$S$88</c15:sqref>
                  </c15:fullRef>
                </c:ext>
              </c:extLst>
              <c:f>'Monthly Data Output'!$M$88:$S$88</c:f>
              <c:numCache>
                <c:formatCode>General</c:formatCode>
                <c:ptCount val="7"/>
                <c:pt idx="0">
                  <c:v>#N/A</c:v>
                </c:pt>
                <c:pt idx="1">
                  <c:v>#N/A</c:v>
                </c:pt>
                <c:pt idx="2">
                  <c:v>#N/A</c:v>
                </c:pt>
                <c:pt idx="3">
                  <c:v>#N/A</c:v>
                </c:pt>
                <c:pt idx="4">
                  <c:v>#N/A</c:v>
                </c:pt>
                <c:pt idx="5">
                  <c:v>#N/A</c:v>
                </c:pt>
                <c:pt idx="6">
                  <c:v>#N/A</c:v>
                </c:pt>
              </c:numCache>
            </c:numRef>
          </c:cat>
          <c:val>
            <c:numRef>
              <c:extLst>
                <c:ext xmlns:c15="http://schemas.microsoft.com/office/drawing/2012/chart" uri="{02D57815-91ED-43cb-92C2-25804820EDAC}">
                  <c15:fullRef>
                    <c15:sqref>'Monthly Data Output'!$D$96:$S$96</c15:sqref>
                  </c15:fullRef>
                </c:ext>
              </c:extLst>
              <c:f>'Monthly Data Output'!$M$96:$S$96</c:f>
              <c:numCache>
                <c:formatCode>#,##0</c:formatCode>
                <c:ptCount val="7"/>
                <c:pt idx="0">
                  <c:v>#N/A</c:v>
                </c:pt>
                <c:pt idx="1">
                  <c:v>#N/A</c:v>
                </c:pt>
                <c:pt idx="2">
                  <c:v>#N/A</c:v>
                </c:pt>
                <c:pt idx="3">
                  <c:v>#N/A</c:v>
                </c:pt>
                <c:pt idx="4">
                  <c:v>#N/A</c:v>
                </c:pt>
                <c:pt idx="5">
                  <c:v>#N/A</c:v>
                </c:pt>
                <c:pt idx="6">
                  <c:v>#N/A</c:v>
                </c:pt>
              </c:numCache>
            </c:numRef>
          </c:val>
          <c:extLst>
            <c:ext xmlns:c16="http://schemas.microsoft.com/office/drawing/2014/chart" uri="{C3380CC4-5D6E-409C-BE32-E72D297353CC}">
              <c16:uniqueId val="{00000007-4828-486D-8824-A0C841FAAD33}"/>
            </c:ext>
          </c:extLst>
        </c:ser>
        <c:dLbls>
          <c:showLegendKey val="0"/>
          <c:showVal val="0"/>
          <c:showCatName val="0"/>
          <c:showSerName val="0"/>
          <c:showPercent val="0"/>
          <c:showBubbleSize val="0"/>
        </c:dLbls>
        <c:axId val="517670511"/>
        <c:axId val="517661775"/>
      </c:areaChart>
      <c:catAx>
        <c:axId val="5176705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7661775"/>
        <c:crosses val="autoZero"/>
        <c:auto val="1"/>
        <c:lblAlgn val="ctr"/>
        <c:lblOffset val="100"/>
        <c:noMultiLvlLbl val="0"/>
      </c:catAx>
      <c:valAx>
        <c:axId val="51766177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7670511"/>
        <c:crosses val="autoZero"/>
        <c:crossBetween val="midCat"/>
      </c:valAx>
    </c:plotArea>
    <c:legend>
      <c:legendPos val="b"/>
      <c:layout>
        <c:manualLayout>
          <c:xMode val="edge"/>
          <c:yMode val="edge"/>
          <c:x val="0.1215255905511811"/>
          <c:y val="9.1070454602666634E-2"/>
          <c:w val="0.76904022571520236"/>
          <c:h val="5.69737358399076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solidFill>
      <a:round/>
    </a:ln>
    <a:effectLst/>
  </c:spPr>
  <c:txPr>
    <a:bodyPr/>
    <a:lstStyle/>
    <a:p>
      <a:pPr>
        <a:defRPr/>
      </a:pPr>
      <a:endParaRPr lang="en-US"/>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'Monthly Data Output'!$AV$180</c:f>
          <c:strCache>
            <c:ptCount val="1"/>
            <c:pt idx="0">
              <c:v>Tendance dans le mélange de méthodes pour les CAP</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2"/>
              </a:solidFill>
              <a:latin typeface="+mn-lt"/>
              <a:ea typeface="+mn-ea"/>
              <a:cs typeface="+mn-cs"/>
            </a:defRPr>
          </a:pPr>
          <a:endParaRPr lang="en-US"/>
        </a:p>
      </c:txPr>
    </c:title>
    <c:autoTitleDeleted val="0"/>
    <c:plotArea>
      <c:layout>
        <c:manualLayout>
          <c:layoutTarget val="inner"/>
          <c:xMode val="edge"/>
          <c:yMode val="edge"/>
          <c:x val="6.8602119179547005E-2"/>
          <c:y val="0.16727492930485205"/>
          <c:w val="0.91442257217847767"/>
          <c:h val="0.64419572556577098"/>
        </c:manualLayout>
      </c:layout>
      <c:areaChart>
        <c:grouping val="percentStacked"/>
        <c:varyColors val="0"/>
        <c:ser>
          <c:idx val="0"/>
          <c:order val="0"/>
          <c:tx>
            <c:strRef>
              <c:f>'Monthly Data Output'!$C$75</c:f>
              <c:strCache>
                <c:ptCount val="1"/>
                <c:pt idx="0">
                  <c:v>Stérilisation (F)</c:v>
                </c:pt>
              </c:strCache>
            </c:strRef>
          </c:tx>
          <c:spPr>
            <a:solidFill>
              <a:schemeClr val="accent6"/>
            </a:solidFill>
            <a:ln>
              <a:solidFill>
                <a:schemeClr val="bg1"/>
              </a:solidFill>
            </a:ln>
            <a:effectLst/>
          </c:spPr>
          <c:cat>
            <c:strRef>
              <c:f>'Monthly Data Output'!$D$74:$AM$74</c:f>
              <c:strCache>
                <c:ptCount val="36"/>
                <c:pt idx="0">
                  <c:v>Jan2019</c:v>
                </c:pt>
                <c:pt idx="1">
                  <c:v>Feb2019</c:v>
                </c:pt>
                <c:pt idx="2">
                  <c:v>Mar2019</c:v>
                </c:pt>
                <c:pt idx="3">
                  <c:v>Apr2019</c:v>
                </c:pt>
                <c:pt idx="4">
                  <c:v>May2019</c:v>
                </c:pt>
                <c:pt idx="5">
                  <c:v>Jun2019</c:v>
                </c:pt>
                <c:pt idx="6">
                  <c:v>Jul2019</c:v>
                </c:pt>
                <c:pt idx="7">
                  <c:v>Aug2019</c:v>
                </c:pt>
                <c:pt idx="8">
                  <c:v>Sep2019</c:v>
                </c:pt>
                <c:pt idx="9">
                  <c:v>Oct2019</c:v>
                </c:pt>
                <c:pt idx="10">
                  <c:v>Nov2019</c:v>
                </c:pt>
                <c:pt idx="11">
                  <c:v>Dec2019</c:v>
                </c:pt>
                <c:pt idx="12">
                  <c:v>Jan2020</c:v>
                </c:pt>
                <c:pt idx="13">
                  <c:v>Feb2020</c:v>
                </c:pt>
                <c:pt idx="14">
                  <c:v>Mar2020</c:v>
                </c:pt>
                <c:pt idx="15">
                  <c:v>Apr2020</c:v>
                </c:pt>
                <c:pt idx="16">
                  <c:v>May2020</c:v>
                </c:pt>
                <c:pt idx="17">
                  <c:v>Jun2020</c:v>
                </c:pt>
                <c:pt idx="18">
                  <c:v>Jul2020</c:v>
                </c:pt>
                <c:pt idx="19">
                  <c:v>Aug2020</c:v>
                </c:pt>
                <c:pt idx="20">
                  <c:v>Sep2020</c:v>
                </c:pt>
                <c:pt idx="21">
                  <c:v>Oct2020</c:v>
                </c:pt>
                <c:pt idx="22">
                  <c:v>Nov2020</c:v>
                </c:pt>
                <c:pt idx="23">
                  <c:v>Dec2020</c:v>
                </c:pt>
                <c:pt idx="24">
                  <c:v>Jan2021</c:v>
                </c:pt>
                <c:pt idx="25">
                  <c:v>Feb2021</c:v>
                </c:pt>
                <c:pt idx="26">
                  <c:v>Mar2021</c:v>
                </c:pt>
                <c:pt idx="27">
                  <c:v>Apr2021</c:v>
                </c:pt>
                <c:pt idx="28">
                  <c:v>May2021</c:v>
                </c:pt>
                <c:pt idx="29">
                  <c:v>Jun2021</c:v>
                </c:pt>
                <c:pt idx="30">
                  <c:v>Jul2021</c:v>
                </c:pt>
                <c:pt idx="31">
                  <c:v>Aug2021</c:v>
                </c:pt>
                <c:pt idx="32">
                  <c:v>Sep2021</c:v>
                </c:pt>
                <c:pt idx="33">
                  <c:v>Oct2021</c:v>
                </c:pt>
                <c:pt idx="34">
                  <c:v>Nov2021</c:v>
                </c:pt>
                <c:pt idx="35">
                  <c:v>Dec2021</c:v>
                </c:pt>
              </c:strCache>
            </c:strRef>
          </c:cat>
          <c:val>
            <c:numRef>
              <c:f>'Monthly Data Output'!$D$75:$AM$75</c:f>
              <c:numCache>
                <c:formatCode>#,##0</c:formatCode>
                <c:ptCount val="3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numCache>
            </c:numRef>
          </c:val>
          <c:extLst>
            <c:ext xmlns:c16="http://schemas.microsoft.com/office/drawing/2014/chart" uri="{C3380CC4-5D6E-409C-BE32-E72D297353CC}">
              <c16:uniqueId val="{00000000-943A-42F0-9C02-70D4AF99AEDA}"/>
            </c:ext>
          </c:extLst>
        </c:ser>
        <c:ser>
          <c:idx val="1"/>
          <c:order val="1"/>
          <c:tx>
            <c:strRef>
              <c:f>'Monthly Data Output'!$C$76</c:f>
              <c:strCache>
                <c:ptCount val="1"/>
                <c:pt idx="0">
                  <c:v>Stérilisation (M)</c:v>
                </c:pt>
              </c:strCache>
            </c:strRef>
          </c:tx>
          <c:spPr>
            <a:solidFill>
              <a:schemeClr val="accent6">
                <a:lumMod val="50000"/>
              </a:schemeClr>
            </a:solidFill>
            <a:ln>
              <a:solidFill>
                <a:schemeClr val="bg1"/>
              </a:solidFill>
            </a:ln>
            <a:effectLst/>
          </c:spPr>
          <c:cat>
            <c:strRef>
              <c:f>'Monthly Data Output'!$D$74:$AM$74</c:f>
              <c:strCache>
                <c:ptCount val="36"/>
                <c:pt idx="0">
                  <c:v>Jan2019</c:v>
                </c:pt>
                <c:pt idx="1">
                  <c:v>Feb2019</c:v>
                </c:pt>
                <c:pt idx="2">
                  <c:v>Mar2019</c:v>
                </c:pt>
                <c:pt idx="3">
                  <c:v>Apr2019</c:v>
                </c:pt>
                <c:pt idx="4">
                  <c:v>May2019</c:v>
                </c:pt>
                <c:pt idx="5">
                  <c:v>Jun2019</c:v>
                </c:pt>
                <c:pt idx="6">
                  <c:v>Jul2019</c:v>
                </c:pt>
                <c:pt idx="7">
                  <c:v>Aug2019</c:v>
                </c:pt>
                <c:pt idx="8">
                  <c:v>Sep2019</c:v>
                </c:pt>
                <c:pt idx="9">
                  <c:v>Oct2019</c:v>
                </c:pt>
                <c:pt idx="10">
                  <c:v>Nov2019</c:v>
                </c:pt>
                <c:pt idx="11">
                  <c:v>Dec2019</c:v>
                </c:pt>
                <c:pt idx="12">
                  <c:v>Jan2020</c:v>
                </c:pt>
                <c:pt idx="13">
                  <c:v>Feb2020</c:v>
                </c:pt>
                <c:pt idx="14">
                  <c:v>Mar2020</c:v>
                </c:pt>
                <c:pt idx="15">
                  <c:v>Apr2020</c:v>
                </c:pt>
                <c:pt idx="16">
                  <c:v>May2020</c:v>
                </c:pt>
                <c:pt idx="17">
                  <c:v>Jun2020</c:v>
                </c:pt>
                <c:pt idx="18">
                  <c:v>Jul2020</c:v>
                </c:pt>
                <c:pt idx="19">
                  <c:v>Aug2020</c:v>
                </c:pt>
                <c:pt idx="20">
                  <c:v>Sep2020</c:v>
                </c:pt>
                <c:pt idx="21">
                  <c:v>Oct2020</c:v>
                </c:pt>
                <c:pt idx="22">
                  <c:v>Nov2020</c:v>
                </c:pt>
                <c:pt idx="23">
                  <c:v>Dec2020</c:v>
                </c:pt>
                <c:pt idx="24">
                  <c:v>Jan2021</c:v>
                </c:pt>
                <c:pt idx="25">
                  <c:v>Feb2021</c:v>
                </c:pt>
                <c:pt idx="26">
                  <c:v>Mar2021</c:v>
                </c:pt>
                <c:pt idx="27">
                  <c:v>Apr2021</c:v>
                </c:pt>
                <c:pt idx="28">
                  <c:v>May2021</c:v>
                </c:pt>
                <c:pt idx="29">
                  <c:v>Jun2021</c:v>
                </c:pt>
                <c:pt idx="30">
                  <c:v>Jul2021</c:v>
                </c:pt>
                <c:pt idx="31">
                  <c:v>Aug2021</c:v>
                </c:pt>
                <c:pt idx="32">
                  <c:v>Sep2021</c:v>
                </c:pt>
                <c:pt idx="33">
                  <c:v>Oct2021</c:v>
                </c:pt>
                <c:pt idx="34">
                  <c:v>Nov2021</c:v>
                </c:pt>
                <c:pt idx="35">
                  <c:v>Dec2021</c:v>
                </c:pt>
              </c:strCache>
            </c:strRef>
          </c:cat>
          <c:val>
            <c:numRef>
              <c:f>'Monthly Data Output'!$D$76:$AM$76</c:f>
              <c:numCache>
                <c:formatCode>#,##0</c:formatCode>
                <c:ptCount val="3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numCache>
            </c:numRef>
          </c:val>
          <c:extLst>
            <c:ext xmlns:c16="http://schemas.microsoft.com/office/drawing/2014/chart" uri="{C3380CC4-5D6E-409C-BE32-E72D297353CC}">
              <c16:uniqueId val="{00000001-943A-42F0-9C02-70D4AF99AEDA}"/>
            </c:ext>
          </c:extLst>
        </c:ser>
        <c:ser>
          <c:idx val="2"/>
          <c:order val="2"/>
          <c:tx>
            <c:strRef>
              <c:f>'Monthly Data Output'!$C$77</c:f>
              <c:strCache>
                <c:ptCount val="1"/>
                <c:pt idx="0">
                  <c:v>DIU</c:v>
                </c:pt>
              </c:strCache>
            </c:strRef>
          </c:tx>
          <c:spPr>
            <a:solidFill>
              <a:schemeClr val="tx2"/>
            </a:solidFill>
            <a:ln>
              <a:solidFill>
                <a:schemeClr val="bg1"/>
              </a:solidFill>
            </a:ln>
            <a:effectLst/>
          </c:spPr>
          <c:cat>
            <c:strRef>
              <c:f>'Monthly Data Output'!$D$74:$AM$74</c:f>
              <c:strCache>
                <c:ptCount val="36"/>
                <c:pt idx="0">
                  <c:v>Jan2019</c:v>
                </c:pt>
                <c:pt idx="1">
                  <c:v>Feb2019</c:v>
                </c:pt>
                <c:pt idx="2">
                  <c:v>Mar2019</c:v>
                </c:pt>
                <c:pt idx="3">
                  <c:v>Apr2019</c:v>
                </c:pt>
                <c:pt idx="4">
                  <c:v>May2019</c:v>
                </c:pt>
                <c:pt idx="5">
                  <c:v>Jun2019</c:v>
                </c:pt>
                <c:pt idx="6">
                  <c:v>Jul2019</c:v>
                </c:pt>
                <c:pt idx="7">
                  <c:v>Aug2019</c:v>
                </c:pt>
                <c:pt idx="8">
                  <c:v>Sep2019</c:v>
                </c:pt>
                <c:pt idx="9">
                  <c:v>Oct2019</c:v>
                </c:pt>
                <c:pt idx="10">
                  <c:v>Nov2019</c:v>
                </c:pt>
                <c:pt idx="11">
                  <c:v>Dec2019</c:v>
                </c:pt>
                <c:pt idx="12">
                  <c:v>Jan2020</c:v>
                </c:pt>
                <c:pt idx="13">
                  <c:v>Feb2020</c:v>
                </c:pt>
                <c:pt idx="14">
                  <c:v>Mar2020</c:v>
                </c:pt>
                <c:pt idx="15">
                  <c:v>Apr2020</c:v>
                </c:pt>
                <c:pt idx="16">
                  <c:v>May2020</c:v>
                </c:pt>
                <c:pt idx="17">
                  <c:v>Jun2020</c:v>
                </c:pt>
                <c:pt idx="18">
                  <c:v>Jul2020</c:v>
                </c:pt>
                <c:pt idx="19">
                  <c:v>Aug2020</c:v>
                </c:pt>
                <c:pt idx="20">
                  <c:v>Sep2020</c:v>
                </c:pt>
                <c:pt idx="21">
                  <c:v>Oct2020</c:v>
                </c:pt>
                <c:pt idx="22">
                  <c:v>Nov2020</c:v>
                </c:pt>
                <c:pt idx="23">
                  <c:v>Dec2020</c:v>
                </c:pt>
                <c:pt idx="24">
                  <c:v>Jan2021</c:v>
                </c:pt>
                <c:pt idx="25">
                  <c:v>Feb2021</c:v>
                </c:pt>
                <c:pt idx="26">
                  <c:v>Mar2021</c:v>
                </c:pt>
                <c:pt idx="27">
                  <c:v>Apr2021</c:v>
                </c:pt>
                <c:pt idx="28">
                  <c:v>May2021</c:v>
                </c:pt>
                <c:pt idx="29">
                  <c:v>Jun2021</c:v>
                </c:pt>
                <c:pt idx="30">
                  <c:v>Jul2021</c:v>
                </c:pt>
                <c:pt idx="31">
                  <c:v>Aug2021</c:v>
                </c:pt>
                <c:pt idx="32">
                  <c:v>Sep2021</c:v>
                </c:pt>
                <c:pt idx="33">
                  <c:v>Oct2021</c:v>
                </c:pt>
                <c:pt idx="34">
                  <c:v>Nov2021</c:v>
                </c:pt>
                <c:pt idx="35">
                  <c:v>Dec2021</c:v>
                </c:pt>
              </c:strCache>
            </c:strRef>
          </c:cat>
          <c:val>
            <c:numRef>
              <c:f>'Monthly Data Output'!$D$77:$AM$77</c:f>
              <c:numCache>
                <c:formatCode>#,##0</c:formatCode>
                <c:ptCount val="3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numCache>
            </c:numRef>
          </c:val>
          <c:extLst>
            <c:ext xmlns:c16="http://schemas.microsoft.com/office/drawing/2014/chart" uri="{C3380CC4-5D6E-409C-BE32-E72D297353CC}">
              <c16:uniqueId val="{00000002-943A-42F0-9C02-70D4AF99AEDA}"/>
            </c:ext>
          </c:extLst>
        </c:ser>
        <c:ser>
          <c:idx val="3"/>
          <c:order val="3"/>
          <c:tx>
            <c:strRef>
              <c:f>'Monthly Data Output'!$C$78</c:f>
              <c:strCache>
                <c:ptCount val="1"/>
                <c:pt idx="0">
                  <c:v>Implant</c:v>
                </c:pt>
              </c:strCache>
            </c:strRef>
          </c:tx>
          <c:spPr>
            <a:solidFill>
              <a:schemeClr val="accent1"/>
            </a:solidFill>
            <a:ln>
              <a:solidFill>
                <a:schemeClr val="bg1"/>
              </a:solidFill>
            </a:ln>
            <a:effectLst/>
          </c:spPr>
          <c:cat>
            <c:strRef>
              <c:f>'Monthly Data Output'!$D$74:$AM$74</c:f>
              <c:strCache>
                <c:ptCount val="36"/>
                <c:pt idx="0">
                  <c:v>Jan2019</c:v>
                </c:pt>
                <c:pt idx="1">
                  <c:v>Feb2019</c:v>
                </c:pt>
                <c:pt idx="2">
                  <c:v>Mar2019</c:v>
                </c:pt>
                <c:pt idx="3">
                  <c:v>Apr2019</c:v>
                </c:pt>
                <c:pt idx="4">
                  <c:v>May2019</c:v>
                </c:pt>
                <c:pt idx="5">
                  <c:v>Jun2019</c:v>
                </c:pt>
                <c:pt idx="6">
                  <c:v>Jul2019</c:v>
                </c:pt>
                <c:pt idx="7">
                  <c:v>Aug2019</c:v>
                </c:pt>
                <c:pt idx="8">
                  <c:v>Sep2019</c:v>
                </c:pt>
                <c:pt idx="9">
                  <c:v>Oct2019</c:v>
                </c:pt>
                <c:pt idx="10">
                  <c:v>Nov2019</c:v>
                </c:pt>
                <c:pt idx="11">
                  <c:v>Dec2019</c:v>
                </c:pt>
                <c:pt idx="12">
                  <c:v>Jan2020</c:v>
                </c:pt>
                <c:pt idx="13">
                  <c:v>Feb2020</c:v>
                </c:pt>
                <c:pt idx="14">
                  <c:v>Mar2020</c:v>
                </c:pt>
                <c:pt idx="15">
                  <c:v>Apr2020</c:v>
                </c:pt>
                <c:pt idx="16">
                  <c:v>May2020</c:v>
                </c:pt>
                <c:pt idx="17">
                  <c:v>Jun2020</c:v>
                </c:pt>
                <c:pt idx="18">
                  <c:v>Jul2020</c:v>
                </c:pt>
                <c:pt idx="19">
                  <c:v>Aug2020</c:v>
                </c:pt>
                <c:pt idx="20">
                  <c:v>Sep2020</c:v>
                </c:pt>
                <c:pt idx="21">
                  <c:v>Oct2020</c:v>
                </c:pt>
                <c:pt idx="22">
                  <c:v>Nov2020</c:v>
                </c:pt>
                <c:pt idx="23">
                  <c:v>Dec2020</c:v>
                </c:pt>
                <c:pt idx="24">
                  <c:v>Jan2021</c:v>
                </c:pt>
                <c:pt idx="25">
                  <c:v>Feb2021</c:v>
                </c:pt>
                <c:pt idx="26">
                  <c:v>Mar2021</c:v>
                </c:pt>
                <c:pt idx="27">
                  <c:v>Apr2021</c:v>
                </c:pt>
                <c:pt idx="28">
                  <c:v>May2021</c:v>
                </c:pt>
                <c:pt idx="29">
                  <c:v>Jun2021</c:v>
                </c:pt>
                <c:pt idx="30">
                  <c:v>Jul2021</c:v>
                </c:pt>
                <c:pt idx="31">
                  <c:v>Aug2021</c:v>
                </c:pt>
                <c:pt idx="32">
                  <c:v>Sep2021</c:v>
                </c:pt>
                <c:pt idx="33">
                  <c:v>Oct2021</c:v>
                </c:pt>
                <c:pt idx="34">
                  <c:v>Nov2021</c:v>
                </c:pt>
                <c:pt idx="35">
                  <c:v>Dec2021</c:v>
                </c:pt>
              </c:strCache>
            </c:strRef>
          </c:cat>
          <c:val>
            <c:numRef>
              <c:f>'Monthly Data Output'!$D$78:$AM$78</c:f>
              <c:numCache>
                <c:formatCode>#,##0</c:formatCode>
                <c:ptCount val="3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numCache>
            </c:numRef>
          </c:val>
          <c:extLst>
            <c:ext xmlns:c16="http://schemas.microsoft.com/office/drawing/2014/chart" uri="{C3380CC4-5D6E-409C-BE32-E72D297353CC}">
              <c16:uniqueId val="{00000003-943A-42F0-9C02-70D4AF99AEDA}"/>
            </c:ext>
          </c:extLst>
        </c:ser>
        <c:ser>
          <c:idx val="4"/>
          <c:order val="4"/>
          <c:tx>
            <c:strRef>
              <c:f>'Monthly Data Output'!$C$79</c:f>
              <c:strCache>
                <c:ptCount val="1"/>
                <c:pt idx="0">
                  <c:v>Produits injectables</c:v>
                </c:pt>
              </c:strCache>
            </c:strRef>
          </c:tx>
          <c:spPr>
            <a:solidFill>
              <a:schemeClr val="bg2"/>
            </a:solidFill>
            <a:ln>
              <a:solidFill>
                <a:schemeClr val="bg1"/>
              </a:solidFill>
            </a:ln>
            <a:effectLst/>
          </c:spPr>
          <c:cat>
            <c:strRef>
              <c:f>'Monthly Data Output'!$D$74:$AM$74</c:f>
              <c:strCache>
                <c:ptCount val="36"/>
                <c:pt idx="0">
                  <c:v>Jan2019</c:v>
                </c:pt>
                <c:pt idx="1">
                  <c:v>Feb2019</c:v>
                </c:pt>
                <c:pt idx="2">
                  <c:v>Mar2019</c:v>
                </c:pt>
                <c:pt idx="3">
                  <c:v>Apr2019</c:v>
                </c:pt>
                <c:pt idx="4">
                  <c:v>May2019</c:v>
                </c:pt>
                <c:pt idx="5">
                  <c:v>Jun2019</c:v>
                </c:pt>
                <c:pt idx="6">
                  <c:v>Jul2019</c:v>
                </c:pt>
                <c:pt idx="7">
                  <c:v>Aug2019</c:v>
                </c:pt>
                <c:pt idx="8">
                  <c:v>Sep2019</c:v>
                </c:pt>
                <c:pt idx="9">
                  <c:v>Oct2019</c:v>
                </c:pt>
                <c:pt idx="10">
                  <c:v>Nov2019</c:v>
                </c:pt>
                <c:pt idx="11">
                  <c:v>Dec2019</c:v>
                </c:pt>
                <c:pt idx="12">
                  <c:v>Jan2020</c:v>
                </c:pt>
                <c:pt idx="13">
                  <c:v>Feb2020</c:v>
                </c:pt>
                <c:pt idx="14">
                  <c:v>Mar2020</c:v>
                </c:pt>
                <c:pt idx="15">
                  <c:v>Apr2020</c:v>
                </c:pt>
                <c:pt idx="16">
                  <c:v>May2020</c:v>
                </c:pt>
                <c:pt idx="17">
                  <c:v>Jun2020</c:v>
                </c:pt>
                <c:pt idx="18">
                  <c:v>Jul2020</c:v>
                </c:pt>
                <c:pt idx="19">
                  <c:v>Aug2020</c:v>
                </c:pt>
                <c:pt idx="20">
                  <c:v>Sep2020</c:v>
                </c:pt>
                <c:pt idx="21">
                  <c:v>Oct2020</c:v>
                </c:pt>
                <c:pt idx="22">
                  <c:v>Nov2020</c:v>
                </c:pt>
                <c:pt idx="23">
                  <c:v>Dec2020</c:v>
                </c:pt>
                <c:pt idx="24">
                  <c:v>Jan2021</c:v>
                </c:pt>
                <c:pt idx="25">
                  <c:v>Feb2021</c:v>
                </c:pt>
                <c:pt idx="26">
                  <c:v>Mar2021</c:v>
                </c:pt>
                <c:pt idx="27">
                  <c:v>Apr2021</c:v>
                </c:pt>
                <c:pt idx="28">
                  <c:v>May2021</c:v>
                </c:pt>
                <c:pt idx="29">
                  <c:v>Jun2021</c:v>
                </c:pt>
                <c:pt idx="30">
                  <c:v>Jul2021</c:v>
                </c:pt>
                <c:pt idx="31">
                  <c:v>Aug2021</c:v>
                </c:pt>
                <c:pt idx="32">
                  <c:v>Sep2021</c:v>
                </c:pt>
                <c:pt idx="33">
                  <c:v>Oct2021</c:v>
                </c:pt>
                <c:pt idx="34">
                  <c:v>Nov2021</c:v>
                </c:pt>
                <c:pt idx="35">
                  <c:v>Dec2021</c:v>
                </c:pt>
              </c:strCache>
            </c:strRef>
          </c:cat>
          <c:val>
            <c:numRef>
              <c:f>'Monthly Data Output'!$D$79:$AM$79</c:f>
              <c:numCache>
                <c:formatCode>#,##0</c:formatCode>
                <c:ptCount val="3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numCache>
            </c:numRef>
          </c:val>
          <c:extLst>
            <c:ext xmlns:c16="http://schemas.microsoft.com/office/drawing/2014/chart" uri="{C3380CC4-5D6E-409C-BE32-E72D297353CC}">
              <c16:uniqueId val="{00000004-943A-42F0-9C02-70D4AF99AEDA}"/>
            </c:ext>
          </c:extLst>
        </c:ser>
        <c:ser>
          <c:idx val="5"/>
          <c:order val="5"/>
          <c:tx>
            <c:strRef>
              <c:f>'Monthly Data Output'!$C$80</c:f>
              <c:strCache>
                <c:ptCount val="1"/>
                <c:pt idx="0">
                  <c:v>Pilule</c:v>
                </c:pt>
              </c:strCache>
            </c:strRef>
          </c:tx>
          <c:spPr>
            <a:solidFill>
              <a:schemeClr val="accent2"/>
            </a:solidFill>
            <a:ln>
              <a:solidFill>
                <a:schemeClr val="bg1"/>
              </a:solidFill>
            </a:ln>
            <a:effectLst/>
          </c:spPr>
          <c:cat>
            <c:strRef>
              <c:f>'Monthly Data Output'!$D$74:$AM$74</c:f>
              <c:strCache>
                <c:ptCount val="36"/>
                <c:pt idx="0">
                  <c:v>Jan2019</c:v>
                </c:pt>
                <c:pt idx="1">
                  <c:v>Feb2019</c:v>
                </c:pt>
                <c:pt idx="2">
                  <c:v>Mar2019</c:v>
                </c:pt>
                <c:pt idx="3">
                  <c:v>Apr2019</c:v>
                </c:pt>
                <c:pt idx="4">
                  <c:v>May2019</c:v>
                </c:pt>
                <c:pt idx="5">
                  <c:v>Jun2019</c:v>
                </c:pt>
                <c:pt idx="6">
                  <c:v>Jul2019</c:v>
                </c:pt>
                <c:pt idx="7">
                  <c:v>Aug2019</c:v>
                </c:pt>
                <c:pt idx="8">
                  <c:v>Sep2019</c:v>
                </c:pt>
                <c:pt idx="9">
                  <c:v>Oct2019</c:v>
                </c:pt>
                <c:pt idx="10">
                  <c:v>Nov2019</c:v>
                </c:pt>
                <c:pt idx="11">
                  <c:v>Dec2019</c:v>
                </c:pt>
                <c:pt idx="12">
                  <c:v>Jan2020</c:v>
                </c:pt>
                <c:pt idx="13">
                  <c:v>Feb2020</c:v>
                </c:pt>
                <c:pt idx="14">
                  <c:v>Mar2020</c:v>
                </c:pt>
                <c:pt idx="15">
                  <c:v>Apr2020</c:v>
                </c:pt>
                <c:pt idx="16">
                  <c:v>May2020</c:v>
                </c:pt>
                <c:pt idx="17">
                  <c:v>Jun2020</c:v>
                </c:pt>
                <c:pt idx="18">
                  <c:v>Jul2020</c:v>
                </c:pt>
                <c:pt idx="19">
                  <c:v>Aug2020</c:v>
                </c:pt>
                <c:pt idx="20">
                  <c:v>Sep2020</c:v>
                </c:pt>
                <c:pt idx="21">
                  <c:v>Oct2020</c:v>
                </c:pt>
                <c:pt idx="22">
                  <c:v>Nov2020</c:v>
                </c:pt>
                <c:pt idx="23">
                  <c:v>Dec2020</c:v>
                </c:pt>
                <c:pt idx="24">
                  <c:v>Jan2021</c:v>
                </c:pt>
                <c:pt idx="25">
                  <c:v>Feb2021</c:v>
                </c:pt>
                <c:pt idx="26">
                  <c:v>Mar2021</c:v>
                </c:pt>
                <c:pt idx="27">
                  <c:v>Apr2021</c:v>
                </c:pt>
                <c:pt idx="28">
                  <c:v>May2021</c:v>
                </c:pt>
                <c:pt idx="29">
                  <c:v>Jun2021</c:v>
                </c:pt>
                <c:pt idx="30">
                  <c:v>Jul2021</c:v>
                </c:pt>
                <c:pt idx="31">
                  <c:v>Aug2021</c:v>
                </c:pt>
                <c:pt idx="32">
                  <c:v>Sep2021</c:v>
                </c:pt>
                <c:pt idx="33">
                  <c:v>Oct2021</c:v>
                </c:pt>
                <c:pt idx="34">
                  <c:v>Nov2021</c:v>
                </c:pt>
                <c:pt idx="35">
                  <c:v>Dec2021</c:v>
                </c:pt>
              </c:strCache>
            </c:strRef>
          </c:cat>
          <c:val>
            <c:numRef>
              <c:f>'Monthly Data Output'!$D$80:$AM$80</c:f>
              <c:numCache>
                <c:formatCode>#,##0</c:formatCode>
                <c:ptCount val="3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numCache>
            </c:numRef>
          </c:val>
          <c:extLst>
            <c:ext xmlns:c16="http://schemas.microsoft.com/office/drawing/2014/chart" uri="{C3380CC4-5D6E-409C-BE32-E72D297353CC}">
              <c16:uniqueId val="{00000005-943A-42F0-9C02-70D4AF99AEDA}"/>
            </c:ext>
          </c:extLst>
        </c:ser>
        <c:ser>
          <c:idx val="6"/>
          <c:order val="6"/>
          <c:tx>
            <c:strRef>
              <c:f>'Monthly Data Output'!$C$81</c:f>
              <c:strCache>
                <c:ptCount val="1"/>
                <c:pt idx="0">
                  <c:v>Préservatifs (M+F)</c:v>
                </c:pt>
              </c:strCache>
            </c:strRef>
          </c:tx>
          <c:spPr>
            <a:solidFill>
              <a:schemeClr val="accent5"/>
            </a:solidFill>
            <a:ln>
              <a:solidFill>
                <a:schemeClr val="bg1"/>
              </a:solidFill>
            </a:ln>
            <a:effectLst/>
          </c:spPr>
          <c:cat>
            <c:strRef>
              <c:f>'Monthly Data Output'!$D$74:$AM$74</c:f>
              <c:strCache>
                <c:ptCount val="36"/>
                <c:pt idx="0">
                  <c:v>Jan2019</c:v>
                </c:pt>
                <c:pt idx="1">
                  <c:v>Feb2019</c:v>
                </c:pt>
                <c:pt idx="2">
                  <c:v>Mar2019</c:v>
                </c:pt>
                <c:pt idx="3">
                  <c:v>Apr2019</c:v>
                </c:pt>
                <c:pt idx="4">
                  <c:v>May2019</c:v>
                </c:pt>
                <c:pt idx="5">
                  <c:v>Jun2019</c:v>
                </c:pt>
                <c:pt idx="6">
                  <c:v>Jul2019</c:v>
                </c:pt>
                <c:pt idx="7">
                  <c:v>Aug2019</c:v>
                </c:pt>
                <c:pt idx="8">
                  <c:v>Sep2019</c:v>
                </c:pt>
                <c:pt idx="9">
                  <c:v>Oct2019</c:v>
                </c:pt>
                <c:pt idx="10">
                  <c:v>Nov2019</c:v>
                </c:pt>
                <c:pt idx="11">
                  <c:v>Dec2019</c:v>
                </c:pt>
                <c:pt idx="12">
                  <c:v>Jan2020</c:v>
                </c:pt>
                <c:pt idx="13">
                  <c:v>Feb2020</c:v>
                </c:pt>
                <c:pt idx="14">
                  <c:v>Mar2020</c:v>
                </c:pt>
                <c:pt idx="15">
                  <c:v>Apr2020</c:v>
                </c:pt>
                <c:pt idx="16">
                  <c:v>May2020</c:v>
                </c:pt>
                <c:pt idx="17">
                  <c:v>Jun2020</c:v>
                </c:pt>
                <c:pt idx="18">
                  <c:v>Jul2020</c:v>
                </c:pt>
                <c:pt idx="19">
                  <c:v>Aug2020</c:v>
                </c:pt>
                <c:pt idx="20">
                  <c:v>Sep2020</c:v>
                </c:pt>
                <c:pt idx="21">
                  <c:v>Oct2020</c:v>
                </c:pt>
                <c:pt idx="22">
                  <c:v>Nov2020</c:v>
                </c:pt>
                <c:pt idx="23">
                  <c:v>Dec2020</c:v>
                </c:pt>
                <c:pt idx="24">
                  <c:v>Jan2021</c:v>
                </c:pt>
                <c:pt idx="25">
                  <c:v>Feb2021</c:v>
                </c:pt>
                <c:pt idx="26">
                  <c:v>Mar2021</c:v>
                </c:pt>
                <c:pt idx="27">
                  <c:v>Apr2021</c:v>
                </c:pt>
                <c:pt idx="28">
                  <c:v>May2021</c:v>
                </c:pt>
                <c:pt idx="29">
                  <c:v>Jun2021</c:v>
                </c:pt>
                <c:pt idx="30">
                  <c:v>Jul2021</c:v>
                </c:pt>
                <c:pt idx="31">
                  <c:v>Aug2021</c:v>
                </c:pt>
                <c:pt idx="32">
                  <c:v>Sep2021</c:v>
                </c:pt>
                <c:pt idx="33">
                  <c:v>Oct2021</c:v>
                </c:pt>
                <c:pt idx="34">
                  <c:v>Nov2021</c:v>
                </c:pt>
                <c:pt idx="35">
                  <c:v>Dec2021</c:v>
                </c:pt>
              </c:strCache>
            </c:strRef>
          </c:cat>
          <c:val>
            <c:numRef>
              <c:f>'Monthly Data Output'!$D$81:$AM$81</c:f>
              <c:numCache>
                <c:formatCode>#,##0</c:formatCode>
                <c:ptCount val="3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numCache>
            </c:numRef>
          </c:val>
          <c:extLst>
            <c:ext xmlns:c16="http://schemas.microsoft.com/office/drawing/2014/chart" uri="{C3380CC4-5D6E-409C-BE32-E72D297353CC}">
              <c16:uniqueId val="{00000006-943A-42F0-9C02-70D4AF99AEDA}"/>
            </c:ext>
          </c:extLst>
        </c:ser>
        <c:ser>
          <c:idx val="7"/>
          <c:order val="7"/>
          <c:tx>
            <c:strRef>
              <c:f>'Monthly Data Output'!$C$82</c:f>
              <c:strCache>
                <c:ptCount val="1"/>
                <c:pt idx="0">
                  <c:v>Autres Méthodes Modernes</c:v>
                </c:pt>
              </c:strCache>
            </c:strRef>
          </c:tx>
          <c:spPr>
            <a:solidFill>
              <a:schemeClr val="accent4"/>
            </a:solidFill>
            <a:ln>
              <a:noFill/>
            </a:ln>
            <a:effectLst/>
          </c:spPr>
          <c:cat>
            <c:strRef>
              <c:f>'Monthly Data Output'!$D$74:$AM$74</c:f>
              <c:strCache>
                <c:ptCount val="36"/>
                <c:pt idx="0">
                  <c:v>Jan2019</c:v>
                </c:pt>
                <c:pt idx="1">
                  <c:v>Feb2019</c:v>
                </c:pt>
                <c:pt idx="2">
                  <c:v>Mar2019</c:v>
                </c:pt>
                <c:pt idx="3">
                  <c:v>Apr2019</c:v>
                </c:pt>
                <c:pt idx="4">
                  <c:v>May2019</c:v>
                </c:pt>
                <c:pt idx="5">
                  <c:v>Jun2019</c:v>
                </c:pt>
                <c:pt idx="6">
                  <c:v>Jul2019</c:v>
                </c:pt>
                <c:pt idx="7">
                  <c:v>Aug2019</c:v>
                </c:pt>
                <c:pt idx="8">
                  <c:v>Sep2019</c:v>
                </c:pt>
                <c:pt idx="9">
                  <c:v>Oct2019</c:v>
                </c:pt>
                <c:pt idx="10">
                  <c:v>Nov2019</c:v>
                </c:pt>
                <c:pt idx="11">
                  <c:v>Dec2019</c:v>
                </c:pt>
                <c:pt idx="12">
                  <c:v>Jan2020</c:v>
                </c:pt>
                <c:pt idx="13">
                  <c:v>Feb2020</c:v>
                </c:pt>
                <c:pt idx="14">
                  <c:v>Mar2020</c:v>
                </c:pt>
                <c:pt idx="15">
                  <c:v>Apr2020</c:v>
                </c:pt>
                <c:pt idx="16">
                  <c:v>May2020</c:v>
                </c:pt>
                <c:pt idx="17">
                  <c:v>Jun2020</c:v>
                </c:pt>
                <c:pt idx="18">
                  <c:v>Jul2020</c:v>
                </c:pt>
                <c:pt idx="19">
                  <c:v>Aug2020</c:v>
                </c:pt>
                <c:pt idx="20">
                  <c:v>Sep2020</c:v>
                </c:pt>
                <c:pt idx="21">
                  <c:v>Oct2020</c:v>
                </c:pt>
                <c:pt idx="22">
                  <c:v>Nov2020</c:v>
                </c:pt>
                <c:pt idx="23">
                  <c:v>Dec2020</c:v>
                </c:pt>
                <c:pt idx="24">
                  <c:v>Jan2021</c:v>
                </c:pt>
                <c:pt idx="25">
                  <c:v>Feb2021</c:v>
                </c:pt>
                <c:pt idx="26">
                  <c:v>Mar2021</c:v>
                </c:pt>
                <c:pt idx="27">
                  <c:v>Apr2021</c:v>
                </c:pt>
                <c:pt idx="28">
                  <c:v>May2021</c:v>
                </c:pt>
                <c:pt idx="29">
                  <c:v>Jun2021</c:v>
                </c:pt>
                <c:pt idx="30">
                  <c:v>Jul2021</c:v>
                </c:pt>
                <c:pt idx="31">
                  <c:v>Aug2021</c:v>
                </c:pt>
                <c:pt idx="32">
                  <c:v>Sep2021</c:v>
                </c:pt>
                <c:pt idx="33">
                  <c:v>Oct2021</c:v>
                </c:pt>
                <c:pt idx="34">
                  <c:v>Nov2021</c:v>
                </c:pt>
                <c:pt idx="35">
                  <c:v>Dec2021</c:v>
                </c:pt>
              </c:strCache>
            </c:strRef>
          </c:cat>
          <c:val>
            <c:numRef>
              <c:f>'Monthly Data Output'!$D$82:$AM$82</c:f>
              <c:numCache>
                <c:formatCode>#,##0</c:formatCode>
                <c:ptCount val="3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numCache>
            </c:numRef>
          </c:val>
          <c:extLst>
            <c:ext xmlns:c16="http://schemas.microsoft.com/office/drawing/2014/chart" uri="{C3380CC4-5D6E-409C-BE32-E72D297353CC}">
              <c16:uniqueId val="{00000007-943A-42F0-9C02-70D4AF99AEDA}"/>
            </c:ext>
          </c:extLst>
        </c:ser>
        <c:dLbls>
          <c:showLegendKey val="0"/>
          <c:showVal val="0"/>
          <c:showCatName val="0"/>
          <c:showSerName val="0"/>
          <c:showPercent val="0"/>
          <c:showBubbleSize val="0"/>
        </c:dLbls>
        <c:axId val="517670511"/>
        <c:axId val="517661775"/>
      </c:areaChart>
      <c:catAx>
        <c:axId val="5176705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7661775"/>
        <c:crosses val="autoZero"/>
        <c:auto val="1"/>
        <c:lblAlgn val="ctr"/>
        <c:lblOffset val="100"/>
        <c:noMultiLvlLbl val="0"/>
      </c:catAx>
      <c:valAx>
        <c:axId val="51766177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7670511"/>
        <c:crosses val="autoZero"/>
        <c:crossBetween val="midCat"/>
      </c:valAx>
      <c:spPr>
        <a:noFill/>
        <a:ln>
          <a:noFill/>
        </a:ln>
        <a:effectLst/>
      </c:spPr>
    </c:plotArea>
    <c:legend>
      <c:legendPos val="b"/>
      <c:layout>
        <c:manualLayout>
          <c:xMode val="edge"/>
          <c:yMode val="edge"/>
          <c:x val="0.1215255905511811"/>
          <c:y val="9.1070454602666634E-2"/>
          <c:w val="0.75820609311141118"/>
          <c:h val="5.736595832500203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extLst/>
  </c:chart>
  <c:spPr>
    <a:solidFill>
      <a:schemeClr val="bg1"/>
    </a:solidFill>
    <a:ln w="9525" cap="flat" cmpd="sng" algn="ctr">
      <a:solidFill>
        <a:schemeClr val="bg1"/>
      </a:solidFill>
      <a:round/>
    </a:ln>
    <a:effectLst/>
  </c:spPr>
  <c:txPr>
    <a:bodyPr/>
    <a:lstStyle/>
    <a:p>
      <a:pPr>
        <a:defRPr/>
      </a:pPr>
      <a:endParaRPr lang="en-US"/>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'Monthly Data Output'!$AV$118</c:f>
          <c:strCache>
            <c:ptCount val="1"/>
            <c:pt idx="0">
              <c:v>Tendance des CAP totaux</c:v>
            </c:pt>
          </c:strCache>
        </c:strRef>
      </c:tx>
      <c:overlay val="0"/>
      <c:txPr>
        <a:bodyPr/>
        <a:lstStyle/>
        <a:p>
          <a:pPr>
            <a:defRPr sz="1400">
              <a:solidFill>
                <a:schemeClr val="tx2"/>
              </a:solidFill>
            </a:defRPr>
          </a:pPr>
          <a:endParaRPr lang="en-US"/>
        </a:p>
      </c:txPr>
    </c:title>
    <c:autoTitleDeleted val="0"/>
    <c:plotArea>
      <c:layout>
        <c:manualLayout>
          <c:layoutTarget val="inner"/>
          <c:xMode val="edge"/>
          <c:yMode val="edge"/>
          <c:x val="0.24453132265405497"/>
          <c:y val="9.2068296150481191E-2"/>
          <c:w val="0.73106849406751884"/>
          <c:h val="0.8034222545752453"/>
        </c:manualLayout>
      </c:layout>
      <c:barChart>
        <c:barDir val="col"/>
        <c:grouping val="clustered"/>
        <c:varyColors val="0"/>
        <c:ser>
          <c:idx val="3"/>
          <c:order val="1"/>
          <c:tx>
            <c:strRef>
              <c:f>'Monthly Data Output'!$C$101</c:f>
              <c:strCache>
                <c:ptCount val="1"/>
                <c:pt idx="0">
                  <c:v>Période de comparaison mensuelle</c:v>
                </c:pt>
              </c:strCache>
            </c:strRef>
          </c:tx>
          <c:spPr>
            <a:solidFill>
              <a:schemeClr val="accent3">
                <a:alpha val="50000"/>
              </a:schemeClr>
            </a:solidFill>
          </c:spPr>
          <c:invertIfNegative val="0"/>
          <c:cat>
            <c:numRef>
              <c:extLst>
                <c:ext xmlns:c15="http://schemas.microsoft.com/office/drawing/2012/chart" uri="{02D57815-91ED-43cb-92C2-25804820EDAC}">
                  <c15:fullRef>
                    <c15:sqref>'Monthly Data Output'!$D$88:$S$88</c15:sqref>
                  </c15:fullRef>
                </c:ext>
              </c:extLst>
              <c:f>'Monthly Data Output'!$M$88:$S$88</c:f>
              <c:numCache>
                <c:formatCode>General</c:formatCode>
                <c:ptCount val="7"/>
                <c:pt idx="0">
                  <c:v>#N/A</c:v>
                </c:pt>
                <c:pt idx="1">
                  <c:v>#N/A</c:v>
                </c:pt>
                <c:pt idx="2">
                  <c:v>#N/A</c:v>
                </c:pt>
                <c:pt idx="3">
                  <c:v>#N/A</c:v>
                </c:pt>
                <c:pt idx="4">
                  <c:v>#N/A</c:v>
                </c:pt>
                <c:pt idx="5">
                  <c:v>#N/A</c:v>
                </c:pt>
                <c:pt idx="6">
                  <c:v>#N/A</c:v>
                </c:pt>
              </c:numCache>
            </c:numRef>
          </c:cat>
          <c:val>
            <c:numRef>
              <c:extLst>
                <c:ext xmlns:c15="http://schemas.microsoft.com/office/drawing/2012/chart" uri="{02D57815-91ED-43cb-92C2-25804820EDAC}">
                  <c15:fullRef>
                    <c15:sqref>'Monthly Data Output'!$D$101:$S$101</c15:sqref>
                  </c15:fullRef>
                </c:ext>
              </c:extLst>
              <c:f>'Monthly Data Output'!$M$101:$S$101</c:f>
              <c:numCache>
                <c:formatCode>#,##0</c:formatCode>
                <c:ptCount val="7"/>
                <c:pt idx="5">
                  <c:v>1</c:v>
                </c:pt>
                <c:pt idx="6">
                  <c:v>1</c:v>
                </c:pt>
              </c:numCache>
            </c:numRef>
          </c:val>
          <c:extLst>
            <c:ext xmlns:c16="http://schemas.microsoft.com/office/drawing/2014/chart" uri="{C3380CC4-5D6E-409C-BE32-E72D297353CC}">
              <c16:uniqueId val="{00000000-9AE8-4830-9807-4EDD44BC3AB7}"/>
            </c:ext>
          </c:extLst>
        </c:ser>
        <c:dLbls>
          <c:showLegendKey val="0"/>
          <c:showVal val="0"/>
          <c:showCatName val="0"/>
          <c:showSerName val="0"/>
          <c:showPercent val="0"/>
          <c:showBubbleSize val="0"/>
        </c:dLbls>
        <c:gapWidth val="0"/>
        <c:axId val="596244271"/>
        <c:axId val="596249263"/>
      </c:barChart>
      <c:lineChart>
        <c:grouping val="standard"/>
        <c:varyColors val="0"/>
        <c:ser>
          <c:idx val="2"/>
          <c:order val="0"/>
          <c:tx>
            <c:strRef>
              <c:f>'Monthly Data Output'!$C$100</c:f>
              <c:strCache>
                <c:ptCount val="1"/>
                <c:pt idx="0">
                  <c:v>Total</c:v>
                </c:pt>
              </c:strCache>
            </c:strRef>
          </c:tx>
          <c:spPr>
            <a:ln>
              <a:solidFill>
                <a:schemeClr val="accent1"/>
              </a:solidFill>
            </a:ln>
          </c:spPr>
          <c:marker>
            <c:symbol val="none"/>
          </c:marker>
          <c:trendline>
            <c:spPr>
              <a:ln w="19050">
                <a:solidFill>
                  <a:schemeClr val="accent1"/>
                </a:solidFill>
                <a:prstDash val="sysDot"/>
              </a:ln>
            </c:spPr>
            <c:trendlineType val="linear"/>
            <c:dispRSqr val="0"/>
            <c:dispEq val="0"/>
          </c:trendline>
          <c:cat>
            <c:numRef>
              <c:extLst>
                <c:ext xmlns:c15="http://schemas.microsoft.com/office/drawing/2012/chart" uri="{02D57815-91ED-43cb-92C2-25804820EDAC}">
                  <c15:fullRef>
                    <c15:sqref>'Monthly Data Output'!$D$88:$S$88</c15:sqref>
                  </c15:fullRef>
                </c:ext>
              </c:extLst>
              <c:f>'Monthly Data Output'!$M$88:$S$88</c:f>
              <c:numCache>
                <c:formatCode>General</c:formatCode>
                <c:ptCount val="7"/>
                <c:pt idx="0">
                  <c:v>#N/A</c:v>
                </c:pt>
                <c:pt idx="1">
                  <c:v>#N/A</c:v>
                </c:pt>
                <c:pt idx="2">
                  <c:v>#N/A</c:v>
                </c:pt>
                <c:pt idx="3">
                  <c:v>#N/A</c:v>
                </c:pt>
                <c:pt idx="4">
                  <c:v>#N/A</c:v>
                </c:pt>
                <c:pt idx="5">
                  <c:v>#N/A</c:v>
                </c:pt>
                <c:pt idx="6">
                  <c:v>#N/A</c:v>
                </c:pt>
              </c:numCache>
            </c:numRef>
          </c:cat>
          <c:val>
            <c:numRef>
              <c:extLst>
                <c:ext xmlns:c15="http://schemas.microsoft.com/office/drawing/2012/chart" uri="{02D57815-91ED-43cb-92C2-25804820EDAC}">
                  <c15:fullRef>
                    <c15:sqref>'Monthly Data Output'!$D$100:$S$100</c15:sqref>
                  </c15:fullRef>
                </c:ext>
              </c:extLst>
              <c:f>'Monthly Data Output'!$M$100:$S$100</c:f>
              <c:numCache>
                <c:formatCode>#,##0</c:formatCode>
                <c:ptCount val="7"/>
                <c:pt idx="0">
                  <c:v>#N/A</c:v>
                </c:pt>
                <c:pt idx="1">
                  <c:v>#N/A</c:v>
                </c:pt>
                <c:pt idx="2">
                  <c:v>#N/A</c:v>
                </c:pt>
                <c:pt idx="3">
                  <c:v>#N/A</c:v>
                </c:pt>
                <c:pt idx="4">
                  <c:v>#N/A</c:v>
                </c:pt>
                <c:pt idx="5">
                  <c:v>#N/A</c:v>
                </c:pt>
                <c:pt idx="6">
                  <c:v>#N/A</c:v>
                </c:pt>
              </c:numCache>
            </c:numRef>
          </c:val>
          <c:smooth val="1"/>
          <c:extLst>
            <c:ext xmlns:c16="http://schemas.microsoft.com/office/drawing/2014/chart" uri="{C3380CC4-5D6E-409C-BE32-E72D297353CC}">
              <c16:uniqueId val="{00000002-9AE8-4830-9807-4EDD44BC3AB7}"/>
            </c:ext>
          </c:extLst>
        </c:ser>
        <c:dLbls>
          <c:showLegendKey val="0"/>
          <c:showVal val="0"/>
          <c:showCatName val="0"/>
          <c:showSerName val="0"/>
          <c:showPercent val="0"/>
          <c:showBubbleSize val="0"/>
        </c:dLbls>
        <c:marker val="1"/>
        <c:smooth val="0"/>
        <c:axId val="1068113584"/>
        <c:axId val="1068127688"/>
      </c:lineChart>
      <c:catAx>
        <c:axId val="1068113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068127688"/>
        <c:crosses val="autoZero"/>
        <c:auto val="1"/>
        <c:lblAlgn val="ctr"/>
        <c:lblOffset val="100"/>
        <c:noMultiLvlLbl val="0"/>
      </c:catAx>
      <c:valAx>
        <c:axId val="1068127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068113584"/>
        <c:crosses val="autoZero"/>
        <c:crossBetween val="between"/>
      </c:valAx>
      <c:valAx>
        <c:axId val="596249263"/>
        <c:scaling>
          <c:orientation val="minMax"/>
          <c:max val="1"/>
        </c:scaling>
        <c:delete val="0"/>
        <c:axPos val="r"/>
        <c:numFmt formatCode="#,##0" sourceLinked="1"/>
        <c:majorTickMark val="out"/>
        <c:minorTickMark val="none"/>
        <c:tickLblPos val="nextTo"/>
        <c:spPr>
          <a:ln>
            <a:noFill/>
          </a:ln>
        </c:spPr>
        <c:txPr>
          <a:bodyPr/>
          <a:lstStyle/>
          <a:p>
            <a:pPr>
              <a:defRPr>
                <a:solidFill>
                  <a:schemeClr val="bg1"/>
                </a:solidFill>
              </a:defRPr>
            </a:pPr>
            <a:endParaRPr lang="en-US"/>
          </a:p>
        </c:txPr>
        <c:crossAx val="596244271"/>
        <c:crosses val="max"/>
        <c:crossBetween val="between"/>
      </c:valAx>
      <c:catAx>
        <c:axId val="596244271"/>
        <c:scaling>
          <c:orientation val="minMax"/>
        </c:scaling>
        <c:delete val="1"/>
        <c:axPos val="b"/>
        <c:numFmt formatCode="General" sourceLinked="1"/>
        <c:majorTickMark val="out"/>
        <c:minorTickMark val="none"/>
        <c:tickLblPos val="nextTo"/>
        <c:crossAx val="596249263"/>
        <c:crosses val="autoZero"/>
        <c:auto val="1"/>
        <c:lblAlgn val="ctr"/>
        <c:lblOffset val="100"/>
        <c:noMultiLvlLbl val="0"/>
      </c:catAx>
    </c:plotArea>
    <c:legend>
      <c:legendPos val="b"/>
      <c:layout>
        <c:manualLayout>
          <c:xMode val="edge"/>
          <c:yMode val="edge"/>
          <c:x val="2.9422880405531966E-3"/>
          <c:y val="0"/>
          <c:w val="0.16324571591528694"/>
          <c:h val="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extLst/>
  </c:chart>
  <c:spPr>
    <a:solidFill>
      <a:schemeClr val="bg1"/>
    </a:solidFill>
    <a:ln w="2857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'Monthly Data Output'!$AV$118</c:f>
          <c:strCache>
            <c:ptCount val="1"/>
            <c:pt idx="0">
              <c:v>Tendance des CAP totaux</c:v>
            </c:pt>
          </c:strCache>
        </c:strRef>
      </c:tx>
      <c:overlay val="0"/>
      <c:txPr>
        <a:bodyPr/>
        <a:lstStyle/>
        <a:p>
          <a:pPr>
            <a:defRPr sz="1400">
              <a:solidFill>
                <a:schemeClr val="tx2"/>
              </a:solidFill>
            </a:defRPr>
          </a:pPr>
          <a:endParaRPr lang="en-US"/>
        </a:p>
      </c:txPr>
    </c:title>
    <c:autoTitleDeleted val="0"/>
    <c:plotArea>
      <c:layout>
        <c:manualLayout>
          <c:layoutTarget val="inner"/>
          <c:xMode val="edge"/>
          <c:yMode val="edge"/>
          <c:x val="0.19283418693912374"/>
          <c:y val="9.0520193525801901E-2"/>
          <c:w val="0.79817981835681662"/>
          <c:h val="0.68921242621206025"/>
        </c:manualLayout>
      </c:layout>
      <c:lineChart>
        <c:grouping val="standard"/>
        <c:varyColors val="0"/>
        <c:ser>
          <c:idx val="2"/>
          <c:order val="0"/>
          <c:tx>
            <c:strRef>
              <c:f>'Monthly Data Output'!$C$86</c:f>
              <c:strCache>
                <c:ptCount val="1"/>
                <c:pt idx="0">
                  <c:v>Total</c:v>
                </c:pt>
              </c:strCache>
            </c:strRef>
          </c:tx>
          <c:spPr>
            <a:ln>
              <a:solidFill>
                <a:schemeClr val="accent1"/>
              </a:solidFill>
            </a:ln>
          </c:spPr>
          <c:marker>
            <c:symbol val="none"/>
          </c:marker>
          <c:trendline>
            <c:spPr>
              <a:ln w="19050">
                <a:solidFill>
                  <a:schemeClr val="accent1"/>
                </a:solidFill>
                <a:prstDash val="sysDot"/>
              </a:ln>
            </c:spPr>
            <c:trendlineType val="linear"/>
            <c:dispRSqr val="0"/>
            <c:dispEq val="0"/>
          </c:trendline>
          <c:cat>
            <c:strRef>
              <c:f>'Monthly Data Output'!$D$74:$AN$74</c:f>
              <c:strCache>
                <c:ptCount val="36"/>
                <c:pt idx="0">
                  <c:v>Jan2019</c:v>
                </c:pt>
                <c:pt idx="1">
                  <c:v>Feb2019</c:v>
                </c:pt>
                <c:pt idx="2">
                  <c:v>Mar2019</c:v>
                </c:pt>
                <c:pt idx="3">
                  <c:v>Apr2019</c:v>
                </c:pt>
                <c:pt idx="4">
                  <c:v>May2019</c:v>
                </c:pt>
                <c:pt idx="5">
                  <c:v>Jun2019</c:v>
                </c:pt>
                <c:pt idx="6">
                  <c:v>Jul2019</c:v>
                </c:pt>
                <c:pt idx="7">
                  <c:v>Aug2019</c:v>
                </c:pt>
                <c:pt idx="8">
                  <c:v>Sep2019</c:v>
                </c:pt>
                <c:pt idx="9">
                  <c:v>Oct2019</c:v>
                </c:pt>
                <c:pt idx="10">
                  <c:v>Nov2019</c:v>
                </c:pt>
                <c:pt idx="11">
                  <c:v>Dec2019</c:v>
                </c:pt>
                <c:pt idx="12">
                  <c:v>Jan2020</c:v>
                </c:pt>
                <c:pt idx="13">
                  <c:v>Feb2020</c:v>
                </c:pt>
                <c:pt idx="14">
                  <c:v>Mar2020</c:v>
                </c:pt>
                <c:pt idx="15">
                  <c:v>Apr2020</c:v>
                </c:pt>
                <c:pt idx="16">
                  <c:v>May2020</c:v>
                </c:pt>
                <c:pt idx="17">
                  <c:v>Jun2020</c:v>
                </c:pt>
                <c:pt idx="18">
                  <c:v>Jul2020</c:v>
                </c:pt>
                <c:pt idx="19">
                  <c:v>Aug2020</c:v>
                </c:pt>
                <c:pt idx="20">
                  <c:v>Sep2020</c:v>
                </c:pt>
                <c:pt idx="21">
                  <c:v>Oct2020</c:v>
                </c:pt>
                <c:pt idx="22">
                  <c:v>Nov2020</c:v>
                </c:pt>
                <c:pt idx="23">
                  <c:v>Dec2020</c:v>
                </c:pt>
                <c:pt idx="24">
                  <c:v>Jan2021</c:v>
                </c:pt>
                <c:pt idx="25">
                  <c:v>Feb2021</c:v>
                </c:pt>
                <c:pt idx="26">
                  <c:v>Mar2021</c:v>
                </c:pt>
                <c:pt idx="27">
                  <c:v>Apr2021</c:v>
                </c:pt>
                <c:pt idx="28">
                  <c:v>May2021</c:v>
                </c:pt>
                <c:pt idx="29">
                  <c:v>Jun2021</c:v>
                </c:pt>
                <c:pt idx="30">
                  <c:v>Jul2021</c:v>
                </c:pt>
                <c:pt idx="31">
                  <c:v>Aug2021</c:v>
                </c:pt>
                <c:pt idx="32">
                  <c:v>Sep2021</c:v>
                </c:pt>
                <c:pt idx="33">
                  <c:v>Oct2021</c:v>
                </c:pt>
                <c:pt idx="34">
                  <c:v>Nov2021</c:v>
                </c:pt>
                <c:pt idx="35">
                  <c:v>Dec2021</c:v>
                </c:pt>
              </c:strCache>
            </c:strRef>
          </c:cat>
          <c:val>
            <c:numRef>
              <c:f>'Monthly Data Output'!$D$86:$AN$86</c:f>
              <c:numCache>
                <c:formatCode>#,##0</c:formatCode>
                <c:ptCount val="3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numCache>
            </c:numRef>
          </c:val>
          <c:smooth val="1"/>
          <c:extLst>
            <c:ext xmlns:c16="http://schemas.microsoft.com/office/drawing/2014/chart" uri="{C3380CC4-5D6E-409C-BE32-E72D297353CC}">
              <c16:uniqueId val="{00000001-E3F3-4084-91B7-22711311F5AF}"/>
            </c:ext>
          </c:extLst>
        </c:ser>
        <c:dLbls>
          <c:showLegendKey val="0"/>
          <c:showVal val="0"/>
          <c:showCatName val="0"/>
          <c:showSerName val="0"/>
          <c:showPercent val="0"/>
          <c:showBubbleSize val="0"/>
        </c:dLbls>
        <c:smooth val="0"/>
        <c:axId val="1068113584"/>
        <c:axId val="1068127688"/>
      </c:lineChart>
      <c:catAx>
        <c:axId val="1068113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068127688"/>
        <c:crosses val="autoZero"/>
        <c:auto val="1"/>
        <c:lblAlgn val="ctr"/>
        <c:lblOffset val="100"/>
        <c:noMultiLvlLbl val="0"/>
      </c:catAx>
      <c:valAx>
        <c:axId val="1068127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068113584"/>
        <c:crosses val="autoZero"/>
        <c:crossBetween val="between"/>
      </c:valAx>
    </c:plotArea>
    <c:legend>
      <c:legendPos val="b"/>
      <c:layout>
        <c:manualLayout>
          <c:xMode val="edge"/>
          <c:yMode val="edge"/>
          <c:x val="2.9422880405531966E-3"/>
          <c:y val="7.9518768905898846E-2"/>
          <c:w val="0.15241448984213063"/>
          <c:h val="0.9131444519652774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extLst/>
  </c:chart>
  <c:spPr>
    <a:solidFill>
      <a:schemeClr val="bg1"/>
    </a:solidFill>
    <a:ln w="2857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'Commodities (Clients) Input'!$C$46</c:f>
              <c:strCache>
                <c:ptCount val="1"/>
                <c:pt idx="0">
                  <c:v>CU</c:v>
                </c:pt>
              </c:strCache>
            </c:strRef>
          </c:tx>
          <c:spPr>
            <a:solidFill>
              <a:schemeClr val="accent1"/>
            </a:solidFill>
            <a:ln>
              <a:noFill/>
            </a:ln>
            <a:effectLst/>
          </c:spPr>
          <c:invertIfNegative val="0"/>
          <c:cat>
            <c:numRef>
              <c:f>[0]!Year_C2C</c:f>
              <c:numCache>
                <c:formatCode>General</c:formatCode>
                <c:ptCount val="1"/>
                <c:pt idx="0">
                  <c:v>0</c:v>
                </c:pt>
              </c:numCache>
            </c:numRef>
          </c:cat>
          <c:val>
            <c:numRef>
              <c:f>'Commodities (Clients) Input'!EC</c:f>
              <c:numCache>
                <c:formatCode>#,##0</c:formatCode>
                <c:ptCount val="1"/>
              </c:numCache>
            </c:numRef>
          </c:val>
          <c:extLst>
            <c:ext xmlns:c16="http://schemas.microsoft.com/office/drawing/2014/chart" uri="{C3380CC4-5D6E-409C-BE32-E72D297353CC}">
              <c16:uniqueId val="{00000000-7CB5-4FAF-A684-B5699424DB58}"/>
            </c:ext>
          </c:extLst>
        </c:ser>
        <c:dLbls>
          <c:showLegendKey val="0"/>
          <c:showVal val="0"/>
          <c:showCatName val="0"/>
          <c:showSerName val="0"/>
          <c:showPercent val="0"/>
          <c:showBubbleSize val="0"/>
        </c:dLbls>
        <c:gapWidth val="50"/>
        <c:axId val="320856328"/>
        <c:axId val="320863544"/>
      </c:barChart>
      <c:catAx>
        <c:axId val="320856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863544"/>
        <c:crosses val="autoZero"/>
        <c:auto val="1"/>
        <c:lblAlgn val="ctr"/>
        <c:lblOffset val="100"/>
        <c:noMultiLvlLbl val="0"/>
      </c:catAx>
      <c:valAx>
        <c:axId val="32086354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856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'Commodities (Clients) Input'!$B$47</c:f>
              <c:strCache>
                <c:ptCount val="1"/>
                <c:pt idx="0">
                  <c:v>CAP Totale</c:v>
                </c:pt>
              </c:strCache>
            </c:strRef>
          </c:tx>
          <c:spPr>
            <a:solidFill>
              <a:schemeClr val="accent6"/>
            </a:solidFill>
            <a:ln>
              <a:noFill/>
            </a:ln>
            <a:effectLst/>
          </c:spPr>
          <c:invertIfNegative val="0"/>
          <c:cat>
            <c:numRef>
              <c:f>[0]!Year_C2C</c:f>
              <c:numCache>
                <c:formatCode>General</c:formatCode>
                <c:ptCount val="1"/>
                <c:pt idx="0">
                  <c:v>0</c:v>
                </c:pt>
              </c:numCache>
            </c:numRef>
          </c:cat>
          <c:val>
            <c:numRef>
              <c:f>'Commodities (Clients) Input'!CYP_C2C</c:f>
              <c:numCache>
                <c:formatCode>#,##0_);\(#,##0\)</c:formatCode>
                <c:ptCount val="1"/>
                <c:pt idx="0">
                  <c:v>0</c:v>
                </c:pt>
              </c:numCache>
            </c:numRef>
          </c:val>
          <c:extLst>
            <c:ext xmlns:c16="http://schemas.microsoft.com/office/drawing/2014/chart" uri="{C3380CC4-5D6E-409C-BE32-E72D297353CC}">
              <c16:uniqueId val="{00000000-AB5C-4AAA-BD81-AA430ED3688F}"/>
            </c:ext>
          </c:extLst>
        </c:ser>
        <c:dLbls>
          <c:showLegendKey val="0"/>
          <c:showVal val="0"/>
          <c:showCatName val="0"/>
          <c:showSerName val="0"/>
          <c:showPercent val="0"/>
          <c:showBubbleSize val="0"/>
        </c:dLbls>
        <c:gapWidth val="50"/>
        <c:axId val="320856328"/>
        <c:axId val="320863544"/>
      </c:barChart>
      <c:catAx>
        <c:axId val="320856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863544"/>
        <c:crosses val="autoZero"/>
        <c:auto val="1"/>
        <c:lblAlgn val="ctr"/>
        <c:lblOffset val="100"/>
        <c:noMultiLvlLbl val="0"/>
      </c:catAx>
      <c:valAx>
        <c:axId val="32086354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856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solidFill>
                  <a:schemeClr val="tx2"/>
                </a:solidFill>
              </a:defRPr>
            </a:pPr>
            <a:r>
              <a:rPr lang="en-US"/>
              <a:t>Chart Title</a:t>
            </a:r>
          </a:p>
        </c:rich>
      </c:tx>
      <c:overlay val="0"/>
    </c:title>
    <c:autoTitleDeleted val="0"/>
    <c:plotArea>
      <c:layout>
        <c:manualLayout>
          <c:layoutTarget val="inner"/>
          <c:xMode val="edge"/>
          <c:yMode val="edge"/>
          <c:x val="0.12996719254257022"/>
          <c:y val="0.11331524945421288"/>
          <c:w val="0.82725017416986912"/>
          <c:h val="0.77754159098601972"/>
        </c:manualLayout>
      </c:layout>
      <c:barChart>
        <c:barDir val="col"/>
        <c:grouping val="clustered"/>
        <c:varyColors val="0"/>
        <c:ser>
          <c:idx val="3"/>
          <c:order val="3"/>
          <c:tx>
            <c:strRef>
              <c:f>'Commodities (Clients) Input'!$D$234</c:f>
              <c:strCache>
                <c:ptCount val="1"/>
              </c:strCache>
            </c:strRef>
          </c:tx>
          <c:spPr>
            <a:solidFill>
              <a:schemeClr val="accent4">
                <a:lumMod val="20000"/>
                <a:lumOff val="80000"/>
                <a:alpha val="50000"/>
              </a:schemeClr>
            </a:solidFill>
          </c:spPr>
          <c:invertIfNegative val="0"/>
          <c:cat>
            <c:strRef>
              <c:f>'Commodities (Clients) Input'!$G$221:$M$221</c:f>
              <c:strCache>
                <c:ptCount val="1"/>
                <c:pt idx="0">
                  <c:v>0</c:v>
                </c:pt>
              </c:strCache>
            </c:strRef>
          </c:cat>
          <c:val>
            <c:numRef>
              <c:f>'Commodities (Clients) Input'!$G$234:$M$234</c:f>
              <c:numCache>
                <c:formatCode>General</c:formatCode>
                <c:ptCount val="7"/>
                <c:pt idx="5">
                  <c:v>1</c:v>
                </c:pt>
                <c:pt idx="6">
                  <c:v>1</c:v>
                </c:pt>
              </c:numCache>
            </c:numRef>
          </c:val>
          <c:extLst>
            <c:ext xmlns:c16="http://schemas.microsoft.com/office/drawing/2014/chart" uri="{C3380CC4-5D6E-409C-BE32-E72D297353CC}">
              <c16:uniqueId val="{00000004-8C72-4277-BB3D-B76E48537287}"/>
            </c:ext>
          </c:extLst>
        </c:ser>
        <c:dLbls>
          <c:showLegendKey val="0"/>
          <c:showVal val="0"/>
          <c:showCatName val="0"/>
          <c:showSerName val="0"/>
          <c:showPercent val="0"/>
          <c:showBubbleSize val="0"/>
        </c:dLbls>
        <c:gapWidth val="0"/>
        <c:axId val="641748623"/>
        <c:axId val="641747791"/>
      </c:barChart>
      <c:lineChart>
        <c:grouping val="standard"/>
        <c:varyColors val="0"/>
        <c:ser>
          <c:idx val="0"/>
          <c:order val="0"/>
          <c:tx>
            <c:strRef>
              <c:f>'Commodities (Clients) Input'!$D$231</c:f>
              <c:strCache>
                <c:ptCount val="1"/>
                <c:pt idx="0">
                  <c:v>PMs</c:v>
                </c:pt>
              </c:strCache>
            </c:strRef>
          </c:tx>
          <c:marker>
            <c:symbol val="none"/>
          </c:marker>
          <c:trendline>
            <c:spPr>
              <a:ln>
                <a:solidFill>
                  <a:schemeClr val="accent1"/>
                </a:solidFill>
                <a:prstDash val="sysDot"/>
              </a:ln>
            </c:spPr>
            <c:trendlineType val="linear"/>
            <c:dispRSqr val="0"/>
            <c:dispEq val="0"/>
          </c:trendline>
          <c:cat>
            <c:strRef>
              <c:f>'Commodities (Clients) Input'!$G$221:$M$221</c:f>
              <c:strCache>
                <c:ptCount val="1"/>
                <c:pt idx="0">
                  <c:v>0</c:v>
                </c:pt>
              </c:strCache>
            </c:strRef>
          </c:cat>
          <c:val>
            <c:numRef>
              <c:f>'Commodities (Clients) Input'!$G$231:$M$231</c:f>
              <c:numCache>
                <c:formatCode>#,##0</c:formatCode>
                <c:ptCount val="7"/>
                <c:pt idx="0">
                  <c:v>0</c:v>
                </c:pt>
                <c:pt idx="1">
                  <c:v>0</c:v>
                </c:pt>
                <c:pt idx="2">
                  <c:v>0</c:v>
                </c:pt>
                <c:pt idx="3">
                  <c:v>0</c:v>
                </c:pt>
                <c:pt idx="4">
                  <c:v>0</c:v>
                </c:pt>
                <c:pt idx="5">
                  <c:v>0</c:v>
                </c:pt>
                <c:pt idx="6">
                  <c:v>0</c:v>
                </c:pt>
              </c:numCache>
            </c:numRef>
          </c:val>
          <c:smooth val="1"/>
          <c:extLst>
            <c:ext xmlns:c16="http://schemas.microsoft.com/office/drawing/2014/chart" uri="{C3380CC4-5D6E-409C-BE32-E72D297353CC}">
              <c16:uniqueId val="{00000000-8C72-4277-BB3D-B76E48537287}"/>
            </c:ext>
          </c:extLst>
        </c:ser>
        <c:ser>
          <c:idx val="1"/>
          <c:order val="1"/>
          <c:tx>
            <c:strRef>
              <c:f>'Commodities (Clients) Input'!$D$232</c:f>
              <c:strCache>
                <c:ptCount val="1"/>
                <c:pt idx="0">
                  <c:v>LARCs</c:v>
                </c:pt>
              </c:strCache>
            </c:strRef>
          </c:tx>
          <c:marker>
            <c:symbol val="none"/>
          </c:marker>
          <c:trendline>
            <c:spPr>
              <a:ln>
                <a:solidFill>
                  <a:schemeClr val="accent2"/>
                </a:solidFill>
                <a:prstDash val="sysDot"/>
              </a:ln>
            </c:spPr>
            <c:trendlineType val="linear"/>
            <c:dispRSqr val="0"/>
            <c:dispEq val="0"/>
          </c:trendline>
          <c:cat>
            <c:strRef>
              <c:f>'Commodities (Clients) Input'!$G$221:$M$221</c:f>
              <c:strCache>
                <c:ptCount val="1"/>
                <c:pt idx="0">
                  <c:v>0</c:v>
                </c:pt>
              </c:strCache>
            </c:strRef>
          </c:cat>
          <c:val>
            <c:numRef>
              <c:f>'Commodities (Clients) Input'!$G$232:$M$232</c:f>
              <c:numCache>
                <c:formatCode>#,##0</c:formatCode>
                <c:ptCount val="7"/>
                <c:pt idx="0">
                  <c:v>0</c:v>
                </c:pt>
                <c:pt idx="1">
                  <c:v>0</c:v>
                </c:pt>
                <c:pt idx="2">
                  <c:v>0</c:v>
                </c:pt>
                <c:pt idx="3">
                  <c:v>0</c:v>
                </c:pt>
                <c:pt idx="4">
                  <c:v>0</c:v>
                </c:pt>
                <c:pt idx="5">
                  <c:v>0</c:v>
                </c:pt>
                <c:pt idx="6">
                  <c:v>0</c:v>
                </c:pt>
              </c:numCache>
            </c:numRef>
          </c:val>
          <c:smooth val="1"/>
          <c:extLst>
            <c:ext xmlns:c16="http://schemas.microsoft.com/office/drawing/2014/chart" uri="{C3380CC4-5D6E-409C-BE32-E72D297353CC}">
              <c16:uniqueId val="{00000001-8C72-4277-BB3D-B76E48537287}"/>
            </c:ext>
          </c:extLst>
        </c:ser>
        <c:ser>
          <c:idx val="2"/>
          <c:order val="2"/>
          <c:tx>
            <c:strRef>
              <c:f>'Commodities (Clients) Input'!$D$233</c:f>
              <c:strCache>
                <c:ptCount val="1"/>
                <c:pt idx="0">
                  <c:v>STMs</c:v>
                </c:pt>
              </c:strCache>
            </c:strRef>
          </c:tx>
          <c:marker>
            <c:symbol val="none"/>
          </c:marker>
          <c:trendline>
            <c:spPr>
              <a:ln>
                <a:solidFill>
                  <a:schemeClr val="accent3"/>
                </a:solidFill>
                <a:prstDash val="sysDot"/>
              </a:ln>
            </c:spPr>
            <c:trendlineType val="linear"/>
            <c:dispRSqr val="0"/>
            <c:dispEq val="0"/>
          </c:trendline>
          <c:cat>
            <c:strRef>
              <c:f>'Commodities (Clients) Input'!$G$221:$M$221</c:f>
              <c:strCache>
                <c:ptCount val="1"/>
                <c:pt idx="0">
                  <c:v>0</c:v>
                </c:pt>
              </c:strCache>
            </c:strRef>
          </c:cat>
          <c:val>
            <c:numRef>
              <c:f>'Commodities (Clients) Input'!$G$233:$M$233</c:f>
              <c:numCache>
                <c:formatCode>#,##0</c:formatCode>
                <c:ptCount val="7"/>
                <c:pt idx="0">
                  <c:v>0</c:v>
                </c:pt>
                <c:pt idx="1">
                  <c:v>0</c:v>
                </c:pt>
                <c:pt idx="2">
                  <c:v>0</c:v>
                </c:pt>
                <c:pt idx="3">
                  <c:v>0</c:v>
                </c:pt>
                <c:pt idx="4">
                  <c:v>0</c:v>
                </c:pt>
                <c:pt idx="5">
                  <c:v>0</c:v>
                </c:pt>
                <c:pt idx="6">
                  <c:v>0</c:v>
                </c:pt>
              </c:numCache>
            </c:numRef>
          </c:val>
          <c:smooth val="1"/>
          <c:extLst>
            <c:ext xmlns:c16="http://schemas.microsoft.com/office/drawing/2014/chart" uri="{C3380CC4-5D6E-409C-BE32-E72D297353CC}">
              <c16:uniqueId val="{00000002-8C72-4277-BB3D-B76E48537287}"/>
            </c:ext>
          </c:extLst>
        </c:ser>
        <c:dLbls>
          <c:showLegendKey val="0"/>
          <c:showVal val="0"/>
          <c:showCatName val="0"/>
          <c:showSerName val="0"/>
          <c:showPercent val="0"/>
          <c:showBubbleSize val="0"/>
        </c:dLbls>
        <c:marker val="1"/>
        <c:smooth val="0"/>
        <c:axId val="1068113584"/>
        <c:axId val="1068127688"/>
      </c:lineChart>
      <c:catAx>
        <c:axId val="1068113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068127688"/>
        <c:crosses val="autoZero"/>
        <c:auto val="1"/>
        <c:lblAlgn val="ctr"/>
        <c:lblOffset val="100"/>
        <c:noMultiLvlLbl val="0"/>
      </c:catAx>
      <c:valAx>
        <c:axId val="1068127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068113584"/>
        <c:crosses val="autoZero"/>
        <c:crossBetween val="between"/>
      </c:valAx>
      <c:valAx>
        <c:axId val="641747791"/>
        <c:scaling>
          <c:orientation val="minMax"/>
          <c:max val="1"/>
        </c:scaling>
        <c:delete val="0"/>
        <c:axPos val="r"/>
        <c:numFmt formatCode="General" sourceLinked="1"/>
        <c:majorTickMark val="out"/>
        <c:minorTickMark val="none"/>
        <c:tickLblPos val="nextTo"/>
        <c:spPr>
          <a:ln>
            <a:noFill/>
          </a:ln>
        </c:spPr>
        <c:txPr>
          <a:bodyPr/>
          <a:lstStyle/>
          <a:p>
            <a:pPr>
              <a:defRPr>
                <a:solidFill>
                  <a:schemeClr val="bg1"/>
                </a:solidFill>
              </a:defRPr>
            </a:pPr>
            <a:endParaRPr lang="en-US"/>
          </a:p>
        </c:txPr>
        <c:crossAx val="641748623"/>
        <c:crosses val="max"/>
        <c:crossBetween val="between"/>
      </c:valAx>
      <c:catAx>
        <c:axId val="641748623"/>
        <c:scaling>
          <c:orientation val="minMax"/>
        </c:scaling>
        <c:delete val="1"/>
        <c:axPos val="b"/>
        <c:numFmt formatCode="General" sourceLinked="1"/>
        <c:majorTickMark val="out"/>
        <c:minorTickMark val="none"/>
        <c:tickLblPos val="nextTo"/>
        <c:crossAx val="641747791"/>
        <c:crosses val="autoZero"/>
        <c:auto val="1"/>
        <c:lblAlgn val="ctr"/>
        <c:lblOffset val="100"/>
        <c:noMultiLvlLbl val="0"/>
      </c:catAx>
    </c:plotArea>
    <c:legend>
      <c:legendPos val="b"/>
      <c:layout>
        <c:manualLayout>
          <c:xMode val="edge"/>
          <c:yMode val="edge"/>
          <c:x val="0.17372606576084146"/>
          <c:y val="6.155855160233073E-2"/>
          <c:w val="0.62161506975139957"/>
          <c:h val="4.679983199966253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extLst/>
  </c:chart>
  <c:spPr>
    <a:solidFill>
      <a:schemeClr val="bg1"/>
    </a:solidFill>
    <a:ln w="2857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250728944614211"/>
          <c:y val="2.2922629207520789E-2"/>
          <c:w val="0.72480955264561098"/>
          <c:h val="0.89656780255012747"/>
        </c:manualLayout>
      </c:layout>
      <c:lineChart>
        <c:grouping val="standard"/>
        <c:varyColors val="0"/>
        <c:ser>
          <c:idx val="0"/>
          <c:order val="0"/>
          <c:tx>
            <c:strRef>
              <c:f>'Commodities (Clients) Output'!$C$7</c:f>
              <c:strCache>
                <c:ptCount val="1"/>
                <c:pt idx="0">
                  <c:v>Stérilisation (f)</c:v>
                </c:pt>
              </c:strCache>
            </c:strRef>
          </c:tx>
          <c:spPr>
            <a:ln w="38100" cap="rnd">
              <a:solidFill>
                <a:schemeClr val="accent6"/>
              </a:solidFill>
              <a:round/>
            </a:ln>
            <a:effectLst/>
          </c:spPr>
          <c:marker>
            <c:symbol val="none"/>
          </c:marker>
          <c:cat>
            <c:numRef>
              <c:f>[0]!Year_C2C</c:f>
              <c:numCache>
                <c:formatCode>General</c:formatCode>
                <c:ptCount val="1"/>
                <c:pt idx="0">
                  <c:v>0</c:v>
                </c:pt>
              </c:numCache>
            </c:numRef>
          </c:cat>
          <c:val>
            <c:numRef>
              <c:f>'Commodities (Clients) Output'!Users_Sterilization</c:f>
              <c:numCache>
                <c:formatCode>#,##0</c:formatCode>
                <c:ptCount val="1"/>
                <c:pt idx="0">
                  <c:v>#N/A</c:v>
                </c:pt>
              </c:numCache>
            </c:numRef>
          </c:val>
          <c:smooth val="0"/>
          <c:extLst>
            <c:ext xmlns:c16="http://schemas.microsoft.com/office/drawing/2014/chart" uri="{C3380CC4-5D6E-409C-BE32-E72D297353CC}">
              <c16:uniqueId val="{00000001-C969-4189-BF17-F626CAADC3B7}"/>
            </c:ext>
          </c:extLst>
        </c:ser>
        <c:ser>
          <c:idx val="8"/>
          <c:order val="1"/>
          <c:tx>
            <c:strRef>
              <c:f>'Commodities (Clients) Output'!$C$8</c:f>
              <c:strCache>
                <c:ptCount val="1"/>
                <c:pt idx="0">
                  <c:v>Stérilisation (m)</c:v>
                </c:pt>
              </c:strCache>
            </c:strRef>
          </c:tx>
          <c:spPr>
            <a:ln w="38100" cap="rnd">
              <a:solidFill>
                <a:schemeClr val="accent6">
                  <a:lumMod val="50000"/>
                </a:schemeClr>
              </a:solidFill>
              <a:round/>
            </a:ln>
            <a:effectLst/>
          </c:spPr>
          <c:marker>
            <c:symbol val="none"/>
          </c:marker>
          <c:val>
            <c:numRef>
              <c:f>[0]!Users_SterilizationM</c:f>
              <c:numCache>
                <c:formatCode>#,##0</c:formatCode>
                <c:ptCount val="1"/>
                <c:pt idx="0">
                  <c:v>#N/A</c:v>
                </c:pt>
              </c:numCache>
            </c:numRef>
          </c:val>
          <c:smooth val="0"/>
          <c:extLst>
            <c:ext xmlns:c16="http://schemas.microsoft.com/office/drawing/2014/chart" uri="{C3380CC4-5D6E-409C-BE32-E72D297353CC}">
              <c16:uniqueId val="{00000003-C969-4189-BF17-F626CAADC3B7}"/>
            </c:ext>
          </c:extLst>
        </c:ser>
        <c:ser>
          <c:idx val="1"/>
          <c:order val="2"/>
          <c:tx>
            <c:strRef>
              <c:f>'Commodities (Clients) Output'!$C$9</c:f>
              <c:strCache>
                <c:ptCount val="1"/>
                <c:pt idx="0">
                  <c:v>DIU</c:v>
                </c:pt>
              </c:strCache>
            </c:strRef>
          </c:tx>
          <c:spPr>
            <a:ln w="38100" cap="rnd">
              <a:solidFill>
                <a:schemeClr val="bg2"/>
              </a:solidFill>
              <a:round/>
            </a:ln>
            <a:effectLst/>
          </c:spPr>
          <c:marker>
            <c:symbol val="none"/>
          </c:marker>
          <c:cat>
            <c:numRef>
              <c:f>[0]!Year_C2C</c:f>
              <c:numCache>
                <c:formatCode>General</c:formatCode>
                <c:ptCount val="1"/>
                <c:pt idx="0">
                  <c:v>0</c:v>
                </c:pt>
              </c:numCache>
            </c:numRef>
          </c:cat>
          <c:val>
            <c:numRef>
              <c:f>'Commodities (Clients) Output'!Users_IUD</c:f>
              <c:numCache>
                <c:formatCode>#,##0</c:formatCode>
                <c:ptCount val="1"/>
                <c:pt idx="0">
                  <c:v>#N/A</c:v>
                </c:pt>
              </c:numCache>
            </c:numRef>
          </c:val>
          <c:smooth val="0"/>
          <c:extLst>
            <c:ext xmlns:c16="http://schemas.microsoft.com/office/drawing/2014/chart" uri="{C3380CC4-5D6E-409C-BE32-E72D297353CC}">
              <c16:uniqueId val="{00000005-C969-4189-BF17-F626CAADC3B7}"/>
            </c:ext>
          </c:extLst>
        </c:ser>
        <c:ser>
          <c:idx val="2"/>
          <c:order val="3"/>
          <c:tx>
            <c:strRef>
              <c:f>'Commodities (Clients) Output'!$C$10</c:f>
              <c:strCache>
                <c:ptCount val="1"/>
                <c:pt idx="0">
                  <c:v>Implant</c:v>
                </c:pt>
              </c:strCache>
            </c:strRef>
          </c:tx>
          <c:spPr>
            <a:ln w="38100" cap="rnd">
              <a:solidFill>
                <a:schemeClr val="accent2"/>
              </a:solidFill>
              <a:round/>
            </a:ln>
            <a:effectLst/>
          </c:spPr>
          <c:marker>
            <c:symbol val="none"/>
          </c:marker>
          <c:cat>
            <c:numRef>
              <c:f>[0]!Year_C2C</c:f>
              <c:numCache>
                <c:formatCode>General</c:formatCode>
                <c:ptCount val="1"/>
                <c:pt idx="0">
                  <c:v>0</c:v>
                </c:pt>
              </c:numCache>
            </c:numRef>
          </c:cat>
          <c:val>
            <c:numRef>
              <c:f>'Commodities (Clients) Output'!Users_Implant</c:f>
              <c:numCache>
                <c:formatCode>#,##0</c:formatCode>
                <c:ptCount val="1"/>
                <c:pt idx="0">
                  <c:v>#N/A</c:v>
                </c:pt>
              </c:numCache>
            </c:numRef>
          </c:val>
          <c:smooth val="0"/>
          <c:extLst>
            <c:ext xmlns:c16="http://schemas.microsoft.com/office/drawing/2014/chart" uri="{C3380CC4-5D6E-409C-BE32-E72D297353CC}">
              <c16:uniqueId val="{00000007-C969-4189-BF17-F626CAADC3B7}"/>
            </c:ext>
          </c:extLst>
        </c:ser>
        <c:ser>
          <c:idx val="3"/>
          <c:order val="4"/>
          <c:tx>
            <c:strRef>
              <c:f>'Commodities (Clients) Output'!$C$11</c:f>
              <c:strCache>
                <c:ptCount val="1"/>
                <c:pt idx="0">
                  <c:v>Produits injectables</c:v>
                </c:pt>
              </c:strCache>
            </c:strRef>
          </c:tx>
          <c:spPr>
            <a:ln w="38100" cap="rnd">
              <a:solidFill>
                <a:schemeClr val="tx2"/>
              </a:solidFill>
              <a:round/>
            </a:ln>
            <a:effectLst/>
          </c:spPr>
          <c:marker>
            <c:symbol val="none"/>
          </c:marker>
          <c:cat>
            <c:numRef>
              <c:f>[0]!Year_C2C</c:f>
              <c:numCache>
                <c:formatCode>General</c:formatCode>
                <c:ptCount val="1"/>
                <c:pt idx="0">
                  <c:v>0</c:v>
                </c:pt>
              </c:numCache>
            </c:numRef>
          </c:cat>
          <c:val>
            <c:numRef>
              <c:f>'Commodities (Clients) Output'!Users_Injectable</c:f>
              <c:numCache>
                <c:formatCode>#,##0</c:formatCode>
                <c:ptCount val="1"/>
                <c:pt idx="0">
                  <c:v>#N/A</c:v>
                </c:pt>
              </c:numCache>
            </c:numRef>
          </c:val>
          <c:smooth val="0"/>
          <c:extLst>
            <c:ext xmlns:c16="http://schemas.microsoft.com/office/drawing/2014/chart" uri="{C3380CC4-5D6E-409C-BE32-E72D297353CC}">
              <c16:uniqueId val="{00000009-C969-4189-BF17-F626CAADC3B7}"/>
            </c:ext>
          </c:extLst>
        </c:ser>
        <c:ser>
          <c:idx val="4"/>
          <c:order val="5"/>
          <c:tx>
            <c:strRef>
              <c:f>'Commodities (Clients) Output'!$C$12</c:f>
              <c:strCache>
                <c:ptCount val="1"/>
                <c:pt idx="0">
                  <c:v>Pilule</c:v>
                </c:pt>
              </c:strCache>
            </c:strRef>
          </c:tx>
          <c:spPr>
            <a:ln w="38100" cap="rnd">
              <a:solidFill>
                <a:schemeClr val="accent1"/>
              </a:solidFill>
              <a:round/>
            </a:ln>
            <a:effectLst/>
          </c:spPr>
          <c:marker>
            <c:symbol val="none"/>
          </c:marker>
          <c:cat>
            <c:numRef>
              <c:f>[0]!Year_C2C</c:f>
              <c:numCache>
                <c:formatCode>General</c:formatCode>
                <c:ptCount val="1"/>
                <c:pt idx="0">
                  <c:v>0</c:v>
                </c:pt>
              </c:numCache>
            </c:numRef>
          </c:cat>
          <c:val>
            <c:numRef>
              <c:f>'Commodities (Clients) Output'!Users_OC</c:f>
              <c:numCache>
                <c:formatCode>#,##0</c:formatCode>
                <c:ptCount val="1"/>
                <c:pt idx="0">
                  <c:v>#N/A</c:v>
                </c:pt>
              </c:numCache>
            </c:numRef>
          </c:val>
          <c:smooth val="0"/>
          <c:extLst>
            <c:ext xmlns:c16="http://schemas.microsoft.com/office/drawing/2014/chart" uri="{C3380CC4-5D6E-409C-BE32-E72D297353CC}">
              <c16:uniqueId val="{0000000B-C969-4189-BF17-F626CAADC3B7}"/>
            </c:ext>
          </c:extLst>
        </c:ser>
        <c:ser>
          <c:idx val="5"/>
          <c:order val="6"/>
          <c:tx>
            <c:strRef>
              <c:f>'Commodities (Clients) Output'!$C$13</c:f>
              <c:strCache>
                <c:ptCount val="1"/>
                <c:pt idx="0">
                  <c:v>Préservatifs (m+f)</c:v>
                </c:pt>
              </c:strCache>
            </c:strRef>
          </c:tx>
          <c:spPr>
            <a:ln w="38100" cap="rnd">
              <a:solidFill>
                <a:schemeClr val="accent3"/>
              </a:solidFill>
              <a:round/>
            </a:ln>
            <a:effectLst/>
          </c:spPr>
          <c:marker>
            <c:symbol val="none"/>
          </c:marker>
          <c:cat>
            <c:numRef>
              <c:f>[0]!Year_C2C</c:f>
              <c:numCache>
                <c:formatCode>General</c:formatCode>
                <c:ptCount val="1"/>
                <c:pt idx="0">
                  <c:v>0</c:v>
                </c:pt>
              </c:numCache>
            </c:numRef>
          </c:cat>
          <c:val>
            <c:numRef>
              <c:f>'Commodities (Clients) Output'!Users_Condom</c:f>
              <c:numCache>
                <c:formatCode>#,##0</c:formatCode>
                <c:ptCount val="1"/>
                <c:pt idx="0">
                  <c:v>#N/A</c:v>
                </c:pt>
              </c:numCache>
            </c:numRef>
          </c:val>
          <c:smooth val="0"/>
          <c:extLst>
            <c:ext xmlns:c16="http://schemas.microsoft.com/office/drawing/2014/chart" uri="{C3380CC4-5D6E-409C-BE32-E72D297353CC}">
              <c16:uniqueId val="{0000000D-C969-4189-BF17-F626CAADC3B7}"/>
            </c:ext>
          </c:extLst>
        </c:ser>
        <c:ser>
          <c:idx val="6"/>
          <c:order val="7"/>
          <c:tx>
            <c:strRef>
              <c:f>'Commodities (Clients) Output'!$C$14</c:f>
              <c:strCache>
                <c:ptCount val="1"/>
                <c:pt idx="0">
                  <c:v>MAMA</c:v>
                </c:pt>
              </c:strCache>
            </c:strRef>
          </c:tx>
          <c:spPr>
            <a:ln w="38100" cap="rnd">
              <a:solidFill>
                <a:schemeClr val="accent5"/>
              </a:solidFill>
              <a:round/>
            </a:ln>
            <a:effectLst/>
          </c:spPr>
          <c:marker>
            <c:symbol val="none"/>
          </c:marker>
          <c:cat>
            <c:numRef>
              <c:f>[0]!Year_C2C</c:f>
              <c:numCache>
                <c:formatCode>General</c:formatCode>
                <c:ptCount val="1"/>
                <c:pt idx="0">
                  <c:v>0</c:v>
                </c:pt>
              </c:numCache>
            </c:numRef>
          </c:cat>
          <c:val>
            <c:numRef>
              <c:f>'Commodities (Clients) Output'!Users_LAM</c:f>
              <c:numCache>
                <c:formatCode>#,##0</c:formatCode>
                <c:ptCount val="1"/>
                <c:pt idx="0">
                  <c:v>#N/A</c:v>
                </c:pt>
              </c:numCache>
            </c:numRef>
          </c:val>
          <c:smooth val="0"/>
          <c:extLst>
            <c:ext xmlns:c16="http://schemas.microsoft.com/office/drawing/2014/chart" uri="{C3380CC4-5D6E-409C-BE32-E72D297353CC}">
              <c16:uniqueId val="{0000000F-C969-4189-BF17-F626CAADC3B7}"/>
            </c:ext>
          </c:extLst>
        </c:ser>
        <c:ser>
          <c:idx val="7"/>
          <c:order val="8"/>
          <c:tx>
            <c:strRef>
              <c:f>'Commodities (Clients) Output'!$C$15</c:f>
              <c:strCache>
                <c:ptCount val="1"/>
                <c:pt idx="0">
                  <c:v>Autres méthodes modernes</c:v>
                </c:pt>
              </c:strCache>
            </c:strRef>
          </c:tx>
          <c:spPr>
            <a:ln w="38100" cap="rnd">
              <a:solidFill>
                <a:schemeClr val="accent4"/>
              </a:solidFill>
              <a:round/>
            </a:ln>
            <a:effectLst/>
          </c:spPr>
          <c:marker>
            <c:symbol val="none"/>
          </c:marker>
          <c:cat>
            <c:numRef>
              <c:f>[0]!Year_C2C</c:f>
              <c:numCache>
                <c:formatCode>General</c:formatCode>
                <c:ptCount val="1"/>
                <c:pt idx="0">
                  <c:v>0</c:v>
                </c:pt>
              </c:numCache>
            </c:numRef>
          </c:cat>
          <c:val>
            <c:numRef>
              <c:f>'Commodities (Clients) Output'!Users_OMM</c:f>
              <c:numCache>
                <c:formatCode>#,##0</c:formatCode>
                <c:ptCount val="1"/>
                <c:pt idx="0">
                  <c:v>#N/A</c:v>
                </c:pt>
              </c:numCache>
            </c:numRef>
          </c:val>
          <c:smooth val="0"/>
          <c:extLst>
            <c:ext xmlns:c16="http://schemas.microsoft.com/office/drawing/2014/chart" uri="{C3380CC4-5D6E-409C-BE32-E72D297353CC}">
              <c16:uniqueId val="{00000011-C969-4189-BF17-F626CAADC3B7}"/>
            </c:ext>
          </c:extLst>
        </c:ser>
        <c:dLbls>
          <c:showLegendKey val="0"/>
          <c:showVal val="0"/>
          <c:showCatName val="0"/>
          <c:showSerName val="0"/>
          <c:showPercent val="0"/>
          <c:showBubbleSize val="0"/>
        </c:dLbls>
        <c:smooth val="0"/>
        <c:axId val="254310568"/>
        <c:axId val="254304336"/>
      </c:lineChart>
      <c:catAx>
        <c:axId val="254310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254304336"/>
        <c:crosses val="autoZero"/>
        <c:auto val="1"/>
        <c:lblAlgn val="ctr"/>
        <c:lblOffset val="100"/>
        <c:noMultiLvlLbl val="0"/>
      </c:catAx>
      <c:valAx>
        <c:axId val="2543043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US">
                    <a:solidFill>
                      <a:schemeClr val="tx1"/>
                    </a:solidFill>
                  </a:rPr>
                  <a:t>Users / Utilisateurs</a:t>
                </a:r>
              </a:p>
            </c:rich>
          </c:tx>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254310568"/>
        <c:crosses val="autoZero"/>
        <c:crossBetween val="between"/>
      </c:valAx>
    </c:plotArea>
    <c:legend>
      <c:legendPos val="b"/>
      <c:layout>
        <c:manualLayout>
          <c:xMode val="edge"/>
          <c:yMode val="edge"/>
          <c:x val="0.81583094998234951"/>
          <c:y val="0"/>
          <c:w val="0.18416899029500675"/>
          <c:h val="0.99678862121227718"/>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788714866013981E-2"/>
          <c:y val="3.9979225693155797E-2"/>
          <c:w val="0.89553977703871079"/>
          <c:h val="0.76580816127017459"/>
        </c:manualLayout>
      </c:layout>
      <c:lineChart>
        <c:grouping val="standard"/>
        <c:varyColors val="0"/>
        <c:ser>
          <c:idx val="1"/>
          <c:order val="0"/>
          <c:tx>
            <c:strRef>
              <c:f>'Commodities (Clients) Output'!$C$33:$C$33</c:f>
              <c:strCache>
                <c:ptCount val="1"/>
                <c:pt idx="0">
                  <c:v>EUM: Produits inc. Préservatifs</c:v>
                </c:pt>
              </c:strCache>
            </c:strRef>
          </c:tx>
          <c:spPr>
            <a:ln w="28575" cap="rnd">
              <a:solidFill>
                <a:schemeClr val="accent2"/>
              </a:solidFill>
              <a:prstDash val="sysDash"/>
              <a:round/>
            </a:ln>
            <a:effectLst/>
          </c:spPr>
          <c:marker>
            <c:symbol val="circle"/>
            <c:size val="5"/>
            <c:spPr>
              <a:solidFill>
                <a:schemeClr val="accent2"/>
              </a:solidFill>
              <a:ln w="28575">
                <a:solidFill>
                  <a:schemeClr val="accent2"/>
                </a:solidFill>
                <a:prstDash val="solid"/>
              </a:ln>
              <a:effectLst/>
            </c:spPr>
          </c:marker>
          <c:cat>
            <c:numRef>
              <c:f>[0]!Year_C2C</c:f>
              <c:numCache>
                <c:formatCode>General</c:formatCode>
                <c:ptCount val="1"/>
                <c:pt idx="0">
                  <c:v>0</c:v>
                </c:pt>
              </c:numCache>
            </c:numRef>
          </c:cat>
          <c:val>
            <c:numRef>
              <c:f>'Commodities (Clients) Output'!EMU_Inc_Condoms</c:f>
              <c:numCache>
                <c:formatCode>0.0%</c:formatCode>
                <c:ptCount val="1"/>
                <c:pt idx="0">
                  <c:v>#N/A</c:v>
                </c:pt>
              </c:numCache>
            </c:numRef>
          </c:val>
          <c:smooth val="0"/>
          <c:extLst>
            <c:ext xmlns:c16="http://schemas.microsoft.com/office/drawing/2014/chart" uri="{C3380CC4-5D6E-409C-BE32-E72D297353CC}">
              <c16:uniqueId val="{00000001-6FEB-43D9-829F-609CA10910A6}"/>
            </c:ext>
          </c:extLst>
        </c:ser>
        <c:ser>
          <c:idx val="2"/>
          <c:order val="1"/>
          <c:tx>
            <c:strRef>
              <c:f>'Commodities (Clients) Output'!$C$34:$C$34</c:f>
              <c:strCache>
                <c:ptCount val="1"/>
                <c:pt idx="0">
                  <c:v>EUM: Produits ex. Préservatifs</c:v>
                </c:pt>
              </c:strCache>
            </c:strRef>
          </c:tx>
          <c:spPr>
            <a:ln w="38100" cap="rnd">
              <a:solidFill>
                <a:schemeClr val="bg2"/>
              </a:solidFill>
              <a:round/>
            </a:ln>
            <a:effectLst/>
          </c:spPr>
          <c:marker>
            <c:symbol val="circle"/>
            <c:size val="5"/>
            <c:spPr>
              <a:solidFill>
                <a:schemeClr val="bg2"/>
              </a:solidFill>
              <a:ln w="38100">
                <a:solidFill>
                  <a:schemeClr val="bg2"/>
                </a:solidFill>
              </a:ln>
              <a:effectLst/>
            </c:spPr>
          </c:marker>
          <c:cat>
            <c:numRef>
              <c:f>[0]!Year_C2C</c:f>
              <c:numCache>
                <c:formatCode>General</c:formatCode>
                <c:ptCount val="1"/>
                <c:pt idx="0">
                  <c:v>0</c:v>
                </c:pt>
              </c:numCache>
            </c:numRef>
          </c:cat>
          <c:val>
            <c:numRef>
              <c:f>'Commodities (Clients) Output'!EMU_Ex_Condoms</c:f>
              <c:numCache>
                <c:formatCode>0.0%</c:formatCode>
                <c:ptCount val="1"/>
                <c:pt idx="0">
                  <c:v>#N/A</c:v>
                </c:pt>
              </c:numCache>
            </c:numRef>
          </c:val>
          <c:smooth val="0"/>
          <c:extLst>
            <c:ext xmlns:c16="http://schemas.microsoft.com/office/drawing/2014/chart" uri="{C3380CC4-5D6E-409C-BE32-E72D297353CC}">
              <c16:uniqueId val="{00000003-6FEB-43D9-829F-609CA10910A6}"/>
            </c:ext>
          </c:extLst>
        </c:ser>
        <c:ser>
          <c:idx val="3"/>
          <c:order val="2"/>
          <c:tx>
            <c:strRef>
              <c:f>'Commodities (Clients) Output'!$C$35:$C$35</c:f>
              <c:strCache>
                <c:ptCount val="1"/>
                <c:pt idx="0">
                  <c:v>TPCm (TF): DHS</c:v>
                </c:pt>
              </c:strCache>
            </c:strRef>
          </c:tx>
          <c:spPr>
            <a:ln w="31750" cap="rnd">
              <a:solidFill>
                <a:schemeClr val="accent3"/>
              </a:solidFill>
              <a:round/>
            </a:ln>
            <a:effectLst/>
          </c:spPr>
          <c:marker>
            <c:symbol val="circle"/>
            <c:size val="10"/>
            <c:spPr>
              <a:solidFill>
                <a:schemeClr val="accent3"/>
              </a:solidFill>
              <a:ln w="12700">
                <a:solidFill>
                  <a:schemeClr val="accent3"/>
                </a:solidFill>
              </a:ln>
              <a:effectLst/>
            </c:spPr>
          </c:marker>
          <c:cat>
            <c:numRef>
              <c:f>[0]!Year_C2C</c:f>
              <c:numCache>
                <c:formatCode>General</c:formatCode>
                <c:ptCount val="1"/>
                <c:pt idx="0">
                  <c:v>0</c:v>
                </c:pt>
              </c:numCache>
            </c:numRef>
          </c:cat>
          <c:val>
            <c:numRef>
              <c:f>'Commodities (Clients) Output'!mCPR_Survey</c:f>
              <c:numCache>
                <c:formatCode>0.0%</c:formatCode>
                <c:ptCount val="1"/>
                <c:pt idx="0">
                  <c:v>#N/A</c:v>
                </c:pt>
              </c:numCache>
            </c:numRef>
          </c:val>
          <c:smooth val="0"/>
          <c:extLst>
            <c:ext xmlns:c16="http://schemas.microsoft.com/office/drawing/2014/chart" uri="{C3380CC4-5D6E-409C-BE32-E72D297353CC}">
              <c16:uniqueId val="{00000005-6FEB-43D9-829F-609CA10910A6}"/>
            </c:ext>
          </c:extLst>
        </c:ser>
        <c:ser>
          <c:idx val="5"/>
          <c:order val="3"/>
          <c:tx>
            <c:strRef>
              <c:f>'Commodities (Clients) Output'!$C$38:$C$38</c:f>
              <c:strCache>
                <c:ptCount val="1"/>
                <c:pt idx="0">
                  <c:v>TPCm (TF): FPET Global Run (2022)</c:v>
                </c:pt>
              </c:strCache>
            </c:strRef>
          </c:tx>
          <c:spPr>
            <a:ln w="28575" cap="rnd">
              <a:solidFill>
                <a:schemeClr val="accent6"/>
              </a:solidFill>
              <a:prstDash val="solid"/>
              <a:round/>
            </a:ln>
            <a:effectLst/>
          </c:spPr>
          <c:marker>
            <c:symbol val="circle"/>
            <c:size val="5"/>
            <c:spPr>
              <a:solidFill>
                <a:schemeClr val="accent6"/>
              </a:solidFill>
              <a:ln w="28575">
                <a:solidFill>
                  <a:schemeClr val="accent6"/>
                </a:solidFill>
                <a:prstDash val="solid"/>
              </a:ln>
              <a:effectLst/>
            </c:spPr>
          </c:marker>
          <c:cat>
            <c:numRef>
              <c:f>[0]!Year_C2C</c:f>
              <c:numCache>
                <c:formatCode>General</c:formatCode>
                <c:ptCount val="1"/>
                <c:pt idx="0">
                  <c:v>0</c:v>
                </c:pt>
              </c:numCache>
            </c:numRef>
          </c:cat>
          <c:val>
            <c:numRef>
              <c:f>'Commodities (Clients) Output'!mCPR_FPET</c:f>
              <c:numCache>
                <c:formatCode>0.0%</c:formatCode>
                <c:ptCount val="1"/>
                <c:pt idx="0">
                  <c:v>#N/A</c:v>
                </c:pt>
              </c:numCache>
            </c:numRef>
          </c:val>
          <c:smooth val="0"/>
          <c:extLst>
            <c:ext xmlns:c16="http://schemas.microsoft.com/office/drawing/2014/chart" uri="{C3380CC4-5D6E-409C-BE32-E72D297353CC}">
              <c16:uniqueId val="{00000007-6FEB-43D9-829F-609CA10910A6}"/>
            </c:ext>
          </c:extLst>
        </c:ser>
        <c:dLbls>
          <c:showLegendKey val="0"/>
          <c:showVal val="0"/>
          <c:showCatName val="0"/>
          <c:showSerName val="0"/>
          <c:showPercent val="0"/>
          <c:showBubbleSize val="0"/>
        </c:dLbls>
        <c:marker val="1"/>
        <c:smooth val="0"/>
        <c:axId val="637657848"/>
        <c:axId val="637662112"/>
        <c:extLst/>
      </c:lineChart>
      <c:catAx>
        <c:axId val="637657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637662112"/>
        <c:crosses val="autoZero"/>
        <c:auto val="1"/>
        <c:lblAlgn val="ctr"/>
        <c:lblOffset val="100"/>
        <c:noMultiLvlLbl val="0"/>
      </c:catAx>
      <c:valAx>
        <c:axId val="637662112"/>
        <c:scaling>
          <c:orientation val="minMax"/>
        </c:scaling>
        <c:delete val="0"/>
        <c:axPos val="l"/>
        <c:majorGridlines>
          <c:spPr>
            <a:ln w="9525" cap="flat" cmpd="sng" algn="ctr">
              <a:solidFill>
                <a:schemeClr val="tx1">
                  <a:lumMod val="15000"/>
                  <a:lumOff val="85000"/>
                </a:schemeClr>
              </a:solidFill>
              <a:round/>
            </a:ln>
            <a:effectLst/>
          </c:spPr>
        </c:majorGridlines>
        <c:title>
          <c:tx>
            <c:strRef>
              <c:f>'Commodities (Facility) Output'!$AC$94</c:f>
              <c:strCache>
                <c:ptCount val="1"/>
              </c:strCache>
            </c:strRef>
          </c:tx>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637657848"/>
        <c:crosses val="autoZero"/>
        <c:crossBetween val="between"/>
      </c:valAx>
    </c:plotArea>
    <c:legend>
      <c:legendPos val="b"/>
      <c:layout>
        <c:manualLayout>
          <c:xMode val="edge"/>
          <c:yMode val="edge"/>
          <c:x val="2.1989774555909034E-2"/>
          <c:y val="0.87973032761222947"/>
          <c:w val="0.95436472901068892"/>
          <c:h val="0.120269771799444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0"/>
    <c:dispBlanksAs val="span"/>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707025402781744"/>
          <c:y val="4.6067798476959673E-2"/>
          <c:w val="0.68024648367978635"/>
          <c:h val="0.7137445271818148"/>
        </c:manualLayout>
      </c:layout>
      <c:barChart>
        <c:barDir val="bar"/>
        <c:grouping val="clustered"/>
        <c:varyColors val="0"/>
        <c:ser>
          <c:idx val="0"/>
          <c:order val="0"/>
          <c:spPr>
            <a:solidFill>
              <a:schemeClr val="accent1"/>
            </a:solidFill>
            <a:ln>
              <a:noFill/>
            </a:ln>
            <a:effectLst/>
          </c:spPr>
          <c:invertIfNegative val="0"/>
          <c:dPt>
            <c:idx val="0"/>
            <c:invertIfNegative val="0"/>
            <c:bubble3D val="0"/>
            <c:spPr>
              <a:solidFill>
                <a:schemeClr val="accent3"/>
              </a:solidFill>
              <a:ln>
                <a:noFill/>
              </a:ln>
              <a:effectLst/>
            </c:spPr>
            <c:extLst>
              <c:ext xmlns:c16="http://schemas.microsoft.com/office/drawing/2014/chart" uri="{C3380CC4-5D6E-409C-BE32-E72D297353CC}">
                <c16:uniqueId val="{0000000F-0C66-49B6-AD7F-467EE795B1E6}"/>
              </c:ext>
            </c:extLst>
          </c:dPt>
          <c:dPt>
            <c:idx val="1"/>
            <c:invertIfNegative val="0"/>
            <c:bubble3D val="0"/>
            <c:spPr>
              <a:solidFill>
                <a:schemeClr val="accent6"/>
              </a:solidFill>
              <a:ln>
                <a:noFill/>
              </a:ln>
              <a:effectLst/>
            </c:spPr>
            <c:extLst>
              <c:ext xmlns:c16="http://schemas.microsoft.com/office/drawing/2014/chart" uri="{C3380CC4-5D6E-409C-BE32-E72D297353CC}">
                <c16:uniqueId val="{0000000D-2646-42C7-9F63-7F6C8158C3B5}"/>
              </c:ext>
            </c:extLst>
          </c:dPt>
          <c:dPt>
            <c:idx val="2"/>
            <c:invertIfNegative val="0"/>
            <c:bubble3D val="0"/>
            <c:spPr>
              <a:solidFill>
                <a:schemeClr val="accent2">
                  <a:lumMod val="60000"/>
                  <a:lumOff val="40000"/>
                </a:schemeClr>
              </a:solidFill>
              <a:ln>
                <a:noFill/>
              </a:ln>
              <a:effectLst/>
            </c:spPr>
            <c:extLst>
              <c:ext xmlns:c16="http://schemas.microsoft.com/office/drawing/2014/chart" uri="{C3380CC4-5D6E-409C-BE32-E72D297353CC}">
                <c16:uniqueId val="{0000000B-0C66-49B6-AD7F-467EE795B1E6}"/>
              </c:ext>
            </c:extLst>
          </c:dPt>
          <c:dPt>
            <c:idx val="3"/>
            <c:invertIfNegative val="0"/>
            <c:bubble3D val="0"/>
            <c:spPr>
              <a:solidFill>
                <a:schemeClr val="bg2"/>
              </a:solidFill>
              <a:ln>
                <a:noFill/>
              </a:ln>
              <a:effectLst/>
            </c:spPr>
            <c:extLst>
              <c:ext xmlns:c16="http://schemas.microsoft.com/office/drawing/2014/chart" uri="{C3380CC4-5D6E-409C-BE32-E72D297353CC}">
                <c16:uniqueId val="{00000007-C6EB-4D15-9A3A-83D5E669661D}"/>
              </c:ext>
            </c:extLst>
          </c:dPt>
          <c:dLbls>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3"/>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F-0C66-49B6-AD7F-467EE795B1E6}"/>
                </c:ext>
              </c:extLst>
            </c:dLbl>
            <c:dLbl>
              <c:idx val="1"/>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6"/>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D-2646-42C7-9F63-7F6C8158C3B5}"/>
                </c:ext>
              </c:extLst>
            </c:dLbl>
            <c:dLbl>
              <c:idx val="2"/>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2">
                          <a:lumMod val="60000"/>
                          <a:lumOff val="40000"/>
                        </a:schemeClr>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B-0C66-49B6-AD7F-467EE795B1E6}"/>
                </c:ext>
              </c:extLst>
            </c:dLbl>
            <c:dLbl>
              <c:idx val="3"/>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2"/>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7-C6EB-4D15-9A3A-83D5E669661D}"/>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'Commodities (Clients) Output'!$C$33:$C$40</c15:sqref>
                  </c15:fullRef>
                </c:ext>
              </c:extLst>
              <c:f>('Commodities (Clients) Output'!$C$36:$C$37,'Commodities (Clients) Output'!$C$39:$C$40)</c:f>
              <c:strCache>
                <c:ptCount val="4"/>
                <c:pt idx="0">
                  <c:v>TPCm (TF): DHS</c:v>
                </c:pt>
                <c:pt idx="1">
                  <c:v>TPCm (TF): FPET Global Run (2022)</c:v>
                </c:pt>
                <c:pt idx="2">
                  <c:v>EUM: Produits inc. Préservatifs</c:v>
                </c:pt>
                <c:pt idx="3">
                  <c:v>EUM: Produits ex. Préservatifs</c:v>
                </c:pt>
              </c:strCache>
            </c:strRef>
          </c:cat>
          <c:val>
            <c:numRef>
              <c:extLst>
                <c:ext xmlns:c15="http://schemas.microsoft.com/office/drawing/2012/chart" uri="{02D57815-91ED-43cb-92C2-25804820EDAC}">
                  <c15:fullRef>
                    <c15:sqref>'Commodities (Clients) Output'!$U$33:$U$40</c15:sqref>
                  </c15:fullRef>
                </c:ext>
              </c:extLst>
              <c:f>('Commodities (Clients) Output'!$U$36:$U$37,'Commodities (Clients) Output'!$U$39:$U$40)</c:f>
              <c:numCache>
                <c:formatCode>0.0%</c:formatCode>
                <c:ptCount val="4"/>
                <c:pt idx="0">
                  <c:v>#N/A</c:v>
                </c:pt>
                <c:pt idx="1">
                  <c:v>0</c:v>
                </c:pt>
                <c:pt idx="2">
                  <c:v>0</c:v>
                </c:pt>
                <c:pt idx="3">
                  <c:v>0</c:v>
                </c:pt>
              </c:numCache>
            </c:numRef>
          </c:val>
          <c:extLst>
            <c:ext xmlns:c15="http://schemas.microsoft.com/office/drawing/2012/chart" uri="{02D57815-91ED-43cb-92C2-25804820EDAC}">
              <c15:categoryFilterExceptions>
                <c15:categoryFilterException>
                  <c15:sqref>'Commodities (Clients) Output'!$U$33</c15:sqref>
                  <c15:spPr xmlns:c15="http://schemas.microsoft.com/office/drawing/2012/chart">
                    <a:solidFill>
                      <a:schemeClr val="accent2"/>
                    </a:solidFill>
                    <a:ln>
                      <a:noFill/>
                    </a:ln>
                    <a:effectLst/>
                  </c15:spPr>
                  <c15:invertIfNegative val="0"/>
                  <c15:bubble3D val="0"/>
                  <c15:dLbl>
                    <c:idx val="-1"/>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2"/>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9-07FF-4973-85A7-049229FF25EB}"/>
                      </c:ext>
                    </c:extLst>
                  </c15:dLbl>
                </c15:categoryFilterException>
                <c15:categoryFilterException>
                  <c15:sqref>'Commodities (Clients) Output'!$U$34</c15:sqref>
                  <c15:spPr xmlns:c15="http://schemas.microsoft.com/office/drawing/2012/chart">
                    <a:solidFill>
                      <a:schemeClr val="bg2"/>
                    </a:solidFill>
                    <a:ln>
                      <a:noFill/>
                    </a:ln>
                    <a:effectLst/>
                  </c15:spPr>
                  <c15:invertIfNegative val="0"/>
                  <c15:bubble3D val="0"/>
                  <c15:dLbl>
                    <c:idx val="-1"/>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2"/>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B-07FF-4973-85A7-049229FF25EB}"/>
                      </c:ext>
                    </c:extLst>
                  </c15:dLbl>
                </c15:categoryFilterException>
                <c15:categoryFilterException>
                  <c15:sqref>'Commodities (Clients) Output'!$U$35</c15:sqref>
                  <c15:spPr xmlns:c15="http://schemas.microsoft.com/office/drawing/2012/chart">
                    <a:solidFill>
                      <a:schemeClr val="accent6"/>
                    </a:solidFill>
                    <a:ln>
                      <a:noFill/>
                    </a:ln>
                    <a:effectLst/>
                  </c15:spPr>
                  <c15:invertIfNegative val="0"/>
                  <c15:bubble3D val="0"/>
                  <c15:dLbl>
                    <c:idx val="-1"/>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6"/>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D-07FF-4973-85A7-049229FF25EB}"/>
                      </c:ext>
                    </c:extLst>
                  </c15:dLbl>
                </c15:categoryFilterException>
                <c15:categoryFilterException>
                  <c15:sqref>'Commodities (Clients) Output'!$U$38</c15:sqref>
                  <c15:spPr xmlns:c15="http://schemas.microsoft.com/office/drawing/2012/chart">
                    <a:solidFill>
                      <a:schemeClr val="accent6">
                        <a:lumMod val="60000"/>
                        <a:lumOff val="40000"/>
                      </a:schemeClr>
                    </a:solidFill>
                    <a:ln>
                      <a:noFill/>
                    </a:ln>
                    <a:effectLst/>
                  </c15:spPr>
                  <c15:invertIfNegative val="0"/>
                  <c15:bubble3D val="0"/>
                  <c15:dLbl>
                    <c:idx val="1"/>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6">
                                <a:lumMod val="60000"/>
                                <a:lumOff val="40000"/>
                              </a:schemeClr>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F-07FF-4973-85A7-049229FF25EB}"/>
                      </c:ext>
                    </c:extLst>
                  </c15:dLbl>
                </c15:categoryFilterException>
              </c15:categoryFilterExceptions>
            </c:ext>
            <c:ext xmlns:c16="http://schemas.microsoft.com/office/drawing/2014/chart" uri="{C3380CC4-5D6E-409C-BE32-E72D297353CC}">
              <c16:uniqueId val="{00000000-9DD9-42F6-A5F4-B014A6605D0B}"/>
            </c:ext>
          </c:extLst>
        </c:ser>
        <c:dLbls>
          <c:showLegendKey val="0"/>
          <c:showVal val="0"/>
          <c:showCatName val="0"/>
          <c:showSerName val="0"/>
          <c:showPercent val="0"/>
          <c:showBubbleSize val="0"/>
        </c:dLbls>
        <c:gapWidth val="100"/>
        <c:axId val="607006176"/>
        <c:axId val="607006504"/>
      </c:barChart>
      <c:catAx>
        <c:axId val="6070061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crossAx val="607006504"/>
        <c:crosses val="autoZero"/>
        <c:auto val="1"/>
        <c:lblAlgn val="ctr"/>
        <c:lblOffset val="100"/>
        <c:noMultiLvlLbl val="0"/>
      </c:catAx>
      <c:valAx>
        <c:axId val="607006504"/>
        <c:scaling>
          <c:orientation val="minMax"/>
        </c:scaling>
        <c:delete val="0"/>
        <c:axPos val="b"/>
        <c:majorGridlines>
          <c:spPr>
            <a:ln w="9525" cap="flat" cmpd="sng" algn="ctr">
              <a:solidFill>
                <a:schemeClr val="tx1">
                  <a:lumMod val="15000"/>
                  <a:lumOff val="85000"/>
                </a:schemeClr>
              </a:solidFill>
              <a:round/>
            </a:ln>
            <a:effectLst/>
          </c:spPr>
        </c:majorGridlines>
        <c:title>
          <c:tx>
            <c:strRef>
              <c:f>'Commodities (Clients) Output'!$Z$95</c:f>
              <c:strCache>
                <c:ptCount val="1"/>
                <c:pt idx="0">
                  <c:v>Augmentation annuelle moyenne en points de % du TPCM / EUM </c:v>
                </c:pt>
              </c:strCache>
            </c:strRef>
          </c:tx>
          <c:layout>
            <c:manualLayout>
              <c:xMode val="edge"/>
              <c:yMode val="edge"/>
              <c:x val="0.38424997280018502"/>
              <c:y val="0.90279265091863514"/>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lumMod val="65000"/>
                      <a:lumOff val="35000"/>
                    </a:sysClr>
                  </a:solidFill>
                  <a:latin typeface="+mn-lt"/>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607006176"/>
        <c:crosses val="autoZero"/>
        <c:crossBetween val="between"/>
      </c:valAx>
      <c:spPr>
        <a:noFill/>
        <a:ln>
          <a:noFill/>
        </a:ln>
        <a:effectLst/>
      </c:spPr>
    </c:plotArea>
    <c:plotVisOnly val="0"/>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51049763147433"/>
          <c:y val="0.14956365594838533"/>
          <c:w val="0.86886807689499723"/>
          <c:h val="0.67598047747895051"/>
        </c:manualLayout>
      </c:layout>
      <c:barChart>
        <c:barDir val="col"/>
        <c:grouping val="clustered"/>
        <c:varyColors val="0"/>
        <c:ser>
          <c:idx val="0"/>
          <c:order val="0"/>
          <c:tx>
            <c:strRef>
              <c:f>'Commodities (Clients) Output'!$F$43</c:f>
              <c:strCache>
                <c:ptCount val="1"/>
                <c:pt idx="0">
                  <c:v>Utilisatrices par méthode 
(statistiques de service) : 2021</c:v>
                </c:pt>
              </c:strCache>
            </c:strRef>
          </c:tx>
          <c:spPr>
            <a:solidFill>
              <a:schemeClr val="bg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chemeClr val="bg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'Commodities (Clients) Output'!$C$45:$C$53</c:f>
              <c:strCache>
                <c:ptCount val="9"/>
                <c:pt idx="0">
                  <c:v>Stérilisation (f)</c:v>
                </c:pt>
                <c:pt idx="1">
                  <c:v>Stérilisation (m)</c:v>
                </c:pt>
                <c:pt idx="2">
                  <c:v>DIU</c:v>
                </c:pt>
                <c:pt idx="3">
                  <c:v>Implant</c:v>
                </c:pt>
                <c:pt idx="4">
                  <c:v>Produits injectables</c:v>
                </c:pt>
                <c:pt idx="5">
                  <c:v>Pilule</c:v>
                </c:pt>
                <c:pt idx="6">
                  <c:v>Préservatifs (m+f)</c:v>
                </c:pt>
                <c:pt idx="7">
                  <c:v>MAMA</c:v>
                </c:pt>
                <c:pt idx="8">
                  <c:v>Autres méthodes modernes</c:v>
                </c:pt>
              </c:strCache>
            </c:strRef>
          </c:cat>
          <c:val>
            <c:numRef>
              <c:f>'Commodities (Clients) Output'!$F$45:$F$53</c:f>
              <c:numCache>
                <c:formatCode>#,##0</c:formatCode>
                <c:ptCount val="9"/>
                <c:pt idx="0">
                  <c:v>#N/A</c:v>
                </c:pt>
                <c:pt idx="1">
                  <c:v>#N/A</c:v>
                </c:pt>
                <c:pt idx="2">
                  <c:v>#N/A</c:v>
                </c:pt>
                <c:pt idx="3">
                  <c:v>#N/A</c:v>
                </c:pt>
                <c:pt idx="4">
                  <c:v>#N/A</c:v>
                </c:pt>
                <c:pt idx="5">
                  <c:v>#N/A</c:v>
                </c:pt>
                <c:pt idx="6">
                  <c:v>#N/A</c:v>
                </c:pt>
                <c:pt idx="7">
                  <c:v>#N/A</c:v>
                </c:pt>
                <c:pt idx="8">
                  <c:v>#N/A</c:v>
                </c:pt>
              </c:numCache>
            </c:numRef>
          </c:val>
          <c:extLst>
            <c:ext xmlns:c16="http://schemas.microsoft.com/office/drawing/2014/chart" uri="{C3380CC4-5D6E-409C-BE32-E72D297353CC}">
              <c16:uniqueId val="{00000000-88F3-4B5C-8B20-1C30971A7CB0}"/>
            </c:ext>
          </c:extLst>
        </c:ser>
        <c:ser>
          <c:idx val="1"/>
          <c:order val="1"/>
          <c:tx>
            <c:strRef>
              <c:f>'Commodities (Clients) Output'!$G$43</c:f>
              <c:strCache>
                <c:ptCount val="1"/>
                <c:pt idx="0">
                  <c:v>Utilisatrices par méthode 
(enquête) : 2021</c:v>
                </c:pt>
              </c:strCache>
            </c:strRef>
          </c:tx>
          <c:spPr>
            <a:solidFill>
              <a:schemeClr val="accent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chemeClr val="accent6"/>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'Commodities (Clients) Output'!$C$45:$C$53</c:f>
              <c:strCache>
                <c:ptCount val="9"/>
                <c:pt idx="0">
                  <c:v>Stérilisation (f)</c:v>
                </c:pt>
                <c:pt idx="1">
                  <c:v>Stérilisation (m)</c:v>
                </c:pt>
                <c:pt idx="2">
                  <c:v>DIU</c:v>
                </c:pt>
                <c:pt idx="3">
                  <c:v>Implant</c:v>
                </c:pt>
                <c:pt idx="4">
                  <c:v>Produits injectables</c:v>
                </c:pt>
                <c:pt idx="5">
                  <c:v>Pilule</c:v>
                </c:pt>
                <c:pt idx="6">
                  <c:v>Préservatifs (m+f)</c:v>
                </c:pt>
                <c:pt idx="7">
                  <c:v>MAMA</c:v>
                </c:pt>
                <c:pt idx="8">
                  <c:v>Autres méthodes modernes</c:v>
                </c:pt>
              </c:strCache>
            </c:strRef>
          </c:cat>
          <c:val>
            <c:numRef>
              <c:f>'Commodities (Clients) Output'!$G$45:$G$53</c:f>
              <c:numCache>
                <c:formatCode>#,##0</c:formatCode>
                <c:ptCount val="9"/>
                <c:pt idx="0">
                  <c:v>#N/A</c:v>
                </c:pt>
                <c:pt idx="1">
                  <c:v>#N/A</c:v>
                </c:pt>
                <c:pt idx="2">
                  <c:v>#N/A</c:v>
                </c:pt>
                <c:pt idx="3">
                  <c:v>#N/A</c:v>
                </c:pt>
                <c:pt idx="4">
                  <c:v>#N/A</c:v>
                </c:pt>
                <c:pt idx="5">
                  <c:v>#N/A</c:v>
                </c:pt>
                <c:pt idx="6">
                  <c:v>#N/A</c:v>
                </c:pt>
                <c:pt idx="7">
                  <c:v>#N/A</c:v>
                </c:pt>
                <c:pt idx="8">
                  <c:v>#N/A</c:v>
                </c:pt>
              </c:numCache>
            </c:numRef>
          </c:val>
          <c:extLst>
            <c:ext xmlns:c16="http://schemas.microsoft.com/office/drawing/2014/chart" uri="{C3380CC4-5D6E-409C-BE32-E72D297353CC}">
              <c16:uniqueId val="{00000001-88F3-4B5C-8B20-1C30971A7CB0}"/>
            </c:ext>
          </c:extLst>
        </c:ser>
        <c:dLbls>
          <c:showLegendKey val="0"/>
          <c:showVal val="0"/>
          <c:showCatName val="0"/>
          <c:showSerName val="0"/>
          <c:showPercent val="0"/>
          <c:showBubbleSize val="0"/>
        </c:dLbls>
        <c:gapWidth val="75"/>
        <c:axId val="1068100792"/>
        <c:axId val="1068105712"/>
      </c:barChart>
      <c:catAx>
        <c:axId val="1068100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068105712"/>
        <c:crosses val="autoZero"/>
        <c:auto val="1"/>
        <c:lblAlgn val="ctr"/>
        <c:lblOffset val="100"/>
        <c:noMultiLvlLbl val="0"/>
      </c:catAx>
      <c:valAx>
        <c:axId val="10681057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Users / Utilisateurs</a:t>
                </a:r>
              </a:p>
            </c:rich>
          </c:tx>
          <c:layout>
            <c:manualLayout>
              <c:xMode val="edge"/>
              <c:yMode val="edge"/>
              <c:x val="8.4394682729775645E-3"/>
              <c:y val="0.2043157002557567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8100792"/>
        <c:crosses val="autoZero"/>
        <c:crossBetween val="between"/>
      </c:valAx>
      <c:spPr>
        <a:noFill/>
        <a:ln>
          <a:noFill/>
        </a:ln>
        <a:effectLst/>
      </c:spPr>
    </c:plotArea>
    <c:legend>
      <c:legendPos val="b"/>
      <c:layout>
        <c:manualLayout>
          <c:xMode val="edge"/>
          <c:yMode val="edge"/>
          <c:x val="0.10534878875294587"/>
          <c:y val="1.6582304667835251E-3"/>
          <c:w val="0.84553137166993675"/>
          <c:h val="0.15022061878749626"/>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2424876048247624"/>
          <c:y val="0.23797217665965797"/>
          <c:w val="0.74447171862786132"/>
          <c:h val="0.72213792886798422"/>
        </c:manualLayout>
      </c:layout>
      <c:pieChart>
        <c:varyColors val="1"/>
        <c:ser>
          <c:idx val="0"/>
          <c:order val="0"/>
          <c:tx>
            <c:strRef>
              <c:f>'Commodities (Clients) Output'!$D$43</c:f>
              <c:strCache>
                <c:ptCount val="1"/>
                <c:pt idx="0">
                  <c:v>Mélange Estimée de Méthodes Modernes : 2021</c:v>
                </c:pt>
              </c:strCache>
            </c:strRef>
          </c:tx>
          <c:dPt>
            <c:idx val="0"/>
            <c:bubble3D val="0"/>
            <c:spPr>
              <a:solidFill>
                <a:schemeClr val="accent6"/>
              </a:solidFill>
              <a:ln w="19050">
                <a:solidFill>
                  <a:schemeClr val="lt1"/>
                </a:solidFill>
              </a:ln>
              <a:effectLst/>
            </c:spPr>
            <c:extLst>
              <c:ext xmlns:c16="http://schemas.microsoft.com/office/drawing/2014/chart" uri="{C3380CC4-5D6E-409C-BE32-E72D297353CC}">
                <c16:uniqueId val="{00000001-9DFE-46A8-8BEC-C7FA65E7935C}"/>
              </c:ext>
            </c:extLst>
          </c:dPt>
          <c:dPt>
            <c:idx val="1"/>
            <c:bubble3D val="0"/>
            <c:spPr>
              <a:solidFill>
                <a:schemeClr val="accent6">
                  <a:lumMod val="50000"/>
                </a:schemeClr>
              </a:solidFill>
              <a:ln>
                <a:solidFill>
                  <a:schemeClr val="bg1"/>
                </a:solidFill>
              </a:ln>
            </c:spPr>
            <c:extLst>
              <c:ext xmlns:c16="http://schemas.microsoft.com/office/drawing/2014/chart" uri="{C3380CC4-5D6E-409C-BE32-E72D297353CC}">
                <c16:uniqueId val="{00000003-9DFE-46A8-8BEC-C7FA65E7935C}"/>
              </c:ext>
            </c:extLst>
          </c:dPt>
          <c:dPt>
            <c:idx val="2"/>
            <c:bubble3D val="0"/>
            <c:spPr>
              <a:solidFill>
                <a:schemeClr val="bg2"/>
              </a:solidFill>
              <a:ln w="19050">
                <a:solidFill>
                  <a:schemeClr val="lt1"/>
                </a:solidFill>
              </a:ln>
              <a:effectLst/>
            </c:spPr>
            <c:extLst>
              <c:ext xmlns:c16="http://schemas.microsoft.com/office/drawing/2014/chart" uri="{C3380CC4-5D6E-409C-BE32-E72D297353CC}">
                <c16:uniqueId val="{00000005-9DFE-46A8-8BEC-C7FA65E7935C}"/>
              </c:ext>
            </c:extLst>
          </c:dPt>
          <c:dPt>
            <c:idx val="3"/>
            <c:bubble3D val="0"/>
            <c:spPr>
              <a:solidFill>
                <a:schemeClr val="accent2"/>
              </a:solidFill>
              <a:ln w="19050">
                <a:solidFill>
                  <a:schemeClr val="lt1"/>
                </a:solidFill>
              </a:ln>
              <a:effectLst/>
            </c:spPr>
            <c:extLst>
              <c:ext xmlns:c16="http://schemas.microsoft.com/office/drawing/2014/chart" uri="{C3380CC4-5D6E-409C-BE32-E72D297353CC}">
                <c16:uniqueId val="{00000007-9DFE-46A8-8BEC-C7FA65E7935C}"/>
              </c:ext>
            </c:extLst>
          </c:dPt>
          <c:dPt>
            <c:idx val="4"/>
            <c:bubble3D val="0"/>
            <c:spPr>
              <a:solidFill>
                <a:schemeClr val="tx2"/>
              </a:solidFill>
              <a:ln w="19050">
                <a:solidFill>
                  <a:schemeClr val="lt1"/>
                </a:solidFill>
              </a:ln>
              <a:effectLst/>
            </c:spPr>
            <c:extLst>
              <c:ext xmlns:c16="http://schemas.microsoft.com/office/drawing/2014/chart" uri="{C3380CC4-5D6E-409C-BE32-E72D297353CC}">
                <c16:uniqueId val="{00000009-9DFE-46A8-8BEC-C7FA65E7935C}"/>
              </c:ext>
            </c:extLst>
          </c:dPt>
          <c:dPt>
            <c:idx val="5"/>
            <c:bubble3D val="0"/>
            <c:spPr>
              <a:solidFill>
                <a:schemeClr val="accent1"/>
              </a:solidFill>
              <a:ln w="19050">
                <a:solidFill>
                  <a:schemeClr val="lt1"/>
                </a:solidFill>
              </a:ln>
              <a:effectLst/>
            </c:spPr>
            <c:extLst>
              <c:ext xmlns:c16="http://schemas.microsoft.com/office/drawing/2014/chart" uri="{C3380CC4-5D6E-409C-BE32-E72D297353CC}">
                <c16:uniqueId val="{0000000B-9DFE-46A8-8BEC-C7FA65E7935C}"/>
              </c:ext>
            </c:extLst>
          </c:dPt>
          <c:dPt>
            <c:idx val="6"/>
            <c:bubble3D val="0"/>
            <c:spPr>
              <a:solidFill>
                <a:schemeClr val="accent3"/>
              </a:solidFill>
              <a:ln w="19050">
                <a:solidFill>
                  <a:schemeClr val="lt1"/>
                </a:solidFill>
              </a:ln>
              <a:effectLst/>
            </c:spPr>
            <c:extLst>
              <c:ext xmlns:c16="http://schemas.microsoft.com/office/drawing/2014/chart" uri="{C3380CC4-5D6E-409C-BE32-E72D297353CC}">
                <c16:uniqueId val="{0000000D-9DFE-46A8-8BEC-C7FA65E7935C}"/>
              </c:ext>
            </c:extLst>
          </c:dPt>
          <c:dPt>
            <c:idx val="7"/>
            <c:bubble3D val="0"/>
            <c:spPr>
              <a:solidFill>
                <a:schemeClr val="accent5"/>
              </a:solidFill>
              <a:ln w="19050">
                <a:solidFill>
                  <a:schemeClr val="lt1"/>
                </a:solidFill>
              </a:ln>
              <a:effectLst/>
            </c:spPr>
            <c:extLst>
              <c:ext xmlns:c16="http://schemas.microsoft.com/office/drawing/2014/chart" uri="{C3380CC4-5D6E-409C-BE32-E72D297353CC}">
                <c16:uniqueId val="{0000000F-9DFE-46A8-8BEC-C7FA65E7935C}"/>
              </c:ext>
            </c:extLst>
          </c:dPt>
          <c:dPt>
            <c:idx val="8"/>
            <c:bubble3D val="0"/>
            <c:spPr>
              <a:solidFill>
                <a:schemeClr val="accent4"/>
              </a:solidFill>
              <a:ln w="19050">
                <a:solidFill>
                  <a:schemeClr val="lt1"/>
                </a:solidFill>
              </a:ln>
              <a:effectLst/>
            </c:spPr>
            <c:extLst>
              <c:ext xmlns:c16="http://schemas.microsoft.com/office/drawing/2014/chart" uri="{C3380CC4-5D6E-409C-BE32-E72D297353CC}">
                <c16:uniqueId val="{00000011-9DFE-46A8-8BEC-C7FA65E7935C}"/>
              </c:ext>
            </c:extLst>
          </c:dPt>
          <c:dLbls>
            <c:spPr>
              <a:solidFill>
                <a:srgbClr val="FFFFFF">
                  <a:alpha val="50196"/>
                </a:srgbClr>
              </a:solidFill>
              <a:ln>
                <a:noFill/>
              </a:ln>
              <a:effectLst/>
            </c:spPr>
            <c:txPr>
              <a:bodyPr rot="0" spcFirstLastPara="1" vertOverflow="ellipsis" vert="horz" wrap="non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rect">
                    <a:avLst/>
                  </a:prstGeom>
                </c15:spPr>
              </c:ext>
            </c:extLst>
          </c:dLbls>
          <c:cat>
            <c:strRef>
              <c:f>'Commodities (Clients) Output'!$C$45:$C$53</c:f>
              <c:strCache>
                <c:ptCount val="9"/>
                <c:pt idx="0">
                  <c:v>Stérilisation (f)</c:v>
                </c:pt>
                <c:pt idx="1">
                  <c:v>Stérilisation (m)</c:v>
                </c:pt>
                <c:pt idx="2">
                  <c:v>DIU</c:v>
                </c:pt>
                <c:pt idx="3">
                  <c:v>Implant</c:v>
                </c:pt>
                <c:pt idx="4">
                  <c:v>Produits injectables</c:v>
                </c:pt>
                <c:pt idx="5">
                  <c:v>Pilule</c:v>
                </c:pt>
                <c:pt idx="6">
                  <c:v>Préservatifs (m+f)</c:v>
                </c:pt>
                <c:pt idx="7">
                  <c:v>MAMA</c:v>
                </c:pt>
                <c:pt idx="8">
                  <c:v>Autres méthodes modernes</c:v>
                </c:pt>
              </c:strCache>
            </c:strRef>
          </c:cat>
          <c:val>
            <c:numRef>
              <c:f>'Commodities (Clients) Output'!$D$45:$D$53</c:f>
              <c:numCache>
                <c:formatCode>0%</c:formatCode>
                <c:ptCount val="9"/>
                <c:pt idx="0">
                  <c:v>#N/A</c:v>
                </c:pt>
                <c:pt idx="1">
                  <c:v>#N/A</c:v>
                </c:pt>
                <c:pt idx="2">
                  <c:v>#N/A</c:v>
                </c:pt>
                <c:pt idx="3">
                  <c:v>#N/A</c:v>
                </c:pt>
                <c:pt idx="4">
                  <c:v>#N/A</c:v>
                </c:pt>
                <c:pt idx="5">
                  <c:v>#N/A</c:v>
                </c:pt>
                <c:pt idx="6">
                  <c:v>#N/A</c:v>
                </c:pt>
                <c:pt idx="7">
                  <c:v>#N/A</c:v>
                </c:pt>
                <c:pt idx="8">
                  <c:v>#N/A</c:v>
                </c:pt>
              </c:numCache>
            </c:numRef>
          </c:val>
          <c:extLst>
            <c:ext xmlns:c16="http://schemas.microsoft.com/office/drawing/2014/chart" uri="{C3380CC4-5D6E-409C-BE32-E72D297353CC}">
              <c16:uniqueId val="{00000012-9DFE-46A8-8BEC-C7FA65E7935C}"/>
            </c:ext>
          </c:extLst>
        </c:ser>
        <c:dLbls>
          <c:showLegendKey val="0"/>
          <c:showVal val="0"/>
          <c:showCatName val="0"/>
          <c:showSerName val="0"/>
          <c:showPercent val="0"/>
          <c:showBubbleSize val="0"/>
          <c:showLeaderLines val="1"/>
        </c:dLbls>
        <c:firstSliceAng val="0"/>
      </c:pieChart>
      <c:spPr>
        <a:noFill/>
        <a:ln>
          <a:noFill/>
        </a:ln>
        <a:effectLst/>
      </c:spPr>
    </c:plotArea>
    <c:plotVisOnly val="0"/>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'Commodities (Clients) Output'!$E$43</c:f>
          <c:strCache>
            <c:ptCount val="1"/>
            <c:pt idx="0">
              <c:v>#N/A</c:v>
            </c:pt>
          </c:strCache>
        </c:strRef>
      </c:tx>
      <c:layout>
        <c:manualLayout>
          <c:xMode val="edge"/>
          <c:yMode val="edge"/>
          <c:x val="0.11893032976864247"/>
          <c:y val="1.137276089441839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2424876048247624"/>
          <c:y val="0.23797217665965797"/>
          <c:w val="0.74447171862786132"/>
          <c:h val="0.72213792886798422"/>
        </c:manualLayout>
      </c:layout>
      <c:pieChart>
        <c:varyColors val="1"/>
        <c:ser>
          <c:idx val="0"/>
          <c:order val="0"/>
          <c:tx>
            <c:strRef>
              <c:f>'Commodities (Clients) Output'!$E$44</c:f>
              <c:strCache>
                <c:ptCount val="1"/>
                <c:pt idx="0">
                  <c:v>#N/A</c:v>
                </c:pt>
              </c:strCache>
            </c:strRef>
          </c:tx>
          <c:dPt>
            <c:idx val="0"/>
            <c:bubble3D val="0"/>
            <c:spPr>
              <a:solidFill>
                <a:srgbClr val="954F72"/>
              </a:solidFill>
              <a:ln w="19050">
                <a:solidFill>
                  <a:schemeClr val="lt1"/>
                </a:solidFill>
              </a:ln>
              <a:effectLst/>
            </c:spPr>
            <c:extLst>
              <c:ext xmlns:c16="http://schemas.microsoft.com/office/drawing/2014/chart" uri="{C3380CC4-5D6E-409C-BE32-E72D297353CC}">
                <c16:uniqueId val="{00000001-7722-41E3-ABB6-3BE105985FDA}"/>
              </c:ext>
            </c:extLst>
          </c:dPt>
          <c:dPt>
            <c:idx val="1"/>
            <c:bubble3D val="0"/>
            <c:spPr>
              <a:solidFill>
                <a:srgbClr val="954F72">
                  <a:lumMod val="50000"/>
                </a:srgbClr>
              </a:solidFill>
            </c:spPr>
            <c:extLst>
              <c:ext xmlns:c16="http://schemas.microsoft.com/office/drawing/2014/chart" uri="{C3380CC4-5D6E-409C-BE32-E72D297353CC}">
                <c16:uniqueId val="{00000003-7722-41E3-ABB6-3BE105985FDA}"/>
              </c:ext>
            </c:extLst>
          </c:dPt>
          <c:dPt>
            <c:idx val="2"/>
            <c:bubble3D val="0"/>
            <c:spPr>
              <a:solidFill>
                <a:schemeClr val="bg2"/>
              </a:solidFill>
              <a:ln w="19050">
                <a:solidFill>
                  <a:schemeClr val="lt1"/>
                </a:solidFill>
              </a:ln>
              <a:effectLst/>
            </c:spPr>
            <c:extLst>
              <c:ext xmlns:c16="http://schemas.microsoft.com/office/drawing/2014/chart" uri="{C3380CC4-5D6E-409C-BE32-E72D297353CC}">
                <c16:uniqueId val="{00000005-7722-41E3-ABB6-3BE105985FDA}"/>
              </c:ext>
            </c:extLst>
          </c:dPt>
          <c:dPt>
            <c:idx val="3"/>
            <c:bubble3D val="0"/>
            <c:spPr>
              <a:solidFill>
                <a:schemeClr val="accent2"/>
              </a:solidFill>
              <a:ln w="19050">
                <a:solidFill>
                  <a:schemeClr val="lt1"/>
                </a:solidFill>
              </a:ln>
              <a:effectLst/>
            </c:spPr>
            <c:extLst>
              <c:ext xmlns:c16="http://schemas.microsoft.com/office/drawing/2014/chart" uri="{C3380CC4-5D6E-409C-BE32-E72D297353CC}">
                <c16:uniqueId val="{00000007-7722-41E3-ABB6-3BE105985FDA}"/>
              </c:ext>
            </c:extLst>
          </c:dPt>
          <c:dPt>
            <c:idx val="4"/>
            <c:bubble3D val="0"/>
            <c:spPr>
              <a:solidFill>
                <a:srgbClr val="1D4E92"/>
              </a:solidFill>
              <a:ln w="19050">
                <a:solidFill>
                  <a:schemeClr val="lt1"/>
                </a:solidFill>
              </a:ln>
              <a:effectLst/>
            </c:spPr>
            <c:extLst>
              <c:ext xmlns:c16="http://schemas.microsoft.com/office/drawing/2014/chart" uri="{C3380CC4-5D6E-409C-BE32-E72D297353CC}">
                <c16:uniqueId val="{00000009-7722-41E3-ABB6-3BE105985FDA}"/>
              </c:ext>
            </c:extLst>
          </c:dPt>
          <c:dPt>
            <c:idx val="5"/>
            <c:bubble3D val="0"/>
            <c:spPr>
              <a:solidFill>
                <a:srgbClr val="3892C6"/>
              </a:solidFill>
              <a:ln w="19050">
                <a:solidFill>
                  <a:schemeClr val="lt1"/>
                </a:solidFill>
              </a:ln>
              <a:effectLst/>
            </c:spPr>
            <c:extLst>
              <c:ext xmlns:c16="http://schemas.microsoft.com/office/drawing/2014/chart" uri="{C3380CC4-5D6E-409C-BE32-E72D297353CC}">
                <c16:uniqueId val="{0000000B-7722-41E3-ABB6-3BE105985FDA}"/>
              </c:ext>
            </c:extLst>
          </c:dPt>
          <c:dPt>
            <c:idx val="6"/>
            <c:bubble3D val="0"/>
            <c:spPr>
              <a:solidFill>
                <a:srgbClr val="F49100"/>
              </a:solidFill>
              <a:ln w="19050">
                <a:solidFill>
                  <a:schemeClr val="lt1"/>
                </a:solidFill>
              </a:ln>
              <a:effectLst/>
            </c:spPr>
            <c:extLst>
              <c:ext xmlns:c16="http://schemas.microsoft.com/office/drawing/2014/chart" uri="{C3380CC4-5D6E-409C-BE32-E72D297353CC}">
                <c16:uniqueId val="{0000000D-7722-41E3-ABB6-3BE105985FDA}"/>
              </c:ext>
            </c:extLst>
          </c:dPt>
          <c:dPt>
            <c:idx val="7"/>
            <c:bubble3D val="0"/>
            <c:spPr>
              <a:solidFill>
                <a:srgbClr val="FCD116"/>
              </a:solidFill>
              <a:ln w="19050">
                <a:solidFill>
                  <a:schemeClr val="lt1"/>
                </a:solidFill>
              </a:ln>
              <a:effectLst/>
            </c:spPr>
            <c:extLst>
              <c:ext xmlns:c16="http://schemas.microsoft.com/office/drawing/2014/chart" uri="{C3380CC4-5D6E-409C-BE32-E72D297353CC}">
                <c16:uniqueId val="{0000000F-7722-41E3-ABB6-3BE105985FDA}"/>
              </c:ext>
            </c:extLst>
          </c:dPt>
          <c:dPt>
            <c:idx val="8"/>
            <c:bubble3D val="0"/>
            <c:spPr>
              <a:solidFill>
                <a:schemeClr val="accent4"/>
              </a:solidFill>
              <a:ln w="19050">
                <a:solidFill>
                  <a:schemeClr val="lt1"/>
                </a:solidFill>
              </a:ln>
              <a:effectLst/>
            </c:spPr>
            <c:extLst>
              <c:ext xmlns:c16="http://schemas.microsoft.com/office/drawing/2014/chart" uri="{C3380CC4-5D6E-409C-BE32-E72D297353CC}">
                <c16:uniqueId val="{00000011-7722-41E3-ABB6-3BE105985FDA}"/>
              </c:ext>
            </c:extLst>
          </c:dPt>
          <c:dLbls>
            <c:spPr>
              <a:solidFill>
                <a:srgbClr val="FFFFFF">
                  <a:alpha val="50196"/>
                </a:srgbClr>
              </a:solidFill>
              <a:ln>
                <a:noFill/>
              </a:ln>
              <a:effectLst/>
            </c:spPr>
            <c:txPr>
              <a:bodyPr rot="0" spcFirstLastPara="1" vertOverflow="ellipsis" vert="horz" wrap="non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rect">
                    <a:avLst/>
                  </a:prstGeom>
                </c15:spPr>
              </c:ext>
            </c:extLst>
          </c:dLbls>
          <c:cat>
            <c:strRef>
              <c:f>'Commodities (Clients) Output'!$C$45:$C$53</c:f>
              <c:strCache>
                <c:ptCount val="9"/>
                <c:pt idx="0">
                  <c:v>Stérilisation (f)</c:v>
                </c:pt>
                <c:pt idx="1">
                  <c:v>Stérilisation (m)</c:v>
                </c:pt>
                <c:pt idx="2">
                  <c:v>DIU</c:v>
                </c:pt>
                <c:pt idx="3">
                  <c:v>Implant</c:v>
                </c:pt>
                <c:pt idx="4">
                  <c:v>Produits injectables</c:v>
                </c:pt>
                <c:pt idx="5">
                  <c:v>Pilule</c:v>
                </c:pt>
                <c:pt idx="6">
                  <c:v>Préservatifs (m+f)</c:v>
                </c:pt>
                <c:pt idx="7">
                  <c:v>MAMA</c:v>
                </c:pt>
                <c:pt idx="8">
                  <c:v>Autres méthodes modernes</c:v>
                </c:pt>
              </c:strCache>
            </c:strRef>
          </c:cat>
          <c:val>
            <c:numRef>
              <c:f>'Commodities (Clients) Output'!$E$45:$E$53</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2-7722-41E3-ABB6-3BE105985FDA}"/>
            </c:ext>
          </c:extLst>
        </c:ser>
        <c:dLbls>
          <c:showLegendKey val="0"/>
          <c:showVal val="0"/>
          <c:showCatName val="0"/>
          <c:showSerName val="0"/>
          <c:showPercent val="0"/>
          <c:showBubbleSize val="0"/>
          <c:showLeaderLines val="1"/>
        </c:dLbls>
        <c:firstSliceAng val="0"/>
      </c:pieChart>
      <c:spPr>
        <a:noFill/>
        <a:ln>
          <a:noFill/>
        </a:ln>
        <a:effectLst/>
      </c:spPr>
    </c:plotArea>
    <c:plotVisOnly val="0"/>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 of Modern Users (by Method) Represented in Your Data - Based on DHS &amp; Table</a:t>
            </a:r>
            <a:r>
              <a:rPr lang="en-US" baseline="0"/>
              <a:t> Above</a:t>
            </a:r>
            <a:r>
              <a:rPr lang="en-US"/>
              <a:t>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8216056404463054E-2"/>
          <c:y val="0.12200209159437818"/>
          <c:w val="0.93661479839695683"/>
          <c:h val="0.67908531621458901"/>
        </c:manualLayout>
      </c:layout>
      <c:barChart>
        <c:barDir val="col"/>
        <c:grouping val="clustered"/>
        <c:varyColors val="0"/>
        <c:ser>
          <c:idx val="0"/>
          <c:order val="0"/>
          <c:tx>
            <c:strRef>
              <c:f>'4. FPSource Set Up'!$E$69</c:f>
              <c:strCache>
                <c:ptCount val="1"/>
                <c:pt idx="0">
                  <c:v>Produits de planification familiale distribués aux clients</c:v>
                </c:pt>
              </c:strCache>
            </c:strRef>
          </c:tx>
          <c:spPr>
            <a:solidFill>
              <a:schemeClr val="bg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'4. FPSource Set Up'!$D$70:$D$91</c15:sqref>
                  </c15:fullRef>
                </c:ext>
              </c:extLst>
              <c:f>('4. FPSource Set Up'!$D$70:$D$72,'4. FPSource Set Up'!$D$74,'4. FPSource Set Up'!$D$77,'4. FPSource Set Up'!$D$82,'4. FPSource Set Up'!$D$85:$D$87,'4. FPSource Set Up'!$D$91)</c:f>
              <c:strCache>
                <c:ptCount val="10"/>
                <c:pt idx="0">
                  <c:v>Stérilisation (F)</c:v>
                </c:pt>
                <c:pt idx="1">
                  <c:v>Stérilisation (M)</c:v>
                </c:pt>
                <c:pt idx="2">
                  <c:v>DIU</c:v>
                </c:pt>
                <c:pt idx="3">
                  <c:v>Implant</c:v>
                </c:pt>
                <c:pt idx="4">
                  <c:v>Produits injectables</c:v>
                </c:pt>
                <c:pt idx="5">
                  <c:v>Pilule</c:v>
                </c:pt>
                <c:pt idx="6">
                  <c:v>Préservatifs (M)</c:v>
                </c:pt>
                <c:pt idx="7">
                  <c:v>Préservatifs (F)</c:v>
                </c:pt>
                <c:pt idx="8">
                  <c:v>Autres Méthodes Modernes</c:v>
                </c:pt>
                <c:pt idx="9">
                  <c:v>Contraception d'urgence</c:v>
                </c:pt>
              </c:strCache>
            </c:strRef>
          </c:cat>
          <c:val>
            <c:numRef>
              <c:extLst>
                <c:ext xmlns:c15="http://schemas.microsoft.com/office/drawing/2012/chart" uri="{02D57815-91ED-43cb-92C2-25804820EDAC}">
                  <c15:fullRef>
                    <c15:sqref>'4. FPSource Set Up'!$E$70:$E$91</c15:sqref>
                  </c15:fullRef>
                </c:ext>
              </c:extLst>
              <c:f>('4. FPSource Set Up'!$E$70:$E$72,'4. FPSource Set Up'!$E$74,'4. FPSource Set Up'!$E$77,'4. FPSource Set Up'!$E$82,'4. FPSource Set Up'!$E$85:$E$87,'4. FPSource Set Up'!$E$91)</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CC78-4B31-B089-8429BB6DDAD4}"/>
            </c:ext>
          </c:extLst>
        </c:ser>
        <c:ser>
          <c:idx val="1"/>
          <c:order val="1"/>
          <c:tx>
            <c:strRef>
              <c:f>'4. FPSource Set Up'!$F$69</c:f>
              <c:strCache>
                <c:ptCount val="1"/>
                <c:pt idx="0">
                  <c:v>Produits de planification familiale distribués aux établissements</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'4. FPSource Set Up'!$D$70:$D$91</c15:sqref>
                  </c15:fullRef>
                </c:ext>
              </c:extLst>
              <c:f>('4. FPSource Set Up'!$D$70:$D$72,'4. FPSource Set Up'!$D$74,'4. FPSource Set Up'!$D$77,'4. FPSource Set Up'!$D$82,'4. FPSource Set Up'!$D$85:$D$87,'4. FPSource Set Up'!$D$91)</c:f>
              <c:strCache>
                <c:ptCount val="10"/>
                <c:pt idx="0">
                  <c:v>Stérilisation (F)</c:v>
                </c:pt>
                <c:pt idx="1">
                  <c:v>Stérilisation (M)</c:v>
                </c:pt>
                <c:pt idx="2">
                  <c:v>DIU</c:v>
                </c:pt>
                <c:pt idx="3">
                  <c:v>Implant</c:v>
                </c:pt>
                <c:pt idx="4">
                  <c:v>Produits injectables</c:v>
                </c:pt>
                <c:pt idx="5">
                  <c:v>Pilule</c:v>
                </c:pt>
                <c:pt idx="6">
                  <c:v>Préservatifs (M)</c:v>
                </c:pt>
                <c:pt idx="7">
                  <c:v>Préservatifs (F)</c:v>
                </c:pt>
                <c:pt idx="8">
                  <c:v>Autres Méthodes Modernes</c:v>
                </c:pt>
                <c:pt idx="9">
                  <c:v>Contraception d'urgence</c:v>
                </c:pt>
              </c:strCache>
            </c:strRef>
          </c:cat>
          <c:val>
            <c:numRef>
              <c:extLst>
                <c:ext xmlns:c15="http://schemas.microsoft.com/office/drawing/2012/chart" uri="{02D57815-91ED-43cb-92C2-25804820EDAC}">
                  <c15:fullRef>
                    <c15:sqref>'4. FPSource Set Up'!$F$70:$F$91</c15:sqref>
                  </c15:fullRef>
                </c:ext>
              </c:extLst>
              <c:f>('4. FPSource Set Up'!$F$70:$F$72,'4. FPSource Set Up'!$F$74,'4. FPSource Set Up'!$F$77,'4. FPSource Set Up'!$F$82,'4. FPSource Set Up'!$F$85:$F$87,'4. FPSource Set Up'!$F$91)</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4-CC78-4B31-B089-8429BB6DDAD4}"/>
            </c:ext>
          </c:extLst>
        </c:ser>
        <c:ser>
          <c:idx val="2"/>
          <c:order val="2"/>
          <c:tx>
            <c:strRef>
              <c:f>'4. FPSource Set Up'!$G$69</c:f>
              <c:strCache>
                <c:ptCount val="1"/>
                <c:pt idx="0">
                  <c:v>Visites de PF</c:v>
                </c:pt>
              </c:strCache>
            </c:strRef>
          </c:tx>
          <c:spPr>
            <a:solidFill>
              <a:schemeClr val="tx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'4. FPSource Set Up'!$D$70:$D$91</c15:sqref>
                  </c15:fullRef>
                </c:ext>
              </c:extLst>
              <c:f>('4. FPSource Set Up'!$D$70:$D$72,'4. FPSource Set Up'!$D$74,'4. FPSource Set Up'!$D$77,'4. FPSource Set Up'!$D$82,'4. FPSource Set Up'!$D$85:$D$87,'4. FPSource Set Up'!$D$91)</c:f>
              <c:strCache>
                <c:ptCount val="10"/>
                <c:pt idx="0">
                  <c:v>Stérilisation (F)</c:v>
                </c:pt>
                <c:pt idx="1">
                  <c:v>Stérilisation (M)</c:v>
                </c:pt>
                <c:pt idx="2">
                  <c:v>DIU</c:v>
                </c:pt>
                <c:pt idx="3">
                  <c:v>Implant</c:v>
                </c:pt>
                <c:pt idx="4">
                  <c:v>Produits injectables</c:v>
                </c:pt>
                <c:pt idx="5">
                  <c:v>Pilule</c:v>
                </c:pt>
                <c:pt idx="6">
                  <c:v>Préservatifs (M)</c:v>
                </c:pt>
                <c:pt idx="7">
                  <c:v>Préservatifs (F)</c:v>
                </c:pt>
                <c:pt idx="8">
                  <c:v>Autres Méthodes Modernes</c:v>
                </c:pt>
                <c:pt idx="9">
                  <c:v>Contraception d'urgence</c:v>
                </c:pt>
              </c:strCache>
            </c:strRef>
          </c:cat>
          <c:val>
            <c:numRef>
              <c:extLst>
                <c:ext xmlns:c15="http://schemas.microsoft.com/office/drawing/2012/chart" uri="{02D57815-91ED-43cb-92C2-25804820EDAC}">
                  <c15:fullRef>
                    <c15:sqref>'4. FPSource Set Up'!$G$70:$G$91</c15:sqref>
                  </c15:fullRef>
                </c:ext>
              </c:extLst>
              <c:f>('4. FPSource Set Up'!$G$70:$G$72,'4. FPSource Set Up'!$G$74,'4. FPSource Set Up'!$G$77,'4. FPSource Set Up'!$G$82,'4. FPSource Set Up'!$G$85:$G$87,'4. FPSource Set Up'!$G$91)</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5-CC78-4B31-B089-8429BB6DDAD4}"/>
            </c:ext>
          </c:extLst>
        </c:ser>
        <c:ser>
          <c:idx val="3"/>
          <c:order val="3"/>
          <c:tx>
            <c:strRef>
              <c:f>'4. FPSource Set Up'!$H$69</c:f>
              <c:strCache>
                <c:ptCount val="1"/>
                <c:pt idx="0">
                  <c:v>Utilisatrices de PF</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'4. FPSource Set Up'!$D$70:$D$91</c15:sqref>
                  </c15:fullRef>
                </c:ext>
              </c:extLst>
              <c:f>('4. FPSource Set Up'!$D$70:$D$72,'4. FPSource Set Up'!$D$74,'4. FPSource Set Up'!$D$77,'4. FPSource Set Up'!$D$82,'4. FPSource Set Up'!$D$85:$D$87,'4. FPSource Set Up'!$D$91)</c:f>
              <c:strCache>
                <c:ptCount val="10"/>
                <c:pt idx="0">
                  <c:v>Stérilisation (F)</c:v>
                </c:pt>
                <c:pt idx="1">
                  <c:v>Stérilisation (M)</c:v>
                </c:pt>
                <c:pt idx="2">
                  <c:v>DIU</c:v>
                </c:pt>
                <c:pt idx="3">
                  <c:v>Implant</c:v>
                </c:pt>
                <c:pt idx="4">
                  <c:v>Produits injectables</c:v>
                </c:pt>
                <c:pt idx="5">
                  <c:v>Pilule</c:v>
                </c:pt>
                <c:pt idx="6">
                  <c:v>Préservatifs (M)</c:v>
                </c:pt>
                <c:pt idx="7">
                  <c:v>Préservatifs (F)</c:v>
                </c:pt>
                <c:pt idx="8">
                  <c:v>Autres Méthodes Modernes</c:v>
                </c:pt>
                <c:pt idx="9">
                  <c:v>Contraception d'urgence</c:v>
                </c:pt>
              </c:strCache>
            </c:strRef>
          </c:cat>
          <c:val>
            <c:numRef>
              <c:extLst>
                <c:ext xmlns:c15="http://schemas.microsoft.com/office/drawing/2012/chart" uri="{02D57815-91ED-43cb-92C2-25804820EDAC}">
                  <c15:fullRef>
                    <c15:sqref>'4. FPSource Set Up'!$H$70:$H$91</c15:sqref>
                  </c15:fullRef>
                </c:ext>
              </c:extLst>
              <c:f>('4. FPSource Set Up'!$H$70:$H$72,'4. FPSource Set Up'!$H$74,'4. FPSource Set Up'!$H$77,'4. FPSource Set Up'!$H$82,'4. FPSource Set Up'!$H$85:$H$87,'4. FPSource Set Up'!$H$91)</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6-CC78-4B31-B089-8429BB6DDAD4}"/>
            </c:ext>
          </c:extLst>
        </c:ser>
        <c:dLbls>
          <c:showLegendKey val="0"/>
          <c:showVal val="0"/>
          <c:showCatName val="0"/>
          <c:showSerName val="0"/>
          <c:showPercent val="0"/>
          <c:showBubbleSize val="0"/>
        </c:dLbls>
        <c:gapWidth val="150"/>
        <c:axId val="930750600"/>
        <c:axId val="930748304"/>
      </c:barChart>
      <c:catAx>
        <c:axId val="930750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0748304"/>
        <c:crosses val="autoZero"/>
        <c:auto val="1"/>
        <c:lblAlgn val="ctr"/>
        <c:lblOffset val="100"/>
        <c:noMultiLvlLbl val="0"/>
      </c:catAx>
      <c:valAx>
        <c:axId val="93074830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07506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502569836422"/>
          <c:y val="9.0345983236259017E-2"/>
          <c:w val="0.76998314133341417"/>
          <c:h val="0.72038799827713895"/>
        </c:manualLayout>
      </c:layout>
      <c:barChart>
        <c:barDir val="bar"/>
        <c:grouping val="stacked"/>
        <c:varyColors val="0"/>
        <c:ser>
          <c:idx val="0"/>
          <c:order val="0"/>
          <c:tx>
            <c:strRef>
              <c:f>'Commodities (Clients) Output'!$C$45</c:f>
              <c:strCache>
                <c:ptCount val="1"/>
                <c:pt idx="0">
                  <c:v>Stérilisation (f)</c:v>
                </c:pt>
              </c:strCache>
            </c:strRef>
          </c:tx>
          <c:spPr>
            <a:solidFill>
              <a:schemeClr val="accent6"/>
            </a:solidFill>
            <a:ln>
              <a:solidFill>
                <a:schemeClr val="bg1"/>
              </a:solidFill>
            </a:ln>
            <a:effectLst/>
          </c:spPr>
          <c:invertIfNegative val="0"/>
          <c:cat>
            <c:strRef>
              <c:f>'Commodities (Clients) Output'!$F$43:$G$43</c:f>
              <c:strCache>
                <c:ptCount val="2"/>
                <c:pt idx="0">
                  <c:v>Utilisatrices par méthode 
(statistiques de service) : 2021</c:v>
                </c:pt>
                <c:pt idx="1">
                  <c:v>Utilisatrices par méthode 
(enquête) : 2021</c:v>
                </c:pt>
              </c:strCache>
            </c:strRef>
          </c:cat>
          <c:val>
            <c:numRef>
              <c:f>'Commodities (Clients) Output'!$F$45:$G$45</c:f>
              <c:numCache>
                <c:formatCode>#,##0</c:formatCode>
                <c:ptCount val="2"/>
                <c:pt idx="0">
                  <c:v>#N/A</c:v>
                </c:pt>
                <c:pt idx="1">
                  <c:v>#N/A</c:v>
                </c:pt>
              </c:numCache>
            </c:numRef>
          </c:val>
          <c:extLst>
            <c:ext xmlns:c16="http://schemas.microsoft.com/office/drawing/2014/chart" uri="{C3380CC4-5D6E-409C-BE32-E72D297353CC}">
              <c16:uniqueId val="{00000000-6355-4EA8-A47D-2A0ABA368747}"/>
            </c:ext>
          </c:extLst>
        </c:ser>
        <c:ser>
          <c:idx val="1"/>
          <c:order val="1"/>
          <c:tx>
            <c:strRef>
              <c:f>'Commodities (Clients) Output'!$C$46</c:f>
              <c:strCache>
                <c:ptCount val="1"/>
                <c:pt idx="0">
                  <c:v>Stérilisation (m)</c:v>
                </c:pt>
              </c:strCache>
            </c:strRef>
          </c:tx>
          <c:spPr>
            <a:solidFill>
              <a:schemeClr val="accent6">
                <a:lumMod val="50000"/>
              </a:schemeClr>
            </a:solidFill>
            <a:ln>
              <a:solidFill>
                <a:schemeClr val="bg1"/>
              </a:solidFill>
            </a:ln>
            <a:effectLst/>
          </c:spPr>
          <c:invertIfNegative val="0"/>
          <c:cat>
            <c:strRef>
              <c:f>'Commodities (Clients) Output'!$F$43:$G$43</c:f>
              <c:strCache>
                <c:ptCount val="2"/>
                <c:pt idx="0">
                  <c:v>Utilisatrices par méthode 
(statistiques de service) : 2021</c:v>
                </c:pt>
                <c:pt idx="1">
                  <c:v>Utilisatrices par méthode 
(enquête) : 2021</c:v>
                </c:pt>
              </c:strCache>
            </c:strRef>
          </c:cat>
          <c:val>
            <c:numRef>
              <c:f>'Commodities (Clients) Output'!$F$46:$G$46</c:f>
              <c:numCache>
                <c:formatCode>#,##0</c:formatCode>
                <c:ptCount val="2"/>
                <c:pt idx="0">
                  <c:v>#N/A</c:v>
                </c:pt>
                <c:pt idx="1">
                  <c:v>#N/A</c:v>
                </c:pt>
              </c:numCache>
            </c:numRef>
          </c:val>
          <c:extLst>
            <c:ext xmlns:c16="http://schemas.microsoft.com/office/drawing/2014/chart" uri="{C3380CC4-5D6E-409C-BE32-E72D297353CC}">
              <c16:uniqueId val="{00000001-6355-4EA8-A47D-2A0ABA368747}"/>
            </c:ext>
          </c:extLst>
        </c:ser>
        <c:ser>
          <c:idx val="2"/>
          <c:order val="2"/>
          <c:tx>
            <c:strRef>
              <c:f>'Commodities (Clients) Output'!$C$47</c:f>
              <c:strCache>
                <c:ptCount val="1"/>
                <c:pt idx="0">
                  <c:v>DIU</c:v>
                </c:pt>
              </c:strCache>
            </c:strRef>
          </c:tx>
          <c:spPr>
            <a:solidFill>
              <a:schemeClr val="bg2"/>
            </a:solidFill>
            <a:ln>
              <a:solidFill>
                <a:schemeClr val="bg1"/>
              </a:solidFill>
            </a:ln>
            <a:effectLst/>
          </c:spPr>
          <c:invertIfNegative val="0"/>
          <c:cat>
            <c:strRef>
              <c:f>'Commodities (Clients) Output'!$F$43:$G$43</c:f>
              <c:strCache>
                <c:ptCount val="2"/>
                <c:pt idx="0">
                  <c:v>Utilisatrices par méthode 
(statistiques de service) : 2021</c:v>
                </c:pt>
                <c:pt idx="1">
                  <c:v>Utilisatrices par méthode 
(enquête) : 2021</c:v>
                </c:pt>
              </c:strCache>
            </c:strRef>
          </c:cat>
          <c:val>
            <c:numRef>
              <c:f>'Commodities (Clients) Output'!$F$47:$G$47</c:f>
              <c:numCache>
                <c:formatCode>#,##0</c:formatCode>
                <c:ptCount val="2"/>
                <c:pt idx="0">
                  <c:v>#N/A</c:v>
                </c:pt>
                <c:pt idx="1">
                  <c:v>#N/A</c:v>
                </c:pt>
              </c:numCache>
            </c:numRef>
          </c:val>
          <c:extLst>
            <c:ext xmlns:c16="http://schemas.microsoft.com/office/drawing/2014/chart" uri="{C3380CC4-5D6E-409C-BE32-E72D297353CC}">
              <c16:uniqueId val="{00000002-6355-4EA8-A47D-2A0ABA368747}"/>
            </c:ext>
          </c:extLst>
        </c:ser>
        <c:ser>
          <c:idx val="3"/>
          <c:order val="3"/>
          <c:tx>
            <c:strRef>
              <c:f>'Commodities (Clients) Output'!$C$48</c:f>
              <c:strCache>
                <c:ptCount val="1"/>
                <c:pt idx="0">
                  <c:v>Implant</c:v>
                </c:pt>
              </c:strCache>
            </c:strRef>
          </c:tx>
          <c:spPr>
            <a:solidFill>
              <a:schemeClr val="accent2"/>
            </a:solidFill>
            <a:ln>
              <a:solidFill>
                <a:schemeClr val="bg1"/>
              </a:solidFill>
            </a:ln>
            <a:effectLst/>
          </c:spPr>
          <c:invertIfNegative val="0"/>
          <c:cat>
            <c:strRef>
              <c:f>'Commodities (Clients) Output'!$F$43:$G$43</c:f>
              <c:strCache>
                <c:ptCount val="2"/>
                <c:pt idx="0">
                  <c:v>Utilisatrices par méthode 
(statistiques de service) : 2021</c:v>
                </c:pt>
                <c:pt idx="1">
                  <c:v>Utilisatrices par méthode 
(enquête) : 2021</c:v>
                </c:pt>
              </c:strCache>
            </c:strRef>
          </c:cat>
          <c:val>
            <c:numRef>
              <c:f>'Commodities (Clients) Output'!$F$48:$G$48</c:f>
              <c:numCache>
                <c:formatCode>#,##0</c:formatCode>
                <c:ptCount val="2"/>
                <c:pt idx="0">
                  <c:v>#N/A</c:v>
                </c:pt>
                <c:pt idx="1">
                  <c:v>#N/A</c:v>
                </c:pt>
              </c:numCache>
            </c:numRef>
          </c:val>
          <c:extLst>
            <c:ext xmlns:c16="http://schemas.microsoft.com/office/drawing/2014/chart" uri="{C3380CC4-5D6E-409C-BE32-E72D297353CC}">
              <c16:uniqueId val="{00000003-6355-4EA8-A47D-2A0ABA368747}"/>
            </c:ext>
          </c:extLst>
        </c:ser>
        <c:ser>
          <c:idx val="4"/>
          <c:order val="4"/>
          <c:tx>
            <c:strRef>
              <c:f>'Commodities (Clients) Output'!$C$49</c:f>
              <c:strCache>
                <c:ptCount val="1"/>
                <c:pt idx="0">
                  <c:v>Produits injectables</c:v>
                </c:pt>
              </c:strCache>
            </c:strRef>
          </c:tx>
          <c:spPr>
            <a:solidFill>
              <a:schemeClr val="tx2"/>
            </a:solidFill>
            <a:ln>
              <a:solidFill>
                <a:schemeClr val="bg1"/>
              </a:solidFill>
            </a:ln>
            <a:effectLst/>
          </c:spPr>
          <c:invertIfNegative val="0"/>
          <c:cat>
            <c:strRef>
              <c:f>'Commodities (Clients) Output'!$F$43:$G$43</c:f>
              <c:strCache>
                <c:ptCount val="2"/>
                <c:pt idx="0">
                  <c:v>Utilisatrices par méthode 
(statistiques de service) : 2021</c:v>
                </c:pt>
                <c:pt idx="1">
                  <c:v>Utilisatrices par méthode 
(enquête) : 2021</c:v>
                </c:pt>
              </c:strCache>
            </c:strRef>
          </c:cat>
          <c:val>
            <c:numRef>
              <c:f>'Commodities (Clients) Output'!$F$49:$G$49</c:f>
              <c:numCache>
                <c:formatCode>#,##0</c:formatCode>
                <c:ptCount val="2"/>
                <c:pt idx="0">
                  <c:v>#N/A</c:v>
                </c:pt>
                <c:pt idx="1">
                  <c:v>#N/A</c:v>
                </c:pt>
              </c:numCache>
            </c:numRef>
          </c:val>
          <c:extLst>
            <c:ext xmlns:c16="http://schemas.microsoft.com/office/drawing/2014/chart" uri="{C3380CC4-5D6E-409C-BE32-E72D297353CC}">
              <c16:uniqueId val="{00000004-6355-4EA8-A47D-2A0ABA368747}"/>
            </c:ext>
          </c:extLst>
        </c:ser>
        <c:ser>
          <c:idx val="5"/>
          <c:order val="5"/>
          <c:tx>
            <c:strRef>
              <c:f>'Commodities (Clients) Output'!$C$50</c:f>
              <c:strCache>
                <c:ptCount val="1"/>
                <c:pt idx="0">
                  <c:v>Pilule</c:v>
                </c:pt>
              </c:strCache>
            </c:strRef>
          </c:tx>
          <c:spPr>
            <a:solidFill>
              <a:schemeClr val="accent1"/>
            </a:solidFill>
            <a:ln>
              <a:solidFill>
                <a:schemeClr val="bg1"/>
              </a:solidFill>
            </a:ln>
            <a:effectLst/>
          </c:spPr>
          <c:invertIfNegative val="0"/>
          <c:cat>
            <c:strRef>
              <c:f>'Commodities (Clients) Output'!$F$43:$G$43</c:f>
              <c:strCache>
                <c:ptCount val="2"/>
                <c:pt idx="0">
                  <c:v>Utilisatrices par méthode 
(statistiques de service) : 2021</c:v>
                </c:pt>
                <c:pt idx="1">
                  <c:v>Utilisatrices par méthode 
(enquête) : 2021</c:v>
                </c:pt>
              </c:strCache>
            </c:strRef>
          </c:cat>
          <c:val>
            <c:numRef>
              <c:f>'Commodities (Clients) Output'!$F$50:$G$50</c:f>
              <c:numCache>
                <c:formatCode>#,##0</c:formatCode>
                <c:ptCount val="2"/>
                <c:pt idx="0">
                  <c:v>#N/A</c:v>
                </c:pt>
                <c:pt idx="1">
                  <c:v>#N/A</c:v>
                </c:pt>
              </c:numCache>
            </c:numRef>
          </c:val>
          <c:extLst>
            <c:ext xmlns:c16="http://schemas.microsoft.com/office/drawing/2014/chart" uri="{C3380CC4-5D6E-409C-BE32-E72D297353CC}">
              <c16:uniqueId val="{00000005-6355-4EA8-A47D-2A0ABA368747}"/>
            </c:ext>
          </c:extLst>
        </c:ser>
        <c:ser>
          <c:idx val="6"/>
          <c:order val="6"/>
          <c:tx>
            <c:strRef>
              <c:f>'Commodities (Clients) Output'!$C$51</c:f>
              <c:strCache>
                <c:ptCount val="1"/>
                <c:pt idx="0">
                  <c:v>Préservatifs (m+f)</c:v>
                </c:pt>
              </c:strCache>
            </c:strRef>
          </c:tx>
          <c:spPr>
            <a:solidFill>
              <a:schemeClr val="accent3"/>
            </a:solidFill>
            <a:ln>
              <a:solidFill>
                <a:schemeClr val="bg1"/>
              </a:solidFill>
            </a:ln>
            <a:effectLst/>
          </c:spPr>
          <c:invertIfNegative val="0"/>
          <c:cat>
            <c:strRef>
              <c:f>'Commodities (Clients) Output'!$F$43:$G$43</c:f>
              <c:strCache>
                <c:ptCount val="2"/>
                <c:pt idx="0">
                  <c:v>Utilisatrices par méthode 
(statistiques de service) : 2021</c:v>
                </c:pt>
                <c:pt idx="1">
                  <c:v>Utilisatrices par méthode 
(enquête) : 2021</c:v>
                </c:pt>
              </c:strCache>
            </c:strRef>
          </c:cat>
          <c:val>
            <c:numRef>
              <c:f>'Commodities (Clients) Output'!$F$51:$G$51</c:f>
              <c:numCache>
                <c:formatCode>#,##0</c:formatCode>
                <c:ptCount val="2"/>
                <c:pt idx="0">
                  <c:v>#N/A</c:v>
                </c:pt>
                <c:pt idx="1">
                  <c:v>#N/A</c:v>
                </c:pt>
              </c:numCache>
            </c:numRef>
          </c:val>
          <c:extLst>
            <c:ext xmlns:c16="http://schemas.microsoft.com/office/drawing/2014/chart" uri="{C3380CC4-5D6E-409C-BE32-E72D297353CC}">
              <c16:uniqueId val="{00000006-6355-4EA8-A47D-2A0ABA368747}"/>
            </c:ext>
          </c:extLst>
        </c:ser>
        <c:ser>
          <c:idx val="7"/>
          <c:order val="7"/>
          <c:tx>
            <c:strRef>
              <c:f>'Commodities (Clients) Output'!$C$52</c:f>
              <c:strCache>
                <c:ptCount val="1"/>
                <c:pt idx="0">
                  <c:v>MAMA</c:v>
                </c:pt>
              </c:strCache>
            </c:strRef>
          </c:tx>
          <c:spPr>
            <a:solidFill>
              <a:schemeClr val="accent5"/>
            </a:solidFill>
            <a:ln>
              <a:solidFill>
                <a:schemeClr val="bg1"/>
              </a:solidFill>
            </a:ln>
            <a:effectLst/>
          </c:spPr>
          <c:invertIfNegative val="0"/>
          <c:cat>
            <c:strRef>
              <c:f>'Commodities (Clients) Output'!$F$43:$G$43</c:f>
              <c:strCache>
                <c:ptCount val="2"/>
                <c:pt idx="0">
                  <c:v>Utilisatrices par méthode 
(statistiques de service) : 2021</c:v>
                </c:pt>
                <c:pt idx="1">
                  <c:v>Utilisatrices par méthode 
(enquête) : 2021</c:v>
                </c:pt>
              </c:strCache>
            </c:strRef>
          </c:cat>
          <c:val>
            <c:numRef>
              <c:f>'Commodities (Clients) Output'!$F$52:$G$52</c:f>
              <c:numCache>
                <c:formatCode>#,##0</c:formatCode>
                <c:ptCount val="2"/>
                <c:pt idx="0">
                  <c:v>#N/A</c:v>
                </c:pt>
                <c:pt idx="1">
                  <c:v>#N/A</c:v>
                </c:pt>
              </c:numCache>
            </c:numRef>
          </c:val>
          <c:extLst>
            <c:ext xmlns:c16="http://schemas.microsoft.com/office/drawing/2014/chart" uri="{C3380CC4-5D6E-409C-BE32-E72D297353CC}">
              <c16:uniqueId val="{00000007-6355-4EA8-A47D-2A0ABA368747}"/>
            </c:ext>
          </c:extLst>
        </c:ser>
        <c:ser>
          <c:idx val="8"/>
          <c:order val="8"/>
          <c:tx>
            <c:strRef>
              <c:f>'Commodities (Clients) Output'!$C$53</c:f>
              <c:strCache>
                <c:ptCount val="1"/>
                <c:pt idx="0">
                  <c:v>Autres méthodes modernes</c:v>
                </c:pt>
              </c:strCache>
            </c:strRef>
          </c:tx>
          <c:spPr>
            <a:solidFill>
              <a:schemeClr val="accent4"/>
            </a:solidFill>
            <a:ln>
              <a:solidFill>
                <a:schemeClr val="bg1"/>
              </a:solidFill>
            </a:ln>
            <a:effectLst/>
          </c:spPr>
          <c:invertIfNegative val="0"/>
          <c:cat>
            <c:strRef>
              <c:f>'Commodities (Clients) Output'!$F$43:$G$43</c:f>
              <c:strCache>
                <c:ptCount val="2"/>
                <c:pt idx="0">
                  <c:v>Utilisatrices par méthode 
(statistiques de service) : 2021</c:v>
                </c:pt>
                <c:pt idx="1">
                  <c:v>Utilisatrices par méthode 
(enquête) : 2021</c:v>
                </c:pt>
              </c:strCache>
            </c:strRef>
          </c:cat>
          <c:val>
            <c:numRef>
              <c:f>'Commodities (Clients) Output'!$F$53:$G$53</c:f>
              <c:numCache>
                <c:formatCode>#,##0</c:formatCode>
                <c:ptCount val="2"/>
                <c:pt idx="0">
                  <c:v>#N/A</c:v>
                </c:pt>
                <c:pt idx="1">
                  <c:v>#N/A</c:v>
                </c:pt>
              </c:numCache>
            </c:numRef>
          </c:val>
          <c:extLst>
            <c:ext xmlns:c16="http://schemas.microsoft.com/office/drawing/2014/chart" uri="{C3380CC4-5D6E-409C-BE32-E72D297353CC}">
              <c16:uniqueId val="{00000008-6355-4EA8-A47D-2A0ABA368747}"/>
            </c:ext>
          </c:extLst>
        </c:ser>
        <c:dLbls>
          <c:showLegendKey val="0"/>
          <c:showVal val="0"/>
          <c:showCatName val="0"/>
          <c:showSerName val="0"/>
          <c:showPercent val="0"/>
          <c:showBubbleSize val="0"/>
        </c:dLbls>
        <c:gapWidth val="50"/>
        <c:overlap val="100"/>
        <c:axId val="1068113584"/>
        <c:axId val="1068127688"/>
      </c:barChart>
      <c:catAx>
        <c:axId val="106811358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068127688"/>
        <c:crosses val="autoZero"/>
        <c:auto val="1"/>
        <c:lblAlgn val="ctr"/>
        <c:lblOffset val="100"/>
        <c:noMultiLvlLbl val="0"/>
      </c:catAx>
      <c:valAx>
        <c:axId val="1068127688"/>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068113584"/>
        <c:crosses val="autoZero"/>
        <c:crossBetween val="between"/>
      </c:valAx>
      <c:spPr>
        <a:noFill/>
        <a:ln>
          <a:noFill/>
        </a:ln>
        <a:effectLst/>
      </c:spPr>
    </c:plotArea>
    <c:legend>
      <c:legendPos val="b"/>
      <c:layout>
        <c:manualLayout>
          <c:xMode val="edge"/>
          <c:yMode val="edge"/>
          <c:x val="7.4004683102697373E-3"/>
          <c:y val="0.80168018440823618"/>
          <c:w val="0.98249771780156792"/>
          <c:h val="0.17668166541384561"/>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567417349140814"/>
          <c:y val="9.0345983236259017E-2"/>
          <c:w val="0.64208014545024916"/>
          <c:h val="0.68444888291402595"/>
        </c:manualLayout>
      </c:layout>
      <c:barChart>
        <c:barDir val="bar"/>
        <c:grouping val="stacked"/>
        <c:varyColors val="0"/>
        <c:ser>
          <c:idx val="0"/>
          <c:order val="0"/>
          <c:tx>
            <c:strRef>
              <c:f>'Commodities (Clients) Output'!$L$45</c:f>
              <c:strCache>
                <c:ptCount val="1"/>
                <c:pt idx="0">
                  <c:v>Stérilisation (f)</c:v>
                </c:pt>
              </c:strCache>
            </c:strRef>
          </c:tx>
          <c:spPr>
            <a:solidFill>
              <a:schemeClr val="accent6"/>
            </a:solidFill>
            <a:ln>
              <a:solidFill>
                <a:schemeClr val="bg1"/>
              </a:solidFill>
            </a:ln>
            <a:effectLst/>
          </c:spPr>
          <c:invertIfNegative val="0"/>
          <c:cat>
            <c:strRef>
              <c:f>'Commodities (Clients) Output'!$M$44:$O$44</c:f>
              <c:strCache>
                <c:ptCount val="3"/>
                <c:pt idx="0">
                  <c:v>Utilisatrices par méthode 
(statistiques de service - non ajustées) : 2017</c:v>
                </c:pt>
                <c:pt idx="1">
                  <c:v>Utilisatrices par méthode 
(statistiques de service - ajustées) : 2017</c:v>
                </c:pt>
                <c:pt idx="2">
                  <c:v>Utilisatrices par méthode 
(enquête / FPET) : 2017</c:v>
                </c:pt>
              </c:strCache>
            </c:strRef>
          </c:cat>
          <c:val>
            <c:numRef>
              <c:f>'Commodities (Clients) Output'!$M$45:$O$45</c:f>
              <c:numCache>
                <c:formatCode>#,##0</c:formatCode>
                <c:ptCount val="3"/>
                <c:pt idx="0">
                  <c:v>#N/A</c:v>
                </c:pt>
                <c:pt idx="1">
                  <c:v>#N/A</c:v>
                </c:pt>
                <c:pt idx="2">
                  <c:v>0</c:v>
                </c:pt>
              </c:numCache>
            </c:numRef>
          </c:val>
          <c:extLst>
            <c:ext xmlns:c16="http://schemas.microsoft.com/office/drawing/2014/chart" uri="{C3380CC4-5D6E-409C-BE32-E72D297353CC}">
              <c16:uniqueId val="{0000000A-FE18-4DB3-8207-8363E5ADD61F}"/>
            </c:ext>
          </c:extLst>
        </c:ser>
        <c:ser>
          <c:idx val="1"/>
          <c:order val="1"/>
          <c:tx>
            <c:strRef>
              <c:f>'Commodities (Clients) Output'!$L$46</c:f>
              <c:strCache>
                <c:ptCount val="1"/>
                <c:pt idx="0">
                  <c:v>Stérilisation (m)</c:v>
                </c:pt>
              </c:strCache>
            </c:strRef>
          </c:tx>
          <c:spPr>
            <a:solidFill>
              <a:schemeClr val="accent6">
                <a:lumMod val="50000"/>
              </a:schemeClr>
            </a:solidFill>
            <a:ln>
              <a:solidFill>
                <a:schemeClr val="bg1"/>
              </a:solidFill>
            </a:ln>
            <a:effectLst/>
          </c:spPr>
          <c:invertIfNegative val="0"/>
          <c:cat>
            <c:strRef>
              <c:f>'Commodities (Clients) Output'!$M$44:$O$44</c:f>
              <c:strCache>
                <c:ptCount val="3"/>
                <c:pt idx="0">
                  <c:v>Utilisatrices par méthode 
(statistiques de service - non ajustées) : 2017</c:v>
                </c:pt>
                <c:pt idx="1">
                  <c:v>Utilisatrices par méthode 
(statistiques de service - ajustées) : 2017</c:v>
                </c:pt>
                <c:pt idx="2">
                  <c:v>Utilisatrices par méthode 
(enquête / FPET) : 2017</c:v>
                </c:pt>
              </c:strCache>
            </c:strRef>
          </c:cat>
          <c:val>
            <c:numRef>
              <c:f>'Commodities (Clients) Output'!$M$46:$O$46</c:f>
              <c:numCache>
                <c:formatCode>#,##0</c:formatCode>
                <c:ptCount val="3"/>
                <c:pt idx="0">
                  <c:v>#N/A</c:v>
                </c:pt>
                <c:pt idx="1">
                  <c:v>#N/A</c:v>
                </c:pt>
                <c:pt idx="2">
                  <c:v>0</c:v>
                </c:pt>
              </c:numCache>
            </c:numRef>
          </c:val>
          <c:extLst>
            <c:ext xmlns:c16="http://schemas.microsoft.com/office/drawing/2014/chart" uri="{C3380CC4-5D6E-409C-BE32-E72D297353CC}">
              <c16:uniqueId val="{0000000C-FE18-4DB3-8207-8363E5ADD61F}"/>
            </c:ext>
          </c:extLst>
        </c:ser>
        <c:ser>
          <c:idx val="2"/>
          <c:order val="2"/>
          <c:tx>
            <c:strRef>
              <c:f>'Commodities (Clients) Output'!$L$47</c:f>
              <c:strCache>
                <c:ptCount val="1"/>
                <c:pt idx="0">
                  <c:v>DIU</c:v>
                </c:pt>
              </c:strCache>
            </c:strRef>
          </c:tx>
          <c:spPr>
            <a:solidFill>
              <a:schemeClr val="bg2"/>
            </a:solidFill>
            <a:ln>
              <a:solidFill>
                <a:schemeClr val="bg1"/>
              </a:solidFill>
            </a:ln>
            <a:effectLst/>
          </c:spPr>
          <c:invertIfNegative val="0"/>
          <c:cat>
            <c:strRef>
              <c:f>'Commodities (Clients) Output'!$M$44:$O$44</c:f>
              <c:strCache>
                <c:ptCount val="3"/>
                <c:pt idx="0">
                  <c:v>Utilisatrices par méthode 
(statistiques de service - non ajustées) : 2017</c:v>
                </c:pt>
                <c:pt idx="1">
                  <c:v>Utilisatrices par méthode 
(statistiques de service - ajustées) : 2017</c:v>
                </c:pt>
                <c:pt idx="2">
                  <c:v>Utilisatrices par méthode 
(enquête / FPET) : 2017</c:v>
                </c:pt>
              </c:strCache>
            </c:strRef>
          </c:cat>
          <c:val>
            <c:numRef>
              <c:f>'Commodities (Clients) Output'!$M$47:$O$47</c:f>
              <c:numCache>
                <c:formatCode>#,##0</c:formatCode>
                <c:ptCount val="3"/>
                <c:pt idx="0">
                  <c:v>#N/A</c:v>
                </c:pt>
                <c:pt idx="1">
                  <c:v>#N/A</c:v>
                </c:pt>
                <c:pt idx="2">
                  <c:v>0</c:v>
                </c:pt>
              </c:numCache>
            </c:numRef>
          </c:val>
          <c:extLst>
            <c:ext xmlns:c16="http://schemas.microsoft.com/office/drawing/2014/chart" uri="{C3380CC4-5D6E-409C-BE32-E72D297353CC}">
              <c16:uniqueId val="{0000000E-FE18-4DB3-8207-8363E5ADD61F}"/>
            </c:ext>
          </c:extLst>
        </c:ser>
        <c:ser>
          <c:idx val="3"/>
          <c:order val="3"/>
          <c:tx>
            <c:strRef>
              <c:f>'Commodities (Clients) Output'!$L$48</c:f>
              <c:strCache>
                <c:ptCount val="1"/>
                <c:pt idx="0">
                  <c:v>Implant</c:v>
                </c:pt>
              </c:strCache>
            </c:strRef>
          </c:tx>
          <c:spPr>
            <a:solidFill>
              <a:schemeClr val="accent2"/>
            </a:solidFill>
            <a:ln>
              <a:solidFill>
                <a:schemeClr val="bg1"/>
              </a:solidFill>
            </a:ln>
            <a:effectLst/>
          </c:spPr>
          <c:invertIfNegative val="0"/>
          <c:cat>
            <c:strRef>
              <c:f>'Commodities (Clients) Output'!$M$44:$O$44</c:f>
              <c:strCache>
                <c:ptCount val="3"/>
                <c:pt idx="0">
                  <c:v>Utilisatrices par méthode 
(statistiques de service - non ajustées) : 2017</c:v>
                </c:pt>
                <c:pt idx="1">
                  <c:v>Utilisatrices par méthode 
(statistiques de service - ajustées) : 2017</c:v>
                </c:pt>
                <c:pt idx="2">
                  <c:v>Utilisatrices par méthode 
(enquête / FPET) : 2017</c:v>
                </c:pt>
              </c:strCache>
            </c:strRef>
          </c:cat>
          <c:val>
            <c:numRef>
              <c:f>'Commodities (Clients) Output'!$M$48:$O$48</c:f>
              <c:numCache>
                <c:formatCode>#,##0</c:formatCode>
                <c:ptCount val="3"/>
                <c:pt idx="0">
                  <c:v>#N/A</c:v>
                </c:pt>
                <c:pt idx="1">
                  <c:v>#N/A</c:v>
                </c:pt>
                <c:pt idx="2">
                  <c:v>0</c:v>
                </c:pt>
              </c:numCache>
            </c:numRef>
          </c:val>
          <c:extLst>
            <c:ext xmlns:c16="http://schemas.microsoft.com/office/drawing/2014/chart" uri="{C3380CC4-5D6E-409C-BE32-E72D297353CC}">
              <c16:uniqueId val="{00000010-FE18-4DB3-8207-8363E5ADD61F}"/>
            </c:ext>
          </c:extLst>
        </c:ser>
        <c:ser>
          <c:idx val="4"/>
          <c:order val="4"/>
          <c:tx>
            <c:strRef>
              <c:f>'Commodities (Clients) Output'!$L$49</c:f>
              <c:strCache>
                <c:ptCount val="1"/>
                <c:pt idx="0">
                  <c:v>Produits injectables</c:v>
                </c:pt>
              </c:strCache>
            </c:strRef>
          </c:tx>
          <c:spPr>
            <a:solidFill>
              <a:schemeClr val="tx2"/>
            </a:solidFill>
            <a:ln>
              <a:solidFill>
                <a:schemeClr val="bg1"/>
              </a:solidFill>
            </a:ln>
            <a:effectLst/>
          </c:spPr>
          <c:invertIfNegative val="0"/>
          <c:cat>
            <c:strRef>
              <c:f>'Commodities (Clients) Output'!$M$44:$O$44</c:f>
              <c:strCache>
                <c:ptCount val="3"/>
                <c:pt idx="0">
                  <c:v>Utilisatrices par méthode 
(statistiques de service - non ajustées) : 2017</c:v>
                </c:pt>
                <c:pt idx="1">
                  <c:v>Utilisatrices par méthode 
(statistiques de service - ajustées) : 2017</c:v>
                </c:pt>
                <c:pt idx="2">
                  <c:v>Utilisatrices par méthode 
(enquête / FPET) : 2017</c:v>
                </c:pt>
              </c:strCache>
            </c:strRef>
          </c:cat>
          <c:val>
            <c:numRef>
              <c:f>'Commodities (Clients) Output'!$M$49:$O$49</c:f>
              <c:numCache>
                <c:formatCode>#,##0</c:formatCode>
                <c:ptCount val="3"/>
                <c:pt idx="0">
                  <c:v>#N/A</c:v>
                </c:pt>
                <c:pt idx="1">
                  <c:v>#N/A</c:v>
                </c:pt>
                <c:pt idx="2">
                  <c:v>0</c:v>
                </c:pt>
              </c:numCache>
            </c:numRef>
          </c:val>
          <c:extLst>
            <c:ext xmlns:c16="http://schemas.microsoft.com/office/drawing/2014/chart" uri="{C3380CC4-5D6E-409C-BE32-E72D297353CC}">
              <c16:uniqueId val="{00000012-FE18-4DB3-8207-8363E5ADD61F}"/>
            </c:ext>
          </c:extLst>
        </c:ser>
        <c:ser>
          <c:idx val="5"/>
          <c:order val="5"/>
          <c:tx>
            <c:strRef>
              <c:f>'Commodities (Clients) Output'!$L$50</c:f>
              <c:strCache>
                <c:ptCount val="1"/>
                <c:pt idx="0">
                  <c:v>Pilule</c:v>
                </c:pt>
              </c:strCache>
            </c:strRef>
          </c:tx>
          <c:spPr>
            <a:solidFill>
              <a:schemeClr val="accent1"/>
            </a:solidFill>
            <a:ln>
              <a:solidFill>
                <a:schemeClr val="bg1"/>
              </a:solidFill>
            </a:ln>
            <a:effectLst/>
          </c:spPr>
          <c:invertIfNegative val="0"/>
          <c:cat>
            <c:strRef>
              <c:f>'Commodities (Clients) Output'!$M$44:$O$44</c:f>
              <c:strCache>
                <c:ptCount val="3"/>
                <c:pt idx="0">
                  <c:v>Utilisatrices par méthode 
(statistiques de service - non ajustées) : 2017</c:v>
                </c:pt>
                <c:pt idx="1">
                  <c:v>Utilisatrices par méthode 
(statistiques de service - ajustées) : 2017</c:v>
                </c:pt>
                <c:pt idx="2">
                  <c:v>Utilisatrices par méthode 
(enquête / FPET) : 2017</c:v>
                </c:pt>
              </c:strCache>
            </c:strRef>
          </c:cat>
          <c:val>
            <c:numRef>
              <c:f>'Commodities (Clients) Output'!$M$50:$O$50</c:f>
              <c:numCache>
                <c:formatCode>#,##0</c:formatCode>
                <c:ptCount val="3"/>
                <c:pt idx="0">
                  <c:v>#N/A</c:v>
                </c:pt>
                <c:pt idx="1">
                  <c:v>#N/A</c:v>
                </c:pt>
                <c:pt idx="2">
                  <c:v>0</c:v>
                </c:pt>
              </c:numCache>
            </c:numRef>
          </c:val>
          <c:extLst>
            <c:ext xmlns:c16="http://schemas.microsoft.com/office/drawing/2014/chart" uri="{C3380CC4-5D6E-409C-BE32-E72D297353CC}">
              <c16:uniqueId val="{00000014-FE18-4DB3-8207-8363E5ADD61F}"/>
            </c:ext>
          </c:extLst>
        </c:ser>
        <c:ser>
          <c:idx val="6"/>
          <c:order val="6"/>
          <c:tx>
            <c:strRef>
              <c:f>'Commodities (Clients) Output'!$L$51</c:f>
              <c:strCache>
                <c:ptCount val="1"/>
                <c:pt idx="0">
                  <c:v>Préservatifs (m+f)</c:v>
                </c:pt>
              </c:strCache>
            </c:strRef>
          </c:tx>
          <c:spPr>
            <a:solidFill>
              <a:schemeClr val="accent3"/>
            </a:solidFill>
            <a:ln>
              <a:solidFill>
                <a:schemeClr val="bg1"/>
              </a:solidFill>
            </a:ln>
            <a:effectLst/>
          </c:spPr>
          <c:invertIfNegative val="0"/>
          <c:cat>
            <c:strRef>
              <c:f>'Commodities (Clients) Output'!$M$44:$O$44</c:f>
              <c:strCache>
                <c:ptCount val="3"/>
                <c:pt idx="0">
                  <c:v>Utilisatrices par méthode 
(statistiques de service - non ajustées) : 2017</c:v>
                </c:pt>
                <c:pt idx="1">
                  <c:v>Utilisatrices par méthode 
(statistiques de service - ajustées) : 2017</c:v>
                </c:pt>
                <c:pt idx="2">
                  <c:v>Utilisatrices par méthode 
(enquête / FPET) : 2017</c:v>
                </c:pt>
              </c:strCache>
            </c:strRef>
          </c:cat>
          <c:val>
            <c:numRef>
              <c:f>'Commodities (Clients) Output'!$M$51:$O$51</c:f>
              <c:numCache>
                <c:formatCode>#,##0</c:formatCode>
                <c:ptCount val="3"/>
                <c:pt idx="0">
                  <c:v>#N/A</c:v>
                </c:pt>
                <c:pt idx="1">
                  <c:v>#N/A</c:v>
                </c:pt>
                <c:pt idx="2">
                  <c:v>0</c:v>
                </c:pt>
              </c:numCache>
            </c:numRef>
          </c:val>
          <c:extLst>
            <c:ext xmlns:c16="http://schemas.microsoft.com/office/drawing/2014/chart" uri="{C3380CC4-5D6E-409C-BE32-E72D297353CC}">
              <c16:uniqueId val="{00000016-FE18-4DB3-8207-8363E5ADD61F}"/>
            </c:ext>
          </c:extLst>
        </c:ser>
        <c:ser>
          <c:idx val="8"/>
          <c:order val="7"/>
          <c:tx>
            <c:strRef>
              <c:f>'Commodities (Clients) Output'!$L$52</c:f>
              <c:strCache>
                <c:ptCount val="1"/>
                <c:pt idx="0">
                  <c:v>MAMA</c:v>
                </c:pt>
              </c:strCache>
            </c:strRef>
          </c:tx>
          <c:spPr>
            <a:solidFill>
              <a:schemeClr val="accent6">
                <a:lumMod val="40000"/>
                <a:lumOff val="60000"/>
              </a:schemeClr>
            </a:solidFill>
            <a:ln>
              <a:solidFill>
                <a:schemeClr val="bg1"/>
              </a:solidFill>
            </a:ln>
            <a:effectLst/>
          </c:spPr>
          <c:invertIfNegative val="0"/>
          <c:cat>
            <c:strRef>
              <c:f>'Commodities (Clients) Output'!$M$44:$O$44</c:f>
              <c:strCache>
                <c:ptCount val="3"/>
                <c:pt idx="0">
                  <c:v>Utilisatrices par méthode 
(statistiques de service - non ajustées) : 2017</c:v>
                </c:pt>
                <c:pt idx="1">
                  <c:v>Utilisatrices par méthode 
(statistiques de service - ajustées) : 2017</c:v>
                </c:pt>
                <c:pt idx="2">
                  <c:v>Utilisatrices par méthode 
(enquête / FPET) : 2017</c:v>
                </c:pt>
              </c:strCache>
            </c:strRef>
          </c:cat>
          <c:val>
            <c:numRef>
              <c:f>'Commodities (Clients) Output'!$M$52:$O$52</c:f>
              <c:numCache>
                <c:formatCode>#,##0</c:formatCode>
                <c:ptCount val="3"/>
                <c:pt idx="0">
                  <c:v>#N/A</c:v>
                </c:pt>
                <c:pt idx="1">
                  <c:v>#N/A</c:v>
                </c:pt>
                <c:pt idx="2">
                  <c:v>0</c:v>
                </c:pt>
              </c:numCache>
            </c:numRef>
          </c:val>
          <c:extLst>
            <c:ext xmlns:c16="http://schemas.microsoft.com/office/drawing/2014/chart" uri="{C3380CC4-5D6E-409C-BE32-E72D297353CC}">
              <c16:uniqueId val="{0000001A-FE18-4DB3-8207-8363E5ADD61F}"/>
            </c:ext>
          </c:extLst>
        </c:ser>
        <c:ser>
          <c:idx val="7"/>
          <c:order val="8"/>
          <c:tx>
            <c:strRef>
              <c:f>'Commodities (Clients) Output'!$L$53</c:f>
              <c:strCache>
                <c:ptCount val="1"/>
                <c:pt idx="0">
                  <c:v>Contraception d'urgence</c:v>
                </c:pt>
              </c:strCache>
            </c:strRef>
          </c:tx>
          <c:spPr>
            <a:solidFill>
              <a:schemeClr val="accent5"/>
            </a:solidFill>
            <a:ln>
              <a:solidFill>
                <a:schemeClr val="bg1"/>
              </a:solidFill>
            </a:ln>
            <a:effectLst/>
          </c:spPr>
          <c:invertIfNegative val="0"/>
          <c:cat>
            <c:strRef>
              <c:f>'Commodities (Clients) Output'!$M$44:$O$44</c:f>
              <c:strCache>
                <c:ptCount val="3"/>
                <c:pt idx="0">
                  <c:v>Utilisatrices par méthode 
(statistiques de service - non ajustées) : 2017</c:v>
                </c:pt>
                <c:pt idx="1">
                  <c:v>Utilisatrices par méthode 
(statistiques de service - ajustées) : 2017</c:v>
                </c:pt>
                <c:pt idx="2">
                  <c:v>Utilisatrices par méthode 
(enquête / FPET) : 2017</c:v>
                </c:pt>
              </c:strCache>
            </c:strRef>
          </c:cat>
          <c:val>
            <c:numRef>
              <c:f>'Commodities (Clients) Output'!$M$53:$O$53</c:f>
              <c:numCache>
                <c:formatCode>#,##0</c:formatCode>
                <c:ptCount val="3"/>
                <c:pt idx="0">
                  <c:v>#N/A</c:v>
                </c:pt>
                <c:pt idx="1">
                  <c:v>#N/A</c:v>
                </c:pt>
                <c:pt idx="2">
                  <c:v>0</c:v>
                </c:pt>
              </c:numCache>
            </c:numRef>
          </c:val>
          <c:extLst>
            <c:ext xmlns:c16="http://schemas.microsoft.com/office/drawing/2014/chart" uri="{C3380CC4-5D6E-409C-BE32-E72D297353CC}">
              <c16:uniqueId val="{00000018-FE18-4DB3-8207-8363E5ADD61F}"/>
            </c:ext>
          </c:extLst>
        </c:ser>
        <c:ser>
          <c:idx val="9"/>
          <c:order val="9"/>
          <c:tx>
            <c:strRef>
              <c:f>'Commodities (Clients) Output'!$L$54</c:f>
              <c:strCache>
                <c:ptCount val="1"/>
                <c:pt idx="0">
                  <c:v>Autres méthodes modernes</c:v>
                </c:pt>
              </c:strCache>
            </c:strRef>
          </c:tx>
          <c:spPr>
            <a:ln>
              <a:solidFill>
                <a:schemeClr val="bg1"/>
              </a:solidFill>
            </a:ln>
          </c:spPr>
          <c:invertIfNegative val="0"/>
          <c:cat>
            <c:strRef>
              <c:f>'Commodities (Clients) Output'!$M$44:$O$44</c:f>
              <c:strCache>
                <c:ptCount val="3"/>
                <c:pt idx="0">
                  <c:v>Utilisatrices par méthode 
(statistiques de service - non ajustées) : 2017</c:v>
                </c:pt>
                <c:pt idx="1">
                  <c:v>Utilisatrices par méthode 
(statistiques de service - ajustées) : 2017</c:v>
                </c:pt>
                <c:pt idx="2">
                  <c:v>Utilisatrices par méthode 
(enquête / FPET) : 2017</c:v>
                </c:pt>
              </c:strCache>
            </c:strRef>
          </c:cat>
          <c:val>
            <c:numRef>
              <c:f>'Commodities (Clients) Output'!$M$54:$O$54</c:f>
              <c:numCache>
                <c:formatCode>#,##0</c:formatCode>
                <c:ptCount val="3"/>
                <c:pt idx="0">
                  <c:v>#N/A</c:v>
                </c:pt>
                <c:pt idx="1">
                  <c:v>#N/A</c:v>
                </c:pt>
                <c:pt idx="2">
                  <c:v>0</c:v>
                </c:pt>
              </c:numCache>
            </c:numRef>
          </c:val>
          <c:extLst>
            <c:ext xmlns:c16="http://schemas.microsoft.com/office/drawing/2014/chart" uri="{C3380CC4-5D6E-409C-BE32-E72D297353CC}">
              <c16:uniqueId val="{00000000-3FBD-4C73-ABF5-57A53C00B7E3}"/>
            </c:ext>
          </c:extLst>
        </c:ser>
        <c:dLbls>
          <c:showLegendKey val="0"/>
          <c:showVal val="0"/>
          <c:showCatName val="0"/>
          <c:showSerName val="0"/>
          <c:showPercent val="0"/>
          <c:showBubbleSize val="0"/>
        </c:dLbls>
        <c:gapWidth val="50"/>
        <c:overlap val="100"/>
        <c:axId val="1068113584"/>
        <c:axId val="1068127688"/>
      </c:barChart>
      <c:catAx>
        <c:axId val="106811358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068127688"/>
        <c:crosses val="autoZero"/>
        <c:auto val="1"/>
        <c:lblAlgn val="ctr"/>
        <c:lblOffset val="100"/>
        <c:noMultiLvlLbl val="0"/>
      </c:catAx>
      <c:valAx>
        <c:axId val="1068127688"/>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068113584"/>
        <c:crosses val="autoZero"/>
        <c:crossBetween val="between"/>
      </c:valAx>
    </c:plotArea>
    <c:legend>
      <c:legendPos val="b"/>
      <c:layout>
        <c:manualLayout>
          <c:xMode val="edge"/>
          <c:yMode val="edge"/>
          <c:x val="7.4004683102697373E-3"/>
          <c:y val="0.80168018440823618"/>
          <c:w val="0.98891722356764056"/>
          <c:h val="0.1983198660163209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774376908538658E-2"/>
          <c:y val="3.6666666666666667E-2"/>
          <c:w val="0.75412885191672718"/>
          <c:h val="0.87764881889763768"/>
        </c:manualLayout>
      </c:layout>
      <c:lineChart>
        <c:grouping val="standard"/>
        <c:varyColors val="0"/>
        <c:ser>
          <c:idx val="0"/>
          <c:order val="0"/>
          <c:tx>
            <c:strRef>
              <c:f>'Commodities (Clients) Output'!$C$57</c:f>
              <c:strCache>
                <c:ptCount val="1"/>
                <c:pt idx="0">
                  <c:v>Utilisatrices (statistiques de service - non ajustées)</c:v>
                </c:pt>
              </c:strCache>
            </c:strRef>
          </c:tx>
          <c:spPr>
            <a:ln w="57150" cap="rnd">
              <a:solidFill>
                <a:schemeClr val="accent6">
                  <a:lumMod val="50000"/>
                </a:schemeClr>
              </a:solidFill>
              <a:round/>
            </a:ln>
            <a:effectLst/>
          </c:spPr>
          <c:marker>
            <c:symbol val="circle"/>
            <c:size val="5"/>
            <c:spPr>
              <a:solidFill>
                <a:schemeClr val="accent6">
                  <a:lumMod val="50000"/>
                </a:schemeClr>
              </a:solidFill>
              <a:ln w="57150">
                <a:solidFill>
                  <a:schemeClr val="accent6">
                    <a:lumMod val="50000"/>
                  </a:schemeClr>
                </a:solidFill>
              </a:ln>
              <a:effectLst/>
            </c:spPr>
          </c:marker>
          <c:cat>
            <c:numRef>
              <c:f>[0]!Year_C2C</c:f>
              <c:numCache>
                <c:formatCode>General</c:formatCode>
                <c:ptCount val="1"/>
                <c:pt idx="0">
                  <c:v>0</c:v>
                </c:pt>
              </c:numCache>
            </c:numRef>
          </c:cat>
          <c:val>
            <c:numRef>
              <c:f>'Commodities (Clients) Output'!Users_Total_SS_Unadjusted</c:f>
              <c:numCache>
                <c:formatCode>#,##0</c:formatCode>
                <c:ptCount val="1"/>
                <c:pt idx="0">
                  <c:v>#N/A</c:v>
                </c:pt>
              </c:numCache>
            </c:numRef>
          </c:val>
          <c:smooth val="0"/>
          <c:extLst>
            <c:ext xmlns:c16="http://schemas.microsoft.com/office/drawing/2014/chart" uri="{C3380CC4-5D6E-409C-BE32-E72D297353CC}">
              <c16:uniqueId val="{00000000-6C28-4BD1-A2C6-2F54541515B6}"/>
            </c:ext>
          </c:extLst>
        </c:ser>
        <c:ser>
          <c:idx val="1"/>
          <c:order val="1"/>
          <c:tx>
            <c:strRef>
              <c:f>'Commodities (Clients) Output'!$C$58</c:f>
              <c:strCache>
                <c:ptCount val="1"/>
                <c:pt idx="0">
                  <c:v>Utilisatrices (statistiques de service - ajustées)</c:v>
                </c:pt>
              </c:strCache>
            </c:strRef>
          </c:tx>
          <c:spPr>
            <a:ln w="38100" cap="rnd">
              <a:solidFill>
                <a:schemeClr val="accent6"/>
              </a:solidFill>
              <a:round/>
            </a:ln>
            <a:effectLst/>
          </c:spPr>
          <c:marker>
            <c:symbol val="circle"/>
            <c:size val="5"/>
            <c:spPr>
              <a:solidFill>
                <a:schemeClr val="accent6"/>
              </a:solidFill>
              <a:ln w="38100">
                <a:solidFill>
                  <a:schemeClr val="accent6"/>
                </a:solidFill>
              </a:ln>
              <a:effectLst/>
            </c:spPr>
          </c:marker>
          <c:cat>
            <c:numRef>
              <c:f>[0]!Year_C2C</c:f>
              <c:numCache>
                <c:formatCode>General</c:formatCode>
                <c:ptCount val="1"/>
                <c:pt idx="0">
                  <c:v>0</c:v>
                </c:pt>
              </c:numCache>
            </c:numRef>
          </c:cat>
          <c:val>
            <c:numRef>
              <c:f>'Commodities (Clients) Output'!Users_Total_SS_Adjusted</c:f>
              <c:numCache>
                <c:formatCode>#,##0</c:formatCode>
                <c:ptCount val="1"/>
                <c:pt idx="0">
                  <c:v>#N/A</c:v>
                </c:pt>
              </c:numCache>
            </c:numRef>
          </c:val>
          <c:smooth val="0"/>
          <c:extLst>
            <c:ext xmlns:c16="http://schemas.microsoft.com/office/drawing/2014/chart" uri="{C3380CC4-5D6E-409C-BE32-E72D297353CC}">
              <c16:uniqueId val="{00000001-6C28-4BD1-A2C6-2F54541515B6}"/>
            </c:ext>
          </c:extLst>
        </c:ser>
        <c:ser>
          <c:idx val="2"/>
          <c:order val="2"/>
          <c:tx>
            <c:strRef>
              <c:f>'Commodities (Clients) Output'!$C$59</c:f>
              <c:strCache>
                <c:ptCount val="1"/>
                <c:pt idx="0">
                  <c:v>Utilisatrices (enquête / FPET)</c:v>
                </c:pt>
              </c:strCache>
            </c:strRef>
          </c:tx>
          <c:spPr>
            <a:ln w="38100" cap="rnd">
              <a:solidFill>
                <a:schemeClr val="accent6">
                  <a:lumMod val="60000"/>
                  <a:lumOff val="40000"/>
                </a:schemeClr>
              </a:solidFill>
              <a:round/>
            </a:ln>
            <a:effectLst/>
          </c:spPr>
          <c:marker>
            <c:symbol val="circle"/>
            <c:size val="5"/>
            <c:spPr>
              <a:solidFill>
                <a:schemeClr val="accent6">
                  <a:lumMod val="60000"/>
                  <a:lumOff val="40000"/>
                </a:schemeClr>
              </a:solidFill>
              <a:ln w="38100">
                <a:solidFill>
                  <a:schemeClr val="accent6">
                    <a:lumMod val="60000"/>
                    <a:lumOff val="40000"/>
                  </a:schemeClr>
                </a:solidFill>
              </a:ln>
              <a:effectLst/>
            </c:spPr>
          </c:marker>
          <c:cat>
            <c:numRef>
              <c:f>[0]!Year_C2C</c:f>
              <c:numCache>
                <c:formatCode>General</c:formatCode>
                <c:ptCount val="1"/>
                <c:pt idx="0">
                  <c:v>0</c:v>
                </c:pt>
              </c:numCache>
            </c:numRef>
          </c:cat>
          <c:val>
            <c:numRef>
              <c:f>'Commodities (Clients) Output'!Users_Total_Survey</c:f>
              <c:numCache>
                <c:formatCode>#,##0</c:formatCode>
                <c:ptCount val="1"/>
                <c:pt idx="0">
                  <c:v>#N/A</c:v>
                </c:pt>
              </c:numCache>
            </c:numRef>
          </c:val>
          <c:smooth val="0"/>
          <c:extLst>
            <c:ext xmlns:c16="http://schemas.microsoft.com/office/drawing/2014/chart" uri="{C3380CC4-5D6E-409C-BE32-E72D297353CC}">
              <c16:uniqueId val="{00000002-6C28-4BD1-A2C6-2F54541515B6}"/>
            </c:ext>
          </c:extLst>
        </c:ser>
        <c:dLbls>
          <c:showLegendKey val="0"/>
          <c:showVal val="0"/>
          <c:showCatName val="0"/>
          <c:showSerName val="0"/>
          <c:showPercent val="0"/>
          <c:showBubbleSize val="0"/>
        </c:dLbls>
        <c:marker val="1"/>
        <c:smooth val="0"/>
        <c:axId val="1240115104"/>
        <c:axId val="724702192"/>
      </c:lineChart>
      <c:catAx>
        <c:axId val="1240115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724702192"/>
        <c:crosses val="autoZero"/>
        <c:auto val="1"/>
        <c:lblAlgn val="ctr"/>
        <c:lblOffset val="100"/>
        <c:noMultiLvlLbl val="0"/>
      </c:catAx>
      <c:valAx>
        <c:axId val="724702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40115104"/>
        <c:crosses val="autoZero"/>
        <c:crossBetween val="between"/>
      </c:valAx>
      <c:spPr>
        <a:noFill/>
        <a:ln>
          <a:noFill/>
        </a:ln>
        <a:effectLst/>
      </c:spPr>
    </c:plotArea>
    <c:legend>
      <c:legendPos val="b"/>
      <c:layout>
        <c:manualLayout>
          <c:xMode val="edge"/>
          <c:yMode val="edge"/>
          <c:x val="0.80849334033173237"/>
          <c:y val="3.5940437515240689E-2"/>
          <c:w val="0.182556872163258"/>
          <c:h val="0.94407954250473924"/>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37528165575134E-2"/>
          <c:y val="5.6973759444308048E-2"/>
          <c:w val="0.87398506745692484"/>
          <c:h val="0.63508979994339321"/>
        </c:manualLayout>
      </c:layout>
      <c:barChart>
        <c:barDir val="col"/>
        <c:grouping val="clustered"/>
        <c:varyColors val="0"/>
        <c:ser>
          <c:idx val="0"/>
          <c:order val="0"/>
          <c:tx>
            <c:strRef>
              <c:f>'Commodities (Facility) Input'!$C$23</c:f>
              <c:strCache>
                <c:ptCount val="1"/>
                <c:pt idx="0">
                  <c:v>Ligature des trompes</c:v>
                </c:pt>
              </c:strCache>
            </c:strRef>
          </c:tx>
          <c:spPr>
            <a:solidFill>
              <a:schemeClr val="tx2"/>
            </a:solidFill>
            <a:ln>
              <a:noFill/>
            </a:ln>
            <a:effectLst/>
          </c:spPr>
          <c:invertIfNegative val="0"/>
          <c:cat>
            <c:numRef>
              <c:f>'Commodities (Facility) Input'!Year_C2F</c:f>
              <c:numCache>
                <c:formatCode>General</c:formatCode>
                <c:ptCount val="1"/>
                <c:pt idx="0">
                  <c:v>0</c:v>
                </c:pt>
              </c:numCache>
            </c:numRef>
          </c:cat>
          <c:val>
            <c:numRef>
              <c:f>'Commodities (Facility) Input'!TL</c:f>
              <c:numCache>
                <c:formatCode>#,##0</c:formatCode>
                <c:ptCount val="1"/>
              </c:numCache>
            </c:numRef>
          </c:val>
          <c:extLst>
            <c:ext xmlns:c16="http://schemas.microsoft.com/office/drawing/2014/chart" uri="{C3380CC4-5D6E-409C-BE32-E72D297353CC}">
              <c16:uniqueId val="{00000000-6466-4C85-8FDB-5D6ABE0267CD}"/>
            </c:ext>
          </c:extLst>
        </c:ser>
        <c:ser>
          <c:idx val="1"/>
          <c:order val="1"/>
          <c:tx>
            <c:strRef>
              <c:f>'Commodities (Facility) Input'!$C$24</c:f>
              <c:strCache>
                <c:ptCount val="1"/>
                <c:pt idx="0">
                  <c:v>Vasectomie</c:v>
                </c:pt>
              </c:strCache>
            </c:strRef>
          </c:tx>
          <c:spPr>
            <a:solidFill>
              <a:schemeClr val="accent1"/>
            </a:solidFill>
            <a:ln>
              <a:noFill/>
            </a:ln>
            <a:effectLst/>
          </c:spPr>
          <c:invertIfNegative val="0"/>
          <c:cat>
            <c:numRef>
              <c:f>'Commodities (Facility) Input'!Year_C2F</c:f>
              <c:numCache>
                <c:formatCode>General</c:formatCode>
                <c:ptCount val="1"/>
                <c:pt idx="0">
                  <c:v>0</c:v>
                </c:pt>
              </c:numCache>
            </c:numRef>
          </c:cat>
          <c:val>
            <c:numRef>
              <c:f>'Commodities (Facility) Input'!Vasectomy</c:f>
              <c:numCache>
                <c:formatCode>#,##0</c:formatCode>
                <c:ptCount val="1"/>
              </c:numCache>
            </c:numRef>
          </c:val>
          <c:extLst>
            <c:ext xmlns:c16="http://schemas.microsoft.com/office/drawing/2014/chart" uri="{C3380CC4-5D6E-409C-BE32-E72D297353CC}">
              <c16:uniqueId val="{00000001-6466-4C85-8FDB-5D6ABE0267CD}"/>
            </c:ext>
          </c:extLst>
        </c:ser>
        <c:dLbls>
          <c:showLegendKey val="0"/>
          <c:showVal val="0"/>
          <c:showCatName val="0"/>
          <c:showSerName val="0"/>
          <c:showPercent val="0"/>
          <c:showBubbleSize val="0"/>
        </c:dLbls>
        <c:gapWidth val="50"/>
        <c:axId val="320856328"/>
        <c:axId val="320863544"/>
      </c:barChart>
      <c:catAx>
        <c:axId val="320856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863544"/>
        <c:crosses val="autoZero"/>
        <c:auto val="1"/>
        <c:lblAlgn val="ctr"/>
        <c:lblOffset val="100"/>
        <c:noMultiLvlLbl val="0"/>
      </c:catAx>
      <c:valAx>
        <c:axId val="32086354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856328"/>
        <c:crosses val="autoZero"/>
        <c:crossBetween val="between"/>
      </c:valAx>
      <c:spPr>
        <a:noFill/>
        <a:ln>
          <a:noFill/>
        </a:ln>
        <a:effectLst/>
      </c:spPr>
    </c:plotArea>
    <c:legend>
      <c:legendPos val="b"/>
      <c:layout>
        <c:manualLayout>
          <c:xMode val="edge"/>
          <c:yMode val="edge"/>
          <c:x val="2.0889556895667622E-3"/>
          <c:y val="0.8394351400445188"/>
          <c:w val="0.99221848399474599"/>
          <c:h val="0.1294882638949497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9165375271379"/>
          <c:y val="5.6973759444308048E-2"/>
          <c:w val="0.85144457188156886"/>
          <c:h val="0.7028527034120734"/>
        </c:manualLayout>
      </c:layout>
      <c:barChart>
        <c:barDir val="col"/>
        <c:grouping val="stacked"/>
        <c:varyColors val="0"/>
        <c:ser>
          <c:idx val="0"/>
          <c:order val="0"/>
          <c:tx>
            <c:strRef>
              <c:f>'Commodities (Facility) Input'!$C$25</c:f>
              <c:strCache>
                <c:ptCount val="1"/>
                <c:pt idx="0">
                  <c:v>Copper- T 380-A DIU</c:v>
                </c:pt>
              </c:strCache>
            </c:strRef>
          </c:tx>
          <c:spPr>
            <a:solidFill>
              <a:schemeClr val="tx2"/>
            </a:solidFill>
            <a:ln>
              <a:solidFill>
                <a:schemeClr val="bg1"/>
              </a:solidFill>
            </a:ln>
            <a:effectLst/>
          </c:spPr>
          <c:invertIfNegative val="0"/>
          <c:cat>
            <c:numRef>
              <c:f>'Commodities (Facility) Input'!Year_C2F</c:f>
              <c:numCache>
                <c:formatCode>General</c:formatCode>
                <c:ptCount val="1"/>
                <c:pt idx="0">
                  <c:v>0</c:v>
                </c:pt>
              </c:numCache>
            </c:numRef>
          </c:cat>
          <c:val>
            <c:numRef>
              <c:f>'Commodities (Facility) Input'!CopperT</c:f>
              <c:numCache>
                <c:formatCode>#,##0</c:formatCode>
                <c:ptCount val="1"/>
              </c:numCache>
            </c:numRef>
          </c:val>
          <c:extLst>
            <c:ext xmlns:c16="http://schemas.microsoft.com/office/drawing/2014/chart" uri="{C3380CC4-5D6E-409C-BE32-E72D297353CC}">
              <c16:uniqueId val="{00000000-202D-483A-91C7-F7F154265B78}"/>
            </c:ext>
          </c:extLst>
        </c:ser>
        <c:ser>
          <c:idx val="1"/>
          <c:order val="1"/>
          <c:tx>
            <c:strRef>
              <c:f>'Commodities (Facility) Input'!$C$26</c:f>
              <c:strCache>
                <c:ptCount val="1"/>
                <c:pt idx="0">
                  <c:v>DIU Hormonal (LNG-IUS)</c:v>
                </c:pt>
              </c:strCache>
            </c:strRef>
          </c:tx>
          <c:spPr>
            <a:solidFill>
              <a:schemeClr val="accent1"/>
            </a:solidFill>
            <a:ln>
              <a:solidFill>
                <a:schemeClr val="bg1"/>
              </a:solidFill>
            </a:ln>
            <a:effectLst/>
          </c:spPr>
          <c:invertIfNegative val="0"/>
          <c:cat>
            <c:numRef>
              <c:f>'Commodities (Facility) Input'!Year_C2F</c:f>
              <c:numCache>
                <c:formatCode>General</c:formatCode>
                <c:ptCount val="1"/>
                <c:pt idx="0">
                  <c:v>0</c:v>
                </c:pt>
              </c:numCache>
            </c:numRef>
          </c:cat>
          <c:val>
            <c:numRef>
              <c:f>'Commodities (Facility) Input'!LNG</c:f>
              <c:numCache>
                <c:formatCode>#,##0</c:formatCode>
                <c:ptCount val="1"/>
              </c:numCache>
            </c:numRef>
          </c:val>
          <c:extLst>
            <c:ext xmlns:c16="http://schemas.microsoft.com/office/drawing/2014/chart" uri="{C3380CC4-5D6E-409C-BE32-E72D297353CC}">
              <c16:uniqueId val="{00000001-202D-483A-91C7-F7F154265B78}"/>
            </c:ext>
          </c:extLst>
        </c:ser>
        <c:dLbls>
          <c:showLegendKey val="0"/>
          <c:showVal val="0"/>
          <c:showCatName val="0"/>
          <c:showSerName val="0"/>
          <c:showPercent val="0"/>
          <c:showBubbleSize val="0"/>
        </c:dLbls>
        <c:gapWidth val="50"/>
        <c:overlap val="100"/>
        <c:axId val="320856328"/>
        <c:axId val="320863544"/>
      </c:barChart>
      <c:catAx>
        <c:axId val="320856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863544"/>
        <c:crosses val="autoZero"/>
        <c:auto val="1"/>
        <c:lblAlgn val="ctr"/>
        <c:lblOffset val="100"/>
        <c:noMultiLvlLbl val="0"/>
      </c:catAx>
      <c:valAx>
        <c:axId val="32086354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856328"/>
        <c:crosses val="autoZero"/>
        <c:crossBetween val="between"/>
      </c:valAx>
      <c:spPr>
        <a:noFill/>
        <a:ln>
          <a:noFill/>
        </a:ln>
        <a:effectLst/>
      </c:spPr>
    </c:plotArea>
    <c:legend>
      <c:legendPos val="b"/>
      <c:layout>
        <c:manualLayout>
          <c:xMode val="edge"/>
          <c:yMode val="edge"/>
          <c:x val="1.7159215475107899E-2"/>
          <c:y val="0.89730099737532809"/>
          <c:w val="0.9376995585055673"/>
          <c:h val="9.968923884514437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07818841766494"/>
          <c:y val="6.1060227588121012E-2"/>
          <c:w val="0.83685668333075813"/>
          <c:h val="0.55681245506260091"/>
        </c:manualLayout>
      </c:layout>
      <c:barChart>
        <c:barDir val="col"/>
        <c:grouping val="stacked"/>
        <c:varyColors val="0"/>
        <c:ser>
          <c:idx val="0"/>
          <c:order val="0"/>
          <c:tx>
            <c:strRef>
              <c:f>'Commodities (Facility) Input'!$C$27</c:f>
              <c:strCache>
                <c:ptCount val="1"/>
                <c:pt idx="0">
                  <c:v>Implant de 3 ans (Implanon, Levoplant)</c:v>
                </c:pt>
              </c:strCache>
            </c:strRef>
          </c:tx>
          <c:spPr>
            <a:solidFill>
              <a:schemeClr val="tx2"/>
            </a:solidFill>
            <a:ln>
              <a:solidFill>
                <a:schemeClr val="bg1"/>
              </a:solidFill>
            </a:ln>
            <a:effectLst/>
          </c:spPr>
          <c:invertIfNegative val="0"/>
          <c:cat>
            <c:numRef>
              <c:f>'Commodities (Facility) Input'!Year_C2F</c:f>
              <c:numCache>
                <c:formatCode>General</c:formatCode>
                <c:ptCount val="1"/>
                <c:pt idx="0">
                  <c:v>0</c:v>
                </c:pt>
              </c:numCache>
            </c:numRef>
          </c:cat>
          <c:val>
            <c:numRef>
              <c:f>'Commodities (Facility) Input'!Implanon</c:f>
              <c:numCache>
                <c:formatCode>#,##0</c:formatCode>
                <c:ptCount val="1"/>
              </c:numCache>
            </c:numRef>
          </c:val>
          <c:extLst>
            <c:ext xmlns:c16="http://schemas.microsoft.com/office/drawing/2014/chart" uri="{C3380CC4-5D6E-409C-BE32-E72D297353CC}">
              <c16:uniqueId val="{00000000-7ACA-4906-B088-922455AFD726}"/>
            </c:ext>
          </c:extLst>
        </c:ser>
        <c:ser>
          <c:idx val="1"/>
          <c:order val="1"/>
          <c:tx>
            <c:strRef>
              <c:f>'Commodities (Facility) Input'!$C$28</c:f>
              <c:strCache>
                <c:ptCount val="1"/>
                <c:pt idx="0">
                  <c:v>Implant de 4 ans (Sino-Implant)</c:v>
                </c:pt>
              </c:strCache>
            </c:strRef>
          </c:tx>
          <c:spPr>
            <a:solidFill>
              <a:schemeClr val="accent1"/>
            </a:solidFill>
            <a:ln>
              <a:solidFill>
                <a:schemeClr val="bg1"/>
              </a:solidFill>
            </a:ln>
            <a:effectLst/>
          </c:spPr>
          <c:invertIfNegative val="0"/>
          <c:cat>
            <c:numRef>
              <c:f>'Commodities (Facility) Input'!Year_C2F</c:f>
              <c:numCache>
                <c:formatCode>General</c:formatCode>
                <c:ptCount val="1"/>
                <c:pt idx="0">
                  <c:v>0</c:v>
                </c:pt>
              </c:numCache>
            </c:numRef>
          </c:cat>
          <c:val>
            <c:numRef>
              <c:f>'Commodities (Facility) Input'!Jadelle</c:f>
              <c:numCache>
                <c:formatCode>#,##0</c:formatCode>
                <c:ptCount val="1"/>
              </c:numCache>
            </c:numRef>
          </c:val>
          <c:extLst>
            <c:ext xmlns:c16="http://schemas.microsoft.com/office/drawing/2014/chart" uri="{C3380CC4-5D6E-409C-BE32-E72D297353CC}">
              <c16:uniqueId val="{00000001-7ACA-4906-B088-922455AFD726}"/>
            </c:ext>
          </c:extLst>
        </c:ser>
        <c:ser>
          <c:idx val="2"/>
          <c:order val="2"/>
          <c:tx>
            <c:strRef>
              <c:f>'Commodities (Facility) Input'!$C$29</c:f>
              <c:strCache>
                <c:ptCount val="1"/>
                <c:pt idx="0">
                  <c:v>Implant de 5 ans (Jadelle)</c:v>
                </c:pt>
              </c:strCache>
            </c:strRef>
          </c:tx>
          <c:spPr>
            <a:solidFill>
              <a:schemeClr val="accent1">
                <a:lumMod val="40000"/>
                <a:lumOff val="60000"/>
              </a:schemeClr>
            </a:solidFill>
            <a:ln>
              <a:noFill/>
            </a:ln>
            <a:effectLst/>
          </c:spPr>
          <c:invertIfNegative val="0"/>
          <c:cat>
            <c:numRef>
              <c:f>'Commodities (Facility) Input'!Year_C2F</c:f>
              <c:numCache>
                <c:formatCode>General</c:formatCode>
                <c:ptCount val="1"/>
                <c:pt idx="0">
                  <c:v>0</c:v>
                </c:pt>
              </c:numCache>
            </c:numRef>
          </c:cat>
          <c:val>
            <c:numRef>
              <c:f>'Commodities (Facility) Input'!Sino</c:f>
              <c:numCache>
                <c:formatCode>#,##0</c:formatCode>
                <c:ptCount val="1"/>
              </c:numCache>
            </c:numRef>
          </c:val>
          <c:extLst>
            <c:ext xmlns:c16="http://schemas.microsoft.com/office/drawing/2014/chart" uri="{C3380CC4-5D6E-409C-BE32-E72D297353CC}">
              <c16:uniqueId val="{00000002-7ACA-4906-B088-922455AFD726}"/>
            </c:ext>
          </c:extLst>
        </c:ser>
        <c:dLbls>
          <c:showLegendKey val="0"/>
          <c:showVal val="0"/>
          <c:showCatName val="0"/>
          <c:showSerName val="0"/>
          <c:showPercent val="0"/>
          <c:showBubbleSize val="0"/>
        </c:dLbls>
        <c:gapWidth val="50"/>
        <c:overlap val="100"/>
        <c:axId val="320856328"/>
        <c:axId val="320863544"/>
      </c:barChart>
      <c:catAx>
        <c:axId val="320856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863544"/>
        <c:crosses val="autoZero"/>
        <c:auto val="1"/>
        <c:lblAlgn val="ctr"/>
        <c:lblOffset val="100"/>
        <c:noMultiLvlLbl val="0"/>
      </c:catAx>
      <c:valAx>
        <c:axId val="32086354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856328"/>
        <c:crosses val="autoZero"/>
        <c:crossBetween val="between"/>
      </c:valAx>
      <c:spPr>
        <a:noFill/>
        <a:ln>
          <a:noFill/>
        </a:ln>
        <a:effectLst/>
      </c:spPr>
    </c:plotArea>
    <c:legend>
      <c:legendPos val="b"/>
      <c:layout>
        <c:manualLayout>
          <c:xMode val="edge"/>
          <c:yMode val="edge"/>
          <c:x val="0"/>
          <c:y val="0.7524923751169792"/>
          <c:w val="1"/>
          <c:h val="0.24083823410499999"/>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19526429602449"/>
          <c:y val="5.833333681301222E-2"/>
          <c:w val="0.80016508481665172"/>
          <c:h val="0.67874992118527333"/>
        </c:manualLayout>
      </c:layout>
      <c:barChart>
        <c:barDir val="col"/>
        <c:grouping val="stacked"/>
        <c:varyColors val="0"/>
        <c:ser>
          <c:idx val="0"/>
          <c:order val="0"/>
          <c:tx>
            <c:strRef>
              <c:f>'Commodities (Facility) Input'!$C$32</c:f>
              <c:strCache>
                <c:ptCount val="1"/>
                <c:pt idx="0">
                  <c:v>Depo Provera (DMPA)</c:v>
                </c:pt>
              </c:strCache>
            </c:strRef>
          </c:tx>
          <c:spPr>
            <a:solidFill>
              <a:schemeClr val="bg2">
                <a:lumMod val="75000"/>
              </a:schemeClr>
            </a:solidFill>
            <a:ln>
              <a:solidFill>
                <a:schemeClr val="bg1"/>
              </a:solidFill>
            </a:ln>
            <a:effectLst/>
          </c:spPr>
          <c:invertIfNegative val="0"/>
          <c:cat>
            <c:numRef>
              <c:f>'Commodities (Facility) Input'!Year_C2F</c:f>
              <c:numCache>
                <c:formatCode>General</c:formatCode>
                <c:ptCount val="1"/>
                <c:pt idx="0">
                  <c:v>0</c:v>
                </c:pt>
              </c:numCache>
            </c:numRef>
          </c:cat>
          <c:val>
            <c:numRef>
              <c:f>'Commodities (Facility) Input'!Depo</c:f>
              <c:numCache>
                <c:formatCode>#,##0</c:formatCode>
                <c:ptCount val="1"/>
              </c:numCache>
            </c:numRef>
          </c:val>
          <c:extLst>
            <c:ext xmlns:c16="http://schemas.microsoft.com/office/drawing/2014/chart" uri="{C3380CC4-5D6E-409C-BE32-E72D297353CC}">
              <c16:uniqueId val="{00000000-C6E4-43B7-9C57-BF5A5BFFDBEA}"/>
            </c:ext>
          </c:extLst>
        </c:ser>
        <c:ser>
          <c:idx val="1"/>
          <c:order val="1"/>
          <c:tx>
            <c:strRef>
              <c:f>'Commodities (Facility) Input'!$C$33</c:f>
              <c:strCache>
                <c:ptCount val="1"/>
                <c:pt idx="0">
                  <c:v>Noristerat (NET-En)</c:v>
                </c:pt>
              </c:strCache>
            </c:strRef>
          </c:tx>
          <c:spPr>
            <a:solidFill>
              <a:schemeClr val="bg2"/>
            </a:solidFill>
            <a:ln>
              <a:solidFill>
                <a:schemeClr val="bg1"/>
              </a:solidFill>
            </a:ln>
            <a:effectLst/>
          </c:spPr>
          <c:invertIfNegative val="0"/>
          <c:cat>
            <c:numRef>
              <c:f>'Commodities (Facility) Input'!Year_C2F</c:f>
              <c:numCache>
                <c:formatCode>General</c:formatCode>
                <c:ptCount val="1"/>
                <c:pt idx="0">
                  <c:v>0</c:v>
                </c:pt>
              </c:numCache>
            </c:numRef>
          </c:cat>
          <c:val>
            <c:numRef>
              <c:f>'Commodities (Facility) Input'!Noristerat</c:f>
              <c:numCache>
                <c:formatCode>#,##0</c:formatCode>
                <c:ptCount val="1"/>
              </c:numCache>
            </c:numRef>
          </c:val>
          <c:extLst>
            <c:ext xmlns:c16="http://schemas.microsoft.com/office/drawing/2014/chart" uri="{C3380CC4-5D6E-409C-BE32-E72D297353CC}">
              <c16:uniqueId val="{00000001-C6E4-43B7-9C57-BF5A5BFFDBEA}"/>
            </c:ext>
          </c:extLst>
        </c:ser>
        <c:ser>
          <c:idx val="2"/>
          <c:order val="2"/>
          <c:tx>
            <c:strRef>
              <c:f>'Commodities (Facility) Input'!$C$34</c:f>
              <c:strCache>
                <c:ptCount val="1"/>
                <c:pt idx="0">
                  <c:v>Lunelle</c:v>
                </c:pt>
              </c:strCache>
            </c:strRef>
          </c:tx>
          <c:spPr>
            <a:solidFill>
              <a:schemeClr val="accent2"/>
            </a:solidFill>
            <a:ln>
              <a:solidFill>
                <a:schemeClr val="bg1"/>
              </a:solidFill>
            </a:ln>
            <a:effectLst/>
          </c:spPr>
          <c:invertIfNegative val="0"/>
          <c:cat>
            <c:numRef>
              <c:f>'Commodities (Facility) Input'!Year_C2F</c:f>
              <c:numCache>
                <c:formatCode>General</c:formatCode>
                <c:ptCount val="1"/>
                <c:pt idx="0">
                  <c:v>0</c:v>
                </c:pt>
              </c:numCache>
            </c:numRef>
          </c:cat>
          <c:val>
            <c:numRef>
              <c:f>'Commodities (Facility) Input'!Lunelle</c:f>
              <c:numCache>
                <c:formatCode>#,##0</c:formatCode>
                <c:ptCount val="1"/>
              </c:numCache>
            </c:numRef>
          </c:val>
          <c:extLst>
            <c:ext xmlns:c16="http://schemas.microsoft.com/office/drawing/2014/chart" uri="{C3380CC4-5D6E-409C-BE32-E72D297353CC}">
              <c16:uniqueId val="{00000002-C6E4-43B7-9C57-BF5A5BFFDBEA}"/>
            </c:ext>
          </c:extLst>
        </c:ser>
        <c:ser>
          <c:idx val="3"/>
          <c:order val="3"/>
          <c:tx>
            <c:strRef>
              <c:f>'Commodities (Facility) Input'!$C$35</c:f>
              <c:strCache>
                <c:ptCount val="1"/>
                <c:pt idx="0">
                  <c:v>Sayana Press</c:v>
                </c:pt>
              </c:strCache>
            </c:strRef>
          </c:tx>
          <c:spPr>
            <a:solidFill>
              <a:schemeClr val="accent2">
                <a:lumMod val="60000"/>
                <a:lumOff val="40000"/>
              </a:schemeClr>
            </a:solidFill>
            <a:ln>
              <a:solidFill>
                <a:schemeClr val="bg1"/>
              </a:solidFill>
            </a:ln>
            <a:effectLst/>
          </c:spPr>
          <c:invertIfNegative val="0"/>
          <c:cat>
            <c:numRef>
              <c:f>'Commodities (Facility) Input'!Year_C2F</c:f>
              <c:numCache>
                <c:formatCode>General</c:formatCode>
                <c:ptCount val="1"/>
                <c:pt idx="0">
                  <c:v>0</c:v>
                </c:pt>
              </c:numCache>
            </c:numRef>
          </c:cat>
          <c:val>
            <c:numRef>
              <c:f>'Commodities (Facility) Input'!Sayana</c:f>
              <c:numCache>
                <c:formatCode>#,##0</c:formatCode>
                <c:ptCount val="1"/>
              </c:numCache>
            </c:numRef>
          </c:val>
          <c:extLst>
            <c:ext xmlns:c16="http://schemas.microsoft.com/office/drawing/2014/chart" uri="{C3380CC4-5D6E-409C-BE32-E72D297353CC}">
              <c16:uniqueId val="{00000003-C6E4-43B7-9C57-BF5A5BFFDBEA}"/>
            </c:ext>
          </c:extLst>
        </c:ser>
        <c:ser>
          <c:idx val="4"/>
          <c:order val="4"/>
          <c:tx>
            <c:strRef>
              <c:f>'Commodities (Facility) Input'!$C$36</c:f>
              <c:strCache>
                <c:ptCount val="1"/>
                <c:pt idx="0">
                  <c:v>Autre Injectable</c:v>
                </c:pt>
              </c:strCache>
            </c:strRef>
          </c:tx>
          <c:spPr>
            <a:solidFill>
              <a:schemeClr val="accent2">
                <a:lumMod val="40000"/>
                <a:lumOff val="60000"/>
              </a:schemeClr>
            </a:solidFill>
            <a:ln>
              <a:noFill/>
            </a:ln>
            <a:effectLst/>
          </c:spPr>
          <c:invertIfNegative val="0"/>
          <c:cat>
            <c:numRef>
              <c:f>'Commodities (Facility) Input'!Year_C2F</c:f>
              <c:numCache>
                <c:formatCode>General</c:formatCode>
                <c:ptCount val="1"/>
                <c:pt idx="0">
                  <c:v>0</c:v>
                </c:pt>
              </c:numCache>
            </c:numRef>
          </c:cat>
          <c:val>
            <c:numRef>
              <c:f>'Commodities (Facility) Input'!OtherInj</c:f>
              <c:numCache>
                <c:formatCode>#,##0</c:formatCode>
                <c:ptCount val="1"/>
              </c:numCache>
            </c:numRef>
          </c:val>
          <c:extLst>
            <c:ext xmlns:c16="http://schemas.microsoft.com/office/drawing/2014/chart" uri="{C3380CC4-5D6E-409C-BE32-E72D297353CC}">
              <c16:uniqueId val="{00000004-C6E4-43B7-9C57-BF5A5BFFDBEA}"/>
            </c:ext>
          </c:extLst>
        </c:ser>
        <c:dLbls>
          <c:showLegendKey val="0"/>
          <c:showVal val="0"/>
          <c:showCatName val="0"/>
          <c:showSerName val="0"/>
          <c:showPercent val="0"/>
          <c:showBubbleSize val="0"/>
        </c:dLbls>
        <c:gapWidth val="50"/>
        <c:overlap val="100"/>
        <c:axId val="320856328"/>
        <c:axId val="320863544"/>
      </c:barChart>
      <c:catAx>
        <c:axId val="320856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863544"/>
        <c:crosses val="autoZero"/>
        <c:auto val="1"/>
        <c:lblAlgn val="ctr"/>
        <c:lblOffset val="100"/>
        <c:noMultiLvlLbl val="0"/>
      </c:catAx>
      <c:valAx>
        <c:axId val="32086354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856328"/>
        <c:crosses val="autoZero"/>
        <c:crossBetween val="between"/>
      </c:valAx>
      <c:spPr>
        <a:noFill/>
        <a:ln>
          <a:noFill/>
        </a:ln>
        <a:effectLst/>
      </c:spPr>
    </c:plotArea>
    <c:legend>
      <c:legendPos val="b"/>
      <c:layout>
        <c:manualLayout>
          <c:xMode val="edge"/>
          <c:yMode val="edge"/>
          <c:x val="0"/>
          <c:y val="0.88797159913932233"/>
          <c:w val="1"/>
          <c:h val="0.1120284008606776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'Commodities (Facility) Input'!$C$37</c:f>
              <c:strCache>
                <c:ptCount val="1"/>
                <c:pt idx="0">
                  <c:v>Oraux combinés (COC)</c:v>
                </c:pt>
              </c:strCache>
            </c:strRef>
          </c:tx>
          <c:spPr>
            <a:solidFill>
              <a:schemeClr val="bg2"/>
            </a:solidFill>
            <a:ln>
              <a:solidFill>
                <a:schemeClr val="bg1"/>
              </a:solidFill>
            </a:ln>
            <a:effectLst/>
          </c:spPr>
          <c:invertIfNegative val="0"/>
          <c:cat>
            <c:numRef>
              <c:f>'Commodities (Facility) Input'!Year_C2F</c:f>
              <c:numCache>
                <c:formatCode>General</c:formatCode>
                <c:ptCount val="1"/>
                <c:pt idx="0">
                  <c:v>0</c:v>
                </c:pt>
              </c:numCache>
            </c:numRef>
          </c:cat>
          <c:val>
            <c:numRef>
              <c:f>'Commodities (Facility) Input'!StandardPill</c:f>
              <c:numCache>
                <c:formatCode>#,##0</c:formatCode>
                <c:ptCount val="1"/>
              </c:numCache>
            </c:numRef>
          </c:val>
          <c:extLst>
            <c:ext xmlns:c16="http://schemas.microsoft.com/office/drawing/2014/chart" uri="{C3380CC4-5D6E-409C-BE32-E72D297353CC}">
              <c16:uniqueId val="{00000000-2FEA-4AF4-B616-14902F1C3977}"/>
            </c:ext>
          </c:extLst>
        </c:ser>
        <c:ser>
          <c:idx val="1"/>
          <c:order val="1"/>
          <c:tx>
            <c:strRef>
              <c:f>'Commodities (Facility) Input'!$C$38</c:f>
              <c:strCache>
                <c:ptCount val="1"/>
                <c:pt idx="0">
                  <c:v>Progestatifs seul (POP)</c:v>
                </c:pt>
              </c:strCache>
            </c:strRef>
          </c:tx>
          <c:spPr>
            <a:solidFill>
              <a:schemeClr val="accent2"/>
            </a:solidFill>
            <a:ln>
              <a:solidFill>
                <a:schemeClr val="bg1"/>
              </a:solidFill>
            </a:ln>
            <a:effectLst/>
          </c:spPr>
          <c:invertIfNegative val="0"/>
          <c:cat>
            <c:numRef>
              <c:f>'Commodities (Facility) Input'!Year_C2F</c:f>
              <c:numCache>
                <c:formatCode>General</c:formatCode>
                <c:ptCount val="1"/>
                <c:pt idx="0">
                  <c:v>0</c:v>
                </c:pt>
              </c:numCache>
            </c:numRef>
          </c:cat>
          <c:val>
            <c:numRef>
              <c:f>'Commodities (Facility) Input'!ProgestinPill</c:f>
              <c:numCache>
                <c:formatCode>#,##0</c:formatCode>
                <c:ptCount val="1"/>
              </c:numCache>
            </c:numRef>
          </c:val>
          <c:extLst>
            <c:ext xmlns:c16="http://schemas.microsoft.com/office/drawing/2014/chart" uri="{C3380CC4-5D6E-409C-BE32-E72D297353CC}">
              <c16:uniqueId val="{00000001-2FEA-4AF4-B616-14902F1C3977}"/>
            </c:ext>
          </c:extLst>
        </c:ser>
        <c:ser>
          <c:idx val="2"/>
          <c:order val="2"/>
          <c:tx>
            <c:strRef>
              <c:f>'Commodities (Facility) Input'!$C$39</c:f>
              <c:strCache>
                <c:ptCount val="1"/>
                <c:pt idx="0">
                  <c:v>Autre pilule</c:v>
                </c:pt>
              </c:strCache>
            </c:strRef>
          </c:tx>
          <c:spPr>
            <a:solidFill>
              <a:schemeClr val="accent2">
                <a:lumMod val="40000"/>
                <a:lumOff val="60000"/>
              </a:schemeClr>
            </a:solidFill>
            <a:ln>
              <a:solidFill>
                <a:schemeClr val="bg1"/>
              </a:solidFill>
            </a:ln>
            <a:effectLst/>
          </c:spPr>
          <c:invertIfNegative val="0"/>
          <c:cat>
            <c:numRef>
              <c:f>'Commodities (Facility) Input'!Year_C2F</c:f>
              <c:numCache>
                <c:formatCode>General</c:formatCode>
                <c:ptCount val="1"/>
                <c:pt idx="0">
                  <c:v>0</c:v>
                </c:pt>
              </c:numCache>
            </c:numRef>
          </c:cat>
          <c:val>
            <c:numRef>
              <c:f>'Commodities (Facility) Input'!PCPill</c:f>
              <c:numCache>
                <c:formatCode>#,##0</c:formatCode>
                <c:ptCount val="1"/>
              </c:numCache>
            </c:numRef>
          </c:val>
          <c:extLst>
            <c:ext xmlns:c16="http://schemas.microsoft.com/office/drawing/2014/chart" uri="{C3380CC4-5D6E-409C-BE32-E72D297353CC}">
              <c16:uniqueId val="{00000002-2FEA-4AF4-B616-14902F1C3977}"/>
            </c:ext>
          </c:extLst>
        </c:ser>
        <c:dLbls>
          <c:showLegendKey val="0"/>
          <c:showVal val="0"/>
          <c:showCatName val="0"/>
          <c:showSerName val="0"/>
          <c:showPercent val="0"/>
          <c:showBubbleSize val="0"/>
        </c:dLbls>
        <c:gapWidth val="50"/>
        <c:overlap val="100"/>
        <c:axId val="320856328"/>
        <c:axId val="320863544"/>
      </c:barChart>
      <c:catAx>
        <c:axId val="320856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863544"/>
        <c:crosses val="autoZero"/>
        <c:auto val="1"/>
        <c:lblAlgn val="ctr"/>
        <c:lblOffset val="100"/>
        <c:noMultiLvlLbl val="0"/>
      </c:catAx>
      <c:valAx>
        <c:axId val="32086354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856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'Commodities (Facility) Input'!$C$40</c:f>
              <c:strCache>
                <c:ptCount val="1"/>
                <c:pt idx="0">
                  <c:v>Préservatifs masculin</c:v>
                </c:pt>
              </c:strCache>
            </c:strRef>
          </c:tx>
          <c:spPr>
            <a:solidFill>
              <a:schemeClr val="bg2">
                <a:lumMod val="75000"/>
              </a:schemeClr>
            </a:solidFill>
            <a:ln>
              <a:noFill/>
            </a:ln>
            <a:effectLst/>
          </c:spPr>
          <c:invertIfNegative val="0"/>
          <c:cat>
            <c:numRef>
              <c:f>'Commodities (Facility) Input'!Year_C2F</c:f>
              <c:numCache>
                <c:formatCode>General</c:formatCode>
                <c:ptCount val="1"/>
                <c:pt idx="0">
                  <c:v>0</c:v>
                </c:pt>
              </c:numCache>
            </c:numRef>
          </c:cat>
          <c:val>
            <c:numRef>
              <c:f>'Commodities (Facility) Input'!MCondom</c:f>
              <c:numCache>
                <c:formatCode>#,##0</c:formatCode>
                <c:ptCount val="1"/>
              </c:numCache>
            </c:numRef>
          </c:val>
          <c:extLst>
            <c:ext xmlns:c16="http://schemas.microsoft.com/office/drawing/2014/chart" uri="{C3380CC4-5D6E-409C-BE32-E72D297353CC}">
              <c16:uniqueId val="{00000000-892B-40FF-8A69-3CA64DB45565}"/>
            </c:ext>
          </c:extLst>
        </c:ser>
        <c:ser>
          <c:idx val="1"/>
          <c:order val="1"/>
          <c:tx>
            <c:strRef>
              <c:f>'Commodities (Facility) Input'!$C$41</c:f>
              <c:strCache>
                <c:ptCount val="1"/>
                <c:pt idx="0">
                  <c:v>Préservatifs feminin</c:v>
                </c:pt>
              </c:strCache>
            </c:strRef>
          </c:tx>
          <c:spPr>
            <a:solidFill>
              <a:schemeClr val="accent2"/>
            </a:solidFill>
            <a:ln>
              <a:noFill/>
            </a:ln>
            <a:effectLst/>
          </c:spPr>
          <c:invertIfNegative val="0"/>
          <c:cat>
            <c:numRef>
              <c:f>'Commodities (Facility) Input'!Year_C2F</c:f>
              <c:numCache>
                <c:formatCode>General</c:formatCode>
                <c:ptCount val="1"/>
                <c:pt idx="0">
                  <c:v>0</c:v>
                </c:pt>
              </c:numCache>
            </c:numRef>
          </c:cat>
          <c:val>
            <c:numRef>
              <c:f>'Commodities (Facility) Input'!FCondom</c:f>
              <c:numCache>
                <c:formatCode>#,##0</c:formatCode>
                <c:ptCount val="1"/>
              </c:numCache>
            </c:numRef>
          </c:val>
          <c:extLst>
            <c:ext xmlns:c16="http://schemas.microsoft.com/office/drawing/2014/chart" uri="{C3380CC4-5D6E-409C-BE32-E72D297353CC}">
              <c16:uniqueId val="{00000001-892B-40FF-8A69-3CA64DB45565}"/>
            </c:ext>
          </c:extLst>
        </c:ser>
        <c:dLbls>
          <c:showLegendKey val="0"/>
          <c:showVal val="0"/>
          <c:showCatName val="0"/>
          <c:showSerName val="0"/>
          <c:showPercent val="0"/>
          <c:showBubbleSize val="0"/>
        </c:dLbls>
        <c:gapWidth val="50"/>
        <c:axId val="320856328"/>
        <c:axId val="320863544"/>
      </c:barChart>
      <c:catAx>
        <c:axId val="320856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863544"/>
        <c:crosses val="autoZero"/>
        <c:auto val="1"/>
        <c:lblAlgn val="ctr"/>
        <c:lblOffset val="100"/>
        <c:noMultiLvlLbl val="0"/>
      </c:catAx>
      <c:valAx>
        <c:axId val="32086354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856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'Commodities (Facility) Input'!$C$42</c:f>
              <c:strCache>
                <c:ptCount val="1"/>
                <c:pt idx="0">
                  <c:v>MAMA</c:v>
                </c:pt>
              </c:strCache>
            </c:strRef>
          </c:tx>
          <c:spPr>
            <a:solidFill>
              <a:schemeClr val="accent1"/>
            </a:solidFill>
            <a:ln>
              <a:noFill/>
            </a:ln>
            <a:effectLst/>
          </c:spPr>
          <c:invertIfNegative val="0"/>
          <c:cat>
            <c:numRef>
              <c:f>'Commodities (Facility) Input'!Year_C2F</c:f>
              <c:numCache>
                <c:formatCode>General</c:formatCode>
                <c:ptCount val="1"/>
                <c:pt idx="0">
                  <c:v>0</c:v>
                </c:pt>
              </c:numCache>
            </c:numRef>
          </c:cat>
          <c:val>
            <c:numRef>
              <c:f>'Commodities (Facility) Input'!LAM</c:f>
              <c:numCache>
                <c:formatCode>#,##0</c:formatCode>
                <c:ptCount val="1"/>
              </c:numCache>
            </c:numRef>
          </c:val>
          <c:extLst>
            <c:ext xmlns:c16="http://schemas.microsoft.com/office/drawing/2014/chart" uri="{C3380CC4-5D6E-409C-BE32-E72D297353CC}">
              <c16:uniqueId val="{00000000-993D-46C0-A363-BF53281698DE}"/>
            </c:ext>
          </c:extLst>
        </c:ser>
        <c:ser>
          <c:idx val="1"/>
          <c:order val="1"/>
          <c:tx>
            <c:strRef>
              <c:f>'Commodities (Facility) Input'!$C$43</c:f>
              <c:strCache>
                <c:ptCount val="1"/>
                <c:pt idx="0">
                  <c:v>MJF (Jours fixes)</c:v>
                </c:pt>
              </c:strCache>
            </c:strRef>
          </c:tx>
          <c:spPr>
            <a:solidFill>
              <a:schemeClr val="accent2"/>
            </a:solidFill>
            <a:ln>
              <a:noFill/>
            </a:ln>
            <a:effectLst/>
          </c:spPr>
          <c:invertIfNegative val="0"/>
          <c:cat>
            <c:numRef>
              <c:f>'Commodities (Facility) Input'!Year_C2F</c:f>
              <c:numCache>
                <c:formatCode>General</c:formatCode>
                <c:ptCount val="1"/>
                <c:pt idx="0">
                  <c:v>0</c:v>
                </c:pt>
              </c:numCache>
            </c:numRef>
          </c:cat>
          <c:val>
            <c:numRef>
              <c:f>'Commodities (Facility) Input'!SDM</c:f>
              <c:numCache>
                <c:formatCode>#,##0</c:formatCode>
                <c:ptCount val="1"/>
              </c:numCache>
            </c:numRef>
          </c:val>
          <c:extLst>
            <c:ext xmlns:c16="http://schemas.microsoft.com/office/drawing/2014/chart" uri="{C3380CC4-5D6E-409C-BE32-E72D297353CC}">
              <c16:uniqueId val="{00000001-993D-46C0-A363-BF53281698DE}"/>
            </c:ext>
          </c:extLst>
        </c:ser>
        <c:ser>
          <c:idx val="2"/>
          <c:order val="2"/>
          <c:tx>
            <c:strRef>
              <c:f>'Commodities (Facility) Input'!$C$44</c:f>
              <c:strCache>
                <c:ptCount val="1"/>
                <c:pt idx="0">
                  <c:v>Barrière vaginale</c:v>
                </c:pt>
              </c:strCache>
            </c:strRef>
          </c:tx>
          <c:spPr>
            <a:solidFill>
              <a:schemeClr val="accent3"/>
            </a:solidFill>
            <a:ln>
              <a:noFill/>
            </a:ln>
            <a:effectLst/>
          </c:spPr>
          <c:invertIfNegative val="0"/>
          <c:cat>
            <c:numRef>
              <c:f>'Commodities (Facility) Input'!Year_C2F</c:f>
              <c:numCache>
                <c:formatCode>General</c:formatCode>
                <c:ptCount val="1"/>
                <c:pt idx="0">
                  <c:v>0</c:v>
                </c:pt>
              </c:numCache>
            </c:numRef>
          </c:cat>
          <c:val>
            <c:numRef>
              <c:f>'Commodities (Facility) Input'!VBarrier</c:f>
              <c:numCache>
                <c:formatCode>#,##0</c:formatCode>
                <c:ptCount val="1"/>
              </c:numCache>
            </c:numRef>
          </c:val>
          <c:extLst>
            <c:ext xmlns:c16="http://schemas.microsoft.com/office/drawing/2014/chart" uri="{C3380CC4-5D6E-409C-BE32-E72D297353CC}">
              <c16:uniqueId val="{00000002-993D-46C0-A363-BF53281698DE}"/>
            </c:ext>
          </c:extLst>
        </c:ser>
        <c:ser>
          <c:idx val="3"/>
          <c:order val="3"/>
          <c:tx>
            <c:strRef>
              <c:f>'Commodities (Facility) Input'!$C$45</c:f>
              <c:strCache>
                <c:ptCount val="1"/>
                <c:pt idx="0">
                  <c:v>Spermicides</c:v>
                </c:pt>
              </c:strCache>
            </c:strRef>
          </c:tx>
          <c:spPr>
            <a:solidFill>
              <a:schemeClr val="accent4"/>
            </a:solidFill>
            <a:ln>
              <a:noFill/>
            </a:ln>
            <a:effectLst/>
          </c:spPr>
          <c:invertIfNegative val="0"/>
          <c:cat>
            <c:numRef>
              <c:f>'Commodities (Facility) Input'!Year_C2F</c:f>
              <c:numCache>
                <c:formatCode>General</c:formatCode>
                <c:ptCount val="1"/>
                <c:pt idx="0">
                  <c:v>0</c:v>
                </c:pt>
              </c:numCache>
            </c:numRef>
          </c:cat>
          <c:val>
            <c:numRef>
              <c:f>'Commodities (Facility) Input'!Spermicide</c:f>
              <c:numCache>
                <c:formatCode>#,##0</c:formatCode>
                <c:ptCount val="1"/>
              </c:numCache>
            </c:numRef>
          </c:val>
          <c:extLst>
            <c:ext xmlns:c16="http://schemas.microsoft.com/office/drawing/2014/chart" uri="{C3380CC4-5D6E-409C-BE32-E72D297353CC}">
              <c16:uniqueId val="{00000003-993D-46C0-A363-BF53281698DE}"/>
            </c:ext>
          </c:extLst>
        </c:ser>
        <c:dLbls>
          <c:showLegendKey val="0"/>
          <c:showVal val="0"/>
          <c:showCatName val="0"/>
          <c:showSerName val="0"/>
          <c:showPercent val="0"/>
          <c:showBubbleSize val="0"/>
        </c:dLbls>
        <c:gapWidth val="50"/>
        <c:axId val="320856328"/>
        <c:axId val="320863544"/>
      </c:barChart>
      <c:catAx>
        <c:axId val="320856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863544"/>
        <c:crosses val="autoZero"/>
        <c:auto val="1"/>
        <c:lblAlgn val="ctr"/>
        <c:lblOffset val="100"/>
        <c:noMultiLvlLbl val="0"/>
      </c:catAx>
      <c:valAx>
        <c:axId val="32086354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856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'5. MethodMix Set Up'!$I$9</c:f>
          <c:strCache>
            <c:ptCount val="1"/>
            <c:pt idx="0">
              <c:v>#N/A</c:v>
            </c:pt>
          </c:strCache>
        </c:strRef>
      </c:tx>
      <c:layout>
        <c:manualLayout>
          <c:xMode val="edge"/>
          <c:yMode val="edge"/>
          <c:x val="0.43410042089477158"/>
          <c:y val="2.0134228187919462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7802077842966424"/>
          <c:y val="0.23656207945302515"/>
          <c:w val="0.60903212150020869"/>
          <c:h val="0.70882153003916837"/>
        </c:manualLayout>
      </c:layout>
      <c:pieChart>
        <c:varyColors val="1"/>
        <c:ser>
          <c:idx val="0"/>
          <c:order val="0"/>
          <c:dPt>
            <c:idx val="0"/>
            <c:bubble3D val="0"/>
            <c:spPr>
              <a:solidFill>
                <a:srgbClr val="954F72"/>
              </a:solidFill>
              <a:ln w="12700">
                <a:solidFill>
                  <a:sysClr val="window" lastClr="FFFFFF"/>
                </a:solidFill>
              </a:ln>
              <a:effectLst/>
            </c:spPr>
            <c:extLst>
              <c:ext xmlns:c16="http://schemas.microsoft.com/office/drawing/2014/chart" uri="{C3380CC4-5D6E-409C-BE32-E72D297353CC}">
                <c16:uniqueId val="{00000004-A91A-4FFD-8D51-8F5E48EB3D07}"/>
              </c:ext>
            </c:extLst>
          </c:dPt>
          <c:dPt>
            <c:idx val="1"/>
            <c:bubble3D val="0"/>
            <c:spPr>
              <a:solidFill>
                <a:srgbClr val="954F72">
                  <a:lumMod val="50000"/>
                </a:srgbClr>
              </a:solidFill>
              <a:ln w="12700">
                <a:solidFill>
                  <a:sysClr val="window" lastClr="FFFFFF"/>
                </a:solidFill>
              </a:ln>
            </c:spPr>
            <c:extLst>
              <c:ext xmlns:c16="http://schemas.microsoft.com/office/drawing/2014/chart" uri="{C3380CC4-5D6E-409C-BE32-E72D297353CC}">
                <c16:uniqueId val="{00000006-A91A-4FFD-8D51-8F5E48EB3D07}"/>
              </c:ext>
            </c:extLst>
          </c:dPt>
          <c:dPt>
            <c:idx val="2"/>
            <c:bubble3D val="0"/>
            <c:spPr>
              <a:solidFill>
                <a:schemeClr val="bg2"/>
              </a:solidFill>
              <a:ln w="12700">
                <a:solidFill>
                  <a:sysClr val="window" lastClr="FFFFFF"/>
                </a:solidFill>
              </a:ln>
              <a:effectLst/>
            </c:spPr>
            <c:extLst>
              <c:ext xmlns:c16="http://schemas.microsoft.com/office/drawing/2014/chart" uri="{C3380CC4-5D6E-409C-BE32-E72D297353CC}">
                <c16:uniqueId val="{00000008-A91A-4FFD-8D51-8F5E48EB3D07}"/>
              </c:ext>
            </c:extLst>
          </c:dPt>
          <c:dPt>
            <c:idx val="3"/>
            <c:bubble3D val="0"/>
            <c:spPr>
              <a:solidFill>
                <a:schemeClr val="accent2"/>
              </a:solidFill>
              <a:ln w="12700">
                <a:solidFill>
                  <a:sysClr val="window" lastClr="FFFFFF"/>
                </a:solidFill>
              </a:ln>
              <a:effectLst/>
            </c:spPr>
            <c:extLst>
              <c:ext xmlns:c16="http://schemas.microsoft.com/office/drawing/2014/chart" uri="{C3380CC4-5D6E-409C-BE32-E72D297353CC}">
                <c16:uniqueId val="{0000000A-A91A-4FFD-8D51-8F5E48EB3D07}"/>
              </c:ext>
            </c:extLst>
          </c:dPt>
          <c:dPt>
            <c:idx val="4"/>
            <c:bubble3D val="0"/>
            <c:spPr>
              <a:solidFill>
                <a:srgbClr val="1D4E92"/>
              </a:solidFill>
              <a:ln w="12700">
                <a:solidFill>
                  <a:sysClr val="window" lastClr="FFFFFF"/>
                </a:solidFill>
              </a:ln>
              <a:effectLst/>
            </c:spPr>
            <c:extLst>
              <c:ext xmlns:c16="http://schemas.microsoft.com/office/drawing/2014/chart" uri="{C3380CC4-5D6E-409C-BE32-E72D297353CC}">
                <c16:uniqueId val="{0000000C-A91A-4FFD-8D51-8F5E48EB3D07}"/>
              </c:ext>
            </c:extLst>
          </c:dPt>
          <c:dPt>
            <c:idx val="5"/>
            <c:bubble3D val="0"/>
            <c:spPr>
              <a:solidFill>
                <a:srgbClr val="3892C6"/>
              </a:solidFill>
              <a:ln w="12700">
                <a:solidFill>
                  <a:sysClr val="window" lastClr="FFFFFF"/>
                </a:solidFill>
              </a:ln>
              <a:effectLst/>
            </c:spPr>
            <c:extLst>
              <c:ext xmlns:c16="http://schemas.microsoft.com/office/drawing/2014/chart" uri="{C3380CC4-5D6E-409C-BE32-E72D297353CC}">
                <c16:uniqueId val="{0000000E-A91A-4FFD-8D51-8F5E48EB3D07}"/>
              </c:ext>
            </c:extLst>
          </c:dPt>
          <c:dPt>
            <c:idx val="6"/>
            <c:bubble3D val="0"/>
            <c:spPr>
              <a:solidFill>
                <a:srgbClr val="F49100"/>
              </a:solidFill>
              <a:ln w="12700">
                <a:solidFill>
                  <a:sysClr val="window" lastClr="FFFFFF"/>
                </a:solidFill>
              </a:ln>
              <a:effectLst/>
            </c:spPr>
            <c:extLst>
              <c:ext xmlns:c16="http://schemas.microsoft.com/office/drawing/2014/chart" uri="{C3380CC4-5D6E-409C-BE32-E72D297353CC}">
                <c16:uniqueId val="{00000010-A91A-4FFD-8D51-8F5E48EB3D07}"/>
              </c:ext>
            </c:extLst>
          </c:dPt>
          <c:dPt>
            <c:idx val="7"/>
            <c:bubble3D val="0"/>
            <c:spPr>
              <a:solidFill>
                <a:srgbClr val="FCD116"/>
              </a:solidFill>
              <a:ln w="12700">
                <a:solidFill>
                  <a:sysClr val="window" lastClr="FFFFFF"/>
                </a:solidFill>
              </a:ln>
              <a:effectLst/>
            </c:spPr>
            <c:extLst>
              <c:ext xmlns:c16="http://schemas.microsoft.com/office/drawing/2014/chart" uri="{C3380CC4-5D6E-409C-BE32-E72D297353CC}">
                <c16:uniqueId val="{00000012-A91A-4FFD-8D51-8F5E48EB3D07}"/>
              </c:ext>
            </c:extLst>
          </c:dPt>
          <c:dPt>
            <c:idx val="8"/>
            <c:bubble3D val="0"/>
            <c:spPr>
              <a:solidFill>
                <a:srgbClr val="A5A5A5"/>
              </a:solidFill>
              <a:ln w="12700">
                <a:solidFill>
                  <a:sysClr val="window" lastClr="FFFFFF"/>
                </a:solidFill>
              </a:ln>
              <a:effectLst/>
            </c:spPr>
            <c:extLst>
              <c:ext xmlns:c16="http://schemas.microsoft.com/office/drawing/2014/chart" uri="{C3380CC4-5D6E-409C-BE32-E72D297353CC}">
                <c16:uniqueId val="{00000014-A91A-4FFD-8D51-8F5E48EB3D07}"/>
              </c:ext>
            </c:extLst>
          </c:dPt>
          <c:dLbls>
            <c:spPr>
              <a:solidFill>
                <a:srgbClr val="FFFFFF">
                  <a:alpha val="50196"/>
                </a:srgbClr>
              </a:solidFill>
              <a:ln>
                <a:noFill/>
              </a:ln>
              <a:effectLst/>
            </c:spPr>
            <c:txPr>
              <a:bodyPr rot="0" spcFirstLastPara="1" vertOverflow="ellipsis" vert="horz" wrap="non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rect">
                    <a:avLst/>
                  </a:prstGeom>
                </c15:spPr>
              </c:ext>
            </c:extLst>
          </c:dLbls>
          <c:cat>
            <c:strRef>
              <c:f>'5. MethodMix Set Up'!$G$12:$G$20</c:f>
              <c:strCache>
                <c:ptCount val="9"/>
                <c:pt idx="0">
                  <c:v>Stérilisation (f)</c:v>
                </c:pt>
                <c:pt idx="1">
                  <c:v>Stérilisation (m)</c:v>
                </c:pt>
                <c:pt idx="2">
                  <c:v>DIU</c:v>
                </c:pt>
                <c:pt idx="3">
                  <c:v>Implant</c:v>
                </c:pt>
                <c:pt idx="4">
                  <c:v>Produits injectables</c:v>
                </c:pt>
                <c:pt idx="5">
                  <c:v>Pilule</c:v>
                </c:pt>
                <c:pt idx="6">
                  <c:v>Préservatifs (m+f)</c:v>
                </c:pt>
                <c:pt idx="7">
                  <c:v>MAMA</c:v>
                </c:pt>
                <c:pt idx="8">
                  <c:v>Autres méthodes modernes</c:v>
                </c:pt>
              </c:strCache>
            </c:strRef>
          </c:cat>
          <c:val>
            <c:numRef>
              <c:f>'5. MethodMix Set Up'!$I$12:$I$20</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5-A91A-4FFD-8D51-8F5E48EB3D07}"/>
            </c:ext>
          </c:extLst>
        </c:ser>
        <c:dLbls>
          <c:showLegendKey val="0"/>
          <c:showVal val="0"/>
          <c:showCatName val="0"/>
          <c:showSerName val="0"/>
          <c:showPercent val="0"/>
          <c:showBubbleSize val="0"/>
          <c:showLeaderLines val="1"/>
        </c:dLbls>
        <c:firstSliceAng val="0"/>
      </c:pieChart>
      <c:spPr>
        <a:noFill/>
        <a:ln>
          <a:noFill/>
        </a:ln>
        <a:effectLst/>
      </c:spPr>
    </c:plotArea>
    <c:plotVisOnly val="0"/>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'Commodities (Facility) Input'!$C$46</c:f>
              <c:strCache>
                <c:ptCount val="1"/>
                <c:pt idx="0">
                  <c:v>CU</c:v>
                </c:pt>
              </c:strCache>
            </c:strRef>
          </c:tx>
          <c:spPr>
            <a:solidFill>
              <a:schemeClr val="accent1"/>
            </a:solidFill>
            <a:ln>
              <a:noFill/>
            </a:ln>
            <a:effectLst/>
          </c:spPr>
          <c:invertIfNegative val="0"/>
          <c:cat>
            <c:numRef>
              <c:f>'Commodities (Facility) Input'!Year_C2F</c:f>
              <c:numCache>
                <c:formatCode>General</c:formatCode>
                <c:ptCount val="1"/>
                <c:pt idx="0">
                  <c:v>0</c:v>
                </c:pt>
              </c:numCache>
            </c:numRef>
          </c:cat>
          <c:val>
            <c:numRef>
              <c:f>'Commodities (Facility) Input'!EC</c:f>
              <c:numCache>
                <c:formatCode>#,##0</c:formatCode>
                <c:ptCount val="1"/>
              </c:numCache>
            </c:numRef>
          </c:val>
          <c:extLst>
            <c:ext xmlns:c16="http://schemas.microsoft.com/office/drawing/2014/chart" uri="{C3380CC4-5D6E-409C-BE32-E72D297353CC}">
              <c16:uniqueId val="{00000000-62D7-4C74-804F-EBC9889FDD7A}"/>
            </c:ext>
          </c:extLst>
        </c:ser>
        <c:dLbls>
          <c:showLegendKey val="0"/>
          <c:showVal val="0"/>
          <c:showCatName val="0"/>
          <c:showSerName val="0"/>
          <c:showPercent val="0"/>
          <c:showBubbleSize val="0"/>
        </c:dLbls>
        <c:gapWidth val="50"/>
        <c:axId val="320856328"/>
        <c:axId val="320863544"/>
      </c:barChart>
      <c:catAx>
        <c:axId val="320856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863544"/>
        <c:crosses val="autoZero"/>
        <c:auto val="1"/>
        <c:lblAlgn val="ctr"/>
        <c:lblOffset val="100"/>
        <c:noMultiLvlLbl val="0"/>
      </c:catAx>
      <c:valAx>
        <c:axId val="32086354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856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'Commodities (Facility) Input'!$B$47</c:f>
              <c:strCache>
                <c:ptCount val="1"/>
                <c:pt idx="0">
                  <c:v>CAP Totale</c:v>
                </c:pt>
              </c:strCache>
            </c:strRef>
          </c:tx>
          <c:spPr>
            <a:solidFill>
              <a:schemeClr val="accent6"/>
            </a:solidFill>
            <a:ln>
              <a:noFill/>
            </a:ln>
            <a:effectLst/>
          </c:spPr>
          <c:invertIfNegative val="0"/>
          <c:cat>
            <c:numRef>
              <c:f>'Commodities (Facility) Input'!Year_C2F</c:f>
              <c:numCache>
                <c:formatCode>General</c:formatCode>
                <c:ptCount val="1"/>
                <c:pt idx="0">
                  <c:v>0</c:v>
                </c:pt>
              </c:numCache>
            </c:numRef>
          </c:cat>
          <c:val>
            <c:numRef>
              <c:f>'Commodities (Facility) Input'!CYP_C2F</c:f>
              <c:numCache>
                <c:formatCode>#,##0_);\(#,##0\)</c:formatCode>
                <c:ptCount val="1"/>
                <c:pt idx="0">
                  <c:v>0</c:v>
                </c:pt>
              </c:numCache>
            </c:numRef>
          </c:val>
          <c:extLst>
            <c:ext xmlns:c16="http://schemas.microsoft.com/office/drawing/2014/chart" uri="{C3380CC4-5D6E-409C-BE32-E72D297353CC}">
              <c16:uniqueId val="{00000000-6295-48F5-971B-4A942D1AA189}"/>
            </c:ext>
          </c:extLst>
        </c:ser>
        <c:dLbls>
          <c:showLegendKey val="0"/>
          <c:showVal val="0"/>
          <c:showCatName val="0"/>
          <c:showSerName val="0"/>
          <c:showPercent val="0"/>
          <c:showBubbleSize val="0"/>
        </c:dLbls>
        <c:gapWidth val="50"/>
        <c:axId val="320856328"/>
        <c:axId val="320863544"/>
      </c:barChart>
      <c:catAx>
        <c:axId val="320856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863544"/>
        <c:crosses val="autoZero"/>
        <c:auto val="1"/>
        <c:lblAlgn val="ctr"/>
        <c:lblOffset val="100"/>
        <c:noMultiLvlLbl val="0"/>
      </c:catAx>
      <c:valAx>
        <c:axId val="32086354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856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250728944614211"/>
          <c:y val="2.2922629207520789E-2"/>
          <c:w val="0.72480955264561098"/>
          <c:h val="0.89656780255012747"/>
        </c:manualLayout>
      </c:layout>
      <c:lineChart>
        <c:grouping val="standard"/>
        <c:varyColors val="0"/>
        <c:ser>
          <c:idx val="0"/>
          <c:order val="0"/>
          <c:tx>
            <c:strRef>
              <c:f>'Commodities (Facility) Output'!$C$7</c:f>
              <c:strCache>
                <c:ptCount val="1"/>
                <c:pt idx="0">
                  <c:v>Stérilisation (f)</c:v>
                </c:pt>
              </c:strCache>
            </c:strRef>
          </c:tx>
          <c:spPr>
            <a:ln w="38100" cap="rnd">
              <a:solidFill>
                <a:schemeClr val="accent6"/>
              </a:solidFill>
              <a:round/>
            </a:ln>
            <a:effectLst/>
          </c:spPr>
          <c:marker>
            <c:symbol val="none"/>
          </c:marker>
          <c:cat>
            <c:numRef>
              <c:f>'Commodities (Facility) Input'!Year_C2F</c:f>
              <c:numCache>
                <c:formatCode>General</c:formatCode>
                <c:ptCount val="1"/>
                <c:pt idx="0">
                  <c:v>0</c:v>
                </c:pt>
              </c:numCache>
            </c:numRef>
          </c:cat>
          <c:val>
            <c:numRef>
              <c:f>'Commodities (Facility) Output'!Users_Sterilization</c:f>
              <c:numCache>
                <c:formatCode>#,##0</c:formatCode>
                <c:ptCount val="1"/>
                <c:pt idx="0">
                  <c:v>#N/A</c:v>
                </c:pt>
              </c:numCache>
            </c:numRef>
          </c:val>
          <c:smooth val="0"/>
          <c:extLst>
            <c:ext xmlns:c16="http://schemas.microsoft.com/office/drawing/2014/chart" uri="{C3380CC4-5D6E-409C-BE32-E72D297353CC}">
              <c16:uniqueId val="{00000000-1931-4D4C-BD5C-F2724CC14FCC}"/>
            </c:ext>
          </c:extLst>
        </c:ser>
        <c:ser>
          <c:idx val="8"/>
          <c:order val="1"/>
          <c:tx>
            <c:strRef>
              <c:f>'Commodities (Facility) Output'!$C$8</c:f>
              <c:strCache>
                <c:ptCount val="1"/>
                <c:pt idx="0">
                  <c:v>Stérilisation (m)</c:v>
                </c:pt>
              </c:strCache>
            </c:strRef>
          </c:tx>
          <c:spPr>
            <a:ln w="38100" cap="rnd">
              <a:solidFill>
                <a:schemeClr val="accent6">
                  <a:lumMod val="50000"/>
                </a:schemeClr>
              </a:solidFill>
              <a:round/>
            </a:ln>
            <a:effectLst/>
          </c:spPr>
          <c:marker>
            <c:symbol val="none"/>
          </c:marker>
          <c:val>
            <c:numRef>
              <c:f>'Commodities (Facility) Output'!Users_SterilizationM</c:f>
              <c:numCache>
                <c:formatCode>#,##0</c:formatCode>
                <c:ptCount val="1"/>
                <c:pt idx="0">
                  <c:v>#N/A</c:v>
                </c:pt>
              </c:numCache>
            </c:numRef>
          </c:val>
          <c:smooth val="0"/>
          <c:extLst>
            <c:ext xmlns:c16="http://schemas.microsoft.com/office/drawing/2014/chart" uri="{C3380CC4-5D6E-409C-BE32-E72D297353CC}">
              <c16:uniqueId val="{00000000-E904-4683-B5F6-D8B51A92A4EE}"/>
            </c:ext>
          </c:extLst>
        </c:ser>
        <c:ser>
          <c:idx val="1"/>
          <c:order val="2"/>
          <c:tx>
            <c:strRef>
              <c:f>'Commodities (Facility) Output'!$C$9</c:f>
              <c:strCache>
                <c:ptCount val="1"/>
                <c:pt idx="0">
                  <c:v>DIU</c:v>
                </c:pt>
              </c:strCache>
            </c:strRef>
          </c:tx>
          <c:spPr>
            <a:ln w="38100" cap="rnd">
              <a:solidFill>
                <a:schemeClr val="bg2"/>
              </a:solidFill>
              <a:round/>
            </a:ln>
            <a:effectLst/>
          </c:spPr>
          <c:marker>
            <c:symbol val="none"/>
          </c:marker>
          <c:cat>
            <c:numRef>
              <c:f>'Commodities (Facility) Input'!Year_C2F</c:f>
              <c:numCache>
                <c:formatCode>General</c:formatCode>
                <c:ptCount val="1"/>
                <c:pt idx="0">
                  <c:v>0</c:v>
                </c:pt>
              </c:numCache>
            </c:numRef>
          </c:cat>
          <c:val>
            <c:numRef>
              <c:f>'Commodities (Facility) Output'!Users_IUD</c:f>
              <c:numCache>
                <c:formatCode>#,##0</c:formatCode>
                <c:ptCount val="1"/>
                <c:pt idx="0">
                  <c:v>#N/A</c:v>
                </c:pt>
              </c:numCache>
            </c:numRef>
          </c:val>
          <c:smooth val="0"/>
          <c:extLst>
            <c:ext xmlns:c16="http://schemas.microsoft.com/office/drawing/2014/chart" uri="{C3380CC4-5D6E-409C-BE32-E72D297353CC}">
              <c16:uniqueId val="{00000001-1931-4D4C-BD5C-F2724CC14FCC}"/>
            </c:ext>
          </c:extLst>
        </c:ser>
        <c:ser>
          <c:idx val="2"/>
          <c:order val="3"/>
          <c:tx>
            <c:strRef>
              <c:f>'Commodities (Facility) Output'!$C$10</c:f>
              <c:strCache>
                <c:ptCount val="1"/>
                <c:pt idx="0">
                  <c:v>Implant</c:v>
                </c:pt>
              </c:strCache>
            </c:strRef>
          </c:tx>
          <c:spPr>
            <a:ln w="38100" cap="rnd">
              <a:solidFill>
                <a:schemeClr val="accent2"/>
              </a:solidFill>
              <a:round/>
            </a:ln>
            <a:effectLst/>
          </c:spPr>
          <c:marker>
            <c:symbol val="none"/>
          </c:marker>
          <c:cat>
            <c:numRef>
              <c:f>'Commodities (Facility) Input'!Year_C2F</c:f>
              <c:numCache>
                <c:formatCode>General</c:formatCode>
                <c:ptCount val="1"/>
                <c:pt idx="0">
                  <c:v>0</c:v>
                </c:pt>
              </c:numCache>
            </c:numRef>
          </c:cat>
          <c:val>
            <c:numRef>
              <c:f>'Commodities (Facility) Output'!Users_Implant</c:f>
              <c:numCache>
                <c:formatCode>#,##0</c:formatCode>
                <c:ptCount val="1"/>
                <c:pt idx="0">
                  <c:v>#N/A</c:v>
                </c:pt>
              </c:numCache>
            </c:numRef>
          </c:val>
          <c:smooth val="0"/>
          <c:extLst>
            <c:ext xmlns:c16="http://schemas.microsoft.com/office/drawing/2014/chart" uri="{C3380CC4-5D6E-409C-BE32-E72D297353CC}">
              <c16:uniqueId val="{00000002-1931-4D4C-BD5C-F2724CC14FCC}"/>
            </c:ext>
          </c:extLst>
        </c:ser>
        <c:ser>
          <c:idx val="3"/>
          <c:order val="4"/>
          <c:tx>
            <c:strRef>
              <c:f>'Commodities (Facility) Output'!$C$11</c:f>
              <c:strCache>
                <c:ptCount val="1"/>
                <c:pt idx="0">
                  <c:v>Produits injectables</c:v>
                </c:pt>
              </c:strCache>
            </c:strRef>
          </c:tx>
          <c:spPr>
            <a:ln w="38100" cap="rnd">
              <a:solidFill>
                <a:schemeClr val="tx2"/>
              </a:solidFill>
              <a:round/>
            </a:ln>
            <a:effectLst/>
          </c:spPr>
          <c:marker>
            <c:symbol val="none"/>
          </c:marker>
          <c:cat>
            <c:numRef>
              <c:f>'Commodities (Facility) Input'!Year_C2F</c:f>
              <c:numCache>
                <c:formatCode>General</c:formatCode>
                <c:ptCount val="1"/>
                <c:pt idx="0">
                  <c:v>0</c:v>
                </c:pt>
              </c:numCache>
            </c:numRef>
          </c:cat>
          <c:val>
            <c:numRef>
              <c:f>'Commodities (Facility) Output'!Users_Injectable</c:f>
              <c:numCache>
                <c:formatCode>#,##0</c:formatCode>
                <c:ptCount val="1"/>
                <c:pt idx="0">
                  <c:v>#N/A</c:v>
                </c:pt>
              </c:numCache>
            </c:numRef>
          </c:val>
          <c:smooth val="0"/>
          <c:extLst>
            <c:ext xmlns:c16="http://schemas.microsoft.com/office/drawing/2014/chart" uri="{C3380CC4-5D6E-409C-BE32-E72D297353CC}">
              <c16:uniqueId val="{00000003-1931-4D4C-BD5C-F2724CC14FCC}"/>
            </c:ext>
          </c:extLst>
        </c:ser>
        <c:ser>
          <c:idx val="4"/>
          <c:order val="5"/>
          <c:tx>
            <c:strRef>
              <c:f>'Commodities (Facility) Output'!$C$12</c:f>
              <c:strCache>
                <c:ptCount val="1"/>
                <c:pt idx="0">
                  <c:v>Pilule</c:v>
                </c:pt>
              </c:strCache>
            </c:strRef>
          </c:tx>
          <c:spPr>
            <a:ln w="38100" cap="rnd">
              <a:solidFill>
                <a:schemeClr val="accent1"/>
              </a:solidFill>
              <a:round/>
            </a:ln>
            <a:effectLst/>
          </c:spPr>
          <c:marker>
            <c:symbol val="none"/>
          </c:marker>
          <c:cat>
            <c:numRef>
              <c:f>'Commodities (Facility) Input'!Year_C2F</c:f>
              <c:numCache>
                <c:formatCode>General</c:formatCode>
                <c:ptCount val="1"/>
                <c:pt idx="0">
                  <c:v>0</c:v>
                </c:pt>
              </c:numCache>
            </c:numRef>
          </c:cat>
          <c:val>
            <c:numRef>
              <c:f>'Commodities (Facility) Output'!Users_OC</c:f>
              <c:numCache>
                <c:formatCode>#,##0</c:formatCode>
                <c:ptCount val="1"/>
                <c:pt idx="0">
                  <c:v>#N/A</c:v>
                </c:pt>
              </c:numCache>
            </c:numRef>
          </c:val>
          <c:smooth val="0"/>
          <c:extLst>
            <c:ext xmlns:c16="http://schemas.microsoft.com/office/drawing/2014/chart" uri="{C3380CC4-5D6E-409C-BE32-E72D297353CC}">
              <c16:uniqueId val="{00000004-1931-4D4C-BD5C-F2724CC14FCC}"/>
            </c:ext>
          </c:extLst>
        </c:ser>
        <c:ser>
          <c:idx val="5"/>
          <c:order val="6"/>
          <c:tx>
            <c:strRef>
              <c:f>'Commodities (Facility) Output'!$C$13</c:f>
              <c:strCache>
                <c:ptCount val="1"/>
                <c:pt idx="0">
                  <c:v>Préservatifs (m+f)</c:v>
                </c:pt>
              </c:strCache>
            </c:strRef>
          </c:tx>
          <c:spPr>
            <a:ln w="38100" cap="rnd">
              <a:solidFill>
                <a:schemeClr val="accent3"/>
              </a:solidFill>
              <a:round/>
            </a:ln>
            <a:effectLst/>
          </c:spPr>
          <c:marker>
            <c:symbol val="none"/>
          </c:marker>
          <c:cat>
            <c:numRef>
              <c:f>'Commodities (Facility) Input'!Year_C2F</c:f>
              <c:numCache>
                <c:formatCode>General</c:formatCode>
                <c:ptCount val="1"/>
                <c:pt idx="0">
                  <c:v>0</c:v>
                </c:pt>
              </c:numCache>
            </c:numRef>
          </c:cat>
          <c:val>
            <c:numRef>
              <c:f>'Commodities (Facility) Output'!Users_Condom</c:f>
              <c:numCache>
                <c:formatCode>#,##0</c:formatCode>
                <c:ptCount val="1"/>
                <c:pt idx="0">
                  <c:v>#N/A</c:v>
                </c:pt>
              </c:numCache>
            </c:numRef>
          </c:val>
          <c:smooth val="0"/>
          <c:extLst>
            <c:ext xmlns:c16="http://schemas.microsoft.com/office/drawing/2014/chart" uri="{C3380CC4-5D6E-409C-BE32-E72D297353CC}">
              <c16:uniqueId val="{00000005-1931-4D4C-BD5C-F2724CC14FCC}"/>
            </c:ext>
          </c:extLst>
        </c:ser>
        <c:ser>
          <c:idx val="6"/>
          <c:order val="7"/>
          <c:tx>
            <c:strRef>
              <c:f>'Commodities (Facility) Output'!$C$14</c:f>
              <c:strCache>
                <c:ptCount val="1"/>
                <c:pt idx="0">
                  <c:v>MAMA</c:v>
                </c:pt>
              </c:strCache>
            </c:strRef>
          </c:tx>
          <c:spPr>
            <a:ln w="38100" cap="rnd">
              <a:solidFill>
                <a:schemeClr val="accent5"/>
              </a:solidFill>
              <a:round/>
            </a:ln>
            <a:effectLst/>
          </c:spPr>
          <c:marker>
            <c:symbol val="none"/>
          </c:marker>
          <c:cat>
            <c:numRef>
              <c:f>'Commodities (Facility) Input'!Year_C2F</c:f>
              <c:numCache>
                <c:formatCode>General</c:formatCode>
                <c:ptCount val="1"/>
                <c:pt idx="0">
                  <c:v>0</c:v>
                </c:pt>
              </c:numCache>
            </c:numRef>
          </c:cat>
          <c:val>
            <c:numRef>
              <c:f>'Commodities (Facility) Output'!Users_LAM</c:f>
              <c:numCache>
                <c:formatCode>#,##0</c:formatCode>
                <c:ptCount val="1"/>
                <c:pt idx="0">
                  <c:v>#N/A</c:v>
                </c:pt>
              </c:numCache>
            </c:numRef>
          </c:val>
          <c:smooth val="0"/>
          <c:extLst>
            <c:ext xmlns:c16="http://schemas.microsoft.com/office/drawing/2014/chart" uri="{C3380CC4-5D6E-409C-BE32-E72D297353CC}">
              <c16:uniqueId val="{00000006-1931-4D4C-BD5C-F2724CC14FCC}"/>
            </c:ext>
          </c:extLst>
        </c:ser>
        <c:ser>
          <c:idx val="7"/>
          <c:order val="8"/>
          <c:tx>
            <c:strRef>
              <c:f>'Commodities (Facility) Output'!$C$15</c:f>
              <c:strCache>
                <c:ptCount val="1"/>
                <c:pt idx="0">
                  <c:v>Autres méthodes modernes</c:v>
                </c:pt>
              </c:strCache>
            </c:strRef>
          </c:tx>
          <c:spPr>
            <a:ln w="38100" cap="rnd">
              <a:solidFill>
                <a:schemeClr val="accent4"/>
              </a:solidFill>
              <a:round/>
            </a:ln>
            <a:effectLst/>
          </c:spPr>
          <c:marker>
            <c:symbol val="none"/>
          </c:marker>
          <c:cat>
            <c:numRef>
              <c:f>'Commodities (Facility) Input'!Year_C2F</c:f>
              <c:numCache>
                <c:formatCode>General</c:formatCode>
                <c:ptCount val="1"/>
                <c:pt idx="0">
                  <c:v>0</c:v>
                </c:pt>
              </c:numCache>
            </c:numRef>
          </c:cat>
          <c:val>
            <c:numRef>
              <c:f>'Commodities (Facility) Output'!Users_OMM</c:f>
              <c:numCache>
                <c:formatCode>#,##0</c:formatCode>
                <c:ptCount val="1"/>
                <c:pt idx="0">
                  <c:v>#N/A</c:v>
                </c:pt>
              </c:numCache>
            </c:numRef>
          </c:val>
          <c:smooth val="0"/>
          <c:extLst>
            <c:ext xmlns:c16="http://schemas.microsoft.com/office/drawing/2014/chart" uri="{C3380CC4-5D6E-409C-BE32-E72D297353CC}">
              <c16:uniqueId val="{00000007-1931-4D4C-BD5C-F2724CC14FCC}"/>
            </c:ext>
          </c:extLst>
        </c:ser>
        <c:dLbls>
          <c:showLegendKey val="0"/>
          <c:showVal val="0"/>
          <c:showCatName val="0"/>
          <c:showSerName val="0"/>
          <c:showPercent val="0"/>
          <c:showBubbleSize val="0"/>
        </c:dLbls>
        <c:smooth val="0"/>
        <c:axId val="254310568"/>
        <c:axId val="254304336"/>
      </c:lineChart>
      <c:catAx>
        <c:axId val="254310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254304336"/>
        <c:crosses val="autoZero"/>
        <c:auto val="1"/>
        <c:lblAlgn val="ctr"/>
        <c:lblOffset val="100"/>
        <c:noMultiLvlLbl val="0"/>
      </c:catAx>
      <c:valAx>
        <c:axId val="2543043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US">
                    <a:solidFill>
                      <a:schemeClr val="tx1"/>
                    </a:solidFill>
                  </a:rPr>
                  <a:t>Users / Utilisateurs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254310568"/>
        <c:crosses val="autoZero"/>
        <c:crossBetween val="between"/>
      </c:valAx>
      <c:spPr>
        <a:noFill/>
        <a:ln>
          <a:noFill/>
        </a:ln>
        <a:effectLst/>
      </c:spPr>
    </c:plotArea>
    <c:legend>
      <c:legendPos val="b"/>
      <c:layout>
        <c:manualLayout>
          <c:xMode val="edge"/>
          <c:yMode val="edge"/>
          <c:x val="0.81583094998234951"/>
          <c:y val="0"/>
          <c:w val="0.18416899029500675"/>
          <c:h val="0.99678862121227718"/>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788714866013981E-2"/>
          <c:y val="3.9979225693155797E-2"/>
          <c:w val="0.89553977703871079"/>
          <c:h val="0.76580816127017459"/>
        </c:manualLayout>
      </c:layout>
      <c:lineChart>
        <c:grouping val="standard"/>
        <c:varyColors val="0"/>
        <c:ser>
          <c:idx val="1"/>
          <c:order val="0"/>
          <c:tx>
            <c:strRef>
              <c:f>'Commodities (Facility) Output'!$C$33:$C$33</c:f>
              <c:strCache>
                <c:ptCount val="1"/>
                <c:pt idx="0">
                  <c:v>EUM: Produits inc. Préservatifs</c:v>
                </c:pt>
              </c:strCache>
            </c:strRef>
          </c:tx>
          <c:spPr>
            <a:ln w="28575" cap="rnd">
              <a:solidFill>
                <a:schemeClr val="accent2"/>
              </a:solidFill>
              <a:prstDash val="sysDash"/>
              <a:round/>
            </a:ln>
            <a:effectLst/>
          </c:spPr>
          <c:marker>
            <c:symbol val="circle"/>
            <c:size val="5"/>
            <c:spPr>
              <a:solidFill>
                <a:schemeClr val="accent2"/>
              </a:solidFill>
              <a:ln w="28575">
                <a:solidFill>
                  <a:schemeClr val="accent2"/>
                </a:solidFill>
                <a:prstDash val="solid"/>
              </a:ln>
              <a:effectLst/>
            </c:spPr>
          </c:marker>
          <c:cat>
            <c:numRef>
              <c:f>'Commodities (Facility) Input'!Year_C2F</c:f>
              <c:numCache>
                <c:formatCode>General</c:formatCode>
                <c:ptCount val="1"/>
                <c:pt idx="0">
                  <c:v>0</c:v>
                </c:pt>
              </c:numCache>
            </c:numRef>
          </c:cat>
          <c:val>
            <c:numRef>
              <c:f>'Commodities (Facility) Output'!EMU_Inc_Condoms</c:f>
              <c:numCache>
                <c:formatCode>0.0%</c:formatCode>
                <c:ptCount val="1"/>
                <c:pt idx="0">
                  <c:v>#N/A</c:v>
                </c:pt>
              </c:numCache>
            </c:numRef>
          </c:val>
          <c:smooth val="0"/>
          <c:extLst>
            <c:ext xmlns:c16="http://schemas.microsoft.com/office/drawing/2014/chart" uri="{C3380CC4-5D6E-409C-BE32-E72D297353CC}">
              <c16:uniqueId val="{00000001-E819-410E-BF03-3CE97B718833}"/>
            </c:ext>
          </c:extLst>
        </c:ser>
        <c:ser>
          <c:idx val="2"/>
          <c:order val="1"/>
          <c:tx>
            <c:strRef>
              <c:f>'Commodities (Facility) Output'!$C$34:$C$34</c:f>
              <c:strCache>
                <c:ptCount val="1"/>
                <c:pt idx="0">
                  <c:v>EUM: Produits ex. Préservatifs</c:v>
                </c:pt>
              </c:strCache>
            </c:strRef>
          </c:tx>
          <c:spPr>
            <a:ln w="38100" cap="rnd">
              <a:solidFill>
                <a:schemeClr val="bg2"/>
              </a:solidFill>
              <a:round/>
            </a:ln>
            <a:effectLst/>
          </c:spPr>
          <c:marker>
            <c:symbol val="circle"/>
            <c:size val="5"/>
            <c:spPr>
              <a:solidFill>
                <a:schemeClr val="bg2"/>
              </a:solidFill>
              <a:ln w="38100">
                <a:solidFill>
                  <a:schemeClr val="bg2"/>
                </a:solidFill>
              </a:ln>
              <a:effectLst/>
            </c:spPr>
          </c:marker>
          <c:cat>
            <c:numRef>
              <c:f>'Commodities (Facility) Input'!Year_C2F</c:f>
              <c:numCache>
                <c:formatCode>General</c:formatCode>
                <c:ptCount val="1"/>
                <c:pt idx="0">
                  <c:v>0</c:v>
                </c:pt>
              </c:numCache>
            </c:numRef>
          </c:cat>
          <c:val>
            <c:numRef>
              <c:f>'Commodities (Facility) Output'!EMU_Ex_Condoms</c:f>
              <c:numCache>
                <c:formatCode>0.0%</c:formatCode>
                <c:ptCount val="1"/>
                <c:pt idx="0">
                  <c:v>#N/A</c:v>
                </c:pt>
              </c:numCache>
            </c:numRef>
          </c:val>
          <c:smooth val="0"/>
          <c:extLst>
            <c:ext xmlns:c16="http://schemas.microsoft.com/office/drawing/2014/chart" uri="{C3380CC4-5D6E-409C-BE32-E72D297353CC}">
              <c16:uniqueId val="{00000003-E819-410E-BF03-3CE97B718833}"/>
            </c:ext>
          </c:extLst>
        </c:ser>
        <c:ser>
          <c:idx val="3"/>
          <c:order val="2"/>
          <c:tx>
            <c:strRef>
              <c:f>'Commodities (Facility) Output'!$C$35:$C$35</c:f>
              <c:strCache>
                <c:ptCount val="1"/>
                <c:pt idx="0">
                  <c:v>TPCm (TF): DHS</c:v>
                </c:pt>
              </c:strCache>
            </c:strRef>
          </c:tx>
          <c:spPr>
            <a:ln w="31750" cap="rnd">
              <a:solidFill>
                <a:schemeClr val="accent3"/>
              </a:solidFill>
              <a:round/>
            </a:ln>
            <a:effectLst/>
          </c:spPr>
          <c:marker>
            <c:symbol val="circle"/>
            <c:size val="10"/>
            <c:spPr>
              <a:solidFill>
                <a:schemeClr val="accent3"/>
              </a:solidFill>
              <a:ln w="12700">
                <a:solidFill>
                  <a:schemeClr val="accent3"/>
                </a:solidFill>
              </a:ln>
              <a:effectLst/>
            </c:spPr>
          </c:marker>
          <c:cat>
            <c:numRef>
              <c:f>'Commodities (Facility) Input'!Year_C2F</c:f>
              <c:numCache>
                <c:formatCode>General</c:formatCode>
                <c:ptCount val="1"/>
                <c:pt idx="0">
                  <c:v>0</c:v>
                </c:pt>
              </c:numCache>
            </c:numRef>
          </c:cat>
          <c:val>
            <c:numRef>
              <c:f>'Commodities (Facility) Output'!mCPR_Survey</c:f>
              <c:numCache>
                <c:formatCode>0.0%</c:formatCode>
                <c:ptCount val="1"/>
                <c:pt idx="0">
                  <c:v>#N/A</c:v>
                </c:pt>
              </c:numCache>
            </c:numRef>
          </c:val>
          <c:smooth val="0"/>
          <c:extLst>
            <c:ext xmlns:c16="http://schemas.microsoft.com/office/drawing/2014/chart" uri="{C3380CC4-5D6E-409C-BE32-E72D297353CC}">
              <c16:uniqueId val="{00000005-E819-410E-BF03-3CE97B718833}"/>
            </c:ext>
          </c:extLst>
        </c:ser>
        <c:ser>
          <c:idx val="5"/>
          <c:order val="3"/>
          <c:tx>
            <c:strRef>
              <c:f>'Commodities (Facility) Output'!$C$38:$C$38</c:f>
              <c:strCache>
                <c:ptCount val="1"/>
                <c:pt idx="0">
                  <c:v>TPCm (TF): FPET Global Run (2022)</c:v>
                </c:pt>
              </c:strCache>
            </c:strRef>
          </c:tx>
          <c:spPr>
            <a:ln w="28575" cap="rnd">
              <a:solidFill>
                <a:schemeClr val="accent6"/>
              </a:solidFill>
              <a:prstDash val="solid"/>
              <a:round/>
            </a:ln>
            <a:effectLst/>
          </c:spPr>
          <c:marker>
            <c:symbol val="circle"/>
            <c:size val="5"/>
            <c:spPr>
              <a:solidFill>
                <a:schemeClr val="accent6"/>
              </a:solidFill>
              <a:ln w="28575">
                <a:solidFill>
                  <a:schemeClr val="accent6"/>
                </a:solidFill>
                <a:prstDash val="solid"/>
              </a:ln>
              <a:effectLst/>
            </c:spPr>
          </c:marker>
          <c:cat>
            <c:numRef>
              <c:f>'Commodities (Facility) Input'!Year_C2F</c:f>
              <c:numCache>
                <c:formatCode>General</c:formatCode>
                <c:ptCount val="1"/>
                <c:pt idx="0">
                  <c:v>0</c:v>
                </c:pt>
              </c:numCache>
            </c:numRef>
          </c:cat>
          <c:val>
            <c:numRef>
              <c:f>'Commodities (Facility) Output'!mCPR_FPET</c:f>
              <c:numCache>
                <c:formatCode>0.0%</c:formatCode>
                <c:ptCount val="1"/>
                <c:pt idx="0">
                  <c:v>#N/A</c:v>
                </c:pt>
              </c:numCache>
            </c:numRef>
          </c:val>
          <c:smooth val="0"/>
          <c:extLst>
            <c:ext xmlns:c16="http://schemas.microsoft.com/office/drawing/2014/chart" uri="{C3380CC4-5D6E-409C-BE32-E72D297353CC}">
              <c16:uniqueId val="{00000007-E819-410E-BF03-3CE97B718833}"/>
            </c:ext>
          </c:extLst>
        </c:ser>
        <c:dLbls>
          <c:showLegendKey val="0"/>
          <c:showVal val="0"/>
          <c:showCatName val="0"/>
          <c:showSerName val="0"/>
          <c:showPercent val="0"/>
          <c:showBubbleSize val="0"/>
        </c:dLbls>
        <c:marker val="1"/>
        <c:smooth val="0"/>
        <c:axId val="637657848"/>
        <c:axId val="637662112"/>
        <c:extLst/>
      </c:lineChart>
      <c:catAx>
        <c:axId val="637657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637662112"/>
        <c:crosses val="autoZero"/>
        <c:auto val="1"/>
        <c:lblAlgn val="ctr"/>
        <c:lblOffset val="100"/>
        <c:noMultiLvlLbl val="0"/>
      </c:catAx>
      <c:valAx>
        <c:axId val="637662112"/>
        <c:scaling>
          <c:orientation val="minMax"/>
        </c:scaling>
        <c:delete val="0"/>
        <c:axPos val="l"/>
        <c:majorGridlines>
          <c:spPr>
            <a:ln w="9525" cap="flat" cmpd="sng" algn="ctr">
              <a:solidFill>
                <a:schemeClr val="tx1">
                  <a:lumMod val="15000"/>
                  <a:lumOff val="85000"/>
                </a:schemeClr>
              </a:solidFill>
              <a:round/>
            </a:ln>
            <a:effectLst/>
          </c:spPr>
        </c:majorGridlines>
        <c:title>
          <c:tx>
            <c:strRef>
              <c:f>'Commodities (Facility) Output'!$AC$94</c:f>
              <c:strCache>
                <c:ptCount val="1"/>
              </c:strCache>
            </c:strRef>
          </c:tx>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637657848"/>
        <c:crosses val="autoZero"/>
        <c:crossBetween val="between"/>
      </c:valAx>
    </c:plotArea>
    <c:legend>
      <c:legendPos val="b"/>
      <c:layout>
        <c:manualLayout>
          <c:xMode val="edge"/>
          <c:yMode val="edge"/>
          <c:x val="2.1989774555909034E-2"/>
          <c:y val="0.87973032761222947"/>
          <c:w val="0.95436472901068892"/>
          <c:h val="0.120269771799444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0"/>
    <c:dispBlanksAs val="span"/>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798929679244642"/>
          <c:y val="4.6490577088831281E-2"/>
          <c:w val="0.63702805331151791"/>
          <c:h val="0.81107221181333222"/>
        </c:manualLayout>
      </c:layout>
      <c:barChart>
        <c:barDir val="bar"/>
        <c:grouping val="clustered"/>
        <c:varyColors val="0"/>
        <c:ser>
          <c:idx val="0"/>
          <c:order val="0"/>
          <c:spPr>
            <a:solidFill>
              <a:schemeClr val="accent1"/>
            </a:solidFill>
            <a:ln>
              <a:noFill/>
            </a:ln>
            <a:effectLst/>
          </c:spPr>
          <c:invertIfNegative val="0"/>
          <c:dPt>
            <c:idx val="0"/>
            <c:invertIfNegative val="0"/>
            <c:bubble3D val="0"/>
            <c:spPr>
              <a:solidFill>
                <a:schemeClr val="accent3"/>
              </a:solidFill>
              <a:ln>
                <a:noFill/>
              </a:ln>
              <a:effectLst/>
            </c:spPr>
            <c:extLst>
              <c:ext xmlns:c16="http://schemas.microsoft.com/office/drawing/2014/chart" uri="{C3380CC4-5D6E-409C-BE32-E72D297353CC}">
                <c16:uniqueId val="{00000003-E725-4ADB-ACBE-6F5B78FA8FBF}"/>
              </c:ext>
            </c:extLst>
          </c:dPt>
          <c:dPt>
            <c:idx val="1"/>
            <c:invertIfNegative val="0"/>
            <c:bubble3D val="0"/>
            <c:spPr>
              <a:solidFill>
                <a:schemeClr val="accent6"/>
              </a:solidFill>
              <a:ln>
                <a:noFill/>
              </a:ln>
              <a:effectLst/>
            </c:spPr>
            <c:extLst>
              <c:ext xmlns:c16="http://schemas.microsoft.com/office/drawing/2014/chart" uri="{C3380CC4-5D6E-409C-BE32-E72D297353CC}">
                <c16:uniqueId val="{0000000D-7ACD-47A9-9688-40EB1AEFBCE5}"/>
              </c:ext>
            </c:extLst>
          </c:dPt>
          <c:dPt>
            <c:idx val="2"/>
            <c:invertIfNegative val="0"/>
            <c:bubble3D val="0"/>
            <c:spPr>
              <a:solidFill>
                <a:schemeClr val="accent2"/>
              </a:solidFill>
              <a:ln>
                <a:noFill/>
              </a:ln>
              <a:effectLst/>
            </c:spPr>
            <c:extLst>
              <c:ext xmlns:c16="http://schemas.microsoft.com/office/drawing/2014/chart" uri="{C3380CC4-5D6E-409C-BE32-E72D297353CC}">
                <c16:uniqueId val="{00000007-E725-4ADB-ACBE-6F5B78FA8FBF}"/>
              </c:ext>
            </c:extLst>
          </c:dPt>
          <c:dPt>
            <c:idx val="3"/>
            <c:invertIfNegative val="0"/>
            <c:bubble3D val="0"/>
            <c:spPr>
              <a:solidFill>
                <a:schemeClr val="bg2"/>
              </a:solidFill>
              <a:ln>
                <a:noFill/>
              </a:ln>
              <a:effectLst/>
            </c:spPr>
            <c:extLst>
              <c:ext xmlns:c16="http://schemas.microsoft.com/office/drawing/2014/chart" uri="{C3380CC4-5D6E-409C-BE32-E72D297353CC}">
                <c16:uniqueId val="{00000007-9D34-44BE-B6E0-848CA847BAFE}"/>
              </c:ext>
            </c:extLst>
          </c:dPt>
          <c:dLbls>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3"/>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3-E725-4ADB-ACBE-6F5B78FA8FBF}"/>
                </c:ext>
              </c:extLst>
            </c:dLbl>
            <c:dLbl>
              <c:idx val="1"/>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6"/>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D-7ACD-47A9-9688-40EB1AEFBCE5}"/>
                </c:ext>
              </c:extLst>
            </c:dLbl>
            <c:dLbl>
              <c:idx val="2"/>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2"/>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7-E725-4ADB-ACBE-6F5B78FA8FBF}"/>
                </c:ext>
              </c:extLst>
            </c:dLbl>
            <c:dLbl>
              <c:idx val="3"/>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2"/>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7-9D34-44BE-B6E0-848CA847BAFE}"/>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'Commodities (Facility) Output'!$C$33:$C$40</c15:sqref>
                  </c15:fullRef>
                </c:ext>
              </c:extLst>
              <c:f>('Commodities (Facility) Output'!$C$36:$C$37,'Commodities (Facility) Output'!$C$39:$C$40)</c:f>
              <c:strCache>
                <c:ptCount val="4"/>
                <c:pt idx="0">
                  <c:v>TPCm (TF): DHS</c:v>
                </c:pt>
                <c:pt idx="1">
                  <c:v>TPCm (TF): FPET Global Run (2022)</c:v>
                </c:pt>
                <c:pt idx="2">
                  <c:v>EUM: Produits inc. Préservatifs</c:v>
                </c:pt>
                <c:pt idx="3">
                  <c:v>EUM: Produits ex. Préservatifs</c:v>
                </c:pt>
              </c:strCache>
            </c:strRef>
          </c:cat>
          <c:val>
            <c:numRef>
              <c:extLst>
                <c:ext xmlns:c15="http://schemas.microsoft.com/office/drawing/2012/chart" uri="{02D57815-91ED-43cb-92C2-25804820EDAC}">
                  <c15:fullRef>
                    <c15:sqref>'Commodities (Facility) Output'!$U$33:$U$40</c15:sqref>
                  </c15:fullRef>
                </c:ext>
              </c:extLst>
              <c:f>('Commodities (Facility) Output'!$U$36:$U$37,'Commodities (Facility) Output'!$U$39:$U$40)</c:f>
              <c:numCache>
                <c:formatCode>0.0%</c:formatCode>
                <c:ptCount val="4"/>
                <c:pt idx="0">
                  <c:v>#N/A</c:v>
                </c:pt>
                <c:pt idx="1">
                  <c:v>0</c:v>
                </c:pt>
                <c:pt idx="2">
                  <c:v>0</c:v>
                </c:pt>
                <c:pt idx="3">
                  <c:v>0</c:v>
                </c:pt>
              </c:numCache>
            </c:numRef>
          </c:val>
          <c:extLst>
            <c:ext xmlns:c15="http://schemas.microsoft.com/office/drawing/2012/chart" uri="{02D57815-91ED-43cb-92C2-25804820EDAC}">
              <c15:categoryFilterExceptions>
                <c15:categoryFilterException>
                  <c15:sqref>'Commodities (Facility) Output'!$U$33</c15:sqref>
                  <c15:spPr xmlns:c15="http://schemas.microsoft.com/office/drawing/2012/chart">
                    <a:solidFill>
                      <a:schemeClr val="accent3"/>
                    </a:solidFill>
                    <a:ln>
                      <a:noFill/>
                    </a:ln>
                    <a:effectLst/>
                  </c15:spPr>
                  <c15:invertIfNegative val="0"/>
                  <c15:bubble3D val="0"/>
                  <c15:dLbl>
                    <c:idx val="-1"/>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3"/>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9-36C6-4818-8F7A-14739CA8A19B}"/>
                      </c:ext>
                    </c:extLst>
                  </c15:dLbl>
                </c15:categoryFilterException>
                <c15:categoryFilterException>
                  <c15:sqref>'Commodities (Facility) Output'!$U$34</c15:sqref>
                  <c15:spPr xmlns:c15="http://schemas.microsoft.com/office/drawing/2012/chart">
                    <a:solidFill>
                      <a:schemeClr val="accent6"/>
                    </a:solidFill>
                    <a:ln>
                      <a:noFill/>
                    </a:ln>
                    <a:effectLst/>
                  </c15:spPr>
                  <c15:invertIfNegative val="0"/>
                  <c15:bubble3D val="0"/>
                  <c15:dLbl>
                    <c:idx val="-1"/>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6"/>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B-36C6-4818-8F7A-14739CA8A19B}"/>
                      </c:ext>
                    </c:extLst>
                  </c15:dLbl>
                </c15:categoryFilterException>
                <c15:categoryFilterException>
                  <c15:sqref>'Commodities (Facility) Output'!$U$35</c15:sqref>
                  <c15:spPr xmlns:c15="http://schemas.microsoft.com/office/drawing/2012/chart">
                    <a:solidFill>
                      <a:schemeClr val="accent2">
                        <a:lumMod val="60000"/>
                        <a:lumOff val="40000"/>
                      </a:schemeClr>
                    </a:solidFill>
                    <a:ln>
                      <a:noFill/>
                    </a:ln>
                    <a:effectLst/>
                  </c15:spPr>
                  <c15:invertIfNegative val="0"/>
                  <c15:bubble3D val="0"/>
                  <c15:dLbl>
                    <c:idx val="-1"/>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2">
                                <a:lumMod val="60000"/>
                                <a:lumOff val="40000"/>
                              </a:schemeClr>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D-36C6-4818-8F7A-14739CA8A19B}"/>
                      </c:ext>
                    </c:extLst>
                  </c15:dLbl>
                </c15:categoryFilterException>
                <c15:categoryFilterException>
                  <c15:sqref>'Commodities (Facility) Output'!$U$38</c15:sqref>
                  <c15:spPr xmlns:c15="http://schemas.microsoft.com/office/drawing/2012/chart">
                    <a:solidFill>
                      <a:schemeClr val="accent6">
                        <a:lumMod val="60000"/>
                        <a:lumOff val="40000"/>
                      </a:schemeClr>
                    </a:solidFill>
                    <a:ln>
                      <a:noFill/>
                    </a:ln>
                    <a:effectLst/>
                  </c15:spPr>
                  <c15:invertIfNegative val="0"/>
                  <c15:bubble3D val="0"/>
                  <c15:dLbl>
                    <c:idx val="1"/>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6">
                                <a:lumMod val="60000"/>
                                <a:lumOff val="40000"/>
                              </a:schemeClr>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F-36C6-4818-8F7A-14739CA8A19B}"/>
                      </c:ext>
                    </c:extLst>
                  </c15:dLbl>
                </c15:categoryFilterException>
              </c15:categoryFilterExceptions>
            </c:ext>
            <c:ext xmlns:c16="http://schemas.microsoft.com/office/drawing/2014/chart" uri="{C3380CC4-5D6E-409C-BE32-E72D297353CC}">
              <c16:uniqueId val="{00000008-E725-4ADB-ACBE-6F5B78FA8FBF}"/>
            </c:ext>
          </c:extLst>
        </c:ser>
        <c:dLbls>
          <c:showLegendKey val="0"/>
          <c:showVal val="0"/>
          <c:showCatName val="0"/>
          <c:showSerName val="0"/>
          <c:showPercent val="0"/>
          <c:showBubbleSize val="0"/>
        </c:dLbls>
        <c:gapWidth val="100"/>
        <c:axId val="607006176"/>
        <c:axId val="607006504"/>
      </c:barChart>
      <c:catAx>
        <c:axId val="6070061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crossAx val="607006504"/>
        <c:crosses val="autoZero"/>
        <c:auto val="1"/>
        <c:lblAlgn val="ctr"/>
        <c:lblOffset val="100"/>
        <c:noMultiLvlLbl val="0"/>
      </c:catAx>
      <c:valAx>
        <c:axId val="607006504"/>
        <c:scaling>
          <c:orientation val="minMax"/>
        </c:scaling>
        <c:delete val="0"/>
        <c:axPos val="b"/>
        <c:majorGridlines>
          <c:spPr>
            <a:ln w="9525" cap="flat" cmpd="sng" algn="ctr">
              <a:solidFill>
                <a:schemeClr val="tx1">
                  <a:lumMod val="15000"/>
                  <a:lumOff val="85000"/>
                </a:schemeClr>
              </a:solidFill>
              <a:round/>
            </a:ln>
            <a:effectLst/>
          </c:spPr>
        </c:majorGridlines>
        <c:title>
          <c:tx>
            <c:strRef>
              <c:f>'Commodities (Facility) Output'!$AC$93</c:f>
              <c:strCache>
                <c:ptCount val="1"/>
              </c:strCache>
            </c:strRef>
          </c:tx>
          <c:layout>
            <c:manualLayout>
              <c:xMode val="edge"/>
              <c:yMode val="edge"/>
              <c:x val="0.38424997280018502"/>
              <c:y val="0.90279265091863514"/>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lumMod val="65000"/>
                      <a:lumOff val="35000"/>
                    </a:sysClr>
                  </a:solidFill>
                  <a:latin typeface="+mn-lt"/>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607006176"/>
        <c:crosses val="autoZero"/>
        <c:crossBetween val="between"/>
      </c:valAx>
      <c:spPr>
        <a:noFill/>
        <a:ln>
          <a:noFill/>
        </a:ln>
        <a:effectLst/>
      </c:spPr>
    </c:plotArea>
    <c:plotVisOnly val="0"/>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'Commodities (Facility) Output'!$D$43</c:f>
          <c:strCache>
            <c:ptCount val="1"/>
            <c:pt idx="0">
              <c:v>Mélange Estimée de Méthodes Modernes : 2021</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2424876048247624"/>
          <c:y val="0.23797217665965797"/>
          <c:w val="0.74447171862786132"/>
          <c:h val="0.72213792886798422"/>
        </c:manualLayout>
      </c:layout>
      <c:pieChart>
        <c:varyColors val="1"/>
        <c:ser>
          <c:idx val="0"/>
          <c:order val="0"/>
          <c:tx>
            <c:strRef>
              <c:f>'Commodities (Facility) Output'!$D$43</c:f>
              <c:strCache>
                <c:ptCount val="1"/>
                <c:pt idx="0">
                  <c:v>Mélange Estimée de Méthodes Modernes : 2021</c:v>
                </c:pt>
              </c:strCache>
            </c:strRef>
          </c:tx>
          <c:dPt>
            <c:idx val="0"/>
            <c:bubble3D val="0"/>
            <c:spPr>
              <a:solidFill>
                <a:srgbClr val="954F72"/>
              </a:solidFill>
              <a:ln w="19050">
                <a:solidFill>
                  <a:schemeClr val="lt1"/>
                </a:solidFill>
              </a:ln>
              <a:effectLst/>
            </c:spPr>
            <c:extLst>
              <c:ext xmlns:c16="http://schemas.microsoft.com/office/drawing/2014/chart" uri="{C3380CC4-5D6E-409C-BE32-E72D297353CC}">
                <c16:uniqueId val="{00000015-4AA0-4A8E-979E-583FEC6C9B50}"/>
              </c:ext>
            </c:extLst>
          </c:dPt>
          <c:dPt>
            <c:idx val="1"/>
            <c:bubble3D val="0"/>
            <c:spPr>
              <a:solidFill>
                <a:srgbClr val="954F72">
                  <a:lumMod val="50000"/>
                </a:srgbClr>
              </a:solidFill>
            </c:spPr>
            <c:extLst>
              <c:ext xmlns:c16="http://schemas.microsoft.com/office/drawing/2014/chart" uri="{C3380CC4-5D6E-409C-BE32-E72D297353CC}">
                <c16:uniqueId val="{00000017-4AA0-4A8E-979E-583FEC6C9B50}"/>
              </c:ext>
            </c:extLst>
          </c:dPt>
          <c:dPt>
            <c:idx val="2"/>
            <c:bubble3D val="0"/>
            <c:spPr>
              <a:solidFill>
                <a:schemeClr val="bg2"/>
              </a:solidFill>
              <a:ln w="19050">
                <a:solidFill>
                  <a:schemeClr val="lt1"/>
                </a:solidFill>
              </a:ln>
              <a:effectLst/>
            </c:spPr>
            <c:extLst>
              <c:ext xmlns:c16="http://schemas.microsoft.com/office/drawing/2014/chart" uri="{C3380CC4-5D6E-409C-BE32-E72D297353CC}">
                <c16:uniqueId val="{00000019-4AA0-4A8E-979E-583FEC6C9B50}"/>
              </c:ext>
            </c:extLst>
          </c:dPt>
          <c:dPt>
            <c:idx val="3"/>
            <c:bubble3D val="0"/>
            <c:spPr>
              <a:solidFill>
                <a:schemeClr val="accent2"/>
              </a:solidFill>
              <a:ln w="19050">
                <a:solidFill>
                  <a:schemeClr val="lt1"/>
                </a:solidFill>
              </a:ln>
              <a:effectLst/>
            </c:spPr>
            <c:extLst>
              <c:ext xmlns:c16="http://schemas.microsoft.com/office/drawing/2014/chart" uri="{C3380CC4-5D6E-409C-BE32-E72D297353CC}">
                <c16:uniqueId val="{0000001B-4AA0-4A8E-979E-583FEC6C9B50}"/>
              </c:ext>
            </c:extLst>
          </c:dPt>
          <c:dPt>
            <c:idx val="4"/>
            <c:bubble3D val="0"/>
            <c:spPr>
              <a:solidFill>
                <a:srgbClr val="1D4E92"/>
              </a:solidFill>
              <a:ln w="19050">
                <a:solidFill>
                  <a:schemeClr val="lt1"/>
                </a:solidFill>
              </a:ln>
              <a:effectLst/>
            </c:spPr>
            <c:extLst>
              <c:ext xmlns:c16="http://schemas.microsoft.com/office/drawing/2014/chart" uri="{C3380CC4-5D6E-409C-BE32-E72D297353CC}">
                <c16:uniqueId val="{0000001D-4AA0-4A8E-979E-583FEC6C9B50}"/>
              </c:ext>
            </c:extLst>
          </c:dPt>
          <c:dPt>
            <c:idx val="5"/>
            <c:bubble3D val="0"/>
            <c:spPr>
              <a:solidFill>
                <a:srgbClr val="3892C6"/>
              </a:solidFill>
              <a:ln w="19050">
                <a:solidFill>
                  <a:schemeClr val="lt1"/>
                </a:solidFill>
              </a:ln>
              <a:effectLst/>
            </c:spPr>
            <c:extLst>
              <c:ext xmlns:c16="http://schemas.microsoft.com/office/drawing/2014/chart" uri="{C3380CC4-5D6E-409C-BE32-E72D297353CC}">
                <c16:uniqueId val="{0000001F-4AA0-4A8E-979E-583FEC6C9B50}"/>
              </c:ext>
            </c:extLst>
          </c:dPt>
          <c:dPt>
            <c:idx val="6"/>
            <c:bubble3D val="0"/>
            <c:spPr>
              <a:solidFill>
                <a:srgbClr val="F49100"/>
              </a:solidFill>
              <a:ln w="19050">
                <a:solidFill>
                  <a:schemeClr val="lt1"/>
                </a:solidFill>
              </a:ln>
              <a:effectLst/>
            </c:spPr>
            <c:extLst>
              <c:ext xmlns:c16="http://schemas.microsoft.com/office/drawing/2014/chart" uri="{C3380CC4-5D6E-409C-BE32-E72D297353CC}">
                <c16:uniqueId val="{00000021-4AA0-4A8E-979E-583FEC6C9B50}"/>
              </c:ext>
            </c:extLst>
          </c:dPt>
          <c:dPt>
            <c:idx val="7"/>
            <c:bubble3D val="0"/>
            <c:spPr>
              <a:solidFill>
                <a:srgbClr val="FCD116"/>
              </a:solidFill>
              <a:ln w="19050">
                <a:solidFill>
                  <a:schemeClr val="lt1"/>
                </a:solidFill>
              </a:ln>
              <a:effectLst/>
            </c:spPr>
            <c:extLst>
              <c:ext xmlns:c16="http://schemas.microsoft.com/office/drawing/2014/chart" uri="{C3380CC4-5D6E-409C-BE32-E72D297353CC}">
                <c16:uniqueId val="{00000023-4AA0-4A8E-979E-583FEC6C9B50}"/>
              </c:ext>
            </c:extLst>
          </c:dPt>
          <c:dPt>
            <c:idx val="8"/>
            <c:bubble3D val="0"/>
            <c:spPr>
              <a:solidFill>
                <a:schemeClr val="accent4"/>
              </a:solidFill>
              <a:ln w="19050">
                <a:solidFill>
                  <a:schemeClr val="lt1"/>
                </a:solidFill>
              </a:ln>
              <a:effectLst/>
            </c:spPr>
            <c:extLst>
              <c:ext xmlns:c16="http://schemas.microsoft.com/office/drawing/2014/chart" uri="{C3380CC4-5D6E-409C-BE32-E72D297353CC}">
                <c16:uniqueId val="{00000025-4AA0-4A8E-979E-583FEC6C9B50}"/>
              </c:ext>
            </c:extLst>
          </c:dPt>
          <c:dLbls>
            <c:spPr>
              <a:solidFill>
                <a:srgbClr val="FFFFFF">
                  <a:alpha val="50196"/>
                </a:srgbClr>
              </a:solidFill>
              <a:ln>
                <a:noFill/>
              </a:ln>
              <a:effectLst/>
            </c:spPr>
            <c:txPr>
              <a:bodyPr rot="0" spcFirstLastPara="1" vertOverflow="ellipsis" vert="horz" wrap="non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rect">
                    <a:avLst/>
                  </a:prstGeom>
                </c15:spPr>
              </c:ext>
            </c:extLst>
          </c:dLbls>
          <c:cat>
            <c:strRef>
              <c:f>'Commodities (Facility) Output'!$C$45:$C$53</c:f>
              <c:strCache>
                <c:ptCount val="9"/>
                <c:pt idx="0">
                  <c:v>Stérilisation (f)</c:v>
                </c:pt>
                <c:pt idx="1">
                  <c:v>Stérilisation (m)</c:v>
                </c:pt>
                <c:pt idx="2">
                  <c:v>DIU</c:v>
                </c:pt>
                <c:pt idx="3">
                  <c:v>Implant</c:v>
                </c:pt>
                <c:pt idx="4">
                  <c:v>Produits injectables</c:v>
                </c:pt>
                <c:pt idx="5">
                  <c:v>Pilule</c:v>
                </c:pt>
                <c:pt idx="6">
                  <c:v>Préservatifs (m+f)</c:v>
                </c:pt>
                <c:pt idx="7">
                  <c:v>MAMA</c:v>
                </c:pt>
                <c:pt idx="8">
                  <c:v>Autres méthodes modernes</c:v>
                </c:pt>
              </c:strCache>
            </c:strRef>
          </c:cat>
          <c:val>
            <c:numRef>
              <c:f>'Commodities (Facility) Output'!$D$45:$D$53</c:f>
              <c:numCache>
                <c:formatCode>0%</c:formatCode>
                <c:ptCount val="9"/>
                <c:pt idx="0">
                  <c:v>#N/A</c:v>
                </c:pt>
                <c:pt idx="1">
                  <c:v>#N/A</c:v>
                </c:pt>
                <c:pt idx="2">
                  <c:v>#N/A</c:v>
                </c:pt>
                <c:pt idx="3">
                  <c:v>#N/A</c:v>
                </c:pt>
                <c:pt idx="4">
                  <c:v>#N/A</c:v>
                </c:pt>
                <c:pt idx="5">
                  <c:v>#N/A</c:v>
                </c:pt>
                <c:pt idx="6">
                  <c:v>#N/A</c:v>
                </c:pt>
                <c:pt idx="7">
                  <c:v>#N/A</c:v>
                </c:pt>
                <c:pt idx="8">
                  <c:v>#N/A</c:v>
                </c:pt>
              </c:numCache>
            </c:numRef>
          </c:val>
          <c:extLst>
            <c:ext xmlns:c16="http://schemas.microsoft.com/office/drawing/2014/chart" uri="{C3380CC4-5D6E-409C-BE32-E72D297353CC}">
              <c16:uniqueId val="{00000026-4AA0-4A8E-979E-583FEC6C9B50}"/>
            </c:ext>
          </c:extLst>
        </c:ser>
        <c:dLbls>
          <c:showLegendKey val="0"/>
          <c:showVal val="0"/>
          <c:showCatName val="0"/>
          <c:showSerName val="0"/>
          <c:showPercent val="0"/>
          <c:showBubbleSize val="0"/>
          <c:showLeaderLines val="1"/>
        </c:dLbls>
        <c:firstSliceAng val="0"/>
      </c:pieChart>
      <c:spPr>
        <a:noFill/>
        <a:ln>
          <a:noFill/>
        </a:ln>
        <a:effectLst/>
      </c:spPr>
    </c:plotArea>
    <c:plotVisOnly val="0"/>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'Commodities (Facility) Output'!$E$43</c:f>
          <c:strCache>
            <c:ptCount val="1"/>
            <c:pt idx="0">
              <c:v>#N/A</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7640128335883054"/>
          <c:y val="0.26460692470216307"/>
          <c:w val="0.74447171862786132"/>
          <c:h val="0.72213792886798422"/>
        </c:manualLayout>
      </c:layout>
      <c:pieChart>
        <c:varyColors val="1"/>
        <c:ser>
          <c:idx val="0"/>
          <c:order val="0"/>
          <c:tx>
            <c:strRef>
              <c:f>'Commodities (Facility) Output'!$E$44</c:f>
              <c:strCache>
                <c:ptCount val="1"/>
                <c:pt idx="0">
                  <c:v>#N/A</c:v>
                </c:pt>
              </c:strCache>
            </c:strRef>
          </c:tx>
          <c:dPt>
            <c:idx val="0"/>
            <c:bubble3D val="0"/>
            <c:spPr>
              <a:solidFill>
                <a:srgbClr val="954F72"/>
              </a:solidFill>
              <a:ln w="19050">
                <a:solidFill>
                  <a:schemeClr val="lt1"/>
                </a:solidFill>
              </a:ln>
              <a:effectLst/>
            </c:spPr>
            <c:extLst>
              <c:ext xmlns:c16="http://schemas.microsoft.com/office/drawing/2014/chart" uri="{C3380CC4-5D6E-409C-BE32-E72D297353CC}">
                <c16:uniqueId val="{00000015-6AA5-482B-8DA6-0B8A45AF3834}"/>
              </c:ext>
            </c:extLst>
          </c:dPt>
          <c:dPt>
            <c:idx val="1"/>
            <c:bubble3D val="0"/>
            <c:spPr>
              <a:solidFill>
                <a:srgbClr val="954F72">
                  <a:lumMod val="50000"/>
                </a:srgbClr>
              </a:solidFill>
            </c:spPr>
            <c:extLst>
              <c:ext xmlns:c16="http://schemas.microsoft.com/office/drawing/2014/chart" uri="{C3380CC4-5D6E-409C-BE32-E72D297353CC}">
                <c16:uniqueId val="{00000017-6AA5-482B-8DA6-0B8A45AF3834}"/>
              </c:ext>
            </c:extLst>
          </c:dPt>
          <c:dPt>
            <c:idx val="2"/>
            <c:bubble3D val="0"/>
            <c:spPr>
              <a:solidFill>
                <a:schemeClr val="bg2"/>
              </a:solidFill>
              <a:ln w="19050">
                <a:solidFill>
                  <a:schemeClr val="lt1"/>
                </a:solidFill>
              </a:ln>
              <a:effectLst/>
            </c:spPr>
            <c:extLst>
              <c:ext xmlns:c16="http://schemas.microsoft.com/office/drawing/2014/chart" uri="{C3380CC4-5D6E-409C-BE32-E72D297353CC}">
                <c16:uniqueId val="{00000019-6AA5-482B-8DA6-0B8A45AF3834}"/>
              </c:ext>
            </c:extLst>
          </c:dPt>
          <c:dPt>
            <c:idx val="3"/>
            <c:bubble3D val="0"/>
            <c:spPr>
              <a:solidFill>
                <a:schemeClr val="accent2"/>
              </a:solidFill>
              <a:ln w="19050">
                <a:solidFill>
                  <a:schemeClr val="lt1"/>
                </a:solidFill>
              </a:ln>
              <a:effectLst/>
            </c:spPr>
            <c:extLst>
              <c:ext xmlns:c16="http://schemas.microsoft.com/office/drawing/2014/chart" uri="{C3380CC4-5D6E-409C-BE32-E72D297353CC}">
                <c16:uniqueId val="{0000001B-6AA5-482B-8DA6-0B8A45AF3834}"/>
              </c:ext>
            </c:extLst>
          </c:dPt>
          <c:dPt>
            <c:idx val="4"/>
            <c:bubble3D val="0"/>
            <c:spPr>
              <a:solidFill>
                <a:srgbClr val="1D4E92"/>
              </a:solidFill>
              <a:ln w="19050">
                <a:solidFill>
                  <a:schemeClr val="lt1"/>
                </a:solidFill>
              </a:ln>
              <a:effectLst/>
            </c:spPr>
            <c:extLst>
              <c:ext xmlns:c16="http://schemas.microsoft.com/office/drawing/2014/chart" uri="{C3380CC4-5D6E-409C-BE32-E72D297353CC}">
                <c16:uniqueId val="{0000001D-6AA5-482B-8DA6-0B8A45AF3834}"/>
              </c:ext>
            </c:extLst>
          </c:dPt>
          <c:dPt>
            <c:idx val="5"/>
            <c:bubble3D val="0"/>
            <c:spPr>
              <a:solidFill>
                <a:srgbClr val="3892C6"/>
              </a:solidFill>
              <a:ln w="19050">
                <a:solidFill>
                  <a:schemeClr val="lt1"/>
                </a:solidFill>
              </a:ln>
              <a:effectLst/>
            </c:spPr>
            <c:extLst>
              <c:ext xmlns:c16="http://schemas.microsoft.com/office/drawing/2014/chart" uri="{C3380CC4-5D6E-409C-BE32-E72D297353CC}">
                <c16:uniqueId val="{0000001F-6AA5-482B-8DA6-0B8A45AF3834}"/>
              </c:ext>
            </c:extLst>
          </c:dPt>
          <c:dPt>
            <c:idx val="6"/>
            <c:bubble3D val="0"/>
            <c:spPr>
              <a:solidFill>
                <a:srgbClr val="F49100"/>
              </a:solidFill>
              <a:ln w="19050">
                <a:solidFill>
                  <a:schemeClr val="lt1"/>
                </a:solidFill>
              </a:ln>
              <a:effectLst/>
            </c:spPr>
            <c:extLst>
              <c:ext xmlns:c16="http://schemas.microsoft.com/office/drawing/2014/chart" uri="{C3380CC4-5D6E-409C-BE32-E72D297353CC}">
                <c16:uniqueId val="{00000021-6AA5-482B-8DA6-0B8A45AF3834}"/>
              </c:ext>
            </c:extLst>
          </c:dPt>
          <c:dPt>
            <c:idx val="7"/>
            <c:bubble3D val="0"/>
            <c:spPr>
              <a:solidFill>
                <a:srgbClr val="FCD116"/>
              </a:solidFill>
              <a:ln w="19050">
                <a:solidFill>
                  <a:schemeClr val="lt1"/>
                </a:solidFill>
              </a:ln>
              <a:effectLst/>
            </c:spPr>
            <c:extLst>
              <c:ext xmlns:c16="http://schemas.microsoft.com/office/drawing/2014/chart" uri="{C3380CC4-5D6E-409C-BE32-E72D297353CC}">
                <c16:uniqueId val="{00000023-6AA5-482B-8DA6-0B8A45AF3834}"/>
              </c:ext>
            </c:extLst>
          </c:dPt>
          <c:dPt>
            <c:idx val="8"/>
            <c:bubble3D val="0"/>
            <c:spPr>
              <a:solidFill>
                <a:schemeClr val="accent4"/>
              </a:solidFill>
              <a:ln w="19050">
                <a:solidFill>
                  <a:schemeClr val="lt1"/>
                </a:solidFill>
              </a:ln>
              <a:effectLst/>
            </c:spPr>
            <c:extLst>
              <c:ext xmlns:c16="http://schemas.microsoft.com/office/drawing/2014/chart" uri="{C3380CC4-5D6E-409C-BE32-E72D297353CC}">
                <c16:uniqueId val="{00000025-6AA5-482B-8DA6-0B8A45AF3834}"/>
              </c:ext>
            </c:extLst>
          </c:dPt>
          <c:dLbls>
            <c:spPr>
              <a:solidFill>
                <a:srgbClr val="FFFFFF">
                  <a:alpha val="50196"/>
                </a:srgbClr>
              </a:solidFill>
              <a:ln>
                <a:noFill/>
              </a:ln>
              <a:effectLst/>
            </c:spPr>
            <c:txPr>
              <a:bodyPr rot="0" spcFirstLastPara="1" vertOverflow="ellipsis" vert="horz" wrap="non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rect">
                    <a:avLst/>
                  </a:prstGeom>
                </c15:spPr>
              </c:ext>
            </c:extLst>
          </c:dLbls>
          <c:cat>
            <c:strRef>
              <c:f>'Commodities (Facility) Output'!$C$45:$C$53</c:f>
              <c:strCache>
                <c:ptCount val="9"/>
                <c:pt idx="0">
                  <c:v>Stérilisation (f)</c:v>
                </c:pt>
                <c:pt idx="1">
                  <c:v>Stérilisation (m)</c:v>
                </c:pt>
                <c:pt idx="2">
                  <c:v>DIU</c:v>
                </c:pt>
                <c:pt idx="3">
                  <c:v>Implant</c:v>
                </c:pt>
                <c:pt idx="4">
                  <c:v>Produits injectables</c:v>
                </c:pt>
                <c:pt idx="5">
                  <c:v>Pilule</c:v>
                </c:pt>
                <c:pt idx="6">
                  <c:v>Préservatifs (m+f)</c:v>
                </c:pt>
                <c:pt idx="7">
                  <c:v>MAMA</c:v>
                </c:pt>
                <c:pt idx="8">
                  <c:v>Autres méthodes modernes</c:v>
                </c:pt>
              </c:strCache>
            </c:strRef>
          </c:cat>
          <c:val>
            <c:numRef>
              <c:f>'Commodities (Facility) Output'!$E$45:$E$53</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26-6AA5-482B-8DA6-0B8A45AF3834}"/>
            </c:ext>
          </c:extLst>
        </c:ser>
        <c:dLbls>
          <c:showLegendKey val="0"/>
          <c:showVal val="0"/>
          <c:showCatName val="0"/>
          <c:showSerName val="0"/>
          <c:showPercent val="0"/>
          <c:showBubbleSize val="0"/>
          <c:showLeaderLines val="1"/>
        </c:dLbls>
        <c:firstSliceAng val="0"/>
      </c:pieChart>
      <c:spPr>
        <a:noFill/>
        <a:ln>
          <a:noFill/>
        </a:ln>
        <a:effectLst/>
      </c:spPr>
    </c:plotArea>
    <c:plotVisOnly val="0"/>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995573671313177E-2"/>
          <c:y val="0.10328357017542338"/>
          <c:w val="0.90895602940194431"/>
          <c:h val="0.68920267308503236"/>
        </c:manualLayout>
      </c:layout>
      <c:barChart>
        <c:barDir val="col"/>
        <c:grouping val="clustered"/>
        <c:varyColors val="0"/>
        <c:ser>
          <c:idx val="0"/>
          <c:order val="0"/>
          <c:tx>
            <c:strRef>
              <c:f>'Commodities (Facility) Output'!$F$43</c:f>
              <c:strCache>
                <c:ptCount val="1"/>
                <c:pt idx="0">
                  <c:v>Utilisatrices par méthode 
(statistiques de service) : 2021</c:v>
                </c:pt>
              </c:strCache>
            </c:strRef>
          </c:tx>
          <c:spPr>
            <a:solidFill>
              <a:schemeClr val="bg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chemeClr val="bg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'Commodities (Facility) Output'!$C$45:$C$53</c:f>
              <c:strCache>
                <c:ptCount val="9"/>
                <c:pt idx="0">
                  <c:v>Stérilisation (f)</c:v>
                </c:pt>
                <c:pt idx="1">
                  <c:v>Stérilisation (m)</c:v>
                </c:pt>
                <c:pt idx="2">
                  <c:v>DIU</c:v>
                </c:pt>
                <c:pt idx="3">
                  <c:v>Implant</c:v>
                </c:pt>
                <c:pt idx="4">
                  <c:v>Produits injectables</c:v>
                </c:pt>
                <c:pt idx="5">
                  <c:v>Pilule</c:v>
                </c:pt>
                <c:pt idx="6">
                  <c:v>Préservatifs (m+f)</c:v>
                </c:pt>
                <c:pt idx="7">
                  <c:v>MAMA</c:v>
                </c:pt>
                <c:pt idx="8">
                  <c:v>Autres méthodes modernes</c:v>
                </c:pt>
              </c:strCache>
            </c:strRef>
          </c:cat>
          <c:val>
            <c:numRef>
              <c:f>'Commodities (Facility) Output'!$F$45:$F$53</c:f>
              <c:numCache>
                <c:formatCode>#,##0</c:formatCode>
                <c:ptCount val="9"/>
                <c:pt idx="0">
                  <c:v>#N/A</c:v>
                </c:pt>
                <c:pt idx="1">
                  <c:v>#N/A</c:v>
                </c:pt>
                <c:pt idx="2">
                  <c:v>#N/A</c:v>
                </c:pt>
                <c:pt idx="3">
                  <c:v>#N/A</c:v>
                </c:pt>
                <c:pt idx="4">
                  <c:v>#N/A</c:v>
                </c:pt>
                <c:pt idx="5">
                  <c:v>#N/A</c:v>
                </c:pt>
                <c:pt idx="6">
                  <c:v>#N/A</c:v>
                </c:pt>
                <c:pt idx="7">
                  <c:v>#N/A</c:v>
                </c:pt>
                <c:pt idx="8">
                  <c:v>#N/A</c:v>
                </c:pt>
              </c:numCache>
            </c:numRef>
          </c:val>
          <c:extLst>
            <c:ext xmlns:c16="http://schemas.microsoft.com/office/drawing/2014/chart" uri="{C3380CC4-5D6E-409C-BE32-E72D297353CC}">
              <c16:uniqueId val="{00000001-EAAE-45BA-B5E7-CF0AF05F415C}"/>
            </c:ext>
          </c:extLst>
        </c:ser>
        <c:ser>
          <c:idx val="1"/>
          <c:order val="1"/>
          <c:tx>
            <c:strRef>
              <c:f>'Commodities (Facility) Output'!$G$43</c:f>
              <c:strCache>
                <c:ptCount val="1"/>
                <c:pt idx="0">
                  <c:v>Utilisatrices par méthode 
(enquête) : 2021</c:v>
                </c:pt>
              </c:strCache>
            </c:strRef>
          </c:tx>
          <c:spPr>
            <a:solidFill>
              <a:schemeClr val="accent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chemeClr val="accent6"/>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'Commodities (Facility) Output'!$C$45:$C$53</c:f>
              <c:strCache>
                <c:ptCount val="9"/>
                <c:pt idx="0">
                  <c:v>Stérilisation (f)</c:v>
                </c:pt>
                <c:pt idx="1">
                  <c:v>Stérilisation (m)</c:v>
                </c:pt>
                <c:pt idx="2">
                  <c:v>DIU</c:v>
                </c:pt>
                <c:pt idx="3">
                  <c:v>Implant</c:v>
                </c:pt>
                <c:pt idx="4">
                  <c:v>Produits injectables</c:v>
                </c:pt>
                <c:pt idx="5">
                  <c:v>Pilule</c:v>
                </c:pt>
                <c:pt idx="6">
                  <c:v>Préservatifs (m+f)</c:v>
                </c:pt>
                <c:pt idx="7">
                  <c:v>MAMA</c:v>
                </c:pt>
                <c:pt idx="8">
                  <c:v>Autres méthodes modernes</c:v>
                </c:pt>
              </c:strCache>
            </c:strRef>
          </c:cat>
          <c:val>
            <c:numRef>
              <c:f>'Commodities (Facility) Output'!$G$45:$G$53</c:f>
              <c:numCache>
                <c:formatCode>#,##0</c:formatCode>
                <c:ptCount val="9"/>
                <c:pt idx="0">
                  <c:v>#N/A</c:v>
                </c:pt>
                <c:pt idx="1">
                  <c:v>#N/A</c:v>
                </c:pt>
                <c:pt idx="2">
                  <c:v>#N/A</c:v>
                </c:pt>
                <c:pt idx="3">
                  <c:v>#N/A</c:v>
                </c:pt>
                <c:pt idx="4">
                  <c:v>#N/A</c:v>
                </c:pt>
                <c:pt idx="5">
                  <c:v>#N/A</c:v>
                </c:pt>
                <c:pt idx="6">
                  <c:v>#N/A</c:v>
                </c:pt>
                <c:pt idx="7">
                  <c:v>#N/A</c:v>
                </c:pt>
                <c:pt idx="8">
                  <c:v>#N/A</c:v>
                </c:pt>
              </c:numCache>
            </c:numRef>
          </c:val>
          <c:extLst>
            <c:ext xmlns:c16="http://schemas.microsoft.com/office/drawing/2014/chart" uri="{C3380CC4-5D6E-409C-BE32-E72D297353CC}">
              <c16:uniqueId val="{00000003-EAAE-45BA-B5E7-CF0AF05F415C}"/>
            </c:ext>
          </c:extLst>
        </c:ser>
        <c:dLbls>
          <c:showLegendKey val="0"/>
          <c:showVal val="0"/>
          <c:showCatName val="0"/>
          <c:showSerName val="0"/>
          <c:showPercent val="0"/>
          <c:showBubbleSize val="0"/>
        </c:dLbls>
        <c:gapWidth val="75"/>
        <c:axId val="1068100792"/>
        <c:axId val="1068105712"/>
      </c:barChart>
      <c:catAx>
        <c:axId val="1068100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068105712"/>
        <c:crosses val="autoZero"/>
        <c:auto val="1"/>
        <c:lblAlgn val="ctr"/>
        <c:lblOffset val="100"/>
        <c:noMultiLvlLbl val="0"/>
      </c:catAx>
      <c:valAx>
        <c:axId val="10681057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Users / Utilisateurs</a:t>
                </a:r>
              </a:p>
            </c:rich>
          </c:tx>
          <c:layout>
            <c:manualLayout>
              <c:xMode val="edge"/>
              <c:yMode val="edge"/>
              <c:x val="8.4394682729775645E-3"/>
              <c:y val="0.2043157002557567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8100792"/>
        <c:crosses val="autoZero"/>
        <c:crossBetween val="between"/>
      </c:valAx>
    </c:plotArea>
    <c:legend>
      <c:legendPos val="b"/>
      <c:layout>
        <c:manualLayout>
          <c:xMode val="edge"/>
          <c:yMode val="edge"/>
          <c:x val="0.10036557552575377"/>
          <c:y val="5.6212507146654444E-3"/>
          <c:w val="0.88502679505254123"/>
          <c:h val="0.11926887656990878"/>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502569836422"/>
          <c:y val="9.0345983236259017E-2"/>
          <c:w val="0.76998314133341417"/>
          <c:h val="0.73318893952095598"/>
        </c:manualLayout>
      </c:layout>
      <c:barChart>
        <c:barDir val="bar"/>
        <c:grouping val="stacked"/>
        <c:varyColors val="0"/>
        <c:ser>
          <c:idx val="0"/>
          <c:order val="0"/>
          <c:tx>
            <c:strRef>
              <c:f>'Commodities (Facility) Output'!$C$45</c:f>
              <c:strCache>
                <c:ptCount val="1"/>
                <c:pt idx="0">
                  <c:v>Stérilisation (f)</c:v>
                </c:pt>
              </c:strCache>
            </c:strRef>
          </c:tx>
          <c:spPr>
            <a:solidFill>
              <a:schemeClr val="accent6"/>
            </a:solidFill>
            <a:ln>
              <a:solidFill>
                <a:schemeClr val="bg1"/>
              </a:solidFill>
            </a:ln>
            <a:effectLst/>
          </c:spPr>
          <c:invertIfNegative val="0"/>
          <c:cat>
            <c:strRef>
              <c:f>'Commodities (Facility) Output'!$F$43:$G$43</c:f>
              <c:strCache>
                <c:ptCount val="2"/>
                <c:pt idx="0">
                  <c:v>Utilisatrices par méthode 
(statistiques de service) : 2021</c:v>
                </c:pt>
                <c:pt idx="1">
                  <c:v>Utilisatrices par méthode 
(enquête) : 2021</c:v>
                </c:pt>
              </c:strCache>
            </c:strRef>
          </c:cat>
          <c:val>
            <c:numRef>
              <c:f>'Commodities (Facility) Output'!$F$45:$G$45</c:f>
              <c:numCache>
                <c:formatCode>#,##0</c:formatCode>
                <c:ptCount val="2"/>
                <c:pt idx="0">
                  <c:v>#N/A</c:v>
                </c:pt>
                <c:pt idx="1">
                  <c:v>#N/A</c:v>
                </c:pt>
              </c:numCache>
            </c:numRef>
          </c:val>
          <c:extLst>
            <c:ext xmlns:c16="http://schemas.microsoft.com/office/drawing/2014/chart" uri="{C3380CC4-5D6E-409C-BE32-E72D297353CC}">
              <c16:uniqueId val="{00000000-CED1-4698-BF11-5199F5033FAE}"/>
            </c:ext>
          </c:extLst>
        </c:ser>
        <c:ser>
          <c:idx val="1"/>
          <c:order val="1"/>
          <c:tx>
            <c:strRef>
              <c:f>'Commodities (Facility) Output'!$C$46</c:f>
              <c:strCache>
                <c:ptCount val="1"/>
                <c:pt idx="0">
                  <c:v>Stérilisation (m)</c:v>
                </c:pt>
              </c:strCache>
            </c:strRef>
          </c:tx>
          <c:spPr>
            <a:solidFill>
              <a:schemeClr val="accent6">
                <a:lumMod val="50000"/>
              </a:schemeClr>
            </a:solidFill>
            <a:ln>
              <a:solidFill>
                <a:schemeClr val="bg1"/>
              </a:solidFill>
            </a:ln>
            <a:effectLst/>
          </c:spPr>
          <c:invertIfNegative val="0"/>
          <c:cat>
            <c:strRef>
              <c:f>'Commodities (Facility) Output'!$F$43:$G$43</c:f>
              <c:strCache>
                <c:ptCount val="2"/>
                <c:pt idx="0">
                  <c:v>Utilisatrices par méthode 
(statistiques de service) : 2021</c:v>
                </c:pt>
                <c:pt idx="1">
                  <c:v>Utilisatrices par méthode 
(enquête) : 2021</c:v>
                </c:pt>
              </c:strCache>
            </c:strRef>
          </c:cat>
          <c:val>
            <c:numRef>
              <c:f>'Commodities (Facility) Output'!$F$46:$G$46</c:f>
              <c:numCache>
                <c:formatCode>#,##0</c:formatCode>
                <c:ptCount val="2"/>
                <c:pt idx="0">
                  <c:v>#N/A</c:v>
                </c:pt>
                <c:pt idx="1">
                  <c:v>#N/A</c:v>
                </c:pt>
              </c:numCache>
            </c:numRef>
          </c:val>
          <c:extLst>
            <c:ext xmlns:c16="http://schemas.microsoft.com/office/drawing/2014/chart" uri="{C3380CC4-5D6E-409C-BE32-E72D297353CC}">
              <c16:uniqueId val="{00000001-CED1-4698-BF11-5199F5033FAE}"/>
            </c:ext>
          </c:extLst>
        </c:ser>
        <c:ser>
          <c:idx val="2"/>
          <c:order val="2"/>
          <c:tx>
            <c:strRef>
              <c:f>'Commodities (Facility) Output'!$C$47</c:f>
              <c:strCache>
                <c:ptCount val="1"/>
                <c:pt idx="0">
                  <c:v>DIU</c:v>
                </c:pt>
              </c:strCache>
            </c:strRef>
          </c:tx>
          <c:spPr>
            <a:solidFill>
              <a:schemeClr val="bg2"/>
            </a:solidFill>
            <a:ln>
              <a:solidFill>
                <a:schemeClr val="bg1"/>
              </a:solidFill>
            </a:ln>
            <a:effectLst/>
          </c:spPr>
          <c:invertIfNegative val="0"/>
          <c:cat>
            <c:strRef>
              <c:f>'Commodities (Facility) Output'!$F$43:$G$43</c:f>
              <c:strCache>
                <c:ptCount val="2"/>
                <c:pt idx="0">
                  <c:v>Utilisatrices par méthode 
(statistiques de service) : 2021</c:v>
                </c:pt>
                <c:pt idx="1">
                  <c:v>Utilisatrices par méthode 
(enquête) : 2021</c:v>
                </c:pt>
              </c:strCache>
            </c:strRef>
          </c:cat>
          <c:val>
            <c:numRef>
              <c:f>'Commodities (Facility) Output'!$F$47:$G$47</c:f>
              <c:numCache>
                <c:formatCode>#,##0</c:formatCode>
                <c:ptCount val="2"/>
                <c:pt idx="0">
                  <c:v>#N/A</c:v>
                </c:pt>
                <c:pt idx="1">
                  <c:v>#N/A</c:v>
                </c:pt>
              </c:numCache>
            </c:numRef>
          </c:val>
          <c:extLst>
            <c:ext xmlns:c16="http://schemas.microsoft.com/office/drawing/2014/chart" uri="{C3380CC4-5D6E-409C-BE32-E72D297353CC}">
              <c16:uniqueId val="{00000002-CED1-4698-BF11-5199F5033FAE}"/>
            </c:ext>
          </c:extLst>
        </c:ser>
        <c:ser>
          <c:idx val="3"/>
          <c:order val="3"/>
          <c:tx>
            <c:strRef>
              <c:f>'Commodities (Facility) Output'!$C$48</c:f>
              <c:strCache>
                <c:ptCount val="1"/>
                <c:pt idx="0">
                  <c:v>Implant</c:v>
                </c:pt>
              </c:strCache>
            </c:strRef>
          </c:tx>
          <c:spPr>
            <a:solidFill>
              <a:schemeClr val="accent2"/>
            </a:solidFill>
            <a:ln>
              <a:solidFill>
                <a:schemeClr val="bg1"/>
              </a:solidFill>
            </a:ln>
            <a:effectLst/>
          </c:spPr>
          <c:invertIfNegative val="0"/>
          <c:cat>
            <c:strRef>
              <c:f>'Commodities (Facility) Output'!$F$43:$G$43</c:f>
              <c:strCache>
                <c:ptCount val="2"/>
                <c:pt idx="0">
                  <c:v>Utilisatrices par méthode 
(statistiques de service) : 2021</c:v>
                </c:pt>
                <c:pt idx="1">
                  <c:v>Utilisatrices par méthode 
(enquête) : 2021</c:v>
                </c:pt>
              </c:strCache>
            </c:strRef>
          </c:cat>
          <c:val>
            <c:numRef>
              <c:f>'Commodities (Facility) Output'!$F$48:$G$48</c:f>
              <c:numCache>
                <c:formatCode>#,##0</c:formatCode>
                <c:ptCount val="2"/>
                <c:pt idx="0">
                  <c:v>#N/A</c:v>
                </c:pt>
                <c:pt idx="1">
                  <c:v>#N/A</c:v>
                </c:pt>
              </c:numCache>
            </c:numRef>
          </c:val>
          <c:extLst>
            <c:ext xmlns:c16="http://schemas.microsoft.com/office/drawing/2014/chart" uri="{C3380CC4-5D6E-409C-BE32-E72D297353CC}">
              <c16:uniqueId val="{00000003-CED1-4698-BF11-5199F5033FAE}"/>
            </c:ext>
          </c:extLst>
        </c:ser>
        <c:ser>
          <c:idx val="4"/>
          <c:order val="4"/>
          <c:tx>
            <c:strRef>
              <c:f>'Commodities (Facility) Output'!$C$49</c:f>
              <c:strCache>
                <c:ptCount val="1"/>
                <c:pt idx="0">
                  <c:v>Produits injectables</c:v>
                </c:pt>
              </c:strCache>
            </c:strRef>
          </c:tx>
          <c:spPr>
            <a:solidFill>
              <a:schemeClr val="tx2"/>
            </a:solidFill>
            <a:ln>
              <a:solidFill>
                <a:schemeClr val="bg1"/>
              </a:solidFill>
            </a:ln>
            <a:effectLst/>
          </c:spPr>
          <c:invertIfNegative val="0"/>
          <c:cat>
            <c:strRef>
              <c:f>'Commodities (Facility) Output'!$F$43:$G$43</c:f>
              <c:strCache>
                <c:ptCount val="2"/>
                <c:pt idx="0">
                  <c:v>Utilisatrices par méthode 
(statistiques de service) : 2021</c:v>
                </c:pt>
                <c:pt idx="1">
                  <c:v>Utilisatrices par méthode 
(enquête) : 2021</c:v>
                </c:pt>
              </c:strCache>
            </c:strRef>
          </c:cat>
          <c:val>
            <c:numRef>
              <c:f>'Commodities (Facility) Output'!$F$49:$G$49</c:f>
              <c:numCache>
                <c:formatCode>#,##0</c:formatCode>
                <c:ptCount val="2"/>
                <c:pt idx="0">
                  <c:v>#N/A</c:v>
                </c:pt>
                <c:pt idx="1">
                  <c:v>#N/A</c:v>
                </c:pt>
              </c:numCache>
            </c:numRef>
          </c:val>
          <c:extLst>
            <c:ext xmlns:c16="http://schemas.microsoft.com/office/drawing/2014/chart" uri="{C3380CC4-5D6E-409C-BE32-E72D297353CC}">
              <c16:uniqueId val="{00000004-CED1-4698-BF11-5199F5033FAE}"/>
            </c:ext>
          </c:extLst>
        </c:ser>
        <c:ser>
          <c:idx val="5"/>
          <c:order val="5"/>
          <c:tx>
            <c:strRef>
              <c:f>'Commodities (Facility) Output'!$C$50</c:f>
              <c:strCache>
                <c:ptCount val="1"/>
                <c:pt idx="0">
                  <c:v>Pilule</c:v>
                </c:pt>
              </c:strCache>
            </c:strRef>
          </c:tx>
          <c:spPr>
            <a:solidFill>
              <a:schemeClr val="accent1"/>
            </a:solidFill>
            <a:ln>
              <a:solidFill>
                <a:schemeClr val="bg1"/>
              </a:solidFill>
            </a:ln>
            <a:effectLst/>
          </c:spPr>
          <c:invertIfNegative val="0"/>
          <c:cat>
            <c:strRef>
              <c:f>'Commodities (Facility) Output'!$F$43:$G$43</c:f>
              <c:strCache>
                <c:ptCount val="2"/>
                <c:pt idx="0">
                  <c:v>Utilisatrices par méthode 
(statistiques de service) : 2021</c:v>
                </c:pt>
                <c:pt idx="1">
                  <c:v>Utilisatrices par méthode 
(enquête) : 2021</c:v>
                </c:pt>
              </c:strCache>
            </c:strRef>
          </c:cat>
          <c:val>
            <c:numRef>
              <c:f>'Commodities (Facility) Output'!$F$50:$G$50</c:f>
              <c:numCache>
                <c:formatCode>#,##0</c:formatCode>
                <c:ptCount val="2"/>
                <c:pt idx="0">
                  <c:v>#N/A</c:v>
                </c:pt>
                <c:pt idx="1">
                  <c:v>#N/A</c:v>
                </c:pt>
              </c:numCache>
            </c:numRef>
          </c:val>
          <c:extLst>
            <c:ext xmlns:c16="http://schemas.microsoft.com/office/drawing/2014/chart" uri="{C3380CC4-5D6E-409C-BE32-E72D297353CC}">
              <c16:uniqueId val="{00000005-CED1-4698-BF11-5199F5033FAE}"/>
            </c:ext>
          </c:extLst>
        </c:ser>
        <c:ser>
          <c:idx val="6"/>
          <c:order val="6"/>
          <c:tx>
            <c:strRef>
              <c:f>'Commodities (Facility) Output'!$C$51</c:f>
              <c:strCache>
                <c:ptCount val="1"/>
                <c:pt idx="0">
                  <c:v>Préservatifs (m+f)</c:v>
                </c:pt>
              </c:strCache>
            </c:strRef>
          </c:tx>
          <c:spPr>
            <a:solidFill>
              <a:schemeClr val="accent3"/>
            </a:solidFill>
            <a:ln>
              <a:solidFill>
                <a:schemeClr val="bg1"/>
              </a:solidFill>
            </a:ln>
            <a:effectLst/>
          </c:spPr>
          <c:invertIfNegative val="0"/>
          <c:cat>
            <c:strRef>
              <c:f>'Commodities (Facility) Output'!$F$43:$G$43</c:f>
              <c:strCache>
                <c:ptCount val="2"/>
                <c:pt idx="0">
                  <c:v>Utilisatrices par méthode 
(statistiques de service) : 2021</c:v>
                </c:pt>
                <c:pt idx="1">
                  <c:v>Utilisatrices par méthode 
(enquête) : 2021</c:v>
                </c:pt>
              </c:strCache>
            </c:strRef>
          </c:cat>
          <c:val>
            <c:numRef>
              <c:f>'Commodities (Facility) Output'!$F$51:$G$51</c:f>
              <c:numCache>
                <c:formatCode>#,##0</c:formatCode>
                <c:ptCount val="2"/>
                <c:pt idx="0">
                  <c:v>#N/A</c:v>
                </c:pt>
                <c:pt idx="1">
                  <c:v>#N/A</c:v>
                </c:pt>
              </c:numCache>
            </c:numRef>
          </c:val>
          <c:extLst>
            <c:ext xmlns:c16="http://schemas.microsoft.com/office/drawing/2014/chart" uri="{C3380CC4-5D6E-409C-BE32-E72D297353CC}">
              <c16:uniqueId val="{00000006-CED1-4698-BF11-5199F5033FAE}"/>
            </c:ext>
          </c:extLst>
        </c:ser>
        <c:ser>
          <c:idx val="7"/>
          <c:order val="7"/>
          <c:tx>
            <c:strRef>
              <c:f>'Commodities (Facility) Output'!$C$52</c:f>
              <c:strCache>
                <c:ptCount val="1"/>
                <c:pt idx="0">
                  <c:v>MAMA</c:v>
                </c:pt>
              </c:strCache>
            </c:strRef>
          </c:tx>
          <c:spPr>
            <a:solidFill>
              <a:schemeClr val="accent5"/>
            </a:solidFill>
            <a:ln>
              <a:solidFill>
                <a:schemeClr val="bg1"/>
              </a:solidFill>
            </a:ln>
            <a:effectLst/>
          </c:spPr>
          <c:invertIfNegative val="0"/>
          <c:cat>
            <c:strRef>
              <c:f>'Commodities (Facility) Output'!$F$43:$G$43</c:f>
              <c:strCache>
                <c:ptCount val="2"/>
                <c:pt idx="0">
                  <c:v>Utilisatrices par méthode 
(statistiques de service) : 2021</c:v>
                </c:pt>
                <c:pt idx="1">
                  <c:v>Utilisatrices par méthode 
(enquête) : 2021</c:v>
                </c:pt>
              </c:strCache>
            </c:strRef>
          </c:cat>
          <c:val>
            <c:numRef>
              <c:f>'Commodities (Facility) Output'!$F$52:$G$52</c:f>
              <c:numCache>
                <c:formatCode>#,##0</c:formatCode>
                <c:ptCount val="2"/>
                <c:pt idx="0">
                  <c:v>#N/A</c:v>
                </c:pt>
                <c:pt idx="1">
                  <c:v>#N/A</c:v>
                </c:pt>
              </c:numCache>
            </c:numRef>
          </c:val>
          <c:extLst>
            <c:ext xmlns:c16="http://schemas.microsoft.com/office/drawing/2014/chart" uri="{C3380CC4-5D6E-409C-BE32-E72D297353CC}">
              <c16:uniqueId val="{00000007-CED1-4698-BF11-5199F5033FAE}"/>
            </c:ext>
          </c:extLst>
        </c:ser>
        <c:ser>
          <c:idx val="8"/>
          <c:order val="8"/>
          <c:tx>
            <c:strRef>
              <c:f>'Commodities (Facility) Output'!$C$53</c:f>
              <c:strCache>
                <c:ptCount val="1"/>
                <c:pt idx="0">
                  <c:v>Autres méthodes modernes</c:v>
                </c:pt>
              </c:strCache>
            </c:strRef>
          </c:tx>
          <c:spPr>
            <a:solidFill>
              <a:schemeClr val="accent4"/>
            </a:solidFill>
            <a:ln>
              <a:solidFill>
                <a:schemeClr val="bg1"/>
              </a:solidFill>
            </a:ln>
            <a:effectLst/>
          </c:spPr>
          <c:invertIfNegative val="0"/>
          <c:cat>
            <c:strRef>
              <c:f>'Commodities (Facility) Output'!$F$43:$G$43</c:f>
              <c:strCache>
                <c:ptCount val="2"/>
                <c:pt idx="0">
                  <c:v>Utilisatrices par méthode 
(statistiques de service) : 2021</c:v>
                </c:pt>
                <c:pt idx="1">
                  <c:v>Utilisatrices par méthode 
(enquête) : 2021</c:v>
                </c:pt>
              </c:strCache>
            </c:strRef>
          </c:cat>
          <c:val>
            <c:numRef>
              <c:f>'Commodities (Facility) Output'!$F$53:$G$53</c:f>
              <c:numCache>
                <c:formatCode>#,##0</c:formatCode>
                <c:ptCount val="2"/>
                <c:pt idx="0">
                  <c:v>#N/A</c:v>
                </c:pt>
                <c:pt idx="1">
                  <c:v>#N/A</c:v>
                </c:pt>
              </c:numCache>
            </c:numRef>
          </c:val>
          <c:extLst>
            <c:ext xmlns:c16="http://schemas.microsoft.com/office/drawing/2014/chart" uri="{C3380CC4-5D6E-409C-BE32-E72D297353CC}">
              <c16:uniqueId val="{00000008-CED1-4698-BF11-5199F5033FAE}"/>
            </c:ext>
          </c:extLst>
        </c:ser>
        <c:dLbls>
          <c:showLegendKey val="0"/>
          <c:showVal val="0"/>
          <c:showCatName val="0"/>
          <c:showSerName val="0"/>
          <c:showPercent val="0"/>
          <c:showBubbleSize val="0"/>
        </c:dLbls>
        <c:gapWidth val="50"/>
        <c:overlap val="100"/>
        <c:axId val="1068113584"/>
        <c:axId val="1068127688"/>
      </c:barChart>
      <c:catAx>
        <c:axId val="106811358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068127688"/>
        <c:crosses val="autoZero"/>
        <c:auto val="1"/>
        <c:lblAlgn val="ctr"/>
        <c:lblOffset val="100"/>
        <c:noMultiLvlLbl val="0"/>
      </c:catAx>
      <c:valAx>
        <c:axId val="1068127688"/>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068113584"/>
        <c:crosses val="autoZero"/>
        <c:crossBetween val="between"/>
      </c:valAx>
      <c:spPr>
        <a:noFill/>
        <a:ln>
          <a:noFill/>
        </a:ln>
        <a:effectLst/>
      </c:spPr>
    </c:plotArea>
    <c:legend>
      <c:legendPos val="b"/>
      <c:layout>
        <c:manualLayout>
          <c:xMode val="edge"/>
          <c:yMode val="edge"/>
          <c:x val="0"/>
          <c:y val="0.80173435670273252"/>
          <c:w val="0.99223986465350045"/>
          <c:h val="0.17662744765452476"/>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567417349140814"/>
          <c:y val="9.0345983236259017E-2"/>
          <c:w val="0.64208014545024916"/>
          <c:h val="0.68444888291402595"/>
        </c:manualLayout>
      </c:layout>
      <c:barChart>
        <c:barDir val="bar"/>
        <c:grouping val="stacked"/>
        <c:varyColors val="0"/>
        <c:ser>
          <c:idx val="0"/>
          <c:order val="0"/>
          <c:tx>
            <c:strRef>
              <c:f>'Commodities (Facility) Output'!$L$45</c:f>
              <c:strCache>
                <c:ptCount val="1"/>
                <c:pt idx="0">
                  <c:v>Stérilisation (f)</c:v>
                </c:pt>
              </c:strCache>
            </c:strRef>
          </c:tx>
          <c:spPr>
            <a:solidFill>
              <a:schemeClr val="accent6"/>
            </a:solidFill>
            <a:ln>
              <a:solidFill>
                <a:schemeClr val="bg1"/>
              </a:solidFill>
            </a:ln>
            <a:effectLst/>
          </c:spPr>
          <c:invertIfNegative val="0"/>
          <c:cat>
            <c:strRef>
              <c:f>'Commodities (Facility) Output'!$M$44:$O$44</c:f>
              <c:strCache>
                <c:ptCount val="3"/>
                <c:pt idx="0">
                  <c:v>Utilisatrices par méthode 
(statistiques de service - non ajustées) : 2021</c:v>
                </c:pt>
                <c:pt idx="1">
                  <c:v>Utilisatrices par méthode 
(statistiques de service - ajustées) : 2021</c:v>
                </c:pt>
                <c:pt idx="2">
                  <c:v>Utilisatrices par méthode 
(enquête / FPET) : 2021</c:v>
                </c:pt>
              </c:strCache>
            </c:strRef>
          </c:cat>
          <c:val>
            <c:numRef>
              <c:f>'Commodities (Facility) Output'!$M$45:$O$45</c:f>
              <c:numCache>
                <c:formatCode>#,##0</c:formatCode>
                <c:ptCount val="3"/>
                <c:pt idx="0">
                  <c:v>#N/A</c:v>
                </c:pt>
                <c:pt idx="1">
                  <c:v>#N/A</c:v>
                </c:pt>
                <c:pt idx="2">
                  <c:v>0</c:v>
                </c:pt>
              </c:numCache>
            </c:numRef>
          </c:val>
          <c:extLst>
            <c:ext xmlns:c16="http://schemas.microsoft.com/office/drawing/2014/chart" uri="{C3380CC4-5D6E-409C-BE32-E72D297353CC}">
              <c16:uniqueId val="{00000000-92CE-4445-B926-CA5AC6425845}"/>
            </c:ext>
          </c:extLst>
        </c:ser>
        <c:ser>
          <c:idx val="1"/>
          <c:order val="1"/>
          <c:tx>
            <c:strRef>
              <c:f>'Commodities (Facility) Output'!$L$46</c:f>
              <c:strCache>
                <c:ptCount val="1"/>
                <c:pt idx="0">
                  <c:v>Stérilisation (m)</c:v>
                </c:pt>
              </c:strCache>
            </c:strRef>
          </c:tx>
          <c:spPr>
            <a:solidFill>
              <a:schemeClr val="accent6">
                <a:lumMod val="50000"/>
              </a:schemeClr>
            </a:solidFill>
            <a:ln>
              <a:solidFill>
                <a:schemeClr val="bg1"/>
              </a:solidFill>
            </a:ln>
            <a:effectLst/>
          </c:spPr>
          <c:invertIfNegative val="0"/>
          <c:cat>
            <c:strRef>
              <c:f>'Commodities (Facility) Output'!$M$44:$O$44</c:f>
              <c:strCache>
                <c:ptCount val="3"/>
                <c:pt idx="0">
                  <c:v>Utilisatrices par méthode 
(statistiques de service - non ajustées) : 2021</c:v>
                </c:pt>
                <c:pt idx="1">
                  <c:v>Utilisatrices par méthode 
(statistiques de service - ajustées) : 2021</c:v>
                </c:pt>
                <c:pt idx="2">
                  <c:v>Utilisatrices par méthode 
(enquête / FPET) : 2021</c:v>
                </c:pt>
              </c:strCache>
            </c:strRef>
          </c:cat>
          <c:val>
            <c:numRef>
              <c:f>'Commodities (Facility) Output'!$M$46:$O$46</c:f>
              <c:numCache>
                <c:formatCode>#,##0</c:formatCode>
                <c:ptCount val="3"/>
                <c:pt idx="0">
                  <c:v>#N/A</c:v>
                </c:pt>
                <c:pt idx="1">
                  <c:v>#N/A</c:v>
                </c:pt>
                <c:pt idx="2">
                  <c:v>0</c:v>
                </c:pt>
              </c:numCache>
            </c:numRef>
          </c:val>
          <c:extLst>
            <c:ext xmlns:c16="http://schemas.microsoft.com/office/drawing/2014/chart" uri="{C3380CC4-5D6E-409C-BE32-E72D297353CC}">
              <c16:uniqueId val="{00000001-92CE-4445-B926-CA5AC6425845}"/>
            </c:ext>
          </c:extLst>
        </c:ser>
        <c:ser>
          <c:idx val="2"/>
          <c:order val="2"/>
          <c:tx>
            <c:strRef>
              <c:f>'Commodities (Facility) Output'!$L$47</c:f>
              <c:strCache>
                <c:ptCount val="1"/>
                <c:pt idx="0">
                  <c:v>DIU</c:v>
                </c:pt>
              </c:strCache>
            </c:strRef>
          </c:tx>
          <c:spPr>
            <a:solidFill>
              <a:schemeClr val="bg2"/>
            </a:solidFill>
            <a:ln>
              <a:solidFill>
                <a:schemeClr val="bg1"/>
              </a:solidFill>
            </a:ln>
            <a:effectLst/>
          </c:spPr>
          <c:invertIfNegative val="0"/>
          <c:cat>
            <c:strRef>
              <c:f>'Commodities (Facility) Output'!$M$44:$O$44</c:f>
              <c:strCache>
                <c:ptCount val="3"/>
                <c:pt idx="0">
                  <c:v>Utilisatrices par méthode 
(statistiques de service - non ajustées) : 2021</c:v>
                </c:pt>
                <c:pt idx="1">
                  <c:v>Utilisatrices par méthode 
(statistiques de service - ajustées) : 2021</c:v>
                </c:pt>
                <c:pt idx="2">
                  <c:v>Utilisatrices par méthode 
(enquête / FPET) : 2021</c:v>
                </c:pt>
              </c:strCache>
            </c:strRef>
          </c:cat>
          <c:val>
            <c:numRef>
              <c:f>'Commodities (Facility) Output'!$M$47:$O$47</c:f>
              <c:numCache>
                <c:formatCode>#,##0</c:formatCode>
                <c:ptCount val="3"/>
                <c:pt idx="0">
                  <c:v>#N/A</c:v>
                </c:pt>
                <c:pt idx="1">
                  <c:v>#N/A</c:v>
                </c:pt>
                <c:pt idx="2">
                  <c:v>0</c:v>
                </c:pt>
              </c:numCache>
            </c:numRef>
          </c:val>
          <c:extLst>
            <c:ext xmlns:c16="http://schemas.microsoft.com/office/drawing/2014/chart" uri="{C3380CC4-5D6E-409C-BE32-E72D297353CC}">
              <c16:uniqueId val="{00000002-92CE-4445-B926-CA5AC6425845}"/>
            </c:ext>
          </c:extLst>
        </c:ser>
        <c:ser>
          <c:idx val="3"/>
          <c:order val="3"/>
          <c:tx>
            <c:strRef>
              <c:f>'Commodities (Facility) Output'!$L$48</c:f>
              <c:strCache>
                <c:ptCount val="1"/>
                <c:pt idx="0">
                  <c:v>Implant</c:v>
                </c:pt>
              </c:strCache>
            </c:strRef>
          </c:tx>
          <c:spPr>
            <a:solidFill>
              <a:schemeClr val="accent2"/>
            </a:solidFill>
            <a:ln>
              <a:solidFill>
                <a:schemeClr val="bg1"/>
              </a:solidFill>
            </a:ln>
            <a:effectLst/>
          </c:spPr>
          <c:invertIfNegative val="0"/>
          <c:cat>
            <c:strRef>
              <c:f>'Commodities (Facility) Output'!$M$44:$O$44</c:f>
              <c:strCache>
                <c:ptCount val="3"/>
                <c:pt idx="0">
                  <c:v>Utilisatrices par méthode 
(statistiques de service - non ajustées) : 2021</c:v>
                </c:pt>
                <c:pt idx="1">
                  <c:v>Utilisatrices par méthode 
(statistiques de service - ajustées) : 2021</c:v>
                </c:pt>
                <c:pt idx="2">
                  <c:v>Utilisatrices par méthode 
(enquête / FPET) : 2021</c:v>
                </c:pt>
              </c:strCache>
            </c:strRef>
          </c:cat>
          <c:val>
            <c:numRef>
              <c:f>'Commodities (Facility) Output'!$M$48:$O$48</c:f>
              <c:numCache>
                <c:formatCode>#,##0</c:formatCode>
                <c:ptCount val="3"/>
                <c:pt idx="0">
                  <c:v>#N/A</c:v>
                </c:pt>
                <c:pt idx="1">
                  <c:v>#N/A</c:v>
                </c:pt>
                <c:pt idx="2">
                  <c:v>0</c:v>
                </c:pt>
              </c:numCache>
            </c:numRef>
          </c:val>
          <c:extLst>
            <c:ext xmlns:c16="http://schemas.microsoft.com/office/drawing/2014/chart" uri="{C3380CC4-5D6E-409C-BE32-E72D297353CC}">
              <c16:uniqueId val="{00000003-92CE-4445-B926-CA5AC6425845}"/>
            </c:ext>
          </c:extLst>
        </c:ser>
        <c:ser>
          <c:idx val="4"/>
          <c:order val="4"/>
          <c:tx>
            <c:strRef>
              <c:f>'Commodities (Facility) Output'!$L$49</c:f>
              <c:strCache>
                <c:ptCount val="1"/>
                <c:pt idx="0">
                  <c:v>Produits injectables</c:v>
                </c:pt>
              </c:strCache>
            </c:strRef>
          </c:tx>
          <c:spPr>
            <a:solidFill>
              <a:schemeClr val="tx2"/>
            </a:solidFill>
            <a:ln>
              <a:solidFill>
                <a:schemeClr val="bg1"/>
              </a:solidFill>
            </a:ln>
            <a:effectLst/>
          </c:spPr>
          <c:invertIfNegative val="0"/>
          <c:cat>
            <c:strRef>
              <c:f>'Commodities (Facility) Output'!$M$44:$O$44</c:f>
              <c:strCache>
                <c:ptCount val="3"/>
                <c:pt idx="0">
                  <c:v>Utilisatrices par méthode 
(statistiques de service - non ajustées) : 2021</c:v>
                </c:pt>
                <c:pt idx="1">
                  <c:v>Utilisatrices par méthode 
(statistiques de service - ajustées) : 2021</c:v>
                </c:pt>
                <c:pt idx="2">
                  <c:v>Utilisatrices par méthode 
(enquête / FPET) : 2021</c:v>
                </c:pt>
              </c:strCache>
            </c:strRef>
          </c:cat>
          <c:val>
            <c:numRef>
              <c:f>'Commodities (Facility) Output'!$M$49:$O$49</c:f>
              <c:numCache>
                <c:formatCode>#,##0</c:formatCode>
                <c:ptCount val="3"/>
                <c:pt idx="0">
                  <c:v>#N/A</c:v>
                </c:pt>
                <c:pt idx="1">
                  <c:v>#N/A</c:v>
                </c:pt>
                <c:pt idx="2">
                  <c:v>0</c:v>
                </c:pt>
              </c:numCache>
            </c:numRef>
          </c:val>
          <c:extLst>
            <c:ext xmlns:c16="http://schemas.microsoft.com/office/drawing/2014/chart" uri="{C3380CC4-5D6E-409C-BE32-E72D297353CC}">
              <c16:uniqueId val="{00000004-92CE-4445-B926-CA5AC6425845}"/>
            </c:ext>
          </c:extLst>
        </c:ser>
        <c:ser>
          <c:idx val="5"/>
          <c:order val="5"/>
          <c:tx>
            <c:strRef>
              <c:f>'Commodities (Facility) Output'!$L$50</c:f>
              <c:strCache>
                <c:ptCount val="1"/>
                <c:pt idx="0">
                  <c:v>Pilule</c:v>
                </c:pt>
              </c:strCache>
            </c:strRef>
          </c:tx>
          <c:spPr>
            <a:solidFill>
              <a:schemeClr val="accent1"/>
            </a:solidFill>
            <a:ln>
              <a:solidFill>
                <a:schemeClr val="bg1"/>
              </a:solidFill>
            </a:ln>
            <a:effectLst/>
          </c:spPr>
          <c:invertIfNegative val="0"/>
          <c:cat>
            <c:strRef>
              <c:f>'Commodities (Facility) Output'!$M$44:$O$44</c:f>
              <c:strCache>
                <c:ptCount val="3"/>
                <c:pt idx="0">
                  <c:v>Utilisatrices par méthode 
(statistiques de service - non ajustées) : 2021</c:v>
                </c:pt>
                <c:pt idx="1">
                  <c:v>Utilisatrices par méthode 
(statistiques de service - ajustées) : 2021</c:v>
                </c:pt>
                <c:pt idx="2">
                  <c:v>Utilisatrices par méthode 
(enquête / FPET) : 2021</c:v>
                </c:pt>
              </c:strCache>
            </c:strRef>
          </c:cat>
          <c:val>
            <c:numRef>
              <c:f>'Commodities (Facility) Output'!$M$50:$O$50</c:f>
              <c:numCache>
                <c:formatCode>#,##0</c:formatCode>
                <c:ptCount val="3"/>
                <c:pt idx="0">
                  <c:v>#N/A</c:v>
                </c:pt>
                <c:pt idx="1">
                  <c:v>#N/A</c:v>
                </c:pt>
                <c:pt idx="2">
                  <c:v>0</c:v>
                </c:pt>
              </c:numCache>
            </c:numRef>
          </c:val>
          <c:extLst>
            <c:ext xmlns:c16="http://schemas.microsoft.com/office/drawing/2014/chart" uri="{C3380CC4-5D6E-409C-BE32-E72D297353CC}">
              <c16:uniqueId val="{00000005-92CE-4445-B926-CA5AC6425845}"/>
            </c:ext>
          </c:extLst>
        </c:ser>
        <c:ser>
          <c:idx val="6"/>
          <c:order val="6"/>
          <c:tx>
            <c:strRef>
              <c:f>'Commodities (Facility) Output'!$L$51</c:f>
              <c:strCache>
                <c:ptCount val="1"/>
                <c:pt idx="0">
                  <c:v>Préservatifs (m+f)</c:v>
                </c:pt>
              </c:strCache>
            </c:strRef>
          </c:tx>
          <c:spPr>
            <a:solidFill>
              <a:schemeClr val="accent3"/>
            </a:solidFill>
            <a:ln>
              <a:solidFill>
                <a:schemeClr val="bg1"/>
              </a:solidFill>
            </a:ln>
            <a:effectLst/>
          </c:spPr>
          <c:invertIfNegative val="0"/>
          <c:cat>
            <c:strRef>
              <c:f>'Commodities (Facility) Output'!$M$44:$O$44</c:f>
              <c:strCache>
                <c:ptCount val="3"/>
                <c:pt idx="0">
                  <c:v>Utilisatrices par méthode 
(statistiques de service - non ajustées) : 2021</c:v>
                </c:pt>
                <c:pt idx="1">
                  <c:v>Utilisatrices par méthode 
(statistiques de service - ajustées) : 2021</c:v>
                </c:pt>
                <c:pt idx="2">
                  <c:v>Utilisatrices par méthode 
(enquête / FPET) : 2021</c:v>
                </c:pt>
              </c:strCache>
            </c:strRef>
          </c:cat>
          <c:val>
            <c:numRef>
              <c:f>'Commodities (Facility) Output'!$M$51:$O$51</c:f>
              <c:numCache>
                <c:formatCode>#,##0</c:formatCode>
                <c:ptCount val="3"/>
                <c:pt idx="0">
                  <c:v>#N/A</c:v>
                </c:pt>
                <c:pt idx="1">
                  <c:v>#N/A</c:v>
                </c:pt>
                <c:pt idx="2">
                  <c:v>0</c:v>
                </c:pt>
              </c:numCache>
            </c:numRef>
          </c:val>
          <c:extLst>
            <c:ext xmlns:c16="http://schemas.microsoft.com/office/drawing/2014/chart" uri="{C3380CC4-5D6E-409C-BE32-E72D297353CC}">
              <c16:uniqueId val="{00000006-92CE-4445-B926-CA5AC6425845}"/>
            </c:ext>
          </c:extLst>
        </c:ser>
        <c:ser>
          <c:idx val="7"/>
          <c:order val="7"/>
          <c:tx>
            <c:strRef>
              <c:f>'Commodities (Facility) Output'!$L$52</c:f>
              <c:strCache>
                <c:ptCount val="1"/>
                <c:pt idx="0">
                  <c:v>MAMA</c:v>
                </c:pt>
              </c:strCache>
            </c:strRef>
          </c:tx>
          <c:spPr>
            <a:solidFill>
              <a:schemeClr val="accent6">
                <a:lumMod val="40000"/>
                <a:lumOff val="60000"/>
              </a:schemeClr>
            </a:solidFill>
            <a:ln>
              <a:solidFill>
                <a:schemeClr val="bg1"/>
              </a:solidFill>
            </a:ln>
            <a:effectLst/>
          </c:spPr>
          <c:invertIfNegative val="0"/>
          <c:cat>
            <c:strRef>
              <c:f>'Commodities (Facility) Output'!$M$44:$O$44</c:f>
              <c:strCache>
                <c:ptCount val="3"/>
                <c:pt idx="0">
                  <c:v>Utilisatrices par méthode 
(statistiques de service - non ajustées) : 2021</c:v>
                </c:pt>
                <c:pt idx="1">
                  <c:v>Utilisatrices par méthode 
(statistiques de service - ajustées) : 2021</c:v>
                </c:pt>
                <c:pt idx="2">
                  <c:v>Utilisatrices par méthode 
(enquête / FPET) : 2021</c:v>
                </c:pt>
              </c:strCache>
            </c:strRef>
          </c:cat>
          <c:val>
            <c:numRef>
              <c:f>'Commodities (Facility) Output'!$M$52:$O$52</c:f>
              <c:numCache>
                <c:formatCode>#,##0</c:formatCode>
                <c:ptCount val="3"/>
                <c:pt idx="0">
                  <c:v>#N/A</c:v>
                </c:pt>
                <c:pt idx="1">
                  <c:v>#N/A</c:v>
                </c:pt>
                <c:pt idx="2">
                  <c:v>0</c:v>
                </c:pt>
              </c:numCache>
            </c:numRef>
          </c:val>
          <c:extLst>
            <c:ext xmlns:c16="http://schemas.microsoft.com/office/drawing/2014/chart" uri="{C3380CC4-5D6E-409C-BE32-E72D297353CC}">
              <c16:uniqueId val="{00000008-92CE-4445-B926-CA5AC6425845}"/>
            </c:ext>
          </c:extLst>
        </c:ser>
        <c:ser>
          <c:idx val="8"/>
          <c:order val="8"/>
          <c:tx>
            <c:strRef>
              <c:f>'Commodities (Facility) Output'!$L$53</c:f>
              <c:strCache>
                <c:ptCount val="1"/>
                <c:pt idx="0">
                  <c:v>Contraception d'urgence</c:v>
                </c:pt>
              </c:strCache>
            </c:strRef>
          </c:tx>
          <c:spPr>
            <a:solidFill>
              <a:schemeClr val="accent5"/>
            </a:solidFill>
            <a:ln>
              <a:solidFill>
                <a:schemeClr val="bg1"/>
              </a:solidFill>
            </a:ln>
            <a:effectLst/>
          </c:spPr>
          <c:invertIfNegative val="0"/>
          <c:cat>
            <c:strRef>
              <c:f>'Commodities (Facility) Output'!$M$44:$O$44</c:f>
              <c:strCache>
                <c:ptCount val="3"/>
                <c:pt idx="0">
                  <c:v>Utilisatrices par méthode 
(statistiques de service - non ajustées) : 2021</c:v>
                </c:pt>
                <c:pt idx="1">
                  <c:v>Utilisatrices par méthode 
(statistiques de service - ajustées) : 2021</c:v>
                </c:pt>
                <c:pt idx="2">
                  <c:v>Utilisatrices par méthode 
(enquête / FPET) : 2021</c:v>
                </c:pt>
              </c:strCache>
            </c:strRef>
          </c:cat>
          <c:val>
            <c:numRef>
              <c:f>'Commodities (Facility) Output'!$M$53:$O$53</c:f>
              <c:numCache>
                <c:formatCode>#,##0</c:formatCode>
                <c:ptCount val="3"/>
                <c:pt idx="0">
                  <c:v>#N/A</c:v>
                </c:pt>
                <c:pt idx="1">
                  <c:v>#N/A</c:v>
                </c:pt>
                <c:pt idx="2">
                  <c:v>0</c:v>
                </c:pt>
              </c:numCache>
            </c:numRef>
          </c:val>
          <c:extLst>
            <c:ext xmlns:c16="http://schemas.microsoft.com/office/drawing/2014/chart" uri="{C3380CC4-5D6E-409C-BE32-E72D297353CC}">
              <c16:uniqueId val="{00000007-92CE-4445-B926-CA5AC6425845}"/>
            </c:ext>
          </c:extLst>
        </c:ser>
        <c:ser>
          <c:idx val="9"/>
          <c:order val="9"/>
          <c:tx>
            <c:strRef>
              <c:f>'Commodities (Facility) Output'!$L$54</c:f>
              <c:strCache>
                <c:ptCount val="1"/>
                <c:pt idx="0">
                  <c:v>Autres méthodes modernes</c:v>
                </c:pt>
              </c:strCache>
            </c:strRef>
          </c:tx>
          <c:spPr>
            <a:ln>
              <a:solidFill>
                <a:schemeClr val="bg1"/>
              </a:solidFill>
            </a:ln>
          </c:spPr>
          <c:invertIfNegative val="0"/>
          <c:cat>
            <c:strRef>
              <c:f>'Commodities (Facility) Output'!$M$44:$O$44</c:f>
              <c:strCache>
                <c:ptCount val="3"/>
                <c:pt idx="0">
                  <c:v>Utilisatrices par méthode 
(statistiques de service - non ajustées) : 2021</c:v>
                </c:pt>
                <c:pt idx="1">
                  <c:v>Utilisatrices par méthode 
(statistiques de service - ajustées) : 2021</c:v>
                </c:pt>
                <c:pt idx="2">
                  <c:v>Utilisatrices par méthode 
(enquête / FPET) : 2021</c:v>
                </c:pt>
              </c:strCache>
            </c:strRef>
          </c:cat>
          <c:val>
            <c:numRef>
              <c:f>'Commodities (Facility) Output'!$M$54:$O$54</c:f>
              <c:numCache>
                <c:formatCode>#,##0</c:formatCode>
                <c:ptCount val="3"/>
                <c:pt idx="0">
                  <c:v>#N/A</c:v>
                </c:pt>
                <c:pt idx="1">
                  <c:v>#N/A</c:v>
                </c:pt>
                <c:pt idx="2">
                  <c:v>0</c:v>
                </c:pt>
              </c:numCache>
            </c:numRef>
          </c:val>
          <c:extLst>
            <c:ext xmlns:c16="http://schemas.microsoft.com/office/drawing/2014/chart" uri="{C3380CC4-5D6E-409C-BE32-E72D297353CC}">
              <c16:uniqueId val="{00000000-7EE6-4C21-BB38-B00C7B011DD8}"/>
            </c:ext>
          </c:extLst>
        </c:ser>
        <c:dLbls>
          <c:showLegendKey val="0"/>
          <c:showVal val="0"/>
          <c:showCatName val="0"/>
          <c:showSerName val="0"/>
          <c:showPercent val="0"/>
          <c:showBubbleSize val="0"/>
        </c:dLbls>
        <c:gapWidth val="50"/>
        <c:overlap val="100"/>
        <c:axId val="1068113584"/>
        <c:axId val="1068127688"/>
      </c:barChart>
      <c:catAx>
        <c:axId val="106811358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068127688"/>
        <c:crosses val="autoZero"/>
        <c:auto val="1"/>
        <c:lblAlgn val="ctr"/>
        <c:lblOffset val="100"/>
        <c:noMultiLvlLbl val="0"/>
      </c:catAx>
      <c:valAx>
        <c:axId val="1068127688"/>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068113584"/>
        <c:crosses val="autoZero"/>
        <c:crossBetween val="between"/>
      </c:valAx>
    </c:plotArea>
    <c:legend>
      <c:legendPos val="b"/>
      <c:layout>
        <c:manualLayout>
          <c:xMode val="edge"/>
          <c:yMode val="edge"/>
          <c:x val="0"/>
          <c:y val="0.80168018440823618"/>
          <c:w val="0.99861707156632451"/>
          <c:h val="0.1983198660163209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37528165575134E-2"/>
          <c:y val="5.6973759444308048E-2"/>
          <c:w val="0.87398506745692484"/>
          <c:h val="0.63508979994339321"/>
        </c:manualLayout>
      </c:layout>
      <c:barChart>
        <c:barDir val="col"/>
        <c:grouping val="clustered"/>
        <c:varyColors val="0"/>
        <c:ser>
          <c:idx val="0"/>
          <c:order val="0"/>
          <c:tx>
            <c:strRef>
              <c:f>'Commodities (Clients) Input'!$C$23</c:f>
              <c:strCache>
                <c:ptCount val="1"/>
                <c:pt idx="0">
                  <c:v>Ligature des trompes</c:v>
                </c:pt>
              </c:strCache>
            </c:strRef>
          </c:tx>
          <c:spPr>
            <a:solidFill>
              <a:schemeClr val="tx2"/>
            </a:solidFill>
            <a:ln>
              <a:noFill/>
            </a:ln>
            <a:effectLst/>
          </c:spPr>
          <c:invertIfNegative val="0"/>
          <c:cat>
            <c:numRef>
              <c:f>[0]!Year_C2C</c:f>
              <c:numCache>
                <c:formatCode>General</c:formatCode>
                <c:ptCount val="1"/>
                <c:pt idx="0">
                  <c:v>0</c:v>
                </c:pt>
              </c:numCache>
            </c:numRef>
          </c:cat>
          <c:val>
            <c:numRef>
              <c:f>'Commodities (Clients) Input'!TL</c:f>
              <c:numCache>
                <c:formatCode>#,##0</c:formatCode>
                <c:ptCount val="1"/>
              </c:numCache>
            </c:numRef>
          </c:val>
          <c:extLst>
            <c:ext xmlns:c16="http://schemas.microsoft.com/office/drawing/2014/chart" uri="{C3380CC4-5D6E-409C-BE32-E72D297353CC}">
              <c16:uniqueId val="{00000000-6690-4A36-8CFF-5E3AED0915F7}"/>
            </c:ext>
          </c:extLst>
        </c:ser>
        <c:ser>
          <c:idx val="1"/>
          <c:order val="1"/>
          <c:tx>
            <c:strRef>
              <c:f>'Commodities (Clients) Input'!$C$24</c:f>
              <c:strCache>
                <c:ptCount val="1"/>
                <c:pt idx="0">
                  <c:v>Vasectomie</c:v>
                </c:pt>
              </c:strCache>
            </c:strRef>
          </c:tx>
          <c:spPr>
            <a:solidFill>
              <a:schemeClr val="accent1"/>
            </a:solidFill>
            <a:ln>
              <a:noFill/>
            </a:ln>
            <a:effectLst/>
          </c:spPr>
          <c:invertIfNegative val="0"/>
          <c:cat>
            <c:numRef>
              <c:f>[0]!Year_C2C</c:f>
              <c:numCache>
                <c:formatCode>General</c:formatCode>
                <c:ptCount val="1"/>
                <c:pt idx="0">
                  <c:v>0</c:v>
                </c:pt>
              </c:numCache>
            </c:numRef>
          </c:cat>
          <c:val>
            <c:numRef>
              <c:f>'Commodities (Clients) Input'!Vasectomy</c:f>
              <c:numCache>
                <c:formatCode>#,##0</c:formatCode>
                <c:ptCount val="1"/>
              </c:numCache>
            </c:numRef>
          </c:val>
          <c:extLst>
            <c:ext xmlns:c16="http://schemas.microsoft.com/office/drawing/2014/chart" uri="{C3380CC4-5D6E-409C-BE32-E72D297353CC}">
              <c16:uniqueId val="{00000001-6690-4A36-8CFF-5E3AED0915F7}"/>
            </c:ext>
          </c:extLst>
        </c:ser>
        <c:dLbls>
          <c:showLegendKey val="0"/>
          <c:showVal val="0"/>
          <c:showCatName val="0"/>
          <c:showSerName val="0"/>
          <c:showPercent val="0"/>
          <c:showBubbleSize val="0"/>
        </c:dLbls>
        <c:gapWidth val="50"/>
        <c:axId val="320856328"/>
        <c:axId val="320863544"/>
      </c:barChart>
      <c:catAx>
        <c:axId val="320856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863544"/>
        <c:crosses val="autoZero"/>
        <c:auto val="1"/>
        <c:lblAlgn val="ctr"/>
        <c:lblOffset val="100"/>
        <c:noMultiLvlLbl val="0"/>
      </c:catAx>
      <c:valAx>
        <c:axId val="32086354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856328"/>
        <c:crosses val="autoZero"/>
        <c:crossBetween val="between"/>
      </c:valAx>
      <c:spPr>
        <a:noFill/>
        <a:ln>
          <a:noFill/>
        </a:ln>
        <a:effectLst/>
      </c:spPr>
    </c:plotArea>
    <c:legend>
      <c:legendPos val="b"/>
      <c:layout>
        <c:manualLayout>
          <c:xMode val="edge"/>
          <c:yMode val="edge"/>
          <c:x val="2.0889556895667622E-3"/>
          <c:y val="0.8394351400445188"/>
          <c:w val="0.99221848399474599"/>
          <c:h val="0.1294882638949497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774376908538658E-2"/>
          <c:y val="3.6666666666666667E-2"/>
          <c:w val="0.75412885191672718"/>
          <c:h val="0.87764881889763768"/>
        </c:manualLayout>
      </c:layout>
      <c:lineChart>
        <c:grouping val="standard"/>
        <c:varyColors val="0"/>
        <c:ser>
          <c:idx val="0"/>
          <c:order val="0"/>
          <c:tx>
            <c:strRef>
              <c:f>'Commodities (Facility) Output'!$C$57</c:f>
              <c:strCache>
                <c:ptCount val="1"/>
                <c:pt idx="0">
                  <c:v>Utilisatrices (statistiques de service - non ajustées)</c:v>
                </c:pt>
              </c:strCache>
            </c:strRef>
          </c:tx>
          <c:spPr>
            <a:ln w="57150" cap="rnd">
              <a:solidFill>
                <a:schemeClr val="accent6">
                  <a:lumMod val="50000"/>
                </a:schemeClr>
              </a:solidFill>
              <a:round/>
            </a:ln>
            <a:effectLst/>
          </c:spPr>
          <c:marker>
            <c:symbol val="circle"/>
            <c:size val="5"/>
            <c:spPr>
              <a:solidFill>
                <a:schemeClr val="accent6">
                  <a:lumMod val="50000"/>
                </a:schemeClr>
              </a:solidFill>
              <a:ln w="57150">
                <a:solidFill>
                  <a:schemeClr val="accent6">
                    <a:lumMod val="50000"/>
                  </a:schemeClr>
                </a:solidFill>
              </a:ln>
              <a:effectLst/>
            </c:spPr>
          </c:marker>
          <c:cat>
            <c:numRef>
              <c:f>[0]!Year_C2F</c:f>
              <c:numCache>
                <c:formatCode>General</c:formatCode>
                <c:ptCount val="1"/>
                <c:pt idx="0">
                  <c:v>0</c:v>
                </c:pt>
              </c:numCache>
            </c:numRef>
          </c:cat>
          <c:val>
            <c:numRef>
              <c:f>'Commodities (Facility) Output'!Users_Total_SS_Unadjusted</c:f>
              <c:numCache>
                <c:formatCode>#,##0</c:formatCode>
                <c:ptCount val="1"/>
                <c:pt idx="0">
                  <c:v>#N/A</c:v>
                </c:pt>
              </c:numCache>
            </c:numRef>
          </c:val>
          <c:smooth val="0"/>
          <c:extLst>
            <c:ext xmlns:c16="http://schemas.microsoft.com/office/drawing/2014/chart" uri="{C3380CC4-5D6E-409C-BE32-E72D297353CC}">
              <c16:uniqueId val="{00000000-87CC-46CF-B71B-956B2F58DBFD}"/>
            </c:ext>
          </c:extLst>
        </c:ser>
        <c:ser>
          <c:idx val="1"/>
          <c:order val="1"/>
          <c:tx>
            <c:strRef>
              <c:f>'Commodities (Facility) Output'!$C$58</c:f>
              <c:strCache>
                <c:ptCount val="1"/>
                <c:pt idx="0">
                  <c:v>Utilisatrices (statistiques de service - ajustées)</c:v>
                </c:pt>
              </c:strCache>
            </c:strRef>
          </c:tx>
          <c:spPr>
            <a:ln w="57150" cap="rnd">
              <a:solidFill>
                <a:schemeClr val="accent6"/>
              </a:solidFill>
              <a:round/>
            </a:ln>
            <a:effectLst/>
          </c:spPr>
          <c:marker>
            <c:symbol val="circle"/>
            <c:size val="5"/>
            <c:spPr>
              <a:solidFill>
                <a:schemeClr val="accent6"/>
              </a:solidFill>
              <a:ln w="57150">
                <a:solidFill>
                  <a:schemeClr val="accent6"/>
                </a:solidFill>
              </a:ln>
              <a:effectLst/>
            </c:spPr>
          </c:marker>
          <c:cat>
            <c:numRef>
              <c:f>[0]!Year_C2F</c:f>
              <c:numCache>
                <c:formatCode>General</c:formatCode>
                <c:ptCount val="1"/>
                <c:pt idx="0">
                  <c:v>0</c:v>
                </c:pt>
              </c:numCache>
            </c:numRef>
          </c:cat>
          <c:val>
            <c:numRef>
              <c:f>'Commodities (Facility) Output'!Users_Total_SS_Adjusted</c:f>
              <c:numCache>
                <c:formatCode>#,##0</c:formatCode>
                <c:ptCount val="1"/>
                <c:pt idx="0">
                  <c:v>#N/A</c:v>
                </c:pt>
              </c:numCache>
            </c:numRef>
          </c:val>
          <c:smooth val="0"/>
          <c:extLst>
            <c:ext xmlns:c16="http://schemas.microsoft.com/office/drawing/2014/chart" uri="{C3380CC4-5D6E-409C-BE32-E72D297353CC}">
              <c16:uniqueId val="{00000001-87CC-46CF-B71B-956B2F58DBFD}"/>
            </c:ext>
          </c:extLst>
        </c:ser>
        <c:ser>
          <c:idx val="2"/>
          <c:order val="2"/>
          <c:tx>
            <c:strRef>
              <c:f>'Commodities (Facility) Output'!$C$59</c:f>
              <c:strCache>
                <c:ptCount val="1"/>
                <c:pt idx="0">
                  <c:v>Utilisatrices (enquête / FPET)</c:v>
                </c:pt>
              </c:strCache>
            </c:strRef>
          </c:tx>
          <c:spPr>
            <a:ln w="57150" cap="rnd">
              <a:solidFill>
                <a:schemeClr val="accent6">
                  <a:lumMod val="60000"/>
                  <a:lumOff val="40000"/>
                </a:schemeClr>
              </a:solidFill>
              <a:round/>
            </a:ln>
            <a:effectLst/>
          </c:spPr>
          <c:marker>
            <c:symbol val="circle"/>
            <c:size val="5"/>
            <c:spPr>
              <a:solidFill>
                <a:schemeClr val="accent6">
                  <a:lumMod val="60000"/>
                  <a:lumOff val="40000"/>
                </a:schemeClr>
              </a:solidFill>
              <a:ln w="57150">
                <a:solidFill>
                  <a:schemeClr val="accent6">
                    <a:lumMod val="60000"/>
                    <a:lumOff val="40000"/>
                  </a:schemeClr>
                </a:solidFill>
              </a:ln>
              <a:effectLst/>
            </c:spPr>
          </c:marker>
          <c:cat>
            <c:numRef>
              <c:f>[0]!Year_C2F</c:f>
              <c:numCache>
                <c:formatCode>General</c:formatCode>
                <c:ptCount val="1"/>
                <c:pt idx="0">
                  <c:v>0</c:v>
                </c:pt>
              </c:numCache>
            </c:numRef>
          </c:cat>
          <c:val>
            <c:numRef>
              <c:f>'Commodities (Facility) Output'!Users_Total_Survey</c:f>
              <c:numCache>
                <c:formatCode>#,##0</c:formatCode>
                <c:ptCount val="1"/>
                <c:pt idx="0">
                  <c:v>#N/A</c:v>
                </c:pt>
              </c:numCache>
            </c:numRef>
          </c:val>
          <c:smooth val="0"/>
          <c:extLst>
            <c:ext xmlns:c16="http://schemas.microsoft.com/office/drawing/2014/chart" uri="{C3380CC4-5D6E-409C-BE32-E72D297353CC}">
              <c16:uniqueId val="{00000002-87CC-46CF-B71B-956B2F58DBFD}"/>
            </c:ext>
          </c:extLst>
        </c:ser>
        <c:dLbls>
          <c:showLegendKey val="0"/>
          <c:showVal val="0"/>
          <c:showCatName val="0"/>
          <c:showSerName val="0"/>
          <c:showPercent val="0"/>
          <c:showBubbleSize val="0"/>
        </c:dLbls>
        <c:marker val="1"/>
        <c:smooth val="0"/>
        <c:axId val="1240115104"/>
        <c:axId val="724702192"/>
      </c:lineChart>
      <c:catAx>
        <c:axId val="1240115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724702192"/>
        <c:crosses val="autoZero"/>
        <c:auto val="1"/>
        <c:lblAlgn val="ctr"/>
        <c:lblOffset val="100"/>
        <c:noMultiLvlLbl val="0"/>
      </c:catAx>
      <c:valAx>
        <c:axId val="724702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40115104"/>
        <c:crosses val="autoZero"/>
        <c:crossBetween val="between"/>
      </c:valAx>
      <c:spPr>
        <a:noFill/>
        <a:ln>
          <a:noFill/>
        </a:ln>
        <a:effectLst/>
      </c:spPr>
    </c:plotArea>
    <c:legend>
      <c:legendPos val="b"/>
      <c:layout>
        <c:manualLayout>
          <c:xMode val="edge"/>
          <c:yMode val="edge"/>
          <c:x val="0.80849334033173237"/>
          <c:y val="3.5940437515240689E-2"/>
          <c:w val="0.182556872163258"/>
          <c:h val="0.94407954250473924"/>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37528165575134E-2"/>
          <c:y val="5.6973759444308048E-2"/>
          <c:w val="0.87398506745692484"/>
          <c:h val="0.63508979994339321"/>
        </c:manualLayout>
      </c:layout>
      <c:barChart>
        <c:barDir val="col"/>
        <c:grouping val="clustered"/>
        <c:varyColors val="0"/>
        <c:ser>
          <c:idx val="0"/>
          <c:order val="0"/>
          <c:tx>
            <c:strRef>
              <c:f>'Visits Input'!$C$23</c:f>
              <c:strCache>
                <c:ptCount val="1"/>
                <c:pt idx="0">
                  <c:v>Ligature des trompes</c:v>
                </c:pt>
              </c:strCache>
            </c:strRef>
          </c:tx>
          <c:spPr>
            <a:solidFill>
              <a:schemeClr val="tx2"/>
            </a:solidFill>
            <a:ln>
              <a:noFill/>
            </a:ln>
            <a:effectLst/>
          </c:spPr>
          <c:invertIfNegative val="0"/>
          <c:cat>
            <c:numRef>
              <c:f>'Visits Input'!Year_V</c:f>
              <c:numCache>
                <c:formatCode>General</c:formatCode>
                <c:ptCount val="1"/>
                <c:pt idx="0">
                  <c:v>0</c:v>
                </c:pt>
              </c:numCache>
            </c:numRef>
          </c:cat>
          <c:val>
            <c:numRef>
              <c:f>'Visits Input'!TL</c:f>
              <c:numCache>
                <c:formatCode>#,##0</c:formatCode>
                <c:ptCount val="1"/>
              </c:numCache>
            </c:numRef>
          </c:val>
          <c:extLst>
            <c:ext xmlns:c16="http://schemas.microsoft.com/office/drawing/2014/chart" uri="{C3380CC4-5D6E-409C-BE32-E72D297353CC}">
              <c16:uniqueId val="{00000000-C67E-48CE-965A-D9979FC4EA72}"/>
            </c:ext>
          </c:extLst>
        </c:ser>
        <c:ser>
          <c:idx val="1"/>
          <c:order val="1"/>
          <c:tx>
            <c:strRef>
              <c:f>'Visits Input'!$C$24</c:f>
              <c:strCache>
                <c:ptCount val="1"/>
                <c:pt idx="0">
                  <c:v>Vasectomie</c:v>
                </c:pt>
              </c:strCache>
            </c:strRef>
          </c:tx>
          <c:spPr>
            <a:solidFill>
              <a:schemeClr val="accent1"/>
            </a:solidFill>
            <a:ln>
              <a:noFill/>
            </a:ln>
            <a:effectLst/>
          </c:spPr>
          <c:invertIfNegative val="0"/>
          <c:cat>
            <c:numRef>
              <c:f>'Visits Input'!Year_V</c:f>
              <c:numCache>
                <c:formatCode>General</c:formatCode>
                <c:ptCount val="1"/>
                <c:pt idx="0">
                  <c:v>0</c:v>
                </c:pt>
              </c:numCache>
            </c:numRef>
          </c:cat>
          <c:val>
            <c:numRef>
              <c:f>'Visits Input'!Vasectomy</c:f>
              <c:numCache>
                <c:formatCode>#,##0</c:formatCode>
                <c:ptCount val="1"/>
              </c:numCache>
            </c:numRef>
          </c:val>
          <c:extLst>
            <c:ext xmlns:c16="http://schemas.microsoft.com/office/drawing/2014/chart" uri="{C3380CC4-5D6E-409C-BE32-E72D297353CC}">
              <c16:uniqueId val="{00000001-C67E-48CE-965A-D9979FC4EA72}"/>
            </c:ext>
          </c:extLst>
        </c:ser>
        <c:dLbls>
          <c:showLegendKey val="0"/>
          <c:showVal val="0"/>
          <c:showCatName val="0"/>
          <c:showSerName val="0"/>
          <c:showPercent val="0"/>
          <c:showBubbleSize val="0"/>
        </c:dLbls>
        <c:gapWidth val="50"/>
        <c:axId val="320856328"/>
        <c:axId val="320863544"/>
      </c:barChart>
      <c:catAx>
        <c:axId val="320856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863544"/>
        <c:crosses val="autoZero"/>
        <c:auto val="1"/>
        <c:lblAlgn val="ctr"/>
        <c:lblOffset val="100"/>
        <c:noMultiLvlLbl val="0"/>
      </c:catAx>
      <c:valAx>
        <c:axId val="32086354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856328"/>
        <c:crosses val="autoZero"/>
        <c:crossBetween val="between"/>
      </c:valAx>
      <c:spPr>
        <a:noFill/>
        <a:ln>
          <a:noFill/>
        </a:ln>
        <a:effectLst/>
      </c:spPr>
    </c:plotArea>
    <c:legend>
      <c:legendPos val="b"/>
      <c:layout>
        <c:manualLayout>
          <c:xMode val="edge"/>
          <c:yMode val="edge"/>
          <c:x val="2.0889556895667622E-3"/>
          <c:y val="0.8394351400445188"/>
          <c:w val="0.99221848399474599"/>
          <c:h val="0.1294882638949497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9165375271379"/>
          <c:y val="5.6973759444308048E-2"/>
          <c:w val="0.85144457188156886"/>
          <c:h val="0.7028527034120734"/>
        </c:manualLayout>
      </c:layout>
      <c:barChart>
        <c:barDir val="col"/>
        <c:grouping val="stacked"/>
        <c:varyColors val="0"/>
        <c:ser>
          <c:idx val="0"/>
          <c:order val="0"/>
          <c:tx>
            <c:strRef>
              <c:f>'Visits Input'!$C$25</c:f>
              <c:strCache>
                <c:ptCount val="1"/>
                <c:pt idx="0">
                  <c:v>Copper- T 380-A DIU</c:v>
                </c:pt>
              </c:strCache>
            </c:strRef>
          </c:tx>
          <c:spPr>
            <a:solidFill>
              <a:schemeClr val="tx2"/>
            </a:solidFill>
            <a:ln>
              <a:solidFill>
                <a:schemeClr val="bg1"/>
              </a:solidFill>
            </a:ln>
            <a:effectLst/>
          </c:spPr>
          <c:invertIfNegative val="0"/>
          <c:cat>
            <c:numRef>
              <c:f>'Visits Input'!Year_V</c:f>
              <c:numCache>
                <c:formatCode>General</c:formatCode>
                <c:ptCount val="1"/>
                <c:pt idx="0">
                  <c:v>0</c:v>
                </c:pt>
              </c:numCache>
            </c:numRef>
          </c:cat>
          <c:val>
            <c:numRef>
              <c:f>'Visits Input'!CopperT</c:f>
              <c:numCache>
                <c:formatCode>#,##0</c:formatCode>
                <c:ptCount val="1"/>
              </c:numCache>
            </c:numRef>
          </c:val>
          <c:extLst>
            <c:ext xmlns:c16="http://schemas.microsoft.com/office/drawing/2014/chart" uri="{C3380CC4-5D6E-409C-BE32-E72D297353CC}">
              <c16:uniqueId val="{00000000-C4C2-4DEE-9918-CDBE8BFAADD1}"/>
            </c:ext>
          </c:extLst>
        </c:ser>
        <c:ser>
          <c:idx val="1"/>
          <c:order val="1"/>
          <c:tx>
            <c:strRef>
              <c:f>'Visits Input'!$C$26</c:f>
              <c:strCache>
                <c:ptCount val="1"/>
                <c:pt idx="0">
                  <c:v>DIU Hormonal (LNG-IUS)</c:v>
                </c:pt>
              </c:strCache>
            </c:strRef>
          </c:tx>
          <c:spPr>
            <a:solidFill>
              <a:schemeClr val="accent1"/>
            </a:solidFill>
            <a:ln>
              <a:solidFill>
                <a:schemeClr val="bg1"/>
              </a:solidFill>
            </a:ln>
            <a:effectLst/>
          </c:spPr>
          <c:invertIfNegative val="0"/>
          <c:cat>
            <c:numRef>
              <c:f>'Visits Input'!Year_V</c:f>
              <c:numCache>
                <c:formatCode>General</c:formatCode>
                <c:ptCount val="1"/>
                <c:pt idx="0">
                  <c:v>0</c:v>
                </c:pt>
              </c:numCache>
            </c:numRef>
          </c:cat>
          <c:val>
            <c:numRef>
              <c:f>'Visits Input'!LNG</c:f>
              <c:numCache>
                <c:formatCode>#,##0</c:formatCode>
                <c:ptCount val="1"/>
              </c:numCache>
            </c:numRef>
          </c:val>
          <c:extLst>
            <c:ext xmlns:c16="http://schemas.microsoft.com/office/drawing/2014/chart" uri="{C3380CC4-5D6E-409C-BE32-E72D297353CC}">
              <c16:uniqueId val="{00000001-C4C2-4DEE-9918-CDBE8BFAADD1}"/>
            </c:ext>
          </c:extLst>
        </c:ser>
        <c:dLbls>
          <c:showLegendKey val="0"/>
          <c:showVal val="0"/>
          <c:showCatName val="0"/>
          <c:showSerName val="0"/>
          <c:showPercent val="0"/>
          <c:showBubbleSize val="0"/>
        </c:dLbls>
        <c:gapWidth val="50"/>
        <c:overlap val="100"/>
        <c:axId val="320856328"/>
        <c:axId val="320863544"/>
      </c:barChart>
      <c:catAx>
        <c:axId val="320856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863544"/>
        <c:crosses val="autoZero"/>
        <c:auto val="1"/>
        <c:lblAlgn val="ctr"/>
        <c:lblOffset val="100"/>
        <c:noMultiLvlLbl val="0"/>
      </c:catAx>
      <c:valAx>
        <c:axId val="32086354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856328"/>
        <c:crosses val="autoZero"/>
        <c:crossBetween val="between"/>
      </c:valAx>
      <c:spPr>
        <a:noFill/>
        <a:ln>
          <a:noFill/>
        </a:ln>
        <a:effectLst/>
      </c:spPr>
    </c:plotArea>
    <c:legend>
      <c:legendPos val="b"/>
      <c:layout>
        <c:manualLayout>
          <c:xMode val="edge"/>
          <c:yMode val="edge"/>
          <c:x val="1.7159215475107899E-2"/>
          <c:y val="0.89730099737532809"/>
          <c:w val="0.9376995585055673"/>
          <c:h val="9.968923884514437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'Visits Input'!$C$27</c:f>
              <c:strCache>
                <c:ptCount val="1"/>
                <c:pt idx="0">
                  <c:v>Implant de 3 ans (Implanon, Levoplant)</c:v>
                </c:pt>
              </c:strCache>
            </c:strRef>
          </c:tx>
          <c:spPr>
            <a:solidFill>
              <a:schemeClr val="tx2"/>
            </a:solidFill>
            <a:ln>
              <a:solidFill>
                <a:schemeClr val="bg1"/>
              </a:solidFill>
            </a:ln>
            <a:effectLst/>
          </c:spPr>
          <c:invertIfNegative val="0"/>
          <c:cat>
            <c:numRef>
              <c:f>'Visits Input'!Year_V</c:f>
              <c:numCache>
                <c:formatCode>General</c:formatCode>
                <c:ptCount val="1"/>
                <c:pt idx="0">
                  <c:v>0</c:v>
                </c:pt>
              </c:numCache>
            </c:numRef>
          </c:cat>
          <c:val>
            <c:numRef>
              <c:f>'Visits Input'!Implanon</c:f>
              <c:numCache>
                <c:formatCode>#,##0</c:formatCode>
                <c:ptCount val="1"/>
              </c:numCache>
            </c:numRef>
          </c:val>
          <c:extLst>
            <c:ext xmlns:c16="http://schemas.microsoft.com/office/drawing/2014/chart" uri="{C3380CC4-5D6E-409C-BE32-E72D297353CC}">
              <c16:uniqueId val="{00000000-5255-4984-B6BE-1AFA24365FA4}"/>
            </c:ext>
          </c:extLst>
        </c:ser>
        <c:ser>
          <c:idx val="1"/>
          <c:order val="1"/>
          <c:tx>
            <c:strRef>
              <c:f>'Visits Input'!$C$28</c:f>
              <c:strCache>
                <c:ptCount val="1"/>
                <c:pt idx="0">
                  <c:v>Implant de 4 ans (Sino-Implant)</c:v>
                </c:pt>
              </c:strCache>
            </c:strRef>
          </c:tx>
          <c:spPr>
            <a:solidFill>
              <a:schemeClr val="accent1"/>
            </a:solidFill>
            <a:ln>
              <a:solidFill>
                <a:schemeClr val="bg1"/>
              </a:solidFill>
            </a:ln>
            <a:effectLst/>
          </c:spPr>
          <c:invertIfNegative val="0"/>
          <c:cat>
            <c:numRef>
              <c:f>'Visits Input'!Year_V</c:f>
              <c:numCache>
                <c:formatCode>General</c:formatCode>
                <c:ptCount val="1"/>
                <c:pt idx="0">
                  <c:v>0</c:v>
                </c:pt>
              </c:numCache>
            </c:numRef>
          </c:cat>
          <c:val>
            <c:numRef>
              <c:f>'Visits Input'!Jadelle</c:f>
              <c:numCache>
                <c:formatCode>#,##0</c:formatCode>
                <c:ptCount val="1"/>
              </c:numCache>
            </c:numRef>
          </c:val>
          <c:extLst>
            <c:ext xmlns:c16="http://schemas.microsoft.com/office/drawing/2014/chart" uri="{C3380CC4-5D6E-409C-BE32-E72D297353CC}">
              <c16:uniqueId val="{00000001-5255-4984-B6BE-1AFA24365FA4}"/>
            </c:ext>
          </c:extLst>
        </c:ser>
        <c:ser>
          <c:idx val="2"/>
          <c:order val="2"/>
          <c:tx>
            <c:strRef>
              <c:f>'Visits Input'!$C$29</c:f>
              <c:strCache>
                <c:ptCount val="1"/>
                <c:pt idx="0">
                  <c:v>Implant de 5 ans (Jadelle)</c:v>
                </c:pt>
              </c:strCache>
            </c:strRef>
          </c:tx>
          <c:spPr>
            <a:solidFill>
              <a:schemeClr val="accent1">
                <a:lumMod val="40000"/>
                <a:lumOff val="60000"/>
              </a:schemeClr>
            </a:solidFill>
            <a:ln>
              <a:noFill/>
            </a:ln>
            <a:effectLst/>
          </c:spPr>
          <c:invertIfNegative val="0"/>
          <c:cat>
            <c:numRef>
              <c:f>'Visits Input'!Year_V</c:f>
              <c:numCache>
                <c:formatCode>General</c:formatCode>
                <c:ptCount val="1"/>
                <c:pt idx="0">
                  <c:v>0</c:v>
                </c:pt>
              </c:numCache>
            </c:numRef>
          </c:cat>
          <c:val>
            <c:numRef>
              <c:f>'Visits Input'!Sino</c:f>
              <c:numCache>
                <c:formatCode>#,##0</c:formatCode>
                <c:ptCount val="1"/>
              </c:numCache>
            </c:numRef>
          </c:val>
          <c:extLst>
            <c:ext xmlns:c16="http://schemas.microsoft.com/office/drawing/2014/chart" uri="{C3380CC4-5D6E-409C-BE32-E72D297353CC}">
              <c16:uniqueId val="{00000002-5255-4984-B6BE-1AFA24365FA4}"/>
            </c:ext>
          </c:extLst>
        </c:ser>
        <c:dLbls>
          <c:showLegendKey val="0"/>
          <c:showVal val="0"/>
          <c:showCatName val="0"/>
          <c:showSerName val="0"/>
          <c:showPercent val="0"/>
          <c:showBubbleSize val="0"/>
        </c:dLbls>
        <c:gapWidth val="50"/>
        <c:overlap val="100"/>
        <c:axId val="320856328"/>
        <c:axId val="320863544"/>
      </c:barChart>
      <c:catAx>
        <c:axId val="320856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863544"/>
        <c:crosses val="autoZero"/>
        <c:auto val="1"/>
        <c:lblAlgn val="ctr"/>
        <c:lblOffset val="100"/>
        <c:noMultiLvlLbl val="0"/>
      </c:catAx>
      <c:valAx>
        <c:axId val="32086354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856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19526429602449"/>
          <c:y val="5.833333681301222E-2"/>
          <c:w val="0.80016508481665172"/>
          <c:h val="0.67874992118527333"/>
        </c:manualLayout>
      </c:layout>
      <c:barChart>
        <c:barDir val="col"/>
        <c:grouping val="stacked"/>
        <c:varyColors val="0"/>
        <c:ser>
          <c:idx val="0"/>
          <c:order val="0"/>
          <c:tx>
            <c:strRef>
              <c:f>'Visits Input'!$C$32</c:f>
              <c:strCache>
                <c:ptCount val="1"/>
                <c:pt idx="0">
                  <c:v>Depo Provera (DMPA)</c:v>
                </c:pt>
              </c:strCache>
            </c:strRef>
          </c:tx>
          <c:spPr>
            <a:solidFill>
              <a:schemeClr val="bg2">
                <a:lumMod val="75000"/>
              </a:schemeClr>
            </a:solidFill>
            <a:ln>
              <a:solidFill>
                <a:schemeClr val="bg1"/>
              </a:solidFill>
            </a:ln>
            <a:effectLst/>
          </c:spPr>
          <c:invertIfNegative val="0"/>
          <c:cat>
            <c:numRef>
              <c:f>'Visits Input'!Year_V</c:f>
              <c:numCache>
                <c:formatCode>General</c:formatCode>
                <c:ptCount val="1"/>
                <c:pt idx="0">
                  <c:v>0</c:v>
                </c:pt>
              </c:numCache>
            </c:numRef>
          </c:cat>
          <c:val>
            <c:numRef>
              <c:f>'Visits Input'!Depo</c:f>
              <c:numCache>
                <c:formatCode>#,##0</c:formatCode>
                <c:ptCount val="1"/>
              </c:numCache>
            </c:numRef>
          </c:val>
          <c:extLst>
            <c:ext xmlns:c16="http://schemas.microsoft.com/office/drawing/2014/chart" uri="{C3380CC4-5D6E-409C-BE32-E72D297353CC}">
              <c16:uniqueId val="{00000000-4C22-462C-A1FC-EDF28730438A}"/>
            </c:ext>
          </c:extLst>
        </c:ser>
        <c:ser>
          <c:idx val="1"/>
          <c:order val="1"/>
          <c:tx>
            <c:strRef>
              <c:f>'Visits Input'!$C$33</c:f>
              <c:strCache>
                <c:ptCount val="1"/>
                <c:pt idx="0">
                  <c:v>Noristerat (NET-En)</c:v>
                </c:pt>
              </c:strCache>
            </c:strRef>
          </c:tx>
          <c:spPr>
            <a:solidFill>
              <a:schemeClr val="bg2"/>
            </a:solidFill>
            <a:ln>
              <a:solidFill>
                <a:schemeClr val="bg1"/>
              </a:solidFill>
            </a:ln>
            <a:effectLst/>
          </c:spPr>
          <c:invertIfNegative val="0"/>
          <c:cat>
            <c:numRef>
              <c:f>'Visits Input'!Year_V</c:f>
              <c:numCache>
                <c:formatCode>General</c:formatCode>
                <c:ptCount val="1"/>
                <c:pt idx="0">
                  <c:v>0</c:v>
                </c:pt>
              </c:numCache>
            </c:numRef>
          </c:cat>
          <c:val>
            <c:numRef>
              <c:f>'Visits Input'!Noristerat</c:f>
              <c:numCache>
                <c:formatCode>#,##0</c:formatCode>
                <c:ptCount val="1"/>
              </c:numCache>
            </c:numRef>
          </c:val>
          <c:extLst>
            <c:ext xmlns:c16="http://schemas.microsoft.com/office/drawing/2014/chart" uri="{C3380CC4-5D6E-409C-BE32-E72D297353CC}">
              <c16:uniqueId val="{00000001-4C22-462C-A1FC-EDF28730438A}"/>
            </c:ext>
          </c:extLst>
        </c:ser>
        <c:ser>
          <c:idx val="2"/>
          <c:order val="2"/>
          <c:tx>
            <c:strRef>
              <c:f>'Visits Input'!$C$34</c:f>
              <c:strCache>
                <c:ptCount val="1"/>
                <c:pt idx="0">
                  <c:v>Lunelle</c:v>
                </c:pt>
              </c:strCache>
            </c:strRef>
          </c:tx>
          <c:spPr>
            <a:solidFill>
              <a:schemeClr val="accent2"/>
            </a:solidFill>
            <a:ln>
              <a:solidFill>
                <a:schemeClr val="bg1"/>
              </a:solidFill>
            </a:ln>
            <a:effectLst/>
          </c:spPr>
          <c:invertIfNegative val="0"/>
          <c:cat>
            <c:numRef>
              <c:f>'Visits Input'!Year_V</c:f>
              <c:numCache>
                <c:formatCode>General</c:formatCode>
                <c:ptCount val="1"/>
                <c:pt idx="0">
                  <c:v>0</c:v>
                </c:pt>
              </c:numCache>
            </c:numRef>
          </c:cat>
          <c:val>
            <c:numRef>
              <c:f>'Visits Input'!Lunelle</c:f>
              <c:numCache>
                <c:formatCode>#,##0</c:formatCode>
                <c:ptCount val="1"/>
              </c:numCache>
            </c:numRef>
          </c:val>
          <c:extLst>
            <c:ext xmlns:c16="http://schemas.microsoft.com/office/drawing/2014/chart" uri="{C3380CC4-5D6E-409C-BE32-E72D297353CC}">
              <c16:uniqueId val="{00000002-4C22-462C-A1FC-EDF28730438A}"/>
            </c:ext>
          </c:extLst>
        </c:ser>
        <c:ser>
          <c:idx val="3"/>
          <c:order val="3"/>
          <c:tx>
            <c:strRef>
              <c:f>'Visits Input'!$C$35</c:f>
              <c:strCache>
                <c:ptCount val="1"/>
                <c:pt idx="0">
                  <c:v>Sayana Press</c:v>
                </c:pt>
              </c:strCache>
            </c:strRef>
          </c:tx>
          <c:spPr>
            <a:solidFill>
              <a:schemeClr val="accent2">
                <a:lumMod val="60000"/>
                <a:lumOff val="40000"/>
              </a:schemeClr>
            </a:solidFill>
            <a:ln>
              <a:noFill/>
            </a:ln>
            <a:effectLst/>
          </c:spPr>
          <c:invertIfNegative val="0"/>
          <c:cat>
            <c:numRef>
              <c:f>'Visits Input'!Year_V</c:f>
              <c:numCache>
                <c:formatCode>General</c:formatCode>
                <c:ptCount val="1"/>
                <c:pt idx="0">
                  <c:v>0</c:v>
                </c:pt>
              </c:numCache>
            </c:numRef>
          </c:cat>
          <c:val>
            <c:numRef>
              <c:f>'Visits Input'!Sayana</c:f>
              <c:numCache>
                <c:formatCode>#,##0</c:formatCode>
                <c:ptCount val="1"/>
              </c:numCache>
            </c:numRef>
          </c:val>
          <c:extLst>
            <c:ext xmlns:c16="http://schemas.microsoft.com/office/drawing/2014/chart" uri="{C3380CC4-5D6E-409C-BE32-E72D297353CC}">
              <c16:uniqueId val="{00000003-4C22-462C-A1FC-EDF28730438A}"/>
            </c:ext>
          </c:extLst>
        </c:ser>
        <c:ser>
          <c:idx val="4"/>
          <c:order val="4"/>
          <c:tx>
            <c:strRef>
              <c:f>'Visits Input'!$C$36</c:f>
              <c:strCache>
                <c:ptCount val="1"/>
                <c:pt idx="0">
                  <c:v>Autre Injectable</c:v>
                </c:pt>
              </c:strCache>
            </c:strRef>
          </c:tx>
          <c:spPr>
            <a:solidFill>
              <a:schemeClr val="accent2">
                <a:lumMod val="40000"/>
                <a:lumOff val="60000"/>
              </a:schemeClr>
            </a:solidFill>
            <a:ln>
              <a:noFill/>
            </a:ln>
            <a:effectLst/>
          </c:spPr>
          <c:invertIfNegative val="0"/>
          <c:cat>
            <c:numRef>
              <c:f>'Visits Input'!Year_V</c:f>
              <c:numCache>
                <c:formatCode>General</c:formatCode>
                <c:ptCount val="1"/>
                <c:pt idx="0">
                  <c:v>0</c:v>
                </c:pt>
              </c:numCache>
            </c:numRef>
          </c:cat>
          <c:val>
            <c:numRef>
              <c:f>'Visits Input'!OtherInj</c:f>
              <c:numCache>
                <c:formatCode>#,##0</c:formatCode>
                <c:ptCount val="1"/>
              </c:numCache>
            </c:numRef>
          </c:val>
          <c:extLst>
            <c:ext xmlns:c16="http://schemas.microsoft.com/office/drawing/2014/chart" uri="{C3380CC4-5D6E-409C-BE32-E72D297353CC}">
              <c16:uniqueId val="{00000004-4C22-462C-A1FC-EDF28730438A}"/>
            </c:ext>
          </c:extLst>
        </c:ser>
        <c:dLbls>
          <c:showLegendKey val="0"/>
          <c:showVal val="0"/>
          <c:showCatName val="0"/>
          <c:showSerName val="0"/>
          <c:showPercent val="0"/>
          <c:showBubbleSize val="0"/>
        </c:dLbls>
        <c:gapWidth val="50"/>
        <c:overlap val="100"/>
        <c:axId val="320856328"/>
        <c:axId val="320863544"/>
      </c:barChart>
      <c:catAx>
        <c:axId val="320856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863544"/>
        <c:crosses val="autoZero"/>
        <c:auto val="1"/>
        <c:lblAlgn val="ctr"/>
        <c:lblOffset val="100"/>
        <c:noMultiLvlLbl val="0"/>
      </c:catAx>
      <c:valAx>
        <c:axId val="32086354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856328"/>
        <c:crosses val="autoZero"/>
        <c:crossBetween val="between"/>
      </c:valAx>
      <c:spPr>
        <a:noFill/>
        <a:ln>
          <a:noFill/>
        </a:ln>
        <a:effectLst/>
      </c:spPr>
    </c:plotArea>
    <c:legend>
      <c:legendPos val="b"/>
      <c:layout>
        <c:manualLayout>
          <c:xMode val="edge"/>
          <c:yMode val="edge"/>
          <c:x val="0"/>
          <c:y val="0.88797159913932233"/>
          <c:w val="1"/>
          <c:h val="0.1120284008606776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'Visits Input'!$C$37</c:f>
              <c:strCache>
                <c:ptCount val="1"/>
                <c:pt idx="0">
                  <c:v>Oraux combinés (COC)</c:v>
                </c:pt>
              </c:strCache>
            </c:strRef>
          </c:tx>
          <c:spPr>
            <a:solidFill>
              <a:schemeClr val="bg2"/>
            </a:solidFill>
            <a:ln>
              <a:solidFill>
                <a:schemeClr val="bg1"/>
              </a:solidFill>
            </a:ln>
            <a:effectLst/>
          </c:spPr>
          <c:invertIfNegative val="0"/>
          <c:cat>
            <c:numRef>
              <c:f>'Visits Input'!Year_V</c:f>
              <c:numCache>
                <c:formatCode>General</c:formatCode>
                <c:ptCount val="1"/>
                <c:pt idx="0">
                  <c:v>0</c:v>
                </c:pt>
              </c:numCache>
            </c:numRef>
          </c:cat>
          <c:val>
            <c:numRef>
              <c:f>'Visits Input'!StandardPill</c:f>
              <c:numCache>
                <c:formatCode>#,##0</c:formatCode>
                <c:ptCount val="1"/>
              </c:numCache>
            </c:numRef>
          </c:val>
          <c:extLst>
            <c:ext xmlns:c16="http://schemas.microsoft.com/office/drawing/2014/chart" uri="{C3380CC4-5D6E-409C-BE32-E72D297353CC}">
              <c16:uniqueId val="{00000000-B011-411B-AF03-344E512D3600}"/>
            </c:ext>
          </c:extLst>
        </c:ser>
        <c:ser>
          <c:idx val="1"/>
          <c:order val="1"/>
          <c:tx>
            <c:strRef>
              <c:f>'Visits Input'!$C$38</c:f>
              <c:strCache>
                <c:ptCount val="1"/>
                <c:pt idx="0">
                  <c:v>Progestatifs seul (POP)</c:v>
                </c:pt>
              </c:strCache>
            </c:strRef>
          </c:tx>
          <c:spPr>
            <a:solidFill>
              <a:schemeClr val="accent2"/>
            </a:solidFill>
            <a:ln>
              <a:solidFill>
                <a:schemeClr val="bg1"/>
              </a:solidFill>
            </a:ln>
            <a:effectLst/>
          </c:spPr>
          <c:invertIfNegative val="0"/>
          <c:cat>
            <c:numRef>
              <c:f>'Visits Input'!Year_V</c:f>
              <c:numCache>
                <c:formatCode>General</c:formatCode>
                <c:ptCount val="1"/>
                <c:pt idx="0">
                  <c:v>0</c:v>
                </c:pt>
              </c:numCache>
            </c:numRef>
          </c:cat>
          <c:val>
            <c:numRef>
              <c:f>'Visits Input'!ProgestinPill</c:f>
              <c:numCache>
                <c:formatCode>#,##0</c:formatCode>
                <c:ptCount val="1"/>
              </c:numCache>
            </c:numRef>
          </c:val>
          <c:extLst>
            <c:ext xmlns:c16="http://schemas.microsoft.com/office/drawing/2014/chart" uri="{C3380CC4-5D6E-409C-BE32-E72D297353CC}">
              <c16:uniqueId val="{00000001-B011-411B-AF03-344E512D3600}"/>
            </c:ext>
          </c:extLst>
        </c:ser>
        <c:ser>
          <c:idx val="2"/>
          <c:order val="2"/>
          <c:tx>
            <c:strRef>
              <c:f>'Visits Input'!$C$39</c:f>
              <c:strCache>
                <c:ptCount val="1"/>
                <c:pt idx="0">
                  <c:v>Autre pilule</c:v>
                </c:pt>
              </c:strCache>
            </c:strRef>
          </c:tx>
          <c:spPr>
            <a:solidFill>
              <a:schemeClr val="accent2">
                <a:lumMod val="40000"/>
                <a:lumOff val="60000"/>
              </a:schemeClr>
            </a:solidFill>
            <a:ln>
              <a:solidFill>
                <a:schemeClr val="bg1"/>
              </a:solidFill>
            </a:ln>
            <a:effectLst/>
          </c:spPr>
          <c:invertIfNegative val="0"/>
          <c:cat>
            <c:numRef>
              <c:f>'Visits Input'!Year_V</c:f>
              <c:numCache>
                <c:formatCode>General</c:formatCode>
                <c:ptCount val="1"/>
                <c:pt idx="0">
                  <c:v>0</c:v>
                </c:pt>
              </c:numCache>
            </c:numRef>
          </c:cat>
          <c:val>
            <c:numRef>
              <c:f>'Visits Input'!PCPill</c:f>
              <c:numCache>
                <c:formatCode>#,##0</c:formatCode>
                <c:ptCount val="1"/>
              </c:numCache>
            </c:numRef>
          </c:val>
          <c:extLst>
            <c:ext xmlns:c16="http://schemas.microsoft.com/office/drawing/2014/chart" uri="{C3380CC4-5D6E-409C-BE32-E72D297353CC}">
              <c16:uniqueId val="{00000002-B011-411B-AF03-344E512D3600}"/>
            </c:ext>
          </c:extLst>
        </c:ser>
        <c:dLbls>
          <c:showLegendKey val="0"/>
          <c:showVal val="0"/>
          <c:showCatName val="0"/>
          <c:showSerName val="0"/>
          <c:showPercent val="0"/>
          <c:showBubbleSize val="0"/>
        </c:dLbls>
        <c:gapWidth val="50"/>
        <c:overlap val="100"/>
        <c:axId val="320856328"/>
        <c:axId val="320863544"/>
      </c:barChart>
      <c:catAx>
        <c:axId val="320856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863544"/>
        <c:crosses val="autoZero"/>
        <c:auto val="1"/>
        <c:lblAlgn val="ctr"/>
        <c:lblOffset val="100"/>
        <c:noMultiLvlLbl val="0"/>
      </c:catAx>
      <c:valAx>
        <c:axId val="32086354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856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'Visits Input'!$C$40</c:f>
              <c:strCache>
                <c:ptCount val="1"/>
                <c:pt idx="0">
                  <c:v>Préservatifs masculin</c:v>
                </c:pt>
              </c:strCache>
            </c:strRef>
          </c:tx>
          <c:spPr>
            <a:solidFill>
              <a:schemeClr val="bg2">
                <a:lumMod val="75000"/>
              </a:schemeClr>
            </a:solidFill>
            <a:ln>
              <a:noFill/>
            </a:ln>
            <a:effectLst/>
          </c:spPr>
          <c:invertIfNegative val="0"/>
          <c:cat>
            <c:numRef>
              <c:f>'Visits Input'!Year_V</c:f>
              <c:numCache>
                <c:formatCode>General</c:formatCode>
                <c:ptCount val="1"/>
                <c:pt idx="0">
                  <c:v>0</c:v>
                </c:pt>
              </c:numCache>
            </c:numRef>
          </c:cat>
          <c:val>
            <c:numRef>
              <c:f>'Visits Input'!MCondom</c:f>
              <c:numCache>
                <c:formatCode>#,##0</c:formatCode>
                <c:ptCount val="1"/>
              </c:numCache>
            </c:numRef>
          </c:val>
          <c:extLst>
            <c:ext xmlns:c16="http://schemas.microsoft.com/office/drawing/2014/chart" uri="{C3380CC4-5D6E-409C-BE32-E72D297353CC}">
              <c16:uniqueId val="{00000000-4318-4A3A-820D-DE166B018DCD}"/>
            </c:ext>
          </c:extLst>
        </c:ser>
        <c:ser>
          <c:idx val="1"/>
          <c:order val="1"/>
          <c:tx>
            <c:strRef>
              <c:f>'Visits Input'!$C$41</c:f>
              <c:strCache>
                <c:ptCount val="1"/>
                <c:pt idx="0">
                  <c:v>Préservatifs feminin</c:v>
                </c:pt>
              </c:strCache>
            </c:strRef>
          </c:tx>
          <c:spPr>
            <a:solidFill>
              <a:schemeClr val="accent2"/>
            </a:solidFill>
            <a:ln>
              <a:noFill/>
            </a:ln>
            <a:effectLst/>
          </c:spPr>
          <c:invertIfNegative val="0"/>
          <c:cat>
            <c:numRef>
              <c:f>'Visits Input'!Year_V</c:f>
              <c:numCache>
                <c:formatCode>General</c:formatCode>
                <c:ptCount val="1"/>
                <c:pt idx="0">
                  <c:v>0</c:v>
                </c:pt>
              </c:numCache>
            </c:numRef>
          </c:cat>
          <c:val>
            <c:numRef>
              <c:f>'Visits Input'!FCondom</c:f>
              <c:numCache>
                <c:formatCode>#,##0</c:formatCode>
                <c:ptCount val="1"/>
              </c:numCache>
            </c:numRef>
          </c:val>
          <c:extLst>
            <c:ext xmlns:c16="http://schemas.microsoft.com/office/drawing/2014/chart" uri="{C3380CC4-5D6E-409C-BE32-E72D297353CC}">
              <c16:uniqueId val="{00000001-4318-4A3A-820D-DE166B018DCD}"/>
            </c:ext>
          </c:extLst>
        </c:ser>
        <c:dLbls>
          <c:showLegendKey val="0"/>
          <c:showVal val="0"/>
          <c:showCatName val="0"/>
          <c:showSerName val="0"/>
          <c:showPercent val="0"/>
          <c:showBubbleSize val="0"/>
        </c:dLbls>
        <c:gapWidth val="50"/>
        <c:axId val="320856328"/>
        <c:axId val="320863544"/>
      </c:barChart>
      <c:catAx>
        <c:axId val="320856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863544"/>
        <c:crosses val="autoZero"/>
        <c:auto val="1"/>
        <c:lblAlgn val="ctr"/>
        <c:lblOffset val="100"/>
        <c:noMultiLvlLbl val="0"/>
      </c:catAx>
      <c:valAx>
        <c:axId val="32086354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856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'Visits Input'!$C$42</c:f>
              <c:strCache>
                <c:ptCount val="1"/>
                <c:pt idx="0">
                  <c:v>MAMA</c:v>
                </c:pt>
              </c:strCache>
            </c:strRef>
          </c:tx>
          <c:spPr>
            <a:solidFill>
              <a:schemeClr val="accent1"/>
            </a:solidFill>
            <a:ln>
              <a:noFill/>
            </a:ln>
            <a:effectLst/>
          </c:spPr>
          <c:invertIfNegative val="0"/>
          <c:cat>
            <c:numRef>
              <c:f>'Visits Input'!Year_V</c:f>
              <c:numCache>
                <c:formatCode>General</c:formatCode>
                <c:ptCount val="1"/>
                <c:pt idx="0">
                  <c:v>0</c:v>
                </c:pt>
              </c:numCache>
            </c:numRef>
          </c:cat>
          <c:val>
            <c:numRef>
              <c:f>'Visits Input'!LAM</c:f>
              <c:numCache>
                <c:formatCode>#,##0</c:formatCode>
                <c:ptCount val="1"/>
              </c:numCache>
            </c:numRef>
          </c:val>
          <c:extLst>
            <c:ext xmlns:c16="http://schemas.microsoft.com/office/drawing/2014/chart" uri="{C3380CC4-5D6E-409C-BE32-E72D297353CC}">
              <c16:uniqueId val="{00000000-E7DF-409A-A7ED-C4496A8E5579}"/>
            </c:ext>
          </c:extLst>
        </c:ser>
        <c:ser>
          <c:idx val="1"/>
          <c:order val="1"/>
          <c:tx>
            <c:strRef>
              <c:f>'Visits Input'!$C$43</c:f>
              <c:strCache>
                <c:ptCount val="1"/>
                <c:pt idx="0">
                  <c:v>MJF (Jours fixes)</c:v>
                </c:pt>
              </c:strCache>
            </c:strRef>
          </c:tx>
          <c:spPr>
            <a:solidFill>
              <a:schemeClr val="accent2"/>
            </a:solidFill>
            <a:ln>
              <a:noFill/>
            </a:ln>
            <a:effectLst/>
          </c:spPr>
          <c:invertIfNegative val="0"/>
          <c:cat>
            <c:numRef>
              <c:f>'Visits Input'!Year_V</c:f>
              <c:numCache>
                <c:formatCode>General</c:formatCode>
                <c:ptCount val="1"/>
                <c:pt idx="0">
                  <c:v>0</c:v>
                </c:pt>
              </c:numCache>
            </c:numRef>
          </c:cat>
          <c:val>
            <c:numRef>
              <c:f>'Visits Input'!SDM</c:f>
              <c:numCache>
                <c:formatCode>#,##0</c:formatCode>
                <c:ptCount val="1"/>
              </c:numCache>
            </c:numRef>
          </c:val>
          <c:extLst>
            <c:ext xmlns:c16="http://schemas.microsoft.com/office/drawing/2014/chart" uri="{C3380CC4-5D6E-409C-BE32-E72D297353CC}">
              <c16:uniqueId val="{00000001-E7DF-409A-A7ED-C4496A8E5579}"/>
            </c:ext>
          </c:extLst>
        </c:ser>
        <c:ser>
          <c:idx val="2"/>
          <c:order val="2"/>
          <c:tx>
            <c:strRef>
              <c:f>'Visits Input'!$C$44</c:f>
              <c:strCache>
                <c:ptCount val="1"/>
                <c:pt idx="0">
                  <c:v>Barrière vaginale</c:v>
                </c:pt>
              </c:strCache>
            </c:strRef>
          </c:tx>
          <c:spPr>
            <a:solidFill>
              <a:schemeClr val="accent3"/>
            </a:solidFill>
            <a:ln>
              <a:noFill/>
            </a:ln>
            <a:effectLst/>
          </c:spPr>
          <c:invertIfNegative val="0"/>
          <c:cat>
            <c:numRef>
              <c:f>'Visits Input'!Year_V</c:f>
              <c:numCache>
                <c:formatCode>General</c:formatCode>
                <c:ptCount val="1"/>
                <c:pt idx="0">
                  <c:v>0</c:v>
                </c:pt>
              </c:numCache>
            </c:numRef>
          </c:cat>
          <c:val>
            <c:numRef>
              <c:f>'Visits Input'!VBarrier</c:f>
              <c:numCache>
                <c:formatCode>#,##0</c:formatCode>
                <c:ptCount val="1"/>
              </c:numCache>
            </c:numRef>
          </c:val>
          <c:extLst>
            <c:ext xmlns:c16="http://schemas.microsoft.com/office/drawing/2014/chart" uri="{C3380CC4-5D6E-409C-BE32-E72D297353CC}">
              <c16:uniqueId val="{00000002-E7DF-409A-A7ED-C4496A8E5579}"/>
            </c:ext>
          </c:extLst>
        </c:ser>
        <c:ser>
          <c:idx val="3"/>
          <c:order val="3"/>
          <c:tx>
            <c:strRef>
              <c:f>'Visits Input'!$C$45</c:f>
              <c:strCache>
                <c:ptCount val="1"/>
                <c:pt idx="0">
                  <c:v>Spermicides</c:v>
                </c:pt>
              </c:strCache>
            </c:strRef>
          </c:tx>
          <c:spPr>
            <a:solidFill>
              <a:schemeClr val="accent4"/>
            </a:solidFill>
            <a:ln>
              <a:noFill/>
            </a:ln>
            <a:effectLst/>
          </c:spPr>
          <c:invertIfNegative val="0"/>
          <c:cat>
            <c:numRef>
              <c:f>'Visits Input'!Year_V</c:f>
              <c:numCache>
                <c:formatCode>General</c:formatCode>
                <c:ptCount val="1"/>
                <c:pt idx="0">
                  <c:v>0</c:v>
                </c:pt>
              </c:numCache>
            </c:numRef>
          </c:cat>
          <c:val>
            <c:numRef>
              <c:f>'Visits Input'!Spermicide</c:f>
              <c:numCache>
                <c:formatCode>#,##0</c:formatCode>
                <c:ptCount val="1"/>
              </c:numCache>
            </c:numRef>
          </c:val>
          <c:extLst>
            <c:ext xmlns:c16="http://schemas.microsoft.com/office/drawing/2014/chart" uri="{C3380CC4-5D6E-409C-BE32-E72D297353CC}">
              <c16:uniqueId val="{00000003-E7DF-409A-A7ED-C4496A8E5579}"/>
            </c:ext>
          </c:extLst>
        </c:ser>
        <c:dLbls>
          <c:showLegendKey val="0"/>
          <c:showVal val="0"/>
          <c:showCatName val="0"/>
          <c:showSerName val="0"/>
          <c:showPercent val="0"/>
          <c:showBubbleSize val="0"/>
        </c:dLbls>
        <c:gapWidth val="50"/>
        <c:axId val="320856328"/>
        <c:axId val="320863544"/>
      </c:barChart>
      <c:catAx>
        <c:axId val="320856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863544"/>
        <c:crosses val="autoZero"/>
        <c:auto val="1"/>
        <c:lblAlgn val="ctr"/>
        <c:lblOffset val="100"/>
        <c:noMultiLvlLbl val="0"/>
      </c:catAx>
      <c:valAx>
        <c:axId val="32086354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856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'Visits Input'!$C$46</c:f>
              <c:strCache>
                <c:ptCount val="1"/>
                <c:pt idx="0">
                  <c:v>CU</c:v>
                </c:pt>
              </c:strCache>
            </c:strRef>
          </c:tx>
          <c:spPr>
            <a:solidFill>
              <a:schemeClr val="accent1"/>
            </a:solidFill>
            <a:ln>
              <a:noFill/>
            </a:ln>
            <a:effectLst/>
          </c:spPr>
          <c:invertIfNegative val="0"/>
          <c:cat>
            <c:numRef>
              <c:f>'Visits Input'!Year_V</c:f>
              <c:numCache>
                <c:formatCode>General</c:formatCode>
                <c:ptCount val="1"/>
                <c:pt idx="0">
                  <c:v>0</c:v>
                </c:pt>
              </c:numCache>
            </c:numRef>
          </c:cat>
          <c:val>
            <c:numRef>
              <c:f>'Visits Input'!EC</c:f>
              <c:numCache>
                <c:formatCode>#,##0</c:formatCode>
                <c:ptCount val="1"/>
              </c:numCache>
            </c:numRef>
          </c:val>
          <c:extLst>
            <c:ext xmlns:c16="http://schemas.microsoft.com/office/drawing/2014/chart" uri="{C3380CC4-5D6E-409C-BE32-E72D297353CC}">
              <c16:uniqueId val="{00000000-3CFE-46D2-B445-00E9F68CC0B3}"/>
            </c:ext>
          </c:extLst>
        </c:ser>
        <c:dLbls>
          <c:showLegendKey val="0"/>
          <c:showVal val="0"/>
          <c:showCatName val="0"/>
          <c:showSerName val="0"/>
          <c:showPercent val="0"/>
          <c:showBubbleSize val="0"/>
        </c:dLbls>
        <c:gapWidth val="50"/>
        <c:axId val="320856328"/>
        <c:axId val="320863544"/>
      </c:barChart>
      <c:catAx>
        <c:axId val="320856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863544"/>
        <c:crosses val="autoZero"/>
        <c:auto val="1"/>
        <c:lblAlgn val="ctr"/>
        <c:lblOffset val="100"/>
        <c:noMultiLvlLbl val="0"/>
      </c:catAx>
      <c:valAx>
        <c:axId val="32086354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856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'Visits Input'!$B$47</c:f>
              <c:strCache>
                <c:ptCount val="1"/>
                <c:pt idx="0">
                  <c:v>CAP Totale</c:v>
                </c:pt>
              </c:strCache>
            </c:strRef>
          </c:tx>
          <c:spPr>
            <a:solidFill>
              <a:schemeClr val="accent6"/>
            </a:solidFill>
            <a:ln>
              <a:noFill/>
            </a:ln>
            <a:effectLst/>
          </c:spPr>
          <c:invertIfNegative val="0"/>
          <c:cat>
            <c:numRef>
              <c:f>'Visits Input'!Year_V</c:f>
              <c:numCache>
                <c:formatCode>General</c:formatCode>
                <c:ptCount val="1"/>
                <c:pt idx="0">
                  <c:v>0</c:v>
                </c:pt>
              </c:numCache>
            </c:numRef>
          </c:cat>
          <c:val>
            <c:numRef>
              <c:f>'Visits Input'!CYP_V</c:f>
              <c:numCache>
                <c:formatCode>#,##0_);\(#,##0\)</c:formatCode>
                <c:ptCount val="1"/>
                <c:pt idx="0">
                  <c:v>0</c:v>
                </c:pt>
              </c:numCache>
            </c:numRef>
          </c:val>
          <c:extLst>
            <c:ext xmlns:c16="http://schemas.microsoft.com/office/drawing/2014/chart" uri="{C3380CC4-5D6E-409C-BE32-E72D297353CC}">
              <c16:uniqueId val="{00000000-84C0-4D1C-814F-8D23E607B851}"/>
            </c:ext>
          </c:extLst>
        </c:ser>
        <c:dLbls>
          <c:showLegendKey val="0"/>
          <c:showVal val="0"/>
          <c:showCatName val="0"/>
          <c:showSerName val="0"/>
          <c:showPercent val="0"/>
          <c:showBubbleSize val="0"/>
        </c:dLbls>
        <c:gapWidth val="50"/>
        <c:axId val="320856328"/>
        <c:axId val="320863544"/>
      </c:barChart>
      <c:catAx>
        <c:axId val="320856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863544"/>
        <c:crosses val="autoZero"/>
        <c:auto val="1"/>
        <c:lblAlgn val="ctr"/>
        <c:lblOffset val="100"/>
        <c:noMultiLvlLbl val="0"/>
      </c:catAx>
      <c:valAx>
        <c:axId val="32086354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856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9165375271379"/>
          <c:y val="5.6973759444308048E-2"/>
          <c:w val="0.85144457188156886"/>
          <c:h val="0.7028527034120734"/>
        </c:manualLayout>
      </c:layout>
      <c:barChart>
        <c:barDir val="col"/>
        <c:grouping val="stacked"/>
        <c:varyColors val="0"/>
        <c:ser>
          <c:idx val="0"/>
          <c:order val="0"/>
          <c:tx>
            <c:strRef>
              <c:f>'Commodities (Clients) Input'!$C$25</c:f>
              <c:strCache>
                <c:ptCount val="1"/>
                <c:pt idx="0">
                  <c:v>Copper- T 380-A DIU</c:v>
                </c:pt>
              </c:strCache>
            </c:strRef>
          </c:tx>
          <c:spPr>
            <a:solidFill>
              <a:schemeClr val="tx2"/>
            </a:solidFill>
            <a:ln>
              <a:solidFill>
                <a:schemeClr val="bg1"/>
              </a:solidFill>
            </a:ln>
            <a:effectLst/>
          </c:spPr>
          <c:invertIfNegative val="0"/>
          <c:cat>
            <c:numRef>
              <c:f>[0]!Year_C2C</c:f>
              <c:numCache>
                <c:formatCode>General</c:formatCode>
                <c:ptCount val="1"/>
                <c:pt idx="0">
                  <c:v>0</c:v>
                </c:pt>
              </c:numCache>
            </c:numRef>
          </c:cat>
          <c:val>
            <c:numRef>
              <c:f>'Commodities (Clients) Input'!CopperT</c:f>
              <c:numCache>
                <c:formatCode>#,##0</c:formatCode>
                <c:ptCount val="1"/>
              </c:numCache>
            </c:numRef>
          </c:val>
          <c:extLst>
            <c:ext xmlns:c16="http://schemas.microsoft.com/office/drawing/2014/chart" uri="{C3380CC4-5D6E-409C-BE32-E72D297353CC}">
              <c16:uniqueId val="{00000000-0FB4-4A5B-B2F9-BA7A9B09AD76}"/>
            </c:ext>
          </c:extLst>
        </c:ser>
        <c:ser>
          <c:idx val="1"/>
          <c:order val="1"/>
          <c:tx>
            <c:strRef>
              <c:f>'Commodities (Clients) Input'!$C$26</c:f>
              <c:strCache>
                <c:ptCount val="1"/>
                <c:pt idx="0">
                  <c:v>DIU Hormonal (LNG-IUS)</c:v>
                </c:pt>
              </c:strCache>
            </c:strRef>
          </c:tx>
          <c:spPr>
            <a:solidFill>
              <a:schemeClr val="accent1"/>
            </a:solidFill>
            <a:ln>
              <a:solidFill>
                <a:schemeClr val="bg1"/>
              </a:solidFill>
            </a:ln>
            <a:effectLst/>
          </c:spPr>
          <c:invertIfNegative val="0"/>
          <c:cat>
            <c:numRef>
              <c:f>[0]!Year_C2C</c:f>
              <c:numCache>
                <c:formatCode>General</c:formatCode>
                <c:ptCount val="1"/>
                <c:pt idx="0">
                  <c:v>0</c:v>
                </c:pt>
              </c:numCache>
            </c:numRef>
          </c:cat>
          <c:val>
            <c:numRef>
              <c:f>'Commodities (Clients) Input'!LNG</c:f>
              <c:numCache>
                <c:formatCode>#,##0</c:formatCode>
                <c:ptCount val="1"/>
              </c:numCache>
            </c:numRef>
          </c:val>
          <c:extLst>
            <c:ext xmlns:c16="http://schemas.microsoft.com/office/drawing/2014/chart" uri="{C3380CC4-5D6E-409C-BE32-E72D297353CC}">
              <c16:uniqueId val="{00000001-0FB4-4A5B-B2F9-BA7A9B09AD76}"/>
            </c:ext>
          </c:extLst>
        </c:ser>
        <c:dLbls>
          <c:showLegendKey val="0"/>
          <c:showVal val="0"/>
          <c:showCatName val="0"/>
          <c:showSerName val="0"/>
          <c:showPercent val="0"/>
          <c:showBubbleSize val="0"/>
        </c:dLbls>
        <c:gapWidth val="50"/>
        <c:overlap val="100"/>
        <c:axId val="320856328"/>
        <c:axId val="320863544"/>
      </c:barChart>
      <c:catAx>
        <c:axId val="320856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863544"/>
        <c:crosses val="autoZero"/>
        <c:auto val="1"/>
        <c:lblAlgn val="ctr"/>
        <c:lblOffset val="100"/>
        <c:noMultiLvlLbl val="0"/>
      </c:catAx>
      <c:valAx>
        <c:axId val="32086354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856328"/>
        <c:crosses val="autoZero"/>
        <c:crossBetween val="between"/>
      </c:valAx>
      <c:spPr>
        <a:noFill/>
        <a:ln>
          <a:noFill/>
        </a:ln>
        <a:effectLst/>
      </c:spPr>
    </c:plotArea>
    <c:legend>
      <c:legendPos val="b"/>
      <c:layout>
        <c:manualLayout>
          <c:xMode val="edge"/>
          <c:yMode val="edge"/>
          <c:x val="1.7159215475107899E-2"/>
          <c:y val="0.89730099737532809"/>
          <c:w val="0.9376995585055673"/>
          <c:h val="9.968923884514437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232469148120862"/>
          <c:y val="2.2922629207520789E-2"/>
          <c:w val="0.73112491800076851"/>
          <c:h val="0.89656780255012747"/>
        </c:manualLayout>
      </c:layout>
      <c:lineChart>
        <c:grouping val="standard"/>
        <c:varyColors val="0"/>
        <c:ser>
          <c:idx val="0"/>
          <c:order val="0"/>
          <c:tx>
            <c:strRef>
              <c:f>'Visits Output'!$C$7</c:f>
              <c:strCache>
                <c:ptCount val="1"/>
                <c:pt idx="0">
                  <c:v>Stérilisation (f)</c:v>
                </c:pt>
              </c:strCache>
            </c:strRef>
          </c:tx>
          <c:spPr>
            <a:ln w="38100" cap="rnd">
              <a:solidFill>
                <a:schemeClr val="accent6"/>
              </a:solidFill>
              <a:round/>
            </a:ln>
            <a:effectLst/>
          </c:spPr>
          <c:marker>
            <c:symbol val="none"/>
          </c:marker>
          <c:cat>
            <c:numRef>
              <c:f>[0]!Year_V</c:f>
              <c:numCache>
                <c:formatCode>General</c:formatCode>
                <c:ptCount val="1"/>
                <c:pt idx="0">
                  <c:v>0</c:v>
                </c:pt>
              </c:numCache>
            </c:numRef>
          </c:cat>
          <c:val>
            <c:numRef>
              <c:f>'Visits Output'!Users_Sterilization</c:f>
              <c:numCache>
                <c:formatCode>#,##0</c:formatCode>
                <c:ptCount val="1"/>
                <c:pt idx="0">
                  <c:v>#N/A</c:v>
                </c:pt>
              </c:numCache>
            </c:numRef>
          </c:val>
          <c:smooth val="0"/>
          <c:extLst>
            <c:ext xmlns:c16="http://schemas.microsoft.com/office/drawing/2014/chart" uri="{C3380CC4-5D6E-409C-BE32-E72D297353CC}">
              <c16:uniqueId val="{00000001-61E3-445A-AE3B-4EC72284B3BA}"/>
            </c:ext>
          </c:extLst>
        </c:ser>
        <c:ser>
          <c:idx val="8"/>
          <c:order val="1"/>
          <c:tx>
            <c:strRef>
              <c:f>'Visits Output'!$C$8</c:f>
              <c:strCache>
                <c:ptCount val="1"/>
                <c:pt idx="0">
                  <c:v>Stérilisation (m)</c:v>
                </c:pt>
              </c:strCache>
            </c:strRef>
          </c:tx>
          <c:spPr>
            <a:ln w="38100" cap="rnd">
              <a:solidFill>
                <a:schemeClr val="accent6">
                  <a:lumMod val="50000"/>
                </a:schemeClr>
              </a:solidFill>
              <a:round/>
            </a:ln>
            <a:effectLst/>
          </c:spPr>
          <c:marker>
            <c:symbol val="none"/>
          </c:marker>
          <c:val>
            <c:numRef>
              <c:f>'Visits Output'!Users_SterilizationM</c:f>
              <c:numCache>
                <c:formatCode>#,##0</c:formatCode>
                <c:ptCount val="1"/>
                <c:pt idx="0">
                  <c:v>#N/A</c:v>
                </c:pt>
              </c:numCache>
            </c:numRef>
          </c:val>
          <c:smooth val="0"/>
          <c:extLst>
            <c:ext xmlns:c16="http://schemas.microsoft.com/office/drawing/2014/chart" uri="{C3380CC4-5D6E-409C-BE32-E72D297353CC}">
              <c16:uniqueId val="{00000003-61E3-445A-AE3B-4EC72284B3BA}"/>
            </c:ext>
          </c:extLst>
        </c:ser>
        <c:ser>
          <c:idx val="1"/>
          <c:order val="2"/>
          <c:tx>
            <c:strRef>
              <c:f>'Visits Output'!$C$9</c:f>
              <c:strCache>
                <c:ptCount val="1"/>
                <c:pt idx="0">
                  <c:v>DIU</c:v>
                </c:pt>
              </c:strCache>
            </c:strRef>
          </c:tx>
          <c:spPr>
            <a:ln w="38100" cap="rnd">
              <a:solidFill>
                <a:schemeClr val="bg2"/>
              </a:solidFill>
              <a:round/>
            </a:ln>
            <a:effectLst/>
          </c:spPr>
          <c:marker>
            <c:symbol val="none"/>
          </c:marker>
          <c:cat>
            <c:numRef>
              <c:f>[0]!Year_V</c:f>
              <c:numCache>
                <c:formatCode>General</c:formatCode>
                <c:ptCount val="1"/>
                <c:pt idx="0">
                  <c:v>0</c:v>
                </c:pt>
              </c:numCache>
            </c:numRef>
          </c:cat>
          <c:val>
            <c:numRef>
              <c:f>'Visits Output'!Users_IUD</c:f>
              <c:numCache>
                <c:formatCode>#,##0</c:formatCode>
                <c:ptCount val="1"/>
                <c:pt idx="0">
                  <c:v>#N/A</c:v>
                </c:pt>
              </c:numCache>
            </c:numRef>
          </c:val>
          <c:smooth val="0"/>
          <c:extLst>
            <c:ext xmlns:c16="http://schemas.microsoft.com/office/drawing/2014/chart" uri="{C3380CC4-5D6E-409C-BE32-E72D297353CC}">
              <c16:uniqueId val="{00000005-61E3-445A-AE3B-4EC72284B3BA}"/>
            </c:ext>
          </c:extLst>
        </c:ser>
        <c:ser>
          <c:idx val="2"/>
          <c:order val="3"/>
          <c:tx>
            <c:strRef>
              <c:f>'Visits Output'!$C$10</c:f>
              <c:strCache>
                <c:ptCount val="1"/>
                <c:pt idx="0">
                  <c:v>Implant</c:v>
                </c:pt>
              </c:strCache>
            </c:strRef>
          </c:tx>
          <c:spPr>
            <a:ln w="38100" cap="rnd">
              <a:solidFill>
                <a:schemeClr val="accent2"/>
              </a:solidFill>
              <a:round/>
            </a:ln>
            <a:effectLst/>
          </c:spPr>
          <c:marker>
            <c:symbol val="none"/>
          </c:marker>
          <c:cat>
            <c:numRef>
              <c:f>[0]!Year_V</c:f>
              <c:numCache>
                <c:formatCode>General</c:formatCode>
                <c:ptCount val="1"/>
                <c:pt idx="0">
                  <c:v>0</c:v>
                </c:pt>
              </c:numCache>
            </c:numRef>
          </c:cat>
          <c:val>
            <c:numRef>
              <c:f>'Visits Output'!Users_Implant</c:f>
              <c:numCache>
                <c:formatCode>#,##0</c:formatCode>
                <c:ptCount val="1"/>
                <c:pt idx="0">
                  <c:v>#N/A</c:v>
                </c:pt>
              </c:numCache>
            </c:numRef>
          </c:val>
          <c:smooth val="0"/>
          <c:extLst>
            <c:ext xmlns:c16="http://schemas.microsoft.com/office/drawing/2014/chart" uri="{C3380CC4-5D6E-409C-BE32-E72D297353CC}">
              <c16:uniqueId val="{00000007-61E3-445A-AE3B-4EC72284B3BA}"/>
            </c:ext>
          </c:extLst>
        </c:ser>
        <c:ser>
          <c:idx val="3"/>
          <c:order val="4"/>
          <c:tx>
            <c:strRef>
              <c:f>'Visits Output'!$C$11</c:f>
              <c:strCache>
                <c:ptCount val="1"/>
                <c:pt idx="0">
                  <c:v>Produits injectables</c:v>
                </c:pt>
              </c:strCache>
            </c:strRef>
          </c:tx>
          <c:spPr>
            <a:ln w="38100" cap="rnd">
              <a:solidFill>
                <a:schemeClr val="tx2"/>
              </a:solidFill>
              <a:round/>
            </a:ln>
            <a:effectLst/>
          </c:spPr>
          <c:marker>
            <c:symbol val="none"/>
          </c:marker>
          <c:cat>
            <c:numRef>
              <c:f>[0]!Year_V</c:f>
              <c:numCache>
                <c:formatCode>General</c:formatCode>
                <c:ptCount val="1"/>
                <c:pt idx="0">
                  <c:v>0</c:v>
                </c:pt>
              </c:numCache>
            </c:numRef>
          </c:cat>
          <c:val>
            <c:numRef>
              <c:f>'Visits Output'!Users_Injectable</c:f>
              <c:numCache>
                <c:formatCode>#,##0</c:formatCode>
                <c:ptCount val="1"/>
                <c:pt idx="0">
                  <c:v>#N/A</c:v>
                </c:pt>
              </c:numCache>
            </c:numRef>
          </c:val>
          <c:smooth val="0"/>
          <c:extLst>
            <c:ext xmlns:c16="http://schemas.microsoft.com/office/drawing/2014/chart" uri="{C3380CC4-5D6E-409C-BE32-E72D297353CC}">
              <c16:uniqueId val="{00000009-61E3-445A-AE3B-4EC72284B3BA}"/>
            </c:ext>
          </c:extLst>
        </c:ser>
        <c:ser>
          <c:idx val="4"/>
          <c:order val="5"/>
          <c:tx>
            <c:strRef>
              <c:f>'Visits Output'!$C$12</c:f>
              <c:strCache>
                <c:ptCount val="1"/>
                <c:pt idx="0">
                  <c:v>Pilule</c:v>
                </c:pt>
              </c:strCache>
            </c:strRef>
          </c:tx>
          <c:spPr>
            <a:ln w="38100" cap="rnd">
              <a:solidFill>
                <a:schemeClr val="accent1"/>
              </a:solidFill>
              <a:round/>
            </a:ln>
            <a:effectLst/>
          </c:spPr>
          <c:marker>
            <c:symbol val="none"/>
          </c:marker>
          <c:cat>
            <c:numRef>
              <c:f>[0]!Year_V</c:f>
              <c:numCache>
                <c:formatCode>General</c:formatCode>
                <c:ptCount val="1"/>
                <c:pt idx="0">
                  <c:v>0</c:v>
                </c:pt>
              </c:numCache>
            </c:numRef>
          </c:cat>
          <c:val>
            <c:numRef>
              <c:f>'Visits Output'!Users_OC</c:f>
              <c:numCache>
                <c:formatCode>#,##0</c:formatCode>
                <c:ptCount val="1"/>
                <c:pt idx="0">
                  <c:v>#N/A</c:v>
                </c:pt>
              </c:numCache>
            </c:numRef>
          </c:val>
          <c:smooth val="0"/>
          <c:extLst>
            <c:ext xmlns:c16="http://schemas.microsoft.com/office/drawing/2014/chart" uri="{C3380CC4-5D6E-409C-BE32-E72D297353CC}">
              <c16:uniqueId val="{0000000B-61E3-445A-AE3B-4EC72284B3BA}"/>
            </c:ext>
          </c:extLst>
        </c:ser>
        <c:ser>
          <c:idx val="5"/>
          <c:order val="6"/>
          <c:tx>
            <c:strRef>
              <c:f>'Visits Output'!$C$13</c:f>
              <c:strCache>
                <c:ptCount val="1"/>
                <c:pt idx="0">
                  <c:v>Préservatifs (m+f)</c:v>
                </c:pt>
              </c:strCache>
            </c:strRef>
          </c:tx>
          <c:spPr>
            <a:ln w="38100" cap="rnd">
              <a:solidFill>
                <a:schemeClr val="accent3"/>
              </a:solidFill>
              <a:round/>
            </a:ln>
            <a:effectLst/>
          </c:spPr>
          <c:marker>
            <c:symbol val="none"/>
          </c:marker>
          <c:cat>
            <c:numRef>
              <c:f>[0]!Year_V</c:f>
              <c:numCache>
                <c:formatCode>General</c:formatCode>
                <c:ptCount val="1"/>
                <c:pt idx="0">
                  <c:v>0</c:v>
                </c:pt>
              </c:numCache>
            </c:numRef>
          </c:cat>
          <c:val>
            <c:numRef>
              <c:f>'Visits Output'!Users_Condom</c:f>
              <c:numCache>
                <c:formatCode>#,##0</c:formatCode>
                <c:ptCount val="1"/>
                <c:pt idx="0">
                  <c:v>#N/A</c:v>
                </c:pt>
              </c:numCache>
            </c:numRef>
          </c:val>
          <c:smooth val="0"/>
          <c:extLst>
            <c:ext xmlns:c16="http://schemas.microsoft.com/office/drawing/2014/chart" uri="{C3380CC4-5D6E-409C-BE32-E72D297353CC}">
              <c16:uniqueId val="{0000000D-61E3-445A-AE3B-4EC72284B3BA}"/>
            </c:ext>
          </c:extLst>
        </c:ser>
        <c:ser>
          <c:idx val="6"/>
          <c:order val="7"/>
          <c:tx>
            <c:strRef>
              <c:f>'Visits Output'!$C$14</c:f>
              <c:strCache>
                <c:ptCount val="1"/>
                <c:pt idx="0">
                  <c:v>MAMA</c:v>
                </c:pt>
              </c:strCache>
            </c:strRef>
          </c:tx>
          <c:spPr>
            <a:ln w="38100" cap="rnd">
              <a:solidFill>
                <a:schemeClr val="accent5"/>
              </a:solidFill>
              <a:round/>
            </a:ln>
            <a:effectLst/>
          </c:spPr>
          <c:marker>
            <c:symbol val="none"/>
          </c:marker>
          <c:cat>
            <c:numRef>
              <c:f>[0]!Year_V</c:f>
              <c:numCache>
                <c:formatCode>General</c:formatCode>
                <c:ptCount val="1"/>
                <c:pt idx="0">
                  <c:v>0</c:v>
                </c:pt>
              </c:numCache>
            </c:numRef>
          </c:cat>
          <c:val>
            <c:numRef>
              <c:f>'Visits Output'!Users_LAM</c:f>
              <c:numCache>
                <c:formatCode>#,##0</c:formatCode>
                <c:ptCount val="1"/>
                <c:pt idx="0">
                  <c:v>#N/A</c:v>
                </c:pt>
              </c:numCache>
            </c:numRef>
          </c:val>
          <c:smooth val="0"/>
          <c:extLst>
            <c:ext xmlns:c16="http://schemas.microsoft.com/office/drawing/2014/chart" uri="{C3380CC4-5D6E-409C-BE32-E72D297353CC}">
              <c16:uniqueId val="{0000000F-61E3-445A-AE3B-4EC72284B3BA}"/>
            </c:ext>
          </c:extLst>
        </c:ser>
        <c:ser>
          <c:idx val="7"/>
          <c:order val="8"/>
          <c:tx>
            <c:strRef>
              <c:f>'Visits Output'!$C$15</c:f>
              <c:strCache>
                <c:ptCount val="1"/>
                <c:pt idx="0">
                  <c:v>Autres méthodes modernes</c:v>
                </c:pt>
              </c:strCache>
            </c:strRef>
          </c:tx>
          <c:spPr>
            <a:ln w="38100" cap="rnd">
              <a:solidFill>
                <a:schemeClr val="accent4"/>
              </a:solidFill>
              <a:round/>
            </a:ln>
            <a:effectLst/>
          </c:spPr>
          <c:marker>
            <c:symbol val="none"/>
          </c:marker>
          <c:cat>
            <c:numRef>
              <c:f>[0]!Year_V</c:f>
              <c:numCache>
                <c:formatCode>General</c:formatCode>
                <c:ptCount val="1"/>
                <c:pt idx="0">
                  <c:v>0</c:v>
                </c:pt>
              </c:numCache>
            </c:numRef>
          </c:cat>
          <c:val>
            <c:numRef>
              <c:f>'Visits Output'!Users_OMM</c:f>
              <c:numCache>
                <c:formatCode>#,##0</c:formatCode>
                <c:ptCount val="1"/>
                <c:pt idx="0">
                  <c:v>#N/A</c:v>
                </c:pt>
              </c:numCache>
            </c:numRef>
          </c:val>
          <c:smooth val="0"/>
          <c:extLst>
            <c:ext xmlns:c16="http://schemas.microsoft.com/office/drawing/2014/chart" uri="{C3380CC4-5D6E-409C-BE32-E72D297353CC}">
              <c16:uniqueId val="{00000011-61E3-445A-AE3B-4EC72284B3BA}"/>
            </c:ext>
          </c:extLst>
        </c:ser>
        <c:dLbls>
          <c:showLegendKey val="0"/>
          <c:showVal val="0"/>
          <c:showCatName val="0"/>
          <c:showSerName val="0"/>
          <c:showPercent val="0"/>
          <c:showBubbleSize val="0"/>
        </c:dLbls>
        <c:smooth val="0"/>
        <c:axId val="254310568"/>
        <c:axId val="254304336"/>
      </c:lineChart>
      <c:catAx>
        <c:axId val="254310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254304336"/>
        <c:crosses val="autoZero"/>
        <c:auto val="1"/>
        <c:lblAlgn val="ctr"/>
        <c:lblOffset val="100"/>
        <c:noMultiLvlLbl val="0"/>
      </c:catAx>
      <c:valAx>
        <c:axId val="254304336"/>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b="0">
                    <a:solidFill>
                      <a:schemeClr val="tx1">
                        <a:lumMod val="75000"/>
                        <a:lumOff val="25000"/>
                      </a:schemeClr>
                    </a:solidFill>
                  </a:defRPr>
                </a:pPr>
                <a:r>
                  <a:rPr lang="en-US" b="0">
                    <a:solidFill>
                      <a:schemeClr val="tx1">
                        <a:lumMod val="75000"/>
                        <a:lumOff val="25000"/>
                      </a:schemeClr>
                    </a:solidFill>
                  </a:rPr>
                  <a:t>Users / Utilisateurs</a:t>
                </a:r>
              </a:p>
            </c:rich>
          </c:tx>
          <c:overlay val="0"/>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254310568"/>
        <c:crosses val="autoZero"/>
        <c:crossBetween val="between"/>
      </c:valAx>
    </c:plotArea>
    <c:legend>
      <c:legendPos val="b"/>
      <c:layout>
        <c:manualLayout>
          <c:xMode val="edge"/>
          <c:yMode val="edge"/>
          <c:x val="0.81583094998234951"/>
          <c:y val="0"/>
          <c:w val="0.18416899029500675"/>
          <c:h val="0.99678862121227718"/>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788714866013981E-2"/>
          <c:y val="3.9979225693155797E-2"/>
          <c:w val="0.89553977703871079"/>
          <c:h val="0.7374109394540016"/>
        </c:manualLayout>
      </c:layout>
      <c:lineChart>
        <c:grouping val="standard"/>
        <c:varyColors val="0"/>
        <c:ser>
          <c:idx val="1"/>
          <c:order val="0"/>
          <c:tx>
            <c:strRef>
              <c:f>'Visits Output'!$C$33</c:f>
              <c:strCache>
                <c:ptCount val="1"/>
                <c:pt idx="0">
                  <c:v>EUM: Produits inc. Préservatifs</c:v>
                </c:pt>
              </c:strCache>
            </c:strRef>
          </c:tx>
          <c:spPr>
            <a:ln w="28575" cap="rnd">
              <a:solidFill>
                <a:schemeClr val="tx2">
                  <a:lumMod val="40000"/>
                  <a:lumOff val="60000"/>
                </a:schemeClr>
              </a:solidFill>
              <a:prstDash val="sysDash"/>
              <a:round/>
            </a:ln>
            <a:effectLst/>
          </c:spPr>
          <c:marker>
            <c:symbol val="circle"/>
            <c:size val="5"/>
            <c:spPr>
              <a:solidFill>
                <a:schemeClr val="tx2">
                  <a:lumMod val="40000"/>
                  <a:lumOff val="60000"/>
                </a:schemeClr>
              </a:solidFill>
              <a:ln w="28575">
                <a:solidFill>
                  <a:schemeClr val="tx2">
                    <a:lumMod val="40000"/>
                    <a:lumOff val="60000"/>
                  </a:schemeClr>
                </a:solidFill>
                <a:prstDash val="solid"/>
              </a:ln>
              <a:effectLst/>
            </c:spPr>
          </c:marker>
          <c:cat>
            <c:numRef>
              <c:f>[0]!Year_V</c:f>
              <c:numCache>
                <c:formatCode>General</c:formatCode>
                <c:ptCount val="1"/>
                <c:pt idx="0">
                  <c:v>0</c:v>
                </c:pt>
              </c:numCache>
            </c:numRef>
          </c:cat>
          <c:val>
            <c:numRef>
              <c:f>'Visits Output'!EMU_Inc_Condoms</c:f>
              <c:numCache>
                <c:formatCode>0.0%</c:formatCode>
                <c:ptCount val="1"/>
                <c:pt idx="0">
                  <c:v>#N/A</c:v>
                </c:pt>
              </c:numCache>
            </c:numRef>
          </c:val>
          <c:smooth val="0"/>
          <c:extLst>
            <c:ext xmlns:c16="http://schemas.microsoft.com/office/drawing/2014/chart" uri="{C3380CC4-5D6E-409C-BE32-E72D297353CC}">
              <c16:uniqueId val="{00000000-7E41-4A8E-B53B-B107ECD436F1}"/>
            </c:ext>
          </c:extLst>
        </c:ser>
        <c:ser>
          <c:idx val="2"/>
          <c:order val="1"/>
          <c:tx>
            <c:strRef>
              <c:f>'Visits Output'!$C$34</c:f>
              <c:strCache>
                <c:ptCount val="1"/>
                <c:pt idx="0">
                  <c:v>EUM: Produits ex. Préservatifs</c:v>
                </c:pt>
              </c:strCache>
            </c:strRef>
          </c:tx>
          <c:spPr>
            <a:ln w="38100" cap="rnd">
              <a:solidFill>
                <a:schemeClr val="tx2"/>
              </a:solidFill>
              <a:round/>
            </a:ln>
            <a:effectLst/>
          </c:spPr>
          <c:marker>
            <c:symbol val="circle"/>
            <c:size val="5"/>
            <c:spPr>
              <a:solidFill>
                <a:schemeClr val="tx2"/>
              </a:solidFill>
              <a:ln w="38100">
                <a:solidFill>
                  <a:schemeClr val="tx2"/>
                </a:solidFill>
              </a:ln>
              <a:effectLst/>
            </c:spPr>
          </c:marker>
          <c:cat>
            <c:numRef>
              <c:f>[0]!Year_V</c:f>
              <c:numCache>
                <c:formatCode>General</c:formatCode>
                <c:ptCount val="1"/>
                <c:pt idx="0">
                  <c:v>0</c:v>
                </c:pt>
              </c:numCache>
            </c:numRef>
          </c:cat>
          <c:val>
            <c:numRef>
              <c:f>'Visits Output'!EMU_Ex_Condoms</c:f>
              <c:numCache>
                <c:formatCode>0.0%</c:formatCode>
                <c:ptCount val="1"/>
                <c:pt idx="0">
                  <c:v>#N/A</c:v>
                </c:pt>
              </c:numCache>
            </c:numRef>
          </c:val>
          <c:smooth val="0"/>
          <c:extLst>
            <c:ext xmlns:c16="http://schemas.microsoft.com/office/drawing/2014/chart" uri="{C3380CC4-5D6E-409C-BE32-E72D297353CC}">
              <c16:uniqueId val="{00000001-7E41-4A8E-B53B-B107ECD436F1}"/>
            </c:ext>
          </c:extLst>
        </c:ser>
        <c:ser>
          <c:idx val="0"/>
          <c:order val="2"/>
          <c:tx>
            <c:strRef>
              <c:f>'Visits Output'!$C$35</c:f>
              <c:strCache>
                <c:ptCount val="1"/>
                <c:pt idx="0">
                  <c:v>TPCm (TF): DHS</c:v>
                </c:pt>
              </c:strCache>
            </c:strRef>
          </c:tx>
          <c:spPr>
            <a:ln w="28575" cap="rnd">
              <a:solidFill>
                <a:schemeClr val="accent3"/>
              </a:solidFill>
              <a:round/>
            </a:ln>
            <a:effectLst/>
          </c:spPr>
          <c:marker>
            <c:symbol val="circle"/>
            <c:size val="10"/>
            <c:spPr>
              <a:solidFill>
                <a:schemeClr val="accent3"/>
              </a:solidFill>
              <a:ln w="38100">
                <a:solidFill>
                  <a:schemeClr val="accent3"/>
                </a:solidFill>
              </a:ln>
              <a:effectLst/>
            </c:spPr>
          </c:marker>
          <c:cat>
            <c:numRef>
              <c:f>[0]!Year_V</c:f>
              <c:numCache>
                <c:formatCode>General</c:formatCode>
                <c:ptCount val="1"/>
                <c:pt idx="0">
                  <c:v>0</c:v>
                </c:pt>
              </c:numCache>
            </c:numRef>
          </c:cat>
          <c:val>
            <c:numRef>
              <c:f>'Visits Output'!mCPR_Survey</c:f>
              <c:numCache>
                <c:formatCode>0.0%</c:formatCode>
                <c:ptCount val="1"/>
                <c:pt idx="0">
                  <c:v>#N/A</c:v>
                </c:pt>
              </c:numCache>
            </c:numRef>
          </c:val>
          <c:smooth val="0"/>
          <c:extLst>
            <c:ext xmlns:c16="http://schemas.microsoft.com/office/drawing/2014/chart" uri="{C3380CC4-5D6E-409C-BE32-E72D297353CC}">
              <c16:uniqueId val="{00000000-FB3E-40F3-B5B8-A0EE2FB3D5FC}"/>
            </c:ext>
          </c:extLst>
        </c:ser>
        <c:ser>
          <c:idx val="5"/>
          <c:order val="3"/>
          <c:tx>
            <c:strRef>
              <c:f>'Visits Output'!$C$38</c:f>
              <c:strCache>
                <c:ptCount val="1"/>
                <c:pt idx="0">
                  <c:v>TPCm (TF): FPET Global Run (2022)</c:v>
                </c:pt>
              </c:strCache>
            </c:strRef>
          </c:tx>
          <c:spPr>
            <a:ln w="31750" cap="rnd">
              <a:solidFill>
                <a:schemeClr val="accent6"/>
              </a:solidFill>
              <a:round/>
            </a:ln>
            <a:effectLst/>
          </c:spPr>
          <c:marker>
            <c:symbol val="circle"/>
            <c:size val="5"/>
            <c:spPr>
              <a:solidFill>
                <a:schemeClr val="accent6"/>
              </a:solidFill>
              <a:ln w="28575">
                <a:solidFill>
                  <a:schemeClr val="accent6"/>
                </a:solidFill>
              </a:ln>
              <a:effectLst/>
            </c:spPr>
          </c:marker>
          <c:cat>
            <c:numRef>
              <c:f>[0]!Year_V</c:f>
              <c:numCache>
                <c:formatCode>General</c:formatCode>
                <c:ptCount val="1"/>
                <c:pt idx="0">
                  <c:v>0</c:v>
                </c:pt>
              </c:numCache>
            </c:numRef>
          </c:cat>
          <c:val>
            <c:numRef>
              <c:f>'Visits Output'!mCPR_FPET</c:f>
              <c:numCache>
                <c:formatCode>0.0%</c:formatCode>
                <c:ptCount val="1"/>
                <c:pt idx="0">
                  <c:v>#N/A</c:v>
                </c:pt>
              </c:numCache>
            </c:numRef>
          </c:val>
          <c:smooth val="0"/>
          <c:extLst>
            <c:ext xmlns:c16="http://schemas.microsoft.com/office/drawing/2014/chart" uri="{C3380CC4-5D6E-409C-BE32-E72D297353CC}">
              <c16:uniqueId val="{00000003-7E41-4A8E-B53B-B107ECD436F1}"/>
            </c:ext>
          </c:extLst>
        </c:ser>
        <c:dLbls>
          <c:showLegendKey val="0"/>
          <c:showVal val="0"/>
          <c:showCatName val="0"/>
          <c:showSerName val="0"/>
          <c:showPercent val="0"/>
          <c:showBubbleSize val="0"/>
        </c:dLbls>
        <c:marker val="1"/>
        <c:smooth val="0"/>
        <c:axId val="637657848"/>
        <c:axId val="637662112"/>
        <c:extLst/>
      </c:lineChart>
      <c:catAx>
        <c:axId val="637657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637662112"/>
        <c:crosses val="autoZero"/>
        <c:auto val="1"/>
        <c:lblAlgn val="ctr"/>
        <c:lblOffset val="100"/>
        <c:noMultiLvlLbl val="0"/>
      </c:catAx>
      <c:valAx>
        <c:axId val="637662112"/>
        <c:scaling>
          <c:orientation val="minMax"/>
        </c:scaling>
        <c:delete val="0"/>
        <c:axPos val="l"/>
        <c:majorGridlines>
          <c:spPr>
            <a:ln w="9525" cap="flat" cmpd="sng" algn="ctr">
              <a:solidFill>
                <a:schemeClr val="tx1">
                  <a:lumMod val="15000"/>
                  <a:lumOff val="85000"/>
                </a:schemeClr>
              </a:solidFill>
              <a:round/>
            </a:ln>
            <a:effectLst/>
          </c:spPr>
        </c:majorGridlines>
        <c:title>
          <c:tx>
            <c:strRef>
              <c:f>'Visits Output'!$AC$95</c:f>
              <c:strCache>
                <c:ptCount val="1"/>
                <c:pt idx="0">
                  <c:v>TPCm - EUM</c:v>
                </c:pt>
              </c:strCache>
            </c:strRef>
          </c:tx>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637657848"/>
        <c:crosses val="autoZero"/>
        <c:crossBetween val="between"/>
      </c:valAx>
      <c:spPr>
        <a:noFill/>
        <a:ln>
          <a:noFill/>
        </a:ln>
        <a:effectLst/>
      </c:spPr>
    </c:plotArea>
    <c:legend>
      <c:legendPos val="b"/>
      <c:layout>
        <c:manualLayout>
          <c:xMode val="edge"/>
          <c:yMode val="edge"/>
          <c:x val="2.1989774555909034E-2"/>
          <c:y val="0.87973032761222947"/>
          <c:w val="0.96843540067840506"/>
          <c:h val="0.1202697078749797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0"/>
    <c:dispBlanksAs val="span"/>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Pt>
            <c:idx val="0"/>
            <c:invertIfNegative val="0"/>
            <c:bubble3D val="0"/>
            <c:spPr>
              <a:solidFill>
                <a:schemeClr val="accent3"/>
              </a:solidFill>
              <a:ln>
                <a:noFill/>
              </a:ln>
              <a:effectLst/>
            </c:spPr>
            <c:extLst>
              <c:ext xmlns:c16="http://schemas.microsoft.com/office/drawing/2014/chart" uri="{C3380CC4-5D6E-409C-BE32-E72D297353CC}">
                <c16:uniqueId val="{00000003-F26B-40EA-9243-DEA9BFAE4AEB}"/>
              </c:ext>
            </c:extLst>
          </c:dPt>
          <c:dPt>
            <c:idx val="1"/>
            <c:invertIfNegative val="0"/>
            <c:bubble3D val="0"/>
            <c:spPr>
              <a:solidFill>
                <a:schemeClr val="accent6"/>
              </a:solidFill>
              <a:ln>
                <a:noFill/>
              </a:ln>
              <a:effectLst/>
            </c:spPr>
            <c:extLst>
              <c:ext xmlns:c16="http://schemas.microsoft.com/office/drawing/2014/chart" uri="{C3380CC4-5D6E-409C-BE32-E72D297353CC}">
                <c16:uniqueId val="{0000000D-62B9-4AFE-8AAE-F259FF87B266}"/>
              </c:ext>
            </c:extLst>
          </c:dPt>
          <c:dPt>
            <c:idx val="2"/>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07-F26B-40EA-9243-DEA9BFAE4AEB}"/>
              </c:ext>
            </c:extLst>
          </c:dPt>
          <c:dPt>
            <c:idx val="3"/>
            <c:invertIfNegative val="0"/>
            <c:bubble3D val="0"/>
            <c:spPr>
              <a:solidFill>
                <a:schemeClr val="tx2"/>
              </a:solidFill>
              <a:ln>
                <a:noFill/>
              </a:ln>
              <a:effectLst/>
            </c:spPr>
            <c:extLst>
              <c:ext xmlns:c16="http://schemas.microsoft.com/office/drawing/2014/chart" uri="{C3380CC4-5D6E-409C-BE32-E72D297353CC}">
                <c16:uniqueId val="{00000007-79FD-40CD-A77E-3ACDAB31BE97}"/>
              </c:ext>
            </c:extLst>
          </c:dPt>
          <c:dLbls>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3"/>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3-F26B-40EA-9243-DEA9BFAE4AEB}"/>
                </c:ext>
              </c:extLst>
            </c:dLbl>
            <c:dLbl>
              <c:idx val="1"/>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6"/>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D-62B9-4AFE-8AAE-F259FF87B266}"/>
                </c:ext>
              </c:extLst>
            </c:dLbl>
            <c:dLbl>
              <c:idx val="2"/>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lumMod val="40000"/>
                          <a:lumOff val="60000"/>
                        </a:schemeClr>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7-F26B-40EA-9243-DEA9BFAE4AEB}"/>
                </c:ext>
              </c:extLst>
            </c:dLbl>
            <c:dLbl>
              <c:idx val="3"/>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7-79FD-40CD-A77E-3ACDAB31BE97}"/>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'Visits Output'!$C$33:$C$40</c15:sqref>
                  </c15:fullRef>
                </c:ext>
              </c:extLst>
              <c:f>('Visits Output'!$C$36:$C$37,'Visits Output'!$C$39:$C$40)</c:f>
              <c:strCache>
                <c:ptCount val="4"/>
                <c:pt idx="0">
                  <c:v>TPCm (TF): DHS</c:v>
                </c:pt>
                <c:pt idx="1">
                  <c:v>TPCm (TF): FPET Global Run (2022)</c:v>
                </c:pt>
                <c:pt idx="2">
                  <c:v>EUM: Produits inc. Préservatifs</c:v>
                </c:pt>
                <c:pt idx="3">
                  <c:v>EUM: Produits ex. Préservatifs</c:v>
                </c:pt>
              </c:strCache>
            </c:strRef>
          </c:cat>
          <c:val>
            <c:numRef>
              <c:extLst>
                <c:ext xmlns:c15="http://schemas.microsoft.com/office/drawing/2012/chart" uri="{02D57815-91ED-43cb-92C2-25804820EDAC}">
                  <c15:fullRef>
                    <c15:sqref>'Visits Output'!$U$33:$U$40</c15:sqref>
                  </c15:fullRef>
                </c:ext>
              </c:extLst>
              <c:f>('Visits Output'!$U$36:$U$37,'Visits Output'!$U$39:$U$40)</c:f>
              <c:numCache>
                <c:formatCode>0.0%</c:formatCode>
                <c:ptCount val="4"/>
                <c:pt idx="0">
                  <c:v>#N/A</c:v>
                </c:pt>
                <c:pt idx="1">
                  <c:v>0</c:v>
                </c:pt>
                <c:pt idx="2">
                  <c:v>0</c:v>
                </c:pt>
                <c:pt idx="3">
                  <c:v>0</c:v>
                </c:pt>
              </c:numCache>
            </c:numRef>
          </c:val>
          <c:extLst>
            <c:ext xmlns:c15="http://schemas.microsoft.com/office/drawing/2012/chart" uri="{02D57815-91ED-43cb-92C2-25804820EDAC}">
              <c15:categoryFilterExceptions>
                <c15:categoryFilterException>
                  <c15:sqref>'Visits Output'!$U$33</c15:sqref>
                  <c15:spPr xmlns:c15="http://schemas.microsoft.com/office/drawing/2012/chart">
                    <a:solidFill>
                      <a:schemeClr val="accent2"/>
                    </a:solidFill>
                    <a:ln>
                      <a:noFill/>
                    </a:ln>
                    <a:effectLst/>
                  </c15:spPr>
                  <c15:invertIfNegative val="0"/>
                  <c15:bubble3D val="0"/>
                  <c15:dLbl>
                    <c:idx val="-1"/>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2"/>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9-440A-4A61-870C-12AD30631D9E}"/>
                      </c:ext>
                    </c:extLst>
                  </c15:dLbl>
                </c15:categoryFilterException>
                <c15:categoryFilterException>
                  <c15:sqref>'Visits Output'!$U$34</c15:sqref>
                  <c15:spPr xmlns:c15="http://schemas.microsoft.com/office/drawing/2012/chart">
                    <a:solidFill>
                      <a:schemeClr val="bg2"/>
                    </a:solidFill>
                    <a:ln>
                      <a:noFill/>
                    </a:ln>
                    <a:effectLst/>
                  </c15:spPr>
                  <c15:invertIfNegative val="0"/>
                  <c15:bubble3D val="0"/>
                  <c15:dLbl>
                    <c:idx val="-1"/>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2"/>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B-440A-4A61-870C-12AD30631D9E}"/>
                      </c:ext>
                    </c:extLst>
                  </c15:dLbl>
                </c15:categoryFilterException>
                <c15:categoryFilterException>
                  <c15:sqref>'Visits Output'!$U$35</c15:sqref>
                  <c15:spPr xmlns:c15="http://schemas.microsoft.com/office/drawing/2012/chart">
                    <a:solidFill>
                      <a:schemeClr val="accent6"/>
                    </a:solidFill>
                    <a:ln>
                      <a:noFill/>
                    </a:ln>
                    <a:effectLst/>
                  </c15:spPr>
                  <c15:invertIfNegative val="0"/>
                  <c15:bubble3D val="0"/>
                  <c15:dLbl>
                    <c:idx val="-1"/>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6"/>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D-440A-4A61-870C-12AD30631D9E}"/>
                      </c:ext>
                    </c:extLst>
                  </c15:dLbl>
                </c15:categoryFilterException>
                <c15:categoryFilterException>
                  <c15:sqref>'Visits Output'!$U$38</c15:sqref>
                  <c15:spPr xmlns:c15="http://schemas.microsoft.com/office/drawing/2012/chart">
                    <a:solidFill>
                      <a:schemeClr val="accent6">
                        <a:lumMod val="60000"/>
                        <a:lumOff val="40000"/>
                      </a:schemeClr>
                    </a:solidFill>
                    <a:ln>
                      <a:noFill/>
                    </a:ln>
                    <a:effectLst/>
                  </c15:spPr>
                  <c15:invertIfNegative val="0"/>
                  <c15:bubble3D val="0"/>
                  <c15:dLbl>
                    <c:idx val="1"/>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6">
                                <a:lumMod val="60000"/>
                                <a:lumOff val="40000"/>
                              </a:schemeClr>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F-440A-4A61-870C-12AD30631D9E}"/>
                      </c:ext>
                    </c:extLst>
                  </c15:dLbl>
                </c15:categoryFilterException>
              </c15:categoryFilterExceptions>
            </c:ext>
            <c:ext xmlns:c16="http://schemas.microsoft.com/office/drawing/2014/chart" uri="{C3380CC4-5D6E-409C-BE32-E72D297353CC}">
              <c16:uniqueId val="{00000008-F26B-40EA-9243-DEA9BFAE4AEB}"/>
            </c:ext>
          </c:extLst>
        </c:ser>
        <c:dLbls>
          <c:showLegendKey val="0"/>
          <c:showVal val="0"/>
          <c:showCatName val="0"/>
          <c:showSerName val="0"/>
          <c:showPercent val="0"/>
          <c:showBubbleSize val="0"/>
        </c:dLbls>
        <c:gapWidth val="100"/>
        <c:axId val="607006176"/>
        <c:axId val="607006504"/>
      </c:barChart>
      <c:catAx>
        <c:axId val="6070061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crossAx val="607006504"/>
        <c:crosses val="autoZero"/>
        <c:auto val="1"/>
        <c:lblAlgn val="ctr"/>
        <c:lblOffset val="100"/>
        <c:noMultiLvlLbl val="0"/>
      </c:catAx>
      <c:valAx>
        <c:axId val="607006504"/>
        <c:scaling>
          <c:orientation val="minMax"/>
        </c:scaling>
        <c:delete val="0"/>
        <c:axPos val="b"/>
        <c:majorGridlines>
          <c:spPr>
            <a:ln w="9525" cap="flat" cmpd="sng" algn="ctr">
              <a:solidFill>
                <a:schemeClr val="tx1">
                  <a:lumMod val="15000"/>
                  <a:lumOff val="85000"/>
                </a:schemeClr>
              </a:solidFill>
              <a:round/>
            </a:ln>
            <a:effectLst/>
          </c:spPr>
        </c:majorGridlines>
        <c:title>
          <c:tx>
            <c:strRef>
              <c:f>'Visits Output'!$AC$94</c:f>
              <c:strCache>
                <c:ptCount val="1"/>
                <c:pt idx="0">
                  <c:v>Augmentation annuelle moyenne en points de % du TPCM / EUM </c:v>
                </c:pt>
              </c:strCache>
            </c:strRef>
          </c:tx>
          <c:layout>
            <c:manualLayout>
              <c:xMode val="edge"/>
              <c:yMode val="edge"/>
              <c:x val="0.38424997280018502"/>
              <c:y val="0.90279265091863514"/>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lumMod val="65000"/>
                      <a:lumOff val="35000"/>
                    </a:sysClr>
                  </a:solidFill>
                  <a:latin typeface="+mn-lt"/>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607006176"/>
        <c:crosses val="autoZero"/>
        <c:crossBetween val="between"/>
      </c:valAx>
      <c:spPr>
        <a:noFill/>
        <a:ln>
          <a:noFill/>
        </a:ln>
        <a:effectLst/>
      </c:spPr>
    </c:plotArea>
    <c:plotVisOnly val="0"/>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'Visits Output'!$D$43</c:f>
          <c:strCache>
            <c:ptCount val="1"/>
            <c:pt idx="0">
              <c:v>Mélange Estimée de Méthodes Modernes : 2021</c:v>
            </c:pt>
          </c:strCache>
        </c:strRef>
      </c:tx>
      <c:layout>
        <c:manualLayout>
          <c:xMode val="edge"/>
          <c:yMode val="edge"/>
          <c:x val="0.15398486111710599"/>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2424876048247624"/>
          <c:y val="0.23797217665965797"/>
          <c:w val="0.74447171862786132"/>
          <c:h val="0.72213792886798422"/>
        </c:manualLayout>
      </c:layout>
      <c:pieChart>
        <c:varyColors val="1"/>
        <c:ser>
          <c:idx val="0"/>
          <c:order val="0"/>
          <c:tx>
            <c:strRef>
              <c:f>'Visits Output'!$D$43</c:f>
              <c:strCache>
                <c:ptCount val="1"/>
                <c:pt idx="0">
                  <c:v>Mélange Estimée de Méthodes Modernes : 2021</c:v>
                </c:pt>
              </c:strCache>
            </c:strRef>
          </c:tx>
          <c:dPt>
            <c:idx val="0"/>
            <c:bubble3D val="0"/>
            <c:spPr>
              <a:solidFill>
                <a:srgbClr val="954F72"/>
              </a:solidFill>
              <a:ln w="19050">
                <a:solidFill>
                  <a:schemeClr val="lt1"/>
                </a:solidFill>
              </a:ln>
              <a:effectLst/>
            </c:spPr>
            <c:extLst>
              <c:ext xmlns:c16="http://schemas.microsoft.com/office/drawing/2014/chart" uri="{C3380CC4-5D6E-409C-BE32-E72D297353CC}">
                <c16:uniqueId val="{00000014-F14B-4E54-AE46-F2B8E95821F3}"/>
              </c:ext>
            </c:extLst>
          </c:dPt>
          <c:dPt>
            <c:idx val="1"/>
            <c:bubble3D val="0"/>
            <c:spPr>
              <a:solidFill>
                <a:srgbClr val="954F72">
                  <a:lumMod val="50000"/>
                </a:srgbClr>
              </a:solidFill>
            </c:spPr>
            <c:extLst>
              <c:ext xmlns:c16="http://schemas.microsoft.com/office/drawing/2014/chart" uri="{C3380CC4-5D6E-409C-BE32-E72D297353CC}">
                <c16:uniqueId val="{00000016-F14B-4E54-AE46-F2B8E95821F3}"/>
              </c:ext>
            </c:extLst>
          </c:dPt>
          <c:dPt>
            <c:idx val="2"/>
            <c:bubble3D val="0"/>
            <c:spPr>
              <a:solidFill>
                <a:schemeClr val="bg2"/>
              </a:solidFill>
              <a:ln w="19050">
                <a:solidFill>
                  <a:schemeClr val="lt1"/>
                </a:solidFill>
              </a:ln>
              <a:effectLst/>
            </c:spPr>
            <c:extLst>
              <c:ext xmlns:c16="http://schemas.microsoft.com/office/drawing/2014/chart" uri="{C3380CC4-5D6E-409C-BE32-E72D297353CC}">
                <c16:uniqueId val="{00000018-F14B-4E54-AE46-F2B8E95821F3}"/>
              </c:ext>
            </c:extLst>
          </c:dPt>
          <c:dPt>
            <c:idx val="3"/>
            <c:bubble3D val="0"/>
            <c:spPr>
              <a:solidFill>
                <a:schemeClr val="accent2"/>
              </a:solidFill>
              <a:ln w="19050">
                <a:solidFill>
                  <a:schemeClr val="lt1"/>
                </a:solidFill>
              </a:ln>
              <a:effectLst/>
            </c:spPr>
            <c:extLst>
              <c:ext xmlns:c16="http://schemas.microsoft.com/office/drawing/2014/chart" uri="{C3380CC4-5D6E-409C-BE32-E72D297353CC}">
                <c16:uniqueId val="{0000001A-F14B-4E54-AE46-F2B8E95821F3}"/>
              </c:ext>
            </c:extLst>
          </c:dPt>
          <c:dPt>
            <c:idx val="4"/>
            <c:bubble3D val="0"/>
            <c:spPr>
              <a:solidFill>
                <a:srgbClr val="1D4E92"/>
              </a:solidFill>
              <a:ln w="19050">
                <a:solidFill>
                  <a:schemeClr val="lt1"/>
                </a:solidFill>
              </a:ln>
              <a:effectLst/>
            </c:spPr>
            <c:extLst>
              <c:ext xmlns:c16="http://schemas.microsoft.com/office/drawing/2014/chart" uri="{C3380CC4-5D6E-409C-BE32-E72D297353CC}">
                <c16:uniqueId val="{0000001C-F14B-4E54-AE46-F2B8E95821F3}"/>
              </c:ext>
            </c:extLst>
          </c:dPt>
          <c:dPt>
            <c:idx val="5"/>
            <c:bubble3D val="0"/>
            <c:spPr>
              <a:solidFill>
                <a:srgbClr val="3892C6"/>
              </a:solidFill>
              <a:ln w="19050">
                <a:solidFill>
                  <a:schemeClr val="lt1"/>
                </a:solidFill>
              </a:ln>
              <a:effectLst/>
            </c:spPr>
            <c:extLst>
              <c:ext xmlns:c16="http://schemas.microsoft.com/office/drawing/2014/chart" uri="{C3380CC4-5D6E-409C-BE32-E72D297353CC}">
                <c16:uniqueId val="{0000001E-F14B-4E54-AE46-F2B8E95821F3}"/>
              </c:ext>
            </c:extLst>
          </c:dPt>
          <c:dPt>
            <c:idx val="6"/>
            <c:bubble3D val="0"/>
            <c:spPr>
              <a:solidFill>
                <a:srgbClr val="F49100"/>
              </a:solidFill>
              <a:ln w="19050">
                <a:solidFill>
                  <a:schemeClr val="lt1"/>
                </a:solidFill>
              </a:ln>
              <a:effectLst/>
            </c:spPr>
            <c:extLst>
              <c:ext xmlns:c16="http://schemas.microsoft.com/office/drawing/2014/chart" uri="{C3380CC4-5D6E-409C-BE32-E72D297353CC}">
                <c16:uniqueId val="{00000020-F14B-4E54-AE46-F2B8E95821F3}"/>
              </c:ext>
            </c:extLst>
          </c:dPt>
          <c:dPt>
            <c:idx val="7"/>
            <c:bubble3D val="0"/>
            <c:spPr>
              <a:solidFill>
                <a:srgbClr val="FCD116"/>
              </a:solidFill>
              <a:ln w="19050">
                <a:solidFill>
                  <a:schemeClr val="lt1"/>
                </a:solidFill>
              </a:ln>
              <a:effectLst/>
            </c:spPr>
            <c:extLst>
              <c:ext xmlns:c16="http://schemas.microsoft.com/office/drawing/2014/chart" uri="{C3380CC4-5D6E-409C-BE32-E72D297353CC}">
                <c16:uniqueId val="{00000022-F14B-4E54-AE46-F2B8E95821F3}"/>
              </c:ext>
            </c:extLst>
          </c:dPt>
          <c:dPt>
            <c:idx val="8"/>
            <c:bubble3D val="0"/>
            <c:spPr>
              <a:solidFill>
                <a:schemeClr val="accent4"/>
              </a:solidFill>
              <a:ln w="19050">
                <a:solidFill>
                  <a:schemeClr val="lt1"/>
                </a:solidFill>
              </a:ln>
              <a:effectLst/>
            </c:spPr>
            <c:extLst>
              <c:ext xmlns:c16="http://schemas.microsoft.com/office/drawing/2014/chart" uri="{C3380CC4-5D6E-409C-BE32-E72D297353CC}">
                <c16:uniqueId val="{00000024-F14B-4E54-AE46-F2B8E95821F3}"/>
              </c:ext>
            </c:extLst>
          </c:dPt>
          <c:dLbls>
            <c:spPr>
              <a:solidFill>
                <a:srgbClr val="FFFFFF">
                  <a:alpha val="50196"/>
                </a:srgbClr>
              </a:solidFill>
              <a:ln>
                <a:noFill/>
              </a:ln>
              <a:effectLst/>
            </c:spPr>
            <c:txPr>
              <a:bodyPr rot="0" spcFirstLastPara="1" vertOverflow="ellipsis" vert="horz" wrap="non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rect">
                    <a:avLst/>
                  </a:prstGeom>
                </c15:spPr>
              </c:ext>
            </c:extLst>
          </c:dLbls>
          <c:cat>
            <c:strRef>
              <c:f>'Visits Output'!$C$45:$C$53</c:f>
              <c:strCache>
                <c:ptCount val="9"/>
                <c:pt idx="0">
                  <c:v>Stérilisation (f)</c:v>
                </c:pt>
                <c:pt idx="1">
                  <c:v>Stérilisation (m)</c:v>
                </c:pt>
                <c:pt idx="2">
                  <c:v>DIU</c:v>
                </c:pt>
                <c:pt idx="3">
                  <c:v>Implant</c:v>
                </c:pt>
                <c:pt idx="4">
                  <c:v>Produits injectables</c:v>
                </c:pt>
                <c:pt idx="5">
                  <c:v>Pilule</c:v>
                </c:pt>
                <c:pt idx="6">
                  <c:v>Préservatifs (m+f)</c:v>
                </c:pt>
                <c:pt idx="7">
                  <c:v>MAMA</c:v>
                </c:pt>
                <c:pt idx="8">
                  <c:v>Autres méthodes modernes</c:v>
                </c:pt>
              </c:strCache>
            </c:strRef>
          </c:cat>
          <c:val>
            <c:numRef>
              <c:f>'Visits Output'!$D$45:$D$53</c:f>
              <c:numCache>
                <c:formatCode>0%</c:formatCode>
                <c:ptCount val="9"/>
                <c:pt idx="0">
                  <c:v>#N/A</c:v>
                </c:pt>
                <c:pt idx="1">
                  <c:v>#N/A</c:v>
                </c:pt>
                <c:pt idx="2">
                  <c:v>#N/A</c:v>
                </c:pt>
                <c:pt idx="3">
                  <c:v>#N/A</c:v>
                </c:pt>
                <c:pt idx="4">
                  <c:v>#N/A</c:v>
                </c:pt>
                <c:pt idx="5">
                  <c:v>#N/A</c:v>
                </c:pt>
                <c:pt idx="6">
                  <c:v>#N/A</c:v>
                </c:pt>
                <c:pt idx="7">
                  <c:v>#N/A</c:v>
                </c:pt>
                <c:pt idx="8">
                  <c:v>#N/A</c:v>
                </c:pt>
              </c:numCache>
            </c:numRef>
          </c:val>
          <c:extLst>
            <c:ext xmlns:c16="http://schemas.microsoft.com/office/drawing/2014/chart" uri="{C3380CC4-5D6E-409C-BE32-E72D297353CC}">
              <c16:uniqueId val="{00000025-F14B-4E54-AE46-F2B8E95821F3}"/>
            </c:ext>
          </c:extLst>
        </c:ser>
        <c:dLbls>
          <c:showLegendKey val="0"/>
          <c:showVal val="0"/>
          <c:showCatName val="0"/>
          <c:showSerName val="0"/>
          <c:showPercent val="0"/>
          <c:showBubbleSize val="0"/>
          <c:showLeaderLines val="1"/>
        </c:dLbls>
        <c:firstSliceAng val="0"/>
      </c:pieChart>
      <c:spPr>
        <a:noFill/>
        <a:ln>
          <a:noFill/>
        </a:ln>
        <a:effectLst/>
      </c:spPr>
    </c:plotArea>
    <c:plotVisOnly val="0"/>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'Visits Output'!$E$43</c:f>
          <c:strCache>
            <c:ptCount val="1"/>
            <c:pt idx="0">
              <c:v>#N/A</c:v>
            </c:pt>
          </c:strCache>
        </c:strRef>
      </c:tx>
      <c:layout>
        <c:manualLayout>
          <c:xMode val="edge"/>
          <c:yMode val="edge"/>
          <c:x val="0.20896497560900465"/>
          <c:y val="8.1680771606734738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2424876048247624"/>
          <c:y val="0.23797217665965797"/>
          <c:w val="0.74447171862786132"/>
          <c:h val="0.72213792886798422"/>
        </c:manualLayout>
      </c:layout>
      <c:pieChart>
        <c:varyColors val="1"/>
        <c:ser>
          <c:idx val="0"/>
          <c:order val="0"/>
          <c:tx>
            <c:strRef>
              <c:f>'Visits Output'!$E$44</c:f>
              <c:strCache>
                <c:ptCount val="1"/>
                <c:pt idx="0">
                  <c:v>#N/A</c:v>
                </c:pt>
              </c:strCache>
            </c:strRef>
          </c:tx>
          <c:dPt>
            <c:idx val="0"/>
            <c:bubble3D val="0"/>
            <c:spPr>
              <a:solidFill>
                <a:srgbClr val="954F72"/>
              </a:solidFill>
              <a:ln w="19050">
                <a:solidFill>
                  <a:schemeClr val="lt1"/>
                </a:solidFill>
              </a:ln>
              <a:effectLst/>
            </c:spPr>
            <c:extLst>
              <c:ext xmlns:c16="http://schemas.microsoft.com/office/drawing/2014/chart" uri="{C3380CC4-5D6E-409C-BE32-E72D297353CC}">
                <c16:uniqueId val="{00000014-15DA-43BC-8272-A96BEB0A89F3}"/>
              </c:ext>
            </c:extLst>
          </c:dPt>
          <c:dPt>
            <c:idx val="1"/>
            <c:bubble3D val="0"/>
            <c:spPr>
              <a:solidFill>
                <a:srgbClr val="954F72">
                  <a:lumMod val="50000"/>
                </a:srgbClr>
              </a:solidFill>
            </c:spPr>
            <c:extLst>
              <c:ext xmlns:c16="http://schemas.microsoft.com/office/drawing/2014/chart" uri="{C3380CC4-5D6E-409C-BE32-E72D297353CC}">
                <c16:uniqueId val="{00000016-15DA-43BC-8272-A96BEB0A89F3}"/>
              </c:ext>
            </c:extLst>
          </c:dPt>
          <c:dPt>
            <c:idx val="2"/>
            <c:bubble3D val="0"/>
            <c:spPr>
              <a:solidFill>
                <a:schemeClr val="bg2"/>
              </a:solidFill>
              <a:ln w="19050">
                <a:solidFill>
                  <a:schemeClr val="lt1"/>
                </a:solidFill>
              </a:ln>
              <a:effectLst/>
            </c:spPr>
            <c:extLst>
              <c:ext xmlns:c16="http://schemas.microsoft.com/office/drawing/2014/chart" uri="{C3380CC4-5D6E-409C-BE32-E72D297353CC}">
                <c16:uniqueId val="{00000018-15DA-43BC-8272-A96BEB0A89F3}"/>
              </c:ext>
            </c:extLst>
          </c:dPt>
          <c:dPt>
            <c:idx val="3"/>
            <c:bubble3D val="0"/>
            <c:spPr>
              <a:solidFill>
                <a:schemeClr val="accent2"/>
              </a:solidFill>
              <a:ln w="19050">
                <a:solidFill>
                  <a:schemeClr val="lt1"/>
                </a:solidFill>
              </a:ln>
              <a:effectLst/>
            </c:spPr>
            <c:extLst>
              <c:ext xmlns:c16="http://schemas.microsoft.com/office/drawing/2014/chart" uri="{C3380CC4-5D6E-409C-BE32-E72D297353CC}">
                <c16:uniqueId val="{0000001A-15DA-43BC-8272-A96BEB0A89F3}"/>
              </c:ext>
            </c:extLst>
          </c:dPt>
          <c:dPt>
            <c:idx val="4"/>
            <c:bubble3D val="0"/>
            <c:spPr>
              <a:solidFill>
                <a:srgbClr val="1D4E92"/>
              </a:solidFill>
              <a:ln w="19050">
                <a:solidFill>
                  <a:schemeClr val="lt1"/>
                </a:solidFill>
              </a:ln>
              <a:effectLst/>
            </c:spPr>
            <c:extLst>
              <c:ext xmlns:c16="http://schemas.microsoft.com/office/drawing/2014/chart" uri="{C3380CC4-5D6E-409C-BE32-E72D297353CC}">
                <c16:uniqueId val="{0000001C-15DA-43BC-8272-A96BEB0A89F3}"/>
              </c:ext>
            </c:extLst>
          </c:dPt>
          <c:dPt>
            <c:idx val="5"/>
            <c:bubble3D val="0"/>
            <c:spPr>
              <a:solidFill>
                <a:srgbClr val="3892C6"/>
              </a:solidFill>
              <a:ln w="19050">
                <a:solidFill>
                  <a:schemeClr val="lt1"/>
                </a:solidFill>
              </a:ln>
              <a:effectLst/>
            </c:spPr>
            <c:extLst>
              <c:ext xmlns:c16="http://schemas.microsoft.com/office/drawing/2014/chart" uri="{C3380CC4-5D6E-409C-BE32-E72D297353CC}">
                <c16:uniqueId val="{0000001E-15DA-43BC-8272-A96BEB0A89F3}"/>
              </c:ext>
            </c:extLst>
          </c:dPt>
          <c:dPt>
            <c:idx val="6"/>
            <c:bubble3D val="0"/>
            <c:spPr>
              <a:solidFill>
                <a:srgbClr val="F49100"/>
              </a:solidFill>
              <a:ln w="19050">
                <a:solidFill>
                  <a:schemeClr val="lt1"/>
                </a:solidFill>
              </a:ln>
              <a:effectLst/>
            </c:spPr>
            <c:extLst>
              <c:ext xmlns:c16="http://schemas.microsoft.com/office/drawing/2014/chart" uri="{C3380CC4-5D6E-409C-BE32-E72D297353CC}">
                <c16:uniqueId val="{00000020-15DA-43BC-8272-A96BEB0A89F3}"/>
              </c:ext>
            </c:extLst>
          </c:dPt>
          <c:dPt>
            <c:idx val="7"/>
            <c:bubble3D val="0"/>
            <c:spPr>
              <a:solidFill>
                <a:srgbClr val="FCD116"/>
              </a:solidFill>
              <a:ln w="19050">
                <a:solidFill>
                  <a:schemeClr val="lt1"/>
                </a:solidFill>
              </a:ln>
              <a:effectLst/>
            </c:spPr>
            <c:extLst>
              <c:ext xmlns:c16="http://schemas.microsoft.com/office/drawing/2014/chart" uri="{C3380CC4-5D6E-409C-BE32-E72D297353CC}">
                <c16:uniqueId val="{00000022-15DA-43BC-8272-A96BEB0A89F3}"/>
              </c:ext>
            </c:extLst>
          </c:dPt>
          <c:dPt>
            <c:idx val="8"/>
            <c:bubble3D val="0"/>
            <c:spPr>
              <a:solidFill>
                <a:schemeClr val="accent4"/>
              </a:solidFill>
              <a:ln w="19050">
                <a:solidFill>
                  <a:schemeClr val="lt1"/>
                </a:solidFill>
              </a:ln>
              <a:effectLst/>
            </c:spPr>
            <c:extLst>
              <c:ext xmlns:c16="http://schemas.microsoft.com/office/drawing/2014/chart" uri="{C3380CC4-5D6E-409C-BE32-E72D297353CC}">
                <c16:uniqueId val="{00000024-15DA-43BC-8272-A96BEB0A89F3}"/>
              </c:ext>
            </c:extLst>
          </c:dPt>
          <c:dLbls>
            <c:dLbl>
              <c:idx val="6"/>
              <c:layout>
                <c:manualLayout>
                  <c:x val="-0.13974228410119038"/>
                  <c:y val="8.757754447662724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0-15DA-43BC-8272-A96BEB0A89F3}"/>
                </c:ext>
              </c:extLst>
            </c:dLbl>
            <c:spPr>
              <a:solidFill>
                <a:srgbClr val="FFFFFF">
                  <a:alpha val="50196"/>
                </a:srgbClr>
              </a:solidFill>
              <a:ln>
                <a:noFill/>
              </a:ln>
              <a:effectLst/>
            </c:spPr>
            <c:txPr>
              <a:bodyPr rot="0" spcFirstLastPara="1" vertOverflow="ellipsis" vert="horz" wrap="non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rect">
                    <a:avLst/>
                  </a:prstGeom>
                </c15:spPr>
              </c:ext>
            </c:extLst>
          </c:dLbls>
          <c:cat>
            <c:strRef>
              <c:f>'Visits Output'!$C$45:$C$53</c:f>
              <c:strCache>
                <c:ptCount val="9"/>
                <c:pt idx="0">
                  <c:v>Stérilisation (f)</c:v>
                </c:pt>
                <c:pt idx="1">
                  <c:v>Stérilisation (m)</c:v>
                </c:pt>
                <c:pt idx="2">
                  <c:v>DIU</c:v>
                </c:pt>
                <c:pt idx="3">
                  <c:v>Implant</c:v>
                </c:pt>
                <c:pt idx="4">
                  <c:v>Produits injectables</c:v>
                </c:pt>
                <c:pt idx="5">
                  <c:v>Pilule</c:v>
                </c:pt>
                <c:pt idx="6">
                  <c:v>Préservatifs (m+f)</c:v>
                </c:pt>
                <c:pt idx="7">
                  <c:v>MAMA</c:v>
                </c:pt>
                <c:pt idx="8">
                  <c:v>Autres méthodes modernes</c:v>
                </c:pt>
              </c:strCache>
            </c:strRef>
          </c:cat>
          <c:val>
            <c:numRef>
              <c:f>'Visits Output'!$E$45:$E$53</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25-15DA-43BC-8272-A96BEB0A89F3}"/>
            </c:ext>
          </c:extLst>
        </c:ser>
        <c:dLbls>
          <c:showLegendKey val="0"/>
          <c:showVal val="0"/>
          <c:showCatName val="0"/>
          <c:showSerName val="0"/>
          <c:showPercent val="0"/>
          <c:showBubbleSize val="0"/>
          <c:showLeaderLines val="1"/>
        </c:dLbls>
        <c:firstSliceAng val="0"/>
      </c:pieChart>
      <c:spPr>
        <a:noFill/>
        <a:ln>
          <a:noFill/>
        </a:ln>
        <a:effectLst/>
      </c:spPr>
    </c:plotArea>
    <c:plotVisOnly val="0"/>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502569836422"/>
          <c:y val="9.0345983236259017E-2"/>
          <c:w val="0.76998314133341417"/>
          <c:h val="0.77875774982969048"/>
        </c:manualLayout>
      </c:layout>
      <c:barChart>
        <c:barDir val="bar"/>
        <c:grouping val="stacked"/>
        <c:varyColors val="0"/>
        <c:ser>
          <c:idx val="0"/>
          <c:order val="0"/>
          <c:tx>
            <c:strRef>
              <c:f>'Visits Output'!$C$45</c:f>
              <c:strCache>
                <c:ptCount val="1"/>
                <c:pt idx="0">
                  <c:v>Stérilisation (f)</c:v>
                </c:pt>
              </c:strCache>
            </c:strRef>
          </c:tx>
          <c:spPr>
            <a:solidFill>
              <a:schemeClr val="accent6"/>
            </a:solidFill>
            <a:ln>
              <a:solidFill>
                <a:schemeClr val="bg1"/>
              </a:solidFill>
            </a:ln>
            <a:effectLst/>
          </c:spPr>
          <c:invertIfNegative val="0"/>
          <c:cat>
            <c:strRef>
              <c:f>'Visits Output'!$F$43:$G$43</c:f>
              <c:strCache>
                <c:ptCount val="2"/>
                <c:pt idx="0">
                  <c:v>Utilisatrices par méthode 
(statistiques de service) : 2021</c:v>
                </c:pt>
                <c:pt idx="1">
                  <c:v>Utilisatrices par méthode 
(enquête) : 2021</c:v>
                </c:pt>
              </c:strCache>
            </c:strRef>
          </c:cat>
          <c:val>
            <c:numRef>
              <c:f>'Visits Output'!$F$45:$G$45</c:f>
              <c:numCache>
                <c:formatCode>#,##0</c:formatCode>
                <c:ptCount val="2"/>
                <c:pt idx="0">
                  <c:v>#N/A</c:v>
                </c:pt>
                <c:pt idx="1">
                  <c:v>#N/A</c:v>
                </c:pt>
              </c:numCache>
            </c:numRef>
          </c:val>
          <c:extLst>
            <c:ext xmlns:c16="http://schemas.microsoft.com/office/drawing/2014/chart" uri="{C3380CC4-5D6E-409C-BE32-E72D297353CC}">
              <c16:uniqueId val="{00000000-ABF6-4DF6-B978-E6D53CF84A95}"/>
            </c:ext>
          </c:extLst>
        </c:ser>
        <c:ser>
          <c:idx val="1"/>
          <c:order val="1"/>
          <c:tx>
            <c:strRef>
              <c:f>'Visits Output'!$C$46</c:f>
              <c:strCache>
                <c:ptCount val="1"/>
                <c:pt idx="0">
                  <c:v>Stérilisation (m)</c:v>
                </c:pt>
              </c:strCache>
            </c:strRef>
          </c:tx>
          <c:spPr>
            <a:solidFill>
              <a:schemeClr val="accent6">
                <a:lumMod val="50000"/>
              </a:schemeClr>
            </a:solidFill>
            <a:ln>
              <a:solidFill>
                <a:schemeClr val="bg1"/>
              </a:solidFill>
            </a:ln>
            <a:effectLst/>
          </c:spPr>
          <c:invertIfNegative val="0"/>
          <c:cat>
            <c:strRef>
              <c:f>'Visits Output'!$F$43:$G$43</c:f>
              <c:strCache>
                <c:ptCount val="2"/>
                <c:pt idx="0">
                  <c:v>Utilisatrices par méthode 
(statistiques de service) : 2021</c:v>
                </c:pt>
                <c:pt idx="1">
                  <c:v>Utilisatrices par méthode 
(enquête) : 2021</c:v>
                </c:pt>
              </c:strCache>
            </c:strRef>
          </c:cat>
          <c:val>
            <c:numRef>
              <c:f>'Visits Output'!$F$46:$G$46</c:f>
              <c:numCache>
                <c:formatCode>#,##0</c:formatCode>
                <c:ptCount val="2"/>
                <c:pt idx="0">
                  <c:v>#N/A</c:v>
                </c:pt>
                <c:pt idx="1">
                  <c:v>#N/A</c:v>
                </c:pt>
              </c:numCache>
            </c:numRef>
          </c:val>
          <c:extLst>
            <c:ext xmlns:c16="http://schemas.microsoft.com/office/drawing/2014/chart" uri="{C3380CC4-5D6E-409C-BE32-E72D297353CC}">
              <c16:uniqueId val="{00000001-ABF6-4DF6-B978-E6D53CF84A95}"/>
            </c:ext>
          </c:extLst>
        </c:ser>
        <c:ser>
          <c:idx val="2"/>
          <c:order val="2"/>
          <c:tx>
            <c:strRef>
              <c:f>'Visits Output'!$C$47</c:f>
              <c:strCache>
                <c:ptCount val="1"/>
                <c:pt idx="0">
                  <c:v>DIU</c:v>
                </c:pt>
              </c:strCache>
            </c:strRef>
          </c:tx>
          <c:spPr>
            <a:solidFill>
              <a:schemeClr val="bg2"/>
            </a:solidFill>
            <a:ln>
              <a:solidFill>
                <a:schemeClr val="bg1"/>
              </a:solidFill>
            </a:ln>
            <a:effectLst/>
          </c:spPr>
          <c:invertIfNegative val="0"/>
          <c:cat>
            <c:strRef>
              <c:f>'Visits Output'!$F$43:$G$43</c:f>
              <c:strCache>
                <c:ptCount val="2"/>
                <c:pt idx="0">
                  <c:v>Utilisatrices par méthode 
(statistiques de service) : 2021</c:v>
                </c:pt>
                <c:pt idx="1">
                  <c:v>Utilisatrices par méthode 
(enquête) : 2021</c:v>
                </c:pt>
              </c:strCache>
            </c:strRef>
          </c:cat>
          <c:val>
            <c:numRef>
              <c:f>'Visits Output'!$F$47:$G$47</c:f>
              <c:numCache>
                <c:formatCode>#,##0</c:formatCode>
                <c:ptCount val="2"/>
                <c:pt idx="0">
                  <c:v>#N/A</c:v>
                </c:pt>
                <c:pt idx="1">
                  <c:v>#N/A</c:v>
                </c:pt>
              </c:numCache>
            </c:numRef>
          </c:val>
          <c:extLst>
            <c:ext xmlns:c16="http://schemas.microsoft.com/office/drawing/2014/chart" uri="{C3380CC4-5D6E-409C-BE32-E72D297353CC}">
              <c16:uniqueId val="{00000002-ABF6-4DF6-B978-E6D53CF84A95}"/>
            </c:ext>
          </c:extLst>
        </c:ser>
        <c:ser>
          <c:idx val="3"/>
          <c:order val="3"/>
          <c:tx>
            <c:strRef>
              <c:f>'Visits Output'!$C$48</c:f>
              <c:strCache>
                <c:ptCount val="1"/>
                <c:pt idx="0">
                  <c:v>Implant</c:v>
                </c:pt>
              </c:strCache>
            </c:strRef>
          </c:tx>
          <c:spPr>
            <a:solidFill>
              <a:schemeClr val="accent2"/>
            </a:solidFill>
            <a:ln>
              <a:solidFill>
                <a:schemeClr val="bg1"/>
              </a:solidFill>
            </a:ln>
            <a:effectLst/>
          </c:spPr>
          <c:invertIfNegative val="0"/>
          <c:cat>
            <c:strRef>
              <c:f>'Visits Output'!$F$43:$G$43</c:f>
              <c:strCache>
                <c:ptCount val="2"/>
                <c:pt idx="0">
                  <c:v>Utilisatrices par méthode 
(statistiques de service) : 2021</c:v>
                </c:pt>
                <c:pt idx="1">
                  <c:v>Utilisatrices par méthode 
(enquête) : 2021</c:v>
                </c:pt>
              </c:strCache>
            </c:strRef>
          </c:cat>
          <c:val>
            <c:numRef>
              <c:f>'Visits Output'!$F$48:$G$48</c:f>
              <c:numCache>
                <c:formatCode>#,##0</c:formatCode>
                <c:ptCount val="2"/>
                <c:pt idx="0">
                  <c:v>#N/A</c:v>
                </c:pt>
                <c:pt idx="1">
                  <c:v>#N/A</c:v>
                </c:pt>
              </c:numCache>
            </c:numRef>
          </c:val>
          <c:extLst>
            <c:ext xmlns:c16="http://schemas.microsoft.com/office/drawing/2014/chart" uri="{C3380CC4-5D6E-409C-BE32-E72D297353CC}">
              <c16:uniqueId val="{00000003-ABF6-4DF6-B978-E6D53CF84A95}"/>
            </c:ext>
          </c:extLst>
        </c:ser>
        <c:ser>
          <c:idx val="4"/>
          <c:order val="4"/>
          <c:tx>
            <c:strRef>
              <c:f>'Visits Output'!$C$49</c:f>
              <c:strCache>
                <c:ptCount val="1"/>
                <c:pt idx="0">
                  <c:v>Produits injectables</c:v>
                </c:pt>
              </c:strCache>
            </c:strRef>
          </c:tx>
          <c:spPr>
            <a:solidFill>
              <a:schemeClr val="tx2"/>
            </a:solidFill>
            <a:ln>
              <a:solidFill>
                <a:schemeClr val="bg1"/>
              </a:solidFill>
            </a:ln>
            <a:effectLst/>
          </c:spPr>
          <c:invertIfNegative val="0"/>
          <c:cat>
            <c:strRef>
              <c:f>'Visits Output'!$F$43:$G$43</c:f>
              <c:strCache>
                <c:ptCount val="2"/>
                <c:pt idx="0">
                  <c:v>Utilisatrices par méthode 
(statistiques de service) : 2021</c:v>
                </c:pt>
                <c:pt idx="1">
                  <c:v>Utilisatrices par méthode 
(enquête) : 2021</c:v>
                </c:pt>
              </c:strCache>
            </c:strRef>
          </c:cat>
          <c:val>
            <c:numRef>
              <c:f>'Visits Output'!$F$49:$G$49</c:f>
              <c:numCache>
                <c:formatCode>#,##0</c:formatCode>
                <c:ptCount val="2"/>
                <c:pt idx="0">
                  <c:v>#N/A</c:v>
                </c:pt>
                <c:pt idx="1">
                  <c:v>#N/A</c:v>
                </c:pt>
              </c:numCache>
            </c:numRef>
          </c:val>
          <c:extLst>
            <c:ext xmlns:c16="http://schemas.microsoft.com/office/drawing/2014/chart" uri="{C3380CC4-5D6E-409C-BE32-E72D297353CC}">
              <c16:uniqueId val="{00000004-ABF6-4DF6-B978-E6D53CF84A95}"/>
            </c:ext>
          </c:extLst>
        </c:ser>
        <c:ser>
          <c:idx val="5"/>
          <c:order val="5"/>
          <c:tx>
            <c:strRef>
              <c:f>'Visits Output'!$C$50</c:f>
              <c:strCache>
                <c:ptCount val="1"/>
                <c:pt idx="0">
                  <c:v>Pilule</c:v>
                </c:pt>
              </c:strCache>
            </c:strRef>
          </c:tx>
          <c:spPr>
            <a:solidFill>
              <a:schemeClr val="accent1"/>
            </a:solidFill>
            <a:ln>
              <a:solidFill>
                <a:schemeClr val="bg1"/>
              </a:solidFill>
            </a:ln>
            <a:effectLst/>
          </c:spPr>
          <c:invertIfNegative val="0"/>
          <c:cat>
            <c:strRef>
              <c:f>'Visits Output'!$F$43:$G$43</c:f>
              <c:strCache>
                <c:ptCount val="2"/>
                <c:pt idx="0">
                  <c:v>Utilisatrices par méthode 
(statistiques de service) : 2021</c:v>
                </c:pt>
                <c:pt idx="1">
                  <c:v>Utilisatrices par méthode 
(enquête) : 2021</c:v>
                </c:pt>
              </c:strCache>
            </c:strRef>
          </c:cat>
          <c:val>
            <c:numRef>
              <c:f>'Visits Output'!$F$50:$G$50</c:f>
              <c:numCache>
                <c:formatCode>#,##0</c:formatCode>
                <c:ptCount val="2"/>
                <c:pt idx="0">
                  <c:v>#N/A</c:v>
                </c:pt>
                <c:pt idx="1">
                  <c:v>#N/A</c:v>
                </c:pt>
              </c:numCache>
            </c:numRef>
          </c:val>
          <c:extLst>
            <c:ext xmlns:c16="http://schemas.microsoft.com/office/drawing/2014/chart" uri="{C3380CC4-5D6E-409C-BE32-E72D297353CC}">
              <c16:uniqueId val="{00000005-ABF6-4DF6-B978-E6D53CF84A95}"/>
            </c:ext>
          </c:extLst>
        </c:ser>
        <c:ser>
          <c:idx val="6"/>
          <c:order val="6"/>
          <c:tx>
            <c:strRef>
              <c:f>'Visits Output'!$C$51</c:f>
              <c:strCache>
                <c:ptCount val="1"/>
                <c:pt idx="0">
                  <c:v>Préservatifs (m+f)</c:v>
                </c:pt>
              </c:strCache>
            </c:strRef>
          </c:tx>
          <c:spPr>
            <a:solidFill>
              <a:schemeClr val="accent3"/>
            </a:solidFill>
            <a:ln>
              <a:solidFill>
                <a:schemeClr val="bg1"/>
              </a:solidFill>
            </a:ln>
            <a:effectLst/>
          </c:spPr>
          <c:invertIfNegative val="0"/>
          <c:cat>
            <c:strRef>
              <c:f>'Visits Output'!$F$43:$G$43</c:f>
              <c:strCache>
                <c:ptCount val="2"/>
                <c:pt idx="0">
                  <c:v>Utilisatrices par méthode 
(statistiques de service) : 2021</c:v>
                </c:pt>
                <c:pt idx="1">
                  <c:v>Utilisatrices par méthode 
(enquête) : 2021</c:v>
                </c:pt>
              </c:strCache>
            </c:strRef>
          </c:cat>
          <c:val>
            <c:numRef>
              <c:f>'Visits Output'!$F$51:$G$51</c:f>
              <c:numCache>
                <c:formatCode>#,##0</c:formatCode>
                <c:ptCount val="2"/>
                <c:pt idx="0">
                  <c:v>#N/A</c:v>
                </c:pt>
                <c:pt idx="1">
                  <c:v>#N/A</c:v>
                </c:pt>
              </c:numCache>
            </c:numRef>
          </c:val>
          <c:extLst>
            <c:ext xmlns:c16="http://schemas.microsoft.com/office/drawing/2014/chart" uri="{C3380CC4-5D6E-409C-BE32-E72D297353CC}">
              <c16:uniqueId val="{00000006-ABF6-4DF6-B978-E6D53CF84A95}"/>
            </c:ext>
          </c:extLst>
        </c:ser>
        <c:ser>
          <c:idx val="7"/>
          <c:order val="7"/>
          <c:tx>
            <c:strRef>
              <c:f>'Visits Output'!$C$52</c:f>
              <c:strCache>
                <c:ptCount val="1"/>
                <c:pt idx="0">
                  <c:v>MAMA</c:v>
                </c:pt>
              </c:strCache>
            </c:strRef>
          </c:tx>
          <c:spPr>
            <a:solidFill>
              <a:schemeClr val="accent5"/>
            </a:solidFill>
            <a:ln>
              <a:solidFill>
                <a:schemeClr val="bg1"/>
              </a:solidFill>
            </a:ln>
            <a:effectLst/>
          </c:spPr>
          <c:invertIfNegative val="0"/>
          <c:cat>
            <c:strRef>
              <c:f>'Visits Output'!$F$43:$G$43</c:f>
              <c:strCache>
                <c:ptCount val="2"/>
                <c:pt idx="0">
                  <c:v>Utilisatrices par méthode 
(statistiques de service) : 2021</c:v>
                </c:pt>
                <c:pt idx="1">
                  <c:v>Utilisatrices par méthode 
(enquête) : 2021</c:v>
                </c:pt>
              </c:strCache>
            </c:strRef>
          </c:cat>
          <c:val>
            <c:numRef>
              <c:f>'Visits Output'!$F$52:$G$52</c:f>
              <c:numCache>
                <c:formatCode>#,##0</c:formatCode>
                <c:ptCount val="2"/>
                <c:pt idx="0">
                  <c:v>#N/A</c:v>
                </c:pt>
                <c:pt idx="1">
                  <c:v>#N/A</c:v>
                </c:pt>
              </c:numCache>
            </c:numRef>
          </c:val>
          <c:extLst>
            <c:ext xmlns:c16="http://schemas.microsoft.com/office/drawing/2014/chart" uri="{C3380CC4-5D6E-409C-BE32-E72D297353CC}">
              <c16:uniqueId val="{00000007-ABF6-4DF6-B978-E6D53CF84A95}"/>
            </c:ext>
          </c:extLst>
        </c:ser>
        <c:ser>
          <c:idx val="8"/>
          <c:order val="8"/>
          <c:tx>
            <c:strRef>
              <c:f>'Visits Output'!$C$53</c:f>
              <c:strCache>
                <c:ptCount val="1"/>
                <c:pt idx="0">
                  <c:v>Autres méthodes modernes</c:v>
                </c:pt>
              </c:strCache>
            </c:strRef>
          </c:tx>
          <c:spPr>
            <a:solidFill>
              <a:schemeClr val="accent4"/>
            </a:solidFill>
            <a:ln>
              <a:solidFill>
                <a:schemeClr val="bg1"/>
              </a:solidFill>
            </a:ln>
            <a:effectLst/>
          </c:spPr>
          <c:invertIfNegative val="0"/>
          <c:cat>
            <c:strRef>
              <c:f>'Visits Output'!$F$43:$G$43</c:f>
              <c:strCache>
                <c:ptCount val="2"/>
                <c:pt idx="0">
                  <c:v>Utilisatrices par méthode 
(statistiques de service) : 2021</c:v>
                </c:pt>
                <c:pt idx="1">
                  <c:v>Utilisatrices par méthode 
(enquête) : 2021</c:v>
                </c:pt>
              </c:strCache>
            </c:strRef>
          </c:cat>
          <c:val>
            <c:numRef>
              <c:f>'Visits Output'!$F$53:$G$53</c:f>
              <c:numCache>
                <c:formatCode>#,##0</c:formatCode>
                <c:ptCount val="2"/>
                <c:pt idx="0">
                  <c:v>#N/A</c:v>
                </c:pt>
                <c:pt idx="1">
                  <c:v>#N/A</c:v>
                </c:pt>
              </c:numCache>
            </c:numRef>
          </c:val>
          <c:extLst>
            <c:ext xmlns:c16="http://schemas.microsoft.com/office/drawing/2014/chart" uri="{C3380CC4-5D6E-409C-BE32-E72D297353CC}">
              <c16:uniqueId val="{00000008-ABF6-4DF6-B978-E6D53CF84A95}"/>
            </c:ext>
          </c:extLst>
        </c:ser>
        <c:dLbls>
          <c:showLegendKey val="0"/>
          <c:showVal val="0"/>
          <c:showCatName val="0"/>
          <c:showSerName val="0"/>
          <c:showPercent val="0"/>
          <c:showBubbleSize val="0"/>
        </c:dLbls>
        <c:gapWidth val="50"/>
        <c:overlap val="100"/>
        <c:axId val="1068113584"/>
        <c:axId val="1068127688"/>
      </c:barChart>
      <c:catAx>
        <c:axId val="106811358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068127688"/>
        <c:crosses val="autoZero"/>
        <c:auto val="1"/>
        <c:lblAlgn val="ctr"/>
        <c:lblOffset val="100"/>
        <c:noMultiLvlLbl val="0"/>
      </c:catAx>
      <c:valAx>
        <c:axId val="1068127688"/>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068113584"/>
        <c:crosses val="autoZero"/>
        <c:crossBetween val="between"/>
      </c:valAx>
      <c:spPr>
        <a:noFill/>
        <a:ln>
          <a:noFill/>
        </a:ln>
        <a:effectLst/>
      </c:spPr>
    </c:plotArea>
    <c:legend>
      <c:legendPos val="b"/>
      <c:layout>
        <c:manualLayout>
          <c:xMode val="edge"/>
          <c:yMode val="edge"/>
          <c:x val="0"/>
          <c:y val="0.80533693914108928"/>
          <c:w val="0.99223986465350045"/>
          <c:h val="0.1730249098795894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28923035376788"/>
          <c:y val="8.5389969636148422E-2"/>
          <c:w val="0.88150438632201766"/>
          <c:h val="0.74008317894086773"/>
        </c:manualLayout>
      </c:layout>
      <c:barChart>
        <c:barDir val="col"/>
        <c:grouping val="clustered"/>
        <c:varyColors val="0"/>
        <c:ser>
          <c:idx val="0"/>
          <c:order val="0"/>
          <c:tx>
            <c:strRef>
              <c:f>'Visits Output'!$F$43</c:f>
              <c:strCache>
                <c:ptCount val="1"/>
                <c:pt idx="0">
                  <c:v>Utilisatrices par méthode 
(statistiques de service) : 2021</c:v>
                </c:pt>
              </c:strCache>
            </c:strRef>
          </c:tx>
          <c:spPr>
            <a:solidFill>
              <a:schemeClr val="tx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'Visits Output'!$C$45:$C$53</c:f>
              <c:strCache>
                <c:ptCount val="9"/>
                <c:pt idx="0">
                  <c:v>Stérilisation (f)</c:v>
                </c:pt>
                <c:pt idx="1">
                  <c:v>Stérilisation (m)</c:v>
                </c:pt>
                <c:pt idx="2">
                  <c:v>DIU</c:v>
                </c:pt>
                <c:pt idx="3">
                  <c:v>Implant</c:v>
                </c:pt>
                <c:pt idx="4">
                  <c:v>Produits injectables</c:v>
                </c:pt>
                <c:pt idx="5">
                  <c:v>Pilule</c:v>
                </c:pt>
                <c:pt idx="6">
                  <c:v>Préservatifs (m+f)</c:v>
                </c:pt>
                <c:pt idx="7">
                  <c:v>MAMA</c:v>
                </c:pt>
                <c:pt idx="8">
                  <c:v>Autres méthodes modernes</c:v>
                </c:pt>
              </c:strCache>
            </c:strRef>
          </c:cat>
          <c:val>
            <c:numRef>
              <c:f>'Visits Output'!$F$45:$F$53</c:f>
              <c:numCache>
                <c:formatCode>#,##0</c:formatCode>
                <c:ptCount val="9"/>
                <c:pt idx="0">
                  <c:v>#N/A</c:v>
                </c:pt>
                <c:pt idx="1">
                  <c:v>#N/A</c:v>
                </c:pt>
                <c:pt idx="2">
                  <c:v>#N/A</c:v>
                </c:pt>
                <c:pt idx="3">
                  <c:v>#N/A</c:v>
                </c:pt>
                <c:pt idx="4">
                  <c:v>#N/A</c:v>
                </c:pt>
                <c:pt idx="5">
                  <c:v>#N/A</c:v>
                </c:pt>
                <c:pt idx="6">
                  <c:v>#N/A</c:v>
                </c:pt>
                <c:pt idx="7">
                  <c:v>#N/A</c:v>
                </c:pt>
                <c:pt idx="8">
                  <c:v>#N/A</c:v>
                </c:pt>
              </c:numCache>
            </c:numRef>
          </c:val>
          <c:extLst>
            <c:ext xmlns:c16="http://schemas.microsoft.com/office/drawing/2014/chart" uri="{C3380CC4-5D6E-409C-BE32-E72D297353CC}">
              <c16:uniqueId val="{00000001-6793-4657-8DB9-3C321284FFCC}"/>
            </c:ext>
          </c:extLst>
        </c:ser>
        <c:ser>
          <c:idx val="1"/>
          <c:order val="1"/>
          <c:tx>
            <c:strRef>
              <c:f>'Visits Output'!$G$43</c:f>
              <c:strCache>
                <c:ptCount val="1"/>
                <c:pt idx="0">
                  <c:v>Utilisatrices par méthode 
(enquête) : 2021</c:v>
                </c:pt>
              </c:strCache>
            </c:strRef>
          </c:tx>
          <c:spPr>
            <a:solidFill>
              <a:schemeClr val="accent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chemeClr val="accent6"/>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'Visits Output'!$C$45:$C$53</c:f>
              <c:strCache>
                <c:ptCount val="9"/>
                <c:pt idx="0">
                  <c:v>Stérilisation (f)</c:v>
                </c:pt>
                <c:pt idx="1">
                  <c:v>Stérilisation (m)</c:v>
                </c:pt>
                <c:pt idx="2">
                  <c:v>DIU</c:v>
                </c:pt>
                <c:pt idx="3">
                  <c:v>Implant</c:v>
                </c:pt>
                <c:pt idx="4">
                  <c:v>Produits injectables</c:v>
                </c:pt>
                <c:pt idx="5">
                  <c:v>Pilule</c:v>
                </c:pt>
                <c:pt idx="6">
                  <c:v>Préservatifs (m+f)</c:v>
                </c:pt>
                <c:pt idx="7">
                  <c:v>MAMA</c:v>
                </c:pt>
                <c:pt idx="8">
                  <c:v>Autres méthodes modernes</c:v>
                </c:pt>
              </c:strCache>
            </c:strRef>
          </c:cat>
          <c:val>
            <c:numRef>
              <c:f>'Visits Output'!$G$45:$G$53</c:f>
              <c:numCache>
                <c:formatCode>#,##0</c:formatCode>
                <c:ptCount val="9"/>
                <c:pt idx="0">
                  <c:v>#N/A</c:v>
                </c:pt>
                <c:pt idx="1">
                  <c:v>#N/A</c:v>
                </c:pt>
                <c:pt idx="2">
                  <c:v>#N/A</c:v>
                </c:pt>
                <c:pt idx="3">
                  <c:v>#N/A</c:v>
                </c:pt>
                <c:pt idx="4">
                  <c:v>#N/A</c:v>
                </c:pt>
                <c:pt idx="5">
                  <c:v>#N/A</c:v>
                </c:pt>
                <c:pt idx="6">
                  <c:v>#N/A</c:v>
                </c:pt>
                <c:pt idx="7">
                  <c:v>#N/A</c:v>
                </c:pt>
                <c:pt idx="8">
                  <c:v>#N/A</c:v>
                </c:pt>
              </c:numCache>
            </c:numRef>
          </c:val>
          <c:extLst>
            <c:ext xmlns:c16="http://schemas.microsoft.com/office/drawing/2014/chart" uri="{C3380CC4-5D6E-409C-BE32-E72D297353CC}">
              <c16:uniqueId val="{00000003-6793-4657-8DB9-3C321284FFCC}"/>
            </c:ext>
          </c:extLst>
        </c:ser>
        <c:dLbls>
          <c:showLegendKey val="0"/>
          <c:showVal val="0"/>
          <c:showCatName val="0"/>
          <c:showSerName val="0"/>
          <c:showPercent val="0"/>
          <c:showBubbleSize val="0"/>
        </c:dLbls>
        <c:gapWidth val="75"/>
        <c:axId val="1068100792"/>
        <c:axId val="1068105712"/>
      </c:barChart>
      <c:catAx>
        <c:axId val="1068100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068105712"/>
        <c:crosses val="autoZero"/>
        <c:auto val="1"/>
        <c:lblAlgn val="ctr"/>
        <c:lblOffset val="100"/>
        <c:noMultiLvlLbl val="0"/>
      </c:catAx>
      <c:valAx>
        <c:axId val="10681057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Users / Utilisateurs</a:t>
                </a:r>
              </a:p>
            </c:rich>
          </c:tx>
          <c:layout>
            <c:manualLayout>
              <c:xMode val="edge"/>
              <c:yMode val="edge"/>
              <c:x val="8.4394682729775645E-3"/>
              <c:y val="0.2043157002557567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8100792"/>
        <c:crosses val="autoZero"/>
        <c:crossBetween val="between"/>
      </c:valAx>
    </c:plotArea>
    <c:legend>
      <c:legendPos val="b"/>
      <c:layout>
        <c:manualLayout>
          <c:xMode val="edge"/>
          <c:yMode val="edge"/>
          <c:x val="7.7910900056879159E-2"/>
          <c:y val="1.3775989398384026E-2"/>
          <c:w val="0.33986135353359503"/>
          <c:h val="0.172428722145026"/>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567417349140814"/>
          <c:y val="9.0345983236259017E-2"/>
          <c:w val="0.64208014545024916"/>
          <c:h val="0.68444888291402595"/>
        </c:manualLayout>
      </c:layout>
      <c:barChart>
        <c:barDir val="bar"/>
        <c:grouping val="stacked"/>
        <c:varyColors val="0"/>
        <c:ser>
          <c:idx val="0"/>
          <c:order val="0"/>
          <c:tx>
            <c:strRef>
              <c:f>'Visits Output'!$L$45</c:f>
              <c:strCache>
                <c:ptCount val="1"/>
                <c:pt idx="0">
                  <c:v>Stérilisation (f)</c:v>
                </c:pt>
              </c:strCache>
            </c:strRef>
          </c:tx>
          <c:spPr>
            <a:solidFill>
              <a:schemeClr val="accent6"/>
            </a:solidFill>
            <a:ln>
              <a:solidFill>
                <a:schemeClr val="bg1"/>
              </a:solidFill>
            </a:ln>
            <a:effectLst/>
          </c:spPr>
          <c:invertIfNegative val="0"/>
          <c:cat>
            <c:strRef>
              <c:f>'Visits Output'!$M$44:$O$44</c:f>
              <c:strCache>
                <c:ptCount val="3"/>
                <c:pt idx="0">
                  <c:v>Utilisatrices par méthode 
(statistiques de service - non ajustées) : 2021</c:v>
                </c:pt>
                <c:pt idx="1">
                  <c:v>Utilisatrices par méthode 
(statistiques de service - ajustées) : 2021</c:v>
                </c:pt>
                <c:pt idx="2">
                  <c:v>Utilisatrices par méthode 
(enquête / FPET) : 2021</c:v>
                </c:pt>
              </c:strCache>
            </c:strRef>
          </c:cat>
          <c:val>
            <c:numRef>
              <c:f>'Visits Output'!$M$45:$O$45</c:f>
              <c:numCache>
                <c:formatCode>#,##0</c:formatCode>
                <c:ptCount val="3"/>
                <c:pt idx="0">
                  <c:v>#N/A</c:v>
                </c:pt>
                <c:pt idx="1">
                  <c:v>#N/A</c:v>
                </c:pt>
                <c:pt idx="2">
                  <c:v>0</c:v>
                </c:pt>
              </c:numCache>
            </c:numRef>
          </c:val>
          <c:extLst>
            <c:ext xmlns:c16="http://schemas.microsoft.com/office/drawing/2014/chart" uri="{C3380CC4-5D6E-409C-BE32-E72D297353CC}">
              <c16:uniqueId val="{00000000-5E8C-43B3-9E37-C334D10E2660}"/>
            </c:ext>
          </c:extLst>
        </c:ser>
        <c:ser>
          <c:idx val="1"/>
          <c:order val="1"/>
          <c:tx>
            <c:strRef>
              <c:f>'Visits Output'!$L$46</c:f>
              <c:strCache>
                <c:ptCount val="1"/>
                <c:pt idx="0">
                  <c:v>Stérilisation (m)</c:v>
                </c:pt>
              </c:strCache>
            </c:strRef>
          </c:tx>
          <c:spPr>
            <a:solidFill>
              <a:schemeClr val="accent6">
                <a:lumMod val="50000"/>
              </a:schemeClr>
            </a:solidFill>
            <a:ln>
              <a:solidFill>
                <a:schemeClr val="bg1"/>
              </a:solidFill>
            </a:ln>
            <a:effectLst/>
          </c:spPr>
          <c:invertIfNegative val="0"/>
          <c:cat>
            <c:strRef>
              <c:f>'Visits Output'!$M$44:$O$44</c:f>
              <c:strCache>
                <c:ptCount val="3"/>
                <c:pt idx="0">
                  <c:v>Utilisatrices par méthode 
(statistiques de service - non ajustées) : 2021</c:v>
                </c:pt>
                <c:pt idx="1">
                  <c:v>Utilisatrices par méthode 
(statistiques de service - ajustées) : 2021</c:v>
                </c:pt>
                <c:pt idx="2">
                  <c:v>Utilisatrices par méthode 
(enquête / FPET) : 2021</c:v>
                </c:pt>
              </c:strCache>
            </c:strRef>
          </c:cat>
          <c:val>
            <c:numRef>
              <c:f>'Visits Output'!$M$46:$O$46</c:f>
              <c:numCache>
                <c:formatCode>#,##0</c:formatCode>
                <c:ptCount val="3"/>
                <c:pt idx="0">
                  <c:v>#N/A</c:v>
                </c:pt>
                <c:pt idx="1">
                  <c:v>#N/A</c:v>
                </c:pt>
                <c:pt idx="2">
                  <c:v>0</c:v>
                </c:pt>
              </c:numCache>
            </c:numRef>
          </c:val>
          <c:extLst>
            <c:ext xmlns:c16="http://schemas.microsoft.com/office/drawing/2014/chart" uri="{C3380CC4-5D6E-409C-BE32-E72D297353CC}">
              <c16:uniqueId val="{00000001-5E8C-43B3-9E37-C334D10E2660}"/>
            </c:ext>
          </c:extLst>
        </c:ser>
        <c:ser>
          <c:idx val="2"/>
          <c:order val="2"/>
          <c:tx>
            <c:strRef>
              <c:f>'Visits Output'!$L$47</c:f>
              <c:strCache>
                <c:ptCount val="1"/>
                <c:pt idx="0">
                  <c:v>DIU</c:v>
                </c:pt>
              </c:strCache>
            </c:strRef>
          </c:tx>
          <c:spPr>
            <a:solidFill>
              <a:schemeClr val="bg2"/>
            </a:solidFill>
            <a:ln>
              <a:solidFill>
                <a:schemeClr val="bg1"/>
              </a:solidFill>
            </a:ln>
            <a:effectLst/>
          </c:spPr>
          <c:invertIfNegative val="0"/>
          <c:cat>
            <c:strRef>
              <c:f>'Visits Output'!$M$44:$O$44</c:f>
              <c:strCache>
                <c:ptCount val="3"/>
                <c:pt idx="0">
                  <c:v>Utilisatrices par méthode 
(statistiques de service - non ajustées) : 2021</c:v>
                </c:pt>
                <c:pt idx="1">
                  <c:v>Utilisatrices par méthode 
(statistiques de service - ajustées) : 2021</c:v>
                </c:pt>
                <c:pt idx="2">
                  <c:v>Utilisatrices par méthode 
(enquête / FPET) : 2021</c:v>
                </c:pt>
              </c:strCache>
            </c:strRef>
          </c:cat>
          <c:val>
            <c:numRef>
              <c:f>'Visits Output'!$M$47:$O$47</c:f>
              <c:numCache>
                <c:formatCode>#,##0</c:formatCode>
                <c:ptCount val="3"/>
                <c:pt idx="0">
                  <c:v>#N/A</c:v>
                </c:pt>
                <c:pt idx="1">
                  <c:v>#N/A</c:v>
                </c:pt>
                <c:pt idx="2">
                  <c:v>0</c:v>
                </c:pt>
              </c:numCache>
            </c:numRef>
          </c:val>
          <c:extLst>
            <c:ext xmlns:c16="http://schemas.microsoft.com/office/drawing/2014/chart" uri="{C3380CC4-5D6E-409C-BE32-E72D297353CC}">
              <c16:uniqueId val="{00000002-5E8C-43B3-9E37-C334D10E2660}"/>
            </c:ext>
          </c:extLst>
        </c:ser>
        <c:ser>
          <c:idx val="3"/>
          <c:order val="3"/>
          <c:tx>
            <c:strRef>
              <c:f>'Visits Output'!$L$48</c:f>
              <c:strCache>
                <c:ptCount val="1"/>
                <c:pt idx="0">
                  <c:v>Implant</c:v>
                </c:pt>
              </c:strCache>
            </c:strRef>
          </c:tx>
          <c:spPr>
            <a:solidFill>
              <a:schemeClr val="accent2"/>
            </a:solidFill>
            <a:ln>
              <a:solidFill>
                <a:schemeClr val="bg1"/>
              </a:solidFill>
            </a:ln>
            <a:effectLst/>
          </c:spPr>
          <c:invertIfNegative val="0"/>
          <c:cat>
            <c:strRef>
              <c:f>'Visits Output'!$M$44:$O$44</c:f>
              <c:strCache>
                <c:ptCount val="3"/>
                <c:pt idx="0">
                  <c:v>Utilisatrices par méthode 
(statistiques de service - non ajustées) : 2021</c:v>
                </c:pt>
                <c:pt idx="1">
                  <c:v>Utilisatrices par méthode 
(statistiques de service - ajustées) : 2021</c:v>
                </c:pt>
                <c:pt idx="2">
                  <c:v>Utilisatrices par méthode 
(enquête / FPET) : 2021</c:v>
                </c:pt>
              </c:strCache>
            </c:strRef>
          </c:cat>
          <c:val>
            <c:numRef>
              <c:f>'Visits Output'!$M$48:$O$48</c:f>
              <c:numCache>
                <c:formatCode>#,##0</c:formatCode>
                <c:ptCount val="3"/>
                <c:pt idx="0">
                  <c:v>#N/A</c:v>
                </c:pt>
                <c:pt idx="1">
                  <c:v>#N/A</c:v>
                </c:pt>
                <c:pt idx="2">
                  <c:v>0</c:v>
                </c:pt>
              </c:numCache>
            </c:numRef>
          </c:val>
          <c:extLst>
            <c:ext xmlns:c16="http://schemas.microsoft.com/office/drawing/2014/chart" uri="{C3380CC4-5D6E-409C-BE32-E72D297353CC}">
              <c16:uniqueId val="{00000003-5E8C-43B3-9E37-C334D10E2660}"/>
            </c:ext>
          </c:extLst>
        </c:ser>
        <c:ser>
          <c:idx val="4"/>
          <c:order val="4"/>
          <c:tx>
            <c:strRef>
              <c:f>'Visits Output'!$L$49</c:f>
              <c:strCache>
                <c:ptCount val="1"/>
                <c:pt idx="0">
                  <c:v>Produits injectables</c:v>
                </c:pt>
              </c:strCache>
            </c:strRef>
          </c:tx>
          <c:spPr>
            <a:solidFill>
              <a:schemeClr val="tx2"/>
            </a:solidFill>
            <a:ln>
              <a:solidFill>
                <a:schemeClr val="bg1"/>
              </a:solidFill>
            </a:ln>
            <a:effectLst/>
          </c:spPr>
          <c:invertIfNegative val="0"/>
          <c:cat>
            <c:strRef>
              <c:f>'Visits Output'!$M$44:$O$44</c:f>
              <c:strCache>
                <c:ptCount val="3"/>
                <c:pt idx="0">
                  <c:v>Utilisatrices par méthode 
(statistiques de service - non ajustées) : 2021</c:v>
                </c:pt>
                <c:pt idx="1">
                  <c:v>Utilisatrices par méthode 
(statistiques de service - ajustées) : 2021</c:v>
                </c:pt>
                <c:pt idx="2">
                  <c:v>Utilisatrices par méthode 
(enquête / FPET) : 2021</c:v>
                </c:pt>
              </c:strCache>
            </c:strRef>
          </c:cat>
          <c:val>
            <c:numRef>
              <c:f>'Visits Output'!$M$49:$O$49</c:f>
              <c:numCache>
                <c:formatCode>#,##0</c:formatCode>
                <c:ptCount val="3"/>
                <c:pt idx="0">
                  <c:v>#N/A</c:v>
                </c:pt>
                <c:pt idx="1">
                  <c:v>#N/A</c:v>
                </c:pt>
                <c:pt idx="2">
                  <c:v>0</c:v>
                </c:pt>
              </c:numCache>
            </c:numRef>
          </c:val>
          <c:extLst>
            <c:ext xmlns:c16="http://schemas.microsoft.com/office/drawing/2014/chart" uri="{C3380CC4-5D6E-409C-BE32-E72D297353CC}">
              <c16:uniqueId val="{00000004-5E8C-43B3-9E37-C334D10E2660}"/>
            </c:ext>
          </c:extLst>
        </c:ser>
        <c:ser>
          <c:idx val="5"/>
          <c:order val="5"/>
          <c:tx>
            <c:strRef>
              <c:f>'Visits Output'!$L$50</c:f>
              <c:strCache>
                <c:ptCount val="1"/>
                <c:pt idx="0">
                  <c:v>Pilule</c:v>
                </c:pt>
              </c:strCache>
            </c:strRef>
          </c:tx>
          <c:spPr>
            <a:solidFill>
              <a:schemeClr val="accent1"/>
            </a:solidFill>
            <a:ln>
              <a:solidFill>
                <a:schemeClr val="bg1"/>
              </a:solidFill>
            </a:ln>
            <a:effectLst/>
          </c:spPr>
          <c:invertIfNegative val="0"/>
          <c:cat>
            <c:strRef>
              <c:f>'Visits Output'!$M$44:$O$44</c:f>
              <c:strCache>
                <c:ptCount val="3"/>
                <c:pt idx="0">
                  <c:v>Utilisatrices par méthode 
(statistiques de service - non ajustées) : 2021</c:v>
                </c:pt>
                <c:pt idx="1">
                  <c:v>Utilisatrices par méthode 
(statistiques de service - ajustées) : 2021</c:v>
                </c:pt>
                <c:pt idx="2">
                  <c:v>Utilisatrices par méthode 
(enquête / FPET) : 2021</c:v>
                </c:pt>
              </c:strCache>
            </c:strRef>
          </c:cat>
          <c:val>
            <c:numRef>
              <c:f>'Visits Output'!$M$50:$O$50</c:f>
              <c:numCache>
                <c:formatCode>#,##0</c:formatCode>
                <c:ptCount val="3"/>
                <c:pt idx="0">
                  <c:v>#N/A</c:v>
                </c:pt>
                <c:pt idx="1">
                  <c:v>#N/A</c:v>
                </c:pt>
                <c:pt idx="2">
                  <c:v>0</c:v>
                </c:pt>
              </c:numCache>
            </c:numRef>
          </c:val>
          <c:extLst>
            <c:ext xmlns:c16="http://schemas.microsoft.com/office/drawing/2014/chart" uri="{C3380CC4-5D6E-409C-BE32-E72D297353CC}">
              <c16:uniqueId val="{00000005-5E8C-43B3-9E37-C334D10E2660}"/>
            </c:ext>
          </c:extLst>
        </c:ser>
        <c:ser>
          <c:idx val="6"/>
          <c:order val="6"/>
          <c:tx>
            <c:strRef>
              <c:f>'Visits Output'!$L$51</c:f>
              <c:strCache>
                <c:ptCount val="1"/>
                <c:pt idx="0">
                  <c:v>Préservatifs (m+f)</c:v>
                </c:pt>
              </c:strCache>
            </c:strRef>
          </c:tx>
          <c:spPr>
            <a:solidFill>
              <a:schemeClr val="accent3"/>
            </a:solidFill>
            <a:ln>
              <a:solidFill>
                <a:schemeClr val="bg1"/>
              </a:solidFill>
            </a:ln>
            <a:effectLst/>
          </c:spPr>
          <c:invertIfNegative val="0"/>
          <c:cat>
            <c:strRef>
              <c:f>'Visits Output'!$M$44:$O$44</c:f>
              <c:strCache>
                <c:ptCount val="3"/>
                <c:pt idx="0">
                  <c:v>Utilisatrices par méthode 
(statistiques de service - non ajustées) : 2021</c:v>
                </c:pt>
                <c:pt idx="1">
                  <c:v>Utilisatrices par méthode 
(statistiques de service - ajustées) : 2021</c:v>
                </c:pt>
                <c:pt idx="2">
                  <c:v>Utilisatrices par méthode 
(enquête / FPET) : 2021</c:v>
                </c:pt>
              </c:strCache>
            </c:strRef>
          </c:cat>
          <c:val>
            <c:numRef>
              <c:f>'Visits Output'!$M$51:$O$51</c:f>
              <c:numCache>
                <c:formatCode>#,##0</c:formatCode>
                <c:ptCount val="3"/>
                <c:pt idx="0">
                  <c:v>#N/A</c:v>
                </c:pt>
                <c:pt idx="1">
                  <c:v>#N/A</c:v>
                </c:pt>
                <c:pt idx="2">
                  <c:v>0</c:v>
                </c:pt>
              </c:numCache>
            </c:numRef>
          </c:val>
          <c:extLst>
            <c:ext xmlns:c16="http://schemas.microsoft.com/office/drawing/2014/chart" uri="{C3380CC4-5D6E-409C-BE32-E72D297353CC}">
              <c16:uniqueId val="{00000006-5E8C-43B3-9E37-C334D10E2660}"/>
            </c:ext>
          </c:extLst>
        </c:ser>
        <c:ser>
          <c:idx val="7"/>
          <c:order val="7"/>
          <c:tx>
            <c:strRef>
              <c:f>'Visits Output'!$L$52</c:f>
              <c:strCache>
                <c:ptCount val="1"/>
                <c:pt idx="0">
                  <c:v>MAMA</c:v>
                </c:pt>
              </c:strCache>
            </c:strRef>
          </c:tx>
          <c:spPr>
            <a:solidFill>
              <a:schemeClr val="accent6">
                <a:lumMod val="40000"/>
                <a:lumOff val="60000"/>
              </a:schemeClr>
            </a:solidFill>
            <a:ln>
              <a:solidFill>
                <a:schemeClr val="bg1"/>
              </a:solidFill>
            </a:ln>
            <a:effectLst/>
          </c:spPr>
          <c:invertIfNegative val="0"/>
          <c:cat>
            <c:strRef>
              <c:f>'Visits Output'!$M$44:$O$44</c:f>
              <c:strCache>
                <c:ptCount val="3"/>
                <c:pt idx="0">
                  <c:v>Utilisatrices par méthode 
(statistiques de service - non ajustées) : 2021</c:v>
                </c:pt>
                <c:pt idx="1">
                  <c:v>Utilisatrices par méthode 
(statistiques de service - ajustées) : 2021</c:v>
                </c:pt>
                <c:pt idx="2">
                  <c:v>Utilisatrices par méthode 
(enquête / FPET) : 2021</c:v>
                </c:pt>
              </c:strCache>
            </c:strRef>
          </c:cat>
          <c:val>
            <c:numRef>
              <c:f>'Visits Output'!$M$52:$O$52</c:f>
              <c:numCache>
                <c:formatCode>#,##0</c:formatCode>
                <c:ptCount val="3"/>
                <c:pt idx="0">
                  <c:v>#N/A</c:v>
                </c:pt>
                <c:pt idx="1">
                  <c:v>#N/A</c:v>
                </c:pt>
                <c:pt idx="2">
                  <c:v>0</c:v>
                </c:pt>
              </c:numCache>
            </c:numRef>
          </c:val>
          <c:extLst>
            <c:ext xmlns:c16="http://schemas.microsoft.com/office/drawing/2014/chart" uri="{C3380CC4-5D6E-409C-BE32-E72D297353CC}">
              <c16:uniqueId val="{00000008-5E8C-43B3-9E37-C334D10E2660}"/>
            </c:ext>
          </c:extLst>
        </c:ser>
        <c:ser>
          <c:idx val="8"/>
          <c:order val="8"/>
          <c:tx>
            <c:strRef>
              <c:f>'Visits Output'!$L$53</c:f>
              <c:strCache>
                <c:ptCount val="1"/>
                <c:pt idx="0">
                  <c:v>Contraception d'urgence</c:v>
                </c:pt>
              </c:strCache>
            </c:strRef>
          </c:tx>
          <c:spPr>
            <a:solidFill>
              <a:schemeClr val="accent5"/>
            </a:solidFill>
            <a:ln>
              <a:solidFill>
                <a:schemeClr val="bg1"/>
              </a:solidFill>
            </a:ln>
            <a:effectLst/>
          </c:spPr>
          <c:invertIfNegative val="0"/>
          <c:cat>
            <c:strRef>
              <c:f>'Visits Output'!$M$44:$O$44</c:f>
              <c:strCache>
                <c:ptCount val="3"/>
                <c:pt idx="0">
                  <c:v>Utilisatrices par méthode 
(statistiques de service - non ajustées) : 2021</c:v>
                </c:pt>
                <c:pt idx="1">
                  <c:v>Utilisatrices par méthode 
(statistiques de service - ajustées) : 2021</c:v>
                </c:pt>
                <c:pt idx="2">
                  <c:v>Utilisatrices par méthode 
(enquête / FPET) : 2021</c:v>
                </c:pt>
              </c:strCache>
            </c:strRef>
          </c:cat>
          <c:val>
            <c:numRef>
              <c:f>'Visits Output'!$M$53:$O$53</c:f>
              <c:numCache>
                <c:formatCode>#,##0</c:formatCode>
                <c:ptCount val="3"/>
                <c:pt idx="0">
                  <c:v>#N/A</c:v>
                </c:pt>
                <c:pt idx="1">
                  <c:v>#N/A</c:v>
                </c:pt>
                <c:pt idx="2">
                  <c:v>0</c:v>
                </c:pt>
              </c:numCache>
            </c:numRef>
          </c:val>
          <c:extLst>
            <c:ext xmlns:c16="http://schemas.microsoft.com/office/drawing/2014/chart" uri="{C3380CC4-5D6E-409C-BE32-E72D297353CC}">
              <c16:uniqueId val="{00000007-5E8C-43B3-9E37-C334D10E2660}"/>
            </c:ext>
          </c:extLst>
        </c:ser>
        <c:ser>
          <c:idx val="9"/>
          <c:order val="9"/>
          <c:tx>
            <c:strRef>
              <c:f>'Visits Output'!$L$54</c:f>
              <c:strCache>
                <c:ptCount val="1"/>
                <c:pt idx="0">
                  <c:v>Autres méthodes modernes</c:v>
                </c:pt>
              </c:strCache>
            </c:strRef>
          </c:tx>
          <c:spPr>
            <a:ln>
              <a:solidFill>
                <a:schemeClr val="bg1"/>
              </a:solidFill>
            </a:ln>
          </c:spPr>
          <c:invertIfNegative val="0"/>
          <c:cat>
            <c:strRef>
              <c:f>'Visits Output'!$M$44:$O$44</c:f>
              <c:strCache>
                <c:ptCount val="3"/>
                <c:pt idx="0">
                  <c:v>Utilisatrices par méthode 
(statistiques de service - non ajustées) : 2021</c:v>
                </c:pt>
                <c:pt idx="1">
                  <c:v>Utilisatrices par méthode 
(statistiques de service - ajustées) : 2021</c:v>
                </c:pt>
                <c:pt idx="2">
                  <c:v>Utilisatrices par méthode 
(enquête / FPET) : 2021</c:v>
                </c:pt>
              </c:strCache>
            </c:strRef>
          </c:cat>
          <c:val>
            <c:numRef>
              <c:f>'Visits Output'!$M$54:$O$54</c:f>
              <c:numCache>
                <c:formatCode>#,##0</c:formatCode>
                <c:ptCount val="3"/>
                <c:pt idx="0">
                  <c:v>#N/A</c:v>
                </c:pt>
                <c:pt idx="1">
                  <c:v>#N/A</c:v>
                </c:pt>
                <c:pt idx="2">
                  <c:v>0</c:v>
                </c:pt>
              </c:numCache>
            </c:numRef>
          </c:val>
          <c:extLst>
            <c:ext xmlns:c16="http://schemas.microsoft.com/office/drawing/2014/chart" uri="{C3380CC4-5D6E-409C-BE32-E72D297353CC}">
              <c16:uniqueId val="{00000000-C014-45E0-914B-D5607094E432}"/>
            </c:ext>
          </c:extLst>
        </c:ser>
        <c:dLbls>
          <c:showLegendKey val="0"/>
          <c:showVal val="0"/>
          <c:showCatName val="0"/>
          <c:showSerName val="0"/>
          <c:showPercent val="0"/>
          <c:showBubbleSize val="0"/>
        </c:dLbls>
        <c:gapWidth val="50"/>
        <c:overlap val="100"/>
        <c:axId val="1068113584"/>
        <c:axId val="1068127688"/>
      </c:barChart>
      <c:catAx>
        <c:axId val="106811358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068127688"/>
        <c:crosses val="autoZero"/>
        <c:auto val="1"/>
        <c:lblAlgn val="ctr"/>
        <c:lblOffset val="100"/>
        <c:noMultiLvlLbl val="0"/>
      </c:catAx>
      <c:valAx>
        <c:axId val="1068127688"/>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068113584"/>
        <c:crosses val="autoZero"/>
        <c:crossBetween val="between"/>
      </c:valAx>
    </c:plotArea>
    <c:legend>
      <c:legendPos val="b"/>
      <c:layout>
        <c:manualLayout>
          <c:xMode val="edge"/>
          <c:yMode val="edge"/>
          <c:x val="7.4004683102697373E-3"/>
          <c:y val="0.80168018440823618"/>
          <c:w val="0.98895723595847174"/>
          <c:h val="0.1983198660163209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774376908538658E-2"/>
          <c:y val="3.6666666666666667E-2"/>
          <c:w val="0.75412885191672718"/>
          <c:h val="0.87764881889763768"/>
        </c:manualLayout>
      </c:layout>
      <c:lineChart>
        <c:grouping val="standard"/>
        <c:varyColors val="0"/>
        <c:ser>
          <c:idx val="0"/>
          <c:order val="0"/>
          <c:tx>
            <c:strRef>
              <c:f>'Visits Output'!$C$57</c:f>
              <c:strCache>
                <c:ptCount val="1"/>
                <c:pt idx="0">
                  <c:v>Utilisatrices (statistiques de service - non ajustées)</c:v>
                </c:pt>
              </c:strCache>
            </c:strRef>
          </c:tx>
          <c:spPr>
            <a:ln w="57150" cap="rnd">
              <a:solidFill>
                <a:schemeClr val="accent6">
                  <a:lumMod val="50000"/>
                </a:schemeClr>
              </a:solidFill>
              <a:round/>
            </a:ln>
            <a:effectLst/>
          </c:spPr>
          <c:marker>
            <c:symbol val="circle"/>
            <c:size val="5"/>
            <c:spPr>
              <a:solidFill>
                <a:schemeClr val="accent6">
                  <a:lumMod val="50000"/>
                </a:schemeClr>
              </a:solidFill>
              <a:ln w="57150">
                <a:solidFill>
                  <a:schemeClr val="accent6">
                    <a:lumMod val="50000"/>
                  </a:schemeClr>
                </a:solidFill>
              </a:ln>
              <a:effectLst/>
            </c:spPr>
          </c:marker>
          <c:cat>
            <c:numRef>
              <c:f>[0]!Year_C2C</c:f>
              <c:numCache>
                <c:formatCode>General</c:formatCode>
                <c:ptCount val="1"/>
                <c:pt idx="0">
                  <c:v>0</c:v>
                </c:pt>
              </c:numCache>
            </c:numRef>
          </c:cat>
          <c:val>
            <c:numRef>
              <c:f>'Visits Output'!Users_Total_SS_Unadjusted</c:f>
              <c:numCache>
                <c:formatCode>#,##0</c:formatCode>
                <c:ptCount val="1"/>
                <c:pt idx="0">
                  <c:v>#N/A</c:v>
                </c:pt>
              </c:numCache>
            </c:numRef>
          </c:val>
          <c:smooth val="0"/>
          <c:extLst>
            <c:ext xmlns:c16="http://schemas.microsoft.com/office/drawing/2014/chart" uri="{C3380CC4-5D6E-409C-BE32-E72D297353CC}">
              <c16:uniqueId val="{00000000-2736-4F31-A84B-8B24AB2BED29}"/>
            </c:ext>
          </c:extLst>
        </c:ser>
        <c:ser>
          <c:idx val="1"/>
          <c:order val="1"/>
          <c:tx>
            <c:strRef>
              <c:f>'Visits Output'!$C$58</c:f>
              <c:strCache>
                <c:ptCount val="1"/>
                <c:pt idx="0">
                  <c:v>Utilisatrices (statistiques de service - ajustées)</c:v>
                </c:pt>
              </c:strCache>
            </c:strRef>
          </c:tx>
          <c:spPr>
            <a:ln w="38100" cap="rnd">
              <a:solidFill>
                <a:schemeClr val="accent6"/>
              </a:solidFill>
              <a:round/>
            </a:ln>
            <a:effectLst/>
          </c:spPr>
          <c:marker>
            <c:symbol val="circle"/>
            <c:size val="5"/>
            <c:spPr>
              <a:solidFill>
                <a:schemeClr val="accent6"/>
              </a:solidFill>
              <a:ln w="38100">
                <a:solidFill>
                  <a:schemeClr val="accent6"/>
                </a:solidFill>
              </a:ln>
              <a:effectLst/>
            </c:spPr>
          </c:marker>
          <c:cat>
            <c:numRef>
              <c:f>[0]!Year_C2C</c:f>
              <c:numCache>
                <c:formatCode>General</c:formatCode>
                <c:ptCount val="1"/>
                <c:pt idx="0">
                  <c:v>0</c:v>
                </c:pt>
              </c:numCache>
            </c:numRef>
          </c:cat>
          <c:val>
            <c:numRef>
              <c:f>'Visits Output'!Users_Total_SS_Adjusted</c:f>
              <c:numCache>
                <c:formatCode>#,##0</c:formatCode>
                <c:ptCount val="1"/>
                <c:pt idx="0">
                  <c:v>#N/A</c:v>
                </c:pt>
              </c:numCache>
            </c:numRef>
          </c:val>
          <c:smooth val="0"/>
          <c:extLst>
            <c:ext xmlns:c16="http://schemas.microsoft.com/office/drawing/2014/chart" uri="{C3380CC4-5D6E-409C-BE32-E72D297353CC}">
              <c16:uniqueId val="{00000001-2736-4F31-A84B-8B24AB2BED29}"/>
            </c:ext>
          </c:extLst>
        </c:ser>
        <c:ser>
          <c:idx val="2"/>
          <c:order val="2"/>
          <c:tx>
            <c:strRef>
              <c:f>'Visits Output'!$C$59</c:f>
              <c:strCache>
                <c:ptCount val="1"/>
                <c:pt idx="0">
                  <c:v>Utilisatrices (enquête / FPET)</c:v>
                </c:pt>
              </c:strCache>
            </c:strRef>
          </c:tx>
          <c:spPr>
            <a:ln w="38100" cap="rnd">
              <a:solidFill>
                <a:schemeClr val="accent6">
                  <a:lumMod val="60000"/>
                  <a:lumOff val="40000"/>
                </a:schemeClr>
              </a:solidFill>
              <a:round/>
            </a:ln>
            <a:effectLst/>
          </c:spPr>
          <c:marker>
            <c:symbol val="circle"/>
            <c:size val="5"/>
            <c:spPr>
              <a:solidFill>
                <a:schemeClr val="accent6">
                  <a:lumMod val="60000"/>
                  <a:lumOff val="40000"/>
                </a:schemeClr>
              </a:solidFill>
              <a:ln w="38100">
                <a:solidFill>
                  <a:schemeClr val="accent6">
                    <a:lumMod val="60000"/>
                    <a:lumOff val="40000"/>
                  </a:schemeClr>
                </a:solidFill>
              </a:ln>
              <a:effectLst/>
            </c:spPr>
          </c:marker>
          <c:cat>
            <c:numRef>
              <c:f>[0]!Year_C2C</c:f>
              <c:numCache>
                <c:formatCode>General</c:formatCode>
                <c:ptCount val="1"/>
                <c:pt idx="0">
                  <c:v>0</c:v>
                </c:pt>
              </c:numCache>
            </c:numRef>
          </c:cat>
          <c:val>
            <c:numRef>
              <c:f>'Visits Output'!Users_Total_Survey</c:f>
              <c:numCache>
                <c:formatCode>#,##0</c:formatCode>
                <c:ptCount val="1"/>
                <c:pt idx="0">
                  <c:v>#N/A</c:v>
                </c:pt>
              </c:numCache>
            </c:numRef>
          </c:val>
          <c:smooth val="0"/>
          <c:extLst>
            <c:ext xmlns:c16="http://schemas.microsoft.com/office/drawing/2014/chart" uri="{C3380CC4-5D6E-409C-BE32-E72D297353CC}">
              <c16:uniqueId val="{00000002-2736-4F31-A84B-8B24AB2BED29}"/>
            </c:ext>
          </c:extLst>
        </c:ser>
        <c:dLbls>
          <c:showLegendKey val="0"/>
          <c:showVal val="0"/>
          <c:showCatName val="0"/>
          <c:showSerName val="0"/>
          <c:showPercent val="0"/>
          <c:showBubbleSize val="0"/>
        </c:dLbls>
        <c:marker val="1"/>
        <c:smooth val="0"/>
        <c:axId val="1240115104"/>
        <c:axId val="724702192"/>
      </c:lineChart>
      <c:catAx>
        <c:axId val="1240115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724702192"/>
        <c:crosses val="autoZero"/>
        <c:auto val="1"/>
        <c:lblAlgn val="ctr"/>
        <c:lblOffset val="100"/>
        <c:noMultiLvlLbl val="0"/>
      </c:catAx>
      <c:valAx>
        <c:axId val="724702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40115104"/>
        <c:crosses val="autoZero"/>
        <c:crossBetween val="between"/>
      </c:valAx>
      <c:spPr>
        <a:noFill/>
        <a:ln>
          <a:noFill/>
        </a:ln>
        <a:effectLst/>
      </c:spPr>
    </c:plotArea>
    <c:legend>
      <c:legendPos val="b"/>
      <c:layout>
        <c:manualLayout>
          <c:xMode val="edge"/>
          <c:yMode val="edge"/>
          <c:x val="0.80849334033173237"/>
          <c:y val="3.5940437515240689E-2"/>
          <c:w val="0.182556872163258"/>
          <c:h val="0.94407954250473924"/>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37528165575134E-2"/>
          <c:y val="5.6973759444308048E-2"/>
          <c:w val="0.87398506745692484"/>
          <c:h val="0.63508979994339321"/>
        </c:manualLayout>
      </c:layout>
      <c:barChart>
        <c:barDir val="col"/>
        <c:grouping val="clustered"/>
        <c:varyColors val="0"/>
        <c:ser>
          <c:idx val="0"/>
          <c:order val="0"/>
          <c:tx>
            <c:strRef>
              <c:f>'Users Input'!$C$23</c:f>
              <c:strCache>
                <c:ptCount val="1"/>
                <c:pt idx="0">
                  <c:v>Ligature des trompes</c:v>
                </c:pt>
              </c:strCache>
            </c:strRef>
          </c:tx>
          <c:spPr>
            <a:solidFill>
              <a:schemeClr val="tx2"/>
            </a:solidFill>
            <a:ln>
              <a:noFill/>
            </a:ln>
            <a:effectLst/>
          </c:spPr>
          <c:invertIfNegative val="0"/>
          <c:cat>
            <c:numRef>
              <c:f>'Users Input'!Year_U</c:f>
              <c:numCache>
                <c:formatCode>General</c:formatCode>
                <c:ptCount val="1"/>
                <c:pt idx="0">
                  <c:v>0</c:v>
                </c:pt>
              </c:numCache>
            </c:numRef>
          </c:cat>
          <c:val>
            <c:numRef>
              <c:f>'Users Input'!TL</c:f>
              <c:numCache>
                <c:formatCode>#,##0</c:formatCode>
                <c:ptCount val="1"/>
              </c:numCache>
            </c:numRef>
          </c:val>
          <c:extLst>
            <c:ext xmlns:c16="http://schemas.microsoft.com/office/drawing/2014/chart" uri="{C3380CC4-5D6E-409C-BE32-E72D297353CC}">
              <c16:uniqueId val="{00000000-E9A7-4F5C-B8F5-3878F0D8F1B9}"/>
            </c:ext>
          </c:extLst>
        </c:ser>
        <c:ser>
          <c:idx val="1"/>
          <c:order val="1"/>
          <c:tx>
            <c:strRef>
              <c:f>'Users Input'!$C$24</c:f>
              <c:strCache>
                <c:ptCount val="1"/>
                <c:pt idx="0">
                  <c:v>Vasectomie</c:v>
                </c:pt>
              </c:strCache>
            </c:strRef>
          </c:tx>
          <c:spPr>
            <a:solidFill>
              <a:schemeClr val="accent1"/>
            </a:solidFill>
            <a:ln>
              <a:noFill/>
            </a:ln>
            <a:effectLst/>
          </c:spPr>
          <c:invertIfNegative val="0"/>
          <c:cat>
            <c:numRef>
              <c:f>'Users Input'!Year_U</c:f>
              <c:numCache>
                <c:formatCode>General</c:formatCode>
                <c:ptCount val="1"/>
                <c:pt idx="0">
                  <c:v>0</c:v>
                </c:pt>
              </c:numCache>
            </c:numRef>
          </c:cat>
          <c:val>
            <c:numRef>
              <c:f>'Users Input'!Vasectomy</c:f>
              <c:numCache>
                <c:formatCode>#,##0</c:formatCode>
                <c:ptCount val="1"/>
              </c:numCache>
            </c:numRef>
          </c:val>
          <c:extLst>
            <c:ext xmlns:c16="http://schemas.microsoft.com/office/drawing/2014/chart" uri="{C3380CC4-5D6E-409C-BE32-E72D297353CC}">
              <c16:uniqueId val="{00000001-E9A7-4F5C-B8F5-3878F0D8F1B9}"/>
            </c:ext>
          </c:extLst>
        </c:ser>
        <c:dLbls>
          <c:showLegendKey val="0"/>
          <c:showVal val="0"/>
          <c:showCatName val="0"/>
          <c:showSerName val="0"/>
          <c:showPercent val="0"/>
          <c:showBubbleSize val="0"/>
        </c:dLbls>
        <c:gapWidth val="50"/>
        <c:axId val="320856328"/>
        <c:axId val="320863544"/>
      </c:barChart>
      <c:catAx>
        <c:axId val="320856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863544"/>
        <c:crosses val="autoZero"/>
        <c:auto val="1"/>
        <c:lblAlgn val="ctr"/>
        <c:lblOffset val="100"/>
        <c:noMultiLvlLbl val="0"/>
      </c:catAx>
      <c:valAx>
        <c:axId val="32086354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856328"/>
        <c:crosses val="autoZero"/>
        <c:crossBetween val="between"/>
      </c:valAx>
      <c:spPr>
        <a:noFill/>
        <a:ln>
          <a:noFill/>
        </a:ln>
        <a:effectLst/>
      </c:spPr>
    </c:plotArea>
    <c:legend>
      <c:legendPos val="b"/>
      <c:layout>
        <c:manualLayout>
          <c:xMode val="edge"/>
          <c:yMode val="edge"/>
          <c:x val="2.0889556895667622E-3"/>
          <c:y val="0.8394351400445188"/>
          <c:w val="0.99221848399474599"/>
          <c:h val="0.1294882638949497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46029520374195"/>
          <c:y val="5.8435501344811284E-2"/>
          <c:w val="0.86163400301839943"/>
          <c:h val="0.61836179815700187"/>
        </c:manualLayout>
      </c:layout>
      <c:barChart>
        <c:barDir val="col"/>
        <c:grouping val="stacked"/>
        <c:varyColors val="0"/>
        <c:ser>
          <c:idx val="0"/>
          <c:order val="0"/>
          <c:tx>
            <c:strRef>
              <c:f>'Commodities (Clients) Input'!$C$27</c:f>
              <c:strCache>
                <c:ptCount val="1"/>
                <c:pt idx="0">
                  <c:v>Implant de 3 ans (Implanon, Levoplant)</c:v>
                </c:pt>
              </c:strCache>
            </c:strRef>
          </c:tx>
          <c:spPr>
            <a:solidFill>
              <a:schemeClr val="tx2"/>
            </a:solidFill>
            <a:ln>
              <a:solidFill>
                <a:schemeClr val="bg1"/>
              </a:solidFill>
            </a:ln>
            <a:effectLst/>
          </c:spPr>
          <c:invertIfNegative val="0"/>
          <c:cat>
            <c:numRef>
              <c:f>[0]!Year_C2C</c:f>
              <c:numCache>
                <c:formatCode>General</c:formatCode>
                <c:ptCount val="1"/>
                <c:pt idx="0">
                  <c:v>0</c:v>
                </c:pt>
              </c:numCache>
            </c:numRef>
          </c:cat>
          <c:val>
            <c:numRef>
              <c:f>'Commodities (Clients) Input'!Implanon</c:f>
              <c:numCache>
                <c:formatCode>#,##0</c:formatCode>
                <c:ptCount val="1"/>
              </c:numCache>
            </c:numRef>
          </c:val>
          <c:extLst>
            <c:ext xmlns:c16="http://schemas.microsoft.com/office/drawing/2014/chart" uri="{C3380CC4-5D6E-409C-BE32-E72D297353CC}">
              <c16:uniqueId val="{00000000-4378-441D-80BB-3C352296BFEB}"/>
            </c:ext>
          </c:extLst>
        </c:ser>
        <c:ser>
          <c:idx val="1"/>
          <c:order val="1"/>
          <c:tx>
            <c:strRef>
              <c:f>'Commodities (Clients) Input'!$C$28</c:f>
              <c:strCache>
                <c:ptCount val="1"/>
                <c:pt idx="0">
                  <c:v>Implant de 4 ans (Sino-Implant)</c:v>
                </c:pt>
              </c:strCache>
            </c:strRef>
          </c:tx>
          <c:spPr>
            <a:solidFill>
              <a:schemeClr val="accent1"/>
            </a:solidFill>
            <a:ln>
              <a:solidFill>
                <a:schemeClr val="bg1"/>
              </a:solidFill>
            </a:ln>
            <a:effectLst/>
          </c:spPr>
          <c:invertIfNegative val="0"/>
          <c:cat>
            <c:numRef>
              <c:f>[0]!Year_C2C</c:f>
              <c:numCache>
                <c:formatCode>General</c:formatCode>
                <c:ptCount val="1"/>
                <c:pt idx="0">
                  <c:v>0</c:v>
                </c:pt>
              </c:numCache>
            </c:numRef>
          </c:cat>
          <c:val>
            <c:numRef>
              <c:f>'Commodities (Clients) Input'!Jadelle</c:f>
              <c:numCache>
                <c:formatCode>#,##0</c:formatCode>
                <c:ptCount val="1"/>
              </c:numCache>
            </c:numRef>
          </c:val>
          <c:extLst>
            <c:ext xmlns:c16="http://schemas.microsoft.com/office/drawing/2014/chart" uri="{C3380CC4-5D6E-409C-BE32-E72D297353CC}">
              <c16:uniqueId val="{00000001-4378-441D-80BB-3C352296BFEB}"/>
            </c:ext>
          </c:extLst>
        </c:ser>
        <c:ser>
          <c:idx val="2"/>
          <c:order val="2"/>
          <c:tx>
            <c:strRef>
              <c:f>'Commodities (Clients) Input'!$C$29</c:f>
              <c:strCache>
                <c:ptCount val="1"/>
                <c:pt idx="0">
                  <c:v>Implant de 5 ans (Jadelle)</c:v>
                </c:pt>
              </c:strCache>
            </c:strRef>
          </c:tx>
          <c:spPr>
            <a:solidFill>
              <a:schemeClr val="accent1">
                <a:lumMod val="40000"/>
                <a:lumOff val="60000"/>
              </a:schemeClr>
            </a:solidFill>
            <a:ln>
              <a:solidFill>
                <a:schemeClr val="bg1"/>
              </a:solidFill>
            </a:ln>
            <a:effectLst/>
          </c:spPr>
          <c:invertIfNegative val="0"/>
          <c:cat>
            <c:numRef>
              <c:f>[0]!Year_C2C</c:f>
              <c:numCache>
                <c:formatCode>General</c:formatCode>
                <c:ptCount val="1"/>
                <c:pt idx="0">
                  <c:v>0</c:v>
                </c:pt>
              </c:numCache>
            </c:numRef>
          </c:cat>
          <c:val>
            <c:numRef>
              <c:f>'Commodities (Clients) Input'!Sino</c:f>
              <c:numCache>
                <c:formatCode>#,##0</c:formatCode>
                <c:ptCount val="1"/>
              </c:numCache>
            </c:numRef>
          </c:val>
          <c:extLst>
            <c:ext xmlns:c16="http://schemas.microsoft.com/office/drawing/2014/chart" uri="{C3380CC4-5D6E-409C-BE32-E72D297353CC}">
              <c16:uniqueId val="{00000002-4378-441D-80BB-3C352296BFEB}"/>
            </c:ext>
          </c:extLst>
        </c:ser>
        <c:dLbls>
          <c:showLegendKey val="0"/>
          <c:showVal val="0"/>
          <c:showCatName val="0"/>
          <c:showSerName val="0"/>
          <c:showPercent val="0"/>
          <c:showBubbleSize val="0"/>
        </c:dLbls>
        <c:gapWidth val="50"/>
        <c:overlap val="100"/>
        <c:axId val="320856328"/>
        <c:axId val="320863544"/>
      </c:barChart>
      <c:catAx>
        <c:axId val="320856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863544"/>
        <c:crosses val="autoZero"/>
        <c:auto val="1"/>
        <c:lblAlgn val="ctr"/>
        <c:lblOffset val="100"/>
        <c:noMultiLvlLbl val="0"/>
      </c:catAx>
      <c:valAx>
        <c:axId val="32086354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856328"/>
        <c:crosses val="autoZero"/>
        <c:crossBetween val="between"/>
      </c:valAx>
      <c:spPr>
        <a:noFill/>
        <a:ln>
          <a:noFill/>
        </a:ln>
        <a:effectLst/>
      </c:spPr>
    </c:plotArea>
    <c:legend>
      <c:legendPos val="b"/>
      <c:layout>
        <c:manualLayout>
          <c:xMode val="edge"/>
          <c:yMode val="edge"/>
          <c:x val="0"/>
          <c:y val="0.81201295034446408"/>
          <c:w val="1"/>
          <c:h val="0.15611313983109337"/>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9165375271379"/>
          <c:y val="5.6973759444308048E-2"/>
          <c:w val="0.85144457188156886"/>
          <c:h val="0.7028527034120734"/>
        </c:manualLayout>
      </c:layout>
      <c:barChart>
        <c:barDir val="col"/>
        <c:grouping val="stacked"/>
        <c:varyColors val="0"/>
        <c:ser>
          <c:idx val="0"/>
          <c:order val="0"/>
          <c:tx>
            <c:strRef>
              <c:f>'Users Input'!$C$25</c:f>
              <c:strCache>
                <c:ptCount val="1"/>
                <c:pt idx="0">
                  <c:v>Copper- T 380-A DIU</c:v>
                </c:pt>
              </c:strCache>
            </c:strRef>
          </c:tx>
          <c:spPr>
            <a:solidFill>
              <a:schemeClr val="tx2"/>
            </a:solidFill>
            <a:ln>
              <a:solidFill>
                <a:schemeClr val="bg1"/>
              </a:solidFill>
            </a:ln>
            <a:effectLst/>
          </c:spPr>
          <c:invertIfNegative val="0"/>
          <c:cat>
            <c:numRef>
              <c:f>'Users Input'!Year_U</c:f>
              <c:numCache>
                <c:formatCode>General</c:formatCode>
                <c:ptCount val="1"/>
                <c:pt idx="0">
                  <c:v>0</c:v>
                </c:pt>
              </c:numCache>
            </c:numRef>
          </c:cat>
          <c:val>
            <c:numRef>
              <c:f>'Users Input'!CopperT</c:f>
              <c:numCache>
                <c:formatCode>#,##0</c:formatCode>
                <c:ptCount val="1"/>
              </c:numCache>
            </c:numRef>
          </c:val>
          <c:extLst>
            <c:ext xmlns:c16="http://schemas.microsoft.com/office/drawing/2014/chart" uri="{C3380CC4-5D6E-409C-BE32-E72D297353CC}">
              <c16:uniqueId val="{00000000-41E6-4418-8ECE-711C65440AEE}"/>
            </c:ext>
          </c:extLst>
        </c:ser>
        <c:ser>
          <c:idx val="1"/>
          <c:order val="1"/>
          <c:tx>
            <c:strRef>
              <c:f>'Users Input'!$C$26</c:f>
              <c:strCache>
                <c:ptCount val="1"/>
                <c:pt idx="0">
                  <c:v>DIU Hormonal (LNG-IUS)</c:v>
                </c:pt>
              </c:strCache>
            </c:strRef>
          </c:tx>
          <c:spPr>
            <a:solidFill>
              <a:schemeClr val="accent1"/>
            </a:solidFill>
            <a:ln>
              <a:solidFill>
                <a:schemeClr val="bg1"/>
              </a:solidFill>
            </a:ln>
            <a:effectLst/>
          </c:spPr>
          <c:invertIfNegative val="0"/>
          <c:cat>
            <c:numRef>
              <c:f>'Users Input'!Year_U</c:f>
              <c:numCache>
                <c:formatCode>General</c:formatCode>
                <c:ptCount val="1"/>
                <c:pt idx="0">
                  <c:v>0</c:v>
                </c:pt>
              </c:numCache>
            </c:numRef>
          </c:cat>
          <c:val>
            <c:numRef>
              <c:f>'Users Input'!LNG</c:f>
              <c:numCache>
                <c:formatCode>#,##0</c:formatCode>
                <c:ptCount val="1"/>
              </c:numCache>
            </c:numRef>
          </c:val>
          <c:extLst>
            <c:ext xmlns:c16="http://schemas.microsoft.com/office/drawing/2014/chart" uri="{C3380CC4-5D6E-409C-BE32-E72D297353CC}">
              <c16:uniqueId val="{00000001-41E6-4418-8ECE-711C65440AEE}"/>
            </c:ext>
          </c:extLst>
        </c:ser>
        <c:dLbls>
          <c:showLegendKey val="0"/>
          <c:showVal val="0"/>
          <c:showCatName val="0"/>
          <c:showSerName val="0"/>
          <c:showPercent val="0"/>
          <c:showBubbleSize val="0"/>
        </c:dLbls>
        <c:gapWidth val="50"/>
        <c:overlap val="100"/>
        <c:axId val="320856328"/>
        <c:axId val="320863544"/>
      </c:barChart>
      <c:catAx>
        <c:axId val="320856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863544"/>
        <c:crosses val="autoZero"/>
        <c:auto val="1"/>
        <c:lblAlgn val="ctr"/>
        <c:lblOffset val="100"/>
        <c:noMultiLvlLbl val="0"/>
      </c:catAx>
      <c:valAx>
        <c:axId val="32086354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856328"/>
        <c:crosses val="autoZero"/>
        <c:crossBetween val="between"/>
      </c:valAx>
      <c:spPr>
        <a:noFill/>
        <a:ln>
          <a:noFill/>
        </a:ln>
        <a:effectLst/>
      </c:spPr>
    </c:plotArea>
    <c:legend>
      <c:legendPos val="b"/>
      <c:layout>
        <c:manualLayout>
          <c:xMode val="edge"/>
          <c:yMode val="edge"/>
          <c:x val="1.7159215475107899E-2"/>
          <c:y val="0.89730099737532809"/>
          <c:w val="0.9376995585055673"/>
          <c:h val="9.968923884514437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2697550156506"/>
          <c:y val="6.2366294165336303E-2"/>
          <c:w val="0.8474751033970005"/>
          <c:h val="0.53599343211940043"/>
        </c:manualLayout>
      </c:layout>
      <c:barChart>
        <c:barDir val="col"/>
        <c:grouping val="stacked"/>
        <c:varyColors val="0"/>
        <c:ser>
          <c:idx val="0"/>
          <c:order val="0"/>
          <c:tx>
            <c:strRef>
              <c:f>'Users Input'!$C$27</c:f>
              <c:strCache>
                <c:ptCount val="1"/>
                <c:pt idx="0">
                  <c:v>Implant de 3 ans (Implanon, Levoplant)</c:v>
                </c:pt>
              </c:strCache>
            </c:strRef>
          </c:tx>
          <c:spPr>
            <a:solidFill>
              <a:schemeClr val="tx2"/>
            </a:solidFill>
            <a:ln>
              <a:solidFill>
                <a:schemeClr val="bg1"/>
              </a:solidFill>
            </a:ln>
            <a:effectLst/>
          </c:spPr>
          <c:invertIfNegative val="0"/>
          <c:cat>
            <c:numRef>
              <c:f>'Users Input'!Year_U</c:f>
              <c:numCache>
                <c:formatCode>General</c:formatCode>
                <c:ptCount val="1"/>
                <c:pt idx="0">
                  <c:v>0</c:v>
                </c:pt>
              </c:numCache>
            </c:numRef>
          </c:cat>
          <c:val>
            <c:numRef>
              <c:f>'Users Input'!Implanon</c:f>
              <c:numCache>
                <c:formatCode>#,##0</c:formatCode>
                <c:ptCount val="1"/>
              </c:numCache>
            </c:numRef>
          </c:val>
          <c:extLst>
            <c:ext xmlns:c16="http://schemas.microsoft.com/office/drawing/2014/chart" uri="{C3380CC4-5D6E-409C-BE32-E72D297353CC}">
              <c16:uniqueId val="{00000000-79D9-453B-B0A5-75DAEDA30BFC}"/>
            </c:ext>
          </c:extLst>
        </c:ser>
        <c:ser>
          <c:idx val="1"/>
          <c:order val="1"/>
          <c:tx>
            <c:strRef>
              <c:f>'Users Input'!$C$28</c:f>
              <c:strCache>
                <c:ptCount val="1"/>
                <c:pt idx="0">
                  <c:v>Implant de 4 ans (Sino-Implant)</c:v>
                </c:pt>
              </c:strCache>
            </c:strRef>
          </c:tx>
          <c:spPr>
            <a:solidFill>
              <a:schemeClr val="accent1"/>
            </a:solidFill>
            <a:ln>
              <a:solidFill>
                <a:schemeClr val="bg1"/>
              </a:solidFill>
            </a:ln>
            <a:effectLst/>
          </c:spPr>
          <c:invertIfNegative val="0"/>
          <c:cat>
            <c:numRef>
              <c:f>'Users Input'!Year_U</c:f>
              <c:numCache>
                <c:formatCode>General</c:formatCode>
                <c:ptCount val="1"/>
                <c:pt idx="0">
                  <c:v>0</c:v>
                </c:pt>
              </c:numCache>
            </c:numRef>
          </c:cat>
          <c:val>
            <c:numRef>
              <c:f>'Users Input'!Jadelle</c:f>
              <c:numCache>
                <c:formatCode>#,##0</c:formatCode>
                <c:ptCount val="1"/>
              </c:numCache>
            </c:numRef>
          </c:val>
          <c:extLst>
            <c:ext xmlns:c16="http://schemas.microsoft.com/office/drawing/2014/chart" uri="{C3380CC4-5D6E-409C-BE32-E72D297353CC}">
              <c16:uniqueId val="{00000001-79D9-453B-B0A5-75DAEDA30BFC}"/>
            </c:ext>
          </c:extLst>
        </c:ser>
        <c:ser>
          <c:idx val="2"/>
          <c:order val="2"/>
          <c:tx>
            <c:strRef>
              <c:f>'Users Input'!$C$29</c:f>
              <c:strCache>
                <c:ptCount val="1"/>
                <c:pt idx="0">
                  <c:v>Implant de 5 ans (Jadelle)</c:v>
                </c:pt>
              </c:strCache>
            </c:strRef>
          </c:tx>
          <c:spPr>
            <a:solidFill>
              <a:schemeClr val="accent1">
                <a:lumMod val="40000"/>
                <a:lumOff val="60000"/>
              </a:schemeClr>
            </a:solidFill>
            <a:ln>
              <a:solidFill>
                <a:schemeClr val="bg1"/>
              </a:solidFill>
            </a:ln>
            <a:effectLst/>
          </c:spPr>
          <c:invertIfNegative val="0"/>
          <c:cat>
            <c:numRef>
              <c:f>'Users Input'!Year_U</c:f>
              <c:numCache>
                <c:formatCode>General</c:formatCode>
                <c:ptCount val="1"/>
                <c:pt idx="0">
                  <c:v>0</c:v>
                </c:pt>
              </c:numCache>
            </c:numRef>
          </c:cat>
          <c:val>
            <c:numRef>
              <c:f>'Users Input'!Sino</c:f>
              <c:numCache>
                <c:formatCode>#,##0</c:formatCode>
                <c:ptCount val="1"/>
              </c:numCache>
            </c:numRef>
          </c:val>
          <c:extLst>
            <c:ext xmlns:c16="http://schemas.microsoft.com/office/drawing/2014/chart" uri="{C3380CC4-5D6E-409C-BE32-E72D297353CC}">
              <c16:uniqueId val="{00000002-79D9-453B-B0A5-75DAEDA30BFC}"/>
            </c:ext>
          </c:extLst>
        </c:ser>
        <c:dLbls>
          <c:showLegendKey val="0"/>
          <c:showVal val="0"/>
          <c:showCatName val="0"/>
          <c:showSerName val="0"/>
          <c:showPercent val="0"/>
          <c:showBubbleSize val="0"/>
        </c:dLbls>
        <c:gapWidth val="50"/>
        <c:overlap val="100"/>
        <c:axId val="320856328"/>
        <c:axId val="320863544"/>
      </c:barChart>
      <c:catAx>
        <c:axId val="320856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863544"/>
        <c:crosses val="autoZero"/>
        <c:auto val="1"/>
        <c:lblAlgn val="ctr"/>
        <c:lblOffset val="100"/>
        <c:noMultiLvlLbl val="0"/>
      </c:catAx>
      <c:valAx>
        <c:axId val="32086354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856328"/>
        <c:crosses val="autoZero"/>
        <c:crossBetween val="between"/>
      </c:valAx>
      <c:spPr>
        <a:noFill/>
        <a:ln>
          <a:noFill/>
        </a:ln>
        <a:effectLst/>
      </c:spPr>
    </c:plotArea>
    <c:legend>
      <c:legendPos val="b"/>
      <c:layout>
        <c:manualLayout>
          <c:xMode val="edge"/>
          <c:yMode val="edge"/>
          <c:x val="8.9002526748295698E-3"/>
          <c:y val="0.73700129286176019"/>
          <c:w val="0.96844715756518229"/>
          <c:h val="0.2289807285026018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19526429602449"/>
          <c:y val="5.833333681301222E-2"/>
          <c:w val="0.80016508481665172"/>
          <c:h val="0.67874992118527333"/>
        </c:manualLayout>
      </c:layout>
      <c:barChart>
        <c:barDir val="col"/>
        <c:grouping val="stacked"/>
        <c:varyColors val="0"/>
        <c:ser>
          <c:idx val="0"/>
          <c:order val="0"/>
          <c:tx>
            <c:strRef>
              <c:f>'Users Input'!$C$32</c:f>
              <c:strCache>
                <c:ptCount val="1"/>
                <c:pt idx="0">
                  <c:v>Depo Provera (DMPA)</c:v>
                </c:pt>
              </c:strCache>
            </c:strRef>
          </c:tx>
          <c:spPr>
            <a:solidFill>
              <a:schemeClr val="bg2">
                <a:lumMod val="75000"/>
              </a:schemeClr>
            </a:solidFill>
            <a:ln>
              <a:solidFill>
                <a:schemeClr val="bg1"/>
              </a:solidFill>
            </a:ln>
            <a:effectLst/>
          </c:spPr>
          <c:invertIfNegative val="0"/>
          <c:cat>
            <c:numRef>
              <c:f>'Users Input'!Year_U</c:f>
              <c:numCache>
                <c:formatCode>General</c:formatCode>
                <c:ptCount val="1"/>
                <c:pt idx="0">
                  <c:v>0</c:v>
                </c:pt>
              </c:numCache>
            </c:numRef>
          </c:cat>
          <c:val>
            <c:numRef>
              <c:f>'Users Input'!Depo</c:f>
              <c:numCache>
                <c:formatCode>#,##0</c:formatCode>
                <c:ptCount val="1"/>
              </c:numCache>
            </c:numRef>
          </c:val>
          <c:extLst>
            <c:ext xmlns:c16="http://schemas.microsoft.com/office/drawing/2014/chart" uri="{C3380CC4-5D6E-409C-BE32-E72D297353CC}">
              <c16:uniqueId val="{00000000-1BA2-49BD-8801-B38BBA607CD5}"/>
            </c:ext>
          </c:extLst>
        </c:ser>
        <c:ser>
          <c:idx val="1"/>
          <c:order val="1"/>
          <c:tx>
            <c:strRef>
              <c:f>'Users Input'!$C$33</c:f>
              <c:strCache>
                <c:ptCount val="1"/>
                <c:pt idx="0">
                  <c:v>Noristerat (NET-En)</c:v>
                </c:pt>
              </c:strCache>
            </c:strRef>
          </c:tx>
          <c:spPr>
            <a:solidFill>
              <a:schemeClr val="bg2"/>
            </a:solidFill>
            <a:ln>
              <a:solidFill>
                <a:schemeClr val="bg1"/>
              </a:solidFill>
            </a:ln>
            <a:effectLst/>
          </c:spPr>
          <c:invertIfNegative val="0"/>
          <c:cat>
            <c:numRef>
              <c:f>'Users Input'!Year_U</c:f>
              <c:numCache>
                <c:formatCode>General</c:formatCode>
                <c:ptCount val="1"/>
                <c:pt idx="0">
                  <c:v>0</c:v>
                </c:pt>
              </c:numCache>
            </c:numRef>
          </c:cat>
          <c:val>
            <c:numRef>
              <c:f>'Users Input'!Noristerat</c:f>
              <c:numCache>
                <c:formatCode>#,##0</c:formatCode>
                <c:ptCount val="1"/>
              </c:numCache>
            </c:numRef>
          </c:val>
          <c:extLst>
            <c:ext xmlns:c16="http://schemas.microsoft.com/office/drawing/2014/chart" uri="{C3380CC4-5D6E-409C-BE32-E72D297353CC}">
              <c16:uniqueId val="{00000001-1BA2-49BD-8801-B38BBA607CD5}"/>
            </c:ext>
          </c:extLst>
        </c:ser>
        <c:ser>
          <c:idx val="2"/>
          <c:order val="2"/>
          <c:tx>
            <c:strRef>
              <c:f>'Users Input'!$C$34</c:f>
              <c:strCache>
                <c:ptCount val="1"/>
                <c:pt idx="0">
                  <c:v>Lunelle</c:v>
                </c:pt>
              </c:strCache>
            </c:strRef>
          </c:tx>
          <c:spPr>
            <a:solidFill>
              <a:schemeClr val="accent2"/>
            </a:solidFill>
            <a:ln>
              <a:solidFill>
                <a:schemeClr val="bg1"/>
              </a:solidFill>
            </a:ln>
            <a:effectLst/>
          </c:spPr>
          <c:invertIfNegative val="0"/>
          <c:cat>
            <c:numRef>
              <c:f>'Users Input'!Year_U</c:f>
              <c:numCache>
                <c:formatCode>General</c:formatCode>
                <c:ptCount val="1"/>
                <c:pt idx="0">
                  <c:v>0</c:v>
                </c:pt>
              </c:numCache>
            </c:numRef>
          </c:cat>
          <c:val>
            <c:numRef>
              <c:f>'Users Input'!Lunelle</c:f>
              <c:numCache>
                <c:formatCode>#,##0</c:formatCode>
                <c:ptCount val="1"/>
              </c:numCache>
            </c:numRef>
          </c:val>
          <c:extLst>
            <c:ext xmlns:c16="http://schemas.microsoft.com/office/drawing/2014/chart" uri="{C3380CC4-5D6E-409C-BE32-E72D297353CC}">
              <c16:uniqueId val="{00000002-1BA2-49BD-8801-B38BBA607CD5}"/>
            </c:ext>
          </c:extLst>
        </c:ser>
        <c:ser>
          <c:idx val="3"/>
          <c:order val="3"/>
          <c:tx>
            <c:strRef>
              <c:f>'Users Input'!$C$35</c:f>
              <c:strCache>
                <c:ptCount val="1"/>
                <c:pt idx="0">
                  <c:v>Sayana Press</c:v>
                </c:pt>
              </c:strCache>
            </c:strRef>
          </c:tx>
          <c:spPr>
            <a:solidFill>
              <a:schemeClr val="accent2">
                <a:lumMod val="60000"/>
                <a:lumOff val="40000"/>
              </a:schemeClr>
            </a:solidFill>
            <a:ln>
              <a:solidFill>
                <a:schemeClr val="bg1"/>
              </a:solidFill>
            </a:ln>
            <a:effectLst/>
          </c:spPr>
          <c:invertIfNegative val="0"/>
          <c:cat>
            <c:numRef>
              <c:f>'Users Input'!Year_U</c:f>
              <c:numCache>
                <c:formatCode>General</c:formatCode>
                <c:ptCount val="1"/>
                <c:pt idx="0">
                  <c:v>0</c:v>
                </c:pt>
              </c:numCache>
            </c:numRef>
          </c:cat>
          <c:val>
            <c:numRef>
              <c:f>'Users Input'!Sayana</c:f>
              <c:numCache>
                <c:formatCode>#,##0</c:formatCode>
                <c:ptCount val="1"/>
              </c:numCache>
            </c:numRef>
          </c:val>
          <c:extLst>
            <c:ext xmlns:c16="http://schemas.microsoft.com/office/drawing/2014/chart" uri="{C3380CC4-5D6E-409C-BE32-E72D297353CC}">
              <c16:uniqueId val="{00000003-1BA2-49BD-8801-B38BBA607CD5}"/>
            </c:ext>
          </c:extLst>
        </c:ser>
        <c:ser>
          <c:idx val="4"/>
          <c:order val="4"/>
          <c:tx>
            <c:strRef>
              <c:f>'Users Input'!$C$36</c:f>
              <c:strCache>
                <c:ptCount val="1"/>
                <c:pt idx="0">
                  <c:v>Autre Injectable</c:v>
                </c:pt>
              </c:strCache>
            </c:strRef>
          </c:tx>
          <c:spPr>
            <a:solidFill>
              <a:schemeClr val="accent2">
                <a:lumMod val="40000"/>
                <a:lumOff val="60000"/>
              </a:schemeClr>
            </a:solidFill>
            <a:ln>
              <a:noFill/>
            </a:ln>
            <a:effectLst/>
          </c:spPr>
          <c:invertIfNegative val="0"/>
          <c:cat>
            <c:numRef>
              <c:f>'Users Input'!Year_U</c:f>
              <c:numCache>
                <c:formatCode>General</c:formatCode>
                <c:ptCount val="1"/>
                <c:pt idx="0">
                  <c:v>0</c:v>
                </c:pt>
              </c:numCache>
            </c:numRef>
          </c:cat>
          <c:val>
            <c:numRef>
              <c:f>'Users Input'!OtherInj</c:f>
              <c:numCache>
                <c:formatCode>#,##0</c:formatCode>
                <c:ptCount val="1"/>
              </c:numCache>
            </c:numRef>
          </c:val>
          <c:extLst>
            <c:ext xmlns:c16="http://schemas.microsoft.com/office/drawing/2014/chart" uri="{C3380CC4-5D6E-409C-BE32-E72D297353CC}">
              <c16:uniqueId val="{00000004-1BA2-49BD-8801-B38BBA607CD5}"/>
            </c:ext>
          </c:extLst>
        </c:ser>
        <c:dLbls>
          <c:showLegendKey val="0"/>
          <c:showVal val="0"/>
          <c:showCatName val="0"/>
          <c:showSerName val="0"/>
          <c:showPercent val="0"/>
          <c:showBubbleSize val="0"/>
        </c:dLbls>
        <c:gapWidth val="50"/>
        <c:overlap val="100"/>
        <c:axId val="320856328"/>
        <c:axId val="320863544"/>
      </c:barChart>
      <c:catAx>
        <c:axId val="320856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863544"/>
        <c:crosses val="autoZero"/>
        <c:auto val="1"/>
        <c:lblAlgn val="ctr"/>
        <c:lblOffset val="100"/>
        <c:noMultiLvlLbl val="0"/>
      </c:catAx>
      <c:valAx>
        <c:axId val="32086354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856328"/>
        <c:crosses val="autoZero"/>
        <c:crossBetween val="between"/>
      </c:valAx>
      <c:spPr>
        <a:noFill/>
        <a:ln>
          <a:noFill/>
        </a:ln>
        <a:effectLst/>
      </c:spPr>
    </c:plotArea>
    <c:legend>
      <c:legendPos val="b"/>
      <c:layout>
        <c:manualLayout>
          <c:xMode val="edge"/>
          <c:yMode val="edge"/>
          <c:x val="0"/>
          <c:y val="0.88797159913932233"/>
          <c:w val="1"/>
          <c:h val="0.1120284008606776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'Users Input'!$C$37</c:f>
              <c:strCache>
                <c:ptCount val="1"/>
                <c:pt idx="0">
                  <c:v>Oraux combinés (COC)</c:v>
                </c:pt>
              </c:strCache>
            </c:strRef>
          </c:tx>
          <c:spPr>
            <a:solidFill>
              <a:schemeClr val="bg2"/>
            </a:solidFill>
            <a:ln>
              <a:solidFill>
                <a:schemeClr val="bg1"/>
              </a:solidFill>
            </a:ln>
            <a:effectLst/>
          </c:spPr>
          <c:invertIfNegative val="0"/>
          <c:cat>
            <c:numRef>
              <c:f>'Users Input'!Year_U</c:f>
              <c:numCache>
                <c:formatCode>General</c:formatCode>
                <c:ptCount val="1"/>
                <c:pt idx="0">
                  <c:v>0</c:v>
                </c:pt>
              </c:numCache>
            </c:numRef>
          </c:cat>
          <c:val>
            <c:numRef>
              <c:f>'Users Input'!StandardPill</c:f>
              <c:numCache>
                <c:formatCode>#,##0</c:formatCode>
                <c:ptCount val="1"/>
              </c:numCache>
            </c:numRef>
          </c:val>
          <c:extLst>
            <c:ext xmlns:c16="http://schemas.microsoft.com/office/drawing/2014/chart" uri="{C3380CC4-5D6E-409C-BE32-E72D297353CC}">
              <c16:uniqueId val="{00000000-778C-46AF-8822-B2176CA9A6D0}"/>
            </c:ext>
          </c:extLst>
        </c:ser>
        <c:ser>
          <c:idx val="1"/>
          <c:order val="1"/>
          <c:tx>
            <c:strRef>
              <c:f>'Users Input'!$C$38</c:f>
              <c:strCache>
                <c:ptCount val="1"/>
                <c:pt idx="0">
                  <c:v>Progestatifs seul (POP)</c:v>
                </c:pt>
              </c:strCache>
            </c:strRef>
          </c:tx>
          <c:spPr>
            <a:solidFill>
              <a:schemeClr val="accent2"/>
            </a:solidFill>
            <a:ln>
              <a:solidFill>
                <a:schemeClr val="bg1"/>
              </a:solidFill>
            </a:ln>
            <a:effectLst/>
          </c:spPr>
          <c:invertIfNegative val="0"/>
          <c:cat>
            <c:numRef>
              <c:f>'Users Input'!Year_U</c:f>
              <c:numCache>
                <c:formatCode>General</c:formatCode>
                <c:ptCount val="1"/>
                <c:pt idx="0">
                  <c:v>0</c:v>
                </c:pt>
              </c:numCache>
            </c:numRef>
          </c:cat>
          <c:val>
            <c:numRef>
              <c:f>'Users Input'!ProgestinPill</c:f>
              <c:numCache>
                <c:formatCode>#,##0</c:formatCode>
                <c:ptCount val="1"/>
              </c:numCache>
            </c:numRef>
          </c:val>
          <c:extLst>
            <c:ext xmlns:c16="http://schemas.microsoft.com/office/drawing/2014/chart" uri="{C3380CC4-5D6E-409C-BE32-E72D297353CC}">
              <c16:uniqueId val="{00000001-778C-46AF-8822-B2176CA9A6D0}"/>
            </c:ext>
          </c:extLst>
        </c:ser>
        <c:ser>
          <c:idx val="2"/>
          <c:order val="2"/>
          <c:tx>
            <c:strRef>
              <c:f>'Users Input'!$C$39</c:f>
              <c:strCache>
                <c:ptCount val="1"/>
                <c:pt idx="0">
                  <c:v>Autre pilule</c:v>
                </c:pt>
              </c:strCache>
            </c:strRef>
          </c:tx>
          <c:spPr>
            <a:solidFill>
              <a:schemeClr val="accent2">
                <a:lumMod val="40000"/>
                <a:lumOff val="60000"/>
              </a:schemeClr>
            </a:solidFill>
            <a:ln>
              <a:solidFill>
                <a:schemeClr val="bg1"/>
              </a:solidFill>
            </a:ln>
            <a:effectLst/>
          </c:spPr>
          <c:invertIfNegative val="0"/>
          <c:cat>
            <c:numRef>
              <c:f>'Users Input'!Year_U</c:f>
              <c:numCache>
                <c:formatCode>General</c:formatCode>
                <c:ptCount val="1"/>
                <c:pt idx="0">
                  <c:v>0</c:v>
                </c:pt>
              </c:numCache>
            </c:numRef>
          </c:cat>
          <c:val>
            <c:numRef>
              <c:f>'Users Input'!PCPill</c:f>
              <c:numCache>
                <c:formatCode>#,##0</c:formatCode>
                <c:ptCount val="1"/>
              </c:numCache>
            </c:numRef>
          </c:val>
          <c:extLst>
            <c:ext xmlns:c16="http://schemas.microsoft.com/office/drawing/2014/chart" uri="{C3380CC4-5D6E-409C-BE32-E72D297353CC}">
              <c16:uniqueId val="{00000002-778C-46AF-8822-B2176CA9A6D0}"/>
            </c:ext>
          </c:extLst>
        </c:ser>
        <c:dLbls>
          <c:showLegendKey val="0"/>
          <c:showVal val="0"/>
          <c:showCatName val="0"/>
          <c:showSerName val="0"/>
          <c:showPercent val="0"/>
          <c:showBubbleSize val="0"/>
        </c:dLbls>
        <c:gapWidth val="50"/>
        <c:overlap val="100"/>
        <c:axId val="320856328"/>
        <c:axId val="320863544"/>
      </c:barChart>
      <c:catAx>
        <c:axId val="320856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863544"/>
        <c:crosses val="autoZero"/>
        <c:auto val="1"/>
        <c:lblAlgn val="ctr"/>
        <c:lblOffset val="100"/>
        <c:noMultiLvlLbl val="0"/>
      </c:catAx>
      <c:valAx>
        <c:axId val="32086354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856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'Users Input'!$C$40</c:f>
              <c:strCache>
                <c:ptCount val="1"/>
                <c:pt idx="0">
                  <c:v>Préservatifs masculin</c:v>
                </c:pt>
              </c:strCache>
            </c:strRef>
          </c:tx>
          <c:spPr>
            <a:solidFill>
              <a:schemeClr val="bg2">
                <a:lumMod val="75000"/>
              </a:schemeClr>
            </a:solidFill>
            <a:ln>
              <a:noFill/>
            </a:ln>
            <a:effectLst/>
          </c:spPr>
          <c:invertIfNegative val="0"/>
          <c:cat>
            <c:numRef>
              <c:f>'Users Input'!Year_U</c:f>
              <c:numCache>
                <c:formatCode>General</c:formatCode>
                <c:ptCount val="1"/>
                <c:pt idx="0">
                  <c:v>0</c:v>
                </c:pt>
              </c:numCache>
            </c:numRef>
          </c:cat>
          <c:val>
            <c:numRef>
              <c:f>'Users Input'!MCondom</c:f>
              <c:numCache>
                <c:formatCode>#,##0</c:formatCode>
                <c:ptCount val="1"/>
              </c:numCache>
            </c:numRef>
          </c:val>
          <c:extLst>
            <c:ext xmlns:c16="http://schemas.microsoft.com/office/drawing/2014/chart" uri="{C3380CC4-5D6E-409C-BE32-E72D297353CC}">
              <c16:uniqueId val="{00000000-01C6-4A53-90D5-9248DC5173AE}"/>
            </c:ext>
          </c:extLst>
        </c:ser>
        <c:ser>
          <c:idx val="1"/>
          <c:order val="1"/>
          <c:tx>
            <c:strRef>
              <c:f>'Users Input'!$C$41</c:f>
              <c:strCache>
                <c:ptCount val="1"/>
                <c:pt idx="0">
                  <c:v>Préservatifs feminin</c:v>
                </c:pt>
              </c:strCache>
            </c:strRef>
          </c:tx>
          <c:spPr>
            <a:solidFill>
              <a:schemeClr val="accent2"/>
            </a:solidFill>
            <a:ln>
              <a:noFill/>
            </a:ln>
            <a:effectLst/>
          </c:spPr>
          <c:invertIfNegative val="0"/>
          <c:cat>
            <c:numRef>
              <c:f>'Users Input'!Year_U</c:f>
              <c:numCache>
                <c:formatCode>General</c:formatCode>
                <c:ptCount val="1"/>
                <c:pt idx="0">
                  <c:v>0</c:v>
                </c:pt>
              </c:numCache>
            </c:numRef>
          </c:cat>
          <c:val>
            <c:numRef>
              <c:f>'Users Input'!FCondom</c:f>
              <c:numCache>
                <c:formatCode>#,##0</c:formatCode>
                <c:ptCount val="1"/>
              </c:numCache>
            </c:numRef>
          </c:val>
          <c:extLst>
            <c:ext xmlns:c16="http://schemas.microsoft.com/office/drawing/2014/chart" uri="{C3380CC4-5D6E-409C-BE32-E72D297353CC}">
              <c16:uniqueId val="{00000001-01C6-4A53-90D5-9248DC5173AE}"/>
            </c:ext>
          </c:extLst>
        </c:ser>
        <c:dLbls>
          <c:showLegendKey val="0"/>
          <c:showVal val="0"/>
          <c:showCatName val="0"/>
          <c:showSerName val="0"/>
          <c:showPercent val="0"/>
          <c:showBubbleSize val="0"/>
        </c:dLbls>
        <c:gapWidth val="50"/>
        <c:axId val="320856328"/>
        <c:axId val="320863544"/>
      </c:barChart>
      <c:catAx>
        <c:axId val="320856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863544"/>
        <c:crosses val="autoZero"/>
        <c:auto val="1"/>
        <c:lblAlgn val="ctr"/>
        <c:lblOffset val="100"/>
        <c:noMultiLvlLbl val="0"/>
      </c:catAx>
      <c:valAx>
        <c:axId val="32086354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856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'Users Input'!$C$42</c:f>
              <c:strCache>
                <c:ptCount val="1"/>
                <c:pt idx="0">
                  <c:v>MAMA</c:v>
                </c:pt>
              </c:strCache>
            </c:strRef>
          </c:tx>
          <c:spPr>
            <a:solidFill>
              <a:schemeClr val="accent1"/>
            </a:solidFill>
            <a:ln>
              <a:noFill/>
            </a:ln>
            <a:effectLst/>
          </c:spPr>
          <c:invertIfNegative val="0"/>
          <c:cat>
            <c:numRef>
              <c:f>'Users Input'!Year_U</c:f>
              <c:numCache>
                <c:formatCode>General</c:formatCode>
                <c:ptCount val="1"/>
                <c:pt idx="0">
                  <c:v>0</c:v>
                </c:pt>
              </c:numCache>
            </c:numRef>
          </c:cat>
          <c:val>
            <c:numRef>
              <c:f>'Users Input'!LAM</c:f>
              <c:numCache>
                <c:formatCode>#,##0</c:formatCode>
                <c:ptCount val="1"/>
              </c:numCache>
            </c:numRef>
          </c:val>
          <c:extLst>
            <c:ext xmlns:c16="http://schemas.microsoft.com/office/drawing/2014/chart" uri="{C3380CC4-5D6E-409C-BE32-E72D297353CC}">
              <c16:uniqueId val="{00000000-BD2C-4796-B825-4169D609F497}"/>
            </c:ext>
          </c:extLst>
        </c:ser>
        <c:ser>
          <c:idx val="1"/>
          <c:order val="1"/>
          <c:tx>
            <c:strRef>
              <c:f>'Users Input'!$C$43</c:f>
              <c:strCache>
                <c:ptCount val="1"/>
                <c:pt idx="0">
                  <c:v>MJF (Jours fixes)</c:v>
                </c:pt>
              </c:strCache>
            </c:strRef>
          </c:tx>
          <c:spPr>
            <a:solidFill>
              <a:schemeClr val="accent2"/>
            </a:solidFill>
            <a:ln>
              <a:noFill/>
            </a:ln>
            <a:effectLst/>
          </c:spPr>
          <c:invertIfNegative val="0"/>
          <c:cat>
            <c:numRef>
              <c:f>'Users Input'!Year_U</c:f>
              <c:numCache>
                <c:formatCode>General</c:formatCode>
                <c:ptCount val="1"/>
                <c:pt idx="0">
                  <c:v>0</c:v>
                </c:pt>
              </c:numCache>
            </c:numRef>
          </c:cat>
          <c:val>
            <c:numRef>
              <c:f>'Users Input'!SDM</c:f>
              <c:numCache>
                <c:formatCode>#,##0</c:formatCode>
                <c:ptCount val="1"/>
              </c:numCache>
            </c:numRef>
          </c:val>
          <c:extLst>
            <c:ext xmlns:c16="http://schemas.microsoft.com/office/drawing/2014/chart" uri="{C3380CC4-5D6E-409C-BE32-E72D297353CC}">
              <c16:uniqueId val="{00000001-BD2C-4796-B825-4169D609F497}"/>
            </c:ext>
          </c:extLst>
        </c:ser>
        <c:ser>
          <c:idx val="2"/>
          <c:order val="2"/>
          <c:tx>
            <c:strRef>
              <c:f>'Users Input'!$C$44</c:f>
              <c:strCache>
                <c:ptCount val="1"/>
                <c:pt idx="0">
                  <c:v>Barrière vaginale</c:v>
                </c:pt>
              </c:strCache>
            </c:strRef>
          </c:tx>
          <c:spPr>
            <a:solidFill>
              <a:schemeClr val="accent3"/>
            </a:solidFill>
            <a:ln>
              <a:noFill/>
            </a:ln>
            <a:effectLst/>
          </c:spPr>
          <c:invertIfNegative val="0"/>
          <c:cat>
            <c:numRef>
              <c:f>'Users Input'!Year_U</c:f>
              <c:numCache>
                <c:formatCode>General</c:formatCode>
                <c:ptCount val="1"/>
                <c:pt idx="0">
                  <c:v>0</c:v>
                </c:pt>
              </c:numCache>
            </c:numRef>
          </c:cat>
          <c:val>
            <c:numRef>
              <c:f>'Users Input'!VBarrier</c:f>
              <c:numCache>
                <c:formatCode>#,##0</c:formatCode>
                <c:ptCount val="1"/>
              </c:numCache>
            </c:numRef>
          </c:val>
          <c:extLst>
            <c:ext xmlns:c16="http://schemas.microsoft.com/office/drawing/2014/chart" uri="{C3380CC4-5D6E-409C-BE32-E72D297353CC}">
              <c16:uniqueId val="{00000002-BD2C-4796-B825-4169D609F497}"/>
            </c:ext>
          </c:extLst>
        </c:ser>
        <c:ser>
          <c:idx val="3"/>
          <c:order val="3"/>
          <c:tx>
            <c:strRef>
              <c:f>'Users Input'!$C$45</c:f>
              <c:strCache>
                <c:ptCount val="1"/>
                <c:pt idx="0">
                  <c:v>Spermicides</c:v>
                </c:pt>
              </c:strCache>
            </c:strRef>
          </c:tx>
          <c:spPr>
            <a:solidFill>
              <a:schemeClr val="accent4"/>
            </a:solidFill>
            <a:ln>
              <a:noFill/>
            </a:ln>
            <a:effectLst/>
          </c:spPr>
          <c:invertIfNegative val="0"/>
          <c:cat>
            <c:numRef>
              <c:f>'Users Input'!Year_U</c:f>
              <c:numCache>
                <c:formatCode>General</c:formatCode>
                <c:ptCount val="1"/>
                <c:pt idx="0">
                  <c:v>0</c:v>
                </c:pt>
              </c:numCache>
            </c:numRef>
          </c:cat>
          <c:val>
            <c:numRef>
              <c:f>'Users Input'!Spermicide</c:f>
              <c:numCache>
                <c:formatCode>#,##0</c:formatCode>
                <c:ptCount val="1"/>
              </c:numCache>
            </c:numRef>
          </c:val>
          <c:extLst>
            <c:ext xmlns:c16="http://schemas.microsoft.com/office/drawing/2014/chart" uri="{C3380CC4-5D6E-409C-BE32-E72D297353CC}">
              <c16:uniqueId val="{00000003-BD2C-4796-B825-4169D609F497}"/>
            </c:ext>
          </c:extLst>
        </c:ser>
        <c:dLbls>
          <c:showLegendKey val="0"/>
          <c:showVal val="0"/>
          <c:showCatName val="0"/>
          <c:showSerName val="0"/>
          <c:showPercent val="0"/>
          <c:showBubbleSize val="0"/>
        </c:dLbls>
        <c:gapWidth val="50"/>
        <c:axId val="320856328"/>
        <c:axId val="320863544"/>
      </c:barChart>
      <c:catAx>
        <c:axId val="320856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863544"/>
        <c:crosses val="autoZero"/>
        <c:auto val="1"/>
        <c:lblAlgn val="ctr"/>
        <c:lblOffset val="100"/>
        <c:noMultiLvlLbl val="0"/>
      </c:catAx>
      <c:valAx>
        <c:axId val="32086354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856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'Users Input'!$C$46</c:f>
              <c:strCache>
                <c:ptCount val="1"/>
                <c:pt idx="0">
                  <c:v>CU</c:v>
                </c:pt>
              </c:strCache>
            </c:strRef>
          </c:tx>
          <c:spPr>
            <a:solidFill>
              <a:schemeClr val="accent1"/>
            </a:solidFill>
            <a:ln>
              <a:noFill/>
            </a:ln>
            <a:effectLst/>
          </c:spPr>
          <c:invertIfNegative val="0"/>
          <c:cat>
            <c:numRef>
              <c:f>'Users Input'!Year_U</c:f>
              <c:numCache>
                <c:formatCode>General</c:formatCode>
                <c:ptCount val="1"/>
                <c:pt idx="0">
                  <c:v>0</c:v>
                </c:pt>
              </c:numCache>
            </c:numRef>
          </c:cat>
          <c:val>
            <c:numRef>
              <c:f>'Users Input'!EC</c:f>
              <c:numCache>
                <c:formatCode>#,##0</c:formatCode>
                <c:ptCount val="1"/>
              </c:numCache>
            </c:numRef>
          </c:val>
          <c:extLst>
            <c:ext xmlns:c16="http://schemas.microsoft.com/office/drawing/2014/chart" uri="{C3380CC4-5D6E-409C-BE32-E72D297353CC}">
              <c16:uniqueId val="{00000000-168D-4B43-9072-16894F97EFD3}"/>
            </c:ext>
          </c:extLst>
        </c:ser>
        <c:dLbls>
          <c:showLegendKey val="0"/>
          <c:showVal val="0"/>
          <c:showCatName val="0"/>
          <c:showSerName val="0"/>
          <c:showPercent val="0"/>
          <c:showBubbleSize val="0"/>
        </c:dLbls>
        <c:gapWidth val="50"/>
        <c:axId val="320856328"/>
        <c:axId val="320863544"/>
      </c:barChart>
      <c:catAx>
        <c:axId val="320856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863544"/>
        <c:crosses val="autoZero"/>
        <c:auto val="1"/>
        <c:lblAlgn val="ctr"/>
        <c:lblOffset val="100"/>
        <c:noMultiLvlLbl val="0"/>
      </c:catAx>
      <c:valAx>
        <c:axId val="32086354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856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'Users Input'!$B$47</c:f>
              <c:strCache>
                <c:ptCount val="1"/>
                <c:pt idx="0">
                  <c:v>Utilisatrices de PF</c:v>
                </c:pt>
              </c:strCache>
            </c:strRef>
          </c:tx>
          <c:spPr>
            <a:solidFill>
              <a:schemeClr val="accent1"/>
            </a:solidFill>
            <a:ln>
              <a:noFill/>
            </a:ln>
            <a:effectLst/>
          </c:spPr>
          <c:invertIfNegative val="0"/>
          <c:cat>
            <c:numRef>
              <c:f>'Users Input'!Year_U</c:f>
              <c:numCache>
                <c:formatCode>General</c:formatCode>
                <c:ptCount val="1"/>
                <c:pt idx="0">
                  <c:v>0</c:v>
                </c:pt>
              </c:numCache>
            </c:numRef>
          </c:cat>
          <c:val>
            <c:numRef>
              <c:f>'Users Input'!CYP_U</c:f>
              <c:numCache>
                <c:formatCode>#,##0_);\(#,##0\)</c:formatCode>
                <c:ptCount val="1"/>
                <c:pt idx="0">
                  <c:v>0</c:v>
                </c:pt>
              </c:numCache>
            </c:numRef>
          </c:val>
          <c:extLst>
            <c:ext xmlns:c16="http://schemas.microsoft.com/office/drawing/2014/chart" uri="{C3380CC4-5D6E-409C-BE32-E72D297353CC}">
              <c16:uniqueId val="{00000000-053B-4451-AB31-F2B394B485C2}"/>
            </c:ext>
          </c:extLst>
        </c:ser>
        <c:dLbls>
          <c:showLegendKey val="0"/>
          <c:showVal val="0"/>
          <c:showCatName val="0"/>
          <c:showSerName val="0"/>
          <c:showPercent val="0"/>
          <c:showBubbleSize val="0"/>
        </c:dLbls>
        <c:gapWidth val="50"/>
        <c:axId val="320856328"/>
        <c:axId val="320863544"/>
      </c:barChart>
      <c:catAx>
        <c:axId val="320856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863544"/>
        <c:crosses val="autoZero"/>
        <c:auto val="1"/>
        <c:lblAlgn val="ctr"/>
        <c:lblOffset val="100"/>
        <c:noMultiLvlLbl val="0"/>
      </c:catAx>
      <c:valAx>
        <c:axId val="32086354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856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19590700019262"/>
          <c:y val="2.2922629207520789E-2"/>
          <c:w val="0.71412102597594496"/>
          <c:h val="0.89656780255012747"/>
        </c:manualLayout>
      </c:layout>
      <c:lineChart>
        <c:grouping val="standard"/>
        <c:varyColors val="0"/>
        <c:ser>
          <c:idx val="0"/>
          <c:order val="0"/>
          <c:tx>
            <c:strRef>
              <c:f>'Users Output'!$C$7</c:f>
              <c:strCache>
                <c:ptCount val="1"/>
                <c:pt idx="0">
                  <c:v>Stérilisation (f)</c:v>
                </c:pt>
              </c:strCache>
            </c:strRef>
          </c:tx>
          <c:spPr>
            <a:ln w="38100" cap="rnd">
              <a:solidFill>
                <a:schemeClr val="accent6"/>
              </a:solidFill>
              <a:round/>
            </a:ln>
            <a:effectLst/>
          </c:spPr>
          <c:marker>
            <c:symbol val="none"/>
          </c:marker>
          <c:cat>
            <c:numRef>
              <c:f>[0]!Year_U</c:f>
              <c:numCache>
                <c:formatCode>General</c:formatCode>
                <c:ptCount val="1"/>
                <c:pt idx="0">
                  <c:v>0</c:v>
                </c:pt>
              </c:numCache>
            </c:numRef>
          </c:cat>
          <c:val>
            <c:numRef>
              <c:f>'Users Output'!Users_Sterilization</c:f>
              <c:numCache>
                <c:formatCode>#,##0</c:formatCode>
                <c:ptCount val="1"/>
                <c:pt idx="0">
                  <c:v>#N/A</c:v>
                </c:pt>
              </c:numCache>
            </c:numRef>
          </c:val>
          <c:smooth val="0"/>
          <c:extLst>
            <c:ext xmlns:c16="http://schemas.microsoft.com/office/drawing/2014/chart" uri="{C3380CC4-5D6E-409C-BE32-E72D297353CC}">
              <c16:uniqueId val="{00000001-D62D-4E8D-9424-01797BBB6EE4}"/>
            </c:ext>
          </c:extLst>
        </c:ser>
        <c:ser>
          <c:idx val="8"/>
          <c:order val="1"/>
          <c:tx>
            <c:strRef>
              <c:f>'Users Output'!$C$8</c:f>
              <c:strCache>
                <c:ptCount val="1"/>
                <c:pt idx="0">
                  <c:v>Stérilisation (m)</c:v>
                </c:pt>
              </c:strCache>
            </c:strRef>
          </c:tx>
          <c:spPr>
            <a:ln w="38100" cap="rnd">
              <a:solidFill>
                <a:schemeClr val="accent6">
                  <a:lumMod val="50000"/>
                </a:schemeClr>
              </a:solidFill>
              <a:round/>
            </a:ln>
            <a:effectLst/>
          </c:spPr>
          <c:marker>
            <c:symbol val="none"/>
          </c:marker>
          <c:cat>
            <c:numRef>
              <c:f>[0]!Year_U</c:f>
              <c:numCache>
                <c:formatCode>General</c:formatCode>
                <c:ptCount val="1"/>
                <c:pt idx="0">
                  <c:v>0</c:v>
                </c:pt>
              </c:numCache>
            </c:numRef>
          </c:cat>
          <c:val>
            <c:numRef>
              <c:f>'Users Output'!Users_SterilizationM</c:f>
              <c:numCache>
                <c:formatCode>#,##0</c:formatCode>
                <c:ptCount val="1"/>
                <c:pt idx="0">
                  <c:v>#N/A</c:v>
                </c:pt>
              </c:numCache>
            </c:numRef>
          </c:val>
          <c:smooth val="0"/>
          <c:extLst>
            <c:ext xmlns:c16="http://schemas.microsoft.com/office/drawing/2014/chart" uri="{C3380CC4-5D6E-409C-BE32-E72D297353CC}">
              <c16:uniqueId val="{00000003-D62D-4E8D-9424-01797BBB6EE4}"/>
            </c:ext>
          </c:extLst>
        </c:ser>
        <c:ser>
          <c:idx val="1"/>
          <c:order val="2"/>
          <c:tx>
            <c:strRef>
              <c:f>'Users Output'!$C$9</c:f>
              <c:strCache>
                <c:ptCount val="1"/>
                <c:pt idx="0">
                  <c:v>DIU</c:v>
                </c:pt>
              </c:strCache>
            </c:strRef>
          </c:tx>
          <c:spPr>
            <a:ln w="38100" cap="rnd">
              <a:solidFill>
                <a:schemeClr val="bg2"/>
              </a:solidFill>
              <a:round/>
            </a:ln>
            <a:effectLst/>
          </c:spPr>
          <c:marker>
            <c:symbol val="none"/>
          </c:marker>
          <c:cat>
            <c:numRef>
              <c:f>[0]!Year_U</c:f>
              <c:numCache>
                <c:formatCode>General</c:formatCode>
                <c:ptCount val="1"/>
                <c:pt idx="0">
                  <c:v>0</c:v>
                </c:pt>
              </c:numCache>
            </c:numRef>
          </c:cat>
          <c:val>
            <c:numRef>
              <c:f>'Users Output'!Users_IUD</c:f>
              <c:numCache>
                <c:formatCode>#,##0</c:formatCode>
                <c:ptCount val="1"/>
                <c:pt idx="0">
                  <c:v>#N/A</c:v>
                </c:pt>
              </c:numCache>
            </c:numRef>
          </c:val>
          <c:smooth val="0"/>
          <c:extLst>
            <c:ext xmlns:c16="http://schemas.microsoft.com/office/drawing/2014/chart" uri="{C3380CC4-5D6E-409C-BE32-E72D297353CC}">
              <c16:uniqueId val="{00000005-D62D-4E8D-9424-01797BBB6EE4}"/>
            </c:ext>
          </c:extLst>
        </c:ser>
        <c:ser>
          <c:idx val="2"/>
          <c:order val="3"/>
          <c:tx>
            <c:strRef>
              <c:f>'Users Output'!$C$10</c:f>
              <c:strCache>
                <c:ptCount val="1"/>
                <c:pt idx="0">
                  <c:v>Implant</c:v>
                </c:pt>
              </c:strCache>
            </c:strRef>
          </c:tx>
          <c:spPr>
            <a:ln w="38100" cap="rnd">
              <a:solidFill>
                <a:schemeClr val="accent2"/>
              </a:solidFill>
              <a:round/>
            </a:ln>
            <a:effectLst/>
          </c:spPr>
          <c:marker>
            <c:symbol val="none"/>
          </c:marker>
          <c:cat>
            <c:numRef>
              <c:f>[0]!Year_U</c:f>
              <c:numCache>
                <c:formatCode>General</c:formatCode>
                <c:ptCount val="1"/>
                <c:pt idx="0">
                  <c:v>0</c:v>
                </c:pt>
              </c:numCache>
            </c:numRef>
          </c:cat>
          <c:val>
            <c:numRef>
              <c:f>'Users Output'!Users_Implant</c:f>
              <c:numCache>
                <c:formatCode>#,##0</c:formatCode>
                <c:ptCount val="1"/>
                <c:pt idx="0">
                  <c:v>#N/A</c:v>
                </c:pt>
              </c:numCache>
            </c:numRef>
          </c:val>
          <c:smooth val="0"/>
          <c:extLst>
            <c:ext xmlns:c16="http://schemas.microsoft.com/office/drawing/2014/chart" uri="{C3380CC4-5D6E-409C-BE32-E72D297353CC}">
              <c16:uniqueId val="{00000007-D62D-4E8D-9424-01797BBB6EE4}"/>
            </c:ext>
          </c:extLst>
        </c:ser>
        <c:ser>
          <c:idx val="3"/>
          <c:order val="4"/>
          <c:tx>
            <c:strRef>
              <c:f>'Users Output'!$C$11</c:f>
              <c:strCache>
                <c:ptCount val="1"/>
                <c:pt idx="0">
                  <c:v>Produits injectables</c:v>
                </c:pt>
              </c:strCache>
            </c:strRef>
          </c:tx>
          <c:spPr>
            <a:ln w="38100" cap="rnd">
              <a:solidFill>
                <a:schemeClr val="tx2"/>
              </a:solidFill>
              <a:round/>
            </a:ln>
            <a:effectLst/>
          </c:spPr>
          <c:marker>
            <c:symbol val="none"/>
          </c:marker>
          <c:cat>
            <c:numRef>
              <c:f>[0]!Year_U</c:f>
              <c:numCache>
                <c:formatCode>General</c:formatCode>
                <c:ptCount val="1"/>
                <c:pt idx="0">
                  <c:v>0</c:v>
                </c:pt>
              </c:numCache>
            </c:numRef>
          </c:cat>
          <c:val>
            <c:numRef>
              <c:f>'Users Output'!Users_Injectable</c:f>
              <c:numCache>
                <c:formatCode>#,##0</c:formatCode>
                <c:ptCount val="1"/>
                <c:pt idx="0">
                  <c:v>#N/A</c:v>
                </c:pt>
              </c:numCache>
            </c:numRef>
          </c:val>
          <c:smooth val="0"/>
          <c:extLst>
            <c:ext xmlns:c16="http://schemas.microsoft.com/office/drawing/2014/chart" uri="{C3380CC4-5D6E-409C-BE32-E72D297353CC}">
              <c16:uniqueId val="{00000009-D62D-4E8D-9424-01797BBB6EE4}"/>
            </c:ext>
          </c:extLst>
        </c:ser>
        <c:ser>
          <c:idx val="4"/>
          <c:order val="5"/>
          <c:tx>
            <c:strRef>
              <c:f>'Users Output'!$C$12</c:f>
              <c:strCache>
                <c:ptCount val="1"/>
                <c:pt idx="0">
                  <c:v>Pilule</c:v>
                </c:pt>
              </c:strCache>
            </c:strRef>
          </c:tx>
          <c:spPr>
            <a:ln w="38100" cap="rnd">
              <a:solidFill>
                <a:schemeClr val="accent1"/>
              </a:solidFill>
              <a:round/>
            </a:ln>
            <a:effectLst/>
          </c:spPr>
          <c:marker>
            <c:symbol val="none"/>
          </c:marker>
          <c:cat>
            <c:numRef>
              <c:f>[0]!Year_U</c:f>
              <c:numCache>
                <c:formatCode>General</c:formatCode>
                <c:ptCount val="1"/>
                <c:pt idx="0">
                  <c:v>0</c:v>
                </c:pt>
              </c:numCache>
            </c:numRef>
          </c:cat>
          <c:val>
            <c:numRef>
              <c:f>'Users Output'!Users_OC</c:f>
              <c:numCache>
                <c:formatCode>#,##0</c:formatCode>
                <c:ptCount val="1"/>
                <c:pt idx="0">
                  <c:v>#N/A</c:v>
                </c:pt>
              </c:numCache>
            </c:numRef>
          </c:val>
          <c:smooth val="0"/>
          <c:extLst>
            <c:ext xmlns:c16="http://schemas.microsoft.com/office/drawing/2014/chart" uri="{C3380CC4-5D6E-409C-BE32-E72D297353CC}">
              <c16:uniqueId val="{0000000B-D62D-4E8D-9424-01797BBB6EE4}"/>
            </c:ext>
          </c:extLst>
        </c:ser>
        <c:ser>
          <c:idx val="5"/>
          <c:order val="6"/>
          <c:tx>
            <c:strRef>
              <c:f>'Users Output'!$C$13</c:f>
              <c:strCache>
                <c:ptCount val="1"/>
                <c:pt idx="0">
                  <c:v>Préservatifs (m+f)</c:v>
                </c:pt>
              </c:strCache>
            </c:strRef>
          </c:tx>
          <c:spPr>
            <a:ln w="38100" cap="rnd">
              <a:solidFill>
                <a:schemeClr val="accent3"/>
              </a:solidFill>
              <a:round/>
            </a:ln>
            <a:effectLst/>
          </c:spPr>
          <c:marker>
            <c:symbol val="none"/>
          </c:marker>
          <c:cat>
            <c:numRef>
              <c:f>[0]!Year_U</c:f>
              <c:numCache>
                <c:formatCode>General</c:formatCode>
                <c:ptCount val="1"/>
                <c:pt idx="0">
                  <c:v>0</c:v>
                </c:pt>
              </c:numCache>
            </c:numRef>
          </c:cat>
          <c:val>
            <c:numRef>
              <c:f>'Users Output'!Users_Condom</c:f>
              <c:numCache>
                <c:formatCode>#,##0</c:formatCode>
                <c:ptCount val="1"/>
                <c:pt idx="0">
                  <c:v>#N/A</c:v>
                </c:pt>
              </c:numCache>
            </c:numRef>
          </c:val>
          <c:smooth val="0"/>
          <c:extLst>
            <c:ext xmlns:c16="http://schemas.microsoft.com/office/drawing/2014/chart" uri="{C3380CC4-5D6E-409C-BE32-E72D297353CC}">
              <c16:uniqueId val="{0000000D-D62D-4E8D-9424-01797BBB6EE4}"/>
            </c:ext>
          </c:extLst>
        </c:ser>
        <c:ser>
          <c:idx val="6"/>
          <c:order val="7"/>
          <c:tx>
            <c:strRef>
              <c:f>'Users Output'!$C$14</c:f>
              <c:strCache>
                <c:ptCount val="1"/>
                <c:pt idx="0">
                  <c:v>MAMA</c:v>
                </c:pt>
              </c:strCache>
            </c:strRef>
          </c:tx>
          <c:spPr>
            <a:ln w="38100" cap="rnd">
              <a:solidFill>
                <a:schemeClr val="accent5"/>
              </a:solidFill>
              <a:round/>
            </a:ln>
            <a:effectLst/>
          </c:spPr>
          <c:marker>
            <c:symbol val="none"/>
          </c:marker>
          <c:cat>
            <c:numRef>
              <c:f>[0]!Year_U</c:f>
              <c:numCache>
                <c:formatCode>General</c:formatCode>
                <c:ptCount val="1"/>
                <c:pt idx="0">
                  <c:v>0</c:v>
                </c:pt>
              </c:numCache>
            </c:numRef>
          </c:cat>
          <c:val>
            <c:numRef>
              <c:f>'Users Output'!Users_LAM</c:f>
              <c:numCache>
                <c:formatCode>#,##0</c:formatCode>
                <c:ptCount val="1"/>
                <c:pt idx="0">
                  <c:v>#N/A</c:v>
                </c:pt>
              </c:numCache>
            </c:numRef>
          </c:val>
          <c:smooth val="0"/>
          <c:extLst>
            <c:ext xmlns:c16="http://schemas.microsoft.com/office/drawing/2014/chart" uri="{C3380CC4-5D6E-409C-BE32-E72D297353CC}">
              <c16:uniqueId val="{0000000F-D62D-4E8D-9424-01797BBB6EE4}"/>
            </c:ext>
          </c:extLst>
        </c:ser>
        <c:ser>
          <c:idx val="7"/>
          <c:order val="8"/>
          <c:tx>
            <c:strRef>
              <c:f>'Users Output'!$C$15</c:f>
              <c:strCache>
                <c:ptCount val="1"/>
                <c:pt idx="0">
                  <c:v>Autres méthodes modernes</c:v>
                </c:pt>
              </c:strCache>
            </c:strRef>
          </c:tx>
          <c:spPr>
            <a:ln w="38100" cap="rnd">
              <a:solidFill>
                <a:schemeClr val="accent4"/>
              </a:solidFill>
              <a:round/>
            </a:ln>
            <a:effectLst/>
          </c:spPr>
          <c:marker>
            <c:symbol val="none"/>
          </c:marker>
          <c:cat>
            <c:numRef>
              <c:f>[0]!Year_U</c:f>
              <c:numCache>
                <c:formatCode>General</c:formatCode>
                <c:ptCount val="1"/>
                <c:pt idx="0">
                  <c:v>0</c:v>
                </c:pt>
              </c:numCache>
            </c:numRef>
          </c:cat>
          <c:val>
            <c:numRef>
              <c:f>'Users Output'!Users_OMM</c:f>
              <c:numCache>
                <c:formatCode>#,##0</c:formatCode>
                <c:ptCount val="1"/>
                <c:pt idx="0">
                  <c:v>#N/A</c:v>
                </c:pt>
              </c:numCache>
            </c:numRef>
          </c:val>
          <c:smooth val="0"/>
          <c:extLst>
            <c:ext xmlns:c16="http://schemas.microsoft.com/office/drawing/2014/chart" uri="{C3380CC4-5D6E-409C-BE32-E72D297353CC}">
              <c16:uniqueId val="{00000011-D62D-4E8D-9424-01797BBB6EE4}"/>
            </c:ext>
          </c:extLst>
        </c:ser>
        <c:dLbls>
          <c:showLegendKey val="0"/>
          <c:showVal val="0"/>
          <c:showCatName val="0"/>
          <c:showSerName val="0"/>
          <c:showPercent val="0"/>
          <c:showBubbleSize val="0"/>
        </c:dLbls>
        <c:smooth val="0"/>
        <c:axId val="254310568"/>
        <c:axId val="254304336"/>
      </c:lineChart>
      <c:catAx>
        <c:axId val="254310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254304336"/>
        <c:crosses val="autoZero"/>
        <c:auto val="1"/>
        <c:lblAlgn val="ctr"/>
        <c:lblOffset val="100"/>
        <c:noMultiLvlLbl val="0"/>
      </c:catAx>
      <c:valAx>
        <c:axId val="254304336"/>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b="0"/>
                </a:pPr>
                <a:r>
                  <a:rPr lang="en-US" b="0"/>
                  <a:t>Users / Utilisateurs</a:t>
                </a:r>
              </a:p>
            </c:rich>
          </c:tx>
          <c:overlay val="0"/>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254310568"/>
        <c:crosses val="autoZero"/>
        <c:crossBetween val="between"/>
      </c:valAx>
    </c:plotArea>
    <c:legend>
      <c:legendPos val="b"/>
      <c:layout>
        <c:manualLayout>
          <c:xMode val="edge"/>
          <c:yMode val="edge"/>
          <c:x val="0.81583094998234951"/>
          <c:y val="0"/>
          <c:w val="0.18416899029500675"/>
          <c:h val="0.99678862121227718"/>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'Users Output'!$U$31</c:f>
              <c:strCache>
                <c:ptCount val="1"/>
                <c:pt idx="0">
                  <c:v>Average Annual Growth</c:v>
                </c:pt>
              </c:strCache>
            </c:strRef>
          </c:tx>
          <c:spPr>
            <a:solidFill>
              <a:schemeClr val="accent1"/>
            </a:solidFill>
            <a:ln>
              <a:noFill/>
            </a:ln>
            <a:effectLst/>
          </c:spPr>
          <c:invertIfNegative val="0"/>
          <c:dPt>
            <c:idx val="0"/>
            <c:invertIfNegative val="0"/>
            <c:bubble3D val="0"/>
            <c:spPr>
              <a:solidFill>
                <a:schemeClr val="accent3"/>
              </a:solidFill>
              <a:ln>
                <a:noFill/>
              </a:ln>
              <a:effectLst/>
            </c:spPr>
            <c:extLst>
              <c:ext xmlns:c16="http://schemas.microsoft.com/office/drawing/2014/chart" uri="{C3380CC4-5D6E-409C-BE32-E72D297353CC}">
                <c16:uniqueId val="{00000003-9984-4E8F-9CFA-D23FC74AD9B3}"/>
              </c:ext>
            </c:extLst>
          </c:dPt>
          <c:dPt>
            <c:idx val="1"/>
            <c:invertIfNegative val="0"/>
            <c:bubble3D val="0"/>
            <c:spPr>
              <a:solidFill>
                <a:schemeClr val="accent6"/>
              </a:solidFill>
              <a:ln>
                <a:noFill/>
              </a:ln>
              <a:effectLst/>
            </c:spPr>
            <c:extLst>
              <c:ext xmlns:c16="http://schemas.microsoft.com/office/drawing/2014/chart" uri="{C3380CC4-5D6E-409C-BE32-E72D297353CC}">
                <c16:uniqueId val="{0000000D-F05B-49C2-B7C6-2EEAEF805552}"/>
              </c:ext>
            </c:extLst>
          </c:dPt>
          <c:dPt>
            <c:idx val="2"/>
            <c:invertIfNegative val="0"/>
            <c:bubble3D val="0"/>
            <c:spPr>
              <a:solidFill>
                <a:schemeClr val="accent1">
                  <a:lumMod val="40000"/>
                  <a:lumOff val="60000"/>
                </a:schemeClr>
              </a:solidFill>
              <a:ln>
                <a:solidFill>
                  <a:schemeClr val="accent1">
                    <a:lumMod val="40000"/>
                    <a:lumOff val="60000"/>
                  </a:schemeClr>
                </a:solidFill>
              </a:ln>
              <a:effectLst/>
            </c:spPr>
            <c:extLst>
              <c:ext xmlns:c16="http://schemas.microsoft.com/office/drawing/2014/chart" uri="{C3380CC4-5D6E-409C-BE32-E72D297353CC}">
                <c16:uniqueId val="{00000007-9984-4E8F-9CFA-D23FC74AD9B3}"/>
              </c:ext>
            </c:extLst>
          </c:dPt>
          <c:dPt>
            <c:idx val="3"/>
            <c:invertIfNegative val="0"/>
            <c:bubble3D val="0"/>
            <c:spPr>
              <a:solidFill>
                <a:schemeClr val="tx2"/>
              </a:solidFill>
              <a:ln>
                <a:noFill/>
              </a:ln>
              <a:effectLst/>
            </c:spPr>
            <c:extLst>
              <c:ext xmlns:c16="http://schemas.microsoft.com/office/drawing/2014/chart" uri="{C3380CC4-5D6E-409C-BE32-E72D297353CC}">
                <c16:uniqueId val="{00000007-D24F-4316-AEE6-E4CA3DB08D24}"/>
              </c:ext>
            </c:extLst>
          </c:dPt>
          <c:dLbls>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3"/>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3-9984-4E8F-9CFA-D23FC74AD9B3}"/>
                </c:ext>
              </c:extLst>
            </c:dLbl>
            <c:dLbl>
              <c:idx val="1"/>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6"/>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D-F05B-49C2-B7C6-2EEAEF805552}"/>
                </c:ext>
              </c:extLst>
            </c:dLbl>
            <c:dLbl>
              <c:idx val="2"/>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1">
                          <a:lumMod val="40000"/>
                          <a:lumOff val="60000"/>
                        </a:schemeClr>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7-9984-4E8F-9CFA-D23FC74AD9B3}"/>
                </c:ext>
              </c:extLst>
            </c:dLbl>
            <c:dLbl>
              <c:idx val="3"/>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7-D24F-4316-AEE6-E4CA3DB08D24}"/>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'Users Output'!$C$33:$C$40</c15:sqref>
                  </c15:fullRef>
                </c:ext>
              </c:extLst>
              <c:f>('Users Output'!$C$36:$C$37,'Users Output'!$C$39:$C$40)</c:f>
              <c:strCache>
                <c:ptCount val="4"/>
                <c:pt idx="0">
                  <c:v>TPCm (TF): DHS</c:v>
                </c:pt>
                <c:pt idx="1">
                  <c:v>TPCm (TF): FPET Global Run (2022)</c:v>
                </c:pt>
                <c:pt idx="2">
                  <c:v>EUM: Produits inc. Préservatifs</c:v>
                </c:pt>
                <c:pt idx="3">
                  <c:v>EUM: Produits ex. Préservatifs</c:v>
                </c:pt>
              </c:strCache>
            </c:strRef>
          </c:cat>
          <c:val>
            <c:numRef>
              <c:extLst>
                <c:ext xmlns:c15="http://schemas.microsoft.com/office/drawing/2012/chart" uri="{02D57815-91ED-43cb-92C2-25804820EDAC}">
                  <c15:fullRef>
                    <c15:sqref>'Users Output'!$U$33:$U$40</c15:sqref>
                  </c15:fullRef>
                </c:ext>
              </c:extLst>
              <c:f>('Users Output'!$U$36:$U$37,'Users Output'!$U$39:$U$40)</c:f>
              <c:numCache>
                <c:formatCode>0.0%</c:formatCode>
                <c:ptCount val="4"/>
                <c:pt idx="0">
                  <c:v>#N/A</c:v>
                </c:pt>
                <c:pt idx="1">
                  <c:v>0</c:v>
                </c:pt>
                <c:pt idx="2">
                  <c:v>0</c:v>
                </c:pt>
                <c:pt idx="3">
                  <c:v>0</c:v>
                </c:pt>
              </c:numCache>
            </c:numRef>
          </c:val>
          <c:extLst>
            <c:ext xmlns:c15="http://schemas.microsoft.com/office/drawing/2012/chart" uri="{02D57815-91ED-43cb-92C2-25804820EDAC}">
              <c15:categoryFilterExceptions>
                <c15:categoryFilterException>
                  <c15:sqref>'Users Output'!$U$33</c15:sqref>
                  <c15:spPr xmlns:c15="http://schemas.microsoft.com/office/drawing/2012/chart">
                    <a:solidFill>
                      <a:schemeClr val="accent6"/>
                    </a:solidFill>
                    <a:ln>
                      <a:noFill/>
                    </a:ln>
                    <a:effectLst/>
                  </c15:spPr>
                  <c15:invertIfNegative val="0"/>
                  <c15:bubble3D val="0"/>
                  <c15:dLbl>
                    <c:idx val="-1"/>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3"/>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9-4D7D-4FF6-A13E-04025624F7E4}"/>
                      </c:ext>
                    </c:extLst>
                  </c15:dLbl>
                </c15:categoryFilterException>
                <c15:categoryFilterException>
                  <c15:sqref>'Users Output'!$U$34</c15:sqref>
                  <c15:spPr xmlns:c15="http://schemas.microsoft.com/office/drawing/2012/chart">
                    <a:solidFill>
                      <a:schemeClr val="accent6"/>
                    </a:solidFill>
                    <a:ln>
                      <a:noFill/>
                    </a:ln>
                    <a:effectLst/>
                  </c15:spPr>
                  <c15:invertIfNegative val="0"/>
                  <c15:bubble3D val="0"/>
                  <c15:dLbl>
                    <c:idx val="-1"/>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6"/>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B-4D7D-4FF6-A13E-04025624F7E4}"/>
                      </c:ext>
                    </c:extLst>
                  </c15:dLbl>
                </c15:categoryFilterException>
                <c15:categoryFilterException>
                  <c15:sqref>'Users Output'!$U$35</c15:sqref>
                  <c15:spPr xmlns:c15="http://schemas.microsoft.com/office/drawing/2012/chart">
                    <a:solidFill>
                      <a:schemeClr val="tx2">
                        <a:lumMod val="40000"/>
                        <a:lumOff val="60000"/>
                      </a:schemeClr>
                    </a:solidFill>
                    <a:ln>
                      <a:noFill/>
                    </a:ln>
                    <a:effectLst/>
                  </c15:spPr>
                  <c15:invertIfNegative val="0"/>
                  <c15:bubble3D val="0"/>
                  <c15:dLbl>
                    <c:idx val="-1"/>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lumMod val="40000"/>
                                <a:lumOff val="60000"/>
                              </a:schemeClr>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D-4D7D-4FF6-A13E-04025624F7E4}"/>
                      </c:ext>
                    </c:extLst>
                  </c15:dLbl>
                </c15:categoryFilterException>
                <c15:categoryFilterException>
                  <c15:sqref>'Users Output'!$U$38</c15:sqref>
                  <c15:spPr xmlns:c15="http://schemas.microsoft.com/office/drawing/2012/chart">
                    <a:solidFill>
                      <a:schemeClr val="accent6">
                        <a:lumMod val="60000"/>
                        <a:lumOff val="40000"/>
                      </a:schemeClr>
                    </a:solidFill>
                    <a:ln>
                      <a:noFill/>
                    </a:ln>
                    <a:effectLst/>
                  </c15:spPr>
                  <c15:invertIfNegative val="0"/>
                  <c15:bubble3D val="0"/>
                  <c15:dLbl>
                    <c:idx val="1"/>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6">
                                <a:lumMod val="60000"/>
                                <a:lumOff val="40000"/>
                              </a:schemeClr>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F-4D7D-4FF6-A13E-04025624F7E4}"/>
                      </c:ext>
                    </c:extLst>
                  </c15:dLbl>
                </c15:categoryFilterException>
              </c15:categoryFilterExceptions>
            </c:ext>
            <c:ext xmlns:c16="http://schemas.microsoft.com/office/drawing/2014/chart" uri="{C3380CC4-5D6E-409C-BE32-E72D297353CC}">
              <c16:uniqueId val="{00000008-9984-4E8F-9CFA-D23FC74AD9B3}"/>
            </c:ext>
          </c:extLst>
        </c:ser>
        <c:dLbls>
          <c:showLegendKey val="0"/>
          <c:showVal val="0"/>
          <c:showCatName val="0"/>
          <c:showSerName val="0"/>
          <c:showPercent val="0"/>
          <c:showBubbleSize val="0"/>
        </c:dLbls>
        <c:gapWidth val="100"/>
        <c:axId val="607006176"/>
        <c:axId val="607006504"/>
      </c:barChart>
      <c:catAx>
        <c:axId val="6070061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crossAx val="607006504"/>
        <c:crosses val="autoZero"/>
        <c:auto val="1"/>
        <c:lblAlgn val="ctr"/>
        <c:lblOffset val="100"/>
        <c:noMultiLvlLbl val="0"/>
      </c:catAx>
      <c:valAx>
        <c:axId val="607006504"/>
        <c:scaling>
          <c:orientation val="minMax"/>
        </c:scaling>
        <c:delete val="0"/>
        <c:axPos val="b"/>
        <c:majorGridlines>
          <c:spPr>
            <a:ln w="9525" cap="flat" cmpd="sng" algn="ctr">
              <a:solidFill>
                <a:schemeClr val="tx1">
                  <a:lumMod val="15000"/>
                  <a:lumOff val="85000"/>
                </a:schemeClr>
              </a:solidFill>
              <a:round/>
            </a:ln>
            <a:effectLst/>
          </c:spPr>
        </c:majorGridlines>
        <c:title>
          <c:tx>
            <c:strRef>
              <c:f>'Users Output'!$AC$94</c:f>
              <c:strCache>
                <c:ptCount val="1"/>
                <c:pt idx="0">
                  <c:v>Augmentation annuelle moyenne en points de % du TPCM / EUM </c:v>
                </c:pt>
              </c:strCache>
            </c:strRef>
          </c:tx>
          <c:layout>
            <c:manualLayout>
              <c:xMode val="edge"/>
              <c:yMode val="edge"/>
              <c:x val="0.38424997280018502"/>
              <c:y val="0.90279265091863514"/>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lumMod val="65000"/>
                      <a:lumOff val="35000"/>
                    </a:sysClr>
                  </a:solidFill>
                  <a:latin typeface="+mn-lt"/>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607006176"/>
        <c:crosses val="autoZero"/>
        <c:crossBetween val="between"/>
      </c:valAx>
      <c:spPr>
        <a:noFill/>
        <a:ln>
          <a:noFill/>
        </a:ln>
        <a:effectLst/>
      </c:spPr>
    </c:plotArea>
    <c:plotVisOnly val="0"/>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19526429602449"/>
          <c:y val="5.833333681301222E-2"/>
          <c:w val="0.80016508481665172"/>
          <c:h val="0.67874992118527333"/>
        </c:manualLayout>
      </c:layout>
      <c:barChart>
        <c:barDir val="col"/>
        <c:grouping val="stacked"/>
        <c:varyColors val="0"/>
        <c:ser>
          <c:idx val="0"/>
          <c:order val="0"/>
          <c:tx>
            <c:strRef>
              <c:f>'Commodities (Clients) Input'!$C$32</c:f>
              <c:strCache>
                <c:ptCount val="1"/>
                <c:pt idx="0">
                  <c:v>Depo Provera (DMPA)</c:v>
                </c:pt>
              </c:strCache>
            </c:strRef>
          </c:tx>
          <c:spPr>
            <a:solidFill>
              <a:schemeClr val="bg2">
                <a:lumMod val="75000"/>
              </a:schemeClr>
            </a:solidFill>
            <a:ln>
              <a:solidFill>
                <a:schemeClr val="bg1"/>
              </a:solidFill>
            </a:ln>
            <a:effectLst/>
          </c:spPr>
          <c:invertIfNegative val="0"/>
          <c:cat>
            <c:numRef>
              <c:f>[0]!Year_C2C</c:f>
              <c:numCache>
                <c:formatCode>General</c:formatCode>
                <c:ptCount val="1"/>
                <c:pt idx="0">
                  <c:v>0</c:v>
                </c:pt>
              </c:numCache>
            </c:numRef>
          </c:cat>
          <c:val>
            <c:numRef>
              <c:f>'Commodities (Clients) Input'!Depo</c:f>
              <c:numCache>
                <c:formatCode>#,##0</c:formatCode>
                <c:ptCount val="1"/>
              </c:numCache>
            </c:numRef>
          </c:val>
          <c:extLst>
            <c:ext xmlns:c16="http://schemas.microsoft.com/office/drawing/2014/chart" uri="{C3380CC4-5D6E-409C-BE32-E72D297353CC}">
              <c16:uniqueId val="{00000000-9487-4CC5-B3C5-7FD7C8B0867B}"/>
            </c:ext>
          </c:extLst>
        </c:ser>
        <c:ser>
          <c:idx val="1"/>
          <c:order val="1"/>
          <c:tx>
            <c:strRef>
              <c:f>'Commodities (Clients) Input'!$C$33</c:f>
              <c:strCache>
                <c:ptCount val="1"/>
                <c:pt idx="0">
                  <c:v>Noristerat (NET-En)</c:v>
                </c:pt>
              </c:strCache>
            </c:strRef>
          </c:tx>
          <c:spPr>
            <a:solidFill>
              <a:schemeClr val="bg2"/>
            </a:solidFill>
            <a:ln>
              <a:solidFill>
                <a:schemeClr val="bg1"/>
              </a:solidFill>
            </a:ln>
            <a:effectLst/>
          </c:spPr>
          <c:invertIfNegative val="0"/>
          <c:cat>
            <c:numRef>
              <c:f>[0]!Year_C2C</c:f>
              <c:numCache>
                <c:formatCode>General</c:formatCode>
                <c:ptCount val="1"/>
                <c:pt idx="0">
                  <c:v>0</c:v>
                </c:pt>
              </c:numCache>
            </c:numRef>
          </c:cat>
          <c:val>
            <c:numRef>
              <c:f>'Commodities (Clients) Input'!Noristerat</c:f>
              <c:numCache>
                <c:formatCode>#,##0</c:formatCode>
                <c:ptCount val="1"/>
              </c:numCache>
            </c:numRef>
          </c:val>
          <c:extLst>
            <c:ext xmlns:c16="http://schemas.microsoft.com/office/drawing/2014/chart" uri="{C3380CC4-5D6E-409C-BE32-E72D297353CC}">
              <c16:uniqueId val="{00000001-9487-4CC5-B3C5-7FD7C8B0867B}"/>
            </c:ext>
          </c:extLst>
        </c:ser>
        <c:ser>
          <c:idx val="2"/>
          <c:order val="2"/>
          <c:tx>
            <c:strRef>
              <c:f>'Commodities (Clients) Input'!$C$34</c:f>
              <c:strCache>
                <c:ptCount val="1"/>
                <c:pt idx="0">
                  <c:v>Lunelle</c:v>
                </c:pt>
              </c:strCache>
            </c:strRef>
          </c:tx>
          <c:spPr>
            <a:solidFill>
              <a:schemeClr val="accent2"/>
            </a:solidFill>
            <a:ln>
              <a:solidFill>
                <a:schemeClr val="bg1"/>
              </a:solidFill>
            </a:ln>
            <a:effectLst/>
          </c:spPr>
          <c:invertIfNegative val="0"/>
          <c:cat>
            <c:numRef>
              <c:f>[0]!Year_C2C</c:f>
              <c:numCache>
                <c:formatCode>General</c:formatCode>
                <c:ptCount val="1"/>
                <c:pt idx="0">
                  <c:v>0</c:v>
                </c:pt>
              </c:numCache>
            </c:numRef>
          </c:cat>
          <c:val>
            <c:numRef>
              <c:f>'Commodities (Clients) Input'!Lunelle</c:f>
              <c:numCache>
                <c:formatCode>#,##0</c:formatCode>
                <c:ptCount val="1"/>
              </c:numCache>
            </c:numRef>
          </c:val>
          <c:extLst>
            <c:ext xmlns:c16="http://schemas.microsoft.com/office/drawing/2014/chart" uri="{C3380CC4-5D6E-409C-BE32-E72D297353CC}">
              <c16:uniqueId val="{00000002-9487-4CC5-B3C5-7FD7C8B0867B}"/>
            </c:ext>
          </c:extLst>
        </c:ser>
        <c:ser>
          <c:idx val="3"/>
          <c:order val="3"/>
          <c:tx>
            <c:strRef>
              <c:f>'Commodities (Clients) Input'!$C$35</c:f>
              <c:strCache>
                <c:ptCount val="1"/>
                <c:pt idx="0">
                  <c:v>Sayana Press</c:v>
                </c:pt>
              </c:strCache>
            </c:strRef>
          </c:tx>
          <c:spPr>
            <a:solidFill>
              <a:schemeClr val="accent2">
                <a:lumMod val="60000"/>
                <a:lumOff val="40000"/>
              </a:schemeClr>
            </a:solidFill>
            <a:ln>
              <a:solidFill>
                <a:schemeClr val="bg1"/>
              </a:solidFill>
            </a:ln>
            <a:effectLst/>
          </c:spPr>
          <c:invertIfNegative val="0"/>
          <c:cat>
            <c:numRef>
              <c:f>[0]!Year_C2C</c:f>
              <c:numCache>
                <c:formatCode>General</c:formatCode>
                <c:ptCount val="1"/>
                <c:pt idx="0">
                  <c:v>0</c:v>
                </c:pt>
              </c:numCache>
            </c:numRef>
          </c:cat>
          <c:val>
            <c:numRef>
              <c:f>'Commodities (Clients) Input'!Sayana</c:f>
              <c:numCache>
                <c:formatCode>#,##0</c:formatCode>
                <c:ptCount val="1"/>
              </c:numCache>
            </c:numRef>
          </c:val>
          <c:extLst>
            <c:ext xmlns:c16="http://schemas.microsoft.com/office/drawing/2014/chart" uri="{C3380CC4-5D6E-409C-BE32-E72D297353CC}">
              <c16:uniqueId val="{00000003-9487-4CC5-B3C5-7FD7C8B0867B}"/>
            </c:ext>
          </c:extLst>
        </c:ser>
        <c:ser>
          <c:idx val="4"/>
          <c:order val="4"/>
          <c:tx>
            <c:strRef>
              <c:f>'Commodities (Clients) Input'!$C$36</c:f>
              <c:strCache>
                <c:ptCount val="1"/>
                <c:pt idx="0">
                  <c:v>Autre Injectable</c:v>
                </c:pt>
              </c:strCache>
            </c:strRef>
          </c:tx>
          <c:spPr>
            <a:solidFill>
              <a:schemeClr val="accent5"/>
            </a:solidFill>
            <a:ln>
              <a:noFill/>
            </a:ln>
            <a:effectLst/>
          </c:spPr>
          <c:invertIfNegative val="0"/>
          <c:cat>
            <c:numRef>
              <c:f>[0]!Year_C2C</c:f>
              <c:numCache>
                <c:formatCode>General</c:formatCode>
                <c:ptCount val="1"/>
                <c:pt idx="0">
                  <c:v>0</c:v>
                </c:pt>
              </c:numCache>
            </c:numRef>
          </c:cat>
          <c:val>
            <c:numRef>
              <c:f>'Commodities (Clients) Input'!OtherInj</c:f>
              <c:numCache>
                <c:formatCode>#,##0</c:formatCode>
                <c:ptCount val="1"/>
              </c:numCache>
            </c:numRef>
          </c:val>
          <c:extLst>
            <c:ext xmlns:c16="http://schemas.microsoft.com/office/drawing/2014/chart" uri="{C3380CC4-5D6E-409C-BE32-E72D297353CC}">
              <c16:uniqueId val="{00000004-9487-4CC5-B3C5-7FD7C8B0867B}"/>
            </c:ext>
          </c:extLst>
        </c:ser>
        <c:dLbls>
          <c:showLegendKey val="0"/>
          <c:showVal val="0"/>
          <c:showCatName val="0"/>
          <c:showSerName val="0"/>
          <c:showPercent val="0"/>
          <c:showBubbleSize val="0"/>
        </c:dLbls>
        <c:gapWidth val="50"/>
        <c:overlap val="100"/>
        <c:axId val="320856328"/>
        <c:axId val="320863544"/>
      </c:barChart>
      <c:catAx>
        <c:axId val="320856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863544"/>
        <c:crosses val="autoZero"/>
        <c:auto val="1"/>
        <c:lblAlgn val="ctr"/>
        <c:lblOffset val="100"/>
        <c:noMultiLvlLbl val="0"/>
      </c:catAx>
      <c:valAx>
        <c:axId val="32086354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856328"/>
        <c:crosses val="autoZero"/>
        <c:crossBetween val="between"/>
      </c:valAx>
      <c:spPr>
        <a:noFill/>
        <a:ln>
          <a:noFill/>
        </a:ln>
        <a:effectLst/>
      </c:spPr>
    </c:plotArea>
    <c:legend>
      <c:legendPos val="b"/>
      <c:layout>
        <c:manualLayout>
          <c:xMode val="edge"/>
          <c:yMode val="edge"/>
          <c:x val="0"/>
          <c:y val="0.88797159913932233"/>
          <c:w val="1"/>
          <c:h val="0.1120284008606776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'Users Output'!$D$43</c:f>
          <c:strCache>
            <c:ptCount val="1"/>
            <c:pt idx="0">
              <c:v>Mélange Estimée de Méthodes Modernes : 2021</c:v>
            </c:pt>
          </c:strCache>
        </c:strRef>
      </c:tx>
      <c:layout>
        <c:manualLayout>
          <c:xMode val="edge"/>
          <c:yMode val="edge"/>
          <c:x val="0.14950014812400378"/>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8559300276463697"/>
          <c:y val="0.21382661516475651"/>
          <c:w val="0.74447171862786132"/>
          <c:h val="0.72213792886798422"/>
        </c:manualLayout>
      </c:layout>
      <c:pieChart>
        <c:varyColors val="1"/>
        <c:ser>
          <c:idx val="0"/>
          <c:order val="0"/>
          <c:tx>
            <c:strRef>
              <c:f>'Users Output'!$D$43</c:f>
              <c:strCache>
                <c:ptCount val="1"/>
                <c:pt idx="0">
                  <c:v>Mélange Estimée de Méthodes Modernes : 2021</c:v>
                </c:pt>
              </c:strCache>
            </c:strRef>
          </c:tx>
          <c:dPt>
            <c:idx val="0"/>
            <c:bubble3D val="0"/>
            <c:spPr>
              <a:solidFill>
                <a:srgbClr val="954F72"/>
              </a:solidFill>
              <a:ln w="19050">
                <a:solidFill>
                  <a:schemeClr val="lt1"/>
                </a:solidFill>
              </a:ln>
              <a:effectLst/>
            </c:spPr>
            <c:extLst>
              <c:ext xmlns:c16="http://schemas.microsoft.com/office/drawing/2014/chart" uri="{C3380CC4-5D6E-409C-BE32-E72D297353CC}">
                <c16:uniqueId val="{00000014-6B90-4986-B07E-3B5DABFD0A5B}"/>
              </c:ext>
            </c:extLst>
          </c:dPt>
          <c:dPt>
            <c:idx val="1"/>
            <c:bubble3D val="0"/>
            <c:spPr>
              <a:solidFill>
                <a:srgbClr val="954F72">
                  <a:lumMod val="50000"/>
                </a:srgbClr>
              </a:solidFill>
            </c:spPr>
            <c:extLst>
              <c:ext xmlns:c16="http://schemas.microsoft.com/office/drawing/2014/chart" uri="{C3380CC4-5D6E-409C-BE32-E72D297353CC}">
                <c16:uniqueId val="{00000016-6B90-4986-B07E-3B5DABFD0A5B}"/>
              </c:ext>
            </c:extLst>
          </c:dPt>
          <c:dPt>
            <c:idx val="2"/>
            <c:bubble3D val="0"/>
            <c:spPr>
              <a:solidFill>
                <a:schemeClr val="bg2"/>
              </a:solidFill>
              <a:ln w="19050">
                <a:solidFill>
                  <a:schemeClr val="lt1"/>
                </a:solidFill>
              </a:ln>
              <a:effectLst/>
            </c:spPr>
            <c:extLst>
              <c:ext xmlns:c16="http://schemas.microsoft.com/office/drawing/2014/chart" uri="{C3380CC4-5D6E-409C-BE32-E72D297353CC}">
                <c16:uniqueId val="{00000018-6B90-4986-B07E-3B5DABFD0A5B}"/>
              </c:ext>
            </c:extLst>
          </c:dPt>
          <c:dPt>
            <c:idx val="3"/>
            <c:bubble3D val="0"/>
            <c:spPr>
              <a:solidFill>
                <a:schemeClr val="accent2"/>
              </a:solidFill>
              <a:ln w="19050">
                <a:solidFill>
                  <a:schemeClr val="lt1"/>
                </a:solidFill>
              </a:ln>
              <a:effectLst/>
            </c:spPr>
            <c:extLst>
              <c:ext xmlns:c16="http://schemas.microsoft.com/office/drawing/2014/chart" uri="{C3380CC4-5D6E-409C-BE32-E72D297353CC}">
                <c16:uniqueId val="{0000001A-6B90-4986-B07E-3B5DABFD0A5B}"/>
              </c:ext>
            </c:extLst>
          </c:dPt>
          <c:dPt>
            <c:idx val="4"/>
            <c:bubble3D val="0"/>
            <c:spPr>
              <a:solidFill>
                <a:srgbClr val="1D4E92"/>
              </a:solidFill>
              <a:ln w="19050">
                <a:solidFill>
                  <a:schemeClr val="lt1"/>
                </a:solidFill>
              </a:ln>
              <a:effectLst/>
            </c:spPr>
            <c:extLst>
              <c:ext xmlns:c16="http://schemas.microsoft.com/office/drawing/2014/chart" uri="{C3380CC4-5D6E-409C-BE32-E72D297353CC}">
                <c16:uniqueId val="{0000001C-6B90-4986-B07E-3B5DABFD0A5B}"/>
              </c:ext>
            </c:extLst>
          </c:dPt>
          <c:dPt>
            <c:idx val="5"/>
            <c:bubble3D val="0"/>
            <c:spPr>
              <a:solidFill>
                <a:srgbClr val="3892C6"/>
              </a:solidFill>
              <a:ln w="19050">
                <a:solidFill>
                  <a:schemeClr val="lt1"/>
                </a:solidFill>
              </a:ln>
              <a:effectLst/>
            </c:spPr>
            <c:extLst>
              <c:ext xmlns:c16="http://schemas.microsoft.com/office/drawing/2014/chart" uri="{C3380CC4-5D6E-409C-BE32-E72D297353CC}">
                <c16:uniqueId val="{0000001E-6B90-4986-B07E-3B5DABFD0A5B}"/>
              </c:ext>
            </c:extLst>
          </c:dPt>
          <c:dPt>
            <c:idx val="6"/>
            <c:bubble3D val="0"/>
            <c:spPr>
              <a:solidFill>
                <a:srgbClr val="F49100"/>
              </a:solidFill>
              <a:ln w="19050">
                <a:solidFill>
                  <a:schemeClr val="lt1"/>
                </a:solidFill>
              </a:ln>
              <a:effectLst/>
            </c:spPr>
            <c:extLst>
              <c:ext xmlns:c16="http://schemas.microsoft.com/office/drawing/2014/chart" uri="{C3380CC4-5D6E-409C-BE32-E72D297353CC}">
                <c16:uniqueId val="{00000020-6B90-4986-B07E-3B5DABFD0A5B}"/>
              </c:ext>
            </c:extLst>
          </c:dPt>
          <c:dPt>
            <c:idx val="7"/>
            <c:bubble3D val="0"/>
            <c:spPr>
              <a:solidFill>
                <a:srgbClr val="FCD116"/>
              </a:solidFill>
              <a:ln w="19050">
                <a:solidFill>
                  <a:schemeClr val="lt1"/>
                </a:solidFill>
              </a:ln>
              <a:effectLst/>
            </c:spPr>
            <c:extLst>
              <c:ext xmlns:c16="http://schemas.microsoft.com/office/drawing/2014/chart" uri="{C3380CC4-5D6E-409C-BE32-E72D297353CC}">
                <c16:uniqueId val="{00000022-6B90-4986-B07E-3B5DABFD0A5B}"/>
              </c:ext>
            </c:extLst>
          </c:dPt>
          <c:dPt>
            <c:idx val="8"/>
            <c:bubble3D val="0"/>
            <c:spPr>
              <a:solidFill>
                <a:schemeClr val="accent4"/>
              </a:solidFill>
              <a:ln w="19050">
                <a:solidFill>
                  <a:schemeClr val="lt1"/>
                </a:solidFill>
              </a:ln>
              <a:effectLst/>
            </c:spPr>
            <c:extLst>
              <c:ext xmlns:c16="http://schemas.microsoft.com/office/drawing/2014/chart" uri="{C3380CC4-5D6E-409C-BE32-E72D297353CC}">
                <c16:uniqueId val="{00000024-6B90-4986-B07E-3B5DABFD0A5B}"/>
              </c:ext>
            </c:extLst>
          </c:dPt>
          <c:dLbls>
            <c:spPr>
              <a:solidFill>
                <a:srgbClr val="FFFFFF">
                  <a:alpha val="50196"/>
                </a:srgbClr>
              </a:solidFill>
              <a:ln>
                <a:noFill/>
              </a:ln>
              <a:effectLst/>
            </c:spPr>
            <c:txPr>
              <a:bodyPr rot="0" spcFirstLastPara="1" vertOverflow="ellipsis" vert="horz" wrap="non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rect">
                    <a:avLst/>
                  </a:prstGeom>
                </c15:spPr>
              </c:ext>
            </c:extLst>
          </c:dLbls>
          <c:cat>
            <c:strRef>
              <c:f>'Users Output'!$C$45:$C$53</c:f>
              <c:strCache>
                <c:ptCount val="9"/>
                <c:pt idx="0">
                  <c:v>Stérilisation (f)</c:v>
                </c:pt>
                <c:pt idx="1">
                  <c:v>Stérilisation (m)</c:v>
                </c:pt>
                <c:pt idx="2">
                  <c:v>DIU</c:v>
                </c:pt>
                <c:pt idx="3">
                  <c:v>Implant</c:v>
                </c:pt>
                <c:pt idx="4">
                  <c:v>Produits injectables</c:v>
                </c:pt>
                <c:pt idx="5">
                  <c:v>Pilule</c:v>
                </c:pt>
                <c:pt idx="6">
                  <c:v>Préservatifs (m+f)</c:v>
                </c:pt>
                <c:pt idx="7">
                  <c:v>MAMA</c:v>
                </c:pt>
                <c:pt idx="8">
                  <c:v>Autres méthodes modernes</c:v>
                </c:pt>
              </c:strCache>
            </c:strRef>
          </c:cat>
          <c:val>
            <c:numRef>
              <c:f>'Users Output'!$D$45:$D$53</c:f>
              <c:numCache>
                <c:formatCode>0%</c:formatCode>
                <c:ptCount val="9"/>
                <c:pt idx="0">
                  <c:v>#N/A</c:v>
                </c:pt>
                <c:pt idx="1">
                  <c:v>#N/A</c:v>
                </c:pt>
                <c:pt idx="2">
                  <c:v>#N/A</c:v>
                </c:pt>
                <c:pt idx="3">
                  <c:v>#N/A</c:v>
                </c:pt>
                <c:pt idx="4">
                  <c:v>#N/A</c:v>
                </c:pt>
                <c:pt idx="5">
                  <c:v>#N/A</c:v>
                </c:pt>
                <c:pt idx="6">
                  <c:v>#N/A</c:v>
                </c:pt>
                <c:pt idx="7">
                  <c:v>#N/A</c:v>
                </c:pt>
                <c:pt idx="8">
                  <c:v>#N/A</c:v>
                </c:pt>
              </c:numCache>
            </c:numRef>
          </c:val>
          <c:extLst>
            <c:ext xmlns:c16="http://schemas.microsoft.com/office/drawing/2014/chart" uri="{C3380CC4-5D6E-409C-BE32-E72D297353CC}">
              <c16:uniqueId val="{00000025-6B90-4986-B07E-3B5DABFD0A5B}"/>
            </c:ext>
          </c:extLst>
        </c:ser>
        <c:dLbls>
          <c:showLegendKey val="0"/>
          <c:showVal val="0"/>
          <c:showCatName val="0"/>
          <c:showSerName val="0"/>
          <c:showPercent val="0"/>
          <c:showBubbleSize val="0"/>
          <c:showLeaderLines val="1"/>
        </c:dLbls>
        <c:firstSliceAng val="0"/>
      </c:pieChart>
      <c:spPr>
        <a:noFill/>
        <a:ln>
          <a:noFill/>
        </a:ln>
        <a:effectLst/>
      </c:spPr>
    </c:plotArea>
    <c:plotVisOnly val="0"/>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'Users Output'!$E$43</c:f>
          <c:strCache>
            <c:ptCount val="1"/>
            <c:pt idx="0">
              <c:v>#N/A</c:v>
            </c:pt>
          </c:strCache>
        </c:strRef>
      </c:tx>
      <c:layout>
        <c:manualLayout>
          <c:xMode val="edge"/>
          <c:yMode val="edge"/>
          <c:x val="0.11457188802402626"/>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2424876048247624"/>
          <c:y val="0.23797217665965797"/>
          <c:w val="0.74447171862786132"/>
          <c:h val="0.72213792886798422"/>
        </c:manualLayout>
      </c:layout>
      <c:pieChart>
        <c:varyColors val="1"/>
        <c:ser>
          <c:idx val="0"/>
          <c:order val="0"/>
          <c:tx>
            <c:strRef>
              <c:f>'Users Output'!$E$44</c:f>
              <c:strCache>
                <c:ptCount val="1"/>
                <c:pt idx="0">
                  <c:v>#N/A</c:v>
                </c:pt>
              </c:strCache>
            </c:strRef>
          </c:tx>
          <c:dPt>
            <c:idx val="0"/>
            <c:bubble3D val="0"/>
            <c:spPr>
              <a:solidFill>
                <a:srgbClr val="954F72"/>
              </a:solidFill>
              <a:ln w="19050">
                <a:solidFill>
                  <a:schemeClr val="lt1"/>
                </a:solidFill>
              </a:ln>
              <a:effectLst/>
            </c:spPr>
            <c:extLst>
              <c:ext xmlns:c16="http://schemas.microsoft.com/office/drawing/2014/chart" uri="{C3380CC4-5D6E-409C-BE32-E72D297353CC}">
                <c16:uniqueId val="{00000014-C8F8-497B-AA9A-E219F943256E}"/>
              </c:ext>
            </c:extLst>
          </c:dPt>
          <c:dPt>
            <c:idx val="1"/>
            <c:bubble3D val="0"/>
            <c:spPr>
              <a:solidFill>
                <a:srgbClr val="954F72">
                  <a:lumMod val="50000"/>
                </a:srgbClr>
              </a:solidFill>
            </c:spPr>
            <c:extLst>
              <c:ext xmlns:c16="http://schemas.microsoft.com/office/drawing/2014/chart" uri="{C3380CC4-5D6E-409C-BE32-E72D297353CC}">
                <c16:uniqueId val="{00000016-C8F8-497B-AA9A-E219F943256E}"/>
              </c:ext>
            </c:extLst>
          </c:dPt>
          <c:dPt>
            <c:idx val="2"/>
            <c:bubble3D val="0"/>
            <c:spPr>
              <a:solidFill>
                <a:schemeClr val="bg2"/>
              </a:solidFill>
              <a:ln w="19050">
                <a:solidFill>
                  <a:schemeClr val="lt1"/>
                </a:solidFill>
              </a:ln>
              <a:effectLst/>
            </c:spPr>
            <c:extLst>
              <c:ext xmlns:c16="http://schemas.microsoft.com/office/drawing/2014/chart" uri="{C3380CC4-5D6E-409C-BE32-E72D297353CC}">
                <c16:uniqueId val="{00000018-C8F8-497B-AA9A-E219F943256E}"/>
              </c:ext>
            </c:extLst>
          </c:dPt>
          <c:dPt>
            <c:idx val="3"/>
            <c:bubble3D val="0"/>
            <c:spPr>
              <a:solidFill>
                <a:schemeClr val="accent2"/>
              </a:solidFill>
              <a:ln w="19050">
                <a:solidFill>
                  <a:schemeClr val="lt1"/>
                </a:solidFill>
              </a:ln>
              <a:effectLst/>
            </c:spPr>
            <c:extLst>
              <c:ext xmlns:c16="http://schemas.microsoft.com/office/drawing/2014/chart" uri="{C3380CC4-5D6E-409C-BE32-E72D297353CC}">
                <c16:uniqueId val="{0000001A-C8F8-497B-AA9A-E219F943256E}"/>
              </c:ext>
            </c:extLst>
          </c:dPt>
          <c:dPt>
            <c:idx val="4"/>
            <c:bubble3D val="0"/>
            <c:spPr>
              <a:solidFill>
                <a:srgbClr val="1D4E92"/>
              </a:solidFill>
              <a:ln w="19050">
                <a:solidFill>
                  <a:schemeClr val="lt1"/>
                </a:solidFill>
              </a:ln>
              <a:effectLst/>
            </c:spPr>
            <c:extLst>
              <c:ext xmlns:c16="http://schemas.microsoft.com/office/drawing/2014/chart" uri="{C3380CC4-5D6E-409C-BE32-E72D297353CC}">
                <c16:uniqueId val="{0000001C-C8F8-497B-AA9A-E219F943256E}"/>
              </c:ext>
            </c:extLst>
          </c:dPt>
          <c:dPt>
            <c:idx val="5"/>
            <c:bubble3D val="0"/>
            <c:spPr>
              <a:solidFill>
                <a:srgbClr val="3892C6"/>
              </a:solidFill>
              <a:ln w="19050">
                <a:solidFill>
                  <a:schemeClr val="lt1"/>
                </a:solidFill>
              </a:ln>
              <a:effectLst/>
            </c:spPr>
            <c:extLst>
              <c:ext xmlns:c16="http://schemas.microsoft.com/office/drawing/2014/chart" uri="{C3380CC4-5D6E-409C-BE32-E72D297353CC}">
                <c16:uniqueId val="{0000001E-C8F8-497B-AA9A-E219F943256E}"/>
              </c:ext>
            </c:extLst>
          </c:dPt>
          <c:dPt>
            <c:idx val="6"/>
            <c:bubble3D val="0"/>
            <c:spPr>
              <a:solidFill>
                <a:srgbClr val="F49100"/>
              </a:solidFill>
              <a:ln w="19050">
                <a:solidFill>
                  <a:schemeClr val="lt1"/>
                </a:solidFill>
              </a:ln>
              <a:effectLst/>
            </c:spPr>
            <c:extLst>
              <c:ext xmlns:c16="http://schemas.microsoft.com/office/drawing/2014/chart" uri="{C3380CC4-5D6E-409C-BE32-E72D297353CC}">
                <c16:uniqueId val="{00000020-C8F8-497B-AA9A-E219F943256E}"/>
              </c:ext>
            </c:extLst>
          </c:dPt>
          <c:dPt>
            <c:idx val="7"/>
            <c:bubble3D val="0"/>
            <c:spPr>
              <a:solidFill>
                <a:srgbClr val="FCD116"/>
              </a:solidFill>
              <a:ln w="19050">
                <a:solidFill>
                  <a:schemeClr val="lt1"/>
                </a:solidFill>
              </a:ln>
              <a:effectLst/>
            </c:spPr>
            <c:extLst>
              <c:ext xmlns:c16="http://schemas.microsoft.com/office/drawing/2014/chart" uri="{C3380CC4-5D6E-409C-BE32-E72D297353CC}">
                <c16:uniqueId val="{00000022-C8F8-497B-AA9A-E219F943256E}"/>
              </c:ext>
            </c:extLst>
          </c:dPt>
          <c:dPt>
            <c:idx val="8"/>
            <c:bubble3D val="0"/>
            <c:spPr>
              <a:solidFill>
                <a:schemeClr val="accent4"/>
              </a:solidFill>
              <a:ln w="19050">
                <a:solidFill>
                  <a:schemeClr val="lt1"/>
                </a:solidFill>
              </a:ln>
              <a:effectLst/>
            </c:spPr>
            <c:extLst>
              <c:ext xmlns:c16="http://schemas.microsoft.com/office/drawing/2014/chart" uri="{C3380CC4-5D6E-409C-BE32-E72D297353CC}">
                <c16:uniqueId val="{00000024-C8F8-497B-AA9A-E219F943256E}"/>
              </c:ext>
            </c:extLst>
          </c:dPt>
          <c:dLbls>
            <c:spPr>
              <a:solidFill>
                <a:srgbClr val="FFFFFF">
                  <a:alpha val="50196"/>
                </a:srgbClr>
              </a:solidFill>
              <a:ln>
                <a:noFill/>
              </a:ln>
              <a:effectLst/>
            </c:spPr>
            <c:txPr>
              <a:bodyPr rot="0" spcFirstLastPara="1" vertOverflow="ellipsis" vert="horz" wrap="non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rect">
                    <a:avLst/>
                  </a:prstGeom>
                </c15:spPr>
              </c:ext>
            </c:extLst>
          </c:dLbls>
          <c:cat>
            <c:strRef>
              <c:f>'Users Output'!$C$45:$C$53</c:f>
              <c:strCache>
                <c:ptCount val="9"/>
                <c:pt idx="0">
                  <c:v>Stérilisation (f)</c:v>
                </c:pt>
                <c:pt idx="1">
                  <c:v>Stérilisation (m)</c:v>
                </c:pt>
                <c:pt idx="2">
                  <c:v>DIU</c:v>
                </c:pt>
                <c:pt idx="3">
                  <c:v>Implant</c:v>
                </c:pt>
                <c:pt idx="4">
                  <c:v>Produits injectables</c:v>
                </c:pt>
                <c:pt idx="5">
                  <c:v>Pilule</c:v>
                </c:pt>
                <c:pt idx="6">
                  <c:v>Préservatifs (m+f)</c:v>
                </c:pt>
                <c:pt idx="7">
                  <c:v>MAMA</c:v>
                </c:pt>
                <c:pt idx="8">
                  <c:v>Autres méthodes modernes</c:v>
                </c:pt>
              </c:strCache>
            </c:strRef>
          </c:cat>
          <c:val>
            <c:numRef>
              <c:f>'Users Output'!$E$45:$E$53</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25-C8F8-497B-AA9A-E219F943256E}"/>
            </c:ext>
          </c:extLst>
        </c:ser>
        <c:dLbls>
          <c:showLegendKey val="0"/>
          <c:showVal val="0"/>
          <c:showCatName val="0"/>
          <c:showSerName val="0"/>
          <c:showPercent val="0"/>
          <c:showBubbleSize val="0"/>
          <c:showLeaderLines val="1"/>
        </c:dLbls>
        <c:firstSliceAng val="0"/>
      </c:pieChart>
      <c:spPr>
        <a:noFill/>
        <a:ln>
          <a:noFill/>
        </a:ln>
        <a:effectLst/>
      </c:spPr>
    </c:plotArea>
    <c:plotVisOnly val="0"/>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502569836422"/>
          <c:y val="9.0345983236259017E-2"/>
          <c:w val="0.76998314133341417"/>
          <c:h val="0.72860866443408201"/>
        </c:manualLayout>
      </c:layout>
      <c:barChart>
        <c:barDir val="bar"/>
        <c:grouping val="stacked"/>
        <c:varyColors val="0"/>
        <c:ser>
          <c:idx val="0"/>
          <c:order val="0"/>
          <c:tx>
            <c:strRef>
              <c:f>'Users Output'!$C$45</c:f>
              <c:strCache>
                <c:ptCount val="1"/>
                <c:pt idx="0">
                  <c:v>Stérilisation (f)</c:v>
                </c:pt>
              </c:strCache>
            </c:strRef>
          </c:tx>
          <c:spPr>
            <a:solidFill>
              <a:schemeClr val="accent6"/>
            </a:solidFill>
            <a:ln>
              <a:solidFill>
                <a:schemeClr val="bg1"/>
              </a:solidFill>
            </a:ln>
            <a:effectLst/>
          </c:spPr>
          <c:invertIfNegative val="0"/>
          <c:cat>
            <c:strRef>
              <c:f>'Users Output'!$F$43:$G$43</c:f>
              <c:strCache>
                <c:ptCount val="2"/>
                <c:pt idx="0">
                  <c:v>Utilisatrices par méthode 
(statistiques de service) : 2021</c:v>
                </c:pt>
                <c:pt idx="1">
                  <c:v>Utilisatrices par méthode 
(enquête) : 2021</c:v>
                </c:pt>
              </c:strCache>
            </c:strRef>
          </c:cat>
          <c:val>
            <c:numRef>
              <c:f>'Users Output'!$F$45:$G$45</c:f>
              <c:numCache>
                <c:formatCode>#,##0</c:formatCode>
                <c:ptCount val="2"/>
                <c:pt idx="0">
                  <c:v>#N/A</c:v>
                </c:pt>
                <c:pt idx="1">
                  <c:v>#N/A</c:v>
                </c:pt>
              </c:numCache>
            </c:numRef>
          </c:val>
          <c:extLst>
            <c:ext xmlns:c16="http://schemas.microsoft.com/office/drawing/2014/chart" uri="{C3380CC4-5D6E-409C-BE32-E72D297353CC}">
              <c16:uniqueId val="{00000000-6862-4CC3-B3AF-6019A4E2827B}"/>
            </c:ext>
          </c:extLst>
        </c:ser>
        <c:ser>
          <c:idx val="1"/>
          <c:order val="1"/>
          <c:tx>
            <c:strRef>
              <c:f>'Users Output'!$C$46</c:f>
              <c:strCache>
                <c:ptCount val="1"/>
                <c:pt idx="0">
                  <c:v>Stérilisation (m)</c:v>
                </c:pt>
              </c:strCache>
            </c:strRef>
          </c:tx>
          <c:spPr>
            <a:solidFill>
              <a:schemeClr val="accent6">
                <a:lumMod val="50000"/>
              </a:schemeClr>
            </a:solidFill>
            <a:ln>
              <a:solidFill>
                <a:schemeClr val="bg1"/>
              </a:solidFill>
            </a:ln>
            <a:effectLst/>
          </c:spPr>
          <c:invertIfNegative val="0"/>
          <c:cat>
            <c:strRef>
              <c:f>'Users Output'!$F$43:$G$43</c:f>
              <c:strCache>
                <c:ptCount val="2"/>
                <c:pt idx="0">
                  <c:v>Utilisatrices par méthode 
(statistiques de service) : 2021</c:v>
                </c:pt>
                <c:pt idx="1">
                  <c:v>Utilisatrices par méthode 
(enquête) : 2021</c:v>
                </c:pt>
              </c:strCache>
            </c:strRef>
          </c:cat>
          <c:val>
            <c:numRef>
              <c:f>'Users Output'!$F$46:$G$46</c:f>
              <c:numCache>
                <c:formatCode>#,##0</c:formatCode>
                <c:ptCount val="2"/>
                <c:pt idx="0">
                  <c:v>#N/A</c:v>
                </c:pt>
                <c:pt idx="1">
                  <c:v>#N/A</c:v>
                </c:pt>
              </c:numCache>
            </c:numRef>
          </c:val>
          <c:extLst>
            <c:ext xmlns:c16="http://schemas.microsoft.com/office/drawing/2014/chart" uri="{C3380CC4-5D6E-409C-BE32-E72D297353CC}">
              <c16:uniqueId val="{00000001-6862-4CC3-B3AF-6019A4E2827B}"/>
            </c:ext>
          </c:extLst>
        </c:ser>
        <c:ser>
          <c:idx val="2"/>
          <c:order val="2"/>
          <c:tx>
            <c:strRef>
              <c:f>'Users Output'!$C$47</c:f>
              <c:strCache>
                <c:ptCount val="1"/>
                <c:pt idx="0">
                  <c:v>DIU</c:v>
                </c:pt>
              </c:strCache>
            </c:strRef>
          </c:tx>
          <c:spPr>
            <a:solidFill>
              <a:schemeClr val="bg2"/>
            </a:solidFill>
            <a:ln>
              <a:solidFill>
                <a:schemeClr val="bg1"/>
              </a:solidFill>
            </a:ln>
            <a:effectLst/>
          </c:spPr>
          <c:invertIfNegative val="0"/>
          <c:cat>
            <c:strRef>
              <c:f>'Users Output'!$F$43:$G$43</c:f>
              <c:strCache>
                <c:ptCount val="2"/>
                <c:pt idx="0">
                  <c:v>Utilisatrices par méthode 
(statistiques de service) : 2021</c:v>
                </c:pt>
                <c:pt idx="1">
                  <c:v>Utilisatrices par méthode 
(enquête) : 2021</c:v>
                </c:pt>
              </c:strCache>
            </c:strRef>
          </c:cat>
          <c:val>
            <c:numRef>
              <c:f>'Users Output'!$F$47:$G$47</c:f>
              <c:numCache>
                <c:formatCode>#,##0</c:formatCode>
                <c:ptCount val="2"/>
                <c:pt idx="0">
                  <c:v>#N/A</c:v>
                </c:pt>
                <c:pt idx="1">
                  <c:v>#N/A</c:v>
                </c:pt>
              </c:numCache>
            </c:numRef>
          </c:val>
          <c:extLst>
            <c:ext xmlns:c16="http://schemas.microsoft.com/office/drawing/2014/chart" uri="{C3380CC4-5D6E-409C-BE32-E72D297353CC}">
              <c16:uniqueId val="{00000002-6862-4CC3-B3AF-6019A4E2827B}"/>
            </c:ext>
          </c:extLst>
        </c:ser>
        <c:ser>
          <c:idx val="3"/>
          <c:order val="3"/>
          <c:tx>
            <c:strRef>
              <c:f>'Users Output'!$C$48</c:f>
              <c:strCache>
                <c:ptCount val="1"/>
                <c:pt idx="0">
                  <c:v>Implant</c:v>
                </c:pt>
              </c:strCache>
            </c:strRef>
          </c:tx>
          <c:spPr>
            <a:solidFill>
              <a:schemeClr val="accent2"/>
            </a:solidFill>
            <a:ln>
              <a:solidFill>
                <a:schemeClr val="bg1"/>
              </a:solidFill>
            </a:ln>
            <a:effectLst/>
          </c:spPr>
          <c:invertIfNegative val="0"/>
          <c:cat>
            <c:strRef>
              <c:f>'Users Output'!$F$43:$G$43</c:f>
              <c:strCache>
                <c:ptCount val="2"/>
                <c:pt idx="0">
                  <c:v>Utilisatrices par méthode 
(statistiques de service) : 2021</c:v>
                </c:pt>
                <c:pt idx="1">
                  <c:v>Utilisatrices par méthode 
(enquête) : 2021</c:v>
                </c:pt>
              </c:strCache>
            </c:strRef>
          </c:cat>
          <c:val>
            <c:numRef>
              <c:f>'Users Output'!$F$48:$G$48</c:f>
              <c:numCache>
                <c:formatCode>#,##0</c:formatCode>
                <c:ptCount val="2"/>
                <c:pt idx="0">
                  <c:v>#N/A</c:v>
                </c:pt>
                <c:pt idx="1">
                  <c:v>#N/A</c:v>
                </c:pt>
              </c:numCache>
            </c:numRef>
          </c:val>
          <c:extLst>
            <c:ext xmlns:c16="http://schemas.microsoft.com/office/drawing/2014/chart" uri="{C3380CC4-5D6E-409C-BE32-E72D297353CC}">
              <c16:uniqueId val="{00000003-6862-4CC3-B3AF-6019A4E2827B}"/>
            </c:ext>
          </c:extLst>
        </c:ser>
        <c:ser>
          <c:idx val="4"/>
          <c:order val="4"/>
          <c:tx>
            <c:strRef>
              <c:f>'Users Output'!$C$49</c:f>
              <c:strCache>
                <c:ptCount val="1"/>
                <c:pt idx="0">
                  <c:v>Produits injectables</c:v>
                </c:pt>
              </c:strCache>
            </c:strRef>
          </c:tx>
          <c:spPr>
            <a:solidFill>
              <a:schemeClr val="tx2"/>
            </a:solidFill>
            <a:ln>
              <a:solidFill>
                <a:schemeClr val="bg1"/>
              </a:solidFill>
            </a:ln>
            <a:effectLst/>
          </c:spPr>
          <c:invertIfNegative val="0"/>
          <c:cat>
            <c:strRef>
              <c:f>'Users Output'!$F$43:$G$43</c:f>
              <c:strCache>
                <c:ptCount val="2"/>
                <c:pt idx="0">
                  <c:v>Utilisatrices par méthode 
(statistiques de service) : 2021</c:v>
                </c:pt>
                <c:pt idx="1">
                  <c:v>Utilisatrices par méthode 
(enquête) : 2021</c:v>
                </c:pt>
              </c:strCache>
            </c:strRef>
          </c:cat>
          <c:val>
            <c:numRef>
              <c:f>'Users Output'!$F$49:$G$49</c:f>
              <c:numCache>
                <c:formatCode>#,##0</c:formatCode>
                <c:ptCount val="2"/>
                <c:pt idx="0">
                  <c:v>#N/A</c:v>
                </c:pt>
                <c:pt idx="1">
                  <c:v>#N/A</c:v>
                </c:pt>
              </c:numCache>
            </c:numRef>
          </c:val>
          <c:extLst>
            <c:ext xmlns:c16="http://schemas.microsoft.com/office/drawing/2014/chart" uri="{C3380CC4-5D6E-409C-BE32-E72D297353CC}">
              <c16:uniqueId val="{00000004-6862-4CC3-B3AF-6019A4E2827B}"/>
            </c:ext>
          </c:extLst>
        </c:ser>
        <c:ser>
          <c:idx val="5"/>
          <c:order val="5"/>
          <c:tx>
            <c:strRef>
              <c:f>'Users Output'!$C$50</c:f>
              <c:strCache>
                <c:ptCount val="1"/>
                <c:pt idx="0">
                  <c:v>Pilule</c:v>
                </c:pt>
              </c:strCache>
            </c:strRef>
          </c:tx>
          <c:spPr>
            <a:solidFill>
              <a:schemeClr val="accent1"/>
            </a:solidFill>
            <a:ln>
              <a:solidFill>
                <a:schemeClr val="bg1"/>
              </a:solidFill>
            </a:ln>
            <a:effectLst/>
          </c:spPr>
          <c:invertIfNegative val="0"/>
          <c:cat>
            <c:strRef>
              <c:f>'Users Output'!$F$43:$G$43</c:f>
              <c:strCache>
                <c:ptCount val="2"/>
                <c:pt idx="0">
                  <c:v>Utilisatrices par méthode 
(statistiques de service) : 2021</c:v>
                </c:pt>
                <c:pt idx="1">
                  <c:v>Utilisatrices par méthode 
(enquête) : 2021</c:v>
                </c:pt>
              </c:strCache>
            </c:strRef>
          </c:cat>
          <c:val>
            <c:numRef>
              <c:f>'Users Output'!$F$50:$G$50</c:f>
              <c:numCache>
                <c:formatCode>#,##0</c:formatCode>
                <c:ptCount val="2"/>
                <c:pt idx="0">
                  <c:v>#N/A</c:v>
                </c:pt>
                <c:pt idx="1">
                  <c:v>#N/A</c:v>
                </c:pt>
              </c:numCache>
            </c:numRef>
          </c:val>
          <c:extLst>
            <c:ext xmlns:c16="http://schemas.microsoft.com/office/drawing/2014/chart" uri="{C3380CC4-5D6E-409C-BE32-E72D297353CC}">
              <c16:uniqueId val="{00000005-6862-4CC3-B3AF-6019A4E2827B}"/>
            </c:ext>
          </c:extLst>
        </c:ser>
        <c:ser>
          <c:idx val="6"/>
          <c:order val="6"/>
          <c:tx>
            <c:strRef>
              <c:f>'Users Output'!$C$51</c:f>
              <c:strCache>
                <c:ptCount val="1"/>
                <c:pt idx="0">
                  <c:v>Préservatifs (m+f)</c:v>
                </c:pt>
              </c:strCache>
            </c:strRef>
          </c:tx>
          <c:spPr>
            <a:solidFill>
              <a:schemeClr val="accent3"/>
            </a:solidFill>
            <a:ln>
              <a:solidFill>
                <a:schemeClr val="bg1"/>
              </a:solidFill>
            </a:ln>
            <a:effectLst/>
          </c:spPr>
          <c:invertIfNegative val="0"/>
          <c:cat>
            <c:strRef>
              <c:f>'Users Output'!$F$43:$G$43</c:f>
              <c:strCache>
                <c:ptCount val="2"/>
                <c:pt idx="0">
                  <c:v>Utilisatrices par méthode 
(statistiques de service) : 2021</c:v>
                </c:pt>
                <c:pt idx="1">
                  <c:v>Utilisatrices par méthode 
(enquête) : 2021</c:v>
                </c:pt>
              </c:strCache>
            </c:strRef>
          </c:cat>
          <c:val>
            <c:numRef>
              <c:f>'Users Output'!$F$51:$G$51</c:f>
              <c:numCache>
                <c:formatCode>#,##0</c:formatCode>
                <c:ptCount val="2"/>
                <c:pt idx="0">
                  <c:v>#N/A</c:v>
                </c:pt>
                <c:pt idx="1">
                  <c:v>#N/A</c:v>
                </c:pt>
              </c:numCache>
            </c:numRef>
          </c:val>
          <c:extLst>
            <c:ext xmlns:c16="http://schemas.microsoft.com/office/drawing/2014/chart" uri="{C3380CC4-5D6E-409C-BE32-E72D297353CC}">
              <c16:uniqueId val="{00000006-6862-4CC3-B3AF-6019A4E2827B}"/>
            </c:ext>
          </c:extLst>
        </c:ser>
        <c:ser>
          <c:idx val="7"/>
          <c:order val="7"/>
          <c:tx>
            <c:strRef>
              <c:f>'Users Output'!$C$52</c:f>
              <c:strCache>
                <c:ptCount val="1"/>
                <c:pt idx="0">
                  <c:v>MAMA</c:v>
                </c:pt>
              </c:strCache>
            </c:strRef>
          </c:tx>
          <c:spPr>
            <a:solidFill>
              <a:schemeClr val="accent5"/>
            </a:solidFill>
            <a:ln>
              <a:solidFill>
                <a:schemeClr val="bg1"/>
              </a:solidFill>
            </a:ln>
            <a:effectLst/>
          </c:spPr>
          <c:invertIfNegative val="0"/>
          <c:cat>
            <c:strRef>
              <c:f>'Users Output'!$F$43:$G$43</c:f>
              <c:strCache>
                <c:ptCount val="2"/>
                <c:pt idx="0">
                  <c:v>Utilisatrices par méthode 
(statistiques de service) : 2021</c:v>
                </c:pt>
                <c:pt idx="1">
                  <c:v>Utilisatrices par méthode 
(enquête) : 2021</c:v>
                </c:pt>
              </c:strCache>
            </c:strRef>
          </c:cat>
          <c:val>
            <c:numRef>
              <c:f>'Users Output'!$F$52:$G$52</c:f>
              <c:numCache>
                <c:formatCode>#,##0</c:formatCode>
                <c:ptCount val="2"/>
                <c:pt idx="0">
                  <c:v>#N/A</c:v>
                </c:pt>
                <c:pt idx="1">
                  <c:v>#N/A</c:v>
                </c:pt>
              </c:numCache>
            </c:numRef>
          </c:val>
          <c:extLst>
            <c:ext xmlns:c16="http://schemas.microsoft.com/office/drawing/2014/chart" uri="{C3380CC4-5D6E-409C-BE32-E72D297353CC}">
              <c16:uniqueId val="{00000007-6862-4CC3-B3AF-6019A4E2827B}"/>
            </c:ext>
          </c:extLst>
        </c:ser>
        <c:ser>
          <c:idx val="8"/>
          <c:order val="8"/>
          <c:tx>
            <c:strRef>
              <c:f>'Users Output'!$C$53</c:f>
              <c:strCache>
                <c:ptCount val="1"/>
                <c:pt idx="0">
                  <c:v>Autres méthodes modernes</c:v>
                </c:pt>
              </c:strCache>
            </c:strRef>
          </c:tx>
          <c:spPr>
            <a:solidFill>
              <a:schemeClr val="accent4"/>
            </a:solidFill>
            <a:ln>
              <a:noFill/>
            </a:ln>
            <a:effectLst/>
          </c:spPr>
          <c:invertIfNegative val="0"/>
          <c:cat>
            <c:strRef>
              <c:f>'Users Output'!$F$43:$G$43</c:f>
              <c:strCache>
                <c:ptCount val="2"/>
                <c:pt idx="0">
                  <c:v>Utilisatrices par méthode 
(statistiques de service) : 2021</c:v>
                </c:pt>
                <c:pt idx="1">
                  <c:v>Utilisatrices par méthode 
(enquête) : 2021</c:v>
                </c:pt>
              </c:strCache>
            </c:strRef>
          </c:cat>
          <c:val>
            <c:numRef>
              <c:f>'Users Output'!$F$53:$G$53</c:f>
              <c:numCache>
                <c:formatCode>#,##0</c:formatCode>
                <c:ptCount val="2"/>
                <c:pt idx="0">
                  <c:v>#N/A</c:v>
                </c:pt>
                <c:pt idx="1">
                  <c:v>#N/A</c:v>
                </c:pt>
              </c:numCache>
            </c:numRef>
          </c:val>
          <c:extLst>
            <c:ext xmlns:c16="http://schemas.microsoft.com/office/drawing/2014/chart" uri="{C3380CC4-5D6E-409C-BE32-E72D297353CC}">
              <c16:uniqueId val="{00000008-6862-4CC3-B3AF-6019A4E2827B}"/>
            </c:ext>
          </c:extLst>
        </c:ser>
        <c:dLbls>
          <c:showLegendKey val="0"/>
          <c:showVal val="0"/>
          <c:showCatName val="0"/>
          <c:showSerName val="0"/>
          <c:showPercent val="0"/>
          <c:showBubbleSize val="0"/>
        </c:dLbls>
        <c:gapWidth val="50"/>
        <c:overlap val="100"/>
        <c:axId val="1068113584"/>
        <c:axId val="1068127688"/>
      </c:barChart>
      <c:catAx>
        <c:axId val="106811358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068127688"/>
        <c:crosses val="autoZero"/>
        <c:auto val="1"/>
        <c:lblAlgn val="ctr"/>
        <c:lblOffset val="100"/>
        <c:noMultiLvlLbl val="0"/>
      </c:catAx>
      <c:valAx>
        <c:axId val="1068127688"/>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068113584"/>
        <c:crosses val="autoZero"/>
        <c:crossBetween val="between"/>
      </c:valAx>
      <c:spPr>
        <a:noFill/>
        <a:ln>
          <a:noFill/>
        </a:ln>
        <a:effectLst/>
      </c:spPr>
    </c:plotArea>
    <c:legend>
      <c:legendPos val="b"/>
      <c:layout>
        <c:manualLayout>
          <c:xMode val="edge"/>
          <c:yMode val="edge"/>
          <c:x val="0"/>
          <c:y val="0.81387028127343553"/>
          <c:w val="0.99223986465350045"/>
          <c:h val="0.16449150342110658"/>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79209197446341"/>
          <c:y val="9.4646772757009001E-2"/>
          <c:w val="0.87495455430627045"/>
          <c:h val="0.71065206939222703"/>
        </c:manualLayout>
      </c:layout>
      <c:barChart>
        <c:barDir val="col"/>
        <c:grouping val="clustered"/>
        <c:varyColors val="0"/>
        <c:ser>
          <c:idx val="0"/>
          <c:order val="0"/>
          <c:tx>
            <c:strRef>
              <c:f>'Users Output'!$F$43</c:f>
              <c:strCache>
                <c:ptCount val="1"/>
                <c:pt idx="0">
                  <c:v>Utilisatrices par méthode 
(statistiques de service) : 2021</c:v>
                </c:pt>
              </c:strCache>
            </c:strRef>
          </c:tx>
          <c:spPr>
            <a:solidFill>
              <a:schemeClr val="tx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'Users Output'!$C$45:$C$53</c:f>
              <c:strCache>
                <c:ptCount val="9"/>
                <c:pt idx="0">
                  <c:v>Stérilisation (f)</c:v>
                </c:pt>
                <c:pt idx="1">
                  <c:v>Stérilisation (m)</c:v>
                </c:pt>
                <c:pt idx="2">
                  <c:v>DIU</c:v>
                </c:pt>
                <c:pt idx="3">
                  <c:v>Implant</c:v>
                </c:pt>
                <c:pt idx="4">
                  <c:v>Produits injectables</c:v>
                </c:pt>
                <c:pt idx="5">
                  <c:v>Pilule</c:v>
                </c:pt>
                <c:pt idx="6">
                  <c:v>Préservatifs (m+f)</c:v>
                </c:pt>
                <c:pt idx="7">
                  <c:v>MAMA</c:v>
                </c:pt>
                <c:pt idx="8">
                  <c:v>Autres méthodes modernes</c:v>
                </c:pt>
              </c:strCache>
            </c:strRef>
          </c:cat>
          <c:val>
            <c:numRef>
              <c:f>'Users Output'!$F$45:$F$53</c:f>
              <c:numCache>
                <c:formatCode>#,##0</c:formatCode>
                <c:ptCount val="9"/>
                <c:pt idx="0">
                  <c:v>#N/A</c:v>
                </c:pt>
                <c:pt idx="1">
                  <c:v>#N/A</c:v>
                </c:pt>
                <c:pt idx="2">
                  <c:v>#N/A</c:v>
                </c:pt>
                <c:pt idx="3">
                  <c:v>#N/A</c:v>
                </c:pt>
                <c:pt idx="4">
                  <c:v>#N/A</c:v>
                </c:pt>
                <c:pt idx="5">
                  <c:v>#N/A</c:v>
                </c:pt>
                <c:pt idx="6">
                  <c:v>#N/A</c:v>
                </c:pt>
                <c:pt idx="7">
                  <c:v>#N/A</c:v>
                </c:pt>
                <c:pt idx="8">
                  <c:v>#N/A</c:v>
                </c:pt>
              </c:numCache>
            </c:numRef>
          </c:val>
          <c:extLst>
            <c:ext xmlns:c16="http://schemas.microsoft.com/office/drawing/2014/chart" uri="{C3380CC4-5D6E-409C-BE32-E72D297353CC}">
              <c16:uniqueId val="{00000001-7C95-42A5-9680-A38E147DC9A2}"/>
            </c:ext>
          </c:extLst>
        </c:ser>
        <c:ser>
          <c:idx val="1"/>
          <c:order val="1"/>
          <c:tx>
            <c:strRef>
              <c:f>'Users Output'!$G$43</c:f>
              <c:strCache>
                <c:ptCount val="1"/>
                <c:pt idx="0">
                  <c:v>Utilisatrices par méthode 
(enquête) : 2021</c:v>
                </c:pt>
              </c:strCache>
            </c:strRef>
          </c:tx>
          <c:spPr>
            <a:solidFill>
              <a:schemeClr val="accent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chemeClr val="accent6"/>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'Users Output'!$C$45:$C$53</c:f>
              <c:strCache>
                <c:ptCount val="9"/>
                <c:pt idx="0">
                  <c:v>Stérilisation (f)</c:v>
                </c:pt>
                <c:pt idx="1">
                  <c:v>Stérilisation (m)</c:v>
                </c:pt>
                <c:pt idx="2">
                  <c:v>DIU</c:v>
                </c:pt>
                <c:pt idx="3">
                  <c:v>Implant</c:v>
                </c:pt>
                <c:pt idx="4">
                  <c:v>Produits injectables</c:v>
                </c:pt>
                <c:pt idx="5">
                  <c:v>Pilule</c:v>
                </c:pt>
                <c:pt idx="6">
                  <c:v>Préservatifs (m+f)</c:v>
                </c:pt>
                <c:pt idx="7">
                  <c:v>MAMA</c:v>
                </c:pt>
                <c:pt idx="8">
                  <c:v>Autres méthodes modernes</c:v>
                </c:pt>
              </c:strCache>
            </c:strRef>
          </c:cat>
          <c:val>
            <c:numRef>
              <c:f>'Users Output'!$G$45:$G$53</c:f>
              <c:numCache>
                <c:formatCode>#,##0</c:formatCode>
                <c:ptCount val="9"/>
                <c:pt idx="0">
                  <c:v>#N/A</c:v>
                </c:pt>
                <c:pt idx="1">
                  <c:v>#N/A</c:v>
                </c:pt>
                <c:pt idx="2">
                  <c:v>#N/A</c:v>
                </c:pt>
                <c:pt idx="3">
                  <c:v>#N/A</c:v>
                </c:pt>
                <c:pt idx="4">
                  <c:v>#N/A</c:v>
                </c:pt>
                <c:pt idx="5">
                  <c:v>#N/A</c:v>
                </c:pt>
                <c:pt idx="6">
                  <c:v>#N/A</c:v>
                </c:pt>
                <c:pt idx="7">
                  <c:v>#N/A</c:v>
                </c:pt>
                <c:pt idx="8">
                  <c:v>#N/A</c:v>
                </c:pt>
              </c:numCache>
            </c:numRef>
          </c:val>
          <c:extLst>
            <c:ext xmlns:c16="http://schemas.microsoft.com/office/drawing/2014/chart" uri="{C3380CC4-5D6E-409C-BE32-E72D297353CC}">
              <c16:uniqueId val="{00000003-7C95-42A5-9680-A38E147DC9A2}"/>
            </c:ext>
          </c:extLst>
        </c:ser>
        <c:dLbls>
          <c:showLegendKey val="0"/>
          <c:showVal val="0"/>
          <c:showCatName val="0"/>
          <c:showSerName val="0"/>
          <c:showPercent val="0"/>
          <c:showBubbleSize val="0"/>
        </c:dLbls>
        <c:gapWidth val="75"/>
        <c:axId val="1068100792"/>
        <c:axId val="1068105712"/>
      </c:barChart>
      <c:catAx>
        <c:axId val="1068100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068105712"/>
        <c:crosses val="autoZero"/>
        <c:auto val="1"/>
        <c:lblAlgn val="ctr"/>
        <c:lblOffset val="100"/>
        <c:noMultiLvlLbl val="0"/>
      </c:catAx>
      <c:valAx>
        <c:axId val="10681057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Users / Utilisateurs</a:t>
                </a:r>
              </a:p>
            </c:rich>
          </c:tx>
          <c:layout>
            <c:manualLayout>
              <c:xMode val="edge"/>
              <c:yMode val="edge"/>
              <c:x val="8.4394682729775645E-3"/>
              <c:y val="0.2043157002557567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8100792"/>
        <c:crosses val="autoZero"/>
        <c:crossBetween val="between"/>
      </c:valAx>
    </c:plotArea>
    <c:legend>
      <c:legendPos val="b"/>
      <c:layout>
        <c:manualLayout>
          <c:xMode val="edge"/>
          <c:yMode val="edge"/>
          <c:x val="0.10485952664257824"/>
          <c:y val="5.6212507146654444E-3"/>
          <c:w val="0.32319171863098167"/>
          <c:h val="0.25961552103284385"/>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788714866013981E-2"/>
          <c:y val="3.9979225693155797E-2"/>
          <c:w val="0.89553977703871079"/>
          <c:h val="0.76580816127017459"/>
        </c:manualLayout>
      </c:layout>
      <c:lineChart>
        <c:grouping val="standard"/>
        <c:varyColors val="0"/>
        <c:ser>
          <c:idx val="1"/>
          <c:order val="0"/>
          <c:tx>
            <c:strRef>
              <c:f>'Users Output'!$C$33</c:f>
              <c:strCache>
                <c:ptCount val="1"/>
                <c:pt idx="0">
                  <c:v>EUM: Produits inc. Préservatifs</c:v>
                </c:pt>
              </c:strCache>
            </c:strRef>
          </c:tx>
          <c:spPr>
            <a:ln w="28575" cap="rnd">
              <a:solidFill>
                <a:schemeClr val="tx2">
                  <a:lumMod val="40000"/>
                  <a:lumOff val="60000"/>
                </a:schemeClr>
              </a:solidFill>
              <a:prstDash val="sysDash"/>
              <a:round/>
            </a:ln>
            <a:effectLst/>
          </c:spPr>
          <c:marker>
            <c:symbol val="circle"/>
            <c:size val="5"/>
            <c:spPr>
              <a:solidFill>
                <a:schemeClr val="tx2">
                  <a:lumMod val="40000"/>
                  <a:lumOff val="60000"/>
                </a:schemeClr>
              </a:solidFill>
              <a:ln w="28575">
                <a:solidFill>
                  <a:schemeClr val="tx2">
                    <a:lumMod val="40000"/>
                    <a:lumOff val="60000"/>
                  </a:schemeClr>
                </a:solidFill>
                <a:prstDash val="solid"/>
              </a:ln>
              <a:effectLst/>
            </c:spPr>
          </c:marker>
          <c:cat>
            <c:numRef>
              <c:f>[0]!Year_U</c:f>
              <c:numCache>
                <c:formatCode>General</c:formatCode>
                <c:ptCount val="1"/>
                <c:pt idx="0">
                  <c:v>0</c:v>
                </c:pt>
              </c:numCache>
            </c:numRef>
          </c:cat>
          <c:val>
            <c:numRef>
              <c:f>'Users Output'!EMU_Inc_Condoms</c:f>
              <c:numCache>
                <c:formatCode>0.0%</c:formatCode>
                <c:ptCount val="1"/>
                <c:pt idx="0">
                  <c:v>#N/A</c:v>
                </c:pt>
              </c:numCache>
            </c:numRef>
          </c:val>
          <c:smooth val="0"/>
          <c:extLst>
            <c:ext xmlns:c16="http://schemas.microsoft.com/office/drawing/2014/chart" uri="{C3380CC4-5D6E-409C-BE32-E72D297353CC}">
              <c16:uniqueId val="{00000000-0863-4071-9A08-FD72C67EE8F9}"/>
            </c:ext>
          </c:extLst>
        </c:ser>
        <c:ser>
          <c:idx val="2"/>
          <c:order val="1"/>
          <c:tx>
            <c:strRef>
              <c:f>'Users Output'!$C$34</c:f>
              <c:strCache>
                <c:ptCount val="1"/>
                <c:pt idx="0">
                  <c:v>EUM: Produits ex. Préservatifs</c:v>
                </c:pt>
              </c:strCache>
            </c:strRef>
          </c:tx>
          <c:spPr>
            <a:ln w="38100" cap="rnd">
              <a:solidFill>
                <a:schemeClr val="tx2"/>
              </a:solidFill>
              <a:round/>
            </a:ln>
            <a:effectLst/>
          </c:spPr>
          <c:marker>
            <c:symbol val="circle"/>
            <c:size val="5"/>
            <c:spPr>
              <a:solidFill>
                <a:schemeClr val="tx2"/>
              </a:solidFill>
              <a:ln w="38100">
                <a:solidFill>
                  <a:schemeClr val="tx2"/>
                </a:solidFill>
              </a:ln>
              <a:effectLst/>
            </c:spPr>
          </c:marker>
          <c:cat>
            <c:numRef>
              <c:f>[0]!Year_U</c:f>
              <c:numCache>
                <c:formatCode>General</c:formatCode>
                <c:ptCount val="1"/>
                <c:pt idx="0">
                  <c:v>0</c:v>
                </c:pt>
              </c:numCache>
            </c:numRef>
          </c:cat>
          <c:val>
            <c:numRef>
              <c:f>'Users Output'!EMU_Ex_Condoms</c:f>
              <c:numCache>
                <c:formatCode>0.0%</c:formatCode>
                <c:ptCount val="1"/>
                <c:pt idx="0">
                  <c:v>#N/A</c:v>
                </c:pt>
              </c:numCache>
            </c:numRef>
          </c:val>
          <c:smooth val="0"/>
          <c:extLst>
            <c:ext xmlns:c16="http://schemas.microsoft.com/office/drawing/2014/chart" uri="{C3380CC4-5D6E-409C-BE32-E72D297353CC}">
              <c16:uniqueId val="{00000001-0863-4071-9A08-FD72C67EE8F9}"/>
            </c:ext>
          </c:extLst>
        </c:ser>
        <c:ser>
          <c:idx val="3"/>
          <c:order val="2"/>
          <c:tx>
            <c:strRef>
              <c:f>'Users Output'!$C$35</c:f>
              <c:strCache>
                <c:ptCount val="1"/>
                <c:pt idx="0">
                  <c:v>TPCm (TF): DHS</c:v>
                </c:pt>
              </c:strCache>
            </c:strRef>
          </c:tx>
          <c:spPr>
            <a:ln w="28575" cap="rnd">
              <a:solidFill>
                <a:schemeClr val="accent3"/>
              </a:solidFill>
              <a:prstDash val="solid"/>
              <a:round/>
            </a:ln>
            <a:effectLst/>
          </c:spPr>
          <c:marker>
            <c:symbol val="circle"/>
            <c:size val="10"/>
            <c:spPr>
              <a:solidFill>
                <a:schemeClr val="accent3"/>
              </a:solidFill>
              <a:ln w="28575">
                <a:solidFill>
                  <a:schemeClr val="accent3"/>
                </a:solidFill>
                <a:prstDash val="solid"/>
              </a:ln>
              <a:effectLst/>
            </c:spPr>
          </c:marker>
          <c:cat>
            <c:numRef>
              <c:f>[0]!Year_U</c:f>
              <c:numCache>
                <c:formatCode>General</c:formatCode>
                <c:ptCount val="1"/>
                <c:pt idx="0">
                  <c:v>0</c:v>
                </c:pt>
              </c:numCache>
            </c:numRef>
          </c:cat>
          <c:val>
            <c:numRef>
              <c:f>'Users Output'!mCPR_Survey</c:f>
              <c:numCache>
                <c:formatCode>0.0%</c:formatCode>
                <c:ptCount val="1"/>
                <c:pt idx="0">
                  <c:v>#N/A</c:v>
                </c:pt>
              </c:numCache>
            </c:numRef>
          </c:val>
          <c:smooth val="0"/>
          <c:extLst>
            <c:ext xmlns:c16="http://schemas.microsoft.com/office/drawing/2014/chart" uri="{C3380CC4-5D6E-409C-BE32-E72D297353CC}">
              <c16:uniqueId val="{00000002-0863-4071-9A08-FD72C67EE8F9}"/>
            </c:ext>
          </c:extLst>
        </c:ser>
        <c:ser>
          <c:idx val="5"/>
          <c:order val="3"/>
          <c:tx>
            <c:strRef>
              <c:f>'Users Output'!$C$38</c:f>
              <c:strCache>
                <c:ptCount val="1"/>
                <c:pt idx="0">
                  <c:v>TPCm (TF): FPET Global Run (2022)</c:v>
                </c:pt>
              </c:strCache>
            </c:strRef>
          </c:tx>
          <c:spPr>
            <a:ln w="31750" cap="rnd">
              <a:solidFill>
                <a:schemeClr val="accent6"/>
              </a:solidFill>
              <a:round/>
            </a:ln>
            <a:effectLst/>
          </c:spPr>
          <c:marker>
            <c:symbol val="circle"/>
            <c:size val="5"/>
            <c:spPr>
              <a:solidFill>
                <a:schemeClr val="accent6"/>
              </a:solidFill>
              <a:ln w="28575">
                <a:solidFill>
                  <a:schemeClr val="accent6"/>
                </a:solidFill>
              </a:ln>
              <a:effectLst/>
            </c:spPr>
          </c:marker>
          <c:cat>
            <c:numRef>
              <c:f>[0]!Year_U</c:f>
              <c:numCache>
                <c:formatCode>General</c:formatCode>
                <c:ptCount val="1"/>
                <c:pt idx="0">
                  <c:v>0</c:v>
                </c:pt>
              </c:numCache>
            </c:numRef>
          </c:cat>
          <c:val>
            <c:numRef>
              <c:f>'Users Output'!mCPR_FPET</c:f>
              <c:numCache>
                <c:formatCode>0.0%</c:formatCode>
                <c:ptCount val="1"/>
                <c:pt idx="0">
                  <c:v>#N/A</c:v>
                </c:pt>
              </c:numCache>
            </c:numRef>
          </c:val>
          <c:smooth val="0"/>
          <c:extLst>
            <c:ext xmlns:c16="http://schemas.microsoft.com/office/drawing/2014/chart" uri="{C3380CC4-5D6E-409C-BE32-E72D297353CC}">
              <c16:uniqueId val="{00000003-0863-4071-9A08-FD72C67EE8F9}"/>
            </c:ext>
          </c:extLst>
        </c:ser>
        <c:dLbls>
          <c:showLegendKey val="0"/>
          <c:showVal val="0"/>
          <c:showCatName val="0"/>
          <c:showSerName val="0"/>
          <c:showPercent val="0"/>
          <c:showBubbleSize val="0"/>
        </c:dLbls>
        <c:marker val="1"/>
        <c:smooth val="0"/>
        <c:axId val="637657848"/>
        <c:axId val="637662112"/>
        <c:extLst/>
      </c:lineChart>
      <c:catAx>
        <c:axId val="637657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637662112"/>
        <c:crosses val="autoZero"/>
        <c:auto val="1"/>
        <c:lblAlgn val="ctr"/>
        <c:lblOffset val="100"/>
        <c:noMultiLvlLbl val="0"/>
      </c:catAx>
      <c:valAx>
        <c:axId val="637662112"/>
        <c:scaling>
          <c:orientation val="minMax"/>
        </c:scaling>
        <c:delete val="0"/>
        <c:axPos val="l"/>
        <c:majorGridlines>
          <c:spPr>
            <a:ln w="9525" cap="flat" cmpd="sng" algn="ctr">
              <a:solidFill>
                <a:schemeClr val="tx1">
                  <a:lumMod val="15000"/>
                  <a:lumOff val="85000"/>
                </a:schemeClr>
              </a:solidFill>
              <a:round/>
            </a:ln>
            <a:effectLst/>
          </c:spPr>
        </c:majorGridlines>
        <c:title>
          <c:tx>
            <c:strRef>
              <c:f>'Visits Output'!$AC$95</c:f>
              <c:strCache>
                <c:ptCount val="1"/>
                <c:pt idx="0">
                  <c:v>TPCm - EUM</c:v>
                </c:pt>
              </c:strCache>
            </c:strRef>
          </c:tx>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637657848"/>
        <c:crosses val="autoZero"/>
        <c:crossBetween val="between"/>
      </c:valAx>
      <c:spPr>
        <a:noFill/>
        <a:ln>
          <a:noFill/>
        </a:ln>
        <a:effectLst/>
      </c:spPr>
    </c:plotArea>
    <c:legend>
      <c:legendPos val="b"/>
      <c:layout>
        <c:manualLayout>
          <c:xMode val="edge"/>
          <c:yMode val="edge"/>
          <c:x val="2.1989774555909034E-2"/>
          <c:y val="0.87973032761222947"/>
          <c:w val="0.95436472901068892"/>
          <c:h val="0.120269771799444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0"/>
    <c:dispBlanksAs val="span"/>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567417349140814"/>
          <c:y val="9.0345983236259017E-2"/>
          <c:w val="0.64208014545024916"/>
          <c:h val="0.68444888291402595"/>
        </c:manualLayout>
      </c:layout>
      <c:barChart>
        <c:barDir val="bar"/>
        <c:grouping val="stacked"/>
        <c:varyColors val="0"/>
        <c:ser>
          <c:idx val="0"/>
          <c:order val="0"/>
          <c:tx>
            <c:strRef>
              <c:f>'Users Output'!$L$45</c:f>
              <c:strCache>
                <c:ptCount val="1"/>
                <c:pt idx="0">
                  <c:v>Stérilisation (f)</c:v>
                </c:pt>
              </c:strCache>
            </c:strRef>
          </c:tx>
          <c:spPr>
            <a:solidFill>
              <a:schemeClr val="accent6"/>
            </a:solidFill>
            <a:ln>
              <a:solidFill>
                <a:schemeClr val="bg1"/>
              </a:solidFill>
            </a:ln>
            <a:effectLst/>
          </c:spPr>
          <c:invertIfNegative val="0"/>
          <c:cat>
            <c:strRef>
              <c:f>'Users Output'!$M$44:$O$44</c:f>
              <c:strCache>
                <c:ptCount val="3"/>
                <c:pt idx="0">
                  <c:v>Utilisatrices par méthode 
(statistiques de service - non ajustées) : 2021</c:v>
                </c:pt>
                <c:pt idx="1">
                  <c:v>Utilisatrices par méthode 
(statistiques de service - ajustées) : 2021</c:v>
                </c:pt>
                <c:pt idx="2">
                  <c:v>Utilisatrices par méthode 
(enquête / FPET) : 2021</c:v>
                </c:pt>
              </c:strCache>
            </c:strRef>
          </c:cat>
          <c:val>
            <c:numRef>
              <c:f>'Users Output'!$M$45:$O$45</c:f>
              <c:numCache>
                <c:formatCode>#,##0</c:formatCode>
                <c:ptCount val="3"/>
                <c:pt idx="0">
                  <c:v>#N/A</c:v>
                </c:pt>
                <c:pt idx="1">
                  <c:v>#N/A</c:v>
                </c:pt>
                <c:pt idx="2">
                  <c:v>0</c:v>
                </c:pt>
              </c:numCache>
            </c:numRef>
          </c:val>
          <c:extLst>
            <c:ext xmlns:c16="http://schemas.microsoft.com/office/drawing/2014/chart" uri="{C3380CC4-5D6E-409C-BE32-E72D297353CC}">
              <c16:uniqueId val="{00000000-21D3-4111-AB95-D40A20C66F80}"/>
            </c:ext>
          </c:extLst>
        </c:ser>
        <c:ser>
          <c:idx val="1"/>
          <c:order val="1"/>
          <c:tx>
            <c:strRef>
              <c:f>'Users Output'!$L$46</c:f>
              <c:strCache>
                <c:ptCount val="1"/>
                <c:pt idx="0">
                  <c:v>Stérilisation (m)</c:v>
                </c:pt>
              </c:strCache>
            </c:strRef>
          </c:tx>
          <c:spPr>
            <a:solidFill>
              <a:schemeClr val="accent6">
                <a:lumMod val="50000"/>
              </a:schemeClr>
            </a:solidFill>
            <a:ln>
              <a:solidFill>
                <a:schemeClr val="bg1"/>
              </a:solidFill>
            </a:ln>
            <a:effectLst/>
          </c:spPr>
          <c:invertIfNegative val="0"/>
          <c:cat>
            <c:strRef>
              <c:f>'Users Output'!$M$44:$O$44</c:f>
              <c:strCache>
                <c:ptCount val="3"/>
                <c:pt idx="0">
                  <c:v>Utilisatrices par méthode 
(statistiques de service - non ajustées) : 2021</c:v>
                </c:pt>
                <c:pt idx="1">
                  <c:v>Utilisatrices par méthode 
(statistiques de service - ajustées) : 2021</c:v>
                </c:pt>
                <c:pt idx="2">
                  <c:v>Utilisatrices par méthode 
(enquête / FPET) : 2021</c:v>
                </c:pt>
              </c:strCache>
            </c:strRef>
          </c:cat>
          <c:val>
            <c:numRef>
              <c:f>'Users Output'!$M$46:$O$46</c:f>
              <c:numCache>
                <c:formatCode>#,##0</c:formatCode>
                <c:ptCount val="3"/>
                <c:pt idx="0">
                  <c:v>#N/A</c:v>
                </c:pt>
                <c:pt idx="1">
                  <c:v>#N/A</c:v>
                </c:pt>
                <c:pt idx="2">
                  <c:v>0</c:v>
                </c:pt>
              </c:numCache>
            </c:numRef>
          </c:val>
          <c:extLst>
            <c:ext xmlns:c16="http://schemas.microsoft.com/office/drawing/2014/chart" uri="{C3380CC4-5D6E-409C-BE32-E72D297353CC}">
              <c16:uniqueId val="{00000001-21D3-4111-AB95-D40A20C66F80}"/>
            </c:ext>
          </c:extLst>
        </c:ser>
        <c:ser>
          <c:idx val="2"/>
          <c:order val="2"/>
          <c:tx>
            <c:strRef>
              <c:f>'Users Output'!$L$47</c:f>
              <c:strCache>
                <c:ptCount val="1"/>
                <c:pt idx="0">
                  <c:v>DIU</c:v>
                </c:pt>
              </c:strCache>
            </c:strRef>
          </c:tx>
          <c:spPr>
            <a:solidFill>
              <a:schemeClr val="bg2"/>
            </a:solidFill>
            <a:ln>
              <a:solidFill>
                <a:schemeClr val="bg1"/>
              </a:solidFill>
            </a:ln>
            <a:effectLst/>
          </c:spPr>
          <c:invertIfNegative val="0"/>
          <c:cat>
            <c:strRef>
              <c:f>'Users Output'!$M$44:$O$44</c:f>
              <c:strCache>
                <c:ptCount val="3"/>
                <c:pt idx="0">
                  <c:v>Utilisatrices par méthode 
(statistiques de service - non ajustées) : 2021</c:v>
                </c:pt>
                <c:pt idx="1">
                  <c:v>Utilisatrices par méthode 
(statistiques de service - ajustées) : 2021</c:v>
                </c:pt>
                <c:pt idx="2">
                  <c:v>Utilisatrices par méthode 
(enquête / FPET) : 2021</c:v>
                </c:pt>
              </c:strCache>
            </c:strRef>
          </c:cat>
          <c:val>
            <c:numRef>
              <c:f>'Users Output'!$M$47:$O$47</c:f>
              <c:numCache>
                <c:formatCode>#,##0</c:formatCode>
                <c:ptCount val="3"/>
                <c:pt idx="0">
                  <c:v>#N/A</c:v>
                </c:pt>
                <c:pt idx="1">
                  <c:v>#N/A</c:v>
                </c:pt>
                <c:pt idx="2">
                  <c:v>0</c:v>
                </c:pt>
              </c:numCache>
            </c:numRef>
          </c:val>
          <c:extLst>
            <c:ext xmlns:c16="http://schemas.microsoft.com/office/drawing/2014/chart" uri="{C3380CC4-5D6E-409C-BE32-E72D297353CC}">
              <c16:uniqueId val="{00000002-21D3-4111-AB95-D40A20C66F80}"/>
            </c:ext>
          </c:extLst>
        </c:ser>
        <c:ser>
          <c:idx val="3"/>
          <c:order val="3"/>
          <c:tx>
            <c:strRef>
              <c:f>'Users Output'!$L$48</c:f>
              <c:strCache>
                <c:ptCount val="1"/>
                <c:pt idx="0">
                  <c:v>Implant</c:v>
                </c:pt>
              </c:strCache>
            </c:strRef>
          </c:tx>
          <c:spPr>
            <a:solidFill>
              <a:schemeClr val="accent2"/>
            </a:solidFill>
            <a:ln>
              <a:solidFill>
                <a:schemeClr val="bg1"/>
              </a:solidFill>
            </a:ln>
            <a:effectLst/>
          </c:spPr>
          <c:invertIfNegative val="0"/>
          <c:cat>
            <c:strRef>
              <c:f>'Users Output'!$M$44:$O$44</c:f>
              <c:strCache>
                <c:ptCount val="3"/>
                <c:pt idx="0">
                  <c:v>Utilisatrices par méthode 
(statistiques de service - non ajustées) : 2021</c:v>
                </c:pt>
                <c:pt idx="1">
                  <c:v>Utilisatrices par méthode 
(statistiques de service - ajustées) : 2021</c:v>
                </c:pt>
                <c:pt idx="2">
                  <c:v>Utilisatrices par méthode 
(enquête / FPET) : 2021</c:v>
                </c:pt>
              </c:strCache>
            </c:strRef>
          </c:cat>
          <c:val>
            <c:numRef>
              <c:f>'Users Output'!$M$48:$O$48</c:f>
              <c:numCache>
                <c:formatCode>#,##0</c:formatCode>
                <c:ptCount val="3"/>
                <c:pt idx="0">
                  <c:v>#N/A</c:v>
                </c:pt>
                <c:pt idx="1">
                  <c:v>#N/A</c:v>
                </c:pt>
                <c:pt idx="2">
                  <c:v>0</c:v>
                </c:pt>
              </c:numCache>
            </c:numRef>
          </c:val>
          <c:extLst>
            <c:ext xmlns:c16="http://schemas.microsoft.com/office/drawing/2014/chart" uri="{C3380CC4-5D6E-409C-BE32-E72D297353CC}">
              <c16:uniqueId val="{00000003-21D3-4111-AB95-D40A20C66F80}"/>
            </c:ext>
          </c:extLst>
        </c:ser>
        <c:ser>
          <c:idx val="4"/>
          <c:order val="4"/>
          <c:tx>
            <c:strRef>
              <c:f>'Users Output'!$L$49</c:f>
              <c:strCache>
                <c:ptCount val="1"/>
                <c:pt idx="0">
                  <c:v>Produits injectables</c:v>
                </c:pt>
              </c:strCache>
            </c:strRef>
          </c:tx>
          <c:spPr>
            <a:solidFill>
              <a:schemeClr val="tx2"/>
            </a:solidFill>
            <a:ln>
              <a:solidFill>
                <a:schemeClr val="bg1"/>
              </a:solidFill>
            </a:ln>
            <a:effectLst/>
          </c:spPr>
          <c:invertIfNegative val="0"/>
          <c:cat>
            <c:strRef>
              <c:f>'Users Output'!$M$44:$O$44</c:f>
              <c:strCache>
                <c:ptCount val="3"/>
                <c:pt idx="0">
                  <c:v>Utilisatrices par méthode 
(statistiques de service - non ajustées) : 2021</c:v>
                </c:pt>
                <c:pt idx="1">
                  <c:v>Utilisatrices par méthode 
(statistiques de service - ajustées) : 2021</c:v>
                </c:pt>
                <c:pt idx="2">
                  <c:v>Utilisatrices par méthode 
(enquête / FPET) : 2021</c:v>
                </c:pt>
              </c:strCache>
            </c:strRef>
          </c:cat>
          <c:val>
            <c:numRef>
              <c:f>'Users Output'!$M$49:$O$49</c:f>
              <c:numCache>
                <c:formatCode>#,##0</c:formatCode>
                <c:ptCount val="3"/>
                <c:pt idx="0">
                  <c:v>#N/A</c:v>
                </c:pt>
                <c:pt idx="1">
                  <c:v>#N/A</c:v>
                </c:pt>
                <c:pt idx="2">
                  <c:v>0</c:v>
                </c:pt>
              </c:numCache>
            </c:numRef>
          </c:val>
          <c:extLst>
            <c:ext xmlns:c16="http://schemas.microsoft.com/office/drawing/2014/chart" uri="{C3380CC4-5D6E-409C-BE32-E72D297353CC}">
              <c16:uniqueId val="{00000004-21D3-4111-AB95-D40A20C66F80}"/>
            </c:ext>
          </c:extLst>
        </c:ser>
        <c:ser>
          <c:idx val="5"/>
          <c:order val="5"/>
          <c:tx>
            <c:strRef>
              <c:f>'Users Output'!$L$50</c:f>
              <c:strCache>
                <c:ptCount val="1"/>
                <c:pt idx="0">
                  <c:v>Pilule</c:v>
                </c:pt>
              </c:strCache>
            </c:strRef>
          </c:tx>
          <c:spPr>
            <a:solidFill>
              <a:schemeClr val="accent1"/>
            </a:solidFill>
            <a:ln>
              <a:solidFill>
                <a:schemeClr val="bg1"/>
              </a:solidFill>
            </a:ln>
            <a:effectLst/>
          </c:spPr>
          <c:invertIfNegative val="0"/>
          <c:cat>
            <c:strRef>
              <c:f>'Users Output'!$M$44:$O$44</c:f>
              <c:strCache>
                <c:ptCount val="3"/>
                <c:pt idx="0">
                  <c:v>Utilisatrices par méthode 
(statistiques de service - non ajustées) : 2021</c:v>
                </c:pt>
                <c:pt idx="1">
                  <c:v>Utilisatrices par méthode 
(statistiques de service - ajustées) : 2021</c:v>
                </c:pt>
                <c:pt idx="2">
                  <c:v>Utilisatrices par méthode 
(enquête / FPET) : 2021</c:v>
                </c:pt>
              </c:strCache>
            </c:strRef>
          </c:cat>
          <c:val>
            <c:numRef>
              <c:f>'Users Output'!$M$50:$O$50</c:f>
              <c:numCache>
                <c:formatCode>#,##0</c:formatCode>
                <c:ptCount val="3"/>
                <c:pt idx="0">
                  <c:v>#N/A</c:v>
                </c:pt>
                <c:pt idx="1">
                  <c:v>#N/A</c:v>
                </c:pt>
                <c:pt idx="2">
                  <c:v>0</c:v>
                </c:pt>
              </c:numCache>
            </c:numRef>
          </c:val>
          <c:extLst>
            <c:ext xmlns:c16="http://schemas.microsoft.com/office/drawing/2014/chart" uri="{C3380CC4-5D6E-409C-BE32-E72D297353CC}">
              <c16:uniqueId val="{00000005-21D3-4111-AB95-D40A20C66F80}"/>
            </c:ext>
          </c:extLst>
        </c:ser>
        <c:ser>
          <c:idx val="6"/>
          <c:order val="6"/>
          <c:tx>
            <c:strRef>
              <c:f>'Users Output'!$L$51</c:f>
              <c:strCache>
                <c:ptCount val="1"/>
                <c:pt idx="0">
                  <c:v>Préservatifs (m+f)</c:v>
                </c:pt>
              </c:strCache>
            </c:strRef>
          </c:tx>
          <c:spPr>
            <a:solidFill>
              <a:schemeClr val="accent3"/>
            </a:solidFill>
            <a:ln>
              <a:solidFill>
                <a:schemeClr val="bg1"/>
              </a:solidFill>
            </a:ln>
            <a:effectLst/>
          </c:spPr>
          <c:invertIfNegative val="0"/>
          <c:cat>
            <c:strRef>
              <c:f>'Users Output'!$M$44:$O$44</c:f>
              <c:strCache>
                <c:ptCount val="3"/>
                <c:pt idx="0">
                  <c:v>Utilisatrices par méthode 
(statistiques de service - non ajustées) : 2021</c:v>
                </c:pt>
                <c:pt idx="1">
                  <c:v>Utilisatrices par méthode 
(statistiques de service - ajustées) : 2021</c:v>
                </c:pt>
                <c:pt idx="2">
                  <c:v>Utilisatrices par méthode 
(enquête / FPET) : 2021</c:v>
                </c:pt>
              </c:strCache>
            </c:strRef>
          </c:cat>
          <c:val>
            <c:numRef>
              <c:f>'Users Output'!$M$51:$O$51</c:f>
              <c:numCache>
                <c:formatCode>#,##0</c:formatCode>
                <c:ptCount val="3"/>
                <c:pt idx="0">
                  <c:v>#N/A</c:v>
                </c:pt>
                <c:pt idx="1">
                  <c:v>#N/A</c:v>
                </c:pt>
                <c:pt idx="2">
                  <c:v>0</c:v>
                </c:pt>
              </c:numCache>
            </c:numRef>
          </c:val>
          <c:extLst>
            <c:ext xmlns:c16="http://schemas.microsoft.com/office/drawing/2014/chart" uri="{C3380CC4-5D6E-409C-BE32-E72D297353CC}">
              <c16:uniqueId val="{00000006-21D3-4111-AB95-D40A20C66F80}"/>
            </c:ext>
          </c:extLst>
        </c:ser>
        <c:ser>
          <c:idx val="7"/>
          <c:order val="7"/>
          <c:tx>
            <c:strRef>
              <c:f>'Users Output'!$L$52</c:f>
              <c:strCache>
                <c:ptCount val="1"/>
                <c:pt idx="0">
                  <c:v>MAMA</c:v>
                </c:pt>
              </c:strCache>
            </c:strRef>
          </c:tx>
          <c:spPr>
            <a:solidFill>
              <a:schemeClr val="accent6">
                <a:lumMod val="40000"/>
                <a:lumOff val="60000"/>
              </a:schemeClr>
            </a:solidFill>
            <a:ln>
              <a:solidFill>
                <a:schemeClr val="bg1"/>
              </a:solidFill>
            </a:ln>
            <a:effectLst/>
          </c:spPr>
          <c:invertIfNegative val="0"/>
          <c:cat>
            <c:strRef>
              <c:f>'Users Output'!$M$44:$O$44</c:f>
              <c:strCache>
                <c:ptCount val="3"/>
                <c:pt idx="0">
                  <c:v>Utilisatrices par méthode 
(statistiques de service - non ajustées) : 2021</c:v>
                </c:pt>
                <c:pt idx="1">
                  <c:v>Utilisatrices par méthode 
(statistiques de service - ajustées) : 2021</c:v>
                </c:pt>
                <c:pt idx="2">
                  <c:v>Utilisatrices par méthode 
(enquête / FPET) : 2021</c:v>
                </c:pt>
              </c:strCache>
            </c:strRef>
          </c:cat>
          <c:val>
            <c:numRef>
              <c:f>'Users Output'!$M$52:$O$52</c:f>
              <c:numCache>
                <c:formatCode>#,##0</c:formatCode>
                <c:ptCount val="3"/>
                <c:pt idx="0">
                  <c:v>#N/A</c:v>
                </c:pt>
                <c:pt idx="1">
                  <c:v>#N/A</c:v>
                </c:pt>
                <c:pt idx="2">
                  <c:v>0</c:v>
                </c:pt>
              </c:numCache>
            </c:numRef>
          </c:val>
          <c:extLst>
            <c:ext xmlns:c16="http://schemas.microsoft.com/office/drawing/2014/chart" uri="{C3380CC4-5D6E-409C-BE32-E72D297353CC}">
              <c16:uniqueId val="{00000008-21D3-4111-AB95-D40A20C66F80}"/>
            </c:ext>
          </c:extLst>
        </c:ser>
        <c:ser>
          <c:idx val="8"/>
          <c:order val="8"/>
          <c:tx>
            <c:strRef>
              <c:f>'Users Output'!$L$53</c:f>
              <c:strCache>
                <c:ptCount val="1"/>
                <c:pt idx="0">
                  <c:v>Contraception d'urgence</c:v>
                </c:pt>
              </c:strCache>
            </c:strRef>
          </c:tx>
          <c:spPr>
            <a:solidFill>
              <a:schemeClr val="accent5"/>
            </a:solidFill>
            <a:ln>
              <a:solidFill>
                <a:schemeClr val="bg1"/>
              </a:solidFill>
            </a:ln>
            <a:effectLst/>
          </c:spPr>
          <c:invertIfNegative val="0"/>
          <c:cat>
            <c:strRef>
              <c:f>'Users Output'!$M$44:$O$44</c:f>
              <c:strCache>
                <c:ptCount val="3"/>
                <c:pt idx="0">
                  <c:v>Utilisatrices par méthode 
(statistiques de service - non ajustées) : 2021</c:v>
                </c:pt>
                <c:pt idx="1">
                  <c:v>Utilisatrices par méthode 
(statistiques de service - ajustées) : 2021</c:v>
                </c:pt>
                <c:pt idx="2">
                  <c:v>Utilisatrices par méthode 
(enquête / FPET) : 2021</c:v>
                </c:pt>
              </c:strCache>
            </c:strRef>
          </c:cat>
          <c:val>
            <c:numRef>
              <c:f>'Users Output'!$M$53:$O$53</c:f>
              <c:numCache>
                <c:formatCode>#,##0</c:formatCode>
                <c:ptCount val="3"/>
                <c:pt idx="0">
                  <c:v>#N/A</c:v>
                </c:pt>
                <c:pt idx="1">
                  <c:v>#N/A</c:v>
                </c:pt>
                <c:pt idx="2">
                  <c:v>0</c:v>
                </c:pt>
              </c:numCache>
            </c:numRef>
          </c:val>
          <c:extLst>
            <c:ext xmlns:c16="http://schemas.microsoft.com/office/drawing/2014/chart" uri="{C3380CC4-5D6E-409C-BE32-E72D297353CC}">
              <c16:uniqueId val="{00000007-21D3-4111-AB95-D40A20C66F80}"/>
            </c:ext>
          </c:extLst>
        </c:ser>
        <c:ser>
          <c:idx val="9"/>
          <c:order val="9"/>
          <c:tx>
            <c:strRef>
              <c:f>'Users Output'!$L$54</c:f>
              <c:strCache>
                <c:ptCount val="1"/>
                <c:pt idx="0">
                  <c:v>Autres méthodes modernes</c:v>
                </c:pt>
              </c:strCache>
            </c:strRef>
          </c:tx>
          <c:spPr>
            <a:ln>
              <a:solidFill>
                <a:schemeClr val="bg1"/>
              </a:solidFill>
            </a:ln>
          </c:spPr>
          <c:invertIfNegative val="0"/>
          <c:cat>
            <c:strRef>
              <c:f>'Users Output'!$M$44:$O$44</c:f>
              <c:strCache>
                <c:ptCount val="3"/>
                <c:pt idx="0">
                  <c:v>Utilisatrices par méthode 
(statistiques de service - non ajustées) : 2021</c:v>
                </c:pt>
                <c:pt idx="1">
                  <c:v>Utilisatrices par méthode 
(statistiques de service - ajustées) : 2021</c:v>
                </c:pt>
                <c:pt idx="2">
                  <c:v>Utilisatrices par méthode 
(enquête / FPET) : 2021</c:v>
                </c:pt>
              </c:strCache>
            </c:strRef>
          </c:cat>
          <c:val>
            <c:numRef>
              <c:f>'Users Output'!$M$54:$O$54</c:f>
              <c:numCache>
                <c:formatCode>#,##0</c:formatCode>
                <c:ptCount val="3"/>
                <c:pt idx="0">
                  <c:v>#N/A</c:v>
                </c:pt>
                <c:pt idx="1">
                  <c:v>#N/A</c:v>
                </c:pt>
                <c:pt idx="2">
                  <c:v>0</c:v>
                </c:pt>
              </c:numCache>
            </c:numRef>
          </c:val>
          <c:extLst>
            <c:ext xmlns:c16="http://schemas.microsoft.com/office/drawing/2014/chart" uri="{C3380CC4-5D6E-409C-BE32-E72D297353CC}">
              <c16:uniqueId val="{00000000-73EF-4E9D-BDCA-413E3C68ABC3}"/>
            </c:ext>
          </c:extLst>
        </c:ser>
        <c:dLbls>
          <c:showLegendKey val="0"/>
          <c:showVal val="0"/>
          <c:showCatName val="0"/>
          <c:showSerName val="0"/>
          <c:showPercent val="0"/>
          <c:showBubbleSize val="0"/>
        </c:dLbls>
        <c:gapWidth val="50"/>
        <c:overlap val="100"/>
        <c:axId val="1068113584"/>
        <c:axId val="1068127688"/>
      </c:barChart>
      <c:catAx>
        <c:axId val="106811358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068127688"/>
        <c:crosses val="autoZero"/>
        <c:auto val="1"/>
        <c:lblAlgn val="ctr"/>
        <c:lblOffset val="100"/>
        <c:noMultiLvlLbl val="0"/>
      </c:catAx>
      <c:valAx>
        <c:axId val="1068127688"/>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068113584"/>
        <c:crosses val="autoZero"/>
        <c:crossBetween val="between"/>
      </c:valAx>
    </c:plotArea>
    <c:legend>
      <c:legendPos val="b"/>
      <c:layout>
        <c:manualLayout>
          <c:xMode val="edge"/>
          <c:yMode val="edge"/>
          <c:x val="7.4004683102697373E-3"/>
          <c:y val="0.80168018440823618"/>
          <c:w val="0.99259950070412062"/>
          <c:h val="0.1983198660163209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37289005161789E-2"/>
          <c:y val="4.4233309362676436E-2"/>
          <c:w val="0.75412885191672718"/>
          <c:h val="0.87764881889763768"/>
        </c:manualLayout>
      </c:layout>
      <c:lineChart>
        <c:grouping val="standard"/>
        <c:varyColors val="0"/>
        <c:ser>
          <c:idx val="0"/>
          <c:order val="0"/>
          <c:tx>
            <c:strRef>
              <c:f>'Users Output'!$C$57</c:f>
              <c:strCache>
                <c:ptCount val="1"/>
                <c:pt idx="0">
                  <c:v>Utilisatrices (statistiques de service - non ajustées)</c:v>
                </c:pt>
              </c:strCache>
            </c:strRef>
          </c:tx>
          <c:spPr>
            <a:ln w="57150" cap="rnd">
              <a:solidFill>
                <a:schemeClr val="accent6">
                  <a:lumMod val="50000"/>
                </a:schemeClr>
              </a:solidFill>
              <a:round/>
            </a:ln>
            <a:effectLst/>
          </c:spPr>
          <c:marker>
            <c:symbol val="circle"/>
            <c:size val="5"/>
            <c:spPr>
              <a:solidFill>
                <a:schemeClr val="accent6">
                  <a:lumMod val="50000"/>
                </a:schemeClr>
              </a:solidFill>
              <a:ln w="57150">
                <a:solidFill>
                  <a:schemeClr val="accent6">
                    <a:lumMod val="50000"/>
                  </a:schemeClr>
                </a:solidFill>
              </a:ln>
              <a:effectLst/>
            </c:spPr>
          </c:marker>
          <c:cat>
            <c:numRef>
              <c:f>[0]!Year_C2C</c:f>
              <c:numCache>
                <c:formatCode>General</c:formatCode>
                <c:ptCount val="1"/>
                <c:pt idx="0">
                  <c:v>0</c:v>
                </c:pt>
              </c:numCache>
            </c:numRef>
          </c:cat>
          <c:val>
            <c:numRef>
              <c:f>'Users Output'!Users_Total_SS_Unadjusted</c:f>
              <c:numCache>
                <c:formatCode>#,##0</c:formatCode>
                <c:ptCount val="1"/>
                <c:pt idx="0">
                  <c:v>#N/A</c:v>
                </c:pt>
              </c:numCache>
            </c:numRef>
          </c:val>
          <c:smooth val="0"/>
          <c:extLst>
            <c:ext xmlns:c16="http://schemas.microsoft.com/office/drawing/2014/chart" uri="{C3380CC4-5D6E-409C-BE32-E72D297353CC}">
              <c16:uniqueId val="{00000000-8A5D-4303-B36F-6CC725FE3F32}"/>
            </c:ext>
          </c:extLst>
        </c:ser>
        <c:ser>
          <c:idx val="1"/>
          <c:order val="1"/>
          <c:tx>
            <c:strRef>
              <c:f>'Users Output'!$C$58</c:f>
              <c:strCache>
                <c:ptCount val="1"/>
                <c:pt idx="0">
                  <c:v>Utilisatrices (statistiques de service - ajustées)</c:v>
                </c:pt>
              </c:strCache>
            </c:strRef>
          </c:tx>
          <c:spPr>
            <a:ln w="38100" cap="rnd">
              <a:solidFill>
                <a:schemeClr val="accent6"/>
              </a:solidFill>
              <a:round/>
            </a:ln>
            <a:effectLst/>
          </c:spPr>
          <c:marker>
            <c:symbol val="circle"/>
            <c:size val="5"/>
            <c:spPr>
              <a:solidFill>
                <a:schemeClr val="accent6"/>
              </a:solidFill>
              <a:ln w="38100">
                <a:solidFill>
                  <a:schemeClr val="accent6"/>
                </a:solidFill>
              </a:ln>
              <a:effectLst/>
            </c:spPr>
          </c:marker>
          <c:cat>
            <c:numRef>
              <c:f>[0]!Year_C2C</c:f>
              <c:numCache>
                <c:formatCode>General</c:formatCode>
                <c:ptCount val="1"/>
                <c:pt idx="0">
                  <c:v>0</c:v>
                </c:pt>
              </c:numCache>
            </c:numRef>
          </c:cat>
          <c:val>
            <c:numRef>
              <c:f>[0]!Users_Total_SS_Adjusted</c:f>
              <c:numCache>
                <c:formatCode>#,##0</c:formatCode>
                <c:ptCount val="1"/>
                <c:pt idx="0">
                  <c:v>#N/A</c:v>
                </c:pt>
              </c:numCache>
            </c:numRef>
          </c:val>
          <c:smooth val="0"/>
          <c:extLst>
            <c:ext xmlns:c16="http://schemas.microsoft.com/office/drawing/2014/chart" uri="{C3380CC4-5D6E-409C-BE32-E72D297353CC}">
              <c16:uniqueId val="{00000001-8A5D-4303-B36F-6CC725FE3F32}"/>
            </c:ext>
          </c:extLst>
        </c:ser>
        <c:ser>
          <c:idx val="2"/>
          <c:order val="2"/>
          <c:tx>
            <c:strRef>
              <c:f>'Users Output'!$C$59</c:f>
              <c:strCache>
                <c:ptCount val="1"/>
                <c:pt idx="0">
                  <c:v>Utilisatrices (enquête / FPET)</c:v>
                </c:pt>
              </c:strCache>
            </c:strRef>
          </c:tx>
          <c:spPr>
            <a:ln w="38100" cap="rnd">
              <a:solidFill>
                <a:schemeClr val="accent6">
                  <a:lumMod val="60000"/>
                  <a:lumOff val="40000"/>
                </a:schemeClr>
              </a:solidFill>
              <a:round/>
            </a:ln>
            <a:effectLst/>
          </c:spPr>
          <c:marker>
            <c:symbol val="circle"/>
            <c:size val="5"/>
            <c:spPr>
              <a:solidFill>
                <a:schemeClr val="accent6">
                  <a:lumMod val="60000"/>
                  <a:lumOff val="40000"/>
                </a:schemeClr>
              </a:solidFill>
              <a:ln w="38100">
                <a:solidFill>
                  <a:schemeClr val="accent6">
                    <a:lumMod val="60000"/>
                    <a:lumOff val="40000"/>
                  </a:schemeClr>
                </a:solidFill>
              </a:ln>
              <a:effectLst/>
            </c:spPr>
          </c:marker>
          <c:cat>
            <c:numRef>
              <c:f>[0]!Year_C2C</c:f>
              <c:numCache>
                <c:formatCode>General</c:formatCode>
                <c:ptCount val="1"/>
                <c:pt idx="0">
                  <c:v>0</c:v>
                </c:pt>
              </c:numCache>
            </c:numRef>
          </c:cat>
          <c:val>
            <c:numRef>
              <c:f>'Users Output'!Users_Total_Survey</c:f>
              <c:numCache>
                <c:formatCode>#,##0</c:formatCode>
                <c:ptCount val="1"/>
                <c:pt idx="0">
                  <c:v>#N/A</c:v>
                </c:pt>
              </c:numCache>
            </c:numRef>
          </c:val>
          <c:smooth val="0"/>
          <c:extLst>
            <c:ext xmlns:c16="http://schemas.microsoft.com/office/drawing/2014/chart" uri="{C3380CC4-5D6E-409C-BE32-E72D297353CC}">
              <c16:uniqueId val="{00000002-8A5D-4303-B36F-6CC725FE3F32}"/>
            </c:ext>
          </c:extLst>
        </c:ser>
        <c:dLbls>
          <c:showLegendKey val="0"/>
          <c:showVal val="0"/>
          <c:showCatName val="0"/>
          <c:showSerName val="0"/>
          <c:showPercent val="0"/>
          <c:showBubbleSize val="0"/>
        </c:dLbls>
        <c:marker val="1"/>
        <c:smooth val="0"/>
        <c:axId val="1240115104"/>
        <c:axId val="724702192"/>
      </c:lineChart>
      <c:catAx>
        <c:axId val="1240115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724702192"/>
        <c:crosses val="autoZero"/>
        <c:auto val="1"/>
        <c:lblAlgn val="ctr"/>
        <c:lblOffset val="100"/>
        <c:noMultiLvlLbl val="0"/>
      </c:catAx>
      <c:valAx>
        <c:axId val="724702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40115104"/>
        <c:crosses val="autoZero"/>
        <c:crossBetween val="between"/>
      </c:valAx>
      <c:spPr>
        <a:noFill/>
        <a:ln>
          <a:noFill/>
        </a:ln>
        <a:effectLst/>
      </c:spPr>
    </c:plotArea>
    <c:legend>
      <c:legendPos val="b"/>
      <c:layout>
        <c:manualLayout>
          <c:xMode val="edge"/>
          <c:yMode val="edge"/>
          <c:x val="0.80849334033173237"/>
          <c:y val="3.5940437515240689E-2"/>
          <c:w val="0.182556872163258"/>
          <c:h val="0.94407954250473924"/>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'"EMU" Output'!$AL$9</c:f>
          <c:strCache>
            <c:ptCount val="1"/>
            <c:pt idx="0">
              <c:v>Comparez EUM and TPCM</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2"/>
              </a:solidFill>
              <a:latin typeface="+mn-lt"/>
              <a:ea typeface="+mn-ea"/>
              <a:cs typeface="+mn-cs"/>
            </a:defRPr>
          </a:pPr>
          <a:endParaRPr lang="en-US"/>
        </a:p>
      </c:txPr>
    </c:title>
    <c:autoTitleDeleted val="0"/>
    <c:plotArea>
      <c:layout>
        <c:manualLayout>
          <c:layoutTarget val="inner"/>
          <c:xMode val="edge"/>
          <c:yMode val="edge"/>
          <c:x val="4.8973160790727832E-2"/>
          <c:y val="0.11279273748126878"/>
          <c:w val="0.93330871990202657"/>
          <c:h val="0.68817474908900056"/>
        </c:manualLayout>
      </c:layout>
      <c:lineChart>
        <c:grouping val="standard"/>
        <c:varyColors val="0"/>
        <c:ser>
          <c:idx val="0"/>
          <c:order val="0"/>
          <c:tx>
            <c:strRef>
              <c:f>'"EMU" Output'!$AC$9</c:f>
              <c:strCache>
                <c:ptCount val="1"/>
                <c:pt idx="0">
                  <c:v>TPCm (TF): DHS</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[0]!YEARS</c:f>
              <c:numCache>
                <c:formatCode>0</c:formatCode>
                <c:ptCount val="1"/>
                <c:pt idx="0">
                  <c:v>2006</c:v>
                </c:pt>
              </c:numCache>
            </c:numRef>
          </c:cat>
          <c:val>
            <c:numRef>
              <c:f>[0]!mCPR_Survey1</c:f>
              <c:numCache>
                <c:formatCode>0%</c:formatCode>
                <c:ptCount val="1"/>
                <c:pt idx="0">
                  <c:v>#N/A</c:v>
                </c:pt>
              </c:numCache>
            </c:numRef>
          </c:val>
          <c:smooth val="0"/>
          <c:extLst>
            <c:ext xmlns:c16="http://schemas.microsoft.com/office/drawing/2014/chart" uri="{C3380CC4-5D6E-409C-BE32-E72D297353CC}">
              <c16:uniqueId val="{00000002-3B09-4A1C-BF3B-34551926CC18}"/>
            </c:ext>
          </c:extLst>
        </c:ser>
        <c:ser>
          <c:idx val="1"/>
          <c:order val="1"/>
          <c:tx>
            <c:strRef>
              <c:f>'"EMU" Output'!$AD$9</c:f>
              <c:strCache>
                <c:ptCount val="1"/>
                <c:pt idx="0">
                  <c:v>TPCm (TF): MICS</c:v>
                </c:pt>
              </c:strCache>
            </c:strRef>
          </c:tx>
          <c:spPr>
            <a:ln w="28575" cap="rnd">
              <a:solidFill>
                <a:schemeClr val="accent3">
                  <a:lumMod val="60000"/>
                  <a:lumOff val="40000"/>
                </a:schemeClr>
              </a:solidFill>
              <a:round/>
            </a:ln>
            <a:effectLst/>
          </c:spPr>
          <c:marker>
            <c:symbol val="circle"/>
            <c:size val="5"/>
            <c:spPr>
              <a:solidFill>
                <a:schemeClr val="accent3">
                  <a:lumMod val="60000"/>
                  <a:lumOff val="40000"/>
                </a:schemeClr>
              </a:solidFill>
              <a:ln w="9525">
                <a:solidFill>
                  <a:schemeClr val="accent3">
                    <a:lumMod val="60000"/>
                    <a:lumOff val="40000"/>
                  </a:schemeClr>
                </a:solidFill>
              </a:ln>
              <a:effectLst/>
            </c:spPr>
          </c:marker>
          <c:cat>
            <c:numRef>
              <c:f>[0]!YEARS</c:f>
              <c:numCache>
                <c:formatCode>0</c:formatCode>
                <c:ptCount val="1"/>
                <c:pt idx="0">
                  <c:v>2006</c:v>
                </c:pt>
              </c:numCache>
            </c:numRef>
          </c:cat>
          <c:val>
            <c:numRef>
              <c:f>[0]!mCPR_Survey2</c:f>
              <c:numCache>
                <c:formatCode>0%</c:formatCode>
                <c:ptCount val="1"/>
                <c:pt idx="0">
                  <c:v>#N/A</c:v>
                </c:pt>
              </c:numCache>
            </c:numRef>
          </c:val>
          <c:smooth val="0"/>
          <c:extLst>
            <c:ext xmlns:c16="http://schemas.microsoft.com/office/drawing/2014/chart" uri="{C3380CC4-5D6E-409C-BE32-E72D297353CC}">
              <c16:uniqueId val="{00000000-3B09-4A1C-BF3B-34551926CC18}"/>
            </c:ext>
          </c:extLst>
        </c:ser>
        <c:ser>
          <c:idx val="7"/>
          <c:order val="2"/>
          <c:tx>
            <c:strRef>
              <c:f>'"EMU" Output'!$AE$9</c:f>
              <c:strCache>
                <c:ptCount val="1"/>
                <c:pt idx="0">
                  <c:v>TPCm (TF): PMA</c:v>
                </c:pt>
              </c:strCache>
            </c:strRef>
          </c:tx>
          <c:spPr>
            <a:ln w="28575" cap="rnd">
              <a:solidFill>
                <a:schemeClr val="accent3">
                  <a:lumMod val="75000"/>
                </a:schemeClr>
              </a:solidFill>
              <a:round/>
            </a:ln>
            <a:effectLst/>
          </c:spPr>
          <c:marker>
            <c:symbol val="circle"/>
            <c:size val="5"/>
            <c:spPr>
              <a:solidFill>
                <a:schemeClr val="accent3">
                  <a:lumMod val="75000"/>
                </a:schemeClr>
              </a:solidFill>
              <a:ln w="9525">
                <a:solidFill>
                  <a:schemeClr val="accent3">
                    <a:lumMod val="75000"/>
                  </a:schemeClr>
                </a:solidFill>
              </a:ln>
              <a:effectLst/>
            </c:spPr>
          </c:marker>
          <c:cat>
            <c:numRef>
              <c:f>[0]!YEARS</c:f>
              <c:numCache>
                <c:formatCode>0</c:formatCode>
                <c:ptCount val="1"/>
                <c:pt idx="0">
                  <c:v>2006</c:v>
                </c:pt>
              </c:numCache>
            </c:numRef>
          </c:cat>
          <c:val>
            <c:numRef>
              <c:f>[0]!mCPR_Survey3</c:f>
              <c:numCache>
                <c:formatCode>0%</c:formatCode>
                <c:ptCount val="1"/>
                <c:pt idx="0">
                  <c:v>#N/A</c:v>
                </c:pt>
              </c:numCache>
            </c:numRef>
          </c:val>
          <c:smooth val="0"/>
          <c:extLst>
            <c:ext xmlns:c16="http://schemas.microsoft.com/office/drawing/2014/chart" uri="{C3380CC4-5D6E-409C-BE32-E72D297353CC}">
              <c16:uniqueId val="{00000001-3B09-4A1C-BF3B-34551926CC18}"/>
            </c:ext>
          </c:extLst>
        </c:ser>
        <c:ser>
          <c:idx val="8"/>
          <c:order val="3"/>
          <c:tx>
            <c:strRef>
              <c:f>'"EMU" Output'!$AF$9</c:f>
              <c:strCache>
                <c:ptCount val="1"/>
              </c:strCache>
            </c:strRef>
          </c:tx>
          <c:spPr>
            <a:ln w="28575" cap="rnd">
              <a:solidFill>
                <a:schemeClr val="accent6">
                  <a:lumMod val="60000"/>
                  <a:lumOff val="40000"/>
                </a:schemeClr>
              </a:solidFill>
              <a:round/>
            </a:ln>
            <a:effectLst/>
          </c:spPr>
          <c:marker>
            <c:symbol val="circle"/>
            <c:size val="5"/>
            <c:spPr>
              <a:solidFill>
                <a:schemeClr val="accent6">
                  <a:lumMod val="60000"/>
                  <a:lumOff val="40000"/>
                </a:schemeClr>
              </a:solidFill>
              <a:ln w="9525">
                <a:solidFill>
                  <a:schemeClr val="accent6">
                    <a:lumMod val="60000"/>
                    <a:lumOff val="40000"/>
                  </a:schemeClr>
                </a:solidFill>
              </a:ln>
              <a:effectLst/>
            </c:spPr>
          </c:marker>
          <c:cat>
            <c:numRef>
              <c:f>[0]!YEARS</c:f>
              <c:numCache>
                <c:formatCode>0</c:formatCode>
                <c:ptCount val="1"/>
                <c:pt idx="0">
                  <c:v>2006</c:v>
                </c:pt>
              </c:numCache>
            </c:numRef>
          </c:cat>
          <c:val>
            <c:numRef>
              <c:f>[0]!mCPR_Survey4</c:f>
              <c:numCache>
                <c:formatCode>0%</c:formatCode>
                <c:ptCount val="1"/>
                <c:pt idx="0">
                  <c:v>#N/A</c:v>
                </c:pt>
              </c:numCache>
            </c:numRef>
          </c:val>
          <c:smooth val="0"/>
          <c:extLst>
            <c:ext xmlns:c16="http://schemas.microsoft.com/office/drawing/2014/chart" uri="{C3380CC4-5D6E-409C-BE32-E72D297353CC}">
              <c16:uniqueId val="{00000000-4E47-4C29-9B23-5039852D289F}"/>
            </c:ext>
          </c:extLst>
        </c:ser>
        <c:ser>
          <c:idx val="6"/>
          <c:order val="4"/>
          <c:tx>
            <c:strRef>
              <c:f>'"EMU" Output'!$AG$9</c:f>
              <c:strCache>
                <c:ptCount val="1"/>
                <c:pt idx="0">
                  <c:v>TPCm (TF): FPET Global Run (2022)</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[0]!YEARS</c:f>
              <c:numCache>
                <c:formatCode>0</c:formatCode>
                <c:ptCount val="1"/>
                <c:pt idx="0">
                  <c:v>2006</c:v>
                </c:pt>
              </c:numCache>
            </c:numRef>
          </c:cat>
          <c:val>
            <c:numRef>
              <c:f>[0]!mCPR_FPET</c:f>
              <c:numCache>
                <c:formatCode>0%</c:formatCode>
                <c:ptCount val="1"/>
                <c:pt idx="0">
                  <c:v>#N/A</c:v>
                </c:pt>
              </c:numCache>
            </c:numRef>
          </c:val>
          <c:smooth val="0"/>
          <c:extLst>
            <c:ext xmlns:c16="http://schemas.microsoft.com/office/drawing/2014/chart" uri="{C3380CC4-5D6E-409C-BE32-E72D297353CC}">
              <c16:uniqueId val="{00000006-A4A1-437B-974D-CB3B0849923D}"/>
            </c:ext>
          </c:extLst>
        </c:ser>
        <c:ser>
          <c:idx val="2"/>
          <c:order val="5"/>
          <c:tx>
            <c:strRef>
              <c:f>'"EMU" Output'!$S$9</c:f>
              <c:strCache>
                <c:ptCount val="1"/>
                <c:pt idx="0">
                  <c:v>EUM : Produits aux clients</c:v>
                </c:pt>
              </c:strCache>
            </c:strRef>
          </c:tx>
          <c:spPr>
            <a:ln w="28575" cap="rnd">
              <a:solidFill>
                <a:schemeClr val="bg2"/>
              </a:solidFill>
              <a:round/>
            </a:ln>
            <a:effectLst/>
          </c:spPr>
          <c:marker>
            <c:symbol val="circle"/>
            <c:size val="5"/>
            <c:spPr>
              <a:solidFill>
                <a:schemeClr val="bg2"/>
              </a:solidFill>
              <a:ln w="9525">
                <a:solidFill>
                  <a:schemeClr val="bg2"/>
                </a:solidFill>
              </a:ln>
              <a:effectLst/>
            </c:spPr>
          </c:marker>
          <c:cat>
            <c:numRef>
              <c:f>[0]!YEARS</c:f>
              <c:numCache>
                <c:formatCode>0</c:formatCode>
                <c:ptCount val="1"/>
                <c:pt idx="0">
                  <c:v>2006</c:v>
                </c:pt>
              </c:numCache>
            </c:numRef>
          </c:cat>
          <c:val>
            <c:numRef>
              <c:f>[0]!EMU_C2C</c:f>
              <c:numCache>
                <c:formatCode>0%</c:formatCode>
                <c:ptCount val="1"/>
                <c:pt idx="0">
                  <c:v>#N/A</c:v>
                </c:pt>
              </c:numCache>
            </c:numRef>
          </c:val>
          <c:smooth val="0"/>
          <c:extLst>
            <c:ext xmlns:c16="http://schemas.microsoft.com/office/drawing/2014/chart" uri="{C3380CC4-5D6E-409C-BE32-E72D297353CC}">
              <c16:uniqueId val="{00000002-A4A1-437B-974D-CB3B0849923D}"/>
            </c:ext>
          </c:extLst>
        </c:ser>
        <c:ser>
          <c:idx val="3"/>
          <c:order val="6"/>
          <c:tx>
            <c:strRef>
              <c:f>'"EMU" Output'!$T$9</c:f>
              <c:strCache>
                <c:ptCount val="1"/>
                <c:pt idx="0">
                  <c:v>EUM : Produits aux établissements</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[0]!YEARS</c:f>
              <c:numCache>
                <c:formatCode>0</c:formatCode>
                <c:ptCount val="1"/>
                <c:pt idx="0">
                  <c:v>2006</c:v>
                </c:pt>
              </c:numCache>
            </c:numRef>
          </c:cat>
          <c:val>
            <c:numRef>
              <c:f>[0]!EMU_C2F</c:f>
              <c:numCache>
                <c:formatCode>0%</c:formatCode>
                <c:ptCount val="1"/>
                <c:pt idx="0">
                  <c:v>#N/A</c:v>
                </c:pt>
              </c:numCache>
            </c:numRef>
          </c:val>
          <c:smooth val="0"/>
          <c:extLst>
            <c:ext xmlns:c16="http://schemas.microsoft.com/office/drawing/2014/chart" uri="{C3380CC4-5D6E-409C-BE32-E72D297353CC}">
              <c16:uniqueId val="{00000003-A4A1-437B-974D-CB3B0849923D}"/>
            </c:ext>
          </c:extLst>
        </c:ser>
        <c:ser>
          <c:idx val="4"/>
          <c:order val="7"/>
          <c:tx>
            <c:strRef>
              <c:f>'"EMU" Output'!$U$9</c:f>
              <c:strCache>
                <c:ptCount val="1"/>
                <c:pt idx="0">
                  <c:v>EUM : Visites</c:v>
                </c:pt>
              </c:strCache>
            </c:strRef>
          </c:tx>
          <c:spPr>
            <a:ln w="28575" cap="rnd">
              <a:solidFill>
                <a:schemeClr val="tx2"/>
              </a:solidFill>
              <a:round/>
            </a:ln>
            <a:effectLst/>
          </c:spPr>
          <c:marker>
            <c:symbol val="circle"/>
            <c:size val="5"/>
            <c:spPr>
              <a:solidFill>
                <a:schemeClr val="tx2"/>
              </a:solidFill>
              <a:ln w="9525">
                <a:solidFill>
                  <a:schemeClr val="tx2"/>
                </a:solidFill>
              </a:ln>
              <a:effectLst/>
            </c:spPr>
          </c:marker>
          <c:cat>
            <c:numRef>
              <c:f>[0]!YEARS</c:f>
              <c:numCache>
                <c:formatCode>0</c:formatCode>
                <c:ptCount val="1"/>
                <c:pt idx="0">
                  <c:v>2006</c:v>
                </c:pt>
              </c:numCache>
            </c:numRef>
          </c:cat>
          <c:val>
            <c:numRef>
              <c:f>[0]!EMU_Visits</c:f>
              <c:numCache>
                <c:formatCode>0%</c:formatCode>
                <c:ptCount val="1"/>
                <c:pt idx="0">
                  <c:v>#N/A</c:v>
                </c:pt>
              </c:numCache>
            </c:numRef>
          </c:val>
          <c:smooth val="0"/>
          <c:extLst>
            <c:ext xmlns:c16="http://schemas.microsoft.com/office/drawing/2014/chart" uri="{C3380CC4-5D6E-409C-BE32-E72D297353CC}">
              <c16:uniqueId val="{00000004-A4A1-437B-974D-CB3B0849923D}"/>
            </c:ext>
          </c:extLst>
        </c:ser>
        <c:ser>
          <c:idx val="5"/>
          <c:order val="8"/>
          <c:tx>
            <c:strRef>
              <c:f>'"EMU" Output'!$V$9</c:f>
              <c:strCache>
                <c:ptCount val="1"/>
                <c:pt idx="0">
                  <c:v>EUM : Utilisatrices de PF</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[0]!YEARS</c:f>
              <c:numCache>
                <c:formatCode>0</c:formatCode>
                <c:ptCount val="1"/>
                <c:pt idx="0">
                  <c:v>2006</c:v>
                </c:pt>
              </c:numCache>
            </c:numRef>
          </c:cat>
          <c:val>
            <c:numRef>
              <c:f>[0]!EMU_Users</c:f>
              <c:numCache>
                <c:formatCode>0%</c:formatCode>
                <c:ptCount val="1"/>
                <c:pt idx="0">
                  <c:v>#N/A</c:v>
                </c:pt>
              </c:numCache>
            </c:numRef>
          </c:val>
          <c:smooth val="0"/>
          <c:extLst>
            <c:ext xmlns:c16="http://schemas.microsoft.com/office/drawing/2014/chart" uri="{C3380CC4-5D6E-409C-BE32-E72D297353CC}">
              <c16:uniqueId val="{00000005-A4A1-437B-974D-CB3B0849923D}"/>
            </c:ext>
          </c:extLst>
        </c:ser>
        <c:dLbls>
          <c:showLegendKey val="0"/>
          <c:showVal val="0"/>
          <c:showCatName val="0"/>
          <c:showSerName val="0"/>
          <c:showPercent val="0"/>
          <c:showBubbleSize val="0"/>
        </c:dLbls>
        <c:marker val="1"/>
        <c:smooth val="0"/>
        <c:axId val="600973840"/>
        <c:axId val="600969248"/>
        <c:extLst/>
      </c:lineChart>
      <c:catAx>
        <c:axId val="600973840"/>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0969248"/>
        <c:crosses val="autoZero"/>
        <c:auto val="1"/>
        <c:lblAlgn val="ctr"/>
        <c:lblOffset val="100"/>
        <c:noMultiLvlLbl val="0"/>
      </c:catAx>
      <c:valAx>
        <c:axId val="6009692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0973840"/>
        <c:crosses val="autoZero"/>
        <c:crossBetween val="between"/>
      </c:valAx>
      <c:spPr>
        <a:noFill/>
        <a:ln>
          <a:noFill/>
        </a:ln>
        <a:effectLst/>
      </c:spPr>
    </c:plotArea>
    <c:legend>
      <c:legendPos val="b"/>
      <c:layout>
        <c:manualLayout>
          <c:xMode val="edge"/>
          <c:yMode val="edge"/>
          <c:x val="3.3927884343531001E-2"/>
          <c:y val="0.85668919601684013"/>
          <c:w val="0.94576870076141528"/>
          <c:h val="0.1433109002155987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2857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'"EMU" Output'!$AL$31</c:f>
          <c:strCache>
            <c:ptCount val="1"/>
            <c:pt idx="0">
              <c:v>Comparez les augmentations annuelles moyennes en points de % du TPCM / EUM </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2"/>
              </a:solidFill>
              <a:latin typeface="+mn-lt"/>
              <a:ea typeface="+mn-ea"/>
              <a:cs typeface="+mn-cs"/>
            </a:defRPr>
          </a:pPr>
          <a:endParaRPr lang="en-US"/>
        </a:p>
      </c:txPr>
    </c:title>
    <c:autoTitleDeleted val="0"/>
    <c:plotArea>
      <c:layout/>
      <c:barChart>
        <c:barDir val="bar"/>
        <c:grouping val="clustered"/>
        <c:varyColors val="0"/>
        <c:ser>
          <c:idx val="0"/>
          <c:order val="0"/>
          <c:tx>
            <c:strRef>
              <c:f>'"EMU" Output'!$M$34</c:f>
              <c:strCache>
                <c:ptCount val="1"/>
                <c:pt idx="0">
                  <c:v>Augmentation annuelle moyenne en points de % du TPCM / EUM </c:v>
                </c:pt>
              </c:strCache>
            </c:strRef>
          </c:tx>
          <c:spPr>
            <a:solidFill>
              <a:schemeClr val="accent1"/>
            </a:solidFill>
            <a:ln>
              <a:noFill/>
            </a:ln>
            <a:effectLst/>
          </c:spPr>
          <c:invertIfNegative val="0"/>
          <c:dPt>
            <c:idx val="0"/>
            <c:invertIfNegative val="0"/>
            <c:bubble3D val="0"/>
            <c:spPr>
              <a:solidFill>
                <a:schemeClr val="accent3"/>
              </a:solidFill>
              <a:ln>
                <a:noFill/>
              </a:ln>
              <a:effectLst/>
            </c:spPr>
            <c:extLst>
              <c:ext xmlns:c16="http://schemas.microsoft.com/office/drawing/2014/chart" uri="{C3380CC4-5D6E-409C-BE32-E72D297353CC}">
                <c16:uniqueId val="{00000014-953B-48C4-B879-AB0F688AA172}"/>
              </c:ext>
            </c:extLst>
          </c:dPt>
          <c:dPt>
            <c:idx val="1"/>
            <c:invertIfNegative val="0"/>
            <c:bubble3D val="0"/>
            <c:spPr>
              <a:solidFill>
                <a:schemeClr val="accent3">
                  <a:lumMod val="60000"/>
                  <a:lumOff val="40000"/>
                </a:schemeClr>
              </a:solidFill>
              <a:ln>
                <a:noFill/>
              </a:ln>
              <a:effectLst/>
            </c:spPr>
            <c:extLst>
              <c:ext xmlns:c16="http://schemas.microsoft.com/office/drawing/2014/chart" uri="{C3380CC4-5D6E-409C-BE32-E72D297353CC}">
                <c16:uniqueId val="{0000000A-1942-4777-8379-EBDC0C48EE9D}"/>
              </c:ext>
            </c:extLst>
          </c:dPt>
          <c:dPt>
            <c:idx val="2"/>
            <c:invertIfNegative val="0"/>
            <c:bubble3D val="0"/>
            <c:spPr>
              <a:solidFill>
                <a:schemeClr val="accent3">
                  <a:lumMod val="40000"/>
                  <a:lumOff val="60000"/>
                </a:schemeClr>
              </a:solidFill>
              <a:ln>
                <a:noFill/>
              </a:ln>
              <a:effectLst/>
            </c:spPr>
            <c:extLst>
              <c:ext xmlns:c16="http://schemas.microsoft.com/office/drawing/2014/chart" uri="{C3380CC4-5D6E-409C-BE32-E72D297353CC}">
                <c16:uniqueId val="{0000000B-1942-4777-8379-EBDC0C48EE9D}"/>
              </c:ext>
            </c:extLst>
          </c:dPt>
          <c:dPt>
            <c:idx val="3"/>
            <c:invertIfNegative val="0"/>
            <c:bubble3D val="0"/>
            <c:spPr>
              <a:solidFill>
                <a:schemeClr val="accent6">
                  <a:lumMod val="60000"/>
                  <a:lumOff val="40000"/>
                </a:schemeClr>
              </a:solidFill>
              <a:ln>
                <a:solidFill>
                  <a:schemeClr val="accent6">
                    <a:lumMod val="60000"/>
                    <a:lumOff val="40000"/>
                  </a:schemeClr>
                </a:solidFill>
              </a:ln>
              <a:effectLst/>
            </c:spPr>
            <c:extLst>
              <c:ext xmlns:c16="http://schemas.microsoft.com/office/drawing/2014/chart" uri="{C3380CC4-5D6E-409C-BE32-E72D297353CC}">
                <c16:uniqueId val="{00000005-953B-48C4-B879-AB0F688AA172}"/>
              </c:ext>
            </c:extLst>
          </c:dPt>
          <c:dPt>
            <c:idx val="4"/>
            <c:invertIfNegative val="0"/>
            <c:bubble3D val="0"/>
            <c:spPr>
              <a:solidFill>
                <a:schemeClr val="accent6"/>
              </a:solidFill>
              <a:ln>
                <a:solidFill>
                  <a:schemeClr val="accent6"/>
                </a:solidFill>
              </a:ln>
              <a:effectLst/>
            </c:spPr>
            <c:extLst>
              <c:ext xmlns:c16="http://schemas.microsoft.com/office/drawing/2014/chart" uri="{C3380CC4-5D6E-409C-BE32-E72D297353CC}">
                <c16:uniqueId val="{00000002-953B-48C4-B879-AB0F688AA172}"/>
              </c:ext>
            </c:extLst>
          </c:dPt>
          <c:dPt>
            <c:idx val="5"/>
            <c:invertIfNegative val="0"/>
            <c:bubble3D val="0"/>
            <c:spPr>
              <a:solidFill>
                <a:schemeClr val="bg2"/>
              </a:solidFill>
              <a:ln>
                <a:noFill/>
              </a:ln>
              <a:effectLst/>
            </c:spPr>
            <c:extLst>
              <c:ext xmlns:c16="http://schemas.microsoft.com/office/drawing/2014/chart" uri="{C3380CC4-5D6E-409C-BE32-E72D297353CC}">
                <c16:uniqueId val="{0000000A-CF15-485F-B3E8-43A40888381B}"/>
              </c:ext>
            </c:extLst>
          </c:dPt>
          <c:dPt>
            <c:idx val="6"/>
            <c:invertIfNegative val="0"/>
            <c:bubble3D val="0"/>
            <c:spPr>
              <a:solidFill>
                <a:schemeClr val="accent2"/>
              </a:solidFill>
              <a:ln>
                <a:noFill/>
              </a:ln>
              <a:effectLst/>
            </c:spPr>
            <c:extLst>
              <c:ext xmlns:c16="http://schemas.microsoft.com/office/drawing/2014/chart" uri="{C3380CC4-5D6E-409C-BE32-E72D297353CC}">
                <c16:uniqueId val="{00000009-6929-4AFE-B3F0-5E58D1898A5F}"/>
              </c:ext>
            </c:extLst>
          </c:dPt>
          <c:dPt>
            <c:idx val="7"/>
            <c:invertIfNegative val="0"/>
            <c:bubble3D val="0"/>
            <c:spPr>
              <a:solidFill>
                <a:schemeClr val="tx2"/>
              </a:solidFill>
              <a:ln>
                <a:noFill/>
              </a:ln>
              <a:effectLst/>
            </c:spPr>
            <c:extLst>
              <c:ext xmlns:c16="http://schemas.microsoft.com/office/drawing/2014/chart" uri="{C3380CC4-5D6E-409C-BE32-E72D297353CC}">
                <c16:uniqueId val="{0000000A-6929-4AFE-B3F0-5E58D1898A5F}"/>
              </c:ext>
            </c:extLst>
          </c:dPt>
          <c:dLbls>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3"/>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14-953B-48C4-B879-AB0F688AA172}"/>
                </c:ext>
              </c:extLst>
            </c:dLbl>
            <c:dLbl>
              <c:idx val="1"/>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3">
                          <a:lumMod val="60000"/>
                          <a:lumOff val="40000"/>
                        </a:schemeClr>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A-1942-4777-8379-EBDC0C48EE9D}"/>
                </c:ext>
              </c:extLst>
            </c:dLbl>
            <c:dLbl>
              <c:idx val="2"/>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3">
                          <a:lumMod val="40000"/>
                          <a:lumOff val="60000"/>
                        </a:schemeClr>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B-1942-4777-8379-EBDC0C48EE9D}"/>
                </c:ext>
              </c:extLst>
            </c:dLbl>
            <c:dLbl>
              <c:idx val="3"/>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lumMod val="60000"/>
                          <a:lumOff val="40000"/>
                        </a:schemeClr>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5-953B-48C4-B879-AB0F688AA172}"/>
                </c:ext>
              </c:extLst>
            </c:dLbl>
            <c:dLbl>
              <c:idx val="4"/>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2-953B-48C4-B879-AB0F688AA172}"/>
                </c:ext>
              </c:extLst>
            </c:dLbl>
            <c:dLbl>
              <c:idx val="5"/>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2"/>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A-CF15-485F-B3E8-43A40888381B}"/>
                </c:ext>
              </c:extLst>
            </c:dLbl>
            <c:dLbl>
              <c:idx val="6"/>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9-6929-4AFE-B3F0-5E58D1898A5F}"/>
                </c:ext>
              </c:extLst>
            </c:dLbl>
            <c:dLbl>
              <c:idx val="7"/>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A-6929-4AFE-B3F0-5E58D1898A5F}"/>
                </c:ext>
              </c:extLst>
            </c:dLbl>
            <c:dLbl>
              <c:idx val="8"/>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10-7A36-4A38-A68C-58FA5641F19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'"EMU" Output'!$N$33:$V$33</c:f>
              <c:strCache>
                <c:ptCount val="9"/>
                <c:pt idx="0">
                  <c:v>TPCm (TF): DHS</c:v>
                </c:pt>
                <c:pt idx="1">
                  <c:v>TPCm (TF): MICS</c:v>
                </c:pt>
                <c:pt idx="2">
                  <c:v>TPCm (TF): PMA</c:v>
                </c:pt>
                <c:pt idx="4">
                  <c:v>TPCm (TF): FPET Global Run (2022)</c:v>
                </c:pt>
                <c:pt idx="5">
                  <c:v>EUM : Produits aux clients</c:v>
                </c:pt>
                <c:pt idx="6">
                  <c:v>EUM : Produits aux établissements</c:v>
                </c:pt>
                <c:pt idx="7">
                  <c:v>EUM : Visites</c:v>
                </c:pt>
                <c:pt idx="8">
                  <c:v>EUM : Utilisatrices de PF</c:v>
                </c:pt>
              </c:strCache>
            </c:strRef>
          </c:cat>
          <c:val>
            <c:numRef>
              <c:f>'"EMU" Output'!$N$34:$V$34</c:f>
              <c:numCache>
                <c:formatCode>0.0%</c:formatCode>
                <c:ptCount val="9"/>
                <c:pt idx="0">
                  <c:v>#N/A</c:v>
                </c:pt>
                <c:pt idx="1">
                  <c:v>#N/A</c:v>
                </c:pt>
                <c:pt idx="2">
                  <c:v>0</c:v>
                </c:pt>
                <c:pt idx="3">
                  <c:v>#N/A</c:v>
                </c:pt>
                <c:pt idx="4">
                  <c:v>0</c:v>
                </c:pt>
                <c:pt idx="5">
                  <c:v>0</c:v>
                </c:pt>
                <c:pt idx="6">
                  <c:v>0</c:v>
                </c:pt>
                <c:pt idx="7">
                  <c:v>0</c:v>
                </c:pt>
                <c:pt idx="8">
                  <c:v>0</c:v>
                </c:pt>
              </c:numCache>
            </c:numRef>
          </c:val>
          <c:extLst>
            <c:ext xmlns:c16="http://schemas.microsoft.com/office/drawing/2014/chart" uri="{C3380CC4-5D6E-409C-BE32-E72D297353CC}">
              <c16:uniqueId val="{00000000-B489-4E90-9274-D6825F7E7CA6}"/>
            </c:ext>
          </c:extLst>
        </c:ser>
        <c:dLbls>
          <c:showLegendKey val="0"/>
          <c:showVal val="0"/>
          <c:showCatName val="0"/>
          <c:showSerName val="0"/>
          <c:showPercent val="0"/>
          <c:showBubbleSize val="0"/>
        </c:dLbls>
        <c:gapWidth val="100"/>
        <c:axId val="726061120"/>
        <c:axId val="726058824"/>
      </c:barChart>
      <c:catAx>
        <c:axId val="726061120"/>
        <c:scaling>
          <c:orientation val="minMax"/>
        </c:scaling>
        <c:delete val="1"/>
        <c:axPos val="l"/>
        <c:numFmt formatCode="General" sourceLinked="1"/>
        <c:majorTickMark val="none"/>
        <c:minorTickMark val="none"/>
        <c:tickLblPos val="nextTo"/>
        <c:crossAx val="726058824"/>
        <c:crosses val="autoZero"/>
        <c:auto val="1"/>
        <c:lblAlgn val="ctr"/>
        <c:lblOffset val="100"/>
        <c:noMultiLvlLbl val="0"/>
      </c:catAx>
      <c:valAx>
        <c:axId val="726058824"/>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606112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2857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2"/>
                </a:solidFill>
                <a:latin typeface="+mn-lt"/>
                <a:ea typeface="+mn-ea"/>
                <a:cs typeface="+mn-cs"/>
              </a:defRPr>
            </a:pPr>
            <a:r>
              <a:rPr lang="en-US" b="1">
                <a:solidFill>
                  <a:schemeClr val="tx2"/>
                </a:solidFill>
              </a:rPr>
              <a:t>Comparing Reporting Rates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2"/>
              </a:solidFill>
              <a:latin typeface="+mn-lt"/>
              <a:ea typeface="+mn-ea"/>
              <a:cs typeface="+mn-cs"/>
            </a:defRPr>
          </a:pPr>
          <a:endParaRPr lang="en-US"/>
        </a:p>
      </c:txPr>
    </c:title>
    <c:autoTitleDeleted val="0"/>
    <c:plotArea>
      <c:layout>
        <c:manualLayout>
          <c:layoutTarget val="inner"/>
          <c:xMode val="edge"/>
          <c:yMode val="edge"/>
          <c:x val="4.8973160790727832E-2"/>
          <c:y val="0.11279273748126878"/>
          <c:w val="0.84735838111001305"/>
          <c:h val="0.68817474908900056"/>
        </c:manualLayout>
      </c:layout>
      <c:areaChart>
        <c:grouping val="stacked"/>
        <c:varyColors val="0"/>
        <c:ser>
          <c:idx val="3"/>
          <c:order val="4"/>
          <c:tx>
            <c:strRef>
              <c:f>'"EMU" Output'!$AC$58</c:f>
              <c:strCache>
                <c:ptCount val="1"/>
                <c:pt idx="0">
                  <c:v>Lower</c:v>
                </c:pt>
              </c:strCache>
            </c:strRef>
          </c:tx>
          <c:spPr>
            <a:solidFill>
              <a:srgbClr val="C00000">
                <a:alpha val="25000"/>
              </a:srgbClr>
            </a:solidFill>
            <a:ln>
              <a:solidFill>
                <a:srgbClr val="C00000"/>
              </a:solidFill>
            </a:ln>
            <a:effectLst/>
          </c:spPr>
          <c:cat>
            <c:numRef>
              <c:f>'"EMU" Output'!$B$59:$B$69</c:f>
              <c:numCache>
                <c:formatCode>0</c:formatCode>
                <c:ptCount val="11"/>
                <c:pt idx="0">
                  <c:v>2005</c:v>
                </c:pt>
                <c:pt idx="1">
                  <c:v>2006</c:v>
                </c:pt>
                <c:pt idx="2">
                  <c:v>2007</c:v>
                </c:pt>
                <c:pt idx="3">
                  <c:v>2008</c:v>
                </c:pt>
                <c:pt idx="4">
                  <c:v>2009</c:v>
                </c:pt>
                <c:pt idx="5">
                  <c:v>2010</c:v>
                </c:pt>
                <c:pt idx="6">
                  <c:v>2011</c:v>
                </c:pt>
                <c:pt idx="7">
                  <c:v>2012</c:v>
                </c:pt>
                <c:pt idx="8">
                  <c:v>2013</c:v>
                </c:pt>
                <c:pt idx="9">
                  <c:v>2014</c:v>
                </c:pt>
                <c:pt idx="10">
                  <c:v>2015</c:v>
                </c:pt>
              </c:numCache>
            </c:numRef>
          </c:cat>
          <c:val>
            <c:numRef>
              <c:f>[0]!RR_Low</c:f>
              <c:numCache>
                <c:formatCode>0%</c:formatCode>
                <c:ptCount val="14"/>
                <c:pt idx="0">
                  <c:v>0.6</c:v>
                </c:pt>
                <c:pt idx="1">
                  <c:v>0.6</c:v>
                </c:pt>
                <c:pt idx="2">
                  <c:v>0.6</c:v>
                </c:pt>
                <c:pt idx="3">
                  <c:v>0.6</c:v>
                </c:pt>
                <c:pt idx="4">
                  <c:v>0.6</c:v>
                </c:pt>
                <c:pt idx="5">
                  <c:v>0.6</c:v>
                </c:pt>
                <c:pt idx="6">
                  <c:v>0.6</c:v>
                </c:pt>
                <c:pt idx="7">
                  <c:v>0.6</c:v>
                </c:pt>
                <c:pt idx="8">
                  <c:v>0.6</c:v>
                </c:pt>
                <c:pt idx="9">
                  <c:v>0.6</c:v>
                </c:pt>
                <c:pt idx="10">
                  <c:v>0.6</c:v>
                </c:pt>
                <c:pt idx="11">
                  <c:v>0.6</c:v>
                </c:pt>
                <c:pt idx="12">
                  <c:v>0.6</c:v>
                </c:pt>
                <c:pt idx="13">
                  <c:v>0.6</c:v>
                </c:pt>
              </c:numCache>
            </c:numRef>
          </c:val>
          <c:extLst>
            <c:ext xmlns:c16="http://schemas.microsoft.com/office/drawing/2014/chart" uri="{C3380CC4-5D6E-409C-BE32-E72D297353CC}">
              <c16:uniqueId val="{00000003-096B-46F9-9B15-85C0E960B532}"/>
            </c:ext>
          </c:extLst>
        </c:ser>
        <c:ser>
          <c:idx val="4"/>
          <c:order val="5"/>
          <c:tx>
            <c:strRef>
              <c:f>'"EMU" Output'!$AD$58</c:f>
              <c:strCache>
                <c:ptCount val="1"/>
                <c:pt idx="0">
                  <c:v>Med</c:v>
                </c:pt>
              </c:strCache>
            </c:strRef>
          </c:tx>
          <c:spPr>
            <a:solidFill>
              <a:schemeClr val="accent5">
                <a:alpha val="25000"/>
              </a:schemeClr>
            </a:solidFill>
            <a:ln>
              <a:solidFill>
                <a:schemeClr val="accent5"/>
              </a:solidFill>
            </a:ln>
            <a:effectLst/>
          </c:spPr>
          <c:cat>
            <c:numRef>
              <c:f>'"EMU" Output'!$B$59:$B$69</c:f>
              <c:numCache>
                <c:formatCode>0</c:formatCode>
                <c:ptCount val="11"/>
                <c:pt idx="0">
                  <c:v>2005</c:v>
                </c:pt>
                <c:pt idx="1">
                  <c:v>2006</c:v>
                </c:pt>
                <c:pt idx="2">
                  <c:v>2007</c:v>
                </c:pt>
                <c:pt idx="3">
                  <c:v>2008</c:v>
                </c:pt>
                <c:pt idx="4">
                  <c:v>2009</c:v>
                </c:pt>
                <c:pt idx="5">
                  <c:v>2010</c:v>
                </c:pt>
                <c:pt idx="6">
                  <c:v>2011</c:v>
                </c:pt>
                <c:pt idx="7">
                  <c:v>2012</c:v>
                </c:pt>
                <c:pt idx="8">
                  <c:v>2013</c:v>
                </c:pt>
                <c:pt idx="9">
                  <c:v>2014</c:v>
                </c:pt>
                <c:pt idx="10">
                  <c:v>2015</c:v>
                </c:pt>
              </c:numCache>
            </c:numRef>
          </c:cat>
          <c:val>
            <c:numRef>
              <c:f>[0]!RR_Med</c:f>
              <c:numCache>
                <c:formatCode>0%</c:formatCode>
                <c:ptCount val="14"/>
                <c:pt idx="0">
                  <c:v>0.2</c:v>
                </c:pt>
                <c:pt idx="1">
                  <c:v>0.2</c:v>
                </c:pt>
                <c:pt idx="2">
                  <c:v>0.2</c:v>
                </c:pt>
                <c:pt idx="3">
                  <c:v>0.2</c:v>
                </c:pt>
                <c:pt idx="4">
                  <c:v>0.2</c:v>
                </c:pt>
                <c:pt idx="5">
                  <c:v>0.2</c:v>
                </c:pt>
                <c:pt idx="6">
                  <c:v>0.2</c:v>
                </c:pt>
                <c:pt idx="7">
                  <c:v>0.2</c:v>
                </c:pt>
                <c:pt idx="8">
                  <c:v>0.2</c:v>
                </c:pt>
                <c:pt idx="9">
                  <c:v>0.2</c:v>
                </c:pt>
                <c:pt idx="10">
                  <c:v>0.2</c:v>
                </c:pt>
                <c:pt idx="11">
                  <c:v>0.2</c:v>
                </c:pt>
                <c:pt idx="12">
                  <c:v>0.2</c:v>
                </c:pt>
                <c:pt idx="13">
                  <c:v>0.2</c:v>
                </c:pt>
              </c:numCache>
            </c:numRef>
          </c:val>
          <c:extLst>
            <c:ext xmlns:c16="http://schemas.microsoft.com/office/drawing/2014/chart" uri="{C3380CC4-5D6E-409C-BE32-E72D297353CC}">
              <c16:uniqueId val="{00000004-096B-46F9-9B15-85C0E960B532}"/>
            </c:ext>
          </c:extLst>
        </c:ser>
        <c:ser>
          <c:idx val="5"/>
          <c:order val="6"/>
          <c:tx>
            <c:strRef>
              <c:f>'"EMU" Output'!$AE$58</c:f>
              <c:strCache>
                <c:ptCount val="1"/>
                <c:pt idx="0">
                  <c:v>High</c:v>
                </c:pt>
              </c:strCache>
            </c:strRef>
          </c:tx>
          <c:spPr>
            <a:solidFill>
              <a:schemeClr val="bg2">
                <a:alpha val="25000"/>
              </a:schemeClr>
            </a:solidFill>
            <a:ln>
              <a:solidFill>
                <a:schemeClr val="bg2"/>
              </a:solidFill>
            </a:ln>
            <a:effectLst/>
          </c:spPr>
          <c:cat>
            <c:numRef>
              <c:f>'"EMU" Output'!$B$59:$B$69</c:f>
              <c:numCache>
                <c:formatCode>0</c:formatCode>
                <c:ptCount val="11"/>
                <c:pt idx="0">
                  <c:v>2005</c:v>
                </c:pt>
                <c:pt idx="1">
                  <c:v>2006</c:v>
                </c:pt>
                <c:pt idx="2">
                  <c:v>2007</c:v>
                </c:pt>
                <c:pt idx="3">
                  <c:v>2008</c:v>
                </c:pt>
                <c:pt idx="4">
                  <c:v>2009</c:v>
                </c:pt>
                <c:pt idx="5">
                  <c:v>2010</c:v>
                </c:pt>
                <c:pt idx="6">
                  <c:v>2011</c:v>
                </c:pt>
                <c:pt idx="7">
                  <c:v>2012</c:v>
                </c:pt>
                <c:pt idx="8">
                  <c:v>2013</c:v>
                </c:pt>
                <c:pt idx="9">
                  <c:v>2014</c:v>
                </c:pt>
                <c:pt idx="10">
                  <c:v>2015</c:v>
                </c:pt>
              </c:numCache>
            </c:numRef>
          </c:cat>
          <c:val>
            <c:numRef>
              <c:f>[0]!RR_High</c:f>
              <c:numCache>
                <c:formatCode>0%</c:formatCode>
                <c:ptCount val="14"/>
                <c:pt idx="0">
                  <c:v>0.2</c:v>
                </c:pt>
                <c:pt idx="1">
                  <c:v>0.2</c:v>
                </c:pt>
                <c:pt idx="2">
                  <c:v>0.2</c:v>
                </c:pt>
                <c:pt idx="3">
                  <c:v>0.2</c:v>
                </c:pt>
                <c:pt idx="4">
                  <c:v>0.2</c:v>
                </c:pt>
                <c:pt idx="5">
                  <c:v>0.2</c:v>
                </c:pt>
                <c:pt idx="6">
                  <c:v>0.2</c:v>
                </c:pt>
                <c:pt idx="7">
                  <c:v>0.2</c:v>
                </c:pt>
                <c:pt idx="8">
                  <c:v>0.2</c:v>
                </c:pt>
                <c:pt idx="9">
                  <c:v>0.2</c:v>
                </c:pt>
                <c:pt idx="10">
                  <c:v>0.2</c:v>
                </c:pt>
                <c:pt idx="11">
                  <c:v>0.2</c:v>
                </c:pt>
                <c:pt idx="12">
                  <c:v>0.2</c:v>
                </c:pt>
                <c:pt idx="13">
                  <c:v>0.2</c:v>
                </c:pt>
              </c:numCache>
            </c:numRef>
          </c:val>
          <c:extLst>
            <c:ext xmlns:c16="http://schemas.microsoft.com/office/drawing/2014/chart" uri="{C3380CC4-5D6E-409C-BE32-E72D297353CC}">
              <c16:uniqueId val="{00000005-096B-46F9-9B15-85C0E960B532}"/>
            </c:ext>
          </c:extLst>
        </c:ser>
        <c:dLbls>
          <c:showLegendKey val="0"/>
          <c:showVal val="0"/>
          <c:showCatName val="0"/>
          <c:showSerName val="0"/>
          <c:showPercent val="0"/>
          <c:showBubbleSize val="0"/>
        </c:dLbls>
        <c:axId val="600973840"/>
        <c:axId val="600969248"/>
      </c:areaChart>
      <c:lineChart>
        <c:grouping val="standard"/>
        <c:varyColors val="0"/>
        <c:ser>
          <c:idx val="0"/>
          <c:order val="0"/>
          <c:tx>
            <c:strRef>
              <c:f>'"EMU" Output'!$C$58</c:f>
              <c:strCache>
                <c:ptCount val="1"/>
                <c:pt idx="0">
                  <c:v>Taux de complétude : Produits aux clients</c:v>
                </c:pt>
              </c:strCache>
            </c:strRef>
          </c:tx>
          <c:spPr>
            <a:ln w="28575" cap="rnd">
              <a:solidFill>
                <a:schemeClr val="bg2"/>
              </a:solidFill>
              <a:round/>
            </a:ln>
            <a:effectLst/>
          </c:spPr>
          <c:marker>
            <c:symbol val="circle"/>
            <c:size val="5"/>
            <c:spPr>
              <a:solidFill>
                <a:schemeClr val="bg2"/>
              </a:solidFill>
              <a:ln w="9525">
                <a:solidFill>
                  <a:schemeClr val="bg2"/>
                </a:solidFill>
              </a:ln>
              <a:effectLst/>
            </c:spPr>
          </c:marker>
          <c:cat>
            <c:numRef>
              <c:f>[0]!YEARS_RR</c:f>
              <c:numCache>
                <c:formatCode>0</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[0]!RR_C2C</c:f>
              <c:numCache>
                <c:formatCode>0%</c:formatCode>
                <c:ptCount val="1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numCache>
            </c:numRef>
          </c:val>
          <c:smooth val="0"/>
          <c:extLst>
            <c:ext xmlns:c16="http://schemas.microsoft.com/office/drawing/2014/chart" uri="{C3380CC4-5D6E-409C-BE32-E72D297353CC}">
              <c16:uniqueId val="{00000001-D239-4573-9515-388CEAD77A76}"/>
            </c:ext>
          </c:extLst>
        </c:ser>
        <c:ser>
          <c:idx val="6"/>
          <c:order val="1"/>
          <c:tx>
            <c:strRef>
              <c:f>'"EMU" Output'!$D$58</c:f>
              <c:strCache>
                <c:ptCount val="1"/>
                <c:pt idx="0">
                  <c:v>Taux de complétude : Produits aux établissements</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[0]!YEARS_RR</c:f>
              <c:numCache>
                <c:formatCode>0</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[0]!RR_C2F</c:f>
              <c:numCache>
                <c:formatCode>0%</c:formatCode>
                <c:ptCount val="1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numCache>
            </c:numRef>
          </c:val>
          <c:smooth val="0"/>
          <c:extLst>
            <c:ext xmlns:c16="http://schemas.microsoft.com/office/drawing/2014/chart" uri="{C3380CC4-5D6E-409C-BE32-E72D297353CC}">
              <c16:uniqueId val="{00000001-096B-46F9-9B15-85C0E960B532}"/>
            </c:ext>
          </c:extLst>
        </c:ser>
        <c:ser>
          <c:idx val="1"/>
          <c:order val="2"/>
          <c:tx>
            <c:strRef>
              <c:f>'"EMU" Output'!$E$58</c:f>
              <c:strCache>
                <c:ptCount val="1"/>
                <c:pt idx="0">
                  <c:v>Taux de complétude : Visites</c:v>
                </c:pt>
              </c:strCache>
            </c:strRef>
          </c:tx>
          <c:spPr>
            <a:ln w="28575" cap="rnd">
              <a:solidFill>
                <a:schemeClr val="tx2"/>
              </a:solidFill>
              <a:round/>
            </a:ln>
            <a:effectLst/>
          </c:spPr>
          <c:marker>
            <c:symbol val="circle"/>
            <c:size val="5"/>
            <c:spPr>
              <a:solidFill>
                <a:schemeClr val="tx2"/>
              </a:solidFill>
              <a:ln w="9525">
                <a:solidFill>
                  <a:schemeClr val="tx2"/>
                </a:solidFill>
              </a:ln>
              <a:effectLst/>
            </c:spPr>
          </c:marker>
          <c:cat>
            <c:numRef>
              <c:f>[0]!YEARS_RR</c:f>
              <c:numCache>
                <c:formatCode>0</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[0]!RR_V</c:f>
              <c:numCache>
                <c:formatCode>0%</c:formatCode>
                <c:ptCount val="1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numCache>
            </c:numRef>
          </c:val>
          <c:smooth val="0"/>
          <c:extLst>
            <c:ext xmlns:c16="http://schemas.microsoft.com/office/drawing/2014/chart" uri="{C3380CC4-5D6E-409C-BE32-E72D297353CC}">
              <c16:uniqueId val="{00000006-096B-46F9-9B15-85C0E960B532}"/>
            </c:ext>
          </c:extLst>
        </c:ser>
        <c:ser>
          <c:idx val="2"/>
          <c:order val="3"/>
          <c:tx>
            <c:strRef>
              <c:f>'"EMU" Output'!$F$58</c:f>
              <c:strCache>
                <c:ptCount val="1"/>
                <c:pt idx="0">
                  <c:v>Taux de complétude : Utilisatrices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[0]!YEARS_RR</c:f>
              <c:numCache>
                <c:formatCode>0</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[0]!RR_U</c:f>
              <c:numCache>
                <c:formatCode>0%</c:formatCode>
                <c:ptCount val="1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numCache>
            </c:numRef>
          </c:val>
          <c:smooth val="0"/>
          <c:extLst>
            <c:ext xmlns:c16="http://schemas.microsoft.com/office/drawing/2014/chart" uri="{C3380CC4-5D6E-409C-BE32-E72D297353CC}">
              <c16:uniqueId val="{00000002-096B-46F9-9B15-85C0E960B532}"/>
            </c:ext>
          </c:extLst>
        </c:ser>
        <c:dLbls>
          <c:showLegendKey val="0"/>
          <c:showVal val="0"/>
          <c:showCatName val="0"/>
          <c:showSerName val="0"/>
          <c:showPercent val="0"/>
          <c:showBubbleSize val="0"/>
        </c:dLbls>
        <c:marker val="1"/>
        <c:smooth val="0"/>
        <c:axId val="600973840"/>
        <c:axId val="600969248"/>
        <c:extLst/>
      </c:lineChart>
      <c:catAx>
        <c:axId val="600973840"/>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0969248"/>
        <c:crosses val="autoZero"/>
        <c:auto val="1"/>
        <c:lblAlgn val="ctr"/>
        <c:lblOffset val="100"/>
        <c:noMultiLvlLbl val="0"/>
      </c:catAx>
      <c:valAx>
        <c:axId val="60096924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0973840"/>
        <c:crosses val="autoZero"/>
        <c:crossBetween val="midCat"/>
      </c:valAx>
      <c:spPr>
        <a:noFill/>
        <a:ln>
          <a:noFill/>
        </a:ln>
        <a:effectLst/>
      </c:spPr>
    </c:plotArea>
    <c:legend>
      <c:legendPos val="b"/>
      <c:legendEntry>
        <c:idx val="0"/>
        <c:delete val="1"/>
      </c:legendEntry>
      <c:legendEntry>
        <c:idx val="1"/>
        <c:delete val="1"/>
      </c:legendEntry>
      <c:legendEntry>
        <c:idx val="2"/>
        <c:delete val="1"/>
      </c:legendEntry>
      <c:layout>
        <c:manualLayout>
          <c:xMode val="edge"/>
          <c:yMode val="edge"/>
          <c:x val="3.3927884343531001E-2"/>
          <c:y val="0.85668919601684013"/>
          <c:w val="0.94246161544119267"/>
          <c:h val="0.1279632545931758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span"/>
    <c:showDLblsOverMax val="0"/>
  </c:chart>
  <c:spPr>
    <a:solidFill>
      <a:schemeClr val="bg1"/>
    </a:solidFill>
    <a:ln w="2857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'Commodities (Clients) Input'!$C$37</c:f>
              <c:strCache>
                <c:ptCount val="1"/>
                <c:pt idx="0">
                  <c:v>Oraux combinés (COC)</c:v>
                </c:pt>
              </c:strCache>
            </c:strRef>
          </c:tx>
          <c:spPr>
            <a:solidFill>
              <a:schemeClr val="bg2"/>
            </a:solidFill>
            <a:ln>
              <a:solidFill>
                <a:schemeClr val="bg1"/>
              </a:solidFill>
            </a:ln>
            <a:effectLst/>
          </c:spPr>
          <c:invertIfNegative val="0"/>
          <c:cat>
            <c:numRef>
              <c:f>[0]!Year_C2C</c:f>
              <c:numCache>
                <c:formatCode>General</c:formatCode>
                <c:ptCount val="1"/>
                <c:pt idx="0">
                  <c:v>0</c:v>
                </c:pt>
              </c:numCache>
            </c:numRef>
          </c:cat>
          <c:val>
            <c:numRef>
              <c:f>'Commodities (Clients) Input'!StandardPill</c:f>
              <c:numCache>
                <c:formatCode>#,##0</c:formatCode>
                <c:ptCount val="1"/>
              </c:numCache>
            </c:numRef>
          </c:val>
          <c:extLst>
            <c:ext xmlns:c16="http://schemas.microsoft.com/office/drawing/2014/chart" uri="{C3380CC4-5D6E-409C-BE32-E72D297353CC}">
              <c16:uniqueId val="{00000000-696D-4CAC-BC7C-DF9668ADA54F}"/>
            </c:ext>
          </c:extLst>
        </c:ser>
        <c:ser>
          <c:idx val="1"/>
          <c:order val="1"/>
          <c:tx>
            <c:strRef>
              <c:f>'Commodities (Clients) Input'!$C$38</c:f>
              <c:strCache>
                <c:ptCount val="1"/>
                <c:pt idx="0">
                  <c:v>Progestatifs seul (POP)</c:v>
                </c:pt>
              </c:strCache>
            </c:strRef>
          </c:tx>
          <c:spPr>
            <a:solidFill>
              <a:schemeClr val="accent2"/>
            </a:solidFill>
            <a:ln>
              <a:solidFill>
                <a:schemeClr val="bg1"/>
              </a:solidFill>
            </a:ln>
            <a:effectLst/>
          </c:spPr>
          <c:invertIfNegative val="0"/>
          <c:cat>
            <c:numRef>
              <c:f>[0]!Year_C2C</c:f>
              <c:numCache>
                <c:formatCode>General</c:formatCode>
                <c:ptCount val="1"/>
                <c:pt idx="0">
                  <c:v>0</c:v>
                </c:pt>
              </c:numCache>
            </c:numRef>
          </c:cat>
          <c:val>
            <c:numRef>
              <c:f>'Commodities (Clients) Input'!ProgestinPill</c:f>
              <c:numCache>
                <c:formatCode>#,##0</c:formatCode>
                <c:ptCount val="1"/>
              </c:numCache>
            </c:numRef>
          </c:val>
          <c:extLst>
            <c:ext xmlns:c16="http://schemas.microsoft.com/office/drawing/2014/chart" uri="{C3380CC4-5D6E-409C-BE32-E72D297353CC}">
              <c16:uniqueId val="{00000001-696D-4CAC-BC7C-DF9668ADA54F}"/>
            </c:ext>
          </c:extLst>
        </c:ser>
        <c:ser>
          <c:idx val="2"/>
          <c:order val="2"/>
          <c:tx>
            <c:strRef>
              <c:f>'Commodities (Clients) Input'!$C$39</c:f>
              <c:strCache>
                <c:ptCount val="1"/>
                <c:pt idx="0">
                  <c:v>Autre pilule</c:v>
                </c:pt>
              </c:strCache>
            </c:strRef>
          </c:tx>
          <c:spPr>
            <a:solidFill>
              <a:schemeClr val="accent2">
                <a:lumMod val="40000"/>
                <a:lumOff val="60000"/>
              </a:schemeClr>
            </a:solidFill>
            <a:ln>
              <a:solidFill>
                <a:schemeClr val="bg1"/>
              </a:solidFill>
            </a:ln>
            <a:effectLst/>
          </c:spPr>
          <c:invertIfNegative val="0"/>
          <c:cat>
            <c:numRef>
              <c:f>[0]!Year_C2C</c:f>
              <c:numCache>
                <c:formatCode>General</c:formatCode>
                <c:ptCount val="1"/>
                <c:pt idx="0">
                  <c:v>0</c:v>
                </c:pt>
              </c:numCache>
            </c:numRef>
          </c:cat>
          <c:val>
            <c:numRef>
              <c:f>'Commodities (Clients) Input'!PCPill</c:f>
              <c:numCache>
                <c:formatCode>#,##0</c:formatCode>
                <c:ptCount val="1"/>
              </c:numCache>
            </c:numRef>
          </c:val>
          <c:extLst>
            <c:ext xmlns:c16="http://schemas.microsoft.com/office/drawing/2014/chart" uri="{C3380CC4-5D6E-409C-BE32-E72D297353CC}">
              <c16:uniqueId val="{00000002-696D-4CAC-BC7C-DF9668ADA54F}"/>
            </c:ext>
          </c:extLst>
        </c:ser>
        <c:dLbls>
          <c:showLegendKey val="0"/>
          <c:showVal val="0"/>
          <c:showCatName val="0"/>
          <c:showSerName val="0"/>
          <c:showPercent val="0"/>
          <c:showBubbleSize val="0"/>
        </c:dLbls>
        <c:gapWidth val="50"/>
        <c:overlap val="100"/>
        <c:axId val="320856328"/>
        <c:axId val="320863544"/>
      </c:barChart>
      <c:catAx>
        <c:axId val="320856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863544"/>
        <c:crosses val="autoZero"/>
        <c:auto val="1"/>
        <c:lblAlgn val="ctr"/>
        <c:lblOffset val="100"/>
        <c:noMultiLvlLbl val="0"/>
      </c:catAx>
      <c:valAx>
        <c:axId val="32086354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856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'"EMU" Output'!$B$155</c:f>
          <c:strCache>
            <c:ptCount val="1"/>
            <c:pt idx="0">
              <c:v>Résultats: Tendances des utilisatrices par méthode</c:v>
            </c:pt>
          </c:strCache>
        </c:strRef>
      </c:tx>
      <c:overlay val="0"/>
      <c:spPr>
        <a:noFill/>
        <a:ln>
          <a:noFill/>
        </a:ln>
        <a:effectLst/>
      </c:spPr>
      <c:txPr>
        <a:bodyPr rot="0" spcFirstLastPara="1" vertOverflow="ellipsis" vert="horz" wrap="square" anchor="ctr" anchorCtr="1"/>
        <a:lstStyle/>
        <a:p>
          <a:pPr>
            <a:defRPr sz="1320" b="1" i="0" u="none" strike="noStrike" kern="1200" spc="0" baseline="0">
              <a:solidFill>
                <a:schemeClr val="tx2"/>
              </a:solidFill>
              <a:latin typeface="+mn-lt"/>
              <a:ea typeface="+mn-ea"/>
              <a:cs typeface="+mn-cs"/>
            </a:defRPr>
          </a:pPr>
          <a:endParaRPr lang="en-US"/>
        </a:p>
      </c:txPr>
    </c:title>
    <c:autoTitleDeleted val="0"/>
    <c:plotArea>
      <c:layout>
        <c:manualLayout>
          <c:layoutTarget val="inner"/>
          <c:xMode val="edge"/>
          <c:yMode val="edge"/>
          <c:x val="4.602672469112451E-2"/>
          <c:y val="0.11053940726155466"/>
          <c:w val="0.94440285693087711"/>
          <c:h val="0.6892822283830583"/>
        </c:manualLayout>
      </c:layout>
      <c:lineChart>
        <c:grouping val="standard"/>
        <c:varyColors val="0"/>
        <c:ser>
          <c:idx val="0"/>
          <c:order val="0"/>
          <c:tx>
            <c:strRef>
              <c:f>'"EMU" Output'!$B$160:$D$160</c:f>
              <c:strCache>
                <c:ptCount val="3"/>
                <c:pt idx="0">
                  <c:v>FamPlan</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[0]!YEARS</c:f>
              <c:numCache>
                <c:formatCode>0</c:formatCode>
                <c:ptCount val="1"/>
                <c:pt idx="0">
                  <c:v>2006</c:v>
                </c:pt>
              </c:numCache>
            </c:numRef>
          </c:cat>
          <c:val>
            <c:numRef>
              <c:f>'"EMU" Output'!$E$160:$R$160</c:f>
            </c:numRef>
          </c:val>
          <c:smooth val="0"/>
          <c:extLst>
            <c:ext xmlns:c16="http://schemas.microsoft.com/office/drawing/2014/chart" uri="{C3380CC4-5D6E-409C-BE32-E72D297353CC}">
              <c16:uniqueId val="{00000000-9C84-4D23-80E2-56F386F8B0E6}"/>
            </c:ext>
          </c:extLst>
        </c:ser>
        <c:ser>
          <c:idx val="1"/>
          <c:order val="1"/>
          <c:tx>
            <c:strRef>
              <c:f>'"EMU" Output'!$B$161:$D$161</c:f>
              <c:strCache>
                <c:ptCount val="3"/>
                <c:pt idx="0">
                  <c:v>Produits aux clients</c:v>
                </c:pt>
              </c:strCache>
            </c:strRef>
          </c:tx>
          <c:spPr>
            <a:ln w="28575" cap="rnd">
              <a:solidFill>
                <a:schemeClr val="bg2"/>
              </a:solidFill>
              <a:round/>
            </a:ln>
            <a:effectLst/>
          </c:spPr>
          <c:marker>
            <c:symbol val="circle"/>
            <c:size val="5"/>
            <c:spPr>
              <a:solidFill>
                <a:schemeClr val="bg2"/>
              </a:solidFill>
              <a:ln w="9525">
                <a:solidFill>
                  <a:schemeClr val="bg2"/>
                </a:solidFill>
              </a:ln>
              <a:effectLst/>
            </c:spPr>
          </c:marker>
          <c:cat>
            <c:numRef>
              <c:f>[0]!YEARS</c:f>
              <c:numCache>
                <c:formatCode>0</c:formatCode>
                <c:ptCount val="1"/>
                <c:pt idx="0">
                  <c:v>2006</c:v>
                </c:pt>
              </c:numCache>
            </c:numRef>
          </c:cat>
          <c:val>
            <c:numRef>
              <c:f>'"EMU" Output'!U_C2C</c:f>
              <c:numCache>
                <c:formatCode>#,##0</c:formatCode>
                <c:ptCount val="1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numCache>
            </c:numRef>
          </c:val>
          <c:smooth val="0"/>
          <c:extLst>
            <c:ext xmlns:c16="http://schemas.microsoft.com/office/drawing/2014/chart" uri="{C3380CC4-5D6E-409C-BE32-E72D297353CC}">
              <c16:uniqueId val="{00000001-9C84-4D23-80E2-56F386F8B0E6}"/>
            </c:ext>
          </c:extLst>
        </c:ser>
        <c:ser>
          <c:idx val="2"/>
          <c:order val="2"/>
          <c:tx>
            <c:strRef>
              <c:f>'"EMU" Output'!$B$162:$D$162</c:f>
              <c:strCache>
                <c:ptCount val="3"/>
                <c:pt idx="0">
                  <c:v>Produits aux établissements</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[0]!YEARS</c:f>
              <c:numCache>
                <c:formatCode>0</c:formatCode>
                <c:ptCount val="1"/>
                <c:pt idx="0">
                  <c:v>2006</c:v>
                </c:pt>
              </c:numCache>
            </c:numRef>
          </c:cat>
          <c:val>
            <c:numRef>
              <c:f>'"EMU" Output'!U_C2F</c:f>
              <c:numCache>
                <c:formatCode>#,##0</c:formatCode>
                <c:ptCount val="1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numCache>
            </c:numRef>
          </c:val>
          <c:smooth val="0"/>
          <c:extLst>
            <c:ext xmlns:c16="http://schemas.microsoft.com/office/drawing/2014/chart" uri="{C3380CC4-5D6E-409C-BE32-E72D297353CC}">
              <c16:uniqueId val="{00000002-9C84-4D23-80E2-56F386F8B0E6}"/>
            </c:ext>
          </c:extLst>
        </c:ser>
        <c:ser>
          <c:idx val="3"/>
          <c:order val="3"/>
          <c:tx>
            <c:strRef>
              <c:f>'"EMU" Output'!$B$163:$C$163</c:f>
              <c:strCache>
                <c:ptCount val="2"/>
                <c:pt idx="0">
                  <c:v>Visites</c:v>
                </c:pt>
              </c:strCache>
            </c:strRef>
          </c:tx>
          <c:spPr>
            <a:ln w="28575" cap="rnd">
              <a:solidFill>
                <a:schemeClr val="tx2"/>
              </a:solidFill>
              <a:round/>
            </a:ln>
            <a:effectLst/>
          </c:spPr>
          <c:marker>
            <c:symbol val="circle"/>
            <c:size val="5"/>
            <c:spPr>
              <a:solidFill>
                <a:schemeClr val="tx2"/>
              </a:solidFill>
              <a:ln w="9525">
                <a:solidFill>
                  <a:schemeClr val="tx2"/>
                </a:solidFill>
              </a:ln>
              <a:effectLst/>
            </c:spPr>
          </c:marker>
          <c:cat>
            <c:numRef>
              <c:f>[0]!YEARS</c:f>
              <c:numCache>
                <c:formatCode>0</c:formatCode>
                <c:ptCount val="1"/>
                <c:pt idx="0">
                  <c:v>2006</c:v>
                </c:pt>
              </c:numCache>
            </c:numRef>
          </c:cat>
          <c:val>
            <c:numRef>
              <c:f>'"EMU" Output'!U_Visits</c:f>
              <c:numCache>
                <c:formatCode>#,##0</c:formatCode>
                <c:ptCount val="1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numCache>
            </c:numRef>
          </c:val>
          <c:smooth val="0"/>
          <c:extLst>
            <c:ext xmlns:c16="http://schemas.microsoft.com/office/drawing/2014/chart" uri="{C3380CC4-5D6E-409C-BE32-E72D297353CC}">
              <c16:uniqueId val="{00000000-8477-43C4-82D7-44EE34A5111E}"/>
            </c:ext>
          </c:extLst>
        </c:ser>
        <c:ser>
          <c:idx val="4"/>
          <c:order val="4"/>
          <c:tx>
            <c:strRef>
              <c:f>'"EMU" Output'!$B$164:$C$164</c:f>
              <c:strCache>
                <c:ptCount val="2"/>
                <c:pt idx="0">
                  <c:v>Utilisatrices de PF</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[0]!YEARS</c:f>
              <c:numCache>
                <c:formatCode>0</c:formatCode>
                <c:ptCount val="1"/>
                <c:pt idx="0">
                  <c:v>2006</c:v>
                </c:pt>
              </c:numCache>
            </c:numRef>
          </c:cat>
          <c:val>
            <c:numRef>
              <c:f>'"EMU" Output'!U_Users</c:f>
              <c:numCache>
                <c:formatCode>#,##0</c:formatCode>
                <c:ptCount val="1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numCache>
            </c:numRef>
          </c:val>
          <c:smooth val="0"/>
          <c:extLst>
            <c:ext xmlns:c16="http://schemas.microsoft.com/office/drawing/2014/chart" uri="{C3380CC4-5D6E-409C-BE32-E72D297353CC}">
              <c16:uniqueId val="{00000001-8477-43C4-82D7-44EE34A5111E}"/>
            </c:ext>
          </c:extLst>
        </c:ser>
        <c:dLbls>
          <c:showLegendKey val="0"/>
          <c:showVal val="0"/>
          <c:showCatName val="0"/>
          <c:showSerName val="0"/>
          <c:showPercent val="0"/>
          <c:showBubbleSize val="0"/>
        </c:dLbls>
        <c:marker val="1"/>
        <c:smooth val="0"/>
        <c:axId val="1320495184"/>
        <c:axId val="1320486656"/>
      </c:lineChart>
      <c:catAx>
        <c:axId val="1320495184"/>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320486656"/>
        <c:crosses val="autoZero"/>
        <c:auto val="1"/>
        <c:lblAlgn val="ctr"/>
        <c:lblOffset val="100"/>
        <c:noMultiLvlLbl val="0"/>
      </c:catAx>
      <c:valAx>
        <c:axId val="132048665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3204951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28575" cap="flat" cmpd="sng" algn="ctr">
      <a:solidFill>
        <a:schemeClr val="accent1"/>
      </a:solidFill>
      <a:round/>
    </a:ln>
    <a:effectLst/>
  </c:spPr>
  <c:txPr>
    <a:bodyPr/>
    <a:lstStyle/>
    <a:p>
      <a:pPr>
        <a:defRPr sz="1100"/>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'"EMU" Output'!$AL$42</c:f>
          <c:strCache>
            <c:ptCount val="1"/>
            <c:pt idx="0">
              <c:v>Comparez le Mélange de Méthodes Modernes : 2021</c:v>
            </c:pt>
          </c:strCache>
        </c:strRef>
      </c:tx>
      <c:overlay val="0"/>
      <c:txPr>
        <a:bodyPr/>
        <a:lstStyle/>
        <a:p>
          <a:pPr>
            <a:defRPr sz="1400">
              <a:solidFill>
                <a:schemeClr val="tx2"/>
              </a:solidFill>
            </a:defRPr>
          </a:pPr>
          <a:endParaRPr lang="en-US"/>
        </a:p>
      </c:txPr>
    </c:title>
    <c:autoTitleDeleted val="0"/>
    <c:plotArea>
      <c:layout>
        <c:manualLayout>
          <c:layoutTarget val="inner"/>
          <c:xMode val="edge"/>
          <c:yMode val="edge"/>
          <c:x val="0.3090268447888927"/>
          <c:y val="0.19264095080511673"/>
          <c:w val="0.64819054468463488"/>
          <c:h val="0.60515335339255649"/>
        </c:manualLayout>
      </c:layout>
      <c:barChart>
        <c:barDir val="bar"/>
        <c:grouping val="stacked"/>
        <c:varyColors val="0"/>
        <c:ser>
          <c:idx val="0"/>
          <c:order val="0"/>
          <c:tx>
            <c:strRef>
              <c:f>'"EMU" Output'!$M$43:$N$43</c:f>
              <c:strCache>
                <c:ptCount val="2"/>
                <c:pt idx="0">
                  <c:v>Stérilisation (f)</c:v>
                </c:pt>
              </c:strCache>
            </c:strRef>
          </c:tx>
          <c:spPr>
            <a:solidFill>
              <a:schemeClr val="accent6"/>
            </a:solidFill>
            <a:ln>
              <a:solidFill>
                <a:schemeClr val="bg1"/>
              </a:solidFill>
            </a:ln>
            <a:effectLst/>
          </c:spPr>
          <c:invertIfNegative val="0"/>
          <c:cat>
            <c:strRef>
              <c:f>'"EMU" Output'!$O$42:$S$42</c:f>
              <c:strCache>
                <c:ptCount val="5"/>
                <c:pt idx="0">
                  <c:v>Utilisatrices : Enquete</c:v>
                </c:pt>
                <c:pt idx="1">
                  <c:v>Utilisatrices : Produits aux clients</c:v>
                </c:pt>
                <c:pt idx="2">
                  <c:v>Utilisatrices : Produits aux établissements</c:v>
                </c:pt>
                <c:pt idx="3">
                  <c:v>Utilisatrices : Visites</c:v>
                </c:pt>
                <c:pt idx="4">
                  <c:v>Utilisatrices : Utilisatrices de PF</c:v>
                </c:pt>
              </c:strCache>
            </c:strRef>
          </c:cat>
          <c:val>
            <c:numRef>
              <c:f>'"EMU" Output'!$O$43:$S$43</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A-B91E-4040-8F78-C84D44A06A3B}"/>
            </c:ext>
          </c:extLst>
        </c:ser>
        <c:ser>
          <c:idx val="1"/>
          <c:order val="1"/>
          <c:tx>
            <c:strRef>
              <c:f>'"EMU" Output'!$M$44:$N$44</c:f>
              <c:strCache>
                <c:ptCount val="2"/>
                <c:pt idx="0">
                  <c:v>Stérilisation (m)</c:v>
                </c:pt>
              </c:strCache>
            </c:strRef>
          </c:tx>
          <c:spPr>
            <a:solidFill>
              <a:schemeClr val="accent6">
                <a:lumMod val="50000"/>
              </a:schemeClr>
            </a:solidFill>
            <a:ln>
              <a:solidFill>
                <a:schemeClr val="bg1"/>
              </a:solidFill>
            </a:ln>
            <a:effectLst/>
          </c:spPr>
          <c:invertIfNegative val="0"/>
          <c:cat>
            <c:strRef>
              <c:f>'"EMU" Output'!$O$42:$S$42</c:f>
              <c:strCache>
                <c:ptCount val="5"/>
                <c:pt idx="0">
                  <c:v>Utilisatrices : Enquete</c:v>
                </c:pt>
                <c:pt idx="1">
                  <c:v>Utilisatrices : Produits aux clients</c:v>
                </c:pt>
                <c:pt idx="2">
                  <c:v>Utilisatrices : Produits aux établissements</c:v>
                </c:pt>
                <c:pt idx="3">
                  <c:v>Utilisatrices : Visites</c:v>
                </c:pt>
                <c:pt idx="4">
                  <c:v>Utilisatrices : Utilisatrices de PF</c:v>
                </c:pt>
              </c:strCache>
            </c:strRef>
          </c:cat>
          <c:val>
            <c:numRef>
              <c:f>'"EMU" Output'!$O$44:$S$44</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C-B91E-4040-8F78-C84D44A06A3B}"/>
            </c:ext>
          </c:extLst>
        </c:ser>
        <c:ser>
          <c:idx val="2"/>
          <c:order val="2"/>
          <c:tx>
            <c:strRef>
              <c:f>'"EMU" Output'!$M$45:$N$45</c:f>
              <c:strCache>
                <c:ptCount val="2"/>
                <c:pt idx="0">
                  <c:v>DIU</c:v>
                </c:pt>
              </c:strCache>
            </c:strRef>
          </c:tx>
          <c:spPr>
            <a:solidFill>
              <a:schemeClr val="bg2"/>
            </a:solidFill>
            <a:ln>
              <a:solidFill>
                <a:schemeClr val="bg1"/>
              </a:solidFill>
            </a:ln>
            <a:effectLst/>
          </c:spPr>
          <c:invertIfNegative val="0"/>
          <c:cat>
            <c:strRef>
              <c:f>'"EMU" Output'!$O$42:$S$42</c:f>
              <c:strCache>
                <c:ptCount val="5"/>
                <c:pt idx="0">
                  <c:v>Utilisatrices : Enquete</c:v>
                </c:pt>
                <c:pt idx="1">
                  <c:v>Utilisatrices : Produits aux clients</c:v>
                </c:pt>
                <c:pt idx="2">
                  <c:v>Utilisatrices : Produits aux établissements</c:v>
                </c:pt>
                <c:pt idx="3">
                  <c:v>Utilisatrices : Visites</c:v>
                </c:pt>
                <c:pt idx="4">
                  <c:v>Utilisatrices : Utilisatrices de PF</c:v>
                </c:pt>
              </c:strCache>
            </c:strRef>
          </c:cat>
          <c:val>
            <c:numRef>
              <c:f>'"EMU" Output'!$O$45:$S$45</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E-B91E-4040-8F78-C84D44A06A3B}"/>
            </c:ext>
          </c:extLst>
        </c:ser>
        <c:ser>
          <c:idx val="3"/>
          <c:order val="3"/>
          <c:tx>
            <c:strRef>
              <c:f>'"EMU" Output'!$M$46:$N$46</c:f>
              <c:strCache>
                <c:ptCount val="2"/>
                <c:pt idx="0">
                  <c:v>Implant</c:v>
                </c:pt>
              </c:strCache>
            </c:strRef>
          </c:tx>
          <c:spPr>
            <a:solidFill>
              <a:schemeClr val="accent2"/>
            </a:solidFill>
            <a:ln>
              <a:solidFill>
                <a:schemeClr val="bg1"/>
              </a:solidFill>
            </a:ln>
            <a:effectLst/>
          </c:spPr>
          <c:invertIfNegative val="0"/>
          <c:cat>
            <c:strRef>
              <c:f>'"EMU" Output'!$O$42:$S$42</c:f>
              <c:strCache>
                <c:ptCount val="5"/>
                <c:pt idx="0">
                  <c:v>Utilisatrices : Enquete</c:v>
                </c:pt>
                <c:pt idx="1">
                  <c:v>Utilisatrices : Produits aux clients</c:v>
                </c:pt>
                <c:pt idx="2">
                  <c:v>Utilisatrices : Produits aux établissements</c:v>
                </c:pt>
                <c:pt idx="3">
                  <c:v>Utilisatrices : Visites</c:v>
                </c:pt>
                <c:pt idx="4">
                  <c:v>Utilisatrices : Utilisatrices de PF</c:v>
                </c:pt>
              </c:strCache>
            </c:strRef>
          </c:cat>
          <c:val>
            <c:numRef>
              <c:f>'"EMU" Output'!$O$46:$S$46</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10-B91E-4040-8F78-C84D44A06A3B}"/>
            </c:ext>
          </c:extLst>
        </c:ser>
        <c:ser>
          <c:idx val="4"/>
          <c:order val="4"/>
          <c:tx>
            <c:strRef>
              <c:f>'"EMU" Output'!$M$47:$N$47</c:f>
              <c:strCache>
                <c:ptCount val="2"/>
                <c:pt idx="0">
                  <c:v>Produits injectables</c:v>
                </c:pt>
              </c:strCache>
            </c:strRef>
          </c:tx>
          <c:spPr>
            <a:solidFill>
              <a:schemeClr val="tx2"/>
            </a:solidFill>
            <a:ln>
              <a:solidFill>
                <a:schemeClr val="bg1"/>
              </a:solidFill>
            </a:ln>
            <a:effectLst/>
          </c:spPr>
          <c:invertIfNegative val="0"/>
          <c:cat>
            <c:strRef>
              <c:f>'"EMU" Output'!$O$42:$S$42</c:f>
              <c:strCache>
                <c:ptCount val="5"/>
                <c:pt idx="0">
                  <c:v>Utilisatrices : Enquete</c:v>
                </c:pt>
                <c:pt idx="1">
                  <c:v>Utilisatrices : Produits aux clients</c:v>
                </c:pt>
                <c:pt idx="2">
                  <c:v>Utilisatrices : Produits aux établissements</c:v>
                </c:pt>
                <c:pt idx="3">
                  <c:v>Utilisatrices : Visites</c:v>
                </c:pt>
                <c:pt idx="4">
                  <c:v>Utilisatrices : Utilisatrices de PF</c:v>
                </c:pt>
              </c:strCache>
            </c:strRef>
          </c:cat>
          <c:val>
            <c:numRef>
              <c:f>'"EMU" Output'!$O$47:$S$47</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12-B91E-4040-8F78-C84D44A06A3B}"/>
            </c:ext>
          </c:extLst>
        </c:ser>
        <c:ser>
          <c:idx val="5"/>
          <c:order val="5"/>
          <c:tx>
            <c:strRef>
              <c:f>'"EMU" Output'!$M$48:$N$48</c:f>
              <c:strCache>
                <c:ptCount val="2"/>
                <c:pt idx="0">
                  <c:v>Pilule</c:v>
                </c:pt>
              </c:strCache>
            </c:strRef>
          </c:tx>
          <c:spPr>
            <a:solidFill>
              <a:schemeClr val="accent1"/>
            </a:solidFill>
            <a:ln>
              <a:solidFill>
                <a:schemeClr val="bg1"/>
              </a:solidFill>
            </a:ln>
            <a:effectLst/>
          </c:spPr>
          <c:invertIfNegative val="0"/>
          <c:cat>
            <c:strRef>
              <c:f>'"EMU" Output'!$O$42:$S$42</c:f>
              <c:strCache>
                <c:ptCount val="5"/>
                <c:pt idx="0">
                  <c:v>Utilisatrices : Enquete</c:v>
                </c:pt>
                <c:pt idx="1">
                  <c:v>Utilisatrices : Produits aux clients</c:v>
                </c:pt>
                <c:pt idx="2">
                  <c:v>Utilisatrices : Produits aux établissements</c:v>
                </c:pt>
                <c:pt idx="3">
                  <c:v>Utilisatrices : Visites</c:v>
                </c:pt>
                <c:pt idx="4">
                  <c:v>Utilisatrices : Utilisatrices de PF</c:v>
                </c:pt>
              </c:strCache>
            </c:strRef>
          </c:cat>
          <c:val>
            <c:numRef>
              <c:f>'"EMU" Output'!$O$48:$S$48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14-B91E-4040-8F78-C84D44A06A3B}"/>
            </c:ext>
          </c:extLst>
        </c:ser>
        <c:ser>
          <c:idx val="6"/>
          <c:order val="6"/>
          <c:tx>
            <c:strRef>
              <c:f>'"EMU" Output'!$M$49:$N$49</c:f>
              <c:strCache>
                <c:ptCount val="2"/>
                <c:pt idx="0">
                  <c:v>Préservatifs (m+f)</c:v>
                </c:pt>
              </c:strCache>
            </c:strRef>
          </c:tx>
          <c:spPr>
            <a:solidFill>
              <a:schemeClr val="accent3"/>
            </a:solidFill>
            <a:ln>
              <a:solidFill>
                <a:schemeClr val="bg1"/>
              </a:solidFill>
            </a:ln>
            <a:effectLst/>
          </c:spPr>
          <c:invertIfNegative val="0"/>
          <c:cat>
            <c:strRef>
              <c:f>'"EMU" Output'!$O$42:$S$42</c:f>
              <c:strCache>
                <c:ptCount val="5"/>
                <c:pt idx="0">
                  <c:v>Utilisatrices : Enquete</c:v>
                </c:pt>
                <c:pt idx="1">
                  <c:v>Utilisatrices : Produits aux clients</c:v>
                </c:pt>
                <c:pt idx="2">
                  <c:v>Utilisatrices : Produits aux établissements</c:v>
                </c:pt>
                <c:pt idx="3">
                  <c:v>Utilisatrices : Visites</c:v>
                </c:pt>
                <c:pt idx="4">
                  <c:v>Utilisatrices : Utilisatrices de PF</c:v>
                </c:pt>
              </c:strCache>
            </c:strRef>
          </c:cat>
          <c:val>
            <c:numRef>
              <c:f>'"EMU" Output'!$O$49:$S$49</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16-B91E-4040-8F78-C84D44A06A3B}"/>
            </c:ext>
          </c:extLst>
        </c:ser>
        <c:ser>
          <c:idx val="7"/>
          <c:order val="7"/>
          <c:tx>
            <c:strRef>
              <c:f>'"EMU" Output'!$M$50:$N$50</c:f>
              <c:strCache>
                <c:ptCount val="2"/>
                <c:pt idx="0">
                  <c:v>MAMA</c:v>
                </c:pt>
              </c:strCache>
            </c:strRef>
          </c:tx>
          <c:spPr>
            <a:solidFill>
              <a:schemeClr val="accent5"/>
            </a:solidFill>
            <a:ln>
              <a:solidFill>
                <a:schemeClr val="bg1"/>
              </a:solidFill>
            </a:ln>
            <a:effectLst/>
          </c:spPr>
          <c:invertIfNegative val="0"/>
          <c:cat>
            <c:strRef>
              <c:f>'"EMU" Output'!$O$42:$S$42</c:f>
              <c:strCache>
                <c:ptCount val="5"/>
                <c:pt idx="0">
                  <c:v>Utilisatrices : Enquete</c:v>
                </c:pt>
                <c:pt idx="1">
                  <c:v>Utilisatrices : Produits aux clients</c:v>
                </c:pt>
                <c:pt idx="2">
                  <c:v>Utilisatrices : Produits aux établissements</c:v>
                </c:pt>
                <c:pt idx="3">
                  <c:v>Utilisatrices : Visites</c:v>
                </c:pt>
                <c:pt idx="4">
                  <c:v>Utilisatrices : Utilisatrices de PF</c:v>
                </c:pt>
              </c:strCache>
            </c:strRef>
          </c:cat>
          <c:val>
            <c:numRef>
              <c:f>'"EMU" Output'!$O$50:$S$50</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18-B91E-4040-8F78-C84D44A06A3B}"/>
            </c:ext>
          </c:extLst>
        </c:ser>
        <c:ser>
          <c:idx val="8"/>
          <c:order val="8"/>
          <c:tx>
            <c:strRef>
              <c:f>'"EMU" Output'!$M$51:$N$51</c:f>
              <c:strCache>
                <c:ptCount val="2"/>
                <c:pt idx="0">
                  <c:v>Autres méthodes modernes</c:v>
                </c:pt>
              </c:strCache>
            </c:strRef>
          </c:tx>
          <c:spPr>
            <a:solidFill>
              <a:schemeClr val="accent4"/>
            </a:solidFill>
            <a:ln>
              <a:solidFill>
                <a:schemeClr val="bg1"/>
              </a:solidFill>
            </a:ln>
            <a:effectLst/>
          </c:spPr>
          <c:invertIfNegative val="0"/>
          <c:cat>
            <c:strRef>
              <c:f>'"EMU" Output'!$O$42:$S$42</c:f>
              <c:strCache>
                <c:ptCount val="5"/>
                <c:pt idx="0">
                  <c:v>Utilisatrices : Enquete</c:v>
                </c:pt>
                <c:pt idx="1">
                  <c:v>Utilisatrices : Produits aux clients</c:v>
                </c:pt>
                <c:pt idx="2">
                  <c:v>Utilisatrices : Produits aux établissements</c:v>
                </c:pt>
                <c:pt idx="3">
                  <c:v>Utilisatrices : Visites</c:v>
                </c:pt>
                <c:pt idx="4">
                  <c:v>Utilisatrices : Utilisatrices de PF</c:v>
                </c:pt>
              </c:strCache>
            </c:strRef>
          </c:cat>
          <c:val>
            <c:numRef>
              <c:f>'"EMU" Output'!$O$51:$S$51</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1A-B91E-4040-8F78-C84D44A06A3B}"/>
            </c:ext>
          </c:extLst>
        </c:ser>
        <c:dLbls>
          <c:showLegendKey val="0"/>
          <c:showVal val="0"/>
          <c:showCatName val="0"/>
          <c:showSerName val="0"/>
          <c:showPercent val="0"/>
          <c:showBubbleSize val="0"/>
        </c:dLbls>
        <c:gapWidth val="50"/>
        <c:overlap val="100"/>
        <c:axId val="1068113584"/>
        <c:axId val="1068127688"/>
      </c:barChart>
      <c:catAx>
        <c:axId val="106811358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068127688"/>
        <c:crosses val="autoZero"/>
        <c:auto val="1"/>
        <c:lblAlgn val="ctr"/>
        <c:lblOffset val="100"/>
        <c:noMultiLvlLbl val="0"/>
      </c:catAx>
      <c:valAx>
        <c:axId val="1068127688"/>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068113584"/>
        <c:crosses val="autoZero"/>
        <c:crossBetween val="between"/>
      </c:valAx>
    </c:plotArea>
    <c:legend>
      <c:legendPos val="b"/>
      <c:layout>
        <c:manualLayout>
          <c:xMode val="edge"/>
          <c:yMode val="edge"/>
          <c:x val="0"/>
          <c:y val="0.81875003947975167"/>
          <c:w val="0.99223986465350045"/>
          <c:h val="0.1596115473185001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extLst/>
  </c:chart>
  <c:spPr>
    <a:solidFill>
      <a:schemeClr val="bg1"/>
    </a:solidFill>
    <a:ln w="2857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37339409851694"/>
          <c:y val="7.1100047675401193E-2"/>
          <c:w val="0.71160740284563861"/>
          <c:h val="0.80902866595468748"/>
        </c:manualLayout>
      </c:layout>
      <c:barChart>
        <c:barDir val="col"/>
        <c:grouping val="stacked"/>
        <c:varyColors val="0"/>
        <c:ser>
          <c:idx val="0"/>
          <c:order val="0"/>
          <c:tx>
            <c:strRef>
              <c:f>'Review of PS Adjustment'!$B$13</c:f>
              <c:strCache>
                <c:ptCount val="1"/>
                <c:pt idx="0">
                  <c:v>Stérilisation (F)</c:v>
                </c:pt>
              </c:strCache>
            </c:strRef>
          </c:tx>
          <c:spPr>
            <a:solidFill>
              <a:schemeClr val="accent6"/>
            </a:solidFill>
            <a:ln>
              <a:noFill/>
            </a:ln>
            <a:effectLst/>
          </c:spPr>
          <c:invertIfNegative val="0"/>
          <c:cat>
            <c:strRef>
              <c:f>'Review of PS Adjustment'!$C$10:$G$10</c:f>
              <c:strCache>
                <c:ptCount val="5"/>
                <c:pt idx="0">
                  <c:v>No DHS Available - replace with your own data if available</c:v>
                </c:pt>
                <c:pt idx="1">
                  <c:v>Unadjusted C2C</c:v>
                </c:pt>
                <c:pt idx="2">
                  <c:v>Unadjusted C2F</c:v>
                </c:pt>
                <c:pt idx="3">
                  <c:v>Unadjusted Visits</c:v>
                </c:pt>
                <c:pt idx="4">
                  <c:v>Unadjusted Users</c:v>
                </c:pt>
              </c:strCache>
            </c:strRef>
          </c:cat>
          <c:val>
            <c:numRef>
              <c:f>'Review of PS Adjustment'!$C$13:$G$13</c:f>
              <c:numCache>
                <c:formatCode>0.0%</c:formatCode>
                <c:ptCount val="5"/>
                <c:pt idx="0">
                  <c:v>0</c:v>
                </c:pt>
                <c:pt idx="1">
                  <c:v>#N/A</c:v>
                </c:pt>
                <c:pt idx="2">
                  <c:v>0</c:v>
                </c:pt>
                <c:pt idx="3">
                  <c:v>#N/A</c:v>
                </c:pt>
                <c:pt idx="4">
                  <c:v>#N/A</c:v>
                </c:pt>
              </c:numCache>
            </c:numRef>
          </c:val>
          <c:extLst>
            <c:ext xmlns:c16="http://schemas.microsoft.com/office/drawing/2014/chart" uri="{C3380CC4-5D6E-409C-BE32-E72D297353CC}">
              <c16:uniqueId val="{00000000-18E3-4841-B8EC-28663CD7619F}"/>
            </c:ext>
          </c:extLst>
        </c:ser>
        <c:ser>
          <c:idx val="1"/>
          <c:order val="1"/>
          <c:tx>
            <c:strRef>
              <c:f>'Review of PS Adjustment'!$B$14</c:f>
              <c:strCache>
                <c:ptCount val="1"/>
                <c:pt idx="0">
                  <c:v>Stérilisation (M)</c:v>
                </c:pt>
              </c:strCache>
            </c:strRef>
          </c:tx>
          <c:spPr>
            <a:solidFill>
              <a:schemeClr val="accent6">
                <a:lumMod val="60000"/>
                <a:lumOff val="40000"/>
              </a:schemeClr>
            </a:solidFill>
            <a:ln>
              <a:noFill/>
            </a:ln>
            <a:effectLst/>
          </c:spPr>
          <c:invertIfNegative val="0"/>
          <c:cat>
            <c:strRef>
              <c:f>'Review of PS Adjustment'!$C$10:$G$10</c:f>
              <c:strCache>
                <c:ptCount val="5"/>
                <c:pt idx="0">
                  <c:v>No DHS Available - replace with your own data if available</c:v>
                </c:pt>
                <c:pt idx="1">
                  <c:v>Unadjusted C2C</c:v>
                </c:pt>
                <c:pt idx="2">
                  <c:v>Unadjusted C2F</c:v>
                </c:pt>
                <c:pt idx="3">
                  <c:v>Unadjusted Visits</c:v>
                </c:pt>
                <c:pt idx="4">
                  <c:v>Unadjusted Users</c:v>
                </c:pt>
              </c:strCache>
            </c:strRef>
          </c:cat>
          <c:val>
            <c:numRef>
              <c:f>'Review of PS Adjustment'!$C$14:$G$14</c:f>
              <c:numCache>
                <c:formatCode>0.0%</c:formatCode>
                <c:ptCount val="5"/>
                <c:pt idx="0">
                  <c:v>0</c:v>
                </c:pt>
                <c:pt idx="1">
                  <c:v>#N/A</c:v>
                </c:pt>
                <c:pt idx="2">
                  <c:v>0</c:v>
                </c:pt>
                <c:pt idx="3">
                  <c:v>#N/A</c:v>
                </c:pt>
                <c:pt idx="4">
                  <c:v>#N/A</c:v>
                </c:pt>
              </c:numCache>
            </c:numRef>
          </c:val>
          <c:extLst>
            <c:ext xmlns:c16="http://schemas.microsoft.com/office/drawing/2014/chart" uri="{C3380CC4-5D6E-409C-BE32-E72D297353CC}">
              <c16:uniqueId val="{00000001-18E3-4841-B8EC-28663CD7619F}"/>
            </c:ext>
          </c:extLst>
        </c:ser>
        <c:ser>
          <c:idx val="2"/>
          <c:order val="2"/>
          <c:tx>
            <c:strRef>
              <c:f>'Review of PS Adjustment'!$B$15</c:f>
              <c:strCache>
                <c:ptCount val="1"/>
                <c:pt idx="0">
                  <c:v>DIU</c:v>
                </c:pt>
              </c:strCache>
            </c:strRef>
          </c:tx>
          <c:spPr>
            <a:solidFill>
              <a:schemeClr val="bg2"/>
            </a:solidFill>
            <a:ln>
              <a:noFill/>
            </a:ln>
            <a:effectLst/>
          </c:spPr>
          <c:invertIfNegative val="0"/>
          <c:cat>
            <c:strRef>
              <c:f>'Review of PS Adjustment'!$C$10:$G$10</c:f>
              <c:strCache>
                <c:ptCount val="5"/>
                <c:pt idx="0">
                  <c:v>No DHS Available - replace with your own data if available</c:v>
                </c:pt>
                <c:pt idx="1">
                  <c:v>Unadjusted C2C</c:v>
                </c:pt>
                <c:pt idx="2">
                  <c:v>Unadjusted C2F</c:v>
                </c:pt>
                <c:pt idx="3">
                  <c:v>Unadjusted Visits</c:v>
                </c:pt>
                <c:pt idx="4">
                  <c:v>Unadjusted Users</c:v>
                </c:pt>
              </c:strCache>
            </c:strRef>
          </c:cat>
          <c:val>
            <c:numRef>
              <c:f>'Review of PS Adjustment'!$C$15:$G$15</c:f>
              <c:numCache>
                <c:formatCode>0.0%</c:formatCode>
                <c:ptCount val="5"/>
                <c:pt idx="0">
                  <c:v>0</c:v>
                </c:pt>
                <c:pt idx="1">
                  <c:v>#N/A</c:v>
                </c:pt>
                <c:pt idx="2">
                  <c:v>0</c:v>
                </c:pt>
                <c:pt idx="3">
                  <c:v>#N/A</c:v>
                </c:pt>
                <c:pt idx="4">
                  <c:v>#N/A</c:v>
                </c:pt>
              </c:numCache>
            </c:numRef>
          </c:val>
          <c:extLst>
            <c:ext xmlns:c16="http://schemas.microsoft.com/office/drawing/2014/chart" uri="{C3380CC4-5D6E-409C-BE32-E72D297353CC}">
              <c16:uniqueId val="{00000002-18E3-4841-B8EC-28663CD7619F}"/>
            </c:ext>
          </c:extLst>
        </c:ser>
        <c:ser>
          <c:idx val="3"/>
          <c:order val="3"/>
          <c:tx>
            <c:strRef>
              <c:f>'Review of PS Adjustment'!$B$16</c:f>
              <c:strCache>
                <c:ptCount val="1"/>
                <c:pt idx="0">
                  <c:v>Implant</c:v>
                </c:pt>
              </c:strCache>
            </c:strRef>
          </c:tx>
          <c:spPr>
            <a:solidFill>
              <a:schemeClr val="accent2"/>
            </a:solidFill>
            <a:ln>
              <a:noFill/>
            </a:ln>
            <a:effectLst/>
          </c:spPr>
          <c:invertIfNegative val="0"/>
          <c:cat>
            <c:strRef>
              <c:f>'Review of PS Adjustment'!$C$10:$G$10</c:f>
              <c:strCache>
                <c:ptCount val="5"/>
                <c:pt idx="0">
                  <c:v>No DHS Available - replace with your own data if available</c:v>
                </c:pt>
                <c:pt idx="1">
                  <c:v>Unadjusted C2C</c:v>
                </c:pt>
                <c:pt idx="2">
                  <c:v>Unadjusted C2F</c:v>
                </c:pt>
                <c:pt idx="3">
                  <c:v>Unadjusted Visits</c:v>
                </c:pt>
                <c:pt idx="4">
                  <c:v>Unadjusted Users</c:v>
                </c:pt>
              </c:strCache>
            </c:strRef>
          </c:cat>
          <c:val>
            <c:numRef>
              <c:f>'Review of PS Adjustment'!$C$16:$G$16</c:f>
              <c:numCache>
                <c:formatCode>0.0%</c:formatCode>
                <c:ptCount val="5"/>
                <c:pt idx="0">
                  <c:v>0</c:v>
                </c:pt>
                <c:pt idx="1">
                  <c:v>#N/A</c:v>
                </c:pt>
                <c:pt idx="2">
                  <c:v>0</c:v>
                </c:pt>
                <c:pt idx="3">
                  <c:v>#N/A</c:v>
                </c:pt>
                <c:pt idx="4">
                  <c:v>#N/A</c:v>
                </c:pt>
              </c:numCache>
            </c:numRef>
          </c:val>
          <c:extLst>
            <c:ext xmlns:c16="http://schemas.microsoft.com/office/drawing/2014/chart" uri="{C3380CC4-5D6E-409C-BE32-E72D297353CC}">
              <c16:uniqueId val="{00000003-18E3-4841-B8EC-28663CD7619F}"/>
            </c:ext>
          </c:extLst>
        </c:ser>
        <c:ser>
          <c:idx val="4"/>
          <c:order val="4"/>
          <c:tx>
            <c:strRef>
              <c:f>'Review of PS Adjustment'!$B$17</c:f>
              <c:strCache>
                <c:ptCount val="1"/>
                <c:pt idx="0">
                  <c:v>Produits injectables</c:v>
                </c:pt>
              </c:strCache>
            </c:strRef>
          </c:tx>
          <c:spPr>
            <a:solidFill>
              <a:schemeClr val="tx2"/>
            </a:solidFill>
            <a:ln>
              <a:noFill/>
            </a:ln>
            <a:effectLst/>
          </c:spPr>
          <c:invertIfNegative val="0"/>
          <c:cat>
            <c:strRef>
              <c:f>'Review of PS Adjustment'!$C$10:$G$10</c:f>
              <c:strCache>
                <c:ptCount val="5"/>
                <c:pt idx="0">
                  <c:v>No DHS Available - replace with your own data if available</c:v>
                </c:pt>
                <c:pt idx="1">
                  <c:v>Unadjusted C2C</c:v>
                </c:pt>
                <c:pt idx="2">
                  <c:v>Unadjusted C2F</c:v>
                </c:pt>
                <c:pt idx="3">
                  <c:v>Unadjusted Visits</c:v>
                </c:pt>
                <c:pt idx="4">
                  <c:v>Unadjusted Users</c:v>
                </c:pt>
              </c:strCache>
            </c:strRef>
          </c:cat>
          <c:val>
            <c:numRef>
              <c:f>'Review of PS Adjustment'!$C$17:$G$17</c:f>
              <c:numCache>
                <c:formatCode>0.0%</c:formatCode>
                <c:ptCount val="5"/>
                <c:pt idx="0">
                  <c:v>0</c:v>
                </c:pt>
                <c:pt idx="1">
                  <c:v>#N/A</c:v>
                </c:pt>
                <c:pt idx="2">
                  <c:v>0</c:v>
                </c:pt>
                <c:pt idx="3">
                  <c:v>#N/A</c:v>
                </c:pt>
                <c:pt idx="4">
                  <c:v>#N/A</c:v>
                </c:pt>
              </c:numCache>
            </c:numRef>
          </c:val>
          <c:extLst>
            <c:ext xmlns:c16="http://schemas.microsoft.com/office/drawing/2014/chart" uri="{C3380CC4-5D6E-409C-BE32-E72D297353CC}">
              <c16:uniqueId val="{00000004-18E3-4841-B8EC-28663CD7619F}"/>
            </c:ext>
          </c:extLst>
        </c:ser>
        <c:ser>
          <c:idx val="5"/>
          <c:order val="5"/>
          <c:tx>
            <c:strRef>
              <c:f>'Review of PS Adjustment'!$B$18</c:f>
              <c:strCache>
                <c:ptCount val="1"/>
                <c:pt idx="0">
                  <c:v>Pilule</c:v>
                </c:pt>
              </c:strCache>
            </c:strRef>
          </c:tx>
          <c:spPr>
            <a:solidFill>
              <a:schemeClr val="accent1"/>
            </a:solidFill>
            <a:ln>
              <a:noFill/>
            </a:ln>
            <a:effectLst/>
          </c:spPr>
          <c:invertIfNegative val="0"/>
          <c:cat>
            <c:strRef>
              <c:f>'Review of PS Adjustment'!$C$10:$G$10</c:f>
              <c:strCache>
                <c:ptCount val="5"/>
                <c:pt idx="0">
                  <c:v>No DHS Available - replace with your own data if available</c:v>
                </c:pt>
                <c:pt idx="1">
                  <c:v>Unadjusted C2C</c:v>
                </c:pt>
                <c:pt idx="2">
                  <c:v>Unadjusted C2F</c:v>
                </c:pt>
                <c:pt idx="3">
                  <c:v>Unadjusted Visits</c:v>
                </c:pt>
                <c:pt idx="4">
                  <c:v>Unadjusted Users</c:v>
                </c:pt>
              </c:strCache>
            </c:strRef>
          </c:cat>
          <c:val>
            <c:numRef>
              <c:f>'Review of PS Adjustment'!$C$18:$G$18</c:f>
              <c:numCache>
                <c:formatCode>0.0%</c:formatCode>
                <c:ptCount val="5"/>
                <c:pt idx="0">
                  <c:v>0</c:v>
                </c:pt>
                <c:pt idx="1">
                  <c:v>#N/A</c:v>
                </c:pt>
                <c:pt idx="2">
                  <c:v>0</c:v>
                </c:pt>
                <c:pt idx="3">
                  <c:v>#N/A</c:v>
                </c:pt>
                <c:pt idx="4">
                  <c:v>#N/A</c:v>
                </c:pt>
              </c:numCache>
            </c:numRef>
          </c:val>
          <c:extLst>
            <c:ext xmlns:c16="http://schemas.microsoft.com/office/drawing/2014/chart" uri="{C3380CC4-5D6E-409C-BE32-E72D297353CC}">
              <c16:uniqueId val="{00000005-18E3-4841-B8EC-28663CD7619F}"/>
            </c:ext>
          </c:extLst>
        </c:ser>
        <c:ser>
          <c:idx val="6"/>
          <c:order val="6"/>
          <c:tx>
            <c:strRef>
              <c:f>'Review of PS Adjustment'!$B$19</c:f>
              <c:strCache>
                <c:ptCount val="1"/>
                <c:pt idx="0">
                  <c:v>Préservatifs (m+f)</c:v>
                </c:pt>
              </c:strCache>
            </c:strRef>
          </c:tx>
          <c:spPr>
            <a:solidFill>
              <a:schemeClr val="accent3"/>
            </a:solidFill>
            <a:ln>
              <a:noFill/>
            </a:ln>
            <a:effectLst/>
          </c:spPr>
          <c:invertIfNegative val="0"/>
          <c:cat>
            <c:strRef>
              <c:f>'Review of PS Adjustment'!$C$10:$G$10</c:f>
              <c:strCache>
                <c:ptCount val="5"/>
                <c:pt idx="0">
                  <c:v>No DHS Available - replace with your own data if available</c:v>
                </c:pt>
                <c:pt idx="1">
                  <c:v>Unadjusted C2C</c:v>
                </c:pt>
                <c:pt idx="2">
                  <c:v>Unadjusted C2F</c:v>
                </c:pt>
                <c:pt idx="3">
                  <c:v>Unadjusted Visits</c:v>
                </c:pt>
                <c:pt idx="4">
                  <c:v>Unadjusted Users</c:v>
                </c:pt>
              </c:strCache>
            </c:strRef>
          </c:cat>
          <c:val>
            <c:numRef>
              <c:f>'Review of PS Adjustment'!$C$19:$G$19</c:f>
              <c:numCache>
                <c:formatCode>0.0%</c:formatCode>
                <c:ptCount val="5"/>
                <c:pt idx="0">
                  <c:v>0</c:v>
                </c:pt>
                <c:pt idx="1">
                  <c:v>#N/A</c:v>
                </c:pt>
                <c:pt idx="2">
                  <c:v>0</c:v>
                </c:pt>
                <c:pt idx="3">
                  <c:v>#N/A</c:v>
                </c:pt>
                <c:pt idx="4">
                  <c:v>#N/A</c:v>
                </c:pt>
              </c:numCache>
            </c:numRef>
          </c:val>
          <c:extLst>
            <c:ext xmlns:c16="http://schemas.microsoft.com/office/drawing/2014/chart" uri="{C3380CC4-5D6E-409C-BE32-E72D297353CC}">
              <c16:uniqueId val="{00000006-18E3-4841-B8EC-28663CD7619F}"/>
            </c:ext>
          </c:extLst>
        </c:ser>
        <c:ser>
          <c:idx val="7"/>
          <c:order val="7"/>
          <c:tx>
            <c:strRef>
              <c:f>'Review of PS Adjustment'!$B$20</c:f>
              <c:strCache>
                <c:ptCount val="1"/>
                <c:pt idx="0">
                  <c:v>Autres Méthodes Modernes</c:v>
                </c:pt>
              </c:strCache>
            </c:strRef>
          </c:tx>
          <c:spPr>
            <a:solidFill>
              <a:schemeClr val="accent4"/>
            </a:solidFill>
            <a:ln>
              <a:noFill/>
            </a:ln>
            <a:effectLst/>
          </c:spPr>
          <c:invertIfNegative val="0"/>
          <c:cat>
            <c:strRef>
              <c:f>'Review of PS Adjustment'!$C$10:$G$10</c:f>
              <c:strCache>
                <c:ptCount val="5"/>
                <c:pt idx="0">
                  <c:v>No DHS Available - replace with your own data if available</c:v>
                </c:pt>
                <c:pt idx="1">
                  <c:v>Unadjusted C2C</c:v>
                </c:pt>
                <c:pt idx="2">
                  <c:v>Unadjusted C2F</c:v>
                </c:pt>
                <c:pt idx="3">
                  <c:v>Unadjusted Visits</c:v>
                </c:pt>
                <c:pt idx="4">
                  <c:v>Unadjusted Users</c:v>
                </c:pt>
              </c:strCache>
            </c:strRef>
          </c:cat>
          <c:val>
            <c:numRef>
              <c:f>'Review of PS Adjustment'!$C$20:$G$20</c:f>
              <c:numCache>
                <c:formatCode>0.0%</c:formatCode>
                <c:ptCount val="5"/>
                <c:pt idx="0">
                  <c:v>0</c:v>
                </c:pt>
                <c:pt idx="1">
                  <c:v>#N/A</c:v>
                </c:pt>
                <c:pt idx="2">
                  <c:v>0</c:v>
                </c:pt>
                <c:pt idx="3">
                  <c:v>#N/A</c:v>
                </c:pt>
                <c:pt idx="4">
                  <c:v>#N/A</c:v>
                </c:pt>
              </c:numCache>
            </c:numRef>
          </c:val>
          <c:extLst>
            <c:ext xmlns:c16="http://schemas.microsoft.com/office/drawing/2014/chart" uri="{C3380CC4-5D6E-409C-BE32-E72D297353CC}">
              <c16:uniqueId val="{00000007-18E3-4841-B8EC-28663CD7619F}"/>
            </c:ext>
          </c:extLst>
        </c:ser>
        <c:ser>
          <c:idx val="8"/>
          <c:order val="8"/>
          <c:tx>
            <c:strRef>
              <c:f>'Review of PS Adjustment'!$B$21</c:f>
              <c:strCache>
                <c:ptCount val="1"/>
                <c:pt idx="0">
                  <c:v>Contraception d'urgence</c:v>
                </c:pt>
              </c:strCache>
            </c:strRef>
          </c:tx>
          <c:spPr>
            <a:solidFill>
              <a:schemeClr val="accent5"/>
            </a:solidFill>
            <a:ln>
              <a:noFill/>
            </a:ln>
            <a:effectLst/>
          </c:spPr>
          <c:invertIfNegative val="0"/>
          <c:cat>
            <c:strRef>
              <c:f>'Review of PS Adjustment'!$C$10:$G$10</c:f>
              <c:strCache>
                <c:ptCount val="5"/>
                <c:pt idx="0">
                  <c:v>No DHS Available - replace with your own data if available</c:v>
                </c:pt>
                <c:pt idx="1">
                  <c:v>Unadjusted C2C</c:v>
                </c:pt>
                <c:pt idx="2">
                  <c:v>Unadjusted C2F</c:v>
                </c:pt>
                <c:pt idx="3">
                  <c:v>Unadjusted Visits</c:v>
                </c:pt>
                <c:pt idx="4">
                  <c:v>Unadjusted Users</c:v>
                </c:pt>
              </c:strCache>
            </c:strRef>
          </c:cat>
          <c:val>
            <c:numRef>
              <c:f>'Review of PS Adjustment'!$C$21:$G$21</c:f>
              <c:numCache>
                <c:formatCode>0.0%</c:formatCode>
                <c:ptCount val="5"/>
                <c:pt idx="0">
                  <c:v>0</c:v>
                </c:pt>
                <c:pt idx="1">
                  <c:v>#N/A</c:v>
                </c:pt>
                <c:pt idx="2">
                  <c:v>0</c:v>
                </c:pt>
                <c:pt idx="3">
                  <c:v>#N/A</c:v>
                </c:pt>
                <c:pt idx="4">
                  <c:v>#N/A</c:v>
                </c:pt>
              </c:numCache>
            </c:numRef>
          </c:val>
          <c:extLst>
            <c:ext xmlns:c16="http://schemas.microsoft.com/office/drawing/2014/chart" uri="{C3380CC4-5D6E-409C-BE32-E72D297353CC}">
              <c16:uniqueId val="{00000008-18E3-4841-B8EC-28663CD7619F}"/>
            </c:ext>
          </c:extLst>
        </c:ser>
        <c:dLbls>
          <c:showLegendKey val="0"/>
          <c:showVal val="0"/>
          <c:showCatName val="0"/>
          <c:showSerName val="0"/>
          <c:showPercent val="0"/>
          <c:showBubbleSize val="0"/>
        </c:dLbls>
        <c:gapWidth val="150"/>
        <c:overlap val="100"/>
        <c:axId val="379224912"/>
        <c:axId val="1132783040"/>
      </c:barChart>
      <c:catAx>
        <c:axId val="379224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2783040"/>
        <c:crosses val="autoZero"/>
        <c:auto val="1"/>
        <c:lblAlgn val="ctr"/>
        <c:lblOffset val="100"/>
        <c:noMultiLvlLbl val="0"/>
      </c:catAx>
      <c:valAx>
        <c:axId val="11327830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mCPR / TPCm / EMU</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9224912"/>
        <c:crosses val="autoZero"/>
        <c:crossBetween val="between"/>
      </c:valAx>
      <c:spPr>
        <a:noFill/>
        <a:ln>
          <a:noFill/>
        </a:ln>
        <a:effectLst/>
      </c:spPr>
    </c:plotArea>
    <c:legend>
      <c:legendPos val="b"/>
      <c:layout>
        <c:manualLayout>
          <c:xMode val="edge"/>
          <c:yMode val="edge"/>
          <c:x val="0.82499987507573058"/>
          <c:y val="3.948277605798866E-2"/>
          <c:w val="0.15961536044588728"/>
          <c:h val="0.9335711098050616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723877691720519"/>
          <c:y val="6.1489759603311961E-2"/>
          <c:w val="0.69622278979061325"/>
          <c:h val="0.83237784725263342"/>
        </c:manualLayout>
      </c:layout>
      <c:barChart>
        <c:barDir val="col"/>
        <c:grouping val="stacked"/>
        <c:varyColors val="0"/>
        <c:ser>
          <c:idx val="0"/>
          <c:order val="0"/>
          <c:tx>
            <c:strRef>
              <c:f>'Review of PS Adjustment'!$B$29</c:f>
              <c:strCache>
                <c:ptCount val="1"/>
                <c:pt idx="0">
                  <c:v>Stérilisation (F)</c:v>
                </c:pt>
              </c:strCache>
            </c:strRef>
          </c:tx>
          <c:spPr>
            <a:solidFill>
              <a:schemeClr val="accent6"/>
            </a:solidFill>
            <a:ln>
              <a:noFill/>
            </a:ln>
            <a:effectLst/>
          </c:spPr>
          <c:invertIfNegative val="0"/>
          <c:cat>
            <c:strRef>
              <c:f>'Review of PS Adjustment'!$C$26:$G$26</c:f>
              <c:strCache>
                <c:ptCount val="5"/>
                <c:pt idx="0">
                  <c:v>No DHS Available - replace with your own data if available</c:v>
                </c:pt>
                <c:pt idx="1">
                  <c:v>Adjusted C2C</c:v>
                </c:pt>
                <c:pt idx="2">
                  <c:v>Adjusted C2F</c:v>
                </c:pt>
                <c:pt idx="3">
                  <c:v>Adjusted Visits</c:v>
                </c:pt>
                <c:pt idx="4">
                  <c:v>Adjusted Users</c:v>
                </c:pt>
              </c:strCache>
            </c:strRef>
          </c:cat>
          <c:val>
            <c:numRef>
              <c:f>'Review of PS Adjustment'!$C$29:$G$29</c:f>
              <c:numCache>
                <c:formatCode>0.0%</c:formatCode>
                <c:ptCount val="5"/>
                <c:pt idx="0">
                  <c:v>0</c:v>
                </c:pt>
                <c:pt idx="1">
                  <c:v>#N/A</c:v>
                </c:pt>
                <c:pt idx="2">
                  <c:v>0</c:v>
                </c:pt>
                <c:pt idx="3">
                  <c:v>#N/A</c:v>
                </c:pt>
                <c:pt idx="4">
                  <c:v>#N/A</c:v>
                </c:pt>
              </c:numCache>
            </c:numRef>
          </c:val>
          <c:extLst>
            <c:ext xmlns:c16="http://schemas.microsoft.com/office/drawing/2014/chart" uri="{C3380CC4-5D6E-409C-BE32-E72D297353CC}">
              <c16:uniqueId val="{0000003B-85F5-4F6E-9F3C-DA231516EFAC}"/>
            </c:ext>
          </c:extLst>
        </c:ser>
        <c:ser>
          <c:idx val="1"/>
          <c:order val="1"/>
          <c:tx>
            <c:strRef>
              <c:f>'Review of PS Adjustment'!$B$30</c:f>
              <c:strCache>
                <c:ptCount val="1"/>
                <c:pt idx="0">
                  <c:v>Stérilisation (M)</c:v>
                </c:pt>
              </c:strCache>
            </c:strRef>
          </c:tx>
          <c:spPr>
            <a:solidFill>
              <a:schemeClr val="accent6">
                <a:lumMod val="60000"/>
                <a:lumOff val="40000"/>
              </a:schemeClr>
            </a:solidFill>
            <a:ln>
              <a:noFill/>
            </a:ln>
            <a:effectLst/>
          </c:spPr>
          <c:invertIfNegative val="0"/>
          <c:cat>
            <c:strRef>
              <c:f>'Review of PS Adjustment'!$C$26:$G$26</c:f>
              <c:strCache>
                <c:ptCount val="5"/>
                <c:pt idx="0">
                  <c:v>No DHS Available - replace with your own data if available</c:v>
                </c:pt>
                <c:pt idx="1">
                  <c:v>Adjusted C2C</c:v>
                </c:pt>
                <c:pt idx="2">
                  <c:v>Adjusted C2F</c:v>
                </c:pt>
                <c:pt idx="3">
                  <c:v>Adjusted Visits</c:v>
                </c:pt>
                <c:pt idx="4">
                  <c:v>Adjusted Users</c:v>
                </c:pt>
              </c:strCache>
            </c:strRef>
          </c:cat>
          <c:val>
            <c:numRef>
              <c:f>'Review of PS Adjustment'!$C$30:$G$30</c:f>
              <c:numCache>
                <c:formatCode>0.0%</c:formatCode>
                <c:ptCount val="5"/>
                <c:pt idx="0">
                  <c:v>0</c:v>
                </c:pt>
                <c:pt idx="1">
                  <c:v>#N/A</c:v>
                </c:pt>
                <c:pt idx="2">
                  <c:v>0</c:v>
                </c:pt>
                <c:pt idx="3">
                  <c:v>#N/A</c:v>
                </c:pt>
                <c:pt idx="4">
                  <c:v>#N/A</c:v>
                </c:pt>
              </c:numCache>
            </c:numRef>
          </c:val>
          <c:extLst>
            <c:ext xmlns:c16="http://schemas.microsoft.com/office/drawing/2014/chart" uri="{C3380CC4-5D6E-409C-BE32-E72D297353CC}">
              <c16:uniqueId val="{0000003D-85F5-4F6E-9F3C-DA231516EFAC}"/>
            </c:ext>
          </c:extLst>
        </c:ser>
        <c:ser>
          <c:idx val="2"/>
          <c:order val="2"/>
          <c:tx>
            <c:strRef>
              <c:f>'Review of PS Adjustment'!$B$31</c:f>
              <c:strCache>
                <c:ptCount val="1"/>
                <c:pt idx="0">
                  <c:v>DIU</c:v>
                </c:pt>
              </c:strCache>
            </c:strRef>
          </c:tx>
          <c:spPr>
            <a:solidFill>
              <a:schemeClr val="bg2"/>
            </a:solidFill>
            <a:ln>
              <a:noFill/>
            </a:ln>
            <a:effectLst/>
          </c:spPr>
          <c:invertIfNegative val="0"/>
          <c:cat>
            <c:strRef>
              <c:f>'Review of PS Adjustment'!$C$26:$G$26</c:f>
              <c:strCache>
                <c:ptCount val="5"/>
                <c:pt idx="0">
                  <c:v>No DHS Available - replace with your own data if available</c:v>
                </c:pt>
                <c:pt idx="1">
                  <c:v>Adjusted C2C</c:v>
                </c:pt>
                <c:pt idx="2">
                  <c:v>Adjusted C2F</c:v>
                </c:pt>
                <c:pt idx="3">
                  <c:v>Adjusted Visits</c:v>
                </c:pt>
                <c:pt idx="4">
                  <c:v>Adjusted Users</c:v>
                </c:pt>
              </c:strCache>
            </c:strRef>
          </c:cat>
          <c:val>
            <c:numRef>
              <c:f>'Review of PS Adjustment'!$C$31:$G$31</c:f>
              <c:numCache>
                <c:formatCode>0.0%</c:formatCode>
                <c:ptCount val="5"/>
                <c:pt idx="0">
                  <c:v>0</c:v>
                </c:pt>
                <c:pt idx="1">
                  <c:v>#N/A</c:v>
                </c:pt>
                <c:pt idx="2">
                  <c:v>0</c:v>
                </c:pt>
                <c:pt idx="3">
                  <c:v>#N/A</c:v>
                </c:pt>
                <c:pt idx="4">
                  <c:v>#N/A</c:v>
                </c:pt>
              </c:numCache>
            </c:numRef>
          </c:val>
          <c:extLst>
            <c:ext xmlns:c16="http://schemas.microsoft.com/office/drawing/2014/chart" uri="{C3380CC4-5D6E-409C-BE32-E72D297353CC}">
              <c16:uniqueId val="{0000003F-85F5-4F6E-9F3C-DA231516EFAC}"/>
            </c:ext>
          </c:extLst>
        </c:ser>
        <c:ser>
          <c:idx val="3"/>
          <c:order val="3"/>
          <c:tx>
            <c:strRef>
              <c:f>'Review of PS Adjustment'!$B$32</c:f>
              <c:strCache>
                <c:ptCount val="1"/>
                <c:pt idx="0">
                  <c:v>Implant</c:v>
                </c:pt>
              </c:strCache>
            </c:strRef>
          </c:tx>
          <c:spPr>
            <a:solidFill>
              <a:schemeClr val="accent2"/>
            </a:solidFill>
            <a:ln>
              <a:noFill/>
            </a:ln>
            <a:effectLst/>
          </c:spPr>
          <c:invertIfNegative val="0"/>
          <c:cat>
            <c:strRef>
              <c:f>'Review of PS Adjustment'!$C$26:$G$26</c:f>
              <c:strCache>
                <c:ptCount val="5"/>
                <c:pt idx="0">
                  <c:v>No DHS Available - replace with your own data if available</c:v>
                </c:pt>
                <c:pt idx="1">
                  <c:v>Adjusted C2C</c:v>
                </c:pt>
                <c:pt idx="2">
                  <c:v>Adjusted C2F</c:v>
                </c:pt>
                <c:pt idx="3">
                  <c:v>Adjusted Visits</c:v>
                </c:pt>
                <c:pt idx="4">
                  <c:v>Adjusted Users</c:v>
                </c:pt>
              </c:strCache>
            </c:strRef>
          </c:cat>
          <c:val>
            <c:numRef>
              <c:f>'Review of PS Adjustment'!$C$32:$G$32</c:f>
              <c:numCache>
                <c:formatCode>0.0%</c:formatCode>
                <c:ptCount val="5"/>
                <c:pt idx="0">
                  <c:v>0</c:v>
                </c:pt>
                <c:pt idx="1">
                  <c:v>#N/A</c:v>
                </c:pt>
                <c:pt idx="2">
                  <c:v>0</c:v>
                </c:pt>
                <c:pt idx="3">
                  <c:v>#N/A</c:v>
                </c:pt>
                <c:pt idx="4">
                  <c:v>#N/A</c:v>
                </c:pt>
              </c:numCache>
            </c:numRef>
          </c:val>
          <c:extLst>
            <c:ext xmlns:c16="http://schemas.microsoft.com/office/drawing/2014/chart" uri="{C3380CC4-5D6E-409C-BE32-E72D297353CC}">
              <c16:uniqueId val="{00000041-85F5-4F6E-9F3C-DA231516EFAC}"/>
            </c:ext>
          </c:extLst>
        </c:ser>
        <c:ser>
          <c:idx val="4"/>
          <c:order val="4"/>
          <c:tx>
            <c:strRef>
              <c:f>'Review of PS Adjustment'!$B$33</c:f>
              <c:strCache>
                <c:ptCount val="1"/>
                <c:pt idx="0">
                  <c:v>Produits injectables</c:v>
                </c:pt>
              </c:strCache>
            </c:strRef>
          </c:tx>
          <c:spPr>
            <a:solidFill>
              <a:schemeClr val="tx2"/>
            </a:solidFill>
            <a:ln>
              <a:noFill/>
            </a:ln>
            <a:effectLst/>
          </c:spPr>
          <c:invertIfNegative val="0"/>
          <c:cat>
            <c:strRef>
              <c:f>'Review of PS Adjustment'!$C$26:$G$26</c:f>
              <c:strCache>
                <c:ptCount val="5"/>
                <c:pt idx="0">
                  <c:v>No DHS Available - replace with your own data if available</c:v>
                </c:pt>
                <c:pt idx="1">
                  <c:v>Adjusted C2C</c:v>
                </c:pt>
                <c:pt idx="2">
                  <c:v>Adjusted C2F</c:v>
                </c:pt>
                <c:pt idx="3">
                  <c:v>Adjusted Visits</c:v>
                </c:pt>
                <c:pt idx="4">
                  <c:v>Adjusted Users</c:v>
                </c:pt>
              </c:strCache>
            </c:strRef>
          </c:cat>
          <c:val>
            <c:numRef>
              <c:f>'Review of PS Adjustment'!$C$33:$G$33</c:f>
              <c:numCache>
                <c:formatCode>0.0%</c:formatCode>
                <c:ptCount val="5"/>
                <c:pt idx="0">
                  <c:v>0</c:v>
                </c:pt>
                <c:pt idx="1">
                  <c:v>#N/A</c:v>
                </c:pt>
                <c:pt idx="2">
                  <c:v>0</c:v>
                </c:pt>
                <c:pt idx="3">
                  <c:v>#N/A</c:v>
                </c:pt>
                <c:pt idx="4">
                  <c:v>#N/A</c:v>
                </c:pt>
              </c:numCache>
            </c:numRef>
          </c:val>
          <c:extLst>
            <c:ext xmlns:c16="http://schemas.microsoft.com/office/drawing/2014/chart" uri="{C3380CC4-5D6E-409C-BE32-E72D297353CC}">
              <c16:uniqueId val="{00000043-85F5-4F6E-9F3C-DA231516EFAC}"/>
            </c:ext>
          </c:extLst>
        </c:ser>
        <c:ser>
          <c:idx val="5"/>
          <c:order val="5"/>
          <c:tx>
            <c:strRef>
              <c:f>'Review of PS Adjustment'!$B$34</c:f>
              <c:strCache>
                <c:ptCount val="1"/>
                <c:pt idx="0">
                  <c:v>Pilule</c:v>
                </c:pt>
              </c:strCache>
            </c:strRef>
          </c:tx>
          <c:spPr>
            <a:solidFill>
              <a:schemeClr val="accent1"/>
            </a:solidFill>
            <a:ln>
              <a:noFill/>
            </a:ln>
            <a:effectLst/>
          </c:spPr>
          <c:invertIfNegative val="0"/>
          <c:cat>
            <c:strRef>
              <c:f>'Review of PS Adjustment'!$C$26:$G$26</c:f>
              <c:strCache>
                <c:ptCount val="5"/>
                <c:pt idx="0">
                  <c:v>No DHS Available - replace with your own data if available</c:v>
                </c:pt>
                <c:pt idx="1">
                  <c:v>Adjusted C2C</c:v>
                </c:pt>
                <c:pt idx="2">
                  <c:v>Adjusted C2F</c:v>
                </c:pt>
                <c:pt idx="3">
                  <c:v>Adjusted Visits</c:v>
                </c:pt>
                <c:pt idx="4">
                  <c:v>Adjusted Users</c:v>
                </c:pt>
              </c:strCache>
            </c:strRef>
          </c:cat>
          <c:val>
            <c:numRef>
              <c:f>'Review of PS Adjustment'!$C$34:$G$34</c:f>
              <c:numCache>
                <c:formatCode>0.0%</c:formatCode>
                <c:ptCount val="5"/>
                <c:pt idx="0">
                  <c:v>0</c:v>
                </c:pt>
                <c:pt idx="1">
                  <c:v>#N/A</c:v>
                </c:pt>
                <c:pt idx="2">
                  <c:v>0</c:v>
                </c:pt>
                <c:pt idx="3">
                  <c:v>#N/A</c:v>
                </c:pt>
                <c:pt idx="4">
                  <c:v>#N/A</c:v>
                </c:pt>
              </c:numCache>
            </c:numRef>
          </c:val>
          <c:extLst>
            <c:ext xmlns:c16="http://schemas.microsoft.com/office/drawing/2014/chart" uri="{C3380CC4-5D6E-409C-BE32-E72D297353CC}">
              <c16:uniqueId val="{00000045-85F5-4F6E-9F3C-DA231516EFAC}"/>
            </c:ext>
          </c:extLst>
        </c:ser>
        <c:ser>
          <c:idx val="6"/>
          <c:order val="6"/>
          <c:tx>
            <c:strRef>
              <c:f>'Review of PS Adjustment'!$B$35</c:f>
              <c:strCache>
                <c:ptCount val="1"/>
                <c:pt idx="0">
                  <c:v>Préservatifs (m+f)</c:v>
                </c:pt>
              </c:strCache>
            </c:strRef>
          </c:tx>
          <c:spPr>
            <a:solidFill>
              <a:schemeClr val="accent3"/>
            </a:solidFill>
            <a:ln>
              <a:noFill/>
            </a:ln>
            <a:effectLst/>
          </c:spPr>
          <c:invertIfNegative val="0"/>
          <c:cat>
            <c:strRef>
              <c:f>'Review of PS Adjustment'!$C$26:$G$26</c:f>
              <c:strCache>
                <c:ptCount val="5"/>
                <c:pt idx="0">
                  <c:v>No DHS Available - replace with your own data if available</c:v>
                </c:pt>
                <c:pt idx="1">
                  <c:v>Adjusted C2C</c:v>
                </c:pt>
                <c:pt idx="2">
                  <c:v>Adjusted C2F</c:v>
                </c:pt>
                <c:pt idx="3">
                  <c:v>Adjusted Visits</c:v>
                </c:pt>
                <c:pt idx="4">
                  <c:v>Adjusted Users</c:v>
                </c:pt>
              </c:strCache>
            </c:strRef>
          </c:cat>
          <c:val>
            <c:numRef>
              <c:f>'Review of PS Adjustment'!$C$35:$G$35</c:f>
              <c:numCache>
                <c:formatCode>0.0%</c:formatCode>
                <c:ptCount val="5"/>
                <c:pt idx="0">
                  <c:v>0</c:v>
                </c:pt>
                <c:pt idx="1">
                  <c:v>#N/A</c:v>
                </c:pt>
                <c:pt idx="2">
                  <c:v>0</c:v>
                </c:pt>
                <c:pt idx="3">
                  <c:v>#N/A</c:v>
                </c:pt>
                <c:pt idx="4">
                  <c:v>#N/A</c:v>
                </c:pt>
              </c:numCache>
            </c:numRef>
          </c:val>
          <c:extLst>
            <c:ext xmlns:c16="http://schemas.microsoft.com/office/drawing/2014/chart" uri="{C3380CC4-5D6E-409C-BE32-E72D297353CC}">
              <c16:uniqueId val="{00000047-85F5-4F6E-9F3C-DA231516EFAC}"/>
            </c:ext>
          </c:extLst>
        </c:ser>
        <c:ser>
          <c:idx val="7"/>
          <c:order val="7"/>
          <c:tx>
            <c:strRef>
              <c:f>'Review of PS Adjustment'!$B$36</c:f>
              <c:strCache>
                <c:ptCount val="1"/>
                <c:pt idx="0">
                  <c:v>Autres Méthodes Modernes</c:v>
                </c:pt>
              </c:strCache>
            </c:strRef>
          </c:tx>
          <c:spPr>
            <a:solidFill>
              <a:schemeClr val="accent4"/>
            </a:solidFill>
            <a:ln>
              <a:noFill/>
            </a:ln>
            <a:effectLst/>
          </c:spPr>
          <c:invertIfNegative val="0"/>
          <c:cat>
            <c:strRef>
              <c:f>'Review of PS Adjustment'!$C$26:$G$26</c:f>
              <c:strCache>
                <c:ptCount val="5"/>
                <c:pt idx="0">
                  <c:v>No DHS Available - replace with your own data if available</c:v>
                </c:pt>
                <c:pt idx="1">
                  <c:v>Adjusted C2C</c:v>
                </c:pt>
                <c:pt idx="2">
                  <c:v>Adjusted C2F</c:v>
                </c:pt>
                <c:pt idx="3">
                  <c:v>Adjusted Visits</c:v>
                </c:pt>
                <c:pt idx="4">
                  <c:v>Adjusted Users</c:v>
                </c:pt>
              </c:strCache>
            </c:strRef>
          </c:cat>
          <c:val>
            <c:numRef>
              <c:f>'Review of PS Adjustment'!$C$36:$G$36</c:f>
              <c:numCache>
                <c:formatCode>0.0%</c:formatCode>
                <c:ptCount val="5"/>
                <c:pt idx="0">
                  <c:v>0</c:v>
                </c:pt>
                <c:pt idx="1">
                  <c:v>#N/A</c:v>
                </c:pt>
                <c:pt idx="2">
                  <c:v>0</c:v>
                </c:pt>
                <c:pt idx="3">
                  <c:v>#N/A</c:v>
                </c:pt>
                <c:pt idx="4">
                  <c:v>#N/A</c:v>
                </c:pt>
              </c:numCache>
            </c:numRef>
          </c:val>
          <c:extLst>
            <c:ext xmlns:c16="http://schemas.microsoft.com/office/drawing/2014/chart" uri="{C3380CC4-5D6E-409C-BE32-E72D297353CC}">
              <c16:uniqueId val="{00000049-85F5-4F6E-9F3C-DA231516EFAC}"/>
            </c:ext>
          </c:extLst>
        </c:ser>
        <c:ser>
          <c:idx val="8"/>
          <c:order val="8"/>
          <c:tx>
            <c:strRef>
              <c:f>'Review of PS Adjustment'!$B$37</c:f>
              <c:strCache>
                <c:ptCount val="1"/>
                <c:pt idx="0">
                  <c:v>Contraception d'urgence</c:v>
                </c:pt>
              </c:strCache>
            </c:strRef>
          </c:tx>
          <c:spPr>
            <a:solidFill>
              <a:schemeClr val="accent5"/>
            </a:solidFill>
            <a:ln>
              <a:noFill/>
            </a:ln>
            <a:effectLst/>
          </c:spPr>
          <c:invertIfNegative val="0"/>
          <c:cat>
            <c:strRef>
              <c:f>'Review of PS Adjustment'!$C$26:$G$26</c:f>
              <c:strCache>
                <c:ptCount val="5"/>
                <c:pt idx="0">
                  <c:v>No DHS Available - replace with your own data if available</c:v>
                </c:pt>
                <c:pt idx="1">
                  <c:v>Adjusted C2C</c:v>
                </c:pt>
                <c:pt idx="2">
                  <c:v>Adjusted C2F</c:v>
                </c:pt>
                <c:pt idx="3">
                  <c:v>Adjusted Visits</c:v>
                </c:pt>
                <c:pt idx="4">
                  <c:v>Adjusted Users</c:v>
                </c:pt>
              </c:strCache>
            </c:strRef>
          </c:cat>
          <c:val>
            <c:numRef>
              <c:f>'Review of PS Adjustment'!$C$37:$G$37</c:f>
              <c:numCache>
                <c:formatCode>0.0%</c:formatCode>
                <c:ptCount val="5"/>
                <c:pt idx="0">
                  <c:v>0</c:v>
                </c:pt>
                <c:pt idx="1">
                  <c:v>#N/A</c:v>
                </c:pt>
                <c:pt idx="2">
                  <c:v>0</c:v>
                </c:pt>
                <c:pt idx="3">
                  <c:v>#N/A</c:v>
                </c:pt>
                <c:pt idx="4">
                  <c:v>#N/A</c:v>
                </c:pt>
              </c:numCache>
            </c:numRef>
          </c:val>
          <c:extLst>
            <c:ext xmlns:c16="http://schemas.microsoft.com/office/drawing/2014/chart" uri="{C3380CC4-5D6E-409C-BE32-E72D297353CC}">
              <c16:uniqueId val="{0000004B-85F5-4F6E-9F3C-DA231516EFAC}"/>
            </c:ext>
          </c:extLst>
        </c:ser>
        <c:dLbls>
          <c:showLegendKey val="0"/>
          <c:showVal val="0"/>
          <c:showCatName val="0"/>
          <c:showSerName val="0"/>
          <c:showPercent val="0"/>
          <c:showBubbleSize val="0"/>
        </c:dLbls>
        <c:gapWidth val="150"/>
        <c:overlap val="100"/>
        <c:axId val="379224912"/>
        <c:axId val="1132783040"/>
      </c:barChart>
      <c:catAx>
        <c:axId val="379224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2783040"/>
        <c:crosses val="autoZero"/>
        <c:auto val="1"/>
        <c:lblAlgn val="ctr"/>
        <c:lblOffset val="100"/>
        <c:noMultiLvlLbl val="0"/>
      </c:catAx>
      <c:valAx>
        <c:axId val="1132783040"/>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a:pPr>
                <a:r>
                  <a:rPr lang="en-US"/>
                  <a:t>mCPR / TPCm / EMU</a:t>
                </a:r>
              </a:p>
            </c:rich>
          </c:tx>
          <c:overlay val="0"/>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9224912"/>
        <c:crosses val="autoZero"/>
        <c:crossBetween val="between"/>
      </c:valAx>
    </c:plotArea>
    <c:legend>
      <c:legendPos val="b"/>
      <c:layout>
        <c:manualLayout>
          <c:xMode val="edge"/>
          <c:yMode val="edge"/>
          <c:x val="0.81153833865258351"/>
          <c:y val="3.948277605798866E-2"/>
          <c:w val="0.18846166134741649"/>
          <c:h val="0.9605172646971655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txPr>
    <a:bodyPr/>
    <a:lstStyle/>
    <a:p>
      <a:pPr>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solidFill>
                  <a:schemeClr val="tx2"/>
                </a:solidFill>
              </a:defRPr>
            </a:pPr>
            <a:r>
              <a:rPr lang="en-US"/>
              <a:t>Chart Title</a:t>
            </a:r>
          </a:p>
        </c:rich>
      </c:tx>
      <c:overlay val="0"/>
    </c:title>
    <c:autoTitleDeleted val="0"/>
    <c:plotArea>
      <c:layout>
        <c:manualLayout>
          <c:layoutTarget val="inner"/>
          <c:xMode val="edge"/>
          <c:yMode val="edge"/>
          <c:x val="4.4643504735409643E-2"/>
          <c:y val="0.13624326796001565"/>
          <c:w val="0.91257389356298912"/>
          <c:h val="0.75745198949828274"/>
        </c:manualLayout>
      </c:layout>
      <c:barChart>
        <c:barDir val="col"/>
        <c:grouping val="stacked"/>
        <c:varyColors val="0"/>
        <c:ser>
          <c:idx val="0"/>
          <c:order val="0"/>
          <c:tx>
            <c:strRef>
              <c:f>'Monthly Data Input'!$CC$55</c:f>
              <c:strCache>
                <c:ptCount val="1"/>
                <c:pt idx="0">
                  <c:v>#REF!</c:v>
                </c:pt>
              </c:strCache>
            </c:strRef>
          </c:tx>
          <c:spPr>
            <a:solidFill>
              <a:schemeClr val="accent6"/>
            </a:solidFill>
            <a:ln>
              <a:solidFill>
                <a:schemeClr val="bg1"/>
              </a:solidFill>
            </a:ln>
            <a:effectLst/>
          </c:spPr>
          <c:invertIfNegative val="0"/>
          <c:cat>
            <c:multiLvlStrRef>
              <c:f>'Monthly Data Input'!$CD$53:$DA$54</c:f>
              <c:multiLvlStrCache>
                <c:ptCount val="24"/>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lvl>
                <c:lvl>
                  <c:pt idx="0">
                    <c:v>2019</c:v>
                  </c:pt>
                  <c:pt idx="12">
                    <c:v>2020</c:v>
                  </c:pt>
                </c:lvl>
              </c:multiLvlStrCache>
            </c:multiLvlStrRef>
          </c:cat>
          <c:val>
            <c:numRef>
              <c:f>'Monthly Data Input'!$CD$55:$DA$55</c:f>
              <c:numCache>
                <c:formatCode>#,##0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val>
          <c:extLst>
            <c:ext xmlns:c16="http://schemas.microsoft.com/office/drawing/2014/chart" uri="{C3380CC4-5D6E-409C-BE32-E72D297353CC}">
              <c16:uniqueId val="{00000000-5736-4251-8C25-B6D1D34B3A17}"/>
            </c:ext>
          </c:extLst>
        </c:ser>
        <c:ser>
          <c:idx val="1"/>
          <c:order val="1"/>
          <c:tx>
            <c:strRef>
              <c:f>'Monthly Data Input'!$CC$56</c:f>
              <c:strCache>
                <c:ptCount val="1"/>
                <c:pt idx="0">
                  <c:v>#REF!</c:v>
                </c:pt>
              </c:strCache>
            </c:strRef>
          </c:tx>
          <c:spPr>
            <a:solidFill>
              <a:schemeClr val="accent6">
                <a:lumMod val="50000"/>
              </a:schemeClr>
            </a:solidFill>
            <a:ln>
              <a:solidFill>
                <a:schemeClr val="bg1"/>
              </a:solidFill>
            </a:ln>
            <a:effectLst/>
          </c:spPr>
          <c:invertIfNegative val="0"/>
          <c:cat>
            <c:multiLvlStrRef>
              <c:f>'Monthly Data Input'!$CD$53:$DA$54</c:f>
              <c:multiLvlStrCache>
                <c:ptCount val="24"/>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lvl>
                <c:lvl>
                  <c:pt idx="0">
                    <c:v>2019</c:v>
                  </c:pt>
                  <c:pt idx="12">
                    <c:v>2020</c:v>
                  </c:pt>
                </c:lvl>
              </c:multiLvlStrCache>
            </c:multiLvlStrRef>
          </c:cat>
          <c:val>
            <c:numRef>
              <c:f>'Monthly Data Input'!$CD$56:$DA$56</c:f>
              <c:numCache>
                <c:formatCode>#,##0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val>
          <c:extLst>
            <c:ext xmlns:c16="http://schemas.microsoft.com/office/drawing/2014/chart" uri="{C3380CC4-5D6E-409C-BE32-E72D297353CC}">
              <c16:uniqueId val="{00000001-5736-4251-8C25-B6D1D34B3A17}"/>
            </c:ext>
          </c:extLst>
        </c:ser>
        <c:ser>
          <c:idx val="2"/>
          <c:order val="2"/>
          <c:tx>
            <c:strRef>
              <c:f>'Monthly Data Input'!$CC$57</c:f>
              <c:strCache>
                <c:ptCount val="1"/>
                <c:pt idx="0">
                  <c:v>#REF!</c:v>
                </c:pt>
              </c:strCache>
            </c:strRef>
          </c:tx>
          <c:spPr>
            <a:solidFill>
              <a:schemeClr val="bg2"/>
            </a:solidFill>
            <a:ln>
              <a:solidFill>
                <a:schemeClr val="bg1"/>
              </a:solidFill>
            </a:ln>
            <a:effectLst/>
          </c:spPr>
          <c:invertIfNegative val="0"/>
          <c:cat>
            <c:multiLvlStrRef>
              <c:f>'Monthly Data Input'!$CD$53:$DA$54</c:f>
              <c:multiLvlStrCache>
                <c:ptCount val="24"/>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lvl>
                <c:lvl>
                  <c:pt idx="0">
                    <c:v>2019</c:v>
                  </c:pt>
                  <c:pt idx="12">
                    <c:v>2020</c:v>
                  </c:pt>
                </c:lvl>
              </c:multiLvlStrCache>
            </c:multiLvlStrRef>
          </c:cat>
          <c:val>
            <c:numRef>
              <c:f>'Monthly Data Input'!$CD$57:$DA$57</c:f>
              <c:numCache>
                <c:formatCode>#,##0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val>
          <c:extLst>
            <c:ext xmlns:c16="http://schemas.microsoft.com/office/drawing/2014/chart" uri="{C3380CC4-5D6E-409C-BE32-E72D297353CC}">
              <c16:uniqueId val="{00000002-5736-4251-8C25-B6D1D34B3A17}"/>
            </c:ext>
          </c:extLst>
        </c:ser>
        <c:ser>
          <c:idx val="3"/>
          <c:order val="3"/>
          <c:tx>
            <c:strRef>
              <c:f>'Monthly Data Input'!$CC$58</c:f>
              <c:strCache>
                <c:ptCount val="1"/>
                <c:pt idx="0">
                  <c:v>#REF!</c:v>
                </c:pt>
              </c:strCache>
            </c:strRef>
          </c:tx>
          <c:spPr>
            <a:solidFill>
              <a:schemeClr val="accent2"/>
            </a:solidFill>
            <a:ln>
              <a:solidFill>
                <a:schemeClr val="bg1"/>
              </a:solidFill>
            </a:ln>
            <a:effectLst/>
          </c:spPr>
          <c:invertIfNegative val="0"/>
          <c:cat>
            <c:multiLvlStrRef>
              <c:f>'Monthly Data Input'!$CD$53:$DA$54</c:f>
              <c:multiLvlStrCache>
                <c:ptCount val="24"/>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lvl>
                <c:lvl>
                  <c:pt idx="0">
                    <c:v>2019</c:v>
                  </c:pt>
                  <c:pt idx="12">
                    <c:v>2020</c:v>
                  </c:pt>
                </c:lvl>
              </c:multiLvlStrCache>
            </c:multiLvlStrRef>
          </c:cat>
          <c:val>
            <c:numRef>
              <c:f>'Monthly Data Input'!$CD$58:$DA$58</c:f>
              <c:numCache>
                <c:formatCode>#,##0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val>
          <c:extLst>
            <c:ext xmlns:c16="http://schemas.microsoft.com/office/drawing/2014/chart" uri="{C3380CC4-5D6E-409C-BE32-E72D297353CC}">
              <c16:uniqueId val="{00000003-5736-4251-8C25-B6D1D34B3A17}"/>
            </c:ext>
          </c:extLst>
        </c:ser>
        <c:ser>
          <c:idx val="4"/>
          <c:order val="4"/>
          <c:tx>
            <c:strRef>
              <c:f>'Monthly Data Input'!$CC$59</c:f>
              <c:strCache>
                <c:ptCount val="1"/>
                <c:pt idx="0">
                  <c:v>#REF!</c:v>
                </c:pt>
              </c:strCache>
            </c:strRef>
          </c:tx>
          <c:spPr>
            <a:solidFill>
              <a:schemeClr val="tx2"/>
            </a:solidFill>
            <a:ln>
              <a:solidFill>
                <a:schemeClr val="bg1"/>
              </a:solidFill>
            </a:ln>
            <a:effectLst/>
          </c:spPr>
          <c:invertIfNegative val="0"/>
          <c:cat>
            <c:multiLvlStrRef>
              <c:f>'Monthly Data Input'!$CD$53:$DA$54</c:f>
              <c:multiLvlStrCache>
                <c:ptCount val="24"/>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lvl>
                <c:lvl>
                  <c:pt idx="0">
                    <c:v>2019</c:v>
                  </c:pt>
                  <c:pt idx="12">
                    <c:v>2020</c:v>
                  </c:pt>
                </c:lvl>
              </c:multiLvlStrCache>
            </c:multiLvlStrRef>
          </c:cat>
          <c:val>
            <c:numRef>
              <c:f>'Monthly Data Input'!$CD$59:$DA$59</c:f>
              <c:numCache>
                <c:formatCode>#,##0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val>
          <c:extLst>
            <c:ext xmlns:c16="http://schemas.microsoft.com/office/drawing/2014/chart" uri="{C3380CC4-5D6E-409C-BE32-E72D297353CC}">
              <c16:uniqueId val="{00000004-5736-4251-8C25-B6D1D34B3A17}"/>
            </c:ext>
          </c:extLst>
        </c:ser>
        <c:ser>
          <c:idx val="5"/>
          <c:order val="5"/>
          <c:tx>
            <c:strRef>
              <c:f>'Monthly Data Input'!$CC$60</c:f>
              <c:strCache>
                <c:ptCount val="1"/>
                <c:pt idx="0">
                  <c:v>#REF!</c:v>
                </c:pt>
              </c:strCache>
            </c:strRef>
          </c:tx>
          <c:spPr>
            <a:solidFill>
              <a:schemeClr val="accent1"/>
            </a:solidFill>
            <a:ln>
              <a:solidFill>
                <a:schemeClr val="bg1"/>
              </a:solidFill>
            </a:ln>
            <a:effectLst/>
          </c:spPr>
          <c:invertIfNegative val="0"/>
          <c:cat>
            <c:multiLvlStrRef>
              <c:f>'Monthly Data Input'!$CD$53:$DA$54</c:f>
              <c:multiLvlStrCache>
                <c:ptCount val="24"/>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lvl>
                <c:lvl>
                  <c:pt idx="0">
                    <c:v>2019</c:v>
                  </c:pt>
                  <c:pt idx="12">
                    <c:v>2020</c:v>
                  </c:pt>
                </c:lvl>
              </c:multiLvlStrCache>
            </c:multiLvlStrRef>
          </c:cat>
          <c:val>
            <c:numRef>
              <c:f>'Monthly Data Input'!$CD$60:$DA$60</c:f>
              <c:numCache>
                <c:formatCode>#,##0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val>
          <c:extLst>
            <c:ext xmlns:c16="http://schemas.microsoft.com/office/drawing/2014/chart" uri="{C3380CC4-5D6E-409C-BE32-E72D297353CC}">
              <c16:uniqueId val="{00000005-5736-4251-8C25-B6D1D34B3A17}"/>
            </c:ext>
          </c:extLst>
        </c:ser>
        <c:ser>
          <c:idx val="6"/>
          <c:order val="6"/>
          <c:tx>
            <c:strRef>
              <c:f>'Monthly Data Input'!$CC$61</c:f>
              <c:strCache>
                <c:ptCount val="1"/>
                <c:pt idx="0">
                  <c:v>#REF!</c:v>
                </c:pt>
              </c:strCache>
            </c:strRef>
          </c:tx>
          <c:spPr>
            <a:solidFill>
              <a:schemeClr val="accent3"/>
            </a:solidFill>
            <a:ln>
              <a:solidFill>
                <a:schemeClr val="bg1"/>
              </a:solidFill>
            </a:ln>
            <a:effectLst/>
          </c:spPr>
          <c:invertIfNegative val="0"/>
          <c:cat>
            <c:multiLvlStrRef>
              <c:f>'Monthly Data Input'!$CD$53:$DA$54</c:f>
              <c:multiLvlStrCache>
                <c:ptCount val="24"/>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lvl>
                <c:lvl>
                  <c:pt idx="0">
                    <c:v>2019</c:v>
                  </c:pt>
                  <c:pt idx="12">
                    <c:v>2020</c:v>
                  </c:pt>
                </c:lvl>
              </c:multiLvlStrCache>
            </c:multiLvlStrRef>
          </c:cat>
          <c:val>
            <c:numRef>
              <c:f>'Monthly Data Input'!$CD$61:$DA$61</c:f>
              <c:numCache>
                <c:formatCode>General</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val>
          <c:extLst>
            <c:ext xmlns:c16="http://schemas.microsoft.com/office/drawing/2014/chart" uri="{C3380CC4-5D6E-409C-BE32-E72D297353CC}">
              <c16:uniqueId val="{00000006-5736-4251-8C25-B6D1D34B3A17}"/>
            </c:ext>
          </c:extLst>
        </c:ser>
        <c:dLbls>
          <c:showLegendKey val="0"/>
          <c:showVal val="0"/>
          <c:showCatName val="0"/>
          <c:showSerName val="0"/>
          <c:showPercent val="0"/>
          <c:showBubbleSize val="0"/>
        </c:dLbls>
        <c:gapWidth val="50"/>
        <c:overlap val="100"/>
        <c:axId val="1068113584"/>
        <c:axId val="1068127688"/>
      </c:barChart>
      <c:catAx>
        <c:axId val="1068113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068127688"/>
        <c:crosses val="autoZero"/>
        <c:auto val="1"/>
        <c:lblAlgn val="ctr"/>
        <c:lblOffset val="100"/>
        <c:noMultiLvlLbl val="0"/>
      </c:catAx>
      <c:valAx>
        <c:axId val="1068127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068113584"/>
        <c:crosses val="autoZero"/>
        <c:crossBetween val="between"/>
      </c:valAx>
    </c:plotArea>
    <c:legend>
      <c:legendPos val="b"/>
      <c:layout>
        <c:manualLayout>
          <c:xMode val="edge"/>
          <c:yMode val="edge"/>
          <c:x val="0.19162969003238839"/>
          <c:y val="6.6139349821768126E-2"/>
          <c:w val="0.61462058028259459"/>
          <c:h val="2.8117690398324319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extLst/>
  </c:chart>
  <c:spPr>
    <a:solidFill>
      <a:schemeClr val="bg1"/>
    </a:solidFill>
    <a:ln w="2857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'Monthly Data Input'!$BR$221</c:f>
          <c:strCache>
            <c:ptCount val="1"/>
            <c:pt idx="0">
              <c:v>Moyenne mensuelle (par rapport à annuelle) contre la prestation de service mensuelle réelle</c:v>
            </c:pt>
          </c:strCache>
        </c:strRef>
      </c:tx>
      <c:layout>
        <c:manualLayout>
          <c:xMode val="edge"/>
          <c:yMode val="edge"/>
          <c:x val="0.18239883773185983"/>
          <c:y val="1.087038550128801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1372187670216384E-2"/>
          <c:y val="0.1301896141486987"/>
          <c:w val="0.91723340672671183"/>
          <c:h val="0.71199058061667531"/>
        </c:manualLayout>
      </c:layout>
      <c:barChart>
        <c:barDir val="col"/>
        <c:grouping val="clustered"/>
        <c:varyColors val="0"/>
        <c:ser>
          <c:idx val="2"/>
          <c:order val="2"/>
          <c:tx>
            <c:strRef>
              <c:f>'Monthly Data Input'!$D$140:$F$140</c:f>
              <c:strCache>
                <c:ptCount val="3"/>
                <c:pt idx="0">
                  <c:v>Mois avec restrictions COVID</c:v>
                </c:pt>
              </c:strCache>
            </c:strRef>
          </c:tx>
          <c:spPr>
            <a:solidFill>
              <a:schemeClr val="accent4">
                <a:alpha val="50000"/>
              </a:schemeClr>
            </a:solidFill>
            <a:ln>
              <a:noFill/>
            </a:ln>
            <a:effectLst/>
          </c:spPr>
          <c:invertIfNegative val="0"/>
          <c:cat>
            <c:strRef>
              <c:f>'Monthly Data Input'!$G$137:$BD$137</c:f>
              <c:strCach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Jan2019</c:v>
                </c:pt>
                <c:pt idx="15">
                  <c:v>Feb2019</c:v>
                </c:pt>
                <c:pt idx="16">
                  <c:v>Mar2019</c:v>
                </c:pt>
                <c:pt idx="17">
                  <c:v>Apr2019</c:v>
                </c:pt>
                <c:pt idx="18">
                  <c:v>May2019</c:v>
                </c:pt>
                <c:pt idx="19">
                  <c:v>Jun2019</c:v>
                </c:pt>
                <c:pt idx="20">
                  <c:v>Jul2019</c:v>
                </c:pt>
                <c:pt idx="21">
                  <c:v>Aug2019</c:v>
                </c:pt>
                <c:pt idx="22">
                  <c:v>Sep2019</c:v>
                </c:pt>
                <c:pt idx="23">
                  <c:v>Oct2019</c:v>
                </c:pt>
                <c:pt idx="24">
                  <c:v>Nov2019</c:v>
                </c:pt>
                <c:pt idx="25">
                  <c:v>Dec2019</c:v>
                </c:pt>
                <c:pt idx="26">
                  <c:v>Jan2020</c:v>
                </c:pt>
                <c:pt idx="27">
                  <c:v>Feb2020</c:v>
                </c:pt>
                <c:pt idx="28">
                  <c:v>Mar2020</c:v>
                </c:pt>
                <c:pt idx="29">
                  <c:v>Apr2020</c:v>
                </c:pt>
                <c:pt idx="30">
                  <c:v>May2020</c:v>
                </c:pt>
                <c:pt idx="31">
                  <c:v>Jun2020</c:v>
                </c:pt>
                <c:pt idx="32">
                  <c:v>Jul2020</c:v>
                </c:pt>
                <c:pt idx="33">
                  <c:v>Aug2020</c:v>
                </c:pt>
                <c:pt idx="34">
                  <c:v>Sep2020</c:v>
                </c:pt>
                <c:pt idx="35">
                  <c:v>Oct2020</c:v>
                </c:pt>
                <c:pt idx="36">
                  <c:v>Nov2020</c:v>
                </c:pt>
                <c:pt idx="37">
                  <c:v>Dec2020</c:v>
                </c:pt>
                <c:pt idx="38">
                  <c:v>Jan2021</c:v>
                </c:pt>
                <c:pt idx="39">
                  <c:v>Feb2021</c:v>
                </c:pt>
                <c:pt idx="40">
                  <c:v>Mar2021</c:v>
                </c:pt>
                <c:pt idx="41">
                  <c:v>Apr2021</c:v>
                </c:pt>
                <c:pt idx="42">
                  <c:v>May2021</c:v>
                </c:pt>
                <c:pt idx="43">
                  <c:v>Jun2021</c:v>
                </c:pt>
                <c:pt idx="44">
                  <c:v>Jul2021</c:v>
                </c:pt>
                <c:pt idx="45">
                  <c:v>Aug2021</c:v>
                </c:pt>
                <c:pt idx="46">
                  <c:v>Sep2021</c:v>
                </c:pt>
                <c:pt idx="47">
                  <c:v>Oct2021</c:v>
                </c:pt>
                <c:pt idx="48">
                  <c:v>Nov2021</c:v>
                </c:pt>
                <c:pt idx="49">
                  <c:v>Dec2021</c:v>
                </c:pt>
              </c:strCache>
            </c:strRef>
          </c:cat>
          <c:val>
            <c:numRef>
              <c:f>'Monthly Data Input'!$G$140:$BD$140</c:f>
              <c:numCache>
                <c:formatCode>#,##0</c:formatCode>
                <c:ptCount val="50"/>
                <c:pt idx="14">
                  <c:v>0</c:v>
                </c:pt>
                <c:pt idx="15">
                  <c:v>0</c:v>
                </c:pt>
                <c:pt idx="16">
                  <c:v>0</c:v>
                </c:pt>
                <c:pt idx="17">
                  <c:v>0</c:v>
                </c:pt>
                <c:pt idx="18">
                  <c:v>0</c:v>
                </c:pt>
                <c:pt idx="19">
                  <c:v>0</c:v>
                </c:pt>
                <c:pt idx="20">
                  <c:v>0</c:v>
                </c:pt>
                <c:pt idx="21">
                  <c:v>0</c:v>
                </c:pt>
                <c:pt idx="22">
                  <c:v>0</c:v>
                </c:pt>
                <c:pt idx="23">
                  <c:v>0</c:v>
                </c:pt>
                <c:pt idx="24">
                  <c:v>0</c:v>
                </c:pt>
                <c:pt idx="25">
                  <c:v>0</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numCache>
            </c:numRef>
          </c:val>
          <c:extLst>
            <c:ext xmlns:c16="http://schemas.microsoft.com/office/drawing/2014/chart" uri="{C3380CC4-5D6E-409C-BE32-E72D297353CC}">
              <c16:uniqueId val="{00000000-BA91-4BCE-8959-8F1EA0BCB2E1}"/>
            </c:ext>
          </c:extLst>
        </c:ser>
        <c:dLbls>
          <c:showLegendKey val="0"/>
          <c:showVal val="0"/>
          <c:showCatName val="0"/>
          <c:showSerName val="0"/>
          <c:showPercent val="0"/>
          <c:showBubbleSize val="0"/>
        </c:dLbls>
        <c:gapWidth val="0"/>
        <c:axId val="1258402383"/>
        <c:axId val="1258400303"/>
      </c:barChart>
      <c:lineChart>
        <c:grouping val="standard"/>
        <c:varyColors val="0"/>
        <c:ser>
          <c:idx val="0"/>
          <c:order val="0"/>
          <c:tx>
            <c:strRef>
              <c:f>'Monthly Data Input'!$D$138:$F$138</c:f>
              <c:strCache>
                <c:ptCount val="3"/>
                <c:pt idx="0">
                  <c:v>Les données mensuelles</c:v>
                </c:pt>
              </c:strCache>
            </c:strRef>
          </c:tx>
          <c:spPr>
            <a:ln w="28575" cap="rnd">
              <a:solidFill>
                <a:schemeClr val="accent1"/>
              </a:solidFill>
              <a:round/>
            </a:ln>
            <a:effectLst/>
          </c:spPr>
          <c:marker>
            <c:symbol val="circle"/>
            <c:size val="10"/>
            <c:spPr>
              <a:solidFill>
                <a:schemeClr val="accent1"/>
              </a:solidFill>
              <a:ln w="9525">
                <a:solidFill>
                  <a:schemeClr val="accent1"/>
                </a:solidFill>
              </a:ln>
              <a:effectLst/>
            </c:spPr>
          </c:marker>
          <c:cat>
            <c:strRef>
              <c:f>'Monthly Data Input'!$G$137:$BD$137</c:f>
              <c:strCach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Jan2019</c:v>
                </c:pt>
                <c:pt idx="15">
                  <c:v>Feb2019</c:v>
                </c:pt>
                <c:pt idx="16">
                  <c:v>Mar2019</c:v>
                </c:pt>
                <c:pt idx="17">
                  <c:v>Apr2019</c:v>
                </c:pt>
                <c:pt idx="18">
                  <c:v>May2019</c:v>
                </c:pt>
                <c:pt idx="19">
                  <c:v>Jun2019</c:v>
                </c:pt>
                <c:pt idx="20">
                  <c:v>Jul2019</c:v>
                </c:pt>
                <c:pt idx="21">
                  <c:v>Aug2019</c:v>
                </c:pt>
                <c:pt idx="22">
                  <c:v>Sep2019</c:v>
                </c:pt>
                <c:pt idx="23">
                  <c:v>Oct2019</c:v>
                </c:pt>
                <c:pt idx="24">
                  <c:v>Nov2019</c:v>
                </c:pt>
                <c:pt idx="25">
                  <c:v>Dec2019</c:v>
                </c:pt>
                <c:pt idx="26">
                  <c:v>Jan2020</c:v>
                </c:pt>
                <c:pt idx="27">
                  <c:v>Feb2020</c:v>
                </c:pt>
                <c:pt idx="28">
                  <c:v>Mar2020</c:v>
                </c:pt>
                <c:pt idx="29">
                  <c:v>Apr2020</c:v>
                </c:pt>
                <c:pt idx="30">
                  <c:v>May2020</c:v>
                </c:pt>
                <c:pt idx="31">
                  <c:v>Jun2020</c:v>
                </c:pt>
                <c:pt idx="32">
                  <c:v>Jul2020</c:v>
                </c:pt>
                <c:pt idx="33">
                  <c:v>Aug2020</c:v>
                </c:pt>
                <c:pt idx="34">
                  <c:v>Sep2020</c:v>
                </c:pt>
                <c:pt idx="35">
                  <c:v>Oct2020</c:v>
                </c:pt>
                <c:pt idx="36">
                  <c:v>Nov2020</c:v>
                </c:pt>
                <c:pt idx="37">
                  <c:v>Dec2020</c:v>
                </c:pt>
                <c:pt idx="38">
                  <c:v>Jan2021</c:v>
                </c:pt>
                <c:pt idx="39">
                  <c:v>Feb2021</c:v>
                </c:pt>
                <c:pt idx="40">
                  <c:v>Mar2021</c:v>
                </c:pt>
                <c:pt idx="41">
                  <c:v>Apr2021</c:v>
                </c:pt>
                <c:pt idx="42">
                  <c:v>May2021</c:v>
                </c:pt>
                <c:pt idx="43">
                  <c:v>Jun2021</c:v>
                </c:pt>
                <c:pt idx="44">
                  <c:v>Jul2021</c:v>
                </c:pt>
                <c:pt idx="45">
                  <c:v>Aug2021</c:v>
                </c:pt>
                <c:pt idx="46">
                  <c:v>Sep2021</c:v>
                </c:pt>
                <c:pt idx="47">
                  <c:v>Oct2021</c:v>
                </c:pt>
                <c:pt idx="48">
                  <c:v>Nov2021</c:v>
                </c:pt>
                <c:pt idx="49">
                  <c:v>Dec2021</c:v>
                </c:pt>
              </c:strCache>
            </c:strRef>
          </c:cat>
          <c:val>
            <c:numRef>
              <c:f>'Monthly Data Input'!$G$138:$BD$138</c:f>
              <c:numCache>
                <c:formatCode>#,##0</c:formatCod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smooth val="1"/>
          <c:extLst>
            <c:ext xmlns:c16="http://schemas.microsoft.com/office/drawing/2014/chart" uri="{C3380CC4-5D6E-409C-BE32-E72D297353CC}">
              <c16:uniqueId val="{00000001-BA91-4BCE-8959-8F1EA0BCB2E1}"/>
            </c:ext>
          </c:extLst>
        </c:ser>
        <c:ser>
          <c:idx val="1"/>
          <c:order val="1"/>
          <c:tx>
            <c:strRef>
              <c:f>'Monthly Data Input'!$D$139:$F$139</c:f>
              <c:strCache>
                <c:ptCount val="3"/>
                <c:pt idx="0">
                  <c:v>Les données annuelles (moyenne mensuelle)</c:v>
                </c:pt>
              </c:strCache>
            </c:strRef>
          </c:tx>
          <c:spPr>
            <a:ln w="28575" cap="rnd">
              <a:solidFill>
                <a:schemeClr val="tx2"/>
              </a:solidFill>
              <a:round/>
            </a:ln>
            <a:effectLst/>
          </c:spPr>
          <c:marker>
            <c:symbol val="circle"/>
            <c:size val="10"/>
            <c:spPr>
              <a:solidFill>
                <a:schemeClr val="tx2"/>
              </a:solidFill>
              <a:ln w="9525">
                <a:solidFill>
                  <a:schemeClr val="tx2"/>
                </a:solidFill>
              </a:ln>
              <a:effectLst/>
            </c:spPr>
          </c:marker>
          <c:cat>
            <c:strRef>
              <c:f>'Monthly Data Input'!$G$137:$BD$137</c:f>
              <c:strCach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Jan2019</c:v>
                </c:pt>
                <c:pt idx="15">
                  <c:v>Feb2019</c:v>
                </c:pt>
                <c:pt idx="16">
                  <c:v>Mar2019</c:v>
                </c:pt>
                <c:pt idx="17">
                  <c:v>Apr2019</c:v>
                </c:pt>
                <c:pt idx="18">
                  <c:v>May2019</c:v>
                </c:pt>
                <c:pt idx="19">
                  <c:v>Jun2019</c:v>
                </c:pt>
                <c:pt idx="20">
                  <c:v>Jul2019</c:v>
                </c:pt>
                <c:pt idx="21">
                  <c:v>Aug2019</c:v>
                </c:pt>
                <c:pt idx="22">
                  <c:v>Sep2019</c:v>
                </c:pt>
                <c:pt idx="23">
                  <c:v>Oct2019</c:v>
                </c:pt>
                <c:pt idx="24">
                  <c:v>Nov2019</c:v>
                </c:pt>
                <c:pt idx="25">
                  <c:v>Dec2019</c:v>
                </c:pt>
                <c:pt idx="26">
                  <c:v>Jan2020</c:v>
                </c:pt>
                <c:pt idx="27">
                  <c:v>Feb2020</c:v>
                </c:pt>
                <c:pt idx="28">
                  <c:v>Mar2020</c:v>
                </c:pt>
                <c:pt idx="29">
                  <c:v>Apr2020</c:v>
                </c:pt>
                <c:pt idx="30">
                  <c:v>May2020</c:v>
                </c:pt>
                <c:pt idx="31">
                  <c:v>Jun2020</c:v>
                </c:pt>
                <c:pt idx="32">
                  <c:v>Jul2020</c:v>
                </c:pt>
                <c:pt idx="33">
                  <c:v>Aug2020</c:v>
                </c:pt>
                <c:pt idx="34">
                  <c:v>Sep2020</c:v>
                </c:pt>
                <c:pt idx="35">
                  <c:v>Oct2020</c:v>
                </c:pt>
                <c:pt idx="36">
                  <c:v>Nov2020</c:v>
                </c:pt>
                <c:pt idx="37">
                  <c:v>Dec2020</c:v>
                </c:pt>
                <c:pt idx="38">
                  <c:v>Jan2021</c:v>
                </c:pt>
                <c:pt idx="39">
                  <c:v>Feb2021</c:v>
                </c:pt>
                <c:pt idx="40">
                  <c:v>Mar2021</c:v>
                </c:pt>
                <c:pt idx="41">
                  <c:v>Apr2021</c:v>
                </c:pt>
                <c:pt idx="42">
                  <c:v>May2021</c:v>
                </c:pt>
                <c:pt idx="43">
                  <c:v>Jun2021</c:v>
                </c:pt>
                <c:pt idx="44">
                  <c:v>Jul2021</c:v>
                </c:pt>
                <c:pt idx="45">
                  <c:v>Aug2021</c:v>
                </c:pt>
                <c:pt idx="46">
                  <c:v>Sep2021</c:v>
                </c:pt>
                <c:pt idx="47">
                  <c:v>Oct2021</c:v>
                </c:pt>
                <c:pt idx="48">
                  <c:v>Nov2021</c:v>
                </c:pt>
                <c:pt idx="49">
                  <c:v>Dec2021</c:v>
                </c:pt>
              </c:strCache>
            </c:strRef>
          </c:cat>
          <c:val>
            <c:numRef>
              <c:f>'Monthly Data Input'!$G$139:$BD$139</c:f>
              <c:numCache>
                <c:formatCode>#,##0</c:formatCod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numCache>
            </c:numRef>
          </c:val>
          <c:smooth val="1"/>
          <c:extLst>
            <c:ext xmlns:c16="http://schemas.microsoft.com/office/drawing/2014/chart" uri="{C3380CC4-5D6E-409C-BE32-E72D297353CC}">
              <c16:uniqueId val="{00000002-BA91-4BCE-8959-8F1EA0BCB2E1}"/>
            </c:ext>
          </c:extLst>
        </c:ser>
        <c:dLbls>
          <c:showLegendKey val="0"/>
          <c:showVal val="0"/>
          <c:showCatName val="0"/>
          <c:showSerName val="0"/>
          <c:showPercent val="0"/>
          <c:showBubbleSize val="0"/>
        </c:dLbls>
        <c:marker val="1"/>
        <c:smooth val="0"/>
        <c:axId val="1522245199"/>
        <c:axId val="1522244367"/>
      </c:lineChart>
      <c:catAx>
        <c:axId val="15222451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2244367"/>
        <c:crosses val="autoZero"/>
        <c:auto val="1"/>
        <c:lblAlgn val="ctr"/>
        <c:lblOffset val="100"/>
        <c:noMultiLvlLbl val="0"/>
      </c:catAx>
      <c:valAx>
        <c:axId val="1522244367"/>
        <c:scaling>
          <c:orientation val="minMax"/>
          <c:min val="0"/>
        </c:scaling>
        <c:delete val="0"/>
        <c:axPos val="l"/>
        <c:majorGridlines>
          <c:spPr>
            <a:ln w="9525" cap="flat" cmpd="sng" algn="ctr">
              <a:solidFill>
                <a:schemeClr val="tx1">
                  <a:lumMod val="15000"/>
                  <a:lumOff val="85000"/>
                </a:schemeClr>
              </a:solidFill>
              <a:round/>
            </a:ln>
            <a:effectLst/>
          </c:spPr>
        </c:majorGridlines>
        <c:title>
          <c:tx>
            <c:strRef>
              <c:f>'Monthly Data Input'!$C$138</c:f>
              <c:strCache>
                <c:ptCount val="1"/>
                <c:pt idx="0">
                  <c:v>Ligature des trompes</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2245199"/>
        <c:crosses val="autoZero"/>
        <c:crossBetween val="between"/>
      </c:valAx>
      <c:valAx>
        <c:axId val="1258400303"/>
        <c:scaling>
          <c:orientation val="minMax"/>
          <c:max val="1"/>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58402383"/>
        <c:crosses val="max"/>
        <c:crossBetween val="between"/>
      </c:valAx>
      <c:catAx>
        <c:axId val="1258402383"/>
        <c:scaling>
          <c:orientation val="minMax"/>
        </c:scaling>
        <c:delete val="1"/>
        <c:axPos val="b"/>
        <c:numFmt formatCode="General" sourceLinked="1"/>
        <c:majorTickMark val="out"/>
        <c:minorTickMark val="none"/>
        <c:tickLblPos val="nextTo"/>
        <c:crossAx val="1258400303"/>
        <c:crosses val="autoZero"/>
        <c:auto val="1"/>
        <c:lblAlgn val="ctr"/>
        <c:lblOffset val="100"/>
        <c:noMultiLvlLbl val="0"/>
      </c:catAx>
      <c:spPr>
        <a:noFill/>
        <a:ln>
          <a:noFill/>
        </a:ln>
        <a:effectLst/>
      </c:spPr>
    </c:plotArea>
    <c:legend>
      <c:legendPos val="b"/>
      <c:layout>
        <c:manualLayout>
          <c:xMode val="edge"/>
          <c:yMode val="edge"/>
          <c:x val="8.0114464900565244E-2"/>
          <c:y val="7.3013466774597122E-2"/>
          <c:w val="0.87779030033190142"/>
          <c:h val="6.210369103070324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'Monthly Data Input'!$BR$221</c:f>
          <c:strCache>
            <c:ptCount val="1"/>
            <c:pt idx="0">
              <c:v>Moyenne mensuelle (par rapport à annuelle) contre la prestation de service mensuelle réelle</c:v>
            </c:pt>
          </c:strCache>
        </c:strRef>
      </c:tx>
      <c:layout>
        <c:manualLayout>
          <c:xMode val="edge"/>
          <c:yMode val="edge"/>
          <c:x val="0.20249204919307542"/>
          <c:y val="2.58977872918357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5828434203267177E-2"/>
          <c:y val="0.16207498978867782"/>
          <c:w val="0.92845093794064892"/>
          <c:h val="0.6734747060084818"/>
        </c:manualLayout>
      </c:layout>
      <c:barChart>
        <c:barDir val="col"/>
        <c:grouping val="clustered"/>
        <c:varyColors val="0"/>
        <c:ser>
          <c:idx val="2"/>
          <c:order val="2"/>
          <c:tx>
            <c:strRef>
              <c:f>'Monthly Data Input'!$D$165:$F$165</c:f>
              <c:strCache>
                <c:ptCount val="3"/>
                <c:pt idx="0">
                  <c:v>Mois avec restrictions COVID</c:v>
                </c:pt>
              </c:strCache>
            </c:strRef>
          </c:tx>
          <c:spPr>
            <a:solidFill>
              <a:schemeClr val="accent4">
                <a:alpha val="50000"/>
              </a:schemeClr>
            </a:solidFill>
            <a:ln>
              <a:noFill/>
            </a:ln>
            <a:effectLst/>
          </c:spPr>
          <c:invertIfNegative val="0"/>
          <c:cat>
            <c:strRef>
              <c:f>'Monthly Data Input'!$G$137:$BD$137</c:f>
              <c:strCach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Jan2019</c:v>
                </c:pt>
                <c:pt idx="15">
                  <c:v>Feb2019</c:v>
                </c:pt>
                <c:pt idx="16">
                  <c:v>Mar2019</c:v>
                </c:pt>
                <c:pt idx="17">
                  <c:v>Apr2019</c:v>
                </c:pt>
                <c:pt idx="18">
                  <c:v>May2019</c:v>
                </c:pt>
                <c:pt idx="19">
                  <c:v>Jun2019</c:v>
                </c:pt>
                <c:pt idx="20">
                  <c:v>Jul2019</c:v>
                </c:pt>
                <c:pt idx="21">
                  <c:v>Aug2019</c:v>
                </c:pt>
                <c:pt idx="22">
                  <c:v>Sep2019</c:v>
                </c:pt>
                <c:pt idx="23">
                  <c:v>Oct2019</c:v>
                </c:pt>
                <c:pt idx="24">
                  <c:v>Nov2019</c:v>
                </c:pt>
                <c:pt idx="25">
                  <c:v>Dec2019</c:v>
                </c:pt>
                <c:pt idx="26">
                  <c:v>Jan2020</c:v>
                </c:pt>
                <c:pt idx="27">
                  <c:v>Feb2020</c:v>
                </c:pt>
                <c:pt idx="28">
                  <c:v>Mar2020</c:v>
                </c:pt>
                <c:pt idx="29">
                  <c:v>Apr2020</c:v>
                </c:pt>
                <c:pt idx="30">
                  <c:v>May2020</c:v>
                </c:pt>
                <c:pt idx="31">
                  <c:v>Jun2020</c:v>
                </c:pt>
                <c:pt idx="32">
                  <c:v>Jul2020</c:v>
                </c:pt>
                <c:pt idx="33">
                  <c:v>Aug2020</c:v>
                </c:pt>
                <c:pt idx="34">
                  <c:v>Sep2020</c:v>
                </c:pt>
                <c:pt idx="35">
                  <c:v>Oct2020</c:v>
                </c:pt>
                <c:pt idx="36">
                  <c:v>Nov2020</c:v>
                </c:pt>
                <c:pt idx="37">
                  <c:v>Dec2020</c:v>
                </c:pt>
                <c:pt idx="38">
                  <c:v>Jan2021</c:v>
                </c:pt>
                <c:pt idx="39">
                  <c:v>Feb2021</c:v>
                </c:pt>
                <c:pt idx="40">
                  <c:v>Mar2021</c:v>
                </c:pt>
                <c:pt idx="41">
                  <c:v>Apr2021</c:v>
                </c:pt>
                <c:pt idx="42">
                  <c:v>May2021</c:v>
                </c:pt>
                <c:pt idx="43">
                  <c:v>Jun2021</c:v>
                </c:pt>
                <c:pt idx="44">
                  <c:v>Jul2021</c:v>
                </c:pt>
                <c:pt idx="45">
                  <c:v>Aug2021</c:v>
                </c:pt>
                <c:pt idx="46">
                  <c:v>Sep2021</c:v>
                </c:pt>
                <c:pt idx="47">
                  <c:v>Oct2021</c:v>
                </c:pt>
                <c:pt idx="48">
                  <c:v>Nov2021</c:v>
                </c:pt>
                <c:pt idx="49">
                  <c:v>Dec2021</c:v>
                </c:pt>
              </c:strCache>
            </c:strRef>
          </c:cat>
          <c:val>
            <c:numRef>
              <c:f>'Monthly Data Input'!$G$165:$BD$165</c:f>
              <c:numCache>
                <c:formatCode>#,##0</c:formatCode>
                <c:ptCount val="50"/>
                <c:pt idx="14">
                  <c:v>0</c:v>
                </c:pt>
                <c:pt idx="15">
                  <c:v>0</c:v>
                </c:pt>
                <c:pt idx="16">
                  <c:v>0</c:v>
                </c:pt>
                <c:pt idx="17">
                  <c:v>0</c:v>
                </c:pt>
                <c:pt idx="18">
                  <c:v>0</c:v>
                </c:pt>
                <c:pt idx="19">
                  <c:v>0</c:v>
                </c:pt>
                <c:pt idx="20">
                  <c:v>0</c:v>
                </c:pt>
                <c:pt idx="21">
                  <c:v>0</c:v>
                </c:pt>
                <c:pt idx="22">
                  <c:v>0</c:v>
                </c:pt>
                <c:pt idx="23">
                  <c:v>0</c:v>
                </c:pt>
                <c:pt idx="24">
                  <c:v>0</c:v>
                </c:pt>
                <c:pt idx="25">
                  <c:v>0</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numCache>
            </c:numRef>
          </c:val>
          <c:extLst>
            <c:ext xmlns:c16="http://schemas.microsoft.com/office/drawing/2014/chart" uri="{C3380CC4-5D6E-409C-BE32-E72D297353CC}">
              <c16:uniqueId val="{00000000-3008-4A2F-8938-55FCE425DB82}"/>
            </c:ext>
          </c:extLst>
        </c:ser>
        <c:dLbls>
          <c:showLegendKey val="0"/>
          <c:showVal val="0"/>
          <c:showCatName val="0"/>
          <c:showSerName val="0"/>
          <c:showPercent val="0"/>
          <c:showBubbleSize val="0"/>
        </c:dLbls>
        <c:gapWidth val="0"/>
        <c:axId val="1258402383"/>
        <c:axId val="1258400303"/>
      </c:barChart>
      <c:lineChart>
        <c:grouping val="standard"/>
        <c:varyColors val="0"/>
        <c:ser>
          <c:idx val="0"/>
          <c:order val="0"/>
          <c:tx>
            <c:strRef>
              <c:f>'Monthly Data Input'!$D$164:$F$164</c:f>
              <c:strCache>
                <c:ptCount val="3"/>
                <c:pt idx="0">
                  <c:v>Les données annuelles (moyenne mensuelle)</c:v>
                </c:pt>
              </c:strCache>
            </c:strRef>
          </c:tx>
          <c:spPr>
            <a:ln w="28575" cap="rnd">
              <a:solidFill>
                <a:schemeClr val="tx2"/>
              </a:solidFill>
              <a:round/>
            </a:ln>
            <a:effectLst/>
          </c:spPr>
          <c:marker>
            <c:symbol val="circle"/>
            <c:size val="10"/>
            <c:spPr>
              <a:solidFill>
                <a:schemeClr val="tx2"/>
              </a:solidFill>
              <a:ln w="9525">
                <a:solidFill>
                  <a:schemeClr val="tx2"/>
                </a:solidFill>
              </a:ln>
              <a:effectLst/>
            </c:spPr>
          </c:marker>
          <c:cat>
            <c:strRef>
              <c:f>'Monthly Data Input'!$G$137:$BD$137</c:f>
              <c:strCach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Jan2019</c:v>
                </c:pt>
                <c:pt idx="15">
                  <c:v>Feb2019</c:v>
                </c:pt>
                <c:pt idx="16">
                  <c:v>Mar2019</c:v>
                </c:pt>
                <c:pt idx="17">
                  <c:v>Apr2019</c:v>
                </c:pt>
                <c:pt idx="18">
                  <c:v>May2019</c:v>
                </c:pt>
                <c:pt idx="19">
                  <c:v>Jun2019</c:v>
                </c:pt>
                <c:pt idx="20">
                  <c:v>Jul2019</c:v>
                </c:pt>
                <c:pt idx="21">
                  <c:v>Aug2019</c:v>
                </c:pt>
                <c:pt idx="22">
                  <c:v>Sep2019</c:v>
                </c:pt>
                <c:pt idx="23">
                  <c:v>Oct2019</c:v>
                </c:pt>
                <c:pt idx="24">
                  <c:v>Nov2019</c:v>
                </c:pt>
                <c:pt idx="25">
                  <c:v>Dec2019</c:v>
                </c:pt>
                <c:pt idx="26">
                  <c:v>Jan2020</c:v>
                </c:pt>
                <c:pt idx="27">
                  <c:v>Feb2020</c:v>
                </c:pt>
                <c:pt idx="28">
                  <c:v>Mar2020</c:v>
                </c:pt>
                <c:pt idx="29">
                  <c:v>Apr2020</c:v>
                </c:pt>
                <c:pt idx="30">
                  <c:v>May2020</c:v>
                </c:pt>
                <c:pt idx="31">
                  <c:v>Jun2020</c:v>
                </c:pt>
                <c:pt idx="32">
                  <c:v>Jul2020</c:v>
                </c:pt>
                <c:pt idx="33">
                  <c:v>Aug2020</c:v>
                </c:pt>
                <c:pt idx="34">
                  <c:v>Sep2020</c:v>
                </c:pt>
                <c:pt idx="35">
                  <c:v>Oct2020</c:v>
                </c:pt>
                <c:pt idx="36">
                  <c:v>Nov2020</c:v>
                </c:pt>
                <c:pt idx="37">
                  <c:v>Dec2020</c:v>
                </c:pt>
                <c:pt idx="38">
                  <c:v>Jan2021</c:v>
                </c:pt>
                <c:pt idx="39">
                  <c:v>Feb2021</c:v>
                </c:pt>
                <c:pt idx="40">
                  <c:v>Mar2021</c:v>
                </c:pt>
                <c:pt idx="41">
                  <c:v>Apr2021</c:v>
                </c:pt>
                <c:pt idx="42">
                  <c:v>May2021</c:v>
                </c:pt>
                <c:pt idx="43">
                  <c:v>Jun2021</c:v>
                </c:pt>
                <c:pt idx="44">
                  <c:v>Jul2021</c:v>
                </c:pt>
                <c:pt idx="45">
                  <c:v>Aug2021</c:v>
                </c:pt>
                <c:pt idx="46">
                  <c:v>Sep2021</c:v>
                </c:pt>
                <c:pt idx="47">
                  <c:v>Oct2021</c:v>
                </c:pt>
                <c:pt idx="48">
                  <c:v>Nov2021</c:v>
                </c:pt>
                <c:pt idx="49">
                  <c:v>Dec2021</c:v>
                </c:pt>
              </c:strCache>
            </c:strRef>
          </c:cat>
          <c:val>
            <c:numRef>
              <c:f>'Monthly Data Input'!$G$164:$BD$164</c:f>
              <c:numCache>
                <c:formatCode>#,##0</c:formatCod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numCache>
            </c:numRef>
          </c:val>
          <c:smooth val="1"/>
          <c:extLst>
            <c:ext xmlns:c16="http://schemas.microsoft.com/office/drawing/2014/chart" uri="{C3380CC4-5D6E-409C-BE32-E72D297353CC}">
              <c16:uniqueId val="{00000001-3008-4A2F-8938-55FCE425DB82}"/>
            </c:ext>
          </c:extLst>
        </c:ser>
        <c:ser>
          <c:idx val="1"/>
          <c:order val="1"/>
          <c:tx>
            <c:strRef>
              <c:f>'Monthly Data Input'!$D$163:$F$163</c:f>
              <c:strCache>
                <c:ptCount val="3"/>
                <c:pt idx="0">
                  <c:v>Les données mensuelles</c:v>
                </c:pt>
              </c:strCache>
            </c:strRef>
          </c:tx>
          <c:spPr>
            <a:ln w="28575" cap="rnd">
              <a:solidFill>
                <a:schemeClr val="accent1"/>
              </a:solidFill>
              <a:round/>
            </a:ln>
            <a:effectLst/>
          </c:spPr>
          <c:marker>
            <c:symbol val="circle"/>
            <c:size val="10"/>
            <c:spPr>
              <a:solidFill>
                <a:schemeClr val="accent1"/>
              </a:solidFill>
              <a:ln w="9525">
                <a:solidFill>
                  <a:schemeClr val="accent1"/>
                </a:solidFill>
              </a:ln>
              <a:effectLst/>
            </c:spPr>
          </c:marker>
          <c:cat>
            <c:strRef>
              <c:f>'Monthly Data Input'!$G$137:$BD$137</c:f>
              <c:strCach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Jan2019</c:v>
                </c:pt>
                <c:pt idx="15">
                  <c:v>Feb2019</c:v>
                </c:pt>
                <c:pt idx="16">
                  <c:v>Mar2019</c:v>
                </c:pt>
                <c:pt idx="17">
                  <c:v>Apr2019</c:v>
                </c:pt>
                <c:pt idx="18">
                  <c:v>May2019</c:v>
                </c:pt>
                <c:pt idx="19">
                  <c:v>Jun2019</c:v>
                </c:pt>
                <c:pt idx="20">
                  <c:v>Jul2019</c:v>
                </c:pt>
                <c:pt idx="21">
                  <c:v>Aug2019</c:v>
                </c:pt>
                <c:pt idx="22">
                  <c:v>Sep2019</c:v>
                </c:pt>
                <c:pt idx="23">
                  <c:v>Oct2019</c:v>
                </c:pt>
                <c:pt idx="24">
                  <c:v>Nov2019</c:v>
                </c:pt>
                <c:pt idx="25">
                  <c:v>Dec2019</c:v>
                </c:pt>
                <c:pt idx="26">
                  <c:v>Jan2020</c:v>
                </c:pt>
                <c:pt idx="27">
                  <c:v>Feb2020</c:v>
                </c:pt>
                <c:pt idx="28">
                  <c:v>Mar2020</c:v>
                </c:pt>
                <c:pt idx="29">
                  <c:v>Apr2020</c:v>
                </c:pt>
                <c:pt idx="30">
                  <c:v>May2020</c:v>
                </c:pt>
                <c:pt idx="31">
                  <c:v>Jun2020</c:v>
                </c:pt>
                <c:pt idx="32">
                  <c:v>Jul2020</c:v>
                </c:pt>
                <c:pt idx="33">
                  <c:v>Aug2020</c:v>
                </c:pt>
                <c:pt idx="34">
                  <c:v>Sep2020</c:v>
                </c:pt>
                <c:pt idx="35">
                  <c:v>Oct2020</c:v>
                </c:pt>
                <c:pt idx="36">
                  <c:v>Nov2020</c:v>
                </c:pt>
                <c:pt idx="37">
                  <c:v>Dec2020</c:v>
                </c:pt>
                <c:pt idx="38">
                  <c:v>Jan2021</c:v>
                </c:pt>
                <c:pt idx="39">
                  <c:v>Feb2021</c:v>
                </c:pt>
                <c:pt idx="40">
                  <c:v>Mar2021</c:v>
                </c:pt>
                <c:pt idx="41">
                  <c:v>Apr2021</c:v>
                </c:pt>
                <c:pt idx="42">
                  <c:v>May2021</c:v>
                </c:pt>
                <c:pt idx="43">
                  <c:v>Jun2021</c:v>
                </c:pt>
                <c:pt idx="44">
                  <c:v>Jul2021</c:v>
                </c:pt>
                <c:pt idx="45">
                  <c:v>Aug2021</c:v>
                </c:pt>
                <c:pt idx="46">
                  <c:v>Sep2021</c:v>
                </c:pt>
                <c:pt idx="47">
                  <c:v>Oct2021</c:v>
                </c:pt>
                <c:pt idx="48">
                  <c:v>Nov2021</c:v>
                </c:pt>
                <c:pt idx="49">
                  <c:v>Dec2021</c:v>
                </c:pt>
              </c:strCache>
            </c:strRef>
          </c:cat>
          <c:val>
            <c:numRef>
              <c:f>'Monthly Data Input'!$G$163:$BD$163</c:f>
              <c:numCache>
                <c:formatCode>#,##0</c:formatCod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smooth val="1"/>
          <c:extLst>
            <c:ext xmlns:c16="http://schemas.microsoft.com/office/drawing/2014/chart" uri="{C3380CC4-5D6E-409C-BE32-E72D297353CC}">
              <c16:uniqueId val="{00000002-3008-4A2F-8938-55FCE425DB82}"/>
            </c:ext>
          </c:extLst>
        </c:ser>
        <c:dLbls>
          <c:showLegendKey val="0"/>
          <c:showVal val="0"/>
          <c:showCatName val="0"/>
          <c:showSerName val="0"/>
          <c:showPercent val="0"/>
          <c:showBubbleSize val="0"/>
        </c:dLbls>
        <c:marker val="1"/>
        <c:smooth val="0"/>
        <c:axId val="1522245199"/>
        <c:axId val="1522244367"/>
      </c:lineChart>
      <c:catAx>
        <c:axId val="15222451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2244367"/>
        <c:crosses val="autoZero"/>
        <c:auto val="1"/>
        <c:lblAlgn val="ctr"/>
        <c:lblOffset val="100"/>
        <c:noMultiLvlLbl val="0"/>
      </c:catAx>
      <c:valAx>
        <c:axId val="1522244367"/>
        <c:scaling>
          <c:orientation val="minMax"/>
          <c:min val="0"/>
        </c:scaling>
        <c:delete val="0"/>
        <c:axPos val="l"/>
        <c:majorGridlines>
          <c:spPr>
            <a:ln w="9525" cap="flat" cmpd="sng" algn="ctr">
              <a:solidFill>
                <a:schemeClr val="tx1">
                  <a:lumMod val="15000"/>
                  <a:lumOff val="85000"/>
                </a:schemeClr>
              </a:solidFill>
              <a:round/>
            </a:ln>
            <a:effectLst/>
          </c:spPr>
        </c:majorGridlines>
        <c:title>
          <c:tx>
            <c:strRef>
              <c:f>'Monthly Data Input'!$B$312</c:f>
              <c:strCache>
                <c:ptCount val="1"/>
                <c:pt idx="0">
                  <c:v>Implant de 4 ans (Sino-Implant)</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2245199"/>
        <c:crosses val="autoZero"/>
        <c:crossBetween val="between"/>
      </c:valAx>
      <c:valAx>
        <c:axId val="1258400303"/>
        <c:scaling>
          <c:orientation val="minMax"/>
          <c:max val="1"/>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58402383"/>
        <c:crosses val="max"/>
        <c:crossBetween val="between"/>
      </c:valAx>
      <c:catAx>
        <c:axId val="1258402383"/>
        <c:scaling>
          <c:orientation val="minMax"/>
        </c:scaling>
        <c:delete val="1"/>
        <c:axPos val="b"/>
        <c:numFmt formatCode="General" sourceLinked="1"/>
        <c:majorTickMark val="out"/>
        <c:minorTickMark val="none"/>
        <c:tickLblPos val="nextTo"/>
        <c:crossAx val="1258400303"/>
        <c:crosses val="autoZero"/>
        <c:auto val="1"/>
        <c:lblAlgn val="ctr"/>
        <c:lblOffset val="100"/>
        <c:noMultiLvlLbl val="0"/>
      </c:catAx>
    </c:plotArea>
    <c:legend>
      <c:legendPos val="b"/>
      <c:layout>
        <c:manualLayout>
          <c:xMode val="edge"/>
          <c:yMode val="edge"/>
          <c:x val="0.18682597253086144"/>
          <c:y val="8.889290601088895E-2"/>
          <c:w val="0.6335570057692187"/>
          <c:h val="6.643747287494575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span"/>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'Monthly Data Input'!$BR$221</c:f>
          <c:strCache>
            <c:ptCount val="1"/>
            <c:pt idx="0">
              <c:v>Moyenne mensuelle (par rapport à annuelle) contre la prestation de service mensuelle réelle</c:v>
            </c:pt>
          </c:strCache>
        </c:strRef>
      </c:tx>
      <c:layout>
        <c:manualLayout>
          <c:xMode val="edge"/>
          <c:yMode val="edge"/>
          <c:x val="0.20336922795177631"/>
          <c:y val="2.837683621001715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24881382154788E-2"/>
          <c:y val="0.16207498978867782"/>
          <c:w val="0.91068759746505989"/>
          <c:h val="0.6734747060084818"/>
        </c:manualLayout>
      </c:layout>
      <c:barChart>
        <c:barDir val="col"/>
        <c:grouping val="clustered"/>
        <c:varyColors val="0"/>
        <c:ser>
          <c:idx val="2"/>
          <c:order val="2"/>
          <c:tx>
            <c:strRef>
              <c:f>'Monthly Data Input'!$D$175:$F$175</c:f>
              <c:strCache>
                <c:ptCount val="3"/>
                <c:pt idx="0">
                  <c:v>Mois avec restrictions COVID</c:v>
                </c:pt>
              </c:strCache>
            </c:strRef>
          </c:tx>
          <c:spPr>
            <a:solidFill>
              <a:schemeClr val="accent4">
                <a:alpha val="50000"/>
              </a:schemeClr>
            </a:solidFill>
            <a:ln>
              <a:noFill/>
            </a:ln>
            <a:effectLst/>
          </c:spPr>
          <c:invertIfNegative val="0"/>
          <c:cat>
            <c:strRef>
              <c:f>'Monthly Data Input'!$G$137:$BD$137</c:f>
              <c:strCach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Jan2019</c:v>
                </c:pt>
                <c:pt idx="15">
                  <c:v>Feb2019</c:v>
                </c:pt>
                <c:pt idx="16">
                  <c:v>Mar2019</c:v>
                </c:pt>
                <c:pt idx="17">
                  <c:v>Apr2019</c:v>
                </c:pt>
                <c:pt idx="18">
                  <c:v>May2019</c:v>
                </c:pt>
                <c:pt idx="19">
                  <c:v>Jun2019</c:v>
                </c:pt>
                <c:pt idx="20">
                  <c:v>Jul2019</c:v>
                </c:pt>
                <c:pt idx="21">
                  <c:v>Aug2019</c:v>
                </c:pt>
                <c:pt idx="22">
                  <c:v>Sep2019</c:v>
                </c:pt>
                <c:pt idx="23">
                  <c:v>Oct2019</c:v>
                </c:pt>
                <c:pt idx="24">
                  <c:v>Nov2019</c:v>
                </c:pt>
                <c:pt idx="25">
                  <c:v>Dec2019</c:v>
                </c:pt>
                <c:pt idx="26">
                  <c:v>Jan2020</c:v>
                </c:pt>
                <c:pt idx="27">
                  <c:v>Feb2020</c:v>
                </c:pt>
                <c:pt idx="28">
                  <c:v>Mar2020</c:v>
                </c:pt>
                <c:pt idx="29">
                  <c:v>Apr2020</c:v>
                </c:pt>
                <c:pt idx="30">
                  <c:v>May2020</c:v>
                </c:pt>
                <c:pt idx="31">
                  <c:v>Jun2020</c:v>
                </c:pt>
                <c:pt idx="32">
                  <c:v>Jul2020</c:v>
                </c:pt>
                <c:pt idx="33">
                  <c:v>Aug2020</c:v>
                </c:pt>
                <c:pt idx="34">
                  <c:v>Sep2020</c:v>
                </c:pt>
                <c:pt idx="35">
                  <c:v>Oct2020</c:v>
                </c:pt>
                <c:pt idx="36">
                  <c:v>Nov2020</c:v>
                </c:pt>
                <c:pt idx="37">
                  <c:v>Dec2020</c:v>
                </c:pt>
                <c:pt idx="38">
                  <c:v>Jan2021</c:v>
                </c:pt>
                <c:pt idx="39">
                  <c:v>Feb2021</c:v>
                </c:pt>
                <c:pt idx="40">
                  <c:v>Mar2021</c:v>
                </c:pt>
                <c:pt idx="41">
                  <c:v>Apr2021</c:v>
                </c:pt>
                <c:pt idx="42">
                  <c:v>May2021</c:v>
                </c:pt>
                <c:pt idx="43">
                  <c:v>Jun2021</c:v>
                </c:pt>
                <c:pt idx="44">
                  <c:v>Jul2021</c:v>
                </c:pt>
                <c:pt idx="45">
                  <c:v>Aug2021</c:v>
                </c:pt>
                <c:pt idx="46">
                  <c:v>Sep2021</c:v>
                </c:pt>
                <c:pt idx="47">
                  <c:v>Oct2021</c:v>
                </c:pt>
                <c:pt idx="48">
                  <c:v>Nov2021</c:v>
                </c:pt>
                <c:pt idx="49">
                  <c:v>Dec2021</c:v>
                </c:pt>
              </c:strCache>
            </c:strRef>
          </c:cat>
          <c:val>
            <c:numRef>
              <c:f>'Monthly Data Input'!$G$175:$BD$175</c:f>
              <c:numCache>
                <c:formatCode>#,##0</c:formatCode>
                <c:ptCount val="50"/>
                <c:pt idx="14">
                  <c:v>0</c:v>
                </c:pt>
                <c:pt idx="15">
                  <c:v>0</c:v>
                </c:pt>
                <c:pt idx="16">
                  <c:v>0</c:v>
                </c:pt>
                <c:pt idx="17">
                  <c:v>0</c:v>
                </c:pt>
                <c:pt idx="18">
                  <c:v>0</c:v>
                </c:pt>
                <c:pt idx="19">
                  <c:v>0</c:v>
                </c:pt>
                <c:pt idx="20">
                  <c:v>0</c:v>
                </c:pt>
                <c:pt idx="21">
                  <c:v>0</c:v>
                </c:pt>
                <c:pt idx="22">
                  <c:v>0</c:v>
                </c:pt>
                <c:pt idx="23">
                  <c:v>0</c:v>
                </c:pt>
                <c:pt idx="24">
                  <c:v>0</c:v>
                </c:pt>
                <c:pt idx="25">
                  <c:v>0</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numCache>
            </c:numRef>
          </c:val>
          <c:extLst>
            <c:ext xmlns:c16="http://schemas.microsoft.com/office/drawing/2014/chart" uri="{C3380CC4-5D6E-409C-BE32-E72D297353CC}">
              <c16:uniqueId val="{00000000-2AEC-40EB-9426-3BE2EE1171EB}"/>
            </c:ext>
          </c:extLst>
        </c:ser>
        <c:dLbls>
          <c:showLegendKey val="0"/>
          <c:showVal val="0"/>
          <c:showCatName val="0"/>
          <c:showSerName val="0"/>
          <c:showPercent val="0"/>
          <c:showBubbleSize val="0"/>
        </c:dLbls>
        <c:gapWidth val="0"/>
        <c:axId val="1258402383"/>
        <c:axId val="1258400303"/>
      </c:barChart>
      <c:lineChart>
        <c:grouping val="standard"/>
        <c:varyColors val="0"/>
        <c:ser>
          <c:idx val="0"/>
          <c:order val="0"/>
          <c:tx>
            <c:strRef>
              <c:f>'Monthly Data Input'!$D$174:$F$174</c:f>
              <c:strCache>
                <c:ptCount val="3"/>
                <c:pt idx="0">
                  <c:v>Les données annuelles (moyenne mensuelle)</c:v>
                </c:pt>
              </c:strCache>
            </c:strRef>
          </c:tx>
          <c:spPr>
            <a:ln w="28575" cap="rnd">
              <a:solidFill>
                <a:schemeClr val="tx2"/>
              </a:solidFill>
              <a:round/>
            </a:ln>
            <a:effectLst/>
          </c:spPr>
          <c:marker>
            <c:symbol val="circle"/>
            <c:size val="10"/>
            <c:spPr>
              <a:solidFill>
                <a:schemeClr val="tx2"/>
              </a:solidFill>
              <a:ln w="9525">
                <a:solidFill>
                  <a:schemeClr val="tx2"/>
                </a:solidFill>
              </a:ln>
              <a:effectLst/>
            </c:spPr>
          </c:marker>
          <c:cat>
            <c:strRef>
              <c:f>'Monthly Data Input'!$G$137:$BD$137</c:f>
              <c:strCach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Jan2019</c:v>
                </c:pt>
                <c:pt idx="15">
                  <c:v>Feb2019</c:v>
                </c:pt>
                <c:pt idx="16">
                  <c:v>Mar2019</c:v>
                </c:pt>
                <c:pt idx="17">
                  <c:v>Apr2019</c:v>
                </c:pt>
                <c:pt idx="18">
                  <c:v>May2019</c:v>
                </c:pt>
                <c:pt idx="19">
                  <c:v>Jun2019</c:v>
                </c:pt>
                <c:pt idx="20">
                  <c:v>Jul2019</c:v>
                </c:pt>
                <c:pt idx="21">
                  <c:v>Aug2019</c:v>
                </c:pt>
                <c:pt idx="22">
                  <c:v>Sep2019</c:v>
                </c:pt>
                <c:pt idx="23">
                  <c:v>Oct2019</c:v>
                </c:pt>
                <c:pt idx="24">
                  <c:v>Nov2019</c:v>
                </c:pt>
                <c:pt idx="25">
                  <c:v>Dec2019</c:v>
                </c:pt>
                <c:pt idx="26">
                  <c:v>Jan2020</c:v>
                </c:pt>
                <c:pt idx="27">
                  <c:v>Feb2020</c:v>
                </c:pt>
                <c:pt idx="28">
                  <c:v>Mar2020</c:v>
                </c:pt>
                <c:pt idx="29">
                  <c:v>Apr2020</c:v>
                </c:pt>
                <c:pt idx="30">
                  <c:v>May2020</c:v>
                </c:pt>
                <c:pt idx="31">
                  <c:v>Jun2020</c:v>
                </c:pt>
                <c:pt idx="32">
                  <c:v>Jul2020</c:v>
                </c:pt>
                <c:pt idx="33">
                  <c:v>Aug2020</c:v>
                </c:pt>
                <c:pt idx="34">
                  <c:v>Sep2020</c:v>
                </c:pt>
                <c:pt idx="35">
                  <c:v>Oct2020</c:v>
                </c:pt>
                <c:pt idx="36">
                  <c:v>Nov2020</c:v>
                </c:pt>
                <c:pt idx="37">
                  <c:v>Dec2020</c:v>
                </c:pt>
                <c:pt idx="38">
                  <c:v>Jan2021</c:v>
                </c:pt>
                <c:pt idx="39">
                  <c:v>Feb2021</c:v>
                </c:pt>
                <c:pt idx="40">
                  <c:v>Mar2021</c:v>
                </c:pt>
                <c:pt idx="41">
                  <c:v>Apr2021</c:v>
                </c:pt>
                <c:pt idx="42">
                  <c:v>May2021</c:v>
                </c:pt>
                <c:pt idx="43">
                  <c:v>Jun2021</c:v>
                </c:pt>
                <c:pt idx="44">
                  <c:v>Jul2021</c:v>
                </c:pt>
                <c:pt idx="45">
                  <c:v>Aug2021</c:v>
                </c:pt>
                <c:pt idx="46">
                  <c:v>Sep2021</c:v>
                </c:pt>
                <c:pt idx="47">
                  <c:v>Oct2021</c:v>
                </c:pt>
                <c:pt idx="48">
                  <c:v>Nov2021</c:v>
                </c:pt>
                <c:pt idx="49">
                  <c:v>Dec2021</c:v>
                </c:pt>
              </c:strCache>
            </c:strRef>
          </c:cat>
          <c:val>
            <c:numRef>
              <c:f>'Monthly Data Input'!$G$174:$BD$174</c:f>
              <c:numCache>
                <c:formatCode>#,##0</c:formatCod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numCache>
            </c:numRef>
          </c:val>
          <c:smooth val="1"/>
          <c:extLst>
            <c:ext xmlns:c16="http://schemas.microsoft.com/office/drawing/2014/chart" uri="{C3380CC4-5D6E-409C-BE32-E72D297353CC}">
              <c16:uniqueId val="{00000001-2AEC-40EB-9426-3BE2EE1171EB}"/>
            </c:ext>
          </c:extLst>
        </c:ser>
        <c:ser>
          <c:idx val="1"/>
          <c:order val="1"/>
          <c:tx>
            <c:strRef>
              <c:f>'Monthly Data Input'!$D$173:$F$173</c:f>
              <c:strCache>
                <c:ptCount val="3"/>
                <c:pt idx="0">
                  <c:v>Les données mensuelles</c:v>
                </c:pt>
              </c:strCache>
            </c:strRef>
          </c:tx>
          <c:spPr>
            <a:ln w="28575" cap="rnd">
              <a:solidFill>
                <a:schemeClr val="accent1"/>
              </a:solidFill>
              <a:round/>
            </a:ln>
            <a:effectLst/>
          </c:spPr>
          <c:marker>
            <c:symbol val="circle"/>
            <c:size val="10"/>
            <c:spPr>
              <a:solidFill>
                <a:schemeClr val="accent1"/>
              </a:solidFill>
              <a:ln w="9525">
                <a:solidFill>
                  <a:schemeClr val="accent1"/>
                </a:solidFill>
              </a:ln>
              <a:effectLst/>
            </c:spPr>
          </c:marker>
          <c:cat>
            <c:strRef>
              <c:f>'Monthly Data Input'!$G$137:$BD$137</c:f>
              <c:strCach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Jan2019</c:v>
                </c:pt>
                <c:pt idx="15">
                  <c:v>Feb2019</c:v>
                </c:pt>
                <c:pt idx="16">
                  <c:v>Mar2019</c:v>
                </c:pt>
                <c:pt idx="17">
                  <c:v>Apr2019</c:v>
                </c:pt>
                <c:pt idx="18">
                  <c:v>May2019</c:v>
                </c:pt>
                <c:pt idx="19">
                  <c:v>Jun2019</c:v>
                </c:pt>
                <c:pt idx="20">
                  <c:v>Jul2019</c:v>
                </c:pt>
                <c:pt idx="21">
                  <c:v>Aug2019</c:v>
                </c:pt>
                <c:pt idx="22">
                  <c:v>Sep2019</c:v>
                </c:pt>
                <c:pt idx="23">
                  <c:v>Oct2019</c:v>
                </c:pt>
                <c:pt idx="24">
                  <c:v>Nov2019</c:v>
                </c:pt>
                <c:pt idx="25">
                  <c:v>Dec2019</c:v>
                </c:pt>
                <c:pt idx="26">
                  <c:v>Jan2020</c:v>
                </c:pt>
                <c:pt idx="27">
                  <c:v>Feb2020</c:v>
                </c:pt>
                <c:pt idx="28">
                  <c:v>Mar2020</c:v>
                </c:pt>
                <c:pt idx="29">
                  <c:v>Apr2020</c:v>
                </c:pt>
                <c:pt idx="30">
                  <c:v>May2020</c:v>
                </c:pt>
                <c:pt idx="31">
                  <c:v>Jun2020</c:v>
                </c:pt>
                <c:pt idx="32">
                  <c:v>Jul2020</c:v>
                </c:pt>
                <c:pt idx="33">
                  <c:v>Aug2020</c:v>
                </c:pt>
                <c:pt idx="34">
                  <c:v>Sep2020</c:v>
                </c:pt>
                <c:pt idx="35">
                  <c:v>Oct2020</c:v>
                </c:pt>
                <c:pt idx="36">
                  <c:v>Nov2020</c:v>
                </c:pt>
                <c:pt idx="37">
                  <c:v>Dec2020</c:v>
                </c:pt>
                <c:pt idx="38">
                  <c:v>Jan2021</c:v>
                </c:pt>
                <c:pt idx="39">
                  <c:v>Feb2021</c:v>
                </c:pt>
                <c:pt idx="40">
                  <c:v>Mar2021</c:v>
                </c:pt>
                <c:pt idx="41">
                  <c:v>Apr2021</c:v>
                </c:pt>
                <c:pt idx="42">
                  <c:v>May2021</c:v>
                </c:pt>
                <c:pt idx="43">
                  <c:v>Jun2021</c:v>
                </c:pt>
                <c:pt idx="44">
                  <c:v>Jul2021</c:v>
                </c:pt>
                <c:pt idx="45">
                  <c:v>Aug2021</c:v>
                </c:pt>
                <c:pt idx="46">
                  <c:v>Sep2021</c:v>
                </c:pt>
                <c:pt idx="47">
                  <c:v>Oct2021</c:v>
                </c:pt>
                <c:pt idx="48">
                  <c:v>Nov2021</c:v>
                </c:pt>
                <c:pt idx="49">
                  <c:v>Dec2021</c:v>
                </c:pt>
              </c:strCache>
            </c:strRef>
          </c:cat>
          <c:val>
            <c:numRef>
              <c:f>'Monthly Data Input'!$G$173:$BD$173</c:f>
              <c:numCache>
                <c:formatCode>#,##0</c:formatCod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smooth val="1"/>
          <c:extLst>
            <c:ext xmlns:c16="http://schemas.microsoft.com/office/drawing/2014/chart" uri="{C3380CC4-5D6E-409C-BE32-E72D297353CC}">
              <c16:uniqueId val="{00000002-2AEC-40EB-9426-3BE2EE1171EB}"/>
            </c:ext>
          </c:extLst>
        </c:ser>
        <c:dLbls>
          <c:showLegendKey val="0"/>
          <c:showVal val="0"/>
          <c:showCatName val="0"/>
          <c:showSerName val="0"/>
          <c:showPercent val="0"/>
          <c:showBubbleSize val="0"/>
        </c:dLbls>
        <c:marker val="1"/>
        <c:smooth val="0"/>
        <c:axId val="1522245199"/>
        <c:axId val="1522244367"/>
      </c:lineChart>
      <c:catAx>
        <c:axId val="15222451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2244367"/>
        <c:crosses val="autoZero"/>
        <c:auto val="1"/>
        <c:lblAlgn val="ctr"/>
        <c:lblOffset val="100"/>
        <c:noMultiLvlLbl val="0"/>
      </c:catAx>
      <c:valAx>
        <c:axId val="1522244367"/>
        <c:scaling>
          <c:orientation val="minMax"/>
          <c:min val="0"/>
        </c:scaling>
        <c:delete val="0"/>
        <c:axPos val="l"/>
        <c:majorGridlines>
          <c:spPr>
            <a:ln w="9525" cap="flat" cmpd="sng" algn="ctr">
              <a:solidFill>
                <a:schemeClr val="tx1">
                  <a:lumMod val="15000"/>
                  <a:lumOff val="85000"/>
                </a:schemeClr>
              </a:solidFill>
              <a:round/>
            </a:ln>
            <a:effectLst/>
          </c:spPr>
        </c:majorGridlines>
        <c:title>
          <c:tx>
            <c:strRef>
              <c:f>'Monthly Data Input'!$B$342</c:f>
              <c:strCache>
                <c:ptCount val="1"/>
                <c:pt idx="0">
                  <c:v>Depo Provera (DMPA)</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2245199"/>
        <c:crosses val="autoZero"/>
        <c:crossBetween val="between"/>
      </c:valAx>
      <c:valAx>
        <c:axId val="1258400303"/>
        <c:scaling>
          <c:orientation val="minMax"/>
          <c:max val="1"/>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58402383"/>
        <c:crosses val="max"/>
        <c:crossBetween val="between"/>
      </c:valAx>
      <c:catAx>
        <c:axId val="1258402383"/>
        <c:scaling>
          <c:orientation val="minMax"/>
        </c:scaling>
        <c:delete val="1"/>
        <c:axPos val="b"/>
        <c:numFmt formatCode="General" sourceLinked="1"/>
        <c:majorTickMark val="out"/>
        <c:minorTickMark val="none"/>
        <c:tickLblPos val="nextTo"/>
        <c:crossAx val="1258400303"/>
        <c:crosses val="autoZero"/>
        <c:auto val="1"/>
        <c:lblAlgn val="ctr"/>
        <c:lblOffset val="100"/>
        <c:noMultiLvlLbl val="0"/>
      </c:catAx>
    </c:plotArea>
    <c:legend>
      <c:legendPos val="b"/>
      <c:layout>
        <c:manualLayout>
          <c:xMode val="edge"/>
          <c:yMode val="edge"/>
          <c:x val="0.18682597253086144"/>
          <c:y val="8.889290601088895E-2"/>
          <c:w val="0.6335570057692187"/>
          <c:h val="6.643747287494575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span"/>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'Monthly Data Input'!$BR$221</c:f>
          <c:strCache>
            <c:ptCount val="1"/>
            <c:pt idx="0">
              <c:v>Moyenne mensuelle (par rapport à annuelle) contre la prestation de service mensuelle réelle</c:v>
            </c:pt>
          </c:strCache>
        </c:strRef>
      </c:tx>
      <c:layout>
        <c:manualLayout>
          <c:xMode val="edge"/>
          <c:yMode val="edge"/>
          <c:x val="0.26084446897602037"/>
          <c:y val="2.327345744906350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9320625199978133E-2"/>
          <c:y val="0.16207498978867782"/>
          <c:w val="0.92375184738399696"/>
          <c:h val="0.70128046885686879"/>
        </c:manualLayout>
      </c:layout>
      <c:barChart>
        <c:barDir val="col"/>
        <c:grouping val="clustered"/>
        <c:varyColors val="0"/>
        <c:ser>
          <c:idx val="2"/>
          <c:order val="2"/>
          <c:tx>
            <c:strRef>
              <c:f>'Monthly Data Input'!$D$200:$F$200</c:f>
              <c:strCache>
                <c:ptCount val="3"/>
                <c:pt idx="0">
                  <c:v>Mois avec restrictions COVID</c:v>
                </c:pt>
              </c:strCache>
            </c:strRef>
          </c:tx>
          <c:spPr>
            <a:solidFill>
              <a:schemeClr val="accent4">
                <a:alpha val="50000"/>
              </a:schemeClr>
            </a:solidFill>
            <a:ln>
              <a:noFill/>
            </a:ln>
            <a:effectLst/>
          </c:spPr>
          <c:invertIfNegative val="0"/>
          <c:cat>
            <c:strRef>
              <c:f>'Monthly Data Input'!$G$137:$BD$137</c:f>
              <c:strCach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Jan2019</c:v>
                </c:pt>
                <c:pt idx="15">
                  <c:v>Feb2019</c:v>
                </c:pt>
                <c:pt idx="16">
                  <c:v>Mar2019</c:v>
                </c:pt>
                <c:pt idx="17">
                  <c:v>Apr2019</c:v>
                </c:pt>
                <c:pt idx="18">
                  <c:v>May2019</c:v>
                </c:pt>
                <c:pt idx="19">
                  <c:v>Jun2019</c:v>
                </c:pt>
                <c:pt idx="20">
                  <c:v>Jul2019</c:v>
                </c:pt>
                <c:pt idx="21">
                  <c:v>Aug2019</c:v>
                </c:pt>
                <c:pt idx="22">
                  <c:v>Sep2019</c:v>
                </c:pt>
                <c:pt idx="23">
                  <c:v>Oct2019</c:v>
                </c:pt>
                <c:pt idx="24">
                  <c:v>Nov2019</c:v>
                </c:pt>
                <c:pt idx="25">
                  <c:v>Dec2019</c:v>
                </c:pt>
                <c:pt idx="26">
                  <c:v>Jan2020</c:v>
                </c:pt>
                <c:pt idx="27">
                  <c:v>Feb2020</c:v>
                </c:pt>
                <c:pt idx="28">
                  <c:v>Mar2020</c:v>
                </c:pt>
                <c:pt idx="29">
                  <c:v>Apr2020</c:v>
                </c:pt>
                <c:pt idx="30">
                  <c:v>May2020</c:v>
                </c:pt>
                <c:pt idx="31">
                  <c:v>Jun2020</c:v>
                </c:pt>
                <c:pt idx="32">
                  <c:v>Jul2020</c:v>
                </c:pt>
                <c:pt idx="33">
                  <c:v>Aug2020</c:v>
                </c:pt>
                <c:pt idx="34">
                  <c:v>Sep2020</c:v>
                </c:pt>
                <c:pt idx="35">
                  <c:v>Oct2020</c:v>
                </c:pt>
                <c:pt idx="36">
                  <c:v>Nov2020</c:v>
                </c:pt>
                <c:pt idx="37">
                  <c:v>Dec2020</c:v>
                </c:pt>
                <c:pt idx="38">
                  <c:v>Jan2021</c:v>
                </c:pt>
                <c:pt idx="39">
                  <c:v>Feb2021</c:v>
                </c:pt>
                <c:pt idx="40">
                  <c:v>Mar2021</c:v>
                </c:pt>
                <c:pt idx="41">
                  <c:v>Apr2021</c:v>
                </c:pt>
                <c:pt idx="42">
                  <c:v>May2021</c:v>
                </c:pt>
                <c:pt idx="43">
                  <c:v>Jun2021</c:v>
                </c:pt>
                <c:pt idx="44">
                  <c:v>Jul2021</c:v>
                </c:pt>
                <c:pt idx="45">
                  <c:v>Aug2021</c:v>
                </c:pt>
                <c:pt idx="46">
                  <c:v>Sep2021</c:v>
                </c:pt>
                <c:pt idx="47">
                  <c:v>Oct2021</c:v>
                </c:pt>
                <c:pt idx="48">
                  <c:v>Nov2021</c:v>
                </c:pt>
                <c:pt idx="49">
                  <c:v>Dec2021</c:v>
                </c:pt>
              </c:strCache>
            </c:strRef>
          </c:cat>
          <c:val>
            <c:numRef>
              <c:f>'Monthly Data Input'!$G$200:$BD$200</c:f>
              <c:numCache>
                <c:formatCode>#,##0</c:formatCode>
                <c:ptCount val="50"/>
                <c:pt idx="14">
                  <c:v>0</c:v>
                </c:pt>
                <c:pt idx="15">
                  <c:v>0</c:v>
                </c:pt>
                <c:pt idx="16">
                  <c:v>0</c:v>
                </c:pt>
                <c:pt idx="17">
                  <c:v>0</c:v>
                </c:pt>
                <c:pt idx="18">
                  <c:v>0</c:v>
                </c:pt>
                <c:pt idx="19">
                  <c:v>0</c:v>
                </c:pt>
                <c:pt idx="20">
                  <c:v>0</c:v>
                </c:pt>
                <c:pt idx="21">
                  <c:v>0</c:v>
                </c:pt>
                <c:pt idx="22">
                  <c:v>0</c:v>
                </c:pt>
                <c:pt idx="23">
                  <c:v>0</c:v>
                </c:pt>
                <c:pt idx="24">
                  <c:v>0</c:v>
                </c:pt>
                <c:pt idx="25">
                  <c:v>0</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numCache>
            </c:numRef>
          </c:val>
          <c:extLst>
            <c:ext xmlns:c16="http://schemas.microsoft.com/office/drawing/2014/chart" uri="{C3380CC4-5D6E-409C-BE32-E72D297353CC}">
              <c16:uniqueId val="{00000000-CB33-4923-A81D-38668441E40E}"/>
            </c:ext>
          </c:extLst>
        </c:ser>
        <c:dLbls>
          <c:showLegendKey val="0"/>
          <c:showVal val="0"/>
          <c:showCatName val="0"/>
          <c:showSerName val="0"/>
          <c:showPercent val="0"/>
          <c:showBubbleSize val="0"/>
        </c:dLbls>
        <c:gapWidth val="0"/>
        <c:axId val="1258402383"/>
        <c:axId val="1258400303"/>
      </c:barChart>
      <c:lineChart>
        <c:grouping val="standard"/>
        <c:varyColors val="0"/>
        <c:ser>
          <c:idx val="0"/>
          <c:order val="0"/>
          <c:tx>
            <c:strRef>
              <c:f>'Monthly Data Input'!$D$199:$F$199</c:f>
              <c:strCache>
                <c:ptCount val="3"/>
                <c:pt idx="0">
                  <c:v>Les données annuelles (moyenne mensuelle)</c:v>
                </c:pt>
              </c:strCache>
            </c:strRef>
          </c:tx>
          <c:spPr>
            <a:ln w="28575" cap="rnd">
              <a:solidFill>
                <a:schemeClr val="tx2"/>
              </a:solidFill>
              <a:round/>
            </a:ln>
            <a:effectLst/>
          </c:spPr>
          <c:marker>
            <c:symbol val="circle"/>
            <c:size val="10"/>
            <c:spPr>
              <a:solidFill>
                <a:schemeClr val="tx2"/>
              </a:solidFill>
              <a:ln w="9525">
                <a:solidFill>
                  <a:schemeClr val="tx2"/>
                </a:solidFill>
              </a:ln>
              <a:effectLst/>
            </c:spPr>
          </c:marker>
          <c:cat>
            <c:strRef>
              <c:f>'Monthly Data Input'!$G$137:$BD$137</c:f>
              <c:strCach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Jan2019</c:v>
                </c:pt>
                <c:pt idx="15">
                  <c:v>Feb2019</c:v>
                </c:pt>
                <c:pt idx="16">
                  <c:v>Mar2019</c:v>
                </c:pt>
                <c:pt idx="17">
                  <c:v>Apr2019</c:v>
                </c:pt>
                <c:pt idx="18">
                  <c:v>May2019</c:v>
                </c:pt>
                <c:pt idx="19">
                  <c:v>Jun2019</c:v>
                </c:pt>
                <c:pt idx="20">
                  <c:v>Jul2019</c:v>
                </c:pt>
                <c:pt idx="21">
                  <c:v>Aug2019</c:v>
                </c:pt>
                <c:pt idx="22">
                  <c:v>Sep2019</c:v>
                </c:pt>
                <c:pt idx="23">
                  <c:v>Oct2019</c:v>
                </c:pt>
                <c:pt idx="24">
                  <c:v>Nov2019</c:v>
                </c:pt>
                <c:pt idx="25">
                  <c:v>Dec2019</c:v>
                </c:pt>
                <c:pt idx="26">
                  <c:v>Jan2020</c:v>
                </c:pt>
                <c:pt idx="27">
                  <c:v>Feb2020</c:v>
                </c:pt>
                <c:pt idx="28">
                  <c:v>Mar2020</c:v>
                </c:pt>
                <c:pt idx="29">
                  <c:v>Apr2020</c:v>
                </c:pt>
                <c:pt idx="30">
                  <c:v>May2020</c:v>
                </c:pt>
                <c:pt idx="31">
                  <c:v>Jun2020</c:v>
                </c:pt>
                <c:pt idx="32">
                  <c:v>Jul2020</c:v>
                </c:pt>
                <c:pt idx="33">
                  <c:v>Aug2020</c:v>
                </c:pt>
                <c:pt idx="34">
                  <c:v>Sep2020</c:v>
                </c:pt>
                <c:pt idx="35">
                  <c:v>Oct2020</c:v>
                </c:pt>
                <c:pt idx="36">
                  <c:v>Nov2020</c:v>
                </c:pt>
                <c:pt idx="37">
                  <c:v>Dec2020</c:v>
                </c:pt>
                <c:pt idx="38">
                  <c:v>Jan2021</c:v>
                </c:pt>
                <c:pt idx="39">
                  <c:v>Feb2021</c:v>
                </c:pt>
                <c:pt idx="40">
                  <c:v>Mar2021</c:v>
                </c:pt>
                <c:pt idx="41">
                  <c:v>Apr2021</c:v>
                </c:pt>
                <c:pt idx="42">
                  <c:v>May2021</c:v>
                </c:pt>
                <c:pt idx="43">
                  <c:v>Jun2021</c:v>
                </c:pt>
                <c:pt idx="44">
                  <c:v>Jul2021</c:v>
                </c:pt>
                <c:pt idx="45">
                  <c:v>Aug2021</c:v>
                </c:pt>
                <c:pt idx="46">
                  <c:v>Sep2021</c:v>
                </c:pt>
                <c:pt idx="47">
                  <c:v>Oct2021</c:v>
                </c:pt>
                <c:pt idx="48">
                  <c:v>Nov2021</c:v>
                </c:pt>
                <c:pt idx="49">
                  <c:v>Dec2021</c:v>
                </c:pt>
              </c:strCache>
            </c:strRef>
          </c:cat>
          <c:val>
            <c:numRef>
              <c:f>'Monthly Data Input'!$G$199:$BD$199</c:f>
              <c:numCache>
                <c:formatCode>#,##0</c:formatCod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numCache>
            </c:numRef>
          </c:val>
          <c:smooth val="1"/>
          <c:extLst>
            <c:ext xmlns:c16="http://schemas.microsoft.com/office/drawing/2014/chart" uri="{C3380CC4-5D6E-409C-BE32-E72D297353CC}">
              <c16:uniqueId val="{00000001-CB33-4923-A81D-38668441E40E}"/>
            </c:ext>
          </c:extLst>
        </c:ser>
        <c:ser>
          <c:idx val="1"/>
          <c:order val="1"/>
          <c:tx>
            <c:strRef>
              <c:f>'Monthly Data Input'!$D$198:$F$198</c:f>
              <c:strCache>
                <c:ptCount val="3"/>
                <c:pt idx="0">
                  <c:v>Les données mensuelles</c:v>
                </c:pt>
              </c:strCache>
            </c:strRef>
          </c:tx>
          <c:spPr>
            <a:ln w="28575" cap="rnd">
              <a:solidFill>
                <a:schemeClr val="accent1"/>
              </a:solidFill>
              <a:round/>
            </a:ln>
            <a:effectLst/>
          </c:spPr>
          <c:marker>
            <c:symbol val="circle"/>
            <c:size val="10"/>
            <c:spPr>
              <a:solidFill>
                <a:schemeClr val="accent1"/>
              </a:solidFill>
              <a:ln w="9525">
                <a:solidFill>
                  <a:schemeClr val="accent1"/>
                </a:solidFill>
              </a:ln>
              <a:effectLst/>
            </c:spPr>
          </c:marker>
          <c:cat>
            <c:strRef>
              <c:f>'Monthly Data Input'!$G$137:$BD$137</c:f>
              <c:strCach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Jan2019</c:v>
                </c:pt>
                <c:pt idx="15">
                  <c:v>Feb2019</c:v>
                </c:pt>
                <c:pt idx="16">
                  <c:v>Mar2019</c:v>
                </c:pt>
                <c:pt idx="17">
                  <c:v>Apr2019</c:v>
                </c:pt>
                <c:pt idx="18">
                  <c:v>May2019</c:v>
                </c:pt>
                <c:pt idx="19">
                  <c:v>Jun2019</c:v>
                </c:pt>
                <c:pt idx="20">
                  <c:v>Jul2019</c:v>
                </c:pt>
                <c:pt idx="21">
                  <c:v>Aug2019</c:v>
                </c:pt>
                <c:pt idx="22">
                  <c:v>Sep2019</c:v>
                </c:pt>
                <c:pt idx="23">
                  <c:v>Oct2019</c:v>
                </c:pt>
                <c:pt idx="24">
                  <c:v>Nov2019</c:v>
                </c:pt>
                <c:pt idx="25">
                  <c:v>Dec2019</c:v>
                </c:pt>
                <c:pt idx="26">
                  <c:v>Jan2020</c:v>
                </c:pt>
                <c:pt idx="27">
                  <c:v>Feb2020</c:v>
                </c:pt>
                <c:pt idx="28">
                  <c:v>Mar2020</c:v>
                </c:pt>
                <c:pt idx="29">
                  <c:v>Apr2020</c:v>
                </c:pt>
                <c:pt idx="30">
                  <c:v>May2020</c:v>
                </c:pt>
                <c:pt idx="31">
                  <c:v>Jun2020</c:v>
                </c:pt>
                <c:pt idx="32">
                  <c:v>Jul2020</c:v>
                </c:pt>
                <c:pt idx="33">
                  <c:v>Aug2020</c:v>
                </c:pt>
                <c:pt idx="34">
                  <c:v>Sep2020</c:v>
                </c:pt>
                <c:pt idx="35">
                  <c:v>Oct2020</c:v>
                </c:pt>
                <c:pt idx="36">
                  <c:v>Nov2020</c:v>
                </c:pt>
                <c:pt idx="37">
                  <c:v>Dec2020</c:v>
                </c:pt>
                <c:pt idx="38">
                  <c:v>Jan2021</c:v>
                </c:pt>
                <c:pt idx="39">
                  <c:v>Feb2021</c:v>
                </c:pt>
                <c:pt idx="40">
                  <c:v>Mar2021</c:v>
                </c:pt>
                <c:pt idx="41">
                  <c:v>Apr2021</c:v>
                </c:pt>
                <c:pt idx="42">
                  <c:v>May2021</c:v>
                </c:pt>
                <c:pt idx="43">
                  <c:v>Jun2021</c:v>
                </c:pt>
                <c:pt idx="44">
                  <c:v>Jul2021</c:v>
                </c:pt>
                <c:pt idx="45">
                  <c:v>Aug2021</c:v>
                </c:pt>
                <c:pt idx="46">
                  <c:v>Sep2021</c:v>
                </c:pt>
                <c:pt idx="47">
                  <c:v>Oct2021</c:v>
                </c:pt>
                <c:pt idx="48">
                  <c:v>Nov2021</c:v>
                </c:pt>
                <c:pt idx="49">
                  <c:v>Dec2021</c:v>
                </c:pt>
              </c:strCache>
            </c:strRef>
          </c:cat>
          <c:val>
            <c:numRef>
              <c:f>'Monthly Data Input'!$G$198:$BD$198</c:f>
              <c:numCache>
                <c:formatCode>#,##0</c:formatCod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smooth val="1"/>
          <c:extLst>
            <c:ext xmlns:c16="http://schemas.microsoft.com/office/drawing/2014/chart" uri="{C3380CC4-5D6E-409C-BE32-E72D297353CC}">
              <c16:uniqueId val="{00000002-CB33-4923-A81D-38668441E40E}"/>
            </c:ext>
          </c:extLst>
        </c:ser>
        <c:dLbls>
          <c:showLegendKey val="0"/>
          <c:showVal val="0"/>
          <c:showCatName val="0"/>
          <c:showSerName val="0"/>
          <c:showPercent val="0"/>
          <c:showBubbleSize val="0"/>
        </c:dLbls>
        <c:marker val="1"/>
        <c:smooth val="0"/>
        <c:axId val="1522245199"/>
        <c:axId val="1522244367"/>
      </c:lineChart>
      <c:catAx>
        <c:axId val="15222451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2244367"/>
        <c:crosses val="autoZero"/>
        <c:auto val="1"/>
        <c:lblAlgn val="ctr"/>
        <c:lblOffset val="100"/>
        <c:noMultiLvlLbl val="0"/>
      </c:catAx>
      <c:valAx>
        <c:axId val="1522244367"/>
        <c:scaling>
          <c:orientation val="minMax"/>
          <c:min val="0"/>
        </c:scaling>
        <c:delete val="0"/>
        <c:axPos val="l"/>
        <c:majorGridlines>
          <c:spPr>
            <a:ln w="9525" cap="flat" cmpd="sng" algn="ctr">
              <a:solidFill>
                <a:schemeClr val="tx1">
                  <a:lumMod val="15000"/>
                  <a:lumOff val="85000"/>
                </a:schemeClr>
              </a:solidFill>
              <a:round/>
            </a:ln>
            <a:effectLst/>
          </c:spPr>
        </c:majorGridlines>
        <c:title>
          <c:tx>
            <c:strRef>
              <c:f>'Monthly Data Input'!$B$411:$B$421</c:f>
              <c:strCache>
                <c:ptCount val="11"/>
                <c:pt idx="0">
                  <c:v>Progestatifs seul (POP)</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2245199"/>
        <c:crosses val="autoZero"/>
        <c:crossBetween val="between"/>
      </c:valAx>
      <c:valAx>
        <c:axId val="1258400303"/>
        <c:scaling>
          <c:orientation val="minMax"/>
          <c:max val="1"/>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58402383"/>
        <c:crosses val="max"/>
        <c:crossBetween val="between"/>
      </c:valAx>
      <c:catAx>
        <c:axId val="1258402383"/>
        <c:scaling>
          <c:orientation val="minMax"/>
        </c:scaling>
        <c:delete val="1"/>
        <c:axPos val="b"/>
        <c:numFmt formatCode="General" sourceLinked="1"/>
        <c:majorTickMark val="out"/>
        <c:minorTickMark val="none"/>
        <c:tickLblPos val="nextTo"/>
        <c:crossAx val="1258400303"/>
        <c:crosses val="autoZero"/>
        <c:auto val="1"/>
        <c:lblAlgn val="ctr"/>
        <c:lblOffset val="100"/>
        <c:noMultiLvlLbl val="0"/>
      </c:catAx>
    </c:plotArea>
    <c:legend>
      <c:legendPos val="b"/>
      <c:layout>
        <c:manualLayout>
          <c:xMode val="edge"/>
          <c:yMode val="edge"/>
          <c:x val="0.18682597253086144"/>
          <c:y val="8.889290601088895E-2"/>
          <c:w val="0.6335570057692187"/>
          <c:h val="6.643747287494575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span"/>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'Monthly Data Input'!$BR$221</c:f>
          <c:strCache>
            <c:ptCount val="1"/>
            <c:pt idx="0">
              <c:v>Moyenne mensuelle (par rapport à annuelle) contre la prestation de service mensuelle réelle</c:v>
            </c:pt>
          </c:strCache>
        </c:strRef>
      </c:tx>
      <c:layout>
        <c:manualLayout>
          <c:xMode val="edge"/>
          <c:yMode val="edge"/>
          <c:x val="0.22653193069836991"/>
          <c:y val="2.088130354104728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3071084604317446E-2"/>
          <c:y val="0.16207498978867782"/>
          <c:w val="0.94154315728369875"/>
          <c:h val="0.6734747060084818"/>
        </c:manualLayout>
      </c:layout>
      <c:barChart>
        <c:barDir val="col"/>
        <c:grouping val="clustered"/>
        <c:varyColors val="0"/>
        <c:ser>
          <c:idx val="2"/>
          <c:order val="2"/>
          <c:tx>
            <c:strRef>
              <c:f>'Monthly Data Input'!$D$145:$F$145</c:f>
              <c:strCache>
                <c:ptCount val="3"/>
                <c:pt idx="0">
                  <c:v>Mois avec restrictions COVID</c:v>
                </c:pt>
              </c:strCache>
            </c:strRef>
          </c:tx>
          <c:spPr>
            <a:solidFill>
              <a:schemeClr val="accent4">
                <a:alpha val="50000"/>
              </a:schemeClr>
            </a:solidFill>
            <a:ln>
              <a:noFill/>
            </a:ln>
            <a:effectLst/>
          </c:spPr>
          <c:invertIfNegative val="0"/>
          <c:cat>
            <c:strRef>
              <c:f>'Monthly Data Input'!$G$137:$BD$137</c:f>
              <c:strCach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Jan2019</c:v>
                </c:pt>
                <c:pt idx="15">
                  <c:v>Feb2019</c:v>
                </c:pt>
                <c:pt idx="16">
                  <c:v>Mar2019</c:v>
                </c:pt>
                <c:pt idx="17">
                  <c:v>Apr2019</c:v>
                </c:pt>
                <c:pt idx="18">
                  <c:v>May2019</c:v>
                </c:pt>
                <c:pt idx="19">
                  <c:v>Jun2019</c:v>
                </c:pt>
                <c:pt idx="20">
                  <c:v>Jul2019</c:v>
                </c:pt>
                <c:pt idx="21">
                  <c:v>Aug2019</c:v>
                </c:pt>
                <c:pt idx="22">
                  <c:v>Sep2019</c:v>
                </c:pt>
                <c:pt idx="23">
                  <c:v>Oct2019</c:v>
                </c:pt>
                <c:pt idx="24">
                  <c:v>Nov2019</c:v>
                </c:pt>
                <c:pt idx="25">
                  <c:v>Dec2019</c:v>
                </c:pt>
                <c:pt idx="26">
                  <c:v>Jan2020</c:v>
                </c:pt>
                <c:pt idx="27">
                  <c:v>Feb2020</c:v>
                </c:pt>
                <c:pt idx="28">
                  <c:v>Mar2020</c:v>
                </c:pt>
                <c:pt idx="29">
                  <c:v>Apr2020</c:v>
                </c:pt>
                <c:pt idx="30">
                  <c:v>May2020</c:v>
                </c:pt>
                <c:pt idx="31">
                  <c:v>Jun2020</c:v>
                </c:pt>
                <c:pt idx="32">
                  <c:v>Jul2020</c:v>
                </c:pt>
                <c:pt idx="33">
                  <c:v>Aug2020</c:v>
                </c:pt>
                <c:pt idx="34">
                  <c:v>Sep2020</c:v>
                </c:pt>
                <c:pt idx="35">
                  <c:v>Oct2020</c:v>
                </c:pt>
                <c:pt idx="36">
                  <c:v>Nov2020</c:v>
                </c:pt>
                <c:pt idx="37">
                  <c:v>Dec2020</c:v>
                </c:pt>
                <c:pt idx="38">
                  <c:v>Jan2021</c:v>
                </c:pt>
                <c:pt idx="39">
                  <c:v>Feb2021</c:v>
                </c:pt>
                <c:pt idx="40">
                  <c:v>Mar2021</c:v>
                </c:pt>
                <c:pt idx="41">
                  <c:v>Apr2021</c:v>
                </c:pt>
                <c:pt idx="42">
                  <c:v>May2021</c:v>
                </c:pt>
                <c:pt idx="43">
                  <c:v>Jun2021</c:v>
                </c:pt>
                <c:pt idx="44">
                  <c:v>Jul2021</c:v>
                </c:pt>
                <c:pt idx="45">
                  <c:v>Aug2021</c:v>
                </c:pt>
                <c:pt idx="46">
                  <c:v>Sep2021</c:v>
                </c:pt>
                <c:pt idx="47">
                  <c:v>Oct2021</c:v>
                </c:pt>
                <c:pt idx="48">
                  <c:v>Nov2021</c:v>
                </c:pt>
                <c:pt idx="49">
                  <c:v>Dec2021</c:v>
                </c:pt>
              </c:strCache>
            </c:strRef>
          </c:cat>
          <c:val>
            <c:numRef>
              <c:f>'Monthly Data Input'!$G$145:$BD$145</c:f>
              <c:numCache>
                <c:formatCode>#,##0</c:formatCode>
                <c:ptCount val="50"/>
                <c:pt idx="14">
                  <c:v>0</c:v>
                </c:pt>
                <c:pt idx="15">
                  <c:v>0</c:v>
                </c:pt>
                <c:pt idx="16">
                  <c:v>0</c:v>
                </c:pt>
                <c:pt idx="17">
                  <c:v>0</c:v>
                </c:pt>
                <c:pt idx="18">
                  <c:v>0</c:v>
                </c:pt>
                <c:pt idx="19">
                  <c:v>0</c:v>
                </c:pt>
                <c:pt idx="20">
                  <c:v>0</c:v>
                </c:pt>
                <c:pt idx="21">
                  <c:v>0</c:v>
                </c:pt>
                <c:pt idx="22">
                  <c:v>0</c:v>
                </c:pt>
                <c:pt idx="23">
                  <c:v>0</c:v>
                </c:pt>
                <c:pt idx="24">
                  <c:v>0</c:v>
                </c:pt>
                <c:pt idx="25">
                  <c:v>0</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numCache>
            </c:numRef>
          </c:val>
          <c:extLst>
            <c:ext xmlns:c16="http://schemas.microsoft.com/office/drawing/2014/chart" uri="{C3380CC4-5D6E-409C-BE32-E72D297353CC}">
              <c16:uniqueId val="{00000000-B8AC-46A2-9E3E-50CA3F01E637}"/>
            </c:ext>
          </c:extLst>
        </c:ser>
        <c:dLbls>
          <c:showLegendKey val="0"/>
          <c:showVal val="0"/>
          <c:showCatName val="0"/>
          <c:showSerName val="0"/>
          <c:showPercent val="0"/>
          <c:showBubbleSize val="0"/>
        </c:dLbls>
        <c:gapWidth val="0"/>
        <c:axId val="1258402383"/>
        <c:axId val="1258400303"/>
      </c:barChart>
      <c:lineChart>
        <c:grouping val="standard"/>
        <c:varyColors val="0"/>
        <c:ser>
          <c:idx val="0"/>
          <c:order val="0"/>
          <c:tx>
            <c:strRef>
              <c:f>'Monthly Data Input'!$D$143:$F$143</c:f>
              <c:strCache>
                <c:ptCount val="3"/>
                <c:pt idx="0">
                  <c:v>Les données mensuelles</c:v>
                </c:pt>
              </c:strCache>
            </c:strRef>
          </c:tx>
          <c:spPr>
            <a:ln w="28575" cap="rnd">
              <a:solidFill>
                <a:schemeClr val="accent1"/>
              </a:solidFill>
              <a:round/>
            </a:ln>
            <a:effectLst/>
          </c:spPr>
          <c:marker>
            <c:symbol val="circle"/>
            <c:size val="10"/>
            <c:spPr>
              <a:solidFill>
                <a:schemeClr val="accent1"/>
              </a:solidFill>
              <a:ln w="9525">
                <a:solidFill>
                  <a:schemeClr val="accent1"/>
                </a:solidFill>
              </a:ln>
              <a:effectLst/>
            </c:spPr>
          </c:marker>
          <c:cat>
            <c:strRef>
              <c:f>'Monthly Data Input'!$G$137:$BD$137</c:f>
              <c:strCach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Jan2019</c:v>
                </c:pt>
                <c:pt idx="15">
                  <c:v>Feb2019</c:v>
                </c:pt>
                <c:pt idx="16">
                  <c:v>Mar2019</c:v>
                </c:pt>
                <c:pt idx="17">
                  <c:v>Apr2019</c:v>
                </c:pt>
                <c:pt idx="18">
                  <c:v>May2019</c:v>
                </c:pt>
                <c:pt idx="19">
                  <c:v>Jun2019</c:v>
                </c:pt>
                <c:pt idx="20">
                  <c:v>Jul2019</c:v>
                </c:pt>
                <c:pt idx="21">
                  <c:v>Aug2019</c:v>
                </c:pt>
                <c:pt idx="22">
                  <c:v>Sep2019</c:v>
                </c:pt>
                <c:pt idx="23">
                  <c:v>Oct2019</c:v>
                </c:pt>
                <c:pt idx="24">
                  <c:v>Nov2019</c:v>
                </c:pt>
                <c:pt idx="25">
                  <c:v>Dec2019</c:v>
                </c:pt>
                <c:pt idx="26">
                  <c:v>Jan2020</c:v>
                </c:pt>
                <c:pt idx="27">
                  <c:v>Feb2020</c:v>
                </c:pt>
                <c:pt idx="28">
                  <c:v>Mar2020</c:v>
                </c:pt>
                <c:pt idx="29">
                  <c:v>Apr2020</c:v>
                </c:pt>
                <c:pt idx="30">
                  <c:v>May2020</c:v>
                </c:pt>
                <c:pt idx="31">
                  <c:v>Jun2020</c:v>
                </c:pt>
                <c:pt idx="32">
                  <c:v>Jul2020</c:v>
                </c:pt>
                <c:pt idx="33">
                  <c:v>Aug2020</c:v>
                </c:pt>
                <c:pt idx="34">
                  <c:v>Sep2020</c:v>
                </c:pt>
                <c:pt idx="35">
                  <c:v>Oct2020</c:v>
                </c:pt>
                <c:pt idx="36">
                  <c:v>Nov2020</c:v>
                </c:pt>
                <c:pt idx="37">
                  <c:v>Dec2020</c:v>
                </c:pt>
                <c:pt idx="38">
                  <c:v>Jan2021</c:v>
                </c:pt>
                <c:pt idx="39">
                  <c:v>Feb2021</c:v>
                </c:pt>
                <c:pt idx="40">
                  <c:v>Mar2021</c:v>
                </c:pt>
                <c:pt idx="41">
                  <c:v>Apr2021</c:v>
                </c:pt>
                <c:pt idx="42">
                  <c:v>May2021</c:v>
                </c:pt>
                <c:pt idx="43">
                  <c:v>Jun2021</c:v>
                </c:pt>
                <c:pt idx="44">
                  <c:v>Jul2021</c:v>
                </c:pt>
                <c:pt idx="45">
                  <c:v>Aug2021</c:v>
                </c:pt>
                <c:pt idx="46">
                  <c:v>Sep2021</c:v>
                </c:pt>
                <c:pt idx="47">
                  <c:v>Oct2021</c:v>
                </c:pt>
                <c:pt idx="48">
                  <c:v>Nov2021</c:v>
                </c:pt>
                <c:pt idx="49">
                  <c:v>Dec2021</c:v>
                </c:pt>
              </c:strCache>
            </c:strRef>
          </c:cat>
          <c:val>
            <c:numRef>
              <c:f>'Monthly Data Input'!$G$143:$BD$143</c:f>
              <c:numCache>
                <c:formatCode>#,##0</c:formatCod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smooth val="1"/>
          <c:extLst>
            <c:ext xmlns:c16="http://schemas.microsoft.com/office/drawing/2014/chart" uri="{C3380CC4-5D6E-409C-BE32-E72D297353CC}">
              <c16:uniqueId val="{00000001-B8AC-46A2-9E3E-50CA3F01E637}"/>
            </c:ext>
          </c:extLst>
        </c:ser>
        <c:ser>
          <c:idx val="1"/>
          <c:order val="1"/>
          <c:tx>
            <c:strRef>
              <c:f>'Monthly Data Input'!$D$144:$F$144</c:f>
              <c:strCache>
                <c:ptCount val="3"/>
                <c:pt idx="0">
                  <c:v>Les données annuelles (moyenne mensuelle)</c:v>
                </c:pt>
              </c:strCache>
            </c:strRef>
          </c:tx>
          <c:spPr>
            <a:ln w="28575" cap="rnd">
              <a:solidFill>
                <a:schemeClr val="tx2"/>
              </a:solidFill>
              <a:round/>
            </a:ln>
            <a:effectLst/>
          </c:spPr>
          <c:marker>
            <c:symbol val="circle"/>
            <c:size val="10"/>
            <c:spPr>
              <a:solidFill>
                <a:schemeClr val="tx2"/>
              </a:solidFill>
              <a:ln w="9525">
                <a:solidFill>
                  <a:schemeClr val="tx2"/>
                </a:solidFill>
              </a:ln>
              <a:effectLst/>
            </c:spPr>
          </c:marker>
          <c:cat>
            <c:strRef>
              <c:f>'Monthly Data Input'!$G$137:$BD$137</c:f>
              <c:strCach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Jan2019</c:v>
                </c:pt>
                <c:pt idx="15">
                  <c:v>Feb2019</c:v>
                </c:pt>
                <c:pt idx="16">
                  <c:v>Mar2019</c:v>
                </c:pt>
                <c:pt idx="17">
                  <c:v>Apr2019</c:v>
                </c:pt>
                <c:pt idx="18">
                  <c:v>May2019</c:v>
                </c:pt>
                <c:pt idx="19">
                  <c:v>Jun2019</c:v>
                </c:pt>
                <c:pt idx="20">
                  <c:v>Jul2019</c:v>
                </c:pt>
                <c:pt idx="21">
                  <c:v>Aug2019</c:v>
                </c:pt>
                <c:pt idx="22">
                  <c:v>Sep2019</c:v>
                </c:pt>
                <c:pt idx="23">
                  <c:v>Oct2019</c:v>
                </c:pt>
                <c:pt idx="24">
                  <c:v>Nov2019</c:v>
                </c:pt>
                <c:pt idx="25">
                  <c:v>Dec2019</c:v>
                </c:pt>
                <c:pt idx="26">
                  <c:v>Jan2020</c:v>
                </c:pt>
                <c:pt idx="27">
                  <c:v>Feb2020</c:v>
                </c:pt>
                <c:pt idx="28">
                  <c:v>Mar2020</c:v>
                </c:pt>
                <c:pt idx="29">
                  <c:v>Apr2020</c:v>
                </c:pt>
                <c:pt idx="30">
                  <c:v>May2020</c:v>
                </c:pt>
                <c:pt idx="31">
                  <c:v>Jun2020</c:v>
                </c:pt>
                <c:pt idx="32">
                  <c:v>Jul2020</c:v>
                </c:pt>
                <c:pt idx="33">
                  <c:v>Aug2020</c:v>
                </c:pt>
                <c:pt idx="34">
                  <c:v>Sep2020</c:v>
                </c:pt>
                <c:pt idx="35">
                  <c:v>Oct2020</c:v>
                </c:pt>
                <c:pt idx="36">
                  <c:v>Nov2020</c:v>
                </c:pt>
                <c:pt idx="37">
                  <c:v>Dec2020</c:v>
                </c:pt>
                <c:pt idx="38">
                  <c:v>Jan2021</c:v>
                </c:pt>
                <c:pt idx="39">
                  <c:v>Feb2021</c:v>
                </c:pt>
                <c:pt idx="40">
                  <c:v>Mar2021</c:v>
                </c:pt>
                <c:pt idx="41">
                  <c:v>Apr2021</c:v>
                </c:pt>
                <c:pt idx="42">
                  <c:v>May2021</c:v>
                </c:pt>
                <c:pt idx="43">
                  <c:v>Jun2021</c:v>
                </c:pt>
                <c:pt idx="44">
                  <c:v>Jul2021</c:v>
                </c:pt>
                <c:pt idx="45">
                  <c:v>Aug2021</c:v>
                </c:pt>
                <c:pt idx="46">
                  <c:v>Sep2021</c:v>
                </c:pt>
                <c:pt idx="47">
                  <c:v>Oct2021</c:v>
                </c:pt>
                <c:pt idx="48">
                  <c:v>Nov2021</c:v>
                </c:pt>
                <c:pt idx="49">
                  <c:v>Dec2021</c:v>
                </c:pt>
              </c:strCache>
            </c:strRef>
          </c:cat>
          <c:val>
            <c:numRef>
              <c:f>'Monthly Data Input'!$G$144:$BD$144</c:f>
              <c:numCache>
                <c:formatCode>#,##0</c:formatCod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numCache>
            </c:numRef>
          </c:val>
          <c:smooth val="1"/>
          <c:extLst>
            <c:ext xmlns:c16="http://schemas.microsoft.com/office/drawing/2014/chart" uri="{C3380CC4-5D6E-409C-BE32-E72D297353CC}">
              <c16:uniqueId val="{00000002-B8AC-46A2-9E3E-50CA3F01E637}"/>
            </c:ext>
          </c:extLst>
        </c:ser>
        <c:dLbls>
          <c:showLegendKey val="0"/>
          <c:showVal val="0"/>
          <c:showCatName val="0"/>
          <c:showSerName val="0"/>
          <c:showPercent val="0"/>
          <c:showBubbleSize val="0"/>
        </c:dLbls>
        <c:marker val="1"/>
        <c:smooth val="0"/>
        <c:axId val="1522245199"/>
        <c:axId val="1522244367"/>
      </c:lineChart>
      <c:catAx>
        <c:axId val="15222451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2244367"/>
        <c:crosses val="autoZero"/>
        <c:auto val="1"/>
        <c:lblAlgn val="ctr"/>
        <c:lblOffset val="100"/>
        <c:noMultiLvlLbl val="0"/>
      </c:catAx>
      <c:valAx>
        <c:axId val="1522244367"/>
        <c:scaling>
          <c:orientation val="minMax"/>
          <c:min val="0"/>
        </c:scaling>
        <c:delete val="0"/>
        <c:axPos val="l"/>
        <c:majorGridlines>
          <c:spPr>
            <a:ln w="9525" cap="flat" cmpd="sng" algn="ctr">
              <a:solidFill>
                <a:schemeClr val="tx1">
                  <a:lumMod val="15000"/>
                  <a:lumOff val="85000"/>
                </a:schemeClr>
              </a:solidFill>
              <a:round/>
            </a:ln>
            <a:effectLst/>
          </c:spPr>
        </c:majorGridlines>
        <c:title>
          <c:tx>
            <c:strRef>
              <c:f>'Monthly Data Input'!$C$143</c:f>
              <c:strCache>
                <c:ptCount val="1"/>
                <c:pt idx="0">
                  <c:v>Vasectomie</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2245199"/>
        <c:crosses val="autoZero"/>
        <c:crossBetween val="between"/>
      </c:valAx>
      <c:valAx>
        <c:axId val="1258400303"/>
        <c:scaling>
          <c:orientation val="minMax"/>
          <c:max val="1"/>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58402383"/>
        <c:crosses val="max"/>
        <c:crossBetween val="between"/>
      </c:valAx>
      <c:catAx>
        <c:axId val="1258402383"/>
        <c:scaling>
          <c:orientation val="minMax"/>
        </c:scaling>
        <c:delete val="1"/>
        <c:axPos val="b"/>
        <c:numFmt formatCode="General" sourceLinked="1"/>
        <c:majorTickMark val="out"/>
        <c:minorTickMark val="none"/>
        <c:tickLblPos val="nextTo"/>
        <c:crossAx val="1258400303"/>
        <c:crosses val="autoZero"/>
        <c:auto val="1"/>
        <c:lblAlgn val="ctr"/>
        <c:lblOffset val="100"/>
        <c:noMultiLvlLbl val="0"/>
      </c:catAx>
      <c:spPr>
        <a:noFill/>
        <a:ln>
          <a:noFill/>
        </a:ln>
        <a:effectLst/>
      </c:spPr>
    </c:plotArea>
    <c:legend>
      <c:legendPos val="b"/>
      <c:layout>
        <c:manualLayout>
          <c:xMode val="edge"/>
          <c:yMode val="edge"/>
          <c:x val="0.18682597253086144"/>
          <c:y val="8.889290601088895E-2"/>
          <c:w val="0.6335570057692187"/>
          <c:h val="6.643747287494575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'Commodities (Clients) Input'!$C$40</c:f>
              <c:strCache>
                <c:ptCount val="1"/>
                <c:pt idx="0">
                  <c:v>Préservatifs masculin</c:v>
                </c:pt>
              </c:strCache>
            </c:strRef>
          </c:tx>
          <c:spPr>
            <a:solidFill>
              <a:schemeClr val="bg2">
                <a:lumMod val="75000"/>
              </a:schemeClr>
            </a:solidFill>
            <a:ln>
              <a:noFill/>
            </a:ln>
            <a:effectLst/>
          </c:spPr>
          <c:invertIfNegative val="0"/>
          <c:cat>
            <c:numRef>
              <c:f>[0]!Year_C2C</c:f>
              <c:numCache>
                <c:formatCode>General</c:formatCode>
                <c:ptCount val="1"/>
                <c:pt idx="0">
                  <c:v>0</c:v>
                </c:pt>
              </c:numCache>
            </c:numRef>
          </c:cat>
          <c:val>
            <c:numRef>
              <c:f>'Commodities (Clients) Input'!MCondom</c:f>
              <c:numCache>
                <c:formatCode>#,##0</c:formatCode>
                <c:ptCount val="1"/>
              </c:numCache>
            </c:numRef>
          </c:val>
          <c:extLst>
            <c:ext xmlns:c16="http://schemas.microsoft.com/office/drawing/2014/chart" uri="{C3380CC4-5D6E-409C-BE32-E72D297353CC}">
              <c16:uniqueId val="{00000000-29E3-4670-81CF-4F58D7E93002}"/>
            </c:ext>
          </c:extLst>
        </c:ser>
        <c:ser>
          <c:idx val="1"/>
          <c:order val="1"/>
          <c:tx>
            <c:strRef>
              <c:f>'Commodities (Clients) Input'!$C$41</c:f>
              <c:strCache>
                <c:ptCount val="1"/>
                <c:pt idx="0">
                  <c:v>Préservatifs feminin</c:v>
                </c:pt>
              </c:strCache>
            </c:strRef>
          </c:tx>
          <c:spPr>
            <a:solidFill>
              <a:schemeClr val="accent2"/>
            </a:solidFill>
            <a:ln>
              <a:noFill/>
            </a:ln>
            <a:effectLst/>
          </c:spPr>
          <c:invertIfNegative val="0"/>
          <c:cat>
            <c:numRef>
              <c:f>[0]!Year_C2C</c:f>
              <c:numCache>
                <c:formatCode>General</c:formatCode>
                <c:ptCount val="1"/>
                <c:pt idx="0">
                  <c:v>0</c:v>
                </c:pt>
              </c:numCache>
            </c:numRef>
          </c:cat>
          <c:val>
            <c:numRef>
              <c:f>'Commodities (Clients) Input'!FCondom</c:f>
              <c:numCache>
                <c:formatCode>#,##0</c:formatCode>
                <c:ptCount val="1"/>
              </c:numCache>
            </c:numRef>
          </c:val>
          <c:extLst>
            <c:ext xmlns:c16="http://schemas.microsoft.com/office/drawing/2014/chart" uri="{C3380CC4-5D6E-409C-BE32-E72D297353CC}">
              <c16:uniqueId val="{00000001-29E3-4670-81CF-4F58D7E93002}"/>
            </c:ext>
          </c:extLst>
        </c:ser>
        <c:dLbls>
          <c:showLegendKey val="0"/>
          <c:showVal val="0"/>
          <c:showCatName val="0"/>
          <c:showSerName val="0"/>
          <c:showPercent val="0"/>
          <c:showBubbleSize val="0"/>
        </c:dLbls>
        <c:gapWidth val="50"/>
        <c:axId val="320856328"/>
        <c:axId val="320863544"/>
      </c:barChart>
      <c:catAx>
        <c:axId val="320856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863544"/>
        <c:crosses val="autoZero"/>
        <c:auto val="1"/>
        <c:lblAlgn val="ctr"/>
        <c:lblOffset val="100"/>
        <c:noMultiLvlLbl val="0"/>
      </c:catAx>
      <c:valAx>
        <c:axId val="32086354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856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'Monthly Data Input'!$BR$221</c:f>
          <c:strCache>
            <c:ptCount val="1"/>
            <c:pt idx="0">
              <c:v>Moyenne mensuelle (par rapport à annuelle) contre la prestation de service mensuelle réelle</c:v>
            </c:pt>
          </c:strCache>
        </c:strRef>
      </c:tx>
      <c:layout>
        <c:manualLayout>
          <c:xMode val="edge"/>
          <c:yMode val="edge"/>
          <c:x val="0.22001686667895201"/>
          <c:y val="1.32349013666705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5828434203267177E-2"/>
          <c:y val="0.16207498978867782"/>
          <c:w val="0.92845093794064892"/>
          <c:h val="0.6734747060084818"/>
        </c:manualLayout>
      </c:layout>
      <c:barChart>
        <c:barDir val="col"/>
        <c:grouping val="clustered"/>
        <c:varyColors val="0"/>
        <c:ser>
          <c:idx val="2"/>
          <c:order val="2"/>
          <c:tx>
            <c:strRef>
              <c:f>'Monthly Data Input'!$D$150:$F$150</c:f>
              <c:strCache>
                <c:ptCount val="3"/>
                <c:pt idx="0">
                  <c:v>Mois avec restrictions COVID</c:v>
                </c:pt>
              </c:strCache>
            </c:strRef>
          </c:tx>
          <c:spPr>
            <a:solidFill>
              <a:schemeClr val="accent4">
                <a:alpha val="50000"/>
              </a:schemeClr>
            </a:solidFill>
            <a:ln>
              <a:noFill/>
            </a:ln>
            <a:effectLst/>
          </c:spPr>
          <c:invertIfNegative val="0"/>
          <c:cat>
            <c:strRef>
              <c:f>'Monthly Data Input'!$G$137:$BD$137</c:f>
              <c:strCach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Jan2019</c:v>
                </c:pt>
                <c:pt idx="15">
                  <c:v>Feb2019</c:v>
                </c:pt>
                <c:pt idx="16">
                  <c:v>Mar2019</c:v>
                </c:pt>
                <c:pt idx="17">
                  <c:v>Apr2019</c:v>
                </c:pt>
                <c:pt idx="18">
                  <c:v>May2019</c:v>
                </c:pt>
                <c:pt idx="19">
                  <c:v>Jun2019</c:v>
                </c:pt>
                <c:pt idx="20">
                  <c:v>Jul2019</c:v>
                </c:pt>
                <c:pt idx="21">
                  <c:v>Aug2019</c:v>
                </c:pt>
                <c:pt idx="22">
                  <c:v>Sep2019</c:v>
                </c:pt>
                <c:pt idx="23">
                  <c:v>Oct2019</c:v>
                </c:pt>
                <c:pt idx="24">
                  <c:v>Nov2019</c:v>
                </c:pt>
                <c:pt idx="25">
                  <c:v>Dec2019</c:v>
                </c:pt>
                <c:pt idx="26">
                  <c:v>Jan2020</c:v>
                </c:pt>
                <c:pt idx="27">
                  <c:v>Feb2020</c:v>
                </c:pt>
                <c:pt idx="28">
                  <c:v>Mar2020</c:v>
                </c:pt>
                <c:pt idx="29">
                  <c:v>Apr2020</c:v>
                </c:pt>
                <c:pt idx="30">
                  <c:v>May2020</c:v>
                </c:pt>
                <c:pt idx="31">
                  <c:v>Jun2020</c:v>
                </c:pt>
                <c:pt idx="32">
                  <c:v>Jul2020</c:v>
                </c:pt>
                <c:pt idx="33">
                  <c:v>Aug2020</c:v>
                </c:pt>
                <c:pt idx="34">
                  <c:v>Sep2020</c:v>
                </c:pt>
                <c:pt idx="35">
                  <c:v>Oct2020</c:v>
                </c:pt>
                <c:pt idx="36">
                  <c:v>Nov2020</c:v>
                </c:pt>
                <c:pt idx="37">
                  <c:v>Dec2020</c:v>
                </c:pt>
                <c:pt idx="38">
                  <c:v>Jan2021</c:v>
                </c:pt>
                <c:pt idx="39">
                  <c:v>Feb2021</c:v>
                </c:pt>
                <c:pt idx="40">
                  <c:v>Mar2021</c:v>
                </c:pt>
                <c:pt idx="41">
                  <c:v>Apr2021</c:v>
                </c:pt>
                <c:pt idx="42">
                  <c:v>May2021</c:v>
                </c:pt>
                <c:pt idx="43">
                  <c:v>Jun2021</c:v>
                </c:pt>
                <c:pt idx="44">
                  <c:v>Jul2021</c:v>
                </c:pt>
                <c:pt idx="45">
                  <c:v>Aug2021</c:v>
                </c:pt>
                <c:pt idx="46">
                  <c:v>Sep2021</c:v>
                </c:pt>
                <c:pt idx="47">
                  <c:v>Oct2021</c:v>
                </c:pt>
                <c:pt idx="48">
                  <c:v>Nov2021</c:v>
                </c:pt>
                <c:pt idx="49">
                  <c:v>Dec2021</c:v>
                </c:pt>
              </c:strCache>
            </c:strRef>
          </c:cat>
          <c:val>
            <c:numRef>
              <c:f>'Monthly Data Input'!$G$150:$BD$150</c:f>
              <c:numCache>
                <c:formatCode>#,##0</c:formatCode>
                <c:ptCount val="50"/>
                <c:pt idx="14">
                  <c:v>0</c:v>
                </c:pt>
                <c:pt idx="15">
                  <c:v>0</c:v>
                </c:pt>
                <c:pt idx="16">
                  <c:v>0</c:v>
                </c:pt>
                <c:pt idx="17">
                  <c:v>0</c:v>
                </c:pt>
                <c:pt idx="18">
                  <c:v>0</c:v>
                </c:pt>
                <c:pt idx="19">
                  <c:v>0</c:v>
                </c:pt>
                <c:pt idx="20">
                  <c:v>0</c:v>
                </c:pt>
                <c:pt idx="21">
                  <c:v>0</c:v>
                </c:pt>
                <c:pt idx="22">
                  <c:v>0</c:v>
                </c:pt>
                <c:pt idx="23">
                  <c:v>0</c:v>
                </c:pt>
                <c:pt idx="24">
                  <c:v>0</c:v>
                </c:pt>
                <c:pt idx="25">
                  <c:v>0</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numCache>
            </c:numRef>
          </c:val>
          <c:extLst>
            <c:ext xmlns:c16="http://schemas.microsoft.com/office/drawing/2014/chart" uri="{C3380CC4-5D6E-409C-BE32-E72D297353CC}">
              <c16:uniqueId val="{00000000-45BE-439B-BEE4-D755E7DE63A1}"/>
            </c:ext>
          </c:extLst>
        </c:ser>
        <c:dLbls>
          <c:showLegendKey val="0"/>
          <c:showVal val="0"/>
          <c:showCatName val="0"/>
          <c:showSerName val="0"/>
          <c:showPercent val="0"/>
          <c:showBubbleSize val="0"/>
        </c:dLbls>
        <c:gapWidth val="0"/>
        <c:axId val="1258402383"/>
        <c:axId val="1258400303"/>
      </c:barChart>
      <c:lineChart>
        <c:grouping val="standard"/>
        <c:varyColors val="0"/>
        <c:ser>
          <c:idx val="0"/>
          <c:order val="0"/>
          <c:tx>
            <c:strRef>
              <c:f>'Monthly Data Input'!$D$149:$F$149</c:f>
              <c:strCache>
                <c:ptCount val="3"/>
                <c:pt idx="0">
                  <c:v>Les données annuelles (moyenne mensuelle)</c:v>
                </c:pt>
              </c:strCache>
            </c:strRef>
          </c:tx>
          <c:spPr>
            <a:ln w="28575" cap="rnd">
              <a:solidFill>
                <a:schemeClr val="tx2"/>
              </a:solidFill>
              <a:round/>
            </a:ln>
            <a:effectLst/>
          </c:spPr>
          <c:marker>
            <c:symbol val="circle"/>
            <c:size val="10"/>
            <c:spPr>
              <a:solidFill>
                <a:schemeClr val="tx2"/>
              </a:solidFill>
              <a:ln w="9525">
                <a:solidFill>
                  <a:schemeClr val="tx2"/>
                </a:solidFill>
              </a:ln>
              <a:effectLst/>
            </c:spPr>
          </c:marker>
          <c:cat>
            <c:strRef>
              <c:f>'Monthly Data Input'!$G$137:$BD$137</c:f>
              <c:strCach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Jan2019</c:v>
                </c:pt>
                <c:pt idx="15">
                  <c:v>Feb2019</c:v>
                </c:pt>
                <c:pt idx="16">
                  <c:v>Mar2019</c:v>
                </c:pt>
                <c:pt idx="17">
                  <c:v>Apr2019</c:v>
                </c:pt>
                <c:pt idx="18">
                  <c:v>May2019</c:v>
                </c:pt>
                <c:pt idx="19">
                  <c:v>Jun2019</c:v>
                </c:pt>
                <c:pt idx="20">
                  <c:v>Jul2019</c:v>
                </c:pt>
                <c:pt idx="21">
                  <c:v>Aug2019</c:v>
                </c:pt>
                <c:pt idx="22">
                  <c:v>Sep2019</c:v>
                </c:pt>
                <c:pt idx="23">
                  <c:v>Oct2019</c:v>
                </c:pt>
                <c:pt idx="24">
                  <c:v>Nov2019</c:v>
                </c:pt>
                <c:pt idx="25">
                  <c:v>Dec2019</c:v>
                </c:pt>
                <c:pt idx="26">
                  <c:v>Jan2020</c:v>
                </c:pt>
                <c:pt idx="27">
                  <c:v>Feb2020</c:v>
                </c:pt>
                <c:pt idx="28">
                  <c:v>Mar2020</c:v>
                </c:pt>
                <c:pt idx="29">
                  <c:v>Apr2020</c:v>
                </c:pt>
                <c:pt idx="30">
                  <c:v>May2020</c:v>
                </c:pt>
                <c:pt idx="31">
                  <c:v>Jun2020</c:v>
                </c:pt>
                <c:pt idx="32">
                  <c:v>Jul2020</c:v>
                </c:pt>
                <c:pt idx="33">
                  <c:v>Aug2020</c:v>
                </c:pt>
                <c:pt idx="34">
                  <c:v>Sep2020</c:v>
                </c:pt>
                <c:pt idx="35">
                  <c:v>Oct2020</c:v>
                </c:pt>
                <c:pt idx="36">
                  <c:v>Nov2020</c:v>
                </c:pt>
                <c:pt idx="37">
                  <c:v>Dec2020</c:v>
                </c:pt>
                <c:pt idx="38">
                  <c:v>Jan2021</c:v>
                </c:pt>
                <c:pt idx="39">
                  <c:v>Feb2021</c:v>
                </c:pt>
                <c:pt idx="40">
                  <c:v>Mar2021</c:v>
                </c:pt>
                <c:pt idx="41">
                  <c:v>Apr2021</c:v>
                </c:pt>
                <c:pt idx="42">
                  <c:v>May2021</c:v>
                </c:pt>
                <c:pt idx="43">
                  <c:v>Jun2021</c:v>
                </c:pt>
                <c:pt idx="44">
                  <c:v>Jul2021</c:v>
                </c:pt>
                <c:pt idx="45">
                  <c:v>Aug2021</c:v>
                </c:pt>
                <c:pt idx="46">
                  <c:v>Sep2021</c:v>
                </c:pt>
                <c:pt idx="47">
                  <c:v>Oct2021</c:v>
                </c:pt>
                <c:pt idx="48">
                  <c:v>Nov2021</c:v>
                </c:pt>
                <c:pt idx="49">
                  <c:v>Dec2021</c:v>
                </c:pt>
              </c:strCache>
            </c:strRef>
          </c:cat>
          <c:val>
            <c:numRef>
              <c:f>'Monthly Data Input'!$G$149:$BD$149</c:f>
              <c:numCache>
                <c:formatCode>#,##0</c:formatCod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numCache>
            </c:numRef>
          </c:val>
          <c:smooth val="1"/>
          <c:extLst>
            <c:ext xmlns:c16="http://schemas.microsoft.com/office/drawing/2014/chart" uri="{C3380CC4-5D6E-409C-BE32-E72D297353CC}">
              <c16:uniqueId val="{00000001-45BE-439B-BEE4-D755E7DE63A1}"/>
            </c:ext>
          </c:extLst>
        </c:ser>
        <c:ser>
          <c:idx val="1"/>
          <c:order val="1"/>
          <c:tx>
            <c:strRef>
              <c:f>'Monthly Data Input'!$D$148:$F$148</c:f>
              <c:strCache>
                <c:ptCount val="3"/>
                <c:pt idx="0">
                  <c:v>Les données mensuelles</c:v>
                </c:pt>
              </c:strCache>
            </c:strRef>
          </c:tx>
          <c:spPr>
            <a:ln w="28575" cap="rnd">
              <a:solidFill>
                <a:schemeClr val="accent1"/>
              </a:solidFill>
              <a:round/>
            </a:ln>
            <a:effectLst/>
          </c:spPr>
          <c:marker>
            <c:symbol val="circle"/>
            <c:size val="10"/>
            <c:spPr>
              <a:solidFill>
                <a:schemeClr val="accent1"/>
              </a:solidFill>
              <a:ln w="9525">
                <a:solidFill>
                  <a:schemeClr val="accent1"/>
                </a:solidFill>
              </a:ln>
              <a:effectLst/>
            </c:spPr>
          </c:marker>
          <c:cat>
            <c:strRef>
              <c:f>'Monthly Data Input'!$G$137:$BD$137</c:f>
              <c:strCach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Jan2019</c:v>
                </c:pt>
                <c:pt idx="15">
                  <c:v>Feb2019</c:v>
                </c:pt>
                <c:pt idx="16">
                  <c:v>Mar2019</c:v>
                </c:pt>
                <c:pt idx="17">
                  <c:v>Apr2019</c:v>
                </c:pt>
                <c:pt idx="18">
                  <c:v>May2019</c:v>
                </c:pt>
                <c:pt idx="19">
                  <c:v>Jun2019</c:v>
                </c:pt>
                <c:pt idx="20">
                  <c:v>Jul2019</c:v>
                </c:pt>
                <c:pt idx="21">
                  <c:v>Aug2019</c:v>
                </c:pt>
                <c:pt idx="22">
                  <c:v>Sep2019</c:v>
                </c:pt>
                <c:pt idx="23">
                  <c:v>Oct2019</c:v>
                </c:pt>
                <c:pt idx="24">
                  <c:v>Nov2019</c:v>
                </c:pt>
                <c:pt idx="25">
                  <c:v>Dec2019</c:v>
                </c:pt>
                <c:pt idx="26">
                  <c:v>Jan2020</c:v>
                </c:pt>
                <c:pt idx="27">
                  <c:v>Feb2020</c:v>
                </c:pt>
                <c:pt idx="28">
                  <c:v>Mar2020</c:v>
                </c:pt>
                <c:pt idx="29">
                  <c:v>Apr2020</c:v>
                </c:pt>
                <c:pt idx="30">
                  <c:v>May2020</c:v>
                </c:pt>
                <c:pt idx="31">
                  <c:v>Jun2020</c:v>
                </c:pt>
                <c:pt idx="32">
                  <c:v>Jul2020</c:v>
                </c:pt>
                <c:pt idx="33">
                  <c:v>Aug2020</c:v>
                </c:pt>
                <c:pt idx="34">
                  <c:v>Sep2020</c:v>
                </c:pt>
                <c:pt idx="35">
                  <c:v>Oct2020</c:v>
                </c:pt>
                <c:pt idx="36">
                  <c:v>Nov2020</c:v>
                </c:pt>
                <c:pt idx="37">
                  <c:v>Dec2020</c:v>
                </c:pt>
                <c:pt idx="38">
                  <c:v>Jan2021</c:v>
                </c:pt>
                <c:pt idx="39">
                  <c:v>Feb2021</c:v>
                </c:pt>
                <c:pt idx="40">
                  <c:v>Mar2021</c:v>
                </c:pt>
                <c:pt idx="41">
                  <c:v>Apr2021</c:v>
                </c:pt>
                <c:pt idx="42">
                  <c:v>May2021</c:v>
                </c:pt>
                <c:pt idx="43">
                  <c:v>Jun2021</c:v>
                </c:pt>
                <c:pt idx="44">
                  <c:v>Jul2021</c:v>
                </c:pt>
                <c:pt idx="45">
                  <c:v>Aug2021</c:v>
                </c:pt>
                <c:pt idx="46">
                  <c:v>Sep2021</c:v>
                </c:pt>
                <c:pt idx="47">
                  <c:v>Oct2021</c:v>
                </c:pt>
                <c:pt idx="48">
                  <c:v>Nov2021</c:v>
                </c:pt>
                <c:pt idx="49">
                  <c:v>Dec2021</c:v>
                </c:pt>
              </c:strCache>
            </c:strRef>
          </c:cat>
          <c:val>
            <c:numRef>
              <c:f>'Monthly Data Input'!$G$148:$BD$148</c:f>
              <c:numCache>
                <c:formatCode>#,##0</c:formatCod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smooth val="1"/>
          <c:extLst>
            <c:ext xmlns:c16="http://schemas.microsoft.com/office/drawing/2014/chart" uri="{C3380CC4-5D6E-409C-BE32-E72D297353CC}">
              <c16:uniqueId val="{00000002-45BE-439B-BEE4-D755E7DE63A1}"/>
            </c:ext>
          </c:extLst>
        </c:ser>
        <c:dLbls>
          <c:showLegendKey val="0"/>
          <c:showVal val="0"/>
          <c:showCatName val="0"/>
          <c:showSerName val="0"/>
          <c:showPercent val="0"/>
          <c:showBubbleSize val="0"/>
        </c:dLbls>
        <c:marker val="1"/>
        <c:smooth val="0"/>
        <c:axId val="1522245199"/>
        <c:axId val="1522244367"/>
      </c:lineChart>
      <c:catAx>
        <c:axId val="15222451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2244367"/>
        <c:crosses val="autoZero"/>
        <c:auto val="1"/>
        <c:lblAlgn val="ctr"/>
        <c:lblOffset val="100"/>
        <c:noMultiLvlLbl val="0"/>
      </c:catAx>
      <c:valAx>
        <c:axId val="1522244367"/>
        <c:scaling>
          <c:orientation val="minMax"/>
          <c:min val="0"/>
        </c:scaling>
        <c:delete val="0"/>
        <c:axPos val="l"/>
        <c:majorGridlines>
          <c:spPr>
            <a:ln w="9525" cap="flat" cmpd="sng" algn="ctr">
              <a:solidFill>
                <a:schemeClr val="tx1">
                  <a:lumMod val="15000"/>
                  <a:lumOff val="85000"/>
                </a:schemeClr>
              </a:solidFill>
              <a:round/>
            </a:ln>
            <a:effectLst/>
          </c:spPr>
        </c:majorGridlines>
        <c:title>
          <c:tx>
            <c:strRef>
              <c:f>'Monthly Data Input'!$C$148</c:f>
              <c:strCache>
                <c:ptCount val="1"/>
                <c:pt idx="0">
                  <c:v>Copper- T 380-A DIU</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2245199"/>
        <c:crosses val="autoZero"/>
        <c:crossBetween val="between"/>
      </c:valAx>
      <c:valAx>
        <c:axId val="1258400303"/>
        <c:scaling>
          <c:orientation val="minMax"/>
          <c:max val="1"/>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58402383"/>
        <c:crosses val="max"/>
        <c:crossBetween val="between"/>
      </c:valAx>
      <c:catAx>
        <c:axId val="1258402383"/>
        <c:scaling>
          <c:orientation val="minMax"/>
        </c:scaling>
        <c:delete val="1"/>
        <c:axPos val="b"/>
        <c:numFmt formatCode="General" sourceLinked="1"/>
        <c:majorTickMark val="out"/>
        <c:minorTickMark val="none"/>
        <c:tickLblPos val="nextTo"/>
        <c:crossAx val="1258400303"/>
        <c:crosses val="autoZero"/>
        <c:auto val="1"/>
        <c:lblAlgn val="ctr"/>
        <c:lblOffset val="100"/>
        <c:noMultiLvlLbl val="0"/>
      </c:catAx>
    </c:plotArea>
    <c:legend>
      <c:legendPos val="b"/>
      <c:layout>
        <c:manualLayout>
          <c:xMode val="edge"/>
          <c:yMode val="edge"/>
          <c:x val="0.18682597253086144"/>
          <c:y val="8.889290601088895E-2"/>
          <c:w val="0.6335570057692187"/>
          <c:h val="6.643747287494575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span"/>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'Monthly Data Input'!$BR$221</c:f>
          <c:strCache>
            <c:ptCount val="1"/>
            <c:pt idx="0">
              <c:v>Moyenne mensuelle (par rapport à annuelle) contre la prestation de service mensuelle réelle</c:v>
            </c:pt>
          </c:strCache>
        </c:strRef>
      </c:tx>
      <c:layout>
        <c:manualLayout>
          <c:xMode val="edge"/>
          <c:yMode val="edge"/>
          <c:x val="0.19441961421677098"/>
          <c:y val="1.083517810106952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5828434203267177E-2"/>
          <c:y val="0.16207498978867782"/>
          <c:w val="0.92845093794064892"/>
          <c:h val="0.6734747060084818"/>
        </c:manualLayout>
      </c:layout>
      <c:barChart>
        <c:barDir val="col"/>
        <c:grouping val="clustered"/>
        <c:varyColors val="0"/>
        <c:ser>
          <c:idx val="2"/>
          <c:order val="2"/>
          <c:tx>
            <c:strRef>
              <c:f>'Monthly Data Input'!$D$155:$F$155</c:f>
              <c:strCache>
                <c:ptCount val="3"/>
                <c:pt idx="0">
                  <c:v>Mois avec restrictions COVID</c:v>
                </c:pt>
              </c:strCache>
            </c:strRef>
          </c:tx>
          <c:spPr>
            <a:solidFill>
              <a:schemeClr val="accent4">
                <a:alpha val="50000"/>
              </a:schemeClr>
            </a:solidFill>
            <a:ln>
              <a:noFill/>
            </a:ln>
            <a:effectLst/>
          </c:spPr>
          <c:invertIfNegative val="0"/>
          <c:cat>
            <c:strRef>
              <c:f>'Monthly Data Input'!$G$137:$BD$137</c:f>
              <c:strCach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Jan2019</c:v>
                </c:pt>
                <c:pt idx="15">
                  <c:v>Feb2019</c:v>
                </c:pt>
                <c:pt idx="16">
                  <c:v>Mar2019</c:v>
                </c:pt>
                <c:pt idx="17">
                  <c:v>Apr2019</c:v>
                </c:pt>
                <c:pt idx="18">
                  <c:v>May2019</c:v>
                </c:pt>
                <c:pt idx="19">
                  <c:v>Jun2019</c:v>
                </c:pt>
                <c:pt idx="20">
                  <c:v>Jul2019</c:v>
                </c:pt>
                <c:pt idx="21">
                  <c:v>Aug2019</c:v>
                </c:pt>
                <c:pt idx="22">
                  <c:v>Sep2019</c:v>
                </c:pt>
                <c:pt idx="23">
                  <c:v>Oct2019</c:v>
                </c:pt>
                <c:pt idx="24">
                  <c:v>Nov2019</c:v>
                </c:pt>
                <c:pt idx="25">
                  <c:v>Dec2019</c:v>
                </c:pt>
                <c:pt idx="26">
                  <c:v>Jan2020</c:v>
                </c:pt>
                <c:pt idx="27">
                  <c:v>Feb2020</c:v>
                </c:pt>
                <c:pt idx="28">
                  <c:v>Mar2020</c:v>
                </c:pt>
                <c:pt idx="29">
                  <c:v>Apr2020</c:v>
                </c:pt>
                <c:pt idx="30">
                  <c:v>May2020</c:v>
                </c:pt>
                <c:pt idx="31">
                  <c:v>Jun2020</c:v>
                </c:pt>
                <c:pt idx="32">
                  <c:v>Jul2020</c:v>
                </c:pt>
                <c:pt idx="33">
                  <c:v>Aug2020</c:v>
                </c:pt>
                <c:pt idx="34">
                  <c:v>Sep2020</c:v>
                </c:pt>
                <c:pt idx="35">
                  <c:v>Oct2020</c:v>
                </c:pt>
                <c:pt idx="36">
                  <c:v>Nov2020</c:v>
                </c:pt>
                <c:pt idx="37">
                  <c:v>Dec2020</c:v>
                </c:pt>
                <c:pt idx="38">
                  <c:v>Jan2021</c:v>
                </c:pt>
                <c:pt idx="39">
                  <c:v>Feb2021</c:v>
                </c:pt>
                <c:pt idx="40">
                  <c:v>Mar2021</c:v>
                </c:pt>
                <c:pt idx="41">
                  <c:v>Apr2021</c:v>
                </c:pt>
                <c:pt idx="42">
                  <c:v>May2021</c:v>
                </c:pt>
                <c:pt idx="43">
                  <c:v>Jun2021</c:v>
                </c:pt>
                <c:pt idx="44">
                  <c:v>Jul2021</c:v>
                </c:pt>
                <c:pt idx="45">
                  <c:v>Aug2021</c:v>
                </c:pt>
                <c:pt idx="46">
                  <c:v>Sep2021</c:v>
                </c:pt>
                <c:pt idx="47">
                  <c:v>Oct2021</c:v>
                </c:pt>
                <c:pt idx="48">
                  <c:v>Nov2021</c:v>
                </c:pt>
                <c:pt idx="49">
                  <c:v>Dec2021</c:v>
                </c:pt>
              </c:strCache>
            </c:strRef>
          </c:cat>
          <c:val>
            <c:numRef>
              <c:f>'Monthly Data Input'!$G$155:$BD$155</c:f>
              <c:numCache>
                <c:formatCode>#,##0</c:formatCode>
                <c:ptCount val="50"/>
                <c:pt idx="14">
                  <c:v>0</c:v>
                </c:pt>
                <c:pt idx="15">
                  <c:v>0</c:v>
                </c:pt>
                <c:pt idx="16">
                  <c:v>0</c:v>
                </c:pt>
                <c:pt idx="17">
                  <c:v>0</c:v>
                </c:pt>
                <c:pt idx="18">
                  <c:v>0</c:v>
                </c:pt>
                <c:pt idx="19">
                  <c:v>0</c:v>
                </c:pt>
                <c:pt idx="20">
                  <c:v>0</c:v>
                </c:pt>
                <c:pt idx="21">
                  <c:v>0</c:v>
                </c:pt>
                <c:pt idx="22">
                  <c:v>0</c:v>
                </c:pt>
                <c:pt idx="23">
                  <c:v>0</c:v>
                </c:pt>
                <c:pt idx="24">
                  <c:v>0</c:v>
                </c:pt>
                <c:pt idx="25">
                  <c:v>0</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numCache>
            </c:numRef>
          </c:val>
          <c:extLst>
            <c:ext xmlns:c16="http://schemas.microsoft.com/office/drawing/2014/chart" uri="{C3380CC4-5D6E-409C-BE32-E72D297353CC}">
              <c16:uniqueId val="{00000000-53F2-48E0-AD74-936CA7485857}"/>
            </c:ext>
          </c:extLst>
        </c:ser>
        <c:dLbls>
          <c:showLegendKey val="0"/>
          <c:showVal val="0"/>
          <c:showCatName val="0"/>
          <c:showSerName val="0"/>
          <c:showPercent val="0"/>
          <c:showBubbleSize val="0"/>
        </c:dLbls>
        <c:gapWidth val="0"/>
        <c:axId val="1258402383"/>
        <c:axId val="1258400303"/>
      </c:barChart>
      <c:lineChart>
        <c:grouping val="standard"/>
        <c:varyColors val="0"/>
        <c:ser>
          <c:idx val="0"/>
          <c:order val="0"/>
          <c:tx>
            <c:strRef>
              <c:f>'Monthly Data Input'!$D$153:$F$153</c:f>
              <c:strCache>
                <c:ptCount val="3"/>
                <c:pt idx="0">
                  <c:v>Les données mensuelles</c:v>
                </c:pt>
              </c:strCache>
            </c:strRef>
          </c:tx>
          <c:spPr>
            <a:ln w="28575" cap="rnd">
              <a:solidFill>
                <a:schemeClr val="accent1"/>
              </a:solidFill>
              <a:round/>
            </a:ln>
            <a:effectLst/>
          </c:spPr>
          <c:marker>
            <c:symbol val="circle"/>
            <c:size val="10"/>
            <c:spPr>
              <a:solidFill>
                <a:schemeClr val="accent1"/>
              </a:solidFill>
              <a:ln w="9525">
                <a:solidFill>
                  <a:schemeClr val="accent1"/>
                </a:solidFill>
              </a:ln>
              <a:effectLst/>
            </c:spPr>
          </c:marker>
          <c:cat>
            <c:strRef>
              <c:f>'Monthly Data Input'!$G$137:$BD$137</c:f>
              <c:strCach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Jan2019</c:v>
                </c:pt>
                <c:pt idx="15">
                  <c:v>Feb2019</c:v>
                </c:pt>
                <c:pt idx="16">
                  <c:v>Mar2019</c:v>
                </c:pt>
                <c:pt idx="17">
                  <c:v>Apr2019</c:v>
                </c:pt>
                <c:pt idx="18">
                  <c:v>May2019</c:v>
                </c:pt>
                <c:pt idx="19">
                  <c:v>Jun2019</c:v>
                </c:pt>
                <c:pt idx="20">
                  <c:v>Jul2019</c:v>
                </c:pt>
                <c:pt idx="21">
                  <c:v>Aug2019</c:v>
                </c:pt>
                <c:pt idx="22">
                  <c:v>Sep2019</c:v>
                </c:pt>
                <c:pt idx="23">
                  <c:v>Oct2019</c:v>
                </c:pt>
                <c:pt idx="24">
                  <c:v>Nov2019</c:v>
                </c:pt>
                <c:pt idx="25">
                  <c:v>Dec2019</c:v>
                </c:pt>
                <c:pt idx="26">
                  <c:v>Jan2020</c:v>
                </c:pt>
                <c:pt idx="27">
                  <c:v>Feb2020</c:v>
                </c:pt>
                <c:pt idx="28">
                  <c:v>Mar2020</c:v>
                </c:pt>
                <c:pt idx="29">
                  <c:v>Apr2020</c:v>
                </c:pt>
                <c:pt idx="30">
                  <c:v>May2020</c:v>
                </c:pt>
                <c:pt idx="31">
                  <c:v>Jun2020</c:v>
                </c:pt>
                <c:pt idx="32">
                  <c:v>Jul2020</c:v>
                </c:pt>
                <c:pt idx="33">
                  <c:v>Aug2020</c:v>
                </c:pt>
                <c:pt idx="34">
                  <c:v>Sep2020</c:v>
                </c:pt>
                <c:pt idx="35">
                  <c:v>Oct2020</c:v>
                </c:pt>
                <c:pt idx="36">
                  <c:v>Nov2020</c:v>
                </c:pt>
                <c:pt idx="37">
                  <c:v>Dec2020</c:v>
                </c:pt>
                <c:pt idx="38">
                  <c:v>Jan2021</c:v>
                </c:pt>
                <c:pt idx="39">
                  <c:v>Feb2021</c:v>
                </c:pt>
                <c:pt idx="40">
                  <c:v>Mar2021</c:v>
                </c:pt>
                <c:pt idx="41">
                  <c:v>Apr2021</c:v>
                </c:pt>
                <c:pt idx="42">
                  <c:v>May2021</c:v>
                </c:pt>
                <c:pt idx="43">
                  <c:v>Jun2021</c:v>
                </c:pt>
                <c:pt idx="44">
                  <c:v>Jul2021</c:v>
                </c:pt>
                <c:pt idx="45">
                  <c:v>Aug2021</c:v>
                </c:pt>
                <c:pt idx="46">
                  <c:v>Sep2021</c:v>
                </c:pt>
                <c:pt idx="47">
                  <c:v>Oct2021</c:v>
                </c:pt>
                <c:pt idx="48">
                  <c:v>Nov2021</c:v>
                </c:pt>
                <c:pt idx="49">
                  <c:v>Dec2021</c:v>
                </c:pt>
              </c:strCache>
            </c:strRef>
          </c:cat>
          <c:val>
            <c:numRef>
              <c:f>'Monthly Data Input'!$G$153:$BD$153</c:f>
              <c:numCache>
                <c:formatCode>#,##0</c:formatCod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smooth val="1"/>
          <c:extLst>
            <c:ext xmlns:c16="http://schemas.microsoft.com/office/drawing/2014/chart" uri="{C3380CC4-5D6E-409C-BE32-E72D297353CC}">
              <c16:uniqueId val="{00000001-53F2-48E0-AD74-936CA7485857}"/>
            </c:ext>
          </c:extLst>
        </c:ser>
        <c:ser>
          <c:idx val="1"/>
          <c:order val="1"/>
          <c:tx>
            <c:strRef>
              <c:f>'Monthly Data Input'!$D$154:$F$154</c:f>
              <c:strCache>
                <c:ptCount val="3"/>
                <c:pt idx="0">
                  <c:v>Les données annuelles (moyenne mensuelle)</c:v>
                </c:pt>
              </c:strCache>
            </c:strRef>
          </c:tx>
          <c:spPr>
            <a:ln w="28575" cap="rnd">
              <a:solidFill>
                <a:schemeClr val="tx2"/>
              </a:solidFill>
              <a:round/>
            </a:ln>
            <a:effectLst/>
          </c:spPr>
          <c:marker>
            <c:symbol val="circle"/>
            <c:size val="10"/>
            <c:spPr>
              <a:solidFill>
                <a:schemeClr val="tx2"/>
              </a:solidFill>
              <a:ln w="9525">
                <a:solidFill>
                  <a:schemeClr val="tx2"/>
                </a:solidFill>
              </a:ln>
              <a:effectLst/>
            </c:spPr>
          </c:marker>
          <c:cat>
            <c:strRef>
              <c:f>'Monthly Data Input'!$G$137:$BD$137</c:f>
              <c:strCach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Jan2019</c:v>
                </c:pt>
                <c:pt idx="15">
                  <c:v>Feb2019</c:v>
                </c:pt>
                <c:pt idx="16">
                  <c:v>Mar2019</c:v>
                </c:pt>
                <c:pt idx="17">
                  <c:v>Apr2019</c:v>
                </c:pt>
                <c:pt idx="18">
                  <c:v>May2019</c:v>
                </c:pt>
                <c:pt idx="19">
                  <c:v>Jun2019</c:v>
                </c:pt>
                <c:pt idx="20">
                  <c:v>Jul2019</c:v>
                </c:pt>
                <c:pt idx="21">
                  <c:v>Aug2019</c:v>
                </c:pt>
                <c:pt idx="22">
                  <c:v>Sep2019</c:v>
                </c:pt>
                <c:pt idx="23">
                  <c:v>Oct2019</c:v>
                </c:pt>
                <c:pt idx="24">
                  <c:v>Nov2019</c:v>
                </c:pt>
                <c:pt idx="25">
                  <c:v>Dec2019</c:v>
                </c:pt>
                <c:pt idx="26">
                  <c:v>Jan2020</c:v>
                </c:pt>
                <c:pt idx="27">
                  <c:v>Feb2020</c:v>
                </c:pt>
                <c:pt idx="28">
                  <c:v>Mar2020</c:v>
                </c:pt>
                <c:pt idx="29">
                  <c:v>Apr2020</c:v>
                </c:pt>
                <c:pt idx="30">
                  <c:v>May2020</c:v>
                </c:pt>
                <c:pt idx="31">
                  <c:v>Jun2020</c:v>
                </c:pt>
                <c:pt idx="32">
                  <c:v>Jul2020</c:v>
                </c:pt>
                <c:pt idx="33">
                  <c:v>Aug2020</c:v>
                </c:pt>
                <c:pt idx="34">
                  <c:v>Sep2020</c:v>
                </c:pt>
                <c:pt idx="35">
                  <c:v>Oct2020</c:v>
                </c:pt>
                <c:pt idx="36">
                  <c:v>Nov2020</c:v>
                </c:pt>
                <c:pt idx="37">
                  <c:v>Dec2020</c:v>
                </c:pt>
                <c:pt idx="38">
                  <c:v>Jan2021</c:v>
                </c:pt>
                <c:pt idx="39">
                  <c:v>Feb2021</c:v>
                </c:pt>
                <c:pt idx="40">
                  <c:v>Mar2021</c:v>
                </c:pt>
                <c:pt idx="41">
                  <c:v>Apr2021</c:v>
                </c:pt>
                <c:pt idx="42">
                  <c:v>May2021</c:v>
                </c:pt>
                <c:pt idx="43">
                  <c:v>Jun2021</c:v>
                </c:pt>
                <c:pt idx="44">
                  <c:v>Jul2021</c:v>
                </c:pt>
                <c:pt idx="45">
                  <c:v>Aug2021</c:v>
                </c:pt>
                <c:pt idx="46">
                  <c:v>Sep2021</c:v>
                </c:pt>
                <c:pt idx="47">
                  <c:v>Oct2021</c:v>
                </c:pt>
                <c:pt idx="48">
                  <c:v>Nov2021</c:v>
                </c:pt>
                <c:pt idx="49">
                  <c:v>Dec2021</c:v>
                </c:pt>
              </c:strCache>
            </c:strRef>
          </c:cat>
          <c:val>
            <c:numRef>
              <c:f>'Monthly Data Input'!$G$154:$BD$154</c:f>
              <c:numCache>
                <c:formatCode>#,##0</c:formatCod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numCache>
            </c:numRef>
          </c:val>
          <c:smooth val="1"/>
          <c:extLst>
            <c:ext xmlns:c16="http://schemas.microsoft.com/office/drawing/2014/chart" uri="{C3380CC4-5D6E-409C-BE32-E72D297353CC}">
              <c16:uniqueId val="{00000002-53F2-48E0-AD74-936CA7485857}"/>
            </c:ext>
          </c:extLst>
        </c:ser>
        <c:dLbls>
          <c:showLegendKey val="0"/>
          <c:showVal val="0"/>
          <c:showCatName val="0"/>
          <c:showSerName val="0"/>
          <c:showPercent val="0"/>
          <c:showBubbleSize val="0"/>
        </c:dLbls>
        <c:marker val="1"/>
        <c:smooth val="0"/>
        <c:axId val="1522245199"/>
        <c:axId val="1522244367"/>
      </c:lineChart>
      <c:catAx>
        <c:axId val="15222451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2244367"/>
        <c:crosses val="autoZero"/>
        <c:auto val="1"/>
        <c:lblAlgn val="ctr"/>
        <c:lblOffset val="100"/>
        <c:noMultiLvlLbl val="0"/>
      </c:catAx>
      <c:valAx>
        <c:axId val="1522244367"/>
        <c:scaling>
          <c:orientation val="minMax"/>
          <c:min val="0"/>
        </c:scaling>
        <c:delete val="0"/>
        <c:axPos val="l"/>
        <c:majorGridlines>
          <c:spPr>
            <a:ln w="9525" cap="flat" cmpd="sng" algn="ctr">
              <a:solidFill>
                <a:schemeClr val="tx1">
                  <a:lumMod val="15000"/>
                  <a:lumOff val="85000"/>
                </a:schemeClr>
              </a:solidFill>
              <a:round/>
            </a:ln>
            <a:effectLst/>
          </c:spPr>
        </c:majorGridlines>
        <c:title>
          <c:tx>
            <c:strRef>
              <c:f>'Monthly Data Input'!$B$282:$B$292</c:f>
              <c:strCache>
                <c:ptCount val="11"/>
                <c:pt idx="0">
                  <c:v>DIU Hormonal (LNG-IUS)</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2245199"/>
        <c:crosses val="autoZero"/>
        <c:crossBetween val="between"/>
      </c:valAx>
      <c:valAx>
        <c:axId val="1258400303"/>
        <c:scaling>
          <c:orientation val="minMax"/>
          <c:max val="1"/>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58402383"/>
        <c:crosses val="max"/>
        <c:crossBetween val="between"/>
      </c:valAx>
      <c:catAx>
        <c:axId val="1258402383"/>
        <c:scaling>
          <c:orientation val="minMax"/>
        </c:scaling>
        <c:delete val="1"/>
        <c:axPos val="b"/>
        <c:numFmt formatCode="General" sourceLinked="1"/>
        <c:majorTickMark val="out"/>
        <c:minorTickMark val="none"/>
        <c:tickLblPos val="nextTo"/>
        <c:crossAx val="1258400303"/>
        <c:crosses val="autoZero"/>
        <c:auto val="1"/>
        <c:lblAlgn val="ctr"/>
        <c:lblOffset val="100"/>
        <c:noMultiLvlLbl val="0"/>
      </c:catAx>
    </c:plotArea>
    <c:legend>
      <c:legendPos val="b"/>
      <c:layout>
        <c:manualLayout>
          <c:xMode val="edge"/>
          <c:yMode val="edge"/>
          <c:x val="0.18682597253086144"/>
          <c:y val="8.889290601088895E-2"/>
          <c:w val="0.6335570057692187"/>
          <c:h val="6.643747287494575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span"/>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'Monthly Data Input'!$BR$221</c:f>
          <c:strCache>
            <c:ptCount val="1"/>
            <c:pt idx="0">
              <c:v>Moyenne mensuelle (par rapport à annuelle) contre la prestation de service mensuelle réelle</c:v>
            </c:pt>
          </c:strCache>
        </c:strRef>
      </c:tx>
      <c:layout>
        <c:manualLayout>
          <c:xMode val="edge"/>
          <c:yMode val="edge"/>
          <c:x val="0.19278690629600251"/>
          <c:y val="2.341758188119295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5828434203267177E-2"/>
          <c:y val="0.16207498978867782"/>
          <c:w val="0.92845093794064892"/>
          <c:h val="0.69807233855615747"/>
        </c:manualLayout>
      </c:layout>
      <c:barChart>
        <c:barDir val="col"/>
        <c:grouping val="clustered"/>
        <c:varyColors val="0"/>
        <c:ser>
          <c:idx val="2"/>
          <c:order val="2"/>
          <c:tx>
            <c:strRef>
              <c:f>'Monthly Data Input'!$D$160:$F$160</c:f>
              <c:strCache>
                <c:ptCount val="3"/>
                <c:pt idx="0">
                  <c:v>Mois avec restrictions COVID</c:v>
                </c:pt>
              </c:strCache>
            </c:strRef>
          </c:tx>
          <c:spPr>
            <a:solidFill>
              <a:schemeClr val="accent4">
                <a:alpha val="50000"/>
              </a:schemeClr>
            </a:solidFill>
            <a:ln>
              <a:noFill/>
            </a:ln>
            <a:effectLst/>
          </c:spPr>
          <c:invertIfNegative val="0"/>
          <c:cat>
            <c:strRef>
              <c:f>'Monthly Data Input'!$G$137:$BD$137</c:f>
              <c:strCach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Jan2019</c:v>
                </c:pt>
                <c:pt idx="15">
                  <c:v>Feb2019</c:v>
                </c:pt>
                <c:pt idx="16">
                  <c:v>Mar2019</c:v>
                </c:pt>
                <c:pt idx="17">
                  <c:v>Apr2019</c:v>
                </c:pt>
                <c:pt idx="18">
                  <c:v>May2019</c:v>
                </c:pt>
                <c:pt idx="19">
                  <c:v>Jun2019</c:v>
                </c:pt>
                <c:pt idx="20">
                  <c:v>Jul2019</c:v>
                </c:pt>
                <c:pt idx="21">
                  <c:v>Aug2019</c:v>
                </c:pt>
                <c:pt idx="22">
                  <c:v>Sep2019</c:v>
                </c:pt>
                <c:pt idx="23">
                  <c:v>Oct2019</c:v>
                </c:pt>
                <c:pt idx="24">
                  <c:v>Nov2019</c:v>
                </c:pt>
                <c:pt idx="25">
                  <c:v>Dec2019</c:v>
                </c:pt>
                <c:pt idx="26">
                  <c:v>Jan2020</c:v>
                </c:pt>
                <c:pt idx="27">
                  <c:v>Feb2020</c:v>
                </c:pt>
                <c:pt idx="28">
                  <c:v>Mar2020</c:v>
                </c:pt>
                <c:pt idx="29">
                  <c:v>Apr2020</c:v>
                </c:pt>
                <c:pt idx="30">
                  <c:v>May2020</c:v>
                </c:pt>
                <c:pt idx="31">
                  <c:v>Jun2020</c:v>
                </c:pt>
                <c:pt idx="32">
                  <c:v>Jul2020</c:v>
                </c:pt>
                <c:pt idx="33">
                  <c:v>Aug2020</c:v>
                </c:pt>
                <c:pt idx="34">
                  <c:v>Sep2020</c:v>
                </c:pt>
                <c:pt idx="35">
                  <c:v>Oct2020</c:v>
                </c:pt>
                <c:pt idx="36">
                  <c:v>Nov2020</c:v>
                </c:pt>
                <c:pt idx="37">
                  <c:v>Dec2020</c:v>
                </c:pt>
                <c:pt idx="38">
                  <c:v>Jan2021</c:v>
                </c:pt>
                <c:pt idx="39">
                  <c:v>Feb2021</c:v>
                </c:pt>
                <c:pt idx="40">
                  <c:v>Mar2021</c:v>
                </c:pt>
                <c:pt idx="41">
                  <c:v>Apr2021</c:v>
                </c:pt>
                <c:pt idx="42">
                  <c:v>May2021</c:v>
                </c:pt>
                <c:pt idx="43">
                  <c:v>Jun2021</c:v>
                </c:pt>
                <c:pt idx="44">
                  <c:v>Jul2021</c:v>
                </c:pt>
                <c:pt idx="45">
                  <c:v>Aug2021</c:v>
                </c:pt>
                <c:pt idx="46">
                  <c:v>Sep2021</c:v>
                </c:pt>
                <c:pt idx="47">
                  <c:v>Oct2021</c:v>
                </c:pt>
                <c:pt idx="48">
                  <c:v>Nov2021</c:v>
                </c:pt>
                <c:pt idx="49">
                  <c:v>Dec2021</c:v>
                </c:pt>
              </c:strCache>
            </c:strRef>
          </c:cat>
          <c:val>
            <c:numRef>
              <c:f>'Monthly Data Input'!$G$160:$BD$160</c:f>
              <c:numCache>
                <c:formatCode>#,##0</c:formatCode>
                <c:ptCount val="50"/>
                <c:pt idx="14">
                  <c:v>0</c:v>
                </c:pt>
                <c:pt idx="15">
                  <c:v>0</c:v>
                </c:pt>
                <c:pt idx="16">
                  <c:v>0</c:v>
                </c:pt>
                <c:pt idx="17">
                  <c:v>0</c:v>
                </c:pt>
                <c:pt idx="18">
                  <c:v>0</c:v>
                </c:pt>
                <c:pt idx="19">
                  <c:v>0</c:v>
                </c:pt>
                <c:pt idx="20">
                  <c:v>0</c:v>
                </c:pt>
                <c:pt idx="21">
                  <c:v>0</c:v>
                </c:pt>
                <c:pt idx="22">
                  <c:v>0</c:v>
                </c:pt>
                <c:pt idx="23">
                  <c:v>0</c:v>
                </c:pt>
                <c:pt idx="24">
                  <c:v>0</c:v>
                </c:pt>
                <c:pt idx="25">
                  <c:v>0</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numCache>
            </c:numRef>
          </c:val>
          <c:extLst>
            <c:ext xmlns:c16="http://schemas.microsoft.com/office/drawing/2014/chart" uri="{C3380CC4-5D6E-409C-BE32-E72D297353CC}">
              <c16:uniqueId val="{00000000-E7AC-49BE-A1F4-7ED3CE3E286D}"/>
            </c:ext>
          </c:extLst>
        </c:ser>
        <c:dLbls>
          <c:showLegendKey val="0"/>
          <c:showVal val="0"/>
          <c:showCatName val="0"/>
          <c:showSerName val="0"/>
          <c:showPercent val="0"/>
          <c:showBubbleSize val="0"/>
        </c:dLbls>
        <c:gapWidth val="0"/>
        <c:axId val="1258402383"/>
        <c:axId val="1258400303"/>
      </c:barChart>
      <c:lineChart>
        <c:grouping val="standard"/>
        <c:varyColors val="0"/>
        <c:ser>
          <c:idx val="0"/>
          <c:order val="0"/>
          <c:tx>
            <c:strRef>
              <c:f>'Monthly Data Input'!$D$159:$F$159</c:f>
              <c:strCache>
                <c:ptCount val="3"/>
                <c:pt idx="0">
                  <c:v>Les données annuelles (moyenne mensuelle)</c:v>
                </c:pt>
              </c:strCache>
            </c:strRef>
          </c:tx>
          <c:spPr>
            <a:ln w="28575" cap="rnd">
              <a:solidFill>
                <a:schemeClr val="tx2"/>
              </a:solidFill>
              <a:round/>
            </a:ln>
            <a:effectLst/>
          </c:spPr>
          <c:marker>
            <c:symbol val="circle"/>
            <c:size val="10"/>
            <c:spPr>
              <a:solidFill>
                <a:schemeClr val="tx2"/>
              </a:solidFill>
              <a:ln w="9525">
                <a:solidFill>
                  <a:schemeClr val="tx2"/>
                </a:solidFill>
              </a:ln>
              <a:effectLst/>
            </c:spPr>
          </c:marker>
          <c:cat>
            <c:strRef>
              <c:f>'Monthly Data Input'!$G$137:$BD$137</c:f>
              <c:strCach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Jan2019</c:v>
                </c:pt>
                <c:pt idx="15">
                  <c:v>Feb2019</c:v>
                </c:pt>
                <c:pt idx="16">
                  <c:v>Mar2019</c:v>
                </c:pt>
                <c:pt idx="17">
                  <c:v>Apr2019</c:v>
                </c:pt>
                <c:pt idx="18">
                  <c:v>May2019</c:v>
                </c:pt>
                <c:pt idx="19">
                  <c:v>Jun2019</c:v>
                </c:pt>
                <c:pt idx="20">
                  <c:v>Jul2019</c:v>
                </c:pt>
                <c:pt idx="21">
                  <c:v>Aug2019</c:v>
                </c:pt>
                <c:pt idx="22">
                  <c:v>Sep2019</c:v>
                </c:pt>
                <c:pt idx="23">
                  <c:v>Oct2019</c:v>
                </c:pt>
                <c:pt idx="24">
                  <c:v>Nov2019</c:v>
                </c:pt>
                <c:pt idx="25">
                  <c:v>Dec2019</c:v>
                </c:pt>
                <c:pt idx="26">
                  <c:v>Jan2020</c:v>
                </c:pt>
                <c:pt idx="27">
                  <c:v>Feb2020</c:v>
                </c:pt>
                <c:pt idx="28">
                  <c:v>Mar2020</c:v>
                </c:pt>
                <c:pt idx="29">
                  <c:v>Apr2020</c:v>
                </c:pt>
                <c:pt idx="30">
                  <c:v>May2020</c:v>
                </c:pt>
                <c:pt idx="31">
                  <c:v>Jun2020</c:v>
                </c:pt>
                <c:pt idx="32">
                  <c:v>Jul2020</c:v>
                </c:pt>
                <c:pt idx="33">
                  <c:v>Aug2020</c:v>
                </c:pt>
                <c:pt idx="34">
                  <c:v>Sep2020</c:v>
                </c:pt>
                <c:pt idx="35">
                  <c:v>Oct2020</c:v>
                </c:pt>
                <c:pt idx="36">
                  <c:v>Nov2020</c:v>
                </c:pt>
                <c:pt idx="37">
                  <c:v>Dec2020</c:v>
                </c:pt>
                <c:pt idx="38">
                  <c:v>Jan2021</c:v>
                </c:pt>
                <c:pt idx="39">
                  <c:v>Feb2021</c:v>
                </c:pt>
                <c:pt idx="40">
                  <c:v>Mar2021</c:v>
                </c:pt>
                <c:pt idx="41">
                  <c:v>Apr2021</c:v>
                </c:pt>
                <c:pt idx="42">
                  <c:v>May2021</c:v>
                </c:pt>
                <c:pt idx="43">
                  <c:v>Jun2021</c:v>
                </c:pt>
                <c:pt idx="44">
                  <c:v>Jul2021</c:v>
                </c:pt>
                <c:pt idx="45">
                  <c:v>Aug2021</c:v>
                </c:pt>
                <c:pt idx="46">
                  <c:v>Sep2021</c:v>
                </c:pt>
                <c:pt idx="47">
                  <c:v>Oct2021</c:v>
                </c:pt>
                <c:pt idx="48">
                  <c:v>Nov2021</c:v>
                </c:pt>
                <c:pt idx="49">
                  <c:v>Dec2021</c:v>
                </c:pt>
              </c:strCache>
            </c:strRef>
          </c:cat>
          <c:val>
            <c:numRef>
              <c:f>'Monthly Data Input'!$G$159:$BD$159</c:f>
              <c:numCache>
                <c:formatCode>#,##0</c:formatCod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numCache>
            </c:numRef>
          </c:val>
          <c:smooth val="1"/>
          <c:extLst>
            <c:ext xmlns:c16="http://schemas.microsoft.com/office/drawing/2014/chart" uri="{C3380CC4-5D6E-409C-BE32-E72D297353CC}">
              <c16:uniqueId val="{00000001-E7AC-49BE-A1F4-7ED3CE3E286D}"/>
            </c:ext>
          </c:extLst>
        </c:ser>
        <c:ser>
          <c:idx val="1"/>
          <c:order val="1"/>
          <c:tx>
            <c:strRef>
              <c:f>'Monthly Data Input'!$D$158:$F$158</c:f>
              <c:strCache>
                <c:ptCount val="3"/>
                <c:pt idx="0">
                  <c:v>Les données mensuelles</c:v>
                </c:pt>
              </c:strCache>
            </c:strRef>
          </c:tx>
          <c:spPr>
            <a:ln w="28575" cap="rnd">
              <a:solidFill>
                <a:schemeClr val="accent1"/>
              </a:solidFill>
              <a:round/>
            </a:ln>
            <a:effectLst/>
          </c:spPr>
          <c:marker>
            <c:symbol val="circle"/>
            <c:size val="10"/>
            <c:spPr>
              <a:solidFill>
                <a:schemeClr val="accent1"/>
              </a:solidFill>
              <a:ln w="9525">
                <a:solidFill>
                  <a:schemeClr val="accent1"/>
                </a:solidFill>
              </a:ln>
              <a:effectLst/>
            </c:spPr>
          </c:marker>
          <c:cat>
            <c:strRef>
              <c:f>'Monthly Data Input'!$G$137:$BD$137</c:f>
              <c:strCach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Jan2019</c:v>
                </c:pt>
                <c:pt idx="15">
                  <c:v>Feb2019</c:v>
                </c:pt>
                <c:pt idx="16">
                  <c:v>Mar2019</c:v>
                </c:pt>
                <c:pt idx="17">
                  <c:v>Apr2019</c:v>
                </c:pt>
                <c:pt idx="18">
                  <c:v>May2019</c:v>
                </c:pt>
                <c:pt idx="19">
                  <c:v>Jun2019</c:v>
                </c:pt>
                <c:pt idx="20">
                  <c:v>Jul2019</c:v>
                </c:pt>
                <c:pt idx="21">
                  <c:v>Aug2019</c:v>
                </c:pt>
                <c:pt idx="22">
                  <c:v>Sep2019</c:v>
                </c:pt>
                <c:pt idx="23">
                  <c:v>Oct2019</c:v>
                </c:pt>
                <c:pt idx="24">
                  <c:v>Nov2019</c:v>
                </c:pt>
                <c:pt idx="25">
                  <c:v>Dec2019</c:v>
                </c:pt>
                <c:pt idx="26">
                  <c:v>Jan2020</c:v>
                </c:pt>
                <c:pt idx="27">
                  <c:v>Feb2020</c:v>
                </c:pt>
                <c:pt idx="28">
                  <c:v>Mar2020</c:v>
                </c:pt>
                <c:pt idx="29">
                  <c:v>Apr2020</c:v>
                </c:pt>
                <c:pt idx="30">
                  <c:v>May2020</c:v>
                </c:pt>
                <c:pt idx="31">
                  <c:v>Jun2020</c:v>
                </c:pt>
                <c:pt idx="32">
                  <c:v>Jul2020</c:v>
                </c:pt>
                <c:pt idx="33">
                  <c:v>Aug2020</c:v>
                </c:pt>
                <c:pt idx="34">
                  <c:v>Sep2020</c:v>
                </c:pt>
                <c:pt idx="35">
                  <c:v>Oct2020</c:v>
                </c:pt>
                <c:pt idx="36">
                  <c:v>Nov2020</c:v>
                </c:pt>
                <c:pt idx="37">
                  <c:v>Dec2020</c:v>
                </c:pt>
                <c:pt idx="38">
                  <c:v>Jan2021</c:v>
                </c:pt>
                <c:pt idx="39">
                  <c:v>Feb2021</c:v>
                </c:pt>
                <c:pt idx="40">
                  <c:v>Mar2021</c:v>
                </c:pt>
                <c:pt idx="41">
                  <c:v>Apr2021</c:v>
                </c:pt>
                <c:pt idx="42">
                  <c:v>May2021</c:v>
                </c:pt>
                <c:pt idx="43">
                  <c:v>Jun2021</c:v>
                </c:pt>
                <c:pt idx="44">
                  <c:v>Jul2021</c:v>
                </c:pt>
                <c:pt idx="45">
                  <c:v>Aug2021</c:v>
                </c:pt>
                <c:pt idx="46">
                  <c:v>Sep2021</c:v>
                </c:pt>
                <c:pt idx="47">
                  <c:v>Oct2021</c:v>
                </c:pt>
                <c:pt idx="48">
                  <c:v>Nov2021</c:v>
                </c:pt>
                <c:pt idx="49">
                  <c:v>Dec2021</c:v>
                </c:pt>
              </c:strCache>
            </c:strRef>
          </c:cat>
          <c:val>
            <c:numRef>
              <c:f>'Monthly Data Input'!$G$158:$BD$158</c:f>
              <c:numCache>
                <c:formatCode>#,##0</c:formatCod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smooth val="1"/>
          <c:extLst>
            <c:ext xmlns:c16="http://schemas.microsoft.com/office/drawing/2014/chart" uri="{C3380CC4-5D6E-409C-BE32-E72D297353CC}">
              <c16:uniqueId val="{00000002-E7AC-49BE-A1F4-7ED3CE3E286D}"/>
            </c:ext>
          </c:extLst>
        </c:ser>
        <c:dLbls>
          <c:showLegendKey val="0"/>
          <c:showVal val="0"/>
          <c:showCatName val="0"/>
          <c:showSerName val="0"/>
          <c:showPercent val="0"/>
          <c:showBubbleSize val="0"/>
        </c:dLbls>
        <c:marker val="1"/>
        <c:smooth val="0"/>
        <c:axId val="1522245199"/>
        <c:axId val="1522244367"/>
      </c:lineChart>
      <c:catAx>
        <c:axId val="15222451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2244367"/>
        <c:crosses val="autoZero"/>
        <c:auto val="1"/>
        <c:lblAlgn val="ctr"/>
        <c:lblOffset val="100"/>
        <c:noMultiLvlLbl val="0"/>
      </c:catAx>
      <c:valAx>
        <c:axId val="1522244367"/>
        <c:scaling>
          <c:orientation val="minMax"/>
          <c:min val="0"/>
        </c:scaling>
        <c:delete val="0"/>
        <c:axPos val="l"/>
        <c:majorGridlines>
          <c:spPr>
            <a:ln w="9525" cap="flat" cmpd="sng" algn="ctr">
              <a:solidFill>
                <a:schemeClr val="tx1">
                  <a:lumMod val="15000"/>
                  <a:lumOff val="85000"/>
                </a:schemeClr>
              </a:solidFill>
              <a:round/>
            </a:ln>
            <a:effectLst/>
          </c:spPr>
        </c:majorGridlines>
        <c:title>
          <c:tx>
            <c:strRef>
              <c:f>'Monthly Data Input'!$B$297</c:f>
              <c:strCache>
                <c:ptCount val="1"/>
                <c:pt idx="0">
                  <c:v>Implant de 3 ans (Implanon, Levoplant)</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2245199"/>
        <c:crosses val="autoZero"/>
        <c:crossBetween val="between"/>
      </c:valAx>
      <c:valAx>
        <c:axId val="1258400303"/>
        <c:scaling>
          <c:orientation val="minMax"/>
          <c:max val="1"/>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58402383"/>
        <c:crosses val="max"/>
        <c:crossBetween val="between"/>
      </c:valAx>
      <c:catAx>
        <c:axId val="1258402383"/>
        <c:scaling>
          <c:orientation val="minMax"/>
        </c:scaling>
        <c:delete val="1"/>
        <c:axPos val="b"/>
        <c:numFmt formatCode="General" sourceLinked="1"/>
        <c:majorTickMark val="out"/>
        <c:minorTickMark val="none"/>
        <c:tickLblPos val="nextTo"/>
        <c:crossAx val="1258400303"/>
        <c:crosses val="autoZero"/>
        <c:auto val="1"/>
        <c:lblAlgn val="ctr"/>
        <c:lblOffset val="100"/>
        <c:noMultiLvlLbl val="0"/>
      </c:catAx>
    </c:plotArea>
    <c:legend>
      <c:legendPos val="b"/>
      <c:layout>
        <c:manualLayout>
          <c:xMode val="edge"/>
          <c:yMode val="edge"/>
          <c:x val="0.18682597253086144"/>
          <c:y val="8.889290601088895E-2"/>
          <c:w val="0.6335570057692187"/>
          <c:h val="6.643747287494575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span"/>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'Monthly Data Input'!$BR$221</c:f>
          <c:strCache>
            <c:ptCount val="1"/>
            <c:pt idx="0">
              <c:v>Moyenne mensuelle (par rapport à annuelle) contre la prestation de service mensuelle réelle</c:v>
            </c:pt>
          </c:strCache>
        </c:strRef>
      </c:tx>
      <c:layout>
        <c:manualLayout>
          <c:xMode val="edge"/>
          <c:yMode val="edge"/>
          <c:x val="0.19761150275063788"/>
          <c:y val="2.584079426945791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6463769479263102E-2"/>
          <c:y val="0.16207498978867782"/>
          <c:w val="0.90781556459664647"/>
          <c:h val="0.6734747060084818"/>
        </c:manualLayout>
      </c:layout>
      <c:barChart>
        <c:barDir val="col"/>
        <c:grouping val="clustered"/>
        <c:varyColors val="0"/>
        <c:ser>
          <c:idx val="2"/>
          <c:order val="2"/>
          <c:tx>
            <c:strRef>
              <c:f>'Monthly Data Input'!$D$205:$F$205</c:f>
              <c:strCache>
                <c:ptCount val="3"/>
                <c:pt idx="0">
                  <c:v>Mois avec restrictions COVID</c:v>
                </c:pt>
              </c:strCache>
            </c:strRef>
          </c:tx>
          <c:spPr>
            <a:solidFill>
              <a:schemeClr val="accent4">
                <a:alpha val="50000"/>
              </a:schemeClr>
            </a:solidFill>
            <a:ln>
              <a:noFill/>
            </a:ln>
            <a:effectLst/>
          </c:spPr>
          <c:invertIfNegative val="0"/>
          <c:cat>
            <c:strRef>
              <c:f>'Monthly Data Input'!$G$137:$BD$137</c:f>
              <c:strCach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Jan2019</c:v>
                </c:pt>
                <c:pt idx="15">
                  <c:v>Feb2019</c:v>
                </c:pt>
                <c:pt idx="16">
                  <c:v>Mar2019</c:v>
                </c:pt>
                <c:pt idx="17">
                  <c:v>Apr2019</c:v>
                </c:pt>
                <c:pt idx="18">
                  <c:v>May2019</c:v>
                </c:pt>
                <c:pt idx="19">
                  <c:v>Jun2019</c:v>
                </c:pt>
                <c:pt idx="20">
                  <c:v>Jul2019</c:v>
                </c:pt>
                <c:pt idx="21">
                  <c:v>Aug2019</c:v>
                </c:pt>
                <c:pt idx="22">
                  <c:v>Sep2019</c:v>
                </c:pt>
                <c:pt idx="23">
                  <c:v>Oct2019</c:v>
                </c:pt>
                <c:pt idx="24">
                  <c:v>Nov2019</c:v>
                </c:pt>
                <c:pt idx="25">
                  <c:v>Dec2019</c:v>
                </c:pt>
                <c:pt idx="26">
                  <c:v>Jan2020</c:v>
                </c:pt>
                <c:pt idx="27">
                  <c:v>Feb2020</c:v>
                </c:pt>
                <c:pt idx="28">
                  <c:v>Mar2020</c:v>
                </c:pt>
                <c:pt idx="29">
                  <c:v>Apr2020</c:v>
                </c:pt>
                <c:pt idx="30">
                  <c:v>May2020</c:v>
                </c:pt>
                <c:pt idx="31">
                  <c:v>Jun2020</c:v>
                </c:pt>
                <c:pt idx="32">
                  <c:v>Jul2020</c:v>
                </c:pt>
                <c:pt idx="33">
                  <c:v>Aug2020</c:v>
                </c:pt>
                <c:pt idx="34">
                  <c:v>Sep2020</c:v>
                </c:pt>
                <c:pt idx="35">
                  <c:v>Oct2020</c:v>
                </c:pt>
                <c:pt idx="36">
                  <c:v>Nov2020</c:v>
                </c:pt>
                <c:pt idx="37">
                  <c:v>Dec2020</c:v>
                </c:pt>
                <c:pt idx="38">
                  <c:v>Jan2021</c:v>
                </c:pt>
                <c:pt idx="39">
                  <c:v>Feb2021</c:v>
                </c:pt>
                <c:pt idx="40">
                  <c:v>Mar2021</c:v>
                </c:pt>
                <c:pt idx="41">
                  <c:v>Apr2021</c:v>
                </c:pt>
                <c:pt idx="42">
                  <c:v>May2021</c:v>
                </c:pt>
                <c:pt idx="43">
                  <c:v>Jun2021</c:v>
                </c:pt>
                <c:pt idx="44">
                  <c:v>Jul2021</c:v>
                </c:pt>
                <c:pt idx="45">
                  <c:v>Aug2021</c:v>
                </c:pt>
                <c:pt idx="46">
                  <c:v>Sep2021</c:v>
                </c:pt>
                <c:pt idx="47">
                  <c:v>Oct2021</c:v>
                </c:pt>
                <c:pt idx="48">
                  <c:v>Nov2021</c:v>
                </c:pt>
                <c:pt idx="49">
                  <c:v>Dec2021</c:v>
                </c:pt>
              </c:strCache>
            </c:strRef>
          </c:cat>
          <c:val>
            <c:numRef>
              <c:f>'Monthly Data Input'!$G$205:$BD$205</c:f>
              <c:numCache>
                <c:formatCode>#,##0</c:formatCode>
                <c:ptCount val="50"/>
                <c:pt idx="14">
                  <c:v>0</c:v>
                </c:pt>
                <c:pt idx="15">
                  <c:v>0</c:v>
                </c:pt>
                <c:pt idx="16">
                  <c:v>0</c:v>
                </c:pt>
                <c:pt idx="17">
                  <c:v>0</c:v>
                </c:pt>
                <c:pt idx="18">
                  <c:v>0</c:v>
                </c:pt>
                <c:pt idx="19">
                  <c:v>0</c:v>
                </c:pt>
                <c:pt idx="20">
                  <c:v>0</c:v>
                </c:pt>
                <c:pt idx="21">
                  <c:v>0</c:v>
                </c:pt>
                <c:pt idx="22">
                  <c:v>0</c:v>
                </c:pt>
                <c:pt idx="23">
                  <c:v>0</c:v>
                </c:pt>
                <c:pt idx="24">
                  <c:v>0</c:v>
                </c:pt>
                <c:pt idx="25">
                  <c:v>0</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numCache>
            </c:numRef>
          </c:val>
          <c:extLst>
            <c:ext xmlns:c16="http://schemas.microsoft.com/office/drawing/2014/chart" uri="{C3380CC4-5D6E-409C-BE32-E72D297353CC}">
              <c16:uniqueId val="{00000000-0629-4091-BD91-8423305F9D33}"/>
            </c:ext>
          </c:extLst>
        </c:ser>
        <c:dLbls>
          <c:showLegendKey val="0"/>
          <c:showVal val="0"/>
          <c:showCatName val="0"/>
          <c:showSerName val="0"/>
          <c:showPercent val="0"/>
          <c:showBubbleSize val="0"/>
        </c:dLbls>
        <c:gapWidth val="0"/>
        <c:axId val="1258402383"/>
        <c:axId val="1258400303"/>
      </c:barChart>
      <c:lineChart>
        <c:grouping val="standard"/>
        <c:varyColors val="0"/>
        <c:ser>
          <c:idx val="0"/>
          <c:order val="0"/>
          <c:tx>
            <c:strRef>
              <c:f>'Monthly Data Input'!$D$204:$F$204</c:f>
              <c:strCache>
                <c:ptCount val="3"/>
                <c:pt idx="0">
                  <c:v>Les données annuelles (moyenne mensuelle)</c:v>
                </c:pt>
              </c:strCache>
            </c:strRef>
          </c:tx>
          <c:spPr>
            <a:ln w="28575" cap="rnd">
              <a:solidFill>
                <a:schemeClr val="tx2"/>
              </a:solidFill>
              <a:round/>
            </a:ln>
            <a:effectLst/>
          </c:spPr>
          <c:marker>
            <c:symbol val="circle"/>
            <c:size val="10"/>
            <c:spPr>
              <a:solidFill>
                <a:schemeClr val="tx2"/>
              </a:solidFill>
              <a:ln w="9525">
                <a:solidFill>
                  <a:schemeClr val="tx2"/>
                </a:solidFill>
              </a:ln>
              <a:effectLst/>
            </c:spPr>
          </c:marker>
          <c:cat>
            <c:strRef>
              <c:f>'Monthly Data Input'!$G$137:$BD$137</c:f>
              <c:strCach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Jan2019</c:v>
                </c:pt>
                <c:pt idx="15">
                  <c:v>Feb2019</c:v>
                </c:pt>
                <c:pt idx="16">
                  <c:v>Mar2019</c:v>
                </c:pt>
                <c:pt idx="17">
                  <c:v>Apr2019</c:v>
                </c:pt>
                <c:pt idx="18">
                  <c:v>May2019</c:v>
                </c:pt>
                <c:pt idx="19">
                  <c:v>Jun2019</c:v>
                </c:pt>
                <c:pt idx="20">
                  <c:v>Jul2019</c:v>
                </c:pt>
                <c:pt idx="21">
                  <c:v>Aug2019</c:v>
                </c:pt>
                <c:pt idx="22">
                  <c:v>Sep2019</c:v>
                </c:pt>
                <c:pt idx="23">
                  <c:v>Oct2019</c:v>
                </c:pt>
                <c:pt idx="24">
                  <c:v>Nov2019</c:v>
                </c:pt>
                <c:pt idx="25">
                  <c:v>Dec2019</c:v>
                </c:pt>
                <c:pt idx="26">
                  <c:v>Jan2020</c:v>
                </c:pt>
                <c:pt idx="27">
                  <c:v>Feb2020</c:v>
                </c:pt>
                <c:pt idx="28">
                  <c:v>Mar2020</c:v>
                </c:pt>
                <c:pt idx="29">
                  <c:v>Apr2020</c:v>
                </c:pt>
                <c:pt idx="30">
                  <c:v>May2020</c:v>
                </c:pt>
                <c:pt idx="31">
                  <c:v>Jun2020</c:v>
                </c:pt>
                <c:pt idx="32">
                  <c:v>Jul2020</c:v>
                </c:pt>
                <c:pt idx="33">
                  <c:v>Aug2020</c:v>
                </c:pt>
                <c:pt idx="34">
                  <c:v>Sep2020</c:v>
                </c:pt>
                <c:pt idx="35">
                  <c:v>Oct2020</c:v>
                </c:pt>
                <c:pt idx="36">
                  <c:v>Nov2020</c:v>
                </c:pt>
                <c:pt idx="37">
                  <c:v>Dec2020</c:v>
                </c:pt>
                <c:pt idx="38">
                  <c:v>Jan2021</c:v>
                </c:pt>
                <c:pt idx="39">
                  <c:v>Feb2021</c:v>
                </c:pt>
                <c:pt idx="40">
                  <c:v>Mar2021</c:v>
                </c:pt>
                <c:pt idx="41">
                  <c:v>Apr2021</c:v>
                </c:pt>
                <c:pt idx="42">
                  <c:v>May2021</c:v>
                </c:pt>
                <c:pt idx="43">
                  <c:v>Jun2021</c:v>
                </c:pt>
                <c:pt idx="44">
                  <c:v>Jul2021</c:v>
                </c:pt>
                <c:pt idx="45">
                  <c:v>Aug2021</c:v>
                </c:pt>
                <c:pt idx="46">
                  <c:v>Sep2021</c:v>
                </c:pt>
                <c:pt idx="47">
                  <c:v>Oct2021</c:v>
                </c:pt>
                <c:pt idx="48">
                  <c:v>Nov2021</c:v>
                </c:pt>
                <c:pt idx="49">
                  <c:v>Dec2021</c:v>
                </c:pt>
              </c:strCache>
            </c:strRef>
          </c:cat>
          <c:val>
            <c:numRef>
              <c:f>'Monthly Data Input'!$G$204:$BD$204</c:f>
              <c:numCache>
                <c:formatCode>#,##0</c:formatCod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numCache>
            </c:numRef>
          </c:val>
          <c:smooth val="1"/>
          <c:extLst>
            <c:ext xmlns:c16="http://schemas.microsoft.com/office/drawing/2014/chart" uri="{C3380CC4-5D6E-409C-BE32-E72D297353CC}">
              <c16:uniqueId val="{00000001-0629-4091-BD91-8423305F9D33}"/>
            </c:ext>
          </c:extLst>
        </c:ser>
        <c:ser>
          <c:idx val="1"/>
          <c:order val="1"/>
          <c:tx>
            <c:strRef>
              <c:f>'Monthly Data Input'!$D$203:$F$203</c:f>
              <c:strCache>
                <c:ptCount val="3"/>
                <c:pt idx="0">
                  <c:v>Les données mensuelles</c:v>
                </c:pt>
              </c:strCache>
            </c:strRef>
          </c:tx>
          <c:spPr>
            <a:ln w="28575" cap="rnd">
              <a:solidFill>
                <a:schemeClr val="accent1"/>
              </a:solidFill>
              <a:round/>
            </a:ln>
            <a:effectLst/>
          </c:spPr>
          <c:marker>
            <c:symbol val="circle"/>
            <c:size val="10"/>
            <c:spPr>
              <a:solidFill>
                <a:schemeClr val="accent1"/>
              </a:solidFill>
              <a:ln w="9525">
                <a:solidFill>
                  <a:schemeClr val="accent1"/>
                </a:solidFill>
              </a:ln>
              <a:effectLst/>
            </c:spPr>
          </c:marker>
          <c:cat>
            <c:strRef>
              <c:f>'Monthly Data Input'!$G$137:$BD$137</c:f>
              <c:strCach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Jan2019</c:v>
                </c:pt>
                <c:pt idx="15">
                  <c:v>Feb2019</c:v>
                </c:pt>
                <c:pt idx="16">
                  <c:v>Mar2019</c:v>
                </c:pt>
                <c:pt idx="17">
                  <c:v>Apr2019</c:v>
                </c:pt>
                <c:pt idx="18">
                  <c:v>May2019</c:v>
                </c:pt>
                <c:pt idx="19">
                  <c:v>Jun2019</c:v>
                </c:pt>
                <c:pt idx="20">
                  <c:v>Jul2019</c:v>
                </c:pt>
                <c:pt idx="21">
                  <c:v>Aug2019</c:v>
                </c:pt>
                <c:pt idx="22">
                  <c:v>Sep2019</c:v>
                </c:pt>
                <c:pt idx="23">
                  <c:v>Oct2019</c:v>
                </c:pt>
                <c:pt idx="24">
                  <c:v>Nov2019</c:v>
                </c:pt>
                <c:pt idx="25">
                  <c:v>Dec2019</c:v>
                </c:pt>
                <c:pt idx="26">
                  <c:v>Jan2020</c:v>
                </c:pt>
                <c:pt idx="27">
                  <c:v>Feb2020</c:v>
                </c:pt>
                <c:pt idx="28">
                  <c:v>Mar2020</c:v>
                </c:pt>
                <c:pt idx="29">
                  <c:v>Apr2020</c:v>
                </c:pt>
                <c:pt idx="30">
                  <c:v>May2020</c:v>
                </c:pt>
                <c:pt idx="31">
                  <c:v>Jun2020</c:v>
                </c:pt>
                <c:pt idx="32">
                  <c:v>Jul2020</c:v>
                </c:pt>
                <c:pt idx="33">
                  <c:v>Aug2020</c:v>
                </c:pt>
                <c:pt idx="34">
                  <c:v>Sep2020</c:v>
                </c:pt>
                <c:pt idx="35">
                  <c:v>Oct2020</c:v>
                </c:pt>
                <c:pt idx="36">
                  <c:v>Nov2020</c:v>
                </c:pt>
                <c:pt idx="37">
                  <c:v>Dec2020</c:v>
                </c:pt>
                <c:pt idx="38">
                  <c:v>Jan2021</c:v>
                </c:pt>
                <c:pt idx="39">
                  <c:v>Feb2021</c:v>
                </c:pt>
                <c:pt idx="40">
                  <c:v>Mar2021</c:v>
                </c:pt>
                <c:pt idx="41">
                  <c:v>Apr2021</c:v>
                </c:pt>
                <c:pt idx="42">
                  <c:v>May2021</c:v>
                </c:pt>
                <c:pt idx="43">
                  <c:v>Jun2021</c:v>
                </c:pt>
                <c:pt idx="44">
                  <c:v>Jul2021</c:v>
                </c:pt>
                <c:pt idx="45">
                  <c:v>Aug2021</c:v>
                </c:pt>
                <c:pt idx="46">
                  <c:v>Sep2021</c:v>
                </c:pt>
                <c:pt idx="47">
                  <c:v>Oct2021</c:v>
                </c:pt>
                <c:pt idx="48">
                  <c:v>Nov2021</c:v>
                </c:pt>
                <c:pt idx="49">
                  <c:v>Dec2021</c:v>
                </c:pt>
              </c:strCache>
            </c:strRef>
          </c:cat>
          <c:val>
            <c:numRef>
              <c:f>'Monthly Data Input'!$G$203:$BD$203</c:f>
              <c:numCache>
                <c:formatCode>#,##0</c:formatCod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smooth val="1"/>
          <c:extLst>
            <c:ext xmlns:c16="http://schemas.microsoft.com/office/drawing/2014/chart" uri="{C3380CC4-5D6E-409C-BE32-E72D297353CC}">
              <c16:uniqueId val="{00000002-0629-4091-BD91-8423305F9D33}"/>
            </c:ext>
          </c:extLst>
        </c:ser>
        <c:dLbls>
          <c:showLegendKey val="0"/>
          <c:showVal val="0"/>
          <c:showCatName val="0"/>
          <c:showSerName val="0"/>
          <c:showPercent val="0"/>
          <c:showBubbleSize val="0"/>
        </c:dLbls>
        <c:marker val="1"/>
        <c:smooth val="0"/>
        <c:axId val="1522245199"/>
        <c:axId val="1522244367"/>
      </c:lineChart>
      <c:catAx>
        <c:axId val="15222451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2244367"/>
        <c:crosses val="autoZero"/>
        <c:auto val="1"/>
        <c:lblAlgn val="ctr"/>
        <c:lblOffset val="100"/>
        <c:noMultiLvlLbl val="0"/>
      </c:catAx>
      <c:valAx>
        <c:axId val="1522244367"/>
        <c:scaling>
          <c:orientation val="minMax"/>
          <c:min val="0"/>
        </c:scaling>
        <c:delete val="0"/>
        <c:axPos val="l"/>
        <c:majorGridlines>
          <c:spPr>
            <a:ln w="9525" cap="flat" cmpd="sng" algn="ctr">
              <a:solidFill>
                <a:schemeClr val="tx1">
                  <a:lumMod val="15000"/>
                  <a:lumOff val="85000"/>
                </a:schemeClr>
              </a:solidFill>
              <a:round/>
            </a:ln>
            <a:effectLst/>
          </c:spPr>
        </c:majorGridlines>
        <c:title>
          <c:tx>
            <c:strRef>
              <c:f>'Monthly Data Input'!$B$426:$B$436</c:f>
              <c:strCache>
                <c:ptCount val="11"/>
                <c:pt idx="0">
                  <c:v>Préservatifs masculin</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2245199"/>
        <c:crosses val="autoZero"/>
        <c:crossBetween val="between"/>
      </c:valAx>
      <c:valAx>
        <c:axId val="1258400303"/>
        <c:scaling>
          <c:orientation val="minMax"/>
          <c:max val="1"/>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58402383"/>
        <c:crosses val="max"/>
        <c:crossBetween val="between"/>
      </c:valAx>
      <c:catAx>
        <c:axId val="1258402383"/>
        <c:scaling>
          <c:orientation val="minMax"/>
        </c:scaling>
        <c:delete val="1"/>
        <c:axPos val="b"/>
        <c:numFmt formatCode="General" sourceLinked="1"/>
        <c:majorTickMark val="out"/>
        <c:minorTickMark val="none"/>
        <c:tickLblPos val="nextTo"/>
        <c:crossAx val="1258400303"/>
        <c:crosses val="autoZero"/>
        <c:auto val="1"/>
        <c:lblAlgn val="ctr"/>
        <c:lblOffset val="100"/>
        <c:noMultiLvlLbl val="0"/>
      </c:catAx>
    </c:plotArea>
    <c:legend>
      <c:legendPos val="b"/>
      <c:layout>
        <c:manualLayout>
          <c:xMode val="edge"/>
          <c:yMode val="edge"/>
          <c:x val="0.18682597253086144"/>
          <c:y val="8.889290601088895E-2"/>
          <c:w val="0.6335570057692187"/>
          <c:h val="6.643747287494575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span"/>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'Monthly Data Input'!$BR$221</c:f>
          <c:strCache>
            <c:ptCount val="1"/>
            <c:pt idx="0">
              <c:v>Moyenne mensuelle (par rapport à annuelle) contre la prestation de service mensuelle réelle</c:v>
            </c:pt>
          </c:strCache>
        </c:strRef>
      </c:tx>
      <c:layout>
        <c:manualLayout>
          <c:xMode val="edge"/>
          <c:yMode val="edge"/>
          <c:x val="0.2013812720131295"/>
          <c:y val="2.589864013650150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7557118884729567E-2"/>
          <c:y val="0.16207498978867782"/>
          <c:w val="0.91557035903298978"/>
          <c:h val="0.69577874079543667"/>
        </c:manualLayout>
      </c:layout>
      <c:barChart>
        <c:barDir val="col"/>
        <c:grouping val="clustered"/>
        <c:varyColors val="0"/>
        <c:ser>
          <c:idx val="2"/>
          <c:order val="2"/>
          <c:tx>
            <c:strRef>
              <c:f>'Monthly Data Input'!$D$190:$F$190</c:f>
              <c:strCache>
                <c:ptCount val="3"/>
                <c:pt idx="0">
                  <c:v>Mois avec restrictions COVID</c:v>
                </c:pt>
              </c:strCache>
            </c:strRef>
          </c:tx>
          <c:spPr>
            <a:solidFill>
              <a:schemeClr val="accent4">
                <a:alpha val="50000"/>
              </a:schemeClr>
            </a:solidFill>
            <a:ln>
              <a:noFill/>
            </a:ln>
            <a:effectLst/>
          </c:spPr>
          <c:invertIfNegative val="0"/>
          <c:cat>
            <c:strRef>
              <c:f>'Monthly Data Input'!$G$137:$BD$137</c:f>
              <c:strCach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Jan2019</c:v>
                </c:pt>
                <c:pt idx="15">
                  <c:v>Feb2019</c:v>
                </c:pt>
                <c:pt idx="16">
                  <c:v>Mar2019</c:v>
                </c:pt>
                <c:pt idx="17">
                  <c:v>Apr2019</c:v>
                </c:pt>
                <c:pt idx="18">
                  <c:v>May2019</c:v>
                </c:pt>
                <c:pt idx="19">
                  <c:v>Jun2019</c:v>
                </c:pt>
                <c:pt idx="20">
                  <c:v>Jul2019</c:v>
                </c:pt>
                <c:pt idx="21">
                  <c:v>Aug2019</c:v>
                </c:pt>
                <c:pt idx="22">
                  <c:v>Sep2019</c:v>
                </c:pt>
                <c:pt idx="23">
                  <c:v>Oct2019</c:v>
                </c:pt>
                <c:pt idx="24">
                  <c:v>Nov2019</c:v>
                </c:pt>
                <c:pt idx="25">
                  <c:v>Dec2019</c:v>
                </c:pt>
                <c:pt idx="26">
                  <c:v>Jan2020</c:v>
                </c:pt>
                <c:pt idx="27">
                  <c:v>Feb2020</c:v>
                </c:pt>
                <c:pt idx="28">
                  <c:v>Mar2020</c:v>
                </c:pt>
                <c:pt idx="29">
                  <c:v>Apr2020</c:v>
                </c:pt>
                <c:pt idx="30">
                  <c:v>May2020</c:v>
                </c:pt>
                <c:pt idx="31">
                  <c:v>Jun2020</c:v>
                </c:pt>
                <c:pt idx="32">
                  <c:v>Jul2020</c:v>
                </c:pt>
                <c:pt idx="33">
                  <c:v>Aug2020</c:v>
                </c:pt>
                <c:pt idx="34">
                  <c:v>Sep2020</c:v>
                </c:pt>
                <c:pt idx="35">
                  <c:v>Oct2020</c:v>
                </c:pt>
                <c:pt idx="36">
                  <c:v>Nov2020</c:v>
                </c:pt>
                <c:pt idx="37">
                  <c:v>Dec2020</c:v>
                </c:pt>
                <c:pt idx="38">
                  <c:v>Jan2021</c:v>
                </c:pt>
                <c:pt idx="39">
                  <c:v>Feb2021</c:v>
                </c:pt>
                <c:pt idx="40">
                  <c:v>Mar2021</c:v>
                </c:pt>
                <c:pt idx="41">
                  <c:v>Apr2021</c:v>
                </c:pt>
                <c:pt idx="42">
                  <c:v>May2021</c:v>
                </c:pt>
                <c:pt idx="43">
                  <c:v>Jun2021</c:v>
                </c:pt>
                <c:pt idx="44">
                  <c:v>Jul2021</c:v>
                </c:pt>
                <c:pt idx="45">
                  <c:v>Aug2021</c:v>
                </c:pt>
                <c:pt idx="46">
                  <c:v>Sep2021</c:v>
                </c:pt>
                <c:pt idx="47">
                  <c:v>Oct2021</c:v>
                </c:pt>
                <c:pt idx="48">
                  <c:v>Nov2021</c:v>
                </c:pt>
                <c:pt idx="49">
                  <c:v>Dec2021</c:v>
                </c:pt>
              </c:strCache>
            </c:strRef>
          </c:cat>
          <c:val>
            <c:numRef>
              <c:f>'Monthly Data Input'!$G$190:$BD$190</c:f>
              <c:numCache>
                <c:formatCode>#,##0</c:formatCode>
                <c:ptCount val="50"/>
                <c:pt idx="14">
                  <c:v>0</c:v>
                </c:pt>
                <c:pt idx="15">
                  <c:v>0</c:v>
                </c:pt>
                <c:pt idx="16">
                  <c:v>0</c:v>
                </c:pt>
                <c:pt idx="17">
                  <c:v>0</c:v>
                </c:pt>
                <c:pt idx="18">
                  <c:v>0</c:v>
                </c:pt>
                <c:pt idx="19">
                  <c:v>0</c:v>
                </c:pt>
                <c:pt idx="20">
                  <c:v>0</c:v>
                </c:pt>
                <c:pt idx="21">
                  <c:v>0</c:v>
                </c:pt>
                <c:pt idx="22">
                  <c:v>0</c:v>
                </c:pt>
                <c:pt idx="23">
                  <c:v>0</c:v>
                </c:pt>
                <c:pt idx="24">
                  <c:v>0</c:v>
                </c:pt>
                <c:pt idx="25">
                  <c:v>0</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numCache>
            </c:numRef>
          </c:val>
          <c:extLst>
            <c:ext xmlns:c16="http://schemas.microsoft.com/office/drawing/2014/chart" uri="{C3380CC4-5D6E-409C-BE32-E72D297353CC}">
              <c16:uniqueId val="{00000000-3179-4CD5-9C66-E0001A8EB116}"/>
            </c:ext>
          </c:extLst>
        </c:ser>
        <c:dLbls>
          <c:showLegendKey val="0"/>
          <c:showVal val="0"/>
          <c:showCatName val="0"/>
          <c:showSerName val="0"/>
          <c:showPercent val="0"/>
          <c:showBubbleSize val="0"/>
        </c:dLbls>
        <c:gapWidth val="0"/>
        <c:axId val="1258402383"/>
        <c:axId val="1258400303"/>
      </c:barChart>
      <c:lineChart>
        <c:grouping val="standard"/>
        <c:varyColors val="0"/>
        <c:ser>
          <c:idx val="0"/>
          <c:order val="0"/>
          <c:tx>
            <c:strRef>
              <c:f>'Monthly Data Input'!$D$189:$F$189</c:f>
              <c:strCache>
                <c:ptCount val="3"/>
                <c:pt idx="0">
                  <c:v>Les données annuelles (moyenne mensuelle)</c:v>
                </c:pt>
              </c:strCache>
            </c:strRef>
          </c:tx>
          <c:spPr>
            <a:ln w="28575" cap="rnd">
              <a:solidFill>
                <a:schemeClr val="tx2"/>
              </a:solidFill>
              <a:round/>
            </a:ln>
            <a:effectLst/>
          </c:spPr>
          <c:marker>
            <c:symbol val="circle"/>
            <c:size val="10"/>
            <c:spPr>
              <a:solidFill>
                <a:schemeClr val="tx2"/>
              </a:solidFill>
              <a:ln w="9525">
                <a:solidFill>
                  <a:schemeClr val="tx2"/>
                </a:solidFill>
              </a:ln>
              <a:effectLst/>
            </c:spPr>
          </c:marker>
          <c:cat>
            <c:strRef>
              <c:f>'Monthly Data Input'!$G$137:$BD$137</c:f>
              <c:strCach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Jan2019</c:v>
                </c:pt>
                <c:pt idx="15">
                  <c:v>Feb2019</c:v>
                </c:pt>
                <c:pt idx="16">
                  <c:v>Mar2019</c:v>
                </c:pt>
                <c:pt idx="17">
                  <c:v>Apr2019</c:v>
                </c:pt>
                <c:pt idx="18">
                  <c:v>May2019</c:v>
                </c:pt>
                <c:pt idx="19">
                  <c:v>Jun2019</c:v>
                </c:pt>
                <c:pt idx="20">
                  <c:v>Jul2019</c:v>
                </c:pt>
                <c:pt idx="21">
                  <c:v>Aug2019</c:v>
                </c:pt>
                <c:pt idx="22">
                  <c:v>Sep2019</c:v>
                </c:pt>
                <c:pt idx="23">
                  <c:v>Oct2019</c:v>
                </c:pt>
                <c:pt idx="24">
                  <c:v>Nov2019</c:v>
                </c:pt>
                <c:pt idx="25">
                  <c:v>Dec2019</c:v>
                </c:pt>
                <c:pt idx="26">
                  <c:v>Jan2020</c:v>
                </c:pt>
                <c:pt idx="27">
                  <c:v>Feb2020</c:v>
                </c:pt>
                <c:pt idx="28">
                  <c:v>Mar2020</c:v>
                </c:pt>
                <c:pt idx="29">
                  <c:v>Apr2020</c:v>
                </c:pt>
                <c:pt idx="30">
                  <c:v>May2020</c:v>
                </c:pt>
                <c:pt idx="31">
                  <c:v>Jun2020</c:v>
                </c:pt>
                <c:pt idx="32">
                  <c:v>Jul2020</c:v>
                </c:pt>
                <c:pt idx="33">
                  <c:v>Aug2020</c:v>
                </c:pt>
                <c:pt idx="34">
                  <c:v>Sep2020</c:v>
                </c:pt>
                <c:pt idx="35">
                  <c:v>Oct2020</c:v>
                </c:pt>
                <c:pt idx="36">
                  <c:v>Nov2020</c:v>
                </c:pt>
                <c:pt idx="37">
                  <c:v>Dec2020</c:v>
                </c:pt>
                <c:pt idx="38">
                  <c:v>Jan2021</c:v>
                </c:pt>
                <c:pt idx="39">
                  <c:v>Feb2021</c:v>
                </c:pt>
                <c:pt idx="40">
                  <c:v>Mar2021</c:v>
                </c:pt>
                <c:pt idx="41">
                  <c:v>Apr2021</c:v>
                </c:pt>
                <c:pt idx="42">
                  <c:v>May2021</c:v>
                </c:pt>
                <c:pt idx="43">
                  <c:v>Jun2021</c:v>
                </c:pt>
                <c:pt idx="44">
                  <c:v>Jul2021</c:v>
                </c:pt>
                <c:pt idx="45">
                  <c:v>Aug2021</c:v>
                </c:pt>
                <c:pt idx="46">
                  <c:v>Sep2021</c:v>
                </c:pt>
                <c:pt idx="47">
                  <c:v>Oct2021</c:v>
                </c:pt>
                <c:pt idx="48">
                  <c:v>Nov2021</c:v>
                </c:pt>
                <c:pt idx="49">
                  <c:v>Dec2021</c:v>
                </c:pt>
              </c:strCache>
            </c:strRef>
          </c:cat>
          <c:val>
            <c:numRef>
              <c:f>'Monthly Data Input'!$G$189:$BD$189</c:f>
              <c:numCache>
                <c:formatCode>#,##0</c:formatCod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numCache>
            </c:numRef>
          </c:val>
          <c:smooth val="1"/>
          <c:extLst>
            <c:ext xmlns:c16="http://schemas.microsoft.com/office/drawing/2014/chart" uri="{C3380CC4-5D6E-409C-BE32-E72D297353CC}">
              <c16:uniqueId val="{00000001-3179-4CD5-9C66-E0001A8EB116}"/>
            </c:ext>
          </c:extLst>
        </c:ser>
        <c:ser>
          <c:idx val="1"/>
          <c:order val="1"/>
          <c:tx>
            <c:strRef>
              <c:f>'Monthly Data Input'!$D$188:$F$188</c:f>
              <c:strCache>
                <c:ptCount val="3"/>
                <c:pt idx="0">
                  <c:v>Les données mensuelles</c:v>
                </c:pt>
              </c:strCache>
            </c:strRef>
          </c:tx>
          <c:spPr>
            <a:ln w="28575" cap="rnd">
              <a:solidFill>
                <a:schemeClr val="accent1"/>
              </a:solidFill>
              <a:round/>
            </a:ln>
            <a:effectLst/>
          </c:spPr>
          <c:marker>
            <c:symbol val="circle"/>
            <c:size val="10"/>
            <c:spPr>
              <a:solidFill>
                <a:schemeClr val="accent1"/>
              </a:solidFill>
              <a:ln w="9525">
                <a:solidFill>
                  <a:schemeClr val="accent1"/>
                </a:solidFill>
              </a:ln>
              <a:effectLst/>
            </c:spPr>
          </c:marker>
          <c:cat>
            <c:strRef>
              <c:f>'Monthly Data Input'!$G$137:$BD$137</c:f>
              <c:strCach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Jan2019</c:v>
                </c:pt>
                <c:pt idx="15">
                  <c:v>Feb2019</c:v>
                </c:pt>
                <c:pt idx="16">
                  <c:v>Mar2019</c:v>
                </c:pt>
                <c:pt idx="17">
                  <c:v>Apr2019</c:v>
                </c:pt>
                <c:pt idx="18">
                  <c:v>May2019</c:v>
                </c:pt>
                <c:pt idx="19">
                  <c:v>Jun2019</c:v>
                </c:pt>
                <c:pt idx="20">
                  <c:v>Jul2019</c:v>
                </c:pt>
                <c:pt idx="21">
                  <c:v>Aug2019</c:v>
                </c:pt>
                <c:pt idx="22">
                  <c:v>Sep2019</c:v>
                </c:pt>
                <c:pt idx="23">
                  <c:v>Oct2019</c:v>
                </c:pt>
                <c:pt idx="24">
                  <c:v>Nov2019</c:v>
                </c:pt>
                <c:pt idx="25">
                  <c:v>Dec2019</c:v>
                </c:pt>
                <c:pt idx="26">
                  <c:v>Jan2020</c:v>
                </c:pt>
                <c:pt idx="27">
                  <c:v>Feb2020</c:v>
                </c:pt>
                <c:pt idx="28">
                  <c:v>Mar2020</c:v>
                </c:pt>
                <c:pt idx="29">
                  <c:v>Apr2020</c:v>
                </c:pt>
                <c:pt idx="30">
                  <c:v>May2020</c:v>
                </c:pt>
                <c:pt idx="31">
                  <c:v>Jun2020</c:v>
                </c:pt>
                <c:pt idx="32">
                  <c:v>Jul2020</c:v>
                </c:pt>
                <c:pt idx="33">
                  <c:v>Aug2020</c:v>
                </c:pt>
                <c:pt idx="34">
                  <c:v>Sep2020</c:v>
                </c:pt>
                <c:pt idx="35">
                  <c:v>Oct2020</c:v>
                </c:pt>
                <c:pt idx="36">
                  <c:v>Nov2020</c:v>
                </c:pt>
                <c:pt idx="37">
                  <c:v>Dec2020</c:v>
                </c:pt>
                <c:pt idx="38">
                  <c:v>Jan2021</c:v>
                </c:pt>
                <c:pt idx="39">
                  <c:v>Feb2021</c:v>
                </c:pt>
                <c:pt idx="40">
                  <c:v>Mar2021</c:v>
                </c:pt>
                <c:pt idx="41">
                  <c:v>Apr2021</c:v>
                </c:pt>
                <c:pt idx="42">
                  <c:v>May2021</c:v>
                </c:pt>
                <c:pt idx="43">
                  <c:v>Jun2021</c:v>
                </c:pt>
                <c:pt idx="44">
                  <c:v>Jul2021</c:v>
                </c:pt>
                <c:pt idx="45">
                  <c:v>Aug2021</c:v>
                </c:pt>
                <c:pt idx="46">
                  <c:v>Sep2021</c:v>
                </c:pt>
                <c:pt idx="47">
                  <c:v>Oct2021</c:v>
                </c:pt>
                <c:pt idx="48">
                  <c:v>Nov2021</c:v>
                </c:pt>
                <c:pt idx="49">
                  <c:v>Dec2021</c:v>
                </c:pt>
              </c:strCache>
            </c:strRef>
          </c:cat>
          <c:val>
            <c:numRef>
              <c:f>'Monthly Data Input'!$G$188:$BD$188</c:f>
              <c:numCache>
                <c:formatCode>#,##0</c:formatCod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smooth val="1"/>
          <c:extLst>
            <c:ext xmlns:c16="http://schemas.microsoft.com/office/drawing/2014/chart" uri="{C3380CC4-5D6E-409C-BE32-E72D297353CC}">
              <c16:uniqueId val="{00000002-3179-4CD5-9C66-E0001A8EB116}"/>
            </c:ext>
          </c:extLst>
        </c:ser>
        <c:dLbls>
          <c:showLegendKey val="0"/>
          <c:showVal val="0"/>
          <c:showCatName val="0"/>
          <c:showSerName val="0"/>
          <c:showPercent val="0"/>
          <c:showBubbleSize val="0"/>
        </c:dLbls>
        <c:marker val="1"/>
        <c:smooth val="0"/>
        <c:axId val="1522245199"/>
        <c:axId val="1522244367"/>
      </c:lineChart>
      <c:catAx>
        <c:axId val="15222451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2244367"/>
        <c:crosses val="autoZero"/>
        <c:auto val="1"/>
        <c:lblAlgn val="ctr"/>
        <c:lblOffset val="100"/>
        <c:noMultiLvlLbl val="0"/>
      </c:catAx>
      <c:valAx>
        <c:axId val="1522244367"/>
        <c:scaling>
          <c:orientation val="minMax"/>
          <c:min val="0"/>
        </c:scaling>
        <c:delete val="0"/>
        <c:axPos val="l"/>
        <c:majorGridlines>
          <c:spPr>
            <a:ln w="9525" cap="flat" cmpd="sng" algn="ctr">
              <a:solidFill>
                <a:schemeClr val="tx1">
                  <a:lumMod val="15000"/>
                  <a:lumOff val="85000"/>
                </a:schemeClr>
              </a:solidFill>
              <a:round/>
            </a:ln>
            <a:effectLst/>
          </c:spPr>
        </c:majorGridlines>
        <c:title>
          <c:tx>
            <c:strRef>
              <c:f>'Monthly Data Input'!$B$381:$B$391</c:f>
              <c:strCache>
                <c:ptCount val="11"/>
                <c:pt idx="0">
                  <c:v>Sayana Press</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2245199"/>
        <c:crosses val="autoZero"/>
        <c:crossBetween val="between"/>
      </c:valAx>
      <c:valAx>
        <c:axId val="1258400303"/>
        <c:scaling>
          <c:orientation val="minMax"/>
          <c:max val="1"/>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58402383"/>
        <c:crosses val="max"/>
        <c:crossBetween val="between"/>
      </c:valAx>
      <c:catAx>
        <c:axId val="1258402383"/>
        <c:scaling>
          <c:orientation val="minMax"/>
        </c:scaling>
        <c:delete val="1"/>
        <c:axPos val="b"/>
        <c:numFmt formatCode="General" sourceLinked="1"/>
        <c:majorTickMark val="out"/>
        <c:minorTickMark val="none"/>
        <c:tickLblPos val="nextTo"/>
        <c:crossAx val="1258400303"/>
        <c:crosses val="autoZero"/>
        <c:auto val="1"/>
        <c:lblAlgn val="ctr"/>
        <c:lblOffset val="100"/>
        <c:noMultiLvlLbl val="0"/>
      </c:catAx>
    </c:plotArea>
    <c:legend>
      <c:legendPos val="b"/>
      <c:layout>
        <c:manualLayout>
          <c:xMode val="edge"/>
          <c:yMode val="edge"/>
          <c:x val="0.18682597253086144"/>
          <c:y val="8.889290601088895E-2"/>
          <c:w val="0.6335570057692187"/>
          <c:h val="6.643747287494575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span"/>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Average Monthly (from Annual) vs Actual Monthly Service Provision</a:t>
            </a:r>
          </a:p>
        </c:rich>
      </c:tx>
      <c:layout>
        <c:manualLayout>
          <c:xMode val="edge"/>
          <c:yMode val="edge"/>
          <c:x val="0.33955453383490114"/>
          <c:y val="2.8376791525204347E-2"/>
        </c:manualLayout>
      </c:layout>
      <c:overlay val="0"/>
      <c:spPr>
        <a:noFill/>
        <a:ln>
          <a:noFill/>
        </a:ln>
        <a:effectLst/>
      </c:spPr>
    </c:title>
    <c:autoTitleDeleted val="0"/>
    <c:plotArea>
      <c:layout>
        <c:manualLayout>
          <c:layoutTarget val="inner"/>
          <c:xMode val="edge"/>
          <c:yMode val="edge"/>
          <c:x val="5.5828434203267177E-2"/>
          <c:y val="0.16207498978867782"/>
          <c:w val="0.92845093794064892"/>
          <c:h val="0.6734747060084818"/>
        </c:manualLayout>
      </c:layout>
      <c:barChart>
        <c:barDir val="col"/>
        <c:grouping val="clustered"/>
        <c:varyColors val="0"/>
        <c:ser>
          <c:idx val="2"/>
          <c:order val="2"/>
          <c:tx>
            <c:strRef>
              <c:f>'Monthly Data Input'!$D$180:$F$180</c:f>
              <c:strCache>
                <c:ptCount val="3"/>
                <c:pt idx="0">
                  <c:v>Mois avec restrictions COVID</c:v>
                </c:pt>
              </c:strCache>
            </c:strRef>
          </c:tx>
          <c:spPr>
            <a:solidFill>
              <a:schemeClr val="accent4">
                <a:alpha val="50000"/>
              </a:schemeClr>
            </a:solidFill>
            <a:ln>
              <a:noFill/>
            </a:ln>
            <a:effectLst/>
          </c:spPr>
          <c:invertIfNegative val="0"/>
          <c:cat>
            <c:strRef>
              <c:f>'Monthly Data Input'!$G$137:$BD$137</c:f>
              <c:strCach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Jan2019</c:v>
                </c:pt>
                <c:pt idx="15">
                  <c:v>Feb2019</c:v>
                </c:pt>
                <c:pt idx="16">
                  <c:v>Mar2019</c:v>
                </c:pt>
                <c:pt idx="17">
                  <c:v>Apr2019</c:v>
                </c:pt>
                <c:pt idx="18">
                  <c:v>May2019</c:v>
                </c:pt>
                <c:pt idx="19">
                  <c:v>Jun2019</c:v>
                </c:pt>
                <c:pt idx="20">
                  <c:v>Jul2019</c:v>
                </c:pt>
                <c:pt idx="21">
                  <c:v>Aug2019</c:v>
                </c:pt>
                <c:pt idx="22">
                  <c:v>Sep2019</c:v>
                </c:pt>
                <c:pt idx="23">
                  <c:v>Oct2019</c:v>
                </c:pt>
                <c:pt idx="24">
                  <c:v>Nov2019</c:v>
                </c:pt>
                <c:pt idx="25">
                  <c:v>Dec2019</c:v>
                </c:pt>
                <c:pt idx="26">
                  <c:v>Jan2020</c:v>
                </c:pt>
                <c:pt idx="27">
                  <c:v>Feb2020</c:v>
                </c:pt>
                <c:pt idx="28">
                  <c:v>Mar2020</c:v>
                </c:pt>
                <c:pt idx="29">
                  <c:v>Apr2020</c:v>
                </c:pt>
                <c:pt idx="30">
                  <c:v>May2020</c:v>
                </c:pt>
                <c:pt idx="31">
                  <c:v>Jun2020</c:v>
                </c:pt>
                <c:pt idx="32">
                  <c:v>Jul2020</c:v>
                </c:pt>
                <c:pt idx="33">
                  <c:v>Aug2020</c:v>
                </c:pt>
                <c:pt idx="34">
                  <c:v>Sep2020</c:v>
                </c:pt>
                <c:pt idx="35">
                  <c:v>Oct2020</c:v>
                </c:pt>
                <c:pt idx="36">
                  <c:v>Nov2020</c:v>
                </c:pt>
                <c:pt idx="37">
                  <c:v>Dec2020</c:v>
                </c:pt>
                <c:pt idx="38">
                  <c:v>Jan2021</c:v>
                </c:pt>
                <c:pt idx="39">
                  <c:v>Feb2021</c:v>
                </c:pt>
                <c:pt idx="40">
                  <c:v>Mar2021</c:v>
                </c:pt>
                <c:pt idx="41">
                  <c:v>Apr2021</c:v>
                </c:pt>
                <c:pt idx="42">
                  <c:v>May2021</c:v>
                </c:pt>
                <c:pt idx="43">
                  <c:v>Jun2021</c:v>
                </c:pt>
                <c:pt idx="44">
                  <c:v>Jul2021</c:v>
                </c:pt>
                <c:pt idx="45">
                  <c:v>Aug2021</c:v>
                </c:pt>
                <c:pt idx="46">
                  <c:v>Sep2021</c:v>
                </c:pt>
                <c:pt idx="47">
                  <c:v>Oct2021</c:v>
                </c:pt>
                <c:pt idx="48">
                  <c:v>Nov2021</c:v>
                </c:pt>
                <c:pt idx="49">
                  <c:v>Dec2021</c:v>
                </c:pt>
              </c:strCache>
            </c:strRef>
          </c:cat>
          <c:val>
            <c:numRef>
              <c:f>'Monthly Data Input'!$G$180:$BD$180</c:f>
              <c:numCache>
                <c:formatCode>#,##0</c:formatCode>
                <c:ptCount val="50"/>
                <c:pt idx="14">
                  <c:v>0</c:v>
                </c:pt>
                <c:pt idx="15">
                  <c:v>0</c:v>
                </c:pt>
                <c:pt idx="16">
                  <c:v>0</c:v>
                </c:pt>
                <c:pt idx="17">
                  <c:v>0</c:v>
                </c:pt>
                <c:pt idx="18">
                  <c:v>0</c:v>
                </c:pt>
                <c:pt idx="19">
                  <c:v>0</c:v>
                </c:pt>
                <c:pt idx="20">
                  <c:v>0</c:v>
                </c:pt>
                <c:pt idx="21">
                  <c:v>0</c:v>
                </c:pt>
                <c:pt idx="22">
                  <c:v>0</c:v>
                </c:pt>
                <c:pt idx="23">
                  <c:v>0</c:v>
                </c:pt>
                <c:pt idx="24">
                  <c:v>0</c:v>
                </c:pt>
                <c:pt idx="25">
                  <c:v>0</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numCache>
            </c:numRef>
          </c:val>
          <c:extLst>
            <c:ext xmlns:c16="http://schemas.microsoft.com/office/drawing/2014/chart" uri="{C3380CC4-5D6E-409C-BE32-E72D297353CC}">
              <c16:uniqueId val="{00000000-995E-4286-A518-E9244D72FD6A}"/>
            </c:ext>
          </c:extLst>
        </c:ser>
        <c:dLbls>
          <c:showLegendKey val="0"/>
          <c:showVal val="0"/>
          <c:showCatName val="0"/>
          <c:showSerName val="0"/>
          <c:showPercent val="0"/>
          <c:showBubbleSize val="0"/>
        </c:dLbls>
        <c:gapWidth val="0"/>
        <c:axId val="1258402383"/>
        <c:axId val="1258400303"/>
      </c:barChart>
      <c:lineChart>
        <c:grouping val="standard"/>
        <c:varyColors val="0"/>
        <c:ser>
          <c:idx val="0"/>
          <c:order val="0"/>
          <c:tx>
            <c:strRef>
              <c:f>'Monthly Data Input'!$D$179:$F$179</c:f>
              <c:strCache>
                <c:ptCount val="3"/>
                <c:pt idx="0">
                  <c:v>Les données annuelles (moyenne mensuelle)</c:v>
                </c:pt>
              </c:strCache>
            </c:strRef>
          </c:tx>
          <c:spPr>
            <a:ln w="28575" cap="rnd">
              <a:solidFill>
                <a:schemeClr val="accent1"/>
              </a:solidFill>
              <a:round/>
            </a:ln>
            <a:effectLst/>
          </c:spPr>
          <c:marker>
            <c:symbol val="circle"/>
            <c:size val="10"/>
            <c:spPr>
              <a:solidFill>
                <a:schemeClr val="accent1"/>
              </a:solidFill>
              <a:ln w="9525">
                <a:solidFill>
                  <a:schemeClr val="accent1"/>
                </a:solidFill>
              </a:ln>
              <a:effectLst/>
            </c:spPr>
          </c:marker>
          <c:cat>
            <c:strRef>
              <c:f>'Monthly Data Input'!$G$137:$BD$137</c:f>
              <c:strCach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Jan2019</c:v>
                </c:pt>
                <c:pt idx="15">
                  <c:v>Feb2019</c:v>
                </c:pt>
                <c:pt idx="16">
                  <c:v>Mar2019</c:v>
                </c:pt>
                <c:pt idx="17">
                  <c:v>Apr2019</c:v>
                </c:pt>
                <c:pt idx="18">
                  <c:v>May2019</c:v>
                </c:pt>
                <c:pt idx="19">
                  <c:v>Jun2019</c:v>
                </c:pt>
                <c:pt idx="20">
                  <c:v>Jul2019</c:v>
                </c:pt>
                <c:pt idx="21">
                  <c:v>Aug2019</c:v>
                </c:pt>
                <c:pt idx="22">
                  <c:v>Sep2019</c:v>
                </c:pt>
                <c:pt idx="23">
                  <c:v>Oct2019</c:v>
                </c:pt>
                <c:pt idx="24">
                  <c:v>Nov2019</c:v>
                </c:pt>
                <c:pt idx="25">
                  <c:v>Dec2019</c:v>
                </c:pt>
                <c:pt idx="26">
                  <c:v>Jan2020</c:v>
                </c:pt>
                <c:pt idx="27">
                  <c:v>Feb2020</c:v>
                </c:pt>
                <c:pt idx="28">
                  <c:v>Mar2020</c:v>
                </c:pt>
                <c:pt idx="29">
                  <c:v>Apr2020</c:v>
                </c:pt>
                <c:pt idx="30">
                  <c:v>May2020</c:v>
                </c:pt>
                <c:pt idx="31">
                  <c:v>Jun2020</c:v>
                </c:pt>
                <c:pt idx="32">
                  <c:v>Jul2020</c:v>
                </c:pt>
                <c:pt idx="33">
                  <c:v>Aug2020</c:v>
                </c:pt>
                <c:pt idx="34">
                  <c:v>Sep2020</c:v>
                </c:pt>
                <c:pt idx="35">
                  <c:v>Oct2020</c:v>
                </c:pt>
                <c:pt idx="36">
                  <c:v>Nov2020</c:v>
                </c:pt>
                <c:pt idx="37">
                  <c:v>Dec2020</c:v>
                </c:pt>
                <c:pt idx="38">
                  <c:v>Jan2021</c:v>
                </c:pt>
                <c:pt idx="39">
                  <c:v>Feb2021</c:v>
                </c:pt>
                <c:pt idx="40">
                  <c:v>Mar2021</c:v>
                </c:pt>
                <c:pt idx="41">
                  <c:v>Apr2021</c:v>
                </c:pt>
                <c:pt idx="42">
                  <c:v>May2021</c:v>
                </c:pt>
                <c:pt idx="43">
                  <c:v>Jun2021</c:v>
                </c:pt>
                <c:pt idx="44">
                  <c:v>Jul2021</c:v>
                </c:pt>
                <c:pt idx="45">
                  <c:v>Aug2021</c:v>
                </c:pt>
                <c:pt idx="46">
                  <c:v>Sep2021</c:v>
                </c:pt>
                <c:pt idx="47">
                  <c:v>Oct2021</c:v>
                </c:pt>
                <c:pt idx="48">
                  <c:v>Nov2021</c:v>
                </c:pt>
                <c:pt idx="49">
                  <c:v>Dec2021</c:v>
                </c:pt>
              </c:strCache>
            </c:strRef>
          </c:cat>
          <c:val>
            <c:numRef>
              <c:f>'Monthly Data Input'!$G$179:$BD$179</c:f>
              <c:numCache>
                <c:formatCode>#,##0</c:formatCod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numCache>
            </c:numRef>
          </c:val>
          <c:smooth val="1"/>
          <c:extLst>
            <c:ext xmlns:c16="http://schemas.microsoft.com/office/drawing/2014/chart" uri="{C3380CC4-5D6E-409C-BE32-E72D297353CC}">
              <c16:uniqueId val="{00000001-995E-4286-A518-E9244D72FD6A}"/>
            </c:ext>
          </c:extLst>
        </c:ser>
        <c:ser>
          <c:idx val="1"/>
          <c:order val="1"/>
          <c:tx>
            <c:strRef>
              <c:f>'Monthly Data Input'!$D$178:$F$178</c:f>
              <c:strCache>
                <c:ptCount val="3"/>
                <c:pt idx="0">
                  <c:v>Les données mensuelles</c:v>
                </c:pt>
              </c:strCache>
            </c:strRef>
          </c:tx>
          <c:spPr>
            <a:ln w="28575" cap="rnd">
              <a:solidFill>
                <a:schemeClr val="tx2"/>
              </a:solidFill>
              <a:round/>
            </a:ln>
            <a:effectLst/>
          </c:spPr>
          <c:marker>
            <c:symbol val="circle"/>
            <c:size val="10"/>
            <c:spPr>
              <a:solidFill>
                <a:schemeClr val="tx2"/>
              </a:solidFill>
              <a:ln w="9525">
                <a:solidFill>
                  <a:schemeClr val="tx2"/>
                </a:solidFill>
              </a:ln>
              <a:effectLst/>
            </c:spPr>
          </c:marker>
          <c:cat>
            <c:strRef>
              <c:f>'Monthly Data Input'!$G$137:$BD$137</c:f>
              <c:strCach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Jan2019</c:v>
                </c:pt>
                <c:pt idx="15">
                  <c:v>Feb2019</c:v>
                </c:pt>
                <c:pt idx="16">
                  <c:v>Mar2019</c:v>
                </c:pt>
                <c:pt idx="17">
                  <c:v>Apr2019</c:v>
                </c:pt>
                <c:pt idx="18">
                  <c:v>May2019</c:v>
                </c:pt>
                <c:pt idx="19">
                  <c:v>Jun2019</c:v>
                </c:pt>
                <c:pt idx="20">
                  <c:v>Jul2019</c:v>
                </c:pt>
                <c:pt idx="21">
                  <c:v>Aug2019</c:v>
                </c:pt>
                <c:pt idx="22">
                  <c:v>Sep2019</c:v>
                </c:pt>
                <c:pt idx="23">
                  <c:v>Oct2019</c:v>
                </c:pt>
                <c:pt idx="24">
                  <c:v>Nov2019</c:v>
                </c:pt>
                <c:pt idx="25">
                  <c:v>Dec2019</c:v>
                </c:pt>
                <c:pt idx="26">
                  <c:v>Jan2020</c:v>
                </c:pt>
                <c:pt idx="27">
                  <c:v>Feb2020</c:v>
                </c:pt>
                <c:pt idx="28">
                  <c:v>Mar2020</c:v>
                </c:pt>
                <c:pt idx="29">
                  <c:v>Apr2020</c:v>
                </c:pt>
                <c:pt idx="30">
                  <c:v>May2020</c:v>
                </c:pt>
                <c:pt idx="31">
                  <c:v>Jun2020</c:v>
                </c:pt>
                <c:pt idx="32">
                  <c:v>Jul2020</c:v>
                </c:pt>
                <c:pt idx="33">
                  <c:v>Aug2020</c:v>
                </c:pt>
                <c:pt idx="34">
                  <c:v>Sep2020</c:v>
                </c:pt>
                <c:pt idx="35">
                  <c:v>Oct2020</c:v>
                </c:pt>
                <c:pt idx="36">
                  <c:v>Nov2020</c:v>
                </c:pt>
                <c:pt idx="37">
                  <c:v>Dec2020</c:v>
                </c:pt>
                <c:pt idx="38">
                  <c:v>Jan2021</c:v>
                </c:pt>
                <c:pt idx="39">
                  <c:v>Feb2021</c:v>
                </c:pt>
                <c:pt idx="40">
                  <c:v>Mar2021</c:v>
                </c:pt>
                <c:pt idx="41">
                  <c:v>Apr2021</c:v>
                </c:pt>
                <c:pt idx="42">
                  <c:v>May2021</c:v>
                </c:pt>
                <c:pt idx="43">
                  <c:v>Jun2021</c:v>
                </c:pt>
                <c:pt idx="44">
                  <c:v>Jul2021</c:v>
                </c:pt>
                <c:pt idx="45">
                  <c:v>Aug2021</c:v>
                </c:pt>
                <c:pt idx="46">
                  <c:v>Sep2021</c:v>
                </c:pt>
                <c:pt idx="47">
                  <c:v>Oct2021</c:v>
                </c:pt>
                <c:pt idx="48">
                  <c:v>Nov2021</c:v>
                </c:pt>
                <c:pt idx="49">
                  <c:v>Dec2021</c:v>
                </c:pt>
              </c:strCache>
            </c:strRef>
          </c:cat>
          <c:val>
            <c:numRef>
              <c:f>'Monthly Data Input'!$G$178:$BD$178</c:f>
              <c:numCache>
                <c:formatCode>#,##0</c:formatCod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smooth val="1"/>
          <c:extLst>
            <c:ext xmlns:c16="http://schemas.microsoft.com/office/drawing/2014/chart" uri="{C3380CC4-5D6E-409C-BE32-E72D297353CC}">
              <c16:uniqueId val="{00000002-995E-4286-A518-E9244D72FD6A}"/>
            </c:ext>
          </c:extLst>
        </c:ser>
        <c:dLbls>
          <c:showLegendKey val="0"/>
          <c:showVal val="0"/>
          <c:showCatName val="0"/>
          <c:showSerName val="0"/>
          <c:showPercent val="0"/>
          <c:showBubbleSize val="0"/>
        </c:dLbls>
        <c:marker val="1"/>
        <c:smooth val="0"/>
        <c:axId val="1522245199"/>
        <c:axId val="1522244367"/>
      </c:lineChart>
      <c:catAx>
        <c:axId val="15222451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2244367"/>
        <c:crosses val="autoZero"/>
        <c:auto val="1"/>
        <c:lblAlgn val="ctr"/>
        <c:lblOffset val="100"/>
        <c:noMultiLvlLbl val="0"/>
      </c:catAx>
      <c:valAx>
        <c:axId val="1522244367"/>
        <c:scaling>
          <c:orientation val="minMax"/>
        </c:scaling>
        <c:delete val="0"/>
        <c:axPos val="l"/>
        <c:majorGridlines>
          <c:spPr>
            <a:ln w="9525" cap="flat" cmpd="sng" algn="ctr">
              <a:solidFill>
                <a:schemeClr val="tx1">
                  <a:lumMod val="15000"/>
                  <a:lumOff val="85000"/>
                </a:schemeClr>
              </a:solidFill>
              <a:round/>
            </a:ln>
            <a:effectLst/>
          </c:spPr>
        </c:majorGridlines>
        <c:title>
          <c:tx>
            <c:strRef>
              <c:f>'Monthly Data Input'!$B$357:$B$367</c:f>
              <c:strCache>
                <c:ptCount val="11"/>
                <c:pt idx="0">
                  <c:v>Noristerat (NET-En)</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2245199"/>
        <c:crosses val="autoZero"/>
        <c:crossBetween val="between"/>
      </c:valAx>
      <c:valAx>
        <c:axId val="1258400303"/>
        <c:scaling>
          <c:orientation val="minMax"/>
          <c:max val="1"/>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58402383"/>
        <c:crosses val="max"/>
        <c:crossBetween val="between"/>
      </c:valAx>
      <c:catAx>
        <c:axId val="1258402383"/>
        <c:scaling>
          <c:orientation val="minMax"/>
        </c:scaling>
        <c:delete val="1"/>
        <c:axPos val="b"/>
        <c:numFmt formatCode="General" sourceLinked="1"/>
        <c:majorTickMark val="out"/>
        <c:minorTickMark val="none"/>
        <c:tickLblPos val="nextTo"/>
        <c:crossAx val="1258400303"/>
        <c:crosses val="autoZero"/>
        <c:auto val="1"/>
        <c:lblAlgn val="ctr"/>
        <c:lblOffset val="100"/>
        <c:noMultiLvlLbl val="0"/>
      </c:catAx>
    </c:plotArea>
    <c:legend>
      <c:legendPos val="b"/>
      <c:layout>
        <c:manualLayout>
          <c:xMode val="edge"/>
          <c:yMode val="edge"/>
          <c:x val="0.18682597253086144"/>
          <c:y val="8.889290601088895E-2"/>
          <c:w val="0.6335570057692187"/>
          <c:h val="6.643747287494575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span"/>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'Monthly Data Input'!$BR$221</c:f>
          <c:strCache>
            <c:ptCount val="1"/>
            <c:pt idx="0">
              <c:v>Moyenne mensuelle (par rapport à annuelle) contre la prestation de service mensuelle réelle</c:v>
            </c:pt>
          </c:strCache>
        </c:strRef>
      </c:tx>
      <c:layout>
        <c:manualLayout>
          <c:xMode val="edge"/>
          <c:yMode val="edge"/>
          <c:x val="0.19761904541990899"/>
          <c:y val="1.59312880030355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7550095827464379E-2"/>
          <c:y val="0.16207498978867782"/>
          <c:w val="0.91554769436811601"/>
          <c:h val="0.6734747060084818"/>
        </c:manualLayout>
      </c:layout>
      <c:barChart>
        <c:barDir val="col"/>
        <c:grouping val="clustered"/>
        <c:varyColors val="0"/>
        <c:ser>
          <c:idx val="2"/>
          <c:order val="2"/>
          <c:tx>
            <c:strRef>
              <c:f>'Monthly Data Input'!$D$195:$F$195</c:f>
              <c:strCache>
                <c:ptCount val="3"/>
                <c:pt idx="0">
                  <c:v>Mois avec restrictions COVID</c:v>
                </c:pt>
              </c:strCache>
            </c:strRef>
          </c:tx>
          <c:spPr>
            <a:solidFill>
              <a:schemeClr val="accent4">
                <a:alpha val="50000"/>
              </a:schemeClr>
            </a:solidFill>
            <a:ln>
              <a:noFill/>
            </a:ln>
            <a:effectLst/>
          </c:spPr>
          <c:invertIfNegative val="0"/>
          <c:cat>
            <c:strRef>
              <c:f>'Monthly Data Input'!$G$137:$BD$137</c:f>
              <c:strCach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Jan2019</c:v>
                </c:pt>
                <c:pt idx="15">
                  <c:v>Feb2019</c:v>
                </c:pt>
                <c:pt idx="16">
                  <c:v>Mar2019</c:v>
                </c:pt>
                <c:pt idx="17">
                  <c:v>Apr2019</c:v>
                </c:pt>
                <c:pt idx="18">
                  <c:v>May2019</c:v>
                </c:pt>
                <c:pt idx="19">
                  <c:v>Jun2019</c:v>
                </c:pt>
                <c:pt idx="20">
                  <c:v>Jul2019</c:v>
                </c:pt>
                <c:pt idx="21">
                  <c:v>Aug2019</c:v>
                </c:pt>
                <c:pt idx="22">
                  <c:v>Sep2019</c:v>
                </c:pt>
                <c:pt idx="23">
                  <c:v>Oct2019</c:v>
                </c:pt>
                <c:pt idx="24">
                  <c:v>Nov2019</c:v>
                </c:pt>
                <c:pt idx="25">
                  <c:v>Dec2019</c:v>
                </c:pt>
                <c:pt idx="26">
                  <c:v>Jan2020</c:v>
                </c:pt>
                <c:pt idx="27">
                  <c:v>Feb2020</c:v>
                </c:pt>
                <c:pt idx="28">
                  <c:v>Mar2020</c:v>
                </c:pt>
                <c:pt idx="29">
                  <c:v>Apr2020</c:v>
                </c:pt>
                <c:pt idx="30">
                  <c:v>May2020</c:v>
                </c:pt>
                <c:pt idx="31">
                  <c:v>Jun2020</c:v>
                </c:pt>
                <c:pt idx="32">
                  <c:v>Jul2020</c:v>
                </c:pt>
                <c:pt idx="33">
                  <c:v>Aug2020</c:v>
                </c:pt>
                <c:pt idx="34">
                  <c:v>Sep2020</c:v>
                </c:pt>
                <c:pt idx="35">
                  <c:v>Oct2020</c:v>
                </c:pt>
                <c:pt idx="36">
                  <c:v>Nov2020</c:v>
                </c:pt>
                <c:pt idx="37">
                  <c:v>Dec2020</c:v>
                </c:pt>
                <c:pt idx="38">
                  <c:v>Jan2021</c:v>
                </c:pt>
                <c:pt idx="39">
                  <c:v>Feb2021</c:v>
                </c:pt>
                <c:pt idx="40">
                  <c:v>Mar2021</c:v>
                </c:pt>
                <c:pt idx="41">
                  <c:v>Apr2021</c:v>
                </c:pt>
                <c:pt idx="42">
                  <c:v>May2021</c:v>
                </c:pt>
                <c:pt idx="43">
                  <c:v>Jun2021</c:v>
                </c:pt>
                <c:pt idx="44">
                  <c:v>Jul2021</c:v>
                </c:pt>
                <c:pt idx="45">
                  <c:v>Aug2021</c:v>
                </c:pt>
                <c:pt idx="46">
                  <c:v>Sep2021</c:v>
                </c:pt>
                <c:pt idx="47">
                  <c:v>Oct2021</c:v>
                </c:pt>
                <c:pt idx="48">
                  <c:v>Nov2021</c:v>
                </c:pt>
                <c:pt idx="49">
                  <c:v>Dec2021</c:v>
                </c:pt>
              </c:strCache>
            </c:strRef>
          </c:cat>
          <c:val>
            <c:numRef>
              <c:f>'Monthly Data Input'!$G$195:$BD$195</c:f>
              <c:numCache>
                <c:formatCode>#,##0</c:formatCode>
                <c:ptCount val="50"/>
                <c:pt idx="14">
                  <c:v>0</c:v>
                </c:pt>
                <c:pt idx="15">
                  <c:v>0</c:v>
                </c:pt>
                <c:pt idx="16">
                  <c:v>0</c:v>
                </c:pt>
                <c:pt idx="17">
                  <c:v>0</c:v>
                </c:pt>
                <c:pt idx="18">
                  <c:v>0</c:v>
                </c:pt>
                <c:pt idx="19">
                  <c:v>0</c:v>
                </c:pt>
                <c:pt idx="20">
                  <c:v>0</c:v>
                </c:pt>
                <c:pt idx="21">
                  <c:v>0</c:v>
                </c:pt>
                <c:pt idx="22">
                  <c:v>0</c:v>
                </c:pt>
                <c:pt idx="23">
                  <c:v>0</c:v>
                </c:pt>
                <c:pt idx="24">
                  <c:v>0</c:v>
                </c:pt>
                <c:pt idx="25">
                  <c:v>0</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numCache>
            </c:numRef>
          </c:val>
          <c:extLst>
            <c:ext xmlns:c16="http://schemas.microsoft.com/office/drawing/2014/chart" uri="{C3380CC4-5D6E-409C-BE32-E72D297353CC}">
              <c16:uniqueId val="{00000000-79AC-4728-A20F-E0A6851176C2}"/>
            </c:ext>
          </c:extLst>
        </c:ser>
        <c:dLbls>
          <c:showLegendKey val="0"/>
          <c:showVal val="0"/>
          <c:showCatName val="0"/>
          <c:showSerName val="0"/>
          <c:showPercent val="0"/>
          <c:showBubbleSize val="0"/>
        </c:dLbls>
        <c:gapWidth val="0"/>
        <c:axId val="1258402383"/>
        <c:axId val="1258400303"/>
      </c:barChart>
      <c:lineChart>
        <c:grouping val="standard"/>
        <c:varyColors val="0"/>
        <c:ser>
          <c:idx val="0"/>
          <c:order val="0"/>
          <c:tx>
            <c:strRef>
              <c:f>'Monthly Data Input'!$D$194:$F$194</c:f>
              <c:strCache>
                <c:ptCount val="3"/>
                <c:pt idx="0">
                  <c:v>Les données annuelles (moyenne mensuelle)</c:v>
                </c:pt>
              </c:strCache>
            </c:strRef>
          </c:tx>
          <c:spPr>
            <a:ln w="28575" cap="rnd">
              <a:solidFill>
                <a:schemeClr val="tx2"/>
              </a:solidFill>
              <a:round/>
            </a:ln>
            <a:effectLst/>
          </c:spPr>
          <c:marker>
            <c:symbol val="circle"/>
            <c:size val="10"/>
            <c:spPr>
              <a:solidFill>
                <a:schemeClr val="tx2"/>
              </a:solidFill>
              <a:ln w="9525">
                <a:solidFill>
                  <a:schemeClr val="tx2"/>
                </a:solidFill>
              </a:ln>
              <a:effectLst/>
            </c:spPr>
          </c:marker>
          <c:cat>
            <c:strRef>
              <c:f>'Monthly Data Input'!$G$137:$BD$137</c:f>
              <c:strCach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Jan2019</c:v>
                </c:pt>
                <c:pt idx="15">
                  <c:v>Feb2019</c:v>
                </c:pt>
                <c:pt idx="16">
                  <c:v>Mar2019</c:v>
                </c:pt>
                <c:pt idx="17">
                  <c:v>Apr2019</c:v>
                </c:pt>
                <c:pt idx="18">
                  <c:v>May2019</c:v>
                </c:pt>
                <c:pt idx="19">
                  <c:v>Jun2019</c:v>
                </c:pt>
                <c:pt idx="20">
                  <c:v>Jul2019</c:v>
                </c:pt>
                <c:pt idx="21">
                  <c:v>Aug2019</c:v>
                </c:pt>
                <c:pt idx="22">
                  <c:v>Sep2019</c:v>
                </c:pt>
                <c:pt idx="23">
                  <c:v>Oct2019</c:v>
                </c:pt>
                <c:pt idx="24">
                  <c:v>Nov2019</c:v>
                </c:pt>
                <c:pt idx="25">
                  <c:v>Dec2019</c:v>
                </c:pt>
                <c:pt idx="26">
                  <c:v>Jan2020</c:v>
                </c:pt>
                <c:pt idx="27">
                  <c:v>Feb2020</c:v>
                </c:pt>
                <c:pt idx="28">
                  <c:v>Mar2020</c:v>
                </c:pt>
                <c:pt idx="29">
                  <c:v>Apr2020</c:v>
                </c:pt>
                <c:pt idx="30">
                  <c:v>May2020</c:v>
                </c:pt>
                <c:pt idx="31">
                  <c:v>Jun2020</c:v>
                </c:pt>
                <c:pt idx="32">
                  <c:v>Jul2020</c:v>
                </c:pt>
                <c:pt idx="33">
                  <c:v>Aug2020</c:v>
                </c:pt>
                <c:pt idx="34">
                  <c:v>Sep2020</c:v>
                </c:pt>
                <c:pt idx="35">
                  <c:v>Oct2020</c:v>
                </c:pt>
                <c:pt idx="36">
                  <c:v>Nov2020</c:v>
                </c:pt>
                <c:pt idx="37">
                  <c:v>Dec2020</c:v>
                </c:pt>
                <c:pt idx="38">
                  <c:v>Jan2021</c:v>
                </c:pt>
                <c:pt idx="39">
                  <c:v>Feb2021</c:v>
                </c:pt>
                <c:pt idx="40">
                  <c:v>Mar2021</c:v>
                </c:pt>
                <c:pt idx="41">
                  <c:v>Apr2021</c:v>
                </c:pt>
                <c:pt idx="42">
                  <c:v>May2021</c:v>
                </c:pt>
                <c:pt idx="43">
                  <c:v>Jun2021</c:v>
                </c:pt>
                <c:pt idx="44">
                  <c:v>Jul2021</c:v>
                </c:pt>
                <c:pt idx="45">
                  <c:v>Aug2021</c:v>
                </c:pt>
                <c:pt idx="46">
                  <c:v>Sep2021</c:v>
                </c:pt>
                <c:pt idx="47">
                  <c:v>Oct2021</c:v>
                </c:pt>
                <c:pt idx="48">
                  <c:v>Nov2021</c:v>
                </c:pt>
                <c:pt idx="49">
                  <c:v>Dec2021</c:v>
                </c:pt>
              </c:strCache>
            </c:strRef>
          </c:cat>
          <c:val>
            <c:numRef>
              <c:f>'Monthly Data Input'!$G$194:$BD$194</c:f>
              <c:numCache>
                <c:formatCode>#,##0</c:formatCod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numCache>
            </c:numRef>
          </c:val>
          <c:smooth val="1"/>
          <c:extLst>
            <c:ext xmlns:c16="http://schemas.microsoft.com/office/drawing/2014/chart" uri="{C3380CC4-5D6E-409C-BE32-E72D297353CC}">
              <c16:uniqueId val="{00000001-79AC-4728-A20F-E0A6851176C2}"/>
            </c:ext>
          </c:extLst>
        </c:ser>
        <c:ser>
          <c:idx val="1"/>
          <c:order val="1"/>
          <c:tx>
            <c:strRef>
              <c:f>'Monthly Data Input'!$D$193:$F$193</c:f>
              <c:strCache>
                <c:ptCount val="3"/>
                <c:pt idx="0">
                  <c:v>Les données mensuelles</c:v>
                </c:pt>
              </c:strCache>
            </c:strRef>
          </c:tx>
          <c:spPr>
            <a:ln w="28575" cap="rnd">
              <a:solidFill>
                <a:schemeClr val="accent1"/>
              </a:solidFill>
              <a:round/>
            </a:ln>
            <a:effectLst/>
          </c:spPr>
          <c:marker>
            <c:symbol val="circle"/>
            <c:size val="10"/>
            <c:spPr>
              <a:solidFill>
                <a:schemeClr val="accent1"/>
              </a:solidFill>
              <a:ln w="9525">
                <a:solidFill>
                  <a:schemeClr val="accent1"/>
                </a:solidFill>
              </a:ln>
              <a:effectLst/>
            </c:spPr>
          </c:marker>
          <c:cat>
            <c:strRef>
              <c:f>'Monthly Data Input'!$G$137:$BD$137</c:f>
              <c:strCach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Jan2019</c:v>
                </c:pt>
                <c:pt idx="15">
                  <c:v>Feb2019</c:v>
                </c:pt>
                <c:pt idx="16">
                  <c:v>Mar2019</c:v>
                </c:pt>
                <c:pt idx="17">
                  <c:v>Apr2019</c:v>
                </c:pt>
                <c:pt idx="18">
                  <c:v>May2019</c:v>
                </c:pt>
                <c:pt idx="19">
                  <c:v>Jun2019</c:v>
                </c:pt>
                <c:pt idx="20">
                  <c:v>Jul2019</c:v>
                </c:pt>
                <c:pt idx="21">
                  <c:v>Aug2019</c:v>
                </c:pt>
                <c:pt idx="22">
                  <c:v>Sep2019</c:v>
                </c:pt>
                <c:pt idx="23">
                  <c:v>Oct2019</c:v>
                </c:pt>
                <c:pt idx="24">
                  <c:v>Nov2019</c:v>
                </c:pt>
                <c:pt idx="25">
                  <c:v>Dec2019</c:v>
                </c:pt>
                <c:pt idx="26">
                  <c:v>Jan2020</c:v>
                </c:pt>
                <c:pt idx="27">
                  <c:v>Feb2020</c:v>
                </c:pt>
                <c:pt idx="28">
                  <c:v>Mar2020</c:v>
                </c:pt>
                <c:pt idx="29">
                  <c:v>Apr2020</c:v>
                </c:pt>
                <c:pt idx="30">
                  <c:v>May2020</c:v>
                </c:pt>
                <c:pt idx="31">
                  <c:v>Jun2020</c:v>
                </c:pt>
                <c:pt idx="32">
                  <c:v>Jul2020</c:v>
                </c:pt>
                <c:pt idx="33">
                  <c:v>Aug2020</c:v>
                </c:pt>
                <c:pt idx="34">
                  <c:v>Sep2020</c:v>
                </c:pt>
                <c:pt idx="35">
                  <c:v>Oct2020</c:v>
                </c:pt>
                <c:pt idx="36">
                  <c:v>Nov2020</c:v>
                </c:pt>
                <c:pt idx="37">
                  <c:v>Dec2020</c:v>
                </c:pt>
                <c:pt idx="38">
                  <c:v>Jan2021</c:v>
                </c:pt>
                <c:pt idx="39">
                  <c:v>Feb2021</c:v>
                </c:pt>
                <c:pt idx="40">
                  <c:v>Mar2021</c:v>
                </c:pt>
                <c:pt idx="41">
                  <c:v>Apr2021</c:v>
                </c:pt>
                <c:pt idx="42">
                  <c:v>May2021</c:v>
                </c:pt>
                <c:pt idx="43">
                  <c:v>Jun2021</c:v>
                </c:pt>
                <c:pt idx="44">
                  <c:v>Jul2021</c:v>
                </c:pt>
                <c:pt idx="45">
                  <c:v>Aug2021</c:v>
                </c:pt>
                <c:pt idx="46">
                  <c:v>Sep2021</c:v>
                </c:pt>
                <c:pt idx="47">
                  <c:v>Oct2021</c:v>
                </c:pt>
                <c:pt idx="48">
                  <c:v>Nov2021</c:v>
                </c:pt>
                <c:pt idx="49">
                  <c:v>Dec2021</c:v>
                </c:pt>
              </c:strCache>
            </c:strRef>
          </c:cat>
          <c:val>
            <c:numRef>
              <c:f>'Monthly Data Input'!$G$193:$BD$193</c:f>
              <c:numCache>
                <c:formatCode>#,##0</c:formatCod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smooth val="1"/>
          <c:extLst>
            <c:ext xmlns:c16="http://schemas.microsoft.com/office/drawing/2014/chart" uri="{C3380CC4-5D6E-409C-BE32-E72D297353CC}">
              <c16:uniqueId val="{00000002-79AC-4728-A20F-E0A6851176C2}"/>
            </c:ext>
          </c:extLst>
        </c:ser>
        <c:dLbls>
          <c:showLegendKey val="0"/>
          <c:showVal val="0"/>
          <c:showCatName val="0"/>
          <c:showSerName val="0"/>
          <c:showPercent val="0"/>
          <c:showBubbleSize val="0"/>
        </c:dLbls>
        <c:marker val="1"/>
        <c:smooth val="0"/>
        <c:axId val="1522245199"/>
        <c:axId val="1522244367"/>
      </c:lineChart>
      <c:catAx>
        <c:axId val="15222451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2244367"/>
        <c:crosses val="autoZero"/>
        <c:auto val="1"/>
        <c:lblAlgn val="ctr"/>
        <c:lblOffset val="100"/>
        <c:noMultiLvlLbl val="0"/>
      </c:catAx>
      <c:valAx>
        <c:axId val="1522244367"/>
        <c:scaling>
          <c:orientation val="minMax"/>
          <c:min val="0"/>
        </c:scaling>
        <c:delete val="0"/>
        <c:axPos val="l"/>
        <c:majorGridlines>
          <c:spPr>
            <a:ln w="9525" cap="flat" cmpd="sng" algn="ctr">
              <a:solidFill>
                <a:schemeClr val="tx1">
                  <a:lumMod val="15000"/>
                  <a:lumOff val="85000"/>
                </a:schemeClr>
              </a:solidFill>
              <a:round/>
            </a:ln>
            <a:effectLst/>
          </c:spPr>
        </c:majorGridlines>
        <c:title>
          <c:tx>
            <c:strRef>
              <c:f>'Monthly Data Input'!$B$396:$B$406</c:f>
              <c:strCache>
                <c:ptCount val="11"/>
                <c:pt idx="0">
                  <c:v>Oraux combinés (COC)</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2245199"/>
        <c:crosses val="autoZero"/>
        <c:crossBetween val="between"/>
      </c:valAx>
      <c:valAx>
        <c:axId val="1258400303"/>
        <c:scaling>
          <c:orientation val="minMax"/>
          <c:max val="1"/>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58402383"/>
        <c:crosses val="max"/>
        <c:crossBetween val="between"/>
      </c:valAx>
      <c:catAx>
        <c:axId val="1258402383"/>
        <c:scaling>
          <c:orientation val="minMax"/>
        </c:scaling>
        <c:delete val="1"/>
        <c:axPos val="b"/>
        <c:numFmt formatCode="General" sourceLinked="1"/>
        <c:majorTickMark val="out"/>
        <c:minorTickMark val="none"/>
        <c:tickLblPos val="nextTo"/>
        <c:crossAx val="1258400303"/>
        <c:crosses val="autoZero"/>
        <c:auto val="1"/>
        <c:lblAlgn val="ctr"/>
        <c:lblOffset val="100"/>
        <c:noMultiLvlLbl val="0"/>
      </c:catAx>
    </c:plotArea>
    <c:legend>
      <c:legendPos val="b"/>
      <c:layout>
        <c:manualLayout>
          <c:xMode val="edge"/>
          <c:yMode val="edge"/>
          <c:x val="0.18682597253086144"/>
          <c:y val="8.889290601088895E-2"/>
          <c:w val="0.6335570057692187"/>
          <c:h val="6.643747287494575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span"/>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'Monthly Data Input'!$BR$221</c:f>
          <c:strCache>
            <c:ptCount val="1"/>
            <c:pt idx="0">
              <c:v>Moyenne mensuelle (par rapport à annuelle) contre la prestation de service mensuelle réelle</c:v>
            </c:pt>
          </c:strCache>
        </c:strRef>
      </c:tx>
      <c:layout>
        <c:manualLayout>
          <c:xMode val="edge"/>
          <c:yMode val="edge"/>
          <c:x val="0.2140752491334191"/>
          <c:y val="2.837683076956682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5828434203267177E-2"/>
          <c:y val="0.16207498978867782"/>
          <c:w val="0.92845093794064892"/>
          <c:h val="0.79205650152043605"/>
        </c:manualLayout>
      </c:layout>
      <c:barChart>
        <c:barDir val="col"/>
        <c:grouping val="clustered"/>
        <c:varyColors val="0"/>
        <c:ser>
          <c:idx val="2"/>
          <c:order val="2"/>
          <c:tx>
            <c:strRef>
              <c:f>'Monthly Data Input'!$D$210:$F$210</c:f>
              <c:strCache>
                <c:ptCount val="3"/>
                <c:pt idx="0">
                  <c:v>Mois avec restrictions COVID</c:v>
                </c:pt>
              </c:strCache>
            </c:strRef>
          </c:tx>
          <c:spPr>
            <a:solidFill>
              <a:schemeClr val="accent4">
                <a:alpha val="50000"/>
              </a:schemeClr>
            </a:solidFill>
            <a:ln>
              <a:noFill/>
            </a:ln>
            <a:effectLst/>
          </c:spPr>
          <c:invertIfNegative val="0"/>
          <c:cat>
            <c:strRef>
              <c:f>'Monthly Data Input'!$G$137:$BD$137</c:f>
              <c:strCach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Jan2019</c:v>
                </c:pt>
                <c:pt idx="15">
                  <c:v>Feb2019</c:v>
                </c:pt>
                <c:pt idx="16">
                  <c:v>Mar2019</c:v>
                </c:pt>
                <c:pt idx="17">
                  <c:v>Apr2019</c:v>
                </c:pt>
                <c:pt idx="18">
                  <c:v>May2019</c:v>
                </c:pt>
                <c:pt idx="19">
                  <c:v>Jun2019</c:v>
                </c:pt>
                <c:pt idx="20">
                  <c:v>Jul2019</c:v>
                </c:pt>
                <c:pt idx="21">
                  <c:v>Aug2019</c:v>
                </c:pt>
                <c:pt idx="22">
                  <c:v>Sep2019</c:v>
                </c:pt>
                <c:pt idx="23">
                  <c:v>Oct2019</c:v>
                </c:pt>
                <c:pt idx="24">
                  <c:v>Nov2019</c:v>
                </c:pt>
                <c:pt idx="25">
                  <c:v>Dec2019</c:v>
                </c:pt>
                <c:pt idx="26">
                  <c:v>Jan2020</c:v>
                </c:pt>
                <c:pt idx="27">
                  <c:v>Feb2020</c:v>
                </c:pt>
                <c:pt idx="28">
                  <c:v>Mar2020</c:v>
                </c:pt>
                <c:pt idx="29">
                  <c:v>Apr2020</c:v>
                </c:pt>
                <c:pt idx="30">
                  <c:v>May2020</c:v>
                </c:pt>
                <c:pt idx="31">
                  <c:v>Jun2020</c:v>
                </c:pt>
                <c:pt idx="32">
                  <c:v>Jul2020</c:v>
                </c:pt>
                <c:pt idx="33">
                  <c:v>Aug2020</c:v>
                </c:pt>
                <c:pt idx="34">
                  <c:v>Sep2020</c:v>
                </c:pt>
                <c:pt idx="35">
                  <c:v>Oct2020</c:v>
                </c:pt>
                <c:pt idx="36">
                  <c:v>Nov2020</c:v>
                </c:pt>
                <c:pt idx="37">
                  <c:v>Dec2020</c:v>
                </c:pt>
                <c:pt idx="38">
                  <c:v>Jan2021</c:v>
                </c:pt>
                <c:pt idx="39">
                  <c:v>Feb2021</c:v>
                </c:pt>
                <c:pt idx="40">
                  <c:v>Mar2021</c:v>
                </c:pt>
                <c:pt idx="41">
                  <c:v>Apr2021</c:v>
                </c:pt>
                <c:pt idx="42">
                  <c:v>May2021</c:v>
                </c:pt>
                <c:pt idx="43">
                  <c:v>Jun2021</c:v>
                </c:pt>
                <c:pt idx="44">
                  <c:v>Jul2021</c:v>
                </c:pt>
                <c:pt idx="45">
                  <c:v>Aug2021</c:v>
                </c:pt>
                <c:pt idx="46">
                  <c:v>Sep2021</c:v>
                </c:pt>
                <c:pt idx="47">
                  <c:v>Oct2021</c:v>
                </c:pt>
                <c:pt idx="48">
                  <c:v>Nov2021</c:v>
                </c:pt>
                <c:pt idx="49">
                  <c:v>Dec2021</c:v>
                </c:pt>
              </c:strCache>
            </c:strRef>
          </c:cat>
          <c:val>
            <c:numRef>
              <c:f>'Monthly Data Input'!$G$210:$BD$210</c:f>
              <c:numCache>
                <c:formatCode>#,##0</c:formatCode>
                <c:ptCount val="50"/>
                <c:pt idx="14">
                  <c:v>0</c:v>
                </c:pt>
                <c:pt idx="15">
                  <c:v>0</c:v>
                </c:pt>
                <c:pt idx="16">
                  <c:v>0</c:v>
                </c:pt>
                <c:pt idx="17">
                  <c:v>0</c:v>
                </c:pt>
                <c:pt idx="18">
                  <c:v>0</c:v>
                </c:pt>
                <c:pt idx="19">
                  <c:v>0</c:v>
                </c:pt>
                <c:pt idx="20">
                  <c:v>0</c:v>
                </c:pt>
                <c:pt idx="21">
                  <c:v>0</c:v>
                </c:pt>
                <c:pt idx="22">
                  <c:v>0</c:v>
                </c:pt>
                <c:pt idx="23">
                  <c:v>0</c:v>
                </c:pt>
                <c:pt idx="24">
                  <c:v>0</c:v>
                </c:pt>
                <c:pt idx="25">
                  <c:v>0</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numCache>
            </c:numRef>
          </c:val>
          <c:extLst>
            <c:ext xmlns:c16="http://schemas.microsoft.com/office/drawing/2014/chart" uri="{C3380CC4-5D6E-409C-BE32-E72D297353CC}">
              <c16:uniqueId val="{00000000-F169-4C20-91C8-18E61A99B26E}"/>
            </c:ext>
          </c:extLst>
        </c:ser>
        <c:dLbls>
          <c:showLegendKey val="0"/>
          <c:showVal val="0"/>
          <c:showCatName val="0"/>
          <c:showSerName val="0"/>
          <c:showPercent val="0"/>
          <c:showBubbleSize val="0"/>
        </c:dLbls>
        <c:gapWidth val="0"/>
        <c:axId val="1258402383"/>
        <c:axId val="1258400303"/>
      </c:barChart>
      <c:lineChart>
        <c:grouping val="standard"/>
        <c:varyColors val="0"/>
        <c:ser>
          <c:idx val="0"/>
          <c:order val="0"/>
          <c:tx>
            <c:strRef>
              <c:f>'Monthly Data Input'!$D$209:$F$209</c:f>
              <c:strCache>
                <c:ptCount val="3"/>
                <c:pt idx="0">
                  <c:v>Les données annuelles (moyenne mensuelle)</c:v>
                </c:pt>
              </c:strCache>
            </c:strRef>
          </c:tx>
          <c:spPr>
            <a:ln w="28575" cap="rnd">
              <a:solidFill>
                <a:schemeClr val="tx2"/>
              </a:solidFill>
              <a:round/>
            </a:ln>
            <a:effectLst/>
          </c:spPr>
          <c:marker>
            <c:symbol val="circle"/>
            <c:size val="10"/>
            <c:spPr>
              <a:solidFill>
                <a:schemeClr val="tx2"/>
              </a:solidFill>
              <a:ln w="9525">
                <a:solidFill>
                  <a:schemeClr val="tx2"/>
                </a:solidFill>
              </a:ln>
              <a:effectLst/>
            </c:spPr>
          </c:marker>
          <c:cat>
            <c:strRef>
              <c:f>'Monthly Data Input'!$G$137:$BD$137</c:f>
              <c:strCach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Jan2019</c:v>
                </c:pt>
                <c:pt idx="15">
                  <c:v>Feb2019</c:v>
                </c:pt>
                <c:pt idx="16">
                  <c:v>Mar2019</c:v>
                </c:pt>
                <c:pt idx="17">
                  <c:v>Apr2019</c:v>
                </c:pt>
                <c:pt idx="18">
                  <c:v>May2019</c:v>
                </c:pt>
                <c:pt idx="19">
                  <c:v>Jun2019</c:v>
                </c:pt>
                <c:pt idx="20">
                  <c:v>Jul2019</c:v>
                </c:pt>
                <c:pt idx="21">
                  <c:v>Aug2019</c:v>
                </c:pt>
                <c:pt idx="22">
                  <c:v>Sep2019</c:v>
                </c:pt>
                <c:pt idx="23">
                  <c:v>Oct2019</c:v>
                </c:pt>
                <c:pt idx="24">
                  <c:v>Nov2019</c:v>
                </c:pt>
                <c:pt idx="25">
                  <c:v>Dec2019</c:v>
                </c:pt>
                <c:pt idx="26">
                  <c:v>Jan2020</c:v>
                </c:pt>
                <c:pt idx="27">
                  <c:v>Feb2020</c:v>
                </c:pt>
                <c:pt idx="28">
                  <c:v>Mar2020</c:v>
                </c:pt>
                <c:pt idx="29">
                  <c:v>Apr2020</c:v>
                </c:pt>
                <c:pt idx="30">
                  <c:v>May2020</c:v>
                </c:pt>
                <c:pt idx="31">
                  <c:v>Jun2020</c:v>
                </c:pt>
                <c:pt idx="32">
                  <c:v>Jul2020</c:v>
                </c:pt>
                <c:pt idx="33">
                  <c:v>Aug2020</c:v>
                </c:pt>
                <c:pt idx="34">
                  <c:v>Sep2020</c:v>
                </c:pt>
                <c:pt idx="35">
                  <c:v>Oct2020</c:v>
                </c:pt>
                <c:pt idx="36">
                  <c:v>Nov2020</c:v>
                </c:pt>
                <c:pt idx="37">
                  <c:v>Dec2020</c:v>
                </c:pt>
                <c:pt idx="38">
                  <c:v>Jan2021</c:v>
                </c:pt>
                <c:pt idx="39">
                  <c:v>Feb2021</c:v>
                </c:pt>
                <c:pt idx="40">
                  <c:v>Mar2021</c:v>
                </c:pt>
                <c:pt idx="41">
                  <c:v>Apr2021</c:v>
                </c:pt>
                <c:pt idx="42">
                  <c:v>May2021</c:v>
                </c:pt>
                <c:pt idx="43">
                  <c:v>Jun2021</c:v>
                </c:pt>
                <c:pt idx="44">
                  <c:v>Jul2021</c:v>
                </c:pt>
                <c:pt idx="45">
                  <c:v>Aug2021</c:v>
                </c:pt>
                <c:pt idx="46">
                  <c:v>Sep2021</c:v>
                </c:pt>
                <c:pt idx="47">
                  <c:v>Oct2021</c:v>
                </c:pt>
                <c:pt idx="48">
                  <c:v>Nov2021</c:v>
                </c:pt>
                <c:pt idx="49">
                  <c:v>Dec2021</c:v>
                </c:pt>
              </c:strCache>
            </c:strRef>
          </c:cat>
          <c:val>
            <c:numRef>
              <c:f>'Monthly Data Input'!$G$209:$BD$209</c:f>
              <c:numCache>
                <c:formatCode>#,##0</c:formatCod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numCache>
            </c:numRef>
          </c:val>
          <c:smooth val="1"/>
          <c:extLst>
            <c:ext xmlns:c16="http://schemas.microsoft.com/office/drawing/2014/chart" uri="{C3380CC4-5D6E-409C-BE32-E72D297353CC}">
              <c16:uniqueId val="{00000001-F169-4C20-91C8-18E61A99B26E}"/>
            </c:ext>
          </c:extLst>
        </c:ser>
        <c:ser>
          <c:idx val="1"/>
          <c:order val="1"/>
          <c:tx>
            <c:strRef>
              <c:f>'Monthly Data Input'!$D$208:$F$208</c:f>
              <c:strCache>
                <c:ptCount val="3"/>
                <c:pt idx="0">
                  <c:v>Les données mensuelles</c:v>
                </c:pt>
              </c:strCache>
            </c:strRef>
          </c:tx>
          <c:spPr>
            <a:ln w="28575" cap="rnd">
              <a:solidFill>
                <a:schemeClr val="accent1"/>
              </a:solidFill>
              <a:round/>
            </a:ln>
            <a:effectLst/>
          </c:spPr>
          <c:marker>
            <c:symbol val="circle"/>
            <c:size val="10"/>
            <c:spPr>
              <a:solidFill>
                <a:schemeClr val="accent1"/>
              </a:solidFill>
              <a:ln w="9525">
                <a:solidFill>
                  <a:schemeClr val="accent1"/>
                </a:solidFill>
              </a:ln>
              <a:effectLst/>
            </c:spPr>
          </c:marker>
          <c:cat>
            <c:strRef>
              <c:f>'Monthly Data Input'!$G$137:$BD$137</c:f>
              <c:strCach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Jan2019</c:v>
                </c:pt>
                <c:pt idx="15">
                  <c:v>Feb2019</c:v>
                </c:pt>
                <c:pt idx="16">
                  <c:v>Mar2019</c:v>
                </c:pt>
                <c:pt idx="17">
                  <c:v>Apr2019</c:v>
                </c:pt>
                <c:pt idx="18">
                  <c:v>May2019</c:v>
                </c:pt>
                <c:pt idx="19">
                  <c:v>Jun2019</c:v>
                </c:pt>
                <c:pt idx="20">
                  <c:v>Jul2019</c:v>
                </c:pt>
                <c:pt idx="21">
                  <c:v>Aug2019</c:v>
                </c:pt>
                <c:pt idx="22">
                  <c:v>Sep2019</c:v>
                </c:pt>
                <c:pt idx="23">
                  <c:v>Oct2019</c:v>
                </c:pt>
                <c:pt idx="24">
                  <c:v>Nov2019</c:v>
                </c:pt>
                <c:pt idx="25">
                  <c:v>Dec2019</c:v>
                </c:pt>
                <c:pt idx="26">
                  <c:v>Jan2020</c:v>
                </c:pt>
                <c:pt idx="27">
                  <c:v>Feb2020</c:v>
                </c:pt>
                <c:pt idx="28">
                  <c:v>Mar2020</c:v>
                </c:pt>
                <c:pt idx="29">
                  <c:v>Apr2020</c:v>
                </c:pt>
                <c:pt idx="30">
                  <c:v>May2020</c:v>
                </c:pt>
                <c:pt idx="31">
                  <c:v>Jun2020</c:v>
                </c:pt>
                <c:pt idx="32">
                  <c:v>Jul2020</c:v>
                </c:pt>
                <c:pt idx="33">
                  <c:v>Aug2020</c:v>
                </c:pt>
                <c:pt idx="34">
                  <c:v>Sep2020</c:v>
                </c:pt>
                <c:pt idx="35">
                  <c:v>Oct2020</c:v>
                </c:pt>
                <c:pt idx="36">
                  <c:v>Nov2020</c:v>
                </c:pt>
                <c:pt idx="37">
                  <c:v>Dec2020</c:v>
                </c:pt>
                <c:pt idx="38">
                  <c:v>Jan2021</c:v>
                </c:pt>
                <c:pt idx="39">
                  <c:v>Feb2021</c:v>
                </c:pt>
                <c:pt idx="40">
                  <c:v>Mar2021</c:v>
                </c:pt>
                <c:pt idx="41">
                  <c:v>Apr2021</c:v>
                </c:pt>
                <c:pt idx="42">
                  <c:v>May2021</c:v>
                </c:pt>
                <c:pt idx="43">
                  <c:v>Jun2021</c:v>
                </c:pt>
                <c:pt idx="44">
                  <c:v>Jul2021</c:v>
                </c:pt>
                <c:pt idx="45">
                  <c:v>Aug2021</c:v>
                </c:pt>
                <c:pt idx="46">
                  <c:v>Sep2021</c:v>
                </c:pt>
                <c:pt idx="47">
                  <c:v>Oct2021</c:v>
                </c:pt>
                <c:pt idx="48">
                  <c:v>Nov2021</c:v>
                </c:pt>
                <c:pt idx="49">
                  <c:v>Dec2021</c:v>
                </c:pt>
              </c:strCache>
            </c:strRef>
          </c:cat>
          <c:val>
            <c:numRef>
              <c:f>'Monthly Data Input'!$G$208:$BD$208</c:f>
              <c:numCache>
                <c:formatCode>#,##0</c:formatCod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smooth val="1"/>
          <c:extLst>
            <c:ext xmlns:c16="http://schemas.microsoft.com/office/drawing/2014/chart" uri="{C3380CC4-5D6E-409C-BE32-E72D297353CC}">
              <c16:uniqueId val="{00000002-F169-4C20-91C8-18E61A99B26E}"/>
            </c:ext>
          </c:extLst>
        </c:ser>
        <c:dLbls>
          <c:showLegendKey val="0"/>
          <c:showVal val="0"/>
          <c:showCatName val="0"/>
          <c:showSerName val="0"/>
          <c:showPercent val="0"/>
          <c:showBubbleSize val="0"/>
        </c:dLbls>
        <c:marker val="1"/>
        <c:smooth val="0"/>
        <c:axId val="1522245199"/>
        <c:axId val="1522244367"/>
      </c:lineChart>
      <c:catAx>
        <c:axId val="15222451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2244367"/>
        <c:crosses val="autoZero"/>
        <c:auto val="1"/>
        <c:lblAlgn val="ctr"/>
        <c:lblOffset val="100"/>
        <c:noMultiLvlLbl val="0"/>
      </c:catAx>
      <c:valAx>
        <c:axId val="1522244367"/>
        <c:scaling>
          <c:orientation val="minMax"/>
          <c:min val="0"/>
        </c:scaling>
        <c:delete val="0"/>
        <c:axPos val="l"/>
        <c:majorGridlines>
          <c:spPr>
            <a:ln w="9525" cap="flat" cmpd="sng" algn="ctr">
              <a:solidFill>
                <a:schemeClr val="tx1">
                  <a:lumMod val="15000"/>
                  <a:lumOff val="85000"/>
                </a:schemeClr>
              </a:solidFill>
              <a:round/>
            </a:ln>
            <a:effectLst/>
          </c:spPr>
        </c:majorGridlines>
        <c:title>
          <c:tx>
            <c:strRef>
              <c:f>'Monthly Data Input'!$B$441:$B$451</c:f>
              <c:strCache>
                <c:ptCount val="11"/>
                <c:pt idx="0">
                  <c:v>CU</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2245199"/>
        <c:crosses val="autoZero"/>
        <c:crossBetween val="between"/>
      </c:valAx>
      <c:valAx>
        <c:axId val="1258400303"/>
        <c:scaling>
          <c:orientation val="minMax"/>
          <c:max val="1"/>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58402383"/>
        <c:crosses val="max"/>
        <c:crossBetween val="between"/>
      </c:valAx>
      <c:catAx>
        <c:axId val="1258402383"/>
        <c:scaling>
          <c:orientation val="minMax"/>
        </c:scaling>
        <c:delete val="1"/>
        <c:axPos val="b"/>
        <c:numFmt formatCode="General" sourceLinked="1"/>
        <c:majorTickMark val="out"/>
        <c:minorTickMark val="none"/>
        <c:tickLblPos val="nextTo"/>
        <c:crossAx val="1258400303"/>
        <c:crosses val="autoZero"/>
        <c:auto val="1"/>
        <c:lblAlgn val="ctr"/>
        <c:lblOffset val="100"/>
        <c:noMultiLvlLbl val="0"/>
      </c:catAx>
    </c:plotArea>
    <c:legend>
      <c:legendPos val="b"/>
      <c:layout>
        <c:manualLayout>
          <c:xMode val="edge"/>
          <c:yMode val="edge"/>
          <c:x val="0.18682597253086144"/>
          <c:y val="8.889290601088895E-2"/>
          <c:w val="0.6335570057692187"/>
          <c:h val="6.643747287494575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span"/>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Average Monthly (from Annual) vs Actual Monthly Service Provision</a:t>
            </a:r>
          </a:p>
        </c:rich>
      </c:tx>
      <c:layout>
        <c:manualLayout>
          <c:xMode val="edge"/>
          <c:yMode val="edge"/>
          <c:x val="0.33955453383490114"/>
          <c:y val="2.8376791525204347E-2"/>
        </c:manualLayout>
      </c:layout>
      <c:overlay val="0"/>
      <c:spPr>
        <a:noFill/>
        <a:ln>
          <a:noFill/>
        </a:ln>
        <a:effectLst/>
      </c:spPr>
    </c:title>
    <c:autoTitleDeleted val="0"/>
    <c:plotArea>
      <c:layout>
        <c:manualLayout>
          <c:layoutTarget val="inner"/>
          <c:xMode val="edge"/>
          <c:yMode val="edge"/>
          <c:x val="5.5828434203267177E-2"/>
          <c:y val="0.16207498978867782"/>
          <c:w val="0.92845093794064892"/>
          <c:h val="0.6734747060084818"/>
        </c:manualLayout>
      </c:layout>
      <c:barChart>
        <c:barDir val="col"/>
        <c:grouping val="clustered"/>
        <c:varyColors val="0"/>
        <c:ser>
          <c:idx val="2"/>
          <c:order val="2"/>
          <c:tx>
            <c:strRef>
              <c:f>'Monthly Data Input'!$D$185:$F$185</c:f>
              <c:strCache>
                <c:ptCount val="3"/>
                <c:pt idx="0">
                  <c:v>Mois avec restrictions COVID</c:v>
                </c:pt>
              </c:strCache>
            </c:strRef>
          </c:tx>
          <c:spPr>
            <a:solidFill>
              <a:schemeClr val="accent4">
                <a:alpha val="50000"/>
              </a:schemeClr>
            </a:solidFill>
            <a:ln>
              <a:noFill/>
            </a:ln>
            <a:effectLst/>
          </c:spPr>
          <c:invertIfNegative val="0"/>
          <c:cat>
            <c:strRef>
              <c:f>'Monthly Data Input'!$G$137:$BD$137</c:f>
              <c:strCach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Jan2019</c:v>
                </c:pt>
                <c:pt idx="15">
                  <c:v>Feb2019</c:v>
                </c:pt>
                <c:pt idx="16">
                  <c:v>Mar2019</c:v>
                </c:pt>
                <c:pt idx="17">
                  <c:v>Apr2019</c:v>
                </c:pt>
                <c:pt idx="18">
                  <c:v>May2019</c:v>
                </c:pt>
                <c:pt idx="19">
                  <c:v>Jun2019</c:v>
                </c:pt>
                <c:pt idx="20">
                  <c:v>Jul2019</c:v>
                </c:pt>
                <c:pt idx="21">
                  <c:v>Aug2019</c:v>
                </c:pt>
                <c:pt idx="22">
                  <c:v>Sep2019</c:v>
                </c:pt>
                <c:pt idx="23">
                  <c:v>Oct2019</c:v>
                </c:pt>
                <c:pt idx="24">
                  <c:v>Nov2019</c:v>
                </c:pt>
                <c:pt idx="25">
                  <c:v>Dec2019</c:v>
                </c:pt>
                <c:pt idx="26">
                  <c:v>Jan2020</c:v>
                </c:pt>
                <c:pt idx="27">
                  <c:v>Feb2020</c:v>
                </c:pt>
                <c:pt idx="28">
                  <c:v>Mar2020</c:v>
                </c:pt>
                <c:pt idx="29">
                  <c:v>Apr2020</c:v>
                </c:pt>
                <c:pt idx="30">
                  <c:v>May2020</c:v>
                </c:pt>
                <c:pt idx="31">
                  <c:v>Jun2020</c:v>
                </c:pt>
                <c:pt idx="32">
                  <c:v>Jul2020</c:v>
                </c:pt>
                <c:pt idx="33">
                  <c:v>Aug2020</c:v>
                </c:pt>
                <c:pt idx="34">
                  <c:v>Sep2020</c:v>
                </c:pt>
                <c:pt idx="35">
                  <c:v>Oct2020</c:v>
                </c:pt>
                <c:pt idx="36">
                  <c:v>Nov2020</c:v>
                </c:pt>
                <c:pt idx="37">
                  <c:v>Dec2020</c:v>
                </c:pt>
                <c:pt idx="38">
                  <c:v>Jan2021</c:v>
                </c:pt>
                <c:pt idx="39">
                  <c:v>Feb2021</c:v>
                </c:pt>
                <c:pt idx="40">
                  <c:v>Mar2021</c:v>
                </c:pt>
                <c:pt idx="41">
                  <c:v>Apr2021</c:v>
                </c:pt>
                <c:pt idx="42">
                  <c:v>May2021</c:v>
                </c:pt>
                <c:pt idx="43">
                  <c:v>Jun2021</c:v>
                </c:pt>
                <c:pt idx="44">
                  <c:v>Jul2021</c:v>
                </c:pt>
                <c:pt idx="45">
                  <c:v>Aug2021</c:v>
                </c:pt>
                <c:pt idx="46">
                  <c:v>Sep2021</c:v>
                </c:pt>
                <c:pt idx="47">
                  <c:v>Oct2021</c:v>
                </c:pt>
                <c:pt idx="48">
                  <c:v>Nov2021</c:v>
                </c:pt>
                <c:pt idx="49">
                  <c:v>Dec2021</c:v>
                </c:pt>
              </c:strCache>
            </c:strRef>
          </c:cat>
          <c:val>
            <c:numRef>
              <c:f>'Monthly Data Input'!$G$185:$BD$185</c:f>
              <c:numCache>
                <c:formatCode>#,##0</c:formatCode>
                <c:ptCount val="50"/>
                <c:pt idx="14">
                  <c:v>0</c:v>
                </c:pt>
                <c:pt idx="15">
                  <c:v>0</c:v>
                </c:pt>
                <c:pt idx="16">
                  <c:v>0</c:v>
                </c:pt>
                <c:pt idx="17">
                  <c:v>0</c:v>
                </c:pt>
                <c:pt idx="18">
                  <c:v>0</c:v>
                </c:pt>
                <c:pt idx="19">
                  <c:v>0</c:v>
                </c:pt>
                <c:pt idx="20">
                  <c:v>0</c:v>
                </c:pt>
                <c:pt idx="21">
                  <c:v>0</c:v>
                </c:pt>
                <c:pt idx="22">
                  <c:v>0</c:v>
                </c:pt>
                <c:pt idx="23">
                  <c:v>0</c:v>
                </c:pt>
                <c:pt idx="24">
                  <c:v>0</c:v>
                </c:pt>
                <c:pt idx="25">
                  <c:v>0</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numCache>
            </c:numRef>
          </c:val>
          <c:extLst>
            <c:ext xmlns:c16="http://schemas.microsoft.com/office/drawing/2014/chart" uri="{C3380CC4-5D6E-409C-BE32-E72D297353CC}">
              <c16:uniqueId val="{00000000-8014-4BD6-8A5D-A9DBCFBDEE46}"/>
            </c:ext>
          </c:extLst>
        </c:ser>
        <c:dLbls>
          <c:showLegendKey val="0"/>
          <c:showVal val="0"/>
          <c:showCatName val="0"/>
          <c:showSerName val="0"/>
          <c:showPercent val="0"/>
          <c:showBubbleSize val="0"/>
        </c:dLbls>
        <c:gapWidth val="0"/>
        <c:axId val="1258402383"/>
        <c:axId val="1258400303"/>
      </c:barChart>
      <c:lineChart>
        <c:grouping val="standard"/>
        <c:varyColors val="0"/>
        <c:ser>
          <c:idx val="0"/>
          <c:order val="0"/>
          <c:tx>
            <c:strRef>
              <c:f>'Monthly Data Input'!$D$184:$F$184</c:f>
              <c:strCache>
                <c:ptCount val="3"/>
                <c:pt idx="0">
                  <c:v>Les données annuelles (moyenne mensuelle)</c:v>
                </c:pt>
              </c:strCache>
            </c:strRef>
          </c:tx>
          <c:spPr>
            <a:ln w="28575" cap="rnd">
              <a:solidFill>
                <a:schemeClr val="accent1"/>
              </a:solidFill>
              <a:round/>
            </a:ln>
            <a:effectLst/>
          </c:spPr>
          <c:marker>
            <c:symbol val="circle"/>
            <c:size val="10"/>
            <c:spPr>
              <a:solidFill>
                <a:schemeClr val="accent1"/>
              </a:solidFill>
              <a:ln w="9525">
                <a:solidFill>
                  <a:schemeClr val="accent1"/>
                </a:solidFill>
              </a:ln>
              <a:effectLst/>
            </c:spPr>
          </c:marker>
          <c:cat>
            <c:strRef>
              <c:f>'Monthly Data Input'!$G$137:$BD$137</c:f>
              <c:strCach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Jan2019</c:v>
                </c:pt>
                <c:pt idx="15">
                  <c:v>Feb2019</c:v>
                </c:pt>
                <c:pt idx="16">
                  <c:v>Mar2019</c:v>
                </c:pt>
                <c:pt idx="17">
                  <c:v>Apr2019</c:v>
                </c:pt>
                <c:pt idx="18">
                  <c:v>May2019</c:v>
                </c:pt>
                <c:pt idx="19">
                  <c:v>Jun2019</c:v>
                </c:pt>
                <c:pt idx="20">
                  <c:v>Jul2019</c:v>
                </c:pt>
                <c:pt idx="21">
                  <c:v>Aug2019</c:v>
                </c:pt>
                <c:pt idx="22">
                  <c:v>Sep2019</c:v>
                </c:pt>
                <c:pt idx="23">
                  <c:v>Oct2019</c:v>
                </c:pt>
                <c:pt idx="24">
                  <c:v>Nov2019</c:v>
                </c:pt>
                <c:pt idx="25">
                  <c:v>Dec2019</c:v>
                </c:pt>
                <c:pt idx="26">
                  <c:v>Jan2020</c:v>
                </c:pt>
                <c:pt idx="27">
                  <c:v>Feb2020</c:v>
                </c:pt>
                <c:pt idx="28">
                  <c:v>Mar2020</c:v>
                </c:pt>
                <c:pt idx="29">
                  <c:v>Apr2020</c:v>
                </c:pt>
                <c:pt idx="30">
                  <c:v>May2020</c:v>
                </c:pt>
                <c:pt idx="31">
                  <c:v>Jun2020</c:v>
                </c:pt>
                <c:pt idx="32">
                  <c:v>Jul2020</c:v>
                </c:pt>
                <c:pt idx="33">
                  <c:v>Aug2020</c:v>
                </c:pt>
                <c:pt idx="34">
                  <c:v>Sep2020</c:v>
                </c:pt>
                <c:pt idx="35">
                  <c:v>Oct2020</c:v>
                </c:pt>
                <c:pt idx="36">
                  <c:v>Nov2020</c:v>
                </c:pt>
                <c:pt idx="37">
                  <c:v>Dec2020</c:v>
                </c:pt>
                <c:pt idx="38">
                  <c:v>Jan2021</c:v>
                </c:pt>
                <c:pt idx="39">
                  <c:v>Feb2021</c:v>
                </c:pt>
                <c:pt idx="40">
                  <c:v>Mar2021</c:v>
                </c:pt>
                <c:pt idx="41">
                  <c:v>Apr2021</c:v>
                </c:pt>
                <c:pt idx="42">
                  <c:v>May2021</c:v>
                </c:pt>
                <c:pt idx="43">
                  <c:v>Jun2021</c:v>
                </c:pt>
                <c:pt idx="44">
                  <c:v>Jul2021</c:v>
                </c:pt>
                <c:pt idx="45">
                  <c:v>Aug2021</c:v>
                </c:pt>
                <c:pt idx="46">
                  <c:v>Sep2021</c:v>
                </c:pt>
                <c:pt idx="47">
                  <c:v>Oct2021</c:v>
                </c:pt>
                <c:pt idx="48">
                  <c:v>Nov2021</c:v>
                </c:pt>
                <c:pt idx="49">
                  <c:v>Dec2021</c:v>
                </c:pt>
              </c:strCache>
            </c:strRef>
          </c:cat>
          <c:val>
            <c:numRef>
              <c:f>'Monthly Data Input'!$G$184:$BD$184</c:f>
              <c:numCache>
                <c:formatCode>#,##0</c:formatCod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numCache>
            </c:numRef>
          </c:val>
          <c:smooth val="1"/>
          <c:extLst>
            <c:ext xmlns:c16="http://schemas.microsoft.com/office/drawing/2014/chart" uri="{C3380CC4-5D6E-409C-BE32-E72D297353CC}">
              <c16:uniqueId val="{00000001-8014-4BD6-8A5D-A9DBCFBDEE46}"/>
            </c:ext>
          </c:extLst>
        </c:ser>
        <c:ser>
          <c:idx val="1"/>
          <c:order val="1"/>
          <c:tx>
            <c:strRef>
              <c:f>'Monthly Data Input'!$D$183:$F$183</c:f>
              <c:strCache>
                <c:ptCount val="3"/>
                <c:pt idx="0">
                  <c:v>Les données mensuelles</c:v>
                </c:pt>
              </c:strCache>
            </c:strRef>
          </c:tx>
          <c:spPr>
            <a:ln w="28575" cap="rnd">
              <a:solidFill>
                <a:schemeClr val="tx2"/>
              </a:solidFill>
              <a:round/>
            </a:ln>
            <a:effectLst/>
          </c:spPr>
          <c:marker>
            <c:symbol val="circle"/>
            <c:size val="10"/>
            <c:spPr>
              <a:solidFill>
                <a:schemeClr val="tx2"/>
              </a:solidFill>
              <a:ln w="9525">
                <a:solidFill>
                  <a:schemeClr val="tx2"/>
                </a:solidFill>
              </a:ln>
              <a:effectLst/>
            </c:spPr>
          </c:marker>
          <c:cat>
            <c:strRef>
              <c:f>'Monthly Data Input'!$G$137:$BD$137</c:f>
              <c:strCach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Jan2019</c:v>
                </c:pt>
                <c:pt idx="15">
                  <c:v>Feb2019</c:v>
                </c:pt>
                <c:pt idx="16">
                  <c:v>Mar2019</c:v>
                </c:pt>
                <c:pt idx="17">
                  <c:v>Apr2019</c:v>
                </c:pt>
                <c:pt idx="18">
                  <c:v>May2019</c:v>
                </c:pt>
                <c:pt idx="19">
                  <c:v>Jun2019</c:v>
                </c:pt>
                <c:pt idx="20">
                  <c:v>Jul2019</c:v>
                </c:pt>
                <c:pt idx="21">
                  <c:v>Aug2019</c:v>
                </c:pt>
                <c:pt idx="22">
                  <c:v>Sep2019</c:v>
                </c:pt>
                <c:pt idx="23">
                  <c:v>Oct2019</c:v>
                </c:pt>
                <c:pt idx="24">
                  <c:v>Nov2019</c:v>
                </c:pt>
                <c:pt idx="25">
                  <c:v>Dec2019</c:v>
                </c:pt>
                <c:pt idx="26">
                  <c:v>Jan2020</c:v>
                </c:pt>
                <c:pt idx="27">
                  <c:v>Feb2020</c:v>
                </c:pt>
                <c:pt idx="28">
                  <c:v>Mar2020</c:v>
                </c:pt>
                <c:pt idx="29">
                  <c:v>Apr2020</c:v>
                </c:pt>
                <c:pt idx="30">
                  <c:v>May2020</c:v>
                </c:pt>
                <c:pt idx="31">
                  <c:v>Jun2020</c:v>
                </c:pt>
                <c:pt idx="32">
                  <c:v>Jul2020</c:v>
                </c:pt>
                <c:pt idx="33">
                  <c:v>Aug2020</c:v>
                </c:pt>
                <c:pt idx="34">
                  <c:v>Sep2020</c:v>
                </c:pt>
                <c:pt idx="35">
                  <c:v>Oct2020</c:v>
                </c:pt>
                <c:pt idx="36">
                  <c:v>Nov2020</c:v>
                </c:pt>
                <c:pt idx="37">
                  <c:v>Dec2020</c:v>
                </c:pt>
                <c:pt idx="38">
                  <c:v>Jan2021</c:v>
                </c:pt>
                <c:pt idx="39">
                  <c:v>Feb2021</c:v>
                </c:pt>
                <c:pt idx="40">
                  <c:v>Mar2021</c:v>
                </c:pt>
                <c:pt idx="41">
                  <c:v>Apr2021</c:v>
                </c:pt>
                <c:pt idx="42">
                  <c:v>May2021</c:v>
                </c:pt>
                <c:pt idx="43">
                  <c:v>Jun2021</c:v>
                </c:pt>
                <c:pt idx="44">
                  <c:v>Jul2021</c:v>
                </c:pt>
                <c:pt idx="45">
                  <c:v>Aug2021</c:v>
                </c:pt>
                <c:pt idx="46">
                  <c:v>Sep2021</c:v>
                </c:pt>
                <c:pt idx="47">
                  <c:v>Oct2021</c:v>
                </c:pt>
                <c:pt idx="48">
                  <c:v>Nov2021</c:v>
                </c:pt>
                <c:pt idx="49">
                  <c:v>Dec2021</c:v>
                </c:pt>
              </c:strCache>
            </c:strRef>
          </c:cat>
          <c:val>
            <c:numRef>
              <c:f>'Monthly Data Input'!$G$183:$BD$183</c:f>
              <c:numCache>
                <c:formatCode>#,##0</c:formatCod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smooth val="1"/>
          <c:extLst>
            <c:ext xmlns:c16="http://schemas.microsoft.com/office/drawing/2014/chart" uri="{C3380CC4-5D6E-409C-BE32-E72D297353CC}">
              <c16:uniqueId val="{00000002-8014-4BD6-8A5D-A9DBCFBDEE46}"/>
            </c:ext>
          </c:extLst>
        </c:ser>
        <c:dLbls>
          <c:showLegendKey val="0"/>
          <c:showVal val="0"/>
          <c:showCatName val="0"/>
          <c:showSerName val="0"/>
          <c:showPercent val="0"/>
          <c:showBubbleSize val="0"/>
        </c:dLbls>
        <c:marker val="1"/>
        <c:smooth val="0"/>
        <c:axId val="1522245199"/>
        <c:axId val="1522244367"/>
      </c:lineChart>
      <c:catAx>
        <c:axId val="15222451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2244367"/>
        <c:crosses val="autoZero"/>
        <c:auto val="1"/>
        <c:lblAlgn val="ctr"/>
        <c:lblOffset val="100"/>
        <c:noMultiLvlLbl val="0"/>
      </c:catAx>
      <c:valAx>
        <c:axId val="1522244367"/>
        <c:scaling>
          <c:orientation val="minMax"/>
        </c:scaling>
        <c:delete val="0"/>
        <c:axPos val="l"/>
        <c:majorGridlines>
          <c:spPr>
            <a:ln w="9525" cap="flat" cmpd="sng" algn="ctr">
              <a:solidFill>
                <a:schemeClr val="tx1">
                  <a:lumMod val="15000"/>
                  <a:lumOff val="85000"/>
                </a:schemeClr>
              </a:solidFill>
              <a:round/>
            </a:ln>
            <a:effectLst/>
          </c:spPr>
        </c:majorGridlines>
        <c:title>
          <c:tx>
            <c:strRef>
              <c:f>'Monthly Data Input'!$B$369:$B$379</c:f>
              <c:strCache>
                <c:ptCount val="11"/>
                <c:pt idx="0">
                  <c:v>Lunelle</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2245199"/>
        <c:crosses val="autoZero"/>
        <c:crossBetween val="between"/>
      </c:valAx>
      <c:valAx>
        <c:axId val="1258400303"/>
        <c:scaling>
          <c:orientation val="minMax"/>
          <c:max val="1"/>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58402383"/>
        <c:crosses val="max"/>
        <c:crossBetween val="between"/>
      </c:valAx>
      <c:catAx>
        <c:axId val="1258402383"/>
        <c:scaling>
          <c:orientation val="minMax"/>
        </c:scaling>
        <c:delete val="1"/>
        <c:axPos val="b"/>
        <c:numFmt formatCode="General" sourceLinked="1"/>
        <c:majorTickMark val="out"/>
        <c:minorTickMark val="none"/>
        <c:tickLblPos val="nextTo"/>
        <c:crossAx val="1258400303"/>
        <c:crosses val="autoZero"/>
        <c:auto val="1"/>
        <c:lblAlgn val="ctr"/>
        <c:lblOffset val="100"/>
        <c:noMultiLvlLbl val="0"/>
      </c:catAx>
    </c:plotArea>
    <c:legend>
      <c:legendPos val="b"/>
      <c:layout>
        <c:manualLayout>
          <c:xMode val="edge"/>
          <c:yMode val="edge"/>
          <c:x val="0.18682597253086144"/>
          <c:y val="8.889290601088895E-2"/>
          <c:w val="0.6335570057692187"/>
          <c:h val="6.643747287494575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span"/>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'Monthly Data Input'!$BR$221</c:f>
          <c:strCache>
            <c:ptCount val="1"/>
            <c:pt idx="0">
              <c:v>Moyenne mensuelle (par rapport à annuelle) contre la prestation de service mensuelle réelle</c:v>
            </c:pt>
          </c:strCache>
        </c:strRef>
      </c:tx>
      <c:layout>
        <c:manualLayout>
          <c:xMode val="edge"/>
          <c:yMode val="edge"/>
          <c:x val="0.19583917306602436"/>
          <c:y val="2.339984657572898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245137987743291E-2"/>
          <c:y val="0.16207498978867782"/>
          <c:w val="0.91078097361754862"/>
          <c:h val="0.6734747060084818"/>
        </c:manualLayout>
      </c:layout>
      <c:barChart>
        <c:barDir val="col"/>
        <c:grouping val="clustered"/>
        <c:varyColors val="0"/>
        <c:ser>
          <c:idx val="2"/>
          <c:order val="2"/>
          <c:tx>
            <c:strRef>
              <c:f>'Monthly Data Input'!$D$170:$F$170</c:f>
              <c:strCache>
                <c:ptCount val="3"/>
                <c:pt idx="0">
                  <c:v>Mois avec restrictions COVID</c:v>
                </c:pt>
              </c:strCache>
            </c:strRef>
          </c:tx>
          <c:spPr>
            <a:solidFill>
              <a:schemeClr val="accent4">
                <a:alpha val="50000"/>
              </a:schemeClr>
            </a:solidFill>
            <a:ln>
              <a:noFill/>
            </a:ln>
            <a:effectLst/>
          </c:spPr>
          <c:invertIfNegative val="0"/>
          <c:cat>
            <c:strRef>
              <c:f>'Monthly Data Input'!$G$137:$BD$137</c:f>
              <c:strCach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Jan2019</c:v>
                </c:pt>
                <c:pt idx="15">
                  <c:v>Feb2019</c:v>
                </c:pt>
                <c:pt idx="16">
                  <c:v>Mar2019</c:v>
                </c:pt>
                <c:pt idx="17">
                  <c:v>Apr2019</c:v>
                </c:pt>
                <c:pt idx="18">
                  <c:v>May2019</c:v>
                </c:pt>
                <c:pt idx="19">
                  <c:v>Jun2019</c:v>
                </c:pt>
                <c:pt idx="20">
                  <c:v>Jul2019</c:v>
                </c:pt>
                <c:pt idx="21">
                  <c:v>Aug2019</c:v>
                </c:pt>
                <c:pt idx="22">
                  <c:v>Sep2019</c:v>
                </c:pt>
                <c:pt idx="23">
                  <c:v>Oct2019</c:v>
                </c:pt>
                <c:pt idx="24">
                  <c:v>Nov2019</c:v>
                </c:pt>
                <c:pt idx="25">
                  <c:v>Dec2019</c:v>
                </c:pt>
                <c:pt idx="26">
                  <c:v>Jan2020</c:v>
                </c:pt>
                <c:pt idx="27">
                  <c:v>Feb2020</c:v>
                </c:pt>
                <c:pt idx="28">
                  <c:v>Mar2020</c:v>
                </c:pt>
                <c:pt idx="29">
                  <c:v>Apr2020</c:v>
                </c:pt>
                <c:pt idx="30">
                  <c:v>May2020</c:v>
                </c:pt>
                <c:pt idx="31">
                  <c:v>Jun2020</c:v>
                </c:pt>
                <c:pt idx="32">
                  <c:v>Jul2020</c:v>
                </c:pt>
                <c:pt idx="33">
                  <c:v>Aug2020</c:v>
                </c:pt>
                <c:pt idx="34">
                  <c:v>Sep2020</c:v>
                </c:pt>
                <c:pt idx="35">
                  <c:v>Oct2020</c:v>
                </c:pt>
                <c:pt idx="36">
                  <c:v>Nov2020</c:v>
                </c:pt>
                <c:pt idx="37">
                  <c:v>Dec2020</c:v>
                </c:pt>
                <c:pt idx="38">
                  <c:v>Jan2021</c:v>
                </c:pt>
                <c:pt idx="39">
                  <c:v>Feb2021</c:v>
                </c:pt>
                <c:pt idx="40">
                  <c:v>Mar2021</c:v>
                </c:pt>
                <c:pt idx="41">
                  <c:v>Apr2021</c:v>
                </c:pt>
                <c:pt idx="42">
                  <c:v>May2021</c:v>
                </c:pt>
                <c:pt idx="43">
                  <c:v>Jun2021</c:v>
                </c:pt>
                <c:pt idx="44">
                  <c:v>Jul2021</c:v>
                </c:pt>
                <c:pt idx="45">
                  <c:v>Aug2021</c:v>
                </c:pt>
                <c:pt idx="46">
                  <c:v>Sep2021</c:v>
                </c:pt>
                <c:pt idx="47">
                  <c:v>Oct2021</c:v>
                </c:pt>
                <c:pt idx="48">
                  <c:v>Nov2021</c:v>
                </c:pt>
                <c:pt idx="49">
                  <c:v>Dec2021</c:v>
                </c:pt>
              </c:strCache>
            </c:strRef>
          </c:cat>
          <c:val>
            <c:numRef>
              <c:f>'Monthly Data Input'!$G$170:$BD$170</c:f>
              <c:numCache>
                <c:formatCode>#,##0</c:formatCode>
                <c:ptCount val="50"/>
                <c:pt idx="14">
                  <c:v>0</c:v>
                </c:pt>
                <c:pt idx="15">
                  <c:v>0</c:v>
                </c:pt>
                <c:pt idx="16">
                  <c:v>0</c:v>
                </c:pt>
                <c:pt idx="17">
                  <c:v>0</c:v>
                </c:pt>
                <c:pt idx="18">
                  <c:v>0</c:v>
                </c:pt>
                <c:pt idx="19">
                  <c:v>0</c:v>
                </c:pt>
                <c:pt idx="20">
                  <c:v>0</c:v>
                </c:pt>
                <c:pt idx="21">
                  <c:v>0</c:v>
                </c:pt>
                <c:pt idx="22">
                  <c:v>0</c:v>
                </c:pt>
                <c:pt idx="23">
                  <c:v>0</c:v>
                </c:pt>
                <c:pt idx="24">
                  <c:v>0</c:v>
                </c:pt>
                <c:pt idx="25">
                  <c:v>0</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numCache>
            </c:numRef>
          </c:val>
          <c:extLst>
            <c:ext xmlns:c16="http://schemas.microsoft.com/office/drawing/2014/chart" uri="{C3380CC4-5D6E-409C-BE32-E72D297353CC}">
              <c16:uniqueId val="{00000000-CA2F-4322-B9BB-3F7F54ACBB2B}"/>
            </c:ext>
          </c:extLst>
        </c:ser>
        <c:dLbls>
          <c:showLegendKey val="0"/>
          <c:showVal val="0"/>
          <c:showCatName val="0"/>
          <c:showSerName val="0"/>
          <c:showPercent val="0"/>
          <c:showBubbleSize val="0"/>
        </c:dLbls>
        <c:gapWidth val="0"/>
        <c:axId val="1258402383"/>
        <c:axId val="1258400303"/>
      </c:barChart>
      <c:lineChart>
        <c:grouping val="standard"/>
        <c:varyColors val="0"/>
        <c:ser>
          <c:idx val="0"/>
          <c:order val="0"/>
          <c:tx>
            <c:strRef>
              <c:f>'Monthly Data Input'!$D$169:$F$169</c:f>
              <c:strCache>
                <c:ptCount val="3"/>
                <c:pt idx="0">
                  <c:v>Les données annuelles (moyenne mensuelle)</c:v>
                </c:pt>
              </c:strCache>
            </c:strRef>
          </c:tx>
          <c:spPr>
            <a:ln w="28575" cap="rnd">
              <a:solidFill>
                <a:schemeClr val="tx2"/>
              </a:solidFill>
              <a:round/>
            </a:ln>
            <a:effectLst/>
          </c:spPr>
          <c:marker>
            <c:symbol val="circle"/>
            <c:size val="10"/>
            <c:spPr>
              <a:solidFill>
                <a:schemeClr val="tx2"/>
              </a:solidFill>
              <a:ln w="9525">
                <a:solidFill>
                  <a:schemeClr val="tx2"/>
                </a:solidFill>
              </a:ln>
              <a:effectLst/>
            </c:spPr>
          </c:marker>
          <c:cat>
            <c:strRef>
              <c:f>'Monthly Data Input'!$G$137:$BD$137</c:f>
              <c:strCach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Jan2019</c:v>
                </c:pt>
                <c:pt idx="15">
                  <c:v>Feb2019</c:v>
                </c:pt>
                <c:pt idx="16">
                  <c:v>Mar2019</c:v>
                </c:pt>
                <c:pt idx="17">
                  <c:v>Apr2019</c:v>
                </c:pt>
                <c:pt idx="18">
                  <c:v>May2019</c:v>
                </c:pt>
                <c:pt idx="19">
                  <c:v>Jun2019</c:v>
                </c:pt>
                <c:pt idx="20">
                  <c:v>Jul2019</c:v>
                </c:pt>
                <c:pt idx="21">
                  <c:v>Aug2019</c:v>
                </c:pt>
                <c:pt idx="22">
                  <c:v>Sep2019</c:v>
                </c:pt>
                <c:pt idx="23">
                  <c:v>Oct2019</c:v>
                </c:pt>
                <c:pt idx="24">
                  <c:v>Nov2019</c:v>
                </c:pt>
                <c:pt idx="25">
                  <c:v>Dec2019</c:v>
                </c:pt>
                <c:pt idx="26">
                  <c:v>Jan2020</c:v>
                </c:pt>
                <c:pt idx="27">
                  <c:v>Feb2020</c:v>
                </c:pt>
                <c:pt idx="28">
                  <c:v>Mar2020</c:v>
                </c:pt>
                <c:pt idx="29">
                  <c:v>Apr2020</c:v>
                </c:pt>
                <c:pt idx="30">
                  <c:v>May2020</c:v>
                </c:pt>
                <c:pt idx="31">
                  <c:v>Jun2020</c:v>
                </c:pt>
                <c:pt idx="32">
                  <c:v>Jul2020</c:v>
                </c:pt>
                <c:pt idx="33">
                  <c:v>Aug2020</c:v>
                </c:pt>
                <c:pt idx="34">
                  <c:v>Sep2020</c:v>
                </c:pt>
                <c:pt idx="35">
                  <c:v>Oct2020</c:v>
                </c:pt>
                <c:pt idx="36">
                  <c:v>Nov2020</c:v>
                </c:pt>
                <c:pt idx="37">
                  <c:v>Dec2020</c:v>
                </c:pt>
                <c:pt idx="38">
                  <c:v>Jan2021</c:v>
                </c:pt>
                <c:pt idx="39">
                  <c:v>Feb2021</c:v>
                </c:pt>
                <c:pt idx="40">
                  <c:v>Mar2021</c:v>
                </c:pt>
                <c:pt idx="41">
                  <c:v>Apr2021</c:v>
                </c:pt>
                <c:pt idx="42">
                  <c:v>May2021</c:v>
                </c:pt>
                <c:pt idx="43">
                  <c:v>Jun2021</c:v>
                </c:pt>
                <c:pt idx="44">
                  <c:v>Jul2021</c:v>
                </c:pt>
                <c:pt idx="45">
                  <c:v>Aug2021</c:v>
                </c:pt>
                <c:pt idx="46">
                  <c:v>Sep2021</c:v>
                </c:pt>
                <c:pt idx="47">
                  <c:v>Oct2021</c:v>
                </c:pt>
                <c:pt idx="48">
                  <c:v>Nov2021</c:v>
                </c:pt>
                <c:pt idx="49">
                  <c:v>Dec2021</c:v>
                </c:pt>
              </c:strCache>
            </c:strRef>
          </c:cat>
          <c:val>
            <c:numRef>
              <c:f>'Monthly Data Input'!$G$169:$BD$169</c:f>
              <c:numCache>
                <c:formatCode>#,##0</c:formatCod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numCache>
            </c:numRef>
          </c:val>
          <c:smooth val="1"/>
          <c:extLst>
            <c:ext xmlns:c16="http://schemas.microsoft.com/office/drawing/2014/chart" uri="{C3380CC4-5D6E-409C-BE32-E72D297353CC}">
              <c16:uniqueId val="{00000001-CA2F-4322-B9BB-3F7F54ACBB2B}"/>
            </c:ext>
          </c:extLst>
        </c:ser>
        <c:ser>
          <c:idx val="1"/>
          <c:order val="1"/>
          <c:tx>
            <c:strRef>
              <c:f>'Monthly Data Input'!$D$168:$F$168</c:f>
              <c:strCache>
                <c:ptCount val="3"/>
                <c:pt idx="0">
                  <c:v>Les données mensuelles</c:v>
                </c:pt>
              </c:strCache>
            </c:strRef>
          </c:tx>
          <c:spPr>
            <a:ln w="28575" cap="rnd">
              <a:solidFill>
                <a:schemeClr val="accent1"/>
              </a:solidFill>
              <a:round/>
            </a:ln>
            <a:effectLst/>
          </c:spPr>
          <c:marker>
            <c:symbol val="circle"/>
            <c:size val="10"/>
            <c:spPr>
              <a:solidFill>
                <a:schemeClr val="accent1"/>
              </a:solidFill>
              <a:ln w="9525">
                <a:solidFill>
                  <a:schemeClr val="accent1"/>
                </a:solidFill>
              </a:ln>
              <a:effectLst/>
            </c:spPr>
          </c:marker>
          <c:cat>
            <c:strRef>
              <c:f>'Monthly Data Input'!$G$137:$BD$137</c:f>
              <c:strCach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Jan2019</c:v>
                </c:pt>
                <c:pt idx="15">
                  <c:v>Feb2019</c:v>
                </c:pt>
                <c:pt idx="16">
                  <c:v>Mar2019</c:v>
                </c:pt>
                <c:pt idx="17">
                  <c:v>Apr2019</c:v>
                </c:pt>
                <c:pt idx="18">
                  <c:v>May2019</c:v>
                </c:pt>
                <c:pt idx="19">
                  <c:v>Jun2019</c:v>
                </c:pt>
                <c:pt idx="20">
                  <c:v>Jul2019</c:v>
                </c:pt>
                <c:pt idx="21">
                  <c:v>Aug2019</c:v>
                </c:pt>
                <c:pt idx="22">
                  <c:v>Sep2019</c:v>
                </c:pt>
                <c:pt idx="23">
                  <c:v>Oct2019</c:v>
                </c:pt>
                <c:pt idx="24">
                  <c:v>Nov2019</c:v>
                </c:pt>
                <c:pt idx="25">
                  <c:v>Dec2019</c:v>
                </c:pt>
                <c:pt idx="26">
                  <c:v>Jan2020</c:v>
                </c:pt>
                <c:pt idx="27">
                  <c:v>Feb2020</c:v>
                </c:pt>
                <c:pt idx="28">
                  <c:v>Mar2020</c:v>
                </c:pt>
                <c:pt idx="29">
                  <c:v>Apr2020</c:v>
                </c:pt>
                <c:pt idx="30">
                  <c:v>May2020</c:v>
                </c:pt>
                <c:pt idx="31">
                  <c:v>Jun2020</c:v>
                </c:pt>
                <c:pt idx="32">
                  <c:v>Jul2020</c:v>
                </c:pt>
                <c:pt idx="33">
                  <c:v>Aug2020</c:v>
                </c:pt>
                <c:pt idx="34">
                  <c:v>Sep2020</c:v>
                </c:pt>
                <c:pt idx="35">
                  <c:v>Oct2020</c:v>
                </c:pt>
                <c:pt idx="36">
                  <c:v>Nov2020</c:v>
                </c:pt>
                <c:pt idx="37">
                  <c:v>Dec2020</c:v>
                </c:pt>
                <c:pt idx="38">
                  <c:v>Jan2021</c:v>
                </c:pt>
                <c:pt idx="39">
                  <c:v>Feb2021</c:v>
                </c:pt>
                <c:pt idx="40">
                  <c:v>Mar2021</c:v>
                </c:pt>
                <c:pt idx="41">
                  <c:v>Apr2021</c:v>
                </c:pt>
                <c:pt idx="42">
                  <c:v>May2021</c:v>
                </c:pt>
                <c:pt idx="43">
                  <c:v>Jun2021</c:v>
                </c:pt>
                <c:pt idx="44">
                  <c:v>Jul2021</c:v>
                </c:pt>
                <c:pt idx="45">
                  <c:v>Aug2021</c:v>
                </c:pt>
                <c:pt idx="46">
                  <c:v>Sep2021</c:v>
                </c:pt>
                <c:pt idx="47">
                  <c:v>Oct2021</c:v>
                </c:pt>
                <c:pt idx="48">
                  <c:v>Nov2021</c:v>
                </c:pt>
                <c:pt idx="49">
                  <c:v>Dec2021</c:v>
                </c:pt>
              </c:strCache>
            </c:strRef>
          </c:cat>
          <c:val>
            <c:numRef>
              <c:f>'Monthly Data Input'!$G$168:$BD$168</c:f>
              <c:numCache>
                <c:formatCode>#,##0</c:formatCod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smooth val="1"/>
          <c:extLst>
            <c:ext xmlns:c16="http://schemas.microsoft.com/office/drawing/2014/chart" uri="{C3380CC4-5D6E-409C-BE32-E72D297353CC}">
              <c16:uniqueId val="{00000002-CA2F-4322-B9BB-3F7F54ACBB2B}"/>
            </c:ext>
          </c:extLst>
        </c:ser>
        <c:dLbls>
          <c:showLegendKey val="0"/>
          <c:showVal val="0"/>
          <c:showCatName val="0"/>
          <c:showSerName val="0"/>
          <c:showPercent val="0"/>
          <c:showBubbleSize val="0"/>
        </c:dLbls>
        <c:marker val="1"/>
        <c:smooth val="0"/>
        <c:axId val="1522245199"/>
        <c:axId val="1522244367"/>
      </c:lineChart>
      <c:catAx>
        <c:axId val="15222451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2244367"/>
        <c:crosses val="autoZero"/>
        <c:auto val="1"/>
        <c:lblAlgn val="ctr"/>
        <c:lblOffset val="100"/>
        <c:noMultiLvlLbl val="0"/>
      </c:catAx>
      <c:valAx>
        <c:axId val="1522244367"/>
        <c:scaling>
          <c:orientation val="minMax"/>
          <c:min val="0"/>
        </c:scaling>
        <c:delete val="0"/>
        <c:axPos val="l"/>
        <c:majorGridlines>
          <c:spPr>
            <a:ln w="9525" cap="flat" cmpd="sng" algn="ctr">
              <a:solidFill>
                <a:schemeClr val="tx1">
                  <a:lumMod val="15000"/>
                  <a:lumOff val="85000"/>
                </a:schemeClr>
              </a:solidFill>
              <a:round/>
            </a:ln>
            <a:effectLst/>
          </c:spPr>
        </c:majorGridlines>
        <c:title>
          <c:tx>
            <c:strRef>
              <c:f>'Monthly Data Input'!$B$327:$B$337</c:f>
              <c:strCache>
                <c:ptCount val="11"/>
                <c:pt idx="0">
                  <c:v>Implant de 5 ans (Jadelle)</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2245199"/>
        <c:crosses val="autoZero"/>
        <c:crossBetween val="between"/>
      </c:valAx>
      <c:valAx>
        <c:axId val="1258400303"/>
        <c:scaling>
          <c:orientation val="minMax"/>
          <c:max val="1"/>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58402383"/>
        <c:crosses val="max"/>
        <c:crossBetween val="between"/>
      </c:valAx>
      <c:catAx>
        <c:axId val="1258402383"/>
        <c:scaling>
          <c:orientation val="minMax"/>
        </c:scaling>
        <c:delete val="1"/>
        <c:axPos val="b"/>
        <c:numFmt formatCode="General" sourceLinked="1"/>
        <c:majorTickMark val="out"/>
        <c:minorTickMark val="none"/>
        <c:tickLblPos val="nextTo"/>
        <c:crossAx val="1258400303"/>
        <c:crosses val="autoZero"/>
        <c:auto val="1"/>
        <c:lblAlgn val="ctr"/>
        <c:lblOffset val="100"/>
        <c:noMultiLvlLbl val="0"/>
      </c:catAx>
    </c:plotArea>
    <c:legend>
      <c:legendPos val="b"/>
      <c:layout>
        <c:manualLayout>
          <c:xMode val="edge"/>
          <c:yMode val="edge"/>
          <c:x val="0.18682597253086144"/>
          <c:y val="8.889290601088895E-2"/>
          <c:w val="0.6335570057692187"/>
          <c:h val="6.643747287494575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span"/>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0.xml.rels><?xml version="1.0" encoding="UTF-8" standalone="yes"?>
<Relationships xmlns="http://schemas.openxmlformats.org/package/2006/relationships"><Relationship Id="rId8" Type="http://schemas.openxmlformats.org/officeDocument/2006/relationships/chart" Target="../charts/chart30.xml"/><Relationship Id="rId3" Type="http://schemas.openxmlformats.org/officeDocument/2006/relationships/chart" Target="../charts/chart25.xml"/><Relationship Id="rId7" Type="http://schemas.openxmlformats.org/officeDocument/2006/relationships/chart" Target="../charts/chart29.xml"/><Relationship Id="rId2" Type="http://schemas.openxmlformats.org/officeDocument/2006/relationships/chart" Target="../charts/chart24.xml"/><Relationship Id="rId1" Type="http://schemas.openxmlformats.org/officeDocument/2006/relationships/chart" Target="../charts/chart23.xml"/><Relationship Id="rId6" Type="http://schemas.openxmlformats.org/officeDocument/2006/relationships/chart" Target="../charts/chart28.xml"/><Relationship Id="rId5" Type="http://schemas.openxmlformats.org/officeDocument/2006/relationships/chart" Target="../charts/chart27.xml"/><Relationship Id="rId4" Type="http://schemas.openxmlformats.org/officeDocument/2006/relationships/chart" Target="../charts/chart26.xml"/><Relationship Id="rId9" Type="http://schemas.openxmlformats.org/officeDocument/2006/relationships/chart" Target="../charts/chart31.xml"/></Relationships>
</file>

<file path=xl/drawings/_rels/drawing11.xml.rels><?xml version="1.0" encoding="UTF-8" standalone="yes"?>
<Relationships xmlns="http://schemas.openxmlformats.org/package/2006/relationships"><Relationship Id="rId8" Type="http://schemas.openxmlformats.org/officeDocument/2006/relationships/chart" Target="../charts/chart39.xml"/><Relationship Id="rId3" Type="http://schemas.openxmlformats.org/officeDocument/2006/relationships/chart" Target="../charts/chart34.xml"/><Relationship Id="rId7" Type="http://schemas.openxmlformats.org/officeDocument/2006/relationships/chart" Target="../charts/chart38.xml"/><Relationship Id="rId2" Type="http://schemas.openxmlformats.org/officeDocument/2006/relationships/chart" Target="../charts/chart33.xml"/><Relationship Id="rId1" Type="http://schemas.openxmlformats.org/officeDocument/2006/relationships/chart" Target="../charts/chart32.xml"/><Relationship Id="rId6" Type="http://schemas.openxmlformats.org/officeDocument/2006/relationships/chart" Target="../charts/chart37.xml"/><Relationship Id="rId5" Type="http://schemas.openxmlformats.org/officeDocument/2006/relationships/chart" Target="../charts/chart36.xml"/><Relationship Id="rId4" Type="http://schemas.openxmlformats.org/officeDocument/2006/relationships/chart" Target="../charts/chart35.xml"/><Relationship Id="rId9" Type="http://schemas.openxmlformats.org/officeDocument/2006/relationships/chart" Target="../charts/chart40.xml"/></Relationships>
</file>

<file path=xl/drawings/_rels/drawing12.xml.rels><?xml version="1.0" encoding="UTF-8" standalone="yes"?>
<Relationships xmlns="http://schemas.openxmlformats.org/package/2006/relationships"><Relationship Id="rId8" Type="http://schemas.openxmlformats.org/officeDocument/2006/relationships/chart" Target="../charts/chart48.xml"/><Relationship Id="rId3" Type="http://schemas.openxmlformats.org/officeDocument/2006/relationships/chart" Target="../charts/chart43.xml"/><Relationship Id="rId7" Type="http://schemas.openxmlformats.org/officeDocument/2006/relationships/chart" Target="../charts/chart47.xml"/><Relationship Id="rId2" Type="http://schemas.openxmlformats.org/officeDocument/2006/relationships/chart" Target="../charts/chart42.xml"/><Relationship Id="rId1" Type="http://schemas.openxmlformats.org/officeDocument/2006/relationships/chart" Target="../charts/chart41.xml"/><Relationship Id="rId6" Type="http://schemas.openxmlformats.org/officeDocument/2006/relationships/chart" Target="../charts/chart46.xml"/><Relationship Id="rId5" Type="http://schemas.openxmlformats.org/officeDocument/2006/relationships/chart" Target="../charts/chart45.xml"/><Relationship Id="rId4" Type="http://schemas.openxmlformats.org/officeDocument/2006/relationships/chart" Target="../charts/chart44.xml"/><Relationship Id="rId9" Type="http://schemas.openxmlformats.org/officeDocument/2006/relationships/chart" Target="../charts/chart49.xml"/></Relationships>
</file>

<file path=xl/drawings/_rels/drawing13.xml.rels><?xml version="1.0" encoding="UTF-8" standalone="yes"?>
<Relationships xmlns="http://schemas.openxmlformats.org/package/2006/relationships"><Relationship Id="rId8" Type="http://schemas.openxmlformats.org/officeDocument/2006/relationships/chart" Target="../charts/chart57.xml"/><Relationship Id="rId3" Type="http://schemas.openxmlformats.org/officeDocument/2006/relationships/chart" Target="../charts/chart52.xml"/><Relationship Id="rId7" Type="http://schemas.openxmlformats.org/officeDocument/2006/relationships/chart" Target="../charts/chart56.xml"/><Relationship Id="rId2" Type="http://schemas.openxmlformats.org/officeDocument/2006/relationships/chart" Target="../charts/chart51.xml"/><Relationship Id="rId1" Type="http://schemas.openxmlformats.org/officeDocument/2006/relationships/chart" Target="../charts/chart50.xml"/><Relationship Id="rId6" Type="http://schemas.openxmlformats.org/officeDocument/2006/relationships/chart" Target="../charts/chart55.xml"/><Relationship Id="rId5" Type="http://schemas.openxmlformats.org/officeDocument/2006/relationships/chart" Target="../charts/chart54.xml"/><Relationship Id="rId4" Type="http://schemas.openxmlformats.org/officeDocument/2006/relationships/chart" Target="../charts/chart53.xml"/><Relationship Id="rId9" Type="http://schemas.openxmlformats.org/officeDocument/2006/relationships/chart" Target="../charts/chart58.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66.xml"/><Relationship Id="rId3" Type="http://schemas.openxmlformats.org/officeDocument/2006/relationships/chart" Target="../charts/chart61.xml"/><Relationship Id="rId7" Type="http://schemas.openxmlformats.org/officeDocument/2006/relationships/chart" Target="../charts/chart65.xml"/><Relationship Id="rId2" Type="http://schemas.openxmlformats.org/officeDocument/2006/relationships/chart" Target="../charts/chart60.xml"/><Relationship Id="rId1" Type="http://schemas.openxmlformats.org/officeDocument/2006/relationships/chart" Target="../charts/chart59.xml"/><Relationship Id="rId6" Type="http://schemas.openxmlformats.org/officeDocument/2006/relationships/chart" Target="../charts/chart64.xml"/><Relationship Id="rId5" Type="http://schemas.openxmlformats.org/officeDocument/2006/relationships/chart" Target="../charts/chart63.xml"/><Relationship Id="rId4" Type="http://schemas.openxmlformats.org/officeDocument/2006/relationships/chart" Target="../charts/chart62.xml"/><Relationship Id="rId9" Type="http://schemas.openxmlformats.org/officeDocument/2006/relationships/chart" Target="../charts/chart67.xml"/></Relationships>
</file>

<file path=xl/drawings/_rels/drawing15.xml.rels><?xml version="1.0" encoding="UTF-8" standalone="yes"?>
<Relationships xmlns="http://schemas.openxmlformats.org/package/2006/relationships"><Relationship Id="rId8" Type="http://schemas.openxmlformats.org/officeDocument/2006/relationships/chart" Target="../charts/chart75.xml"/><Relationship Id="rId3" Type="http://schemas.openxmlformats.org/officeDocument/2006/relationships/chart" Target="../charts/chart70.xml"/><Relationship Id="rId7" Type="http://schemas.openxmlformats.org/officeDocument/2006/relationships/chart" Target="../charts/chart74.xml"/><Relationship Id="rId2" Type="http://schemas.openxmlformats.org/officeDocument/2006/relationships/chart" Target="../charts/chart69.xml"/><Relationship Id="rId1" Type="http://schemas.openxmlformats.org/officeDocument/2006/relationships/chart" Target="../charts/chart68.xml"/><Relationship Id="rId6" Type="http://schemas.openxmlformats.org/officeDocument/2006/relationships/chart" Target="../charts/chart73.xml"/><Relationship Id="rId5" Type="http://schemas.openxmlformats.org/officeDocument/2006/relationships/chart" Target="../charts/chart72.xml"/><Relationship Id="rId4" Type="http://schemas.openxmlformats.org/officeDocument/2006/relationships/chart" Target="../charts/chart71.xml"/><Relationship Id="rId9" Type="http://schemas.openxmlformats.org/officeDocument/2006/relationships/chart" Target="../charts/chart76.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79.xml"/><Relationship Id="rId2" Type="http://schemas.openxmlformats.org/officeDocument/2006/relationships/chart" Target="../charts/chart78.xml"/><Relationship Id="rId1" Type="http://schemas.openxmlformats.org/officeDocument/2006/relationships/chart" Target="../charts/chart77.xml"/><Relationship Id="rId5" Type="http://schemas.openxmlformats.org/officeDocument/2006/relationships/chart" Target="../charts/chart81.xml"/><Relationship Id="rId4" Type="http://schemas.openxmlformats.org/officeDocument/2006/relationships/chart" Target="../charts/chart80.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83.xml"/><Relationship Id="rId1" Type="http://schemas.openxmlformats.org/officeDocument/2006/relationships/chart" Target="../charts/chart82.xml"/></Relationships>
</file>

<file path=xl/drawings/_rels/drawing18.xml.rels><?xml version="1.0" encoding="UTF-8" standalone="yes"?>
<Relationships xmlns="http://schemas.openxmlformats.org/package/2006/relationships"><Relationship Id="rId8" Type="http://schemas.openxmlformats.org/officeDocument/2006/relationships/chart" Target="../charts/chart91.xml"/><Relationship Id="rId13" Type="http://schemas.openxmlformats.org/officeDocument/2006/relationships/chart" Target="../charts/chart96.xml"/><Relationship Id="rId3" Type="http://schemas.openxmlformats.org/officeDocument/2006/relationships/chart" Target="../charts/chart86.xml"/><Relationship Id="rId7" Type="http://schemas.openxmlformats.org/officeDocument/2006/relationships/chart" Target="../charts/chart90.xml"/><Relationship Id="rId12" Type="http://schemas.openxmlformats.org/officeDocument/2006/relationships/chart" Target="../charts/chart95.xml"/><Relationship Id="rId17" Type="http://schemas.openxmlformats.org/officeDocument/2006/relationships/chart" Target="../charts/chart100.xml"/><Relationship Id="rId2" Type="http://schemas.openxmlformats.org/officeDocument/2006/relationships/chart" Target="../charts/chart85.xml"/><Relationship Id="rId16" Type="http://schemas.openxmlformats.org/officeDocument/2006/relationships/chart" Target="../charts/chart99.xml"/><Relationship Id="rId1" Type="http://schemas.openxmlformats.org/officeDocument/2006/relationships/chart" Target="../charts/chart84.xml"/><Relationship Id="rId6" Type="http://schemas.openxmlformats.org/officeDocument/2006/relationships/chart" Target="../charts/chart89.xml"/><Relationship Id="rId11" Type="http://schemas.openxmlformats.org/officeDocument/2006/relationships/chart" Target="../charts/chart94.xml"/><Relationship Id="rId5" Type="http://schemas.openxmlformats.org/officeDocument/2006/relationships/chart" Target="../charts/chart88.xml"/><Relationship Id="rId15" Type="http://schemas.openxmlformats.org/officeDocument/2006/relationships/chart" Target="../charts/chart98.xml"/><Relationship Id="rId10" Type="http://schemas.openxmlformats.org/officeDocument/2006/relationships/chart" Target="../charts/chart93.xml"/><Relationship Id="rId4" Type="http://schemas.openxmlformats.org/officeDocument/2006/relationships/chart" Target="../charts/chart87.xml"/><Relationship Id="rId9" Type="http://schemas.openxmlformats.org/officeDocument/2006/relationships/chart" Target="../charts/chart92.xml"/><Relationship Id="rId14" Type="http://schemas.openxmlformats.org/officeDocument/2006/relationships/chart" Target="../charts/chart97.xml"/></Relationships>
</file>

<file path=xl/drawings/_rels/drawing19.xml.rels><?xml version="1.0" encoding="UTF-8" standalone="yes"?>
<Relationships xmlns="http://schemas.openxmlformats.org/package/2006/relationships"><Relationship Id="rId8" Type="http://schemas.openxmlformats.org/officeDocument/2006/relationships/chart" Target="../charts/chart108.xml"/><Relationship Id="rId3" Type="http://schemas.openxmlformats.org/officeDocument/2006/relationships/chart" Target="../charts/chart103.xml"/><Relationship Id="rId7" Type="http://schemas.openxmlformats.org/officeDocument/2006/relationships/chart" Target="../charts/chart107.xml"/><Relationship Id="rId2" Type="http://schemas.openxmlformats.org/officeDocument/2006/relationships/chart" Target="../charts/chart102.xml"/><Relationship Id="rId1" Type="http://schemas.openxmlformats.org/officeDocument/2006/relationships/chart" Target="../charts/chart101.xml"/><Relationship Id="rId6" Type="http://schemas.openxmlformats.org/officeDocument/2006/relationships/chart" Target="../charts/chart106.xml"/><Relationship Id="rId5" Type="http://schemas.openxmlformats.org/officeDocument/2006/relationships/chart" Target="../charts/chart105.xml"/><Relationship Id="rId4" Type="http://schemas.openxmlformats.org/officeDocument/2006/relationships/chart" Target="../charts/chart104.xml"/></Relationships>
</file>

<file path=xl/drawings/_rels/drawing5.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8" Type="http://schemas.openxmlformats.org/officeDocument/2006/relationships/chart" Target="../charts/chart11.xml"/><Relationship Id="rId3" Type="http://schemas.openxmlformats.org/officeDocument/2006/relationships/chart" Target="../charts/chart6.xml"/><Relationship Id="rId7" Type="http://schemas.openxmlformats.org/officeDocument/2006/relationships/chart" Target="../charts/chart10.xml"/><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chart" Target="../charts/chart9.xml"/><Relationship Id="rId5" Type="http://schemas.openxmlformats.org/officeDocument/2006/relationships/chart" Target="../charts/chart8.xml"/><Relationship Id="rId10" Type="http://schemas.openxmlformats.org/officeDocument/2006/relationships/chart" Target="../charts/chart13.xml"/><Relationship Id="rId4" Type="http://schemas.openxmlformats.org/officeDocument/2006/relationships/chart" Target="../charts/chart7.xml"/><Relationship Id="rId9" Type="http://schemas.openxmlformats.org/officeDocument/2006/relationships/chart" Target="../charts/chart12.xml"/></Relationships>
</file>

<file path=xl/drawings/_rels/drawing8.xml.rels><?xml version="1.0" encoding="UTF-8" standalone="yes"?>
<Relationships xmlns="http://schemas.openxmlformats.org/package/2006/relationships"><Relationship Id="rId8" Type="http://schemas.openxmlformats.org/officeDocument/2006/relationships/chart" Target="../charts/chart21.xml"/><Relationship Id="rId3" Type="http://schemas.openxmlformats.org/officeDocument/2006/relationships/chart" Target="../charts/chart16.xml"/><Relationship Id="rId7" Type="http://schemas.openxmlformats.org/officeDocument/2006/relationships/chart" Target="../charts/chart20.xml"/><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chart" Target="../charts/chart19.xml"/><Relationship Id="rId5" Type="http://schemas.openxmlformats.org/officeDocument/2006/relationships/chart" Target="../charts/chart18.xml"/><Relationship Id="rId4" Type="http://schemas.openxmlformats.org/officeDocument/2006/relationships/chart" Target="../charts/chart17.xml"/><Relationship Id="rId9"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xdr:from>
      <xdr:col>0</xdr:col>
      <xdr:colOff>47625</xdr:colOff>
      <xdr:row>0</xdr:row>
      <xdr:rowOff>57148</xdr:rowOff>
    </xdr:from>
    <xdr:to>
      <xdr:col>15</xdr:col>
      <xdr:colOff>314325</xdr:colOff>
      <xdr:row>76</xdr:row>
      <xdr:rowOff>133350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47625" y="57148"/>
          <a:ext cx="9410700" cy="14601827"/>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r>
            <a:rPr lang="en-US" sz="1400" b="1">
              <a:solidFill>
                <a:srgbClr val="002060"/>
              </a:solidFill>
            </a:rPr>
            <a:t>TRACK20 TOOL: CONVERT SERVICE STATISTICS DATA TO "EMU (Estimated</a:t>
          </a:r>
          <a:r>
            <a:rPr lang="en-US" sz="1400" b="1" baseline="0">
              <a:solidFill>
                <a:srgbClr val="002060"/>
              </a:solidFill>
            </a:rPr>
            <a:t> Method Use)</a:t>
          </a:r>
          <a:r>
            <a:rPr lang="en-US" sz="1400" b="1">
              <a:solidFill>
                <a:srgbClr val="002060"/>
              </a:solidFill>
            </a:rPr>
            <a:t>" FOR</a:t>
          </a:r>
          <a:r>
            <a:rPr lang="en-US" sz="1400" b="1" baseline="0">
              <a:solidFill>
                <a:srgbClr val="002060"/>
              </a:solidFill>
            </a:rPr>
            <a:t> FPET</a:t>
          </a:r>
          <a:endParaRPr lang="en-US" sz="1400" b="1">
            <a:solidFill>
              <a:srgbClr val="002060"/>
            </a:solidFill>
          </a:endParaRPr>
        </a:p>
        <a:p>
          <a:r>
            <a:rPr lang="en-US" sz="1200" b="1">
              <a:solidFill>
                <a:srgbClr val="002060"/>
              </a:solidFill>
            </a:rPr>
            <a:t>Version</a:t>
          </a:r>
          <a:r>
            <a:rPr lang="en-US" sz="1200" b="1" baseline="0">
              <a:solidFill>
                <a:srgbClr val="002060"/>
              </a:solidFill>
            </a:rPr>
            <a:t> 6.1: October 2022</a:t>
          </a:r>
        </a:p>
        <a:p>
          <a:endParaRPr lang="en-US" sz="1100"/>
        </a:p>
        <a:p>
          <a:r>
            <a:rPr lang="en-US" sz="1100"/>
            <a:t>Track20 has developed this tool to assist countries in reviewing their service statistics data and converting it into estimates of modern method use (EMU is</a:t>
          </a:r>
          <a:r>
            <a:rPr lang="en-US" sz="1100" baseline="0"/>
            <a:t> </a:t>
          </a:r>
          <a:r>
            <a:rPr lang="en-US" sz="1100"/>
            <a:t>a proxy for mCPR),</a:t>
          </a:r>
          <a:r>
            <a:rPr lang="en-US" sz="1100" baseline="0"/>
            <a:t> that can be compared aganst mCPR from surveys or other modelling. </a:t>
          </a:r>
          <a:endParaRPr lang="en-US" sz="1100" u="sng" baseline="0">
            <a:solidFill>
              <a:srgbClr val="0070C0"/>
            </a:solidFill>
          </a:endParaRPr>
        </a:p>
        <a:p>
          <a:endParaRPr lang="en-US" sz="1100" u="sng" baseline="0">
            <a:solidFill>
              <a:srgbClr val="0070C0"/>
            </a:solidFill>
          </a:endParaRPr>
        </a:p>
        <a:p>
          <a:pPr marL="0" marR="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This tool will produce estimates of modern method use (EMU) from routine data that can be used as input data in FPET. These estimates, while meant to approximate modern contraceptive prevalence, should not be used as mCPR estimates anywhere but in FPET. Read on to find out if your service statistics data are suitable for use in FPET.</a:t>
          </a:r>
          <a:endParaRPr lang="en-US">
            <a:effectLst/>
          </a:endParaRPr>
        </a:p>
        <a:p>
          <a:endParaRPr lang="en-US" sz="1100" u="sng" baseline="0">
            <a:solidFill>
              <a:srgbClr val="0070C0"/>
            </a:solidFill>
          </a:endParaRPr>
        </a:p>
        <a:p>
          <a:r>
            <a:rPr lang="en-US" sz="1200" b="1" baseline="0">
              <a:solidFill>
                <a:schemeClr val="bg2"/>
              </a:solidFill>
            </a:rPr>
            <a:t>ARE YOUR SERVICE STATISTICS DATA SUITABLE FOR INCLUSION IN FPET?</a:t>
          </a:r>
        </a:p>
        <a:p>
          <a:endParaRPr lang="en-US" sz="1200" baseline="0"/>
        </a:p>
        <a:p>
          <a:r>
            <a:rPr lang="en-US" sz="1100" baseline="0"/>
            <a:t>Not all service statistics data are suitable for use in FPET.  The annual estimates need to be comparable to each other. So, while it may acceptable for the service statistics to be biased or have data quality issues, these biases/issues must be consistent across the years for which you are producing these estimates. </a:t>
          </a:r>
          <a:r>
            <a:rPr lang="en-US" sz="1100" b="1" baseline="0"/>
            <a:t>This ensures that the trend between these data points, which will affect the projected FPET results curve, is accurate and reflects the actual trend in family planning use in your country. </a:t>
          </a:r>
        </a:p>
        <a:p>
          <a:endParaRPr lang="en-US" sz="1100" baseline="0"/>
        </a:p>
        <a:p>
          <a:r>
            <a:rPr lang="en-US" sz="1100" baseline="0"/>
            <a:t>That the data present an accurate, consistent trend is of utmost importance, because FPET will use the trend/change between these estimates, and not the actual magnitude/value of each point estimate, to inform the FPET results. In fact, the final EMU that results from your service statistics data may be very different in value from your country's actual mCPR. For the purposes of including Service Statistics in FPET, the value of the EMU does not hold much meaning, it's the change in this value over time that we wish to capture through use of this routine data.</a:t>
          </a:r>
        </a:p>
        <a:p>
          <a:endParaRPr lang="en-US" sz="1100" baseline="0"/>
        </a:p>
        <a:p>
          <a:r>
            <a:rPr lang="en-US" sz="1100" b="1" baseline="0">
              <a:solidFill>
                <a:srgbClr val="002060"/>
              </a:solidFill>
            </a:rPr>
            <a:t>Answering the following questions will help you determine whether your data are suited for inclusion in FPET:</a:t>
          </a:r>
          <a:endParaRPr lang="en-US" sz="1100" b="1">
            <a:solidFill>
              <a:srgbClr val="002060"/>
            </a:solidFill>
          </a:endParaRPr>
        </a:p>
        <a:p>
          <a:endParaRPr lang="en-US" sz="1100"/>
        </a:p>
        <a:p>
          <a:r>
            <a:rPr lang="en-US" sz="1100" b="1">
              <a:solidFill>
                <a:srgbClr val="002060"/>
              </a:solidFill>
            </a:rPr>
            <a:t>1. Data Availability </a:t>
          </a:r>
        </a:p>
        <a:p>
          <a:r>
            <a:rPr lang="en-US" sz="1100"/>
            <a:t>a. Do you have data that capture national</a:t>
          </a:r>
          <a:r>
            <a:rPr lang="en-US" sz="1100" baseline="0"/>
            <a:t> </a:t>
          </a:r>
          <a:r>
            <a:rPr lang="en-US" sz="1100"/>
            <a:t>family planning service statistics in your country,</a:t>
          </a:r>
          <a:r>
            <a:rPr lang="en-US" sz="1100" baseline="0"/>
            <a:t> </a:t>
          </a:r>
          <a:r>
            <a:rPr lang="en-US" sz="1100"/>
            <a:t>such as commodities distribution data</a:t>
          </a:r>
          <a:r>
            <a:rPr lang="en-US" sz="1100" baseline="0"/>
            <a:t> (either to clients by providers OR to facilities)</a:t>
          </a:r>
          <a:r>
            <a:rPr lang="en-US" sz="1100"/>
            <a:t>, family planning visits data, or family planning users</a:t>
          </a:r>
          <a:r>
            <a:rPr lang="en-US" sz="1100" baseline="0"/>
            <a:t> data</a:t>
          </a:r>
          <a:r>
            <a:rPr lang="en-US" sz="1100"/>
            <a:t>? The</a:t>
          </a:r>
          <a:r>
            <a:rPr lang="en-US" sz="1100" baseline="0"/>
            <a:t> s</a:t>
          </a:r>
          <a:r>
            <a:rPr lang="en-US" sz="1100"/>
            <a:t>ource for these data would be your country's health management information systems (HMIS), or in</a:t>
          </a:r>
          <a:r>
            <a:rPr lang="en-US" sz="1100" baseline="0"/>
            <a:t> some cases, the logistics management information system (LMIS).</a:t>
          </a:r>
        </a:p>
        <a:p>
          <a:endParaRPr lang="en-US" sz="1100"/>
        </a:p>
        <a:p>
          <a:r>
            <a:rPr lang="en-US" sz="1100" b="1">
              <a:solidFill>
                <a:srgbClr val="002060"/>
              </a:solidFill>
            </a:rPr>
            <a:t>2. Data Frequency/Recency </a:t>
          </a:r>
        </a:p>
        <a:p>
          <a:r>
            <a:rPr lang="en-US" sz="1100"/>
            <a:t>a. Do you have national annual estimates of these</a:t>
          </a:r>
          <a:r>
            <a:rPr lang="en-US" sz="1100" baseline="0"/>
            <a:t> data</a:t>
          </a:r>
          <a:r>
            <a:rPr lang="en-US" sz="1100"/>
            <a:t> for a</a:t>
          </a:r>
          <a:r>
            <a:rPr lang="en-US" sz="1100" baseline="0"/>
            <a:t> minimum of</a:t>
          </a:r>
          <a:r>
            <a:rPr lang="en-US" sz="1100"/>
            <a:t> three years?</a:t>
          </a:r>
          <a:r>
            <a:rPr lang="en-US" sz="1100" baseline="0"/>
            <a:t> </a:t>
          </a:r>
        </a:p>
        <a:p>
          <a:r>
            <a:rPr lang="en-US" sz="1100" baseline="0"/>
            <a:t>b. Do you have service statistics that overlap with a national survey (DHS, MICS, PMA2020, or other national survey)?  We strongly recommend that this be the case, so that you can 'calibrate' the relationship between service stats and mCPR. </a:t>
          </a:r>
        </a:p>
        <a:p>
          <a:r>
            <a:rPr lang="en-US" sz="1100" baseline="0"/>
            <a:t>c. Do you have service statistics that are more recent that your last survey?  For example, if you had a 2015 survey, and your service statistics only go to 2015, then you do not need to use them in FPET, since it will favor the survey.</a:t>
          </a:r>
          <a:endParaRPr lang="en-US" sz="1100"/>
        </a:p>
        <a:p>
          <a:endParaRPr lang="en-US" sz="1100"/>
        </a:p>
        <a:p>
          <a:r>
            <a:rPr lang="en-US" sz="1100" b="1">
              <a:solidFill>
                <a:srgbClr val="002060"/>
              </a:solidFill>
            </a:rPr>
            <a:t>3. Data Consistency</a:t>
          </a:r>
        </a:p>
        <a:p>
          <a:r>
            <a:rPr lang="en-US" sz="1100"/>
            <a:t>a. Are your</a:t>
          </a:r>
          <a:r>
            <a:rPr lang="en-US" sz="1100" baseline="0"/>
            <a:t> service statistics</a:t>
          </a:r>
          <a:r>
            <a:rPr lang="en-US" sz="1100"/>
            <a:t> figures consistent from year to year, so that one can</a:t>
          </a:r>
          <a:r>
            <a:rPr lang="en-US" sz="1100" baseline="0"/>
            <a:t> compare them to each other and 'believe' the trend they represent</a:t>
          </a:r>
          <a:r>
            <a:rPr lang="en-US" sz="1100"/>
            <a:t>? </a:t>
          </a:r>
        </a:p>
        <a:p>
          <a:r>
            <a:rPr lang="en-US" sz="1100" baseline="0"/>
            <a:t>    </a:t>
          </a:r>
          <a:r>
            <a:rPr lang="en-US" sz="1100"/>
            <a:t>For example</a:t>
          </a:r>
          <a:r>
            <a:rPr lang="en-US" sz="1100" baseline="0"/>
            <a:t>, are </a:t>
          </a:r>
          <a:r>
            <a:rPr lang="en-US" sz="1100"/>
            <a:t>reporting rates for these figures consistent from year to year? </a:t>
          </a:r>
        </a:p>
        <a:p>
          <a:r>
            <a:rPr lang="en-US" sz="1100" baseline="0"/>
            <a:t>    </a:t>
          </a:r>
          <a:r>
            <a:rPr lang="en-US" sz="1100"/>
            <a:t>Are the estimates for each year representing the same methods/facilities</a:t>
          </a:r>
          <a:r>
            <a:rPr lang="en-US" sz="1100" baseline="0"/>
            <a:t>? </a:t>
          </a:r>
        </a:p>
        <a:p>
          <a:endParaRPr lang="en-US" sz="1100" baseline="0"/>
        </a:p>
        <a:p>
          <a:r>
            <a:rPr lang="en-US" sz="1100" baseline="0"/>
            <a:t>b. If your answer to 3a is 'no', do you have a way of adjusting the data to make it comparable between years?</a:t>
          </a:r>
          <a:endParaRPr lang="en-US" sz="1100"/>
        </a:p>
        <a:p>
          <a:endParaRPr lang="en-US" sz="1100"/>
        </a:p>
        <a:p>
          <a:pPr marL="0" marR="0" indent="0" defTabSz="914400" eaLnBrk="1" fontAlgn="auto" latinLnBrk="0" hangingPunct="1">
            <a:lnSpc>
              <a:spcPct val="100000"/>
            </a:lnSpc>
            <a:spcBef>
              <a:spcPts val="0"/>
            </a:spcBef>
            <a:spcAft>
              <a:spcPts val="0"/>
            </a:spcAft>
            <a:buClrTx/>
            <a:buSzTx/>
            <a:buFontTx/>
            <a:buNone/>
            <a:tabLst/>
            <a:defRPr/>
          </a:pPr>
          <a:r>
            <a:rPr lang="en-US" sz="1100" b="1">
              <a:solidFill>
                <a:srgbClr val="002060"/>
              </a:solidFill>
            </a:rPr>
            <a:t>4. Data Quality</a:t>
          </a:r>
        </a:p>
        <a:p>
          <a:pPr marL="0" marR="0" indent="0" defTabSz="914400" eaLnBrk="1" fontAlgn="auto" latinLnBrk="0" hangingPunct="1">
            <a:lnSpc>
              <a:spcPct val="100000"/>
            </a:lnSpc>
            <a:spcBef>
              <a:spcPts val="0"/>
            </a:spcBef>
            <a:spcAft>
              <a:spcPts val="0"/>
            </a:spcAft>
            <a:buClrTx/>
            <a:buSzTx/>
            <a:buFontTx/>
            <a:buNone/>
            <a:tabLst/>
            <a:defRPr/>
          </a:pPr>
          <a:r>
            <a:rPr lang="en-US" sz="1100"/>
            <a:t>a. Is</a:t>
          </a:r>
          <a:r>
            <a:rPr lang="en-US" sz="1100">
              <a:solidFill>
                <a:schemeClr val="dk1"/>
              </a:solidFill>
              <a:effectLst/>
              <a:latin typeface="+mn-lt"/>
              <a:ea typeface="+mn-ea"/>
              <a:cs typeface="+mn-cs"/>
            </a:rPr>
            <a:t> the quality of your data similar from year to year (i.e.. none</a:t>
          </a:r>
          <a:r>
            <a:rPr lang="en-US" sz="1100" baseline="0">
              <a:solidFill>
                <a:schemeClr val="dk1"/>
              </a:solidFill>
              <a:effectLst/>
              <a:latin typeface="+mn-lt"/>
              <a:ea typeface="+mn-ea"/>
              <a:cs typeface="+mn-cs"/>
            </a:rPr>
            <a:t> of the years are missing specific data, or all years are missing the same data)</a:t>
          </a:r>
          <a:r>
            <a:rPr lang="en-US" sz="1100">
              <a:solidFill>
                <a:schemeClr val="dk1"/>
              </a:solidFill>
              <a:effectLst/>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   If, for example,</a:t>
          </a:r>
          <a:r>
            <a:rPr lang="en-US" sz="1100" baseline="0">
              <a:solidFill>
                <a:schemeClr val="dk1"/>
              </a:solidFill>
              <a:effectLst/>
              <a:latin typeface="+mn-lt"/>
              <a:ea typeface="+mn-ea"/>
              <a:cs typeface="+mn-cs"/>
            </a:rPr>
            <a:t> there was a problem with availability of registers one year, then that year should be excluded. But if the same problem occurred in all years, it is           fine to use these data, as the affect on the data quality would be the same in each of the years.</a:t>
          </a:r>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b. </a:t>
          </a:r>
          <a:r>
            <a:rPr lang="en-US" sz="1100">
              <a:solidFill>
                <a:schemeClr val="dk1"/>
              </a:solidFill>
              <a:effectLst/>
              <a:latin typeface="+mn-lt"/>
              <a:ea typeface="+mn-ea"/>
              <a:cs typeface="+mn-cs"/>
            </a:rPr>
            <a:t>Are</a:t>
          </a:r>
          <a:r>
            <a:rPr lang="en-US" sz="1100" baseline="0">
              <a:solidFill>
                <a:schemeClr val="dk1"/>
              </a:solidFill>
              <a:effectLst/>
              <a:latin typeface="+mn-lt"/>
              <a:ea typeface="+mn-ea"/>
              <a:cs typeface="+mn-cs"/>
            </a:rPr>
            <a:t> reporting rates high and consistent over time?</a:t>
          </a:r>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  If reporting rates are over 80% then the data can be used, however, if reporting rates are below 60%, these years should be excluded. Data with reporting rates between 60-80% may be usable, but requires further review. </a:t>
          </a:r>
          <a:endParaRPr lang="en-US">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baseline="0">
              <a:solidFill>
                <a:srgbClr val="002060"/>
              </a:solidFill>
              <a:effectLst/>
              <a:latin typeface="+mn-lt"/>
              <a:ea typeface="+mn-ea"/>
              <a:cs typeface="+mn-cs"/>
            </a:rPr>
            <a:t>5. Data Accuracy</a:t>
          </a:r>
        </a:p>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a. Do the</a:t>
          </a:r>
          <a:r>
            <a:rPr lang="en-US" sz="1100" baseline="0">
              <a:solidFill>
                <a:schemeClr val="dk1"/>
              </a:solidFill>
              <a:effectLst/>
              <a:latin typeface="+mn-lt"/>
              <a:ea typeface="+mn-ea"/>
              <a:cs typeface="+mn-cs"/>
            </a:rPr>
            <a:t> service statistics figures seem to be in line with your country's family planning program and how it's changed over the years?</a:t>
          </a:r>
          <a:endParaRPr lang="en-US">
            <a:effectLst/>
          </a:endParaRPr>
        </a:p>
        <a:p>
          <a:endParaRPr lang="en-US" sz="1100">
            <a:solidFill>
              <a:schemeClr val="dk1"/>
            </a:solidFill>
            <a:effectLst/>
            <a:latin typeface="+mn-lt"/>
            <a:ea typeface="+mn-ea"/>
            <a:cs typeface="+mn-cs"/>
          </a:endParaRPr>
        </a:p>
        <a:p>
          <a:r>
            <a:rPr lang="en-US" sz="1100" b="1" i="1"/>
            <a:t>If you answered yes to all of these questions, then you can proceed with use of</a:t>
          </a:r>
          <a:r>
            <a:rPr lang="en-US" sz="1100" b="1" i="1" baseline="0"/>
            <a:t> this tool to prepare your EMU.  Review and compare your final results for a consistent trend before finalizing the decision to use this data in FPET. </a:t>
          </a:r>
        </a:p>
        <a:p>
          <a:endParaRPr lang="en-US" sz="1100" b="1" i="1" baseline="0"/>
        </a:p>
        <a:p>
          <a:r>
            <a:rPr lang="en-US" sz="1100" b="1" i="1" baseline="0"/>
            <a:t>If you are unsure about questions 3, 4 and 5, you can input your data and look at the final graph on the 'EMU output' tab to see a graph of your data which might help you better answer these questions.</a:t>
          </a:r>
        </a:p>
        <a:p>
          <a:endParaRPr lang="en-US" sz="1100" b="1" i="1" baseline="0"/>
        </a:p>
        <a:p>
          <a:r>
            <a:rPr lang="en-US" sz="1100" b="1" i="1" baseline="0"/>
            <a:t>If you answered no to any of these questions, then your data is most likely not suitable for use in FPET. Please contact us at </a:t>
          </a:r>
          <a:r>
            <a:rPr lang="en-US" sz="1100" b="1" i="1" baseline="0">
              <a:solidFill>
                <a:schemeClr val="tx2"/>
              </a:solidFill>
            </a:rPr>
            <a:t>track20@avenirhealth.org</a:t>
          </a:r>
          <a:r>
            <a:rPr lang="en-US" sz="1100" b="1" i="1" baseline="0">
              <a:solidFill>
                <a:schemeClr val="dk1"/>
              </a:solidFill>
            </a:rPr>
            <a:t> if you have any questions.</a:t>
          </a:r>
          <a:endParaRPr lang="en-US" sz="1100" b="1" i="1" baseline="0"/>
        </a:p>
        <a:p>
          <a:endParaRPr lang="en-US" sz="1100" i="1" baseline="0"/>
        </a:p>
        <a:p>
          <a:r>
            <a:rPr lang="en-US" sz="1400" b="1" i="0">
              <a:solidFill>
                <a:schemeClr val="bg2"/>
              </a:solidFill>
            </a:rPr>
            <a:t>HOW</a:t>
          </a:r>
          <a:r>
            <a:rPr lang="en-US" sz="1400" b="1" i="0" baseline="0">
              <a:solidFill>
                <a:schemeClr val="bg2"/>
              </a:solidFill>
            </a:rPr>
            <a:t> TO USE THIS TOOL</a:t>
          </a:r>
        </a:p>
        <a:p>
          <a:endParaRPr lang="en-US" sz="1100" b="0" i="0"/>
        </a:p>
        <a:p>
          <a:r>
            <a:rPr lang="en-US" sz="1100" b="0" i="0"/>
            <a:t>1. Go</a:t>
          </a:r>
          <a:r>
            <a:rPr lang="en-US" sz="1100" b="0" i="0" baseline="0"/>
            <a:t> through the Set Up Tabs to provide background information needed for this tool.</a:t>
          </a:r>
        </a:p>
        <a:p>
          <a:endParaRPr lang="en-US" sz="1100" b="1" i="0"/>
        </a:p>
        <a:p>
          <a:r>
            <a:rPr lang="en-US" sz="1100" b="0" i="0"/>
            <a:t>2. From the 'Set</a:t>
          </a:r>
          <a:r>
            <a:rPr lang="en-US" sz="1100" b="0" i="0" baseline="0"/>
            <a:t> up' tab, you can navigate to the data entry pages for 4 types of data: Commoditites to Clients, Commoditites to Facilities, FP Visits and FP Users. Depending on what type of data you have available, proceed to the Input tab. You see step-by-step instructions on where to enter your data.</a:t>
          </a:r>
        </a:p>
        <a:p>
          <a:endParaRPr lang="en-US" sz="1100" b="0" i="0" baseline="0"/>
        </a:p>
        <a:p>
          <a:r>
            <a:rPr lang="en-US" sz="1100" b="0" i="0" baseline="0"/>
            <a:t>3. From the Input Tab, proceed to the Output Tab for the given data type. Here you can review the "users" values calculated from your data and are guided through a process of evaluating the quality of the data. </a:t>
          </a:r>
        </a:p>
        <a:p>
          <a:endParaRPr lang="en-US" sz="1100" b="0" i="0" baseline="0"/>
        </a:p>
        <a:p>
          <a:r>
            <a:rPr lang="en-US" sz="1100" b="0" i="0" baseline="0"/>
            <a:t>4. If you have more than one type of data, return to the 'Set up' tab and repeat steps 2 and 3. </a:t>
          </a:r>
        </a:p>
        <a:p>
          <a:endParaRPr lang="en-US" sz="1100" b="0" i="0" baseline="0"/>
        </a:p>
        <a:p>
          <a:r>
            <a:rPr lang="en-US" sz="1100" b="0" i="0" baseline="0"/>
            <a:t>5. Finally proceed to the EMU Output tab to view the "Estimated Method Use" approximations produced from the data you provided. Review the EMU values compared to your survey and FPET data to determine if you can use this data and FPET, and if so, which data to use. </a:t>
          </a:r>
        </a:p>
        <a:p>
          <a:endParaRPr lang="en-US" sz="1100" b="0" i="0" baseline="0"/>
        </a:p>
        <a:p>
          <a:pPr algn="ctr"/>
          <a:r>
            <a:rPr lang="en-US" sz="1400" b="1" i="1" baseline="0">
              <a:solidFill>
                <a:schemeClr val="tx2"/>
              </a:solidFill>
            </a:rPr>
            <a:t>Remember that these rough approximations of contraceptive use should only be used in FPET, and are not meant to be used as estimates of your country's mCPR.</a:t>
          </a:r>
          <a:endParaRPr lang="en-US" sz="1400" b="1" i="1">
            <a:solidFill>
              <a:schemeClr val="tx2"/>
            </a:solidFill>
          </a:endParaRPr>
        </a:p>
      </xdr:txBody>
    </xdr:sp>
    <xdr:clientData/>
  </xdr:twoCellAnchor>
  <xdr:twoCellAnchor>
    <xdr:from>
      <xdr:col>15</xdr:col>
      <xdr:colOff>582083</xdr:colOff>
      <xdr:row>0</xdr:row>
      <xdr:rowOff>52917</xdr:rowOff>
    </xdr:from>
    <xdr:to>
      <xdr:col>31</xdr:col>
      <xdr:colOff>171450</xdr:colOff>
      <xdr:row>78</xdr:row>
      <xdr:rowOff>177800</xdr:rowOff>
    </xdr:to>
    <xdr:sp macro="" textlink="">
      <xdr:nvSpPr>
        <xdr:cNvPr id="3" name="TextBox 2">
          <a:extLst>
            <a:ext uri="{FF2B5EF4-FFF2-40B4-BE49-F238E27FC236}">
              <a16:creationId xmlns:a16="http://schemas.microsoft.com/office/drawing/2014/main" id="{6E42FD42-E9B1-4A66-8F16-44FDF525688D}"/>
            </a:ext>
          </a:extLst>
        </xdr:cNvPr>
        <xdr:cNvSpPr txBox="1"/>
      </xdr:nvSpPr>
      <xdr:spPr>
        <a:xfrm>
          <a:off x="9726083" y="52917"/>
          <a:ext cx="9342967" cy="14704483"/>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noProof="0">
              <a:ln>
                <a:noFill/>
              </a:ln>
              <a:solidFill>
                <a:srgbClr val="002060"/>
              </a:solidFill>
              <a:effectLst/>
              <a:uLnTx/>
              <a:uFillTx/>
              <a:latin typeface="+mn-lt"/>
              <a:ea typeface="+mn-ea"/>
              <a:cs typeface="+mn-cs"/>
            </a:rPr>
            <a:t>OUTIL TRACK20 : CONVERTIR LES DONNÉES DES STATISTIQUES DE SERVICES EN "EUM (estimations de l'utilisation de méthode) moderne " pour FPET</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rgbClr val="002060"/>
              </a:solidFill>
              <a:effectLst/>
              <a:uLnTx/>
              <a:uFillTx/>
              <a:latin typeface="+mn-lt"/>
              <a:ea typeface="+mn-ea"/>
              <a:cs typeface="+mn-cs"/>
            </a:rPr>
            <a:t>Version 6.1: October 2022</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mn-lt"/>
              <a:ea typeface="+mn-ea"/>
              <a:cs typeface="+mn-cs"/>
            </a:rPr>
            <a:t>Track20 a développé cet outil pour aider les pays à convertir les données des statistiques de services en estimations grossières de l'utilisation de méthodes modernes, pouvant être utilisées comme des données pour l'Outil d'Estimation de la Planification Familiale (FPET). L'inclusion des récentes statistiques de services dans le FPET favorise des estimations plus précises de la prévalence contraceptive dans les années qui suivent la dernière enquête nationale basée sur la population. Pour de plus amples informations sur le FPET et des instructions sur la façon d'utiliser le FPET, veuillez visiter le site Internet de Track 20 : </a:t>
          </a:r>
          <a:r>
            <a:rPr kumimoji="0" lang="en-US" sz="1100" b="0" i="0" u="sng" strike="noStrike" kern="0" cap="none" spc="0" normalizeH="0" baseline="0" noProof="0">
              <a:ln>
                <a:noFill/>
              </a:ln>
              <a:solidFill>
                <a:srgbClr val="0070C0"/>
              </a:solidFill>
              <a:effectLst/>
              <a:uLnTx/>
              <a:uFillTx/>
              <a:latin typeface="+mn-lt"/>
              <a:ea typeface="+mn-ea"/>
              <a:cs typeface="+mn-cs"/>
            </a:rPr>
            <a:t>www.track20.org.</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sng" strike="noStrike" kern="0" cap="none" spc="0" normalizeH="0" baseline="0" noProof="0">
            <a:ln>
              <a:noFill/>
            </a:ln>
            <a:solidFill>
              <a:srgbClr val="0070C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mn-lt"/>
              <a:ea typeface="+mn-ea"/>
              <a:cs typeface="+mn-cs"/>
            </a:rPr>
            <a:t>Cet outil produira des estimations de l'utilisation de méthodes modernes (une estimation approximative du TPC moderne) à partir des données de routine qui peuvent être utilisées comme des données saisies dans FPET. Ces estimations, bien que destinées à donner une approximation de la prévalence contraceptive moderne, ne devraient pas être utilisées comme des estimations du TPC moderne ailleurs que dans FPET. Poursuivez votre lecture pour savoir si les données des statistiques de services devraient être utilisées dans FPET.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sng" strike="noStrike" kern="0" cap="none" spc="0" normalizeH="0" baseline="0" noProof="0">
            <a:ln>
              <a:noFill/>
            </a:ln>
            <a:solidFill>
              <a:srgbClr val="0070C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rgbClr val="4472C4">
                  <a:lumMod val="50000"/>
                </a:srgbClr>
              </a:solidFill>
              <a:effectLst/>
              <a:uLnTx/>
              <a:uFillTx/>
              <a:latin typeface="+mn-lt"/>
              <a:ea typeface="+mn-ea"/>
              <a:cs typeface="+mn-cs"/>
            </a:rPr>
            <a:t>VOS STATISTIQUES DE SERVICES PEUVENT-ELLES ÊTRE INCLUSES DANS LE FPET ?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mn-lt"/>
              <a:ea typeface="+mn-ea"/>
              <a:cs typeface="+mn-cs"/>
            </a:rPr>
            <a:t>Les statistiques de services ne sont pas toutes adaptées pour être utilisées dans FPET. Les estimations annuelles doivent pouvoir être comparables. Par conséquent, alors qu'il peut être acceptable que les statistiques de services soient partiales ou aient des problèmes liés à la qualité des données, ces partis pris / problèmes doivent être cohérents dans toutes les années pour lesquelles vous produisez ces estimations. </a:t>
          </a:r>
          <a:r>
            <a:rPr kumimoji="0" lang="en-US" sz="1100" b="1" i="0" u="none" strike="noStrike" kern="0" cap="none" spc="0" normalizeH="0" baseline="0" noProof="0">
              <a:ln>
                <a:noFill/>
              </a:ln>
              <a:solidFill>
                <a:prstClr val="black"/>
              </a:solidFill>
              <a:effectLst/>
              <a:uLnTx/>
              <a:uFillTx/>
              <a:latin typeface="+mn-lt"/>
              <a:ea typeface="+mn-ea"/>
              <a:cs typeface="+mn-cs"/>
            </a:rPr>
            <a:t>Cela permet d'assurer que la tendance entre  ces points de données, qui affecteront la courbe des résultats projetés par FPET, est précise et reflète la tendance réelle de l'utilisation de la planification familiale dans votre pays.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mn-lt"/>
              <a:ea typeface="+mn-ea"/>
              <a:cs typeface="+mn-cs"/>
            </a:rPr>
            <a:t>Il est essentiel que les données présentent une tendance précise, parce que le FPET utilisera la tendance / le changement entre ces estimations, et pas l'ampleur / la valeur réelle de chaque point estimé, pour éclairer les résultats de FPET. En effet, la valeur du TPC moderne final résultant des données de vos statistiques de services peut être très différente du TPC moderne réel de votre pays. La valeur de l'estimation du TPC moderne n'a pas beaucoup de signification, c'est le changement de cette valeur sur la durée que nous souhaitons saisir à travers l'utilisation de ces données de routine.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rgbClr val="002060"/>
              </a:solidFill>
              <a:effectLst/>
              <a:uLnTx/>
              <a:uFillTx/>
              <a:latin typeface="+mn-lt"/>
              <a:ea typeface="+mn-ea"/>
              <a:cs typeface="+mn-cs"/>
            </a:rPr>
            <a:t>En répondant aux questions suivantes, vous pourrez déterminer si vos données peuvent être incluses dans FPET :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rgbClr val="002060"/>
              </a:solidFill>
              <a:effectLst/>
              <a:uLnTx/>
              <a:uFillTx/>
              <a:latin typeface="+mn-lt"/>
              <a:ea typeface="+mn-ea"/>
              <a:cs typeface="+mn-cs"/>
            </a:rPr>
            <a:t>1. Accessibilité des données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mn-lt"/>
              <a:ea typeface="+mn-ea"/>
              <a:cs typeface="+mn-cs"/>
            </a:rPr>
            <a:t>a. Disposez-vous de données nationales permettant de saisir les statistiques de services de la planification familiale nationale dans votre pays, telles que les chiffres sur la consommation des produits (par exemple, les produits distribués), ou les données des visites de la planification familiale ? La source de ces données  serait votre système d'information pour la gestion de la santé (SIGS) ou, dans certains cas, le système d'information sur la gestion logistique (SIGL).</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rgbClr val="002060"/>
              </a:solidFill>
              <a:effectLst/>
              <a:uLnTx/>
              <a:uFillTx/>
              <a:latin typeface="+mn-lt"/>
              <a:ea typeface="+mn-ea"/>
              <a:cs typeface="+mn-cs"/>
            </a:rPr>
            <a:t>2. Fréquence / nouveauté des données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mn-lt"/>
              <a:ea typeface="+mn-ea"/>
              <a:cs typeface="+mn-cs"/>
            </a:rPr>
            <a:t>a. Disposez-vous d'estimations annuelles nationales de ces données pour un minimum de trois ans ?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mn-lt"/>
              <a:ea typeface="+mn-ea"/>
              <a:cs typeface="+mn-cs"/>
            </a:rPr>
            <a:t>b. Disposez-vous de statistiques de services qui se chevauchent aux enquêtes nationales (EDS, MICS, PMA2020, ou autre enquête nationale ?). Nous recommandons vivement que ce soit le cas pour que vous puissiez calibrer le rapport entre les statistiques de services et le TPC moderne.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mn-lt"/>
              <a:ea typeface="+mn-ea"/>
              <a:cs typeface="+mn-cs"/>
            </a:rPr>
            <a:t>c. Disposez-vous de statistiques de services plus récentes que votre dernière enquête ? Par exemple, si vous aviez une enquête 2015 et vos statistiques de services ne dépassent pas 2015, alors vous ne devez pas les utiliser dans le FPET, puisque cela favorisera l'enquête.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rgbClr val="002060"/>
              </a:solidFill>
              <a:effectLst/>
              <a:uLnTx/>
              <a:uFillTx/>
              <a:latin typeface="+mn-lt"/>
              <a:ea typeface="+mn-ea"/>
              <a:cs typeface="+mn-cs"/>
            </a:rPr>
            <a:t>3. Cohérence des données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mn-lt"/>
              <a:ea typeface="+mn-ea"/>
              <a:cs typeface="+mn-cs"/>
            </a:rPr>
            <a:t>a. Vos statistiques de services sont-elles cohérentes d'une année à l'autre, pour pouvoir les comparer et se fier à la tendance qu'elles représentent ?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mn-lt"/>
              <a:ea typeface="+mn-ea"/>
              <a:cs typeface="+mn-cs"/>
            </a:rPr>
            <a:t>    Par exemple, les taux de déclaration pour ces chiffres sont-ils cohérents d'une année à l'autre ?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mn-lt"/>
              <a:ea typeface="+mn-ea"/>
              <a:cs typeface="+mn-cs"/>
            </a:rPr>
            <a:t>    Les estimations pour chaque année représentent-elles les mêmes méthodes / établissements ?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mn-lt"/>
              <a:ea typeface="+mn-ea"/>
              <a:cs typeface="+mn-cs"/>
            </a:rPr>
            <a:t>b. Si vous avez répondu NON à la question 3, avez-vous un moyen d'ajuster les données pour les comparer entre les années ?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rgbClr val="002060"/>
              </a:solidFill>
              <a:effectLst/>
              <a:uLnTx/>
              <a:uFillTx/>
              <a:latin typeface="+mn-lt"/>
              <a:ea typeface="+mn-ea"/>
              <a:cs typeface="+mn-cs"/>
            </a:rPr>
            <a:t>4. Qualité des données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mn-lt"/>
              <a:ea typeface="+mn-ea"/>
              <a:cs typeface="+mn-cs"/>
            </a:rPr>
            <a:t>a. La qualité de vos données est-elle identique d'une année à l'autre (c'est-à-dire, toutes les années contiennent des données ou les mêmes données manquent dans toutes les années) ?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mn-lt"/>
              <a:ea typeface="+mn-ea"/>
              <a:cs typeface="+mn-cs"/>
            </a:rPr>
            <a:t> Si, par exemple, il y avait un problème avec la disponibilité des registres pour une année donnée, alors cette année devrait être exclue. Mais si le même problème se répétait tous les ans, il est possible d'utiliser ces données, puisque l'impact sur la qualité des données serait le même pour chacune des années.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rgbClr val="002060"/>
              </a:solidFill>
              <a:effectLst/>
              <a:uLnTx/>
              <a:uFillTx/>
              <a:latin typeface="+mn-lt"/>
              <a:ea typeface="+mn-ea"/>
              <a:cs typeface="+mn-cs"/>
            </a:rPr>
            <a:t>5. Exactitude des données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mn-lt"/>
              <a:ea typeface="+mn-ea"/>
              <a:cs typeface="+mn-cs"/>
            </a:rPr>
            <a:t>a. Les statistiques de services semblent-elles conformes au programme de la planification familiale de votre pays et comment cela a-t-il changé au fil des ans ?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prstClr val="black"/>
              </a:solidFill>
              <a:effectLst/>
              <a:uLnTx/>
              <a:uFillTx/>
              <a:latin typeface="+mn-lt"/>
              <a:ea typeface="+mn-ea"/>
              <a:cs typeface="+mn-cs"/>
            </a:rPr>
            <a:t>Si vous avez répondu OUI à toutes ces questions, alors vous pouvez continuer à utiliser cet outil pour préparer vos estimations à utiliser dans FPET. Examinez vos résultats finaux pour vous assurer d'avoir des données cohérentes que vous pouvez utiliser dans FPET avant de prendre la décision de les utiliser dans FPET.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1"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prstClr val="black"/>
              </a:solidFill>
              <a:effectLst/>
              <a:uLnTx/>
              <a:uFillTx/>
              <a:latin typeface="+mn-lt"/>
              <a:ea typeface="+mn-ea"/>
              <a:cs typeface="+mn-cs"/>
            </a:rPr>
            <a:t>Si vous avez des doutes sur les questions 3, 4 et 5, vous pouvez saisir vos données et observez le graphique final dans l'onglet "Sortie EUM moderne" pour voir un graphique de vos données qui pourra vous aider à mieux répondre à ces questions.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1"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prstClr val="black"/>
              </a:solidFill>
              <a:effectLst/>
              <a:uLnTx/>
              <a:uFillTx/>
              <a:latin typeface="+mn-lt"/>
              <a:ea typeface="+mn-ea"/>
              <a:cs typeface="+mn-cs"/>
            </a:rPr>
            <a:t>Si vous avez répondu NON à ces questions, alors vous ne pouvez probablement pas utiliser vos données dans FPET. Veuillez nous contacter à  </a:t>
          </a:r>
          <a:r>
            <a:rPr kumimoji="0" lang="en-US" sz="1100" b="1" i="1" u="none" strike="noStrike" kern="0" cap="none" spc="0" normalizeH="0" baseline="0" noProof="0">
              <a:ln>
                <a:noFill/>
              </a:ln>
              <a:solidFill>
                <a:srgbClr val="4472C4">
                  <a:lumMod val="50000"/>
                </a:srgbClr>
              </a:solidFill>
              <a:effectLst/>
              <a:uLnTx/>
              <a:uFillTx/>
              <a:latin typeface="+mn-lt"/>
              <a:ea typeface="+mn-ea"/>
              <a:cs typeface="+mn-cs"/>
            </a:rPr>
            <a:t>track20@avenirhealth.org</a:t>
          </a:r>
          <a:r>
            <a:rPr kumimoji="0" lang="en-US" sz="1100" b="1" i="1" u="none" strike="noStrike" kern="0" cap="none" spc="0" normalizeH="0" baseline="0" noProof="0">
              <a:ln>
                <a:noFill/>
              </a:ln>
              <a:solidFill>
                <a:prstClr val="black"/>
              </a:solidFill>
              <a:effectLst/>
              <a:uLnTx/>
              <a:uFillTx/>
              <a:latin typeface="+mn-lt"/>
              <a:ea typeface="+mn-ea"/>
              <a:cs typeface="+mn-cs"/>
            </a:rPr>
            <a:t> si vous avez des questions.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1"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rgbClr val="4472C4">
                  <a:lumMod val="50000"/>
                </a:srgbClr>
              </a:solidFill>
              <a:effectLst/>
              <a:uLnTx/>
              <a:uFillTx/>
              <a:latin typeface="+mn-lt"/>
              <a:ea typeface="+mn-ea"/>
              <a:cs typeface="+mn-cs"/>
            </a:rPr>
            <a:t>COMMENT UTILISER CET OUTIL</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mn-lt"/>
              <a:ea typeface="+mn-ea"/>
              <a:cs typeface="+mn-cs"/>
            </a:rPr>
            <a:t>1. Allez à l'onglets "Configurer" pour fournir le contexte nécessaire pour cet outil.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mn-lt"/>
              <a:ea typeface="+mn-ea"/>
              <a:cs typeface="+mn-cs"/>
            </a:rPr>
            <a:t>2. A partir de l'onglet "configurer", vous pouvez acceder aux pages d'entree de donnees pour 4 types de donnees: Produits aux clients, Produits distribues aux establissment, Visites PF, Utilisateurs de la PF.  Vous verrez des instructions étape par étape vous indiquant où vous devez saisir vos données.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mn-lt"/>
              <a:ea typeface="+mn-ea"/>
              <a:cs typeface="+mn-cs"/>
            </a:rPr>
            <a:t>3. Si vous avez plusieurs types de données, retournez à l'onglet 'Configurer' et répétez les étapes 2 et 3.</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mn-lt"/>
              <a:ea typeface="+mn-ea"/>
              <a:cs typeface="+mn-cs"/>
            </a:rPr>
            <a:t>4. Finalement, passez à l'onglet Sortie EUM pour afficher les  «Estimations de l'utilisation de methode» produites à partir des données que vous avez fournies. Examinez les valeurs de l'EUM par rapport à votre enquête et aux données FPET pour déterminer si vous pouvez utiliser ces données dans FPET et, dans l'affirmative, quelles données vous alllez utiliser.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4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1" i="1" u="none" strike="noStrike" kern="0" cap="none" spc="0" normalizeH="0" baseline="0" noProof="0">
              <a:ln>
                <a:noFill/>
              </a:ln>
              <a:solidFill>
                <a:srgbClr val="ED7D31"/>
              </a:solidFill>
              <a:effectLst/>
              <a:uLnTx/>
              <a:uFillTx/>
              <a:latin typeface="+mn-lt"/>
              <a:ea typeface="+mn-ea"/>
              <a:cs typeface="+mn-cs"/>
            </a:rPr>
            <a:t>N'oubliez pas que ces estimations grossières de l'utilisation contraceptive ne devraient être utilisées que dans FPET et ne sont pas destinées à être utilisées comme des estimations du TPC moderne de votre pays. </a:t>
          </a:r>
        </a:p>
        <a:p>
          <a:pPr algn="ctr"/>
          <a:endParaRPr lang="en-US" sz="1400" b="1" i="1">
            <a:solidFill>
              <a:schemeClr val="tx2"/>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27215</xdr:colOff>
      <xdr:row>106</xdr:row>
      <xdr:rowOff>8165</xdr:rowOff>
    </xdr:from>
    <xdr:to>
      <xdr:col>3</xdr:col>
      <xdr:colOff>693964</xdr:colOff>
      <xdr:row>118</xdr:row>
      <xdr:rowOff>174171</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40821</xdr:colOff>
      <xdr:row>106</xdr:row>
      <xdr:rowOff>27215</xdr:rowOff>
    </xdr:from>
    <xdr:to>
      <xdr:col>10</xdr:col>
      <xdr:colOff>702467</xdr:colOff>
      <xdr:row>118</xdr:row>
      <xdr:rowOff>122465</xdr:rowOff>
    </xdr:to>
    <xdr:graphicFrame macro="">
      <xdr:nvGraphicFramePr>
        <xdr:cNvPr id="3" name="Chart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13607</xdr:colOff>
      <xdr:row>106</xdr:row>
      <xdr:rowOff>27215</xdr:rowOff>
    </xdr:from>
    <xdr:to>
      <xdr:col>16</xdr:col>
      <xdr:colOff>738188</xdr:colOff>
      <xdr:row>118</xdr:row>
      <xdr:rowOff>190500</xdr:rowOff>
    </xdr:to>
    <xdr:graphicFrame macro="">
      <xdr:nvGraphicFramePr>
        <xdr:cNvPr id="4" name="Chart 3">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27215</xdr:colOff>
      <xdr:row>125</xdr:row>
      <xdr:rowOff>13607</xdr:rowOff>
    </xdr:from>
    <xdr:to>
      <xdr:col>3</xdr:col>
      <xdr:colOff>693964</xdr:colOff>
      <xdr:row>137</xdr:row>
      <xdr:rowOff>122464</xdr:rowOff>
    </xdr:to>
    <xdr:graphicFrame macro="">
      <xdr:nvGraphicFramePr>
        <xdr:cNvPr id="5" name="Chart 4">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35717</xdr:colOff>
      <xdr:row>125</xdr:row>
      <xdr:rowOff>23812</xdr:rowOff>
    </xdr:from>
    <xdr:to>
      <xdr:col>10</xdr:col>
      <xdr:colOff>714373</xdr:colOff>
      <xdr:row>137</xdr:row>
      <xdr:rowOff>166006</xdr:rowOff>
    </xdr:to>
    <xdr:graphicFrame macro="">
      <xdr:nvGraphicFramePr>
        <xdr:cNvPr id="6" name="Chart 5">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23812</xdr:colOff>
      <xdr:row>125</xdr:row>
      <xdr:rowOff>54429</xdr:rowOff>
    </xdr:from>
    <xdr:to>
      <xdr:col>16</xdr:col>
      <xdr:colOff>727984</xdr:colOff>
      <xdr:row>137</xdr:row>
      <xdr:rowOff>142875</xdr:rowOff>
    </xdr:to>
    <xdr:graphicFrame macro="">
      <xdr:nvGraphicFramePr>
        <xdr:cNvPr id="7" name="Chart 6">
          <a:extLst>
            <a:ext uri="{FF2B5EF4-FFF2-40B4-BE49-F238E27FC236}">
              <a16:creationId xmlns:a16="http://schemas.microsoft.com/office/drawing/2014/main" id="{00000000-0008-0000-0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15308</xdr:colOff>
      <xdr:row>144</xdr:row>
      <xdr:rowOff>20410</xdr:rowOff>
    </xdr:from>
    <xdr:to>
      <xdr:col>3</xdr:col>
      <xdr:colOff>642937</xdr:colOff>
      <xdr:row>156</xdr:row>
      <xdr:rowOff>130969</xdr:rowOff>
    </xdr:to>
    <xdr:graphicFrame macro="">
      <xdr:nvGraphicFramePr>
        <xdr:cNvPr id="8" name="Chart 7">
          <a:extLst>
            <a:ext uri="{FF2B5EF4-FFF2-40B4-BE49-F238E27FC236}">
              <a16:creationId xmlns:a16="http://schemas.microsoft.com/office/drawing/2014/main" id="{00000000-0008-0000-08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47624</xdr:colOff>
      <xdr:row>144</xdr:row>
      <xdr:rowOff>35719</xdr:rowOff>
    </xdr:from>
    <xdr:to>
      <xdr:col>10</xdr:col>
      <xdr:colOff>719477</xdr:colOff>
      <xdr:row>156</xdr:row>
      <xdr:rowOff>172809</xdr:rowOff>
    </xdr:to>
    <xdr:graphicFrame macro="">
      <xdr:nvGraphicFramePr>
        <xdr:cNvPr id="9" name="Chart 8">
          <a:extLst>
            <a:ext uri="{FF2B5EF4-FFF2-40B4-BE49-F238E27FC236}">
              <a16:creationId xmlns:a16="http://schemas.microsoft.com/office/drawing/2014/main" id="{00000000-0008-0000-08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898071</xdr:colOff>
      <xdr:row>164</xdr:row>
      <xdr:rowOff>174175</xdr:rowOff>
    </xdr:from>
    <xdr:to>
      <xdr:col>10</xdr:col>
      <xdr:colOff>898071</xdr:colOff>
      <xdr:row>175</xdr:row>
      <xdr:rowOff>32659</xdr:rowOff>
    </xdr:to>
    <xdr:sp macro="" textlink="">
      <xdr:nvSpPr>
        <xdr:cNvPr id="10" name="Isosceles Triangle 9">
          <a:extLst>
            <a:ext uri="{FF2B5EF4-FFF2-40B4-BE49-F238E27FC236}">
              <a16:creationId xmlns:a16="http://schemas.microsoft.com/office/drawing/2014/main" id="{00000000-0008-0000-0800-00000A000000}"/>
            </a:ext>
          </a:extLst>
        </xdr:cNvPr>
        <xdr:cNvSpPr/>
      </xdr:nvSpPr>
      <xdr:spPr>
        <a:xfrm rot="5400000">
          <a:off x="9160328" y="24394889"/>
          <a:ext cx="1970313" cy="903514"/>
        </a:xfrm>
        <a:prstGeom prst="triangl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17</xdr:col>
      <xdr:colOff>241527</xdr:colOff>
      <xdr:row>105</xdr:row>
      <xdr:rowOff>17008</xdr:rowOff>
    </xdr:from>
    <xdr:to>
      <xdr:col>20</xdr:col>
      <xdr:colOff>40822</xdr:colOff>
      <xdr:row>145</xdr:row>
      <xdr:rowOff>149678</xdr:rowOff>
    </xdr:to>
    <xdr:sp macro="" textlink="">
      <xdr:nvSpPr>
        <xdr:cNvPr id="12" name="TextBox 11">
          <a:extLst>
            <a:ext uri="{FF2B5EF4-FFF2-40B4-BE49-F238E27FC236}">
              <a16:creationId xmlns:a16="http://schemas.microsoft.com/office/drawing/2014/main" id="{00000000-0008-0000-0800-00000C000000}"/>
            </a:ext>
          </a:extLst>
        </xdr:cNvPr>
        <xdr:cNvSpPr txBox="1"/>
      </xdr:nvSpPr>
      <xdr:spPr>
        <a:xfrm>
          <a:off x="15086920" y="11052401"/>
          <a:ext cx="2411866" cy="8215313"/>
        </a:xfrm>
        <a:prstGeom prst="rect">
          <a:avLst/>
        </a:prstGeom>
        <a:solidFill>
          <a:schemeClr val="tx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rPr>
            <a:t>Review</a:t>
          </a:r>
          <a:r>
            <a:rPr lang="en-US" sz="1100" baseline="0">
              <a:solidFill>
                <a:schemeClr val="bg1"/>
              </a:solidFill>
            </a:rPr>
            <a:t> the graphs to the left. </a:t>
          </a:r>
        </a:p>
        <a:p>
          <a:endParaRPr lang="en-US" sz="1100" baseline="0">
            <a:solidFill>
              <a:schemeClr val="bg1"/>
            </a:solidFill>
          </a:endParaRPr>
        </a:p>
        <a:p>
          <a:r>
            <a:rPr lang="en-US" sz="1100" baseline="0">
              <a:solidFill>
                <a:schemeClr val="bg1"/>
              </a:solidFill>
            </a:rPr>
            <a:t>Some questions to consider:</a:t>
          </a:r>
        </a:p>
        <a:p>
          <a:endParaRPr lang="en-US" sz="1100" baseline="0">
            <a:solidFill>
              <a:schemeClr val="bg1"/>
            </a:solidFill>
          </a:endParaRPr>
        </a:p>
        <a:p>
          <a:r>
            <a:rPr lang="en-US" sz="1100" baseline="0">
              <a:solidFill>
                <a:schemeClr val="bg1"/>
              </a:solidFill>
            </a:rPr>
            <a:t>-  How are these trends being influenced by reporting rates? Should some years be excluded for low or inconsistent reporting rates?</a:t>
          </a:r>
        </a:p>
        <a:p>
          <a:endParaRPr lang="en-US" sz="1100" baseline="0">
            <a:solidFill>
              <a:schemeClr val="bg1"/>
            </a:solidFill>
          </a:endParaRPr>
        </a:p>
        <a:p>
          <a:r>
            <a:rPr lang="en-US" sz="1100" baseline="0">
              <a:solidFill>
                <a:schemeClr val="bg1"/>
              </a:solidFill>
            </a:rPr>
            <a:t>- Do trends look consistent with your understanding of current programs in FP?</a:t>
          </a:r>
        </a:p>
        <a:p>
          <a:endParaRPr lang="en-US" sz="1100" baseline="0">
            <a:solidFill>
              <a:schemeClr val="bg1"/>
            </a:solidFill>
          </a:endParaRPr>
        </a:p>
        <a:p>
          <a:r>
            <a:rPr lang="en-US" sz="1100" baseline="0">
              <a:solidFill>
                <a:schemeClr val="bg1"/>
              </a:solidFill>
            </a:rPr>
            <a:t>-  If declines in a given method are seen, are these consistent with changes in method availabilty, distribution, and your understanding of trends in method choice?</a:t>
          </a:r>
        </a:p>
        <a:p>
          <a:endParaRPr lang="en-US" sz="1100" baseline="0">
            <a:solidFill>
              <a:schemeClr val="bg1"/>
            </a:solidFill>
          </a:endParaRPr>
        </a:p>
        <a:p>
          <a:r>
            <a:rPr lang="en-US" sz="1100" baseline="0">
              <a:solidFill>
                <a:schemeClr val="bg1"/>
              </a:solidFill>
            </a:rPr>
            <a:t>- If dramatic growth in a given method is seen, is this attributable to the introduction of a new method? New or expanded efforts to socialize that method? Or might it be attributable to changes in the reporting system/incentives?</a:t>
          </a:r>
        </a:p>
        <a:p>
          <a:endParaRPr lang="en-US" sz="1100" baseline="0">
            <a:solidFill>
              <a:schemeClr val="bg1"/>
            </a:solidFill>
          </a:endParaRPr>
        </a:p>
        <a:p>
          <a:r>
            <a:rPr lang="en-US" sz="1100" baseline="0">
              <a:solidFill>
                <a:schemeClr val="bg1"/>
              </a:solidFill>
            </a:rPr>
            <a:t>-  Are declines in one method accompanied by growth in another method, indicating women switching between methods?</a:t>
          </a:r>
        </a:p>
        <a:p>
          <a:endParaRPr lang="en-US" sz="1100" baseline="0">
            <a:solidFill>
              <a:schemeClr val="bg1"/>
            </a:solidFill>
          </a:endParaRPr>
        </a:p>
        <a:p>
          <a:r>
            <a:rPr lang="en-US" sz="1100" baseline="0">
              <a:solidFill>
                <a:schemeClr val="bg1"/>
              </a:solidFill>
            </a:rPr>
            <a:t>- Are there any outlying values (very high or very low compared to the overall trend for the method)? If so, could this be a data quality issue? </a:t>
          </a:r>
        </a:p>
        <a:p>
          <a:endParaRPr lang="en-US" sz="1100" baseline="0">
            <a:solidFill>
              <a:schemeClr val="bg1"/>
            </a:solidFill>
          </a:endParaRPr>
        </a:p>
      </xdr:txBody>
    </xdr:sp>
    <xdr:clientData/>
  </xdr:twoCellAnchor>
  <xdr:twoCellAnchor>
    <xdr:from>
      <xdr:col>12</xdr:col>
      <xdr:colOff>23812</xdr:colOff>
      <xdr:row>144</xdr:row>
      <xdr:rowOff>54429</xdr:rowOff>
    </xdr:from>
    <xdr:to>
      <xdr:col>16</xdr:col>
      <xdr:colOff>727984</xdr:colOff>
      <xdr:row>156</xdr:row>
      <xdr:rowOff>142875</xdr:rowOff>
    </xdr:to>
    <xdr:graphicFrame macro="">
      <xdr:nvGraphicFramePr>
        <xdr:cNvPr id="13" name="Chart 12">
          <a:extLst>
            <a:ext uri="{FF2B5EF4-FFF2-40B4-BE49-F238E27FC236}">
              <a16:creationId xmlns:a16="http://schemas.microsoft.com/office/drawing/2014/main" id="{00000000-0008-0000-08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20</xdr:col>
      <xdr:colOff>95250</xdr:colOff>
      <xdr:row>105</xdr:row>
      <xdr:rowOff>27214</xdr:rowOff>
    </xdr:from>
    <xdr:to>
      <xdr:col>22</xdr:col>
      <xdr:colOff>627630</xdr:colOff>
      <xdr:row>145</xdr:row>
      <xdr:rowOff>132671</xdr:rowOff>
    </xdr:to>
    <xdr:sp macro="" textlink="">
      <xdr:nvSpPr>
        <xdr:cNvPr id="14" name="TextBox 13">
          <a:extLst>
            <a:ext uri="{FF2B5EF4-FFF2-40B4-BE49-F238E27FC236}">
              <a16:creationId xmlns:a16="http://schemas.microsoft.com/office/drawing/2014/main" id="{E9B3765C-F579-4CD0-A181-0937458A6AF4}"/>
            </a:ext>
          </a:extLst>
        </xdr:cNvPr>
        <xdr:cNvSpPr txBox="1"/>
      </xdr:nvSpPr>
      <xdr:spPr>
        <a:xfrm>
          <a:off x="17553214" y="11062607"/>
          <a:ext cx="2274095" cy="8188100"/>
        </a:xfrm>
        <a:prstGeom prst="rect">
          <a:avLst/>
        </a:prstGeom>
        <a:solidFill>
          <a:schemeClr val="tx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rPr>
            <a:t>Examinez les graphiques de gauche.</a:t>
          </a:r>
        </a:p>
        <a:p>
          <a:r>
            <a:rPr lang="en-US" sz="1100">
              <a:solidFill>
                <a:schemeClr val="bg1"/>
              </a:solidFill>
            </a:rPr>
            <a:t> Quelques questions à considérer :</a:t>
          </a:r>
          <a:endParaRPr lang="en-US" sz="1100" baseline="0">
            <a:solidFill>
              <a:schemeClr val="bg1"/>
            </a:solidFill>
          </a:endParaRPr>
        </a:p>
        <a:p>
          <a:endParaRPr lang="en-US" sz="1100" baseline="0">
            <a:solidFill>
              <a:schemeClr val="bg1"/>
            </a:solidFill>
          </a:endParaRPr>
        </a:p>
        <a:p>
          <a:r>
            <a:rPr lang="en-US" sz="1100" baseline="0">
              <a:solidFill>
                <a:schemeClr val="bg1"/>
              </a:solidFill>
            </a:rPr>
            <a:t>-  Comment ces tendances sont-elles influencées par les taux de déclaration ? Certaines années devraient-elles être exclues en raison de taux de déclaration faibles ou incohérents ?</a:t>
          </a:r>
        </a:p>
        <a:p>
          <a:endParaRPr lang="en-US" sz="1100" baseline="0">
            <a:solidFill>
              <a:schemeClr val="bg1"/>
            </a:solidFill>
          </a:endParaRPr>
        </a:p>
        <a:p>
          <a:r>
            <a:rPr lang="en-US" sz="1100" baseline="0">
              <a:solidFill>
                <a:schemeClr val="bg1"/>
              </a:solidFill>
            </a:rPr>
            <a:t>- Les tendances semblent-elles cohérentes avec votre compréhension des programmes actuels de la PF ?</a:t>
          </a:r>
        </a:p>
        <a:p>
          <a:endParaRPr lang="en-US" sz="1100" baseline="0">
            <a:solidFill>
              <a:schemeClr val="bg1"/>
            </a:solidFill>
          </a:endParaRPr>
        </a:p>
        <a:p>
          <a:r>
            <a:rPr lang="en-US" sz="1100" baseline="0">
              <a:solidFill>
                <a:schemeClr val="bg1"/>
              </a:solidFill>
            </a:rPr>
            <a:t>- Si des déclins sont notés pour une méthode donnée, sont-ils cohérents avec les changements liés à la disponibilité de la méthode, la distribution et votre compréhension des tendances dans le choix de la méthode ?</a:t>
          </a:r>
        </a:p>
        <a:p>
          <a:endParaRPr lang="en-US" sz="1100" baseline="0">
            <a:solidFill>
              <a:schemeClr val="bg1"/>
            </a:solidFill>
          </a:endParaRPr>
        </a:p>
        <a:p>
          <a:r>
            <a:rPr lang="en-US" sz="1100" baseline="0">
              <a:solidFill>
                <a:schemeClr val="bg1"/>
              </a:solidFill>
            </a:rPr>
            <a:t>- Si une croissance spectaculaire est notée dans une méthode donnée, est-elle attribuée à l'introduction d'une nouvelle méthode ? De nouveaux efforts, ou des efforts intensifiés pour socialiser cette méthode ? Ou pourrait-elle être attribuée à des changements dans le système de déclaration / aux encouragements ?</a:t>
          </a:r>
        </a:p>
        <a:p>
          <a:endParaRPr lang="en-US" sz="1100" baseline="0">
            <a:solidFill>
              <a:schemeClr val="bg1"/>
            </a:solidFill>
          </a:endParaRPr>
        </a:p>
        <a:p>
          <a:r>
            <a:rPr lang="en-US" sz="1100" baseline="0">
              <a:solidFill>
                <a:schemeClr val="bg1"/>
              </a:solidFill>
            </a:rPr>
            <a:t>-  Les déclins dans une méthode, accompagnés par la croissance d'une autre méthode, indiquent-ils une commutation entre les méthodes chez les femmes ?</a:t>
          </a:r>
        </a:p>
        <a:p>
          <a:endParaRPr lang="en-US" sz="1100" baseline="0">
            <a:solidFill>
              <a:schemeClr val="bg1"/>
            </a:solidFill>
          </a:endParaRPr>
        </a:p>
        <a:p>
          <a:r>
            <a:rPr lang="en-US" sz="1100" baseline="0">
              <a:solidFill>
                <a:schemeClr val="bg1"/>
              </a:solidFill>
            </a:rPr>
            <a:t>- Y-a-t-il des valeurs éloignées (très élevées, ou très faibles par comparaison à la tendance générale pour la méthode) ? Si tel est le cas, s'agirait-il d'un problème de qualité des données ?</a:t>
          </a:r>
        </a:p>
      </xdr:txBody>
    </xdr:sp>
    <xdr:clientData/>
  </xdr:twoCellAnchor>
  <xdr:twoCellAnchor>
    <xdr:from>
      <xdr:col>17</xdr:col>
      <xdr:colOff>789215</xdr:colOff>
      <xdr:row>2</xdr:row>
      <xdr:rowOff>299356</xdr:rowOff>
    </xdr:from>
    <xdr:to>
      <xdr:col>18</xdr:col>
      <xdr:colOff>644374</xdr:colOff>
      <xdr:row>5</xdr:row>
      <xdr:rowOff>81643</xdr:rowOff>
    </xdr:to>
    <xdr:sp macro="" textlink="">
      <xdr:nvSpPr>
        <xdr:cNvPr id="15" name="Isosceles Triangle 14">
          <a:extLst>
            <a:ext uri="{FF2B5EF4-FFF2-40B4-BE49-F238E27FC236}">
              <a16:creationId xmlns:a16="http://schemas.microsoft.com/office/drawing/2014/main" id="{9A4B7093-E468-409F-88FB-F83CDE8C0330}"/>
            </a:ext>
          </a:extLst>
        </xdr:cNvPr>
        <xdr:cNvSpPr/>
      </xdr:nvSpPr>
      <xdr:spPr>
        <a:xfrm rot="5400000">
          <a:off x="16467062" y="759581"/>
          <a:ext cx="394608" cy="726016"/>
        </a:xfrm>
        <a:prstGeom prst="triangl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27215</xdr:colOff>
      <xdr:row>6</xdr:row>
      <xdr:rowOff>40822</xdr:rowOff>
    </xdr:from>
    <xdr:to>
      <xdr:col>0</xdr:col>
      <xdr:colOff>272143</xdr:colOff>
      <xdr:row>15</xdr:row>
      <xdr:rowOff>272143</xdr:rowOff>
    </xdr:to>
    <xdr:sp macro="" textlink="">
      <xdr:nvSpPr>
        <xdr:cNvPr id="16" name="Arrow: Down 15">
          <a:extLst>
            <a:ext uri="{FF2B5EF4-FFF2-40B4-BE49-F238E27FC236}">
              <a16:creationId xmlns:a16="http://schemas.microsoft.com/office/drawing/2014/main" id="{A5D15E31-B7D3-46BF-9198-FA90469EDCCB}"/>
            </a:ext>
          </a:extLst>
        </xdr:cNvPr>
        <xdr:cNvSpPr/>
      </xdr:nvSpPr>
      <xdr:spPr>
        <a:xfrm>
          <a:off x="27215" y="1891393"/>
          <a:ext cx="244928" cy="2013857"/>
        </a:xfrm>
        <a:prstGeom prst="downArrow">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16</xdr:row>
      <xdr:rowOff>84364</xdr:rowOff>
    </xdr:from>
    <xdr:to>
      <xdr:col>0</xdr:col>
      <xdr:colOff>272143</xdr:colOff>
      <xdr:row>29</xdr:row>
      <xdr:rowOff>0</xdr:rowOff>
    </xdr:to>
    <xdr:sp macro="" textlink="">
      <xdr:nvSpPr>
        <xdr:cNvPr id="17" name="Arrow: Down 16">
          <a:extLst>
            <a:ext uri="{FF2B5EF4-FFF2-40B4-BE49-F238E27FC236}">
              <a16:creationId xmlns:a16="http://schemas.microsoft.com/office/drawing/2014/main" id="{6FA244B6-27A4-490B-8970-8AC1FE82F1EE}"/>
            </a:ext>
          </a:extLst>
        </xdr:cNvPr>
        <xdr:cNvSpPr/>
      </xdr:nvSpPr>
      <xdr:spPr>
        <a:xfrm>
          <a:off x="0" y="4057650"/>
          <a:ext cx="272143" cy="3439886"/>
        </a:xfrm>
        <a:prstGeom prst="downArrow">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2722</xdr:colOff>
      <xdr:row>31</xdr:row>
      <xdr:rowOff>114300</xdr:rowOff>
    </xdr:from>
    <xdr:to>
      <xdr:col>0</xdr:col>
      <xdr:colOff>274865</xdr:colOff>
      <xdr:row>46</xdr:row>
      <xdr:rowOff>43543</xdr:rowOff>
    </xdr:to>
    <xdr:sp macro="" textlink="">
      <xdr:nvSpPr>
        <xdr:cNvPr id="19" name="Arrow: Down 18">
          <a:extLst>
            <a:ext uri="{FF2B5EF4-FFF2-40B4-BE49-F238E27FC236}">
              <a16:creationId xmlns:a16="http://schemas.microsoft.com/office/drawing/2014/main" id="{0AF8EFC0-CEF4-44DB-83F9-EFD59591EA4D}"/>
            </a:ext>
          </a:extLst>
        </xdr:cNvPr>
        <xdr:cNvSpPr/>
      </xdr:nvSpPr>
      <xdr:spPr>
        <a:xfrm>
          <a:off x="2722" y="7897586"/>
          <a:ext cx="272143" cy="3439886"/>
        </a:xfrm>
        <a:prstGeom prst="downArrow">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103</xdr:row>
      <xdr:rowOff>8164</xdr:rowOff>
    </xdr:from>
    <xdr:to>
      <xdr:col>0</xdr:col>
      <xdr:colOff>272143</xdr:colOff>
      <xdr:row>121</xdr:row>
      <xdr:rowOff>182336</xdr:rowOff>
    </xdr:to>
    <xdr:sp macro="" textlink="">
      <xdr:nvSpPr>
        <xdr:cNvPr id="20" name="Arrow: Down 19">
          <a:extLst>
            <a:ext uri="{FF2B5EF4-FFF2-40B4-BE49-F238E27FC236}">
              <a16:creationId xmlns:a16="http://schemas.microsoft.com/office/drawing/2014/main" id="{D28893B9-ABA2-4ACC-AD8B-A6F00875E83E}"/>
            </a:ext>
          </a:extLst>
        </xdr:cNvPr>
        <xdr:cNvSpPr/>
      </xdr:nvSpPr>
      <xdr:spPr>
        <a:xfrm>
          <a:off x="0" y="12172950"/>
          <a:ext cx="272143" cy="3439886"/>
        </a:xfrm>
        <a:prstGeom prst="downArrow">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124</xdr:row>
      <xdr:rowOff>163286</xdr:rowOff>
    </xdr:from>
    <xdr:to>
      <xdr:col>0</xdr:col>
      <xdr:colOff>272143</xdr:colOff>
      <xdr:row>141</xdr:row>
      <xdr:rowOff>283029</xdr:rowOff>
    </xdr:to>
    <xdr:sp macro="" textlink="">
      <xdr:nvSpPr>
        <xdr:cNvPr id="21" name="Arrow: Down 20">
          <a:extLst>
            <a:ext uri="{FF2B5EF4-FFF2-40B4-BE49-F238E27FC236}">
              <a16:creationId xmlns:a16="http://schemas.microsoft.com/office/drawing/2014/main" id="{0579F6F5-CCA0-4587-8529-57387A6A5024}"/>
            </a:ext>
          </a:extLst>
        </xdr:cNvPr>
        <xdr:cNvSpPr/>
      </xdr:nvSpPr>
      <xdr:spPr>
        <a:xfrm>
          <a:off x="0" y="16478250"/>
          <a:ext cx="272143" cy="3439886"/>
        </a:xfrm>
        <a:prstGeom prst="downArrow">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143</xdr:row>
      <xdr:rowOff>81642</xdr:rowOff>
    </xdr:from>
    <xdr:to>
      <xdr:col>0</xdr:col>
      <xdr:colOff>272143</xdr:colOff>
      <xdr:row>160</xdr:row>
      <xdr:rowOff>78921</xdr:rowOff>
    </xdr:to>
    <xdr:sp macro="" textlink="">
      <xdr:nvSpPr>
        <xdr:cNvPr id="22" name="Arrow: Down 21">
          <a:extLst>
            <a:ext uri="{FF2B5EF4-FFF2-40B4-BE49-F238E27FC236}">
              <a16:creationId xmlns:a16="http://schemas.microsoft.com/office/drawing/2014/main" id="{FD7155B6-CB24-49FC-B872-8C1AC699D15C}"/>
            </a:ext>
          </a:extLst>
        </xdr:cNvPr>
        <xdr:cNvSpPr/>
      </xdr:nvSpPr>
      <xdr:spPr>
        <a:xfrm>
          <a:off x="0" y="20261035"/>
          <a:ext cx="272143" cy="3439886"/>
        </a:xfrm>
        <a:prstGeom prst="downArrow">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27214</xdr:colOff>
      <xdr:row>166</xdr:row>
      <xdr:rowOff>114298</xdr:rowOff>
    </xdr:from>
    <xdr:to>
      <xdr:col>5</xdr:col>
      <xdr:colOff>1387928</xdr:colOff>
      <xdr:row>168</xdr:row>
      <xdr:rowOff>108856</xdr:rowOff>
    </xdr:to>
    <xdr:sp macro="" textlink="">
      <xdr:nvSpPr>
        <xdr:cNvPr id="23" name="Arrow: Down 22">
          <a:extLst>
            <a:ext uri="{FF2B5EF4-FFF2-40B4-BE49-F238E27FC236}">
              <a16:creationId xmlns:a16="http://schemas.microsoft.com/office/drawing/2014/main" id="{6EC18C32-8913-46C2-8EA2-CE9829F02B40}"/>
            </a:ext>
          </a:extLst>
        </xdr:cNvPr>
        <xdr:cNvSpPr/>
      </xdr:nvSpPr>
      <xdr:spPr>
        <a:xfrm rot="16200000">
          <a:off x="2887435" y="22372863"/>
          <a:ext cx="375558" cy="5497286"/>
        </a:xfrm>
        <a:prstGeom prst="downArrow">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71438</xdr:colOff>
      <xdr:row>75</xdr:row>
      <xdr:rowOff>95251</xdr:rowOff>
    </xdr:from>
    <xdr:to>
      <xdr:col>8</xdr:col>
      <xdr:colOff>654844</xdr:colOff>
      <xdr:row>76</xdr:row>
      <xdr:rowOff>3102428</xdr:rowOff>
    </xdr:to>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47625</xdr:colOff>
      <xdr:row>87</xdr:row>
      <xdr:rowOff>111125</xdr:rowOff>
    </xdr:from>
    <xdr:to>
      <xdr:col>8</xdr:col>
      <xdr:colOff>678656</xdr:colOff>
      <xdr:row>87</xdr:row>
      <xdr:rowOff>3102429</xdr:rowOff>
    </xdr:to>
    <xdr:graphicFrame macro="">
      <xdr:nvGraphicFramePr>
        <xdr:cNvPr id="5" name="Chart 4">
          <a:extLst>
            <a:ext uri="{FF2B5EF4-FFF2-40B4-BE49-F238E27FC236}">
              <a16:creationId xmlns:a16="http://schemas.microsoft.com/office/drawing/2014/main" id="{00000000-0008-0000-0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56696</xdr:colOff>
      <xdr:row>87</xdr:row>
      <xdr:rowOff>56698</xdr:rowOff>
    </xdr:from>
    <xdr:to>
      <xdr:col>20</xdr:col>
      <xdr:colOff>925285</xdr:colOff>
      <xdr:row>87</xdr:row>
      <xdr:rowOff>3061608</xdr:rowOff>
    </xdr:to>
    <xdr:graphicFrame macro="">
      <xdr:nvGraphicFramePr>
        <xdr:cNvPr id="6" name="Chart 5">
          <a:extLst>
            <a:ext uri="{FF2B5EF4-FFF2-40B4-BE49-F238E27FC236}">
              <a16:creationId xmlns:a16="http://schemas.microsoft.com/office/drawing/2014/main" id="{00000000-0008-0000-0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734788</xdr:colOff>
      <xdr:row>103</xdr:row>
      <xdr:rowOff>163290</xdr:rowOff>
    </xdr:from>
    <xdr:to>
      <xdr:col>18</xdr:col>
      <xdr:colOff>394607</xdr:colOff>
      <xdr:row>108</xdr:row>
      <xdr:rowOff>58698</xdr:rowOff>
    </xdr:to>
    <xdr:sp macro="" textlink="">
      <xdr:nvSpPr>
        <xdr:cNvPr id="7" name="Isosceles Triangle 6">
          <a:extLst>
            <a:ext uri="{FF2B5EF4-FFF2-40B4-BE49-F238E27FC236}">
              <a16:creationId xmlns:a16="http://schemas.microsoft.com/office/drawing/2014/main" id="{00000000-0008-0000-0A00-000007000000}"/>
            </a:ext>
          </a:extLst>
        </xdr:cNvPr>
        <xdr:cNvSpPr/>
      </xdr:nvSpPr>
      <xdr:spPr>
        <a:xfrm rot="5400000">
          <a:off x="15693708" y="33006263"/>
          <a:ext cx="875122" cy="476248"/>
        </a:xfrm>
        <a:prstGeom prst="triangle">
          <a:avLst/>
        </a:prstGeom>
        <a:solidFill>
          <a:schemeClr val="tx2"/>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751114</xdr:colOff>
      <xdr:row>103</xdr:row>
      <xdr:rowOff>176896</xdr:rowOff>
    </xdr:from>
    <xdr:to>
      <xdr:col>8</xdr:col>
      <xdr:colOff>397328</xdr:colOff>
      <xdr:row>108</xdr:row>
      <xdr:rowOff>54429</xdr:rowOff>
    </xdr:to>
    <xdr:sp macro="" textlink="">
      <xdr:nvSpPr>
        <xdr:cNvPr id="8" name="Isosceles Triangle 7">
          <a:extLst>
            <a:ext uri="{FF2B5EF4-FFF2-40B4-BE49-F238E27FC236}">
              <a16:creationId xmlns:a16="http://schemas.microsoft.com/office/drawing/2014/main" id="{00000000-0008-0000-0A00-000008000000}"/>
            </a:ext>
          </a:extLst>
        </xdr:cNvPr>
        <xdr:cNvSpPr/>
      </xdr:nvSpPr>
      <xdr:spPr>
        <a:xfrm rot="5400000">
          <a:off x="7547883" y="33017734"/>
          <a:ext cx="857247" cy="462643"/>
        </a:xfrm>
        <a:prstGeom prst="triangl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47625</xdr:colOff>
      <xdr:row>81</xdr:row>
      <xdr:rowOff>58460</xdr:rowOff>
    </xdr:from>
    <xdr:to>
      <xdr:col>14</xdr:col>
      <xdr:colOff>711653</xdr:colOff>
      <xdr:row>82</xdr:row>
      <xdr:rowOff>3075214</xdr:rowOff>
    </xdr:to>
    <xdr:graphicFrame macro="">
      <xdr:nvGraphicFramePr>
        <xdr:cNvPr id="10" name="Chart 9">
          <a:extLst>
            <a:ext uri="{FF2B5EF4-FFF2-40B4-BE49-F238E27FC236}">
              <a16:creationId xmlns:a16="http://schemas.microsoft.com/office/drawing/2014/main" id="{5B65AD16-20E0-4CF4-BBCB-401038FEBA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287686</xdr:colOff>
      <xdr:row>81</xdr:row>
      <xdr:rowOff>74647</xdr:rowOff>
    </xdr:from>
    <xdr:to>
      <xdr:col>20</xdr:col>
      <xdr:colOff>906834</xdr:colOff>
      <xdr:row>82</xdr:row>
      <xdr:rowOff>3085807</xdr:rowOff>
    </xdr:to>
    <xdr:graphicFrame macro="">
      <xdr:nvGraphicFramePr>
        <xdr:cNvPr id="11" name="Chart 10">
          <a:extLst>
            <a:ext uri="{FF2B5EF4-FFF2-40B4-BE49-F238E27FC236}">
              <a16:creationId xmlns:a16="http://schemas.microsoft.com/office/drawing/2014/main" id="{CFC49772-A34B-4B18-9B99-7AFF3117AD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49890</xdr:colOff>
      <xdr:row>81</xdr:row>
      <xdr:rowOff>57148</xdr:rowOff>
    </xdr:from>
    <xdr:to>
      <xdr:col>8</xdr:col>
      <xdr:colOff>717550</xdr:colOff>
      <xdr:row>82</xdr:row>
      <xdr:rowOff>3088821</xdr:rowOff>
    </xdr:to>
    <xdr:graphicFrame macro="">
      <xdr:nvGraphicFramePr>
        <xdr:cNvPr id="15" name="Chart 14">
          <a:extLst>
            <a:ext uri="{FF2B5EF4-FFF2-40B4-BE49-F238E27FC236}">
              <a16:creationId xmlns:a16="http://schemas.microsoft.com/office/drawing/2014/main" id="{5BCA1CA7-BD78-4A5A-B856-3D71C6ED39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86179</xdr:colOff>
      <xdr:row>76</xdr:row>
      <xdr:rowOff>63952</xdr:rowOff>
    </xdr:from>
    <xdr:to>
      <xdr:col>20</xdr:col>
      <xdr:colOff>843643</xdr:colOff>
      <xdr:row>76</xdr:row>
      <xdr:rowOff>3129642</xdr:rowOff>
    </xdr:to>
    <xdr:graphicFrame macro="">
      <xdr:nvGraphicFramePr>
        <xdr:cNvPr id="18" name="Chart 17">
          <a:extLst>
            <a:ext uri="{FF2B5EF4-FFF2-40B4-BE49-F238E27FC236}">
              <a16:creationId xmlns:a16="http://schemas.microsoft.com/office/drawing/2014/main" id="{2CEC79EB-C5C1-443F-A755-E78E5FE644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73</xdr:row>
      <xdr:rowOff>280647</xdr:rowOff>
    </xdr:from>
    <xdr:to>
      <xdr:col>1</xdr:col>
      <xdr:colOff>11906</xdr:colOff>
      <xdr:row>78</xdr:row>
      <xdr:rowOff>352084</xdr:rowOff>
    </xdr:to>
    <xdr:sp macro="" textlink="">
      <xdr:nvSpPr>
        <xdr:cNvPr id="12" name="Arrow: Down 11">
          <a:extLst>
            <a:ext uri="{FF2B5EF4-FFF2-40B4-BE49-F238E27FC236}">
              <a16:creationId xmlns:a16="http://schemas.microsoft.com/office/drawing/2014/main" id="{CB7AA94A-4EA7-4E8D-AE0A-B1390A240BFF}"/>
            </a:ext>
          </a:extLst>
        </xdr:cNvPr>
        <xdr:cNvSpPr/>
      </xdr:nvSpPr>
      <xdr:spPr>
        <a:xfrm>
          <a:off x="0" y="2212861"/>
          <a:ext cx="352085" cy="5051652"/>
        </a:xfrm>
        <a:prstGeom prst="downArrow">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78</xdr:row>
      <xdr:rowOff>564698</xdr:rowOff>
    </xdr:from>
    <xdr:to>
      <xdr:col>1</xdr:col>
      <xdr:colOff>11906</xdr:colOff>
      <xdr:row>84</xdr:row>
      <xdr:rowOff>244928</xdr:rowOff>
    </xdr:to>
    <xdr:sp macro="" textlink="">
      <xdr:nvSpPr>
        <xdr:cNvPr id="13" name="Arrow: Down 12">
          <a:extLst>
            <a:ext uri="{FF2B5EF4-FFF2-40B4-BE49-F238E27FC236}">
              <a16:creationId xmlns:a16="http://schemas.microsoft.com/office/drawing/2014/main" id="{F67528AC-7FC4-4577-9CAA-1E1311B38959}"/>
            </a:ext>
          </a:extLst>
        </xdr:cNvPr>
        <xdr:cNvSpPr/>
      </xdr:nvSpPr>
      <xdr:spPr>
        <a:xfrm>
          <a:off x="0" y="7477127"/>
          <a:ext cx="352085" cy="5204730"/>
        </a:xfrm>
        <a:prstGeom prst="downArrow">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84</xdr:row>
      <xdr:rowOff>363311</xdr:rowOff>
    </xdr:from>
    <xdr:to>
      <xdr:col>1</xdr:col>
      <xdr:colOff>11906</xdr:colOff>
      <xdr:row>89</xdr:row>
      <xdr:rowOff>312963</xdr:rowOff>
    </xdr:to>
    <xdr:sp macro="" textlink="">
      <xdr:nvSpPr>
        <xdr:cNvPr id="14" name="Arrow: Down 13">
          <a:extLst>
            <a:ext uri="{FF2B5EF4-FFF2-40B4-BE49-F238E27FC236}">
              <a16:creationId xmlns:a16="http://schemas.microsoft.com/office/drawing/2014/main" id="{E3EECB68-3A10-45D4-8556-267FBB418D48}"/>
            </a:ext>
          </a:extLst>
        </xdr:cNvPr>
        <xdr:cNvSpPr/>
      </xdr:nvSpPr>
      <xdr:spPr>
        <a:xfrm>
          <a:off x="0" y="12800240"/>
          <a:ext cx="352085" cy="5487759"/>
        </a:xfrm>
        <a:prstGeom prst="downArrow">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100</xdr:row>
      <xdr:rowOff>184513</xdr:rowOff>
    </xdr:from>
    <xdr:to>
      <xdr:col>1</xdr:col>
      <xdr:colOff>15716</xdr:colOff>
      <xdr:row>120</xdr:row>
      <xdr:rowOff>381000</xdr:rowOff>
    </xdr:to>
    <xdr:sp macro="" textlink="">
      <xdr:nvSpPr>
        <xdr:cNvPr id="16" name="Arrow: Down 15">
          <a:extLst>
            <a:ext uri="{FF2B5EF4-FFF2-40B4-BE49-F238E27FC236}">
              <a16:creationId xmlns:a16="http://schemas.microsoft.com/office/drawing/2014/main" id="{AC3575FC-D8CC-46EF-B26F-DB2C8F14A252}"/>
            </a:ext>
          </a:extLst>
        </xdr:cNvPr>
        <xdr:cNvSpPr/>
      </xdr:nvSpPr>
      <xdr:spPr>
        <a:xfrm>
          <a:off x="0" y="26160549"/>
          <a:ext cx="478359" cy="1856558"/>
        </a:xfrm>
        <a:prstGeom prst="downArrow">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89</xdr:row>
      <xdr:rowOff>624568</xdr:rowOff>
    </xdr:from>
    <xdr:to>
      <xdr:col>1</xdr:col>
      <xdr:colOff>11906</xdr:colOff>
      <xdr:row>99</xdr:row>
      <xdr:rowOff>179614</xdr:rowOff>
    </xdr:to>
    <xdr:sp macro="" textlink="">
      <xdr:nvSpPr>
        <xdr:cNvPr id="17" name="Arrow: Down 16">
          <a:extLst>
            <a:ext uri="{FF2B5EF4-FFF2-40B4-BE49-F238E27FC236}">
              <a16:creationId xmlns:a16="http://schemas.microsoft.com/office/drawing/2014/main" id="{7735BEBE-90AF-4A07-8291-23A3EF977146}"/>
            </a:ext>
          </a:extLst>
        </xdr:cNvPr>
        <xdr:cNvSpPr/>
      </xdr:nvSpPr>
      <xdr:spPr>
        <a:xfrm>
          <a:off x="0" y="18599604"/>
          <a:ext cx="352085" cy="1596117"/>
        </a:xfrm>
        <a:prstGeom prst="downArrow">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40821</xdr:colOff>
      <xdr:row>65</xdr:row>
      <xdr:rowOff>108857</xdr:rowOff>
    </xdr:from>
    <xdr:to>
      <xdr:col>20</xdr:col>
      <xdr:colOff>1088571</xdr:colOff>
      <xdr:row>65</xdr:row>
      <xdr:rowOff>3108142</xdr:rowOff>
    </xdr:to>
    <xdr:graphicFrame macro="">
      <xdr:nvGraphicFramePr>
        <xdr:cNvPr id="19" name="Chart 18">
          <a:extLst>
            <a:ext uri="{FF2B5EF4-FFF2-40B4-BE49-F238E27FC236}">
              <a16:creationId xmlns:a16="http://schemas.microsoft.com/office/drawing/2014/main" id="{3678555E-D551-4D85-B445-1BBA13C8E4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132263</xdr:colOff>
      <xdr:row>64</xdr:row>
      <xdr:rowOff>17688</xdr:rowOff>
    </xdr:from>
    <xdr:to>
      <xdr:col>8</xdr:col>
      <xdr:colOff>625930</xdr:colOff>
      <xdr:row>65</xdr:row>
      <xdr:rowOff>3047999</xdr:rowOff>
    </xdr:to>
    <xdr:graphicFrame macro="">
      <xdr:nvGraphicFramePr>
        <xdr:cNvPr id="20" name="Chart 19">
          <a:extLst>
            <a:ext uri="{FF2B5EF4-FFF2-40B4-BE49-F238E27FC236}">
              <a16:creationId xmlns:a16="http://schemas.microsoft.com/office/drawing/2014/main" id="{D6A603A0-C0C6-495D-85F6-FD3C45912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886883</xdr:colOff>
      <xdr:row>68</xdr:row>
      <xdr:rowOff>96338</xdr:rowOff>
    </xdr:from>
    <xdr:to>
      <xdr:col>1</xdr:col>
      <xdr:colOff>1438245</xdr:colOff>
      <xdr:row>70</xdr:row>
      <xdr:rowOff>235947</xdr:rowOff>
    </xdr:to>
    <xdr:sp macro="" textlink="">
      <xdr:nvSpPr>
        <xdr:cNvPr id="21" name="Isosceles Triangle 20">
          <a:extLst>
            <a:ext uri="{FF2B5EF4-FFF2-40B4-BE49-F238E27FC236}">
              <a16:creationId xmlns:a16="http://schemas.microsoft.com/office/drawing/2014/main" id="{5BD90662-2356-44F9-9F7F-D1605E26E2AB}"/>
            </a:ext>
          </a:extLst>
        </xdr:cNvPr>
        <xdr:cNvSpPr/>
      </xdr:nvSpPr>
      <xdr:spPr>
        <a:xfrm rot="16200000">
          <a:off x="1204202" y="8063864"/>
          <a:ext cx="831124" cy="547552"/>
        </a:xfrm>
        <a:prstGeom prst="triangle">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27215</xdr:colOff>
      <xdr:row>106</xdr:row>
      <xdr:rowOff>8165</xdr:rowOff>
    </xdr:from>
    <xdr:to>
      <xdr:col>3</xdr:col>
      <xdr:colOff>1360714</xdr:colOff>
      <xdr:row>118</xdr:row>
      <xdr:rowOff>174171</xdr:rowOff>
    </xdr:to>
    <xdr:graphicFrame macro="">
      <xdr:nvGraphicFramePr>
        <xdr:cNvPr id="2" name="Chart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40820</xdr:colOff>
      <xdr:row>106</xdr:row>
      <xdr:rowOff>27215</xdr:rowOff>
    </xdr:from>
    <xdr:to>
      <xdr:col>10</xdr:col>
      <xdr:colOff>827313</xdr:colOff>
      <xdr:row>118</xdr:row>
      <xdr:rowOff>122465</xdr:rowOff>
    </xdr:to>
    <xdr:graphicFrame macro="">
      <xdr:nvGraphicFramePr>
        <xdr:cNvPr id="3" name="Chart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13607</xdr:colOff>
      <xdr:row>106</xdr:row>
      <xdr:rowOff>27215</xdr:rowOff>
    </xdr:from>
    <xdr:to>
      <xdr:col>16</xdr:col>
      <xdr:colOff>738188</xdr:colOff>
      <xdr:row>118</xdr:row>
      <xdr:rowOff>190500</xdr:rowOff>
    </xdr:to>
    <xdr:graphicFrame macro="">
      <xdr:nvGraphicFramePr>
        <xdr:cNvPr id="4" name="Chart 3">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27215</xdr:colOff>
      <xdr:row>125</xdr:row>
      <xdr:rowOff>13607</xdr:rowOff>
    </xdr:from>
    <xdr:to>
      <xdr:col>3</xdr:col>
      <xdr:colOff>1393371</xdr:colOff>
      <xdr:row>137</xdr:row>
      <xdr:rowOff>122464</xdr:rowOff>
    </xdr:to>
    <xdr:graphicFrame macro="">
      <xdr:nvGraphicFramePr>
        <xdr:cNvPr id="5" name="Chart 4">
          <a:extLst>
            <a:ext uri="{FF2B5EF4-FFF2-40B4-BE49-F238E27FC236}">
              <a16:creationId xmlns:a16="http://schemas.microsoft.com/office/drawing/2014/main" id="{00000000-0008-0000-0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35717</xdr:colOff>
      <xdr:row>125</xdr:row>
      <xdr:rowOff>23812</xdr:rowOff>
    </xdr:from>
    <xdr:to>
      <xdr:col>10</xdr:col>
      <xdr:colOff>714373</xdr:colOff>
      <xdr:row>137</xdr:row>
      <xdr:rowOff>166006</xdr:rowOff>
    </xdr:to>
    <xdr:graphicFrame macro="">
      <xdr:nvGraphicFramePr>
        <xdr:cNvPr id="6" name="Chart 5">
          <a:extLst>
            <a:ext uri="{FF2B5EF4-FFF2-40B4-BE49-F238E27FC236}">
              <a16:creationId xmlns:a16="http://schemas.microsoft.com/office/drawing/2014/main" id="{00000000-0008-0000-0B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23812</xdr:colOff>
      <xdr:row>125</xdr:row>
      <xdr:rowOff>54429</xdr:rowOff>
    </xdr:from>
    <xdr:to>
      <xdr:col>16</xdr:col>
      <xdr:colOff>727984</xdr:colOff>
      <xdr:row>137</xdr:row>
      <xdr:rowOff>142875</xdr:rowOff>
    </xdr:to>
    <xdr:graphicFrame macro="">
      <xdr:nvGraphicFramePr>
        <xdr:cNvPr id="7" name="Chart 6">
          <a:extLst>
            <a:ext uri="{FF2B5EF4-FFF2-40B4-BE49-F238E27FC236}">
              <a16:creationId xmlns:a16="http://schemas.microsoft.com/office/drawing/2014/main" id="{00000000-0008-0000-0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15308</xdr:colOff>
      <xdr:row>144</xdr:row>
      <xdr:rowOff>20410</xdr:rowOff>
    </xdr:from>
    <xdr:to>
      <xdr:col>3</xdr:col>
      <xdr:colOff>1360714</xdr:colOff>
      <xdr:row>156</xdr:row>
      <xdr:rowOff>130969</xdr:rowOff>
    </xdr:to>
    <xdr:graphicFrame macro="">
      <xdr:nvGraphicFramePr>
        <xdr:cNvPr id="8" name="Chart 7">
          <a:extLst>
            <a:ext uri="{FF2B5EF4-FFF2-40B4-BE49-F238E27FC236}">
              <a16:creationId xmlns:a16="http://schemas.microsoft.com/office/drawing/2014/main" id="{00000000-0008-0000-0B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47624</xdr:colOff>
      <xdr:row>144</xdr:row>
      <xdr:rowOff>35719</xdr:rowOff>
    </xdr:from>
    <xdr:to>
      <xdr:col>10</xdr:col>
      <xdr:colOff>719477</xdr:colOff>
      <xdr:row>156</xdr:row>
      <xdr:rowOff>172809</xdr:rowOff>
    </xdr:to>
    <xdr:graphicFrame macro="">
      <xdr:nvGraphicFramePr>
        <xdr:cNvPr id="9" name="Chart 8">
          <a:extLst>
            <a:ext uri="{FF2B5EF4-FFF2-40B4-BE49-F238E27FC236}">
              <a16:creationId xmlns:a16="http://schemas.microsoft.com/office/drawing/2014/main" id="{00000000-0008-0000-0B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13607</xdr:colOff>
      <xdr:row>145</xdr:row>
      <xdr:rowOff>127571</xdr:rowOff>
    </xdr:from>
    <xdr:to>
      <xdr:col>21</xdr:col>
      <xdr:colOff>530679</xdr:colOff>
      <xdr:row>151</xdr:row>
      <xdr:rowOff>40823</xdr:rowOff>
    </xdr:to>
    <xdr:sp macro="" textlink="">
      <xdr:nvSpPr>
        <xdr:cNvPr id="10" name="Isosceles Triangle 9">
          <a:extLst>
            <a:ext uri="{FF2B5EF4-FFF2-40B4-BE49-F238E27FC236}">
              <a16:creationId xmlns:a16="http://schemas.microsoft.com/office/drawing/2014/main" id="{00000000-0008-0000-0B00-00000A000000}"/>
            </a:ext>
          </a:extLst>
        </xdr:cNvPr>
        <xdr:cNvSpPr/>
      </xdr:nvSpPr>
      <xdr:spPr>
        <a:xfrm rot="5400000">
          <a:off x="18841642" y="19698893"/>
          <a:ext cx="1178716" cy="517072"/>
        </a:xfrm>
        <a:prstGeom prst="triangl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17</xdr:col>
      <xdr:colOff>241527</xdr:colOff>
      <xdr:row>105</xdr:row>
      <xdr:rowOff>17008</xdr:rowOff>
    </xdr:from>
    <xdr:to>
      <xdr:col>19</xdr:col>
      <xdr:colOff>610622</xdr:colOff>
      <xdr:row>142</xdr:row>
      <xdr:rowOff>119062</xdr:rowOff>
    </xdr:to>
    <xdr:sp macro="" textlink="">
      <xdr:nvSpPr>
        <xdr:cNvPr id="12" name="TextBox 11">
          <a:extLst>
            <a:ext uri="{FF2B5EF4-FFF2-40B4-BE49-F238E27FC236}">
              <a16:creationId xmlns:a16="http://schemas.microsoft.com/office/drawing/2014/main" id="{00000000-0008-0000-0B00-00000C000000}"/>
            </a:ext>
          </a:extLst>
        </xdr:cNvPr>
        <xdr:cNvSpPr txBox="1"/>
      </xdr:nvSpPr>
      <xdr:spPr>
        <a:xfrm>
          <a:off x="13776552" y="12456658"/>
          <a:ext cx="1874045" cy="7598229"/>
        </a:xfrm>
        <a:prstGeom prst="rect">
          <a:avLst/>
        </a:prstGeom>
        <a:solidFill>
          <a:schemeClr val="tx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rPr>
            <a:t>Review</a:t>
          </a:r>
          <a:r>
            <a:rPr lang="en-US" sz="1100" baseline="0">
              <a:solidFill>
                <a:schemeClr val="bg1"/>
              </a:solidFill>
            </a:rPr>
            <a:t> the graphs to the left. </a:t>
          </a:r>
        </a:p>
        <a:p>
          <a:endParaRPr lang="en-US" sz="1100" baseline="0">
            <a:solidFill>
              <a:schemeClr val="bg1"/>
            </a:solidFill>
          </a:endParaRPr>
        </a:p>
        <a:p>
          <a:r>
            <a:rPr lang="en-US" sz="1100" baseline="0">
              <a:solidFill>
                <a:schemeClr val="bg1"/>
              </a:solidFill>
            </a:rPr>
            <a:t>Some questions to consider:</a:t>
          </a:r>
        </a:p>
        <a:p>
          <a:endParaRPr lang="en-US" sz="1100" baseline="0">
            <a:solidFill>
              <a:schemeClr val="bg1"/>
            </a:solidFill>
          </a:endParaRPr>
        </a:p>
        <a:p>
          <a:r>
            <a:rPr lang="en-US" sz="1100" baseline="0">
              <a:solidFill>
                <a:schemeClr val="bg1"/>
              </a:solidFill>
            </a:rPr>
            <a:t>-  How are these trends being influenced by reporting rates? Should some years be excluded for low or inconsistent reporting rates?</a:t>
          </a:r>
        </a:p>
        <a:p>
          <a:endParaRPr lang="en-US" sz="1100" baseline="0">
            <a:solidFill>
              <a:schemeClr val="bg1"/>
            </a:solidFill>
          </a:endParaRPr>
        </a:p>
        <a:p>
          <a:r>
            <a:rPr lang="en-US" sz="1100" baseline="0">
              <a:solidFill>
                <a:schemeClr val="bg1"/>
              </a:solidFill>
            </a:rPr>
            <a:t>- Do trends look consistent with your understanding of current programs in FP?</a:t>
          </a:r>
        </a:p>
        <a:p>
          <a:endParaRPr lang="en-US" sz="1100" baseline="0">
            <a:solidFill>
              <a:schemeClr val="bg1"/>
            </a:solidFill>
          </a:endParaRPr>
        </a:p>
        <a:p>
          <a:r>
            <a:rPr lang="en-US" sz="1100" baseline="0">
              <a:solidFill>
                <a:schemeClr val="bg1"/>
              </a:solidFill>
            </a:rPr>
            <a:t>-  If declines in a given method are seen, are these consistent with changes in method availabilty, distribution, and your understanding of trends in method choice?</a:t>
          </a:r>
        </a:p>
        <a:p>
          <a:endParaRPr lang="en-US" sz="1100" baseline="0">
            <a:solidFill>
              <a:schemeClr val="bg1"/>
            </a:solidFill>
          </a:endParaRPr>
        </a:p>
        <a:p>
          <a:r>
            <a:rPr lang="en-US" sz="1100" baseline="0">
              <a:solidFill>
                <a:schemeClr val="bg1"/>
              </a:solidFill>
            </a:rPr>
            <a:t>- If dramatic growth in a given method is seen, is this attributable to the introduction of a new method? New or expanded efforts to socialize that method? Or might it be attributable to changes in the reporting system/incentives?</a:t>
          </a:r>
        </a:p>
        <a:p>
          <a:endParaRPr lang="en-US" sz="1100" baseline="0">
            <a:solidFill>
              <a:schemeClr val="bg1"/>
            </a:solidFill>
          </a:endParaRPr>
        </a:p>
        <a:p>
          <a:r>
            <a:rPr lang="en-US" sz="1100" baseline="0">
              <a:solidFill>
                <a:schemeClr val="bg1"/>
              </a:solidFill>
            </a:rPr>
            <a:t>-  Are declines in one method accompanied by growth in another method, indicating women switching between methods?</a:t>
          </a:r>
        </a:p>
        <a:p>
          <a:endParaRPr lang="en-US" sz="1100" baseline="0">
            <a:solidFill>
              <a:schemeClr val="bg1"/>
            </a:solidFill>
          </a:endParaRPr>
        </a:p>
        <a:p>
          <a:r>
            <a:rPr lang="en-US" sz="1100" baseline="0">
              <a:solidFill>
                <a:schemeClr val="bg1"/>
              </a:solidFill>
            </a:rPr>
            <a:t>- Are there any outlying values (very high or very low compared to the overall trend for the method)? If so, could this be a data quality issue? </a:t>
          </a:r>
        </a:p>
        <a:p>
          <a:endParaRPr lang="en-US" sz="1100" baseline="0">
            <a:solidFill>
              <a:schemeClr val="bg1"/>
            </a:solidFill>
          </a:endParaRPr>
        </a:p>
      </xdr:txBody>
    </xdr:sp>
    <xdr:clientData/>
  </xdr:twoCellAnchor>
  <xdr:twoCellAnchor>
    <xdr:from>
      <xdr:col>12</xdr:col>
      <xdr:colOff>23812</xdr:colOff>
      <xdr:row>144</xdr:row>
      <xdr:rowOff>54429</xdr:rowOff>
    </xdr:from>
    <xdr:to>
      <xdr:col>16</xdr:col>
      <xdr:colOff>727984</xdr:colOff>
      <xdr:row>156</xdr:row>
      <xdr:rowOff>142875</xdr:rowOff>
    </xdr:to>
    <xdr:graphicFrame macro="">
      <xdr:nvGraphicFramePr>
        <xdr:cNvPr id="13" name="Chart 12">
          <a:extLst>
            <a:ext uri="{FF2B5EF4-FFF2-40B4-BE49-F238E27FC236}">
              <a16:creationId xmlns:a16="http://schemas.microsoft.com/office/drawing/2014/main" id="{00000000-0008-0000-0B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20</xdr:col>
      <xdr:colOff>0</xdr:colOff>
      <xdr:row>105</xdr:row>
      <xdr:rowOff>0</xdr:rowOff>
    </xdr:from>
    <xdr:to>
      <xdr:col>22</xdr:col>
      <xdr:colOff>586809</xdr:colOff>
      <xdr:row>142</xdr:row>
      <xdr:rowOff>136071</xdr:rowOff>
    </xdr:to>
    <xdr:sp macro="" textlink="">
      <xdr:nvSpPr>
        <xdr:cNvPr id="14" name="TextBox 13">
          <a:extLst>
            <a:ext uri="{FF2B5EF4-FFF2-40B4-BE49-F238E27FC236}">
              <a16:creationId xmlns:a16="http://schemas.microsoft.com/office/drawing/2014/main" id="{9B22A85A-6615-4857-8795-45E832C21475}"/>
            </a:ext>
          </a:extLst>
        </xdr:cNvPr>
        <xdr:cNvSpPr txBox="1"/>
      </xdr:nvSpPr>
      <xdr:spPr>
        <a:xfrm>
          <a:off x="18233571" y="11157857"/>
          <a:ext cx="2437381" cy="7633607"/>
        </a:xfrm>
        <a:prstGeom prst="rect">
          <a:avLst/>
        </a:prstGeom>
        <a:solidFill>
          <a:schemeClr val="tx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white"/>
              </a:solidFill>
              <a:effectLst/>
              <a:uLnTx/>
              <a:uFillTx/>
              <a:latin typeface="+mn-lt"/>
              <a:ea typeface="+mn-ea"/>
              <a:cs typeface="+mn-cs"/>
            </a:rPr>
            <a:t>Examinez les graphiques de gauche.</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white"/>
              </a:solidFill>
              <a:effectLst/>
              <a:uLnTx/>
              <a:uFillTx/>
              <a:latin typeface="+mn-lt"/>
              <a:ea typeface="+mn-ea"/>
              <a:cs typeface="+mn-cs"/>
            </a:rPr>
            <a:t> Quelques questions à considérer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white"/>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white"/>
              </a:solidFill>
              <a:effectLst/>
              <a:uLnTx/>
              <a:uFillTx/>
              <a:latin typeface="+mn-lt"/>
              <a:ea typeface="+mn-ea"/>
              <a:cs typeface="+mn-cs"/>
            </a:rPr>
            <a:t>-  Comment ces tendances sont-elles influencées par les taux de déclaration ? Certaines années devraient-elles être exclues en raison de taux de déclaration faibles ou incohérents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white"/>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white"/>
              </a:solidFill>
              <a:effectLst/>
              <a:uLnTx/>
              <a:uFillTx/>
              <a:latin typeface="+mn-lt"/>
              <a:ea typeface="+mn-ea"/>
              <a:cs typeface="+mn-cs"/>
            </a:rPr>
            <a:t>- Les tendances semblent-elles cohérentes avec votre compréhension des programmes actuels de la PF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white"/>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white"/>
              </a:solidFill>
              <a:effectLst/>
              <a:uLnTx/>
              <a:uFillTx/>
              <a:latin typeface="+mn-lt"/>
              <a:ea typeface="+mn-ea"/>
              <a:cs typeface="+mn-cs"/>
            </a:rPr>
            <a:t>- Si des déclins sont notés pour une méthode donnée, sont-ils cohérents avec les changements liés à la disponibilité de la méthode, la distribution et votre compréhension des tendances dans le choix de la méthode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white"/>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white"/>
              </a:solidFill>
              <a:effectLst/>
              <a:uLnTx/>
              <a:uFillTx/>
              <a:latin typeface="+mn-lt"/>
              <a:ea typeface="+mn-ea"/>
              <a:cs typeface="+mn-cs"/>
            </a:rPr>
            <a:t>- Si une croissance spectaculaire est notée dans une méthode donnée, est-elle attribuée à l'introduction d'une nouvelle méthode ? De nouveaux efforts, ou des efforts intensifiés pour socialiser cette méthode ? Ou pourrait-elle être attribuée à des changements dans le système de déclaration / aux encouragements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white"/>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white"/>
              </a:solidFill>
              <a:effectLst/>
              <a:uLnTx/>
              <a:uFillTx/>
              <a:latin typeface="+mn-lt"/>
              <a:ea typeface="+mn-ea"/>
              <a:cs typeface="+mn-cs"/>
            </a:rPr>
            <a:t>-  Les déclins dans une méthode, accompagnés par la croissance d'une autre méthode, indiquent-ils une commutation entre les méthodes chez les femmes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white"/>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white"/>
              </a:solidFill>
              <a:effectLst/>
              <a:uLnTx/>
              <a:uFillTx/>
              <a:latin typeface="+mn-lt"/>
              <a:ea typeface="+mn-ea"/>
              <a:cs typeface="+mn-cs"/>
            </a:rPr>
            <a:t>- Y-a-t-il des valeurs éloignées (très élevées, ou très faibles par comparaison à la tendance générale pour la méthode) ? Si tel est le cas, s'agirait-il d'un problème de qualité des données ?</a:t>
          </a:r>
        </a:p>
        <a:p>
          <a:endParaRPr lang="en-US" sz="1100" baseline="0">
            <a:solidFill>
              <a:schemeClr val="bg1"/>
            </a:solidFill>
          </a:endParaRPr>
        </a:p>
      </xdr:txBody>
    </xdr:sp>
    <xdr:clientData/>
  </xdr:twoCellAnchor>
  <xdr:twoCellAnchor>
    <xdr:from>
      <xdr:col>18</xdr:col>
      <xdr:colOff>13607</xdr:colOff>
      <xdr:row>2</xdr:row>
      <xdr:rowOff>217714</xdr:rowOff>
    </xdr:from>
    <xdr:to>
      <xdr:col>18</xdr:col>
      <xdr:colOff>739623</xdr:colOff>
      <xdr:row>5</xdr:row>
      <xdr:rowOff>149679</xdr:rowOff>
    </xdr:to>
    <xdr:sp macro="" textlink="">
      <xdr:nvSpPr>
        <xdr:cNvPr id="15" name="Isosceles Triangle 14">
          <a:extLst>
            <a:ext uri="{FF2B5EF4-FFF2-40B4-BE49-F238E27FC236}">
              <a16:creationId xmlns:a16="http://schemas.microsoft.com/office/drawing/2014/main" id="{40116512-1051-4762-891B-787805C4B54D}"/>
            </a:ext>
          </a:extLst>
        </xdr:cNvPr>
        <xdr:cNvSpPr/>
      </xdr:nvSpPr>
      <xdr:spPr>
        <a:xfrm rot="5400000">
          <a:off x="17058972" y="752778"/>
          <a:ext cx="544286" cy="726016"/>
        </a:xfrm>
        <a:prstGeom prst="triangl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27215</xdr:colOff>
      <xdr:row>6</xdr:row>
      <xdr:rowOff>40822</xdr:rowOff>
    </xdr:from>
    <xdr:to>
      <xdr:col>0</xdr:col>
      <xdr:colOff>272143</xdr:colOff>
      <xdr:row>15</xdr:row>
      <xdr:rowOff>272143</xdr:rowOff>
    </xdr:to>
    <xdr:sp macro="" textlink="">
      <xdr:nvSpPr>
        <xdr:cNvPr id="16" name="Arrow: Down 15">
          <a:extLst>
            <a:ext uri="{FF2B5EF4-FFF2-40B4-BE49-F238E27FC236}">
              <a16:creationId xmlns:a16="http://schemas.microsoft.com/office/drawing/2014/main" id="{3FB4AEE8-7253-4836-A122-ACBCD1C3F71D}"/>
            </a:ext>
          </a:extLst>
        </xdr:cNvPr>
        <xdr:cNvSpPr/>
      </xdr:nvSpPr>
      <xdr:spPr>
        <a:xfrm>
          <a:off x="27215" y="1621972"/>
          <a:ext cx="244928" cy="1717221"/>
        </a:xfrm>
        <a:prstGeom prst="downArrow">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16</xdr:row>
      <xdr:rowOff>84364</xdr:rowOff>
    </xdr:from>
    <xdr:to>
      <xdr:col>0</xdr:col>
      <xdr:colOff>272143</xdr:colOff>
      <xdr:row>29</xdr:row>
      <xdr:rowOff>0</xdr:rowOff>
    </xdr:to>
    <xdr:sp macro="" textlink="">
      <xdr:nvSpPr>
        <xdr:cNvPr id="17" name="Arrow: Down 16">
          <a:extLst>
            <a:ext uri="{FF2B5EF4-FFF2-40B4-BE49-F238E27FC236}">
              <a16:creationId xmlns:a16="http://schemas.microsoft.com/office/drawing/2014/main" id="{32965C67-AA5B-42F8-B60D-78965E525A38}"/>
            </a:ext>
          </a:extLst>
        </xdr:cNvPr>
        <xdr:cNvSpPr/>
      </xdr:nvSpPr>
      <xdr:spPr>
        <a:xfrm>
          <a:off x="0" y="3494314"/>
          <a:ext cx="272143" cy="3439886"/>
        </a:xfrm>
        <a:prstGeom prst="downArrow">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2722</xdr:colOff>
      <xdr:row>31</xdr:row>
      <xdr:rowOff>114300</xdr:rowOff>
    </xdr:from>
    <xdr:to>
      <xdr:col>0</xdr:col>
      <xdr:colOff>274865</xdr:colOff>
      <xdr:row>46</xdr:row>
      <xdr:rowOff>43543</xdr:rowOff>
    </xdr:to>
    <xdr:sp macro="" textlink="">
      <xdr:nvSpPr>
        <xdr:cNvPr id="18" name="Arrow: Down 17">
          <a:extLst>
            <a:ext uri="{FF2B5EF4-FFF2-40B4-BE49-F238E27FC236}">
              <a16:creationId xmlns:a16="http://schemas.microsoft.com/office/drawing/2014/main" id="{3EC847BB-09B1-47DA-AD9C-2E48FE36D410}"/>
            </a:ext>
          </a:extLst>
        </xdr:cNvPr>
        <xdr:cNvSpPr/>
      </xdr:nvSpPr>
      <xdr:spPr>
        <a:xfrm>
          <a:off x="2722" y="7334250"/>
          <a:ext cx="272143" cy="3453493"/>
        </a:xfrm>
        <a:prstGeom prst="downArrow">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103</xdr:row>
      <xdr:rowOff>8164</xdr:rowOff>
    </xdr:from>
    <xdr:to>
      <xdr:col>0</xdr:col>
      <xdr:colOff>272143</xdr:colOff>
      <xdr:row>121</xdr:row>
      <xdr:rowOff>182336</xdr:rowOff>
    </xdr:to>
    <xdr:sp macro="" textlink="">
      <xdr:nvSpPr>
        <xdr:cNvPr id="19" name="Arrow: Down 18">
          <a:extLst>
            <a:ext uri="{FF2B5EF4-FFF2-40B4-BE49-F238E27FC236}">
              <a16:creationId xmlns:a16="http://schemas.microsoft.com/office/drawing/2014/main" id="{C76B4775-49AE-40FC-9CCC-0385DE761614}"/>
            </a:ext>
          </a:extLst>
        </xdr:cNvPr>
        <xdr:cNvSpPr/>
      </xdr:nvSpPr>
      <xdr:spPr>
        <a:xfrm>
          <a:off x="0" y="11619139"/>
          <a:ext cx="272143" cy="3431722"/>
        </a:xfrm>
        <a:prstGeom prst="downArrow">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124</xdr:row>
      <xdr:rowOff>163286</xdr:rowOff>
    </xdr:from>
    <xdr:to>
      <xdr:col>0</xdr:col>
      <xdr:colOff>272143</xdr:colOff>
      <xdr:row>141</xdr:row>
      <xdr:rowOff>283029</xdr:rowOff>
    </xdr:to>
    <xdr:sp macro="" textlink="">
      <xdr:nvSpPr>
        <xdr:cNvPr id="20" name="Arrow: Down 19">
          <a:extLst>
            <a:ext uri="{FF2B5EF4-FFF2-40B4-BE49-F238E27FC236}">
              <a16:creationId xmlns:a16="http://schemas.microsoft.com/office/drawing/2014/main" id="{81C42853-6437-4BBE-B138-EB92D28C651F}"/>
            </a:ext>
          </a:extLst>
        </xdr:cNvPr>
        <xdr:cNvSpPr/>
      </xdr:nvSpPr>
      <xdr:spPr>
        <a:xfrm>
          <a:off x="0" y="15917636"/>
          <a:ext cx="272143" cy="3434443"/>
        </a:xfrm>
        <a:prstGeom prst="downArrow">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143</xdr:row>
      <xdr:rowOff>81642</xdr:rowOff>
    </xdr:from>
    <xdr:to>
      <xdr:col>0</xdr:col>
      <xdr:colOff>272143</xdr:colOff>
      <xdr:row>160</xdr:row>
      <xdr:rowOff>78921</xdr:rowOff>
    </xdr:to>
    <xdr:sp macro="" textlink="">
      <xdr:nvSpPr>
        <xdr:cNvPr id="21" name="Arrow: Down 20">
          <a:extLst>
            <a:ext uri="{FF2B5EF4-FFF2-40B4-BE49-F238E27FC236}">
              <a16:creationId xmlns:a16="http://schemas.microsoft.com/office/drawing/2014/main" id="{B91430B2-52F7-46DC-ACC0-E1B68FC730EA}"/>
            </a:ext>
          </a:extLst>
        </xdr:cNvPr>
        <xdr:cNvSpPr/>
      </xdr:nvSpPr>
      <xdr:spPr>
        <a:xfrm>
          <a:off x="0" y="19693617"/>
          <a:ext cx="272143" cy="3426279"/>
        </a:xfrm>
        <a:prstGeom prst="downArrow">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21772</xdr:colOff>
      <xdr:row>166</xdr:row>
      <xdr:rowOff>32657</xdr:rowOff>
    </xdr:from>
    <xdr:to>
      <xdr:col>5</xdr:col>
      <xdr:colOff>718458</xdr:colOff>
      <xdr:row>168</xdr:row>
      <xdr:rowOff>27214</xdr:rowOff>
    </xdr:to>
    <xdr:sp macro="" textlink="">
      <xdr:nvSpPr>
        <xdr:cNvPr id="22" name="Arrow: Down 21">
          <a:extLst>
            <a:ext uri="{FF2B5EF4-FFF2-40B4-BE49-F238E27FC236}">
              <a16:creationId xmlns:a16="http://schemas.microsoft.com/office/drawing/2014/main" id="{B25532DE-B841-412B-8A8B-9597F4F1BDF0}"/>
            </a:ext>
          </a:extLst>
        </xdr:cNvPr>
        <xdr:cNvSpPr/>
      </xdr:nvSpPr>
      <xdr:spPr>
        <a:xfrm rot="16200000">
          <a:off x="2947308" y="34085892"/>
          <a:ext cx="364672" cy="5606143"/>
        </a:xfrm>
        <a:prstGeom prst="downArrow">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936171</xdr:colOff>
      <xdr:row>164</xdr:row>
      <xdr:rowOff>32657</xdr:rowOff>
    </xdr:from>
    <xdr:to>
      <xdr:col>10</xdr:col>
      <xdr:colOff>881742</xdr:colOff>
      <xdr:row>175</xdr:row>
      <xdr:rowOff>76195</xdr:rowOff>
    </xdr:to>
    <xdr:sp macro="" textlink="">
      <xdr:nvSpPr>
        <xdr:cNvPr id="23" name="Isosceles Triangle 22">
          <a:extLst>
            <a:ext uri="{FF2B5EF4-FFF2-40B4-BE49-F238E27FC236}">
              <a16:creationId xmlns:a16="http://schemas.microsoft.com/office/drawing/2014/main" id="{BCA36BC6-5D76-46BE-A8C0-90A78C86F8FA}"/>
            </a:ext>
          </a:extLst>
        </xdr:cNvPr>
        <xdr:cNvSpPr/>
      </xdr:nvSpPr>
      <xdr:spPr>
        <a:xfrm rot="5400000">
          <a:off x="9916887" y="36924341"/>
          <a:ext cx="2079167" cy="903514"/>
        </a:xfrm>
        <a:prstGeom prst="triangl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71438</xdr:colOff>
      <xdr:row>75</xdr:row>
      <xdr:rowOff>107156</xdr:rowOff>
    </xdr:from>
    <xdr:to>
      <xdr:col>8</xdr:col>
      <xdr:colOff>654844</xdr:colOff>
      <xdr:row>76</xdr:row>
      <xdr:rowOff>3116036</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53340</xdr:colOff>
      <xdr:row>87</xdr:row>
      <xdr:rowOff>40821</xdr:rowOff>
    </xdr:from>
    <xdr:to>
      <xdr:col>8</xdr:col>
      <xdr:colOff>674846</xdr:colOff>
      <xdr:row>88</xdr:row>
      <xdr:rowOff>3673</xdr:rowOff>
    </xdr:to>
    <xdr:graphicFrame macro="">
      <xdr:nvGraphicFramePr>
        <xdr:cNvPr id="5" name="Chart 4">
          <a:extLst>
            <a:ext uri="{FF2B5EF4-FFF2-40B4-BE49-F238E27FC236}">
              <a16:creationId xmlns:a16="http://schemas.microsoft.com/office/drawing/2014/main" id="{00000000-0008-0000-0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40822</xdr:colOff>
      <xdr:row>87</xdr:row>
      <xdr:rowOff>40822</xdr:rowOff>
    </xdr:from>
    <xdr:to>
      <xdr:col>20</xdr:col>
      <xdr:colOff>666750</xdr:colOff>
      <xdr:row>87</xdr:row>
      <xdr:rowOff>3565072</xdr:rowOff>
    </xdr:to>
    <xdr:graphicFrame macro="">
      <xdr:nvGraphicFramePr>
        <xdr:cNvPr id="6" name="Chart 5">
          <a:extLst>
            <a:ext uri="{FF2B5EF4-FFF2-40B4-BE49-F238E27FC236}">
              <a16:creationId xmlns:a16="http://schemas.microsoft.com/office/drawing/2014/main" id="{00000000-0008-0000-0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712107</xdr:colOff>
      <xdr:row>103</xdr:row>
      <xdr:rowOff>84366</xdr:rowOff>
    </xdr:from>
    <xdr:to>
      <xdr:col>8</xdr:col>
      <xdr:colOff>478971</xdr:colOff>
      <xdr:row>108</xdr:row>
      <xdr:rowOff>127908</xdr:rowOff>
    </xdr:to>
    <xdr:sp macro="" textlink="">
      <xdr:nvSpPr>
        <xdr:cNvPr id="7" name="Isosceles Triangle 6">
          <a:extLst>
            <a:ext uri="{FF2B5EF4-FFF2-40B4-BE49-F238E27FC236}">
              <a16:creationId xmlns:a16="http://schemas.microsoft.com/office/drawing/2014/main" id="{00000000-0008-0000-0C00-000007000000}"/>
            </a:ext>
          </a:extLst>
        </xdr:cNvPr>
        <xdr:cNvSpPr/>
      </xdr:nvSpPr>
      <xdr:spPr>
        <a:xfrm rot="5400000">
          <a:off x="7527018" y="20973598"/>
          <a:ext cx="996042" cy="583292"/>
        </a:xfrm>
        <a:prstGeom prst="triangl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10</xdr:col>
      <xdr:colOff>47625</xdr:colOff>
      <xdr:row>81</xdr:row>
      <xdr:rowOff>58460</xdr:rowOff>
    </xdr:from>
    <xdr:to>
      <xdr:col>14</xdr:col>
      <xdr:colOff>721178</xdr:colOff>
      <xdr:row>81</xdr:row>
      <xdr:rowOff>3782887</xdr:rowOff>
    </xdr:to>
    <xdr:graphicFrame macro="">
      <xdr:nvGraphicFramePr>
        <xdr:cNvPr id="11" name="Chart 10">
          <a:extLst>
            <a:ext uri="{FF2B5EF4-FFF2-40B4-BE49-F238E27FC236}">
              <a16:creationId xmlns:a16="http://schemas.microsoft.com/office/drawing/2014/main" id="{C455333A-78C6-4796-A705-ABD9BE55D9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15543</xdr:colOff>
      <xdr:row>81</xdr:row>
      <xdr:rowOff>61040</xdr:rowOff>
    </xdr:from>
    <xdr:to>
      <xdr:col>20</xdr:col>
      <xdr:colOff>634691</xdr:colOff>
      <xdr:row>81</xdr:row>
      <xdr:rowOff>3780307</xdr:rowOff>
    </xdr:to>
    <xdr:graphicFrame macro="">
      <xdr:nvGraphicFramePr>
        <xdr:cNvPr id="12" name="Chart 11">
          <a:extLst>
            <a:ext uri="{FF2B5EF4-FFF2-40B4-BE49-F238E27FC236}">
              <a16:creationId xmlns:a16="http://schemas.microsoft.com/office/drawing/2014/main" id="{39904639-BC80-49BD-9A31-BEFAC29C54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675388</xdr:colOff>
      <xdr:row>82</xdr:row>
      <xdr:rowOff>13607</xdr:rowOff>
    </xdr:from>
    <xdr:to>
      <xdr:col>14</xdr:col>
      <xdr:colOff>213018</xdr:colOff>
      <xdr:row>83</xdr:row>
      <xdr:rowOff>15716</xdr:rowOff>
    </xdr:to>
    <xdr:sp macro="" textlink="">
      <xdr:nvSpPr>
        <xdr:cNvPr id="13" name="TextBox 12">
          <a:extLst>
            <a:ext uri="{FF2B5EF4-FFF2-40B4-BE49-F238E27FC236}">
              <a16:creationId xmlns:a16="http://schemas.microsoft.com/office/drawing/2014/main" id="{2AB7ABA2-E7A8-4B44-BA9B-E908ACB1A59B}"/>
            </a:ext>
          </a:extLst>
        </xdr:cNvPr>
        <xdr:cNvSpPr txBox="1"/>
      </xdr:nvSpPr>
      <xdr:spPr>
        <a:xfrm>
          <a:off x="9520031" y="18941143"/>
          <a:ext cx="3252380" cy="383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000" i="1"/>
            <a:t>This method</a:t>
          </a:r>
          <a:r>
            <a:rPr lang="en-US" sz="1000" i="1" baseline="0"/>
            <a:t> mix </a:t>
          </a:r>
          <a:r>
            <a:rPr lang="en-US" sz="1000" i="1"/>
            <a:t>has been adjusted for</a:t>
          </a:r>
          <a:r>
            <a:rPr lang="en-US" sz="1000" i="1" baseline="0"/>
            <a:t> the private sector</a:t>
          </a:r>
          <a:endParaRPr lang="en-US" sz="1000" i="1"/>
        </a:p>
      </xdr:txBody>
    </xdr:sp>
    <xdr:clientData/>
  </xdr:twoCellAnchor>
  <xdr:twoCellAnchor>
    <xdr:from>
      <xdr:col>10</xdr:col>
      <xdr:colOff>176893</xdr:colOff>
      <xdr:row>76</xdr:row>
      <xdr:rowOff>62593</xdr:rowOff>
    </xdr:from>
    <xdr:to>
      <xdr:col>20</xdr:col>
      <xdr:colOff>538843</xdr:colOff>
      <xdr:row>76</xdr:row>
      <xdr:rowOff>3088822</xdr:rowOff>
    </xdr:to>
    <xdr:graphicFrame macro="">
      <xdr:nvGraphicFramePr>
        <xdr:cNvPr id="14" name="Chart 13">
          <a:extLst>
            <a:ext uri="{FF2B5EF4-FFF2-40B4-BE49-F238E27FC236}">
              <a16:creationId xmlns:a16="http://schemas.microsoft.com/office/drawing/2014/main" id="{78D5949A-25BB-4F56-AA54-AD81DA1FA9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38100</xdr:colOff>
      <xdr:row>81</xdr:row>
      <xdr:rowOff>57149</xdr:rowOff>
    </xdr:from>
    <xdr:to>
      <xdr:col>8</xdr:col>
      <xdr:colOff>696235</xdr:colOff>
      <xdr:row>82</xdr:row>
      <xdr:rowOff>272141</xdr:rowOff>
    </xdr:to>
    <xdr:graphicFrame macro="">
      <xdr:nvGraphicFramePr>
        <xdr:cNvPr id="15" name="Chart 14">
          <a:extLst>
            <a:ext uri="{FF2B5EF4-FFF2-40B4-BE49-F238E27FC236}">
              <a16:creationId xmlns:a16="http://schemas.microsoft.com/office/drawing/2014/main" id="{5BAB750E-ED75-4C11-87DF-10FA058672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11339</xdr:colOff>
      <xdr:row>103</xdr:row>
      <xdr:rowOff>35379</xdr:rowOff>
    </xdr:from>
    <xdr:to>
      <xdr:col>18</xdr:col>
      <xdr:colOff>604157</xdr:colOff>
      <xdr:row>108</xdr:row>
      <xdr:rowOff>78921</xdr:rowOff>
    </xdr:to>
    <xdr:sp macro="" textlink="">
      <xdr:nvSpPr>
        <xdr:cNvPr id="16" name="Isosceles Triangle 15">
          <a:extLst>
            <a:ext uri="{FF2B5EF4-FFF2-40B4-BE49-F238E27FC236}">
              <a16:creationId xmlns:a16="http://schemas.microsoft.com/office/drawing/2014/main" id="{EFB4ED6B-0DD5-483D-88B8-117DDCE37C32}"/>
            </a:ext>
          </a:extLst>
        </xdr:cNvPr>
        <xdr:cNvSpPr/>
      </xdr:nvSpPr>
      <xdr:spPr>
        <a:xfrm rot="5400000">
          <a:off x="14859227" y="20919848"/>
          <a:ext cx="996042" cy="592818"/>
        </a:xfrm>
        <a:prstGeom prst="triangle">
          <a:avLst/>
        </a:prstGeom>
        <a:solidFill>
          <a:schemeClr val="tx2"/>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73</xdr:row>
      <xdr:rowOff>280647</xdr:rowOff>
    </xdr:from>
    <xdr:to>
      <xdr:col>1</xdr:col>
      <xdr:colOff>11906</xdr:colOff>
      <xdr:row>78</xdr:row>
      <xdr:rowOff>352084</xdr:rowOff>
    </xdr:to>
    <xdr:sp macro="" textlink="">
      <xdr:nvSpPr>
        <xdr:cNvPr id="21" name="Arrow: Down 20">
          <a:extLst>
            <a:ext uri="{FF2B5EF4-FFF2-40B4-BE49-F238E27FC236}">
              <a16:creationId xmlns:a16="http://schemas.microsoft.com/office/drawing/2014/main" id="{E77F9108-8CED-4926-8D31-94CDB3CE8A4B}"/>
            </a:ext>
          </a:extLst>
        </xdr:cNvPr>
        <xdr:cNvSpPr/>
      </xdr:nvSpPr>
      <xdr:spPr>
        <a:xfrm>
          <a:off x="0" y="2128497"/>
          <a:ext cx="459581" cy="4948237"/>
        </a:xfrm>
        <a:prstGeom prst="downArrow">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78</xdr:row>
      <xdr:rowOff>564698</xdr:rowOff>
    </xdr:from>
    <xdr:to>
      <xdr:col>1</xdr:col>
      <xdr:colOff>11906</xdr:colOff>
      <xdr:row>85</xdr:row>
      <xdr:rowOff>244928</xdr:rowOff>
    </xdr:to>
    <xdr:sp macro="" textlink="">
      <xdr:nvSpPr>
        <xdr:cNvPr id="22" name="Arrow: Down 21">
          <a:extLst>
            <a:ext uri="{FF2B5EF4-FFF2-40B4-BE49-F238E27FC236}">
              <a16:creationId xmlns:a16="http://schemas.microsoft.com/office/drawing/2014/main" id="{1D440EF5-FF45-4919-B0D1-7F951D8BF778}"/>
            </a:ext>
          </a:extLst>
        </xdr:cNvPr>
        <xdr:cNvSpPr/>
      </xdr:nvSpPr>
      <xdr:spPr>
        <a:xfrm>
          <a:off x="0" y="7289348"/>
          <a:ext cx="459581" cy="5119005"/>
        </a:xfrm>
        <a:prstGeom prst="downArrow">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85</xdr:row>
      <xdr:rowOff>363311</xdr:rowOff>
    </xdr:from>
    <xdr:to>
      <xdr:col>1</xdr:col>
      <xdr:colOff>11906</xdr:colOff>
      <xdr:row>90</xdr:row>
      <xdr:rowOff>312963</xdr:rowOff>
    </xdr:to>
    <xdr:sp macro="" textlink="">
      <xdr:nvSpPr>
        <xdr:cNvPr id="23" name="Arrow: Down 22">
          <a:extLst>
            <a:ext uri="{FF2B5EF4-FFF2-40B4-BE49-F238E27FC236}">
              <a16:creationId xmlns:a16="http://schemas.microsoft.com/office/drawing/2014/main" id="{75F37FBC-A253-4FCF-9DBB-B5384416C50D}"/>
            </a:ext>
          </a:extLst>
        </xdr:cNvPr>
        <xdr:cNvSpPr/>
      </xdr:nvSpPr>
      <xdr:spPr>
        <a:xfrm>
          <a:off x="0" y="12526736"/>
          <a:ext cx="459581" cy="4988377"/>
        </a:xfrm>
        <a:prstGeom prst="downArrow">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100</xdr:row>
      <xdr:rowOff>186418</xdr:rowOff>
    </xdr:from>
    <xdr:to>
      <xdr:col>1</xdr:col>
      <xdr:colOff>11906</xdr:colOff>
      <xdr:row>120</xdr:row>
      <xdr:rowOff>27213</xdr:rowOff>
    </xdr:to>
    <xdr:sp macro="" textlink="">
      <xdr:nvSpPr>
        <xdr:cNvPr id="24" name="Arrow: Down 23">
          <a:extLst>
            <a:ext uri="{FF2B5EF4-FFF2-40B4-BE49-F238E27FC236}">
              <a16:creationId xmlns:a16="http://schemas.microsoft.com/office/drawing/2014/main" id="{D7FC3723-CC2C-4BD7-98B2-85AAC28210D0}"/>
            </a:ext>
          </a:extLst>
        </xdr:cNvPr>
        <xdr:cNvSpPr/>
      </xdr:nvSpPr>
      <xdr:spPr>
        <a:xfrm>
          <a:off x="0" y="19712668"/>
          <a:ext cx="459581" cy="1564820"/>
        </a:xfrm>
        <a:prstGeom prst="downArrow">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96</xdr:row>
      <xdr:rowOff>62593</xdr:rowOff>
    </xdr:from>
    <xdr:to>
      <xdr:col>1</xdr:col>
      <xdr:colOff>11906</xdr:colOff>
      <xdr:row>100</xdr:row>
      <xdr:rowOff>48645</xdr:rowOff>
    </xdr:to>
    <xdr:sp macro="" textlink="">
      <xdr:nvSpPr>
        <xdr:cNvPr id="25" name="Arrow: Down 24">
          <a:extLst>
            <a:ext uri="{FF2B5EF4-FFF2-40B4-BE49-F238E27FC236}">
              <a16:creationId xmlns:a16="http://schemas.microsoft.com/office/drawing/2014/main" id="{D299B0C4-51DF-4E74-B735-A97927F12AA6}"/>
            </a:ext>
          </a:extLst>
        </xdr:cNvPr>
        <xdr:cNvSpPr/>
      </xdr:nvSpPr>
      <xdr:spPr>
        <a:xfrm>
          <a:off x="0" y="17731468"/>
          <a:ext cx="464344" cy="950458"/>
        </a:xfrm>
        <a:prstGeom prst="downArrow">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40821</xdr:colOff>
      <xdr:row>65</xdr:row>
      <xdr:rowOff>108857</xdr:rowOff>
    </xdr:from>
    <xdr:to>
      <xdr:col>20</xdr:col>
      <xdr:colOff>1088571</xdr:colOff>
      <xdr:row>65</xdr:row>
      <xdr:rowOff>3108142</xdr:rowOff>
    </xdr:to>
    <xdr:graphicFrame macro="">
      <xdr:nvGraphicFramePr>
        <xdr:cNvPr id="17" name="Chart 16">
          <a:extLst>
            <a:ext uri="{FF2B5EF4-FFF2-40B4-BE49-F238E27FC236}">
              <a16:creationId xmlns:a16="http://schemas.microsoft.com/office/drawing/2014/main" id="{4C517D57-E0DF-4326-BAD6-CB0125ED7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136072</xdr:colOff>
      <xdr:row>64</xdr:row>
      <xdr:rowOff>21498</xdr:rowOff>
    </xdr:from>
    <xdr:to>
      <xdr:col>8</xdr:col>
      <xdr:colOff>791119</xdr:colOff>
      <xdr:row>65</xdr:row>
      <xdr:rowOff>3047999</xdr:rowOff>
    </xdr:to>
    <xdr:graphicFrame macro="">
      <xdr:nvGraphicFramePr>
        <xdr:cNvPr id="18" name="Chart 17">
          <a:extLst>
            <a:ext uri="{FF2B5EF4-FFF2-40B4-BE49-F238E27FC236}">
              <a16:creationId xmlns:a16="http://schemas.microsoft.com/office/drawing/2014/main" id="{56FFED70-9A40-4C44-8DE8-65CE82FB8B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886883</xdr:colOff>
      <xdr:row>68</xdr:row>
      <xdr:rowOff>96338</xdr:rowOff>
    </xdr:from>
    <xdr:to>
      <xdr:col>1</xdr:col>
      <xdr:colOff>1438245</xdr:colOff>
      <xdr:row>70</xdr:row>
      <xdr:rowOff>235947</xdr:rowOff>
    </xdr:to>
    <xdr:sp macro="" textlink="">
      <xdr:nvSpPr>
        <xdr:cNvPr id="19" name="Isosceles Triangle 18">
          <a:extLst>
            <a:ext uri="{FF2B5EF4-FFF2-40B4-BE49-F238E27FC236}">
              <a16:creationId xmlns:a16="http://schemas.microsoft.com/office/drawing/2014/main" id="{8D405680-B2BE-48B7-B077-FD1C91BE79BC}"/>
            </a:ext>
          </a:extLst>
        </xdr:cNvPr>
        <xdr:cNvSpPr/>
      </xdr:nvSpPr>
      <xdr:spPr>
        <a:xfrm rot="16200000">
          <a:off x="1204202" y="8063864"/>
          <a:ext cx="831124" cy="547552"/>
        </a:xfrm>
        <a:prstGeom prst="triangle">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27215</xdr:colOff>
      <xdr:row>106</xdr:row>
      <xdr:rowOff>8165</xdr:rowOff>
    </xdr:from>
    <xdr:to>
      <xdr:col>3</xdr:col>
      <xdr:colOff>1621972</xdr:colOff>
      <xdr:row>118</xdr:row>
      <xdr:rowOff>174171</xdr:rowOff>
    </xdr:to>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40821</xdr:colOff>
      <xdr:row>106</xdr:row>
      <xdr:rowOff>27215</xdr:rowOff>
    </xdr:from>
    <xdr:to>
      <xdr:col>10</xdr:col>
      <xdr:colOff>702467</xdr:colOff>
      <xdr:row>118</xdr:row>
      <xdr:rowOff>122465</xdr:rowOff>
    </xdr:to>
    <xdr:graphicFrame macro="">
      <xdr:nvGraphicFramePr>
        <xdr:cNvPr id="3" name="Chart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13607</xdr:colOff>
      <xdr:row>106</xdr:row>
      <xdr:rowOff>27216</xdr:rowOff>
    </xdr:from>
    <xdr:to>
      <xdr:col>16</xdr:col>
      <xdr:colOff>876300</xdr:colOff>
      <xdr:row>118</xdr:row>
      <xdr:rowOff>104776</xdr:rowOff>
    </xdr:to>
    <xdr:graphicFrame macro="">
      <xdr:nvGraphicFramePr>
        <xdr:cNvPr id="4" name="Chart 3">
          <a:extLst>
            <a:ext uri="{FF2B5EF4-FFF2-40B4-BE49-F238E27FC236}">
              <a16:creationId xmlns:a16="http://schemas.microsoft.com/office/drawing/2014/main" i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27215</xdr:colOff>
      <xdr:row>125</xdr:row>
      <xdr:rowOff>13607</xdr:rowOff>
    </xdr:from>
    <xdr:to>
      <xdr:col>3</xdr:col>
      <xdr:colOff>1643743</xdr:colOff>
      <xdr:row>137</xdr:row>
      <xdr:rowOff>122464</xdr:rowOff>
    </xdr:to>
    <xdr:graphicFrame macro="">
      <xdr:nvGraphicFramePr>
        <xdr:cNvPr id="5" name="Chart 4">
          <a:extLst>
            <a:ext uri="{FF2B5EF4-FFF2-40B4-BE49-F238E27FC236}">
              <a16:creationId xmlns:a16="http://schemas.microsoft.com/office/drawing/2014/main" id="{00000000-0008-0000-0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35717</xdr:colOff>
      <xdr:row>125</xdr:row>
      <xdr:rowOff>23812</xdr:rowOff>
    </xdr:from>
    <xdr:to>
      <xdr:col>10</xdr:col>
      <xdr:colOff>714373</xdr:colOff>
      <xdr:row>137</xdr:row>
      <xdr:rowOff>166006</xdr:rowOff>
    </xdr:to>
    <xdr:graphicFrame macro="">
      <xdr:nvGraphicFramePr>
        <xdr:cNvPr id="6" name="Chart 5">
          <a:extLst>
            <a:ext uri="{FF2B5EF4-FFF2-40B4-BE49-F238E27FC236}">
              <a16:creationId xmlns:a16="http://schemas.microsoft.com/office/drawing/2014/main" id="{00000000-0008-0000-0E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23812</xdr:colOff>
      <xdr:row>125</xdr:row>
      <xdr:rowOff>54429</xdr:rowOff>
    </xdr:from>
    <xdr:to>
      <xdr:col>16</xdr:col>
      <xdr:colOff>727984</xdr:colOff>
      <xdr:row>137</xdr:row>
      <xdr:rowOff>142875</xdr:rowOff>
    </xdr:to>
    <xdr:graphicFrame macro="">
      <xdr:nvGraphicFramePr>
        <xdr:cNvPr id="7" name="Chart 6">
          <a:extLst>
            <a:ext uri="{FF2B5EF4-FFF2-40B4-BE49-F238E27FC236}">
              <a16:creationId xmlns:a16="http://schemas.microsoft.com/office/drawing/2014/main" id="{00000000-0008-0000-0E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15308</xdr:colOff>
      <xdr:row>144</xdr:row>
      <xdr:rowOff>20410</xdr:rowOff>
    </xdr:from>
    <xdr:to>
      <xdr:col>3</xdr:col>
      <xdr:colOff>1578429</xdr:colOff>
      <xdr:row>156</xdr:row>
      <xdr:rowOff>130969</xdr:rowOff>
    </xdr:to>
    <xdr:graphicFrame macro="">
      <xdr:nvGraphicFramePr>
        <xdr:cNvPr id="8" name="Chart 7">
          <a:extLst>
            <a:ext uri="{FF2B5EF4-FFF2-40B4-BE49-F238E27FC236}">
              <a16:creationId xmlns:a16="http://schemas.microsoft.com/office/drawing/2014/main" id="{00000000-0008-0000-0E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47624</xdr:colOff>
      <xdr:row>144</xdr:row>
      <xdr:rowOff>35719</xdr:rowOff>
    </xdr:from>
    <xdr:to>
      <xdr:col>10</xdr:col>
      <xdr:colOff>719477</xdr:colOff>
      <xdr:row>156</xdr:row>
      <xdr:rowOff>172809</xdr:rowOff>
    </xdr:to>
    <xdr:graphicFrame macro="">
      <xdr:nvGraphicFramePr>
        <xdr:cNvPr id="9" name="Chart 8">
          <a:extLst>
            <a:ext uri="{FF2B5EF4-FFF2-40B4-BE49-F238E27FC236}">
              <a16:creationId xmlns:a16="http://schemas.microsoft.com/office/drawing/2014/main" id="{00000000-0008-0000-0E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13607</xdr:colOff>
      <xdr:row>145</xdr:row>
      <xdr:rowOff>122467</xdr:rowOff>
    </xdr:from>
    <xdr:to>
      <xdr:col>22</xdr:col>
      <xdr:colOff>54429</xdr:colOff>
      <xdr:row>151</xdr:row>
      <xdr:rowOff>100354</xdr:rowOff>
    </xdr:to>
    <xdr:sp macro="" textlink="">
      <xdr:nvSpPr>
        <xdr:cNvPr id="10" name="Isosceles Triangle 9">
          <a:extLst>
            <a:ext uri="{FF2B5EF4-FFF2-40B4-BE49-F238E27FC236}">
              <a16:creationId xmlns:a16="http://schemas.microsoft.com/office/drawing/2014/main" id="{00000000-0008-0000-0E00-00000A000000}"/>
            </a:ext>
          </a:extLst>
        </xdr:cNvPr>
        <xdr:cNvSpPr/>
      </xdr:nvSpPr>
      <xdr:spPr>
        <a:xfrm rot="5400000">
          <a:off x="19163110" y="17753072"/>
          <a:ext cx="1243351" cy="952500"/>
        </a:xfrm>
        <a:prstGeom prst="triangl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17</xdr:col>
      <xdr:colOff>241527</xdr:colOff>
      <xdr:row>105</xdr:row>
      <xdr:rowOff>17008</xdr:rowOff>
    </xdr:from>
    <xdr:to>
      <xdr:col>19</xdr:col>
      <xdr:colOff>610622</xdr:colOff>
      <xdr:row>143</xdr:row>
      <xdr:rowOff>122464</xdr:rowOff>
    </xdr:to>
    <xdr:sp macro="" textlink="">
      <xdr:nvSpPr>
        <xdr:cNvPr id="12" name="TextBox 11">
          <a:extLst>
            <a:ext uri="{FF2B5EF4-FFF2-40B4-BE49-F238E27FC236}">
              <a16:creationId xmlns:a16="http://schemas.microsoft.com/office/drawing/2014/main" id="{00000000-0008-0000-0E00-00000C000000}"/>
            </a:ext>
          </a:extLst>
        </xdr:cNvPr>
        <xdr:cNvSpPr txBox="1"/>
      </xdr:nvSpPr>
      <xdr:spPr>
        <a:xfrm>
          <a:off x="15889741" y="11378972"/>
          <a:ext cx="2192452" cy="5793242"/>
        </a:xfrm>
        <a:prstGeom prst="rect">
          <a:avLst/>
        </a:prstGeom>
        <a:solidFill>
          <a:schemeClr val="tx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rPr>
            <a:t>Review</a:t>
          </a:r>
          <a:r>
            <a:rPr lang="en-US" sz="1100" baseline="0">
              <a:solidFill>
                <a:schemeClr val="bg1"/>
              </a:solidFill>
            </a:rPr>
            <a:t> the graphs to the left. </a:t>
          </a:r>
        </a:p>
        <a:p>
          <a:endParaRPr lang="en-US" sz="1100" baseline="0">
            <a:solidFill>
              <a:schemeClr val="bg1"/>
            </a:solidFill>
          </a:endParaRPr>
        </a:p>
        <a:p>
          <a:r>
            <a:rPr lang="en-US" sz="1100" baseline="0">
              <a:solidFill>
                <a:schemeClr val="bg1"/>
              </a:solidFill>
            </a:rPr>
            <a:t>Some questions to consider:</a:t>
          </a:r>
        </a:p>
        <a:p>
          <a:endParaRPr lang="en-US" sz="1100" baseline="0">
            <a:solidFill>
              <a:schemeClr val="bg1"/>
            </a:solidFill>
          </a:endParaRPr>
        </a:p>
        <a:p>
          <a:r>
            <a:rPr lang="en-US" sz="1100" baseline="0">
              <a:solidFill>
                <a:schemeClr val="bg1"/>
              </a:solidFill>
            </a:rPr>
            <a:t>-  How are these trends being influenced by reporting rates? Should some years be excluded for low or inconsistent reporting rates?</a:t>
          </a:r>
        </a:p>
        <a:p>
          <a:endParaRPr lang="en-US" sz="1100" baseline="0">
            <a:solidFill>
              <a:schemeClr val="bg1"/>
            </a:solidFill>
          </a:endParaRPr>
        </a:p>
        <a:p>
          <a:r>
            <a:rPr lang="en-US" sz="1100" baseline="0">
              <a:solidFill>
                <a:schemeClr val="bg1"/>
              </a:solidFill>
            </a:rPr>
            <a:t>- Do trends look consistent with your understanding of current programs in FP?</a:t>
          </a:r>
        </a:p>
        <a:p>
          <a:endParaRPr lang="en-US" sz="1100" baseline="0">
            <a:solidFill>
              <a:schemeClr val="bg1"/>
            </a:solidFill>
          </a:endParaRPr>
        </a:p>
        <a:p>
          <a:r>
            <a:rPr lang="en-US" sz="1100" baseline="0">
              <a:solidFill>
                <a:schemeClr val="bg1"/>
              </a:solidFill>
            </a:rPr>
            <a:t>-  If declines in a given method are seen, are these consistent with changes in method availabilty, distribution, and your understanding of trends in method choice?</a:t>
          </a:r>
        </a:p>
        <a:p>
          <a:endParaRPr lang="en-US" sz="1100" baseline="0">
            <a:solidFill>
              <a:schemeClr val="bg1"/>
            </a:solidFill>
          </a:endParaRPr>
        </a:p>
        <a:p>
          <a:r>
            <a:rPr lang="en-US" sz="1100" baseline="0">
              <a:solidFill>
                <a:schemeClr val="bg1"/>
              </a:solidFill>
            </a:rPr>
            <a:t>- If dramatic growth in a given method is seen, is this attributable to the introduction of a new method? New or expanded efforts to socialize that method? Or might it be attributable to changes in the reporting system/incentives?</a:t>
          </a:r>
        </a:p>
        <a:p>
          <a:endParaRPr lang="en-US" sz="1100" baseline="0">
            <a:solidFill>
              <a:schemeClr val="bg1"/>
            </a:solidFill>
          </a:endParaRPr>
        </a:p>
        <a:p>
          <a:r>
            <a:rPr lang="en-US" sz="1100" baseline="0">
              <a:solidFill>
                <a:schemeClr val="bg1"/>
              </a:solidFill>
            </a:rPr>
            <a:t>-  Are declines in one method accompanied by growth in another method, indicating women switching between methods?</a:t>
          </a:r>
        </a:p>
        <a:p>
          <a:endParaRPr lang="en-US" sz="1100" baseline="0">
            <a:solidFill>
              <a:schemeClr val="bg1"/>
            </a:solidFill>
          </a:endParaRPr>
        </a:p>
        <a:p>
          <a:r>
            <a:rPr lang="en-US" sz="1100" baseline="0">
              <a:solidFill>
                <a:schemeClr val="bg1"/>
              </a:solidFill>
            </a:rPr>
            <a:t>- Are there any outlying values (very high or very low compared to the overall trend for the method)? If so, could this be a data quality issue? </a:t>
          </a:r>
        </a:p>
        <a:p>
          <a:endParaRPr lang="en-US" sz="1100" baseline="0">
            <a:solidFill>
              <a:schemeClr val="bg1"/>
            </a:solidFill>
          </a:endParaRPr>
        </a:p>
      </xdr:txBody>
    </xdr:sp>
    <xdr:clientData/>
  </xdr:twoCellAnchor>
  <xdr:twoCellAnchor>
    <xdr:from>
      <xdr:col>12</xdr:col>
      <xdr:colOff>23812</xdr:colOff>
      <xdr:row>144</xdr:row>
      <xdr:rowOff>54429</xdr:rowOff>
    </xdr:from>
    <xdr:to>
      <xdr:col>16</xdr:col>
      <xdr:colOff>727984</xdr:colOff>
      <xdr:row>156</xdr:row>
      <xdr:rowOff>142875</xdr:rowOff>
    </xdr:to>
    <xdr:graphicFrame macro="">
      <xdr:nvGraphicFramePr>
        <xdr:cNvPr id="13" name="Chart 12">
          <a:extLst>
            <a:ext uri="{FF2B5EF4-FFF2-40B4-BE49-F238E27FC236}">
              <a16:creationId xmlns:a16="http://schemas.microsoft.com/office/drawing/2014/main" id="{00000000-0008-0000-0E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19</xdr:col>
      <xdr:colOff>680357</xdr:colOff>
      <xdr:row>104</xdr:row>
      <xdr:rowOff>108858</xdr:rowOff>
    </xdr:from>
    <xdr:to>
      <xdr:col>22</xdr:col>
      <xdr:colOff>312964</xdr:colOff>
      <xdr:row>143</xdr:row>
      <xdr:rowOff>81644</xdr:rowOff>
    </xdr:to>
    <xdr:sp macro="" textlink="">
      <xdr:nvSpPr>
        <xdr:cNvPr id="14" name="TextBox 13">
          <a:extLst>
            <a:ext uri="{FF2B5EF4-FFF2-40B4-BE49-F238E27FC236}">
              <a16:creationId xmlns:a16="http://schemas.microsoft.com/office/drawing/2014/main" id="{B968FED5-A9CB-4E6E-A870-6B2FF123A113}"/>
            </a:ext>
          </a:extLst>
        </xdr:cNvPr>
        <xdr:cNvSpPr txBox="1"/>
      </xdr:nvSpPr>
      <xdr:spPr>
        <a:xfrm>
          <a:off x="18151928" y="11348358"/>
          <a:ext cx="2367643" cy="7742465"/>
        </a:xfrm>
        <a:prstGeom prst="rect">
          <a:avLst/>
        </a:prstGeom>
        <a:solidFill>
          <a:schemeClr val="tx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white"/>
              </a:solidFill>
              <a:effectLst/>
              <a:uLnTx/>
              <a:uFillTx/>
              <a:latin typeface="+mn-lt"/>
              <a:ea typeface="+mn-ea"/>
              <a:cs typeface="+mn-cs"/>
            </a:rPr>
            <a:t>Examinez les graphiques de gauche.</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white"/>
              </a:solidFill>
              <a:effectLst/>
              <a:uLnTx/>
              <a:uFillTx/>
              <a:latin typeface="+mn-lt"/>
              <a:ea typeface="+mn-ea"/>
              <a:cs typeface="+mn-cs"/>
            </a:rPr>
            <a:t> Quelques questions à considérer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white"/>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white"/>
              </a:solidFill>
              <a:effectLst/>
              <a:uLnTx/>
              <a:uFillTx/>
              <a:latin typeface="+mn-lt"/>
              <a:ea typeface="+mn-ea"/>
              <a:cs typeface="+mn-cs"/>
            </a:rPr>
            <a:t>-  Comment ces tendances sont-elles influencées par les taux de déclaration ? Certaines années devraient-elles être exclues en raison de taux de déclaration faibles ou incohérents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white"/>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white"/>
              </a:solidFill>
              <a:effectLst/>
              <a:uLnTx/>
              <a:uFillTx/>
              <a:latin typeface="+mn-lt"/>
              <a:ea typeface="+mn-ea"/>
              <a:cs typeface="+mn-cs"/>
            </a:rPr>
            <a:t>- Les tendances semblent-elles cohérentes avec votre compréhension des programmes actuels de la PF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white"/>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white"/>
              </a:solidFill>
              <a:effectLst/>
              <a:uLnTx/>
              <a:uFillTx/>
              <a:latin typeface="+mn-lt"/>
              <a:ea typeface="+mn-ea"/>
              <a:cs typeface="+mn-cs"/>
            </a:rPr>
            <a:t>- Si des déclins sont notés pour une méthode donnée, sont-ils cohérents avec les changements liés à la disponibilité de la méthode, la distribution et votre compréhension des tendances dans le choix de la méthode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white"/>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white"/>
              </a:solidFill>
              <a:effectLst/>
              <a:uLnTx/>
              <a:uFillTx/>
              <a:latin typeface="+mn-lt"/>
              <a:ea typeface="+mn-ea"/>
              <a:cs typeface="+mn-cs"/>
            </a:rPr>
            <a:t>- Si une croissance spectaculaire est notée dans une méthode donnée, est-elle attribuée à l'introduction d'une nouvelle méthode ? De nouveaux efforts, ou des efforts intensifiés pour socialiser cette méthode ? Ou pourrait-elle être attribuée à des changements dans le système de déclaration / aux encouragements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white"/>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white"/>
              </a:solidFill>
              <a:effectLst/>
              <a:uLnTx/>
              <a:uFillTx/>
              <a:latin typeface="+mn-lt"/>
              <a:ea typeface="+mn-ea"/>
              <a:cs typeface="+mn-cs"/>
            </a:rPr>
            <a:t>-  Les déclins dans une méthode, accompagnés par la croissance d'une autre méthode, indiquent-ils une commutation entre les méthodes chez les femmes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white"/>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white"/>
              </a:solidFill>
              <a:effectLst/>
              <a:uLnTx/>
              <a:uFillTx/>
              <a:latin typeface="+mn-lt"/>
              <a:ea typeface="+mn-ea"/>
              <a:cs typeface="+mn-cs"/>
            </a:rPr>
            <a:t>- Y-a-t-il des valeurs éloignées (très élevées, ou très faibles par comparaison à la tendance générale pour la méthode) ? Si tel est le cas, s'agirait-il d'un problème de qualité des données ?</a:t>
          </a:r>
        </a:p>
        <a:p>
          <a:endParaRPr lang="en-US" sz="1100" baseline="0">
            <a:solidFill>
              <a:schemeClr val="bg1"/>
            </a:solidFill>
          </a:endParaRPr>
        </a:p>
      </xdr:txBody>
    </xdr:sp>
    <xdr:clientData/>
  </xdr:twoCellAnchor>
  <xdr:twoCellAnchor>
    <xdr:from>
      <xdr:col>18</xdr:col>
      <xdr:colOff>13607</xdr:colOff>
      <xdr:row>2</xdr:row>
      <xdr:rowOff>217713</xdr:rowOff>
    </xdr:from>
    <xdr:to>
      <xdr:col>18</xdr:col>
      <xdr:colOff>739623</xdr:colOff>
      <xdr:row>5</xdr:row>
      <xdr:rowOff>149678</xdr:rowOff>
    </xdr:to>
    <xdr:sp macro="" textlink="">
      <xdr:nvSpPr>
        <xdr:cNvPr id="15" name="Isosceles Triangle 14">
          <a:extLst>
            <a:ext uri="{FF2B5EF4-FFF2-40B4-BE49-F238E27FC236}">
              <a16:creationId xmlns:a16="http://schemas.microsoft.com/office/drawing/2014/main" id="{3A1A2A81-93C5-47D9-A74D-76A9A6550C44}"/>
            </a:ext>
          </a:extLst>
        </xdr:cNvPr>
        <xdr:cNvSpPr/>
      </xdr:nvSpPr>
      <xdr:spPr>
        <a:xfrm rot="5400000">
          <a:off x="16133686" y="752777"/>
          <a:ext cx="544286" cy="726016"/>
        </a:xfrm>
        <a:prstGeom prst="triangl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27215</xdr:colOff>
      <xdr:row>6</xdr:row>
      <xdr:rowOff>40822</xdr:rowOff>
    </xdr:from>
    <xdr:to>
      <xdr:col>0</xdr:col>
      <xdr:colOff>272143</xdr:colOff>
      <xdr:row>15</xdr:row>
      <xdr:rowOff>272143</xdr:rowOff>
    </xdr:to>
    <xdr:sp macro="" textlink="">
      <xdr:nvSpPr>
        <xdr:cNvPr id="16" name="Arrow: Down 15">
          <a:extLst>
            <a:ext uri="{FF2B5EF4-FFF2-40B4-BE49-F238E27FC236}">
              <a16:creationId xmlns:a16="http://schemas.microsoft.com/office/drawing/2014/main" id="{4855C7FA-314D-4C22-9B1A-89C66E1F5587}"/>
            </a:ext>
          </a:extLst>
        </xdr:cNvPr>
        <xdr:cNvSpPr/>
      </xdr:nvSpPr>
      <xdr:spPr>
        <a:xfrm>
          <a:off x="27215" y="1621972"/>
          <a:ext cx="244928" cy="1717221"/>
        </a:xfrm>
        <a:prstGeom prst="downArrow">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16</xdr:row>
      <xdr:rowOff>84364</xdr:rowOff>
    </xdr:from>
    <xdr:to>
      <xdr:col>0</xdr:col>
      <xdr:colOff>272143</xdr:colOff>
      <xdr:row>29</xdr:row>
      <xdr:rowOff>0</xdr:rowOff>
    </xdr:to>
    <xdr:sp macro="" textlink="">
      <xdr:nvSpPr>
        <xdr:cNvPr id="17" name="Arrow: Down 16">
          <a:extLst>
            <a:ext uri="{FF2B5EF4-FFF2-40B4-BE49-F238E27FC236}">
              <a16:creationId xmlns:a16="http://schemas.microsoft.com/office/drawing/2014/main" id="{9847D09F-1C3F-47B7-87E6-8E9B4CFD9C23}"/>
            </a:ext>
          </a:extLst>
        </xdr:cNvPr>
        <xdr:cNvSpPr/>
      </xdr:nvSpPr>
      <xdr:spPr>
        <a:xfrm>
          <a:off x="0" y="3494314"/>
          <a:ext cx="272143" cy="3439886"/>
        </a:xfrm>
        <a:prstGeom prst="downArrow">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2722</xdr:colOff>
      <xdr:row>31</xdr:row>
      <xdr:rowOff>114300</xdr:rowOff>
    </xdr:from>
    <xdr:to>
      <xdr:col>0</xdr:col>
      <xdr:colOff>274865</xdr:colOff>
      <xdr:row>46</xdr:row>
      <xdr:rowOff>43543</xdr:rowOff>
    </xdr:to>
    <xdr:sp macro="" textlink="">
      <xdr:nvSpPr>
        <xdr:cNvPr id="18" name="Arrow: Down 17">
          <a:extLst>
            <a:ext uri="{FF2B5EF4-FFF2-40B4-BE49-F238E27FC236}">
              <a16:creationId xmlns:a16="http://schemas.microsoft.com/office/drawing/2014/main" id="{B20D592C-5193-4D8F-A1B9-05D2EB771CF9}"/>
            </a:ext>
          </a:extLst>
        </xdr:cNvPr>
        <xdr:cNvSpPr/>
      </xdr:nvSpPr>
      <xdr:spPr>
        <a:xfrm>
          <a:off x="2722" y="7334250"/>
          <a:ext cx="272143" cy="3453493"/>
        </a:xfrm>
        <a:prstGeom prst="downArrow">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103</xdr:row>
      <xdr:rowOff>8164</xdr:rowOff>
    </xdr:from>
    <xdr:to>
      <xdr:col>0</xdr:col>
      <xdr:colOff>272143</xdr:colOff>
      <xdr:row>121</xdr:row>
      <xdr:rowOff>182336</xdr:rowOff>
    </xdr:to>
    <xdr:sp macro="" textlink="">
      <xdr:nvSpPr>
        <xdr:cNvPr id="19" name="Arrow: Down 18">
          <a:extLst>
            <a:ext uri="{FF2B5EF4-FFF2-40B4-BE49-F238E27FC236}">
              <a16:creationId xmlns:a16="http://schemas.microsoft.com/office/drawing/2014/main" id="{30AD4790-4FC6-4BAD-B5B9-BF135FE849CA}"/>
            </a:ext>
          </a:extLst>
        </xdr:cNvPr>
        <xdr:cNvSpPr/>
      </xdr:nvSpPr>
      <xdr:spPr>
        <a:xfrm>
          <a:off x="0" y="11619139"/>
          <a:ext cx="272143" cy="3431722"/>
        </a:xfrm>
        <a:prstGeom prst="downArrow">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124</xdr:row>
      <xdr:rowOff>163286</xdr:rowOff>
    </xdr:from>
    <xdr:to>
      <xdr:col>0</xdr:col>
      <xdr:colOff>272143</xdr:colOff>
      <xdr:row>141</xdr:row>
      <xdr:rowOff>283029</xdr:rowOff>
    </xdr:to>
    <xdr:sp macro="" textlink="">
      <xdr:nvSpPr>
        <xdr:cNvPr id="20" name="Arrow: Down 19">
          <a:extLst>
            <a:ext uri="{FF2B5EF4-FFF2-40B4-BE49-F238E27FC236}">
              <a16:creationId xmlns:a16="http://schemas.microsoft.com/office/drawing/2014/main" id="{B97D30CC-0260-4DF0-836B-EAC94EE62BD9}"/>
            </a:ext>
          </a:extLst>
        </xdr:cNvPr>
        <xdr:cNvSpPr/>
      </xdr:nvSpPr>
      <xdr:spPr>
        <a:xfrm>
          <a:off x="0" y="15917636"/>
          <a:ext cx="272143" cy="3434443"/>
        </a:xfrm>
        <a:prstGeom prst="downArrow">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143</xdr:row>
      <xdr:rowOff>81642</xdr:rowOff>
    </xdr:from>
    <xdr:to>
      <xdr:col>0</xdr:col>
      <xdr:colOff>272143</xdr:colOff>
      <xdr:row>160</xdr:row>
      <xdr:rowOff>78921</xdr:rowOff>
    </xdr:to>
    <xdr:sp macro="" textlink="">
      <xdr:nvSpPr>
        <xdr:cNvPr id="21" name="Arrow: Down 20">
          <a:extLst>
            <a:ext uri="{FF2B5EF4-FFF2-40B4-BE49-F238E27FC236}">
              <a16:creationId xmlns:a16="http://schemas.microsoft.com/office/drawing/2014/main" id="{646FDCF1-DED8-4159-BD4F-390BBCC3D63B}"/>
            </a:ext>
          </a:extLst>
        </xdr:cNvPr>
        <xdr:cNvSpPr/>
      </xdr:nvSpPr>
      <xdr:spPr>
        <a:xfrm>
          <a:off x="0" y="19693617"/>
          <a:ext cx="272143" cy="3426279"/>
        </a:xfrm>
        <a:prstGeom prst="downArrow">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32658</xdr:colOff>
      <xdr:row>165</xdr:row>
      <xdr:rowOff>130629</xdr:rowOff>
    </xdr:from>
    <xdr:to>
      <xdr:col>5</xdr:col>
      <xdr:colOff>326572</xdr:colOff>
      <xdr:row>167</xdr:row>
      <xdr:rowOff>125186</xdr:rowOff>
    </xdr:to>
    <xdr:sp macro="" textlink="">
      <xdr:nvSpPr>
        <xdr:cNvPr id="22" name="Arrow: Down 21">
          <a:extLst>
            <a:ext uri="{FF2B5EF4-FFF2-40B4-BE49-F238E27FC236}">
              <a16:creationId xmlns:a16="http://schemas.microsoft.com/office/drawing/2014/main" id="{8CE13C9A-27DC-4060-AE81-8F8F6A98A079}"/>
            </a:ext>
          </a:extLst>
        </xdr:cNvPr>
        <xdr:cNvSpPr/>
      </xdr:nvSpPr>
      <xdr:spPr>
        <a:xfrm rot="16200000">
          <a:off x="2865665" y="34319936"/>
          <a:ext cx="364672" cy="5421085"/>
        </a:xfrm>
        <a:prstGeom prst="downArrow">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0</xdr:colOff>
      <xdr:row>164</xdr:row>
      <xdr:rowOff>43543</xdr:rowOff>
    </xdr:from>
    <xdr:to>
      <xdr:col>10</xdr:col>
      <xdr:colOff>903514</xdr:colOff>
      <xdr:row>175</xdr:row>
      <xdr:rowOff>87081</xdr:rowOff>
    </xdr:to>
    <xdr:sp macro="" textlink="">
      <xdr:nvSpPr>
        <xdr:cNvPr id="23" name="Isosceles Triangle 22">
          <a:extLst>
            <a:ext uri="{FF2B5EF4-FFF2-40B4-BE49-F238E27FC236}">
              <a16:creationId xmlns:a16="http://schemas.microsoft.com/office/drawing/2014/main" id="{F44E7DEC-0045-47F6-9416-1BD2ABFC24CE}"/>
            </a:ext>
          </a:extLst>
        </xdr:cNvPr>
        <xdr:cNvSpPr/>
      </xdr:nvSpPr>
      <xdr:spPr>
        <a:xfrm rot="5400000">
          <a:off x="9546773" y="37163827"/>
          <a:ext cx="2079167" cy="903514"/>
        </a:xfrm>
        <a:prstGeom prst="triangl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71438</xdr:colOff>
      <xdr:row>75</xdr:row>
      <xdr:rowOff>149679</xdr:rowOff>
    </xdr:from>
    <xdr:to>
      <xdr:col>8</xdr:col>
      <xdr:colOff>666750</xdr:colOff>
      <xdr:row>76</xdr:row>
      <xdr:rowOff>3075214</xdr:rowOff>
    </xdr:to>
    <xdr:graphicFrame macro="">
      <xdr:nvGraphicFramePr>
        <xdr:cNvPr id="2" name="Chart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40822</xdr:colOff>
      <xdr:row>86</xdr:row>
      <xdr:rowOff>40822</xdr:rowOff>
    </xdr:from>
    <xdr:to>
      <xdr:col>20</xdr:col>
      <xdr:colOff>666750</xdr:colOff>
      <xdr:row>86</xdr:row>
      <xdr:rowOff>3565072</xdr:rowOff>
    </xdr:to>
    <xdr:graphicFrame macro="">
      <xdr:nvGraphicFramePr>
        <xdr:cNvPr id="6" name="Chart 5">
          <a:extLst>
            <a:ext uri="{FF2B5EF4-FFF2-40B4-BE49-F238E27FC236}">
              <a16:creationId xmlns:a16="http://schemas.microsoft.com/office/drawing/2014/main" id="{00000000-0008-0000-0F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819151</xdr:colOff>
      <xdr:row>102</xdr:row>
      <xdr:rowOff>54432</xdr:rowOff>
    </xdr:from>
    <xdr:to>
      <xdr:col>18</xdr:col>
      <xdr:colOff>451758</xdr:colOff>
      <xdr:row>118</xdr:row>
      <xdr:rowOff>111582</xdr:rowOff>
    </xdr:to>
    <xdr:sp macro="" textlink="">
      <xdr:nvSpPr>
        <xdr:cNvPr id="8" name="Isosceles Triangle 7">
          <a:extLst>
            <a:ext uri="{FF2B5EF4-FFF2-40B4-BE49-F238E27FC236}">
              <a16:creationId xmlns:a16="http://schemas.microsoft.com/office/drawing/2014/main" id="{00000000-0008-0000-0F00-000008000000}"/>
            </a:ext>
          </a:extLst>
        </xdr:cNvPr>
        <xdr:cNvSpPr/>
      </xdr:nvSpPr>
      <xdr:spPr>
        <a:xfrm rot="5400000">
          <a:off x="16268701" y="38393918"/>
          <a:ext cx="1009650" cy="476250"/>
        </a:xfrm>
        <a:prstGeom prst="triangl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999672</xdr:colOff>
      <xdr:row>102</xdr:row>
      <xdr:rowOff>69853</xdr:rowOff>
    </xdr:from>
    <xdr:to>
      <xdr:col>2</xdr:col>
      <xdr:colOff>47172</xdr:colOff>
      <xdr:row>118</xdr:row>
      <xdr:rowOff>127003</xdr:rowOff>
    </xdr:to>
    <xdr:sp macro="" textlink="">
      <xdr:nvSpPr>
        <xdr:cNvPr id="10" name="Isosceles Triangle 9">
          <a:extLst>
            <a:ext uri="{FF2B5EF4-FFF2-40B4-BE49-F238E27FC236}">
              <a16:creationId xmlns:a16="http://schemas.microsoft.com/office/drawing/2014/main" id="{DAAC5DDE-1459-44C9-877D-3065DFE23C9E}"/>
            </a:ext>
          </a:extLst>
        </xdr:cNvPr>
        <xdr:cNvSpPr/>
      </xdr:nvSpPr>
      <xdr:spPr>
        <a:xfrm rot="16200000">
          <a:off x="937079" y="38409339"/>
          <a:ext cx="1009650" cy="476250"/>
        </a:xfrm>
        <a:prstGeom prst="triangle">
          <a:avLst/>
        </a:prstGeom>
        <a:solidFill>
          <a:schemeClr val="tx2"/>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47625</xdr:colOff>
      <xdr:row>81</xdr:row>
      <xdr:rowOff>13608</xdr:rowOff>
    </xdr:from>
    <xdr:to>
      <xdr:col>14</xdr:col>
      <xdr:colOff>721178</xdr:colOff>
      <xdr:row>82</xdr:row>
      <xdr:rowOff>2824</xdr:rowOff>
    </xdr:to>
    <xdr:graphicFrame macro="">
      <xdr:nvGraphicFramePr>
        <xdr:cNvPr id="12" name="Chart 11">
          <a:extLst>
            <a:ext uri="{FF2B5EF4-FFF2-40B4-BE49-F238E27FC236}">
              <a16:creationId xmlns:a16="http://schemas.microsoft.com/office/drawing/2014/main" id="{EFB243A4-FDAF-402D-87CF-349AE1D048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15543</xdr:colOff>
      <xdr:row>81</xdr:row>
      <xdr:rowOff>27214</xdr:rowOff>
    </xdr:from>
    <xdr:to>
      <xdr:col>20</xdr:col>
      <xdr:colOff>634691</xdr:colOff>
      <xdr:row>82</xdr:row>
      <xdr:rowOff>243</xdr:rowOff>
    </xdr:to>
    <xdr:graphicFrame macro="">
      <xdr:nvGraphicFramePr>
        <xdr:cNvPr id="13" name="Chart 12">
          <a:extLst>
            <a:ext uri="{FF2B5EF4-FFF2-40B4-BE49-F238E27FC236}">
              <a16:creationId xmlns:a16="http://schemas.microsoft.com/office/drawing/2014/main" id="{5B2BA189-F469-4F47-BBB5-4512481D0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744514</xdr:colOff>
      <xdr:row>81</xdr:row>
      <xdr:rowOff>2966358</xdr:rowOff>
    </xdr:from>
    <xdr:to>
      <xdr:col>14</xdr:col>
      <xdr:colOff>287654</xdr:colOff>
      <xdr:row>82</xdr:row>
      <xdr:rowOff>17418</xdr:rowOff>
    </xdr:to>
    <xdr:sp macro="" textlink="">
      <xdr:nvSpPr>
        <xdr:cNvPr id="14" name="TextBox 13">
          <a:extLst>
            <a:ext uri="{FF2B5EF4-FFF2-40B4-BE49-F238E27FC236}">
              <a16:creationId xmlns:a16="http://schemas.microsoft.com/office/drawing/2014/main" id="{8B3637EC-EF42-434C-85CB-96B95B0B17B2}"/>
            </a:ext>
          </a:extLst>
        </xdr:cNvPr>
        <xdr:cNvSpPr txBox="1"/>
      </xdr:nvSpPr>
      <xdr:spPr>
        <a:xfrm>
          <a:off x="9507514" y="18451287"/>
          <a:ext cx="3285104" cy="2215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000" i="1"/>
            <a:t>This method</a:t>
          </a:r>
          <a:r>
            <a:rPr lang="en-US" sz="1000" i="1" baseline="0"/>
            <a:t> mix </a:t>
          </a:r>
          <a:r>
            <a:rPr lang="en-US" sz="1000" i="1"/>
            <a:t>has been adjusted for</a:t>
          </a:r>
          <a:r>
            <a:rPr lang="en-US" sz="1000" i="1" baseline="0"/>
            <a:t> the private sector</a:t>
          </a:r>
          <a:endParaRPr lang="en-US" sz="1000" i="1"/>
        </a:p>
      </xdr:txBody>
    </xdr:sp>
    <xdr:clientData/>
  </xdr:twoCellAnchor>
  <xdr:twoCellAnchor>
    <xdr:from>
      <xdr:col>10</xdr:col>
      <xdr:colOff>36285</xdr:colOff>
      <xdr:row>76</xdr:row>
      <xdr:rowOff>68035</xdr:rowOff>
    </xdr:from>
    <xdr:to>
      <xdr:col>20</xdr:col>
      <xdr:colOff>625927</xdr:colOff>
      <xdr:row>76</xdr:row>
      <xdr:rowOff>3106964</xdr:rowOff>
    </xdr:to>
    <xdr:graphicFrame macro="">
      <xdr:nvGraphicFramePr>
        <xdr:cNvPr id="15" name="Chart 14">
          <a:extLst>
            <a:ext uri="{FF2B5EF4-FFF2-40B4-BE49-F238E27FC236}">
              <a16:creationId xmlns:a16="http://schemas.microsoft.com/office/drawing/2014/main" id="{D107B6F2-B5C2-48E4-A47D-E020667F89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xdr:colOff>
      <xdr:row>81</xdr:row>
      <xdr:rowOff>0</xdr:rowOff>
    </xdr:from>
    <xdr:to>
      <xdr:col>8</xdr:col>
      <xdr:colOff>746126</xdr:colOff>
      <xdr:row>81</xdr:row>
      <xdr:rowOff>3171825</xdr:rowOff>
    </xdr:to>
    <xdr:graphicFrame macro="">
      <xdr:nvGraphicFramePr>
        <xdr:cNvPr id="16" name="Chart 15">
          <a:extLst>
            <a:ext uri="{FF2B5EF4-FFF2-40B4-BE49-F238E27FC236}">
              <a16:creationId xmlns:a16="http://schemas.microsoft.com/office/drawing/2014/main" id="{553E4C97-C57E-4008-8CF0-93F31A0FFA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85</xdr:row>
      <xdr:rowOff>333374</xdr:rowOff>
    </xdr:from>
    <xdr:to>
      <xdr:col>8</xdr:col>
      <xdr:colOff>746125</xdr:colOff>
      <xdr:row>86</xdr:row>
      <xdr:rowOff>3476624</xdr:rowOff>
    </xdr:to>
    <xdr:graphicFrame macro="">
      <xdr:nvGraphicFramePr>
        <xdr:cNvPr id="17" name="Chart 16">
          <a:extLst>
            <a:ext uri="{FF2B5EF4-FFF2-40B4-BE49-F238E27FC236}">
              <a16:creationId xmlns:a16="http://schemas.microsoft.com/office/drawing/2014/main" id="{FB41990C-864D-4C65-B914-CCB63D9F71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73</xdr:row>
      <xdr:rowOff>280647</xdr:rowOff>
    </xdr:from>
    <xdr:to>
      <xdr:col>1</xdr:col>
      <xdr:colOff>11906</xdr:colOff>
      <xdr:row>78</xdr:row>
      <xdr:rowOff>352084</xdr:rowOff>
    </xdr:to>
    <xdr:sp macro="" textlink="">
      <xdr:nvSpPr>
        <xdr:cNvPr id="18" name="Arrow: Down 17">
          <a:extLst>
            <a:ext uri="{FF2B5EF4-FFF2-40B4-BE49-F238E27FC236}">
              <a16:creationId xmlns:a16="http://schemas.microsoft.com/office/drawing/2014/main" id="{A92CC854-CFCA-4958-AC9E-032F51F104D5}"/>
            </a:ext>
          </a:extLst>
        </xdr:cNvPr>
        <xdr:cNvSpPr/>
      </xdr:nvSpPr>
      <xdr:spPr>
        <a:xfrm>
          <a:off x="0" y="15482547"/>
          <a:ext cx="459581" cy="5072062"/>
        </a:xfrm>
        <a:prstGeom prst="downArrow">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78</xdr:row>
      <xdr:rowOff>564698</xdr:rowOff>
    </xdr:from>
    <xdr:to>
      <xdr:col>1</xdr:col>
      <xdr:colOff>11906</xdr:colOff>
      <xdr:row>84</xdr:row>
      <xdr:rowOff>244928</xdr:rowOff>
    </xdr:to>
    <xdr:sp macro="" textlink="">
      <xdr:nvSpPr>
        <xdr:cNvPr id="19" name="Arrow: Down 18">
          <a:extLst>
            <a:ext uri="{FF2B5EF4-FFF2-40B4-BE49-F238E27FC236}">
              <a16:creationId xmlns:a16="http://schemas.microsoft.com/office/drawing/2014/main" id="{33904B67-1295-4300-ADF1-791ECE892E18}"/>
            </a:ext>
          </a:extLst>
        </xdr:cNvPr>
        <xdr:cNvSpPr/>
      </xdr:nvSpPr>
      <xdr:spPr>
        <a:xfrm>
          <a:off x="0" y="20767223"/>
          <a:ext cx="459581" cy="5319030"/>
        </a:xfrm>
        <a:prstGeom prst="downArrow">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84</xdr:row>
      <xdr:rowOff>363311</xdr:rowOff>
    </xdr:from>
    <xdr:to>
      <xdr:col>1</xdr:col>
      <xdr:colOff>11906</xdr:colOff>
      <xdr:row>89</xdr:row>
      <xdr:rowOff>312963</xdr:rowOff>
    </xdr:to>
    <xdr:sp macro="" textlink="">
      <xdr:nvSpPr>
        <xdr:cNvPr id="20" name="Arrow: Down 19">
          <a:extLst>
            <a:ext uri="{FF2B5EF4-FFF2-40B4-BE49-F238E27FC236}">
              <a16:creationId xmlns:a16="http://schemas.microsoft.com/office/drawing/2014/main" id="{E37295F2-1307-4906-B85F-1B05F790DF19}"/>
            </a:ext>
          </a:extLst>
        </xdr:cNvPr>
        <xdr:cNvSpPr/>
      </xdr:nvSpPr>
      <xdr:spPr>
        <a:xfrm>
          <a:off x="0" y="26204636"/>
          <a:ext cx="459581" cy="4988377"/>
        </a:xfrm>
        <a:prstGeom prst="downArrow">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100</xdr:row>
      <xdr:rowOff>186418</xdr:rowOff>
    </xdr:from>
    <xdr:to>
      <xdr:col>1</xdr:col>
      <xdr:colOff>11906</xdr:colOff>
      <xdr:row>120</xdr:row>
      <xdr:rowOff>27213</xdr:rowOff>
    </xdr:to>
    <xdr:sp macro="" textlink="">
      <xdr:nvSpPr>
        <xdr:cNvPr id="21" name="Arrow: Down 20">
          <a:extLst>
            <a:ext uri="{FF2B5EF4-FFF2-40B4-BE49-F238E27FC236}">
              <a16:creationId xmlns:a16="http://schemas.microsoft.com/office/drawing/2014/main" id="{A36AC6A0-E485-4415-A03C-8146DFAF80C0}"/>
            </a:ext>
          </a:extLst>
        </xdr:cNvPr>
        <xdr:cNvSpPr/>
      </xdr:nvSpPr>
      <xdr:spPr>
        <a:xfrm>
          <a:off x="0" y="33390568"/>
          <a:ext cx="459581" cy="3669845"/>
        </a:xfrm>
        <a:prstGeom prst="downArrow">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89</xdr:row>
      <xdr:rowOff>624568</xdr:rowOff>
    </xdr:from>
    <xdr:to>
      <xdr:col>1</xdr:col>
      <xdr:colOff>11906</xdr:colOff>
      <xdr:row>99</xdr:row>
      <xdr:rowOff>179614</xdr:rowOff>
    </xdr:to>
    <xdr:sp macro="" textlink="">
      <xdr:nvSpPr>
        <xdr:cNvPr id="22" name="Arrow: Down 21">
          <a:extLst>
            <a:ext uri="{FF2B5EF4-FFF2-40B4-BE49-F238E27FC236}">
              <a16:creationId xmlns:a16="http://schemas.microsoft.com/office/drawing/2014/main" id="{837B0B8D-C993-4C66-ABE5-194BE000C235}"/>
            </a:ext>
          </a:extLst>
        </xdr:cNvPr>
        <xdr:cNvSpPr/>
      </xdr:nvSpPr>
      <xdr:spPr>
        <a:xfrm>
          <a:off x="0" y="31504618"/>
          <a:ext cx="459581" cy="1679121"/>
        </a:xfrm>
        <a:prstGeom prst="downArrow">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40821</xdr:colOff>
      <xdr:row>65</xdr:row>
      <xdr:rowOff>106952</xdr:rowOff>
    </xdr:from>
    <xdr:to>
      <xdr:col>20</xdr:col>
      <xdr:colOff>1115786</xdr:colOff>
      <xdr:row>65</xdr:row>
      <xdr:rowOff>3104332</xdr:rowOff>
    </xdr:to>
    <xdr:graphicFrame macro="">
      <xdr:nvGraphicFramePr>
        <xdr:cNvPr id="23" name="Chart 22">
          <a:extLst>
            <a:ext uri="{FF2B5EF4-FFF2-40B4-BE49-F238E27FC236}">
              <a16:creationId xmlns:a16="http://schemas.microsoft.com/office/drawing/2014/main" id="{91AB1163-0043-42E5-A85A-918993A3B4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136072</xdr:colOff>
      <xdr:row>64</xdr:row>
      <xdr:rowOff>21498</xdr:rowOff>
    </xdr:from>
    <xdr:to>
      <xdr:col>8</xdr:col>
      <xdr:colOff>674915</xdr:colOff>
      <xdr:row>65</xdr:row>
      <xdr:rowOff>3047999</xdr:rowOff>
    </xdr:to>
    <xdr:graphicFrame macro="">
      <xdr:nvGraphicFramePr>
        <xdr:cNvPr id="24" name="Chart 23">
          <a:extLst>
            <a:ext uri="{FF2B5EF4-FFF2-40B4-BE49-F238E27FC236}">
              <a16:creationId xmlns:a16="http://schemas.microsoft.com/office/drawing/2014/main" id="{57D18E6C-AB27-4967-A272-DE5FF71FA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931514</xdr:colOff>
      <xdr:row>68</xdr:row>
      <xdr:rowOff>98515</xdr:rowOff>
    </xdr:from>
    <xdr:to>
      <xdr:col>2</xdr:col>
      <xdr:colOff>7590</xdr:colOff>
      <xdr:row>71</xdr:row>
      <xdr:rowOff>21226</xdr:rowOff>
    </xdr:to>
    <xdr:sp macro="" textlink="">
      <xdr:nvSpPr>
        <xdr:cNvPr id="25" name="Isosceles Triangle 24">
          <a:extLst>
            <a:ext uri="{FF2B5EF4-FFF2-40B4-BE49-F238E27FC236}">
              <a16:creationId xmlns:a16="http://schemas.microsoft.com/office/drawing/2014/main" id="{0DB3D731-EEED-4279-893D-B6D22B375009}"/>
            </a:ext>
          </a:extLst>
        </xdr:cNvPr>
        <xdr:cNvSpPr/>
      </xdr:nvSpPr>
      <xdr:spPr>
        <a:xfrm rot="16200000">
          <a:off x="1229375" y="7896904"/>
          <a:ext cx="875211" cy="545647"/>
        </a:xfrm>
        <a:prstGeom prst="triangle">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6615</xdr:colOff>
      <xdr:row>7</xdr:row>
      <xdr:rowOff>129646</xdr:rowOff>
    </xdr:from>
    <xdr:to>
      <xdr:col>11</xdr:col>
      <xdr:colOff>1</xdr:colOff>
      <xdr:row>26</xdr:row>
      <xdr:rowOff>175948</xdr:rowOff>
    </xdr:to>
    <xdr:graphicFrame macro="">
      <xdr:nvGraphicFramePr>
        <xdr:cNvPr id="3" name="Chart 2">
          <a:extLst>
            <a:ext uri="{FF2B5EF4-FFF2-40B4-BE49-F238E27FC236}">
              <a16:creationId xmlns:a16="http://schemas.microsoft.com/office/drawing/2014/main" id="{00000000-0008-0000-1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83344</xdr:colOff>
      <xdr:row>31</xdr:row>
      <xdr:rowOff>116417</xdr:rowOff>
    </xdr:from>
    <xdr:to>
      <xdr:col>11</xdr:col>
      <xdr:colOff>10583</xdr:colOff>
      <xdr:row>38</xdr:row>
      <xdr:rowOff>116417</xdr:rowOff>
    </xdr:to>
    <xdr:graphicFrame macro="">
      <xdr:nvGraphicFramePr>
        <xdr:cNvPr id="6" name="Chart 5">
          <a:extLst>
            <a:ext uri="{FF2B5EF4-FFF2-40B4-BE49-F238E27FC236}">
              <a16:creationId xmlns:a16="http://schemas.microsoft.com/office/drawing/2014/main" id="{00000000-0008-0000-11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448733</xdr:colOff>
      <xdr:row>55</xdr:row>
      <xdr:rowOff>167217</xdr:rowOff>
    </xdr:from>
    <xdr:to>
      <xdr:col>18</xdr:col>
      <xdr:colOff>449792</xdr:colOff>
      <xdr:row>75</xdr:row>
      <xdr:rowOff>103717</xdr:rowOff>
    </xdr:to>
    <xdr:grpSp>
      <xdr:nvGrpSpPr>
        <xdr:cNvPr id="2" name="Group 1">
          <a:extLst>
            <a:ext uri="{FF2B5EF4-FFF2-40B4-BE49-F238E27FC236}">
              <a16:creationId xmlns:a16="http://schemas.microsoft.com/office/drawing/2014/main" id="{00000000-0008-0000-1100-000002000000}"/>
            </a:ext>
          </a:extLst>
        </xdr:cNvPr>
        <xdr:cNvGrpSpPr/>
      </xdr:nvGrpSpPr>
      <xdr:grpSpPr>
        <a:xfrm>
          <a:off x="4973108" y="13894594"/>
          <a:ext cx="8609278" cy="4520936"/>
          <a:chOff x="6477000" y="10720917"/>
          <a:chExt cx="6910917" cy="4603750"/>
        </a:xfrm>
      </xdr:grpSpPr>
      <xdr:graphicFrame macro="">
        <xdr:nvGraphicFramePr>
          <xdr:cNvPr id="8" name="Chart 7">
            <a:extLst>
              <a:ext uri="{FF2B5EF4-FFF2-40B4-BE49-F238E27FC236}">
                <a16:creationId xmlns:a16="http://schemas.microsoft.com/office/drawing/2014/main" id="{00000000-0008-0000-1100-000008000000}"/>
              </a:ext>
            </a:extLst>
          </xdr:cNvPr>
          <xdr:cNvGraphicFramePr>
            <a:graphicFrameLocks/>
          </xdr:cNvGraphicFramePr>
        </xdr:nvGraphicFramePr>
        <xdr:xfrm>
          <a:off x="6477000" y="10720917"/>
          <a:ext cx="6910917" cy="4603750"/>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14" name="Group 13">
            <a:extLst>
              <a:ext uri="{FF2B5EF4-FFF2-40B4-BE49-F238E27FC236}">
                <a16:creationId xmlns:a16="http://schemas.microsoft.com/office/drawing/2014/main" id="{00000000-0008-0000-1100-00000E000000}"/>
              </a:ext>
            </a:extLst>
          </xdr:cNvPr>
          <xdr:cNvGrpSpPr/>
        </xdr:nvGrpSpPr>
        <xdr:grpSpPr>
          <a:xfrm>
            <a:off x="12731752" y="11228916"/>
            <a:ext cx="624415" cy="3175001"/>
            <a:chOff x="13377331" y="11080751"/>
            <a:chExt cx="571500" cy="2920997"/>
          </a:xfrm>
        </xdr:grpSpPr>
        <xdr:sp macro="" textlink="">
          <xdr:nvSpPr>
            <xdr:cNvPr id="9" name="TextBox 8">
              <a:extLst>
                <a:ext uri="{FF2B5EF4-FFF2-40B4-BE49-F238E27FC236}">
                  <a16:creationId xmlns:a16="http://schemas.microsoft.com/office/drawing/2014/main" id="{00000000-0008-0000-1100-000009000000}"/>
                </a:ext>
              </a:extLst>
            </xdr:cNvPr>
            <xdr:cNvSpPr txBox="1"/>
          </xdr:nvSpPr>
          <xdr:spPr>
            <a:xfrm rot="5400000">
              <a:off x="13364730" y="11093353"/>
              <a:ext cx="586121" cy="560917"/>
            </a:xfrm>
            <a:prstGeom prst="rect">
              <a:avLst/>
            </a:prstGeom>
            <a:solidFill>
              <a:schemeClr val="bg2">
                <a:alpha val="25000"/>
              </a:schemeClr>
            </a:solidFill>
            <a:ln w="9525" cmpd="sng">
              <a:solidFill>
                <a:schemeClr val="bg2"/>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100"/>
                <a:t>RR</a:t>
              </a:r>
              <a:r>
                <a:rPr lang="en-US" sz="1100" baseline="0"/>
                <a:t> are Good</a:t>
              </a:r>
              <a:endParaRPr lang="en-US" sz="1100"/>
            </a:p>
          </xdr:txBody>
        </xdr:sp>
        <xdr:sp macro="" textlink="">
          <xdr:nvSpPr>
            <xdr:cNvPr id="10" name="TextBox 9">
              <a:extLst>
                <a:ext uri="{FF2B5EF4-FFF2-40B4-BE49-F238E27FC236}">
                  <a16:creationId xmlns:a16="http://schemas.microsoft.com/office/drawing/2014/main" id="{00000000-0008-0000-1100-00000A000000}"/>
                </a:ext>
              </a:extLst>
            </xdr:cNvPr>
            <xdr:cNvSpPr txBox="1"/>
          </xdr:nvSpPr>
          <xdr:spPr>
            <a:xfrm rot="5400000">
              <a:off x="13373098" y="11669185"/>
              <a:ext cx="569384" cy="560915"/>
            </a:xfrm>
            <a:prstGeom prst="rect">
              <a:avLst/>
            </a:prstGeom>
            <a:solidFill>
              <a:schemeClr val="accent5">
                <a:alpha val="25000"/>
              </a:schemeClr>
            </a:solidFill>
            <a:ln w="9525"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100"/>
                <a:t>RR may be too low</a:t>
              </a:r>
            </a:p>
          </xdr:txBody>
        </xdr:sp>
        <xdr:sp macro="" textlink="">
          <xdr:nvSpPr>
            <xdr:cNvPr id="11" name="TextBox 10">
              <a:extLst>
                <a:ext uri="{FF2B5EF4-FFF2-40B4-BE49-F238E27FC236}">
                  <a16:creationId xmlns:a16="http://schemas.microsoft.com/office/drawing/2014/main" id="{00000000-0008-0000-1100-00000B000000}"/>
                </a:ext>
              </a:extLst>
            </xdr:cNvPr>
            <xdr:cNvSpPr txBox="1"/>
          </xdr:nvSpPr>
          <xdr:spPr>
            <a:xfrm rot="5400000">
              <a:off x="12784664" y="12837582"/>
              <a:ext cx="1756833" cy="571500"/>
            </a:xfrm>
            <a:prstGeom prst="rect">
              <a:avLst/>
            </a:prstGeom>
            <a:solidFill>
              <a:srgbClr val="C00000">
                <a:alpha val="25000"/>
              </a:srgbClr>
            </a:solidFill>
            <a:ln w="9525" cmpd="sng">
              <a:solidFill>
                <a:srgbClr val="C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100"/>
                <a:t>RR are too</a:t>
              </a:r>
              <a:r>
                <a:rPr lang="en-US" sz="1100" baseline="0"/>
                <a:t> low</a:t>
              </a:r>
              <a:endParaRPr lang="en-US" sz="1100"/>
            </a:p>
          </xdr:txBody>
        </xdr:sp>
      </xdr:grpSp>
    </xdr:grpSp>
    <xdr:clientData/>
  </xdr:twoCellAnchor>
  <xdr:twoCellAnchor>
    <xdr:from>
      <xdr:col>22</xdr:col>
      <xdr:colOff>232831</xdr:colOff>
      <xdr:row>31</xdr:row>
      <xdr:rowOff>158752</xdr:rowOff>
    </xdr:from>
    <xdr:to>
      <xdr:col>23</xdr:col>
      <xdr:colOff>793749</xdr:colOff>
      <xdr:row>38</xdr:row>
      <xdr:rowOff>178594</xdr:rowOff>
    </xdr:to>
    <xdr:sp macro="" textlink="">
      <xdr:nvSpPr>
        <xdr:cNvPr id="13" name="TextBox 12">
          <a:extLst>
            <a:ext uri="{FF2B5EF4-FFF2-40B4-BE49-F238E27FC236}">
              <a16:creationId xmlns:a16="http://schemas.microsoft.com/office/drawing/2014/main" id="{00000000-0008-0000-1100-00000D000000}"/>
            </a:ext>
          </a:extLst>
        </xdr:cNvPr>
        <xdr:cNvSpPr txBox="1"/>
      </xdr:nvSpPr>
      <xdr:spPr>
        <a:xfrm>
          <a:off x="16351248" y="6762752"/>
          <a:ext cx="1354668" cy="2496342"/>
        </a:xfrm>
        <a:prstGeom prst="rect">
          <a:avLst/>
        </a:prstGeom>
        <a:solidFill>
          <a:schemeClr val="tx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solidFill>
                <a:schemeClr val="bg1"/>
              </a:solidFill>
            </a:rPr>
            <a:t>Some questions to consider:</a:t>
          </a:r>
        </a:p>
        <a:p>
          <a:endParaRPr lang="en-US" sz="1100" baseline="0">
            <a:solidFill>
              <a:schemeClr val="bg1"/>
            </a:solidFill>
          </a:endParaRPr>
        </a:p>
        <a:p>
          <a:r>
            <a:rPr lang="en-US" sz="1100" baseline="0">
              <a:solidFill>
                <a:schemeClr val="bg1"/>
              </a:solidFill>
            </a:rPr>
            <a:t>- Which data type's average annual growth is most consistent with FPET &amp; Survey results?</a:t>
          </a:r>
        </a:p>
        <a:p>
          <a:endParaRPr lang="en-US" sz="1100" baseline="0">
            <a:solidFill>
              <a:schemeClr val="bg1"/>
            </a:solidFill>
          </a:endParaRPr>
        </a:p>
        <a:p>
          <a:r>
            <a:rPr lang="en-US" sz="1100" baseline="0">
              <a:solidFill>
                <a:schemeClr val="bg1"/>
              </a:solidFill>
            </a:rPr>
            <a:t>- Do any data types have excessively high growth rates? </a:t>
          </a:r>
        </a:p>
      </xdr:txBody>
    </xdr:sp>
    <xdr:clientData/>
  </xdr:twoCellAnchor>
  <xdr:twoCellAnchor>
    <xdr:from>
      <xdr:col>20</xdr:col>
      <xdr:colOff>185208</xdr:colOff>
      <xdr:row>56</xdr:row>
      <xdr:rowOff>47624</xdr:rowOff>
    </xdr:from>
    <xdr:to>
      <xdr:col>23</xdr:col>
      <xdr:colOff>59531</xdr:colOff>
      <xdr:row>75</xdr:row>
      <xdr:rowOff>202404</xdr:rowOff>
    </xdr:to>
    <xdr:sp macro="" textlink="">
      <xdr:nvSpPr>
        <xdr:cNvPr id="15" name="TextBox 14">
          <a:extLst>
            <a:ext uri="{FF2B5EF4-FFF2-40B4-BE49-F238E27FC236}">
              <a16:creationId xmlns:a16="http://schemas.microsoft.com/office/drawing/2014/main" id="{00000000-0008-0000-1100-00000F000000}"/>
            </a:ext>
          </a:extLst>
        </xdr:cNvPr>
        <xdr:cNvSpPr txBox="1"/>
      </xdr:nvSpPr>
      <xdr:spPr>
        <a:xfrm>
          <a:off x="16711083" y="9715499"/>
          <a:ext cx="1695979" cy="4476749"/>
        </a:xfrm>
        <a:prstGeom prst="rect">
          <a:avLst/>
        </a:prstGeom>
        <a:solidFill>
          <a:schemeClr val="tx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rPr>
            <a:t>Review</a:t>
          </a:r>
          <a:r>
            <a:rPr lang="en-US" sz="1100" baseline="0">
              <a:solidFill>
                <a:schemeClr val="bg1"/>
              </a:solidFill>
            </a:rPr>
            <a:t> the graph to the left. </a:t>
          </a:r>
        </a:p>
        <a:p>
          <a:endParaRPr lang="en-US" sz="1100" baseline="0">
            <a:solidFill>
              <a:schemeClr val="bg1"/>
            </a:solidFill>
          </a:endParaRPr>
        </a:p>
        <a:p>
          <a:r>
            <a:rPr lang="en-US" sz="1100" baseline="0">
              <a:solidFill>
                <a:schemeClr val="bg1"/>
              </a:solidFill>
            </a:rPr>
            <a:t>Some questions to consider:</a:t>
          </a:r>
        </a:p>
        <a:p>
          <a:endParaRPr lang="en-US" sz="1100" baseline="0">
            <a:solidFill>
              <a:schemeClr val="bg1"/>
            </a:solidFill>
          </a:endParaRPr>
        </a:p>
        <a:p>
          <a:r>
            <a:rPr lang="en-US" sz="1100" baseline="0">
              <a:solidFill>
                <a:schemeClr val="bg1"/>
              </a:solidFill>
            </a:rPr>
            <a:t>- Which data type has the highest reporting rates? the lowest reporting rates?</a:t>
          </a:r>
        </a:p>
        <a:p>
          <a:endParaRPr lang="en-US" sz="1100" baseline="0">
            <a:solidFill>
              <a:schemeClr val="bg1"/>
            </a:solidFill>
          </a:endParaRPr>
        </a:p>
        <a:p>
          <a:r>
            <a:rPr lang="en-US" sz="1100" baseline="0">
              <a:solidFill>
                <a:schemeClr val="bg1"/>
              </a:solidFill>
            </a:rPr>
            <a:t>- Does the data type that you had identified above as being consistent with surveys &amp; FPET have sufficient reporting rate to be used?</a:t>
          </a:r>
        </a:p>
        <a:p>
          <a:endParaRPr lang="en-US" sz="1100" baseline="0">
            <a:solidFill>
              <a:schemeClr val="bg1"/>
            </a:solidFill>
          </a:endParaRPr>
        </a:p>
      </xdr:txBody>
    </xdr:sp>
    <xdr:clientData/>
  </xdr:twoCellAnchor>
  <xdr:twoCellAnchor>
    <xdr:from>
      <xdr:col>1</xdr:col>
      <xdr:colOff>178593</xdr:colOff>
      <xdr:row>166</xdr:row>
      <xdr:rowOff>92867</xdr:rowOff>
    </xdr:from>
    <xdr:to>
      <xdr:col>21</xdr:col>
      <xdr:colOff>440531</xdr:colOff>
      <xdr:row>183</xdr:row>
      <xdr:rowOff>166688</xdr:rowOff>
    </xdr:to>
    <xdr:graphicFrame macro="">
      <xdr:nvGraphicFramePr>
        <xdr:cNvPr id="7" name="Chart 6">
          <a:extLst>
            <a:ext uri="{FF2B5EF4-FFF2-40B4-BE49-F238E27FC236}">
              <a16:creationId xmlns:a16="http://schemas.microsoft.com/office/drawing/2014/main" id="{363A4DDC-339E-4D4F-8627-5B7B4460E40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22</xdr:col>
      <xdr:colOff>172908</xdr:colOff>
      <xdr:row>7</xdr:row>
      <xdr:rowOff>114543</xdr:rowOff>
    </xdr:from>
    <xdr:to>
      <xdr:col>23</xdr:col>
      <xdr:colOff>761999</xdr:colOff>
      <xdr:row>26</xdr:row>
      <xdr:rowOff>149361</xdr:rowOff>
    </xdr:to>
    <xdr:sp macro="" textlink="">
      <xdr:nvSpPr>
        <xdr:cNvPr id="16" name="TextBox 15">
          <a:extLst>
            <a:ext uri="{FF2B5EF4-FFF2-40B4-BE49-F238E27FC236}">
              <a16:creationId xmlns:a16="http://schemas.microsoft.com/office/drawing/2014/main" id="{18836184-496B-4A16-BD08-D6DEEC61442C}"/>
            </a:ext>
          </a:extLst>
        </xdr:cNvPr>
        <xdr:cNvSpPr txBox="1"/>
      </xdr:nvSpPr>
      <xdr:spPr>
        <a:xfrm>
          <a:off x="16803558" y="1809993"/>
          <a:ext cx="1408241" cy="4187718"/>
        </a:xfrm>
        <a:prstGeom prst="rect">
          <a:avLst/>
        </a:prstGeom>
        <a:solidFill>
          <a:schemeClr val="tx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rPr>
            <a:t>Review</a:t>
          </a:r>
          <a:r>
            <a:rPr lang="en-US" sz="1100" baseline="0">
              <a:solidFill>
                <a:schemeClr val="bg1"/>
              </a:solidFill>
            </a:rPr>
            <a:t> the graph to the left. </a:t>
          </a:r>
        </a:p>
        <a:p>
          <a:endParaRPr lang="en-US" sz="1100" baseline="0">
            <a:solidFill>
              <a:schemeClr val="bg1"/>
            </a:solidFill>
          </a:endParaRPr>
        </a:p>
        <a:p>
          <a:r>
            <a:rPr lang="en-US" sz="1100" baseline="0">
              <a:solidFill>
                <a:schemeClr val="bg1"/>
              </a:solidFill>
            </a:rPr>
            <a:t>Some questions to consider:</a:t>
          </a:r>
        </a:p>
        <a:p>
          <a:endParaRPr lang="en-US" sz="1100" baseline="0">
            <a:solidFill>
              <a:schemeClr val="bg1"/>
            </a:solidFill>
          </a:endParaRPr>
        </a:p>
        <a:p>
          <a:r>
            <a:rPr lang="en-US" sz="1100" baseline="0">
              <a:solidFill>
                <a:schemeClr val="bg1"/>
              </a:solidFill>
            </a:rPr>
            <a:t>- Which data trend is most consistent with your survey and FPET trends?</a:t>
          </a:r>
        </a:p>
        <a:p>
          <a:endParaRPr lang="en-US" sz="1100" baseline="0">
            <a:solidFill>
              <a:schemeClr val="bg1"/>
            </a:solidFill>
          </a:endParaRPr>
        </a:p>
        <a:p>
          <a:r>
            <a:rPr lang="en-US" sz="1100" baseline="0">
              <a:solidFill>
                <a:schemeClr val="bg1"/>
              </a:solidFill>
            </a:rPr>
            <a:t>- Which data type produced the cleanest trend (least "noise")?</a:t>
          </a:r>
        </a:p>
        <a:p>
          <a:endParaRPr lang="en-US" sz="1100" baseline="0">
            <a:solidFill>
              <a:schemeClr val="bg1"/>
            </a:solidFill>
          </a:endParaRPr>
        </a:p>
        <a:p>
          <a:r>
            <a:rPr lang="en-US" sz="1100" baseline="0">
              <a:solidFill>
                <a:schemeClr val="bg1"/>
              </a:solidFill>
            </a:rPr>
            <a:t>- Is one data type typically viewed as more reliable by the government? How does this compare to the other types of data?</a:t>
          </a:r>
        </a:p>
        <a:p>
          <a:endParaRPr lang="en-US" sz="1100" baseline="0">
            <a:solidFill>
              <a:schemeClr val="bg1"/>
            </a:solidFill>
          </a:endParaRPr>
        </a:p>
      </xdr:txBody>
    </xdr:sp>
    <xdr:clientData/>
  </xdr:twoCellAnchor>
  <xdr:twoCellAnchor>
    <xdr:from>
      <xdr:col>24</xdr:col>
      <xdr:colOff>21432</xdr:colOff>
      <xdr:row>7</xdr:row>
      <xdr:rowOff>130388</xdr:rowOff>
    </xdr:from>
    <xdr:to>
      <xdr:col>25</xdr:col>
      <xdr:colOff>626745</xdr:colOff>
      <xdr:row>29</xdr:row>
      <xdr:rowOff>123825</xdr:rowOff>
    </xdr:to>
    <xdr:sp macro="" textlink="">
      <xdr:nvSpPr>
        <xdr:cNvPr id="17" name="TextBox 16">
          <a:extLst>
            <a:ext uri="{FF2B5EF4-FFF2-40B4-BE49-F238E27FC236}">
              <a16:creationId xmlns:a16="http://schemas.microsoft.com/office/drawing/2014/main" id="{A36EB44F-3DB5-4767-B415-6BB50BDE8AEB}"/>
            </a:ext>
          </a:extLst>
        </xdr:cNvPr>
        <xdr:cNvSpPr txBox="1"/>
      </xdr:nvSpPr>
      <xdr:spPr>
        <a:xfrm>
          <a:off x="18290382" y="1825838"/>
          <a:ext cx="1424463" cy="4803562"/>
        </a:xfrm>
        <a:prstGeom prst="rect">
          <a:avLst/>
        </a:prstGeom>
        <a:solidFill>
          <a:schemeClr val="tx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white"/>
              </a:solidFill>
              <a:effectLst/>
              <a:uLnTx/>
              <a:uFillTx/>
              <a:latin typeface="+mn-lt"/>
              <a:ea typeface="+mn-ea"/>
              <a:cs typeface="+mn-cs"/>
            </a:rPr>
            <a:t>Examinez les graphiques de gauche.</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white"/>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white"/>
              </a:solidFill>
              <a:effectLst/>
              <a:uLnTx/>
              <a:uFillTx/>
              <a:latin typeface="+mn-lt"/>
              <a:ea typeface="+mn-ea"/>
              <a:cs typeface="+mn-cs"/>
            </a:rPr>
            <a:t>Quelques questions à considérer :</a:t>
          </a:r>
        </a:p>
        <a:p>
          <a:endParaRPr lang="en-US" sz="1100" baseline="0">
            <a:solidFill>
              <a:schemeClr val="bg1"/>
            </a:solidFill>
          </a:endParaRPr>
        </a:p>
        <a:p>
          <a:r>
            <a:rPr lang="en-US" sz="1100" baseline="0">
              <a:solidFill>
                <a:schemeClr val="bg1"/>
              </a:solidFill>
            </a:rPr>
            <a:t>- Quelle tendance des données est la plus cohérente avec votre enquête et les tendances de FPET ?</a:t>
          </a:r>
        </a:p>
        <a:p>
          <a:endParaRPr lang="en-US" sz="1100" baseline="0">
            <a:solidFill>
              <a:schemeClr val="bg1"/>
            </a:solidFill>
          </a:endParaRPr>
        </a:p>
        <a:p>
          <a:r>
            <a:rPr lang="en-US" sz="1100" baseline="0">
              <a:solidFill>
                <a:schemeClr val="bg1"/>
              </a:solidFill>
            </a:rPr>
            <a:t>- Quel type de données produit la tendance la plus nette (moins de "nuisance") ?</a:t>
          </a:r>
        </a:p>
        <a:p>
          <a:endParaRPr lang="en-US" sz="1100" baseline="0">
            <a:solidFill>
              <a:schemeClr val="bg1"/>
            </a:solidFill>
          </a:endParaRPr>
        </a:p>
        <a:p>
          <a:r>
            <a:rPr lang="en-US" sz="1100" baseline="0">
              <a:solidFill>
                <a:schemeClr val="bg1"/>
              </a:solidFill>
            </a:rPr>
            <a:t>- Est-ce qu'un type de données est perçu comme plus fiable par le gouvernement ? Comment peut-il être comparé aux autres types de données ?</a:t>
          </a:r>
        </a:p>
      </xdr:txBody>
    </xdr:sp>
    <xdr:clientData/>
  </xdr:twoCellAnchor>
  <xdr:twoCellAnchor>
    <xdr:from>
      <xdr:col>24</xdr:col>
      <xdr:colOff>190500</xdr:colOff>
      <xdr:row>31</xdr:row>
      <xdr:rowOff>124355</xdr:rowOff>
    </xdr:from>
    <xdr:to>
      <xdr:col>26</xdr:col>
      <xdr:colOff>239449</xdr:colOff>
      <xdr:row>39</xdr:row>
      <xdr:rowOff>1</xdr:rowOff>
    </xdr:to>
    <xdr:sp macro="" textlink="">
      <xdr:nvSpPr>
        <xdr:cNvPr id="18" name="TextBox 17">
          <a:extLst>
            <a:ext uri="{FF2B5EF4-FFF2-40B4-BE49-F238E27FC236}">
              <a16:creationId xmlns:a16="http://schemas.microsoft.com/office/drawing/2014/main" id="{C7B0D7CC-D8D8-4850-A12E-D8C48802C844}"/>
            </a:ext>
          </a:extLst>
        </xdr:cNvPr>
        <xdr:cNvSpPr txBox="1"/>
      </xdr:nvSpPr>
      <xdr:spPr>
        <a:xfrm>
          <a:off x="16695964" y="6519712"/>
          <a:ext cx="1627378" cy="2801182"/>
        </a:xfrm>
        <a:prstGeom prst="rect">
          <a:avLst/>
        </a:prstGeom>
        <a:solidFill>
          <a:schemeClr val="tx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white"/>
              </a:solidFill>
              <a:effectLst/>
              <a:uLnTx/>
              <a:uFillTx/>
              <a:latin typeface="+mn-lt"/>
              <a:ea typeface="+mn-ea"/>
              <a:cs typeface="+mn-cs"/>
            </a:rPr>
            <a:t>Quelques questions à considérer :</a:t>
          </a:r>
        </a:p>
        <a:p>
          <a:endParaRPr lang="en-US" sz="1100" baseline="0">
            <a:solidFill>
              <a:schemeClr val="bg1"/>
            </a:solidFill>
          </a:endParaRPr>
        </a:p>
        <a:p>
          <a:r>
            <a:rPr lang="en-US" sz="1100" baseline="0">
              <a:solidFill>
                <a:schemeClr val="bg1"/>
              </a:solidFill>
            </a:rPr>
            <a:t>- Quelle croissance annuelle moyenne d'un type de données est-elle plus cohérente avec les résultats du FPET et de l'enquête ?</a:t>
          </a:r>
        </a:p>
        <a:p>
          <a:endParaRPr lang="en-US" sz="1100" baseline="0">
            <a:solidFill>
              <a:schemeClr val="bg1"/>
            </a:solidFill>
          </a:endParaRPr>
        </a:p>
        <a:p>
          <a:r>
            <a:rPr lang="en-US" sz="1100" baseline="0">
              <a:solidFill>
                <a:schemeClr val="bg1"/>
              </a:solidFill>
            </a:rPr>
            <a:t>- Est-ce que certains types de données ont des taux de croissance extrêmement élevés ?</a:t>
          </a:r>
        </a:p>
      </xdr:txBody>
    </xdr:sp>
    <xdr:clientData/>
  </xdr:twoCellAnchor>
  <xdr:twoCellAnchor>
    <xdr:from>
      <xdr:col>23</xdr:col>
      <xdr:colOff>261938</xdr:colOff>
      <xdr:row>56</xdr:row>
      <xdr:rowOff>23812</xdr:rowOff>
    </xdr:from>
    <xdr:to>
      <xdr:col>26</xdr:col>
      <xdr:colOff>11906</xdr:colOff>
      <xdr:row>76</xdr:row>
      <xdr:rowOff>23812</xdr:rowOff>
    </xdr:to>
    <xdr:sp macro="" textlink="">
      <xdr:nvSpPr>
        <xdr:cNvPr id="19" name="TextBox 18">
          <a:extLst>
            <a:ext uri="{FF2B5EF4-FFF2-40B4-BE49-F238E27FC236}">
              <a16:creationId xmlns:a16="http://schemas.microsoft.com/office/drawing/2014/main" id="{48A23681-4508-4A9D-B230-5180AC5D601B}"/>
            </a:ext>
          </a:extLst>
        </xdr:cNvPr>
        <xdr:cNvSpPr txBox="1"/>
      </xdr:nvSpPr>
      <xdr:spPr>
        <a:xfrm>
          <a:off x="18609469" y="9691687"/>
          <a:ext cx="1571625" cy="4524375"/>
        </a:xfrm>
        <a:prstGeom prst="rect">
          <a:avLst/>
        </a:prstGeom>
        <a:solidFill>
          <a:schemeClr val="tx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white"/>
              </a:solidFill>
              <a:effectLst/>
              <a:uLnTx/>
              <a:uFillTx/>
              <a:latin typeface="+mn-lt"/>
              <a:ea typeface="+mn-ea"/>
              <a:cs typeface="+mn-cs"/>
            </a:rPr>
            <a:t>Examinez les graphiques de gauche.</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white"/>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white"/>
              </a:solidFill>
              <a:effectLst/>
              <a:uLnTx/>
              <a:uFillTx/>
              <a:latin typeface="+mn-lt"/>
              <a:ea typeface="+mn-ea"/>
              <a:cs typeface="+mn-cs"/>
            </a:rPr>
            <a:t>Quelques questions à considérer :</a:t>
          </a:r>
        </a:p>
        <a:p>
          <a:endParaRPr lang="en-US" sz="1100" baseline="0">
            <a:solidFill>
              <a:schemeClr val="bg1"/>
            </a:solidFill>
          </a:endParaRPr>
        </a:p>
        <a:p>
          <a:r>
            <a:rPr lang="en-US" sz="1100" baseline="0">
              <a:solidFill>
                <a:schemeClr val="bg1"/>
              </a:solidFill>
            </a:rPr>
            <a:t>- Quel type de données a les taux de déclaration les plus élevés ? Les taux de déclaration les plus faibles ?</a:t>
          </a:r>
        </a:p>
        <a:p>
          <a:endParaRPr lang="en-US" sz="1100" baseline="0">
            <a:solidFill>
              <a:schemeClr val="bg1"/>
            </a:solidFill>
          </a:endParaRPr>
        </a:p>
        <a:p>
          <a:r>
            <a:rPr lang="en-US" sz="1100" baseline="0">
              <a:solidFill>
                <a:schemeClr val="bg1"/>
              </a:solidFill>
            </a:rPr>
            <a:t>- Est-ce que le type de données que vous aviez identifié ci-dessus comme étant cohérent avec les enquêtes et FPET a un taux de déclaration suffisant pour être utilisé ?</a:t>
          </a:r>
        </a:p>
      </xdr:txBody>
    </xdr:sp>
    <xdr:clientData/>
  </xdr:twoCellAnchor>
  <xdr:twoCellAnchor>
    <xdr:from>
      <xdr:col>1</xdr:col>
      <xdr:colOff>20002</xdr:colOff>
      <xdr:row>41</xdr:row>
      <xdr:rowOff>44238</xdr:rowOff>
    </xdr:from>
    <xdr:to>
      <xdr:col>11</xdr:col>
      <xdr:colOff>12488</xdr:colOff>
      <xdr:row>52</xdr:row>
      <xdr:rowOff>54428</xdr:rowOff>
    </xdr:to>
    <xdr:graphicFrame macro="">
      <xdr:nvGraphicFramePr>
        <xdr:cNvPr id="20" name="Chart 19">
          <a:extLst>
            <a:ext uri="{FF2B5EF4-FFF2-40B4-BE49-F238E27FC236}">
              <a16:creationId xmlns:a16="http://schemas.microsoft.com/office/drawing/2014/main" id="{11588F2C-9A6B-4AAF-8A9F-EC9523CC32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11906</xdr:colOff>
      <xdr:row>6</xdr:row>
      <xdr:rowOff>261937</xdr:rowOff>
    </xdr:from>
    <xdr:to>
      <xdr:col>0</xdr:col>
      <xdr:colOff>464343</xdr:colOff>
      <xdr:row>22</xdr:row>
      <xdr:rowOff>154781</xdr:rowOff>
    </xdr:to>
    <xdr:sp macro="" textlink="">
      <xdr:nvSpPr>
        <xdr:cNvPr id="21" name="Arrow: Down 20">
          <a:extLst>
            <a:ext uri="{FF2B5EF4-FFF2-40B4-BE49-F238E27FC236}">
              <a16:creationId xmlns:a16="http://schemas.microsoft.com/office/drawing/2014/main" id="{281AB869-6DA5-4CB6-8DFE-66A0AB59165E}"/>
            </a:ext>
          </a:extLst>
        </xdr:cNvPr>
        <xdr:cNvSpPr/>
      </xdr:nvSpPr>
      <xdr:spPr>
        <a:xfrm>
          <a:off x="11906" y="1381125"/>
          <a:ext cx="452437" cy="3833812"/>
        </a:xfrm>
        <a:prstGeom prst="downArrow">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23</xdr:row>
      <xdr:rowOff>154782</xdr:rowOff>
    </xdr:from>
    <xdr:to>
      <xdr:col>0</xdr:col>
      <xdr:colOff>452437</xdr:colOff>
      <xdr:row>37</xdr:row>
      <xdr:rowOff>95250</xdr:rowOff>
    </xdr:to>
    <xdr:sp macro="" textlink="">
      <xdr:nvSpPr>
        <xdr:cNvPr id="22" name="Arrow: Down 21">
          <a:extLst>
            <a:ext uri="{FF2B5EF4-FFF2-40B4-BE49-F238E27FC236}">
              <a16:creationId xmlns:a16="http://schemas.microsoft.com/office/drawing/2014/main" id="{88423754-A6D3-4C97-A1E4-84C2A5E12B3E}"/>
            </a:ext>
          </a:extLst>
        </xdr:cNvPr>
        <xdr:cNvSpPr/>
      </xdr:nvSpPr>
      <xdr:spPr>
        <a:xfrm>
          <a:off x="0" y="5405438"/>
          <a:ext cx="452437" cy="3833812"/>
        </a:xfrm>
        <a:prstGeom prst="downArrow">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9525</xdr:colOff>
      <xdr:row>38</xdr:row>
      <xdr:rowOff>21432</xdr:rowOff>
    </xdr:from>
    <xdr:to>
      <xdr:col>0</xdr:col>
      <xdr:colOff>461962</xdr:colOff>
      <xdr:row>53</xdr:row>
      <xdr:rowOff>9525</xdr:rowOff>
    </xdr:to>
    <xdr:sp macro="" textlink="">
      <xdr:nvSpPr>
        <xdr:cNvPr id="23" name="Arrow: Down 22">
          <a:extLst>
            <a:ext uri="{FF2B5EF4-FFF2-40B4-BE49-F238E27FC236}">
              <a16:creationId xmlns:a16="http://schemas.microsoft.com/office/drawing/2014/main" id="{73E60089-91D0-4D03-8680-A539780395B3}"/>
            </a:ext>
          </a:extLst>
        </xdr:cNvPr>
        <xdr:cNvSpPr/>
      </xdr:nvSpPr>
      <xdr:spPr>
        <a:xfrm>
          <a:off x="9525" y="9355932"/>
          <a:ext cx="452437" cy="3833812"/>
        </a:xfrm>
        <a:prstGeom prst="downArrow">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77</xdr:row>
      <xdr:rowOff>257175</xdr:rowOff>
    </xdr:from>
    <xdr:to>
      <xdr:col>0</xdr:col>
      <xdr:colOff>452437</xdr:colOff>
      <xdr:row>86</xdr:row>
      <xdr:rowOff>250031</xdr:rowOff>
    </xdr:to>
    <xdr:sp macro="" textlink="">
      <xdr:nvSpPr>
        <xdr:cNvPr id="24" name="Arrow: Down 23">
          <a:extLst>
            <a:ext uri="{FF2B5EF4-FFF2-40B4-BE49-F238E27FC236}">
              <a16:creationId xmlns:a16="http://schemas.microsoft.com/office/drawing/2014/main" id="{F55515F6-BE3A-4477-94E0-D20D33737307}"/>
            </a:ext>
          </a:extLst>
        </xdr:cNvPr>
        <xdr:cNvSpPr/>
      </xdr:nvSpPr>
      <xdr:spPr>
        <a:xfrm>
          <a:off x="0" y="13818394"/>
          <a:ext cx="452437" cy="2886075"/>
        </a:xfrm>
        <a:prstGeom prst="downArrow">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8</xdr:col>
      <xdr:colOff>8467</xdr:colOff>
      <xdr:row>9</xdr:row>
      <xdr:rowOff>16934</xdr:rowOff>
    </xdr:from>
    <xdr:to>
      <xdr:col>18</xdr:col>
      <xdr:colOff>516468</xdr:colOff>
      <xdr:row>23</xdr:row>
      <xdr:rowOff>160867</xdr:rowOff>
    </xdr:to>
    <xdr:graphicFrame macro="">
      <xdr:nvGraphicFramePr>
        <xdr:cNvPr id="2" name="Chart 1">
          <a:extLst>
            <a:ext uri="{FF2B5EF4-FFF2-40B4-BE49-F238E27FC236}">
              <a16:creationId xmlns:a16="http://schemas.microsoft.com/office/drawing/2014/main" id="{3E00F1BE-8C4E-44D2-94C3-CF468C63981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16933</xdr:colOff>
      <xdr:row>25</xdr:row>
      <xdr:rowOff>33867</xdr:rowOff>
    </xdr:from>
    <xdr:to>
      <xdr:col>18</xdr:col>
      <xdr:colOff>524934</xdr:colOff>
      <xdr:row>39</xdr:row>
      <xdr:rowOff>42333</xdr:rowOff>
    </xdr:to>
    <xdr:graphicFrame macro="">
      <xdr:nvGraphicFramePr>
        <xdr:cNvPr id="3" name="Chart 2">
          <a:extLst>
            <a:ext uri="{FF2B5EF4-FFF2-40B4-BE49-F238E27FC236}">
              <a16:creationId xmlns:a16="http://schemas.microsoft.com/office/drawing/2014/main" id="{665D748D-7800-4A94-BCBF-5566F8CEDD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17930</xdr:colOff>
      <xdr:row>8</xdr:row>
      <xdr:rowOff>27214</xdr:rowOff>
    </xdr:from>
    <xdr:to>
      <xdr:col>0</xdr:col>
      <xdr:colOff>290073</xdr:colOff>
      <xdr:row>17</xdr:row>
      <xdr:rowOff>136071</xdr:rowOff>
    </xdr:to>
    <xdr:sp macro="" textlink="">
      <xdr:nvSpPr>
        <xdr:cNvPr id="2" name="Arrow: Down 1">
          <a:extLst>
            <a:ext uri="{FF2B5EF4-FFF2-40B4-BE49-F238E27FC236}">
              <a16:creationId xmlns:a16="http://schemas.microsoft.com/office/drawing/2014/main" id="{247ED733-5D32-42B2-A9EA-133413B30AF7}"/>
            </a:ext>
          </a:extLst>
        </xdr:cNvPr>
        <xdr:cNvSpPr/>
      </xdr:nvSpPr>
      <xdr:spPr>
        <a:xfrm>
          <a:off x="17930" y="2282734"/>
          <a:ext cx="157843" cy="1587137"/>
        </a:xfrm>
        <a:prstGeom prst="downArrow">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14728</xdr:colOff>
      <xdr:row>18</xdr:row>
      <xdr:rowOff>0</xdr:rowOff>
    </xdr:from>
    <xdr:to>
      <xdr:col>0</xdr:col>
      <xdr:colOff>313253</xdr:colOff>
      <xdr:row>33</xdr:row>
      <xdr:rowOff>11703</xdr:rowOff>
    </xdr:to>
    <xdr:sp macro="" textlink="">
      <xdr:nvSpPr>
        <xdr:cNvPr id="3" name="Arrow: Down 2">
          <a:extLst>
            <a:ext uri="{FF2B5EF4-FFF2-40B4-BE49-F238E27FC236}">
              <a16:creationId xmlns:a16="http://schemas.microsoft.com/office/drawing/2014/main" id="{267B485B-4EE9-4132-A9AF-CC162D65F520}"/>
            </a:ext>
          </a:extLst>
        </xdr:cNvPr>
        <xdr:cNvSpPr/>
      </xdr:nvSpPr>
      <xdr:spPr>
        <a:xfrm>
          <a:off x="14728" y="4137660"/>
          <a:ext cx="161365" cy="3219723"/>
        </a:xfrm>
        <a:prstGeom prst="downArrow">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16329</xdr:colOff>
      <xdr:row>35</xdr:row>
      <xdr:rowOff>125185</xdr:rowOff>
    </xdr:from>
    <xdr:to>
      <xdr:col>0</xdr:col>
      <xdr:colOff>285751</xdr:colOff>
      <xdr:row>49</xdr:row>
      <xdr:rowOff>340178</xdr:rowOff>
    </xdr:to>
    <xdr:sp macro="" textlink="">
      <xdr:nvSpPr>
        <xdr:cNvPr id="4" name="Arrow: Down 3">
          <a:extLst>
            <a:ext uri="{FF2B5EF4-FFF2-40B4-BE49-F238E27FC236}">
              <a16:creationId xmlns:a16="http://schemas.microsoft.com/office/drawing/2014/main" id="{133ACF9E-E4C4-4CDD-B149-E4DC59348CBB}"/>
            </a:ext>
          </a:extLst>
        </xdr:cNvPr>
        <xdr:cNvSpPr/>
      </xdr:nvSpPr>
      <xdr:spPr>
        <a:xfrm>
          <a:off x="16329" y="7821385"/>
          <a:ext cx="155122" cy="3179173"/>
        </a:xfrm>
        <a:prstGeom prst="downArrow">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86</xdr:col>
      <xdr:colOff>314324</xdr:colOff>
      <xdr:row>123</xdr:row>
      <xdr:rowOff>20342</xdr:rowOff>
    </xdr:from>
    <xdr:to>
      <xdr:col>101</xdr:col>
      <xdr:colOff>111850</xdr:colOff>
      <xdr:row>151</xdr:row>
      <xdr:rowOff>150970</xdr:rowOff>
    </xdr:to>
    <xdr:graphicFrame macro="">
      <xdr:nvGraphicFramePr>
        <xdr:cNvPr id="5" name="Chart 4">
          <a:extLst>
            <a:ext uri="{FF2B5EF4-FFF2-40B4-BE49-F238E27FC236}">
              <a16:creationId xmlns:a16="http://schemas.microsoft.com/office/drawing/2014/main" id="{768A039F-5CFE-4F0E-BDF2-67AB29AE92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16329</xdr:colOff>
      <xdr:row>87</xdr:row>
      <xdr:rowOff>125185</xdr:rowOff>
    </xdr:from>
    <xdr:to>
      <xdr:col>0</xdr:col>
      <xdr:colOff>285751</xdr:colOff>
      <xdr:row>101</xdr:row>
      <xdr:rowOff>340178</xdr:rowOff>
    </xdr:to>
    <xdr:sp macro="" textlink="">
      <xdr:nvSpPr>
        <xdr:cNvPr id="8" name="Arrow: Down 7">
          <a:extLst>
            <a:ext uri="{FF2B5EF4-FFF2-40B4-BE49-F238E27FC236}">
              <a16:creationId xmlns:a16="http://schemas.microsoft.com/office/drawing/2014/main" id="{32EB6CC3-A30E-4B87-8FE3-AB62D29CCADA}"/>
            </a:ext>
          </a:extLst>
        </xdr:cNvPr>
        <xdr:cNvSpPr/>
      </xdr:nvSpPr>
      <xdr:spPr>
        <a:xfrm>
          <a:off x="16329" y="13327380"/>
          <a:ext cx="155122" cy="0"/>
        </a:xfrm>
        <a:prstGeom prst="downArrow">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83343</xdr:colOff>
      <xdr:row>236</xdr:row>
      <xdr:rowOff>47626</xdr:rowOff>
    </xdr:from>
    <xdr:to>
      <xdr:col>19</xdr:col>
      <xdr:colOff>587216</xdr:colOff>
      <xdr:row>249</xdr:row>
      <xdr:rowOff>323851</xdr:rowOff>
    </xdr:to>
    <xdr:graphicFrame macro="">
      <xdr:nvGraphicFramePr>
        <xdr:cNvPr id="9" name="Chart 8">
          <a:extLst>
            <a:ext uri="{FF2B5EF4-FFF2-40B4-BE49-F238E27FC236}">
              <a16:creationId xmlns:a16="http://schemas.microsoft.com/office/drawing/2014/main" id="{13929883-10B2-430D-BB38-AF91F86A35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77153</xdr:colOff>
      <xdr:row>311</xdr:row>
      <xdr:rowOff>36196</xdr:rowOff>
    </xdr:from>
    <xdr:to>
      <xdr:col>19</xdr:col>
      <xdr:colOff>666751</xdr:colOff>
      <xdr:row>324</xdr:row>
      <xdr:rowOff>301625</xdr:rowOff>
    </xdr:to>
    <xdr:graphicFrame macro="">
      <xdr:nvGraphicFramePr>
        <xdr:cNvPr id="10" name="Chart 9">
          <a:extLst>
            <a:ext uri="{FF2B5EF4-FFF2-40B4-BE49-F238E27FC236}">
              <a16:creationId xmlns:a16="http://schemas.microsoft.com/office/drawing/2014/main" id="{B91263E8-8CE3-4ECE-BB4D-F5D99F1E38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117634</xdr:colOff>
      <xdr:row>341</xdr:row>
      <xdr:rowOff>78104</xdr:rowOff>
    </xdr:from>
    <xdr:to>
      <xdr:col>19</xdr:col>
      <xdr:colOff>590550</xdr:colOff>
      <xdr:row>354</xdr:row>
      <xdr:rowOff>285749</xdr:rowOff>
    </xdr:to>
    <xdr:graphicFrame macro="">
      <xdr:nvGraphicFramePr>
        <xdr:cNvPr id="11" name="Chart 10">
          <a:extLst>
            <a:ext uri="{FF2B5EF4-FFF2-40B4-BE49-F238E27FC236}">
              <a16:creationId xmlns:a16="http://schemas.microsoft.com/office/drawing/2014/main" id="{4EFB7E62-95E0-4C37-B453-036AB32308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58103</xdr:colOff>
      <xdr:row>410</xdr:row>
      <xdr:rowOff>127000</xdr:rowOff>
    </xdr:from>
    <xdr:to>
      <xdr:col>19</xdr:col>
      <xdr:colOff>609600</xdr:colOff>
      <xdr:row>423</xdr:row>
      <xdr:rowOff>246379</xdr:rowOff>
    </xdr:to>
    <xdr:graphicFrame macro="">
      <xdr:nvGraphicFramePr>
        <xdr:cNvPr id="12" name="Chart 11">
          <a:extLst>
            <a:ext uri="{FF2B5EF4-FFF2-40B4-BE49-F238E27FC236}">
              <a16:creationId xmlns:a16="http://schemas.microsoft.com/office/drawing/2014/main" id="{5B6ABBE0-F1C1-411C-9B1B-7DD3799161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96679</xdr:colOff>
      <xdr:row>251</xdr:row>
      <xdr:rowOff>60484</xdr:rowOff>
    </xdr:from>
    <xdr:to>
      <xdr:col>19</xdr:col>
      <xdr:colOff>621030</xdr:colOff>
      <xdr:row>264</xdr:row>
      <xdr:rowOff>285750</xdr:rowOff>
    </xdr:to>
    <xdr:graphicFrame macro="">
      <xdr:nvGraphicFramePr>
        <xdr:cNvPr id="13" name="Chart 12">
          <a:extLst>
            <a:ext uri="{FF2B5EF4-FFF2-40B4-BE49-F238E27FC236}">
              <a16:creationId xmlns:a16="http://schemas.microsoft.com/office/drawing/2014/main" id="{96A4761C-07EA-40FD-BC25-F7DA88D227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57625</xdr:colOff>
      <xdr:row>266</xdr:row>
      <xdr:rowOff>99059</xdr:rowOff>
    </xdr:from>
    <xdr:to>
      <xdr:col>19</xdr:col>
      <xdr:colOff>637221</xdr:colOff>
      <xdr:row>279</xdr:row>
      <xdr:rowOff>269875</xdr:rowOff>
    </xdr:to>
    <xdr:graphicFrame macro="">
      <xdr:nvGraphicFramePr>
        <xdr:cNvPr id="14" name="Chart 13">
          <a:extLst>
            <a:ext uri="{FF2B5EF4-FFF2-40B4-BE49-F238E27FC236}">
              <a16:creationId xmlns:a16="http://schemas.microsoft.com/office/drawing/2014/main" id="{1387B33D-05C6-44FF-A3CE-3A1894B157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95409</xdr:colOff>
      <xdr:row>281</xdr:row>
      <xdr:rowOff>55878</xdr:rowOff>
    </xdr:from>
    <xdr:to>
      <xdr:col>19</xdr:col>
      <xdr:colOff>601345</xdr:colOff>
      <xdr:row>294</xdr:row>
      <xdr:rowOff>269875</xdr:rowOff>
    </xdr:to>
    <xdr:graphicFrame macro="">
      <xdr:nvGraphicFramePr>
        <xdr:cNvPr id="15" name="Chart 14">
          <a:extLst>
            <a:ext uri="{FF2B5EF4-FFF2-40B4-BE49-F238E27FC236}">
              <a16:creationId xmlns:a16="http://schemas.microsoft.com/office/drawing/2014/main" id="{812000B9-1AC0-4F15-98FF-1A8E12750F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0</xdr:colOff>
      <xdr:row>296</xdr:row>
      <xdr:rowOff>21750</xdr:rowOff>
    </xdr:from>
    <xdr:to>
      <xdr:col>19</xdr:col>
      <xdr:colOff>647700</xdr:colOff>
      <xdr:row>309</xdr:row>
      <xdr:rowOff>285750</xdr:rowOff>
    </xdr:to>
    <xdr:graphicFrame macro="">
      <xdr:nvGraphicFramePr>
        <xdr:cNvPr id="16" name="Chart 15">
          <a:extLst>
            <a:ext uri="{FF2B5EF4-FFF2-40B4-BE49-F238E27FC236}">
              <a16:creationId xmlns:a16="http://schemas.microsoft.com/office/drawing/2014/main" id="{88D6F60F-0555-44CF-B61C-58A2AB6904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53340</xdr:colOff>
      <xdr:row>425</xdr:row>
      <xdr:rowOff>76200</xdr:rowOff>
    </xdr:from>
    <xdr:to>
      <xdr:col>19</xdr:col>
      <xdr:colOff>586740</xdr:colOff>
      <xdr:row>438</xdr:row>
      <xdr:rowOff>238125</xdr:rowOff>
    </xdr:to>
    <xdr:graphicFrame macro="">
      <xdr:nvGraphicFramePr>
        <xdr:cNvPr id="17" name="Chart 16">
          <a:extLst>
            <a:ext uri="{FF2B5EF4-FFF2-40B4-BE49-F238E27FC236}">
              <a16:creationId xmlns:a16="http://schemas.microsoft.com/office/drawing/2014/main" id="{D7513040-25D6-413B-BB99-EE54EC124C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53341</xdr:colOff>
      <xdr:row>380</xdr:row>
      <xdr:rowOff>58238</xdr:rowOff>
    </xdr:from>
    <xdr:to>
      <xdr:col>19</xdr:col>
      <xdr:colOff>647701</xdr:colOff>
      <xdr:row>393</xdr:row>
      <xdr:rowOff>317500</xdr:rowOff>
    </xdr:to>
    <xdr:graphicFrame macro="">
      <xdr:nvGraphicFramePr>
        <xdr:cNvPr id="18" name="Chart 17">
          <a:extLst>
            <a:ext uri="{FF2B5EF4-FFF2-40B4-BE49-F238E27FC236}">
              <a16:creationId xmlns:a16="http://schemas.microsoft.com/office/drawing/2014/main" id="{9E7346C5-467E-4A6D-A458-E43C48ADC4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xdr:col>
      <xdr:colOff>76200</xdr:colOff>
      <xdr:row>356</xdr:row>
      <xdr:rowOff>76201</xdr:rowOff>
    </xdr:from>
    <xdr:to>
      <xdr:col>19</xdr:col>
      <xdr:colOff>624840</xdr:colOff>
      <xdr:row>366</xdr:row>
      <xdr:rowOff>228601</xdr:rowOff>
    </xdr:to>
    <xdr:graphicFrame macro="">
      <xdr:nvGraphicFramePr>
        <xdr:cNvPr id="19" name="Chart 18">
          <a:extLst>
            <a:ext uri="{FF2B5EF4-FFF2-40B4-BE49-F238E27FC236}">
              <a16:creationId xmlns:a16="http://schemas.microsoft.com/office/drawing/2014/main" id="{A52F2EB3-8DCA-4E10-8BB1-08181C9923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5</xdr:col>
      <xdr:colOff>76201</xdr:colOff>
      <xdr:row>395</xdr:row>
      <xdr:rowOff>53341</xdr:rowOff>
    </xdr:from>
    <xdr:to>
      <xdr:col>19</xdr:col>
      <xdr:colOff>647701</xdr:colOff>
      <xdr:row>408</xdr:row>
      <xdr:rowOff>301625</xdr:rowOff>
    </xdr:to>
    <xdr:graphicFrame macro="">
      <xdr:nvGraphicFramePr>
        <xdr:cNvPr id="20" name="Chart 19">
          <a:extLst>
            <a:ext uri="{FF2B5EF4-FFF2-40B4-BE49-F238E27FC236}">
              <a16:creationId xmlns:a16="http://schemas.microsoft.com/office/drawing/2014/main" id="{CC96BBDC-D893-4616-99F2-D93C1F7950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5</xdr:col>
      <xdr:colOff>76200</xdr:colOff>
      <xdr:row>440</xdr:row>
      <xdr:rowOff>38101</xdr:rowOff>
    </xdr:from>
    <xdr:to>
      <xdr:col>19</xdr:col>
      <xdr:colOff>628650</xdr:colOff>
      <xdr:row>453</xdr:row>
      <xdr:rowOff>317500</xdr:rowOff>
    </xdr:to>
    <xdr:graphicFrame macro="">
      <xdr:nvGraphicFramePr>
        <xdr:cNvPr id="21" name="Chart 20">
          <a:extLst>
            <a:ext uri="{FF2B5EF4-FFF2-40B4-BE49-F238E27FC236}">
              <a16:creationId xmlns:a16="http://schemas.microsoft.com/office/drawing/2014/main" id="{D337A788-19DD-4E5C-92A7-EC9460B549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5</xdr:col>
      <xdr:colOff>134620</xdr:colOff>
      <xdr:row>368</xdr:row>
      <xdr:rowOff>27941</xdr:rowOff>
    </xdr:from>
    <xdr:to>
      <xdr:col>19</xdr:col>
      <xdr:colOff>601345</xdr:colOff>
      <xdr:row>378</xdr:row>
      <xdr:rowOff>190501</xdr:rowOff>
    </xdr:to>
    <xdr:graphicFrame macro="">
      <xdr:nvGraphicFramePr>
        <xdr:cNvPr id="22" name="Chart 21">
          <a:extLst>
            <a:ext uri="{FF2B5EF4-FFF2-40B4-BE49-F238E27FC236}">
              <a16:creationId xmlns:a16="http://schemas.microsoft.com/office/drawing/2014/main" id="{DD83551A-D18D-4AE0-9793-4085B6F98A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5</xdr:col>
      <xdr:colOff>27940</xdr:colOff>
      <xdr:row>326</xdr:row>
      <xdr:rowOff>79374</xdr:rowOff>
    </xdr:from>
    <xdr:to>
      <xdr:col>19</xdr:col>
      <xdr:colOff>555625</xdr:colOff>
      <xdr:row>339</xdr:row>
      <xdr:rowOff>321309</xdr:rowOff>
    </xdr:to>
    <xdr:graphicFrame macro="">
      <xdr:nvGraphicFramePr>
        <xdr:cNvPr id="23" name="Chart 22">
          <a:extLst>
            <a:ext uri="{FF2B5EF4-FFF2-40B4-BE49-F238E27FC236}">
              <a16:creationId xmlns:a16="http://schemas.microsoft.com/office/drawing/2014/main" id="{EC8E8A2B-480C-4EC3-B726-2E2DC3CC13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5</xdr:col>
      <xdr:colOff>137160</xdr:colOff>
      <xdr:row>220</xdr:row>
      <xdr:rowOff>137160</xdr:rowOff>
    </xdr:from>
    <xdr:to>
      <xdr:col>19</xdr:col>
      <xdr:colOff>701040</xdr:colOff>
      <xdr:row>233</xdr:row>
      <xdr:rowOff>274320</xdr:rowOff>
    </xdr:to>
    <xdr:graphicFrame macro="">
      <xdr:nvGraphicFramePr>
        <xdr:cNvPr id="24" name="Chart 23">
          <a:extLst>
            <a:ext uri="{FF2B5EF4-FFF2-40B4-BE49-F238E27FC236}">
              <a16:creationId xmlns:a16="http://schemas.microsoft.com/office/drawing/2014/main" id="{9A69B9A8-BADC-4312-83CE-C0390C5564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69804</xdr:colOff>
      <xdr:row>137</xdr:row>
      <xdr:rowOff>104978</xdr:rowOff>
    </xdr:from>
    <xdr:to>
      <xdr:col>7</xdr:col>
      <xdr:colOff>827994</xdr:colOff>
      <xdr:row>157</xdr:row>
      <xdr:rowOff>143078</xdr:rowOff>
    </xdr:to>
    <xdr:graphicFrame macro="">
      <xdr:nvGraphicFramePr>
        <xdr:cNvPr id="2" name="Chart 1">
          <a:extLst>
            <a:ext uri="{FF2B5EF4-FFF2-40B4-BE49-F238E27FC236}">
              <a16:creationId xmlns:a16="http://schemas.microsoft.com/office/drawing/2014/main" id="{C85A658B-D212-41EA-8953-CBCE77D2B2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175260</xdr:colOff>
      <xdr:row>137</xdr:row>
      <xdr:rowOff>19369</xdr:rowOff>
    </xdr:from>
    <xdr:to>
      <xdr:col>17</xdr:col>
      <xdr:colOff>800576</xdr:colOff>
      <xdr:row>157</xdr:row>
      <xdr:rowOff>57469</xdr:rowOff>
    </xdr:to>
    <xdr:graphicFrame macro="">
      <xdr:nvGraphicFramePr>
        <xdr:cNvPr id="3" name="Chart 2">
          <a:extLst>
            <a:ext uri="{FF2B5EF4-FFF2-40B4-BE49-F238E27FC236}">
              <a16:creationId xmlns:a16="http://schemas.microsoft.com/office/drawing/2014/main" id="{74E50EB2-0232-47D4-AF1D-2A73AD804C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50958</xdr:colOff>
      <xdr:row>158</xdr:row>
      <xdr:rowOff>25241</xdr:rowOff>
    </xdr:from>
    <xdr:to>
      <xdr:col>7</xdr:col>
      <xdr:colOff>793908</xdr:colOff>
      <xdr:row>177</xdr:row>
      <xdr:rowOff>161926</xdr:rowOff>
    </xdr:to>
    <xdr:graphicFrame macro="">
      <xdr:nvGraphicFramePr>
        <xdr:cNvPr id="4" name="Chart 3">
          <a:extLst>
            <a:ext uri="{FF2B5EF4-FFF2-40B4-BE49-F238E27FC236}">
              <a16:creationId xmlns:a16="http://schemas.microsoft.com/office/drawing/2014/main" id="{D56BC2DF-2E16-4CEA-899E-3140DFA525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9524</xdr:colOff>
      <xdr:row>158</xdr:row>
      <xdr:rowOff>38100</xdr:rowOff>
    </xdr:from>
    <xdr:to>
      <xdr:col>17</xdr:col>
      <xdr:colOff>729342</xdr:colOff>
      <xdr:row>177</xdr:row>
      <xdr:rowOff>174785</xdr:rowOff>
    </xdr:to>
    <xdr:graphicFrame macro="">
      <xdr:nvGraphicFramePr>
        <xdr:cNvPr id="5" name="Chart 4">
          <a:extLst>
            <a:ext uri="{FF2B5EF4-FFF2-40B4-BE49-F238E27FC236}">
              <a16:creationId xmlns:a16="http://schemas.microsoft.com/office/drawing/2014/main" id="{9295C7BA-0D20-47BF-8188-53B1927DE1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28575</xdr:colOff>
      <xdr:row>178</xdr:row>
      <xdr:rowOff>66675</xdr:rowOff>
    </xdr:from>
    <xdr:to>
      <xdr:col>7</xdr:col>
      <xdr:colOff>771525</xdr:colOff>
      <xdr:row>198</xdr:row>
      <xdr:rowOff>127160</xdr:rowOff>
    </xdr:to>
    <xdr:graphicFrame macro="">
      <xdr:nvGraphicFramePr>
        <xdr:cNvPr id="6" name="Chart 5">
          <a:extLst>
            <a:ext uri="{FF2B5EF4-FFF2-40B4-BE49-F238E27FC236}">
              <a16:creationId xmlns:a16="http://schemas.microsoft.com/office/drawing/2014/main" id="{472770AB-896A-458F-A36B-BEF2DE8643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72867</xdr:colOff>
      <xdr:row>178</xdr:row>
      <xdr:rowOff>79534</xdr:rowOff>
    </xdr:from>
    <xdr:to>
      <xdr:col>17</xdr:col>
      <xdr:colOff>781050</xdr:colOff>
      <xdr:row>198</xdr:row>
      <xdr:rowOff>114300</xdr:rowOff>
    </xdr:to>
    <xdr:graphicFrame macro="">
      <xdr:nvGraphicFramePr>
        <xdr:cNvPr id="7" name="Chart 6">
          <a:extLst>
            <a:ext uri="{FF2B5EF4-FFF2-40B4-BE49-F238E27FC236}">
              <a16:creationId xmlns:a16="http://schemas.microsoft.com/office/drawing/2014/main" id="{03B72A46-1D92-44CE-BA04-CED0EC307D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69804</xdr:colOff>
      <xdr:row>116</xdr:row>
      <xdr:rowOff>104978</xdr:rowOff>
    </xdr:from>
    <xdr:to>
      <xdr:col>7</xdr:col>
      <xdr:colOff>827994</xdr:colOff>
      <xdr:row>136</xdr:row>
      <xdr:rowOff>143078</xdr:rowOff>
    </xdr:to>
    <xdr:graphicFrame macro="">
      <xdr:nvGraphicFramePr>
        <xdr:cNvPr id="8" name="Chart 7">
          <a:extLst>
            <a:ext uri="{FF2B5EF4-FFF2-40B4-BE49-F238E27FC236}">
              <a16:creationId xmlns:a16="http://schemas.microsoft.com/office/drawing/2014/main" id="{D0CDFF68-AF58-4256-A3F8-B4DFF4C21C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175260</xdr:colOff>
      <xdr:row>116</xdr:row>
      <xdr:rowOff>19369</xdr:rowOff>
    </xdr:from>
    <xdr:to>
      <xdr:col>17</xdr:col>
      <xdr:colOff>800576</xdr:colOff>
      <xdr:row>136</xdr:row>
      <xdr:rowOff>57469</xdr:rowOff>
    </xdr:to>
    <xdr:graphicFrame macro="">
      <xdr:nvGraphicFramePr>
        <xdr:cNvPr id="9" name="Chart 8">
          <a:extLst>
            <a:ext uri="{FF2B5EF4-FFF2-40B4-BE49-F238E27FC236}">
              <a16:creationId xmlns:a16="http://schemas.microsoft.com/office/drawing/2014/main" id="{66F3E67F-20D9-414D-B173-FE07791D5C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6</xdr:col>
      <xdr:colOff>150813</xdr:colOff>
      <xdr:row>0</xdr:row>
      <xdr:rowOff>0</xdr:rowOff>
    </xdr:from>
    <xdr:to>
      <xdr:col>10</xdr:col>
      <xdr:colOff>71436</xdr:colOff>
      <xdr:row>1</xdr:row>
      <xdr:rowOff>416718</xdr:rowOff>
    </xdr:to>
    <xdr:sp macro="" textlink="$AA$14">
      <xdr:nvSpPr>
        <xdr:cNvPr id="2" name="Rectangle 1">
          <a:extLst>
            <a:ext uri="{FF2B5EF4-FFF2-40B4-BE49-F238E27FC236}">
              <a16:creationId xmlns:a16="http://schemas.microsoft.com/office/drawing/2014/main" id="{2ACD1833-991C-418F-A087-BAD0D524071B}"/>
            </a:ext>
          </a:extLst>
        </xdr:cNvPr>
        <xdr:cNvSpPr/>
      </xdr:nvSpPr>
      <xdr:spPr>
        <a:xfrm>
          <a:off x="8723313" y="0"/>
          <a:ext cx="3147217" cy="547687"/>
        </a:xfrm>
        <a:prstGeom prst="rect">
          <a:avLst/>
        </a:prstGeom>
        <a:ln>
          <a:solidFill>
            <a:schemeClr val="accent5"/>
          </a:solid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lIns="0" tIns="0" rIns="0" bIns="0" rtlCol="0" anchor="ctr"/>
        <a:lstStyle/>
        <a:p>
          <a:pPr algn="ctr"/>
          <a:fld id="{F6122933-6CEE-4B37-BE26-8B8204CFE3B8}" type="TxLink">
            <a:rPr lang="en-US" sz="1100" b="1" i="1" u="none" strike="noStrike">
              <a:solidFill>
                <a:srgbClr val="000000"/>
              </a:solidFill>
              <a:latin typeface="Calibri"/>
              <a:cs typeface="Calibri"/>
            </a:rPr>
            <a:pPr algn="ctr"/>
            <a:t>Les cellules jaunes indiquent un lieu où vous devez saisir des données ou effectuer une sélection dans une liste déroulante.</a:t>
          </a:fld>
          <a:endParaRPr lang="en-US" sz="1100" b="1" i="1">
            <a:solidFill>
              <a:sysClr val="windowText" lastClr="000000"/>
            </a:solidFill>
          </a:endParaRPr>
        </a:p>
      </xdr:txBody>
    </xdr:sp>
    <xdr:clientData/>
  </xdr:twoCellAnchor>
  <xdr:twoCellAnchor>
    <xdr:from>
      <xdr:col>5</xdr:col>
      <xdr:colOff>2643</xdr:colOff>
      <xdr:row>12</xdr:row>
      <xdr:rowOff>238127</xdr:rowOff>
    </xdr:from>
    <xdr:to>
      <xdr:col>5</xdr:col>
      <xdr:colOff>559590</xdr:colOff>
      <xdr:row>15</xdr:row>
      <xdr:rowOff>190500</xdr:rowOff>
    </xdr:to>
    <xdr:sp macro="" textlink="">
      <xdr:nvSpPr>
        <xdr:cNvPr id="4" name="Isosceles Triangle 3">
          <a:extLst>
            <a:ext uri="{FF2B5EF4-FFF2-40B4-BE49-F238E27FC236}">
              <a16:creationId xmlns:a16="http://schemas.microsoft.com/office/drawing/2014/main" id="{0764F531-FC69-4D37-A012-5D34D5E71FC9}"/>
            </a:ext>
          </a:extLst>
        </xdr:cNvPr>
        <xdr:cNvSpPr/>
      </xdr:nvSpPr>
      <xdr:spPr>
        <a:xfrm rot="5400000">
          <a:off x="6436649" y="3936340"/>
          <a:ext cx="714373" cy="556947"/>
        </a:xfrm>
        <a:prstGeom prst="triangl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16</xdr:col>
      <xdr:colOff>5290</xdr:colOff>
      <xdr:row>31</xdr:row>
      <xdr:rowOff>31751</xdr:rowOff>
    </xdr:from>
    <xdr:to>
      <xdr:col>16</xdr:col>
      <xdr:colOff>545039</xdr:colOff>
      <xdr:row>33</xdr:row>
      <xdr:rowOff>164045</xdr:rowOff>
    </xdr:to>
    <xdr:sp macro="" textlink="">
      <xdr:nvSpPr>
        <xdr:cNvPr id="3" name="Isosceles Triangle 2">
          <a:extLst>
            <a:ext uri="{FF2B5EF4-FFF2-40B4-BE49-F238E27FC236}">
              <a16:creationId xmlns:a16="http://schemas.microsoft.com/office/drawing/2014/main" id="{A82A7465-ACEE-46F2-95BE-60A46E885817}"/>
            </a:ext>
          </a:extLst>
        </xdr:cNvPr>
        <xdr:cNvSpPr/>
      </xdr:nvSpPr>
      <xdr:spPr>
        <a:xfrm rot="5400000">
          <a:off x="11247434" y="6950607"/>
          <a:ext cx="746127" cy="539749"/>
        </a:xfrm>
        <a:prstGeom prst="triangl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317500</xdr:colOff>
      <xdr:row>2</xdr:row>
      <xdr:rowOff>84666</xdr:rowOff>
    </xdr:from>
    <xdr:to>
      <xdr:col>18</xdr:col>
      <xdr:colOff>338666</xdr:colOff>
      <xdr:row>4</xdr:row>
      <xdr:rowOff>84666</xdr:rowOff>
    </xdr:to>
    <xdr:sp macro="" textlink="'1. Country_Language Set Up'!$AA$14">
      <xdr:nvSpPr>
        <xdr:cNvPr id="5" name="Rectangle 4">
          <a:extLst>
            <a:ext uri="{FF2B5EF4-FFF2-40B4-BE49-F238E27FC236}">
              <a16:creationId xmlns:a16="http://schemas.microsoft.com/office/drawing/2014/main" id="{AA93B422-5561-4A18-A557-2758A428F2E6}"/>
            </a:ext>
          </a:extLst>
        </xdr:cNvPr>
        <xdr:cNvSpPr/>
      </xdr:nvSpPr>
      <xdr:spPr>
        <a:xfrm>
          <a:off x="7874000" y="497416"/>
          <a:ext cx="3090333" cy="423333"/>
        </a:xfrm>
        <a:prstGeom prst="rect">
          <a:avLst/>
        </a:prstGeom>
        <a:ln>
          <a:solidFill>
            <a:schemeClr val="accent5"/>
          </a:solid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lIns="0" tIns="0" rIns="0" bIns="0" rtlCol="0" anchor="ctr"/>
        <a:lstStyle/>
        <a:p>
          <a:pPr algn="ctr"/>
          <a:fld id="{7F61478D-E7E8-4287-B324-A985FAB5ADB1}" type="TxLink">
            <a:rPr lang="en-US" sz="1100" b="1" i="1" u="none" strike="noStrike">
              <a:solidFill>
                <a:srgbClr val="000000"/>
              </a:solidFill>
              <a:latin typeface="Calibri"/>
              <a:cs typeface="Calibri"/>
            </a:rPr>
            <a:pPr algn="ctr"/>
            <a:t>Les cellules jaunes indiquent un lieu où vous devez saisir des données ou effectuer une sélection dans une liste déroulante.</a:t>
          </a:fld>
          <a:endParaRPr lang="en-US" sz="1100" b="1" i="1">
            <a:solidFill>
              <a:sysClr val="windowText" lastClr="000000"/>
            </a:solidFill>
          </a:endParaRPr>
        </a:p>
      </xdr:txBody>
    </xdr:sp>
    <xdr:clientData/>
  </xdr:twoCellAnchor>
  <xdr:twoCellAnchor>
    <xdr:from>
      <xdr:col>13</xdr:col>
      <xdr:colOff>349250</xdr:colOff>
      <xdr:row>4</xdr:row>
      <xdr:rowOff>169335</xdr:rowOff>
    </xdr:from>
    <xdr:to>
      <xdr:col>18</xdr:col>
      <xdr:colOff>349250</xdr:colOff>
      <xdr:row>9</xdr:row>
      <xdr:rowOff>486833</xdr:rowOff>
    </xdr:to>
    <xdr:sp macro="" textlink="$AI$25">
      <xdr:nvSpPr>
        <xdr:cNvPr id="6" name="Rectangle 5">
          <a:extLst>
            <a:ext uri="{FF2B5EF4-FFF2-40B4-BE49-F238E27FC236}">
              <a16:creationId xmlns:a16="http://schemas.microsoft.com/office/drawing/2014/main" id="{CCB5A609-588C-47D5-894B-02046B5AC4EE}"/>
            </a:ext>
          </a:extLst>
        </xdr:cNvPr>
        <xdr:cNvSpPr/>
      </xdr:nvSpPr>
      <xdr:spPr>
        <a:xfrm>
          <a:off x="7905750" y="1005418"/>
          <a:ext cx="3069167" cy="1195915"/>
        </a:xfrm>
        <a:prstGeom prst="rect">
          <a:avLst/>
        </a:prstGeom>
        <a:solidFill>
          <a:schemeClr val="accent5">
            <a:lumMod val="20000"/>
            <a:lumOff val="80000"/>
          </a:schemeClr>
        </a:solidFill>
        <a:ln>
          <a:solidFill>
            <a:schemeClr val="accent5">
              <a:lumMod val="20000"/>
              <a:lumOff val="80000"/>
            </a:schemeClr>
          </a:solid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lIns="0" tIns="0" rIns="0" bIns="0" rtlCol="0" anchor="ctr"/>
        <a:lstStyle/>
        <a:p>
          <a:pPr algn="ctr"/>
          <a:fld id="{F65CE891-5E94-4496-AB7D-106AC96CAD0B}" type="TxLink">
            <a:rPr lang="en-US" sz="1100" b="0" i="0" u="none" strike="noStrike">
              <a:solidFill>
                <a:srgbClr val="000000"/>
              </a:solidFill>
              <a:latin typeface="Calibri"/>
              <a:cs typeface="Calibri"/>
            </a:rPr>
            <a:pPr algn="ctr"/>
            <a:t>Les cases en jaune clair indiquent où les données sont automatiquement renseignées ou calculées, mais vous pouvez les remplacer si vous disposez de données plus récentes.
Veuillez documenter toute modification des données par défaut</a:t>
          </a:fld>
          <a:endParaRPr lang="en-US" sz="1200" b="1" i="1">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12</xdr:col>
      <xdr:colOff>586050</xdr:colOff>
      <xdr:row>91</xdr:row>
      <xdr:rowOff>11909</xdr:rowOff>
    </xdr:from>
    <xdr:to>
      <xdr:col>13</xdr:col>
      <xdr:colOff>511966</xdr:colOff>
      <xdr:row>95</xdr:row>
      <xdr:rowOff>23813</xdr:rowOff>
    </xdr:to>
    <xdr:sp macro="" textlink="">
      <xdr:nvSpPr>
        <xdr:cNvPr id="4" name="Isosceles Triangle 3">
          <a:extLst>
            <a:ext uri="{FF2B5EF4-FFF2-40B4-BE49-F238E27FC236}">
              <a16:creationId xmlns:a16="http://schemas.microsoft.com/office/drawing/2014/main" id="{441B0A47-B919-4D00-AE1E-9B923C757A86}"/>
            </a:ext>
          </a:extLst>
        </xdr:cNvPr>
        <xdr:cNvSpPr/>
      </xdr:nvSpPr>
      <xdr:spPr>
        <a:xfrm rot="5400000">
          <a:off x="11699212" y="12496934"/>
          <a:ext cx="726279" cy="640291"/>
        </a:xfrm>
        <a:prstGeom prst="triangl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71437</xdr:colOff>
      <xdr:row>13</xdr:row>
      <xdr:rowOff>59530</xdr:rowOff>
    </xdr:from>
    <xdr:to>
      <xdr:col>0</xdr:col>
      <xdr:colOff>535782</xdr:colOff>
      <xdr:row>22</xdr:row>
      <xdr:rowOff>214312</xdr:rowOff>
    </xdr:to>
    <xdr:sp macro="" textlink="">
      <xdr:nvSpPr>
        <xdr:cNvPr id="5" name="Arrow: Down 4">
          <a:extLst>
            <a:ext uri="{FF2B5EF4-FFF2-40B4-BE49-F238E27FC236}">
              <a16:creationId xmlns:a16="http://schemas.microsoft.com/office/drawing/2014/main" id="{B14ADC75-BAA8-4621-A992-6769BB7190F4}"/>
            </a:ext>
          </a:extLst>
        </xdr:cNvPr>
        <xdr:cNvSpPr/>
      </xdr:nvSpPr>
      <xdr:spPr>
        <a:xfrm>
          <a:off x="71437" y="702468"/>
          <a:ext cx="464345" cy="2845594"/>
        </a:xfrm>
        <a:prstGeom prst="downArrow">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47625</xdr:colOff>
      <xdr:row>24</xdr:row>
      <xdr:rowOff>35718</xdr:rowOff>
    </xdr:from>
    <xdr:to>
      <xdr:col>0</xdr:col>
      <xdr:colOff>511970</xdr:colOff>
      <xdr:row>64</xdr:row>
      <xdr:rowOff>214313</xdr:rowOff>
    </xdr:to>
    <xdr:sp macro="" textlink="">
      <xdr:nvSpPr>
        <xdr:cNvPr id="6" name="Arrow: Down 5">
          <a:extLst>
            <a:ext uri="{FF2B5EF4-FFF2-40B4-BE49-F238E27FC236}">
              <a16:creationId xmlns:a16="http://schemas.microsoft.com/office/drawing/2014/main" id="{B9620FF2-FBA3-457A-8554-F34A915B84B7}"/>
            </a:ext>
          </a:extLst>
        </xdr:cNvPr>
        <xdr:cNvSpPr/>
      </xdr:nvSpPr>
      <xdr:spPr>
        <a:xfrm>
          <a:off x="47625" y="3714749"/>
          <a:ext cx="464345" cy="3083720"/>
        </a:xfrm>
        <a:prstGeom prst="downArrow">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59531</xdr:colOff>
      <xdr:row>64</xdr:row>
      <xdr:rowOff>452437</xdr:rowOff>
    </xdr:from>
    <xdr:to>
      <xdr:col>0</xdr:col>
      <xdr:colOff>523876</xdr:colOff>
      <xdr:row>92</xdr:row>
      <xdr:rowOff>119062</xdr:rowOff>
    </xdr:to>
    <xdr:sp macro="" textlink="">
      <xdr:nvSpPr>
        <xdr:cNvPr id="7" name="Arrow: Down 6">
          <a:extLst>
            <a:ext uri="{FF2B5EF4-FFF2-40B4-BE49-F238E27FC236}">
              <a16:creationId xmlns:a16="http://schemas.microsoft.com/office/drawing/2014/main" id="{15F0699D-2560-44B6-869D-DE21BDED2FF7}"/>
            </a:ext>
          </a:extLst>
        </xdr:cNvPr>
        <xdr:cNvSpPr/>
      </xdr:nvSpPr>
      <xdr:spPr>
        <a:xfrm>
          <a:off x="59531" y="7036593"/>
          <a:ext cx="464345" cy="5703094"/>
        </a:xfrm>
        <a:prstGeom prst="downArrow">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206376</xdr:colOff>
      <xdr:row>125</xdr:row>
      <xdr:rowOff>27514</xdr:rowOff>
    </xdr:from>
    <xdr:to>
      <xdr:col>5</xdr:col>
      <xdr:colOff>1166812</xdr:colOff>
      <xdr:row>136</xdr:row>
      <xdr:rowOff>154782</xdr:rowOff>
    </xdr:to>
    <xdr:sp macro="" textlink="">
      <xdr:nvSpPr>
        <xdr:cNvPr id="2" name="Rectangle 1">
          <a:extLst>
            <a:ext uri="{FF2B5EF4-FFF2-40B4-BE49-F238E27FC236}">
              <a16:creationId xmlns:a16="http://schemas.microsoft.com/office/drawing/2014/main" id="{90555CEC-80AB-4858-891F-9FD7DCA40A64}"/>
            </a:ext>
          </a:extLst>
        </xdr:cNvPr>
        <xdr:cNvSpPr/>
      </xdr:nvSpPr>
      <xdr:spPr>
        <a:xfrm>
          <a:off x="742157" y="22161233"/>
          <a:ext cx="5996780" cy="222276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This would be interpreted as "The data</a:t>
          </a:r>
          <a:r>
            <a:rPr lang="en-US" sz="1100" baseline="0"/>
            <a:t> we have on Contraceptive Commodities distributed to clients represents all IUD provision the country, but only 20% of condom provision"</a:t>
          </a:r>
        </a:p>
        <a:p>
          <a:pPr algn="l"/>
          <a:r>
            <a:rPr lang="en-US" sz="1100" baseline="0"/>
            <a:t>In our calculations, we will try to account for the rest of the condom provision by applying this adjustment factor the condom data you input. As we assume that the IUD data represents all provision, we don't need to make any adjustments to that data. //</a:t>
          </a:r>
        </a:p>
        <a:p>
          <a:pPr algn="l"/>
          <a:r>
            <a:rPr lang="en-US" sz="1100"/>
            <a:t>Cela serait interprété comme suit: "Les données dont nous disposons sur les produits contraceptifs distribués aux clients représentent toutes les fournitures de DIU du pays, mais seulement 20% de la fourniture de préservatifs"</a:t>
          </a:r>
        </a:p>
        <a:p>
          <a:pPr algn="l"/>
          <a:r>
            <a:rPr lang="en-US" sz="1100"/>
            <a:t>Dans nos calculs, nous essaierons de prendre en compte le reste de la fourniture de préservatif en appliquant ce facteur d'ajustement aux données de préservatif que vous avez entrées. Puisque nous supposons que les données du DIU représentent toutes les provisions, nous n’avons pas besoin d’y apporter d’ajustements.</a:t>
          </a:r>
        </a:p>
      </xdr:txBody>
    </xdr:sp>
    <xdr:clientData/>
  </xdr:twoCellAnchor>
  <xdr:twoCellAnchor>
    <xdr:from>
      <xdr:col>6</xdr:col>
      <xdr:colOff>515938</xdr:colOff>
      <xdr:row>122</xdr:row>
      <xdr:rowOff>142873</xdr:rowOff>
    </xdr:from>
    <xdr:to>
      <xdr:col>9</xdr:col>
      <xdr:colOff>178594</xdr:colOff>
      <xdr:row>139</xdr:row>
      <xdr:rowOff>11905</xdr:rowOff>
    </xdr:to>
    <xdr:sp macro="" textlink="">
      <xdr:nvSpPr>
        <xdr:cNvPr id="3" name="Rectangle 2">
          <a:extLst>
            <a:ext uri="{FF2B5EF4-FFF2-40B4-BE49-F238E27FC236}">
              <a16:creationId xmlns:a16="http://schemas.microsoft.com/office/drawing/2014/main" id="{8505DED3-CB48-4579-9E97-C385C9309FF9}"/>
            </a:ext>
          </a:extLst>
        </xdr:cNvPr>
        <xdr:cNvSpPr/>
      </xdr:nvSpPr>
      <xdr:spPr>
        <a:xfrm>
          <a:off x="7516813" y="21657467"/>
          <a:ext cx="3948906" cy="3155157"/>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n-US" sz="1100"/>
            <a:t>This would be interpreted as "The data</a:t>
          </a:r>
          <a:r>
            <a:rPr lang="en-US" sz="1100" baseline="0"/>
            <a:t> we have on FP Visits represents only 75% of IUD provision and 10% of condom provision in the country, as private sector providers aren't reporting into the FP visits data. "</a:t>
          </a:r>
        </a:p>
        <a:p>
          <a:pPr algn="l"/>
          <a:r>
            <a:rPr lang="en-US" sz="1100" baseline="0"/>
            <a:t>In our calculations, we will try to account for the rest of the IUD and condom visits provided in the private sector by applying this adjustment factor the IUD and condom data you input. //</a:t>
          </a:r>
        </a:p>
        <a:p>
          <a:pPr algn="l"/>
          <a:r>
            <a:rPr lang="en-US" sz="1100"/>
            <a:t>Cela serait interprété comme suit: "Les données dont nous disposons sur les visites de PF ne représentent que 75% de la fourniture de DIU et 10% de la fourniture de préservatifs dans le pays, car les prestataires du secteur privé ne font pas de rapport sur les données des visites de PF."</a:t>
          </a:r>
        </a:p>
        <a:p>
          <a:pPr algn="l"/>
          <a:r>
            <a:rPr lang="en-US" sz="1100"/>
            <a:t>Dans nos calculs, nous tenterons de comptabiliser le reste des visites de DIU et de préservatifs fournies dans le secteur privé en appliquant ce facteur d'ajustement aux données de DIU et de préservatif saisies.</a:t>
          </a:r>
        </a:p>
      </xdr:txBody>
    </xdr:sp>
    <xdr:clientData/>
  </xdr:twoCellAnchor>
  <xdr:twoCellAnchor>
    <xdr:from>
      <xdr:col>0</xdr:col>
      <xdr:colOff>11904</xdr:colOff>
      <xdr:row>11</xdr:row>
      <xdr:rowOff>253998</xdr:rowOff>
    </xdr:from>
    <xdr:to>
      <xdr:col>0</xdr:col>
      <xdr:colOff>476249</xdr:colOff>
      <xdr:row>38</xdr:row>
      <xdr:rowOff>142873</xdr:rowOff>
    </xdr:to>
    <xdr:sp macro="" textlink="">
      <xdr:nvSpPr>
        <xdr:cNvPr id="4" name="Arrow: Down 3">
          <a:extLst>
            <a:ext uri="{FF2B5EF4-FFF2-40B4-BE49-F238E27FC236}">
              <a16:creationId xmlns:a16="http://schemas.microsoft.com/office/drawing/2014/main" id="{DAEDFB85-EDCA-438F-B9E9-DCDEF4CC7A03}"/>
            </a:ext>
          </a:extLst>
        </xdr:cNvPr>
        <xdr:cNvSpPr/>
      </xdr:nvSpPr>
      <xdr:spPr>
        <a:xfrm>
          <a:off x="11904" y="3135311"/>
          <a:ext cx="464345" cy="4175125"/>
        </a:xfrm>
        <a:prstGeom prst="downArrow">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521971</xdr:colOff>
      <xdr:row>39</xdr:row>
      <xdr:rowOff>59295</xdr:rowOff>
    </xdr:from>
    <xdr:to>
      <xdr:col>10</xdr:col>
      <xdr:colOff>15717</xdr:colOff>
      <xdr:row>39</xdr:row>
      <xdr:rowOff>2524125</xdr:rowOff>
    </xdr:to>
    <xdr:graphicFrame macro="">
      <xdr:nvGraphicFramePr>
        <xdr:cNvPr id="6" name="Chart 5">
          <a:extLst>
            <a:ext uri="{FF2B5EF4-FFF2-40B4-BE49-F238E27FC236}">
              <a16:creationId xmlns:a16="http://schemas.microsoft.com/office/drawing/2014/main" id="{F90E17C6-7D73-40F4-B33C-93783020740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531257</xdr:colOff>
      <xdr:row>55</xdr:row>
      <xdr:rowOff>95250</xdr:rowOff>
    </xdr:from>
    <xdr:to>
      <xdr:col>9</xdr:col>
      <xdr:colOff>1426370</xdr:colOff>
      <xdr:row>63</xdr:row>
      <xdr:rowOff>115253</xdr:rowOff>
    </xdr:to>
    <xdr:graphicFrame macro="">
      <xdr:nvGraphicFramePr>
        <xdr:cNvPr id="7" name="Chart 6">
          <a:extLst>
            <a:ext uri="{FF2B5EF4-FFF2-40B4-BE49-F238E27FC236}">
              <a16:creationId xmlns:a16="http://schemas.microsoft.com/office/drawing/2014/main" id="{D6781525-C17D-42CD-A9A4-180BD0C8A40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62442</xdr:colOff>
      <xdr:row>45</xdr:row>
      <xdr:rowOff>83346</xdr:rowOff>
    </xdr:from>
    <xdr:to>
      <xdr:col>16</xdr:col>
      <xdr:colOff>678656</xdr:colOff>
      <xdr:row>48</xdr:row>
      <xdr:rowOff>142875</xdr:rowOff>
    </xdr:to>
    <xdr:sp macro="" textlink="">
      <xdr:nvSpPr>
        <xdr:cNvPr id="8" name="TextBox 7">
          <a:extLst>
            <a:ext uri="{FF2B5EF4-FFF2-40B4-BE49-F238E27FC236}">
              <a16:creationId xmlns:a16="http://schemas.microsoft.com/office/drawing/2014/main" id="{3E99E76B-A324-4ED6-ADA8-1439C22840D9}"/>
            </a:ext>
          </a:extLst>
        </xdr:cNvPr>
        <xdr:cNvSpPr txBox="1"/>
      </xdr:nvSpPr>
      <xdr:spPr>
        <a:xfrm>
          <a:off x="12778317" y="11727659"/>
          <a:ext cx="2044964" cy="1202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Leaving a cell blank assumes that</a:t>
          </a:r>
          <a:r>
            <a:rPr lang="en-US" sz="1100" baseline="0"/>
            <a:t> a sector is not represented in your data = 0% //Laisser une cellule vide suppose que ce qui n'est pas représenté dans vos données = 0%</a:t>
          </a:r>
          <a:endParaRPr lang="en-US" sz="1100"/>
        </a:p>
      </xdr:txBody>
    </xdr:sp>
    <xdr:clientData/>
  </xdr:twoCellAnchor>
  <xdr:twoCellAnchor>
    <xdr:from>
      <xdr:col>0</xdr:col>
      <xdr:colOff>11906</xdr:colOff>
      <xdr:row>39</xdr:row>
      <xdr:rowOff>95249</xdr:rowOff>
    </xdr:from>
    <xdr:to>
      <xdr:col>0</xdr:col>
      <xdr:colOff>476251</xdr:colOff>
      <xdr:row>40</xdr:row>
      <xdr:rowOff>321467</xdr:rowOff>
    </xdr:to>
    <xdr:sp macro="" textlink="">
      <xdr:nvSpPr>
        <xdr:cNvPr id="14" name="Arrow: Down 13">
          <a:extLst>
            <a:ext uri="{FF2B5EF4-FFF2-40B4-BE49-F238E27FC236}">
              <a16:creationId xmlns:a16="http://schemas.microsoft.com/office/drawing/2014/main" id="{3FE541F2-9349-4205-8180-AE629E88467E}"/>
            </a:ext>
          </a:extLst>
        </xdr:cNvPr>
        <xdr:cNvSpPr/>
      </xdr:nvSpPr>
      <xdr:spPr>
        <a:xfrm>
          <a:off x="11906" y="7477124"/>
          <a:ext cx="464345" cy="2536031"/>
        </a:xfrm>
        <a:prstGeom prst="downArrow">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41</xdr:row>
      <xdr:rowOff>142874</xdr:rowOff>
    </xdr:from>
    <xdr:to>
      <xdr:col>0</xdr:col>
      <xdr:colOff>464345</xdr:colOff>
      <xdr:row>49</xdr:row>
      <xdr:rowOff>107155</xdr:rowOff>
    </xdr:to>
    <xdr:sp macro="" textlink="">
      <xdr:nvSpPr>
        <xdr:cNvPr id="10" name="Arrow: Down 9">
          <a:extLst>
            <a:ext uri="{FF2B5EF4-FFF2-40B4-BE49-F238E27FC236}">
              <a16:creationId xmlns:a16="http://schemas.microsoft.com/office/drawing/2014/main" id="{2D35F1C0-72CB-46AA-82B2-A696E9061EC1}"/>
            </a:ext>
          </a:extLst>
        </xdr:cNvPr>
        <xdr:cNvSpPr/>
      </xdr:nvSpPr>
      <xdr:spPr>
        <a:xfrm>
          <a:off x="0" y="10179843"/>
          <a:ext cx="464345" cy="3095625"/>
        </a:xfrm>
        <a:prstGeom prst="downArrow">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35719</xdr:colOff>
      <xdr:row>56</xdr:row>
      <xdr:rowOff>0</xdr:rowOff>
    </xdr:from>
    <xdr:to>
      <xdr:col>0</xdr:col>
      <xdr:colOff>500064</xdr:colOff>
      <xdr:row>63</xdr:row>
      <xdr:rowOff>178593</xdr:rowOff>
    </xdr:to>
    <xdr:sp macro="" textlink="">
      <xdr:nvSpPr>
        <xdr:cNvPr id="11" name="Arrow: Down 10">
          <a:extLst>
            <a:ext uri="{FF2B5EF4-FFF2-40B4-BE49-F238E27FC236}">
              <a16:creationId xmlns:a16="http://schemas.microsoft.com/office/drawing/2014/main" id="{32AEA6A7-5F76-4158-938B-A457C7FA7C4E}"/>
            </a:ext>
          </a:extLst>
        </xdr:cNvPr>
        <xdr:cNvSpPr/>
      </xdr:nvSpPr>
      <xdr:spPr>
        <a:xfrm>
          <a:off x="35719" y="13811250"/>
          <a:ext cx="464345" cy="3726656"/>
        </a:xfrm>
        <a:prstGeom prst="downArrow">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68</xdr:row>
      <xdr:rowOff>250031</xdr:rowOff>
    </xdr:from>
    <xdr:to>
      <xdr:col>0</xdr:col>
      <xdr:colOff>464345</xdr:colOff>
      <xdr:row>120</xdr:row>
      <xdr:rowOff>23811</xdr:rowOff>
    </xdr:to>
    <xdr:sp macro="" textlink="">
      <xdr:nvSpPr>
        <xdr:cNvPr id="12" name="Arrow: Down 11">
          <a:extLst>
            <a:ext uri="{FF2B5EF4-FFF2-40B4-BE49-F238E27FC236}">
              <a16:creationId xmlns:a16="http://schemas.microsoft.com/office/drawing/2014/main" id="{C38230D0-7513-4CD2-ABAF-7570E47EB5B4}"/>
            </a:ext>
          </a:extLst>
        </xdr:cNvPr>
        <xdr:cNvSpPr/>
      </xdr:nvSpPr>
      <xdr:spPr>
        <a:xfrm>
          <a:off x="0" y="17811750"/>
          <a:ext cx="464345" cy="2952749"/>
        </a:xfrm>
        <a:prstGeom prst="downArrow">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1418828</xdr:colOff>
      <xdr:row>123</xdr:row>
      <xdr:rowOff>190500</xdr:rowOff>
    </xdr:from>
    <xdr:to>
      <xdr:col>4</xdr:col>
      <xdr:colOff>464344</xdr:colOff>
      <xdr:row>125</xdr:row>
      <xdr:rowOff>39420</xdr:rowOff>
    </xdr:to>
    <xdr:cxnSp macro="">
      <xdr:nvCxnSpPr>
        <xdr:cNvPr id="15" name="Straight Arrow Connector 14">
          <a:extLst>
            <a:ext uri="{FF2B5EF4-FFF2-40B4-BE49-F238E27FC236}">
              <a16:creationId xmlns:a16="http://schemas.microsoft.com/office/drawing/2014/main" id="{FA36821B-0D9D-44C2-B4F4-2B9CB9894C23}"/>
            </a:ext>
          </a:extLst>
        </xdr:cNvPr>
        <xdr:cNvCxnSpPr/>
      </xdr:nvCxnSpPr>
      <xdr:spPr>
        <a:xfrm flipV="1">
          <a:off x="3740547" y="21907500"/>
          <a:ext cx="867172" cy="26563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59531</xdr:colOff>
      <xdr:row>122</xdr:row>
      <xdr:rowOff>71437</xdr:rowOff>
    </xdr:from>
    <xdr:to>
      <xdr:col>7</xdr:col>
      <xdr:colOff>1061641</xdr:colOff>
      <xdr:row>122</xdr:row>
      <xdr:rowOff>142873</xdr:rowOff>
    </xdr:to>
    <xdr:cxnSp macro="">
      <xdr:nvCxnSpPr>
        <xdr:cNvPr id="17" name="Straight Arrow Connector 16">
          <a:extLst>
            <a:ext uri="{FF2B5EF4-FFF2-40B4-BE49-F238E27FC236}">
              <a16:creationId xmlns:a16="http://schemas.microsoft.com/office/drawing/2014/main" id="{2CB3526F-AE68-4388-8215-5FE604C56D8B}"/>
            </a:ext>
          </a:extLst>
        </xdr:cNvPr>
        <xdr:cNvCxnSpPr>
          <a:stCxn id="3" idx="0"/>
        </xdr:cNvCxnSpPr>
      </xdr:nvCxnSpPr>
      <xdr:spPr>
        <a:xfrm flipH="1" flipV="1">
          <a:off x="7060406" y="21586031"/>
          <a:ext cx="2430860" cy="71436"/>
        </a:xfrm>
        <a:prstGeom prst="straightConnector1">
          <a:avLst/>
        </a:prstGeom>
        <a:ln>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xdr:colOff>
      <xdr:row>95</xdr:row>
      <xdr:rowOff>3</xdr:rowOff>
    </xdr:from>
    <xdr:to>
      <xdr:col>15</xdr:col>
      <xdr:colOff>167851</xdr:colOff>
      <xdr:row>102</xdr:row>
      <xdr:rowOff>15719</xdr:rowOff>
    </xdr:to>
    <xdr:sp macro="" textlink="">
      <xdr:nvSpPr>
        <xdr:cNvPr id="21" name="Isosceles Triangle 20">
          <a:extLst>
            <a:ext uri="{FF2B5EF4-FFF2-40B4-BE49-F238E27FC236}">
              <a16:creationId xmlns:a16="http://schemas.microsoft.com/office/drawing/2014/main" id="{A95434C1-3F26-4708-B253-BF989368EC70}"/>
            </a:ext>
          </a:extLst>
        </xdr:cNvPr>
        <xdr:cNvSpPr/>
      </xdr:nvSpPr>
      <xdr:spPr>
        <a:xfrm rot="5400000">
          <a:off x="13744443" y="18678661"/>
          <a:ext cx="815816" cy="663150"/>
        </a:xfrm>
        <a:prstGeom prst="triangl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582082</xdr:colOff>
      <xdr:row>9</xdr:row>
      <xdr:rowOff>99484</xdr:rowOff>
    </xdr:from>
    <xdr:to>
      <xdr:col>4</xdr:col>
      <xdr:colOff>1174749</xdr:colOff>
      <xdr:row>22</xdr:row>
      <xdr:rowOff>63499</xdr:rowOff>
    </xdr:to>
    <xdr:graphicFrame macro="">
      <xdr:nvGraphicFramePr>
        <xdr:cNvPr id="3" name="Chart 2">
          <a:extLst>
            <a:ext uri="{FF2B5EF4-FFF2-40B4-BE49-F238E27FC236}">
              <a16:creationId xmlns:a16="http://schemas.microsoft.com/office/drawing/2014/main" id="{73EFEB81-68E7-425F-9AE1-02B8A6136ED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526</xdr:colOff>
      <xdr:row>48</xdr:row>
      <xdr:rowOff>2172</xdr:rowOff>
    </xdr:from>
    <xdr:to>
      <xdr:col>13</xdr:col>
      <xdr:colOff>179068</xdr:colOff>
      <xdr:row>58</xdr:row>
      <xdr:rowOff>154782</xdr:rowOff>
    </xdr:to>
    <xdr:sp macro="" textlink="">
      <xdr:nvSpPr>
        <xdr:cNvPr id="5" name="Isosceles Triangle 4">
          <a:extLst>
            <a:ext uri="{FF2B5EF4-FFF2-40B4-BE49-F238E27FC236}">
              <a16:creationId xmlns:a16="http://schemas.microsoft.com/office/drawing/2014/main" id="{E1C9CA4C-8E60-491F-A3BF-6BCD508E5146}"/>
            </a:ext>
          </a:extLst>
        </xdr:cNvPr>
        <xdr:cNvSpPr/>
      </xdr:nvSpPr>
      <xdr:spPr>
        <a:xfrm rot="5400000">
          <a:off x="9359899" y="11776393"/>
          <a:ext cx="1950454" cy="500011"/>
        </a:xfrm>
        <a:prstGeom prst="triangl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27215</xdr:colOff>
      <xdr:row>106</xdr:row>
      <xdr:rowOff>8165</xdr:rowOff>
    </xdr:from>
    <xdr:to>
      <xdr:col>3</xdr:col>
      <xdr:colOff>693964</xdr:colOff>
      <xdr:row>118</xdr:row>
      <xdr:rowOff>174171</xdr:rowOff>
    </xdr:to>
    <xdr:graphicFrame macro="">
      <xdr:nvGraphicFramePr>
        <xdr:cNvPr id="3" name="Chart 2">
          <a:extLst>
            <a:ext uri="{FF2B5EF4-FFF2-40B4-BE49-F238E27FC236}">
              <a16:creationId xmlns:a16="http://schemas.microsoft.com/office/drawing/2014/main" id="{00000000-0008-0000-0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40821</xdr:colOff>
      <xdr:row>106</xdr:row>
      <xdr:rowOff>27215</xdr:rowOff>
    </xdr:from>
    <xdr:to>
      <xdr:col>10</xdr:col>
      <xdr:colOff>702467</xdr:colOff>
      <xdr:row>118</xdr:row>
      <xdr:rowOff>122465</xdr:rowOff>
    </xdr:to>
    <xdr:graphicFrame macro="">
      <xdr:nvGraphicFramePr>
        <xdr:cNvPr id="4" name="Chart 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13606</xdr:colOff>
      <xdr:row>106</xdr:row>
      <xdr:rowOff>27215</xdr:rowOff>
    </xdr:from>
    <xdr:to>
      <xdr:col>16</xdr:col>
      <xdr:colOff>976922</xdr:colOff>
      <xdr:row>118</xdr:row>
      <xdr:rowOff>190500</xdr:rowOff>
    </xdr:to>
    <xdr:graphicFrame macro="">
      <xdr:nvGraphicFramePr>
        <xdr:cNvPr id="5" name="Chart 4">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27215</xdr:colOff>
      <xdr:row>125</xdr:row>
      <xdr:rowOff>13607</xdr:rowOff>
    </xdr:from>
    <xdr:to>
      <xdr:col>3</xdr:col>
      <xdr:colOff>693964</xdr:colOff>
      <xdr:row>137</xdr:row>
      <xdr:rowOff>122464</xdr:rowOff>
    </xdr:to>
    <xdr:graphicFrame macro="">
      <xdr:nvGraphicFramePr>
        <xdr:cNvPr id="6" name="Chart 5">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35717</xdr:colOff>
      <xdr:row>125</xdr:row>
      <xdr:rowOff>23812</xdr:rowOff>
    </xdr:from>
    <xdr:to>
      <xdr:col>10</xdr:col>
      <xdr:colOff>714373</xdr:colOff>
      <xdr:row>137</xdr:row>
      <xdr:rowOff>166006</xdr:rowOff>
    </xdr:to>
    <xdr:graphicFrame macro="">
      <xdr:nvGraphicFramePr>
        <xdr:cNvPr id="7" name="Chart 6">
          <a:extLst>
            <a:ext uri="{FF2B5EF4-FFF2-40B4-BE49-F238E27FC236}">
              <a16:creationId xmlns:a16="http://schemas.microsoft.com/office/drawing/2014/main" id="{00000000-0008-0000-0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23812</xdr:colOff>
      <xdr:row>125</xdr:row>
      <xdr:rowOff>54429</xdr:rowOff>
    </xdr:from>
    <xdr:to>
      <xdr:col>16</xdr:col>
      <xdr:colOff>727984</xdr:colOff>
      <xdr:row>137</xdr:row>
      <xdr:rowOff>142875</xdr:rowOff>
    </xdr:to>
    <xdr:graphicFrame macro="">
      <xdr:nvGraphicFramePr>
        <xdr:cNvPr id="8" name="Chart 7">
          <a:extLst>
            <a:ext uri="{FF2B5EF4-FFF2-40B4-BE49-F238E27FC236}">
              <a16:creationId xmlns:a16="http://schemas.microsoft.com/office/drawing/2014/main" id="{00000000-0008-0000-0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15308</xdr:colOff>
      <xdr:row>144</xdr:row>
      <xdr:rowOff>20410</xdr:rowOff>
    </xdr:from>
    <xdr:to>
      <xdr:col>3</xdr:col>
      <xdr:colOff>642937</xdr:colOff>
      <xdr:row>156</xdr:row>
      <xdr:rowOff>130969</xdr:rowOff>
    </xdr:to>
    <xdr:graphicFrame macro="">
      <xdr:nvGraphicFramePr>
        <xdr:cNvPr id="9" name="Chart 8">
          <a:extLst>
            <a:ext uri="{FF2B5EF4-FFF2-40B4-BE49-F238E27FC236}">
              <a16:creationId xmlns:a16="http://schemas.microsoft.com/office/drawing/2014/main" id="{00000000-0008-0000-0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47624</xdr:colOff>
      <xdr:row>144</xdr:row>
      <xdr:rowOff>35719</xdr:rowOff>
    </xdr:from>
    <xdr:to>
      <xdr:col>10</xdr:col>
      <xdr:colOff>719477</xdr:colOff>
      <xdr:row>156</xdr:row>
      <xdr:rowOff>172809</xdr:rowOff>
    </xdr:to>
    <xdr:graphicFrame macro="">
      <xdr:nvGraphicFramePr>
        <xdr:cNvPr id="10" name="Chart 9">
          <a:extLst>
            <a:ext uri="{FF2B5EF4-FFF2-40B4-BE49-F238E27FC236}">
              <a16:creationId xmlns:a16="http://schemas.microsoft.com/office/drawing/2014/main" id="{00000000-0008-0000-0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884464</xdr:colOff>
      <xdr:row>164</xdr:row>
      <xdr:rowOff>108860</xdr:rowOff>
    </xdr:from>
    <xdr:to>
      <xdr:col>11</xdr:col>
      <xdr:colOff>716076</xdr:colOff>
      <xdr:row>171</xdr:row>
      <xdr:rowOff>54428</xdr:rowOff>
    </xdr:to>
    <xdr:sp macro="" textlink="">
      <xdr:nvSpPr>
        <xdr:cNvPr id="11" name="Isosceles Triangle 10">
          <a:extLst>
            <a:ext uri="{FF2B5EF4-FFF2-40B4-BE49-F238E27FC236}">
              <a16:creationId xmlns:a16="http://schemas.microsoft.com/office/drawing/2014/main" id="{00000000-0008-0000-0500-00000B000000}"/>
            </a:ext>
          </a:extLst>
        </xdr:cNvPr>
        <xdr:cNvSpPr/>
      </xdr:nvSpPr>
      <xdr:spPr>
        <a:xfrm rot="5400000">
          <a:off x="10352485" y="23991946"/>
          <a:ext cx="979711" cy="784112"/>
        </a:xfrm>
        <a:prstGeom prst="triangl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17</xdr:col>
      <xdr:colOff>193902</xdr:colOff>
      <xdr:row>105</xdr:row>
      <xdr:rowOff>28914</xdr:rowOff>
    </xdr:from>
    <xdr:to>
      <xdr:col>19</xdr:col>
      <xdr:colOff>562997</xdr:colOff>
      <xdr:row>144</xdr:row>
      <xdr:rowOff>87085</xdr:rowOff>
    </xdr:to>
    <xdr:sp macro="" textlink="">
      <xdr:nvSpPr>
        <xdr:cNvPr id="2" name="TextBox 1">
          <a:extLst>
            <a:ext uri="{FF2B5EF4-FFF2-40B4-BE49-F238E27FC236}">
              <a16:creationId xmlns:a16="http://schemas.microsoft.com/office/drawing/2014/main" id="{00000000-0008-0000-0500-000002000000}"/>
            </a:ext>
          </a:extLst>
        </xdr:cNvPr>
        <xdr:cNvSpPr txBox="1"/>
      </xdr:nvSpPr>
      <xdr:spPr>
        <a:xfrm>
          <a:off x="16903473" y="11208543"/>
          <a:ext cx="2328524" cy="8864713"/>
        </a:xfrm>
        <a:prstGeom prst="rect">
          <a:avLst/>
        </a:prstGeom>
        <a:solidFill>
          <a:schemeClr val="tx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rPr>
            <a:t>Review</a:t>
          </a:r>
          <a:r>
            <a:rPr lang="en-US" sz="1100" baseline="0">
              <a:solidFill>
                <a:schemeClr val="bg1"/>
              </a:solidFill>
            </a:rPr>
            <a:t> the graphs to the left. </a:t>
          </a:r>
        </a:p>
        <a:p>
          <a:endParaRPr lang="en-US" sz="1100" baseline="0">
            <a:solidFill>
              <a:schemeClr val="bg1"/>
            </a:solidFill>
          </a:endParaRPr>
        </a:p>
        <a:p>
          <a:r>
            <a:rPr lang="en-US" sz="1100" baseline="0">
              <a:solidFill>
                <a:schemeClr val="bg1"/>
              </a:solidFill>
            </a:rPr>
            <a:t>Some questions to consider:</a:t>
          </a:r>
        </a:p>
        <a:p>
          <a:endParaRPr lang="en-US" sz="1100" baseline="0">
            <a:solidFill>
              <a:schemeClr val="bg1"/>
            </a:solidFill>
          </a:endParaRPr>
        </a:p>
        <a:p>
          <a:r>
            <a:rPr lang="en-US" sz="1100" baseline="0">
              <a:solidFill>
                <a:schemeClr val="bg1"/>
              </a:solidFill>
            </a:rPr>
            <a:t>-  How are these trends being influenced by reporting rates? Should some years be excluded for low or inconsistent reporting rates?</a:t>
          </a:r>
        </a:p>
        <a:p>
          <a:endParaRPr lang="en-US" sz="1100" baseline="0">
            <a:solidFill>
              <a:schemeClr val="bg1"/>
            </a:solidFill>
          </a:endParaRPr>
        </a:p>
        <a:p>
          <a:r>
            <a:rPr lang="en-US" sz="1100" baseline="0">
              <a:solidFill>
                <a:schemeClr val="bg1"/>
              </a:solidFill>
            </a:rPr>
            <a:t>- Do trends look consistent with your understanding of current programs in FP?</a:t>
          </a:r>
        </a:p>
        <a:p>
          <a:endParaRPr lang="en-US" sz="1100" baseline="0">
            <a:solidFill>
              <a:schemeClr val="bg1"/>
            </a:solidFill>
          </a:endParaRPr>
        </a:p>
        <a:p>
          <a:r>
            <a:rPr lang="en-US" sz="1100" baseline="0">
              <a:solidFill>
                <a:schemeClr val="bg1"/>
              </a:solidFill>
            </a:rPr>
            <a:t>-  If declines in a given method are seen, are these consistent with changes in method availabilty, distribution, and your understanding of trends in method choice?</a:t>
          </a:r>
        </a:p>
        <a:p>
          <a:endParaRPr lang="en-US" sz="1100" baseline="0">
            <a:solidFill>
              <a:schemeClr val="bg1"/>
            </a:solidFill>
          </a:endParaRPr>
        </a:p>
        <a:p>
          <a:r>
            <a:rPr lang="en-US" sz="1100" baseline="0">
              <a:solidFill>
                <a:schemeClr val="bg1"/>
              </a:solidFill>
            </a:rPr>
            <a:t>- If dramatic growth in a given method is seen, is this attributable to the introduction of a new method? New or expanded efforts to socialize that method? Or might it be attributable to changes in the reporting system/incentives?</a:t>
          </a:r>
        </a:p>
        <a:p>
          <a:endParaRPr lang="en-US" sz="1100" baseline="0">
            <a:solidFill>
              <a:schemeClr val="bg1"/>
            </a:solidFill>
          </a:endParaRPr>
        </a:p>
        <a:p>
          <a:r>
            <a:rPr lang="en-US" sz="1100" baseline="0">
              <a:solidFill>
                <a:schemeClr val="bg1"/>
              </a:solidFill>
            </a:rPr>
            <a:t>-  Are declines in one method accompanied by growth in another method, indicating women switching between methods?</a:t>
          </a:r>
        </a:p>
        <a:p>
          <a:endParaRPr lang="en-US" sz="1100" baseline="0">
            <a:solidFill>
              <a:schemeClr val="bg1"/>
            </a:solidFill>
          </a:endParaRPr>
        </a:p>
        <a:p>
          <a:r>
            <a:rPr lang="en-US" sz="1100" baseline="0">
              <a:solidFill>
                <a:schemeClr val="bg1"/>
              </a:solidFill>
            </a:rPr>
            <a:t>- Are there any outlying values (very high or very low compared to the overall trend for the method)? If so, could this be a data quality issue? </a:t>
          </a:r>
        </a:p>
        <a:p>
          <a:endParaRPr lang="en-US" sz="1100" baseline="0">
            <a:solidFill>
              <a:schemeClr val="bg1"/>
            </a:solidFill>
          </a:endParaRPr>
        </a:p>
      </xdr:txBody>
    </xdr:sp>
    <xdr:clientData/>
  </xdr:twoCellAnchor>
  <xdr:twoCellAnchor>
    <xdr:from>
      <xdr:col>12</xdr:col>
      <xdr:colOff>23812</xdr:colOff>
      <xdr:row>144</xdr:row>
      <xdr:rowOff>54429</xdr:rowOff>
    </xdr:from>
    <xdr:to>
      <xdr:col>16</xdr:col>
      <xdr:colOff>727984</xdr:colOff>
      <xdr:row>156</xdr:row>
      <xdr:rowOff>142875</xdr:rowOff>
    </xdr:to>
    <xdr:graphicFrame macro="">
      <xdr:nvGraphicFramePr>
        <xdr:cNvPr id="13" name="Chart 12">
          <a:extLst>
            <a:ext uri="{FF2B5EF4-FFF2-40B4-BE49-F238E27FC236}">
              <a16:creationId xmlns:a16="http://schemas.microsoft.com/office/drawing/2014/main" id="{00000000-0008-0000-05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19</xdr:col>
      <xdr:colOff>666750</xdr:colOff>
      <xdr:row>105</xdr:row>
      <xdr:rowOff>11906</xdr:rowOff>
    </xdr:from>
    <xdr:to>
      <xdr:col>22</xdr:col>
      <xdr:colOff>83345</xdr:colOff>
      <xdr:row>144</xdr:row>
      <xdr:rowOff>76541</xdr:rowOff>
    </xdr:to>
    <xdr:sp macro="" textlink="">
      <xdr:nvSpPr>
        <xdr:cNvPr id="14" name="TextBox 13">
          <a:extLst>
            <a:ext uri="{FF2B5EF4-FFF2-40B4-BE49-F238E27FC236}">
              <a16:creationId xmlns:a16="http://schemas.microsoft.com/office/drawing/2014/main" id="{B5FAA216-B149-48B2-BE3D-92080D02FB8C}"/>
            </a:ext>
          </a:extLst>
        </xdr:cNvPr>
        <xdr:cNvSpPr txBox="1"/>
      </xdr:nvSpPr>
      <xdr:spPr>
        <a:xfrm>
          <a:off x="18442781" y="10810875"/>
          <a:ext cx="2274095" cy="7970385"/>
        </a:xfrm>
        <a:prstGeom prst="rect">
          <a:avLst/>
        </a:prstGeom>
        <a:solidFill>
          <a:schemeClr val="tx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rPr>
            <a:t>Examinez les graphiques de gauche.</a:t>
          </a:r>
        </a:p>
        <a:p>
          <a:r>
            <a:rPr lang="en-US" sz="1100">
              <a:solidFill>
                <a:schemeClr val="bg1"/>
              </a:solidFill>
            </a:rPr>
            <a:t> Quelques questions à considérer :</a:t>
          </a:r>
          <a:endParaRPr lang="en-US" sz="1100" baseline="0">
            <a:solidFill>
              <a:schemeClr val="bg1"/>
            </a:solidFill>
          </a:endParaRPr>
        </a:p>
        <a:p>
          <a:endParaRPr lang="en-US" sz="1100" baseline="0">
            <a:solidFill>
              <a:schemeClr val="bg1"/>
            </a:solidFill>
          </a:endParaRPr>
        </a:p>
        <a:p>
          <a:r>
            <a:rPr lang="en-US" sz="1100" baseline="0">
              <a:solidFill>
                <a:schemeClr val="bg1"/>
              </a:solidFill>
            </a:rPr>
            <a:t>-  Comment ces tendances sont-elles influencées par les taux de déclaration ? Certaines années devraient-elles être exclues en raison de taux de déclaration faibles ou incohérents ?</a:t>
          </a:r>
        </a:p>
        <a:p>
          <a:endParaRPr lang="en-US" sz="1100" baseline="0">
            <a:solidFill>
              <a:schemeClr val="bg1"/>
            </a:solidFill>
          </a:endParaRPr>
        </a:p>
        <a:p>
          <a:r>
            <a:rPr lang="en-US" sz="1100" baseline="0">
              <a:solidFill>
                <a:schemeClr val="bg1"/>
              </a:solidFill>
            </a:rPr>
            <a:t>- Les tendances semblent-elles cohérentes avec votre compréhension des programmes actuels de la PF ?</a:t>
          </a:r>
        </a:p>
        <a:p>
          <a:endParaRPr lang="en-US" sz="1100" baseline="0">
            <a:solidFill>
              <a:schemeClr val="bg1"/>
            </a:solidFill>
          </a:endParaRPr>
        </a:p>
        <a:p>
          <a:r>
            <a:rPr lang="en-US" sz="1100" baseline="0">
              <a:solidFill>
                <a:schemeClr val="bg1"/>
              </a:solidFill>
            </a:rPr>
            <a:t>- Si des déclins sont notés pour une méthode donnée, sont-ils cohérents avec les changements liés à la disponibilité de la méthode, la distribution et votre compréhension des tendances dans le choix de la méthode ?</a:t>
          </a:r>
        </a:p>
        <a:p>
          <a:endParaRPr lang="en-US" sz="1100" baseline="0">
            <a:solidFill>
              <a:schemeClr val="bg1"/>
            </a:solidFill>
          </a:endParaRPr>
        </a:p>
        <a:p>
          <a:r>
            <a:rPr lang="en-US" sz="1100" baseline="0">
              <a:solidFill>
                <a:schemeClr val="bg1"/>
              </a:solidFill>
            </a:rPr>
            <a:t>- Si une croissance spectaculaire est notée dans une méthode donnée, est-elle attribuée à l'introduction d'une nouvelle méthode ? De nouveaux efforts, ou des efforts intensifiés pour socialiser cette méthode ? Ou pourrait-elle être attribuée à des changements dans le système de déclaration / aux encouragements ?</a:t>
          </a:r>
        </a:p>
        <a:p>
          <a:endParaRPr lang="en-US" sz="1100" baseline="0">
            <a:solidFill>
              <a:schemeClr val="bg1"/>
            </a:solidFill>
          </a:endParaRPr>
        </a:p>
        <a:p>
          <a:r>
            <a:rPr lang="en-US" sz="1100" baseline="0">
              <a:solidFill>
                <a:schemeClr val="bg1"/>
              </a:solidFill>
            </a:rPr>
            <a:t>-  Les déclins dans une méthode, accompagnés par la croissance d'une autre méthode, indiquent-ils une commutation entre les méthodes chez les femmes ?</a:t>
          </a:r>
        </a:p>
        <a:p>
          <a:endParaRPr lang="en-US" sz="1100" baseline="0">
            <a:solidFill>
              <a:schemeClr val="bg1"/>
            </a:solidFill>
          </a:endParaRPr>
        </a:p>
        <a:p>
          <a:r>
            <a:rPr lang="en-US" sz="1100" baseline="0">
              <a:solidFill>
                <a:schemeClr val="bg1"/>
              </a:solidFill>
            </a:rPr>
            <a:t>- Y-a-t-il des valeurs éloignées (très élevées, ou très faibles par comparaison à la tendance générale pour la méthode) ? Si tel est le cas, s'agirait-il d'un problème de qualité des données ?</a:t>
          </a:r>
        </a:p>
      </xdr:txBody>
    </xdr:sp>
    <xdr:clientData/>
  </xdr:twoCellAnchor>
  <xdr:twoCellAnchor>
    <xdr:from>
      <xdr:col>17</xdr:col>
      <xdr:colOff>911677</xdr:colOff>
      <xdr:row>2</xdr:row>
      <xdr:rowOff>204106</xdr:rowOff>
    </xdr:from>
    <xdr:to>
      <xdr:col>18</xdr:col>
      <xdr:colOff>685193</xdr:colOff>
      <xdr:row>5</xdr:row>
      <xdr:rowOff>136071</xdr:rowOff>
    </xdr:to>
    <xdr:sp macro="" textlink="">
      <xdr:nvSpPr>
        <xdr:cNvPr id="15" name="Isosceles Triangle 14">
          <a:extLst>
            <a:ext uri="{FF2B5EF4-FFF2-40B4-BE49-F238E27FC236}">
              <a16:creationId xmlns:a16="http://schemas.microsoft.com/office/drawing/2014/main" id="{E9446D3E-9653-485D-8415-C3C0394F4603}"/>
            </a:ext>
          </a:extLst>
        </xdr:cNvPr>
        <xdr:cNvSpPr/>
      </xdr:nvSpPr>
      <xdr:spPr>
        <a:xfrm rot="5400000">
          <a:off x="17535221" y="739170"/>
          <a:ext cx="544286" cy="726016"/>
        </a:xfrm>
        <a:prstGeom prst="triangl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6</xdr:row>
      <xdr:rowOff>27214</xdr:rowOff>
    </xdr:from>
    <xdr:to>
      <xdr:col>0</xdr:col>
      <xdr:colOff>272143</xdr:colOff>
      <xdr:row>15</xdr:row>
      <xdr:rowOff>136071</xdr:rowOff>
    </xdr:to>
    <xdr:sp macro="" textlink="">
      <xdr:nvSpPr>
        <xdr:cNvPr id="16" name="Arrow: Down 15">
          <a:extLst>
            <a:ext uri="{FF2B5EF4-FFF2-40B4-BE49-F238E27FC236}">
              <a16:creationId xmlns:a16="http://schemas.microsoft.com/office/drawing/2014/main" id="{A797930A-B061-492B-8C7E-24918926ADC3}"/>
            </a:ext>
          </a:extLst>
        </xdr:cNvPr>
        <xdr:cNvSpPr/>
      </xdr:nvSpPr>
      <xdr:spPr>
        <a:xfrm>
          <a:off x="0" y="1605643"/>
          <a:ext cx="272143" cy="2313214"/>
        </a:xfrm>
        <a:prstGeom prst="downArrow">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32658</xdr:colOff>
      <xdr:row>16</xdr:row>
      <xdr:rowOff>0</xdr:rowOff>
    </xdr:from>
    <xdr:to>
      <xdr:col>1</xdr:col>
      <xdr:colOff>17418</xdr:colOff>
      <xdr:row>29</xdr:row>
      <xdr:rowOff>11703</xdr:rowOff>
    </xdr:to>
    <xdr:sp macro="" textlink="">
      <xdr:nvSpPr>
        <xdr:cNvPr id="17" name="Arrow: Down 16">
          <a:extLst>
            <a:ext uri="{FF2B5EF4-FFF2-40B4-BE49-F238E27FC236}">
              <a16:creationId xmlns:a16="http://schemas.microsoft.com/office/drawing/2014/main" id="{3C838D0E-D74F-4CEC-9CC2-0F0B9361B2CF}"/>
            </a:ext>
          </a:extLst>
        </xdr:cNvPr>
        <xdr:cNvSpPr/>
      </xdr:nvSpPr>
      <xdr:spPr>
        <a:xfrm>
          <a:off x="32658" y="3374571"/>
          <a:ext cx="289560" cy="2885532"/>
        </a:xfrm>
        <a:prstGeom prst="downArrow">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16329</xdr:colOff>
      <xdr:row>31</xdr:row>
      <xdr:rowOff>125185</xdr:rowOff>
    </xdr:from>
    <xdr:to>
      <xdr:col>0</xdr:col>
      <xdr:colOff>285751</xdr:colOff>
      <xdr:row>45</xdr:row>
      <xdr:rowOff>340178</xdr:rowOff>
    </xdr:to>
    <xdr:sp macro="" textlink="">
      <xdr:nvSpPr>
        <xdr:cNvPr id="18" name="Arrow: Down 17">
          <a:extLst>
            <a:ext uri="{FF2B5EF4-FFF2-40B4-BE49-F238E27FC236}">
              <a16:creationId xmlns:a16="http://schemas.microsoft.com/office/drawing/2014/main" id="{23ADF749-F7ED-472C-A340-CAEBEF3FAAAE}"/>
            </a:ext>
          </a:extLst>
        </xdr:cNvPr>
        <xdr:cNvSpPr/>
      </xdr:nvSpPr>
      <xdr:spPr>
        <a:xfrm>
          <a:off x="16329" y="7473042"/>
          <a:ext cx="269422" cy="3235779"/>
        </a:xfrm>
        <a:prstGeom prst="downArrow">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102</xdr:row>
      <xdr:rowOff>291191</xdr:rowOff>
    </xdr:from>
    <xdr:to>
      <xdr:col>0</xdr:col>
      <xdr:colOff>244929</xdr:colOff>
      <xdr:row>121</xdr:row>
      <xdr:rowOff>258536</xdr:rowOff>
    </xdr:to>
    <xdr:sp macro="" textlink="">
      <xdr:nvSpPr>
        <xdr:cNvPr id="19" name="Arrow: Down 18">
          <a:extLst>
            <a:ext uri="{FF2B5EF4-FFF2-40B4-BE49-F238E27FC236}">
              <a16:creationId xmlns:a16="http://schemas.microsoft.com/office/drawing/2014/main" id="{78D024F8-8241-4C0F-82E5-D62F03AC6603}"/>
            </a:ext>
          </a:extLst>
        </xdr:cNvPr>
        <xdr:cNvSpPr/>
      </xdr:nvSpPr>
      <xdr:spPr>
        <a:xfrm>
          <a:off x="0" y="11489870"/>
          <a:ext cx="244929" cy="3532416"/>
        </a:xfrm>
        <a:prstGeom prst="downArrow">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124</xdr:row>
      <xdr:rowOff>0</xdr:rowOff>
    </xdr:from>
    <xdr:to>
      <xdr:col>0</xdr:col>
      <xdr:colOff>244929</xdr:colOff>
      <xdr:row>141</xdr:row>
      <xdr:rowOff>212273</xdr:rowOff>
    </xdr:to>
    <xdr:sp macro="" textlink="">
      <xdr:nvSpPr>
        <xdr:cNvPr id="20" name="Arrow: Down 19">
          <a:extLst>
            <a:ext uri="{FF2B5EF4-FFF2-40B4-BE49-F238E27FC236}">
              <a16:creationId xmlns:a16="http://schemas.microsoft.com/office/drawing/2014/main" id="{F4FA4ADE-6104-4B33-A6B8-E772DDE34FCC}"/>
            </a:ext>
          </a:extLst>
        </xdr:cNvPr>
        <xdr:cNvSpPr/>
      </xdr:nvSpPr>
      <xdr:spPr>
        <a:xfrm>
          <a:off x="0" y="15784286"/>
          <a:ext cx="244929" cy="3532416"/>
        </a:xfrm>
        <a:prstGeom prst="downArrow">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143</xdr:row>
      <xdr:rowOff>0</xdr:rowOff>
    </xdr:from>
    <xdr:to>
      <xdr:col>0</xdr:col>
      <xdr:colOff>244929</xdr:colOff>
      <xdr:row>160</xdr:row>
      <xdr:rowOff>89809</xdr:rowOff>
    </xdr:to>
    <xdr:sp macro="" textlink="">
      <xdr:nvSpPr>
        <xdr:cNvPr id="21" name="Arrow: Down 20">
          <a:extLst>
            <a:ext uri="{FF2B5EF4-FFF2-40B4-BE49-F238E27FC236}">
              <a16:creationId xmlns:a16="http://schemas.microsoft.com/office/drawing/2014/main" id="{690CDEB9-9A47-48EF-80B2-983DFE0BEA26}"/>
            </a:ext>
          </a:extLst>
        </xdr:cNvPr>
        <xdr:cNvSpPr/>
      </xdr:nvSpPr>
      <xdr:spPr>
        <a:xfrm>
          <a:off x="0" y="19716750"/>
          <a:ext cx="244929" cy="3532416"/>
        </a:xfrm>
        <a:prstGeom prst="downArrow">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32660</xdr:colOff>
      <xdr:row>166</xdr:row>
      <xdr:rowOff>190501</xdr:rowOff>
    </xdr:from>
    <xdr:to>
      <xdr:col>6</xdr:col>
      <xdr:colOff>231326</xdr:colOff>
      <xdr:row>167</xdr:row>
      <xdr:rowOff>204106</xdr:rowOff>
    </xdr:to>
    <xdr:sp macro="" textlink="">
      <xdr:nvSpPr>
        <xdr:cNvPr id="22" name="Arrow: Down 21">
          <a:extLst>
            <a:ext uri="{FF2B5EF4-FFF2-40B4-BE49-F238E27FC236}">
              <a16:creationId xmlns:a16="http://schemas.microsoft.com/office/drawing/2014/main" id="{56B70C45-B2BD-4FF1-951E-CF35B262D529}"/>
            </a:ext>
          </a:extLst>
        </xdr:cNvPr>
        <xdr:cNvSpPr/>
      </xdr:nvSpPr>
      <xdr:spPr>
        <a:xfrm rot="16200000">
          <a:off x="2996297" y="21692507"/>
          <a:ext cx="326569" cy="5655130"/>
        </a:xfrm>
        <a:prstGeom prst="downArrow">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1389087</xdr:colOff>
      <xdr:row>237</xdr:row>
      <xdr:rowOff>58371</xdr:rowOff>
    </xdr:from>
    <xdr:to>
      <xdr:col>12</xdr:col>
      <xdr:colOff>408800</xdr:colOff>
      <xdr:row>264</xdr:row>
      <xdr:rowOff>12211</xdr:rowOff>
    </xdr:to>
    <xdr:graphicFrame macro="">
      <xdr:nvGraphicFramePr>
        <xdr:cNvPr id="23" name="Chart 22">
          <a:extLst>
            <a:ext uri="{FF2B5EF4-FFF2-40B4-BE49-F238E27FC236}">
              <a16:creationId xmlns:a16="http://schemas.microsoft.com/office/drawing/2014/main" id="{61ACE965-B349-4161-83C5-303B82EA32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85046</xdr:colOff>
      <xdr:row>75</xdr:row>
      <xdr:rowOff>115662</xdr:rowOff>
    </xdr:from>
    <xdr:to>
      <xdr:col>8</xdr:col>
      <xdr:colOff>598714</xdr:colOff>
      <xdr:row>76</xdr:row>
      <xdr:rowOff>3116035</xdr:rowOff>
    </xdr:to>
    <xdr:graphicFrame macro="">
      <xdr:nvGraphicFramePr>
        <xdr:cNvPr id="2" name="Chart 1">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47625</xdr:colOff>
      <xdr:row>88</xdr:row>
      <xdr:rowOff>33336</xdr:rowOff>
    </xdr:from>
    <xdr:to>
      <xdr:col>8</xdr:col>
      <xdr:colOff>678656</xdr:colOff>
      <xdr:row>88</xdr:row>
      <xdr:rowOff>3116036</xdr:rowOff>
    </xdr:to>
    <xdr:graphicFrame macro="">
      <xdr:nvGraphicFramePr>
        <xdr:cNvPr id="13" name="Chart 12">
          <a:extLst>
            <a:ext uri="{FF2B5EF4-FFF2-40B4-BE49-F238E27FC236}">
              <a16:creationId xmlns:a16="http://schemas.microsoft.com/office/drawing/2014/main" id="{00000000-0008-0000-06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40821</xdr:colOff>
      <xdr:row>88</xdr:row>
      <xdr:rowOff>40823</xdr:rowOff>
    </xdr:from>
    <xdr:to>
      <xdr:col>20</xdr:col>
      <xdr:colOff>898070</xdr:colOff>
      <xdr:row>88</xdr:row>
      <xdr:rowOff>3075215</xdr:rowOff>
    </xdr:to>
    <xdr:graphicFrame macro="">
      <xdr:nvGraphicFramePr>
        <xdr:cNvPr id="4" name="Chart 3">
          <a:extLst>
            <a:ext uri="{FF2B5EF4-FFF2-40B4-BE49-F238E27FC236}">
              <a16:creationId xmlns:a16="http://schemas.microsoft.com/office/drawing/2014/main" id="{00000000-0008-0000-06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748847</xdr:colOff>
      <xdr:row>105</xdr:row>
      <xdr:rowOff>4539</xdr:rowOff>
    </xdr:from>
    <xdr:to>
      <xdr:col>18</xdr:col>
      <xdr:colOff>383722</xdr:colOff>
      <xdr:row>109</xdr:row>
      <xdr:rowOff>57153</xdr:rowOff>
    </xdr:to>
    <xdr:sp macro="" textlink="">
      <xdr:nvSpPr>
        <xdr:cNvPr id="10" name="Isosceles Triangle 9">
          <a:extLst>
            <a:ext uri="{FF2B5EF4-FFF2-40B4-BE49-F238E27FC236}">
              <a16:creationId xmlns:a16="http://schemas.microsoft.com/office/drawing/2014/main" id="{00000000-0008-0000-0600-00000A000000}"/>
            </a:ext>
          </a:extLst>
        </xdr:cNvPr>
        <xdr:cNvSpPr/>
      </xdr:nvSpPr>
      <xdr:spPr>
        <a:xfrm rot="5400000">
          <a:off x="16708665" y="40670846"/>
          <a:ext cx="1100364" cy="476250"/>
        </a:xfrm>
        <a:prstGeom prst="triangle">
          <a:avLst/>
        </a:prstGeom>
        <a:solidFill>
          <a:schemeClr val="tx2"/>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9525</xdr:colOff>
      <xdr:row>104</xdr:row>
      <xdr:rowOff>167827</xdr:rowOff>
    </xdr:from>
    <xdr:to>
      <xdr:col>8</xdr:col>
      <xdr:colOff>483508</xdr:colOff>
      <xdr:row>109</xdr:row>
      <xdr:rowOff>29941</xdr:rowOff>
    </xdr:to>
    <xdr:sp macro="" textlink="">
      <xdr:nvSpPr>
        <xdr:cNvPr id="9" name="Isosceles Triangle 8">
          <a:extLst>
            <a:ext uri="{FF2B5EF4-FFF2-40B4-BE49-F238E27FC236}">
              <a16:creationId xmlns:a16="http://schemas.microsoft.com/office/drawing/2014/main" id="{7E53CA2D-9BBB-4A10-AF76-8738269274DD}"/>
            </a:ext>
          </a:extLst>
        </xdr:cNvPr>
        <xdr:cNvSpPr/>
      </xdr:nvSpPr>
      <xdr:spPr>
        <a:xfrm rot="5400000">
          <a:off x="7812996" y="35771142"/>
          <a:ext cx="814614" cy="473983"/>
        </a:xfrm>
        <a:prstGeom prst="triangl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34015</xdr:colOff>
      <xdr:row>81</xdr:row>
      <xdr:rowOff>57148</xdr:rowOff>
    </xdr:from>
    <xdr:to>
      <xdr:col>8</xdr:col>
      <xdr:colOff>713014</xdr:colOff>
      <xdr:row>82</xdr:row>
      <xdr:rowOff>3129643</xdr:rowOff>
    </xdr:to>
    <xdr:graphicFrame macro="">
      <xdr:nvGraphicFramePr>
        <xdr:cNvPr id="3" name="Chart 2">
          <a:extLst>
            <a:ext uri="{FF2B5EF4-FFF2-40B4-BE49-F238E27FC236}">
              <a16:creationId xmlns:a16="http://schemas.microsoft.com/office/drawing/2014/main" id="{3B635583-8D24-4295-9ACA-BA2B8B29B2C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115659</xdr:colOff>
      <xdr:row>81</xdr:row>
      <xdr:rowOff>31750</xdr:rowOff>
    </xdr:from>
    <xdr:to>
      <xdr:col>15</xdr:col>
      <xdr:colOff>480784</xdr:colOff>
      <xdr:row>82</xdr:row>
      <xdr:rowOff>3088821</xdr:rowOff>
    </xdr:to>
    <xdr:graphicFrame macro="">
      <xdr:nvGraphicFramePr>
        <xdr:cNvPr id="14" name="Chart 13">
          <a:extLst>
            <a:ext uri="{FF2B5EF4-FFF2-40B4-BE49-F238E27FC236}">
              <a16:creationId xmlns:a16="http://schemas.microsoft.com/office/drawing/2014/main" id="{3B099DD7-55D8-4823-9AF3-EEF3417399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253668</xdr:colOff>
      <xdr:row>81</xdr:row>
      <xdr:rowOff>67579</xdr:rowOff>
    </xdr:from>
    <xdr:to>
      <xdr:col>20</xdr:col>
      <xdr:colOff>682293</xdr:colOff>
      <xdr:row>82</xdr:row>
      <xdr:rowOff>3091117</xdr:rowOff>
    </xdr:to>
    <xdr:graphicFrame macro="">
      <xdr:nvGraphicFramePr>
        <xdr:cNvPr id="15" name="Chart 14">
          <a:extLst>
            <a:ext uri="{FF2B5EF4-FFF2-40B4-BE49-F238E27FC236}">
              <a16:creationId xmlns:a16="http://schemas.microsoft.com/office/drawing/2014/main" id="{0565EE67-792F-4495-9BD5-6169248AC8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86179</xdr:colOff>
      <xdr:row>76</xdr:row>
      <xdr:rowOff>63952</xdr:rowOff>
    </xdr:from>
    <xdr:to>
      <xdr:col>20</xdr:col>
      <xdr:colOff>993321</xdr:colOff>
      <xdr:row>76</xdr:row>
      <xdr:rowOff>3102428</xdr:rowOff>
    </xdr:to>
    <xdr:graphicFrame macro="">
      <xdr:nvGraphicFramePr>
        <xdr:cNvPr id="11" name="Chart 10">
          <a:extLst>
            <a:ext uri="{FF2B5EF4-FFF2-40B4-BE49-F238E27FC236}">
              <a16:creationId xmlns:a16="http://schemas.microsoft.com/office/drawing/2014/main" id="{180AC576-A288-49EE-8C64-706DA014915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73</xdr:row>
      <xdr:rowOff>280647</xdr:rowOff>
    </xdr:from>
    <xdr:to>
      <xdr:col>1</xdr:col>
      <xdr:colOff>11906</xdr:colOff>
      <xdr:row>78</xdr:row>
      <xdr:rowOff>352084</xdr:rowOff>
    </xdr:to>
    <xdr:sp macro="" textlink="">
      <xdr:nvSpPr>
        <xdr:cNvPr id="18" name="Arrow: Down 17">
          <a:extLst>
            <a:ext uri="{FF2B5EF4-FFF2-40B4-BE49-F238E27FC236}">
              <a16:creationId xmlns:a16="http://schemas.microsoft.com/office/drawing/2014/main" id="{7EB7FDF4-1AFE-466C-9CE0-69664EC44B0E}"/>
            </a:ext>
          </a:extLst>
        </xdr:cNvPr>
        <xdr:cNvSpPr/>
      </xdr:nvSpPr>
      <xdr:spPr>
        <a:xfrm>
          <a:off x="0" y="2214222"/>
          <a:ext cx="459581" cy="4976812"/>
        </a:xfrm>
        <a:prstGeom prst="downArrow">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78</xdr:row>
      <xdr:rowOff>564698</xdr:rowOff>
    </xdr:from>
    <xdr:to>
      <xdr:col>1</xdr:col>
      <xdr:colOff>11906</xdr:colOff>
      <xdr:row>84</xdr:row>
      <xdr:rowOff>244928</xdr:rowOff>
    </xdr:to>
    <xdr:sp macro="" textlink="">
      <xdr:nvSpPr>
        <xdr:cNvPr id="19" name="Arrow: Down 18">
          <a:extLst>
            <a:ext uri="{FF2B5EF4-FFF2-40B4-BE49-F238E27FC236}">
              <a16:creationId xmlns:a16="http://schemas.microsoft.com/office/drawing/2014/main" id="{E1728EFA-C55A-4AAB-882B-4F6FE62F3CAC}"/>
            </a:ext>
          </a:extLst>
        </xdr:cNvPr>
        <xdr:cNvSpPr/>
      </xdr:nvSpPr>
      <xdr:spPr>
        <a:xfrm>
          <a:off x="0" y="7403648"/>
          <a:ext cx="459581" cy="5119005"/>
        </a:xfrm>
        <a:prstGeom prst="downArrow">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84</xdr:row>
      <xdr:rowOff>363311</xdr:rowOff>
    </xdr:from>
    <xdr:to>
      <xdr:col>1</xdr:col>
      <xdr:colOff>11906</xdr:colOff>
      <xdr:row>90</xdr:row>
      <xdr:rowOff>312963</xdr:rowOff>
    </xdr:to>
    <xdr:sp macro="" textlink="">
      <xdr:nvSpPr>
        <xdr:cNvPr id="21" name="Arrow: Down 20">
          <a:extLst>
            <a:ext uri="{FF2B5EF4-FFF2-40B4-BE49-F238E27FC236}">
              <a16:creationId xmlns:a16="http://schemas.microsoft.com/office/drawing/2014/main" id="{22ED60A0-DF23-4D8D-A4E5-ADAE4F1E12D9}"/>
            </a:ext>
          </a:extLst>
        </xdr:cNvPr>
        <xdr:cNvSpPr/>
      </xdr:nvSpPr>
      <xdr:spPr>
        <a:xfrm>
          <a:off x="0" y="12641036"/>
          <a:ext cx="459581" cy="4988377"/>
        </a:xfrm>
        <a:prstGeom prst="downArrow">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101</xdr:row>
      <xdr:rowOff>186418</xdr:rowOff>
    </xdr:from>
    <xdr:to>
      <xdr:col>1</xdr:col>
      <xdr:colOff>11906</xdr:colOff>
      <xdr:row>121</xdr:row>
      <xdr:rowOff>27213</xdr:rowOff>
    </xdr:to>
    <xdr:sp macro="" textlink="">
      <xdr:nvSpPr>
        <xdr:cNvPr id="22" name="Arrow: Down 21">
          <a:extLst>
            <a:ext uri="{FF2B5EF4-FFF2-40B4-BE49-F238E27FC236}">
              <a16:creationId xmlns:a16="http://schemas.microsoft.com/office/drawing/2014/main" id="{E5766DFC-D971-4BDC-ABBE-B8E45B758DC7}"/>
            </a:ext>
          </a:extLst>
        </xdr:cNvPr>
        <xdr:cNvSpPr/>
      </xdr:nvSpPr>
      <xdr:spPr>
        <a:xfrm>
          <a:off x="0" y="19779343"/>
          <a:ext cx="459581" cy="1602920"/>
        </a:xfrm>
        <a:prstGeom prst="downArrow">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90</xdr:row>
      <xdr:rowOff>624568</xdr:rowOff>
    </xdr:from>
    <xdr:to>
      <xdr:col>1</xdr:col>
      <xdr:colOff>11906</xdr:colOff>
      <xdr:row>100</xdr:row>
      <xdr:rowOff>179614</xdr:rowOff>
    </xdr:to>
    <xdr:sp macro="" textlink="">
      <xdr:nvSpPr>
        <xdr:cNvPr id="23" name="Arrow: Down 22">
          <a:extLst>
            <a:ext uri="{FF2B5EF4-FFF2-40B4-BE49-F238E27FC236}">
              <a16:creationId xmlns:a16="http://schemas.microsoft.com/office/drawing/2014/main" id="{75116A95-1096-4AAE-BD5C-A39A9778352B}"/>
            </a:ext>
          </a:extLst>
        </xdr:cNvPr>
        <xdr:cNvSpPr/>
      </xdr:nvSpPr>
      <xdr:spPr>
        <a:xfrm>
          <a:off x="0" y="17941018"/>
          <a:ext cx="459581" cy="1631496"/>
        </a:xfrm>
        <a:prstGeom prst="downArrow">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40821</xdr:colOff>
      <xdr:row>65</xdr:row>
      <xdr:rowOff>108857</xdr:rowOff>
    </xdr:from>
    <xdr:to>
      <xdr:col>20</xdr:col>
      <xdr:colOff>1088571</xdr:colOff>
      <xdr:row>65</xdr:row>
      <xdr:rowOff>3108142</xdr:rowOff>
    </xdr:to>
    <xdr:graphicFrame macro="">
      <xdr:nvGraphicFramePr>
        <xdr:cNvPr id="6" name="Chart 5">
          <a:extLst>
            <a:ext uri="{FF2B5EF4-FFF2-40B4-BE49-F238E27FC236}">
              <a16:creationId xmlns:a16="http://schemas.microsoft.com/office/drawing/2014/main" id="{C5F83213-54B5-4F4E-9902-5FF2CF75207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136072</xdr:colOff>
      <xdr:row>64</xdr:row>
      <xdr:rowOff>21498</xdr:rowOff>
    </xdr:from>
    <xdr:to>
      <xdr:col>8</xdr:col>
      <xdr:colOff>791119</xdr:colOff>
      <xdr:row>65</xdr:row>
      <xdr:rowOff>3047999</xdr:rowOff>
    </xdr:to>
    <xdr:graphicFrame macro="">
      <xdr:nvGraphicFramePr>
        <xdr:cNvPr id="7" name="Chart 6">
          <a:extLst>
            <a:ext uri="{FF2B5EF4-FFF2-40B4-BE49-F238E27FC236}">
              <a16:creationId xmlns:a16="http://schemas.microsoft.com/office/drawing/2014/main" id="{457AFD99-8D9A-49BD-B4E6-B3F1D4C1003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888788</xdr:colOff>
      <xdr:row>68</xdr:row>
      <xdr:rowOff>231322</xdr:rowOff>
    </xdr:from>
    <xdr:to>
      <xdr:col>1</xdr:col>
      <xdr:colOff>1436340</xdr:colOff>
      <xdr:row>71</xdr:row>
      <xdr:rowOff>3810</xdr:rowOff>
    </xdr:to>
    <xdr:sp macro="" textlink="">
      <xdr:nvSpPr>
        <xdr:cNvPr id="8" name="Isosceles Triangle 7">
          <a:extLst>
            <a:ext uri="{FF2B5EF4-FFF2-40B4-BE49-F238E27FC236}">
              <a16:creationId xmlns:a16="http://schemas.microsoft.com/office/drawing/2014/main" id="{9E1C2CC9-5977-4E49-91D9-000C9F4DBB5C}"/>
            </a:ext>
          </a:extLst>
        </xdr:cNvPr>
        <xdr:cNvSpPr/>
      </xdr:nvSpPr>
      <xdr:spPr>
        <a:xfrm rot="16200000">
          <a:off x="1344356" y="8062504"/>
          <a:ext cx="561702" cy="547552"/>
        </a:xfrm>
        <a:prstGeom prst="triangle">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9.xml><?xml version="1.0" encoding="utf-8"?>
<c:userShapes xmlns:c="http://schemas.openxmlformats.org/drawingml/2006/chart">
  <cdr:relSizeAnchor xmlns:cdr="http://schemas.openxmlformats.org/drawingml/2006/chartDrawing">
    <cdr:from>
      <cdr:x>0</cdr:x>
      <cdr:y>0.93971</cdr:y>
    </cdr:from>
    <cdr:to>
      <cdr:x>0.80552</cdr:x>
      <cdr:y>1</cdr:y>
    </cdr:to>
    <cdr:sp macro="" textlink="">
      <cdr:nvSpPr>
        <cdr:cNvPr id="2" name="TextBox 12">
          <a:extLst xmlns:a="http://schemas.openxmlformats.org/drawingml/2006/main">
            <a:ext uri="{FF2B5EF4-FFF2-40B4-BE49-F238E27FC236}">
              <a16:creationId xmlns:a16="http://schemas.microsoft.com/office/drawing/2014/main" id="{2AB7ABA2-E7A8-4B44-BA9B-E908ACB1A59B}"/>
            </a:ext>
          </a:extLst>
        </cdr:cNvPr>
        <cdr:cNvSpPr txBox="1"/>
      </cdr:nvSpPr>
      <cdr:spPr>
        <a:xfrm xmlns:a="http://schemas.openxmlformats.org/drawingml/2006/main">
          <a:off x="0" y="3181441"/>
          <a:ext cx="3250475" cy="20410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1000" i="1"/>
            <a:t>This method</a:t>
          </a:r>
          <a:r>
            <a:rPr lang="en-US" sz="1000" i="1" baseline="0"/>
            <a:t> mix </a:t>
          </a:r>
          <a:r>
            <a:rPr lang="en-US" sz="1000" i="1"/>
            <a:t>has been adjusted for</a:t>
          </a:r>
          <a:r>
            <a:rPr lang="en-US" sz="1000" i="1" baseline="0"/>
            <a:t> the private sector</a:t>
          </a:r>
          <a:endParaRPr lang="en-US" sz="1000" i="1"/>
        </a:p>
      </cdr:txBody>
    </cdr:sp>
  </cdr:relSizeAnchor>
</c:userShapes>
</file>

<file path=xl/theme/theme1.xml><?xml version="1.0" encoding="utf-8"?>
<a:theme xmlns:a="http://schemas.openxmlformats.org/drawingml/2006/main" name="Office Theme">
  <a:themeElements>
    <a:clrScheme name="Track20">
      <a:dk1>
        <a:sysClr val="windowText" lastClr="000000"/>
      </a:dk1>
      <a:lt1>
        <a:sysClr val="window" lastClr="FFFFFF"/>
      </a:lt1>
      <a:dk2>
        <a:srgbClr val="1D4E92"/>
      </a:dk2>
      <a:lt2>
        <a:srgbClr val="0B9444"/>
      </a:lt2>
      <a:accent1>
        <a:srgbClr val="3892C6"/>
      </a:accent1>
      <a:accent2>
        <a:srgbClr val="8DC645"/>
      </a:accent2>
      <a:accent3>
        <a:srgbClr val="F49100"/>
      </a:accent3>
      <a:accent4>
        <a:srgbClr val="A5A5A5"/>
      </a:accent4>
      <a:accent5>
        <a:srgbClr val="FCD116"/>
      </a:accent5>
      <a:accent6>
        <a:srgbClr val="954F72"/>
      </a:accent6>
      <a:hlink>
        <a:srgbClr val="8DC645"/>
      </a:hlink>
      <a:folHlink>
        <a:srgbClr val="85DFD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Track20">
    <a:dk1>
      <a:sysClr val="windowText" lastClr="000000"/>
    </a:dk1>
    <a:lt1>
      <a:sysClr val="window" lastClr="FFFFFF"/>
    </a:lt1>
    <a:dk2>
      <a:srgbClr val="1D4E92"/>
    </a:dk2>
    <a:lt2>
      <a:srgbClr val="0B9444"/>
    </a:lt2>
    <a:accent1>
      <a:srgbClr val="3892C6"/>
    </a:accent1>
    <a:accent2>
      <a:srgbClr val="8DC645"/>
    </a:accent2>
    <a:accent3>
      <a:srgbClr val="F49100"/>
    </a:accent3>
    <a:accent4>
      <a:srgbClr val="A5A5A5"/>
    </a:accent4>
    <a:accent5>
      <a:srgbClr val="FCD116"/>
    </a:accent5>
    <a:accent6>
      <a:srgbClr val="954F72"/>
    </a:accent6>
    <a:hlink>
      <a:srgbClr val="8DC645"/>
    </a:hlink>
    <a:folHlink>
      <a:srgbClr val="85DFD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Track20">
    <a:dk1>
      <a:sysClr val="windowText" lastClr="000000"/>
    </a:dk1>
    <a:lt1>
      <a:sysClr val="window" lastClr="FFFFFF"/>
    </a:lt1>
    <a:dk2>
      <a:srgbClr val="1D4E92"/>
    </a:dk2>
    <a:lt2>
      <a:srgbClr val="0B9444"/>
    </a:lt2>
    <a:accent1>
      <a:srgbClr val="3892C6"/>
    </a:accent1>
    <a:accent2>
      <a:srgbClr val="8DC645"/>
    </a:accent2>
    <a:accent3>
      <a:srgbClr val="F49100"/>
    </a:accent3>
    <a:accent4>
      <a:srgbClr val="A5A5A5"/>
    </a:accent4>
    <a:accent5>
      <a:srgbClr val="FCD116"/>
    </a:accent5>
    <a:accent6>
      <a:srgbClr val="954F72"/>
    </a:accent6>
    <a:hlink>
      <a:srgbClr val="8DC645"/>
    </a:hlink>
    <a:folHlink>
      <a:srgbClr val="85DFD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Track20">
    <a:dk1>
      <a:sysClr val="windowText" lastClr="000000"/>
    </a:dk1>
    <a:lt1>
      <a:sysClr val="window" lastClr="FFFFFF"/>
    </a:lt1>
    <a:dk2>
      <a:srgbClr val="1D4E92"/>
    </a:dk2>
    <a:lt2>
      <a:srgbClr val="0B9444"/>
    </a:lt2>
    <a:accent1>
      <a:srgbClr val="3892C6"/>
    </a:accent1>
    <a:accent2>
      <a:srgbClr val="8DC645"/>
    </a:accent2>
    <a:accent3>
      <a:srgbClr val="F49100"/>
    </a:accent3>
    <a:accent4>
      <a:srgbClr val="A5A5A5"/>
    </a:accent4>
    <a:accent5>
      <a:srgbClr val="FCD116"/>
    </a:accent5>
    <a:accent6>
      <a:srgbClr val="954F72"/>
    </a:accent6>
    <a:hlink>
      <a:srgbClr val="8DC645"/>
    </a:hlink>
    <a:folHlink>
      <a:srgbClr val="85DFD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Track20">
    <a:dk1>
      <a:sysClr val="windowText" lastClr="000000"/>
    </a:dk1>
    <a:lt1>
      <a:sysClr val="window" lastClr="FFFFFF"/>
    </a:lt1>
    <a:dk2>
      <a:srgbClr val="1D4E92"/>
    </a:dk2>
    <a:lt2>
      <a:srgbClr val="0B9444"/>
    </a:lt2>
    <a:accent1>
      <a:srgbClr val="3892C6"/>
    </a:accent1>
    <a:accent2>
      <a:srgbClr val="8DC645"/>
    </a:accent2>
    <a:accent3>
      <a:srgbClr val="F49100"/>
    </a:accent3>
    <a:accent4>
      <a:srgbClr val="A5A5A5"/>
    </a:accent4>
    <a:accent5>
      <a:srgbClr val="FCD116"/>
    </a:accent5>
    <a:accent6>
      <a:srgbClr val="954F72"/>
    </a:accent6>
    <a:hlink>
      <a:srgbClr val="8DC645"/>
    </a:hlink>
    <a:folHlink>
      <a:srgbClr val="85DFD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Track20">
    <a:dk1>
      <a:sysClr val="windowText" lastClr="000000"/>
    </a:dk1>
    <a:lt1>
      <a:sysClr val="window" lastClr="FFFFFF"/>
    </a:lt1>
    <a:dk2>
      <a:srgbClr val="1D4E92"/>
    </a:dk2>
    <a:lt2>
      <a:srgbClr val="0B9444"/>
    </a:lt2>
    <a:accent1>
      <a:srgbClr val="3892C6"/>
    </a:accent1>
    <a:accent2>
      <a:srgbClr val="8DC645"/>
    </a:accent2>
    <a:accent3>
      <a:srgbClr val="F49100"/>
    </a:accent3>
    <a:accent4>
      <a:srgbClr val="A5A5A5"/>
    </a:accent4>
    <a:accent5>
      <a:srgbClr val="FCD116"/>
    </a:accent5>
    <a:accent6>
      <a:srgbClr val="954F72"/>
    </a:accent6>
    <a:hlink>
      <a:srgbClr val="8DC645"/>
    </a:hlink>
    <a:folHlink>
      <a:srgbClr val="85DFD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Track20">
    <a:dk1>
      <a:sysClr val="windowText" lastClr="000000"/>
    </a:dk1>
    <a:lt1>
      <a:sysClr val="window" lastClr="FFFFFF"/>
    </a:lt1>
    <a:dk2>
      <a:srgbClr val="1D4E92"/>
    </a:dk2>
    <a:lt2>
      <a:srgbClr val="0B9444"/>
    </a:lt2>
    <a:accent1>
      <a:srgbClr val="3892C6"/>
    </a:accent1>
    <a:accent2>
      <a:srgbClr val="8DC645"/>
    </a:accent2>
    <a:accent3>
      <a:srgbClr val="F49100"/>
    </a:accent3>
    <a:accent4>
      <a:srgbClr val="A5A5A5"/>
    </a:accent4>
    <a:accent5>
      <a:srgbClr val="FCD116"/>
    </a:accent5>
    <a:accent6>
      <a:srgbClr val="954F72"/>
    </a:accent6>
    <a:hlink>
      <a:srgbClr val="8DC645"/>
    </a:hlink>
    <a:folHlink>
      <a:srgbClr val="85DFD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Track20">
    <a:dk1>
      <a:sysClr val="windowText" lastClr="000000"/>
    </a:dk1>
    <a:lt1>
      <a:sysClr val="window" lastClr="FFFFFF"/>
    </a:lt1>
    <a:dk2>
      <a:srgbClr val="1D4E92"/>
    </a:dk2>
    <a:lt2>
      <a:srgbClr val="0B9444"/>
    </a:lt2>
    <a:accent1>
      <a:srgbClr val="3892C6"/>
    </a:accent1>
    <a:accent2>
      <a:srgbClr val="8DC645"/>
    </a:accent2>
    <a:accent3>
      <a:srgbClr val="F49100"/>
    </a:accent3>
    <a:accent4>
      <a:srgbClr val="A5A5A5"/>
    </a:accent4>
    <a:accent5>
      <a:srgbClr val="FCD116"/>
    </a:accent5>
    <a:accent6>
      <a:srgbClr val="954F72"/>
    </a:accent6>
    <a:hlink>
      <a:srgbClr val="8DC645"/>
    </a:hlink>
    <a:folHlink>
      <a:srgbClr val="85DFD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Track20">
    <a:dk1>
      <a:sysClr val="windowText" lastClr="000000"/>
    </a:dk1>
    <a:lt1>
      <a:sysClr val="window" lastClr="FFFFFF"/>
    </a:lt1>
    <a:dk2>
      <a:srgbClr val="1D4E92"/>
    </a:dk2>
    <a:lt2>
      <a:srgbClr val="0B9444"/>
    </a:lt2>
    <a:accent1>
      <a:srgbClr val="3892C6"/>
    </a:accent1>
    <a:accent2>
      <a:srgbClr val="8DC645"/>
    </a:accent2>
    <a:accent3>
      <a:srgbClr val="F49100"/>
    </a:accent3>
    <a:accent4>
      <a:srgbClr val="A5A5A5"/>
    </a:accent4>
    <a:accent5>
      <a:srgbClr val="FCD116"/>
    </a:accent5>
    <a:accent6>
      <a:srgbClr val="954F72"/>
    </a:accent6>
    <a:hlink>
      <a:srgbClr val="8DC645"/>
    </a:hlink>
    <a:folHlink>
      <a:srgbClr val="85DFD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1.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2.xml"/><Relationship Id="rId1" Type="http://schemas.openxmlformats.org/officeDocument/2006/relationships/printerSettings" Target="../printerSettings/printerSettings11.bin"/><Relationship Id="rId4" Type="http://schemas.openxmlformats.org/officeDocument/2006/relationships/comments" Target="../comments8.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3.xml"/><Relationship Id="rId1" Type="http://schemas.openxmlformats.org/officeDocument/2006/relationships/printerSettings" Target="../printerSettings/printerSettings12.bin"/><Relationship Id="rId4" Type="http://schemas.openxmlformats.org/officeDocument/2006/relationships/comments" Target="../comments9.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4.xml"/><Relationship Id="rId1" Type="http://schemas.openxmlformats.org/officeDocument/2006/relationships/printerSettings" Target="../printerSettings/printerSettings13.bin"/><Relationship Id="rId4" Type="http://schemas.openxmlformats.org/officeDocument/2006/relationships/comments" Target="../comments10.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5.xml"/><Relationship Id="rId1" Type="http://schemas.openxmlformats.org/officeDocument/2006/relationships/printerSettings" Target="../printerSettings/printerSettings14.bin"/><Relationship Id="rId4" Type="http://schemas.openxmlformats.org/officeDocument/2006/relationships/comments" Target="../comments11.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8.xml"/><Relationship Id="rId1" Type="http://schemas.openxmlformats.org/officeDocument/2006/relationships/printerSettings" Target="../printerSettings/printerSettings16.bin"/><Relationship Id="rId4" Type="http://schemas.openxmlformats.org/officeDocument/2006/relationships/comments" Target="../comments13.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9.xml"/><Relationship Id="rId1" Type="http://schemas.openxmlformats.org/officeDocument/2006/relationships/printerSettings" Target="../printerSettings/printerSettings17.bin"/><Relationship Id="rId4" Type="http://schemas.openxmlformats.org/officeDocument/2006/relationships/comments" Target="../comments14.x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16.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3"/>
    <pageSetUpPr autoPageBreaks="0"/>
  </sheetPr>
  <dimension ref="A1:J40"/>
  <sheetViews>
    <sheetView showGridLines="0" topLeftCell="A57" zoomScale="90" zoomScaleNormal="90" workbookViewId="0">
      <selection activeCell="O85" sqref="O85"/>
    </sheetView>
  </sheetViews>
  <sheetFormatPr defaultRowHeight="15" x14ac:dyDescent="0.25"/>
  <sheetData>
    <row r="1" spans="1:10" ht="18.75" x14ac:dyDescent="0.3">
      <c r="A1" s="14"/>
    </row>
    <row r="5" spans="1:10" ht="15" customHeight="1" x14ac:dyDescent="0.25">
      <c r="A5" s="4"/>
      <c r="B5" s="3"/>
      <c r="C5" s="3"/>
      <c r="D5" s="3"/>
      <c r="E5" s="3"/>
      <c r="F5" s="3"/>
      <c r="G5" s="3"/>
      <c r="H5" s="3"/>
      <c r="I5" s="3"/>
      <c r="J5" s="3"/>
    </row>
    <row r="6" spans="1:10" x14ac:dyDescent="0.25">
      <c r="A6" s="3"/>
      <c r="B6" s="3"/>
      <c r="C6" s="3"/>
      <c r="D6" s="3"/>
      <c r="E6" s="3"/>
      <c r="F6" s="3"/>
      <c r="G6" s="3"/>
      <c r="H6" s="3"/>
      <c r="I6" s="3"/>
      <c r="J6" s="3"/>
    </row>
    <row r="7" spans="1:10" x14ac:dyDescent="0.25">
      <c r="A7" s="4"/>
      <c r="B7" s="3"/>
      <c r="C7" s="3"/>
      <c r="D7" s="3"/>
      <c r="E7" s="3"/>
      <c r="F7" s="3"/>
      <c r="G7" s="3"/>
      <c r="H7" s="3"/>
      <c r="I7" s="3"/>
      <c r="J7" s="3"/>
    </row>
    <row r="8" spans="1:10" x14ac:dyDescent="0.25">
      <c r="A8" s="3"/>
      <c r="B8" s="3"/>
      <c r="C8" s="3"/>
      <c r="D8" s="3"/>
      <c r="E8" s="3"/>
      <c r="F8" s="3"/>
      <c r="G8" s="3"/>
      <c r="H8" s="3"/>
      <c r="I8" s="3"/>
      <c r="J8" s="3"/>
    </row>
    <row r="9" spans="1:10" x14ac:dyDescent="0.25">
      <c r="A9" s="4"/>
      <c r="B9" s="3"/>
      <c r="C9" s="3"/>
      <c r="D9" s="3"/>
      <c r="E9" s="3"/>
      <c r="F9" s="3"/>
      <c r="G9" s="3"/>
      <c r="H9" s="3"/>
      <c r="I9" s="3"/>
      <c r="J9" s="3"/>
    </row>
    <row r="10" spans="1:10" x14ac:dyDescent="0.25">
      <c r="A10" s="3"/>
      <c r="B10" s="3"/>
      <c r="C10" s="3"/>
      <c r="D10" s="3"/>
      <c r="E10" s="3"/>
      <c r="F10" s="3"/>
      <c r="G10" s="3"/>
      <c r="H10" s="3"/>
      <c r="I10" s="3"/>
      <c r="J10" s="3"/>
    </row>
    <row r="11" spans="1:10" x14ac:dyDescent="0.25">
      <c r="A11" s="4"/>
      <c r="B11" s="3"/>
      <c r="C11" s="3"/>
      <c r="D11" s="3"/>
      <c r="E11" s="3"/>
      <c r="F11" s="3"/>
      <c r="G11" s="3"/>
      <c r="H11" s="3"/>
      <c r="I11" s="3"/>
      <c r="J11" s="3"/>
    </row>
    <row r="12" spans="1:10" x14ac:dyDescent="0.25">
      <c r="A12" s="3"/>
      <c r="B12" s="3"/>
      <c r="C12" s="3"/>
      <c r="D12" s="3"/>
      <c r="E12" s="3"/>
      <c r="F12" s="3"/>
      <c r="G12" s="3"/>
      <c r="H12" s="3"/>
      <c r="I12" s="3"/>
      <c r="J12" s="3"/>
    </row>
    <row r="13" spans="1:10" x14ac:dyDescent="0.25">
      <c r="A13" s="4"/>
      <c r="B13" s="3"/>
      <c r="C13" s="3"/>
      <c r="D13" s="3"/>
      <c r="E13" s="3"/>
      <c r="F13" s="3"/>
      <c r="G13" s="3"/>
      <c r="H13" s="3"/>
      <c r="I13" s="3"/>
      <c r="J13" s="3"/>
    </row>
    <row r="14" spans="1:10" x14ac:dyDescent="0.25">
      <c r="A14" s="3"/>
      <c r="B14" s="3"/>
      <c r="C14" s="3"/>
      <c r="D14" s="3"/>
      <c r="E14" s="3"/>
      <c r="F14" s="3"/>
      <c r="G14" s="3"/>
      <c r="H14" s="3"/>
      <c r="I14" s="3"/>
      <c r="J14" s="3"/>
    </row>
    <row r="15" spans="1:10" x14ac:dyDescent="0.25">
      <c r="A15" s="4"/>
      <c r="B15" s="3"/>
      <c r="C15" s="3"/>
      <c r="D15" s="3"/>
      <c r="E15" s="3"/>
      <c r="F15" s="3"/>
      <c r="G15" s="3"/>
      <c r="H15" s="3"/>
      <c r="I15" s="3"/>
      <c r="J15" s="3"/>
    </row>
    <row r="16" spans="1:10" x14ac:dyDescent="0.25">
      <c r="A16" s="3"/>
      <c r="B16" s="3"/>
      <c r="C16" s="3"/>
      <c r="D16" s="3"/>
      <c r="E16" s="3"/>
      <c r="F16" s="3"/>
      <c r="G16" s="3"/>
      <c r="H16" s="3"/>
      <c r="I16" s="3"/>
      <c r="J16" s="3"/>
    </row>
    <row r="17" spans="1:10" x14ac:dyDescent="0.25">
      <c r="A17" s="4"/>
      <c r="B17" s="3"/>
      <c r="C17" s="3"/>
      <c r="D17" s="3"/>
      <c r="E17" s="3"/>
      <c r="F17" s="3"/>
      <c r="G17" s="3"/>
      <c r="H17" s="3"/>
      <c r="I17" s="3"/>
      <c r="J17" s="3"/>
    </row>
    <row r="18" spans="1:10" x14ac:dyDescent="0.25">
      <c r="A18" s="3"/>
      <c r="B18" s="3"/>
      <c r="C18" s="3"/>
      <c r="D18" s="3"/>
      <c r="E18" s="3"/>
      <c r="F18" s="3"/>
      <c r="G18" s="3"/>
      <c r="H18" s="3"/>
      <c r="I18" s="3"/>
      <c r="J18" s="3"/>
    </row>
    <row r="19" spans="1:10" x14ac:dyDescent="0.25">
      <c r="A19" s="3"/>
      <c r="B19" s="3"/>
      <c r="C19" s="3"/>
      <c r="D19" s="3"/>
      <c r="E19" s="3"/>
      <c r="F19" s="3"/>
      <c r="G19" s="3"/>
      <c r="H19" s="3"/>
      <c r="I19" s="3"/>
      <c r="J19" s="3"/>
    </row>
    <row r="20" spans="1:10" x14ac:dyDescent="0.25">
      <c r="A20" s="3"/>
      <c r="B20" s="3"/>
      <c r="C20" s="3"/>
      <c r="D20" s="3"/>
      <c r="E20" s="3"/>
      <c r="F20" s="3"/>
      <c r="G20" s="3"/>
      <c r="H20" s="3"/>
      <c r="I20" s="3"/>
      <c r="J20" s="3"/>
    </row>
    <row r="21" spans="1:10" x14ac:dyDescent="0.25">
      <c r="A21" s="3"/>
      <c r="B21" s="3"/>
      <c r="C21" s="3"/>
      <c r="D21" s="3"/>
      <c r="E21" s="3"/>
      <c r="F21" s="3"/>
      <c r="G21" s="3"/>
      <c r="H21" s="3"/>
      <c r="I21" s="3"/>
      <c r="J21" s="3"/>
    </row>
    <row r="22" spans="1:10" x14ac:dyDescent="0.25">
      <c r="A22" s="3"/>
      <c r="B22" s="3"/>
      <c r="C22" s="3"/>
      <c r="D22" s="3"/>
      <c r="E22" s="3"/>
      <c r="F22" s="3"/>
      <c r="G22" s="3"/>
      <c r="H22" s="3"/>
      <c r="I22" s="3"/>
      <c r="J22" s="3"/>
    </row>
    <row r="23" spans="1:10" x14ac:dyDescent="0.25">
      <c r="A23" s="3"/>
      <c r="B23" s="3"/>
      <c r="C23" s="3"/>
      <c r="D23" s="3"/>
      <c r="E23" s="3"/>
      <c r="F23" s="3"/>
      <c r="G23" s="3"/>
      <c r="H23" s="3"/>
      <c r="I23" s="3"/>
      <c r="J23" s="3"/>
    </row>
    <row r="24" spans="1:10" x14ac:dyDescent="0.25">
      <c r="A24" s="3"/>
      <c r="B24" s="3"/>
      <c r="C24" s="3"/>
      <c r="D24" s="3"/>
      <c r="E24" s="3"/>
      <c r="F24" s="3"/>
      <c r="G24" s="3"/>
      <c r="H24" s="3"/>
      <c r="I24" s="3"/>
      <c r="J24" s="3"/>
    </row>
    <row r="25" spans="1:10" x14ac:dyDescent="0.25">
      <c r="A25" s="3"/>
      <c r="B25" s="3"/>
      <c r="C25" s="3"/>
      <c r="D25" s="3"/>
      <c r="E25" s="3"/>
      <c r="F25" s="3"/>
      <c r="G25" s="3"/>
      <c r="H25" s="3"/>
      <c r="I25" s="3"/>
      <c r="J25" s="3"/>
    </row>
    <row r="26" spans="1:10" x14ac:dyDescent="0.25">
      <c r="A26" s="3"/>
      <c r="B26" s="3"/>
      <c r="C26" s="3"/>
      <c r="D26" s="3"/>
      <c r="E26" s="3"/>
      <c r="F26" s="3"/>
      <c r="G26" s="3"/>
      <c r="H26" s="3"/>
      <c r="I26" s="3"/>
      <c r="J26" s="3"/>
    </row>
    <row r="27" spans="1:10" x14ac:dyDescent="0.25">
      <c r="A27" s="3"/>
      <c r="B27" s="3"/>
      <c r="C27" s="3"/>
      <c r="D27" s="3"/>
      <c r="E27" s="3"/>
      <c r="F27" s="3"/>
      <c r="G27" s="3"/>
      <c r="H27" s="3"/>
      <c r="I27" s="3"/>
      <c r="J27" s="3"/>
    </row>
    <row r="28" spans="1:10" x14ac:dyDescent="0.25">
      <c r="A28" s="3"/>
      <c r="B28" s="3"/>
      <c r="C28" s="3"/>
      <c r="D28" s="3"/>
      <c r="E28" s="3"/>
      <c r="F28" s="3"/>
      <c r="G28" s="3"/>
      <c r="H28" s="3"/>
      <c r="I28" s="3"/>
      <c r="J28" s="3"/>
    </row>
    <row r="29" spans="1:10" x14ac:dyDescent="0.25">
      <c r="A29" s="3"/>
      <c r="B29" s="3"/>
      <c r="C29" s="3"/>
      <c r="D29" s="3"/>
      <c r="E29" s="3"/>
      <c r="F29" s="3"/>
      <c r="G29" s="3"/>
      <c r="H29" s="3"/>
      <c r="I29" s="3"/>
      <c r="J29" s="3"/>
    </row>
    <row r="30" spans="1:10" x14ac:dyDescent="0.25">
      <c r="A30" s="3"/>
      <c r="B30" s="3"/>
      <c r="C30" s="3"/>
      <c r="D30" s="3"/>
      <c r="E30" s="3"/>
      <c r="F30" s="3"/>
      <c r="G30" s="3"/>
      <c r="H30" s="3"/>
      <c r="I30" s="3"/>
      <c r="J30" s="3"/>
    </row>
    <row r="31" spans="1:10" x14ac:dyDescent="0.25">
      <c r="A31" s="3"/>
      <c r="B31" s="3"/>
      <c r="C31" s="3"/>
      <c r="D31" s="3"/>
      <c r="E31" s="3"/>
      <c r="F31" s="3"/>
      <c r="G31" s="3"/>
      <c r="H31" s="3"/>
      <c r="I31" s="3"/>
      <c r="J31" s="3"/>
    </row>
    <row r="32" spans="1:10" x14ac:dyDescent="0.25">
      <c r="A32" s="3"/>
      <c r="B32" s="3"/>
      <c r="C32" s="3"/>
      <c r="D32" s="3"/>
      <c r="E32" s="3"/>
      <c r="F32" s="3"/>
      <c r="G32" s="3"/>
      <c r="H32" s="3"/>
      <c r="I32" s="3"/>
      <c r="J32" s="3"/>
    </row>
    <row r="33" spans="1:10" x14ac:dyDescent="0.25">
      <c r="A33" s="3"/>
      <c r="B33" s="3"/>
      <c r="C33" s="3"/>
      <c r="D33" s="3"/>
      <c r="E33" s="3"/>
      <c r="F33" s="3"/>
      <c r="G33" s="3"/>
      <c r="H33" s="3"/>
      <c r="I33" s="3"/>
      <c r="J33" s="3"/>
    </row>
    <row r="34" spans="1:10" x14ac:dyDescent="0.25">
      <c r="A34" s="3"/>
      <c r="B34" s="3"/>
      <c r="C34" s="3"/>
      <c r="D34" s="3"/>
      <c r="E34" s="3"/>
      <c r="F34" s="3"/>
      <c r="G34" s="3"/>
      <c r="H34" s="3"/>
      <c r="I34" s="3"/>
      <c r="J34" s="3"/>
    </row>
    <row r="35" spans="1:10" x14ac:dyDescent="0.25">
      <c r="A35" s="3"/>
      <c r="B35" s="3"/>
      <c r="C35" s="3"/>
      <c r="D35" s="3"/>
      <c r="E35" s="3"/>
      <c r="F35" s="3"/>
      <c r="G35" s="3"/>
      <c r="H35" s="3"/>
      <c r="I35" s="3"/>
      <c r="J35" s="3"/>
    </row>
    <row r="36" spans="1:10" x14ac:dyDescent="0.25">
      <c r="A36" s="3"/>
      <c r="B36" s="3"/>
      <c r="C36" s="3"/>
      <c r="D36" s="3"/>
      <c r="E36" s="3"/>
      <c r="F36" s="3"/>
      <c r="G36" s="3"/>
      <c r="H36" s="3"/>
      <c r="I36" s="3"/>
      <c r="J36" s="3"/>
    </row>
    <row r="37" spans="1:10" x14ac:dyDescent="0.25">
      <c r="A37" s="3"/>
      <c r="B37" s="3"/>
      <c r="C37" s="3"/>
      <c r="D37" s="3"/>
      <c r="E37" s="3"/>
      <c r="F37" s="3"/>
      <c r="G37" s="3"/>
      <c r="H37" s="3"/>
      <c r="I37" s="3"/>
      <c r="J37" s="3"/>
    </row>
    <row r="38" spans="1:10" x14ac:dyDescent="0.25">
      <c r="A38" s="3"/>
      <c r="B38" s="3"/>
      <c r="C38" s="3"/>
      <c r="D38" s="3"/>
      <c r="E38" s="3"/>
      <c r="F38" s="3"/>
      <c r="G38" s="3"/>
      <c r="H38" s="3"/>
      <c r="I38" s="3"/>
      <c r="J38" s="3"/>
    </row>
    <row r="39" spans="1:10" x14ac:dyDescent="0.25">
      <c r="A39" s="3"/>
      <c r="B39" s="3"/>
      <c r="C39" s="3"/>
      <c r="D39" s="3"/>
      <c r="E39" s="3"/>
      <c r="F39" s="3"/>
      <c r="G39" s="3"/>
      <c r="H39" s="3"/>
      <c r="I39" s="3"/>
      <c r="J39" s="3"/>
    </row>
    <row r="40" spans="1:10" x14ac:dyDescent="0.25">
      <c r="A40" s="3"/>
      <c r="B40" s="3"/>
      <c r="C40" s="3"/>
      <c r="D40" s="3"/>
      <c r="E40" s="3"/>
      <c r="F40" s="3"/>
      <c r="G40" s="3"/>
      <c r="H40" s="3"/>
      <c r="I40" s="3"/>
      <c r="J40" s="3"/>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8"/>
    <pageSetUpPr autoPageBreaks="0"/>
  </sheetPr>
  <dimension ref="A1:EF184"/>
  <sheetViews>
    <sheetView showGridLines="0" zoomScale="70" zoomScaleNormal="70" workbookViewId="0">
      <selection activeCell="G32" sqref="G32:T46"/>
    </sheetView>
  </sheetViews>
  <sheetFormatPr defaultRowHeight="15" outlineLevelRow="1" x14ac:dyDescent="0.25"/>
  <cols>
    <col min="1" max="1" width="4.42578125" customWidth="1"/>
    <col min="2" max="2" width="26.28515625" customWidth="1"/>
    <col min="3" max="3" width="24.85546875" customWidth="1"/>
    <col min="4" max="4" width="10.7109375" customWidth="1"/>
    <col min="5" max="5" width="7.5703125" hidden="1" customWidth="1"/>
    <col min="6" max="6" width="22.42578125" customWidth="1"/>
    <col min="7" max="22" width="13.140625" customWidth="1"/>
    <col min="23" max="26" width="4.42578125" customWidth="1"/>
    <col min="27" max="27" width="24.5703125" customWidth="1"/>
    <col min="28" max="28" width="7" customWidth="1"/>
    <col min="29" max="31" width="7.7109375" customWidth="1"/>
    <col min="32" max="43" width="7" customWidth="1"/>
    <col min="44" max="44" width="15" customWidth="1"/>
    <col min="45" max="45" width="11.28515625" customWidth="1"/>
    <col min="46" max="46" width="11.140625" customWidth="1"/>
    <col min="47" max="47" width="10.7109375" customWidth="1"/>
    <col min="48" max="48" width="10.5703125" customWidth="1"/>
    <col min="49" max="49" width="9.5703125" customWidth="1"/>
    <col min="50" max="50" width="11" customWidth="1"/>
    <col min="51" max="52" width="9.140625" customWidth="1"/>
    <col min="53" max="55" width="29.5703125" style="184" hidden="1" customWidth="1"/>
    <col min="56" max="60" width="9.140625" hidden="1" customWidth="1"/>
    <col min="61" max="61" width="10.7109375" style="180" customWidth="1"/>
    <col min="62" max="62" width="27.7109375" customWidth="1"/>
    <col min="63" max="79" width="9.140625" customWidth="1"/>
    <col min="80" max="80" width="21.42578125" customWidth="1"/>
    <col min="82" max="82" width="8.28515625" bestFit="1" customWidth="1"/>
    <col min="87" max="96" width="11.85546875" customWidth="1"/>
    <col min="97" max="97" width="9.140625" customWidth="1"/>
    <col min="98" max="98" width="21.42578125" customWidth="1"/>
    <col min="105" max="115" width="11.85546875" customWidth="1"/>
    <col min="117" max="117" width="36" bestFit="1" customWidth="1"/>
    <col min="130" max="133" width="12.5703125" customWidth="1"/>
    <col min="134" max="135" width="13.28515625" customWidth="1"/>
  </cols>
  <sheetData>
    <row r="1" spans="2:128" x14ac:dyDescent="0.25">
      <c r="C1" s="5"/>
    </row>
    <row r="2" spans="2:128" ht="34.5" customHeight="1" x14ac:dyDescent="0.25">
      <c r="B2" s="1512" t="str">
        <f>"Input: "&amp;'3. ServiceStats Set Up'!I16</f>
        <v>Input: Produits de planification familiale distribués aux établissements</v>
      </c>
      <c r="C2" s="1512"/>
      <c r="D2" s="1512"/>
      <c r="E2" s="1512"/>
      <c r="F2" s="1512"/>
      <c r="G2" s="1512"/>
      <c r="H2" s="1512"/>
      <c r="I2" s="1512"/>
      <c r="J2" s="1512"/>
      <c r="K2" s="1512"/>
      <c r="L2" s="1512"/>
      <c r="M2" s="1512"/>
      <c r="N2" s="1512"/>
      <c r="O2" s="1512"/>
      <c r="P2" s="1512"/>
      <c r="Q2" s="1512"/>
      <c r="R2" s="1512"/>
      <c r="S2" s="1512"/>
      <c r="T2" s="1512"/>
      <c r="U2" s="1512"/>
      <c r="V2" s="1512"/>
      <c r="BA2" s="184" t="s">
        <v>628</v>
      </c>
      <c r="BB2" s="184" t="s">
        <v>656</v>
      </c>
      <c r="BC2" s="184" t="s">
        <v>740</v>
      </c>
    </row>
    <row r="3" spans="2:128" ht="28.5" x14ac:dyDescent="0.45">
      <c r="B3" s="272" t="str">
        <f>IF('2. Pop_Prev Set Up'!$W$2="Yes", '2. Pop_Prev Set Up'!$W$1&amp;" : "&amp;'2. Pop_Prev Set Up'!$W$3, '2. Pop_Prev Set Up'!$W$1&amp;" : "&amp;"National")</f>
        <v>0 : National</v>
      </c>
    </row>
    <row r="4" spans="2:128" ht="21" hidden="1" customHeight="1" x14ac:dyDescent="0.35">
      <c r="B4" s="231"/>
    </row>
    <row r="5" spans="2:128" ht="19.5" customHeight="1" x14ac:dyDescent="0.25">
      <c r="P5" s="1520" t="str">
        <f>IF(Language="English", BA5, BC5)</f>
        <v>Passer ce type de données</v>
      </c>
      <c r="Q5" s="1520"/>
      <c r="R5" s="1520"/>
      <c r="BA5" s="184" t="s">
        <v>935</v>
      </c>
      <c r="BC5" s="184" t="s">
        <v>936</v>
      </c>
      <c r="DN5" s="1" t="s">
        <v>285</v>
      </c>
      <c r="DO5" s="1" t="s">
        <v>286</v>
      </c>
      <c r="DP5" s="1" t="s">
        <v>287</v>
      </c>
      <c r="DQ5" s="1" t="s">
        <v>288</v>
      </c>
      <c r="DR5" s="1" t="s">
        <v>289</v>
      </c>
      <c r="DS5" s="1" t="s">
        <v>290</v>
      </c>
      <c r="DT5" s="1" t="s">
        <v>291</v>
      </c>
      <c r="DU5" s="1" t="s">
        <v>292</v>
      </c>
      <c r="DV5" s="1" t="s">
        <v>293</v>
      </c>
      <c r="DW5" s="1" t="s">
        <v>294</v>
      </c>
      <c r="DX5" s="1" t="s">
        <v>295</v>
      </c>
    </row>
    <row r="6" spans="2:128" ht="27" thickBot="1" x14ac:dyDescent="0.45">
      <c r="B6" s="243" t="str">
        <f>IF(Language="English", BA6, BC6)</f>
        <v>ÉTAPE 1 de 3. SAISIR LES TAUX DE COMPLÉTUDE</v>
      </c>
      <c r="C6" s="232"/>
      <c r="D6" s="232"/>
      <c r="E6" s="232"/>
      <c r="F6" s="232"/>
      <c r="G6" s="232"/>
      <c r="H6" s="232"/>
      <c r="I6" s="232"/>
      <c r="J6" s="232"/>
      <c r="K6" s="232"/>
      <c r="L6" s="232"/>
      <c r="M6" s="232"/>
      <c r="N6" s="232"/>
      <c r="O6" s="232"/>
      <c r="P6" s="232"/>
      <c r="Q6" s="232"/>
      <c r="R6" s="232"/>
      <c r="S6" s="232"/>
      <c r="T6" s="232"/>
      <c r="U6" s="232"/>
      <c r="V6" s="232"/>
      <c r="BA6" s="184" t="s">
        <v>1277</v>
      </c>
      <c r="BC6" s="184" t="s">
        <v>1129</v>
      </c>
      <c r="DL6" s="1484" t="s">
        <v>5</v>
      </c>
      <c r="DM6" s="388" t="s">
        <v>2032</v>
      </c>
      <c r="DN6" s="346">
        <f>VLOOKUP($DM6, Assumptions!$C$36:$N$42, MATCH(DN$5,Assumptions!$C$36:$N$36, 0), FALSE)</f>
        <v>1</v>
      </c>
      <c r="DO6" s="346">
        <f>VLOOKUP($DM6, Assumptions!$C$36:$N$42, MATCH(DO$5,Assumptions!$C$36:$N$36, 0), FALSE)</f>
        <v>0.83978886799999997</v>
      </c>
      <c r="DP6" s="346">
        <f>VLOOKUP($DM6, Assumptions!$C$36:$N$42, MATCH(DP$5,Assumptions!$C$36:$N$36, 0), FALSE)</f>
        <v>0.70524534299999997</v>
      </c>
      <c r="DQ6" s="346">
        <f>VLOOKUP($DM6, Assumptions!$C$36:$N$42, MATCH(DQ$5,Assumptions!$C$36:$N$36, 0), FALSE)</f>
        <v>0.59225718800000005</v>
      </c>
      <c r="DR6" s="346">
        <f>VLOOKUP($DM6, Assumptions!$C$36:$N$42, MATCH(DR$5,Assumptions!$C$36:$N$36, 0), FALSE)</f>
        <v>0.49737099400000001</v>
      </c>
      <c r="DS6" s="346">
        <f>VLOOKUP($DM6, Assumptions!$C$36:$N$42, MATCH(DS$5,Assumptions!$C$36:$N$36, 0), FALSE)</f>
        <v>0.41768662400000001</v>
      </c>
      <c r="DT6" s="346">
        <f>VLOOKUP($DM6, Assumptions!$C$36:$N$42, MATCH(DT$5,Assumptions!$C$36:$N$36, 0), FALSE)</f>
        <v>0.35076857700000003</v>
      </c>
      <c r="DU6" s="346">
        <f>VLOOKUP($DM6, Assumptions!$C$36:$N$42, MATCH(DU$5,Assumptions!$C$36:$N$36, 0), FALSE)</f>
        <v>0.29457154600000002</v>
      </c>
      <c r="DV6" s="346">
        <f>VLOOKUP($DM6, Assumptions!$C$36:$N$42, MATCH(DV$5,Assumptions!$C$36:$N$36, 0), FALSE)</f>
        <v>0.24737790500000001</v>
      </c>
      <c r="DW6" s="346">
        <f>VLOOKUP($DM6, Assumptions!$C$36:$N$42, MATCH(DW$5,Assumptions!$C$36:$N$36, 0), FALSE)</f>
        <v>0.20774521100000001</v>
      </c>
      <c r="DX6" s="346">
        <f>VLOOKUP($DM6, Assumptions!$C$36:$N$42, MATCH(DX$5,Assumptions!$C$36:$N$36, 0), FALSE)</f>
        <v>0.16735418915404954</v>
      </c>
    </row>
    <row r="7" spans="2:128" ht="15.75" customHeight="1" x14ac:dyDescent="0.25">
      <c r="B7" s="103" t="str">
        <f>IF(Language="English", BA7, BC7)</f>
        <v>Saisissez les taux de complétude pour chaque année des données disponibles. Examinez si les taux de complétude sont assez élevés et cohérents pour utiliser les données.</v>
      </c>
      <c r="BA7" s="103" t="s">
        <v>1278</v>
      </c>
      <c r="BC7" s="103" t="s">
        <v>1131</v>
      </c>
      <c r="DL7" s="1485"/>
      <c r="DM7" s="388" t="s">
        <v>2031</v>
      </c>
      <c r="DN7" s="346">
        <f>VLOOKUP($DM7, Assumptions!$C$36:$N$42, MATCH(DN$5,Assumptions!$C$36:$N$36, 0), FALSE)</f>
        <v>1</v>
      </c>
      <c r="DO7" s="346">
        <f>VLOOKUP($DM7, Assumptions!$C$36:$N$42, MATCH(DO$5,Assumptions!$C$36:$N$36, 0), FALSE)</f>
        <v>0.89093513267927982</v>
      </c>
      <c r="DP7" s="346">
        <f>VLOOKUP($DM7, Assumptions!$C$36:$N$42, MATCH(DP$5,Assumptions!$C$36:$N$36, 0), FALSE)</f>
        <v>0.79376541064224604</v>
      </c>
      <c r="DQ7" s="346">
        <f>VLOOKUP($DM7, Assumptions!$C$36:$N$42, MATCH(DQ$5,Assumptions!$C$36:$N$36, 0), FALSE)</f>
        <v>0.70719349144677257</v>
      </c>
      <c r="DR7" s="346">
        <f>VLOOKUP($DM7, Assumptions!$C$36:$N$42, MATCH(DR$5,Assumptions!$C$36:$N$36, 0), FALSE)</f>
        <v>0.63006352713205349</v>
      </c>
      <c r="DS7" s="346">
        <f>VLOOKUP($DM7, Assumptions!$C$36:$N$42, MATCH(DS$5,Assumptions!$C$36:$N$36, 0), FALSE)</f>
        <v>0.56134573214177108</v>
      </c>
      <c r="DT7" s="346">
        <f>VLOOKUP($DM7, Assumptions!$C$36:$N$42, MATCH(DT$5,Assumptions!$C$36:$N$36, 0), FALSE)</f>
        <v>0.5001226343446763</v>
      </c>
      <c r="DU7" s="346">
        <f>VLOOKUP($DM7, Assumptions!$C$36:$N$42, MATCH(DU$5,Assumptions!$C$36:$N$36, 0), FALSE)</f>
        <v>0.44557682558578521</v>
      </c>
      <c r="DV7" s="346">
        <f>VLOOKUP($DM7, Assumptions!$C$36:$N$42, MATCH(DV$5,Assumptions!$C$36:$N$36, 0), FALSE)</f>
        <v>0</v>
      </c>
      <c r="DW7" s="346" t="str">
        <f>VLOOKUP($DM7, Assumptions!$C$36:$N$42, MATCH(DW$5,Assumptions!$C$36:$N$36, 0), FALSE)</f>
        <v xml:space="preserve"> </v>
      </c>
      <c r="DX7" s="346" t="str">
        <f>VLOOKUP($DM7, Assumptions!$C$36:$N$42, MATCH(DX$5,Assumptions!$C$36:$N$36, 0), FALSE)</f>
        <v xml:space="preserve"> </v>
      </c>
    </row>
    <row r="8" spans="2:128" ht="15.75" x14ac:dyDescent="0.25">
      <c r="B8" s="103"/>
      <c r="DL8" s="1486" t="s">
        <v>3</v>
      </c>
      <c r="DM8" s="389" t="s">
        <v>1060</v>
      </c>
      <c r="DN8" s="346">
        <f>VLOOKUP($DM8, Assumptions!$C$36:$N$42, MATCH(DN$5,Assumptions!$C$36:$N$36, 0), FALSE)</f>
        <v>1</v>
      </c>
      <c r="DO8" s="346">
        <f>VLOOKUP($DM8, Assumptions!$C$36:$N$42, MATCH(DO$5,Assumptions!$C$36:$N$36, 0), FALSE)</f>
        <v>0.89093513267927982</v>
      </c>
      <c r="DP8" s="346">
        <f>VLOOKUP($DM8, Assumptions!$C$36:$N$42, MATCH(DP$5,Assumptions!$C$36:$N$36, 0), FALSE)</f>
        <v>0.79376541064224604</v>
      </c>
      <c r="DQ8" s="346">
        <f>VLOOKUP($DM8, Assumptions!$C$36:$N$42, MATCH(DQ$5,Assumptions!$C$36:$N$36, 0), FALSE)</f>
        <v>0.70719349144677257</v>
      </c>
      <c r="DR8" s="346">
        <f>VLOOKUP($DM8, Assumptions!$C$36:$N$42, MATCH(DR$5,Assumptions!$C$36:$N$36, 0), FALSE)</f>
        <v>0</v>
      </c>
      <c r="DS8" s="346" t="str">
        <f>VLOOKUP($DM8, Assumptions!$C$36:$N$42, MATCH(DS$5,Assumptions!$C$36:$N$36, 0), FALSE)</f>
        <v xml:space="preserve"> </v>
      </c>
      <c r="DT8" s="346" t="str">
        <f>VLOOKUP($DM8, Assumptions!$C$36:$N$42, MATCH(DT$5,Assumptions!$C$36:$N$36, 0), FALSE)</f>
        <v xml:space="preserve"> </v>
      </c>
      <c r="DU8" s="346" t="str">
        <f>VLOOKUP($DM8, Assumptions!$C$36:$N$42, MATCH(DU$5,Assumptions!$C$36:$N$36, 0), FALSE)</f>
        <v xml:space="preserve"> </v>
      </c>
      <c r="DV8" s="346" t="str">
        <f>VLOOKUP($DM8, Assumptions!$C$36:$N$42, MATCH(DV$5,Assumptions!$C$36:$N$36, 0), FALSE)</f>
        <v xml:space="preserve"> </v>
      </c>
      <c r="DW8" s="346" t="str">
        <f>VLOOKUP($DM8, Assumptions!$C$36:$N$42, MATCH(DW$5,Assumptions!$C$36:$N$36, 0), FALSE)</f>
        <v xml:space="preserve"> </v>
      </c>
      <c r="DX8" s="346" t="str">
        <f>VLOOKUP($DM8, Assumptions!$C$36:$N$42, MATCH(DX$5,Assumptions!$C$36:$N$36, 0), FALSE)</f>
        <v xml:space="preserve"> </v>
      </c>
    </row>
    <row r="9" spans="2:128" ht="15.75" thickBot="1" x14ac:dyDescent="0.3">
      <c r="C9" s="11"/>
      <c r="D9" s="11"/>
      <c r="E9" s="11"/>
      <c r="F9" s="40"/>
      <c r="G9" s="47">
        <f>'3. ServiceStats Set Up'!$K$19</f>
        <v>0</v>
      </c>
      <c r="H9" s="47" t="str">
        <f>IFERROR(IF(G9+1&lt;='3. ServiceStats Set Up'!$K$20, 'Commodities (Facility) Input'!G9+1, ""), "")</f>
        <v/>
      </c>
      <c r="I9" s="47" t="str">
        <f>IFERROR(IF(H9+1&lt;='3. ServiceStats Set Up'!$K$20, 'Commodities (Facility) Input'!H9+1, ""), "")</f>
        <v/>
      </c>
      <c r="J9" s="47" t="str">
        <f>IFERROR(IF(I9+1&lt;='3. ServiceStats Set Up'!$K$20, 'Commodities (Facility) Input'!I9+1, ""), "")</f>
        <v/>
      </c>
      <c r="K9" s="47" t="str">
        <f>IFERROR(IF(J9+1&lt;='3. ServiceStats Set Up'!$K$20, 'Commodities (Facility) Input'!J9+1, ""), "")</f>
        <v/>
      </c>
      <c r="L9" s="47" t="str">
        <f>IFERROR(IF(K9+1&lt;='3. ServiceStats Set Up'!$K$20, 'Commodities (Facility) Input'!K9+1, ""), "")</f>
        <v/>
      </c>
      <c r="M9" s="47" t="str">
        <f>IFERROR(IF(L9+1&lt;='3. ServiceStats Set Up'!$K$20, 'Commodities (Facility) Input'!L9+1, ""), "")</f>
        <v/>
      </c>
      <c r="N9" s="47" t="str">
        <f>IFERROR(IF(M9+1&lt;='3. ServiceStats Set Up'!$K$20, 'Commodities (Facility) Input'!M9+1, ""), "")</f>
        <v/>
      </c>
      <c r="O9" s="47" t="str">
        <f>IFERROR(IF(N9+1&lt;='3. ServiceStats Set Up'!$K$20, 'Commodities (Facility) Input'!N9+1, ""), "")</f>
        <v/>
      </c>
      <c r="P9" s="47" t="str">
        <f>IFERROR(IF(O9+1&lt;='3. ServiceStats Set Up'!$K$20, 'Commodities (Facility) Input'!O9+1, ""), "")</f>
        <v/>
      </c>
      <c r="Q9" s="47" t="str">
        <f>IFERROR(IF(P9+1&lt;='3. ServiceStats Set Up'!$K$20, 'Commodities (Facility) Input'!P9+1, ""), "")</f>
        <v/>
      </c>
      <c r="R9" s="47" t="str">
        <f>IFERROR(IF(Q9+1&lt;='3. ServiceStats Set Up'!$K$20, 'Commodities (Facility) Input'!Q9+1, ""), "")</f>
        <v/>
      </c>
      <c r="S9" s="47" t="str">
        <f>IFERROR(IF(R9+1&lt;='3. ServiceStats Set Up'!$K$20, 'Commodities (Facility) Input'!R9+1, ""), "")</f>
        <v/>
      </c>
      <c r="T9" s="47" t="str">
        <f>IFERROR(IF(S9+1&lt;='3. ServiceStats Set Up'!$K$20, 'Commodities (Facility) Input'!S9+1, ""), "")</f>
        <v/>
      </c>
      <c r="U9" s="47" t="str">
        <f>IFERROR(IF(T9+1&lt;='3. ServiceStats Set Up'!$K$20, 'Commodities (Facility) Input'!T9+1, ""), "")</f>
        <v/>
      </c>
      <c r="V9" s="47" t="str">
        <f>IFERROR(IF(U9+1&lt;='3. ServiceStats Set Up'!$K$20, 'Commodities (Facility) Input'!U9+1, ""), "")</f>
        <v/>
      </c>
      <c r="BK9" s="47">
        <f>G9</f>
        <v>0</v>
      </c>
      <c r="BL9" s="47" t="str">
        <f t="shared" ref="BL9:BZ9" si="0">H9</f>
        <v/>
      </c>
      <c r="BM9" s="47" t="str">
        <f t="shared" si="0"/>
        <v/>
      </c>
      <c r="BN9" s="47" t="str">
        <f t="shared" si="0"/>
        <v/>
      </c>
      <c r="BO9" s="47" t="str">
        <f t="shared" si="0"/>
        <v/>
      </c>
      <c r="BP9" s="47" t="str">
        <f t="shared" si="0"/>
        <v/>
      </c>
      <c r="BQ9" s="47" t="str">
        <f t="shared" si="0"/>
        <v/>
      </c>
      <c r="BR9" s="47" t="str">
        <f t="shared" si="0"/>
        <v/>
      </c>
      <c r="BS9" s="47" t="str">
        <f t="shared" si="0"/>
        <v/>
      </c>
      <c r="BT9" s="47" t="str">
        <f t="shared" si="0"/>
        <v/>
      </c>
      <c r="BU9" s="47" t="str">
        <f t="shared" si="0"/>
        <v/>
      </c>
      <c r="BV9" s="47" t="str">
        <f t="shared" si="0"/>
        <v/>
      </c>
      <c r="BW9" s="47" t="str">
        <f t="shared" si="0"/>
        <v/>
      </c>
      <c r="BX9" s="47" t="str">
        <f t="shared" si="0"/>
        <v/>
      </c>
      <c r="BY9" s="47" t="str">
        <f t="shared" si="0"/>
        <v/>
      </c>
      <c r="BZ9" s="47" t="str">
        <f t="shared" si="0"/>
        <v/>
      </c>
      <c r="CC9" s="47">
        <f t="shared" ref="CC9:CR9" si="1">G9</f>
        <v>0</v>
      </c>
      <c r="CD9" s="47" t="str">
        <f t="shared" si="1"/>
        <v/>
      </c>
      <c r="CE9" s="47" t="str">
        <f t="shared" si="1"/>
        <v/>
      </c>
      <c r="CF9" s="47" t="str">
        <f t="shared" si="1"/>
        <v/>
      </c>
      <c r="CG9" s="47" t="str">
        <f t="shared" si="1"/>
        <v/>
      </c>
      <c r="CH9" s="47" t="str">
        <f t="shared" si="1"/>
        <v/>
      </c>
      <c r="CI9" s="47" t="str">
        <f t="shared" si="1"/>
        <v/>
      </c>
      <c r="CJ9" s="47" t="str">
        <f t="shared" si="1"/>
        <v/>
      </c>
      <c r="CK9" s="47" t="str">
        <f t="shared" si="1"/>
        <v/>
      </c>
      <c r="CL9" s="47" t="str">
        <f t="shared" si="1"/>
        <v/>
      </c>
      <c r="CM9" s="47" t="str">
        <f t="shared" si="1"/>
        <v/>
      </c>
      <c r="CN9" s="47" t="str">
        <f t="shared" si="1"/>
        <v/>
      </c>
      <c r="CO9" s="47" t="str">
        <f t="shared" si="1"/>
        <v/>
      </c>
      <c r="CP9" s="47" t="str">
        <f t="shared" si="1"/>
        <v/>
      </c>
      <c r="CQ9" s="47" t="str">
        <f t="shared" si="1"/>
        <v/>
      </c>
      <c r="CR9" s="47" t="str">
        <f t="shared" si="1"/>
        <v/>
      </c>
      <c r="DL9" s="1487"/>
      <c r="DM9" s="389" t="s">
        <v>298</v>
      </c>
      <c r="DN9" s="346">
        <f>VLOOKUP($DM9, Assumptions!$C$36:$N$42, MATCH(DN$5,Assumptions!$C$36:$N$36, 0), FALSE)</f>
        <v>1</v>
      </c>
      <c r="DO9" s="346">
        <f>VLOOKUP($DM9, Assumptions!$C$36:$N$42, MATCH(DO$5,Assumptions!$C$36:$N$36, 0), FALSE)</f>
        <v>0.89093513267927982</v>
      </c>
      <c r="DP9" s="346">
        <f>VLOOKUP($DM9, Assumptions!$C$36:$N$42, MATCH(DP$5,Assumptions!$C$36:$N$36, 0), FALSE)</f>
        <v>0.79376541064224604</v>
      </c>
      <c r="DQ9" s="346">
        <f>VLOOKUP($DM9, Assumptions!$C$36:$N$42, MATCH(DQ$5,Assumptions!$C$36:$N$36, 0), FALSE)</f>
        <v>0.70719349144677257</v>
      </c>
      <c r="DR9" s="346">
        <f>VLOOKUP($DM9, Assumptions!$C$36:$N$42, MATCH(DR$5,Assumptions!$C$36:$N$36, 0), FALSE)</f>
        <v>0.63006352713205349</v>
      </c>
      <c r="DS9" s="346">
        <f>VLOOKUP($DM9, Assumptions!$C$36:$N$42, MATCH(DS$5,Assumptions!$C$36:$N$36, 0), FALSE)</f>
        <v>0</v>
      </c>
      <c r="DT9" s="346" t="str">
        <f>VLOOKUP($DM9, Assumptions!$C$36:$N$42, MATCH(DT$5,Assumptions!$C$36:$N$36, 0), FALSE)</f>
        <v xml:space="preserve"> </v>
      </c>
      <c r="DU9" s="346" t="str">
        <f>VLOOKUP($DM9, Assumptions!$C$36:$N$42, MATCH(DU$5,Assumptions!$C$36:$N$36, 0), FALSE)</f>
        <v xml:space="preserve"> </v>
      </c>
      <c r="DV9" s="346" t="str">
        <f>VLOOKUP($DM9, Assumptions!$C$36:$N$42, MATCH(DV$5,Assumptions!$C$36:$N$36, 0), FALSE)</f>
        <v xml:space="preserve"> </v>
      </c>
      <c r="DW9" s="346" t="str">
        <f>VLOOKUP($DM9, Assumptions!$C$36:$N$42, MATCH(DW$5,Assumptions!$C$36:$N$36, 0), FALSE)</f>
        <v xml:space="preserve"> </v>
      </c>
      <c r="DX9" s="346" t="str">
        <f>VLOOKUP($DM9, Assumptions!$C$36:$N$42, MATCH(DX$5,Assumptions!$C$36:$N$36, 0), FALSE)</f>
        <v xml:space="preserve"> </v>
      </c>
    </row>
    <row r="10" spans="2:128" ht="22.5" thickTop="1" thickBot="1" x14ac:dyDescent="0.3">
      <c r="B10" s="1518"/>
      <c r="C10" s="1513" t="str">
        <f>'Language Look Ups'!$B$22</f>
        <v>Saisissez les taux de complétude</v>
      </c>
      <c r="D10" s="1514"/>
      <c r="E10" s="1514"/>
      <c r="F10" s="1514"/>
      <c r="G10" s="273"/>
      <c r="H10" s="273"/>
      <c r="I10" s="273"/>
      <c r="J10" s="273"/>
      <c r="K10" s="273"/>
      <c r="L10" s="273"/>
      <c r="M10" s="273"/>
      <c r="N10" s="273"/>
      <c r="O10" s="273"/>
      <c r="P10" s="273"/>
      <c r="Q10" s="273"/>
      <c r="R10" s="273"/>
      <c r="S10" s="273"/>
      <c r="T10" s="273"/>
      <c r="U10" s="273"/>
      <c r="V10" s="273"/>
      <c r="AA10" s="113">
        <f>COUNTIF(G11:V11, 1)</f>
        <v>0</v>
      </c>
      <c r="BK10" s="49">
        <f>IF(BK9="", "", HLOOKUP(BK$9, $G$9:$V$10, 2, FALSE))</f>
        <v>0</v>
      </c>
      <c r="BL10" s="49" t="str">
        <f>IF(BL9="", "", HLOOKUP(BL$9, $G$9:$V$10, 2, FALSE))</f>
        <v/>
      </c>
      <c r="BM10" s="49" t="str">
        <f>IF(BM9="", "", HLOOKUP(BM$9, $G$9:$V$10, 2, FALSE))</f>
        <v/>
      </c>
      <c r="BN10" s="49" t="str">
        <f>IF(BN9="", "", HLOOKUP(BN$9, $G$9:$V$10, 2, FALSE))</f>
        <v/>
      </c>
      <c r="BO10" s="49" t="str">
        <f>IF(BO9="", "", HLOOKUP(BO$9, $G$9:$V$10, 2, FALSE))</f>
        <v/>
      </c>
      <c r="BP10" s="49" t="str">
        <f t="shared" ref="BP10:BZ10" si="2">IF(BP9="", "", HLOOKUP(BP$9, $G$9:$V$10, 2, FALSE))</f>
        <v/>
      </c>
      <c r="BQ10" s="49" t="str">
        <f t="shared" si="2"/>
        <v/>
      </c>
      <c r="BR10" s="49" t="str">
        <f t="shared" si="2"/>
        <v/>
      </c>
      <c r="BS10" s="49" t="str">
        <f t="shared" si="2"/>
        <v/>
      </c>
      <c r="BT10" s="49" t="str">
        <f t="shared" si="2"/>
        <v/>
      </c>
      <c r="BU10" s="49" t="str">
        <f t="shared" si="2"/>
        <v/>
      </c>
      <c r="BV10" s="49" t="str">
        <f t="shared" si="2"/>
        <v/>
      </c>
      <c r="BW10" s="49" t="str">
        <f t="shared" si="2"/>
        <v/>
      </c>
      <c r="BX10" s="49" t="str">
        <f t="shared" si="2"/>
        <v/>
      </c>
      <c r="BY10" s="49" t="str">
        <f t="shared" si="2"/>
        <v/>
      </c>
      <c r="BZ10" s="49" t="str">
        <f t="shared" si="2"/>
        <v/>
      </c>
      <c r="CC10" s="49">
        <f>IF(CC9="", "", HLOOKUP(CC$9, $G$9:$V$10, 2, FALSE))</f>
        <v>0</v>
      </c>
      <c r="CD10" s="49" t="str">
        <f t="shared" ref="CD10:CR10" si="3">IF(CD9="", "", HLOOKUP(CD$9, $G$9:$V$10, 2, FALSE))</f>
        <v/>
      </c>
      <c r="CE10" s="49" t="str">
        <f t="shared" si="3"/>
        <v/>
      </c>
      <c r="CF10" s="49" t="str">
        <f t="shared" si="3"/>
        <v/>
      </c>
      <c r="CG10" s="49" t="str">
        <f>IF(CG9="", "", HLOOKUP(CG$9, $G$9:$V$10, 2, FALSE))</f>
        <v/>
      </c>
      <c r="CH10" s="49" t="str">
        <f t="shared" si="3"/>
        <v/>
      </c>
      <c r="CI10" s="49" t="str">
        <f t="shared" si="3"/>
        <v/>
      </c>
      <c r="CJ10" s="49" t="str">
        <f t="shared" si="3"/>
        <v/>
      </c>
      <c r="CK10" s="49" t="str">
        <f t="shared" si="3"/>
        <v/>
      </c>
      <c r="CL10" s="49" t="str">
        <f t="shared" si="3"/>
        <v/>
      </c>
      <c r="CM10" s="49" t="str">
        <f t="shared" si="3"/>
        <v/>
      </c>
      <c r="CN10" s="49" t="str">
        <f t="shared" si="3"/>
        <v/>
      </c>
      <c r="CO10" s="49" t="str">
        <f t="shared" si="3"/>
        <v/>
      </c>
      <c r="CP10" s="49" t="str">
        <f t="shared" si="3"/>
        <v/>
      </c>
      <c r="CQ10" s="49" t="str">
        <f t="shared" si="3"/>
        <v/>
      </c>
      <c r="CR10" s="49" t="str">
        <f t="shared" si="3"/>
        <v/>
      </c>
      <c r="DL10" s="1488"/>
      <c r="DM10" s="389" t="s">
        <v>297</v>
      </c>
      <c r="DN10" s="346">
        <f>VLOOKUP($DM10, Assumptions!$C$36:$N$42, MATCH(DN$5,Assumptions!$C$36:$N$36, 0), FALSE)</f>
        <v>1</v>
      </c>
      <c r="DO10" s="346">
        <f>VLOOKUP($DM10, Assumptions!$C$36:$N$42, MATCH(DO$5,Assumptions!$C$36:$N$36, 0), FALSE)</f>
        <v>0.89093513267927982</v>
      </c>
      <c r="DP10" s="346">
        <f>VLOOKUP($DM10, Assumptions!$C$36:$N$42, MATCH(DP$5,Assumptions!$C$36:$N$36, 0), FALSE)</f>
        <v>0.79376541064224604</v>
      </c>
      <c r="DQ10" s="346">
        <f>VLOOKUP($DM10, Assumptions!$C$36:$N$42, MATCH(DQ$5,Assumptions!$C$36:$N$36, 0), FALSE)</f>
        <v>0.70719349144677257</v>
      </c>
      <c r="DR10" s="346">
        <f>VLOOKUP($DM10, Assumptions!$C$36:$N$42, MATCH(DR$5,Assumptions!$C$36:$N$36, 0), FALSE)</f>
        <v>0.63006352713205349</v>
      </c>
      <c r="DS10" s="346">
        <f>VLOOKUP($DM10, Assumptions!$C$36:$N$42, MATCH(DS$5,Assumptions!$C$36:$N$36, 0), FALSE)</f>
        <v>0.56134573214177108</v>
      </c>
      <c r="DT10" s="346">
        <f>VLOOKUP($DM10, Assumptions!$C$36:$N$42, MATCH(DT$5,Assumptions!$C$36:$N$36, 0), FALSE)</f>
        <v>0</v>
      </c>
      <c r="DU10" s="346" t="str">
        <f>VLOOKUP($DM10, Assumptions!$C$36:$N$42, MATCH(DU$5,Assumptions!$C$36:$N$36, 0), FALSE)</f>
        <v xml:space="preserve"> </v>
      </c>
      <c r="DV10" s="346" t="str">
        <f>VLOOKUP($DM10, Assumptions!$C$36:$N$42, MATCH(DV$5,Assumptions!$C$36:$N$36, 0), FALSE)</f>
        <v xml:space="preserve"> </v>
      </c>
      <c r="DW10" s="346" t="str">
        <f>VLOOKUP($DM10, Assumptions!$C$36:$N$42, MATCH(DW$5,Assumptions!$C$36:$N$36, 0), FALSE)</f>
        <v xml:space="preserve"> </v>
      </c>
      <c r="DX10" s="346" t="str">
        <f>VLOOKUP($DM10, Assumptions!$C$36:$N$42, MATCH(DX$5,Assumptions!$C$36:$N$36, 0), FALSE)</f>
        <v xml:space="preserve"> </v>
      </c>
    </row>
    <row r="11" spans="2:128" ht="12" customHeight="1" thickTop="1" x14ac:dyDescent="0.25">
      <c r="B11" s="1518"/>
      <c r="C11" s="31"/>
      <c r="D11" s="31"/>
      <c r="E11" s="31"/>
      <c r="F11" s="31"/>
      <c r="G11" s="113">
        <f>IF(G9="", "", IF(G10&gt;=80%, 1, IF(G10&gt;=60%, 2,3)))</f>
        <v>3</v>
      </c>
      <c r="H11" s="113" t="str">
        <f t="shared" ref="H11:U11" si="4">IF(H9="", "", IF(H10&gt;=80%, 1, IF(H10&gt;=60%, 2,3)))</f>
        <v/>
      </c>
      <c r="I11" s="113" t="str">
        <f t="shared" si="4"/>
        <v/>
      </c>
      <c r="J11" s="113" t="str">
        <f t="shared" si="4"/>
        <v/>
      </c>
      <c r="K11" s="113" t="str">
        <f t="shared" si="4"/>
        <v/>
      </c>
      <c r="L11" s="113" t="str">
        <f t="shared" si="4"/>
        <v/>
      </c>
      <c r="M11" s="113" t="str">
        <f t="shared" si="4"/>
        <v/>
      </c>
      <c r="N11" s="113" t="str">
        <f t="shared" si="4"/>
        <v/>
      </c>
      <c r="O11" s="113" t="str">
        <f t="shared" si="4"/>
        <v/>
      </c>
      <c r="P11" s="113" t="str">
        <f t="shared" si="4"/>
        <v/>
      </c>
      <c r="Q11" s="113" t="str">
        <f t="shared" si="4"/>
        <v/>
      </c>
      <c r="R11" s="113" t="str">
        <f t="shared" si="4"/>
        <v/>
      </c>
      <c r="S11" s="113" t="str">
        <f t="shared" si="4"/>
        <v/>
      </c>
      <c r="T11" s="113" t="str">
        <f t="shared" si="4"/>
        <v/>
      </c>
      <c r="U11" s="113" t="str">
        <f t="shared" si="4"/>
        <v/>
      </c>
      <c r="V11" s="113" t="str">
        <f>IF(V9="", "", IF(V10&gt;=80%, 1, IF(V10&gt;=60%, 2,3)))</f>
        <v/>
      </c>
      <c r="AA11" s="113">
        <f>COUNTIF(G11:V11, 2)</f>
        <v>0</v>
      </c>
      <c r="AB11" s="114"/>
      <c r="DL11" s="390"/>
      <c r="DM11" s="390" t="s">
        <v>299</v>
      </c>
      <c r="DN11" s="346">
        <f>VLOOKUP($DM11, Assumptions!$C$36:$N$42, MATCH(DN$5,Assumptions!$C$36:$N$36, 0), FALSE)</f>
        <v>1</v>
      </c>
      <c r="DO11" s="346">
        <f>VLOOKUP($DM11, Assumptions!$C$36:$N$42, MATCH(DO$5,Assumptions!$C$36:$N$36, 0), FALSE)</f>
        <v>0.54273299092385041</v>
      </c>
      <c r="DP11" s="346">
        <f>VLOOKUP($DM11, Assumptions!$C$36:$N$42, MATCH(DP$5,Assumptions!$C$36:$N$36, 0), FALSE)</f>
        <v>0.29455909943714825</v>
      </c>
      <c r="DQ11" s="346">
        <f>VLOOKUP($DM11, Assumptions!$C$36:$N$42, MATCH(DQ$5,Assumptions!$C$36:$N$36, 0), FALSE)</f>
        <v>0.15986694104135935</v>
      </c>
      <c r="DR11" s="346">
        <f>VLOOKUP($DM11, Assumptions!$C$36:$N$42, MATCH(DR$5,Assumptions!$C$36:$N$36, 0), FALSE)</f>
        <v>8.6765063061223793E-2</v>
      </c>
      <c r="DS11" s="346">
        <f>VLOOKUP($DM11, Assumptions!$C$36:$N$42, MATCH(DS$5,Assumptions!$C$36:$N$36, 0), FALSE)</f>
        <v>4.7090262182914476E-2</v>
      </c>
      <c r="DT11" s="346">
        <f>VLOOKUP($DM11, Assumptions!$C$36:$N$42, MATCH(DT$5,Assumptions!$C$36:$N$36, 0), FALSE)</f>
        <v>2.5557438837921467E-2</v>
      </c>
      <c r="DU11" s="346">
        <f>VLOOKUP($DM11, Assumptions!$C$36:$N$42, MATCH(DU$5,Assumptions!$C$36:$N$36, 0), FALSE)</f>
        <v>1.3870865220858486E-2</v>
      </c>
      <c r="DV11" s="346">
        <f>VLOOKUP($DM11, Assumptions!$C$36:$N$42, MATCH(DV$5,Assumptions!$C$36:$N$36, 0), FALSE)</f>
        <v>7.5281761680181429E-3</v>
      </c>
      <c r="DW11" s="346">
        <f>VLOOKUP($DM11, Assumptions!$C$36:$N$42, MATCH(DW$5,Assumptions!$C$36:$N$36, 0), FALSE)</f>
        <v>4.0857895678701383E-3</v>
      </c>
      <c r="DX11" s="346">
        <f>VLOOKUP($DM11, Assumptions!$C$36:$N$42, MATCH(DX$5,Assumptions!$C$36:$N$36, 0), FALSE)</f>
        <v>2.2174927924556252E-3</v>
      </c>
    </row>
    <row r="12" spans="2:128" ht="22.5" customHeight="1" x14ac:dyDescent="0.25">
      <c r="B12" s="1518"/>
      <c r="C12" s="1516" t="str">
        <f>IF(Language="Francais", BC12, BA12)</f>
        <v>Les taux de complétude devraient être supérieurs à 80% pour utiliser les données dans FPET. Si les taux varient entre 60% et 80%, veuillez discuter avec un membre de l'équipe de Track20.</v>
      </c>
      <c r="D12" s="1516">
        <f t="shared" ref="D12:V12" si="5">IF(Language="Francais", BE12, BC12)</f>
        <v>0</v>
      </c>
      <c r="E12" s="1516">
        <f t="shared" si="5"/>
        <v>0</v>
      </c>
      <c r="F12" s="1516">
        <f t="shared" si="5"/>
        <v>0</v>
      </c>
      <c r="G12" s="1516">
        <f t="shared" si="5"/>
        <v>0</v>
      </c>
      <c r="H12" s="1516">
        <f t="shared" si="5"/>
        <v>0</v>
      </c>
      <c r="I12" s="1516">
        <f t="shared" si="5"/>
        <v>0</v>
      </c>
      <c r="J12" s="1516">
        <f t="shared" si="5"/>
        <v>0</v>
      </c>
      <c r="K12" s="1516">
        <f t="shared" si="5"/>
        <v>0</v>
      </c>
      <c r="L12" s="1516">
        <f t="shared" si="5"/>
        <v>0</v>
      </c>
      <c r="M12" s="1516">
        <f t="shared" si="5"/>
        <v>0</v>
      </c>
      <c r="N12" s="1516">
        <f t="shared" si="5"/>
        <v>0</v>
      </c>
      <c r="O12" s="1516">
        <f t="shared" si="5"/>
        <v>0</v>
      </c>
      <c r="P12" s="1516">
        <f t="shared" si="5"/>
        <v>0</v>
      </c>
      <c r="Q12" s="1516">
        <f t="shared" si="5"/>
        <v>0</v>
      </c>
      <c r="R12" s="1516">
        <f t="shared" si="5"/>
        <v>0</v>
      </c>
      <c r="S12" s="1516">
        <f t="shared" si="5"/>
        <v>0</v>
      </c>
      <c r="T12" s="1516">
        <f t="shared" si="5"/>
        <v>0</v>
      </c>
      <c r="U12" s="1516">
        <f t="shared" si="5"/>
        <v>0</v>
      </c>
      <c r="V12" s="1516">
        <f t="shared" si="5"/>
        <v>0</v>
      </c>
      <c r="BA12" s="184" t="s">
        <v>116</v>
      </c>
      <c r="BC12" s="184" t="s">
        <v>1132</v>
      </c>
    </row>
    <row r="13" spans="2:128" ht="22.5" hidden="1" customHeight="1" x14ac:dyDescent="0.25">
      <c r="B13" s="1518"/>
      <c r="C13" s="1517" t="str">
        <f>IF(AA10&gt;=3, "You have at least 3 years of data with reporting rates greater than 80%.", IF(SUM(AA10:AA11)&gt;=3, "You have at least 3 years of data with reporting rates greater than 60%, please discuss with Track20 Team Member.", "Reporting Rates are generally below 60%, so this data may not be useable in FPET. This may be an opportunity to address data quality."))</f>
        <v>Reporting Rates are generally below 60%, so this data may not be useable in FPET. This may be an opportunity to address data quality.</v>
      </c>
      <c r="D13" s="1517"/>
      <c r="E13" s="1517"/>
      <c r="F13" s="1517"/>
      <c r="G13" s="1517"/>
      <c r="H13" s="1517"/>
      <c r="I13" s="1517"/>
      <c r="J13" s="1517"/>
      <c r="K13" s="1517"/>
      <c r="L13" s="1517"/>
      <c r="M13" s="1517"/>
      <c r="N13" s="1517"/>
      <c r="O13" s="1517"/>
      <c r="P13" s="1517"/>
      <c r="Q13" s="1517"/>
      <c r="R13" s="1517"/>
      <c r="S13" s="1517"/>
      <c r="T13" s="1517"/>
      <c r="U13" s="1517"/>
      <c r="V13" s="1517"/>
    </row>
    <row r="14" spans="2:128" ht="27" hidden="1" customHeight="1" x14ac:dyDescent="0.45">
      <c r="B14" s="1518"/>
      <c r="C14" s="1519"/>
      <c r="D14" s="1519"/>
      <c r="E14" s="1519"/>
      <c r="F14" s="1519"/>
      <c r="G14" s="1519"/>
      <c r="H14" s="1519"/>
      <c r="I14" s="1519"/>
      <c r="J14" s="1519"/>
      <c r="K14" s="1519"/>
      <c r="L14" s="1519"/>
      <c r="M14" s="1519"/>
      <c r="N14" s="1519"/>
      <c r="O14" s="1519"/>
      <c r="P14" s="1519"/>
      <c r="Q14" s="1519"/>
      <c r="R14" s="1519"/>
      <c r="S14" s="1519"/>
      <c r="T14" s="1519"/>
      <c r="U14" s="1519"/>
      <c r="V14" s="1519"/>
      <c r="CH14" s="2"/>
    </row>
    <row r="15" spans="2:128" ht="12" customHeight="1" x14ac:dyDescent="0.25"/>
    <row r="16" spans="2:128" ht="27" thickBot="1" x14ac:dyDescent="0.45">
      <c r="B16" s="243" t="str">
        <f>IF(Language="English", BA16, BC16)</f>
        <v>ÉTAPE 2 of 3. SAISIR LES DONNÉES DES PRODUITS</v>
      </c>
      <c r="C16" s="232"/>
      <c r="D16" s="232"/>
      <c r="E16" s="232"/>
      <c r="F16" s="232"/>
      <c r="G16" s="232"/>
      <c r="H16" s="232"/>
      <c r="I16" s="232"/>
      <c r="J16" s="232"/>
      <c r="K16" s="232"/>
      <c r="L16" s="232"/>
      <c r="M16" s="232"/>
      <c r="N16" s="232"/>
      <c r="O16" s="232"/>
      <c r="P16" s="232"/>
      <c r="Q16" s="232"/>
      <c r="R16" s="232"/>
      <c r="S16" s="232"/>
      <c r="T16" s="232"/>
      <c r="U16" s="232"/>
      <c r="V16" s="232"/>
      <c r="AA16" s="1543" t="str">
        <f>IF(Language="English", BA20, BC20)</f>
        <v>OPTIONNEL: SAISIR LES AJUSTEMENTS POUR LES DONNÉES DU SECTEUR PRIVÉ MANQUANTES</v>
      </c>
      <c r="AB16" s="1543"/>
      <c r="AC16" s="1543"/>
      <c r="AD16" s="1543"/>
      <c r="AE16" s="1543"/>
      <c r="AF16" s="1543"/>
      <c r="AG16" s="1543"/>
      <c r="AH16" s="1543"/>
      <c r="AI16" s="1543"/>
      <c r="AJ16" s="1543"/>
      <c r="AK16" s="1543"/>
      <c r="AL16" s="1543"/>
      <c r="AM16" s="1543"/>
      <c r="AN16" s="1543"/>
      <c r="AO16" s="1543"/>
      <c r="AP16" s="1543"/>
      <c r="AQ16" s="1543"/>
      <c r="AR16" s="1543"/>
      <c r="AS16" s="243"/>
      <c r="AT16" s="232"/>
      <c r="AU16" s="232"/>
      <c r="AV16" s="232"/>
      <c r="BA16" s="184" t="s">
        <v>1072</v>
      </c>
      <c r="BC16" s="184" t="s">
        <v>1076</v>
      </c>
      <c r="BK16">
        <v>1</v>
      </c>
      <c r="BL16">
        <v>2</v>
      </c>
      <c r="BM16">
        <v>3</v>
      </c>
      <c r="BN16">
        <v>4</v>
      </c>
      <c r="BO16">
        <v>5</v>
      </c>
      <c r="BP16">
        <v>6</v>
      </c>
      <c r="BQ16">
        <v>7</v>
      </c>
      <c r="BR16">
        <v>8</v>
      </c>
      <c r="BS16">
        <v>9</v>
      </c>
      <c r="BT16">
        <v>10</v>
      </c>
      <c r="BU16">
        <v>11</v>
      </c>
      <c r="BV16">
        <v>12</v>
      </c>
      <c r="BW16">
        <v>13</v>
      </c>
      <c r="BX16">
        <v>14</v>
      </c>
      <c r="BY16">
        <v>15</v>
      </c>
      <c r="BZ16">
        <v>16</v>
      </c>
      <c r="CC16">
        <v>1</v>
      </c>
      <c r="CD16">
        <v>2</v>
      </c>
      <c r="CE16">
        <v>3</v>
      </c>
      <c r="CF16">
        <v>4</v>
      </c>
      <c r="CG16">
        <v>5</v>
      </c>
      <c r="CH16">
        <v>6</v>
      </c>
      <c r="CI16">
        <v>7</v>
      </c>
      <c r="CJ16">
        <v>8</v>
      </c>
      <c r="CK16">
        <v>9</v>
      </c>
      <c r="CL16">
        <v>10</v>
      </c>
      <c r="CM16">
        <v>11</v>
      </c>
      <c r="CN16">
        <v>12</v>
      </c>
      <c r="CO16">
        <v>13</v>
      </c>
      <c r="CP16">
        <v>14</v>
      </c>
      <c r="CQ16">
        <v>15</v>
      </c>
      <c r="CR16">
        <v>16</v>
      </c>
      <c r="CU16">
        <v>1</v>
      </c>
      <c r="CV16">
        <v>2</v>
      </c>
      <c r="CW16">
        <v>3</v>
      </c>
      <c r="CX16">
        <v>4</v>
      </c>
      <c r="CY16">
        <v>5</v>
      </c>
      <c r="CZ16">
        <v>6</v>
      </c>
      <c r="DA16">
        <v>7</v>
      </c>
      <c r="DB16">
        <v>8</v>
      </c>
      <c r="DC16">
        <v>9</v>
      </c>
      <c r="DD16">
        <v>10</v>
      </c>
      <c r="DE16">
        <v>11</v>
      </c>
      <c r="DF16">
        <v>12</v>
      </c>
      <c r="DG16">
        <v>13</v>
      </c>
      <c r="DH16">
        <v>14</v>
      </c>
      <c r="DI16">
        <v>15</v>
      </c>
      <c r="DJ16">
        <v>16</v>
      </c>
    </row>
    <row r="17" spans="2:136" ht="42" customHeight="1" thickBot="1" x14ac:dyDescent="0.3">
      <c r="B17" s="196" t="str">
        <f>IF(Language="English", BA17, BC17)</f>
        <v>Saisissez les chiffres des produits annuels par méthode dans le tableau ci-dessous pour les méthodes utilisées dans votre pays. Saisissez les données pour chaque année.</v>
      </c>
      <c r="AA17" s="1541" t="str">
        <f>IF(Language="English", BA21, BC21)</f>
        <v>Si vous souhaitez modifier l'ajustement du secteur privé au fil du temps, vous pouvez le faire ci-dessous. Ces chiffres représentent le facteur d'inflation, par méthode, qui sera utilisé pour ajuster les valeurs que vous avez saisies à gauche pour représenter l'ensemble du marché (toutes les prestations de PF du secteur public et privé).</v>
      </c>
      <c r="AB17" s="1541"/>
      <c r="AC17" s="1541"/>
      <c r="AD17" s="1541"/>
      <c r="AE17" s="1541"/>
      <c r="AF17" s="1541"/>
      <c r="AG17" s="1541"/>
      <c r="AH17" s="1541"/>
      <c r="AI17" s="1541"/>
      <c r="AJ17" s="1541"/>
      <c r="AK17" s="1541"/>
      <c r="AL17" s="1541"/>
      <c r="AM17" s="1541"/>
      <c r="AN17" s="1541"/>
      <c r="AO17" s="1541"/>
      <c r="AP17" s="1541"/>
      <c r="AQ17" s="1541"/>
      <c r="AR17" s="1541"/>
      <c r="AS17" s="453"/>
      <c r="BA17" s="196" t="s">
        <v>81</v>
      </c>
      <c r="BC17" s="196" t="s">
        <v>822</v>
      </c>
      <c r="CC17" t="s">
        <v>1054</v>
      </c>
      <c r="CU17" t="s">
        <v>1054</v>
      </c>
    </row>
    <row r="18" spans="2:136" ht="30" hidden="1" customHeight="1" x14ac:dyDescent="0.25">
      <c r="B18" s="196" t="s">
        <v>573</v>
      </c>
      <c r="AB18" s="1523" t="s">
        <v>112</v>
      </c>
      <c r="AC18" s="1523"/>
      <c r="AD18" s="1523"/>
      <c r="AE18" s="1523"/>
      <c r="AF18" s="1523"/>
      <c r="AG18" s="1523"/>
      <c r="AH18" s="1523"/>
      <c r="AI18" s="1523"/>
      <c r="AJ18" s="1523"/>
      <c r="AK18" s="1523"/>
      <c r="AL18" s="1523"/>
      <c r="AM18" s="1523"/>
      <c r="AN18" s="1523"/>
      <c r="AO18" s="1523"/>
      <c r="AP18" s="1523"/>
      <c r="AQ18" s="1523"/>
      <c r="AR18" s="1523"/>
    </row>
    <row r="19" spans="2:136" ht="19.5" hidden="1" customHeight="1" thickBot="1" x14ac:dyDescent="0.3">
      <c r="AB19" s="183" t="s">
        <v>82</v>
      </c>
      <c r="AC19" s="183"/>
      <c r="AD19" s="183"/>
      <c r="AE19" s="183"/>
      <c r="AF19" s="183"/>
      <c r="AG19" s="183"/>
      <c r="AH19" s="183"/>
      <c r="AI19" s="183"/>
      <c r="AJ19" s="183"/>
      <c r="AK19" s="183"/>
      <c r="AL19" s="183"/>
      <c r="AM19" s="183"/>
      <c r="AN19" s="183"/>
      <c r="AO19" s="183"/>
      <c r="AP19" s="183"/>
      <c r="AQ19" s="183"/>
      <c r="AR19" s="183"/>
      <c r="BK19" s="233" t="s">
        <v>563</v>
      </c>
      <c r="BL19" s="234"/>
      <c r="BM19" s="234"/>
      <c r="BN19" s="234"/>
      <c r="BO19" s="234"/>
      <c r="BP19" s="234"/>
      <c r="BQ19" s="234"/>
      <c r="BR19" s="234"/>
      <c r="BS19" s="234"/>
      <c r="BT19" s="234"/>
      <c r="BU19" s="234"/>
      <c r="BV19" s="234"/>
      <c r="BW19" s="234"/>
      <c r="BX19" s="234"/>
      <c r="BY19" s="234"/>
      <c r="BZ19" s="234"/>
      <c r="CC19" s="235"/>
      <c r="CD19" s="235"/>
      <c r="CE19" s="235"/>
      <c r="CF19" s="235"/>
      <c r="CG19" s="235"/>
      <c r="CH19" s="235"/>
      <c r="CI19" s="235"/>
      <c r="CJ19" s="235"/>
      <c r="CK19" s="235"/>
      <c r="CL19" s="235"/>
      <c r="CM19" s="235"/>
      <c r="CN19" s="235"/>
      <c r="CO19" s="235"/>
      <c r="CP19" s="235"/>
      <c r="CQ19" s="235"/>
      <c r="CR19" s="235"/>
      <c r="CU19" s="235"/>
      <c r="CV19" s="235"/>
      <c r="CW19" s="235"/>
      <c r="CX19" s="235"/>
      <c r="CY19" s="235"/>
      <c r="CZ19" s="235"/>
      <c r="DA19" s="235"/>
      <c r="DB19" s="235"/>
      <c r="DC19" s="235"/>
      <c r="DD19" s="235"/>
      <c r="DE19" s="235"/>
      <c r="DF19" s="235"/>
      <c r="DG19" s="235"/>
      <c r="DH19" s="235"/>
      <c r="DI19" s="235"/>
      <c r="DJ19" s="235"/>
    </row>
    <row r="20" spans="2:136" ht="24.75" thickTop="1" thickBot="1" x14ac:dyDescent="0.4">
      <c r="B20" s="1"/>
      <c r="C20" s="1"/>
      <c r="D20" s="1521" t="str">
        <f>IF(AND(SUM(D23:D29,D32:D46)&lt;&gt;Assumptions!$D$32, Language="English"), "CYP Factor Changed", IF(AND(SUM(D23:D29,D32:D46)&lt;&gt;Assumptions!$D$32, Language="Francais"), "Facteur CAP modifié",""))</f>
        <v/>
      </c>
      <c r="E20" s="1521"/>
      <c r="F20" s="1605"/>
      <c r="G20" s="423" t="str">
        <f>'3. ServiceStats Set Up'!I16</f>
        <v>Produits de planification familiale distribués aux établissements</v>
      </c>
      <c r="H20" s="424"/>
      <c r="I20" s="424"/>
      <c r="J20" s="424"/>
      <c r="K20" s="424"/>
      <c r="L20" s="424"/>
      <c r="M20" s="424"/>
      <c r="N20" s="424"/>
      <c r="O20" s="424"/>
      <c r="P20" s="424"/>
      <c r="Q20" s="424"/>
      <c r="R20" s="424"/>
      <c r="S20" s="424"/>
      <c r="T20" s="424"/>
      <c r="U20" s="424"/>
      <c r="V20" s="425"/>
      <c r="AA20" s="147"/>
      <c r="AB20" s="455" t="str">
        <f>IF(Language="English", BA22, BC22)</f>
        <v>Facteur d'ajustement</v>
      </c>
      <c r="AC20" s="456"/>
      <c r="AD20" s="456"/>
      <c r="AE20" s="456"/>
      <c r="AF20" s="456"/>
      <c r="AG20" s="456"/>
      <c r="AH20" s="456"/>
      <c r="AI20" s="456"/>
      <c r="AJ20" s="456"/>
      <c r="AK20" s="456"/>
      <c r="AL20" s="456"/>
      <c r="AM20" s="456"/>
      <c r="AN20" s="456"/>
      <c r="AO20" s="456"/>
      <c r="AP20" s="456"/>
      <c r="AQ20" s="457"/>
      <c r="AR20" s="118" t="s">
        <v>125</v>
      </c>
      <c r="BA20" s="184" t="s">
        <v>938</v>
      </c>
      <c r="BC20" s="184" t="s">
        <v>837</v>
      </c>
      <c r="BK20" s="1533" t="s">
        <v>1190</v>
      </c>
      <c r="BL20" s="1533"/>
      <c r="BM20" s="1533"/>
      <c r="BN20" s="1533"/>
      <c r="BO20" s="1533"/>
      <c r="BP20" s="1533"/>
      <c r="BQ20" s="1533"/>
      <c r="BR20" s="1533"/>
      <c r="BS20" s="1533"/>
      <c r="BT20" s="1533"/>
      <c r="BU20" s="1533"/>
      <c r="BV20" s="1533"/>
      <c r="BW20" s="1533"/>
      <c r="BX20" s="1533"/>
      <c r="BY20" s="1533"/>
      <c r="BZ20" s="1534"/>
      <c r="CB20" s="147"/>
      <c r="CC20" s="1533" t="s">
        <v>1018</v>
      </c>
      <c r="CD20" s="1533"/>
      <c r="CE20" s="1533"/>
      <c r="CF20" s="1533"/>
      <c r="CG20" s="1533"/>
      <c r="CH20" s="1533"/>
      <c r="CI20" s="1533"/>
      <c r="CJ20" s="1533"/>
      <c r="CK20" s="1533"/>
      <c r="CL20" s="1533"/>
      <c r="CM20" s="1533"/>
      <c r="CN20" s="1533"/>
      <c r="CO20" s="1533"/>
      <c r="CP20" s="1533"/>
      <c r="CQ20" s="1533"/>
      <c r="CR20" s="1534"/>
      <c r="CT20" s="147"/>
      <c r="CU20" s="1535" t="s">
        <v>1192</v>
      </c>
      <c r="CV20" s="1535"/>
      <c r="CW20" s="1535"/>
      <c r="CX20" s="1535"/>
      <c r="CY20" s="1535"/>
      <c r="CZ20" s="1535"/>
      <c r="DA20" s="1535"/>
      <c r="DB20" s="1535"/>
      <c r="DC20" s="1535"/>
      <c r="DD20" s="1535"/>
      <c r="DE20" s="1535"/>
      <c r="DF20" s="1535"/>
      <c r="DG20" s="1535"/>
      <c r="DH20" s="1535"/>
      <c r="DI20" s="1535"/>
      <c r="DJ20" s="1536"/>
      <c r="DN20" s="1535" t="s">
        <v>1098</v>
      </c>
      <c r="DO20" s="1535"/>
      <c r="DP20" s="1535"/>
      <c r="DQ20" s="1535"/>
      <c r="DR20" s="1535"/>
      <c r="DS20" s="1535"/>
      <c r="DT20" s="1535"/>
      <c r="DU20" s="1535"/>
      <c r="DV20" s="1535"/>
      <c r="DW20" s="1535"/>
      <c r="DX20" s="1535"/>
      <c r="DY20" s="1535"/>
      <c r="DZ20" s="1535"/>
      <c r="EA20" s="1535"/>
      <c r="EB20" s="1535"/>
      <c r="EC20" s="1535"/>
      <c r="ED20" s="1535"/>
      <c r="EE20" s="1535"/>
      <c r="EF20" s="1536"/>
    </row>
    <row r="21" spans="2:136" ht="33.75" customHeight="1" thickTop="1" thickBot="1" x14ac:dyDescent="0.3">
      <c r="B21" s="1515" t="s">
        <v>6</v>
      </c>
      <c r="C21" s="1515"/>
      <c r="D21" s="98" t="s">
        <v>8</v>
      </c>
      <c r="E21" s="229"/>
      <c r="F21" s="229" t="s">
        <v>84</v>
      </c>
      <c r="G21" s="426">
        <f>'3. ServiceStats Set Up'!$K$19</f>
        <v>0</v>
      </c>
      <c r="H21" s="427" t="str">
        <f>IFERROR(IF(G21+1&lt;='3. ServiceStats Set Up'!$K$20, 'Commodities (Facility) Input'!G21+1, ""), "")</f>
        <v/>
      </c>
      <c r="I21" s="427" t="str">
        <f>IFERROR(IF(H21+1&lt;='3. ServiceStats Set Up'!$K$20, 'Commodities (Facility) Input'!H21+1, ""), "")</f>
        <v/>
      </c>
      <c r="J21" s="427" t="str">
        <f>IFERROR(IF(I21+1&lt;='3. ServiceStats Set Up'!$K$20, 'Commodities (Facility) Input'!I21+1, ""), "")</f>
        <v/>
      </c>
      <c r="K21" s="427" t="str">
        <f>IFERROR(IF(J21+1&lt;='3. ServiceStats Set Up'!$K$20, 'Commodities (Facility) Input'!J21+1, ""), "")</f>
        <v/>
      </c>
      <c r="L21" s="427" t="str">
        <f>IFERROR(IF(K21+1&lt;='3. ServiceStats Set Up'!$K$20, 'Commodities (Facility) Input'!K21+1, ""), "")</f>
        <v/>
      </c>
      <c r="M21" s="427" t="str">
        <f>IFERROR(IF(L21+1&lt;='3. ServiceStats Set Up'!$K$20, 'Commodities (Facility) Input'!L21+1, ""), "")</f>
        <v/>
      </c>
      <c r="N21" s="427" t="str">
        <f>IFERROR(IF(M21+1&lt;='3. ServiceStats Set Up'!$K$20, 'Commodities (Facility) Input'!M21+1, ""), "")</f>
        <v/>
      </c>
      <c r="O21" s="427" t="str">
        <f>IFERROR(IF(N21+1&lt;='3. ServiceStats Set Up'!$K$20, 'Commodities (Facility) Input'!N21+1, ""), "")</f>
        <v/>
      </c>
      <c r="P21" s="427" t="str">
        <f>IFERROR(IF(O21+1&lt;='3. ServiceStats Set Up'!$K$20, 'Commodities (Facility) Input'!O21+1, ""), "")</f>
        <v/>
      </c>
      <c r="Q21" s="427" t="str">
        <f>IFERROR(IF(P21+1&lt;='3. ServiceStats Set Up'!$K$20, 'Commodities (Facility) Input'!P21+1, ""), "")</f>
        <v/>
      </c>
      <c r="R21" s="427" t="str">
        <f>IFERROR(IF(Q21+1&lt;='3. ServiceStats Set Up'!$K$20, 'Commodities (Facility) Input'!Q21+1, ""), "")</f>
        <v/>
      </c>
      <c r="S21" s="427" t="str">
        <f>IFERROR(IF(R21+1&lt;='3. ServiceStats Set Up'!$K$20, 'Commodities (Facility) Input'!R21+1, ""), "")</f>
        <v/>
      </c>
      <c r="T21" s="427" t="str">
        <f>IFERROR(IF(S21+1&lt;='3. ServiceStats Set Up'!$K$20, 'Commodities (Facility) Input'!S21+1, ""), "")</f>
        <v/>
      </c>
      <c r="U21" s="427" t="str">
        <f>IFERROR(IF(T21+1&lt;='3. ServiceStats Set Up'!$K$20, 'Commodities (Facility) Input'!T21+1, ""), "")</f>
        <v/>
      </c>
      <c r="V21" s="428" t="str">
        <f>IFERROR(IF(U21+1&lt;='3. ServiceStats Set Up'!$K$20, 'Commodities (Facility) Input'!U21+1, ""), "")</f>
        <v/>
      </c>
      <c r="AA21" s="150"/>
      <c r="AB21" s="426">
        <f>'3. ServiceStats Set Up'!$K$19</f>
        <v>0</v>
      </c>
      <c r="AC21" s="427" t="str">
        <f>IFERROR(IF(AB21+1&lt;='3. ServiceStats Set Up'!$K$20, 'Commodities (Facility) Input'!AB21+1, ""), "")</f>
        <v/>
      </c>
      <c r="AD21" s="427" t="str">
        <f>IFERROR(IF(AC21+1&lt;='3. ServiceStats Set Up'!$K$20, 'Commodities (Facility) Input'!AC21+1, ""), "")</f>
        <v/>
      </c>
      <c r="AE21" s="427" t="str">
        <f>IFERROR(IF(AD21+1&lt;='3. ServiceStats Set Up'!$K$20, 'Commodities (Facility) Input'!AD21+1, ""), "")</f>
        <v/>
      </c>
      <c r="AF21" s="427" t="str">
        <f>IFERROR(IF(AE21+1&lt;='3. ServiceStats Set Up'!$K$20, 'Commodities (Facility) Input'!AE21+1, ""), "")</f>
        <v/>
      </c>
      <c r="AG21" s="427" t="str">
        <f>IFERROR(IF(AF21+1&lt;='3. ServiceStats Set Up'!$K$20, 'Commodities (Facility) Input'!AF21+1, ""), "")</f>
        <v/>
      </c>
      <c r="AH21" s="427" t="str">
        <f>IFERROR(IF(AG21+1&lt;='3. ServiceStats Set Up'!$K$20, 'Commodities (Facility) Input'!AG21+1, ""), "")</f>
        <v/>
      </c>
      <c r="AI21" s="427" t="str">
        <f>IFERROR(IF(AH21+1&lt;='3. ServiceStats Set Up'!$K$20, 'Commodities (Facility) Input'!AH21+1, ""), "")</f>
        <v/>
      </c>
      <c r="AJ21" s="427" t="str">
        <f>IFERROR(IF(AI21+1&lt;='3. ServiceStats Set Up'!$K$20, 'Commodities (Facility) Input'!AI21+1, ""), "")</f>
        <v/>
      </c>
      <c r="AK21" s="427" t="str">
        <f>IFERROR(IF(AJ21+1&lt;='3. ServiceStats Set Up'!$K$20, 'Commodities (Facility) Input'!AJ21+1, ""), "")</f>
        <v/>
      </c>
      <c r="AL21" s="427" t="str">
        <f>IFERROR(IF(AK21+1&lt;='3. ServiceStats Set Up'!$K$20, 'Commodities (Facility) Input'!AK21+1, ""), "")</f>
        <v/>
      </c>
      <c r="AM21" s="427" t="str">
        <f>IFERROR(IF(AL21+1&lt;='3. ServiceStats Set Up'!$K$20, 'Commodities (Facility) Input'!AL21+1, ""), "")</f>
        <v/>
      </c>
      <c r="AN21" s="427" t="str">
        <f>IFERROR(IF(AM21+1&lt;='3. ServiceStats Set Up'!$K$20, 'Commodities (Facility) Input'!AM21+1, ""), "")</f>
        <v/>
      </c>
      <c r="AO21" s="427" t="str">
        <f>IFERROR(IF(AN21+1&lt;='3. ServiceStats Set Up'!$K$20, 'Commodities (Facility) Input'!AN21+1, ""), "")</f>
        <v/>
      </c>
      <c r="AP21" s="427" t="str">
        <f>IFERROR(IF(AO21+1&lt;='3. ServiceStats Set Up'!$K$20, 'Commodities (Facility) Input'!AO21+1, ""), "")</f>
        <v/>
      </c>
      <c r="AQ21" s="428" t="str">
        <f>IFERROR(IF(AP21+1&lt;='3. ServiceStats Set Up'!$K$20, 'Commodities (Facility) Input'!AP21+1, ""), "")</f>
        <v/>
      </c>
      <c r="AR21" s="537" t="str">
        <f>'4. FPSource Set Up'!D10</f>
        <v>No DHS Available - replace with your own data if available</v>
      </c>
      <c r="BA21" s="184" t="s">
        <v>1276</v>
      </c>
      <c r="BC21" s="184" t="s">
        <v>1308</v>
      </c>
      <c r="BK21" s="426">
        <f>'3. ServiceStats Set Up'!$K$19</f>
        <v>0</v>
      </c>
      <c r="BL21" s="427" t="str">
        <f>IFERROR(IF(BK21+1&lt;='3. ServiceStats Set Up'!$K$20, 'Commodities (Facility) Input'!BK21+1, ""), "")</f>
        <v/>
      </c>
      <c r="BM21" s="427" t="str">
        <f>IFERROR(IF(BL21+1&lt;='3. ServiceStats Set Up'!$K$20, 'Commodities (Facility) Input'!BL21+1, ""), "")</f>
        <v/>
      </c>
      <c r="BN21" s="427" t="str">
        <f>IFERROR(IF(BM21+1&lt;='3. ServiceStats Set Up'!$K$20, 'Commodities (Facility) Input'!BM21+1, ""), "")</f>
        <v/>
      </c>
      <c r="BO21" s="427" t="str">
        <f>IFERROR(IF(BN21+1&lt;='3. ServiceStats Set Up'!$K$20, 'Commodities (Facility) Input'!BN21+1, ""), "")</f>
        <v/>
      </c>
      <c r="BP21" s="427" t="str">
        <f>IFERROR(IF(BO21+1&lt;='3. ServiceStats Set Up'!$K$20, 'Commodities (Facility) Input'!BO21+1, ""), "")</f>
        <v/>
      </c>
      <c r="BQ21" s="427" t="str">
        <f>IFERROR(IF(BP21+1&lt;='3. ServiceStats Set Up'!$K$20, 'Commodities (Facility) Input'!BP21+1, ""), "")</f>
        <v/>
      </c>
      <c r="BR21" s="427" t="str">
        <f>IFERROR(IF(BQ21+1&lt;='3. ServiceStats Set Up'!$K$20, 'Commodities (Facility) Input'!BQ21+1, ""), "")</f>
        <v/>
      </c>
      <c r="BS21" s="427" t="str">
        <f>IFERROR(IF(BR21+1&lt;='3. ServiceStats Set Up'!$K$20, 'Commodities (Facility) Input'!BR21+1, ""), "")</f>
        <v/>
      </c>
      <c r="BT21" s="427" t="str">
        <f>IFERROR(IF(BS21+1&lt;='3. ServiceStats Set Up'!$K$20, 'Commodities (Facility) Input'!BS21+1, ""), "")</f>
        <v/>
      </c>
      <c r="BU21" s="427" t="str">
        <f>IFERROR(IF(BT21+1&lt;='3. ServiceStats Set Up'!$K$20, 'Commodities (Facility) Input'!BT21+1, ""), "")</f>
        <v/>
      </c>
      <c r="BV21" s="427" t="str">
        <f>IFERROR(IF(BU21+1&lt;='3. ServiceStats Set Up'!$K$20, 'Commodities (Facility) Input'!BU21+1, ""), "")</f>
        <v/>
      </c>
      <c r="BW21" s="427" t="str">
        <f>IFERROR(IF(BV21+1&lt;='3. ServiceStats Set Up'!$K$20, 'Commodities (Facility) Input'!BV21+1, ""), "")</f>
        <v/>
      </c>
      <c r="BX21" s="427" t="str">
        <f>IFERROR(IF(BW21+1&lt;='3. ServiceStats Set Up'!$K$20, 'Commodities (Facility) Input'!BW21+1, ""), "")</f>
        <v/>
      </c>
      <c r="BY21" s="427" t="str">
        <f>IFERROR(IF(BX21+1&lt;='3. ServiceStats Set Up'!$K$20, 'Commodities (Facility) Input'!BX21+1, ""), "")</f>
        <v/>
      </c>
      <c r="BZ21" s="428" t="str">
        <f>IFERROR(IF(BY21+1&lt;='3. ServiceStats Set Up'!$K$20, 'Commodities (Facility) Input'!BY21+1, ""), "")</f>
        <v/>
      </c>
      <c r="CB21" s="150"/>
      <c r="CC21" s="426">
        <f>'3. ServiceStats Set Up'!$K$19</f>
        <v>0</v>
      </c>
      <c r="CD21" s="427" t="str">
        <f>IFERROR(IF(CC21+1&lt;='3. ServiceStats Set Up'!$K$20, 'Commodities (Facility) Input'!CC21+1, ""), "")</f>
        <v/>
      </c>
      <c r="CE21" s="427" t="str">
        <f>IFERROR(IF(CD21+1&lt;='3. ServiceStats Set Up'!$K$20, 'Commodities (Facility) Input'!CD21+1, ""), "")</f>
        <v/>
      </c>
      <c r="CF21" s="427" t="str">
        <f>IFERROR(IF(CE21+1&lt;='3. ServiceStats Set Up'!$K$20, 'Commodities (Facility) Input'!CE21+1, ""), "")</f>
        <v/>
      </c>
      <c r="CG21" s="427" t="str">
        <f>IFERROR(IF(CF21+1&lt;='3. ServiceStats Set Up'!$K$20, 'Commodities (Facility) Input'!CF21+1, ""), "")</f>
        <v/>
      </c>
      <c r="CH21" s="427" t="str">
        <f>IFERROR(IF(CG21+1&lt;='3. ServiceStats Set Up'!$K$20, 'Commodities (Facility) Input'!CG21+1, ""), "")</f>
        <v/>
      </c>
      <c r="CI21" s="427" t="str">
        <f>IFERROR(IF(CH21+1&lt;='3. ServiceStats Set Up'!$K$20, 'Commodities (Facility) Input'!CH21+1, ""), "")</f>
        <v/>
      </c>
      <c r="CJ21" s="427" t="str">
        <f>IFERROR(IF(CI21+1&lt;='3. ServiceStats Set Up'!$K$20, 'Commodities (Facility) Input'!CI21+1, ""), "")</f>
        <v/>
      </c>
      <c r="CK21" s="427" t="str">
        <f>IFERROR(IF(CJ21+1&lt;='3. ServiceStats Set Up'!$K$20, 'Commodities (Facility) Input'!CJ21+1, ""), "")</f>
        <v/>
      </c>
      <c r="CL21" s="427" t="str">
        <f>IFERROR(IF(CK21+1&lt;='3. ServiceStats Set Up'!$K$20, 'Commodities (Facility) Input'!CK21+1, ""), "")</f>
        <v/>
      </c>
      <c r="CM21" s="427" t="str">
        <f>IFERROR(IF(CL21+1&lt;='3. ServiceStats Set Up'!$K$20, 'Commodities (Facility) Input'!CL21+1, ""), "")</f>
        <v/>
      </c>
      <c r="CN21" s="427" t="str">
        <f>IFERROR(IF(CM21+1&lt;='3. ServiceStats Set Up'!$K$20, 'Commodities (Facility) Input'!CM21+1, ""), "")</f>
        <v/>
      </c>
      <c r="CO21" s="427" t="str">
        <f>IFERROR(IF(CN21+1&lt;='3. ServiceStats Set Up'!$K$20, 'Commodities (Facility) Input'!CN21+1, ""), "")</f>
        <v/>
      </c>
      <c r="CP21" s="427" t="str">
        <f>IFERROR(IF(CO21+1&lt;='3. ServiceStats Set Up'!$K$20, 'Commodities (Facility) Input'!CO21+1, ""), "")</f>
        <v/>
      </c>
      <c r="CQ21" s="427" t="str">
        <f>IFERROR(IF(CP21+1&lt;='3. ServiceStats Set Up'!$K$20, 'Commodities (Facility) Input'!CP21+1, ""), "")</f>
        <v/>
      </c>
      <c r="CR21" s="428" t="str">
        <f>IFERROR(IF(CQ21+1&lt;='3. ServiceStats Set Up'!$K$20, 'Commodities (Facility) Input'!CQ21+1, ""), "")</f>
        <v/>
      </c>
      <c r="CS21" s="1542" t="s">
        <v>1191</v>
      </c>
      <c r="CT21" s="147"/>
      <c r="CU21" s="426">
        <f>'3. ServiceStats Set Up'!$K$19</f>
        <v>0</v>
      </c>
      <c r="CV21" s="427" t="str">
        <f>IFERROR(IF(CU21+1&lt;='3. ServiceStats Set Up'!$K$20, 'Commodities (Facility) Input'!CU21+1, ""), "")</f>
        <v/>
      </c>
      <c r="CW21" s="427" t="str">
        <f>IFERROR(IF(CV21+1&lt;='3. ServiceStats Set Up'!$K$20, 'Commodities (Facility) Input'!CV21+1, ""), "")</f>
        <v/>
      </c>
      <c r="CX21" s="427" t="str">
        <f>IFERROR(IF(CW21+1&lt;='3. ServiceStats Set Up'!$K$20, 'Commodities (Facility) Input'!CW21+1, ""), "")</f>
        <v/>
      </c>
      <c r="CY21" s="427" t="str">
        <f>IFERROR(IF(CX21+1&lt;='3. ServiceStats Set Up'!$K$20, 'Commodities (Facility) Input'!CX21+1, ""), "")</f>
        <v/>
      </c>
      <c r="CZ21" s="427" t="str">
        <f>IFERROR(IF(CY21+1&lt;='3. ServiceStats Set Up'!$K$20, 'Commodities (Facility) Input'!CY21+1, ""), "")</f>
        <v/>
      </c>
      <c r="DA21" s="427" t="str">
        <f>IFERROR(IF(CZ21+1&lt;='3. ServiceStats Set Up'!$K$20, 'Commodities (Facility) Input'!CZ21+1, ""), "")</f>
        <v/>
      </c>
      <c r="DB21" s="427" t="str">
        <f>IFERROR(IF(DA21+1&lt;='3. ServiceStats Set Up'!$K$20, 'Commodities (Facility) Input'!DA21+1, ""), "")</f>
        <v/>
      </c>
      <c r="DC21" s="427" t="str">
        <f>IFERROR(IF(DB21+1&lt;='3. ServiceStats Set Up'!$K$20, 'Commodities (Facility) Input'!DB21+1, ""), "")</f>
        <v/>
      </c>
      <c r="DD21" s="427" t="str">
        <f>IFERROR(IF(DC21+1&lt;='3. ServiceStats Set Up'!$K$20, 'Commodities (Facility) Input'!DC21+1, ""), "")</f>
        <v/>
      </c>
      <c r="DE21" s="427" t="str">
        <f>IFERROR(IF(DD21+1&lt;='3. ServiceStats Set Up'!$K$20, 'Commodities (Facility) Input'!DD21+1, ""), "")</f>
        <v/>
      </c>
      <c r="DF21" s="427" t="str">
        <f>IFERROR(IF(DE21+1&lt;='3. ServiceStats Set Up'!$K$20, 'Commodities (Facility) Input'!DE21+1, ""), "")</f>
        <v/>
      </c>
      <c r="DG21" s="427" t="str">
        <f>IFERROR(IF(DF21+1&lt;='3. ServiceStats Set Up'!$K$20, 'Commodities (Facility) Input'!DF21+1, ""), "")</f>
        <v/>
      </c>
      <c r="DH21" s="427" t="str">
        <f>IFERROR(IF(DG21+1&lt;='3. ServiceStats Set Up'!$K$20, 'Commodities (Facility) Input'!DG21+1, ""), "")</f>
        <v/>
      </c>
      <c r="DI21" s="427" t="str">
        <f>IFERROR(IF(DH21+1&lt;='3. ServiceStats Set Up'!$K$20, 'Commodities (Facility) Input'!DH21+1, ""), "")</f>
        <v/>
      </c>
      <c r="DJ21" s="428" t="str">
        <f>IFERROR(IF(DI21+1&lt;='3. ServiceStats Set Up'!$K$20, 'Commodities (Facility) Input'!DI21+1, ""), "")</f>
        <v/>
      </c>
      <c r="DN21" s="494">
        <f t="shared" ref="DN21:DS21" si="6">CC21</f>
        <v>0</v>
      </c>
      <c r="DO21" s="494" t="str">
        <f t="shared" si="6"/>
        <v/>
      </c>
      <c r="DP21" s="494" t="str">
        <f t="shared" si="6"/>
        <v/>
      </c>
      <c r="DQ21" s="494" t="str">
        <f t="shared" si="6"/>
        <v/>
      </c>
      <c r="DR21" s="494" t="str">
        <f t="shared" si="6"/>
        <v/>
      </c>
      <c r="DS21" s="494" t="str">
        <f t="shared" si="6"/>
        <v/>
      </c>
      <c r="DT21" s="494" t="str">
        <f t="shared" ref="DT21:DZ21" si="7">CI21</f>
        <v/>
      </c>
      <c r="DU21" s="494" t="str">
        <f t="shared" si="7"/>
        <v/>
      </c>
      <c r="DV21" s="494" t="str">
        <f t="shared" si="7"/>
        <v/>
      </c>
      <c r="DW21" s="494" t="str">
        <f t="shared" si="7"/>
        <v/>
      </c>
      <c r="DX21" s="494" t="str">
        <f t="shared" si="7"/>
        <v/>
      </c>
      <c r="DY21" s="494" t="str">
        <f t="shared" si="7"/>
        <v/>
      </c>
      <c r="DZ21" s="494" t="str">
        <f t="shared" si="7"/>
        <v/>
      </c>
      <c r="EA21" s="494" t="str">
        <f>CP21</f>
        <v/>
      </c>
      <c r="EB21" s="494" t="str">
        <f>CQ21</f>
        <v/>
      </c>
      <c r="EC21" s="494" t="str">
        <f>CR21</f>
        <v/>
      </c>
      <c r="ED21" s="1539" t="s">
        <v>1071</v>
      </c>
      <c r="EE21" s="1537" t="s">
        <v>731</v>
      </c>
    </row>
    <row r="22" spans="2:136" s="1" customFormat="1" ht="18.75" customHeight="1" x14ac:dyDescent="0.25">
      <c r="B22" s="415" t="str">
        <f>IF(Language="English", 'Language Look Ups'!$O$5,IF(Language="Francais", 'Language Look Ups'!$S$5,  'Language Look Ups'!$Q$5))</f>
        <v>Méthodes à Long Terme et Permanentes</v>
      </c>
      <c r="C22" s="401"/>
      <c r="D22" s="402"/>
      <c r="E22" s="403"/>
      <c r="F22" s="177"/>
      <c r="G22" s="404"/>
      <c r="H22" s="405"/>
      <c r="I22" s="404"/>
      <c r="J22" s="405"/>
      <c r="K22" s="404"/>
      <c r="L22" s="405"/>
      <c r="M22" s="404"/>
      <c r="N22" s="405"/>
      <c r="O22" s="404"/>
      <c r="P22" s="405"/>
      <c r="Q22" s="404"/>
      <c r="R22" s="405"/>
      <c r="S22" s="404"/>
      <c r="T22" s="405"/>
      <c r="U22" s="404"/>
      <c r="V22" s="406"/>
      <c r="W22"/>
      <c r="X22"/>
      <c r="Y22"/>
      <c r="Z22"/>
      <c r="AA22" s="460" t="str">
        <f>B22</f>
        <v>Méthodes à Long Terme et Permanentes</v>
      </c>
      <c r="AB22" s="46"/>
      <c r="AC22" s="44"/>
      <c r="AD22" s="43"/>
      <c r="AE22" s="44"/>
      <c r="AF22" s="43"/>
      <c r="AG22" s="44"/>
      <c r="AH22" s="43"/>
      <c r="AI22" s="44"/>
      <c r="AJ22" s="44"/>
      <c r="AK22" s="44"/>
      <c r="AL22" s="44"/>
      <c r="AM22" s="44"/>
      <c r="AN22" s="44"/>
      <c r="AO22" s="44"/>
      <c r="AP22" s="44"/>
      <c r="AQ22" s="461"/>
      <c r="AS22"/>
      <c r="AT22"/>
      <c r="AU22"/>
      <c r="AV22"/>
      <c r="AW22"/>
      <c r="AX22"/>
      <c r="AY22"/>
      <c r="AZ22"/>
      <c r="BA22" s="184" t="s">
        <v>102</v>
      </c>
      <c r="BB22" s="184"/>
      <c r="BC22" s="184" t="s">
        <v>838</v>
      </c>
      <c r="BD22"/>
      <c r="BE22"/>
      <c r="BF22"/>
      <c r="BG22"/>
      <c r="BH22"/>
      <c r="BI22" s="181"/>
      <c r="BK22" s="46"/>
      <c r="BL22" s="44"/>
      <c r="BM22" s="43"/>
      <c r="BN22" s="44"/>
      <c r="BO22" s="43"/>
      <c r="BP22" s="44"/>
      <c r="BQ22" s="43"/>
      <c r="BR22" s="44"/>
      <c r="BS22" s="44"/>
      <c r="BT22" s="44"/>
      <c r="BU22" s="44"/>
      <c r="BV22" s="44"/>
      <c r="BW22" s="44"/>
      <c r="BX22" s="44"/>
      <c r="BY22" s="44"/>
      <c r="BZ22" s="45"/>
      <c r="CB22" s="675"/>
      <c r="CC22" s="404"/>
      <c r="CD22" s="405"/>
      <c r="CE22" s="404"/>
      <c r="CF22" s="405"/>
      <c r="CG22" s="404"/>
      <c r="CH22" s="405"/>
      <c r="CI22" s="404"/>
      <c r="CJ22" s="405"/>
      <c r="CK22" s="404"/>
      <c r="CL22" s="405"/>
      <c r="CM22" s="404"/>
      <c r="CN22" s="405"/>
      <c r="CO22" s="404"/>
      <c r="CP22" s="405"/>
      <c r="CQ22" s="404"/>
      <c r="CR22" s="406"/>
      <c r="CS22" s="1542"/>
      <c r="CT22" s="675"/>
      <c r="CU22" s="404"/>
      <c r="CV22" s="405"/>
      <c r="CW22" s="404"/>
      <c r="CX22" s="405"/>
      <c r="CY22" s="404"/>
      <c r="CZ22" s="405"/>
      <c r="DA22" s="404"/>
      <c r="DB22" s="405"/>
      <c r="DC22" s="404"/>
      <c r="DD22" s="405"/>
      <c r="DE22" s="404"/>
      <c r="DF22" s="405"/>
      <c r="DG22" s="404"/>
      <c r="DH22" s="405"/>
      <c r="DI22" s="404"/>
      <c r="DJ22" s="406"/>
      <c r="DK22"/>
      <c r="DL22" s="352"/>
      <c r="DM22" s="352" t="s">
        <v>1099</v>
      </c>
      <c r="DN22" s="353" t="s">
        <v>300</v>
      </c>
      <c r="DO22" s="353" t="s">
        <v>301</v>
      </c>
      <c r="DP22" s="353" t="s">
        <v>302</v>
      </c>
      <c r="DQ22" s="353" t="s">
        <v>303</v>
      </c>
      <c r="DR22" s="353" t="s">
        <v>304</v>
      </c>
      <c r="DS22" s="353" t="s">
        <v>305</v>
      </c>
      <c r="DT22" s="353" t="s">
        <v>306</v>
      </c>
      <c r="DU22" s="353" t="s">
        <v>307</v>
      </c>
      <c r="DV22" s="353" t="s">
        <v>308</v>
      </c>
      <c r="DW22" s="391" t="s">
        <v>309</v>
      </c>
      <c r="DX22" s="353" t="s">
        <v>1061</v>
      </c>
      <c r="DY22" s="391" t="s">
        <v>1062</v>
      </c>
      <c r="DZ22" s="353" t="s">
        <v>1063</v>
      </c>
      <c r="EA22" s="802" t="s">
        <v>1116</v>
      </c>
      <c r="EB22" s="802" t="s">
        <v>1117</v>
      </c>
      <c r="EC22" s="802" t="s">
        <v>1118</v>
      </c>
      <c r="ED22" s="1540"/>
      <c r="EE22" s="1538"/>
      <c r="EF22"/>
    </row>
    <row r="23" spans="2:136" ht="17.25" customHeight="1" x14ac:dyDescent="0.25">
      <c r="B23" s="1480" t="str">
        <f>IF(Language="English",'Language Look Ups'!$O$6,IF(Language="Francais",'Language Look Ups'!$S$6,'Language Look Ups'!$Q$6))</f>
        <v>Stérilisation</v>
      </c>
      <c r="C23" s="363" t="str">
        <f>IF(Language="English", 'Language Look Ups'!$P$6,IF(Language="Francais", 'Language Look Ups'!$T$6, 'Language Look Ups'!$R$6))</f>
        <v>Ligature des trompes</v>
      </c>
      <c r="D23" s="407">
        <f>IF(OR(Country_Selected="India", Country_Selected = "Bangladesh", Country_Selected="Nepal"), 13, 10)</f>
        <v>10</v>
      </c>
      <c r="E23" s="408">
        <f>D23</f>
        <v>10</v>
      </c>
      <c r="F23" s="416" t="str">
        <f t="shared" ref="F23:F29" si="8">IF(Language="English", BA23, BC23)</f>
        <v>années de protection</v>
      </c>
      <c r="G23" s="409"/>
      <c r="H23" s="409"/>
      <c r="I23" s="409"/>
      <c r="J23" s="409"/>
      <c r="K23" s="409"/>
      <c r="L23" s="409"/>
      <c r="M23" s="409"/>
      <c r="N23" s="409"/>
      <c r="O23" s="409"/>
      <c r="P23" s="409"/>
      <c r="Q23" s="409"/>
      <c r="R23" s="409"/>
      <c r="S23" s="409"/>
      <c r="T23" s="409"/>
      <c r="U23" s="409"/>
      <c r="V23" s="409"/>
      <c r="AA23" s="462" t="str">
        <f>$C23</f>
        <v>Ligature des trompes</v>
      </c>
      <c r="AB23" s="1095" t="str">
        <f>IF(AB$21="", "", VLOOKUP($AA23,'4. FPSource Set Up'!$C$96:$H$117, 4, FALSE))</f>
        <v>n/a</v>
      </c>
      <c r="AC23" s="1096" t="str">
        <f>IF(AC$21="", "", VLOOKUP($AA23,'4. FPSource Set Up'!$C$96:$H$117, 4, FALSE))</f>
        <v/>
      </c>
      <c r="AD23" s="1096" t="str">
        <f>IF(AD$21="", "", VLOOKUP($AA23,'4. FPSource Set Up'!$C$96:$H$117, 4, FALSE))</f>
        <v/>
      </c>
      <c r="AE23" s="1096" t="str">
        <f>IF(AE$21="", "", VLOOKUP($AA23,'4. FPSource Set Up'!$C$96:$H$117, 4, FALSE))</f>
        <v/>
      </c>
      <c r="AF23" s="1096" t="str">
        <f>IF(AF$21="", "", VLOOKUP($AA23,'4. FPSource Set Up'!$C$96:$H$117, 4, FALSE))</f>
        <v/>
      </c>
      <c r="AG23" s="1096" t="str">
        <f>IF(AG$21="", "", VLOOKUP($AA23,'4. FPSource Set Up'!$C$96:$H$117, 4, FALSE))</f>
        <v/>
      </c>
      <c r="AH23" s="1096" t="str">
        <f>IF(AH$21="", "", VLOOKUP($AA23,'4. FPSource Set Up'!$C$96:$H$117, 4, FALSE))</f>
        <v/>
      </c>
      <c r="AI23" s="1096" t="str">
        <f>IF(AI$21="", "", VLOOKUP($AA23,'4. FPSource Set Up'!$C$96:$H$117, 4, FALSE))</f>
        <v/>
      </c>
      <c r="AJ23" s="1096" t="str">
        <f>IF(AJ$21="", "", VLOOKUP($AA23,'4. FPSource Set Up'!$C$96:$H$117, 4, FALSE))</f>
        <v/>
      </c>
      <c r="AK23" s="1096" t="str">
        <f>IF(AK$21="", "", VLOOKUP($AA23,'4. FPSource Set Up'!$C$96:$H$117, 4, FALSE))</f>
        <v/>
      </c>
      <c r="AL23" s="1096" t="str">
        <f>IF(AL$21="", "", VLOOKUP($AA23,'4. FPSource Set Up'!$C$96:$H$117, 4, FALSE))</f>
        <v/>
      </c>
      <c r="AM23" s="1096" t="str">
        <f>IF(AM$21="", "", VLOOKUP($AA23,'4. FPSource Set Up'!$C$96:$H$117, 4, FALSE))</f>
        <v/>
      </c>
      <c r="AN23" s="1096" t="str">
        <f>IF(AN$21="", "", VLOOKUP($AA23,'4. FPSource Set Up'!$C$96:$H$117, 4, FALSE))</f>
        <v/>
      </c>
      <c r="AO23" s="1096" t="str">
        <f>IF(AO$21="", "", VLOOKUP($AA23,'4. FPSource Set Up'!$C$96:$H$117, 4, FALSE))</f>
        <v/>
      </c>
      <c r="AP23" s="1096" t="str">
        <f>IF(AP$21="", "", VLOOKUP($AA23,'4. FPSource Set Up'!$C$96:$H$117, 4, FALSE))</f>
        <v/>
      </c>
      <c r="AQ23" s="1097" t="str">
        <f>IF(AQ$21="", "", VLOOKUP($AA23,'4. FPSource Set Up'!$C$96:$H$117, 4, FALSE))</f>
        <v/>
      </c>
      <c r="BA23" s="416" t="s">
        <v>9</v>
      </c>
      <c r="BC23" s="184" t="s">
        <v>835</v>
      </c>
      <c r="BJ23" s="676" t="str">
        <f>$C23</f>
        <v>Ligature des trompes</v>
      </c>
      <c r="BK23" s="664" t="str">
        <f>IF(OR(BK$10&lt;0.6,BK$10=""), "", IFERROR(CU23+(G23*$DN23),""))</f>
        <v/>
      </c>
      <c r="BL23" s="664" t="str">
        <f>IF(OR(BL$10&lt;0.6,BL$10=""), "", IFERROR(CV23+(G23*$DO23)+(H23*$DN23),""))</f>
        <v/>
      </c>
      <c r="BM23" s="664" t="str">
        <f>IF(OR(BM$10&lt;0.6, BM$10=""), "", IFERROR(CW23+(G23*$DP23)+(H23*$DO23)+(I23*$DN23),""))</f>
        <v/>
      </c>
      <c r="BN23" s="664" t="str">
        <f>IF(OR(BN$10&lt;0.6, BN$10=""),"", IFERROR(CX23+(G23*$DQ23)+(H23*$DP23)+(I23*$DO23)+(J23*$DN23), ""))</f>
        <v/>
      </c>
      <c r="BO23" s="664" t="str">
        <f>IF(OR(BO$10&lt;0.6,BO$10=""), "", IFERROR(CY23+(G23*$DR23)+(H23*$DQ23)+(I23*$DP23)+(J23*$DO23)+(K23*$DN23), ""))</f>
        <v/>
      </c>
      <c r="BP23" s="664" t="str">
        <f>IF(OR(BP$10&lt;0.6,BP$10=""), "", IFERROR(CZ23+(G23*$DS23)+(H23*$DR23)+(I23*$DQ23)+(J23*$DP23)+(K23*$DO23)+(L23*$DN23), ""))</f>
        <v/>
      </c>
      <c r="BQ23" s="664" t="str">
        <f>IF(OR(BQ$10&lt;0.6,BQ$10=""), "", IFERROR(DA23+(G23*$DT23)+(H23*$DS23)+(I23*$DR23)+(J23*$DQ23)+(K23*$DP23)+(L23*$DO23)+(M23*$DN23), ""))</f>
        <v/>
      </c>
      <c r="BR23" s="664" t="str">
        <f>IF(OR(BR$10&lt;0.6,BR$10=""), "", IFERROR(DB23+(G23*$DU23)+(H23*$DT23)+(I23*$DS23)+(J23*$DR23)+(K23*$DQ23)+(L23*$DP23)+(M23*$DO23)+(N23*$DN23), ""))</f>
        <v/>
      </c>
      <c r="BS23" s="664" t="str">
        <f>IF(OR(BS$10&lt;0.6,BS$10=""), "", IFERROR(DC23+(G23*$DV23)+(H23*$DU23)+(I23*$DT23)+(J23*$DS23)+(K23*$DR23)+(L23*$DQ23)+(M23*$DP23)+(N23*$DO23)+(O23*$DN23), ""))</f>
        <v/>
      </c>
      <c r="BT23" s="664" t="str">
        <f>IF(OR(BT$10&lt;0.6, BT$10=""),"", IFERROR(DD23+(G23*$DW23)+(H23*$DV23)+(I23*$DU23)+(J23*$DT23)+(K23*$DS23)+(L23*$DR23)+(M23*$DQ23)+(N23*$DP23)+(O23*$DO23)+(P23*$DN23), ""))</f>
        <v/>
      </c>
      <c r="BU23" s="664" t="str">
        <f>IF(OR(BU$10&lt;0.6,BU$10=""), "", IFERROR(DE23+(G23*$DX23)+(H23*$DW23)+(I23*$DV23)+(J23*$DU23)+(K23*$DT23)+(L23*$DS23)+(M23*$DR23)+(N23*$DQ23)+(O23*$DP23)+(P23*$DO23)+(Q23*$DN23), ""))</f>
        <v/>
      </c>
      <c r="BV23" s="664" t="str">
        <f>IF(OR(BV$10&lt;0.6,BV$10=""), "", IFERROR(DF23+(G23*$DY23)+(H23*$DX23)+(I23*$DW23)+(J23*$DV23)+(K23*$DU23)+(L23*$DT23)+(M23*$DS23)+(N23*$DR23)+(O23*$DQ23)+(P23*$DP23)+(Q23*$DO23)+(R23*$DN23), ""))</f>
        <v/>
      </c>
      <c r="BW23" s="664" t="str">
        <f>IF(OR(BW$10&lt;0.6,BW$10=""), "", IFERROR(DZ23+(G23*$DZ23)+(H23*$DY23)+(I23*$DX23)+(J23*$DW23)+(K23*$DV23)+(L23*$DU23)+(M23*$DT23)+(N23*$DS23)+(O23*$DR23)+(P23*$DQ23)+(Q23*$DP23)+(R23*$DO23)+(S23*$DN23), ""))</f>
        <v/>
      </c>
      <c r="BX23" s="664" t="str">
        <f>IF(OR(BX$10&lt;0.6,BX$10=""), "", IFERROR((H23*$DZ23)+(I23*$DY23)+(J23*$DX23)+(K23*$DW23)+(L23*$DV23)+(M23*$DU23)+(N23*$DT23)+(O23*$DS23)+(P23*$DR23)+(Q23*$DQ23)+(R23*$DP23)+(S23*$DO23)+(T23*$DN23), ""))</f>
        <v/>
      </c>
      <c r="BY23" s="664" t="str">
        <f>IF(OR(BY$10&lt;0.6,BY$10=""), "", IFERROR((I23*$DZ23)+(J23*$DY23)+(K23*$DX23)+(L23*$DW23)+(M23*$DV23)+(N23*$DU23)+(O23*$DT23)+(P23*$DS23)+(Q23*$DR23)+(R23*$DQ23)+(S23*$DP23)+(T23*$DO23)+(U23*$DN23), ""))</f>
        <v/>
      </c>
      <c r="BZ23" s="664" t="str">
        <f>IF(OR(BZ$10&lt;0.6,BZ$10=""), "", IFERROR((J23*$DZ23)+(K23*$DY23)+(L23*$DX23)+(M23*$DW23)+(N23*$DV23)+(O23*$DU23)+(P23*$DT23)+(Q23*$DS23)+(R23*$DR23)+(S23*$DQ23)+(T23*$DP23)+(U23*$DO23)+(V23*$DN23), ""))</f>
        <v/>
      </c>
      <c r="CB23" s="676" t="str">
        <f>$C23</f>
        <v>Ligature des trompes</v>
      </c>
      <c r="CC23" s="664" t="str">
        <f>IF(CC$21="", "", IF(BK23="", "", BK23*AB23))</f>
        <v/>
      </c>
      <c r="CD23" s="664" t="str">
        <f t="shared" ref="CD23:CR23" si="9">IF(CD$21="", "", IF(BL23="", "", BL23*AC23))</f>
        <v/>
      </c>
      <c r="CE23" s="664" t="str">
        <f t="shared" si="9"/>
        <v/>
      </c>
      <c r="CF23" s="664" t="str">
        <f t="shared" si="9"/>
        <v/>
      </c>
      <c r="CG23" s="664" t="str">
        <f t="shared" si="9"/>
        <v/>
      </c>
      <c r="CH23" s="664" t="str">
        <f t="shared" si="9"/>
        <v/>
      </c>
      <c r="CI23" s="664" t="str">
        <f t="shared" si="9"/>
        <v/>
      </c>
      <c r="CJ23" s="664" t="str">
        <f t="shared" si="9"/>
        <v/>
      </c>
      <c r="CK23" s="664" t="str">
        <f t="shared" si="9"/>
        <v/>
      </c>
      <c r="CL23" s="664" t="str">
        <f t="shared" si="9"/>
        <v/>
      </c>
      <c r="CM23" s="664" t="str">
        <f t="shared" si="9"/>
        <v/>
      </c>
      <c r="CN23" s="664" t="str">
        <f t="shared" si="9"/>
        <v/>
      </c>
      <c r="CO23" s="664" t="str">
        <f t="shared" si="9"/>
        <v/>
      </c>
      <c r="CP23" s="664" t="str">
        <f t="shared" si="9"/>
        <v/>
      </c>
      <c r="CQ23" s="664" t="str">
        <f t="shared" si="9"/>
        <v/>
      </c>
      <c r="CR23" s="664" t="str">
        <f t="shared" si="9"/>
        <v/>
      </c>
      <c r="CS23">
        <f>'3. ServiceStats Set Up'!H49</f>
        <v>1</v>
      </c>
      <c r="CT23" s="676" t="str">
        <f>$C23</f>
        <v>Ligature des trompes</v>
      </c>
      <c r="CU23" s="664">
        <f>IFERROR(($G23*SUM(DO23:$EC23)*$CS23), "")</f>
        <v>0</v>
      </c>
      <c r="CV23" s="664">
        <f>IFERROR(($G23*SUM(DP23:$EC23)*$CS23), "")</f>
        <v>0</v>
      </c>
      <c r="CW23" s="664">
        <f>IFERROR(($G23*SUM(DQ23:$EC23)*$CS23), "")</f>
        <v>0</v>
      </c>
      <c r="CX23" s="664">
        <f>IFERROR(($G23*SUM(DR23:$EC23)*$CS23), "")</f>
        <v>0</v>
      </c>
      <c r="CY23" s="664">
        <f>IFERROR(($G23*SUM(DS23:$EC23)*$CS23), "")</f>
        <v>0</v>
      </c>
      <c r="CZ23" s="664">
        <f>IFERROR(($G23*SUM(DT23:$EC23)*$CS23), "")</f>
        <v>0</v>
      </c>
      <c r="DA23" s="664">
        <f>IFERROR(($G23*SUM(DU23:$EC23)*$CS23), "")</f>
        <v>0</v>
      </c>
      <c r="DB23" s="664">
        <f>IFERROR(($G23*SUM(DV23:$EC23)*$CS23), "")</f>
        <v>0</v>
      </c>
      <c r="DC23" s="664">
        <f>IFERROR(($G23*SUM(DW23:$EC23)*$CS23), "")</f>
        <v>0</v>
      </c>
      <c r="DD23" s="664">
        <f>IFERROR(($G23*SUM(DX23:$EC23)*$CS23), "")</f>
        <v>0</v>
      </c>
      <c r="DE23" s="664">
        <f>IFERROR(($G23*SUM(DY23:$EC23)*$CS23), "")</f>
        <v>0</v>
      </c>
      <c r="DF23" s="664">
        <f>IFERROR(($G23*SUM(DZ23:$EC23)*$CS23), "")</f>
        <v>0</v>
      </c>
      <c r="DG23" s="664">
        <f>IFERROR(($G23*SUM(EA23:$EC23)*$CS23), "")</f>
        <v>0</v>
      </c>
      <c r="DH23" s="664">
        <f>IFERROR(($G23*SUM(EB23:$EC23)*$CS23), "")</f>
        <v>0</v>
      </c>
      <c r="DI23" s="664">
        <f>IFERROR(($G23*SUM(EC23:$EC23)*$CS23), "")</f>
        <v>0</v>
      </c>
      <c r="DJ23" s="664"/>
      <c r="DL23" s="1489" t="s">
        <v>1</v>
      </c>
      <c r="DM23" s="740" t="str">
        <f>CB23</f>
        <v>Ligature des trompes</v>
      </c>
      <c r="DN23" s="741">
        <f>$EE23</f>
        <v>1</v>
      </c>
      <c r="DO23" s="741">
        <f t="shared" ref="DO23:DW24" si="10">$EE23</f>
        <v>1</v>
      </c>
      <c r="DP23" s="741">
        <f t="shared" si="10"/>
        <v>1</v>
      </c>
      <c r="DQ23" s="741">
        <f t="shared" si="10"/>
        <v>1</v>
      </c>
      <c r="DR23" s="741">
        <f t="shared" si="10"/>
        <v>1</v>
      </c>
      <c r="DS23" s="741">
        <f t="shared" si="10"/>
        <v>1</v>
      </c>
      <c r="DT23" s="741">
        <f t="shared" si="10"/>
        <v>1</v>
      </c>
      <c r="DU23" s="741">
        <f t="shared" si="10"/>
        <v>1</v>
      </c>
      <c r="DV23" s="741">
        <f t="shared" si="10"/>
        <v>1</v>
      </c>
      <c r="DW23" s="741">
        <f t="shared" si="10"/>
        <v>1</v>
      </c>
      <c r="DX23" s="741">
        <f>IF(SUM($DN23:DW23)=$ED23, 0, $EE23)</f>
        <v>0</v>
      </c>
      <c r="DY23" s="741">
        <f>IF(SUM($DN23:DX23)=$ED23, 0, $EE23)</f>
        <v>0</v>
      </c>
      <c r="DZ23" s="741">
        <f>IF(SUM($DN23:DY23)=$ED23, 0, $EE23)</f>
        <v>0</v>
      </c>
      <c r="EA23" s="741">
        <f>IF(SUM($DN23:DZ23)=$ED23, 0, $EE23)</f>
        <v>0</v>
      </c>
      <c r="EB23" s="741">
        <f>IF(SUM($DN23:EA23)=$ED23, 0, $EE23)</f>
        <v>0</v>
      </c>
      <c r="EC23" s="741">
        <f>IF(SUM($DN23:EB23)=$ED23, 0, $EE23)</f>
        <v>0</v>
      </c>
      <c r="ED23" s="407">
        <f>IF(OR(Country_Selected="India", Country_Selected = "Bangladesh", Country_Selected="Nepal"), 13, 10)</f>
        <v>10</v>
      </c>
      <c r="EE23" s="395">
        <f t="shared" ref="EE23:EE29" si="11">IF(D23/ED23&gt;1, 1, D23/ED23)</f>
        <v>1</v>
      </c>
    </row>
    <row r="24" spans="2:136" ht="17.25" customHeight="1" x14ac:dyDescent="0.25">
      <c r="B24" s="1481"/>
      <c r="C24" s="275" t="str">
        <f>IF(Language="English",'Language Look Ups'!$P$7,IF(Language="Francais",'Language Look Ups'!$T$7,'Language Look Ups'!$R$7))</f>
        <v>Vasectomie</v>
      </c>
      <c r="D24" s="276">
        <f>IF(OR(Country_Selected="India", Country_Selected = "Bangladesh", Country_Selected="Nepal"), 13, 10)</f>
        <v>10</v>
      </c>
      <c r="E24" s="99">
        <f t="shared" ref="E24:E29" si="12">D24</f>
        <v>10</v>
      </c>
      <c r="F24" s="100" t="str">
        <f t="shared" si="8"/>
        <v>années de protection</v>
      </c>
      <c r="G24" s="284"/>
      <c r="H24" s="284"/>
      <c r="I24" s="284"/>
      <c r="J24" s="284"/>
      <c r="K24" s="284"/>
      <c r="L24" s="284"/>
      <c r="M24" s="284"/>
      <c r="N24" s="284"/>
      <c r="O24" s="284"/>
      <c r="P24" s="284"/>
      <c r="Q24" s="284"/>
      <c r="R24" s="284"/>
      <c r="S24" s="284"/>
      <c r="T24" s="284"/>
      <c r="U24" s="284"/>
      <c r="V24" s="412"/>
      <c r="AA24" s="463" t="str">
        <f t="shared" ref="AA24:AA29" si="13">$C24</f>
        <v>Vasectomie</v>
      </c>
      <c r="AB24" s="1098" t="str">
        <f>IF(AB$21="", "", VLOOKUP($AA24,'4. FPSource Set Up'!$C$96:$H$117, 4, FALSE))</f>
        <v>n/a</v>
      </c>
      <c r="AC24" s="1099" t="str">
        <f>IF(AC$21="", "", VLOOKUP($AA24,'4. FPSource Set Up'!$C$96:$H$117, 4, FALSE))</f>
        <v/>
      </c>
      <c r="AD24" s="1099" t="str">
        <f>IF(AD$21="", "", VLOOKUP($AA24,'4. FPSource Set Up'!$C$96:$H$117, 4, FALSE))</f>
        <v/>
      </c>
      <c r="AE24" s="1099" t="str">
        <f>IF(AE$21="", "", VLOOKUP($AA24,'4. FPSource Set Up'!$C$96:$H$117, 4, FALSE))</f>
        <v/>
      </c>
      <c r="AF24" s="1099" t="str">
        <f>IF(AF$21="", "", VLOOKUP($AA24,'4. FPSource Set Up'!$C$96:$H$117, 4, FALSE))</f>
        <v/>
      </c>
      <c r="AG24" s="1099" t="str">
        <f>IF(AG$21="", "", VLOOKUP($AA24,'4. FPSource Set Up'!$C$96:$H$117, 4, FALSE))</f>
        <v/>
      </c>
      <c r="AH24" s="1099" t="str">
        <f>IF(AH$21="", "", VLOOKUP($AA24,'4. FPSource Set Up'!$C$96:$H$117, 4, FALSE))</f>
        <v/>
      </c>
      <c r="AI24" s="1099" t="str">
        <f>IF(AI$21="", "", VLOOKUP($AA24,'4. FPSource Set Up'!$C$96:$H$117, 4, FALSE))</f>
        <v/>
      </c>
      <c r="AJ24" s="1099" t="str">
        <f>IF(AJ$21="", "", VLOOKUP($AA24,'4. FPSource Set Up'!$C$96:$H$117, 4, FALSE))</f>
        <v/>
      </c>
      <c r="AK24" s="1099" t="str">
        <f>IF(AK$21="", "", VLOOKUP($AA24,'4. FPSource Set Up'!$C$96:$H$117, 4, FALSE))</f>
        <v/>
      </c>
      <c r="AL24" s="1099" t="str">
        <f>IF(AL$21="", "", VLOOKUP($AA24,'4. FPSource Set Up'!$C$96:$H$117, 4, FALSE))</f>
        <v/>
      </c>
      <c r="AM24" s="1099" t="str">
        <f>IF(AM$21="", "", VLOOKUP($AA24,'4. FPSource Set Up'!$C$96:$H$117, 4, FALSE))</f>
        <v/>
      </c>
      <c r="AN24" s="1099" t="str">
        <f>IF(AN$21="", "", VLOOKUP($AA24,'4. FPSource Set Up'!$C$96:$H$117, 4, FALSE))</f>
        <v/>
      </c>
      <c r="AO24" s="1099" t="str">
        <f>IF(AO$21="", "", VLOOKUP($AA24,'4. FPSource Set Up'!$C$96:$H$117, 4, FALSE))</f>
        <v/>
      </c>
      <c r="AP24" s="1099" t="str">
        <f>IF(AP$21="", "", VLOOKUP($AA24,'4. FPSource Set Up'!$C$96:$H$117, 4, FALSE))</f>
        <v/>
      </c>
      <c r="AQ24" s="1100" t="str">
        <f>IF(AQ$21="", "", VLOOKUP($AA24,'4. FPSource Set Up'!$C$96:$H$117, 4, FALSE))</f>
        <v/>
      </c>
      <c r="BA24" s="100" t="s">
        <v>9</v>
      </c>
      <c r="BC24" s="184" t="s">
        <v>835</v>
      </c>
      <c r="BJ24" s="677" t="str">
        <f t="shared" ref="BJ24:BJ46" si="14">$C24</f>
        <v>Vasectomie</v>
      </c>
      <c r="BK24" s="667" t="str">
        <f t="shared" ref="BK24:BK29" si="15">IF(OR(BK$10&lt;0.6,BK$10=""), "", IFERROR(CU24+(G24*$DN24),""))</f>
        <v/>
      </c>
      <c r="BL24" s="668" t="str">
        <f t="shared" ref="BL24:BL29" si="16">IF(OR(BL$10&lt;0.6,BL$10=""), "", IFERROR(CV24+(G24*$DO24)+(H24*$DN24),""))</f>
        <v/>
      </c>
      <c r="BM24" s="667" t="str">
        <f t="shared" ref="BM24:BM29" si="17">IF(OR(BM$10&lt;0.6, BM$10=""), "", IFERROR(CW24+(G24*$DP24)+(H24*$DO24)+(I24*$DN24),""))</f>
        <v/>
      </c>
      <c r="BN24" s="667" t="str">
        <f t="shared" ref="BN24:BN29" si="18">IF(OR(BN$10&lt;0.6, BN$10=""),"", IFERROR(CX24+(G24*$DQ24)+(H24*$DP24)+(I24*$DO24)+(J24*$DN24), ""))</f>
        <v/>
      </c>
      <c r="BO24" s="667" t="str">
        <f t="shared" ref="BO24:BO29" si="19">IF(OR(BO$10&lt;0.6,BO$10=""), "", IFERROR(CY24+(G24*$DR24)+(H24*$DQ24)+(I24*$DP24)+(J24*$DO24)+(K24*$DN24), ""))</f>
        <v/>
      </c>
      <c r="BP24" s="667" t="str">
        <f t="shared" ref="BP24:BP29" si="20">IF(OR(BP$10&lt;0.6,BP$10=""), "", IFERROR(CZ24+(G24*$DS24)+(H24*$DR24)+(I24*$DQ24)+(J24*$DP24)+(K24*$DO24)+(L24*$DN24), ""))</f>
        <v/>
      </c>
      <c r="BQ24" s="667" t="str">
        <f t="shared" ref="BQ24:BQ29" si="21">IF(OR(BQ$10&lt;0.6,BQ$10=""), "", IFERROR(DA24+(G24*$DT24)+(H24*$DS24)+(I24*$DR24)+(J24*$DQ24)+(K24*$DP24)+(L24*$DO24)+(M24*$DN24), ""))</f>
        <v/>
      </c>
      <c r="BR24" s="667" t="str">
        <f t="shared" ref="BR24:BR29" si="22">IF(OR(BR$10&lt;0.6,BR$10=""), "", IFERROR(DB24+(G24*$DU24)+(H24*$DT24)+(I24*$DS24)+(J24*$DR24)+(K24*$DQ24)+(L24*$DP24)+(M24*$DO24)+(N24*$DN24), ""))</f>
        <v/>
      </c>
      <c r="BS24" s="667" t="str">
        <f t="shared" ref="BS24:BS29" si="23">IF(OR(BS$10&lt;0.6,BS$10=""), "", IFERROR(DC24+(G24*$DV24)+(H24*$DU24)+(I24*$DT24)+(J24*$DS24)+(K24*$DR24)+(L24*$DQ24)+(M24*$DP24)+(N24*$DO24)+(O24*$DN24), ""))</f>
        <v/>
      </c>
      <c r="BT24" s="667" t="str">
        <f t="shared" ref="BT24:BT29" si="24">IF(OR(BT$10&lt;0.6, BT$10=""),"", IFERROR(DD24+(G24*$DW24)+(H24*$DV24)+(I24*$DU24)+(J24*$DT24)+(K24*$DS24)+(L24*$DR24)+(M24*$DQ24)+(N24*$DP24)+(O24*$DO24)+(P24*$DN24), ""))</f>
        <v/>
      </c>
      <c r="BU24" s="667" t="str">
        <f t="shared" ref="BU24:BU29" si="25">IF(OR(BU$10&lt;0.6,BU$10=""), "", IFERROR(DE24+(G24*$DX24)+(H24*$DW24)+(I24*$DV24)+(J24*$DU24)+(K24*$DT24)+(L24*$DS24)+(M24*$DR24)+(N24*$DQ24)+(O24*$DP24)+(P24*$DO24)+(Q24*$DN24), ""))</f>
        <v/>
      </c>
      <c r="BV24" s="667" t="str">
        <f t="shared" ref="BV24:BV29" si="26">IF(OR(BV$10&lt;0.6,BV$10=""), "", IFERROR(DF24+(G24*$DY24)+(H24*$DX24)+(I24*$DW24)+(J24*$DV24)+(K24*$DU24)+(L24*$DT24)+(M24*$DS24)+(N24*$DR24)+(O24*$DQ24)+(P24*$DP24)+(Q24*$DO24)+(R24*$DN24), ""))</f>
        <v/>
      </c>
      <c r="BW24" s="667" t="str">
        <f t="shared" ref="BW24:BW29" si="27">IF(OR(BW$10&lt;0.6,BW$10=""), "", IFERROR(DZ24+(G24*$DZ24)+(H24*$DY24)+(I24*$DX24)+(J24*$DW24)+(K24*$DV24)+(L24*$DU24)+(M24*$DT24)+(N24*$DS24)+(O24*$DR24)+(P24*$DQ24)+(Q24*$DP24)+(R24*$DO24)+(S24*$DN24), ""))</f>
        <v/>
      </c>
      <c r="BX24" s="667" t="str">
        <f t="shared" ref="BX24:BZ29" si="28">IF(OR(BX$10&lt;0.6,BX$10=""), "", IFERROR((H24*$DZ24)+(I24*$DY24)+(J24*$DX24)+(K24*$DW24)+(L24*$DV24)+(M24*$DU24)+(N24*$DT24)+(O24*$DS24)+(P24*$DR24)+(Q24*$DQ24)+(R24*$DP24)+(S24*$DO24)+(T24*$DN24), ""))</f>
        <v/>
      </c>
      <c r="BY24" s="667" t="str">
        <f t="shared" si="28"/>
        <v/>
      </c>
      <c r="BZ24" s="667" t="str">
        <f t="shared" si="28"/>
        <v/>
      </c>
      <c r="CB24" s="677" t="str">
        <f t="shared" ref="CB24:CB46" si="29">$C24</f>
        <v>Vasectomie</v>
      </c>
      <c r="CC24" s="667" t="str">
        <f t="shared" ref="CC24:CC29" si="30">IF(CC$21="", "", IF(BK24="", "", BK24*AB24))</f>
        <v/>
      </c>
      <c r="CD24" s="668" t="str">
        <f t="shared" ref="CD24:CD29" si="31">IF(CD$21="", "", IF(BL24="", "", BL24*AC24))</f>
        <v/>
      </c>
      <c r="CE24" s="667" t="str">
        <f t="shared" ref="CE24:CE29" si="32">IF(CE$21="", "", IF(BM24="", "", BM24*AD24))</f>
        <v/>
      </c>
      <c r="CF24" s="667" t="str">
        <f t="shared" ref="CF24:CF29" si="33">IF(CF$21="", "", IF(BN24="", "", BN24*AE24))</f>
        <v/>
      </c>
      <c r="CG24" s="667" t="str">
        <f t="shared" ref="CG24:CG29" si="34">IF(CG$21="", "", IF(BO24="", "", BO24*AF24))</f>
        <v/>
      </c>
      <c r="CH24" s="667" t="str">
        <f t="shared" ref="CH24:CH29" si="35">IF(CH$21="", "", IF(BP24="", "", BP24*AG24))</f>
        <v/>
      </c>
      <c r="CI24" s="667" t="str">
        <f t="shared" ref="CI24:CI29" si="36">IF(CI$21="", "", IF(BQ24="", "", BQ24*AH24))</f>
        <v/>
      </c>
      <c r="CJ24" s="667" t="str">
        <f t="shared" ref="CJ24:CJ29" si="37">IF(CJ$21="", "", IF(BR24="", "", BR24*AI24))</f>
        <v/>
      </c>
      <c r="CK24" s="667" t="str">
        <f t="shared" ref="CK24:CK29" si="38">IF(CK$21="", "", IF(BS24="", "", BS24*AJ24))</f>
        <v/>
      </c>
      <c r="CL24" s="667" t="str">
        <f t="shared" ref="CL24:CL29" si="39">IF(CL$21="", "", IF(BT24="", "", BT24*AK24))</f>
        <v/>
      </c>
      <c r="CM24" s="667" t="str">
        <f t="shared" ref="CM24:CM29" si="40">IF(CM$21="", "", IF(BU24="", "", BU24*AL24))</f>
        <v/>
      </c>
      <c r="CN24" s="667" t="str">
        <f t="shared" ref="CN24:CN29" si="41">IF(CN$21="", "", IF(BV24="", "", BV24*AM24))</f>
        <v/>
      </c>
      <c r="CO24" s="667" t="str">
        <f t="shared" ref="CO24:CO29" si="42">IF(CO$21="", "", IF(BW24="", "", BW24*AN24))</f>
        <v/>
      </c>
      <c r="CP24" s="667" t="str">
        <f t="shared" ref="CP24:CP29" si="43">IF(CP$21="", "", IF(BX24="", "", BX24*AO24))</f>
        <v/>
      </c>
      <c r="CQ24" s="667" t="str">
        <f t="shared" ref="CQ24:CQ29" si="44">IF(CQ$21="", "", IF(BY24="", "", BY24*AP24))</f>
        <v/>
      </c>
      <c r="CR24" s="667" t="str">
        <f t="shared" ref="CR24:CR29" si="45">IF(CR$21="", "", IF(BZ24="", "", BZ24*AQ24))</f>
        <v/>
      </c>
      <c r="CS24">
        <f>'3. ServiceStats Set Up'!H50</f>
        <v>1</v>
      </c>
      <c r="CT24" s="677" t="str">
        <f t="shared" ref="CT24:CT46" si="46">$C24</f>
        <v>Vasectomie</v>
      </c>
      <c r="CU24" s="664">
        <f>IFERROR(($G24*SUM(DO24:$EC24)*$CS24), "")</f>
        <v>0</v>
      </c>
      <c r="CV24" s="664">
        <f>IFERROR(($G24*SUM(DP24:$EC24)*$CS24), "")</f>
        <v>0</v>
      </c>
      <c r="CW24" s="664">
        <f>IFERROR(($G24*SUM(DQ24:$EC24)*$CS24), "")</f>
        <v>0</v>
      </c>
      <c r="CX24" s="664">
        <f>IFERROR(($G24*SUM(DR24:$EC24)*$CS24), "")</f>
        <v>0</v>
      </c>
      <c r="CY24" s="664">
        <f>IFERROR(($G24*SUM(DS24:$EC24)*$CS24), "")</f>
        <v>0</v>
      </c>
      <c r="CZ24" s="664">
        <f>IFERROR(($G24*SUM(DT24:$EC24)*$CS24), "")</f>
        <v>0</v>
      </c>
      <c r="DA24" s="664">
        <f>IFERROR(($G24*SUM(DU24:$EC24)*$CS24), "")</f>
        <v>0</v>
      </c>
      <c r="DB24" s="664">
        <f>IFERROR(($G24*SUM(DV24:$EC24)*$CS24), "")</f>
        <v>0</v>
      </c>
      <c r="DC24" s="664">
        <f>IFERROR(($G24*SUM(DW24:$EC24)*$CS24), "")</f>
        <v>0</v>
      </c>
      <c r="DD24" s="664">
        <f>IFERROR(($G24*SUM(DX24:$EC24)*$CS24), "")</f>
        <v>0</v>
      </c>
      <c r="DE24" s="664">
        <f>IFERROR(($G24*SUM(DY24:$EC24)*$CS24), "")</f>
        <v>0</v>
      </c>
      <c r="DF24" s="664">
        <f>IFERROR(($G24*SUM(DZ24:$EC24)*$CS24), "")</f>
        <v>0</v>
      </c>
      <c r="DG24" s="664">
        <f>IFERROR(($G24*SUM(EA24:$EC24)*$CS24), "")</f>
        <v>0</v>
      </c>
      <c r="DH24" s="664">
        <f>IFERROR(($G24*SUM(EB24:$EC24)*$CS24), "")</f>
        <v>0</v>
      </c>
      <c r="DI24" s="664">
        <f>IFERROR(($G24*SUM(EC24:$EC24)*$CS24), "")</f>
        <v>0</v>
      </c>
      <c r="DJ24" s="664"/>
      <c r="DL24" s="1490"/>
      <c r="DM24" s="740" t="str">
        <f t="shared" ref="DM24:DM29" si="47">CB24</f>
        <v>Vasectomie</v>
      </c>
      <c r="DN24" s="741">
        <f>$EE24</f>
        <v>1</v>
      </c>
      <c r="DO24" s="741">
        <f t="shared" si="10"/>
        <v>1</v>
      </c>
      <c r="DP24" s="741">
        <f t="shared" si="10"/>
        <v>1</v>
      </c>
      <c r="DQ24" s="741">
        <f t="shared" si="10"/>
        <v>1</v>
      </c>
      <c r="DR24" s="741">
        <f t="shared" si="10"/>
        <v>1</v>
      </c>
      <c r="DS24" s="741">
        <f t="shared" si="10"/>
        <v>1</v>
      </c>
      <c r="DT24" s="741">
        <f t="shared" si="10"/>
        <v>1</v>
      </c>
      <c r="DU24" s="741">
        <f t="shared" si="10"/>
        <v>1</v>
      </c>
      <c r="DV24" s="741">
        <f t="shared" si="10"/>
        <v>1</v>
      </c>
      <c r="DW24" s="741">
        <f t="shared" si="10"/>
        <v>1</v>
      </c>
      <c r="DX24" s="741">
        <f>IF(SUM($DN24:DW24)=$ED24, 0, $EE24)</f>
        <v>0</v>
      </c>
      <c r="DY24" s="741">
        <f>IF(SUM($DN24:DX24)=$ED24, 0, $EE24)</f>
        <v>0</v>
      </c>
      <c r="DZ24" s="741">
        <f>IF(SUM($DN24:DY24)=$ED24, 0, $EE24)</f>
        <v>0</v>
      </c>
      <c r="EA24" s="741">
        <f>IF(SUM($DN24:DZ24)=$ED24, 0, $EE24)</f>
        <v>0</v>
      </c>
      <c r="EB24" s="741">
        <f>IF(SUM($DN24:EA24)=$ED24, 0, $EE24)</f>
        <v>0</v>
      </c>
      <c r="EC24" s="741">
        <f>IF(SUM($DN24:EB24)=$ED24, 0, $EE24)</f>
        <v>0</v>
      </c>
      <c r="ED24" s="276">
        <f>IF(OR(Country_Selected="India", Country_Selected = "Bangladesh", Country_Selected="Nepal"), 13, 10)</f>
        <v>10</v>
      </c>
      <c r="EE24" s="395">
        <f t="shared" si="11"/>
        <v>1</v>
      </c>
    </row>
    <row r="25" spans="2:136" ht="17.25" customHeight="1" x14ac:dyDescent="0.25">
      <c r="B25" s="1480" t="str">
        <f>IF(Language="English", 'Language Look Ups'!$O$8,IF(Language="Francais", 'Language Look Ups'!$S$8, 'Language Look Ups'!$Q$8))</f>
        <v>DIU</v>
      </c>
      <c r="C25" s="363" t="str">
        <f>IF(Language="English", 'Language Look Ups'!$P$8,IF(Language="Francais", 'Language Look Ups'!$T$8, 'Language Look Ups'!$R$8))</f>
        <v>Copper- T 380-A DIU</v>
      </c>
      <c r="D25" s="407">
        <v>4.5999999999999996</v>
      </c>
      <c r="E25" s="408">
        <f t="shared" si="12"/>
        <v>4.5999999999999996</v>
      </c>
      <c r="F25" s="416" t="str">
        <f t="shared" si="8"/>
        <v>années de protection</v>
      </c>
      <c r="G25" s="409"/>
      <c r="H25" s="409"/>
      <c r="I25" s="409"/>
      <c r="J25" s="409"/>
      <c r="K25" s="409"/>
      <c r="L25" s="409"/>
      <c r="M25" s="409"/>
      <c r="N25" s="409"/>
      <c r="O25" s="409"/>
      <c r="P25" s="409"/>
      <c r="Q25" s="409"/>
      <c r="R25" s="409"/>
      <c r="S25" s="409"/>
      <c r="T25" s="409"/>
      <c r="U25" s="409"/>
      <c r="V25" s="409"/>
      <c r="AA25" s="462" t="str">
        <f t="shared" si="13"/>
        <v>Copper- T 380-A DIU</v>
      </c>
      <c r="AB25" s="1095" t="str">
        <f>IF(AB$21="", "", VLOOKUP($AA25,'4. FPSource Set Up'!$C$96:$H$117, 4, FALSE))</f>
        <v>n/a</v>
      </c>
      <c r="AC25" s="1096" t="str">
        <f>IF(AC$21="", "", VLOOKUP($AA25,'4. FPSource Set Up'!$C$96:$H$117, 4, FALSE))</f>
        <v/>
      </c>
      <c r="AD25" s="1096" t="str">
        <f>IF(AD$21="", "", VLOOKUP($AA25,'4. FPSource Set Up'!$C$96:$H$117, 4, FALSE))</f>
        <v/>
      </c>
      <c r="AE25" s="1096" t="str">
        <f>IF(AE$21="", "", VLOOKUP($AA25,'4. FPSource Set Up'!$C$96:$H$117, 4, FALSE))</f>
        <v/>
      </c>
      <c r="AF25" s="1096" t="str">
        <f>IF(AF$21="", "", VLOOKUP($AA25,'4. FPSource Set Up'!$C$96:$H$117, 4, FALSE))</f>
        <v/>
      </c>
      <c r="AG25" s="1096" t="str">
        <f>IF(AG$21="", "", VLOOKUP($AA25,'4. FPSource Set Up'!$C$96:$H$117, 4, FALSE))</f>
        <v/>
      </c>
      <c r="AH25" s="1096" t="str">
        <f>IF(AH$21="", "", VLOOKUP($AA25,'4. FPSource Set Up'!$C$96:$H$117, 4, FALSE))</f>
        <v/>
      </c>
      <c r="AI25" s="1096" t="str">
        <f>IF(AI$21="", "", VLOOKUP($AA25,'4. FPSource Set Up'!$C$96:$H$117, 4, FALSE))</f>
        <v/>
      </c>
      <c r="AJ25" s="1096" t="str">
        <f>IF(AJ$21="", "", VLOOKUP($AA25,'4. FPSource Set Up'!$C$96:$H$117, 4, FALSE))</f>
        <v/>
      </c>
      <c r="AK25" s="1096" t="str">
        <f>IF(AK$21="", "", VLOOKUP($AA25,'4. FPSource Set Up'!$C$96:$H$117, 4, FALSE))</f>
        <v/>
      </c>
      <c r="AL25" s="1096" t="str">
        <f>IF(AL$21="", "", VLOOKUP($AA25,'4. FPSource Set Up'!$C$96:$H$117, 4, FALSE))</f>
        <v/>
      </c>
      <c r="AM25" s="1096" t="str">
        <f>IF(AM$21="", "", VLOOKUP($AA25,'4. FPSource Set Up'!$C$96:$H$117, 4, FALSE))</f>
        <v/>
      </c>
      <c r="AN25" s="1096" t="str">
        <f>IF(AN$21="", "", VLOOKUP($AA25,'4. FPSource Set Up'!$C$96:$H$117, 4, FALSE))</f>
        <v/>
      </c>
      <c r="AO25" s="1096" t="str">
        <f>IF(AO$21="", "", VLOOKUP($AA25,'4. FPSource Set Up'!$C$96:$H$117, 4, FALSE))</f>
        <v/>
      </c>
      <c r="AP25" s="1096" t="str">
        <f>IF(AP$21="", "", VLOOKUP($AA25,'4. FPSource Set Up'!$C$96:$H$117, 4, FALSE))</f>
        <v/>
      </c>
      <c r="AQ25" s="1097" t="str">
        <f>IF(AQ$21="", "", VLOOKUP($AA25,'4. FPSource Set Up'!$C$96:$H$117, 4, FALSE))</f>
        <v/>
      </c>
      <c r="BA25" s="416" t="s">
        <v>9</v>
      </c>
      <c r="BC25" s="184" t="s">
        <v>835</v>
      </c>
      <c r="BJ25" s="676" t="str">
        <f t="shared" si="14"/>
        <v>Copper- T 380-A DIU</v>
      </c>
      <c r="BK25" s="664" t="str">
        <f t="shared" si="15"/>
        <v/>
      </c>
      <c r="BL25" s="665" t="str">
        <f t="shared" si="16"/>
        <v/>
      </c>
      <c r="BM25" s="665" t="str">
        <f t="shared" si="17"/>
        <v/>
      </c>
      <c r="BN25" s="665" t="str">
        <f t="shared" si="18"/>
        <v/>
      </c>
      <c r="BO25" s="665" t="str">
        <f t="shared" si="19"/>
        <v/>
      </c>
      <c r="BP25" s="665" t="str">
        <f t="shared" si="20"/>
        <v/>
      </c>
      <c r="BQ25" s="665" t="str">
        <f t="shared" si="21"/>
        <v/>
      </c>
      <c r="BR25" s="665" t="str">
        <f t="shared" si="22"/>
        <v/>
      </c>
      <c r="BS25" s="665" t="str">
        <f t="shared" si="23"/>
        <v/>
      </c>
      <c r="BT25" s="665" t="str">
        <f t="shared" si="24"/>
        <v/>
      </c>
      <c r="BU25" s="665" t="str">
        <f t="shared" si="25"/>
        <v/>
      </c>
      <c r="BV25" s="665" t="str">
        <f t="shared" si="26"/>
        <v/>
      </c>
      <c r="BW25" s="665" t="str">
        <f t="shared" si="27"/>
        <v/>
      </c>
      <c r="BX25" s="665" t="str">
        <f t="shared" si="28"/>
        <v/>
      </c>
      <c r="BY25" s="665" t="str">
        <f t="shared" si="28"/>
        <v/>
      </c>
      <c r="BZ25" s="665" t="str">
        <f t="shared" si="28"/>
        <v/>
      </c>
      <c r="CB25" s="676" t="str">
        <f t="shared" si="29"/>
        <v>Copper- T 380-A DIU</v>
      </c>
      <c r="CC25" s="664" t="str">
        <f t="shared" si="30"/>
        <v/>
      </c>
      <c r="CD25" s="665" t="str">
        <f t="shared" si="31"/>
        <v/>
      </c>
      <c r="CE25" s="665" t="str">
        <f t="shared" si="32"/>
        <v/>
      </c>
      <c r="CF25" s="665" t="str">
        <f t="shared" si="33"/>
        <v/>
      </c>
      <c r="CG25" s="665" t="str">
        <f t="shared" si="34"/>
        <v/>
      </c>
      <c r="CH25" s="665" t="str">
        <f t="shared" si="35"/>
        <v/>
      </c>
      <c r="CI25" s="665" t="str">
        <f t="shared" si="36"/>
        <v/>
      </c>
      <c r="CJ25" s="665" t="str">
        <f t="shared" si="37"/>
        <v/>
      </c>
      <c r="CK25" s="665" t="str">
        <f t="shared" si="38"/>
        <v/>
      </c>
      <c r="CL25" s="665" t="str">
        <f t="shared" si="39"/>
        <v/>
      </c>
      <c r="CM25" s="665" t="str">
        <f t="shared" si="40"/>
        <v/>
      </c>
      <c r="CN25" s="665" t="str">
        <f t="shared" si="41"/>
        <v/>
      </c>
      <c r="CO25" s="665" t="str">
        <f t="shared" si="42"/>
        <v/>
      </c>
      <c r="CP25" s="665" t="str">
        <f t="shared" si="43"/>
        <v/>
      </c>
      <c r="CQ25" s="665" t="str">
        <f t="shared" si="44"/>
        <v/>
      </c>
      <c r="CR25" s="665" t="str">
        <f t="shared" si="45"/>
        <v/>
      </c>
      <c r="CS25">
        <f>'3. ServiceStats Set Up'!H51</f>
        <v>1</v>
      </c>
      <c r="CT25" s="676" t="str">
        <f t="shared" si="46"/>
        <v>Copper- T 380-A DIU</v>
      </c>
      <c r="CU25" s="664">
        <f>IFERROR(($G25*SUM(DO25:$EC25)*$CS25), "")</f>
        <v>0</v>
      </c>
      <c r="CV25" s="664">
        <f>IFERROR(($G25*SUM(DP25:$EC25)*$CS25), "")</f>
        <v>0</v>
      </c>
      <c r="CW25" s="664">
        <f>IFERROR(($G25*SUM(DQ25:$EC25)*$CS25), "")</f>
        <v>0</v>
      </c>
      <c r="CX25" s="664">
        <f>IFERROR(($G25*SUM(DR25:$EC25)*$CS25), "")</f>
        <v>0</v>
      </c>
      <c r="CY25" s="664">
        <f>IFERROR(($G25*SUM(DS25:$EC25)*$CS25), "")</f>
        <v>0</v>
      </c>
      <c r="CZ25" s="664">
        <f>IFERROR(($G25*SUM(DT25:$EC25)*$CS25), "")</f>
        <v>0</v>
      </c>
      <c r="DA25" s="664">
        <f>IFERROR(($G25*SUM(DU25:$EC25)*$CS25), "")</f>
        <v>0</v>
      </c>
      <c r="DB25" s="664">
        <f>IFERROR(($G25*SUM(DV25:$EC25)*$CS25), "")</f>
        <v>0</v>
      </c>
      <c r="DC25" s="664">
        <f>IFERROR(($G25*SUM(DW25:$EC25)*$CS25), "")</f>
        <v>0</v>
      </c>
      <c r="DD25" s="664">
        <f>IFERROR(($G25*SUM(DX25:$EC25)*$CS25), "")</f>
        <v>0</v>
      </c>
      <c r="DE25" s="664">
        <f>IFERROR(($G25*SUM(DY25:$EC25)*$CS25), "")</f>
        <v>0</v>
      </c>
      <c r="DF25" s="664">
        <f>IFERROR(($G25*SUM(DZ25:$EC25)*$CS25), "")</f>
        <v>0</v>
      </c>
      <c r="DG25" s="664">
        <f>IFERROR(($G25*SUM(EA25:$EC25)*$CS25), "")</f>
        <v>0</v>
      </c>
      <c r="DH25" s="664">
        <f>IFERROR(($G25*SUM(EB25:$EC25)*$CS25), "")</f>
        <v>0</v>
      </c>
      <c r="DI25" s="664">
        <f>IFERROR(($G25*SUM(EC25:$EC25)*$CS25), "")</f>
        <v>0</v>
      </c>
      <c r="DJ25" s="664"/>
      <c r="DL25" s="1484" t="s">
        <v>5</v>
      </c>
      <c r="DM25" s="388" t="str">
        <f>CB25</f>
        <v>Copper- T 380-A DIU</v>
      </c>
      <c r="DN25" s="351">
        <f t="shared" ref="DN25:DW25" si="48">IFERROR(AVERAGE(DN6:DO6)*$EE25,0)</f>
        <v>0.91989443399999993</v>
      </c>
      <c r="DO25" s="351">
        <f t="shared" si="48"/>
        <v>0.77251710549999997</v>
      </c>
      <c r="DP25" s="351">
        <f t="shared" si="48"/>
        <v>0.64875126550000006</v>
      </c>
      <c r="DQ25" s="351">
        <f t="shared" si="48"/>
        <v>0.544814091</v>
      </c>
      <c r="DR25" s="351">
        <f t="shared" si="48"/>
        <v>0.45752880900000004</v>
      </c>
      <c r="DS25" s="351">
        <f t="shared" si="48"/>
        <v>0.38422760050000004</v>
      </c>
      <c r="DT25" s="351">
        <f t="shared" si="48"/>
        <v>0.32267006149999999</v>
      </c>
      <c r="DU25" s="351">
        <f t="shared" si="48"/>
        <v>0.27097472550000001</v>
      </c>
      <c r="DV25" s="351">
        <f t="shared" si="48"/>
        <v>0.227561558</v>
      </c>
      <c r="DW25" s="351">
        <f t="shared" si="48"/>
        <v>0.18754970007702476</v>
      </c>
      <c r="DX25" s="351">
        <v>0</v>
      </c>
      <c r="DY25" s="351">
        <v>0</v>
      </c>
      <c r="DZ25" s="351">
        <v>0</v>
      </c>
      <c r="EA25" s="351">
        <v>0</v>
      </c>
      <c r="EB25" s="351">
        <v>0</v>
      </c>
      <c r="EC25" s="351">
        <v>0</v>
      </c>
      <c r="ED25" s="407">
        <v>4.5999999999999996</v>
      </c>
      <c r="EE25" s="395">
        <f t="shared" si="11"/>
        <v>1</v>
      </c>
    </row>
    <row r="26" spans="2:136" ht="17.25" customHeight="1" x14ac:dyDescent="0.25">
      <c r="B26" s="1481"/>
      <c r="C26" s="275" t="str">
        <f>IF(Language="English", 'Language Look Ups'!$P$9,IF(Language="Francais", 'Language Look Ups'!$T$9, 'Language Look Ups'!$R$9))</f>
        <v>DIU Hormonal (LNG-IUS)</v>
      </c>
      <c r="D26" s="276">
        <v>4.8</v>
      </c>
      <c r="E26" s="99">
        <f t="shared" si="12"/>
        <v>4.8</v>
      </c>
      <c r="F26" s="100" t="str">
        <f t="shared" si="8"/>
        <v>années de protection</v>
      </c>
      <c r="G26" s="284"/>
      <c r="H26" s="284"/>
      <c r="I26" s="284"/>
      <c r="J26" s="284"/>
      <c r="K26" s="284"/>
      <c r="L26" s="284"/>
      <c r="M26" s="284"/>
      <c r="N26" s="284"/>
      <c r="O26" s="284"/>
      <c r="P26" s="284"/>
      <c r="Q26" s="284"/>
      <c r="R26" s="284"/>
      <c r="S26" s="284"/>
      <c r="T26" s="284"/>
      <c r="U26" s="284"/>
      <c r="V26" s="412"/>
      <c r="AA26" s="463" t="str">
        <f t="shared" si="13"/>
        <v>DIU Hormonal (LNG-IUS)</v>
      </c>
      <c r="AB26" s="1098" t="str">
        <f>IF(AB$21="", "", VLOOKUP($AA26,'4. FPSource Set Up'!$C$96:$H$117, 4, FALSE))</f>
        <v>n/a</v>
      </c>
      <c r="AC26" s="1099" t="str">
        <f>IF(AC$21="", "", VLOOKUP($AA26,'4. FPSource Set Up'!$C$96:$H$117, 4, FALSE))</f>
        <v/>
      </c>
      <c r="AD26" s="1099" t="str">
        <f>IF(AD$21="", "", VLOOKUP($AA26,'4. FPSource Set Up'!$C$96:$H$117, 4, FALSE))</f>
        <v/>
      </c>
      <c r="AE26" s="1099" t="str">
        <f>IF(AE$21="", "", VLOOKUP($AA26,'4. FPSource Set Up'!$C$96:$H$117, 4, FALSE))</f>
        <v/>
      </c>
      <c r="AF26" s="1099" t="str">
        <f>IF(AF$21="", "", VLOOKUP($AA26,'4. FPSource Set Up'!$C$96:$H$117, 4, FALSE))</f>
        <v/>
      </c>
      <c r="AG26" s="1099" t="str">
        <f>IF(AG$21="", "", VLOOKUP($AA26,'4. FPSource Set Up'!$C$96:$H$117, 4, FALSE))</f>
        <v/>
      </c>
      <c r="AH26" s="1099" t="str">
        <f>IF(AH$21="", "", VLOOKUP($AA26,'4. FPSource Set Up'!$C$96:$H$117, 4, FALSE))</f>
        <v/>
      </c>
      <c r="AI26" s="1099" t="str">
        <f>IF(AI$21="", "", VLOOKUP($AA26,'4. FPSource Set Up'!$C$96:$H$117, 4, FALSE))</f>
        <v/>
      </c>
      <c r="AJ26" s="1099" t="str">
        <f>IF(AJ$21="", "", VLOOKUP($AA26,'4. FPSource Set Up'!$C$96:$H$117, 4, FALSE))</f>
        <v/>
      </c>
      <c r="AK26" s="1099" t="str">
        <f>IF(AK$21="", "", VLOOKUP($AA26,'4. FPSource Set Up'!$C$96:$H$117, 4, FALSE))</f>
        <v/>
      </c>
      <c r="AL26" s="1099" t="str">
        <f>IF(AL$21="", "", VLOOKUP($AA26,'4. FPSource Set Up'!$C$96:$H$117, 4, FALSE))</f>
        <v/>
      </c>
      <c r="AM26" s="1099" t="str">
        <f>IF(AM$21="", "", VLOOKUP($AA26,'4. FPSource Set Up'!$C$96:$H$117, 4, FALSE))</f>
        <v/>
      </c>
      <c r="AN26" s="1099" t="str">
        <f>IF(AN$21="", "", VLOOKUP($AA26,'4. FPSource Set Up'!$C$96:$H$117, 4, FALSE))</f>
        <v/>
      </c>
      <c r="AO26" s="1099" t="str">
        <f>IF(AO$21="", "", VLOOKUP($AA26,'4. FPSource Set Up'!$C$96:$H$117, 4, FALSE))</f>
        <v/>
      </c>
      <c r="AP26" s="1099" t="str">
        <f>IF(AP$21="", "", VLOOKUP($AA26,'4. FPSource Set Up'!$C$96:$H$117, 4, FALSE))</f>
        <v/>
      </c>
      <c r="AQ26" s="1100" t="str">
        <f>IF(AQ$21="", "", VLOOKUP($AA26,'4. FPSource Set Up'!$C$96:$H$117, 4, FALSE))</f>
        <v/>
      </c>
      <c r="BA26" s="100" t="s">
        <v>9</v>
      </c>
      <c r="BC26" s="184" t="s">
        <v>835</v>
      </c>
      <c r="BJ26" s="677" t="str">
        <f t="shared" si="14"/>
        <v>DIU Hormonal (LNG-IUS)</v>
      </c>
      <c r="BK26" s="667" t="str">
        <f t="shared" si="15"/>
        <v/>
      </c>
      <c r="BL26" s="668" t="str">
        <f t="shared" si="16"/>
        <v/>
      </c>
      <c r="BM26" s="667" t="str">
        <f t="shared" si="17"/>
        <v/>
      </c>
      <c r="BN26" s="667" t="str">
        <f t="shared" si="18"/>
        <v/>
      </c>
      <c r="BO26" s="667" t="str">
        <f t="shared" si="19"/>
        <v/>
      </c>
      <c r="BP26" s="667" t="str">
        <f t="shared" si="20"/>
        <v/>
      </c>
      <c r="BQ26" s="667" t="str">
        <f t="shared" si="21"/>
        <v/>
      </c>
      <c r="BR26" s="667" t="str">
        <f t="shared" si="22"/>
        <v/>
      </c>
      <c r="BS26" s="667" t="str">
        <f t="shared" si="23"/>
        <v/>
      </c>
      <c r="BT26" s="667" t="str">
        <f t="shared" si="24"/>
        <v/>
      </c>
      <c r="BU26" s="667" t="str">
        <f t="shared" si="25"/>
        <v/>
      </c>
      <c r="BV26" s="667" t="str">
        <f t="shared" si="26"/>
        <v/>
      </c>
      <c r="BW26" s="667" t="str">
        <f t="shared" si="27"/>
        <v/>
      </c>
      <c r="BX26" s="667" t="str">
        <f t="shared" si="28"/>
        <v/>
      </c>
      <c r="BY26" s="667" t="str">
        <f t="shared" si="28"/>
        <v/>
      </c>
      <c r="BZ26" s="667" t="str">
        <f t="shared" si="28"/>
        <v/>
      </c>
      <c r="CB26" s="677" t="str">
        <f t="shared" si="29"/>
        <v>DIU Hormonal (LNG-IUS)</v>
      </c>
      <c r="CC26" s="667" t="str">
        <f t="shared" si="30"/>
        <v/>
      </c>
      <c r="CD26" s="668" t="str">
        <f t="shared" si="31"/>
        <v/>
      </c>
      <c r="CE26" s="667" t="str">
        <f t="shared" si="32"/>
        <v/>
      </c>
      <c r="CF26" s="667" t="str">
        <f t="shared" si="33"/>
        <v/>
      </c>
      <c r="CG26" s="667" t="str">
        <f t="shared" si="34"/>
        <v/>
      </c>
      <c r="CH26" s="667" t="str">
        <f t="shared" si="35"/>
        <v/>
      </c>
      <c r="CI26" s="667" t="str">
        <f t="shared" si="36"/>
        <v/>
      </c>
      <c r="CJ26" s="667" t="str">
        <f t="shared" si="37"/>
        <v/>
      </c>
      <c r="CK26" s="667" t="str">
        <f t="shared" si="38"/>
        <v/>
      </c>
      <c r="CL26" s="667" t="str">
        <f t="shared" si="39"/>
        <v/>
      </c>
      <c r="CM26" s="667" t="str">
        <f t="shared" si="40"/>
        <v/>
      </c>
      <c r="CN26" s="667" t="str">
        <f t="shared" si="41"/>
        <v/>
      </c>
      <c r="CO26" s="667" t="str">
        <f t="shared" si="42"/>
        <v/>
      </c>
      <c r="CP26" s="667" t="str">
        <f t="shared" si="43"/>
        <v/>
      </c>
      <c r="CQ26" s="667" t="str">
        <f t="shared" si="44"/>
        <v/>
      </c>
      <c r="CR26" s="667" t="str">
        <f t="shared" si="45"/>
        <v/>
      </c>
      <c r="CS26">
        <f>'3. ServiceStats Set Up'!H52</f>
        <v>1</v>
      </c>
      <c r="CT26" s="677" t="str">
        <f t="shared" si="46"/>
        <v>DIU Hormonal (LNG-IUS)</v>
      </c>
      <c r="CU26" s="667">
        <f>IFERROR(($G26*SUM(DO26:$EC26)*$CS26), "")</f>
        <v>0</v>
      </c>
      <c r="CV26" s="667">
        <f>IFERROR(($G26*SUM(DP26:$EC26)*$CS26), "")</f>
        <v>0</v>
      </c>
      <c r="CW26" s="667">
        <f>IFERROR(($G26*SUM(DQ26:$EC26)*$CS26), "")</f>
        <v>0</v>
      </c>
      <c r="CX26" s="667">
        <f>IFERROR(($G26*SUM(DR26:$EC26)*$CS26), "")</f>
        <v>0</v>
      </c>
      <c r="CY26" s="667">
        <f>IFERROR(($G26*SUM(DS26:$EC26)*$CS26), "")</f>
        <v>0</v>
      </c>
      <c r="CZ26" s="667">
        <f>IFERROR(($G26*SUM(DT26:$EC26)*$CS26), "")</f>
        <v>0</v>
      </c>
      <c r="DA26" s="667">
        <f>IFERROR(($G26*SUM(DU26:$EC26)*$CS26), "")</f>
        <v>0</v>
      </c>
      <c r="DB26" s="667">
        <f>IFERROR(($G26*SUM(DV26:$EC26)*$CS26), "")</f>
        <v>0</v>
      </c>
      <c r="DC26" s="667">
        <f>IFERROR(($G26*SUM(DW26:$EC26)*$CS26), "")</f>
        <v>0</v>
      </c>
      <c r="DD26" s="667">
        <f>IFERROR(($G26*SUM(DX26:$EC26)*$CS26), "")</f>
        <v>0</v>
      </c>
      <c r="DE26" s="667">
        <f>IFERROR(($G26*SUM(DY26:$EC26)*$CS26), "")</f>
        <v>0</v>
      </c>
      <c r="DF26" s="667">
        <f>IFERROR(($G26*SUM(DZ26:$EC26)*$CS26), "")</f>
        <v>0</v>
      </c>
      <c r="DG26" s="667">
        <f>IFERROR(($G26*SUM(EA26:$EC26)*$CS26), "")</f>
        <v>0</v>
      </c>
      <c r="DH26" s="667">
        <f>IFERROR(($G26*SUM(EB26:$EC26)*$CS26), "")</f>
        <v>0</v>
      </c>
      <c r="DI26" s="667">
        <f>IFERROR(($G26*SUM(EC26:$EC26)*$CS26), "")</f>
        <v>0</v>
      </c>
      <c r="DJ26" s="667"/>
      <c r="DL26" s="1485"/>
      <c r="DM26" s="388" t="str">
        <f t="shared" si="47"/>
        <v>DIU Hormonal (LNG-IUS)</v>
      </c>
      <c r="DN26" s="351">
        <f t="shared" ref="DN26:DW26" si="49">IFERROR(AVERAGE(DN7:DO7)*$EE26,0)</f>
        <v>0.94546756633963991</v>
      </c>
      <c r="DO26" s="351">
        <f t="shared" si="49"/>
        <v>0.84235027166076293</v>
      </c>
      <c r="DP26" s="351">
        <f t="shared" si="49"/>
        <v>0.7504794510445093</v>
      </c>
      <c r="DQ26" s="351">
        <f t="shared" si="49"/>
        <v>0.66862850928941309</v>
      </c>
      <c r="DR26" s="351">
        <f t="shared" si="49"/>
        <v>0.59570462963691229</v>
      </c>
      <c r="DS26" s="351">
        <f t="shared" si="49"/>
        <v>0.53073418324322374</v>
      </c>
      <c r="DT26" s="351">
        <f t="shared" si="49"/>
        <v>0.47284972996523078</v>
      </c>
      <c r="DU26" s="351">
        <f t="shared" si="49"/>
        <v>0.2227884127928926</v>
      </c>
      <c r="DV26" s="351">
        <f t="shared" si="49"/>
        <v>0</v>
      </c>
      <c r="DW26" s="351">
        <f t="shared" si="49"/>
        <v>0</v>
      </c>
      <c r="DX26" s="351">
        <v>0</v>
      </c>
      <c r="DY26" s="351">
        <v>0</v>
      </c>
      <c r="DZ26" s="351">
        <v>0</v>
      </c>
      <c r="EA26" s="351">
        <v>0</v>
      </c>
      <c r="EB26" s="351">
        <v>0</v>
      </c>
      <c r="EC26" s="351">
        <v>0</v>
      </c>
      <c r="ED26" s="276">
        <v>4.8</v>
      </c>
      <c r="EE26" s="395">
        <f t="shared" si="11"/>
        <v>1</v>
      </c>
    </row>
    <row r="27" spans="2:136" ht="17.25" customHeight="1" x14ac:dyDescent="0.25">
      <c r="B27" s="1480" t="str">
        <f>IF(Language="English", 'Language Look Ups'!$O$10,IF(Language="Francais", 'Language Look Ups'!$S$10, 'Language Look Ups'!$Q$10))</f>
        <v>Implant</v>
      </c>
      <c r="C27" s="363" t="str">
        <f>IF(Language="English", 'Language Look Ups'!$P$10,IF(Language="Francais", 'Language Look Ups'!$T$10, 'Language Look Ups'!$R$10))</f>
        <v>Implant de 3 ans (Implanon, Levoplant)</v>
      </c>
      <c r="D27" s="407">
        <v>2.5</v>
      </c>
      <c r="E27" s="408">
        <f t="shared" si="12"/>
        <v>2.5</v>
      </c>
      <c r="F27" s="416" t="str">
        <f t="shared" si="8"/>
        <v>années de protection</v>
      </c>
      <c r="G27" s="409"/>
      <c r="H27" s="409"/>
      <c r="I27" s="409"/>
      <c r="J27" s="409"/>
      <c r="K27" s="409"/>
      <c r="L27" s="409"/>
      <c r="M27" s="409"/>
      <c r="N27" s="409"/>
      <c r="O27" s="409"/>
      <c r="P27" s="409"/>
      <c r="Q27" s="409"/>
      <c r="R27" s="409"/>
      <c r="S27" s="409"/>
      <c r="T27" s="409"/>
      <c r="U27" s="409"/>
      <c r="V27" s="411"/>
      <c r="AA27" s="462" t="str">
        <f t="shared" si="13"/>
        <v>Implant de 3 ans (Implanon, Levoplant)</v>
      </c>
      <c r="AB27" s="1095" t="str">
        <f>IF(AB$21="", "", VLOOKUP($AA27,'4. FPSource Set Up'!$C$96:$H$117, 4, FALSE))</f>
        <v>n/a</v>
      </c>
      <c r="AC27" s="1096" t="str">
        <f>IF(AC$21="", "", VLOOKUP($AA27,'4. FPSource Set Up'!$C$96:$H$117, 4, FALSE))</f>
        <v/>
      </c>
      <c r="AD27" s="1096" t="str">
        <f>IF(AD$21="", "", VLOOKUP($AA27,'4. FPSource Set Up'!$C$96:$H$117, 4, FALSE))</f>
        <v/>
      </c>
      <c r="AE27" s="1096" t="str">
        <f>IF(AE$21="", "", VLOOKUP($AA27,'4. FPSource Set Up'!$C$96:$H$117, 4, FALSE))</f>
        <v/>
      </c>
      <c r="AF27" s="1096" t="str">
        <f>IF(AF$21="", "", VLOOKUP($AA27,'4. FPSource Set Up'!$C$96:$H$117, 4, FALSE))</f>
        <v/>
      </c>
      <c r="AG27" s="1096" t="str">
        <f>IF(AG$21="", "", VLOOKUP($AA27,'4. FPSource Set Up'!$C$96:$H$117, 4, FALSE))</f>
        <v/>
      </c>
      <c r="AH27" s="1096" t="str">
        <f>IF(AH$21="", "", VLOOKUP($AA27,'4. FPSource Set Up'!$C$96:$H$117, 4, FALSE))</f>
        <v/>
      </c>
      <c r="AI27" s="1096" t="str">
        <f>IF(AI$21="", "", VLOOKUP($AA27,'4. FPSource Set Up'!$C$96:$H$117, 4, FALSE))</f>
        <v/>
      </c>
      <c r="AJ27" s="1096" t="str">
        <f>IF(AJ$21="", "", VLOOKUP($AA27,'4. FPSource Set Up'!$C$96:$H$117, 4, FALSE))</f>
        <v/>
      </c>
      <c r="AK27" s="1096" t="str">
        <f>IF(AK$21="", "", VLOOKUP($AA27,'4. FPSource Set Up'!$C$96:$H$117, 4, FALSE))</f>
        <v/>
      </c>
      <c r="AL27" s="1096" t="str">
        <f>IF(AL$21="", "", VLOOKUP($AA27,'4. FPSource Set Up'!$C$96:$H$117, 4, FALSE))</f>
        <v/>
      </c>
      <c r="AM27" s="1096" t="str">
        <f>IF(AM$21="", "", VLOOKUP($AA27,'4. FPSource Set Up'!$C$96:$H$117, 4, FALSE))</f>
        <v/>
      </c>
      <c r="AN27" s="1096" t="str">
        <f>IF(AN$21="", "", VLOOKUP($AA27,'4. FPSource Set Up'!$C$96:$H$117, 4, FALSE))</f>
        <v/>
      </c>
      <c r="AO27" s="1096" t="str">
        <f>IF(AO$21="", "", VLOOKUP($AA27,'4. FPSource Set Up'!$C$96:$H$117, 4, FALSE))</f>
        <v/>
      </c>
      <c r="AP27" s="1096" t="str">
        <f>IF(AP$21="", "", VLOOKUP($AA27,'4. FPSource Set Up'!$C$96:$H$117, 4, FALSE))</f>
        <v/>
      </c>
      <c r="AQ27" s="1097" t="str">
        <f>IF(AQ$21="", "", VLOOKUP($AA27,'4. FPSource Set Up'!$C$96:$H$117, 4, FALSE))</f>
        <v/>
      </c>
      <c r="BA27" s="416" t="s">
        <v>9</v>
      </c>
      <c r="BC27" s="184" t="s">
        <v>835</v>
      </c>
      <c r="BJ27" s="676" t="str">
        <f t="shared" si="14"/>
        <v>Implant de 3 ans (Implanon, Levoplant)</v>
      </c>
      <c r="BK27" s="664" t="str">
        <f t="shared" si="15"/>
        <v/>
      </c>
      <c r="BL27" s="665" t="str">
        <f t="shared" si="16"/>
        <v/>
      </c>
      <c r="BM27" s="664" t="str">
        <f t="shared" si="17"/>
        <v/>
      </c>
      <c r="BN27" s="664" t="str">
        <f t="shared" si="18"/>
        <v/>
      </c>
      <c r="BO27" s="664" t="str">
        <f t="shared" si="19"/>
        <v/>
      </c>
      <c r="BP27" s="664" t="str">
        <f t="shared" si="20"/>
        <v/>
      </c>
      <c r="BQ27" s="664" t="str">
        <f t="shared" si="21"/>
        <v/>
      </c>
      <c r="BR27" s="664" t="str">
        <f t="shared" si="22"/>
        <v/>
      </c>
      <c r="BS27" s="664" t="str">
        <f t="shared" si="23"/>
        <v/>
      </c>
      <c r="BT27" s="664" t="str">
        <f t="shared" si="24"/>
        <v/>
      </c>
      <c r="BU27" s="664" t="str">
        <f t="shared" si="25"/>
        <v/>
      </c>
      <c r="BV27" s="664" t="str">
        <f t="shared" si="26"/>
        <v/>
      </c>
      <c r="BW27" s="664" t="str">
        <f t="shared" si="27"/>
        <v/>
      </c>
      <c r="BX27" s="664" t="str">
        <f t="shared" si="28"/>
        <v/>
      </c>
      <c r="BY27" s="664" t="str">
        <f t="shared" si="28"/>
        <v/>
      </c>
      <c r="BZ27" s="664" t="str">
        <f t="shared" si="28"/>
        <v/>
      </c>
      <c r="CB27" s="676" t="str">
        <f t="shared" si="29"/>
        <v>Implant de 3 ans (Implanon, Levoplant)</v>
      </c>
      <c r="CC27" s="664" t="str">
        <f t="shared" si="30"/>
        <v/>
      </c>
      <c r="CD27" s="665" t="str">
        <f t="shared" si="31"/>
        <v/>
      </c>
      <c r="CE27" s="664" t="str">
        <f t="shared" si="32"/>
        <v/>
      </c>
      <c r="CF27" s="664" t="str">
        <f t="shared" si="33"/>
        <v/>
      </c>
      <c r="CG27" s="664" t="str">
        <f t="shared" si="34"/>
        <v/>
      </c>
      <c r="CH27" s="664" t="str">
        <f t="shared" si="35"/>
        <v/>
      </c>
      <c r="CI27" s="664" t="str">
        <f t="shared" si="36"/>
        <v/>
      </c>
      <c r="CJ27" s="664" t="str">
        <f t="shared" si="37"/>
        <v/>
      </c>
      <c r="CK27" s="664" t="str">
        <f t="shared" si="38"/>
        <v/>
      </c>
      <c r="CL27" s="664" t="str">
        <f t="shared" si="39"/>
        <v/>
      </c>
      <c r="CM27" s="664" t="str">
        <f t="shared" si="40"/>
        <v/>
      </c>
      <c r="CN27" s="664" t="str">
        <f t="shared" si="41"/>
        <v/>
      </c>
      <c r="CO27" s="664" t="str">
        <f t="shared" si="42"/>
        <v/>
      </c>
      <c r="CP27" s="664" t="str">
        <f t="shared" si="43"/>
        <v/>
      </c>
      <c r="CQ27" s="664" t="str">
        <f t="shared" si="44"/>
        <v/>
      </c>
      <c r="CR27" s="664" t="str">
        <f t="shared" si="45"/>
        <v/>
      </c>
      <c r="CS27">
        <f>'3. ServiceStats Set Up'!H53</f>
        <v>1</v>
      </c>
      <c r="CT27" s="676" t="str">
        <f t="shared" si="46"/>
        <v>Implant de 3 ans (Implanon, Levoplant)</v>
      </c>
      <c r="CU27" s="664">
        <f>IFERROR(($G27*SUM(DO27:$EC27)*$CS27), "")</f>
        <v>0</v>
      </c>
      <c r="CV27" s="664">
        <f>IFERROR(($G27*SUM(DP27:$EC27)*$CS27), "")</f>
        <v>0</v>
      </c>
      <c r="CW27" s="664">
        <f>IFERROR(($G27*SUM(DQ27:$EC27)*$CS27), "")</f>
        <v>0</v>
      </c>
      <c r="CX27" s="664">
        <f>IFERROR(($G27*SUM(DR27:$EC27)*$CS27), "")</f>
        <v>0</v>
      </c>
      <c r="CY27" s="664">
        <f>IFERROR(($G27*SUM(DS27:$EC27)*$CS27), "")</f>
        <v>0</v>
      </c>
      <c r="CZ27" s="664">
        <f>IFERROR(($G27*SUM(DT27:$EC27)*$CS27), "")</f>
        <v>0</v>
      </c>
      <c r="DA27" s="664">
        <f>IFERROR(($G27*SUM(DU27:$EC27)*$CS27), "")</f>
        <v>0</v>
      </c>
      <c r="DB27" s="664">
        <f>IFERROR(($G27*SUM(DV27:$EC27)*$CS27), "")</f>
        <v>0</v>
      </c>
      <c r="DC27" s="664">
        <f>IFERROR(($G27*SUM(DW27:$EC27)*$CS27), "")</f>
        <v>0</v>
      </c>
      <c r="DD27" s="664">
        <f>IFERROR(($G27*SUM(DX27:$EC27)*$CS27), "")</f>
        <v>0</v>
      </c>
      <c r="DE27" s="664">
        <f>IFERROR(($G27*SUM(DY27:$EC27)*$CS27), "")</f>
        <v>0</v>
      </c>
      <c r="DF27" s="664">
        <f>IFERROR(($G27*SUM(DZ27:$EC27)*$CS27), "")</f>
        <v>0</v>
      </c>
      <c r="DG27" s="664">
        <f>IFERROR(($G27*SUM(EA27:$EC27)*$CS27), "")</f>
        <v>0</v>
      </c>
      <c r="DH27" s="664">
        <f>IFERROR(($G27*SUM(EB27:$EC27)*$CS27), "")</f>
        <v>0</v>
      </c>
      <c r="DI27" s="664">
        <f>IFERROR(($G27*SUM(EC27:$EC27)*$CS27), "")</f>
        <v>0</v>
      </c>
      <c r="DJ27" s="664"/>
      <c r="DL27" s="1486" t="s">
        <v>3</v>
      </c>
      <c r="DM27" s="389" t="str">
        <f t="shared" si="47"/>
        <v>Implant de 3 ans (Implanon, Levoplant)</v>
      </c>
      <c r="DN27" s="349">
        <f t="shared" ref="DN27:DW27" si="50">IFERROR(AVERAGE(DN8:DO8)*$EE27,0)</f>
        <v>0.94546756633963991</v>
      </c>
      <c r="DO27" s="349">
        <f t="shared" si="50"/>
        <v>0.84235027166076293</v>
      </c>
      <c r="DP27" s="349">
        <f t="shared" si="50"/>
        <v>0.7504794510445093</v>
      </c>
      <c r="DQ27" s="349">
        <f t="shared" si="50"/>
        <v>0.35359674572338629</v>
      </c>
      <c r="DR27" s="349">
        <f t="shared" si="50"/>
        <v>0</v>
      </c>
      <c r="DS27" s="349">
        <f t="shared" si="50"/>
        <v>0</v>
      </c>
      <c r="DT27" s="349">
        <f t="shared" si="50"/>
        <v>0</v>
      </c>
      <c r="DU27" s="349">
        <f t="shared" si="50"/>
        <v>0</v>
      </c>
      <c r="DV27" s="349">
        <f t="shared" si="50"/>
        <v>0</v>
      </c>
      <c r="DW27" s="349">
        <f t="shared" si="50"/>
        <v>0</v>
      </c>
      <c r="DX27" s="349">
        <v>0</v>
      </c>
      <c r="DY27" s="349">
        <v>0</v>
      </c>
      <c r="DZ27" s="349">
        <v>0</v>
      </c>
      <c r="EA27" s="349">
        <v>0</v>
      </c>
      <c r="EB27" s="349">
        <v>0</v>
      </c>
      <c r="EC27" s="349">
        <v>0</v>
      </c>
      <c r="ED27" s="407">
        <v>2.5</v>
      </c>
      <c r="EE27" s="395">
        <f t="shared" si="11"/>
        <v>1</v>
      </c>
    </row>
    <row r="28" spans="2:136" ht="17.25" customHeight="1" x14ac:dyDescent="0.25">
      <c r="B28" s="1482"/>
      <c r="C28" s="277" t="str">
        <f>IF(Language="English", 'Language Look Ups'!$P$11,IF(Language="Francais", 'Language Look Ups'!$T$11, 'Language Look Ups'!$R$11))</f>
        <v>Implant de 4 ans (Sino-Implant)</v>
      </c>
      <c r="D28" s="278">
        <v>3.2</v>
      </c>
      <c r="E28" s="101">
        <f t="shared" si="12"/>
        <v>3.2</v>
      </c>
      <c r="F28" s="102" t="str">
        <f t="shared" si="8"/>
        <v>années de protection</v>
      </c>
      <c r="G28" s="282"/>
      <c r="H28" s="282"/>
      <c r="I28" s="282"/>
      <c r="J28" s="282"/>
      <c r="K28" s="282"/>
      <c r="L28" s="282"/>
      <c r="M28" s="282"/>
      <c r="N28" s="282"/>
      <c r="O28" s="282"/>
      <c r="P28" s="282"/>
      <c r="Q28" s="282"/>
      <c r="R28" s="282"/>
      <c r="S28" s="282"/>
      <c r="T28" s="282"/>
      <c r="U28" s="282"/>
      <c r="V28" s="413"/>
      <c r="AA28" s="464" t="str">
        <f t="shared" si="13"/>
        <v>Implant de 4 ans (Sino-Implant)</v>
      </c>
      <c r="AB28" s="1101" t="str">
        <f>IF(AB$21="", "", VLOOKUP($AA28,'4. FPSource Set Up'!$C$96:$H$117, 4, FALSE))</f>
        <v>n/a</v>
      </c>
      <c r="AC28" s="1102" t="str">
        <f>IF(AC$21="", "", VLOOKUP($AA28,'4. FPSource Set Up'!$C$96:$H$117, 4, FALSE))</f>
        <v/>
      </c>
      <c r="AD28" s="1102" t="str">
        <f>IF(AD$21="", "", VLOOKUP($AA28,'4. FPSource Set Up'!$C$96:$H$117, 4, FALSE))</f>
        <v/>
      </c>
      <c r="AE28" s="1102" t="str">
        <f>IF(AE$21="", "", VLOOKUP($AA28,'4. FPSource Set Up'!$C$96:$H$117, 4, FALSE))</f>
        <v/>
      </c>
      <c r="AF28" s="1102" t="str">
        <f>IF(AF$21="", "", VLOOKUP($AA28,'4. FPSource Set Up'!$C$96:$H$117, 4, FALSE))</f>
        <v/>
      </c>
      <c r="AG28" s="1102" t="str">
        <f>IF(AG$21="", "", VLOOKUP($AA28,'4. FPSource Set Up'!$C$96:$H$117, 4, FALSE))</f>
        <v/>
      </c>
      <c r="AH28" s="1102" t="str">
        <f>IF(AH$21="", "", VLOOKUP($AA28,'4. FPSource Set Up'!$C$96:$H$117, 4, FALSE))</f>
        <v/>
      </c>
      <c r="AI28" s="1102" t="str">
        <f>IF(AI$21="", "", VLOOKUP($AA28,'4. FPSource Set Up'!$C$96:$H$117, 4, FALSE))</f>
        <v/>
      </c>
      <c r="AJ28" s="1102" t="str">
        <f>IF(AJ$21="", "", VLOOKUP($AA28,'4. FPSource Set Up'!$C$96:$H$117, 4, FALSE))</f>
        <v/>
      </c>
      <c r="AK28" s="1102" t="str">
        <f>IF(AK$21="", "", VLOOKUP($AA28,'4. FPSource Set Up'!$C$96:$H$117, 4, FALSE))</f>
        <v/>
      </c>
      <c r="AL28" s="1102" t="str">
        <f>IF(AL$21="", "", VLOOKUP($AA28,'4. FPSource Set Up'!$C$96:$H$117, 4, FALSE))</f>
        <v/>
      </c>
      <c r="AM28" s="1102" t="str">
        <f>IF(AM$21="", "", VLOOKUP($AA28,'4. FPSource Set Up'!$C$96:$H$117, 4, FALSE))</f>
        <v/>
      </c>
      <c r="AN28" s="1102" t="str">
        <f>IF(AN$21="", "", VLOOKUP($AA28,'4. FPSource Set Up'!$C$96:$H$117, 4, FALSE))</f>
        <v/>
      </c>
      <c r="AO28" s="1102" t="str">
        <f>IF(AO$21="", "", VLOOKUP($AA28,'4. FPSource Set Up'!$C$96:$H$117, 4, FALSE))</f>
        <v/>
      </c>
      <c r="AP28" s="1102" t="str">
        <f>IF(AP$21="", "", VLOOKUP($AA28,'4. FPSource Set Up'!$C$96:$H$117, 4, FALSE))</f>
        <v/>
      </c>
      <c r="AQ28" s="1103" t="str">
        <f>IF(AQ$21="", "", VLOOKUP($AA28,'4. FPSource Set Up'!$C$96:$H$117, 4, FALSE))</f>
        <v/>
      </c>
      <c r="BA28" s="102" t="s">
        <v>9</v>
      </c>
      <c r="BC28" s="184" t="s">
        <v>835</v>
      </c>
      <c r="BJ28" s="678" t="str">
        <f t="shared" si="14"/>
        <v>Implant de 4 ans (Sino-Implant)</v>
      </c>
      <c r="BK28" s="670" t="str">
        <f t="shared" si="15"/>
        <v/>
      </c>
      <c r="BL28" s="671" t="str">
        <f t="shared" si="16"/>
        <v/>
      </c>
      <c r="BM28" s="671" t="str">
        <f t="shared" si="17"/>
        <v/>
      </c>
      <c r="BN28" s="671" t="str">
        <f t="shared" si="18"/>
        <v/>
      </c>
      <c r="BO28" s="671" t="str">
        <f t="shared" si="19"/>
        <v/>
      </c>
      <c r="BP28" s="671" t="str">
        <f t="shared" si="20"/>
        <v/>
      </c>
      <c r="BQ28" s="671" t="str">
        <f t="shared" si="21"/>
        <v/>
      </c>
      <c r="BR28" s="671" t="str">
        <f t="shared" si="22"/>
        <v/>
      </c>
      <c r="BS28" s="671" t="str">
        <f t="shared" si="23"/>
        <v/>
      </c>
      <c r="BT28" s="671" t="str">
        <f t="shared" si="24"/>
        <v/>
      </c>
      <c r="BU28" s="671" t="str">
        <f t="shared" si="25"/>
        <v/>
      </c>
      <c r="BV28" s="671" t="str">
        <f t="shared" si="26"/>
        <v/>
      </c>
      <c r="BW28" s="671" t="str">
        <f t="shared" si="27"/>
        <v/>
      </c>
      <c r="BX28" s="671" t="str">
        <f t="shared" si="28"/>
        <v/>
      </c>
      <c r="BY28" s="671" t="str">
        <f t="shared" si="28"/>
        <v/>
      </c>
      <c r="BZ28" s="671" t="str">
        <f t="shared" si="28"/>
        <v/>
      </c>
      <c r="CB28" s="678" t="str">
        <f t="shared" si="29"/>
        <v>Implant de 4 ans (Sino-Implant)</v>
      </c>
      <c r="CC28" s="670" t="str">
        <f t="shared" si="30"/>
        <v/>
      </c>
      <c r="CD28" s="671" t="str">
        <f t="shared" si="31"/>
        <v/>
      </c>
      <c r="CE28" s="671" t="str">
        <f t="shared" si="32"/>
        <v/>
      </c>
      <c r="CF28" s="671" t="str">
        <f t="shared" si="33"/>
        <v/>
      </c>
      <c r="CG28" s="671" t="str">
        <f t="shared" si="34"/>
        <v/>
      </c>
      <c r="CH28" s="671" t="str">
        <f t="shared" si="35"/>
        <v/>
      </c>
      <c r="CI28" s="671" t="str">
        <f t="shared" si="36"/>
        <v/>
      </c>
      <c r="CJ28" s="671" t="str">
        <f t="shared" si="37"/>
        <v/>
      </c>
      <c r="CK28" s="671" t="str">
        <f t="shared" si="38"/>
        <v/>
      </c>
      <c r="CL28" s="671" t="str">
        <f t="shared" si="39"/>
        <v/>
      </c>
      <c r="CM28" s="671" t="str">
        <f t="shared" si="40"/>
        <v/>
      </c>
      <c r="CN28" s="671" t="str">
        <f t="shared" si="41"/>
        <v/>
      </c>
      <c r="CO28" s="671" t="str">
        <f t="shared" si="42"/>
        <v/>
      </c>
      <c r="CP28" s="671" t="str">
        <f t="shared" si="43"/>
        <v/>
      </c>
      <c r="CQ28" s="671" t="str">
        <f t="shared" si="44"/>
        <v/>
      </c>
      <c r="CR28" s="671" t="str">
        <f t="shared" si="45"/>
        <v/>
      </c>
      <c r="CS28">
        <f>'3. ServiceStats Set Up'!H54</f>
        <v>1</v>
      </c>
      <c r="CT28" s="678" t="str">
        <f t="shared" si="46"/>
        <v>Implant de 4 ans (Sino-Implant)</v>
      </c>
      <c r="CU28" s="670">
        <f>IFERROR(($G28*SUM(DO28:$EC28)*$CS28), "")</f>
        <v>0</v>
      </c>
      <c r="CV28" s="670">
        <f>IFERROR(($G28*SUM(DP28:$EC28)*$CS28), "")</f>
        <v>0</v>
      </c>
      <c r="CW28" s="670">
        <f>IFERROR(($G28*SUM(DQ28:$EC28)*$CS28), "")</f>
        <v>0</v>
      </c>
      <c r="CX28" s="670">
        <f>IFERROR(($G28*SUM(DR28:$EC28)*$CS28), "")</f>
        <v>0</v>
      </c>
      <c r="CY28" s="670">
        <f>IFERROR(($G28*SUM(DS28:$EC28)*$CS28), "")</f>
        <v>0</v>
      </c>
      <c r="CZ28" s="670">
        <f>IFERROR(($G28*SUM(DT28:$EC28)*$CS28), "")</f>
        <v>0</v>
      </c>
      <c r="DA28" s="670">
        <f>IFERROR(($G28*SUM(DU28:$EC28)*$CS28), "")</f>
        <v>0</v>
      </c>
      <c r="DB28" s="670">
        <f>IFERROR(($G28*SUM(DV28:$EC28)*$CS28), "")</f>
        <v>0</v>
      </c>
      <c r="DC28" s="670">
        <f>IFERROR(($G28*SUM(DW28:$EC28)*$CS28), "")</f>
        <v>0</v>
      </c>
      <c r="DD28" s="670">
        <f>IFERROR(($G28*SUM(DX28:$EC28)*$CS28), "")</f>
        <v>0</v>
      </c>
      <c r="DE28" s="670">
        <f>IFERROR(($G28*SUM(DY28:$EC28)*$CS28), "")</f>
        <v>0</v>
      </c>
      <c r="DF28" s="670">
        <f>IFERROR(($G28*SUM(DZ28:$EC28)*$CS28), "")</f>
        <v>0</v>
      </c>
      <c r="DG28" s="670">
        <f>IFERROR(($G28*SUM(EA28:$EC28)*$CS28), "")</f>
        <v>0</v>
      </c>
      <c r="DH28" s="670">
        <f>IFERROR(($G28*SUM(EB28:$EC28)*$CS28), "")</f>
        <v>0</v>
      </c>
      <c r="DI28" s="670">
        <f>IFERROR(($G28*SUM(EC28:$EC28)*$CS28), "")</f>
        <v>0</v>
      </c>
      <c r="DJ28" s="670"/>
      <c r="DL28" s="1487"/>
      <c r="DM28" s="389" t="str">
        <f t="shared" si="47"/>
        <v>Implant de 4 ans (Sino-Implant)</v>
      </c>
      <c r="DN28" s="349">
        <f t="shared" ref="DN28:DW28" si="51">IFERROR(AVERAGE(DN9:DO9)*$EE28,0)</f>
        <v>0.94546756633963991</v>
      </c>
      <c r="DO28" s="349">
        <f t="shared" si="51"/>
        <v>0.84235027166076293</v>
      </c>
      <c r="DP28" s="349">
        <f t="shared" si="51"/>
        <v>0.7504794510445093</v>
      </c>
      <c r="DQ28" s="349">
        <f t="shared" si="51"/>
        <v>0.66862850928941309</v>
      </c>
      <c r="DR28" s="349">
        <f t="shared" si="51"/>
        <v>0.31503176356602675</v>
      </c>
      <c r="DS28" s="349">
        <f t="shared" si="51"/>
        <v>0</v>
      </c>
      <c r="DT28" s="349">
        <f t="shared" si="51"/>
        <v>0</v>
      </c>
      <c r="DU28" s="349">
        <f t="shared" si="51"/>
        <v>0</v>
      </c>
      <c r="DV28" s="349">
        <f t="shared" si="51"/>
        <v>0</v>
      </c>
      <c r="DW28" s="349">
        <f t="shared" si="51"/>
        <v>0</v>
      </c>
      <c r="DX28" s="349">
        <v>0</v>
      </c>
      <c r="DY28" s="349">
        <v>0</v>
      </c>
      <c r="DZ28" s="349">
        <v>0</v>
      </c>
      <c r="EA28" s="349">
        <v>0</v>
      </c>
      <c r="EB28" s="349">
        <v>0</v>
      </c>
      <c r="EC28" s="349">
        <v>0</v>
      </c>
      <c r="ED28" s="278">
        <v>3.2</v>
      </c>
      <c r="EE28" s="395">
        <f t="shared" si="11"/>
        <v>1</v>
      </c>
    </row>
    <row r="29" spans="2:136" ht="17.25" customHeight="1" x14ac:dyDescent="0.25">
      <c r="B29" s="1481"/>
      <c r="C29" s="275" t="str">
        <f>IF(Language="English", 'Language Look Ups'!$P$12,IF(Language="Francais", 'Language Look Ups'!$T$12, 'Language Look Ups'!$R$12))</f>
        <v>Implant de 5 ans (Jadelle)</v>
      </c>
      <c r="D29" s="276">
        <v>3.8</v>
      </c>
      <c r="E29" s="99">
        <f t="shared" si="12"/>
        <v>3.8</v>
      </c>
      <c r="F29" s="100" t="str">
        <f t="shared" si="8"/>
        <v>années de protection</v>
      </c>
      <c r="G29" s="284"/>
      <c r="H29" s="284"/>
      <c r="I29" s="284"/>
      <c r="J29" s="284"/>
      <c r="K29" s="284"/>
      <c r="L29" s="284"/>
      <c r="M29" s="284"/>
      <c r="N29" s="284"/>
      <c r="O29" s="284"/>
      <c r="P29" s="284"/>
      <c r="Q29" s="284"/>
      <c r="R29" s="284"/>
      <c r="S29" s="284"/>
      <c r="T29" s="284"/>
      <c r="U29" s="284"/>
      <c r="V29" s="412"/>
      <c r="AA29" s="463" t="str">
        <f t="shared" si="13"/>
        <v>Implant de 5 ans (Jadelle)</v>
      </c>
      <c r="AB29" s="1098" t="str">
        <f>IF(AB$21="", "", VLOOKUP($AA29,'4. FPSource Set Up'!$C$96:$H$117, 4, FALSE))</f>
        <v>n/a</v>
      </c>
      <c r="AC29" s="1099" t="str">
        <f>IF(AC$21="", "", VLOOKUP($AA29,'4. FPSource Set Up'!$C$96:$H$117, 4, FALSE))</f>
        <v/>
      </c>
      <c r="AD29" s="1099" t="str">
        <f>IF(AD$21="", "", VLOOKUP($AA29,'4. FPSource Set Up'!$C$96:$H$117, 4, FALSE))</f>
        <v/>
      </c>
      <c r="AE29" s="1099" t="str">
        <f>IF(AE$21="", "", VLOOKUP($AA29,'4. FPSource Set Up'!$C$96:$H$117, 4, FALSE))</f>
        <v/>
      </c>
      <c r="AF29" s="1099" t="str">
        <f>IF(AF$21="", "", VLOOKUP($AA29,'4. FPSource Set Up'!$C$96:$H$117, 4, FALSE))</f>
        <v/>
      </c>
      <c r="AG29" s="1099" t="str">
        <f>IF(AG$21="", "", VLOOKUP($AA29,'4. FPSource Set Up'!$C$96:$H$117, 4, FALSE))</f>
        <v/>
      </c>
      <c r="AH29" s="1099" t="str">
        <f>IF(AH$21="", "", VLOOKUP($AA29,'4. FPSource Set Up'!$C$96:$H$117, 4, FALSE))</f>
        <v/>
      </c>
      <c r="AI29" s="1099" t="str">
        <f>IF(AI$21="", "", VLOOKUP($AA29,'4. FPSource Set Up'!$C$96:$H$117, 4, FALSE))</f>
        <v/>
      </c>
      <c r="AJ29" s="1099" t="str">
        <f>IF(AJ$21="", "", VLOOKUP($AA29,'4. FPSource Set Up'!$C$96:$H$117, 4, FALSE))</f>
        <v/>
      </c>
      <c r="AK29" s="1099" t="str">
        <f>IF(AK$21="", "", VLOOKUP($AA29,'4. FPSource Set Up'!$C$96:$H$117, 4, FALSE))</f>
        <v/>
      </c>
      <c r="AL29" s="1099" t="str">
        <f>IF(AL$21="", "", VLOOKUP($AA29,'4. FPSource Set Up'!$C$96:$H$117, 4, FALSE))</f>
        <v/>
      </c>
      <c r="AM29" s="1099" t="str">
        <f>IF(AM$21="", "", VLOOKUP($AA29,'4. FPSource Set Up'!$C$96:$H$117, 4, FALSE))</f>
        <v/>
      </c>
      <c r="AN29" s="1099" t="str">
        <f>IF(AN$21="", "", VLOOKUP($AA29,'4. FPSource Set Up'!$C$96:$H$117, 4, FALSE))</f>
        <v/>
      </c>
      <c r="AO29" s="1099" t="str">
        <f>IF(AO$21="", "", VLOOKUP($AA29,'4. FPSource Set Up'!$C$96:$H$117, 4, FALSE))</f>
        <v/>
      </c>
      <c r="AP29" s="1099" t="str">
        <f>IF(AP$21="", "", VLOOKUP($AA29,'4. FPSource Set Up'!$C$96:$H$117, 4, FALSE))</f>
        <v/>
      </c>
      <c r="AQ29" s="1100" t="str">
        <f>IF(AQ$21="", "", VLOOKUP($AA29,'4. FPSource Set Up'!$C$96:$H$117, 4, FALSE))</f>
        <v/>
      </c>
      <c r="BA29" s="100" t="s">
        <v>9</v>
      </c>
      <c r="BC29" s="184" t="s">
        <v>835</v>
      </c>
      <c r="BJ29" s="677" t="str">
        <f t="shared" si="14"/>
        <v>Implant de 5 ans (Jadelle)</v>
      </c>
      <c r="BK29" s="667" t="str">
        <f t="shared" si="15"/>
        <v/>
      </c>
      <c r="BL29" s="668" t="str">
        <f t="shared" si="16"/>
        <v/>
      </c>
      <c r="BM29" s="667" t="str">
        <f t="shared" si="17"/>
        <v/>
      </c>
      <c r="BN29" s="667" t="str">
        <f t="shared" si="18"/>
        <v/>
      </c>
      <c r="BO29" s="667" t="str">
        <f t="shared" si="19"/>
        <v/>
      </c>
      <c r="BP29" s="667" t="str">
        <f t="shared" si="20"/>
        <v/>
      </c>
      <c r="BQ29" s="667" t="str">
        <f t="shared" si="21"/>
        <v/>
      </c>
      <c r="BR29" s="667" t="str">
        <f t="shared" si="22"/>
        <v/>
      </c>
      <c r="BS29" s="667" t="str">
        <f t="shared" si="23"/>
        <v/>
      </c>
      <c r="BT29" s="667" t="str">
        <f t="shared" si="24"/>
        <v/>
      </c>
      <c r="BU29" s="667" t="str">
        <f t="shared" si="25"/>
        <v/>
      </c>
      <c r="BV29" s="667" t="str">
        <f t="shared" si="26"/>
        <v/>
      </c>
      <c r="BW29" s="667" t="str">
        <f t="shared" si="27"/>
        <v/>
      </c>
      <c r="BX29" s="667" t="str">
        <f t="shared" si="28"/>
        <v/>
      </c>
      <c r="BY29" s="667" t="str">
        <f t="shared" si="28"/>
        <v/>
      </c>
      <c r="BZ29" s="667" t="str">
        <f t="shared" si="28"/>
        <v/>
      </c>
      <c r="CB29" s="677" t="str">
        <f t="shared" si="29"/>
        <v>Implant de 5 ans (Jadelle)</v>
      </c>
      <c r="CC29" s="667" t="str">
        <f t="shared" si="30"/>
        <v/>
      </c>
      <c r="CD29" s="668" t="str">
        <f t="shared" si="31"/>
        <v/>
      </c>
      <c r="CE29" s="667" t="str">
        <f t="shared" si="32"/>
        <v/>
      </c>
      <c r="CF29" s="667" t="str">
        <f t="shared" si="33"/>
        <v/>
      </c>
      <c r="CG29" s="667" t="str">
        <f t="shared" si="34"/>
        <v/>
      </c>
      <c r="CH29" s="667" t="str">
        <f t="shared" si="35"/>
        <v/>
      </c>
      <c r="CI29" s="667" t="str">
        <f t="shared" si="36"/>
        <v/>
      </c>
      <c r="CJ29" s="667" t="str">
        <f t="shared" si="37"/>
        <v/>
      </c>
      <c r="CK29" s="667" t="str">
        <f t="shared" si="38"/>
        <v/>
      </c>
      <c r="CL29" s="667" t="str">
        <f t="shared" si="39"/>
        <v/>
      </c>
      <c r="CM29" s="667" t="str">
        <f t="shared" si="40"/>
        <v/>
      </c>
      <c r="CN29" s="667" t="str">
        <f t="shared" si="41"/>
        <v/>
      </c>
      <c r="CO29" s="667" t="str">
        <f t="shared" si="42"/>
        <v/>
      </c>
      <c r="CP29" s="667" t="str">
        <f t="shared" si="43"/>
        <v/>
      </c>
      <c r="CQ29" s="667" t="str">
        <f t="shared" si="44"/>
        <v/>
      </c>
      <c r="CR29" s="667" t="str">
        <f t="shared" si="45"/>
        <v/>
      </c>
      <c r="CS29">
        <f>'3. ServiceStats Set Up'!H55</f>
        <v>1</v>
      </c>
      <c r="CT29" s="677" t="str">
        <f t="shared" si="46"/>
        <v>Implant de 5 ans (Jadelle)</v>
      </c>
      <c r="CU29" s="667">
        <f>IFERROR(($G29*SUM(DO29:$EC29)*$CS29), "")</f>
        <v>0</v>
      </c>
      <c r="CV29" s="667">
        <f>IFERROR(($G29*SUM(DP29:$EC29)*$CS29), "")</f>
        <v>0</v>
      </c>
      <c r="CW29" s="667">
        <f>IFERROR(($G29*SUM(DQ29:$EC29)*$CS29), "")</f>
        <v>0</v>
      </c>
      <c r="CX29" s="667">
        <f>IFERROR(($G29*SUM(DR29:$EC29)*$CS29), "")</f>
        <v>0</v>
      </c>
      <c r="CY29" s="667">
        <f>IFERROR(($G29*SUM(DS29:$EC29)*$CS29), "")</f>
        <v>0</v>
      </c>
      <c r="CZ29" s="667">
        <f>IFERROR(($G29*SUM(DT29:$EC29)*$CS29), "")</f>
        <v>0</v>
      </c>
      <c r="DA29" s="667">
        <f>IFERROR(($G29*SUM(DU29:$EC29)*$CS29), "")</f>
        <v>0</v>
      </c>
      <c r="DB29" s="667">
        <f>IFERROR(($G29*SUM(DV29:$EC29)*$CS29), "")</f>
        <v>0</v>
      </c>
      <c r="DC29" s="667">
        <f>IFERROR(($G29*SUM(DW29:$EC29)*$CS29), "")</f>
        <v>0</v>
      </c>
      <c r="DD29" s="667">
        <f>IFERROR(($G29*SUM(DX29:$EC29)*$CS29), "")</f>
        <v>0</v>
      </c>
      <c r="DE29" s="667">
        <f>IFERROR(($G29*SUM(DY29:$EC29)*$CS29), "")</f>
        <v>0</v>
      </c>
      <c r="DF29" s="667">
        <f>IFERROR(($G29*SUM(DZ29:$EC29)*$CS29), "")</f>
        <v>0</v>
      </c>
      <c r="DG29" s="667">
        <f>IFERROR(($G29*SUM(EA29:$EC29)*$CS29), "")</f>
        <v>0</v>
      </c>
      <c r="DH29" s="667">
        <f>IFERROR(($G29*SUM(EB29:$EC29)*$CS29), "")</f>
        <v>0</v>
      </c>
      <c r="DI29" s="667">
        <f>IFERROR(($G29*SUM(EC29:$EC29)*$CS29), "")</f>
        <v>0</v>
      </c>
      <c r="DJ29" s="667"/>
      <c r="DL29" s="1488"/>
      <c r="DM29" s="389" t="str">
        <f t="shared" si="47"/>
        <v>Implant de 5 ans (Jadelle)</v>
      </c>
      <c r="DN29" s="349">
        <f t="shared" ref="DN29:DW29" si="52">IFERROR(AVERAGE(DN10:DO10)*$EE29,0)</f>
        <v>0.94546756633963991</v>
      </c>
      <c r="DO29" s="349">
        <f t="shared" si="52"/>
        <v>0.84235027166076293</v>
      </c>
      <c r="DP29" s="349">
        <f t="shared" si="52"/>
        <v>0.7504794510445093</v>
      </c>
      <c r="DQ29" s="349">
        <f t="shared" si="52"/>
        <v>0.66862850928941309</v>
      </c>
      <c r="DR29" s="349">
        <f t="shared" si="52"/>
        <v>0.59570462963691229</v>
      </c>
      <c r="DS29" s="349">
        <f t="shared" si="52"/>
        <v>0.28067286607088554</v>
      </c>
      <c r="DT29" s="349">
        <f t="shared" si="52"/>
        <v>0</v>
      </c>
      <c r="DU29" s="349">
        <f t="shared" si="52"/>
        <v>0</v>
      </c>
      <c r="DV29" s="349">
        <f t="shared" si="52"/>
        <v>0</v>
      </c>
      <c r="DW29" s="349">
        <f t="shared" si="52"/>
        <v>0</v>
      </c>
      <c r="DX29" s="349">
        <v>0</v>
      </c>
      <c r="DY29" s="349">
        <v>0</v>
      </c>
      <c r="DZ29" s="349">
        <v>0</v>
      </c>
      <c r="EA29" s="349">
        <v>0</v>
      </c>
      <c r="EB29" s="349">
        <v>0</v>
      </c>
      <c r="EC29" s="349">
        <v>0</v>
      </c>
      <c r="ED29" s="276">
        <v>3.8</v>
      </c>
      <c r="EE29" s="395">
        <f t="shared" si="11"/>
        <v>1</v>
      </c>
    </row>
    <row r="30" spans="2:136" ht="6" customHeight="1" x14ac:dyDescent="0.25">
      <c r="B30" s="150"/>
      <c r="C30" s="279"/>
      <c r="G30" s="2"/>
      <c r="H30" s="2"/>
      <c r="I30" s="2"/>
      <c r="J30" s="2"/>
      <c r="K30" s="2"/>
      <c r="L30" s="2"/>
      <c r="M30" s="2"/>
      <c r="N30" s="2"/>
      <c r="O30" s="2"/>
      <c r="P30" s="2"/>
      <c r="Q30" s="2"/>
      <c r="R30" s="2"/>
      <c r="S30" s="2"/>
      <c r="T30" s="2"/>
      <c r="U30" s="2"/>
      <c r="V30" s="301"/>
      <c r="AA30" s="150"/>
      <c r="AB30" s="1104"/>
      <c r="AC30" s="1105"/>
      <c r="AD30" s="1105"/>
      <c r="AE30" s="1105"/>
      <c r="AF30" s="1105"/>
      <c r="AG30" s="1105"/>
      <c r="AH30" s="1105"/>
      <c r="AI30" s="1105"/>
      <c r="AJ30" s="1105"/>
      <c r="AK30" s="1105"/>
      <c r="AL30" s="1105"/>
      <c r="AM30" s="1105"/>
      <c r="AN30" s="1105"/>
      <c r="AO30" s="1105"/>
      <c r="AP30" s="1105"/>
      <c r="AQ30" s="1106"/>
      <c r="BK30" s="2"/>
      <c r="BL30" s="2"/>
      <c r="BM30" s="2"/>
      <c r="BN30" s="2"/>
      <c r="BO30" s="2"/>
      <c r="BP30" s="2"/>
      <c r="BQ30" s="2"/>
      <c r="BR30" s="2"/>
      <c r="BS30" s="2"/>
      <c r="BT30" s="2"/>
      <c r="BU30" s="2"/>
      <c r="BV30" s="2"/>
      <c r="BW30" s="2"/>
      <c r="BX30" s="2"/>
      <c r="BY30" s="2"/>
      <c r="BZ30" s="2"/>
      <c r="CB30" s="150"/>
      <c r="CC30" s="2"/>
      <c r="CD30" s="2"/>
      <c r="CE30" s="2"/>
      <c r="CF30" s="2"/>
      <c r="CG30" s="2"/>
      <c r="CH30" s="2"/>
      <c r="CI30" s="2"/>
      <c r="CJ30" s="2"/>
      <c r="CK30" s="2"/>
      <c r="CL30" s="2"/>
      <c r="CM30" s="2"/>
      <c r="CN30" s="2"/>
      <c r="CO30" s="2"/>
      <c r="CP30" s="2"/>
      <c r="CQ30" s="2"/>
      <c r="CR30" s="301"/>
      <c r="CT30" s="150"/>
      <c r="CU30" s="2"/>
      <c r="CV30" s="2"/>
      <c r="CW30" s="2"/>
      <c r="CX30" s="2"/>
      <c r="CY30" s="2"/>
      <c r="CZ30" s="2"/>
      <c r="DA30" s="2"/>
      <c r="DB30" s="2"/>
      <c r="DC30" s="2"/>
      <c r="DD30" s="2"/>
      <c r="DE30" s="2"/>
      <c r="DF30" s="2"/>
      <c r="DG30" s="2"/>
      <c r="DH30" s="2"/>
      <c r="DI30" s="2"/>
      <c r="DJ30" s="301"/>
    </row>
    <row r="31" spans="2:136" ht="16.5" customHeight="1" x14ac:dyDescent="0.25">
      <c r="B31" s="364" t="str">
        <f>IF(Language="English", 'Language Look Ups'!$O$14,IF(Language="Francais", 'Language Look Ups'!$S$14, 'Language Look Ups'!$Q$14))</f>
        <v>Méthodes à Court Terme</v>
      </c>
      <c r="C31" s="104"/>
      <c r="D31" s="51"/>
      <c r="E31" s="50"/>
      <c r="F31" s="42"/>
      <c r="G31" s="299"/>
      <c r="H31" s="300"/>
      <c r="I31" s="299"/>
      <c r="J31" s="300"/>
      <c r="K31" s="299"/>
      <c r="L31" s="300"/>
      <c r="M31" s="299"/>
      <c r="N31" s="300"/>
      <c r="O31" s="299"/>
      <c r="P31" s="300"/>
      <c r="Q31" s="299"/>
      <c r="R31" s="300"/>
      <c r="S31" s="299"/>
      <c r="T31" s="300"/>
      <c r="U31" s="299"/>
      <c r="V31" s="414"/>
      <c r="AA31" s="460" t="str">
        <f>B31</f>
        <v>Méthodes à Court Terme</v>
      </c>
      <c r="AB31" s="1107"/>
      <c r="AC31" s="1108"/>
      <c r="AD31" s="1108"/>
      <c r="AE31" s="1108"/>
      <c r="AF31" s="1108"/>
      <c r="AG31" s="1108"/>
      <c r="AH31" s="1108"/>
      <c r="AI31" s="1108"/>
      <c r="AJ31" s="1108"/>
      <c r="AK31" s="1108"/>
      <c r="AL31" s="1108"/>
      <c r="AM31" s="1108"/>
      <c r="AN31" s="1108"/>
      <c r="AO31" s="1108"/>
      <c r="AP31" s="1108"/>
      <c r="AQ31" s="1109"/>
      <c r="BJ31" s="51"/>
      <c r="BK31" s="711"/>
      <c r="BL31" s="711"/>
      <c r="BM31" s="711"/>
      <c r="BN31" s="711"/>
      <c r="BO31" s="711"/>
      <c r="BP31" s="711"/>
      <c r="BQ31" s="711"/>
      <c r="BR31" s="711"/>
      <c r="BS31" s="711"/>
      <c r="BT31" s="711"/>
      <c r="BU31" s="711"/>
      <c r="BV31" s="711"/>
      <c r="BW31" s="711"/>
      <c r="BX31" s="711"/>
      <c r="BY31" s="711"/>
      <c r="BZ31" s="711"/>
      <c r="CB31" s="679"/>
      <c r="CC31" s="299"/>
      <c r="CD31" s="300"/>
      <c r="CE31" s="299"/>
      <c r="CF31" s="300"/>
      <c r="CG31" s="299"/>
      <c r="CH31" s="300"/>
      <c r="CI31" s="299"/>
      <c r="CJ31" s="300"/>
      <c r="CK31" s="299"/>
      <c r="CL31" s="300"/>
      <c r="CM31" s="299"/>
      <c r="CN31" s="300"/>
      <c r="CO31" s="299"/>
      <c r="CP31" s="300"/>
      <c r="CQ31" s="299"/>
      <c r="CR31" s="414"/>
      <c r="CT31" s="679"/>
      <c r="CU31" s="299"/>
      <c r="CV31" s="300"/>
      <c r="CW31" s="299"/>
      <c r="CX31" s="300"/>
      <c r="CY31" s="299"/>
      <c r="CZ31" s="300"/>
      <c r="DA31" s="299"/>
      <c r="DB31" s="300"/>
      <c r="DC31" s="299"/>
      <c r="DD31" s="300"/>
      <c r="DE31" s="299"/>
      <c r="DF31" s="300"/>
      <c r="DG31" s="299"/>
      <c r="DH31" s="300"/>
      <c r="DI31" s="299"/>
      <c r="DJ31" s="414"/>
    </row>
    <row r="32" spans="2:136" ht="17.25" customHeight="1" x14ac:dyDescent="0.25">
      <c r="B32" s="1491" t="str">
        <f>IF(Language="English", 'Language Look Ups'!$O$15,IF(Language="Francais", 'Language Look Ups'!$S$15, 'Language Look Ups'!Q$15))</f>
        <v>Produits injectables</v>
      </c>
      <c r="C32" s="363" t="str">
        <f>IF(Language="English", 'Language Look Ups'!$P$15,IF(Language="Francais", 'Language Look Ups'!$T$15, 'Language Look Ups'!$R$15))</f>
        <v>Depo Provera (DMPA)</v>
      </c>
      <c r="D32" s="407">
        <v>4</v>
      </c>
      <c r="E32" s="408">
        <f>1/D32</f>
        <v>0.25</v>
      </c>
      <c r="F32" s="416" t="str">
        <f t="shared" ref="F32:F46" si="53">IF(Language="English", BA32, BC32)</f>
        <v>par utilisateur par année</v>
      </c>
      <c r="G32" s="409"/>
      <c r="H32" s="409"/>
      <c r="I32" s="409"/>
      <c r="J32" s="409"/>
      <c r="K32" s="409"/>
      <c r="L32" s="409"/>
      <c r="M32" s="409"/>
      <c r="N32" s="409"/>
      <c r="O32" s="409"/>
      <c r="P32" s="410"/>
      <c r="Q32" s="409"/>
      <c r="R32" s="410"/>
      <c r="S32" s="409"/>
      <c r="T32" s="410"/>
      <c r="U32" s="409"/>
      <c r="V32" s="411"/>
      <c r="AA32" s="462" t="str">
        <f t="shared" ref="AA32:AA46" si="54">$C32</f>
        <v>Depo Provera (DMPA)</v>
      </c>
      <c r="AB32" s="1095" t="str">
        <f>IF(AB$21="", "", VLOOKUP($AA32,'4. FPSource Set Up'!$C$96:$H$117, 4, FALSE))</f>
        <v>n/a</v>
      </c>
      <c r="AC32" s="1096" t="str">
        <f>IF(AC$21="", "", VLOOKUP($AA32,'4. FPSource Set Up'!$C$96:$H$117, 4, FALSE))</f>
        <v/>
      </c>
      <c r="AD32" s="1096" t="str">
        <f>IF(AD$21="", "", VLOOKUP($AA32,'4. FPSource Set Up'!$C$96:$H$117, 4, FALSE))</f>
        <v/>
      </c>
      <c r="AE32" s="1096" t="str">
        <f>IF(AE$21="", "", VLOOKUP($AA32,'4. FPSource Set Up'!$C$96:$H$117, 4, FALSE))</f>
        <v/>
      </c>
      <c r="AF32" s="1096" t="str">
        <f>IF(AF$21="", "", VLOOKUP($AA32,'4. FPSource Set Up'!$C$96:$H$117, 4, FALSE))</f>
        <v/>
      </c>
      <c r="AG32" s="1096" t="str">
        <f>IF(AG$21="", "", VLOOKUP($AA32,'4. FPSource Set Up'!$C$96:$H$117, 4, FALSE))</f>
        <v/>
      </c>
      <c r="AH32" s="1096" t="str">
        <f>IF(AH$21="", "", VLOOKUP($AA32,'4. FPSource Set Up'!$C$96:$H$117, 4, FALSE))</f>
        <v/>
      </c>
      <c r="AI32" s="1096" t="str">
        <f>IF(AI$21="", "", VLOOKUP($AA32,'4. FPSource Set Up'!$C$96:$H$117, 4, FALSE))</f>
        <v/>
      </c>
      <c r="AJ32" s="1096" t="str">
        <f>IF(AJ$21="", "", VLOOKUP($AA32,'4. FPSource Set Up'!$C$96:$H$117, 4, FALSE))</f>
        <v/>
      </c>
      <c r="AK32" s="1096" t="str">
        <f>IF(AK$21="", "", VLOOKUP($AA32,'4. FPSource Set Up'!$C$96:$H$117, 4, FALSE))</f>
        <v/>
      </c>
      <c r="AL32" s="1096" t="str">
        <f>IF(AL$21="", "", VLOOKUP($AA32,'4. FPSource Set Up'!$C$96:$H$117, 4, FALSE))</f>
        <v/>
      </c>
      <c r="AM32" s="1096" t="str">
        <f>IF(AM$21="", "", VLOOKUP($AA32,'4. FPSource Set Up'!$C$96:$H$117, 4, FALSE))</f>
        <v/>
      </c>
      <c r="AN32" s="1096" t="str">
        <f>IF(AN$21="", "", VLOOKUP($AA32,'4. FPSource Set Up'!$C$96:$H$117, 4, FALSE))</f>
        <v/>
      </c>
      <c r="AO32" s="1096" t="str">
        <f>IF(AO$21="", "", VLOOKUP($AA32,'4. FPSource Set Up'!$C$96:$H$117, 4, FALSE))</f>
        <v/>
      </c>
      <c r="AP32" s="1096" t="str">
        <f>IF(AP$21="", "", VLOOKUP($AA32,'4. FPSource Set Up'!$C$96:$H$117, 4, FALSE))</f>
        <v/>
      </c>
      <c r="AQ32" s="1097" t="str">
        <f>IF(AQ$21="", "", VLOOKUP($AA32,'4. FPSource Set Up'!$C$96:$H$117, 4, FALSE))</f>
        <v/>
      </c>
      <c r="BA32" s="416" t="s">
        <v>83</v>
      </c>
      <c r="BC32" s="184" t="s">
        <v>836</v>
      </c>
      <c r="BJ32" s="676" t="str">
        <f t="shared" si="14"/>
        <v>Depo Provera (DMPA)</v>
      </c>
      <c r="BK32" s="664" t="str">
        <f>IF(BK$21="", "", IF(BK$10&lt;60%, "", G32*$E32))</f>
        <v/>
      </c>
      <c r="BL32" s="664" t="str">
        <f t="shared" ref="BL32:BZ46" si="55">IF(BL$21="", "", IF(BL$10&lt;60%, "", H32*$E32))</f>
        <v/>
      </c>
      <c r="BM32" s="664" t="str">
        <f t="shared" si="55"/>
        <v/>
      </c>
      <c r="BN32" s="664" t="str">
        <f t="shared" si="55"/>
        <v/>
      </c>
      <c r="BO32" s="664" t="str">
        <f t="shared" si="55"/>
        <v/>
      </c>
      <c r="BP32" s="664" t="str">
        <f t="shared" si="55"/>
        <v/>
      </c>
      <c r="BQ32" s="664" t="str">
        <f t="shared" si="55"/>
        <v/>
      </c>
      <c r="BR32" s="664" t="str">
        <f t="shared" si="55"/>
        <v/>
      </c>
      <c r="BS32" s="664" t="str">
        <f t="shared" si="55"/>
        <v/>
      </c>
      <c r="BT32" s="664" t="str">
        <f t="shared" si="55"/>
        <v/>
      </c>
      <c r="BU32" s="664" t="str">
        <f t="shared" si="55"/>
        <v/>
      </c>
      <c r="BV32" s="664" t="str">
        <f t="shared" si="55"/>
        <v/>
      </c>
      <c r="BW32" s="664" t="str">
        <f t="shared" si="55"/>
        <v/>
      </c>
      <c r="BX32" s="664" t="str">
        <f t="shared" si="55"/>
        <v/>
      </c>
      <c r="BY32" s="664" t="str">
        <f t="shared" si="55"/>
        <v/>
      </c>
      <c r="BZ32" s="664" t="str">
        <f t="shared" si="55"/>
        <v/>
      </c>
      <c r="CB32" s="676" t="str">
        <f t="shared" si="29"/>
        <v>Depo Provera (DMPA)</v>
      </c>
      <c r="CC32" s="664" t="str">
        <f t="shared" ref="CC32:CR32" si="56">IF(CC$21="", "", IF(BK32="", "", BK32*AB32))</f>
        <v/>
      </c>
      <c r="CD32" s="664" t="str">
        <f t="shared" si="56"/>
        <v/>
      </c>
      <c r="CE32" s="664" t="str">
        <f t="shared" si="56"/>
        <v/>
      </c>
      <c r="CF32" s="664" t="str">
        <f t="shared" si="56"/>
        <v/>
      </c>
      <c r="CG32" s="664" t="str">
        <f t="shared" si="56"/>
        <v/>
      </c>
      <c r="CH32" s="664" t="str">
        <f t="shared" si="56"/>
        <v/>
      </c>
      <c r="CI32" s="664" t="str">
        <f t="shared" si="56"/>
        <v/>
      </c>
      <c r="CJ32" s="664" t="str">
        <f t="shared" si="56"/>
        <v/>
      </c>
      <c r="CK32" s="664" t="str">
        <f t="shared" si="56"/>
        <v/>
      </c>
      <c r="CL32" s="664" t="str">
        <f t="shared" si="56"/>
        <v/>
      </c>
      <c r="CM32" s="664" t="str">
        <f t="shared" si="56"/>
        <v/>
      </c>
      <c r="CN32" s="664" t="str">
        <f t="shared" si="56"/>
        <v/>
      </c>
      <c r="CO32" s="664" t="str">
        <f t="shared" si="56"/>
        <v/>
      </c>
      <c r="CP32" s="664" t="str">
        <f t="shared" si="56"/>
        <v/>
      </c>
      <c r="CQ32" s="664" t="str">
        <f t="shared" si="56"/>
        <v/>
      </c>
      <c r="CR32" s="664" t="str">
        <f t="shared" si="56"/>
        <v/>
      </c>
      <c r="CT32" s="768" t="str">
        <f t="shared" si="46"/>
        <v>Depo Provera (DMPA)</v>
      </c>
      <c r="CU32" s="769"/>
      <c r="CV32" s="769"/>
      <c r="CW32" s="769"/>
      <c r="CX32" s="769"/>
      <c r="CY32" s="769"/>
      <c r="CZ32" s="769"/>
      <c r="DA32" s="769"/>
      <c r="DB32" s="769"/>
      <c r="DC32" s="769"/>
      <c r="DD32" s="770"/>
      <c r="DE32" s="769"/>
      <c r="DF32" s="770"/>
      <c r="DG32" s="769"/>
      <c r="DH32" s="770"/>
      <c r="DI32" s="769"/>
      <c r="DJ32" s="771"/>
    </row>
    <row r="33" spans="2:114" ht="17.25" customHeight="1" x14ac:dyDescent="0.25">
      <c r="B33" s="1492"/>
      <c r="C33" s="277" t="str">
        <f>IF(Language="English", 'Language Look Ups'!$P$16,IF(Language="Francais", 'Language Look Ups'!$T$16, 'Language Look Ups'!$R$16))</f>
        <v>Noristerat (NET-En)</v>
      </c>
      <c r="D33" s="278">
        <v>6</v>
      </c>
      <c r="E33" s="101">
        <f t="shared" ref="E33:E46" si="57">1/D33</f>
        <v>0.16666666666666666</v>
      </c>
      <c r="F33" s="102" t="str">
        <f t="shared" si="53"/>
        <v>par utilisateur par année</v>
      </c>
      <c r="G33" s="282"/>
      <c r="H33" s="282"/>
      <c r="I33" s="282"/>
      <c r="J33" s="282"/>
      <c r="K33" s="282"/>
      <c r="L33" s="282"/>
      <c r="M33" s="282"/>
      <c r="N33" s="282"/>
      <c r="O33" s="282"/>
      <c r="P33" s="283"/>
      <c r="Q33" s="282"/>
      <c r="R33" s="283"/>
      <c r="S33" s="282"/>
      <c r="T33" s="282"/>
      <c r="U33" s="282"/>
      <c r="V33" s="413"/>
      <c r="AA33" s="464" t="str">
        <f t="shared" si="54"/>
        <v>Noristerat (NET-En)</v>
      </c>
      <c r="AB33" s="1110" t="str">
        <f>IF(AB$21="", "", VLOOKUP($AA33,'4. FPSource Set Up'!$C$96:$H$117, 4, FALSE))</f>
        <v>n/a</v>
      </c>
      <c r="AC33" s="1111" t="str">
        <f>IF(AC$21="", "", VLOOKUP($AA33,'4. FPSource Set Up'!$C$96:$H$117, 4, FALSE))</f>
        <v/>
      </c>
      <c r="AD33" s="1111" t="str">
        <f>IF(AD$21="", "", VLOOKUP($AA33,'4. FPSource Set Up'!$C$96:$H$117, 4, FALSE))</f>
        <v/>
      </c>
      <c r="AE33" s="1111" t="str">
        <f>IF(AE$21="", "", VLOOKUP($AA33,'4. FPSource Set Up'!$C$96:$H$117, 4, FALSE))</f>
        <v/>
      </c>
      <c r="AF33" s="1111" t="str">
        <f>IF(AF$21="", "", VLOOKUP($AA33,'4. FPSource Set Up'!$C$96:$H$117, 4, FALSE))</f>
        <v/>
      </c>
      <c r="AG33" s="1111" t="str">
        <f>IF(AG$21="", "", VLOOKUP($AA33,'4. FPSource Set Up'!$C$96:$H$117, 4, FALSE))</f>
        <v/>
      </c>
      <c r="AH33" s="1111" t="str">
        <f>IF(AH$21="", "", VLOOKUP($AA33,'4. FPSource Set Up'!$C$96:$H$117, 4, FALSE))</f>
        <v/>
      </c>
      <c r="AI33" s="1111" t="str">
        <f>IF(AI$21="", "", VLOOKUP($AA33,'4. FPSource Set Up'!$C$96:$H$117, 4, FALSE))</f>
        <v/>
      </c>
      <c r="AJ33" s="1111" t="str">
        <f>IF(AJ$21="", "", VLOOKUP($AA33,'4. FPSource Set Up'!$C$96:$H$117, 4, FALSE))</f>
        <v/>
      </c>
      <c r="AK33" s="1111" t="str">
        <f>IF(AK$21="", "", VLOOKUP($AA33,'4. FPSource Set Up'!$C$96:$H$117, 4, FALSE))</f>
        <v/>
      </c>
      <c r="AL33" s="1111" t="str">
        <f>IF(AL$21="", "", VLOOKUP($AA33,'4. FPSource Set Up'!$C$96:$H$117, 4, FALSE))</f>
        <v/>
      </c>
      <c r="AM33" s="1111" t="str">
        <f>IF(AM$21="", "", VLOOKUP($AA33,'4. FPSource Set Up'!$C$96:$H$117, 4, FALSE))</f>
        <v/>
      </c>
      <c r="AN33" s="1111" t="str">
        <f>IF(AN$21="", "", VLOOKUP($AA33,'4. FPSource Set Up'!$C$96:$H$117, 4, FALSE))</f>
        <v/>
      </c>
      <c r="AO33" s="1111" t="str">
        <f>IF(AO$21="", "", VLOOKUP($AA33,'4. FPSource Set Up'!$C$96:$H$117, 4, FALSE))</f>
        <v/>
      </c>
      <c r="AP33" s="1111" t="str">
        <f>IF(AP$21="", "", VLOOKUP($AA33,'4. FPSource Set Up'!$C$96:$H$117, 4, FALSE))</f>
        <v/>
      </c>
      <c r="AQ33" s="1112" t="str">
        <f>IF(AQ$21="", "", VLOOKUP($AA33,'4. FPSource Set Up'!$C$96:$H$117, 4, FALSE))</f>
        <v/>
      </c>
      <c r="BA33" s="102" t="s">
        <v>83</v>
      </c>
      <c r="BC33" s="184" t="s">
        <v>836</v>
      </c>
      <c r="BJ33" s="678" t="str">
        <f t="shared" si="14"/>
        <v>Noristerat (NET-En)</v>
      </c>
      <c r="BK33" s="670" t="str">
        <f t="shared" ref="BK33:BK46" si="58">IF(BK$21="", "", IF(BK$10&lt;60%, "", G33*$E33))</f>
        <v/>
      </c>
      <c r="BL33" s="670" t="str">
        <f t="shared" si="55"/>
        <v/>
      </c>
      <c r="BM33" s="670" t="str">
        <f t="shared" si="55"/>
        <v/>
      </c>
      <c r="BN33" s="670" t="str">
        <f t="shared" si="55"/>
        <v/>
      </c>
      <c r="BO33" s="670" t="str">
        <f t="shared" si="55"/>
        <v/>
      </c>
      <c r="BP33" s="670" t="str">
        <f t="shared" si="55"/>
        <v/>
      </c>
      <c r="BQ33" s="670" t="str">
        <f t="shared" si="55"/>
        <v/>
      </c>
      <c r="BR33" s="670" t="str">
        <f t="shared" si="55"/>
        <v/>
      </c>
      <c r="BS33" s="670" t="str">
        <f t="shared" si="55"/>
        <v/>
      </c>
      <c r="BT33" s="671" t="str">
        <f t="shared" si="55"/>
        <v/>
      </c>
      <c r="BU33" s="670" t="str">
        <f t="shared" si="55"/>
        <v/>
      </c>
      <c r="BV33" s="671" t="str">
        <f t="shared" si="55"/>
        <v/>
      </c>
      <c r="BW33" s="670" t="str">
        <f t="shared" si="55"/>
        <v/>
      </c>
      <c r="BX33" s="671" t="str">
        <f t="shared" si="55"/>
        <v/>
      </c>
      <c r="BY33" s="670" t="str">
        <f t="shared" si="55"/>
        <v/>
      </c>
      <c r="BZ33" s="672" t="str">
        <f t="shared" si="55"/>
        <v/>
      </c>
      <c r="CB33" s="678" t="str">
        <f t="shared" si="29"/>
        <v>Noristerat (NET-En)</v>
      </c>
      <c r="CC33" s="670" t="str">
        <f t="shared" ref="CC33:CC46" si="59">IF(CC$21="", "", IF(BK33="", "", BK33*AB33))</f>
        <v/>
      </c>
      <c r="CD33" s="670" t="str">
        <f t="shared" ref="CD33:CD46" si="60">IF(CD$21="", "", IF(BL33="", "", BL33*AC33))</f>
        <v/>
      </c>
      <c r="CE33" s="670" t="str">
        <f t="shared" ref="CE33:CE46" si="61">IF(CE$21="", "", IF(BM33="", "", BM33*AD33))</f>
        <v/>
      </c>
      <c r="CF33" s="670" t="str">
        <f t="shared" ref="CF33:CF46" si="62">IF(CF$21="", "", IF(BN33="", "", BN33*AE33))</f>
        <v/>
      </c>
      <c r="CG33" s="670" t="str">
        <f t="shared" ref="CG33:CG46" si="63">IF(CG$21="", "", IF(BO33="", "", BO33*AF33))</f>
        <v/>
      </c>
      <c r="CH33" s="670" t="str">
        <f t="shared" ref="CH33:CH46" si="64">IF(CH$21="", "", IF(BP33="", "", BP33*AG33))</f>
        <v/>
      </c>
      <c r="CI33" s="670" t="str">
        <f t="shared" ref="CI33:CI46" si="65">IF(CI$21="", "", IF(BQ33="", "", BQ33*AH33))</f>
        <v/>
      </c>
      <c r="CJ33" s="670" t="str">
        <f t="shared" ref="CJ33:CJ46" si="66">IF(CJ$21="", "", IF(BR33="", "", BR33*AI33))</f>
        <v/>
      </c>
      <c r="CK33" s="670" t="str">
        <f t="shared" ref="CK33:CK46" si="67">IF(CK$21="", "", IF(BS33="", "", BS33*AJ33))</f>
        <v/>
      </c>
      <c r="CL33" s="671" t="str">
        <f t="shared" ref="CL33:CL46" si="68">IF(CL$21="", "", IF(BT33="", "", BT33*AK33))</f>
        <v/>
      </c>
      <c r="CM33" s="670" t="str">
        <f t="shared" ref="CM33:CM46" si="69">IF(CM$21="", "", IF(BU33="", "", BU33*AL33))</f>
        <v/>
      </c>
      <c r="CN33" s="671" t="str">
        <f t="shared" ref="CN33:CN46" si="70">IF(CN$21="", "", IF(BV33="", "", BV33*AM33))</f>
        <v/>
      </c>
      <c r="CO33" s="670" t="str">
        <f t="shared" ref="CO33:CO46" si="71">IF(CO$21="", "", IF(BW33="", "", BW33*AN33))</f>
        <v/>
      </c>
      <c r="CP33" s="671" t="str">
        <f t="shared" ref="CP33:CP46" si="72">IF(CP$21="", "", IF(BX33="", "", BX33*AO33))</f>
        <v/>
      </c>
      <c r="CQ33" s="670" t="str">
        <f t="shared" ref="CQ33:CQ46" si="73">IF(CQ$21="", "", IF(BY33="", "", BY33*AP33))</f>
        <v/>
      </c>
      <c r="CR33" s="672" t="str">
        <f t="shared" ref="CR33:CR46" si="74">IF(CR$21="", "", IF(BZ33="", "", BZ33*AQ33))</f>
        <v/>
      </c>
      <c r="CT33" s="772" t="str">
        <f t="shared" si="46"/>
        <v>Noristerat (NET-En)</v>
      </c>
      <c r="CU33" s="773"/>
      <c r="CV33" s="773"/>
      <c r="CW33" s="773"/>
      <c r="CX33" s="773"/>
      <c r="CY33" s="773"/>
      <c r="CZ33" s="773"/>
      <c r="DA33" s="773"/>
      <c r="DB33" s="773"/>
      <c r="DC33" s="773"/>
      <c r="DD33" s="774"/>
      <c r="DE33" s="773"/>
      <c r="DF33" s="774"/>
      <c r="DG33" s="773"/>
      <c r="DH33" s="774"/>
      <c r="DI33" s="773"/>
      <c r="DJ33" s="775"/>
    </row>
    <row r="34" spans="2:114" ht="17.25" customHeight="1" x14ac:dyDescent="0.25">
      <c r="B34" s="1492"/>
      <c r="C34" s="277" t="str">
        <f>IF(Language="English",'Language Look Ups'!$P$17,IF(Language="Francais",'Language Look Ups'!$T$17,'Language Look Ups'!$R$17))</f>
        <v>Lunelle</v>
      </c>
      <c r="D34" s="278">
        <v>13</v>
      </c>
      <c r="E34" s="101">
        <f t="shared" si="57"/>
        <v>7.6923076923076927E-2</v>
      </c>
      <c r="F34" s="102" t="str">
        <f t="shared" si="53"/>
        <v>par utilisateur par année</v>
      </c>
      <c r="G34" s="282"/>
      <c r="H34" s="283"/>
      <c r="I34" s="282"/>
      <c r="J34" s="283"/>
      <c r="K34" s="282"/>
      <c r="L34" s="283"/>
      <c r="M34" s="282"/>
      <c r="N34" s="283"/>
      <c r="O34" s="282"/>
      <c r="P34" s="283"/>
      <c r="Q34" s="282"/>
      <c r="R34" s="283"/>
      <c r="S34" s="282"/>
      <c r="T34" s="283"/>
      <c r="U34" s="282"/>
      <c r="V34" s="413"/>
      <c r="AA34" s="464" t="str">
        <f t="shared" si="54"/>
        <v>Lunelle</v>
      </c>
      <c r="AB34" s="1110" t="str">
        <f>IF(AB$21="", "", VLOOKUP($AA34,'4. FPSource Set Up'!$C$96:$H$117, 4, FALSE))</f>
        <v>n/a</v>
      </c>
      <c r="AC34" s="1111" t="str">
        <f>IF(AC$21="", "", VLOOKUP($AA34,'4. FPSource Set Up'!$C$96:$H$117, 4, FALSE))</f>
        <v/>
      </c>
      <c r="AD34" s="1111" t="str">
        <f>IF(AD$21="", "", VLOOKUP($AA34,'4. FPSource Set Up'!$C$96:$H$117, 4, FALSE))</f>
        <v/>
      </c>
      <c r="AE34" s="1111" t="str">
        <f>IF(AE$21="", "", VLOOKUP($AA34,'4. FPSource Set Up'!$C$96:$H$117, 4, FALSE))</f>
        <v/>
      </c>
      <c r="AF34" s="1111" t="str">
        <f>IF(AF$21="", "", VLOOKUP($AA34,'4. FPSource Set Up'!$C$96:$H$117, 4, FALSE))</f>
        <v/>
      </c>
      <c r="AG34" s="1111" t="str">
        <f>IF(AG$21="", "", VLOOKUP($AA34,'4. FPSource Set Up'!$C$96:$H$117, 4, FALSE))</f>
        <v/>
      </c>
      <c r="AH34" s="1111" t="str">
        <f>IF(AH$21="", "", VLOOKUP($AA34,'4. FPSource Set Up'!$C$96:$H$117, 4, FALSE))</f>
        <v/>
      </c>
      <c r="AI34" s="1111" t="str">
        <f>IF(AI$21="", "", VLOOKUP($AA34,'4. FPSource Set Up'!$C$96:$H$117, 4, FALSE))</f>
        <v/>
      </c>
      <c r="AJ34" s="1111" t="str">
        <f>IF(AJ$21="", "", VLOOKUP($AA34,'4. FPSource Set Up'!$C$96:$H$117, 4, FALSE))</f>
        <v/>
      </c>
      <c r="AK34" s="1111" t="str">
        <f>IF(AK$21="", "", VLOOKUP($AA34,'4. FPSource Set Up'!$C$96:$H$117, 4, FALSE))</f>
        <v/>
      </c>
      <c r="AL34" s="1111" t="str">
        <f>IF(AL$21="", "", VLOOKUP($AA34,'4. FPSource Set Up'!$C$96:$H$117, 4, FALSE))</f>
        <v/>
      </c>
      <c r="AM34" s="1111" t="str">
        <f>IF(AM$21="", "", VLOOKUP($AA34,'4. FPSource Set Up'!$C$96:$H$117, 4, FALSE))</f>
        <v/>
      </c>
      <c r="AN34" s="1111" t="str">
        <f>IF(AN$21="", "", VLOOKUP($AA34,'4. FPSource Set Up'!$C$96:$H$117, 4, FALSE))</f>
        <v/>
      </c>
      <c r="AO34" s="1111" t="str">
        <f>IF(AO$21="", "", VLOOKUP($AA34,'4. FPSource Set Up'!$C$96:$H$117, 4, FALSE))</f>
        <v/>
      </c>
      <c r="AP34" s="1111" t="str">
        <f>IF(AP$21="", "", VLOOKUP($AA34,'4. FPSource Set Up'!$C$96:$H$117, 4, FALSE))</f>
        <v/>
      </c>
      <c r="AQ34" s="1112" t="str">
        <f>IF(AQ$21="", "", VLOOKUP($AA34,'4. FPSource Set Up'!$C$96:$H$117, 4, FALSE))</f>
        <v/>
      </c>
      <c r="BA34" s="102" t="s">
        <v>83</v>
      </c>
      <c r="BC34" s="184" t="s">
        <v>836</v>
      </c>
      <c r="BJ34" s="678" t="str">
        <f t="shared" si="14"/>
        <v>Lunelle</v>
      </c>
      <c r="BK34" s="670" t="str">
        <f t="shared" si="58"/>
        <v/>
      </c>
      <c r="BL34" s="671" t="str">
        <f t="shared" si="55"/>
        <v/>
      </c>
      <c r="BM34" s="670" t="str">
        <f t="shared" si="55"/>
        <v/>
      </c>
      <c r="BN34" s="671" t="str">
        <f t="shared" si="55"/>
        <v/>
      </c>
      <c r="BO34" s="670" t="str">
        <f t="shared" si="55"/>
        <v/>
      </c>
      <c r="BP34" s="671" t="str">
        <f t="shared" si="55"/>
        <v/>
      </c>
      <c r="BQ34" s="670" t="str">
        <f t="shared" si="55"/>
        <v/>
      </c>
      <c r="BR34" s="671" t="str">
        <f t="shared" si="55"/>
        <v/>
      </c>
      <c r="BS34" s="670" t="str">
        <f t="shared" si="55"/>
        <v/>
      </c>
      <c r="BT34" s="671" t="str">
        <f t="shared" si="55"/>
        <v/>
      </c>
      <c r="BU34" s="670" t="str">
        <f t="shared" si="55"/>
        <v/>
      </c>
      <c r="BV34" s="671" t="str">
        <f t="shared" si="55"/>
        <v/>
      </c>
      <c r="BW34" s="670" t="str">
        <f t="shared" si="55"/>
        <v/>
      </c>
      <c r="BX34" s="671" t="str">
        <f t="shared" si="55"/>
        <v/>
      </c>
      <c r="BY34" s="670" t="str">
        <f t="shared" si="55"/>
        <v/>
      </c>
      <c r="BZ34" s="672" t="str">
        <f t="shared" si="55"/>
        <v/>
      </c>
      <c r="CB34" s="678" t="str">
        <f t="shared" si="29"/>
        <v>Lunelle</v>
      </c>
      <c r="CC34" s="670" t="str">
        <f>IF(CC$21="", "", IF(BK34="", "", BK34*AB34))</f>
        <v/>
      </c>
      <c r="CD34" s="671" t="str">
        <f>IF(CD$21="", "", IF(BL34="", "", BL34*AC34))</f>
        <v/>
      </c>
      <c r="CE34" s="670" t="str">
        <f>IF(CE$21="", "", IF(BM34="", "", BM34*AD34))</f>
        <v/>
      </c>
      <c r="CF34" s="671" t="str">
        <f t="shared" si="62"/>
        <v/>
      </c>
      <c r="CG34" s="670" t="str">
        <f t="shared" si="63"/>
        <v/>
      </c>
      <c r="CH34" s="671" t="str">
        <f t="shared" si="64"/>
        <v/>
      </c>
      <c r="CI34" s="670" t="str">
        <f t="shared" si="65"/>
        <v/>
      </c>
      <c r="CJ34" s="671" t="str">
        <f t="shared" si="66"/>
        <v/>
      </c>
      <c r="CK34" s="670" t="str">
        <f t="shared" si="67"/>
        <v/>
      </c>
      <c r="CL34" s="671" t="str">
        <f t="shared" si="68"/>
        <v/>
      </c>
      <c r="CM34" s="670" t="str">
        <f t="shared" si="69"/>
        <v/>
      </c>
      <c r="CN34" s="671" t="str">
        <f t="shared" si="70"/>
        <v/>
      </c>
      <c r="CO34" s="670" t="str">
        <f t="shared" si="71"/>
        <v/>
      </c>
      <c r="CP34" s="671" t="str">
        <f t="shared" si="72"/>
        <v/>
      </c>
      <c r="CQ34" s="670" t="str">
        <f t="shared" si="73"/>
        <v/>
      </c>
      <c r="CR34" s="672" t="str">
        <f t="shared" si="74"/>
        <v/>
      </c>
      <c r="CT34" s="772" t="str">
        <f t="shared" si="46"/>
        <v>Lunelle</v>
      </c>
      <c r="CU34" s="773"/>
      <c r="CV34" s="774"/>
      <c r="CW34" s="773"/>
      <c r="CX34" s="774"/>
      <c r="CY34" s="773"/>
      <c r="CZ34" s="774"/>
      <c r="DA34" s="773"/>
      <c r="DB34" s="774"/>
      <c r="DC34" s="773"/>
      <c r="DD34" s="774"/>
      <c r="DE34" s="773"/>
      <c r="DF34" s="774"/>
      <c r="DG34" s="773"/>
      <c r="DH34" s="774"/>
      <c r="DI34" s="773"/>
      <c r="DJ34" s="775"/>
    </row>
    <row r="35" spans="2:114" ht="17.25" customHeight="1" x14ac:dyDescent="0.25">
      <c r="B35" s="1492"/>
      <c r="C35" s="277" t="str">
        <f>IF(Language="English", 'Language Look Ups'!$P$18,IF(Language="Francais", 'Language Look Ups'!$T$18, 'Language Look Ups'!$R$18))</f>
        <v>Sayana Press</v>
      </c>
      <c r="D35" s="278">
        <v>4</v>
      </c>
      <c r="E35" s="101">
        <v>0.25</v>
      </c>
      <c r="F35" s="102" t="str">
        <f t="shared" si="53"/>
        <v>par utilisateur par année</v>
      </c>
      <c r="G35" s="282"/>
      <c r="H35" s="283"/>
      <c r="I35" s="282"/>
      <c r="J35" s="283"/>
      <c r="K35" s="282"/>
      <c r="L35" s="283"/>
      <c r="M35" s="282"/>
      <c r="N35" s="283"/>
      <c r="O35" s="282"/>
      <c r="P35" s="283"/>
      <c r="Q35" s="282"/>
      <c r="R35" s="283"/>
      <c r="S35" s="282"/>
      <c r="T35" s="283"/>
      <c r="U35" s="282"/>
      <c r="V35" s="413"/>
      <c r="AA35" s="464" t="str">
        <f t="shared" si="54"/>
        <v>Sayana Press</v>
      </c>
      <c r="AB35" s="1110" t="str">
        <f>IF(AB$21="", "", VLOOKUP($AA35,'4. FPSource Set Up'!$C$96:$H$117, 4, FALSE))</f>
        <v>n/a</v>
      </c>
      <c r="AC35" s="1111" t="str">
        <f>IF(AC$21="", "", VLOOKUP($AA35,'4. FPSource Set Up'!$C$96:$H$117, 4, FALSE))</f>
        <v/>
      </c>
      <c r="AD35" s="1111" t="str">
        <f>IF(AD$21="", "", VLOOKUP($AA35,'4. FPSource Set Up'!$C$96:$H$117, 4, FALSE))</f>
        <v/>
      </c>
      <c r="AE35" s="1111" t="str">
        <f>IF(AE$21="", "", VLOOKUP($AA35,'4. FPSource Set Up'!$C$96:$H$117, 4, FALSE))</f>
        <v/>
      </c>
      <c r="AF35" s="1111" t="str">
        <f>IF(AF$21="", "", VLOOKUP($AA35,'4. FPSource Set Up'!$C$96:$H$117, 4, FALSE))</f>
        <v/>
      </c>
      <c r="AG35" s="1111" t="str">
        <f>IF(AG$21="", "", VLOOKUP($AA35,'4. FPSource Set Up'!$C$96:$H$117, 4, FALSE))</f>
        <v/>
      </c>
      <c r="AH35" s="1111" t="str">
        <f>IF(AH$21="", "", VLOOKUP($AA35,'4. FPSource Set Up'!$C$96:$H$117, 4, FALSE))</f>
        <v/>
      </c>
      <c r="AI35" s="1111" t="str">
        <f>IF(AI$21="", "", VLOOKUP($AA35,'4. FPSource Set Up'!$C$96:$H$117, 4, FALSE))</f>
        <v/>
      </c>
      <c r="AJ35" s="1111" t="str">
        <f>IF(AJ$21="", "", VLOOKUP($AA35,'4. FPSource Set Up'!$C$96:$H$117, 4, FALSE))</f>
        <v/>
      </c>
      <c r="AK35" s="1111" t="str">
        <f>IF(AK$21="", "", VLOOKUP($AA35,'4. FPSource Set Up'!$C$96:$H$117, 4, FALSE))</f>
        <v/>
      </c>
      <c r="AL35" s="1111" t="str">
        <f>IF(AL$21="", "", VLOOKUP($AA35,'4. FPSource Set Up'!$C$96:$H$117, 4, FALSE))</f>
        <v/>
      </c>
      <c r="AM35" s="1111" t="str">
        <f>IF(AM$21="", "", VLOOKUP($AA35,'4. FPSource Set Up'!$C$96:$H$117, 4, FALSE))</f>
        <v/>
      </c>
      <c r="AN35" s="1111" t="str">
        <f>IF(AN$21="", "", VLOOKUP($AA35,'4. FPSource Set Up'!$C$96:$H$117, 4, FALSE))</f>
        <v/>
      </c>
      <c r="AO35" s="1111" t="str">
        <f>IF(AO$21="", "", VLOOKUP($AA35,'4. FPSource Set Up'!$C$96:$H$117, 4, FALSE))</f>
        <v/>
      </c>
      <c r="AP35" s="1111" t="str">
        <f>IF(AP$21="", "", VLOOKUP($AA35,'4. FPSource Set Up'!$C$96:$H$117, 4, FALSE))</f>
        <v/>
      </c>
      <c r="AQ35" s="1112" t="str">
        <f>IF(AQ$21="", "", VLOOKUP($AA35,'4. FPSource Set Up'!$C$96:$H$117, 4, FALSE))</f>
        <v/>
      </c>
      <c r="BA35" s="102" t="s">
        <v>83</v>
      </c>
      <c r="BC35" s="184" t="s">
        <v>836</v>
      </c>
      <c r="BJ35" s="678" t="str">
        <f t="shared" si="14"/>
        <v>Sayana Press</v>
      </c>
      <c r="BK35" s="670" t="str">
        <f t="shared" si="58"/>
        <v/>
      </c>
      <c r="BL35" s="671" t="str">
        <f t="shared" si="55"/>
        <v/>
      </c>
      <c r="BM35" s="670" t="str">
        <f t="shared" si="55"/>
        <v/>
      </c>
      <c r="BN35" s="671" t="str">
        <f t="shared" si="55"/>
        <v/>
      </c>
      <c r="BO35" s="670" t="str">
        <f t="shared" si="55"/>
        <v/>
      </c>
      <c r="BP35" s="671" t="str">
        <f t="shared" si="55"/>
        <v/>
      </c>
      <c r="BQ35" s="670" t="str">
        <f t="shared" si="55"/>
        <v/>
      </c>
      <c r="BR35" s="671" t="str">
        <f t="shared" si="55"/>
        <v/>
      </c>
      <c r="BS35" s="670" t="str">
        <f t="shared" si="55"/>
        <v/>
      </c>
      <c r="BT35" s="671" t="str">
        <f t="shared" si="55"/>
        <v/>
      </c>
      <c r="BU35" s="670" t="str">
        <f t="shared" si="55"/>
        <v/>
      </c>
      <c r="BV35" s="671" t="str">
        <f t="shared" si="55"/>
        <v/>
      </c>
      <c r="BW35" s="670" t="str">
        <f t="shared" si="55"/>
        <v/>
      </c>
      <c r="BX35" s="671" t="str">
        <f t="shared" si="55"/>
        <v/>
      </c>
      <c r="BY35" s="670" t="str">
        <f t="shared" si="55"/>
        <v/>
      </c>
      <c r="BZ35" s="672" t="str">
        <f t="shared" si="55"/>
        <v/>
      </c>
      <c r="CB35" s="678" t="str">
        <f t="shared" si="29"/>
        <v>Sayana Press</v>
      </c>
      <c r="CC35" s="670" t="str">
        <f t="shared" si="59"/>
        <v/>
      </c>
      <c r="CD35" s="671" t="str">
        <f t="shared" si="60"/>
        <v/>
      </c>
      <c r="CE35" s="670" t="str">
        <f t="shared" si="61"/>
        <v/>
      </c>
      <c r="CF35" s="671" t="str">
        <f t="shared" si="62"/>
        <v/>
      </c>
      <c r="CG35" s="670" t="str">
        <f t="shared" si="63"/>
        <v/>
      </c>
      <c r="CH35" s="671" t="str">
        <f t="shared" si="64"/>
        <v/>
      </c>
      <c r="CI35" s="670" t="str">
        <f t="shared" si="65"/>
        <v/>
      </c>
      <c r="CJ35" s="671" t="str">
        <f t="shared" si="66"/>
        <v/>
      </c>
      <c r="CK35" s="670" t="str">
        <f t="shared" si="67"/>
        <v/>
      </c>
      <c r="CL35" s="671" t="str">
        <f t="shared" si="68"/>
        <v/>
      </c>
      <c r="CM35" s="670" t="str">
        <f t="shared" si="69"/>
        <v/>
      </c>
      <c r="CN35" s="671" t="str">
        <f t="shared" si="70"/>
        <v/>
      </c>
      <c r="CO35" s="670" t="str">
        <f t="shared" si="71"/>
        <v/>
      </c>
      <c r="CP35" s="671" t="str">
        <f t="shared" si="72"/>
        <v/>
      </c>
      <c r="CQ35" s="670" t="str">
        <f t="shared" si="73"/>
        <v/>
      </c>
      <c r="CR35" s="672" t="str">
        <f t="shared" si="74"/>
        <v/>
      </c>
      <c r="CT35" s="772" t="str">
        <f t="shared" si="46"/>
        <v>Sayana Press</v>
      </c>
      <c r="CU35" s="773"/>
      <c r="CV35" s="774"/>
      <c r="CW35" s="773"/>
      <c r="CX35" s="774"/>
      <c r="CY35" s="773"/>
      <c r="CZ35" s="774"/>
      <c r="DA35" s="773"/>
      <c r="DB35" s="774"/>
      <c r="DC35" s="773"/>
      <c r="DD35" s="774"/>
      <c r="DE35" s="773"/>
      <c r="DF35" s="774"/>
      <c r="DG35" s="773"/>
      <c r="DH35" s="774"/>
      <c r="DI35" s="773"/>
      <c r="DJ35" s="775"/>
    </row>
    <row r="36" spans="2:114" ht="17.25" customHeight="1" x14ac:dyDescent="0.25">
      <c r="B36" s="1493"/>
      <c r="C36" s="275" t="str">
        <f>IF(Language="English", 'Language Look Ups'!$P$19,IF(Language="Francais", 'Language Look Ups'!$T$19, 'Language Look Ups'!$R$19))</f>
        <v>Autre Injectable</v>
      </c>
      <c r="D36" s="276">
        <v>4</v>
      </c>
      <c r="E36" s="99">
        <f t="shared" si="57"/>
        <v>0.25</v>
      </c>
      <c r="F36" s="100" t="str">
        <f t="shared" si="53"/>
        <v>par utilisateur par année</v>
      </c>
      <c r="G36" s="284"/>
      <c r="H36" s="285"/>
      <c r="I36" s="284"/>
      <c r="J36" s="285"/>
      <c r="K36" s="284"/>
      <c r="L36" s="285"/>
      <c r="M36" s="284"/>
      <c r="N36" s="285"/>
      <c r="O36" s="284"/>
      <c r="P36" s="285"/>
      <c r="Q36" s="284"/>
      <c r="R36" s="285"/>
      <c r="S36" s="284"/>
      <c r="T36" s="285"/>
      <c r="U36" s="284"/>
      <c r="V36" s="412"/>
      <c r="AA36" s="463" t="str">
        <f t="shared" si="54"/>
        <v>Autre Injectable</v>
      </c>
      <c r="AB36" s="1113" t="str">
        <f>IF(AB$21="", "", VLOOKUP($AA36,'4. FPSource Set Up'!$C$96:$H$117, 4, FALSE))</f>
        <v>n/a</v>
      </c>
      <c r="AC36" s="1114" t="str">
        <f>IF(AC$21="", "", VLOOKUP($AA36,'4. FPSource Set Up'!$C$96:$H$117, 4, FALSE))</f>
        <v/>
      </c>
      <c r="AD36" s="1114" t="str">
        <f>IF(AD$21="", "", VLOOKUP($AA36,'4. FPSource Set Up'!$C$96:$H$117, 4, FALSE))</f>
        <v/>
      </c>
      <c r="AE36" s="1114" t="str">
        <f>IF(AE$21="", "", VLOOKUP($AA36,'4. FPSource Set Up'!$C$96:$H$117, 4, FALSE))</f>
        <v/>
      </c>
      <c r="AF36" s="1114" t="str">
        <f>IF(AF$21="", "", VLOOKUP($AA36,'4. FPSource Set Up'!$C$96:$H$117, 4, FALSE))</f>
        <v/>
      </c>
      <c r="AG36" s="1114" t="str">
        <f>IF(AG$21="", "", VLOOKUP($AA36,'4. FPSource Set Up'!$C$96:$H$117, 4, FALSE))</f>
        <v/>
      </c>
      <c r="AH36" s="1114" t="str">
        <f>IF(AH$21="", "", VLOOKUP($AA36,'4. FPSource Set Up'!$C$96:$H$117, 4, FALSE))</f>
        <v/>
      </c>
      <c r="AI36" s="1114" t="str">
        <f>IF(AI$21="", "", VLOOKUP($AA36,'4. FPSource Set Up'!$C$96:$H$117, 4, FALSE))</f>
        <v/>
      </c>
      <c r="AJ36" s="1114" t="str">
        <f>IF(AJ$21="", "", VLOOKUP($AA36,'4. FPSource Set Up'!$C$96:$H$117, 4, FALSE))</f>
        <v/>
      </c>
      <c r="AK36" s="1114" t="str">
        <f>IF(AK$21="", "", VLOOKUP($AA36,'4. FPSource Set Up'!$C$96:$H$117, 4, FALSE))</f>
        <v/>
      </c>
      <c r="AL36" s="1114" t="str">
        <f>IF(AL$21="", "", VLOOKUP($AA36,'4. FPSource Set Up'!$C$96:$H$117, 4, FALSE))</f>
        <v/>
      </c>
      <c r="AM36" s="1114" t="str">
        <f>IF(AM$21="", "", VLOOKUP($AA36,'4. FPSource Set Up'!$C$96:$H$117, 4, FALSE))</f>
        <v/>
      </c>
      <c r="AN36" s="1114" t="str">
        <f>IF(AN$21="", "", VLOOKUP($AA36,'4. FPSource Set Up'!$C$96:$H$117, 4, FALSE))</f>
        <v/>
      </c>
      <c r="AO36" s="1114" t="str">
        <f>IF(AO$21="", "", VLOOKUP($AA36,'4. FPSource Set Up'!$C$96:$H$117, 4, FALSE))</f>
        <v/>
      </c>
      <c r="AP36" s="1114" t="str">
        <f>IF(AP$21="", "", VLOOKUP($AA36,'4. FPSource Set Up'!$C$96:$H$117, 4, FALSE))</f>
        <v/>
      </c>
      <c r="AQ36" s="1115" t="str">
        <f>IF(AQ$21="", "", VLOOKUP($AA36,'4. FPSource Set Up'!$C$96:$H$117, 4, FALSE))</f>
        <v/>
      </c>
      <c r="BA36" s="100" t="s">
        <v>83</v>
      </c>
      <c r="BC36" s="184" t="s">
        <v>836</v>
      </c>
      <c r="BJ36" s="677" t="str">
        <f t="shared" si="14"/>
        <v>Autre Injectable</v>
      </c>
      <c r="BK36" s="667" t="str">
        <f t="shared" si="58"/>
        <v/>
      </c>
      <c r="BL36" s="668" t="str">
        <f t="shared" si="55"/>
        <v/>
      </c>
      <c r="BM36" s="667" t="str">
        <f t="shared" si="55"/>
        <v/>
      </c>
      <c r="BN36" s="668" t="str">
        <f t="shared" si="55"/>
        <v/>
      </c>
      <c r="BO36" s="667" t="str">
        <f t="shared" si="55"/>
        <v/>
      </c>
      <c r="BP36" s="668" t="str">
        <f t="shared" si="55"/>
        <v/>
      </c>
      <c r="BQ36" s="667" t="str">
        <f t="shared" si="55"/>
        <v/>
      </c>
      <c r="BR36" s="668" t="str">
        <f t="shared" si="55"/>
        <v/>
      </c>
      <c r="BS36" s="667" t="str">
        <f t="shared" si="55"/>
        <v/>
      </c>
      <c r="BT36" s="668" t="str">
        <f t="shared" si="55"/>
        <v/>
      </c>
      <c r="BU36" s="667" t="str">
        <f t="shared" si="55"/>
        <v/>
      </c>
      <c r="BV36" s="668" t="str">
        <f t="shared" si="55"/>
        <v/>
      </c>
      <c r="BW36" s="667" t="str">
        <f t="shared" si="55"/>
        <v/>
      </c>
      <c r="BX36" s="668" t="str">
        <f t="shared" si="55"/>
        <v/>
      </c>
      <c r="BY36" s="667" t="str">
        <f t="shared" si="55"/>
        <v/>
      </c>
      <c r="BZ36" s="669" t="str">
        <f t="shared" si="55"/>
        <v/>
      </c>
      <c r="CB36" s="677" t="str">
        <f t="shared" si="29"/>
        <v>Autre Injectable</v>
      </c>
      <c r="CC36" s="667" t="str">
        <f t="shared" si="59"/>
        <v/>
      </c>
      <c r="CD36" s="668" t="str">
        <f t="shared" si="60"/>
        <v/>
      </c>
      <c r="CE36" s="667" t="str">
        <f t="shared" si="61"/>
        <v/>
      </c>
      <c r="CF36" s="668" t="str">
        <f t="shared" si="62"/>
        <v/>
      </c>
      <c r="CG36" s="667" t="str">
        <f t="shared" si="63"/>
        <v/>
      </c>
      <c r="CH36" s="668" t="str">
        <f t="shared" si="64"/>
        <v/>
      </c>
      <c r="CI36" s="667" t="str">
        <f t="shared" si="65"/>
        <v/>
      </c>
      <c r="CJ36" s="668" t="str">
        <f t="shared" si="66"/>
        <v/>
      </c>
      <c r="CK36" s="667" t="str">
        <f t="shared" si="67"/>
        <v/>
      </c>
      <c r="CL36" s="668" t="str">
        <f t="shared" si="68"/>
        <v/>
      </c>
      <c r="CM36" s="667" t="str">
        <f t="shared" si="69"/>
        <v/>
      </c>
      <c r="CN36" s="668" t="str">
        <f t="shared" si="70"/>
        <v/>
      </c>
      <c r="CO36" s="667" t="str">
        <f t="shared" si="71"/>
        <v/>
      </c>
      <c r="CP36" s="668" t="str">
        <f t="shared" si="72"/>
        <v/>
      </c>
      <c r="CQ36" s="667" t="str">
        <f t="shared" si="73"/>
        <v/>
      </c>
      <c r="CR36" s="669" t="str">
        <f t="shared" si="74"/>
        <v/>
      </c>
      <c r="CT36" s="776" t="str">
        <f t="shared" si="46"/>
        <v>Autre Injectable</v>
      </c>
      <c r="CU36" s="777"/>
      <c r="CV36" s="778"/>
      <c r="CW36" s="777"/>
      <c r="CX36" s="778"/>
      <c r="CY36" s="777"/>
      <c r="CZ36" s="778"/>
      <c r="DA36" s="777"/>
      <c r="DB36" s="778"/>
      <c r="DC36" s="777"/>
      <c r="DD36" s="778"/>
      <c r="DE36" s="777"/>
      <c r="DF36" s="778"/>
      <c r="DG36" s="777"/>
      <c r="DH36" s="778"/>
      <c r="DI36" s="777"/>
      <c r="DJ36" s="779"/>
    </row>
    <row r="37" spans="2:114" ht="17.25" customHeight="1" x14ac:dyDescent="0.25">
      <c r="B37" s="1480" t="str">
        <f>IF(Language="English", 'Language Look Ups'!$O$20,IF(Language="Francais", 'Language Look Ups'!$S$20, 'Language Look Ups'!Q$20))</f>
        <v>Pilule</v>
      </c>
      <c r="C37" s="363" t="str">
        <f>IF(Language="English", 'Language Look Ups'!$P$20,IF(Language="Francais", 'Language Look Ups'!$T$20, 'Language Look Ups'!$R$20))</f>
        <v>Oraux combinés (COC)</v>
      </c>
      <c r="D37" s="407">
        <v>15</v>
      </c>
      <c r="E37" s="408">
        <f t="shared" si="57"/>
        <v>6.6666666666666666E-2</v>
      </c>
      <c r="F37" s="416" t="str">
        <f t="shared" si="53"/>
        <v>par utilisateur par année</v>
      </c>
      <c r="G37" s="409"/>
      <c r="H37" s="409"/>
      <c r="I37" s="409"/>
      <c r="J37" s="409"/>
      <c r="K37" s="409"/>
      <c r="L37" s="409"/>
      <c r="M37" s="409"/>
      <c r="N37" s="409"/>
      <c r="O37" s="409"/>
      <c r="P37" s="410"/>
      <c r="Q37" s="409"/>
      <c r="R37" s="410"/>
      <c r="S37" s="409"/>
      <c r="T37" s="409"/>
      <c r="U37" s="409"/>
      <c r="V37" s="409"/>
      <c r="AA37" s="462" t="str">
        <f t="shared" si="54"/>
        <v>Oraux combinés (COC)</v>
      </c>
      <c r="AB37" s="1095" t="str">
        <f>IF(AB$21="", "", VLOOKUP($AA37,'4. FPSource Set Up'!$C$96:$H$117, 4, FALSE))</f>
        <v>n/a</v>
      </c>
      <c r="AC37" s="1096" t="str">
        <f>IF(AC$21="", "", VLOOKUP($AA37,'4. FPSource Set Up'!$C$96:$H$117, 4, FALSE))</f>
        <v/>
      </c>
      <c r="AD37" s="1096" t="str">
        <f>IF(AD$21="", "", VLOOKUP($AA37,'4. FPSource Set Up'!$C$96:$H$117, 4, FALSE))</f>
        <v/>
      </c>
      <c r="AE37" s="1096" t="str">
        <f>IF(AE$21="", "", VLOOKUP($AA37,'4. FPSource Set Up'!$C$96:$H$117, 4, FALSE))</f>
        <v/>
      </c>
      <c r="AF37" s="1096" t="str">
        <f>IF(AF$21="", "", VLOOKUP($AA37,'4. FPSource Set Up'!$C$96:$H$117, 4, FALSE))</f>
        <v/>
      </c>
      <c r="AG37" s="1096" t="str">
        <f>IF(AG$21="", "", VLOOKUP($AA37,'4. FPSource Set Up'!$C$96:$H$117, 4, FALSE))</f>
        <v/>
      </c>
      <c r="AH37" s="1096" t="str">
        <f>IF(AH$21="", "", VLOOKUP($AA37,'4. FPSource Set Up'!$C$96:$H$117, 4, FALSE))</f>
        <v/>
      </c>
      <c r="AI37" s="1096" t="str">
        <f>IF(AI$21="", "", VLOOKUP($AA37,'4. FPSource Set Up'!$C$96:$H$117, 4, FALSE))</f>
        <v/>
      </c>
      <c r="AJ37" s="1096" t="str">
        <f>IF(AJ$21="", "", VLOOKUP($AA37,'4. FPSource Set Up'!$C$96:$H$117, 4, FALSE))</f>
        <v/>
      </c>
      <c r="AK37" s="1096" t="str">
        <f>IF(AK$21="", "", VLOOKUP($AA37,'4. FPSource Set Up'!$C$96:$H$117, 4, FALSE))</f>
        <v/>
      </c>
      <c r="AL37" s="1096" t="str">
        <f>IF(AL$21="", "", VLOOKUP($AA37,'4. FPSource Set Up'!$C$96:$H$117, 4, FALSE))</f>
        <v/>
      </c>
      <c r="AM37" s="1096" t="str">
        <f>IF(AM$21="", "", VLOOKUP($AA37,'4. FPSource Set Up'!$C$96:$H$117, 4, FALSE))</f>
        <v/>
      </c>
      <c r="AN37" s="1096" t="str">
        <f>IF(AN$21="", "", VLOOKUP($AA37,'4. FPSource Set Up'!$C$96:$H$117, 4, FALSE))</f>
        <v/>
      </c>
      <c r="AO37" s="1096" t="str">
        <f>IF(AO$21="", "", VLOOKUP($AA37,'4. FPSource Set Up'!$C$96:$H$117, 4, FALSE))</f>
        <v/>
      </c>
      <c r="AP37" s="1096" t="str">
        <f>IF(AP$21="", "", VLOOKUP($AA37,'4. FPSource Set Up'!$C$96:$H$117, 4, FALSE))</f>
        <v/>
      </c>
      <c r="AQ37" s="1097" t="str">
        <f>IF(AQ$21="", "", VLOOKUP($AA37,'4. FPSource Set Up'!$C$96:$H$117, 4, FALSE))</f>
        <v/>
      </c>
      <c r="BA37" s="416" t="s">
        <v>83</v>
      </c>
      <c r="BC37" s="184" t="s">
        <v>836</v>
      </c>
      <c r="BJ37" s="676" t="str">
        <f t="shared" si="14"/>
        <v>Oraux combinés (COC)</v>
      </c>
      <c r="BK37" s="664" t="str">
        <f t="shared" si="58"/>
        <v/>
      </c>
      <c r="BL37" s="665" t="str">
        <f t="shared" si="55"/>
        <v/>
      </c>
      <c r="BM37" s="664" t="str">
        <f t="shared" si="55"/>
        <v/>
      </c>
      <c r="BN37" s="665" t="str">
        <f t="shared" si="55"/>
        <v/>
      </c>
      <c r="BO37" s="664" t="str">
        <f t="shared" si="55"/>
        <v/>
      </c>
      <c r="BP37" s="665" t="str">
        <f t="shared" si="55"/>
        <v/>
      </c>
      <c r="BQ37" s="664" t="str">
        <f t="shared" si="55"/>
        <v/>
      </c>
      <c r="BR37" s="665" t="str">
        <f t="shared" si="55"/>
        <v/>
      </c>
      <c r="BS37" s="664" t="str">
        <f t="shared" si="55"/>
        <v/>
      </c>
      <c r="BT37" s="665" t="str">
        <f t="shared" si="55"/>
        <v/>
      </c>
      <c r="BU37" s="664" t="str">
        <f t="shared" si="55"/>
        <v/>
      </c>
      <c r="BV37" s="665" t="str">
        <f t="shared" si="55"/>
        <v/>
      </c>
      <c r="BW37" s="664" t="str">
        <f t="shared" si="55"/>
        <v/>
      </c>
      <c r="BX37" s="665" t="str">
        <f t="shared" si="55"/>
        <v/>
      </c>
      <c r="BY37" s="664" t="str">
        <f t="shared" si="55"/>
        <v/>
      </c>
      <c r="BZ37" s="666" t="str">
        <f t="shared" si="55"/>
        <v/>
      </c>
      <c r="CB37" s="676" t="str">
        <f t="shared" si="29"/>
        <v>Oraux combinés (COC)</v>
      </c>
      <c r="CC37" s="664" t="str">
        <f t="shared" si="59"/>
        <v/>
      </c>
      <c r="CD37" s="665" t="str">
        <f t="shared" si="60"/>
        <v/>
      </c>
      <c r="CE37" s="664" t="str">
        <f t="shared" si="61"/>
        <v/>
      </c>
      <c r="CF37" s="665" t="str">
        <f t="shared" si="62"/>
        <v/>
      </c>
      <c r="CG37" s="664" t="str">
        <f t="shared" si="63"/>
        <v/>
      </c>
      <c r="CH37" s="665" t="str">
        <f t="shared" si="64"/>
        <v/>
      </c>
      <c r="CI37" s="664" t="str">
        <f t="shared" si="65"/>
        <v/>
      </c>
      <c r="CJ37" s="665" t="str">
        <f t="shared" si="66"/>
        <v/>
      </c>
      <c r="CK37" s="664" t="str">
        <f t="shared" si="67"/>
        <v/>
      </c>
      <c r="CL37" s="665" t="str">
        <f t="shared" si="68"/>
        <v/>
      </c>
      <c r="CM37" s="664" t="str">
        <f t="shared" si="69"/>
        <v/>
      </c>
      <c r="CN37" s="665" t="str">
        <f t="shared" si="70"/>
        <v/>
      </c>
      <c r="CO37" s="664" t="str">
        <f t="shared" si="71"/>
        <v/>
      </c>
      <c r="CP37" s="665" t="str">
        <f t="shared" si="72"/>
        <v/>
      </c>
      <c r="CQ37" s="664" t="str">
        <f t="shared" si="73"/>
        <v/>
      </c>
      <c r="CR37" s="666" t="str">
        <f t="shared" si="74"/>
        <v/>
      </c>
      <c r="CT37" s="768" t="str">
        <f t="shared" si="46"/>
        <v>Oraux combinés (COC)</v>
      </c>
      <c r="CU37" s="769"/>
      <c r="CV37" s="770"/>
      <c r="CW37" s="769"/>
      <c r="CX37" s="770"/>
      <c r="CY37" s="769"/>
      <c r="CZ37" s="770"/>
      <c r="DA37" s="769"/>
      <c r="DB37" s="770"/>
      <c r="DC37" s="769"/>
      <c r="DD37" s="770"/>
      <c r="DE37" s="769"/>
      <c r="DF37" s="770"/>
      <c r="DG37" s="769"/>
      <c r="DH37" s="770"/>
      <c r="DI37" s="769"/>
      <c r="DJ37" s="771"/>
    </row>
    <row r="38" spans="2:114" ht="17.25" customHeight="1" x14ac:dyDescent="0.25">
      <c r="B38" s="1482"/>
      <c r="C38" s="277" t="str">
        <f>IF(Language="English", 'Language Look Ups'!$P$21,IF(Language="Francais", 'Language Look Ups'!$T$21, 'Language Look Ups'!$R$21))</f>
        <v>Progestatifs seul (POP)</v>
      </c>
      <c r="D38" s="278">
        <v>12</v>
      </c>
      <c r="E38" s="101">
        <f t="shared" si="57"/>
        <v>8.3333333333333329E-2</v>
      </c>
      <c r="F38" s="102" t="str">
        <f t="shared" si="53"/>
        <v>par utilisateur par année</v>
      </c>
      <c r="G38" s="282"/>
      <c r="H38" s="283"/>
      <c r="I38" s="282"/>
      <c r="J38" s="283"/>
      <c r="K38" s="282"/>
      <c r="L38" s="283"/>
      <c r="M38" s="282"/>
      <c r="N38" s="283"/>
      <c r="O38" s="282"/>
      <c r="P38" s="283"/>
      <c r="Q38" s="282"/>
      <c r="R38" s="283"/>
      <c r="S38" s="282"/>
      <c r="T38" s="283"/>
      <c r="U38" s="282"/>
      <c r="V38" s="413"/>
      <c r="AA38" s="464" t="str">
        <f t="shared" si="54"/>
        <v>Progestatifs seul (POP)</v>
      </c>
      <c r="AB38" s="1101" t="str">
        <f>IF(AB$21="", "", VLOOKUP($AA38,'4. FPSource Set Up'!$C$96:$H$117, 4, FALSE))</f>
        <v>n/a</v>
      </c>
      <c r="AC38" s="1102" t="str">
        <f>IF(AC$21="", "", VLOOKUP($AA38,'4. FPSource Set Up'!$C$96:$H$117, 4, FALSE))</f>
        <v/>
      </c>
      <c r="AD38" s="1102" t="str">
        <f>IF(AD$21="", "", VLOOKUP($AA38,'4. FPSource Set Up'!$C$96:$H$117, 4, FALSE))</f>
        <v/>
      </c>
      <c r="AE38" s="1102" t="str">
        <f>IF(AE$21="", "", VLOOKUP($AA38,'4. FPSource Set Up'!$C$96:$H$117, 4, FALSE))</f>
        <v/>
      </c>
      <c r="AF38" s="1102" t="str">
        <f>IF(AF$21="", "", VLOOKUP($AA38,'4. FPSource Set Up'!$C$96:$H$117, 4, FALSE))</f>
        <v/>
      </c>
      <c r="AG38" s="1102" t="str">
        <f>IF(AG$21="", "", VLOOKUP($AA38,'4. FPSource Set Up'!$C$96:$H$117, 4, FALSE))</f>
        <v/>
      </c>
      <c r="AH38" s="1102" t="str">
        <f>IF(AH$21="", "", VLOOKUP($AA38,'4. FPSource Set Up'!$C$96:$H$117, 4, FALSE))</f>
        <v/>
      </c>
      <c r="AI38" s="1102" t="str">
        <f>IF(AI$21="", "", VLOOKUP($AA38,'4. FPSource Set Up'!$C$96:$H$117, 4, FALSE))</f>
        <v/>
      </c>
      <c r="AJ38" s="1102" t="str">
        <f>IF(AJ$21="", "", VLOOKUP($AA38,'4. FPSource Set Up'!$C$96:$H$117, 4, FALSE))</f>
        <v/>
      </c>
      <c r="AK38" s="1102" t="str">
        <f>IF(AK$21="", "", VLOOKUP($AA38,'4. FPSource Set Up'!$C$96:$H$117, 4, FALSE))</f>
        <v/>
      </c>
      <c r="AL38" s="1102" t="str">
        <f>IF(AL$21="", "", VLOOKUP($AA38,'4. FPSource Set Up'!$C$96:$H$117, 4, FALSE))</f>
        <v/>
      </c>
      <c r="AM38" s="1102" t="str">
        <f>IF(AM$21="", "", VLOOKUP($AA38,'4. FPSource Set Up'!$C$96:$H$117, 4, FALSE))</f>
        <v/>
      </c>
      <c r="AN38" s="1102" t="str">
        <f>IF(AN$21="", "", VLOOKUP($AA38,'4. FPSource Set Up'!$C$96:$H$117, 4, FALSE))</f>
        <v/>
      </c>
      <c r="AO38" s="1102" t="str">
        <f>IF(AO$21="", "", VLOOKUP($AA38,'4. FPSource Set Up'!$C$96:$H$117, 4, FALSE))</f>
        <v/>
      </c>
      <c r="AP38" s="1102" t="str">
        <f>IF(AP$21="", "", VLOOKUP($AA38,'4. FPSource Set Up'!$C$96:$H$117, 4, FALSE))</f>
        <v/>
      </c>
      <c r="AQ38" s="1103" t="str">
        <f>IF(AQ$21="", "", VLOOKUP($AA38,'4. FPSource Set Up'!$C$96:$H$117, 4, FALSE))</f>
        <v/>
      </c>
      <c r="BA38" s="102" t="s">
        <v>83</v>
      </c>
      <c r="BC38" s="184" t="s">
        <v>836</v>
      </c>
      <c r="BJ38" s="678" t="str">
        <f t="shared" si="14"/>
        <v>Progestatifs seul (POP)</v>
      </c>
      <c r="BK38" s="670" t="str">
        <f t="shared" si="58"/>
        <v/>
      </c>
      <c r="BL38" s="671" t="str">
        <f t="shared" si="55"/>
        <v/>
      </c>
      <c r="BM38" s="670" t="str">
        <f t="shared" si="55"/>
        <v/>
      </c>
      <c r="BN38" s="671" t="str">
        <f t="shared" si="55"/>
        <v/>
      </c>
      <c r="BO38" s="670" t="str">
        <f t="shared" si="55"/>
        <v/>
      </c>
      <c r="BP38" s="671" t="str">
        <f t="shared" si="55"/>
        <v/>
      </c>
      <c r="BQ38" s="670" t="str">
        <f t="shared" si="55"/>
        <v/>
      </c>
      <c r="BR38" s="671" t="str">
        <f t="shared" si="55"/>
        <v/>
      </c>
      <c r="BS38" s="670" t="str">
        <f t="shared" si="55"/>
        <v/>
      </c>
      <c r="BT38" s="671" t="str">
        <f t="shared" si="55"/>
        <v/>
      </c>
      <c r="BU38" s="670" t="str">
        <f t="shared" si="55"/>
        <v/>
      </c>
      <c r="BV38" s="671" t="str">
        <f t="shared" si="55"/>
        <v/>
      </c>
      <c r="BW38" s="670" t="str">
        <f t="shared" si="55"/>
        <v/>
      </c>
      <c r="BX38" s="671" t="str">
        <f t="shared" si="55"/>
        <v/>
      </c>
      <c r="BY38" s="670" t="str">
        <f t="shared" si="55"/>
        <v/>
      </c>
      <c r="BZ38" s="672" t="str">
        <f t="shared" si="55"/>
        <v/>
      </c>
      <c r="CB38" s="678" t="str">
        <f t="shared" si="29"/>
        <v>Progestatifs seul (POP)</v>
      </c>
      <c r="CC38" s="670" t="str">
        <f t="shared" si="59"/>
        <v/>
      </c>
      <c r="CD38" s="671" t="str">
        <f t="shared" si="60"/>
        <v/>
      </c>
      <c r="CE38" s="670" t="str">
        <f t="shared" si="61"/>
        <v/>
      </c>
      <c r="CF38" s="671" t="str">
        <f t="shared" si="62"/>
        <v/>
      </c>
      <c r="CG38" s="670" t="str">
        <f t="shared" si="63"/>
        <v/>
      </c>
      <c r="CH38" s="671" t="str">
        <f t="shared" si="64"/>
        <v/>
      </c>
      <c r="CI38" s="670" t="str">
        <f t="shared" si="65"/>
        <v/>
      </c>
      <c r="CJ38" s="671" t="str">
        <f t="shared" si="66"/>
        <v/>
      </c>
      <c r="CK38" s="670" t="str">
        <f t="shared" si="67"/>
        <v/>
      </c>
      <c r="CL38" s="671" t="str">
        <f t="shared" si="68"/>
        <v/>
      </c>
      <c r="CM38" s="670" t="str">
        <f t="shared" si="69"/>
        <v/>
      </c>
      <c r="CN38" s="671" t="str">
        <f t="shared" si="70"/>
        <v/>
      </c>
      <c r="CO38" s="670" t="str">
        <f t="shared" si="71"/>
        <v/>
      </c>
      <c r="CP38" s="671" t="str">
        <f t="shared" si="72"/>
        <v/>
      </c>
      <c r="CQ38" s="670" t="str">
        <f t="shared" si="73"/>
        <v/>
      </c>
      <c r="CR38" s="672" t="str">
        <f t="shared" si="74"/>
        <v/>
      </c>
      <c r="CT38" s="772" t="str">
        <f t="shared" si="46"/>
        <v>Progestatifs seul (POP)</v>
      </c>
      <c r="CU38" s="773"/>
      <c r="CV38" s="774"/>
      <c r="CW38" s="773"/>
      <c r="CX38" s="774"/>
      <c r="CY38" s="773"/>
      <c r="CZ38" s="774"/>
      <c r="DA38" s="773"/>
      <c r="DB38" s="774"/>
      <c r="DC38" s="773"/>
      <c r="DD38" s="774"/>
      <c r="DE38" s="773"/>
      <c r="DF38" s="774"/>
      <c r="DG38" s="773"/>
      <c r="DH38" s="774"/>
      <c r="DI38" s="773"/>
      <c r="DJ38" s="775"/>
    </row>
    <row r="39" spans="2:114" ht="17.25" customHeight="1" x14ac:dyDescent="0.25">
      <c r="B39" s="1481"/>
      <c r="C39" s="275" t="str">
        <f>IF(Language="English", 'Language Look Ups'!$P$22,IF(Language="Francais", 'Language Look Ups'!$T$22, 'Language Look Ups'!$R$22))</f>
        <v>Autre pilule</v>
      </c>
      <c r="D39" s="276">
        <v>15</v>
      </c>
      <c r="E39" s="99">
        <f t="shared" si="57"/>
        <v>6.6666666666666666E-2</v>
      </c>
      <c r="F39" s="100" t="str">
        <f t="shared" si="53"/>
        <v>par utilisateur par année</v>
      </c>
      <c r="G39" s="284"/>
      <c r="H39" s="285"/>
      <c r="I39" s="284"/>
      <c r="J39" s="285"/>
      <c r="K39" s="284"/>
      <c r="L39" s="285"/>
      <c r="M39" s="284"/>
      <c r="N39" s="285"/>
      <c r="O39" s="284"/>
      <c r="P39" s="285"/>
      <c r="Q39" s="284"/>
      <c r="R39" s="285"/>
      <c r="S39" s="284"/>
      <c r="T39" s="285"/>
      <c r="U39" s="284"/>
      <c r="V39" s="412"/>
      <c r="AA39" s="463" t="str">
        <f t="shared" si="54"/>
        <v>Autre pilule</v>
      </c>
      <c r="AB39" s="1098" t="str">
        <f>IF(AB$21="", "", VLOOKUP($AA39,'4. FPSource Set Up'!$C$96:$H$117, 4, FALSE))</f>
        <v>n/a</v>
      </c>
      <c r="AC39" s="1099" t="str">
        <f>IF(AC$21="", "", VLOOKUP($AA39,'4. FPSource Set Up'!$C$96:$H$117, 4, FALSE))</f>
        <v/>
      </c>
      <c r="AD39" s="1099" t="str">
        <f>IF(AD$21="", "", VLOOKUP($AA39,'4. FPSource Set Up'!$C$96:$H$117, 4, FALSE))</f>
        <v/>
      </c>
      <c r="AE39" s="1099" t="str">
        <f>IF(AE$21="", "", VLOOKUP($AA39,'4. FPSource Set Up'!$C$96:$H$117, 4, FALSE))</f>
        <v/>
      </c>
      <c r="AF39" s="1099" t="str">
        <f>IF(AF$21="", "", VLOOKUP($AA39,'4. FPSource Set Up'!$C$96:$H$117, 4, FALSE))</f>
        <v/>
      </c>
      <c r="AG39" s="1099" t="str">
        <f>IF(AG$21="", "", VLOOKUP($AA39,'4. FPSource Set Up'!$C$96:$H$117, 4, FALSE))</f>
        <v/>
      </c>
      <c r="AH39" s="1099" t="str">
        <f>IF(AH$21="", "", VLOOKUP($AA39,'4. FPSource Set Up'!$C$96:$H$117, 4, FALSE))</f>
        <v/>
      </c>
      <c r="AI39" s="1099" t="str">
        <f>IF(AI$21="", "", VLOOKUP($AA39,'4. FPSource Set Up'!$C$96:$H$117, 4, FALSE))</f>
        <v/>
      </c>
      <c r="AJ39" s="1099" t="str">
        <f>IF(AJ$21="", "", VLOOKUP($AA39,'4. FPSource Set Up'!$C$96:$H$117, 4, FALSE))</f>
        <v/>
      </c>
      <c r="AK39" s="1099" t="str">
        <f>IF(AK$21="", "", VLOOKUP($AA39,'4. FPSource Set Up'!$C$96:$H$117, 4, FALSE))</f>
        <v/>
      </c>
      <c r="AL39" s="1099" t="str">
        <f>IF(AL$21="", "", VLOOKUP($AA39,'4. FPSource Set Up'!$C$96:$H$117, 4, FALSE))</f>
        <v/>
      </c>
      <c r="AM39" s="1099" t="str">
        <f>IF(AM$21="", "", VLOOKUP($AA39,'4. FPSource Set Up'!$C$96:$H$117, 4, FALSE))</f>
        <v/>
      </c>
      <c r="AN39" s="1099" t="str">
        <f>IF(AN$21="", "", VLOOKUP($AA39,'4. FPSource Set Up'!$C$96:$H$117, 4, FALSE))</f>
        <v/>
      </c>
      <c r="AO39" s="1099" t="str">
        <f>IF(AO$21="", "", VLOOKUP($AA39,'4. FPSource Set Up'!$C$96:$H$117, 4, FALSE))</f>
        <v/>
      </c>
      <c r="AP39" s="1099" t="str">
        <f>IF(AP$21="", "", VLOOKUP($AA39,'4. FPSource Set Up'!$C$96:$H$117, 4, FALSE))</f>
        <v/>
      </c>
      <c r="AQ39" s="1100" t="str">
        <f>IF(AQ$21="", "", VLOOKUP($AA39,'4. FPSource Set Up'!$C$96:$H$117, 4, FALSE))</f>
        <v/>
      </c>
      <c r="BA39" s="100" t="s">
        <v>83</v>
      </c>
      <c r="BC39" s="184" t="s">
        <v>836</v>
      </c>
      <c r="BJ39" s="677" t="str">
        <f t="shared" si="14"/>
        <v>Autre pilule</v>
      </c>
      <c r="BK39" s="667" t="str">
        <f t="shared" si="58"/>
        <v/>
      </c>
      <c r="BL39" s="668" t="str">
        <f t="shared" si="55"/>
        <v/>
      </c>
      <c r="BM39" s="667" t="str">
        <f t="shared" si="55"/>
        <v/>
      </c>
      <c r="BN39" s="668" t="str">
        <f t="shared" si="55"/>
        <v/>
      </c>
      <c r="BO39" s="667" t="str">
        <f t="shared" si="55"/>
        <v/>
      </c>
      <c r="BP39" s="668" t="str">
        <f t="shared" si="55"/>
        <v/>
      </c>
      <c r="BQ39" s="667" t="str">
        <f t="shared" si="55"/>
        <v/>
      </c>
      <c r="BR39" s="668" t="str">
        <f t="shared" si="55"/>
        <v/>
      </c>
      <c r="BS39" s="667" t="str">
        <f t="shared" si="55"/>
        <v/>
      </c>
      <c r="BT39" s="668" t="str">
        <f t="shared" si="55"/>
        <v/>
      </c>
      <c r="BU39" s="667" t="str">
        <f t="shared" si="55"/>
        <v/>
      </c>
      <c r="BV39" s="668" t="str">
        <f t="shared" si="55"/>
        <v/>
      </c>
      <c r="BW39" s="667" t="str">
        <f t="shared" si="55"/>
        <v/>
      </c>
      <c r="BX39" s="668" t="str">
        <f t="shared" si="55"/>
        <v/>
      </c>
      <c r="BY39" s="667" t="str">
        <f t="shared" si="55"/>
        <v/>
      </c>
      <c r="BZ39" s="669" t="str">
        <f t="shared" si="55"/>
        <v/>
      </c>
      <c r="CB39" s="677" t="str">
        <f t="shared" si="29"/>
        <v>Autre pilule</v>
      </c>
      <c r="CC39" s="667" t="str">
        <f t="shared" si="59"/>
        <v/>
      </c>
      <c r="CD39" s="668" t="str">
        <f t="shared" si="60"/>
        <v/>
      </c>
      <c r="CE39" s="667" t="str">
        <f t="shared" si="61"/>
        <v/>
      </c>
      <c r="CF39" s="668" t="str">
        <f t="shared" si="62"/>
        <v/>
      </c>
      <c r="CG39" s="667" t="str">
        <f t="shared" si="63"/>
        <v/>
      </c>
      <c r="CH39" s="668" t="str">
        <f t="shared" si="64"/>
        <v/>
      </c>
      <c r="CI39" s="667" t="str">
        <f t="shared" si="65"/>
        <v/>
      </c>
      <c r="CJ39" s="668" t="str">
        <f t="shared" si="66"/>
        <v/>
      </c>
      <c r="CK39" s="667" t="str">
        <f t="shared" si="67"/>
        <v/>
      </c>
      <c r="CL39" s="668" t="str">
        <f t="shared" si="68"/>
        <v/>
      </c>
      <c r="CM39" s="667" t="str">
        <f t="shared" si="69"/>
        <v/>
      </c>
      <c r="CN39" s="668" t="str">
        <f t="shared" si="70"/>
        <v/>
      </c>
      <c r="CO39" s="667" t="str">
        <f t="shared" si="71"/>
        <v/>
      </c>
      <c r="CP39" s="668" t="str">
        <f t="shared" si="72"/>
        <v/>
      </c>
      <c r="CQ39" s="667" t="str">
        <f t="shared" si="73"/>
        <v/>
      </c>
      <c r="CR39" s="669" t="str">
        <f t="shared" si="74"/>
        <v/>
      </c>
      <c r="CT39" s="776" t="str">
        <f t="shared" si="46"/>
        <v>Autre pilule</v>
      </c>
      <c r="CU39" s="777"/>
      <c r="CV39" s="778"/>
      <c r="CW39" s="777"/>
      <c r="CX39" s="778"/>
      <c r="CY39" s="777"/>
      <c r="CZ39" s="778"/>
      <c r="DA39" s="777"/>
      <c r="DB39" s="778"/>
      <c r="DC39" s="777"/>
      <c r="DD39" s="778"/>
      <c r="DE39" s="777"/>
      <c r="DF39" s="778"/>
      <c r="DG39" s="777"/>
      <c r="DH39" s="778"/>
      <c r="DI39" s="777"/>
      <c r="DJ39" s="779"/>
    </row>
    <row r="40" spans="2:114" ht="17.25" customHeight="1" x14ac:dyDescent="0.25">
      <c r="B40" s="1480" t="str">
        <f>IF(Language="English", 'Language Look Ups'!$O$23,IF(Language="Francais", 'Language Look Ups'!$S$23, 'Language Look Ups'!Q$23))</f>
        <v>Préservatifs</v>
      </c>
      <c r="C40" s="363" t="str">
        <f>IF(Language="English", 'Language Look Ups'!$P$23,IF(Language="Francais", 'Language Look Ups'!$T$23, 'Language Look Ups'!$R$23))</f>
        <v>Préservatifs masculin</v>
      </c>
      <c r="D40" s="407">
        <v>120</v>
      </c>
      <c r="E40" s="408">
        <f t="shared" si="57"/>
        <v>8.3333333333333332E-3</v>
      </c>
      <c r="F40" s="416" t="str">
        <f t="shared" si="53"/>
        <v>par utilisateur par année</v>
      </c>
      <c r="G40" s="409"/>
      <c r="H40" s="410"/>
      <c r="I40" s="409"/>
      <c r="J40" s="410"/>
      <c r="K40" s="409"/>
      <c r="L40" s="410"/>
      <c r="M40" s="409"/>
      <c r="N40" s="410"/>
      <c r="O40" s="409"/>
      <c r="P40" s="410"/>
      <c r="Q40" s="409"/>
      <c r="R40" s="410"/>
      <c r="S40" s="282"/>
      <c r="T40" s="282"/>
      <c r="U40" s="282"/>
      <c r="V40" s="413"/>
      <c r="AA40" s="462" t="str">
        <f t="shared" si="54"/>
        <v>Préservatifs masculin</v>
      </c>
      <c r="AB40" s="1095" t="str">
        <f>IF(AB$21="", "", VLOOKUP($AA40,'4. FPSource Set Up'!$C$96:$H$117, 4, FALSE))</f>
        <v>n/a</v>
      </c>
      <c r="AC40" s="1096" t="str">
        <f>IF(AC$21="", "", VLOOKUP($AA40,'4. FPSource Set Up'!$C$96:$H$117, 4, FALSE))</f>
        <v/>
      </c>
      <c r="AD40" s="1096" t="str">
        <f>IF(AD$21="", "", VLOOKUP($AA40,'4. FPSource Set Up'!$C$96:$H$117, 4, FALSE))</f>
        <v/>
      </c>
      <c r="AE40" s="1096" t="str">
        <f>IF(AE$21="", "", VLOOKUP($AA40,'4. FPSource Set Up'!$C$96:$H$117, 4, FALSE))</f>
        <v/>
      </c>
      <c r="AF40" s="1096" t="str">
        <f>IF(AF$21="", "", VLOOKUP($AA40,'4. FPSource Set Up'!$C$96:$H$117, 4, FALSE))</f>
        <v/>
      </c>
      <c r="AG40" s="1096" t="str">
        <f>IF(AG$21="", "", VLOOKUP($AA40,'4. FPSource Set Up'!$C$96:$H$117, 4, FALSE))</f>
        <v/>
      </c>
      <c r="AH40" s="1096" t="str">
        <f>IF(AH$21="", "", VLOOKUP($AA40,'4. FPSource Set Up'!$C$96:$H$117, 4, FALSE))</f>
        <v/>
      </c>
      <c r="AI40" s="1096" t="str">
        <f>IF(AI$21="", "", VLOOKUP($AA40,'4. FPSource Set Up'!$C$96:$H$117, 4, FALSE))</f>
        <v/>
      </c>
      <c r="AJ40" s="1096" t="str">
        <f>IF(AJ$21="", "", VLOOKUP($AA40,'4. FPSource Set Up'!$C$96:$H$117, 4, FALSE))</f>
        <v/>
      </c>
      <c r="AK40" s="1096" t="str">
        <f>IF(AK$21="", "", VLOOKUP($AA40,'4. FPSource Set Up'!$C$96:$H$117, 4, FALSE))</f>
        <v/>
      </c>
      <c r="AL40" s="1096" t="str">
        <f>IF(AL$21="", "", VLOOKUP($AA40,'4. FPSource Set Up'!$C$96:$H$117, 4, FALSE))</f>
        <v/>
      </c>
      <c r="AM40" s="1096" t="str">
        <f>IF(AM$21="", "", VLOOKUP($AA40,'4. FPSource Set Up'!$C$96:$H$117, 4, FALSE))</f>
        <v/>
      </c>
      <c r="AN40" s="1096" t="str">
        <f>IF(AN$21="", "", VLOOKUP($AA40,'4. FPSource Set Up'!$C$96:$H$117, 4, FALSE))</f>
        <v/>
      </c>
      <c r="AO40" s="1096" t="str">
        <f>IF(AO$21="", "", VLOOKUP($AA40,'4. FPSource Set Up'!$C$96:$H$117, 4, FALSE))</f>
        <v/>
      </c>
      <c r="AP40" s="1096" t="str">
        <f>IF(AP$21="", "", VLOOKUP($AA40,'4. FPSource Set Up'!$C$96:$H$117, 4, FALSE))</f>
        <v/>
      </c>
      <c r="AQ40" s="1097" t="str">
        <f>IF(AQ$21="", "", VLOOKUP($AA40,'4. FPSource Set Up'!$C$96:$H$117, 4, FALSE))</f>
        <v/>
      </c>
      <c r="BA40" s="416" t="s">
        <v>83</v>
      </c>
      <c r="BC40" s="184" t="s">
        <v>836</v>
      </c>
      <c r="BJ40" s="676" t="str">
        <f t="shared" si="14"/>
        <v>Préservatifs masculin</v>
      </c>
      <c r="BK40" s="664" t="str">
        <f t="shared" si="58"/>
        <v/>
      </c>
      <c r="BL40" s="665" t="str">
        <f t="shared" si="55"/>
        <v/>
      </c>
      <c r="BM40" s="664" t="str">
        <f t="shared" si="55"/>
        <v/>
      </c>
      <c r="BN40" s="665" t="str">
        <f t="shared" si="55"/>
        <v/>
      </c>
      <c r="BO40" s="664" t="str">
        <f t="shared" si="55"/>
        <v/>
      </c>
      <c r="BP40" s="665" t="str">
        <f t="shared" si="55"/>
        <v/>
      </c>
      <c r="BQ40" s="664" t="str">
        <f t="shared" si="55"/>
        <v/>
      </c>
      <c r="BR40" s="665" t="str">
        <f t="shared" si="55"/>
        <v/>
      </c>
      <c r="BS40" s="664" t="str">
        <f t="shared" si="55"/>
        <v/>
      </c>
      <c r="BT40" s="665" t="str">
        <f t="shared" si="55"/>
        <v/>
      </c>
      <c r="BU40" s="664" t="str">
        <f t="shared" si="55"/>
        <v/>
      </c>
      <c r="BV40" s="665" t="str">
        <f t="shared" si="55"/>
        <v/>
      </c>
      <c r="BW40" s="664" t="str">
        <f t="shared" si="55"/>
        <v/>
      </c>
      <c r="BX40" s="665" t="str">
        <f t="shared" si="55"/>
        <v/>
      </c>
      <c r="BY40" s="664" t="str">
        <f t="shared" si="55"/>
        <v/>
      </c>
      <c r="BZ40" s="666" t="str">
        <f t="shared" si="55"/>
        <v/>
      </c>
      <c r="CB40" s="676" t="str">
        <f t="shared" si="29"/>
        <v>Préservatifs masculin</v>
      </c>
      <c r="CC40" s="664" t="str">
        <f t="shared" si="59"/>
        <v/>
      </c>
      <c r="CD40" s="665" t="str">
        <f t="shared" si="60"/>
        <v/>
      </c>
      <c r="CE40" s="664" t="str">
        <f t="shared" si="61"/>
        <v/>
      </c>
      <c r="CF40" s="665" t="str">
        <f t="shared" si="62"/>
        <v/>
      </c>
      <c r="CG40" s="664" t="str">
        <f t="shared" si="63"/>
        <v/>
      </c>
      <c r="CH40" s="665" t="str">
        <f t="shared" si="64"/>
        <v/>
      </c>
      <c r="CI40" s="664" t="str">
        <f t="shared" si="65"/>
        <v/>
      </c>
      <c r="CJ40" s="665" t="str">
        <f t="shared" si="66"/>
        <v/>
      </c>
      <c r="CK40" s="664" t="str">
        <f t="shared" si="67"/>
        <v/>
      </c>
      <c r="CL40" s="665" t="str">
        <f t="shared" si="68"/>
        <v/>
      </c>
      <c r="CM40" s="664" t="str">
        <f t="shared" si="69"/>
        <v/>
      </c>
      <c r="CN40" s="665" t="str">
        <f t="shared" si="70"/>
        <v/>
      </c>
      <c r="CO40" s="664" t="str">
        <f t="shared" si="71"/>
        <v/>
      </c>
      <c r="CP40" s="665" t="str">
        <f t="shared" si="72"/>
        <v/>
      </c>
      <c r="CQ40" s="664" t="str">
        <f t="shared" si="73"/>
        <v/>
      </c>
      <c r="CR40" s="666" t="str">
        <f t="shared" si="74"/>
        <v/>
      </c>
      <c r="CT40" s="768" t="str">
        <f t="shared" si="46"/>
        <v>Préservatifs masculin</v>
      </c>
      <c r="CU40" s="769"/>
      <c r="CV40" s="770"/>
      <c r="CW40" s="769"/>
      <c r="CX40" s="770"/>
      <c r="CY40" s="769"/>
      <c r="CZ40" s="770"/>
      <c r="DA40" s="769"/>
      <c r="DB40" s="770"/>
      <c r="DC40" s="769"/>
      <c r="DD40" s="770"/>
      <c r="DE40" s="769"/>
      <c r="DF40" s="770"/>
      <c r="DG40" s="769"/>
      <c r="DH40" s="770"/>
      <c r="DI40" s="769"/>
      <c r="DJ40" s="771"/>
    </row>
    <row r="41" spans="2:114" ht="17.25" customHeight="1" x14ac:dyDescent="0.25">
      <c r="B41" s="1481"/>
      <c r="C41" s="275" t="str">
        <f>IF(Language="English", 'Language Look Ups'!$P$24,IF(Language="Francais", 'Language Look Ups'!$T$24, 'Language Look Ups'!$R$24))</f>
        <v>Préservatifs feminin</v>
      </c>
      <c r="D41" s="276">
        <v>120</v>
      </c>
      <c r="E41" s="99">
        <f t="shared" si="57"/>
        <v>8.3333333333333332E-3</v>
      </c>
      <c r="F41" s="100" t="str">
        <f t="shared" si="53"/>
        <v>par utilisateur par année</v>
      </c>
      <c r="G41" s="284"/>
      <c r="H41" s="285"/>
      <c r="I41" s="284"/>
      <c r="J41" s="285"/>
      <c r="K41" s="284"/>
      <c r="L41" s="285"/>
      <c r="M41" s="284"/>
      <c r="N41" s="285"/>
      <c r="O41" s="284"/>
      <c r="P41" s="285"/>
      <c r="Q41" s="284"/>
      <c r="R41" s="285"/>
      <c r="S41" s="284"/>
      <c r="T41" s="285"/>
      <c r="U41" s="284"/>
      <c r="V41" s="412"/>
      <c r="AA41" s="463" t="str">
        <f t="shared" si="54"/>
        <v>Préservatifs feminin</v>
      </c>
      <c r="AB41" s="1098" t="str">
        <f>IF(AB$21="", "", VLOOKUP($AA41,'4. FPSource Set Up'!$C$96:$H$117, 4, FALSE))</f>
        <v>n/a</v>
      </c>
      <c r="AC41" s="1099" t="str">
        <f>IF(AC$21="", "", VLOOKUP($AA41,'4. FPSource Set Up'!$C$96:$H$117, 4, FALSE))</f>
        <v/>
      </c>
      <c r="AD41" s="1099" t="str">
        <f>IF(AD$21="", "", VLOOKUP($AA41,'4. FPSource Set Up'!$C$96:$H$117, 4, FALSE))</f>
        <v/>
      </c>
      <c r="AE41" s="1099" t="str">
        <f>IF(AE$21="", "", VLOOKUP($AA41,'4. FPSource Set Up'!$C$96:$H$117, 4, FALSE))</f>
        <v/>
      </c>
      <c r="AF41" s="1099" t="str">
        <f>IF(AF$21="", "", VLOOKUP($AA41,'4. FPSource Set Up'!$C$96:$H$117, 4, FALSE))</f>
        <v/>
      </c>
      <c r="AG41" s="1099" t="str">
        <f>IF(AG$21="", "", VLOOKUP($AA41,'4. FPSource Set Up'!$C$96:$H$117, 4, FALSE))</f>
        <v/>
      </c>
      <c r="AH41" s="1099" t="str">
        <f>IF(AH$21="", "", VLOOKUP($AA41,'4. FPSource Set Up'!$C$96:$H$117, 4, FALSE))</f>
        <v/>
      </c>
      <c r="AI41" s="1099" t="str">
        <f>IF(AI$21="", "", VLOOKUP($AA41,'4. FPSource Set Up'!$C$96:$H$117, 4, FALSE))</f>
        <v/>
      </c>
      <c r="AJ41" s="1099" t="str">
        <f>IF(AJ$21="", "", VLOOKUP($AA41,'4. FPSource Set Up'!$C$96:$H$117, 4, FALSE))</f>
        <v/>
      </c>
      <c r="AK41" s="1099" t="str">
        <f>IF(AK$21="", "", VLOOKUP($AA41,'4. FPSource Set Up'!$C$96:$H$117, 4, FALSE))</f>
        <v/>
      </c>
      <c r="AL41" s="1099" t="str">
        <f>IF(AL$21="", "", VLOOKUP($AA41,'4. FPSource Set Up'!$C$96:$H$117, 4, FALSE))</f>
        <v/>
      </c>
      <c r="AM41" s="1099" t="str">
        <f>IF(AM$21="", "", VLOOKUP($AA41,'4. FPSource Set Up'!$C$96:$H$117, 4, FALSE))</f>
        <v/>
      </c>
      <c r="AN41" s="1099" t="str">
        <f>IF(AN$21="", "", VLOOKUP($AA41,'4. FPSource Set Up'!$C$96:$H$117, 4, FALSE))</f>
        <v/>
      </c>
      <c r="AO41" s="1099" t="str">
        <f>IF(AO$21="", "", VLOOKUP($AA41,'4. FPSource Set Up'!$C$96:$H$117, 4, FALSE))</f>
        <v/>
      </c>
      <c r="AP41" s="1099" t="str">
        <f>IF(AP$21="", "", VLOOKUP($AA41,'4. FPSource Set Up'!$C$96:$H$117, 4, FALSE))</f>
        <v/>
      </c>
      <c r="AQ41" s="1100" t="str">
        <f>IF(AQ$21="", "", VLOOKUP($AA41,'4. FPSource Set Up'!$C$96:$H$117, 4, FALSE))</f>
        <v/>
      </c>
      <c r="BA41" s="100" t="s">
        <v>83</v>
      </c>
      <c r="BC41" s="184" t="s">
        <v>836</v>
      </c>
      <c r="BJ41" s="677" t="str">
        <f t="shared" si="14"/>
        <v>Préservatifs feminin</v>
      </c>
      <c r="BK41" s="667" t="str">
        <f t="shared" si="58"/>
        <v/>
      </c>
      <c r="BL41" s="668" t="str">
        <f t="shared" si="55"/>
        <v/>
      </c>
      <c r="BM41" s="667" t="str">
        <f t="shared" si="55"/>
        <v/>
      </c>
      <c r="BN41" s="668" t="str">
        <f t="shared" si="55"/>
        <v/>
      </c>
      <c r="BO41" s="667" t="str">
        <f t="shared" si="55"/>
        <v/>
      </c>
      <c r="BP41" s="668" t="str">
        <f t="shared" si="55"/>
        <v/>
      </c>
      <c r="BQ41" s="667" t="str">
        <f t="shared" si="55"/>
        <v/>
      </c>
      <c r="BR41" s="668" t="str">
        <f t="shared" si="55"/>
        <v/>
      </c>
      <c r="BS41" s="667" t="str">
        <f t="shared" si="55"/>
        <v/>
      </c>
      <c r="BT41" s="668" t="str">
        <f t="shared" si="55"/>
        <v/>
      </c>
      <c r="BU41" s="667" t="str">
        <f t="shared" si="55"/>
        <v/>
      </c>
      <c r="BV41" s="668" t="str">
        <f t="shared" si="55"/>
        <v/>
      </c>
      <c r="BW41" s="667" t="str">
        <f t="shared" si="55"/>
        <v/>
      </c>
      <c r="BX41" s="668" t="str">
        <f t="shared" si="55"/>
        <v/>
      </c>
      <c r="BY41" s="667" t="str">
        <f t="shared" si="55"/>
        <v/>
      </c>
      <c r="BZ41" s="669" t="str">
        <f t="shared" si="55"/>
        <v/>
      </c>
      <c r="CB41" s="677" t="str">
        <f t="shared" si="29"/>
        <v>Préservatifs feminin</v>
      </c>
      <c r="CC41" s="667" t="str">
        <f t="shared" si="59"/>
        <v/>
      </c>
      <c r="CD41" s="668" t="str">
        <f t="shared" si="60"/>
        <v/>
      </c>
      <c r="CE41" s="667" t="str">
        <f t="shared" si="61"/>
        <v/>
      </c>
      <c r="CF41" s="668" t="str">
        <f t="shared" si="62"/>
        <v/>
      </c>
      <c r="CG41" s="667" t="str">
        <f t="shared" si="63"/>
        <v/>
      </c>
      <c r="CH41" s="668" t="str">
        <f t="shared" si="64"/>
        <v/>
      </c>
      <c r="CI41" s="667" t="str">
        <f t="shared" si="65"/>
        <v/>
      </c>
      <c r="CJ41" s="668" t="str">
        <f t="shared" si="66"/>
        <v/>
      </c>
      <c r="CK41" s="667" t="str">
        <f t="shared" si="67"/>
        <v/>
      </c>
      <c r="CL41" s="668" t="str">
        <f t="shared" si="68"/>
        <v/>
      </c>
      <c r="CM41" s="667" t="str">
        <f t="shared" si="69"/>
        <v/>
      </c>
      <c r="CN41" s="668" t="str">
        <f t="shared" si="70"/>
        <v/>
      </c>
      <c r="CO41" s="667" t="str">
        <f t="shared" si="71"/>
        <v/>
      </c>
      <c r="CP41" s="668" t="str">
        <f t="shared" si="72"/>
        <v/>
      </c>
      <c r="CQ41" s="667" t="str">
        <f t="shared" si="73"/>
        <v/>
      </c>
      <c r="CR41" s="669" t="str">
        <f t="shared" si="74"/>
        <v/>
      </c>
      <c r="CT41" s="776" t="str">
        <f t="shared" si="46"/>
        <v>Préservatifs feminin</v>
      </c>
      <c r="CU41" s="777"/>
      <c r="CV41" s="778"/>
      <c r="CW41" s="777"/>
      <c r="CX41" s="778"/>
      <c r="CY41" s="777"/>
      <c r="CZ41" s="778"/>
      <c r="DA41" s="777"/>
      <c r="DB41" s="778"/>
      <c r="DC41" s="777"/>
      <c r="DD41" s="778"/>
      <c r="DE41" s="777"/>
      <c r="DF41" s="778"/>
      <c r="DG41" s="777"/>
      <c r="DH41" s="778"/>
      <c r="DI41" s="777"/>
      <c r="DJ41" s="779"/>
    </row>
    <row r="42" spans="2:114" ht="17.25" customHeight="1" x14ac:dyDescent="0.25">
      <c r="B42" s="1480" t="str">
        <f>IF(Language="English", 'Language Look Ups'!$O$25,IF(Language="Francais", 'Language Look Ups'!$S$25, 'Language Look Ups'!Q$25))</f>
        <v>Autres Méthodes Modernes</v>
      </c>
      <c r="C42" s="363" t="str">
        <f>IF(Language="English", 'Language Look Ups'!$P$25,IF(Language="Francais", 'Language Look Ups'!$T$25, 'Language Look Ups'!$R$25))</f>
        <v>MAMA</v>
      </c>
      <c r="D42" s="407">
        <v>4</v>
      </c>
      <c r="E42" s="408">
        <f t="shared" si="57"/>
        <v>0.25</v>
      </c>
      <c r="F42" s="416" t="str">
        <f t="shared" si="53"/>
        <v>par utilisateur par année</v>
      </c>
      <c r="G42" s="409"/>
      <c r="H42" s="410"/>
      <c r="I42" s="409"/>
      <c r="J42" s="410"/>
      <c r="K42" s="409"/>
      <c r="L42" s="410"/>
      <c r="M42" s="409"/>
      <c r="N42" s="410"/>
      <c r="O42" s="409"/>
      <c r="P42" s="410"/>
      <c r="Q42" s="409"/>
      <c r="R42" s="410"/>
      <c r="S42" s="409"/>
      <c r="T42" s="410"/>
      <c r="U42" s="409"/>
      <c r="V42" s="411"/>
      <c r="AA42" s="462" t="str">
        <f t="shared" si="54"/>
        <v>MAMA</v>
      </c>
      <c r="AB42" s="1116" t="str">
        <f>IF(AB$21="", "", VLOOKUP($AA42,'4. FPSource Set Up'!$C$96:$H$117, 4, FALSE))</f>
        <v>n/a</v>
      </c>
      <c r="AC42" s="1117" t="str">
        <f>IF(AC$21="", "", VLOOKUP($AA42,'4. FPSource Set Up'!$C$96:$H$117, 4, FALSE))</f>
        <v/>
      </c>
      <c r="AD42" s="1117" t="str">
        <f>IF(AD$21="", "", VLOOKUP($AA42,'4. FPSource Set Up'!$C$96:$H$117, 4, FALSE))</f>
        <v/>
      </c>
      <c r="AE42" s="1117" t="str">
        <f>IF(AE$21="", "", VLOOKUP($AA42,'4. FPSource Set Up'!$C$96:$H$117, 4, FALSE))</f>
        <v/>
      </c>
      <c r="AF42" s="1117" t="str">
        <f>IF(AF$21="", "", VLOOKUP($AA42,'4. FPSource Set Up'!$C$96:$H$117, 4, FALSE))</f>
        <v/>
      </c>
      <c r="AG42" s="1117" t="str">
        <f>IF(AG$21="", "", VLOOKUP($AA42,'4. FPSource Set Up'!$C$96:$H$117, 4, FALSE))</f>
        <v/>
      </c>
      <c r="AH42" s="1117" t="str">
        <f>IF(AH$21="", "", VLOOKUP($AA42,'4. FPSource Set Up'!$C$96:$H$117, 4, FALSE))</f>
        <v/>
      </c>
      <c r="AI42" s="1117" t="str">
        <f>IF(AI$21="", "", VLOOKUP($AA42,'4. FPSource Set Up'!$C$96:$H$117, 4, FALSE))</f>
        <v/>
      </c>
      <c r="AJ42" s="1117" t="str">
        <f>IF(AJ$21="", "", VLOOKUP($AA42,'4. FPSource Set Up'!$C$96:$H$117, 4, FALSE))</f>
        <v/>
      </c>
      <c r="AK42" s="1117" t="str">
        <f>IF(AK$21="", "", VLOOKUP($AA42,'4. FPSource Set Up'!$C$96:$H$117, 4, FALSE))</f>
        <v/>
      </c>
      <c r="AL42" s="1117" t="str">
        <f>IF(AL$21="", "", VLOOKUP($AA42,'4. FPSource Set Up'!$C$96:$H$117, 4, FALSE))</f>
        <v/>
      </c>
      <c r="AM42" s="1117" t="str">
        <f>IF(AM$21="", "", VLOOKUP($AA42,'4. FPSource Set Up'!$C$96:$H$117, 4, FALSE))</f>
        <v/>
      </c>
      <c r="AN42" s="1117" t="str">
        <f>IF(AN$21="", "", VLOOKUP($AA42,'4. FPSource Set Up'!$C$96:$H$117, 4, FALSE))</f>
        <v/>
      </c>
      <c r="AO42" s="1117" t="str">
        <f>IF(AO$21="", "", VLOOKUP($AA42,'4. FPSource Set Up'!$C$96:$H$117, 4, FALSE))</f>
        <v/>
      </c>
      <c r="AP42" s="1117" t="str">
        <f>IF(AP$21="", "", VLOOKUP($AA42,'4. FPSource Set Up'!$C$96:$H$117, 4, FALSE))</f>
        <v/>
      </c>
      <c r="AQ42" s="1118" t="str">
        <f>IF(AQ$21="", "", VLOOKUP($AA42,'4. FPSource Set Up'!$C$96:$H$117, 4, FALSE))</f>
        <v/>
      </c>
      <c r="BA42" s="416" t="s">
        <v>83</v>
      </c>
      <c r="BC42" s="184" t="s">
        <v>836</v>
      </c>
      <c r="BJ42" s="676" t="str">
        <f t="shared" si="14"/>
        <v>MAMA</v>
      </c>
      <c r="BK42" s="664" t="str">
        <f t="shared" si="58"/>
        <v/>
      </c>
      <c r="BL42" s="665" t="str">
        <f t="shared" si="55"/>
        <v/>
      </c>
      <c r="BM42" s="664" t="str">
        <f t="shared" si="55"/>
        <v/>
      </c>
      <c r="BN42" s="665" t="str">
        <f t="shared" si="55"/>
        <v/>
      </c>
      <c r="BO42" s="664" t="str">
        <f t="shared" si="55"/>
        <v/>
      </c>
      <c r="BP42" s="665" t="str">
        <f t="shared" si="55"/>
        <v/>
      </c>
      <c r="BQ42" s="664" t="str">
        <f t="shared" si="55"/>
        <v/>
      </c>
      <c r="BR42" s="665" t="str">
        <f t="shared" si="55"/>
        <v/>
      </c>
      <c r="BS42" s="664" t="str">
        <f t="shared" si="55"/>
        <v/>
      </c>
      <c r="BT42" s="665" t="str">
        <f t="shared" si="55"/>
        <v/>
      </c>
      <c r="BU42" s="664" t="str">
        <f t="shared" si="55"/>
        <v/>
      </c>
      <c r="BV42" s="665" t="str">
        <f t="shared" si="55"/>
        <v/>
      </c>
      <c r="BW42" s="664" t="str">
        <f t="shared" si="55"/>
        <v/>
      </c>
      <c r="BX42" s="665" t="str">
        <f t="shared" si="55"/>
        <v/>
      </c>
      <c r="BY42" s="664" t="str">
        <f t="shared" si="55"/>
        <v/>
      </c>
      <c r="BZ42" s="666" t="str">
        <f t="shared" si="55"/>
        <v/>
      </c>
      <c r="CB42" s="676" t="str">
        <f t="shared" si="29"/>
        <v>MAMA</v>
      </c>
      <c r="CC42" s="664" t="str">
        <f t="shared" si="59"/>
        <v/>
      </c>
      <c r="CD42" s="665" t="str">
        <f t="shared" si="60"/>
        <v/>
      </c>
      <c r="CE42" s="664" t="str">
        <f t="shared" si="61"/>
        <v/>
      </c>
      <c r="CF42" s="665" t="str">
        <f t="shared" si="62"/>
        <v/>
      </c>
      <c r="CG42" s="664" t="str">
        <f t="shared" si="63"/>
        <v/>
      </c>
      <c r="CH42" s="665" t="str">
        <f t="shared" si="64"/>
        <v/>
      </c>
      <c r="CI42" s="664" t="str">
        <f t="shared" si="65"/>
        <v/>
      </c>
      <c r="CJ42" s="665" t="str">
        <f t="shared" si="66"/>
        <v/>
      </c>
      <c r="CK42" s="664" t="str">
        <f t="shared" si="67"/>
        <v/>
      </c>
      <c r="CL42" s="665" t="str">
        <f t="shared" si="68"/>
        <v/>
      </c>
      <c r="CM42" s="664" t="str">
        <f t="shared" si="69"/>
        <v/>
      </c>
      <c r="CN42" s="665" t="str">
        <f t="shared" si="70"/>
        <v/>
      </c>
      <c r="CO42" s="664" t="str">
        <f t="shared" si="71"/>
        <v/>
      </c>
      <c r="CP42" s="665" t="str">
        <f t="shared" si="72"/>
        <v/>
      </c>
      <c r="CQ42" s="664" t="str">
        <f t="shared" si="73"/>
        <v/>
      </c>
      <c r="CR42" s="666" t="str">
        <f t="shared" si="74"/>
        <v/>
      </c>
      <c r="CT42" s="768" t="str">
        <f t="shared" si="46"/>
        <v>MAMA</v>
      </c>
      <c r="CU42" s="769"/>
      <c r="CV42" s="770"/>
      <c r="CW42" s="769"/>
      <c r="CX42" s="770"/>
      <c r="CY42" s="769"/>
      <c r="CZ42" s="770"/>
      <c r="DA42" s="769"/>
      <c r="DB42" s="770"/>
      <c r="DC42" s="769"/>
      <c r="DD42" s="770"/>
      <c r="DE42" s="769"/>
      <c r="DF42" s="770"/>
      <c r="DG42" s="769"/>
      <c r="DH42" s="770"/>
      <c r="DI42" s="769"/>
      <c r="DJ42" s="771"/>
    </row>
    <row r="43" spans="2:114" ht="17.25" customHeight="1" x14ac:dyDescent="0.25">
      <c r="B43" s="1482"/>
      <c r="C43" s="277" t="str">
        <f>IF(Language="English", 'Language Look Ups'!$P$26,IF(Language="Francais", 'Language Look Ups'!$T$26, 'Language Look Ups'!$R$26))</f>
        <v>MJF (Jours fixes)</v>
      </c>
      <c r="D43" s="278">
        <v>1.5</v>
      </c>
      <c r="E43" s="101">
        <f>D43</f>
        <v>1.5</v>
      </c>
      <c r="F43" s="102" t="str">
        <f t="shared" si="53"/>
        <v>années de protection</v>
      </c>
      <c r="G43" s="282"/>
      <c r="H43" s="283"/>
      <c r="I43" s="282"/>
      <c r="J43" s="283"/>
      <c r="K43" s="282"/>
      <c r="L43" s="283"/>
      <c r="M43" s="282"/>
      <c r="N43" s="283"/>
      <c r="O43" s="282"/>
      <c r="P43" s="283"/>
      <c r="Q43" s="282"/>
      <c r="R43" s="283"/>
      <c r="S43" s="282"/>
      <c r="T43" s="282"/>
      <c r="U43" s="282"/>
      <c r="V43" s="413"/>
      <c r="AA43" s="464" t="str">
        <f t="shared" si="54"/>
        <v>MJF (Jours fixes)</v>
      </c>
      <c r="AB43" s="1110" t="str">
        <f>IF(AB$21="", "", VLOOKUP($AA43,'4. FPSource Set Up'!$C$96:$H$117, 4, FALSE))</f>
        <v>n/a</v>
      </c>
      <c r="AC43" s="1111" t="str">
        <f>IF(AC$21="", "", VLOOKUP($AA43,'4. FPSource Set Up'!$C$96:$H$117, 4, FALSE))</f>
        <v/>
      </c>
      <c r="AD43" s="1111" t="str">
        <f>IF(AD$21="", "", VLOOKUP($AA43,'4. FPSource Set Up'!$C$96:$H$117, 4, FALSE))</f>
        <v/>
      </c>
      <c r="AE43" s="1111" t="str">
        <f>IF(AE$21="", "", VLOOKUP($AA43,'4. FPSource Set Up'!$C$96:$H$117, 4, FALSE))</f>
        <v/>
      </c>
      <c r="AF43" s="1111" t="str">
        <f>IF(AF$21="", "", VLOOKUP($AA43,'4. FPSource Set Up'!$C$96:$H$117, 4, FALSE))</f>
        <v/>
      </c>
      <c r="AG43" s="1111" t="str">
        <f>IF(AG$21="", "", VLOOKUP($AA43,'4. FPSource Set Up'!$C$96:$H$117, 4, FALSE))</f>
        <v/>
      </c>
      <c r="AH43" s="1111" t="str">
        <f>IF(AH$21="", "", VLOOKUP($AA43,'4. FPSource Set Up'!$C$96:$H$117, 4, FALSE))</f>
        <v/>
      </c>
      <c r="AI43" s="1111" t="str">
        <f>IF(AI$21="", "", VLOOKUP($AA43,'4. FPSource Set Up'!$C$96:$H$117, 4, FALSE))</f>
        <v/>
      </c>
      <c r="AJ43" s="1111" t="str">
        <f>IF(AJ$21="", "", VLOOKUP($AA43,'4. FPSource Set Up'!$C$96:$H$117, 4, FALSE))</f>
        <v/>
      </c>
      <c r="AK43" s="1111" t="str">
        <f>IF(AK$21="", "", VLOOKUP($AA43,'4. FPSource Set Up'!$C$96:$H$117, 4, FALSE))</f>
        <v/>
      </c>
      <c r="AL43" s="1111" t="str">
        <f>IF(AL$21="", "", VLOOKUP($AA43,'4. FPSource Set Up'!$C$96:$H$117, 4, FALSE))</f>
        <v/>
      </c>
      <c r="AM43" s="1111" t="str">
        <f>IF(AM$21="", "", VLOOKUP($AA43,'4. FPSource Set Up'!$C$96:$H$117, 4, FALSE))</f>
        <v/>
      </c>
      <c r="AN43" s="1111" t="str">
        <f>IF(AN$21="", "", VLOOKUP($AA43,'4. FPSource Set Up'!$C$96:$H$117, 4, FALSE))</f>
        <v/>
      </c>
      <c r="AO43" s="1111" t="str">
        <f>IF(AO$21="", "", VLOOKUP($AA43,'4. FPSource Set Up'!$C$96:$H$117, 4, FALSE))</f>
        <v/>
      </c>
      <c r="AP43" s="1111" t="str">
        <f>IF(AP$21="", "", VLOOKUP($AA43,'4. FPSource Set Up'!$C$96:$H$117, 4, FALSE))</f>
        <v/>
      </c>
      <c r="AQ43" s="1112" t="str">
        <f>IF(AQ$21="", "", VLOOKUP($AA43,'4. FPSource Set Up'!$C$96:$H$117, 4, FALSE))</f>
        <v/>
      </c>
      <c r="BA43" s="102" t="s">
        <v>9</v>
      </c>
      <c r="BC43" s="184" t="s">
        <v>835</v>
      </c>
      <c r="BJ43" s="678" t="str">
        <f t="shared" si="14"/>
        <v>MJF (Jours fixes)</v>
      </c>
      <c r="BK43" s="670" t="str">
        <f t="shared" si="58"/>
        <v/>
      </c>
      <c r="BL43" s="671" t="str">
        <f t="shared" si="55"/>
        <v/>
      </c>
      <c r="BM43" s="670" t="str">
        <f t="shared" si="55"/>
        <v/>
      </c>
      <c r="BN43" s="671" t="str">
        <f t="shared" si="55"/>
        <v/>
      </c>
      <c r="BO43" s="670" t="str">
        <f t="shared" si="55"/>
        <v/>
      </c>
      <c r="BP43" s="671" t="str">
        <f t="shared" si="55"/>
        <v/>
      </c>
      <c r="BQ43" s="670" t="str">
        <f t="shared" si="55"/>
        <v/>
      </c>
      <c r="BR43" s="671" t="str">
        <f t="shared" si="55"/>
        <v/>
      </c>
      <c r="BS43" s="670" t="str">
        <f t="shared" si="55"/>
        <v/>
      </c>
      <c r="BT43" s="671" t="str">
        <f t="shared" si="55"/>
        <v/>
      </c>
      <c r="BU43" s="670" t="str">
        <f t="shared" si="55"/>
        <v/>
      </c>
      <c r="BV43" s="671" t="str">
        <f t="shared" si="55"/>
        <v/>
      </c>
      <c r="BW43" s="670" t="str">
        <f t="shared" si="55"/>
        <v/>
      </c>
      <c r="BX43" s="671" t="str">
        <f t="shared" si="55"/>
        <v/>
      </c>
      <c r="BY43" s="670" t="str">
        <f t="shared" si="55"/>
        <v/>
      </c>
      <c r="BZ43" s="672" t="str">
        <f t="shared" si="55"/>
        <v/>
      </c>
      <c r="CB43" s="678" t="str">
        <f t="shared" si="29"/>
        <v>MJF (Jours fixes)</v>
      </c>
      <c r="CC43" s="670" t="str">
        <f t="shared" si="59"/>
        <v/>
      </c>
      <c r="CD43" s="671" t="str">
        <f t="shared" si="60"/>
        <v/>
      </c>
      <c r="CE43" s="670" t="str">
        <f t="shared" si="61"/>
        <v/>
      </c>
      <c r="CF43" s="671" t="str">
        <f t="shared" si="62"/>
        <v/>
      </c>
      <c r="CG43" s="670" t="str">
        <f t="shared" si="63"/>
        <v/>
      </c>
      <c r="CH43" s="671" t="str">
        <f t="shared" si="64"/>
        <v/>
      </c>
      <c r="CI43" s="670" t="str">
        <f t="shared" si="65"/>
        <v/>
      </c>
      <c r="CJ43" s="671" t="str">
        <f t="shared" si="66"/>
        <v/>
      </c>
      <c r="CK43" s="670" t="str">
        <f t="shared" si="67"/>
        <v/>
      </c>
      <c r="CL43" s="671" t="str">
        <f t="shared" si="68"/>
        <v/>
      </c>
      <c r="CM43" s="670" t="str">
        <f t="shared" si="69"/>
        <v/>
      </c>
      <c r="CN43" s="671" t="str">
        <f t="shared" si="70"/>
        <v/>
      </c>
      <c r="CO43" s="670" t="str">
        <f t="shared" si="71"/>
        <v/>
      </c>
      <c r="CP43" s="671" t="str">
        <f t="shared" si="72"/>
        <v/>
      </c>
      <c r="CQ43" s="670" t="str">
        <f t="shared" si="73"/>
        <v/>
      </c>
      <c r="CR43" s="672" t="str">
        <f t="shared" si="74"/>
        <v/>
      </c>
      <c r="CT43" s="772" t="str">
        <f t="shared" si="46"/>
        <v>MJF (Jours fixes)</v>
      </c>
      <c r="CU43" s="773"/>
      <c r="CV43" s="774"/>
      <c r="CW43" s="773"/>
      <c r="CX43" s="774"/>
      <c r="CY43" s="773"/>
      <c r="CZ43" s="774"/>
      <c r="DA43" s="773"/>
      <c r="DB43" s="774"/>
      <c r="DC43" s="773"/>
      <c r="DD43" s="774"/>
      <c r="DE43" s="773"/>
      <c r="DF43" s="774"/>
      <c r="DG43" s="773"/>
      <c r="DH43" s="774"/>
      <c r="DI43" s="773"/>
      <c r="DJ43" s="775"/>
    </row>
    <row r="44" spans="2:114" ht="17.25" customHeight="1" x14ac:dyDescent="0.25">
      <c r="B44" s="1482"/>
      <c r="C44" s="277" t="str">
        <f>IF(Language="English", 'Language Look Ups'!$P$27,IF(Language="Francais", 'Language Look Ups'!$T$27, 'Language Look Ups'!$R$27))</f>
        <v>Barrière vaginale</v>
      </c>
      <c r="D44" s="278">
        <v>1</v>
      </c>
      <c r="E44" s="101">
        <f t="shared" si="57"/>
        <v>1</v>
      </c>
      <c r="F44" s="102" t="str">
        <f t="shared" si="53"/>
        <v>par utilisateur par année</v>
      </c>
      <c r="G44" s="282"/>
      <c r="H44" s="283"/>
      <c r="I44" s="282"/>
      <c r="J44" s="283"/>
      <c r="K44" s="282"/>
      <c r="L44" s="283"/>
      <c r="M44" s="282"/>
      <c r="N44" s="283"/>
      <c r="O44" s="282"/>
      <c r="P44" s="283"/>
      <c r="Q44" s="282"/>
      <c r="R44" s="283"/>
      <c r="S44" s="282"/>
      <c r="T44" s="282"/>
      <c r="U44" s="282"/>
      <c r="V44" s="413"/>
      <c r="AA44" s="464" t="str">
        <f t="shared" si="54"/>
        <v>Barrière vaginale</v>
      </c>
      <c r="AB44" s="1110" t="str">
        <f>IF(AB$21="", "", VLOOKUP($AA44,'4. FPSource Set Up'!$C$96:$H$117, 4, FALSE))</f>
        <v>n/a</v>
      </c>
      <c r="AC44" s="1111" t="str">
        <f>IF(AC$21="", "", VLOOKUP($AA44,'4. FPSource Set Up'!$C$96:$H$117, 4, FALSE))</f>
        <v/>
      </c>
      <c r="AD44" s="1111" t="str">
        <f>IF(AD$21="", "", VLOOKUP($AA44,'4. FPSource Set Up'!$C$96:$H$117, 4, FALSE))</f>
        <v/>
      </c>
      <c r="AE44" s="1111" t="str">
        <f>IF(AE$21="", "", VLOOKUP($AA44,'4. FPSource Set Up'!$C$96:$H$117, 4, FALSE))</f>
        <v/>
      </c>
      <c r="AF44" s="1111" t="str">
        <f>IF(AF$21="", "", VLOOKUP($AA44,'4. FPSource Set Up'!$C$96:$H$117, 4, FALSE))</f>
        <v/>
      </c>
      <c r="AG44" s="1111" t="str">
        <f>IF(AG$21="", "", VLOOKUP($AA44,'4. FPSource Set Up'!$C$96:$H$117, 4, FALSE))</f>
        <v/>
      </c>
      <c r="AH44" s="1111" t="str">
        <f>IF(AH$21="", "", VLOOKUP($AA44,'4. FPSource Set Up'!$C$96:$H$117, 4, FALSE))</f>
        <v/>
      </c>
      <c r="AI44" s="1111" t="str">
        <f>IF(AI$21="", "", VLOOKUP($AA44,'4. FPSource Set Up'!$C$96:$H$117, 4, FALSE))</f>
        <v/>
      </c>
      <c r="AJ44" s="1111" t="str">
        <f>IF(AJ$21="", "", VLOOKUP($AA44,'4. FPSource Set Up'!$C$96:$H$117, 4, FALSE))</f>
        <v/>
      </c>
      <c r="AK44" s="1111" t="str">
        <f>IF(AK$21="", "", VLOOKUP($AA44,'4. FPSource Set Up'!$C$96:$H$117, 4, FALSE))</f>
        <v/>
      </c>
      <c r="AL44" s="1111" t="str">
        <f>IF(AL$21="", "", VLOOKUP($AA44,'4. FPSource Set Up'!$C$96:$H$117, 4, FALSE))</f>
        <v/>
      </c>
      <c r="AM44" s="1111" t="str">
        <f>IF(AM$21="", "", VLOOKUP($AA44,'4. FPSource Set Up'!$C$96:$H$117, 4, FALSE))</f>
        <v/>
      </c>
      <c r="AN44" s="1111" t="str">
        <f>IF(AN$21="", "", VLOOKUP($AA44,'4. FPSource Set Up'!$C$96:$H$117, 4, FALSE))</f>
        <v/>
      </c>
      <c r="AO44" s="1111" t="str">
        <f>IF(AO$21="", "", VLOOKUP($AA44,'4. FPSource Set Up'!$C$96:$H$117, 4, FALSE))</f>
        <v/>
      </c>
      <c r="AP44" s="1111" t="str">
        <f>IF(AP$21="", "", VLOOKUP($AA44,'4. FPSource Set Up'!$C$96:$H$117, 4, FALSE))</f>
        <v/>
      </c>
      <c r="AQ44" s="1112" t="str">
        <f>IF(AQ$21="", "", VLOOKUP($AA44,'4. FPSource Set Up'!$C$96:$H$117, 4, FALSE))</f>
        <v/>
      </c>
      <c r="BA44" s="102" t="s">
        <v>83</v>
      </c>
      <c r="BC44" s="184" t="s">
        <v>836</v>
      </c>
      <c r="BJ44" s="678" t="str">
        <f t="shared" si="14"/>
        <v>Barrière vaginale</v>
      </c>
      <c r="BK44" s="670" t="str">
        <f t="shared" si="58"/>
        <v/>
      </c>
      <c r="BL44" s="671" t="str">
        <f t="shared" si="55"/>
        <v/>
      </c>
      <c r="BM44" s="670" t="str">
        <f t="shared" si="55"/>
        <v/>
      </c>
      <c r="BN44" s="671" t="str">
        <f t="shared" si="55"/>
        <v/>
      </c>
      <c r="BO44" s="670" t="str">
        <f t="shared" si="55"/>
        <v/>
      </c>
      <c r="BP44" s="671" t="str">
        <f t="shared" si="55"/>
        <v/>
      </c>
      <c r="BQ44" s="670" t="str">
        <f t="shared" si="55"/>
        <v/>
      </c>
      <c r="BR44" s="671" t="str">
        <f t="shared" si="55"/>
        <v/>
      </c>
      <c r="BS44" s="670" t="str">
        <f t="shared" si="55"/>
        <v/>
      </c>
      <c r="BT44" s="671" t="str">
        <f t="shared" si="55"/>
        <v/>
      </c>
      <c r="BU44" s="670" t="str">
        <f t="shared" si="55"/>
        <v/>
      </c>
      <c r="BV44" s="671" t="str">
        <f t="shared" si="55"/>
        <v/>
      </c>
      <c r="BW44" s="670" t="str">
        <f t="shared" si="55"/>
        <v/>
      </c>
      <c r="BX44" s="671" t="str">
        <f t="shared" si="55"/>
        <v/>
      </c>
      <c r="BY44" s="670" t="str">
        <f t="shared" si="55"/>
        <v/>
      </c>
      <c r="BZ44" s="672" t="str">
        <f t="shared" si="55"/>
        <v/>
      </c>
      <c r="CB44" s="678" t="str">
        <f t="shared" si="29"/>
        <v>Barrière vaginale</v>
      </c>
      <c r="CC44" s="670" t="str">
        <f t="shared" si="59"/>
        <v/>
      </c>
      <c r="CD44" s="671" t="str">
        <f t="shared" si="60"/>
        <v/>
      </c>
      <c r="CE44" s="670" t="str">
        <f t="shared" si="61"/>
        <v/>
      </c>
      <c r="CF44" s="671" t="str">
        <f t="shared" si="62"/>
        <v/>
      </c>
      <c r="CG44" s="670" t="str">
        <f t="shared" si="63"/>
        <v/>
      </c>
      <c r="CH44" s="671" t="str">
        <f t="shared" si="64"/>
        <v/>
      </c>
      <c r="CI44" s="670" t="str">
        <f t="shared" si="65"/>
        <v/>
      </c>
      <c r="CJ44" s="671" t="str">
        <f t="shared" si="66"/>
        <v/>
      </c>
      <c r="CK44" s="670" t="str">
        <f t="shared" si="67"/>
        <v/>
      </c>
      <c r="CL44" s="671" t="str">
        <f t="shared" si="68"/>
        <v/>
      </c>
      <c r="CM44" s="670" t="str">
        <f t="shared" si="69"/>
        <v/>
      </c>
      <c r="CN44" s="671" t="str">
        <f t="shared" si="70"/>
        <v/>
      </c>
      <c r="CO44" s="670" t="str">
        <f t="shared" si="71"/>
        <v/>
      </c>
      <c r="CP44" s="671" t="str">
        <f t="shared" si="72"/>
        <v/>
      </c>
      <c r="CQ44" s="670" t="str">
        <f t="shared" si="73"/>
        <v/>
      </c>
      <c r="CR44" s="672" t="str">
        <f t="shared" si="74"/>
        <v/>
      </c>
      <c r="CT44" s="772" t="str">
        <f t="shared" si="46"/>
        <v>Barrière vaginale</v>
      </c>
      <c r="CU44" s="773"/>
      <c r="CV44" s="774"/>
      <c r="CW44" s="773"/>
      <c r="CX44" s="774"/>
      <c r="CY44" s="773"/>
      <c r="CZ44" s="774"/>
      <c r="DA44" s="773"/>
      <c r="DB44" s="774"/>
      <c r="DC44" s="773"/>
      <c r="DD44" s="774"/>
      <c r="DE44" s="773"/>
      <c r="DF44" s="774"/>
      <c r="DG44" s="773"/>
      <c r="DH44" s="774"/>
      <c r="DI44" s="773"/>
      <c r="DJ44" s="775"/>
    </row>
    <row r="45" spans="2:114" ht="22.5" customHeight="1" x14ac:dyDescent="0.25">
      <c r="B45" s="1481"/>
      <c r="C45" s="275" t="str">
        <f>IF(Language="English", 'Language Look Ups'!$P$28,IF(Language="Francais", 'Language Look Ups'!$T$28, 'Language Look Ups'!$R$28))</f>
        <v>Spermicides</v>
      </c>
      <c r="D45" s="276">
        <v>120</v>
      </c>
      <c r="E45" s="99">
        <f t="shared" si="57"/>
        <v>8.3333333333333332E-3</v>
      </c>
      <c r="F45" s="100" t="str">
        <f t="shared" si="53"/>
        <v>par utilisateur par année</v>
      </c>
      <c r="G45" s="284"/>
      <c r="H45" s="285"/>
      <c r="I45" s="284"/>
      <c r="J45" s="285"/>
      <c r="K45" s="284"/>
      <c r="L45" s="285"/>
      <c r="M45" s="284"/>
      <c r="N45" s="285"/>
      <c r="O45" s="284"/>
      <c r="P45" s="285"/>
      <c r="Q45" s="284"/>
      <c r="R45" s="285"/>
      <c r="S45" s="282"/>
      <c r="T45" s="282"/>
      <c r="U45" s="282"/>
      <c r="V45" s="413"/>
      <c r="AA45" s="463" t="str">
        <f t="shared" si="54"/>
        <v>Spermicides</v>
      </c>
      <c r="AB45" s="1119" t="str">
        <f>IF(AB$21="", "", VLOOKUP($AA45,'4. FPSource Set Up'!$C$96:$H$117, 4, FALSE))</f>
        <v>n/a</v>
      </c>
      <c r="AC45" s="1120" t="str">
        <f>IF(AC$21="", "", VLOOKUP($AA45,'4. FPSource Set Up'!$C$96:$H$117, 4, FALSE))</f>
        <v/>
      </c>
      <c r="AD45" s="1120" t="str">
        <f>IF(AD$21="", "", VLOOKUP($AA45,'4. FPSource Set Up'!$C$96:$H$117, 4, FALSE))</f>
        <v/>
      </c>
      <c r="AE45" s="1120" t="str">
        <f>IF(AE$21="", "", VLOOKUP($AA45,'4. FPSource Set Up'!$C$96:$H$117, 4, FALSE))</f>
        <v/>
      </c>
      <c r="AF45" s="1120" t="str">
        <f>IF(AF$21="", "", VLOOKUP($AA45,'4. FPSource Set Up'!$C$96:$H$117, 4, FALSE))</f>
        <v/>
      </c>
      <c r="AG45" s="1120" t="str">
        <f>IF(AG$21="", "", VLOOKUP($AA45,'4. FPSource Set Up'!$C$96:$H$117, 4, FALSE))</f>
        <v/>
      </c>
      <c r="AH45" s="1120" t="str">
        <f>IF(AH$21="", "", VLOOKUP($AA45,'4. FPSource Set Up'!$C$96:$H$117, 4, FALSE))</f>
        <v/>
      </c>
      <c r="AI45" s="1120" t="str">
        <f>IF(AI$21="", "", VLOOKUP($AA45,'4. FPSource Set Up'!$C$96:$H$117, 4, FALSE))</f>
        <v/>
      </c>
      <c r="AJ45" s="1120" t="str">
        <f>IF(AJ$21="", "", VLOOKUP($AA45,'4. FPSource Set Up'!$C$96:$H$117, 4, FALSE))</f>
        <v/>
      </c>
      <c r="AK45" s="1120" t="str">
        <f>IF(AK$21="", "", VLOOKUP($AA45,'4. FPSource Set Up'!$C$96:$H$117, 4, FALSE))</f>
        <v/>
      </c>
      <c r="AL45" s="1120" t="str">
        <f>IF(AL$21="", "", VLOOKUP($AA45,'4. FPSource Set Up'!$C$96:$H$117, 4, FALSE))</f>
        <v/>
      </c>
      <c r="AM45" s="1120" t="str">
        <f>IF(AM$21="", "", VLOOKUP($AA45,'4. FPSource Set Up'!$C$96:$H$117, 4, FALSE))</f>
        <v/>
      </c>
      <c r="AN45" s="1120" t="str">
        <f>IF(AN$21="", "", VLOOKUP($AA45,'4. FPSource Set Up'!$C$96:$H$117, 4, FALSE))</f>
        <v/>
      </c>
      <c r="AO45" s="1120" t="str">
        <f>IF(AO$21="", "", VLOOKUP($AA45,'4. FPSource Set Up'!$C$96:$H$117, 4, FALSE))</f>
        <v/>
      </c>
      <c r="AP45" s="1120" t="str">
        <f>IF(AP$21="", "", VLOOKUP($AA45,'4. FPSource Set Up'!$C$96:$H$117, 4, FALSE))</f>
        <v/>
      </c>
      <c r="AQ45" s="1121" t="str">
        <f>IF(AQ$21="", "", VLOOKUP($AA45,'4. FPSource Set Up'!$C$96:$H$117, 4, FALSE))</f>
        <v/>
      </c>
      <c r="BA45" s="100" t="s">
        <v>83</v>
      </c>
      <c r="BC45" s="184" t="s">
        <v>836</v>
      </c>
      <c r="BJ45" s="677" t="str">
        <f t="shared" si="14"/>
        <v>Spermicides</v>
      </c>
      <c r="BK45" s="667" t="str">
        <f t="shared" si="58"/>
        <v/>
      </c>
      <c r="BL45" s="668" t="str">
        <f t="shared" si="55"/>
        <v/>
      </c>
      <c r="BM45" s="667" t="str">
        <f t="shared" si="55"/>
        <v/>
      </c>
      <c r="BN45" s="668" t="str">
        <f t="shared" si="55"/>
        <v/>
      </c>
      <c r="BO45" s="667" t="str">
        <f t="shared" si="55"/>
        <v/>
      </c>
      <c r="BP45" s="668" t="str">
        <f t="shared" si="55"/>
        <v/>
      </c>
      <c r="BQ45" s="667" t="str">
        <f t="shared" si="55"/>
        <v/>
      </c>
      <c r="BR45" s="668" t="str">
        <f t="shared" si="55"/>
        <v/>
      </c>
      <c r="BS45" s="667" t="str">
        <f t="shared" si="55"/>
        <v/>
      </c>
      <c r="BT45" s="668" t="str">
        <f t="shared" si="55"/>
        <v/>
      </c>
      <c r="BU45" s="667" t="str">
        <f t="shared" si="55"/>
        <v/>
      </c>
      <c r="BV45" s="668" t="str">
        <f t="shared" si="55"/>
        <v/>
      </c>
      <c r="BW45" s="667" t="str">
        <f t="shared" si="55"/>
        <v/>
      </c>
      <c r="BX45" s="668" t="str">
        <f t="shared" si="55"/>
        <v/>
      </c>
      <c r="BY45" s="667" t="str">
        <f t="shared" si="55"/>
        <v/>
      </c>
      <c r="BZ45" s="669" t="str">
        <f t="shared" si="55"/>
        <v/>
      </c>
      <c r="CB45" s="677" t="str">
        <f t="shared" si="29"/>
        <v>Spermicides</v>
      </c>
      <c r="CC45" s="667" t="str">
        <f t="shared" si="59"/>
        <v/>
      </c>
      <c r="CD45" s="668" t="str">
        <f t="shared" si="60"/>
        <v/>
      </c>
      <c r="CE45" s="667" t="str">
        <f t="shared" si="61"/>
        <v/>
      </c>
      <c r="CF45" s="668" t="str">
        <f t="shared" si="62"/>
        <v/>
      </c>
      <c r="CG45" s="667" t="str">
        <f t="shared" si="63"/>
        <v/>
      </c>
      <c r="CH45" s="668" t="str">
        <f t="shared" si="64"/>
        <v/>
      </c>
      <c r="CI45" s="667" t="str">
        <f t="shared" si="65"/>
        <v/>
      </c>
      <c r="CJ45" s="668" t="str">
        <f t="shared" si="66"/>
        <v/>
      </c>
      <c r="CK45" s="667" t="str">
        <f t="shared" si="67"/>
        <v/>
      </c>
      <c r="CL45" s="668" t="str">
        <f t="shared" si="68"/>
        <v/>
      </c>
      <c r="CM45" s="667" t="str">
        <f t="shared" si="69"/>
        <v/>
      </c>
      <c r="CN45" s="668" t="str">
        <f t="shared" si="70"/>
        <v/>
      </c>
      <c r="CO45" s="667" t="str">
        <f t="shared" si="71"/>
        <v/>
      </c>
      <c r="CP45" s="668" t="str">
        <f t="shared" si="72"/>
        <v/>
      </c>
      <c r="CQ45" s="667" t="str">
        <f t="shared" si="73"/>
        <v/>
      </c>
      <c r="CR45" s="669" t="str">
        <f t="shared" si="74"/>
        <v/>
      </c>
      <c r="CT45" s="776" t="str">
        <f t="shared" si="46"/>
        <v>Spermicides</v>
      </c>
      <c r="CU45" s="777"/>
      <c r="CV45" s="778"/>
      <c r="CW45" s="777"/>
      <c r="CX45" s="778"/>
      <c r="CY45" s="777"/>
      <c r="CZ45" s="778"/>
      <c r="DA45" s="777"/>
      <c r="DB45" s="778"/>
      <c r="DC45" s="777"/>
      <c r="DD45" s="778"/>
      <c r="DE45" s="777"/>
      <c r="DF45" s="778"/>
      <c r="DG45" s="777"/>
      <c r="DH45" s="778"/>
      <c r="DI45" s="777"/>
      <c r="DJ45" s="779"/>
    </row>
    <row r="46" spans="2:114" ht="30.75" customHeight="1" thickBot="1" x14ac:dyDescent="0.3">
      <c r="B46" s="378" t="str">
        <f>IF(Language="English", 'Language Look Ups'!$O$29,IF(Language="Francais", 'Language Look Ups'!$S$29, 'Language Look Ups'!Q$29))</f>
        <v>Contraception d'urgence</v>
      </c>
      <c r="C46" s="397" t="str">
        <f>IF(Language="English", 'Language Look Ups'!$P$29,IF(Language="Francais", 'Language Look Ups'!$T$29, 'Language Look Ups'!$R$29))</f>
        <v>CU</v>
      </c>
      <c r="D46" s="417">
        <v>20</v>
      </c>
      <c r="E46" s="418">
        <f t="shared" si="57"/>
        <v>0.05</v>
      </c>
      <c r="F46" s="419" t="str">
        <f t="shared" si="53"/>
        <v>par utilisateur par année</v>
      </c>
      <c r="G46" s="420"/>
      <c r="H46" s="421"/>
      <c r="I46" s="420"/>
      <c r="J46" s="421"/>
      <c r="K46" s="420"/>
      <c r="L46" s="421"/>
      <c r="M46" s="420"/>
      <c r="N46" s="421"/>
      <c r="O46" s="420"/>
      <c r="P46" s="421"/>
      <c r="Q46" s="420"/>
      <c r="R46" s="421"/>
      <c r="S46" s="420"/>
      <c r="T46" s="421"/>
      <c r="U46" s="420"/>
      <c r="V46" s="422"/>
      <c r="AA46" s="467" t="str">
        <f t="shared" si="54"/>
        <v>CU</v>
      </c>
      <c r="AB46" s="1122" t="str">
        <f>IF(AB$21="", "", VLOOKUP($AA46,'4. FPSource Set Up'!$C$96:$H$117, 4, FALSE))</f>
        <v>n/a</v>
      </c>
      <c r="AC46" s="1123" t="str">
        <f>IF(AC$21="", "", VLOOKUP($AA46,'4. FPSource Set Up'!$C$96:$H$117, 4, FALSE))</f>
        <v/>
      </c>
      <c r="AD46" s="1123" t="str">
        <f>IF(AD$21="", "", VLOOKUP($AA46,'4. FPSource Set Up'!$C$96:$H$117, 4, FALSE))</f>
        <v/>
      </c>
      <c r="AE46" s="1123" t="str">
        <f>IF(AE$21="", "", VLOOKUP($AA46,'4. FPSource Set Up'!$C$96:$H$117, 4, FALSE))</f>
        <v/>
      </c>
      <c r="AF46" s="1123" t="str">
        <f>IF(AF$21="", "", VLOOKUP($AA46,'4. FPSource Set Up'!$C$96:$H$117, 4, FALSE))</f>
        <v/>
      </c>
      <c r="AG46" s="1123" t="str">
        <f>IF(AG$21="", "", VLOOKUP($AA46,'4. FPSource Set Up'!$C$96:$H$117, 4, FALSE))</f>
        <v/>
      </c>
      <c r="AH46" s="1123" t="str">
        <f>IF(AH$21="", "", VLOOKUP($AA46,'4. FPSource Set Up'!$C$96:$H$117, 4, FALSE))</f>
        <v/>
      </c>
      <c r="AI46" s="1123" t="str">
        <f>IF(AI$21="", "", VLOOKUP($AA46,'4. FPSource Set Up'!$C$96:$H$117, 4, FALSE))</f>
        <v/>
      </c>
      <c r="AJ46" s="1123" t="str">
        <f>IF(AJ$21="", "", VLOOKUP($AA46,'4. FPSource Set Up'!$C$96:$H$117, 4, FALSE))</f>
        <v/>
      </c>
      <c r="AK46" s="1123" t="str">
        <f>IF(AK$21="", "", VLOOKUP($AA46,'4. FPSource Set Up'!$C$96:$H$117, 4, FALSE))</f>
        <v/>
      </c>
      <c r="AL46" s="1123" t="str">
        <f>IF(AL$21="", "", VLOOKUP($AA46,'4. FPSource Set Up'!$C$96:$H$117, 4, FALSE))</f>
        <v/>
      </c>
      <c r="AM46" s="1123" t="str">
        <f>IF(AM$21="", "", VLOOKUP($AA46,'4. FPSource Set Up'!$C$96:$H$117, 4, FALSE))</f>
        <v/>
      </c>
      <c r="AN46" s="1123" t="str">
        <f>IF(AN$21="", "", VLOOKUP($AA46,'4. FPSource Set Up'!$C$96:$H$117, 4, FALSE))</f>
        <v/>
      </c>
      <c r="AO46" s="1123" t="str">
        <f>IF(AO$21="", "", VLOOKUP($AA46,'4. FPSource Set Up'!$C$96:$H$117, 4, FALSE))</f>
        <v/>
      </c>
      <c r="AP46" s="1123" t="str">
        <f>IF(AP$21="", "", VLOOKUP($AA46,'4. FPSource Set Up'!$C$96:$H$117, 4, FALSE))</f>
        <v/>
      </c>
      <c r="AQ46" s="1124" t="str">
        <f>IF(AQ$21="", "", VLOOKUP($AA46,'4. FPSource Set Up'!$C$96:$H$117, 4, FALSE))</f>
        <v/>
      </c>
      <c r="BA46" s="419" t="s">
        <v>83</v>
      </c>
      <c r="BC46" s="184" t="s">
        <v>836</v>
      </c>
      <c r="BJ46" s="680" t="str">
        <f t="shared" si="14"/>
        <v>CU</v>
      </c>
      <c r="BK46" s="681" t="str">
        <f t="shared" si="58"/>
        <v/>
      </c>
      <c r="BL46" s="682" t="str">
        <f t="shared" si="55"/>
        <v/>
      </c>
      <c r="BM46" s="681" t="str">
        <f t="shared" si="55"/>
        <v/>
      </c>
      <c r="BN46" s="682" t="str">
        <f t="shared" si="55"/>
        <v/>
      </c>
      <c r="BO46" s="681" t="str">
        <f t="shared" si="55"/>
        <v/>
      </c>
      <c r="BP46" s="682" t="str">
        <f t="shared" si="55"/>
        <v/>
      </c>
      <c r="BQ46" s="681" t="str">
        <f t="shared" si="55"/>
        <v/>
      </c>
      <c r="BR46" s="682" t="str">
        <f t="shared" si="55"/>
        <v/>
      </c>
      <c r="BS46" s="681" t="str">
        <f t="shared" si="55"/>
        <v/>
      </c>
      <c r="BT46" s="682" t="str">
        <f t="shared" si="55"/>
        <v/>
      </c>
      <c r="BU46" s="681" t="str">
        <f t="shared" si="55"/>
        <v/>
      </c>
      <c r="BV46" s="682" t="str">
        <f t="shared" si="55"/>
        <v/>
      </c>
      <c r="BW46" s="681" t="str">
        <f t="shared" si="55"/>
        <v/>
      </c>
      <c r="BX46" s="682" t="str">
        <f t="shared" si="55"/>
        <v/>
      </c>
      <c r="BY46" s="681" t="str">
        <f t="shared" si="55"/>
        <v/>
      </c>
      <c r="BZ46" s="683" t="str">
        <f t="shared" si="55"/>
        <v/>
      </c>
      <c r="CB46" s="680" t="str">
        <f t="shared" si="29"/>
        <v>CU</v>
      </c>
      <c r="CC46" s="681" t="str">
        <f t="shared" si="59"/>
        <v/>
      </c>
      <c r="CD46" s="682" t="str">
        <f t="shared" si="60"/>
        <v/>
      </c>
      <c r="CE46" s="681" t="str">
        <f t="shared" si="61"/>
        <v/>
      </c>
      <c r="CF46" s="682" t="str">
        <f t="shared" si="62"/>
        <v/>
      </c>
      <c r="CG46" s="681" t="str">
        <f t="shared" si="63"/>
        <v/>
      </c>
      <c r="CH46" s="682" t="str">
        <f t="shared" si="64"/>
        <v/>
      </c>
      <c r="CI46" s="681" t="str">
        <f t="shared" si="65"/>
        <v/>
      </c>
      <c r="CJ46" s="682" t="str">
        <f t="shared" si="66"/>
        <v/>
      </c>
      <c r="CK46" s="681" t="str">
        <f t="shared" si="67"/>
        <v/>
      </c>
      <c r="CL46" s="682" t="str">
        <f t="shared" si="68"/>
        <v/>
      </c>
      <c r="CM46" s="681" t="str">
        <f t="shared" si="69"/>
        <v/>
      </c>
      <c r="CN46" s="682" t="str">
        <f t="shared" si="70"/>
        <v/>
      </c>
      <c r="CO46" s="681" t="str">
        <f t="shared" si="71"/>
        <v/>
      </c>
      <c r="CP46" s="682" t="str">
        <f t="shared" si="72"/>
        <v/>
      </c>
      <c r="CQ46" s="681" t="str">
        <f t="shared" si="73"/>
        <v/>
      </c>
      <c r="CR46" s="683" t="str">
        <f t="shared" si="74"/>
        <v/>
      </c>
      <c r="CT46" s="780" t="str">
        <f t="shared" si="46"/>
        <v>CU</v>
      </c>
      <c r="CU46" s="781"/>
      <c r="CV46" s="782"/>
      <c r="CW46" s="781"/>
      <c r="CX46" s="782"/>
      <c r="CY46" s="781"/>
      <c r="CZ46" s="782"/>
      <c r="DA46" s="781"/>
      <c r="DB46" s="782"/>
      <c r="DC46" s="781"/>
      <c r="DD46" s="782"/>
      <c r="DE46" s="781"/>
      <c r="DF46" s="782"/>
      <c r="DG46" s="781"/>
      <c r="DH46" s="782"/>
      <c r="DI46" s="781"/>
      <c r="DJ46" s="783"/>
    </row>
    <row r="47" spans="2:114" ht="19.149999999999999" customHeight="1" thickBot="1" x14ac:dyDescent="0.35">
      <c r="B47" s="429" t="str">
        <f>IF(Language="English",'Language Look Ups'!O30,'Language Look Ups'!S30)</f>
        <v>CAP Totale</v>
      </c>
      <c r="C47" s="430"/>
      <c r="D47" s="430"/>
      <c r="E47" s="431"/>
      <c r="F47" s="432"/>
      <c r="G47" s="433">
        <f>IF(G21="", "", SUMPRODUCT(G23:G46, $E$23:$E$46))</f>
        <v>0</v>
      </c>
      <c r="H47" s="433" t="str">
        <f t="shared" ref="H47:V47" si="75">IF(H21="", "", SUMPRODUCT(H23:H46, $E$23:$E$46))</f>
        <v/>
      </c>
      <c r="I47" s="433" t="str">
        <f t="shared" si="75"/>
        <v/>
      </c>
      <c r="J47" s="433" t="str">
        <f t="shared" si="75"/>
        <v/>
      </c>
      <c r="K47" s="433" t="str">
        <f t="shared" si="75"/>
        <v/>
      </c>
      <c r="L47" s="433" t="str">
        <f t="shared" si="75"/>
        <v/>
      </c>
      <c r="M47" s="433" t="str">
        <f t="shared" si="75"/>
        <v/>
      </c>
      <c r="N47" s="433" t="str">
        <f t="shared" si="75"/>
        <v/>
      </c>
      <c r="O47" s="433" t="str">
        <f t="shared" si="75"/>
        <v/>
      </c>
      <c r="P47" s="433" t="str">
        <f t="shared" si="75"/>
        <v/>
      </c>
      <c r="Q47" s="433" t="str">
        <f t="shared" si="75"/>
        <v/>
      </c>
      <c r="R47" s="433" t="str">
        <f t="shared" si="75"/>
        <v/>
      </c>
      <c r="S47" s="433" t="str">
        <f t="shared" si="75"/>
        <v/>
      </c>
      <c r="T47" s="433" t="str">
        <f t="shared" si="75"/>
        <v/>
      </c>
      <c r="U47" s="433" t="str">
        <f t="shared" si="75"/>
        <v/>
      </c>
      <c r="V47" s="433" t="str">
        <f t="shared" si="75"/>
        <v/>
      </c>
      <c r="BJ47" s="178"/>
      <c r="CB47" s="178"/>
      <c r="CT47" s="178"/>
    </row>
    <row r="48" spans="2:114" ht="12.75" customHeight="1" x14ac:dyDescent="0.25">
      <c r="BJ48" t="s">
        <v>313</v>
      </c>
      <c r="BK48" s="2" t="e">
        <f>IF(BK21="",NA(),IF(SUM(BK23:BK46)=0,NA(),SUM(BK23:BK46)))</f>
        <v>#N/A</v>
      </c>
      <c r="BL48" s="2" t="e">
        <f t="shared" ref="BL48:BZ48" si="76">IF(BL21="",NA(),IF(SUM(BL23:BL46)=0,NA(),SUM(BL23:BL46)))</f>
        <v>#N/A</v>
      </c>
      <c r="BM48" s="2" t="e">
        <f t="shared" si="76"/>
        <v>#N/A</v>
      </c>
      <c r="BN48" s="2" t="e">
        <f t="shared" si="76"/>
        <v>#N/A</v>
      </c>
      <c r="BO48" s="2" t="e">
        <f t="shared" si="76"/>
        <v>#N/A</v>
      </c>
      <c r="BP48" s="2" t="e">
        <f t="shared" si="76"/>
        <v>#N/A</v>
      </c>
      <c r="BQ48" s="2" t="e">
        <f t="shared" si="76"/>
        <v>#N/A</v>
      </c>
      <c r="BR48" s="2" t="e">
        <f t="shared" si="76"/>
        <v>#N/A</v>
      </c>
      <c r="BS48" s="2" t="e">
        <f t="shared" si="76"/>
        <v>#N/A</v>
      </c>
      <c r="BT48" s="2" t="e">
        <f t="shared" si="76"/>
        <v>#N/A</v>
      </c>
      <c r="BU48" s="2" t="e">
        <f t="shared" si="76"/>
        <v>#N/A</v>
      </c>
      <c r="BV48" s="2" t="e">
        <f t="shared" si="76"/>
        <v>#N/A</v>
      </c>
      <c r="BW48" s="2" t="e">
        <f t="shared" si="76"/>
        <v>#N/A</v>
      </c>
      <c r="BX48" s="2" t="e">
        <f t="shared" si="76"/>
        <v>#N/A</v>
      </c>
      <c r="BY48" s="2" t="e">
        <f t="shared" si="76"/>
        <v>#N/A</v>
      </c>
      <c r="BZ48" s="2" t="e">
        <f t="shared" si="76"/>
        <v>#N/A</v>
      </c>
      <c r="CB48" t="s">
        <v>313</v>
      </c>
      <c r="CC48" s="2" t="str">
        <f>IF(CC21="",NA(),IF(SUM(CC23:CC46)=0,"",SUM(CC23:CC46)))</f>
        <v/>
      </c>
      <c r="CD48" s="2" t="e">
        <f t="shared" ref="CD48:CR48" si="77">IF(CD21="",NA(),IF(SUM(CD23:CD46)=0,"",SUM(CD23:CD46)))</f>
        <v>#N/A</v>
      </c>
      <c r="CE48" s="2" t="e">
        <f t="shared" si="77"/>
        <v>#N/A</v>
      </c>
      <c r="CF48" s="2" t="e">
        <f t="shared" si="77"/>
        <v>#N/A</v>
      </c>
      <c r="CG48" s="2" t="e">
        <f t="shared" si="77"/>
        <v>#N/A</v>
      </c>
      <c r="CH48" s="2" t="e">
        <f t="shared" si="77"/>
        <v>#N/A</v>
      </c>
      <c r="CI48" s="2" t="e">
        <f t="shared" si="77"/>
        <v>#N/A</v>
      </c>
      <c r="CJ48" s="2" t="e">
        <f t="shared" si="77"/>
        <v>#N/A</v>
      </c>
      <c r="CK48" s="2" t="e">
        <f t="shared" si="77"/>
        <v>#N/A</v>
      </c>
      <c r="CL48" s="2" t="e">
        <f t="shared" si="77"/>
        <v>#N/A</v>
      </c>
      <c r="CM48" s="2" t="e">
        <f t="shared" si="77"/>
        <v>#N/A</v>
      </c>
      <c r="CN48" s="2" t="e">
        <f t="shared" si="77"/>
        <v>#N/A</v>
      </c>
      <c r="CO48" s="2" t="e">
        <f t="shared" si="77"/>
        <v>#N/A</v>
      </c>
      <c r="CP48" s="2" t="e">
        <f t="shared" si="77"/>
        <v>#N/A</v>
      </c>
      <c r="CQ48" s="2" t="e">
        <f t="shared" si="77"/>
        <v>#N/A</v>
      </c>
      <c r="CR48" s="2" t="e">
        <f t="shared" si="77"/>
        <v>#N/A</v>
      </c>
    </row>
    <row r="49" spans="1:115" s="1" customFormat="1" ht="42" hidden="1" customHeight="1" outlineLevel="1" thickBot="1" x14ac:dyDescent="0.3">
      <c r="A49" s="1557" t="s">
        <v>1218</v>
      </c>
      <c r="B49" s="1509" t="s">
        <v>1216</v>
      </c>
      <c r="C49" s="1510"/>
      <c r="D49" s="1510"/>
      <c r="E49" s="1510"/>
      <c r="F49" s="1510"/>
      <c r="G49" s="1510"/>
      <c r="H49" s="1510"/>
      <c r="I49" s="1510"/>
      <c r="J49" s="1510"/>
      <c r="K49" s="1510"/>
      <c r="L49" s="1510"/>
      <c r="M49" s="1510"/>
      <c r="N49" s="1510"/>
      <c r="O49" s="1510"/>
      <c r="P49" s="1510"/>
      <c r="Q49" s="1510"/>
      <c r="R49" s="1510"/>
      <c r="S49" s="1510"/>
      <c r="T49" s="1510"/>
      <c r="U49" s="1510"/>
      <c r="V49" s="1511"/>
      <c r="W49"/>
      <c r="X49"/>
      <c r="Y49"/>
      <c r="Z49"/>
      <c r="AA49"/>
      <c r="AB49" s="43" t="s">
        <v>1195</v>
      </c>
      <c r="AC49" s="44" t="s">
        <v>1196</v>
      </c>
      <c r="AD49" s="854" t="s">
        <v>1199</v>
      </c>
      <c r="AE49" s="855" t="s">
        <v>1200</v>
      </c>
      <c r="AF49" s="43"/>
      <c r="AG49" s="44"/>
      <c r="AH49" s="43"/>
      <c r="AI49" s="44"/>
      <c r="AJ49" s="44"/>
      <c r="AK49" s="44"/>
      <c r="AL49" s="44"/>
      <c r="AM49" s="44"/>
      <c r="AN49" s="44"/>
      <c r="AO49" s="44"/>
      <c r="AP49" s="44"/>
      <c r="AQ49" s="45"/>
      <c r="AS49"/>
      <c r="AT49"/>
      <c r="AU49"/>
      <c r="AV49"/>
      <c r="AW49"/>
      <c r="AX49"/>
      <c r="AY49"/>
      <c r="AZ49"/>
      <c r="BA49" s="184"/>
      <c r="BB49" s="184"/>
      <c r="BC49" s="184"/>
      <c r="BD49"/>
      <c r="BE49"/>
      <c r="BF49"/>
      <c r="BG49"/>
      <c r="BH49"/>
      <c r="BI49" s="181"/>
      <c r="DK49"/>
    </row>
    <row r="50" spans="1:115" ht="17.25" hidden="1" customHeight="1" outlineLevel="1" thickBot="1" x14ac:dyDescent="0.3">
      <c r="A50" s="1557"/>
      <c r="B50" s="1527" t="str">
        <f>IF(Language="English",'Language Look Ups'!$O$6,IF(Language="Francais",'Language Look Ups'!$S$6,'Language Look Ups'!$Q$6))</f>
        <v>Stérilisation</v>
      </c>
      <c r="C50" s="885" t="str">
        <f>IF(Language="English", 'Language Look Ups'!$P$6,IF(Language="Francais", 'Language Look Ups'!$T$6, 'Language Look Ups'!$R$6))</f>
        <v>Ligature des trompes</v>
      </c>
      <c r="D50" s="886"/>
      <c r="E50" s="886"/>
      <c r="F50" s="887"/>
      <c r="G50" s="883" t="str">
        <f>IF(G23="", "", IF(OR(G23&gt;$AD50, G23&lt;$AE50), G$21&amp;",", ""))</f>
        <v/>
      </c>
      <c r="H50" s="883" t="str">
        <f t="shared" ref="H50:V50" si="78">IF(H23="", "", IF(OR(H23&gt;$AD50, H23&lt;$AE50), H$21&amp;",", ""))</f>
        <v/>
      </c>
      <c r="I50" s="883" t="str">
        <f t="shared" si="78"/>
        <v/>
      </c>
      <c r="J50" s="883" t="str">
        <f t="shared" si="78"/>
        <v/>
      </c>
      <c r="K50" s="883" t="str">
        <f t="shared" si="78"/>
        <v/>
      </c>
      <c r="L50" s="883" t="str">
        <f t="shared" si="78"/>
        <v/>
      </c>
      <c r="M50" s="883" t="str">
        <f t="shared" si="78"/>
        <v/>
      </c>
      <c r="N50" s="883" t="str">
        <f t="shared" si="78"/>
        <v/>
      </c>
      <c r="O50" s="883" t="str">
        <f t="shared" si="78"/>
        <v/>
      </c>
      <c r="P50" s="883" t="str">
        <f t="shared" si="78"/>
        <v/>
      </c>
      <c r="Q50" s="883" t="str">
        <f t="shared" si="78"/>
        <v/>
      </c>
      <c r="R50" s="883" t="str">
        <f t="shared" si="78"/>
        <v/>
      </c>
      <c r="S50" s="883" t="str">
        <f t="shared" si="78"/>
        <v/>
      </c>
      <c r="T50" s="883" t="str">
        <f t="shared" si="78"/>
        <v/>
      </c>
      <c r="U50" s="883" t="str">
        <f t="shared" si="78"/>
        <v/>
      </c>
      <c r="V50" s="883" t="str">
        <f t="shared" si="78"/>
        <v/>
      </c>
      <c r="W50" s="884">
        <f>COUNTIF(G50:V50, "*,*")</f>
        <v>0</v>
      </c>
      <c r="X50">
        <v>25</v>
      </c>
      <c r="Y50" t="str">
        <f>IF(W50&gt;0, HLOOKUP("OUTLIER", $G50:$V$75, X50, 0), "")</f>
        <v/>
      </c>
      <c r="AA50" s="148" t="str">
        <f>IF(W50=0, "", C50&amp;": "&amp;CONCATENATE( IF(ISBLANK(G50), "", G50), IF(ISBLANK(H50), "", H50), IF(ISBLANK(I50), "", I50), IF(ISBLANK(J50), "", J50), IF(ISBLANK(K50), "", K50), IF(ISBLANK(L50), "", L50), IF(ISBLANK(M50), "", M50), IF(ISBLANK(N50), "", N50), IF(ISBLANK(O50), "", O50), IF(ISBLANK(P50), "", P50), IF(ISBLANK(Q50), "", Q50), IF(ISBLANK(R50), "", R50), IF(ISBLANK(S50), "", S50), IF(ISBLANK(T50), "", T50), IF(ISBLANK(U50), "", U50), IF(ISBLANK(V50), "", V50)))</f>
        <v/>
      </c>
      <c r="AB50" s="856" t="e">
        <f>AVERAGE($G23:$V23)</f>
        <v>#DIV/0!</v>
      </c>
      <c r="AC50" s="934" t="e">
        <f>STDEV($G23:$V23)*2</f>
        <v>#DIV/0!</v>
      </c>
      <c r="AD50" s="856" t="e">
        <f>AB50+AC50</f>
        <v>#DIV/0!</v>
      </c>
      <c r="AE50" s="856" t="e">
        <f>AB50-AC50</f>
        <v>#DIV/0!</v>
      </c>
    </row>
    <row r="51" spans="1:115" ht="17.25" hidden="1" customHeight="1" outlineLevel="1" thickBot="1" x14ac:dyDescent="0.3">
      <c r="A51" s="1557"/>
      <c r="B51" s="1528"/>
      <c r="C51" s="888" t="str">
        <f>IF(Language="English",'Language Look Ups'!$P$7,IF(Language="Francais",'Language Look Ups'!$T$7,'Language Look Ups'!$R$7))</f>
        <v>Vasectomie</v>
      </c>
      <c r="D51" s="889"/>
      <c r="E51" s="889"/>
      <c r="F51" s="890"/>
      <c r="G51" s="883" t="str">
        <f t="shared" ref="G51:V56" si="79">IF(G24="", "", IF(OR(G24&gt;$AD51, G24&lt;$AE51), G$21&amp;",", ""))</f>
        <v/>
      </c>
      <c r="H51" s="883" t="str">
        <f t="shared" si="79"/>
        <v/>
      </c>
      <c r="I51" s="883" t="str">
        <f t="shared" si="79"/>
        <v/>
      </c>
      <c r="J51" s="883" t="str">
        <f t="shared" si="79"/>
        <v/>
      </c>
      <c r="K51" s="883" t="str">
        <f t="shared" si="79"/>
        <v/>
      </c>
      <c r="L51" s="883" t="str">
        <f t="shared" si="79"/>
        <v/>
      </c>
      <c r="M51" s="883" t="str">
        <f t="shared" si="79"/>
        <v/>
      </c>
      <c r="N51" s="883" t="str">
        <f t="shared" si="79"/>
        <v/>
      </c>
      <c r="O51" s="883" t="str">
        <f t="shared" si="79"/>
        <v/>
      </c>
      <c r="P51" s="883" t="str">
        <f t="shared" si="79"/>
        <v/>
      </c>
      <c r="Q51" s="883" t="str">
        <f t="shared" si="79"/>
        <v/>
      </c>
      <c r="R51" s="883" t="str">
        <f t="shared" si="79"/>
        <v/>
      </c>
      <c r="S51" s="883" t="str">
        <f t="shared" si="79"/>
        <v/>
      </c>
      <c r="T51" s="883" t="str">
        <f t="shared" si="79"/>
        <v/>
      </c>
      <c r="U51" s="883" t="str">
        <f t="shared" si="79"/>
        <v/>
      </c>
      <c r="V51" s="883" t="str">
        <f t="shared" si="79"/>
        <v/>
      </c>
      <c r="W51" s="884">
        <f t="shared" ref="W51:W73" si="80">COUNTIF(G51:V51, "*,*")</f>
        <v>0</v>
      </c>
      <c r="X51">
        <v>24</v>
      </c>
      <c r="Y51" t="str">
        <f>IF(W51&gt;0, HLOOKUP("OUTLIER", $G51:$V$75, X51, 0), "")</f>
        <v/>
      </c>
      <c r="AA51" s="148" t="str">
        <f t="shared" ref="AA51:AA74" si="81">IF(W51=0, "", C51&amp;": "&amp;CONCATENATE( IF(ISBLANK(G51), "", G51), IF(ISBLANK(H51), "", H51), IF(ISBLANK(I51), "", I51), IF(ISBLANK(J51), "", J51), IF(ISBLANK(K51), "", K51), IF(ISBLANK(L51), "", L51), IF(ISBLANK(M51), "", M51), IF(ISBLANK(N51), "", N51), IF(ISBLANK(O51), "", O51), IF(ISBLANK(P51), "", P51), IF(ISBLANK(Q51), "", Q51), IF(ISBLANK(R51), "", R51), IF(ISBLANK(S51), "", S51), IF(ISBLANK(T51), "", T51), IF(ISBLANK(U51), "", U51), IF(ISBLANK(V51), "", V51)))</f>
        <v/>
      </c>
      <c r="AB51" s="856" t="e">
        <f t="shared" ref="AB51:AB74" si="82">AVERAGE($G24:$V24)</f>
        <v>#DIV/0!</v>
      </c>
      <c r="AC51" s="934" t="e">
        <f t="shared" ref="AC51:AC74" si="83">STDEV($G24:$V24)*2</f>
        <v>#DIV/0!</v>
      </c>
      <c r="AD51" s="856" t="e">
        <f t="shared" ref="AD51:AD74" si="84">AB51+AC51</f>
        <v>#DIV/0!</v>
      </c>
      <c r="AE51" s="856" t="e">
        <f t="shared" ref="AE51:AE74" si="85">AB51-AC51</f>
        <v>#DIV/0!</v>
      </c>
    </row>
    <row r="52" spans="1:115" ht="17.25" hidden="1" customHeight="1" outlineLevel="1" thickBot="1" x14ac:dyDescent="0.3">
      <c r="A52" s="1557"/>
      <c r="B52" s="1527" t="str">
        <f>IF(Language="English", 'Language Look Ups'!$O$8,IF(Language="Francais", 'Language Look Ups'!$S$8, 'Language Look Ups'!$Q$8))</f>
        <v>DIU</v>
      </c>
      <c r="C52" s="885" t="str">
        <f>IF(Language="English", 'Language Look Ups'!$P$8,IF(Language="Francais", 'Language Look Ups'!$T$8, 'Language Look Ups'!$R$8))</f>
        <v>Copper- T 380-A DIU</v>
      </c>
      <c r="D52" s="886"/>
      <c r="E52" s="886"/>
      <c r="F52" s="887"/>
      <c r="G52" s="883" t="str">
        <f t="shared" si="79"/>
        <v/>
      </c>
      <c r="H52" s="883" t="str">
        <f t="shared" si="79"/>
        <v/>
      </c>
      <c r="I52" s="883" t="str">
        <f t="shared" si="79"/>
        <v/>
      </c>
      <c r="J52" s="883" t="str">
        <f t="shared" si="79"/>
        <v/>
      </c>
      <c r="K52" s="883" t="str">
        <f t="shared" si="79"/>
        <v/>
      </c>
      <c r="L52" s="883" t="str">
        <f t="shared" si="79"/>
        <v/>
      </c>
      <c r="M52" s="883" t="str">
        <f t="shared" si="79"/>
        <v/>
      </c>
      <c r="N52" s="883" t="str">
        <f t="shared" si="79"/>
        <v/>
      </c>
      <c r="O52" s="883" t="str">
        <f t="shared" si="79"/>
        <v/>
      </c>
      <c r="P52" s="883" t="str">
        <f t="shared" si="79"/>
        <v/>
      </c>
      <c r="Q52" s="883" t="str">
        <f t="shared" si="79"/>
        <v/>
      </c>
      <c r="R52" s="883" t="str">
        <f t="shared" si="79"/>
        <v/>
      </c>
      <c r="S52" s="883" t="str">
        <f t="shared" si="79"/>
        <v/>
      </c>
      <c r="T52" s="883" t="str">
        <f t="shared" si="79"/>
        <v/>
      </c>
      <c r="U52" s="883" t="str">
        <f t="shared" si="79"/>
        <v/>
      </c>
      <c r="V52" s="883" t="str">
        <f t="shared" si="79"/>
        <v/>
      </c>
      <c r="W52" s="884">
        <f t="shared" si="80"/>
        <v>0</v>
      </c>
      <c r="X52">
        <v>23</v>
      </c>
      <c r="Y52" t="str">
        <f>IF(W52&gt;0, HLOOKUP("OUTLIER", $G52:$V$75, X52, 0), "")</f>
        <v/>
      </c>
      <c r="AA52" s="148" t="str">
        <f t="shared" si="81"/>
        <v/>
      </c>
      <c r="AB52" s="856" t="e">
        <f t="shared" si="82"/>
        <v>#DIV/0!</v>
      </c>
      <c r="AC52" s="934" t="e">
        <f t="shared" si="83"/>
        <v>#DIV/0!</v>
      </c>
      <c r="AD52" s="856" t="e">
        <f t="shared" si="84"/>
        <v>#DIV/0!</v>
      </c>
      <c r="AE52" s="856" t="e">
        <f t="shared" si="85"/>
        <v>#DIV/0!</v>
      </c>
    </row>
    <row r="53" spans="1:115" ht="17.25" hidden="1" customHeight="1" outlineLevel="1" thickBot="1" x14ac:dyDescent="0.3">
      <c r="A53" s="1557"/>
      <c r="B53" s="1528"/>
      <c r="C53" s="888" t="str">
        <f>IF(Language="English", 'Language Look Ups'!$P$9,IF(Language="Francais", 'Language Look Ups'!$T$9, 'Language Look Ups'!$R$9))</f>
        <v>DIU Hormonal (LNG-IUS)</v>
      </c>
      <c r="D53" s="889"/>
      <c r="E53" s="889"/>
      <c r="F53" s="890"/>
      <c r="G53" s="883" t="str">
        <f t="shared" si="79"/>
        <v/>
      </c>
      <c r="H53" s="883" t="str">
        <f t="shared" si="79"/>
        <v/>
      </c>
      <c r="I53" s="883" t="str">
        <f t="shared" si="79"/>
        <v/>
      </c>
      <c r="J53" s="883" t="str">
        <f t="shared" si="79"/>
        <v/>
      </c>
      <c r="K53" s="883" t="str">
        <f t="shared" si="79"/>
        <v/>
      </c>
      <c r="L53" s="883" t="str">
        <f t="shared" si="79"/>
        <v/>
      </c>
      <c r="M53" s="883" t="str">
        <f t="shared" si="79"/>
        <v/>
      </c>
      <c r="N53" s="883" t="str">
        <f t="shared" si="79"/>
        <v/>
      </c>
      <c r="O53" s="883" t="str">
        <f t="shared" si="79"/>
        <v/>
      </c>
      <c r="P53" s="883" t="str">
        <f t="shared" si="79"/>
        <v/>
      </c>
      <c r="Q53" s="883" t="str">
        <f t="shared" si="79"/>
        <v/>
      </c>
      <c r="R53" s="883" t="str">
        <f t="shared" si="79"/>
        <v/>
      </c>
      <c r="S53" s="883" t="str">
        <f t="shared" si="79"/>
        <v/>
      </c>
      <c r="T53" s="883" t="str">
        <f t="shared" si="79"/>
        <v/>
      </c>
      <c r="U53" s="883" t="str">
        <f t="shared" si="79"/>
        <v/>
      </c>
      <c r="V53" s="883" t="str">
        <f t="shared" si="79"/>
        <v/>
      </c>
      <c r="W53" s="884">
        <f t="shared" si="80"/>
        <v>0</v>
      </c>
      <c r="X53">
        <v>22</v>
      </c>
      <c r="Y53" t="str">
        <f>IF(W53&gt;0, HLOOKUP("OUTLIER", $G53:$V$75, X53, 0), "")</f>
        <v/>
      </c>
      <c r="AA53" s="148" t="str">
        <f t="shared" si="81"/>
        <v/>
      </c>
      <c r="AB53" s="856" t="e">
        <f t="shared" si="82"/>
        <v>#DIV/0!</v>
      </c>
      <c r="AC53" s="934" t="e">
        <f t="shared" si="83"/>
        <v>#DIV/0!</v>
      </c>
      <c r="AD53" s="856" t="e">
        <f t="shared" si="84"/>
        <v>#DIV/0!</v>
      </c>
      <c r="AE53" s="856" t="e">
        <f t="shared" si="85"/>
        <v>#DIV/0!</v>
      </c>
    </row>
    <row r="54" spans="1:115" ht="17.25" hidden="1" customHeight="1" outlineLevel="1" thickBot="1" x14ac:dyDescent="0.3">
      <c r="A54" s="1557"/>
      <c r="B54" s="1527" t="str">
        <f>IF(Language="English", 'Language Look Ups'!$O$10,IF(Language="Francais", 'Language Look Ups'!$S$10, 'Language Look Ups'!$Q$10))</f>
        <v>Implant</v>
      </c>
      <c r="C54" s="885" t="str">
        <f>IF(Language="English", 'Language Look Ups'!$P$10,IF(Language="Francais", 'Language Look Ups'!$T$10, 'Language Look Ups'!$R$10))</f>
        <v>Implant de 3 ans (Implanon, Levoplant)</v>
      </c>
      <c r="D54" s="886"/>
      <c r="E54" s="886"/>
      <c r="F54" s="887"/>
      <c r="G54" s="883" t="str">
        <f t="shared" si="79"/>
        <v/>
      </c>
      <c r="H54" s="883" t="str">
        <f t="shared" si="79"/>
        <v/>
      </c>
      <c r="I54" s="883" t="str">
        <f t="shared" si="79"/>
        <v/>
      </c>
      <c r="J54" s="883" t="str">
        <f t="shared" si="79"/>
        <v/>
      </c>
      <c r="K54" s="883" t="str">
        <f t="shared" si="79"/>
        <v/>
      </c>
      <c r="L54" s="883" t="str">
        <f t="shared" si="79"/>
        <v/>
      </c>
      <c r="M54" s="883" t="str">
        <f t="shared" si="79"/>
        <v/>
      </c>
      <c r="N54" s="883" t="str">
        <f t="shared" si="79"/>
        <v/>
      </c>
      <c r="O54" s="883" t="str">
        <f t="shared" si="79"/>
        <v/>
      </c>
      <c r="P54" s="883" t="str">
        <f t="shared" si="79"/>
        <v/>
      </c>
      <c r="Q54" s="883" t="str">
        <f t="shared" si="79"/>
        <v/>
      </c>
      <c r="R54" s="883" t="str">
        <f t="shared" si="79"/>
        <v/>
      </c>
      <c r="S54" s="883" t="str">
        <f t="shared" si="79"/>
        <v/>
      </c>
      <c r="T54" s="883" t="str">
        <f t="shared" si="79"/>
        <v/>
      </c>
      <c r="U54" s="883" t="str">
        <f t="shared" si="79"/>
        <v/>
      </c>
      <c r="V54" s="883" t="str">
        <f t="shared" si="79"/>
        <v/>
      </c>
      <c r="W54" s="884">
        <f t="shared" si="80"/>
        <v>0</v>
      </c>
      <c r="X54">
        <v>21</v>
      </c>
      <c r="Y54" t="str">
        <f>IF(W54&gt;0, HLOOKUP("OUTLIER", $G54:$V$75, X54, 0), "")</f>
        <v/>
      </c>
      <c r="AA54" s="148" t="str">
        <f t="shared" si="81"/>
        <v/>
      </c>
      <c r="AB54" s="856" t="e">
        <f t="shared" si="82"/>
        <v>#DIV/0!</v>
      </c>
      <c r="AC54" s="934" t="e">
        <f t="shared" si="83"/>
        <v>#DIV/0!</v>
      </c>
      <c r="AD54" s="856" t="e">
        <f t="shared" si="84"/>
        <v>#DIV/0!</v>
      </c>
      <c r="AE54" s="856" t="e">
        <f t="shared" si="85"/>
        <v>#DIV/0!</v>
      </c>
    </row>
    <row r="55" spans="1:115" ht="17.25" hidden="1" customHeight="1" outlineLevel="1" thickBot="1" x14ac:dyDescent="0.3">
      <c r="A55" s="1557"/>
      <c r="B55" s="1529"/>
      <c r="C55" s="891" t="str">
        <f>IF(Language="English", 'Language Look Ups'!$P$11,IF(Language="Francais", 'Language Look Ups'!$T$11, 'Language Look Ups'!$R$11))</f>
        <v>Implant de 4 ans (Sino-Implant)</v>
      </c>
      <c r="D55" s="892"/>
      <c r="E55" s="892"/>
      <c r="F55" s="893"/>
      <c r="G55" s="883" t="str">
        <f t="shared" si="79"/>
        <v/>
      </c>
      <c r="H55" s="883" t="str">
        <f t="shared" si="79"/>
        <v/>
      </c>
      <c r="I55" s="883" t="str">
        <f t="shared" si="79"/>
        <v/>
      </c>
      <c r="J55" s="883" t="str">
        <f t="shared" si="79"/>
        <v/>
      </c>
      <c r="K55" s="883" t="str">
        <f t="shared" si="79"/>
        <v/>
      </c>
      <c r="L55" s="883" t="str">
        <f t="shared" si="79"/>
        <v/>
      </c>
      <c r="M55" s="883" t="str">
        <f t="shared" si="79"/>
        <v/>
      </c>
      <c r="N55" s="883" t="str">
        <f t="shared" si="79"/>
        <v/>
      </c>
      <c r="O55" s="883" t="str">
        <f t="shared" si="79"/>
        <v/>
      </c>
      <c r="P55" s="883" t="str">
        <f t="shared" si="79"/>
        <v/>
      </c>
      <c r="Q55" s="883" t="str">
        <f t="shared" si="79"/>
        <v/>
      </c>
      <c r="R55" s="883" t="str">
        <f t="shared" si="79"/>
        <v/>
      </c>
      <c r="S55" s="883" t="str">
        <f t="shared" si="79"/>
        <v/>
      </c>
      <c r="T55" s="883" t="str">
        <f t="shared" si="79"/>
        <v/>
      </c>
      <c r="U55" s="883" t="str">
        <f t="shared" si="79"/>
        <v/>
      </c>
      <c r="V55" s="883" t="str">
        <f t="shared" si="79"/>
        <v/>
      </c>
      <c r="W55" s="884">
        <f t="shared" si="80"/>
        <v>0</v>
      </c>
      <c r="X55">
        <v>20</v>
      </c>
      <c r="Y55" t="str">
        <f>IF(W55&gt;0, HLOOKUP("OUTLIER", $G55:$V$75, X55, 0), "")</f>
        <v/>
      </c>
      <c r="AA55" s="148" t="str">
        <f t="shared" si="81"/>
        <v/>
      </c>
      <c r="AB55" s="856" t="e">
        <f t="shared" si="82"/>
        <v>#DIV/0!</v>
      </c>
      <c r="AC55" s="934" t="e">
        <f t="shared" si="83"/>
        <v>#DIV/0!</v>
      </c>
      <c r="AD55" s="856" t="e">
        <f t="shared" si="84"/>
        <v>#DIV/0!</v>
      </c>
      <c r="AE55" s="856" t="e">
        <f t="shared" si="85"/>
        <v>#DIV/0!</v>
      </c>
    </row>
    <row r="56" spans="1:115" ht="17.25" hidden="1" customHeight="1" outlineLevel="1" thickBot="1" x14ac:dyDescent="0.3">
      <c r="A56" s="1557"/>
      <c r="B56" s="1528"/>
      <c r="C56" s="888" t="str">
        <f>IF(Language="English", 'Language Look Ups'!$P$12,IF(Language="Francais", 'Language Look Ups'!$T$12, 'Language Look Ups'!$R$12))</f>
        <v>Implant de 5 ans (Jadelle)</v>
      </c>
      <c r="D56" s="889"/>
      <c r="E56" s="889"/>
      <c r="F56" s="890"/>
      <c r="G56" s="883" t="str">
        <f t="shared" si="79"/>
        <v/>
      </c>
      <c r="H56" s="883" t="str">
        <f t="shared" si="79"/>
        <v/>
      </c>
      <c r="I56" s="883" t="str">
        <f t="shared" si="79"/>
        <v/>
      </c>
      <c r="J56" s="883" t="str">
        <f t="shared" si="79"/>
        <v/>
      </c>
      <c r="K56" s="883" t="str">
        <f t="shared" si="79"/>
        <v/>
      </c>
      <c r="L56" s="883" t="str">
        <f t="shared" si="79"/>
        <v/>
      </c>
      <c r="M56" s="883" t="str">
        <f t="shared" si="79"/>
        <v/>
      </c>
      <c r="N56" s="883" t="str">
        <f t="shared" si="79"/>
        <v/>
      </c>
      <c r="O56" s="883" t="str">
        <f t="shared" si="79"/>
        <v/>
      </c>
      <c r="P56" s="883" t="str">
        <f t="shared" si="79"/>
        <v/>
      </c>
      <c r="Q56" s="883" t="str">
        <f t="shared" si="79"/>
        <v/>
      </c>
      <c r="R56" s="883" t="str">
        <f t="shared" si="79"/>
        <v/>
      </c>
      <c r="S56" s="883" t="str">
        <f t="shared" si="79"/>
        <v/>
      </c>
      <c r="T56" s="883" t="str">
        <f t="shared" si="79"/>
        <v/>
      </c>
      <c r="U56" s="883" t="str">
        <f t="shared" si="79"/>
        <v/>
      </c>
      <c r="V56" s="883" t="str">
        <f t="shared" si="79"/>
        <v/>
      </c>
      <c r="W56" s="884">
        <f t="shared" si="80"/>
        <v>0</v>
      </c>
      <c r="X56">
        <v>19</v>
      </c>
      <c r="Y56" t="str">
        <f>IF(W56&gt;0, HLOOKUP("OUTLIER", $G56:$V$75, X56, 0), "")</f>
        <v/>
      </c>
      <c r="AA56" s="148" t="str">
        <f t="shared" si="81"/>
        <v/>
      </c>
      <c r="AB56" s="856" t="e">
        <f t="shared" si="82"/>
        <v>#DIV/0!</v>
      </c>
      <c r="AC56" s="934" t="e">
        <f t="shared" si="83"/>
        <v>#DIV/0!</v>
      </c>
      <c r="AD56" s="856" t="e">
        <f t="shared" si="84"/>
        <v>#DIV/0!</v>
      </c>
      <c r="AE56" s="856" t="e">
        <f t="shared" si="85"/>
        <v>#DIV/0!</v>
      </c>
    </row>
    <row r="57" spans="1:115" ht="6" hidden="1" customHeight="1" outlineLevel="1" thickBot="1" x14ac:dyDescent="0.3">
      <c r="A57" s="1557"/>
      <c r="B57" s="150"/>
      <c r="C57" s="279"/>
      <c r="W57" s="858"/>
      <c r="X57">
        <v>18</v>
      </c>
      <c r="Y57" t="str">
        <f>IF(W57&gt;0, HLOOKUP("OUTLIER", $G57:$V$75, X57, 0), "")</f>
        <v/>
      </c>
      <c r="AA57" s="148" t="str">
        <f t="shared" si="81"/>
        <v/>
      </c>
      <c r="AB57" s="856"/>
      <c r="AC57" s="934" t="e">
        <f t="shared" si="83"/>
        <v>#DIV/0!</v>
      </c>
      <c r="AD57" s="856"/>
      <c r="AE57" s="856"/>
    </row>
    <row r="58" spans="1:115" ht="21.75" hidden="1" customHeight="1" outlineLevel="1" thickBot="1" x14ac:dyDescent="0.3">
      <c r="A58" s="1557"/>
      <c r="B58" s="364" t="str">
        <f>IF(Language="English", 'Language Look Ups'!$O$14,IF(Language="Francais", 'Language Look Ups'!$S$14, 'Language Look Ups'!$Q$14))</f>
        <v>Méthodes à Court Terme</v>
      </c>
      <c r="C58" s="104"/>
      <c r="D58" s="51"/>
      <c r="E58" s="50"/>
      <c r="F58" s="42"/>
      <c r="G58" s="158"/>
      <c r="H58" s="159"/>
      <c r="I58" s="158"/>
      <c r="J58" s="159"/>
      <c r="K58" s="158"/>
      <c r="L58" s="159"/>
      <c r="M58" s="158"/>
      <c r="N58" s="159"/>
      <c r="O58" s="158"/>
      <c r="P58" s="159"/>
      <c r="Q58" s="158"/>
      <c r="R58" s="159"/>
      <c r="S58" s="158"/>
      <c r="T58" s="159"/>
      <c r="U58" s="158"/>
      <c r="V58" s="160"/>
      <c r="W58" s="858">
        <f t="shared" si="80"/>
        <v>0</v>
      </c>
      <c r="X58">
        <v>17</v>
      </c>
      <c r="Y58" t="str">
        <f>IF(W58&gt;0, HLOOKUP("OUTLIER", $G58:$V$75, X58, 0), "")</f>
        <v/>
      </c>
      <c r="AA58" s="148" t="str">
        <f t="shared" si="81"/>
        <v/>
      </c>
      <c r="AB58" s="856"/>
      <c r="AC58" s="934" t="e">
        <f t="shared" si="83"/>
        <v>#DIV/0!</v>
      </c>
      <c r="AD58" s="856"/>
      <c r="AE58" s="856"/>
      <c r="BJ58" s="1082" t="s">
        <v>1223</v>
      </c>
      <c r="BK58" s="1083">
        <f>BK21</f>
        <v>0</v>
      </c>
      <c r="BL58" s="1083" t="str">
        <f t="shared" ref="BL58:BZ58" si="86">BL21</f>
        <v/>
      </c>
      <c r="BM58" s="1083" t="str">
        <f t="shared" si="86"/>
        <v/>
      </c>
      <c r="BN58" s="1083" t="str">
        <f t="shared" si="86"/>
        <v/>
      </c>
      <c r="BO58" s="1083" t="str">
        <f t="shared" si="86"/>
        <v/>
      </c>
      <c r="BP58" s="1083" t="str">
        <f t="shared" si="86"/>
        <v/>
      </c>
      <c r="BQ58" s="1083" t="str">
        <f t="shared" si="86"/>
        <v/>
      </c>
      <c r="BR58" s="1083" t="str">
        <f t="shared" si="86"/>
        <v/>
      </c>
      <c r="BS58" s="1083" t="str">
        <f t="shared" si="86"/>
        <v/>
      </c>
      <c r="BT58" s="1083" t="str">
        <f t="shared" si="86"/>
        <v/>
      </c>
      <c r="BU58" s="1083" t="str">
        <f t="shared" si="86"/>
        <v/>
      </c>
      <c r="BV58" s="1083" t="str">
        <f t="shared" si="86"/>
        <v/>
      </c>
      <c r="BW58" s="1083" t="str">
        <f t="shared" si="86"/>
        <v/>
      </c>
      <c r="BX58" s="1083" t="str">
        <f t="shared" si="86"/>
        <v/>
      </c>
      <c r="BY58" s="1083" t="str">
        <f t="shared" si="86"/>
        <v/>
      </c>
      <c r="BZ58" s="1084" t="str">
        <f t="shared" si="86"/>
        <v/>
      </c>
      <c r="CB58" s="1082" t="s">
        <v>1233</v>
      </c>
      <c r="CC58" s="1083">
        <f>CC21</f>
        <v>0</v>
      </c>
      <c r="CD58" s="1083" t="str">
        <f t="shared" ref="CD58:CR58" si="87">CD21</f>
        <v/>
      </c>
      <c r="CE58" s="1083" t="str">
        <f t="shared" si="87"/>
        <v/>
      </c>
      <c r="CF58" s="1083" t="str">
        <f t="shared" si="87"/>
        <v/>
      </c>
      <c r="CG58" s="1083" t="str">
        <f t="shared" si="87"/>
        <v/>
      </c>
      <c r="CH58" s="1083" t="str">
        <f t="shared" si="87"/>
        <v/>
      </c>
      <c r="CI58" s="1083" t="str">
        <f t="shared" si="87"/>
        <v/>
      </c>
      <c r="CJ58" s="1083" t="str">
        <f t="shared" si="87"/>
        <v/>
      </c>
      <c r="CK58" s="1083" t="str">
        <f t="shared" si="87"/>
        <v/>
      </c>
      <c r="CL58" s="1083" t="str">
        <f t="shared" si="87"/>
        <v/>
      </c>
      <c r="CM58" s="1083" t="str">
        <f t="shared" si="87"/>
        <v/>
      </c>
      <c r="CN58" s="1083" t="str">
        <f t="shared" si="87"/>
        <v/>
      </c>
      <c r="CO58" s="1083" t="str">
        <f t="shared" si="87"/>
        <v/>
      </c>
      <c r="CP58" s="1083" t="str">
        <f t="shared" si="87"/>
        <v/>
      </c>
      <c r="CQ58" s="1083" t="str">
        <f t="shared" si="87"/>
        <v/>
      </c>
      <c r="CR58" s="1084" t="str">
        <f t="shared" si="87"/>
        <v/>
      </c>
    </row>
    <row r="59" spans="1:115" ht="17.25" hidden="1" customHeight="1" outlineLevel="1" thickBot="1" x14ac:dyDescent="0.3">
      <c r="A59" s="1557"/>
      <c r="B59" s="1530" t="str">
        <f>IF(Language="English", 'Language Look Ups'!$O$15,IF(Language="Francais", 'Language Look Ups'!$S$15, 'Language Look Ups'!Q$15))</f>
        <v>Produits injectables</v>
      </c>
      <c r="C59" s="885" t="str">
        <f>IF(Language="English", 'Language Look Ups'!$P$15,IF(Language="Francais", 'Language Look Ups'!$T$15, 'Language Look Ups'!$R$15))</f>
        <v>Depo Provera (DMPA)</v>
      </c>
      <c r="D59" s="886"/>
      <c r="E59" s="886"/>
      <c r="F59" s="887"/>
      <c r="G59" s="883" t="str">
        <f t="shared" ref="G59:V74" si="88">IF(G32="", "", IF(OR(G32&gt;$AD59, G32&lt;$AE59), G$21&amp;",", ""))</f>
        <v/>
      </c>
      <c r="H59" s="883" t="str">
        <f t="shared" si="88"/>
        <v/>
      </c>
      <c r="I59" s="883" t="str">
        <f t="shared" si="88"/>
        <v/>
      </c>
      <c r="J59" s="883" t="str">
        <f t="shared" si="88"/>
        <v/>
      </c>
      <c r="K59" s="883" t="str">
        <f t="shared" si="88"/>
        <v/>
      </c>
      <c r="L59" s="883" t="str">
        <f t="shared" si="88"/>
        <v/>
      </c>
      <c r="M59" s="883" t="str">
        <f t="shared" si="88"/>
        <v/>
      </c>
      <c r="N59" s="883" t="str">
        <f t="shared" si="88"/>
        <v/>
      </c>
      <c r="O59" s="883" t="str">
        <f t="shared" si="88"/>
        <v/>
      </c>
      <c r="P59" s="883" t="str">
        <f t="shared" si="88"/>
        <v/>
      </c>
      <c r="Q59" s="883" t="str">
        <f t="shared" si="88"/>
        <v/>
      </c>
      <c r="R59" s="883" t="str">
        <f t="shared" si="88"/>
        <v/>
      </c>
      <c r="S59" s="883" t="str">
        <f t="shared" si="88"/>
        <v/>
      </c>
      <c r="T59" s="883" t="str">
        <f t="shared" si="88"/>
        <v/>
      </c>
      <c r="U59" s="883" t="str">
        <f t="shared" si="88"/>
        <v/>
      </c>
      <c r="V59" s="883" t="str">
        <f t="shared" si="88"/>
        <v/>
      </c>
      <c r="W59" s="884">
        <f t="shared" si="80"/>
        <v>0</v>
      </c>
      <c r="X59">
        <v>16</v>
      </c>
      <c r="Y59" t="str">
        <f>IF(W59&gt;0, HLOOKUP("OUTLIER", $G59:$V$75, X59, 0), "")</f>
        <v/>
      </c>
      <c r="AA59" s="148" t="str">
        <f t="shared" si="81"/>
        <v/>
      </c>
      <c r="AB59" s="856" t="e">
        <f t="shared" si="82"/>
        <v>#DIV/0!</v>
      </c>
      <c r="AC59" s="934" t="e">
        <f t="shared" si="83"/>
        <v>#DIV/0!</v>
      </c>
      <c r="AD59" s="856" t="e">
        <f t="shared" si="84"/>
        <v>#DIV/0!</v>
      </c>
      <c r="AE59" s="856" t="e">
        <f t="shared" si="85"/>
        <v>#DIV/0!</v>
      </c>
      <c r="BJ59" s="915" t="str">
        <f>'5. MethodMix Set Up'!$G$12</f>
        <v>Stérilisation (f)</v>
      </c>
      <c r="BK59" s="2">
        <f>SUM(BK23)</f>
        <v>0</v>
      </c>
      <c r="BL59" s="2">
        <f t="shared" ref="BL59:BZ60" si="89">SUM(BL23)</f>
        <v>0</v>
      </c>
      <c r="BM59" s="2">
        <f t="shared" si="89"/>
        <v>0</v>
      </c>
      <c r="BN59" s="2">
        <f t="shared" si="89"/>
        <v>0</v>
      </c>
      <c r="BO59" s="2">
        <f t="shared" si="89"/>
        <v>0</v>
      </c>
      <c r="BP59" s="2">
        <f t="shared" si="89"/>
        <v>0</v>
      </c>
      <c r="BQ59" s="2">
        <f t="shared" si="89"/>
        <v>0</v>
      </c>
      <c r="BR59" s="2">
        <f t="shared" si="89"/>
        <v>0</v>
      </c>
      <c r="BS59" s="2">
        <f t="shared" si="89"/>
        <v>0</v>
      </c>
      <c r="BT59" s="2">
        <f t="shared" si="89"/>
        <v>0</v>
      </c>
      <c r="BU59" s="2">
        <f t="shared" si="89"/>
        <v>0</v>
      </c>
      <c r="BV59" s="2">
        <f t="shared" si="89"/>
        <v>0</v>
      </c>
      <c r="BW59" s="2">
        <f t="shared" si="89"/>
        <v>0</v>
      </c>
      <c r="BX59" s="2">
        <f t="shared" si="89"/>
        <v>0</v>
      </c>
      <c r="BY59" s="2">
        <f t="shared" si="89"/>
        <v>0</v>
      </c>
      <c r="BZ59" s="2">
        <f t="shared" si="89"/>
        <v>0</v>
      </c>
      <c r="CB59" s="915" t="str">
        <f>'5. MethodMix Set Up'!$G$12</f>
        <v>Stérilisation (f)</v>
      </c>
      <c r="CC59" s="2">
        <f>SUM(CC23)</f>
        <v>0</v>
      </c>
      <c r="CD59" s="2">
        <f t="shared" ref="CD59:CR60" si="90">SUM(CD23)</f>
        <v>0</v>
      </c>
      <c r="CE59" s="2">
        <f t="shared" si="90"/>
        <v>0</v>
      </c>
      <c r="CF59" s="2">
        <f t="shared" si="90"/>
        <v>0</v>
      </c>
      <c r="CG59" s="2">
        <f t="shared" si="90"/>
        <v>0</v>
      </c>
      <c r="CH59" s="2">
        <f t="shared" si="90"/>
        <v>0</v>
      </c>
      <c r="CI59" s="2">
        <f t="shared" si="90"/>
        <v>0</v>
      </c>
      <c r="CJ59" s="2">
        <f t="shared" si="90"/>
        <v>0</v>
      </c>
      <c r="CK59" s="2">
        <f t="shared" si="90"/>
        <v>0</v>
      </c>
      <c r="CL59" s="2">
        <f t="shared" si="90"/>
        <v>0</v>
      </c>
      <c r="CM59" s="2">
        <f t="shared" si="90"/>
        <v>0</v>
      </c>
      <c r="CN59" s="2">
        <f t="shared" si="90"/>
        <v>0</v>
      </c>
      <c r="CO59" s="2">
        <f t="shared" si="90"/>
        <v>0</v>
      </c>
      <c r="CP59" s="2">
        <f t="shared" si="90"/>
        <v>0</v>
      </c>
      <c r="CQ59" s="2">
        <f t="shared" si="90"/>
        <v>0</v>
      </c>
      <c r="CR59" s="2">
        <f t="shared" si="90"/>
        <v>0</v>
      </c>
    </row>
    <row r="60" spans="1:115" ht="17.25" hidden="1" customHeight="1" outlineLevel="1" thickBot="1" x14ac:dyDescent="0.3">
      <c r="A60" s="1557"/>
      <c r="B60" s="1531"/>
      <c r="C60" s="891" t="str">
        <f>IF(Language="English", 'Language Look Ups'!$P$16,IF(Language="Francais", 'Language Look Ups'!$T$16, 'Language Look Ups'!$R$16))</f>
        <v>Noristerat (NET-En)</v>
      </c>
      <c r="D60" s="892"/>
      <c r="E60" s="892"/>
      <c r="F60" s="893"/>
      <c r="G60" s="883" t="str">
        <f t="shared" si="88"/>
        <v/>
      </c>
      <c r="H60" s="883" t="str">
        <f t="shared" si="88"/>
        <v/>
      </c>
      <c r="I60" s="883" t="str">
        <f t="shared" si="88"/>
        <v/>
      </c>
      <c r="J60" s="883" t="str">
        <f t="shared" si="88"/>
        <v/>
      </c>
      <c r="K60" s="883" t="str">
        <f t="shared" si="88"/>
        <v/>
      </c>
      <c r="L60" s="883" t="str">
        <f t="shared" si="88"/>
        <v/>
      </c>
      <c r="M60" s="883" t="str">
        <f t="shared" si="88"/>
        <v/>
      </c>
      <c r="N60" s="883" t="str">
        <f t="shared" si="88"/>
        <v/>
      </c>
      <c r="O60" s="883" t="str">
        <f t="shared" si="88"/>
        <v/>
      </c>
      <c r="P60" s="883" t="str">
        <f t="shared" si="88"/>
        <v/>
      </c>
      <c r="Q60" s="883" t="str">
        <f t="shared" si="88"/>
        <v/>
      </c>
      <c r="R60" s="883" t="str">
        <f t="shared" si="88"/>
        <v/>
      </c>
      <c r="S60" s="883" t="str">
        <f t="shared" si="88"/>
        <v/>
      </c>
      <c r="T60" s="883" t="str">
        <f t="shared" si="88"/>
        <v/>
      </c>
      <c r="U60" s="883" t="str">
        <f t="shared" si="88"/>
        <v/>
      </c>
      <c r="V60" s="883" t="str">
        <f t="shared" si="88"/>
        <v/>
      </c>
      <c r="W60" s="884">
        <f t="shared" si="80"/>
        <v>0</v>
      </c>
      <c r="X60">
        <v>15</v>
      </c>
      <c r="Y60" t="str">
        <f>IF(W60&gt;0, HLOOKUP("OUTLIER", $G60:$V$75, X60, 0), "")</f>
        <v/>
      </c>
      <c r="AA60" s="148" t="str">
        <f t="shared" si="81"/>
        <v/>
      </c>
      <c r="AB60" s="856" t="e">
        <f t="shared" si="82"/>
        <v>#DIV/0!</v>
      </c>
      <c r="AC60" s="934" t="e">
        <f t="shared" si="83"/>
        <v>#DIV/0!</v>
      </c>
      <c r="AD60" s="856" t="e">
        <f t="shared" si="84"/>
        <v>#DIV/0!</v>
      </c>
      <c r="AE60" s="856" t="e">
        <f t="shared" si="85"/>
        <v>#DIV/0!</v>
      </c>
      <c r="BJ60" s="915" t="str">
        <f>'5. MethodMix Set Up'!$G$13</f>
        <v>Stérilisation (m)</v>
      </c>
      <c r="BK60" s="2">
        <f>SUM(BK24)</f>
        <v>0</v>
      </c>
      <c r="BL60" s="2">
        <f t="shared" si="89"/>
        <v>0</v>
      </c>
      <c r="BM60" s="2">
        <f t="shared" si="89"/>
        <v>0</v>
      </c>
      <c r="BN60" s="2">
        <f t="shared" si="89"/>
        <v>0</v>
      </c>
      <c r="BO60" s="2">
        <f t="shared" si="89"/>
        <v>0</v>
      </c>
      <c r="BP60" s="2">
        <f t="shared" si="89"/>
        <v>0</v>
      </c>
      <c r="BQ60" s="2">
        <f t="shared" si="89"/>
        <v>0</v>
      </c>
      <c r="BR60" s="2">
        <f t="shared" si="89"/>
        <v>0</v>
      </c>
      <c r="BS60" s="2">
        <f t="shared" si="89"/>
        <v>0</v>
      </c>
      <c r="BT60" s="2">
        <f t="shared" si="89"/>
        <v>0</v>
      </c>
      <c r="BU60" s="2">
        <f t="shared" si="89"/>
        <v>0</v>
      </c>
      <c r="BV60" s="2">
        <f t="shared" si="89"/>
        <v>0</v>
      </c>
      <c r="BW60" s="2">
        <f t="shared" si="89"/>
        <v>0</v>
      </c>
      <c r="BX60" s="2">
        <f t="shared" si="89"/>
        <v>0</v>
      </c>
      <c r="BY60" s="2">
        <f t="shared" si="89"/>
        <v>0</v>
      </c>
      <c r="BZ60" s="2">
        <f t="shared" si="89"/>
        <v>0</v>
      </c>
      <c r="CB60" s="915" t="str">
        <f>'5. MethodMix Set Up'!$G$13</f>
        <v>Stérilisation (m)</v>
      </c>
      <c r="CC60" s="2">
        <f>SUM(CC24)</f>
        <v>0</v>
      </c>
      <c r="CD60" s="2">
        <f t="shared" si="90"/>
        <v>0</v>
      </c>
      <c r="CE60" s="2">
        <f t="shared" si="90"/>
        <v>0</v>
      </c>
      <c r="CF60" s="2">
        <f t="shared" si="90"/>
        <v>0</v>
      </c>
      <c r="CG60" s="2">
        <f t="shared" si="90"/>
        <v>0</v>
      </c>
      <c r="CH60" s="2">
        <f t="shared" si="90"/>
        <v>0</v>
      </c>
      <c r="CI60" s="2">
        <f t="shared" si="90"/>
        <v>0</v>
      </c>
      <c r="CJ60" s="2">
        <f t="shared" si="90"/>
        <v>0</v>
      </c>
      <c r="CK60" s="2">
        <f t="shared" si="90"/>
        <v>0</v>
      </c>
      <c r="CL60" s="2">
        <f t="shared" si="90"/>
        <v>0</v>
      </c>
      <c r="CM60" s="2">
        <f t="shared" si="90"/>
        <v>0</v>
      </c>
      <c r="CN60" s="2">
        <f t="shared" si="90"/>
        <v>0</v>
      </c>
      <c r="CO60" s="2">
        <f t="shared" si="90"/>
        <v>0</v>
      </c>
      <c r="CP60" s="2">
        <f t="shared" si="90"/>
        <v>0</v>
      </c>
      <c r="CQ60" s="2">
        <f t="shared" si="90"/>
        <v>0</v>
      </c>
      <c r="CR60" s="2">
        <f t="shared" si="90"/>
        <v>0</v>
      </c>
    </row>
    <row r="61" spans="1:115" ht="17.25" hidden="1" customHeight="1" outlineLevel="1" thickBot="1" x14ac:dyDescent="0.3">
      <c r="A61" s="1557"/>
      <c r="B61" s="1531"/>
      <c r="C61" s="891" t="str">
        <f>IF(Language="English",'Language Look Ups'!$P$17,IF(Language="Francais",'Language Look Ups'!$T$17,'Language Look Ups'!$R$17))</f>
        <v>Lunelle</v>
      </c>
      <c r="D61" s="892"/>
      <c r="E61" s="892"/>
      <c r="F61" s="893"/>
      <c r="G61" s="883" t="str">
        <f t="shared" si="88"/>
        <v/>
      </c>
      <c r="H61" s="883" t="str">
        <f t="shared" si="88"/>
        <v/>
      </c>
      <c r="I61" s="883" t="str">
        <f t="shared" si="88"/>
        <v/>
      </c>
      <c r="J61" s="883" t="str">
        <f t="shared" si="88"/>
        <v/>
      </c>
      <c r="K61" s="883" t="str">
        <f t="shared" si="88"/>
        <v/>
      </c>
      <c r="L61" s="883" t="str">
        <f t="shared" si="88"/>
        <v/>
      </c>
      <c r="M61" s="883" t="str">
        <f t="shared" si="88"/>
        <v/>
      </c>
      <c r="N61" s="883" t="str">
        <f t="shared" si="88"/>
        <v/>
      </c>
      <c r="O61" s="883" t="str">
        <f t="shared" si="88"/>
        <v/>
      </c>
      <c r="P61" s="883" t="str">
        <f t="shared" si="88"/>
        <v/>
      </c>
      <c r="Q61" s="883" t="str">
        <f t="shared" si="88"/>
        <v/>
      </c>
      <c r="R61" s="883" t="str">
        <f t="shared" si="88"/>
        <v/>
      </c>
      <c r="S61" s="883" t="str">
        <f t="shared" si="88"/>
        <v/>
      </c>
      <c r="T61" s="883" t="str">
        <f t="shared" si="88"/>
        <v/>
      </c>
      <c r="U61" s="883" t="str">
        <f t="shared" si="88"/>
        <v/>
      </c>
      <c r="V61" s="883" t="str">
        <f t="shared" si="88"/>
        <v/>
      </c>
      <c r="W61" s="884">
        <f t="shared" si="80"/>
        <v>0</v>
      </c>
      <c r="X61">
        <v>14</v>
      </c>
      <c r="Y61" t="str">
        <f>IF(W61&gt;0, HLOOKUP("OUTLIER", $G61:$V$75, X61, 0), "")</f>
        <v/>
      </c>
      <c r="AA61" s="148" t="str">
        <f t="shared" si="81"/>
        <v/>
      </c>
      <c r="AB61" s="856" t="e">
        <f t="shared" si="82"/>
        <v>#DIV/0!</v>
      </c>
      <c r="AC61" s="934" t="e">
        <f t="shared" si="83"/>
        <v>#DIV/0!</v>
      </c>
      <c r="AD61" s="856" t="e">
        <f t="shared" si="84"/>
        <v>#DIV/0!</v>
      </c>
      <c r="AE61" s="856" t="e">
        <f t="shared" si="85"/>
        <v>#DIV/0!</v>
      </c>
      <c r="BJ61" s="915" t="str">
        <f>'5. MethodMix Set Up'!$G$14</f>
        <v>DIU</v>
      </c>
      <c r="BK61" s="2">
        <f t="shared" ref="BK61:BZ61" si="91">SUM(BK25:BK26)</f>
        <v>0</v>
      </c>
      <c r="BL61" s="2">
        <f t="shared" si="91"/>
        <v>0</v>
      </c>
      <c r="BM61" s="2">
        <f t="shared" si="91"/>
        <v>0</v>
      </c>
      <c r="BN61" s="2">
        <f t="shared" si="91"/>
        <v>0</v>
      </c>
      <c r="BO61" s="2">
        <f t="shared" si="91"/>
        <v>0</v>
      </c>
      <c r="BP61" s="2">
        <f t="shared" si="91"/>
        <v>0</v>
      </c>
      <c r="BQ61" s="2">
        <f t="shared" si="91"/>
        <v>0</v>
      </c>
      <c r="BR61" s="2">
        <f t="shared" si="91"/>
        <v>0</v>
      </c>
      <c r="BS61" s="2">
        <f t="shared" si="91"/>
        <v>0</v>
      </c>
      <c r="BT61" s="2">
        <f t="shared" si="91"/>
        <v>0</v>
      </c>
      <c r="BU61" s="2">
        <f t="shared" si="91"/>
        <v>0</v>
      </c>
      <c r="BV61" s="2">
        <f t="shared" si="91"/>
        <v>0</v>
      </c>
      <c r="BW61" s="2">
        <f t="shared" si="91"/>
        <v>0</v>
      </c>
      <c r="BX61" s="2">
        <f t="shared" si="91"/>
        <v>0</v>
      </c>
      <c r="BY61" s="2">
        <f t="shared" si="91"/>
        <v>0</v>
      </c>
      <c r="BZ61" s="729">
        <f t="shared" si="91"/>
        <v>0</v>
      </c>
      <c r="CB61" s="915" t="str">
        <f>'5. MethodMix Set Up'!$G$14</f>
        <v>DIU</v>
      </c>
      <c r="CC61" s="2">
        <f t="shared" ref="CC61:CR61" si="92">SUM(CC25:CC26)</f>
        <v>0</v>
      </c>
      <c r="CD61" s="2">
        <f t="shared" si="92"/>
        <v>0</v>
      </c>
      <c r="CE61" s="2">
        <f t="shared" si="92"/>
        <v>0</v>
      </c>
      <c r="CF61" s="2">
        <f t="shared" si="92"/>
        <v>0</v>
      </c>
      <c r="CG61" s="2">
        <f t="shared" si="92"/>
        <v>0</v>
      </c>
      <c r="CH61" s="2">
        <f t="shared" si="92"/>
        <v>0</v>
      </c>
      <c r="CI61" s="2">
        <f t="shared" si="92"/>
        <v>0</v>
      </c>
      <c r="CJ61" s="2">
        <f t="shared" si="92"/>
        <v>0</v>
      </c>
      <c r="CK61" s="2">
        <f t="shared" si="92"/>
        <v>0</v>
      </c>
      <c r="CL61" s="2">
        <f t="shared" si="92"/>
        <v>0</v>
      </c>
      <c r="CM61" s="2">
        <f t="shared" si="92"/>
        <v>0</v>
      </c>
      <c r="CN61" s="2">
        <f t="shared" si="92"/>
        <v>0</v>
      </c>
      <c r="CO61" s="2">
        <f t="shared" si="92"/>
        <v>0</v>
      </c>
      <c r="CP61" s="2">
        <f t="shared" si="92"/>
        <v>0</v>
      </c>
      <c r="CQ61" s="2">
        <f t="shared" si="92"/>
        <v>0</v>
      </c>
      <c r="CR61" s="729">
        <f t="shared" si="92"/>
        <v>0</v>
      </c>
    </row>
    <row r="62" spans="1:115" ht="17.25" hidden="1" customHeight="1" outlineLevel="1" thickBot="1" x14ac:dyDescent="0.3">
      <c r="A62" s="1557"/>
      <c r="B62" s="1531"/>
      <c r="C62" s="891" t="str">
        <f>IF(Language="English", 'Language Look Ups'!$P$18,IF(Language="Francais", 'Language Look Ups'!$T$18, 'Language Look Ups'!$R$18))</f>
        <v>Sayana Press</v>
      </c>
      <c r="D62" s="892"/>
      <c r="E62" s="892"/>
      <c r="F62" s="893"/>
      <c r="G62" s="883" t="str">
        <f t="shared" si="88"/>
        <v/>
      </c>
      <c r="H62" s="883" t="str">
        <f t="shared" si="88"/>
        <v/>
      </c>
      <c r="I62" s="883" t="str">
        <f t="shared" si="88"/>
        <v/>
      </c>
      <c r="J62" s="883" t="str">
        <f t="shared" si="88"/>
        <v/>
      </c>
      <c r="K62" s="883" t="str">
        <f t="shared" si="88"/>
        <v/>
      </c>
      <c r="L62" s="883" t="str">
        <f t="shared" si="88"/>
        <v/>
      </c>
      <c r="M62" s="883" t="str">
        <f t="shared" si="88"/>
        <v/>
      </c>
      <c r="N62" s="883" t="str">
        <f t="shared" si="88"/>
        <v/>
      </c>
      <c r="O62" s="883" t="str">
        <f t="shared" si="88"/>
        <v/>
      </c>
      <c r="P62" s="883" t="str">
        <f t="shared" si="88"/>
        <v/>
      </c>
      <c r="Q62" s="883" t="str">
        <f t="shared" si="88"/>
        <v/>
      </c>
      <c r="R62" s="883" t="str">
        <f t="shared" si="88"/>
        <v/>
      </c>
      <c r="S62" s="883" t="str">
        <f t="shared" si="88"/>
        <v/>
      </c>
      <c r="T62" s="883" t="str">
        <f t="shared" si="88"/>
        <v/>
      </c>
      <c r="U62" s="883" t="str">
        <f t="shared" si="88"/>
        <v/>
      </c>
      <c r="V62" s="883" t="str">
        <f t="shared" si="88"/>
        <v/>
      </c>
      <c r="W62" s="884">
        <f t="shared" si="80"/>
        <v>0</v>
      </c>
      <c r="X62">
        <v>13</v>
      </c>
      <c r="Y62" t="str">
        <f>IF(W62&gt;0, HLOOKUP("OUTLIER", $G62:$V$75, X62, 0), "")</f>
        <v/>
      </c>
      <c r="AA62" s="148" t="str">
        <f t="shared" si="81"/>
        <v/>
      </c>
      <c r="AB62" s="856" t="e">
        <f t="shared" si="82"/>
        <v>#DIV/0!</v>
      </c>
      <c r="AC62" s="934" t="e">
        <f t="shared" si="83"/>
        <v>#DIV/0!</v>
      </c>
      <c r="AD62" s="856" t="e">
        <f t="shared" si="84"/>
        <v>#DIV/0!</v>
      </c>
      <c r="AE62" s="856" t="e">
        <f t="shared" si="85"/>
        <v>#DIV/0!</v>
      </c>
      <c r="BJ62" s="915" t="str">
        <f>'5. MethodMix Set Up'!$G$15</f>
        <v>Implant</v>
      </c>
      <c r="BK62" s="2">
        <f t="shared" ref="BK62:BZ62" si="93">SUM(BK27:BK29)</f>
        <v>0</v>
      </c>
      <c r="BL62" s="2">
        <f t="shared" si="93"/>
        <v>0</v>
      </c>
      <c r="BM62" s="2">
        <f t="shared" si="93"/>
        <v>0</v>
      </c>
      <c r="BN62" s="2">
        <f t="shared" si="93"/>
        <v>0</v>
      </c>
      <c r="BO62" s="2">
        <f t="shared" si="93"/>
        <v>0</v>
      </c>
      <c r="BP62" s="2">
        <f t="shared" si="93"/>
        <v>0</v>
      </c>
      <c r="BQ62" s="2">
        <f t="shared" si="93"/>
        <v>0</v>
      </c>
      <c r="BR62" s="2">
        <f t="shared" si="93"/>
        <v>0</v>
      </c>
      <c r="BS62" s="2">
        <f t="shared" si="93"/>
        <v>0</v>
      </c>
      <c r="BT62" s="2">
        <f t="shared" si="93"/>
        <v>0</v>
      </c>
      <c r="BU62" s="2">
        <f t="shared" si="93"/>
        <v>0</v>
      </c>
      <c r="BV62" s="2">
        <f t="shared" si="93"/>
        <v>0</v>
      </c>
      <c r="BW62" s="2">
        <f t="shared" si="93"/>
        <v>0</v>
      </c>
      <c r="BX62" s="2">
        <f t="shared" si="93"/>
        <v>0</v>
      </c>
      <c r="BY62" s="2">
        <f t="shared" si="93"/>
        <v>0</v>
      </c>
      <c r="BZ62" s="729">
        <f t="shared" si="93"/>
        <v>0</v>
      </c>
      <c r="CB62" s="915" t="str">
        <f>'5. MethodMix Set Up'!$G$15</f>
        <v>Implant</v>
      </c>
      <c r="CC62" s="2">
        <f t="shared" ref="CC62:CR62" si="94">SUM(CC27:CC29)</f>
        <v>0</v>
      </c>
      <c r="CD62" s="2">
        <f t="shared" si="94"/>
        <v>0</v>
      </c>
      <c r="CE62" s="2">
        <f t="shared" si="94"/>
        <v>0</v>
      </c>
      <c r="CF62" s="2">
        <f t="shared" si="94"/>
        <v>0</v>
      </c>
      <c r="CG62" s="2">
        <f t="shared" si="94"/>
        <v>0</v>
      </c>
      <c r="CH62" s="2">
        <f t="shared" si="94"/>
        <v>0</v>
      </c>
      <c r="CI62" s="2">
        <f t="shared" si="94"/>
        <v>0</v>
      </c>
      <c r="CJ62" s="2">
        <f t="shared" si="94"/>
        <v>0</v>
      </c>
      <c r="CK62" s="2">
        <f t="shared" si="94"/>
        <v>0</v>
      </c>
      <c r="CL62" s="2">
        <f t="shared" si="94"/>
        <v>0</v>
      </c>
      <c r="CM62" s="2">
        <f t="shared" si="94"/>
        <v>0</v>
      </c>
      <c r="CN62" s="2">
        <f t="shared" si="94"/>
        <v>0</v>
      </c>
      <c r="CO62" s="2">
        <f t="shared" si="94"/>
        <v>0</v>
      </c>
      <c r="CP62" s="2">
        <f t="shared" si="94"/>
        <v>0</v>
      </c>
      <c r="CQ62" s="2">
        <f t="shared" si="94"/>
        <v>0</v>
      </c>
      <c r="CR62" s="729">
        <f t="shared" si="94"/>
        <v>0</v>
      </c>
    </row>
    <row r="63" spans="1:115" ht="17.25" hidden="1" customHeight="1" outlineLevel="1" thickBot="1" x14ac:dyDescent="0.3">
      <c r="A63" s="1557"/>
      <c r="B63" s="1532"/>
      <c r="C63" s="888" t="str">
        <f>IF(Language="English", 'Language Look Ups'!$P$19,IF(Language="Francais", 'Language Look Ups'!$T$19, 'Language Look Ups'!$R$19))</f>
        <v>Autre Injectable</v>
      </c>
      <c r="D63" s="889"/>
      <c r="E63" s="889"/>
      <c r="F63" s="890"/>
      <c r="G63" s="883" t="str">
        <f t="shared" si="88"/>
        <v/>
      </c>
      <c r="H63" s="883" t="str">
        <f t="shared" si="88"/>
        <v/>
      </c>
      <c r="I63" s="883" t="str">
        <f t="shared" si="88"/>
        <v/>
      </c>
      <c r="J63" s="883" t="str">
        <f t="shared" si="88"/>
        <v/>
      </c>
      <c r="K63" s="883" t="str">
        <f t="shared" si="88"/>
        <v/>
      </c>
      <c r="L63" s="883" t="str">
        <f t="shared" si="88"/>
        <v/>
      </c>
      <c r="M63" s="883" t="str">
        <f t="shared" si="88"/>
        <v/>
      </c>
      <c r="N63" s="883" t="str">
        <f t="shared" si="88"/>
        <v/>
      </c>
      <c r="O63" s="883" t="str">
        <f t="shared" si="88"/>
        <v/>
      </c>
      <c r="P63" s="883" t="str">
        <f t="shared" si="88"/>
        <v/>
      </c>
      <c r="Q63" s="883" t="str">
        <f t="shared" si="88"/>
        <v/>
      </c>
      <c r="R63" s="883" t="str">
        <f t="shared" si="88"/>
        <v/>
      </c>
      <c r="S63" s="883" t="str">
        <f t="shared" si="88"/>
        <v/>
      </c>
      <c r="T63" s="883" t="str">
        <f t="shared" si="88"/>
        <v/>
      </c>
      <c r="U63" s="883" t="str">
        <f t="shared" si="88"/>
        <v/>
      </c>
      <c r="V63" s="883" t="str">
        <f t="shared" si="88"/>
        <v/>
      </c>
      <c r="W63" s="884">
        <f t="shared" si="80"/>
        <v>0</v>
      </c>
      <c r="X63">
        <v>12</v>
      </c>
      <c r="Y63" t="str">
        <f>IF(W63&gt;0, HLOOKUP("OUTLIER", $G63:$V$75, X63, 0), "")</f>
        <v/>
      </c>
      <c r="AA63" s="148" t="str">
        <f t="shared" si="81"/>
        <v/>
      </c>
      <c r="AB63" s="856" t="e">
        <f t="shared" si="82"/>
        <v>#DIV/0!</v>
      </c>
      <c r="AC63" s="934" t="e">
        <f t="shared" si="83"/>
        <v>#DIV/0!</v>
      </c>
      <c r="AD63" s="856" t="e">
        <f t="shared" si="84"/>
        <v>#DIV/0!</v>
      </c>
      <c r="AE63" s="856" t="e">
        <f t="shared" si="85"/>
        <v>#DIV/0!</v>
      </c>
      <c r="BJ63" s="915" t="str">
        <f>'5. MethodMix Set Up'!$G$16</f>
        <v>Produits injectables</v>
      </c>
      <c r="BK63" s="2">
        <f t="shared" ref="BK63:BZ63" si="95">SUM(BK32:BK36)</f>
        <v>0</v>
      </c>
      <c r="BL63" s="2">
        <f t="shared" si="95"/>
        <v>0</v>
      </c>
      <c r="BM63" s="2">
        <f t="shared" si="95"/>
        <v>0</v>
      </c>
      <c r="BN63" s="2">
        <f t="shared" si="95"/>
        <v>0</v>
      </c>
      <c r="BO63" s="2">
        <f t="shared" si="95"/>
        <v>0</v>
      </c>
      <c r="BP63" s="2">
        <f t="shared" si="95"/>
        <v>0</v>
      </c>
      <c r="BQ63" s="2">
        <f t="shared" si="95"/>
        <v>0</v>
      </c>
      <c r="BR63" s="2">
        <f t="shared" si="95"/>
        <v>0</v>
      </c>
      <c r="BS63" s="2">
        <f t="shared" si="95"/>
        <v>0</v>
      </c>
      <c r="BT63" s="2">
        <f t="shared" si="95"/>
        <v>0</v>
      </c>
      <c r="BU63" s="2">
        <f t="shared" si="95"/>
        <v>0</v>
      </c>
      <c r="BV63" s="2">
        <f t="shared" si="95"/>
        <v>0</v>
      </c>
      <c r="BW63" s="2">
        <f t="shared" si="95"/>
        <v>0</v>
      </c>
      <c r="BX63" s="2">
        <f t="shared" si="95"/>
        <v>0</v>
      </c>
      <c r="BY63" s="2">
        <f t="shared" si="95"/>
        <v>0</v>
      </c>
      <c r="BZ63" s="729">
        <f t="shared" si="95"/>
        <v>0</v>
      </c>
      <c r="CB63" s="915" t="str">
        <f>'5. MethodMix Set Up'!$G$16</f>
        <v>Produits injectables</v>
      </c>
      <c r="CC63" s="2">
        <f t="shared" ref="CC63:CR63" si="96">SUM(CC32:CC36)</f>
        <v>0</v>
      </c>
      <c r="CD63" s="2">
        <f t="shared" si="96"/>
        <v>0</v>
      </c>
      <c r="CE63" s="2">
        <f t="shared" si="96"/>
        <v>0</v>
      </c>
      <c r="CF63" s="2">
        <f t="shared" si="96"/>
        <v>0</v>
      </c>
      <c r="CG63" s="2">
        <f t="shared" si="96"/>
        <v>0</v>
      </c>
      <c r="CH63" s="2">
        <f t="shared" si="96"/>
        <v>0</v>
      </c>
      <c r="CI63" s="2">
        <f t="shared" si="96"/>
        <v>0</v>
      </c>
      <c r="CJ63" s="2">
        <f t="shared" si="96"/>
        <v>0</v>
      </c>
      <c r="CK63" s="2">
        <f t="shared" si="96"/>
        <v>0</v>
      </c>
      <c r="CL63" s="2">
        <f t="shared" si="96"/>
        <v>0</v>
      </c>
      <c r="CM63" s="2">
        <f t="shared" si="96"/>
        <v>0</v>
      </c>
      <c r="CN63" s="2">
        <f t="shared" si="96"/>
        <v>0</v>
      </c>
      <c r="CO63" s="2">
        <f t="shared" si="96"/>
        <v>0</v>
      </c>
      <c r="CP63" s="2">
        <f t="shared" si="96"/>
        <v>0</v>
      </c>
      <c r="CQ63" s="2">
        <f t="shared" si="96"/>
        <v>0</v>
      </c>
      <c r="CR63" s="729">
        <f t="shared" si="96"/>
        <v>0</v>
      </c>
    </row>
    <row r="64" spans="1:115" ht="17.25" hidden="1" customHeight="1" outlineLevel="1" thickBot="1" x14ac:dyDescent="0.3">
      <c r="A64" s="1557"/>
      <c r="B64" s="1527" t="str">
        <f>IF(Language="English", 'Language Look Ups'!$O$20,IF(Language="Francais", 'Language Look Ups'!$S$20, 'Language Look Ups'!Q$20))</f>
        <v>Pilule</v>
      </c>
      <c r="C64" s="885" t="str">
        <f>IF(Language="English", 'Language Look Ups'!$P$20,IF(Language="Francais", 'Language Look Ups'!$T$20, 'Language Look Ups'!$R$20))</f>
        <v>Oraux combinés (COC)</v>
      </c>
      <c r="D64" s="886"/>
      <c r="E64" s="886"/>
      <c r="F64" s="887"/>
      <c r="G64" s="883" t="str">
        <f t="shared" si="88"/>
        <v/>
      </c>
      <c r="H64" s="883" t="str">
        <f t="shared" si="88"/>
        <v/>
      </c>
      <c r="I64" s="883" t="str">
        <f t="shared" si="88"/>
        <v/>
      </c>
      <c r="J64" s="883" t="str">
        <f t="shared" si="88"/>
        <v/>
      </c>
      <c r="K64" s="883" t="str">
        <f t="shared" si="88"/>
        <v/>
      </c>
      <c r="L64" s="883" t="str">
        <f t="shared" si="88"/>
        <v/>
      </c>
      <c r="M64" s="883" t="str">
        <f t="shared" si="88"/>
        <v/>
      </c>
      <c r="N64" s="883" t="str">
        <f t="shared" si="88"/>
        <v/>
      </c>
      <c r="O64" s="883" t="str">
        <f t="shared" si="88"/>
        <v/>
      </c>
      <c r="P64" s="883" t="str">
        <f t="shared" si="88"/>
        <v/>
      </c>
      <c r="Q64" s="883" t="str">
        <f t="shared" si="88"/>
        <v/>
      </c>
      <c r="R64" s="883" t="str">
        <f t="shared" si="88"/>
        <v/>
      </c>
      <c r="S64" s="883" t="str">
        <f t="shared" si="88"/>
        <v/>
      </c>
      <c r="T64" s="883" t="str">
        <f t="shared" si="88"/>
        <v/>
      </c>
      <c r="U64" s="883" t="str">
        <f t="shared" si="88"/>
        <v/>
      </c>
      <c r="V64" s="883" t="str">
        <f t="shared" si="88"/>
        <v/>
      </c>
      <c r="W64" s="884">
        <f t="shared" si="80"/>
        <v>0</v>
      </c>
      <c r="X64">
        <v>11</v>
      </c>
      <c r="Y64" t="str">
        <f>IF(W64&gt;0, HLOOKUP("OUTLIER", $G64:$V$75, X64, 0), "")</f>
        <v/>
      </c>
      <c r="AA64" s="148" t="str">
        <f t="shared" si="81"/>
        <v/>
      </c>
      <c r="AB64" s="856" t="e">
        <f t="shared" si="82"/>
        <v>#DIV/0!</v>
      </c>
      <c r="AC64" s="934" t="e">
        <f t="shared" si="83"/>
        <v>#DIV/0!</v>
      </c>
      <c r="AD64" s="856" t="e">
        <f t="shared" si="84"/>
        <v>#DIV/0!</v>
      </c>
      <c r="AE64" s="856" t="e">
        <f t="shared" si="85"/>
        <v>#DIV/0!</v>
      </c>
      <c r="BJ64" s="915" t="str">
        <f>'5. MethodMix Set Up'!$G$17</f>
        <v>Pilule</v>
      </c>
      <c r="BK64" s="2">
        <f t="shared" ref="BK64:BZ64" si="97">SUM(BK37:BK39)</f>
        <v>0</v>
      </c>
      <c r="BL64" s="2">
        <f t="shared" si="97"/>
        <v>0</v>
      </c>
      <c r="BM64" s="2">
        <f t="shared" si="97"/>
        <v>0</v>
      </c>
      <c r="BN64" s="2">
        <f t="shared" si="97"/>
        <v>0</v>
      </c>
      <c r="BO64" s="2">
        <f t="shared" si="97"/>
        <v>0</v>
      </c>
      <c r="BP64" s="2">
        <f t="shared" si="97"/>
        <v>0</v>
      </c>
      <c r="BQ64" s="2">
        <f t="shared" si="97"/>
        <v>0</v>
      </c>
      <c r="BR64" s="2">
        <f t="shared" si="97"/>
        <v>0</v>
      </c>
      <c r="BS64" s="2">
        <f t="shared" si="97"/>
        <v>0</v>
      </c>
      <c r="BT64" s="2">
        <f t="shared" si="97"/>
        <v>0</v>
      </c>
      <c r="BU64" s="2">
        <f t="shared" si="97"/>
        <v>0</v>
      </c>
      <c r="BV64" s="2">
        <f t="shared" si="97"/>
        <v>0</v>
      </c>
      <c r="BW64" s="2">
        <f t="shared" si="97"/>
        <v>0</v>
      </c>
      <c r="BX64" s="2">
        <f t="shared" si="97"/>
        <v>0</v>
      </c>
      <c r="BY64" s="2">
        <f t="shared" si="97"/>
        <v>0</v>
      </c>
      <c r="BZ64" s="729">
        <f t="shared" si="97"/>
        <v>0</v>
      </c>
      <c r="CB64" s="915" t="str">
        <f>'5. MethodMix Set Up'!$G$17</f>
        <v>Pilule</v>
      </c>
      <c r="CC64" s="2">
        <f t="shared" ref="CC64:CR64" si="98">SUM(CC37:CC39)</f>
        <v>0</v>
      </c>
      <c r="CD64" s="2">
        <f t="shared" si="98"/>
        <v>0</v>
      </c>
      <c r="CE64" s="2">
        <f t="shared" si="98"/>
        <v>0</v>
      </c>
      <c r="CF64" s="2">
        <f t="shared" si="98"/>
        <v>0</v>
      </c>
      <c r="CG64" s="2">
        <f t="shared" si="98"/>
        <v>0</v>
      </c>
      <c r="CH64" s="2">
        <f t="shared" si="98"/>
        <v>0</v>
      </c>
      <c r="CI64" s="2">
        <f t="shared" si="98"/>
        <v>0</v>
      </c>
      <c r="CJ64" s="2">
        <f t="shared" si="98"/>
        <v>0</v>
      </c>
      <c r="CK64" s="2">
        <f t="shared" si="98"/>
        <v>0</v>
      </c>
      <c r="CL64" s="2">
        <f t="shared" si="98"/>
        <v>0</v>
      </c>
      <c r="CM64" s="2">
        <f t="shared" si="98"/>
        <v>0</v>
      </c>
      <c r="CN64" s="2">
        <f t="shared" si="98"/>
        <v>0</v>
      </c>
      <c r="CO64" s="2">
        <f t="shared" si="98"/>
        <v>0</v>
      </c>
      <c r="CP64" s="2">
        <f t="shared" si="98"/>
        <v>0</v>
      </c>
      <c r="CQ64" s="2">
        <f t="shared" si="98"/>
        <v>0</v>
      </c>
      <c r="CR64" s="729">
        <f t="shared" si="98"/>
        <v>0</v>
      </c>
    </row>
    <row r="65" spans="1:115" ht="17.25" hidden="1" customHeight="1" outlineLevel="1" thickBot="1" x14ac:dyDescent="0.3">
      <c r="A65" s="1557"/>
      <c r="B65" s="1529"/>
      <c r="C65" s="891" t="str">
        <f>IF(Language="English", 'Language Look Ups'!$P$21,IF(Language="Francais", 'Language Look Ups'!$T$21, 'Language Look Ups'!$R$21))</f>
        <v>Progestatifs seul (POP)</v>
      </c>
      <c r="D65" s="892"/>
      <c r="E65" s="892"/>
      <c r="F65" s="893"/>
      <c r="G65" s="883" t="str">
        <f t="shared" si="88"/>
        <v/>
      </c>
      <c r="H65" s="883" t="str">
        <f t="shared" si="88"/>
        <v/>
      </c>
      <c r="I65" s="883" t="str">
        <f t="shared" si="88"/>
        <v/>
      </c>
      <c r="J65" s="883" t="str">
        <f t="shared" si="88"/>
        <v/>
      </c>
      <c r="K65" s="883" t="str">
        <f t="shared" si="88"/>
        <v/>
      </c>
      <c r="L65" s="883" t="str">
        <f t="shared" si="88"/>
        <v/>
      </c>
      <c r="M65" s="883" t="str">
        <f t="shared" si="88"/>
        <v/>
      </c>
      <c r="N65" s="883" t="str">
        <f t="shared" si="88"/>
        <v/>
      </c>
      <c r="O65" s="883" t="str">
        <f t="shared" si="88"/>
        <v/>
      </c>
      <c r="P65" s="883" t="str">
        <f t="shared" si="88"/>
        <v/>
      </c>
      <c r="Q65" s="883" t="str">
        <f t="shared" si="88"/>
        <v/>
      </c>
      <c r="R65" s="883" t="str">
        <f t="shared" si="88"/>
        <v/>
      </c>
      <c r="S65" s="883" t="str">
        <f t="shared" si="88"/>
        <v/>
      </c>
      <c r="T65" s="883" t="str">
        <f t="shared" si="88"/>
        <v/>
      </c>
      <c r="U65" s="883" t="str">
        <f t="shared" si="88"/>
        <v/>
      </c>
      <c r="V65" s="883" t="str">
        <f t="shared" si="88"/>
        <v/>
      </c>
      <c r="W65" s="884">
        <f t="shared" si="80"/>
        <v>0</v>
      </c>
      <c r="X65">
        <v>10</v>
      </c>
      <c r="Y65" t="str">
        <f>IF(W65&gt;0, HLOOKUP("OUTLIER", $G65:$V$75, X65, 0), "")</f>
        <v/>
      </c>
      <c r="AA65" s="148" t="str">
        <f t="shared" si="81"/>
        <v/>
      </c>
      <c r="AB65" s="856" t="e">
        <f t="shared" si="82"/>
        <v>#DIV/0!</v>
      </c>
      <c r="AC65" s="934" t="e">
        <f t="shared" si="83"/>
        <v>#DIV/0!</v>
      </c>
      <c r="AD65" s="856" t="e">
        <f t="shared" si="84"/>
        <v>#DIV/0!</v>
      </c>
      <c r="AE65" s="856" t="e">
        <f t="shared" si="85"/>
        <v>#DIV/0!</v>
      </c>
      <c r="BJ65" s="915" t="str">
        <f>'5. MethodMix Set Up'!$G$18</f>
        <v>Préservatifs (m+f)</v>
      </c>
      <c r="BK65" s="2">
        <f t="shared" ref="BK65:BZ65" si="99">SUM(BK40:BK41)</f>
        <v>0</v>
      </c>
      <c r="BL65" s="2">
        <f t="shared" si="99"/>
        <v>0</v>
      </c>
      <c r="BM65" s="2">
        <f t="shared" si="99"/>
        <v>0</v>
      </c>
      <c r="BN65" s="2">
        <f t="shared" si="99"/>
        <v>0</v>
      </c>
      <c r="BO65" s="2">
        <f t="shared" si="99"/>
        <v>0</v>
      </c>
      <c r="BP65" s="2">
        <f t="shared" si="99"/>
        <v>0</v>
      </c>
      <c r="BQ65" s="2">
        <f t="shared" si="99"/>
        <v>0</v>
      </c>
      <c r="BR65" s="2">
        <f t="shared" si="99"/>
        <v>0</v>
      </c>
      <c r="BS65" s="2">
        <f t="shared" si="99"/>
        <v>0</v>
      </c>
      <c r="BT65" s="2">
        <f t="shared" si="99"/>
        <v>0</v>
      </c>
      <c r="BU65" s="2">
        <f t="shared" si="99"/>
        <v>0</v>
      </c>
      <c r="BV65" s="2">
        <f t="shared" si="99"/>
        <v>0</v>
      </c>
      <c r="BW65" s="2">
        <f t="shared" si="99"/>
        <v>0</v>
      </c>
      <c r="BX65" s="2">
        <f t="shared" si="99"/>
        <v>0</v>
      </c>
      <c r="BY65" s="2">
        <f t="shared" si="99"/>
        <v>0</v>
      </c>
      <c r="BZ65" s="729">
        <f t="shared" si="99"/>
        <v>0</v>
      </c>
      <c r="CB65" s="915" t="str">
        <f>'5. MethodMix Set Up'!$G$18</f>
        <v>Préservatifs (m+f)</v>
      </c>
      <c r="CC65" s="2">
        <f t="shared" ref="CC65:CR65" si="100">SUM(CC40:CC41)</f>
        <v>0</v>
      </c>
      <c r="CD65" s="2">
        <f t="shared" si="100"/>
        <v>0</v>
      </c>
      <c r="CE65" s="2">
        <f t="shared" si="100"/>
        <v>0</v>
      </c>
      <c r="CF65" s="2">
        <f t="shared" si="100"/>
        <v>0</v>
      </c>
      <c r="CG65" s="2">
        <f t="shared" si="100"/>
        <v>0</v>
      </c>
      <c r="CH65" s="2">
        <f t="shared" si="100"/>
        <v>0</v>
      </c>
      <c r="CI65" s="2">
        <f t="shared" si="100"/>
        <v>0</v>
      </c>
      <c r="CJ65" s="2">
        <f t="shared" si="100"/>
        <v>0</v>
      </c>
      <c r="CK65" s="2">
        <f t="shared" si="100"/>
        <v>0</v>
      </c>
      <c r="CL65" s="2">
        <f t="shared" si="100"/>
        <v>0</v>
      </c>
      <c r="CM65" s="2">
        <f t="shared" si="100"/>
        <v>0</v>
      </c>
      <c r="CN65" s="2">
        <f t="shared" si="100"/>
        <v>0</v>
      </c>
      <c r="CO65" s="2">
        <f t="shared" si="100"/>
        <v>0</v>
      </c>
      <c r="CP65" s="2">
        <f t="shared" si="100"/>
        <v>0</v>
      </c>
      <c r="CQ65" s="2">
        <f t="shared" si="100"/>
        <v>0</v>
      </c>
      <c r="CR65" s="729">
        <f t="shared" si="100"/>
        <v>0</v>
      </c>
    </row>
    <row r="66" spans="1:115" ht="17.25" hidden="1" customHeight="1" outlineLevel="1" thickBot="1" x14ac:dyDescent="0.3">
      <c r="A66" s="1557"/>
      <c r="B66" s="1528"/>
      <c r="C66" s="888" t="str">
        <f>IF(Language="English", 'Language Look Ups'!$P$22,IF(Language="Francais", 'Language Look Ups'!$T$22, 'Language Look Ups'!$R$22))</f>
        <v>Autre pilule</v>
      </c>
      <c r="D66" s="889"/>
      <c r="E66" s="889"/>
      <c r="F66" s="890"/>
      <c r="G66" s="883" t="str">
        <f t="shared" si="88"/>
        <v/>
      </c>
      <c r="H66" s="883" t="str">
        <f t="shared" si="88"/>
        <v/>
      </c>
      <c r="I66" s="883" t="str">
        <f t="shared" si="88"/>
        <v/>
      </c>
      <c r="J66" s="883" t="str">
        <f t="shared" si="88"/>
        <v/>
      </c>
      <c r="K66" s="883" t="str">
        <f t="shared" si="88"/>
        <v/>
      </c>
      <c r="L66" s="883" t="str">
        <f t="shared" si="88"/>
        <v/>
      </c>
      <c r="M66" s="883" t="str">
        <f t="shared" si="88"/>
        <v/>
      </c>
      <c r="N66" s="883" t="str">
        <f t="shared" si="88"/>
        <v/>
      </c>
      <c r="O66" s="883" t="str">
        <f t="shared" si="88"/>
        <v/>
      </c>
      <c r="P66" s="883" t="str">
        <f t="shared" si="88"/>
        <v/>
      </c>
      <c r="Q66" s="883" t="str">
        <f t="shared" si="88"/>
        <v/>
      </c>
      <c r="R66" s="883" t="str">
        <f t="shared" si="88"/>
        <v/>
      </c>
      <c r="S66" s="883" t="str">
        <f t="shared" si="88"/>
        <v/>
      </c>
      <c r="T66" s="883" t="str">
        <f t="shared" si="88"/>
        <v/>
      </c>
      <c r="U66" s="883" t="str">
        <f t="shared" si="88"/>
        <v/>
      </c>
      <c r="V66" s="883" t="str">
        <f t="shared" si="88"/>
        <v/>
      </c>
      <c r="W66" s="884">
        <f t="shared" si="80"/>
        <v>0</v>
      </c>
      <c r="X66">
        <v>9</v>
      </c>
      <c r="Y66" t="str">
        <f>IF(W66&gt;0, HLOOKUP("OUTLIER", $G66:$V$75, X66, 0), "")</f>
        <v/>
      </c>
      <c r="AA66" s="148" t="str">
        <f t="shared" si="81"/>
        <v/>
      </c>
      <c r="AB66" s="856" t="e">
        <f t="shared" si="82"/>
        <v>#DIV/0!</v>
      </c>
      <c r="AC66" s="934" t="e">
        <f t="shared" si="83"/>
        <v>#DIV/0!</v>
      </c>
      <c r="AD66" s="856" t="e">
        <f t="shared" si="84"/>
        <v>#DIV/0!</v>
      </c>
      <c r="AE66" s="856" t="e">
        <f t="shared" si="85"/>
        <v>#DIV/0!</v>
      </c>
      <c r="BJ66" s="915" t="str">
        <f>'5. MethodMix Set Up'!$G$19</f>
        <v>MAMA</v>
      </c>
      <c r="BK66" s="2">
        <f>SUM(BK42)</f>
        <v>0</v>
      </c>
      <c r="BL66" s="2">
        <f t="shared" ref="BL66:BZ66" si="101">SUM(BL42)</f>
        <v>0</v>
      </c>
      <c r="BM66" s="2">
        <f t="shared" si="101"/>
        <v>0</v>
      </c>
      <c r="BN66" s="2">
        <f t="shared" si="101"/>
        <v>0</v>
      </c>
      <c r="BO66" s="2">
        <f t="shared" si="101"/>
        <v>0</v>
      </c>
      <c r="BP66" s="2">
        <f t="shared" si="101"/>
        <v>0</v>
      </c>
      <c r="BQ66" s="2">
        <f t="shared" si="101"/>
        <v>0</v>
      </c>
      <c r="BR66" s="2">
        <f t="shared" si="101"/>
        <v>0</v>
      </c>
      <c r="BS66" s="2">
        <f t="shared" si="101"/>
        <v>0</v>
      </c>
      <c r="BT66" s="2">
        <f t="shared" si="101"/>
        <v>0</v>
      </c>
      <c r="BU66" s="2">
        <f t="shared" si="101"/>
        <v>0</v>
      </c>
      <c r="BV66" s="2">
        <f t="shared" si="101"/>
        <v>0</v>
      </c>
      <c r="BW66" s="2">
        <f t="shared" si="101"/>
        <v>0</v>
      </c>
      <c r="BX66" s="2">
        <f t="shared" si="101"/>
        <v>0</v>
      </c>
      <c r="BY66" s="2">
        <f t="shared" si="101"/>
        <v>0</v>
      </c>
      <c r="BZ66" s="2">
        <f t="shared" si="101"/>
        <v>0</v>
      </c>
      <c r="CB66" s="915" t="str">
        <f>'5. MethodMix Set Up'!$G$19</f>
        <v>MAMA</v>
      </c>
      <c r="CC66" s="2">
        <f>SUM(CC42)</f>
        <v>0</v>
      </c>
      <c r="CD66" s="2">
        <f t="shared" ref="CD66:CR66" si="102">SUM(CD42)</f>
        <v>0</v>
      </c>
      <c r="CE66" s="2">
        <f t="shared" si="102"/>
        <v>0</v>
      </c>
      <c r="CF66" s="2">
        <f t="shared" si="102"/>
        <v>0</v>
      </c>
      <c r="CG66" s="2">
        <f t="shared" si="102"/>
        <v>0</v>
      </c>
      <c r="CH66" s="2">
        <f t="shared" si="102"/>
        <v>0</v>
      </c>
      <c r="CI66" s="2">
        <f t="shared" si="102"/>
        <v>0</v>
      </c>
      <c r="CJ66" s="2">
        <f t="shared" si="102"/>
        <v>0</v>
      </c>
      <c r="CK66" s="2">
        <f t="shared" si="102"/>
        <v>0</v>
      </c>
      <c r="CL66" s="2">
        <f t="shared" si="102"/>
        <v>0</v>
      </c>
      <c r="CM66" s="2">
        <f t="shared" si="102"/>
        <v>0</v>
      </c>
      <c r="CN66" s="2">
        <f t="shared" si="102"/>
        <v>0</v>
      </c>
      <c r="CO66" s="2">
        <f t="shared" si="102"/>
        <v>0</v>
      </c>
      <c r="CP66" s="2">
        <f t="shared" si="102"/>
        <v>0</v>
      </c>
      <c r="CQ66" s="2">
        <f t="shared" si="102"/>
        <v>0</v>
      </c>
      <c r="CR66" s="2">
        <f t="shared" si="102"/>
        <v>0</v>
      </c>
    </row>
    <row r="67" spans="1:115" ht="17.25" hidden="1" customHeight="1" outlineLevel="1" thickBot="1" x14ac:dyDescent="0.3">
      <c r="A67" s="1557"/>
      <c r="B67" s="1527" t="str">
        <f>IF(Language="English", 'Language Look Ups'!$O$23,IF(Language="Francais", 'Language Look Ups'!$S$23, 'Language Look Ups'!Q$23))</f>
        <v>Préservatifs</v>
      </c>
      <c r="C67" s="885" t="str">
        <f>IF(Language="English", 'Language Look Ups'!$P$23,IF(Language="Francais", 'Language Look Ups'!$T$23, 'Language Look Ups'!$R$23))</f>
        <v>Préservatifs masculin</v>
      </c>
      <c r="D67" s="886"/>
      <c r="E67" s="886"/>
      <c r="F67" s="887"/>
      <c r="G67" s="883" t="str">
        <f t="shared" si="88"/>
        <v/>
      </c>
      <c r="H67" s="883" t="str">
        <f t="shared" si="88"/>
        <v/>
      </c>
      <c r="I67" s="883" t="str">
        <f t="shared" si="88"/>
        <v/>
      </c>
      <c r="J67" s="883" t="str">
        <f t="shared" si="88"/>
        <v/>
      </c>
      <c r="K67" s="883" t="str">
        <f t="shared" si="88"/>
        <v/>
      </c>
      <c r="L67" s="883" t="str">
        <f t="shared" si="88"/>
        <v/>
      </c>
      <c r="M67" s="883" t="str">
        <f t="shared" si="88"/>
        <v/>
      </c>
      <c r="N67" s="883" t="str">
        <f t="shared" si="88"/>
        <v/>
      </c>
      <c r="O67" s="883" t="str">
        <f t="shared" si="88"/>
        <v/>
      </c>
      <c r="P67" s="883" t="str">
        <f t="shared" si="88"/>
        <v/>
      </c>
      <c r="Q67" s="883" t="str">
        <f t="shared" si="88"/>
        <v/>
      </c>
      <c r="R67" s="883" t="str">
        <f t="shared" si="88"/>
        <v/>
      </c>
      <c r="S67" s="883" t="str">
        <f t="shared" si="88"/>
        <v/>
      </c>
      <c r="T67" s="883" t="str">
        <f t="shared" si="88"/>
        <v/>
      </c>
      <c r="U67" s="883" t="str">
        <f t="shared" si="88"/>
        <v/>
      </c>
      <c r="V67" s="883" t="str">
        <f t="shared" si="88"/>
        <v/>
      </c>
      <c r="W67" s="884">
        <f t="shared" si="80"/>
        <v>0</v>
      </c>
      <c r="X67">
        <v>8</v>
      </c>
      <c r="Y67" t="str">
        <f>IF(W67&gt;0, HLOOKUP("OUTLIER", $G67:$V$75, X67, 0), "")</f>
        <v/>
      </c>
      <c r="AA67" s="148" t="str">
        <f t="shared" si="81"/>
        <v/>
      </c>
      <c r="AB67" s="856" t="e">
        <f t="shared" si="82"/>
        <v>#DIV/0!</v>
      </c>
      <c r="AC67" s="934" t="e">
        <f t="shared" si="83"/>
        <v>#DIV/0!</v>
      </c>
      <c r="AD67" s="856" t="e">
        <f t="shared" si="84"/>
        <v>#DIV/0!</v>
      </c>
      <c r="AE67" s="856" t="e">
        <f t="shared" si="85"/>
        <v>#DIV/0!</v>
      </c>
      <c r="BJ67" s="915" t="str">
        <f>IF(Language="English", 'Language Look Ups'!$O$29,IF(Language="Francais", 'Language Look Ups'!$S$29, 'Language Look Ups'!CO$29))</f>
        <v>Contraception d'urgence</v>
      </c>
      <c r="BK67" s="732">
        <f>SUM(BK46)</f>
        <v>0</v>
      </c>
      <c r="BL67" s="732">
        <f t="shared" ref="BL67:BZ67" si="103">SUM(BL46)</f>
        <v>0</v>
      </c>
      <c r="BM67" s="732">
        <f t="shared" si="103"/>
        <v>0</v>
      </c>
      <c r="BN67" s="732">
        <f t="shared" si="103"/>
        <v>0</v>
      </c>
      <c r="BO67" s="732">
        <f t="shared" si="103"/>
        <v>0</v>
      </c>
      <c r="BP67" s="732">
        <f t="shared" si="103"/>
        <v>0</v>
      </c>
      <c r="BQ67" s="732">
        <f t="shared" si="103"/>
        <v>0</v>
      </c>
      <c r="BR67" s="732">
        <f t="shared" si="103"/>
        <v>0</v>
      </c>
      <c r="BS67" s="732">
        <f t="shared" si="103"/>
        <v>0</v>
      </c>
      <c r="BT67" s="732">
        <f t="shared" si="103"/>
        <v>0</v>
      </c>
      <c r="BU67" s="732">
        <f t="shared" si="103"/>
        <v>0</v>
      </c>
      <c r="BV67" s="732">
        <f t="shared" si="103"/>
        <v>0</v>
      </c>
      <c r="BW67" s="732">
        <f t="shared" si="103"/>
        <v>0</v>
      </c>
      <c r="BX67" s="732">
        <f t="shared" si="103"/>
        <v>0</v>
      </c>
      <c r="BY67" s="732">
        <f t="shared" si="103"/>
        <v>0</v>
      </c>
      <c r="BZ67" s="732">
        <f t="shared" si="103"/>
        <v>0</v>
      </c>
      <c r="CB67" s="915" t="str">
        <f>IF(Language="English", 'Language Look Ups'!$O$29,IF(Language="Francais", 'Language Look Ups'!$S$29, 'Language Look Ups'!DG$29))</f>
        <v>Contraception d'urgence</v>
      </c>
      <c r="CC67" s="732">
        <f>SUM(CC46)</f>
        <v>0</v>
      </c>
      <c r="CD67" s="732">
        <f t="shared" ref="CD67:CR67" si="104">SUM(CD46)</f>
        <v>0</v>
      </c>
      <c r="CE67" s="732">
        <f t="shared" si="104"/>
        <v>0</v>
      </c>
      <c r="CF67" s="732">
        <f t="shared" si="104"/>
        <v>0</v>
      </c>
      <c r="CG67" s="732">
        <f t="shared" si="104"/>
        <v>0</v>
      </c>
      <c r="CH67" s="732">
        <f t="shared" si="104"/>
        <v>0</v>
      </c>
      <c r="CI67" s="732">
        <f t="shared" si="104"/>
        <v>0</v>
      </c>
      <c r="CJ67" s="732">
        <f t="shared" si="104"/>
        <v>0</v>
      </c>
      <c r="CK67" s="732">
        <f t="shared" si="104"/>
        <v>0</v>
      </c>
      <c r="CL67" s="732">
        <f t="shared" si="104"/>
        <v>0</v>
      </c>
      <c r="CM67" s="732">
        <f t="shared" si="104"/>
        <v>0</v>
      </c>
      <c r="CN67" s="732">
        <f t="shared" si="104"/>
        <v>0</v>
      </c>
      <c r="CO67" s="732">
        <f t="shared" si="104"/>
        <v>0</v>
      </c>
      <c r="CP67" s="732">
        <f t="shared" si="104"/>
        <v>0</v>
      </c>
      <c r="CQ67" s="732">
        <f t="shared" si="104"/>
        <v>0</v>
      </c>
      <c r="CR67" s="732">
        <f t="shared" si="104"/>
        <v>0</v>
      </c>
    </row>
    <row r="68" spans="1:115" ht="17.25" hidden="1" customHeight="1" outlineLevel="1" thickBot="1" x14ac:dyDescent="0.3">
      <c r="A68" s="1557"/>
      <c r="B68" s="1528"/>
      <c r="C68" s="888" t="str">
        <f>IF(Language="English", 'Language Look Ups'!$P$24,IF(Language="Francais", 'Language Look Ups'!$T$24, 'Language Look Ups'!$R$24))</f>
        <v>Préservatifs feminin</v>
      </c>
      <c r="D68" s="889"/>
      <c r="E68" s="889"/>
      <c r="F68" s="890"/>
      <c r="G68" s="883" t="str">
        <f t="shared" si="88"/>
        <v/>
      </c>
      <c r="H68" s="883" t="str">
        <f t="shared" si="88"/>
        <v/>
      </c>
      <c r="I68" s="883" t="str">
        <f t="shared" si="88"/>
        <v/>
      </c>
      <c r="J68" s="883" t="str">
        <f t="shared" si="88"/>
        <v/>
      </c>
      <c r="K68" s="883" t="str">
        <f t="shared" si="88"/>
        <v/>
      </c>
      <c r="L68" s="883" t="str">
        <f t="shared" si="88"/>
        <v/>
      </c>
      <c r="M68" s="883" t="str">
        <f t="shared" si="88"/>
        <v/>
      </c>
      <c r="N68" s="883" t="str">
        <f t="shared" si="88"/>
        <v/>
      </c>
      <c r="O68" s="883" t="str">
        <f t="shared" si="88"/>
        <v/>
      </c>
      <c r="P68" s="883" t="str">
        <f t="shared" si="88"/>
        <v/>
      </c>
      <c r="Q68" s="883" t="str">
        <f t="shared" si="88"/>
        <v/>
      </c>
      <c r="R68" s="883" t="str">
        <f t="shared" si="88"/>
        <v/>
      </c>
      <c r="S68" s="883" t="str">
        <f t="shared" si="88"/>
        <v/>
      </c>
      <c r="T68" s="883" t="str">
        <f t="shared" si="88"/>
        <v/>
      </c>
      <c r="U68" s="883" t="str">
        <f t="shared" si="88"/>
        <v/>
      </c>
      <c r="V68" s="883" t="str">
        <f t="shared" si="88"/>
        <v/>
      </c>
      <c r="W68" s="884">
        <f t="shared" si="80"/>
        <v>0</v>
      </c>
      <c r="X68">
        <v>7</v>
      </c>
      <c r="Y68" t="str">
        <f>IF(W68&gt;0, HLOOKUP("OUTLIER", $G68:$V$75, X68, 0), "")</f>
        <v/>
      </c>
      <c r="AA68" s="148" t="str">
        <f t="shared" si="81"/>
        <v/>
      </c>
      <c r="AB68" s="856" t="e">
        <f t="shared" si="82"/>
        <v>#DIV/0!</v>
      </c>
      <c r="AC68" s="934" t="e">
        <f t="shared" si="83"/>
        <v>#DIV/0!</v>
      </c>
      <c r="AD68" s="856" t="e">
        <f t="shared" si="84"/>
        <v>#DIV/0!</v>
      </c>
      <c r="AE68" s="856" t="e">
        <f t="shared" si="85"/>
        <v>#DIV/0!</v>
      </c>
      <c r="BJ68" s="915" t="str">
        <f>'5. MethodMix Set Up'!$G$20</f>
        <v>Autres méthodes modernes</v>
      </c>
      <c r="BK68" s="2">
        <f>SUM(BK43:BK45)</f>
        <v>0</v>
      </c>
      <c r="BL68" s="2">
        <f t="shared" ref="BL68:BZ68" si="105">SUM(BL43:BL45)</f>
        <v>0</v>
      </c>
      <c r="BM68" s="2">
        <f t="shared" si="105"/>
        <v>0</v>
      </c>
      <c r="BN68" s="2">
        <f t="shared" si="105"/>
        <v>0</v>
      </c>
      <c r="BO68" s="2">
        <f t="shared" si="105"/>
        <v>0</v>
      </c>
      <c r="BP68" s="2">
        <f t="shared" si="105"/>
        <v>0</v>
      </c>
      <c r="BQ68" s="2">
        <f t="shared" si="105"/>
        <v>0</v>
      </c>
      <c r="BR68" s="2">
        <f t="shared" si="105"/>
        <v>0</v>
      </c>
      <c r="BS68" s="2">
        <f t="shared" si="105"/>
        <v>0</v>
      </c>
      <c r="BT68" s="2">
        <f t="shared" si="105"/>
        <v>0</v>
      </c>
      <c r="BU68" s="2">
        <f t="shared" si="105"/>
        <v>0</v>
      </c>
      <c r="BV68" s="2">
        <f t="shared" si="105"/>
        <v>0</v>
      </c>
      <c r="BW68" s="2">
        <f t="shared" si="105"/>
        <v>0</v>
      </c>
      <c r="BX68" s="2">
        <f t="shared" si="105"/>
        <v>0</v>
      </c>
      <c r="BY68" s="2">
        <f t="shared" si="105"/>
        <v>0</v>
      </c>
      <c r="BZ68" s="2">
        <f t="shared" si="105"/>
        <v>0</v>
      </c>
      <c r="CB68" s="915" t="str">
        <f>'5. MethodMix Set Up'!$G$20</f>
        <v>Autres méthodes modernes</v>
      </c>
      <c r="CC68" s="2">
        <f>SUM(CC43:CC45)</f>
        <v>0</v>
      </c>
      <c r="CD68" s="2">
        <f t="shared" ref="CD68:CR68" si="106">SUM(CD43:CD45)</f>
        <v>0</v>
      </c>
      <c r="CE68" s="2">
        <f t="shared" si="106"/>
        <v>0</v>
      </c>
      <c r="CF68" s="2">
        <f t="shared" si="106"/>
        <v>0</v>
      </c>
      <c r="CG68" s="2">
        <f t="shared" si="106"/>
        <v>0</v>
      </c>
      <c r="CH68" s="2">
        <f t="shared" si="106"/>
        <v>0</v>
      </c>
      <c r="CI68" s="2">
        <f t="shared" si="106"/>
        <v>0</v>
      </c>
      <c r="CJ68" s="2">
        <f t="shared" si="106"/>
        <v>0</v>
      </c>
      <c r="CK68" s="2">
        <f t="shared" si="106"/>
        <v>0</v>
      </c>
      <c r="CL68" s="2">
        <f t="shared" si="106"/>
        <v>0</v>
      </c>
      <c r="CM68" s="2">
        <f t="shared" si="106"/>
        <v>0</v>
      </c>
      <c r="CN68" s="2">
        <f t="shared" si="106"/>
        <v>0</v>
      </c>
      <c r="CO68" s="2">
        <f t="shared" si="106"/>
        <v>0</v>
      </c>
      <c r="CP68" s="2">
        <f t="shared" si="106"/>
        <v>0</v>
      </c>
      <c r="CQ68" s="2">
        <f t="shared" si="106"/>
        <v>0</v>
      </c>
      <c r="CR68" s="2">
        <f t="shared" si="106"/>
        <v>0</v>
      </c>
    </row>
    <row r="69" spans="1:115" ht="17.25" hidden="1" customHeight="1" outlineLevel="1" thickBot="1" x14ac:dyDescent="0.3">
      <c r="A69" s="1557"/>
      <c r="B69" s="1527" t="str">
        <f>IF(Language="English", 'Language Look Ups'!$O$25,IF(Language="Francais", 'Language Look Ups'!$S$25, 'Language Look Ups'!Q$25))</f>
        <v>Autres Méthodes Modernes</v>
      </c>
      <c r="C69" s="885" t="str">
        <f>IF(Language="English", 'Language Look Ups'!$P$25,IF(Language="Francais", 'Language Look Ups'!$T$25, 'Language Look Ups'!$R$25))</f>
        <v>MAMA</v>
      </c>
      <c r="D69" s="886"/>
      <c r="E69" s="886"/>
      <c r="F69" s="887"/>
      <c r="G69" s="883" t="str">
        <f t="shared" si="88"/>
        <v/>
      </c>
      <c r="H69" s="883" t="str">
        <f t="shared" si="88"/>
        <v/>
      </c>
      <c r="I69" s="883" t="str">
        <f t="shared" si="88"/>
        <v/>
      </c>
      <c r="J69" s="883" t="str">
        <f t="shared" si="88"/>
        <v/>
      </c>
      <c r="K69" s="883" t="str">
        <f t="shared" si="88"/>
        <v/>
      </c>
      <c r="L69" s="883" t="str">
        <f t="shared" si="88"/>
        <v/>
      </c>
      <c r="M69" s="883" t="str">
        <f t="shared" si="88"/>
        <v/>
      </c>
      <c r="N69" s="883" t="str">
        <f t="shared" si="88"/>
        <v/>
      </c>
      <c r="O69" s="883" t="str">
        <f t="shared" si="88"/>
        <v/>
      </c>
      <c r="P69" s="883" t="str">
        <f t="shared" si="88"/>
        <v/>
      </c>
      <c r="Q69" s="883" t="str">
        <f t="shared" si="88"/>
        <v/>
      </c>
      <c r="R69" s="883" t="str">
        <f t="shared" si="88"/>
        <v/>
      </c>
      <c r="S69" s="883" t="str">
        <f t="shared" si="88"/>
        <v/>
      </c>
      <c r="T69" s="883" t="str">
        <f t="shared" si="88"/>
        <v/>
      </c>
      <c r="U69" s="883" t="str">
        <f t="shared" si="88"/>
        <v/>
      </c>
      <c r="V69" s="883" t="str">
        <f t="shared" si="88"/>
        <v/>
      </c>
      <c r="W69" s="884">
        <f t="shared" si="80"/>
        <v>0</v>
      </c>
      <c r="X69">
        <v>6</v>
      </c>
      <c r="Y69" t="str">
        <f>IF(W69&gt;0, HLOOKUP("OUTLIER", $G69:$V$75, X69, 0), "")</f>
        <v/>
      </c>
      <c r="AA69" s="148" t="str">
        <f t="shared" si="81"/>
        <v/>
      </c>
      <c r="AB69" s="856" t="e">
        <f t="shared" si="82"/>
        <v>#DIV/0!</v>
      </c>
      <c r="AC69" s="934" t="e">
        <f t="shared" si="83"/>
        <v>#DIV/0!</v>
      </c>
      <c r="AD69" s="856" t="e">
        <f t="shared" si="84"/>
        <v>#DIV/0!</v>
      </c>
      <c r="AE69" s="856" t="e">
        <f t="shared" si="85"/>
        <v>#DIV/0!</v>
      </c>
    </row>
    <row r="70" spans="1:115" ht="17.25" hidden="1" customHeight="1" outlineLevel="1" thickBot="1" x14ac:dyDescent="0.3">
      <c r="A70" s="1557"/>
      <c r="B70" s="1529"/>
      <c r="C70" s="891" t="str">
        <f>IF(Language="English", 'Language Look Ups'!$P$26,IF(Language="Francais", 'Language Look Ups'!$T$26, 'Language Look Ups'!$R$26))</f>
        <v>MJF (Jours fixes)</v>
      </c>
      <c r="D70" s="892"/>
      <c r="E70" s="892"/>
      <c r="F70" s="893"/>
      <c r="G70" s="883" t="str">
        <f t="shared" si="88"/>
        <v/>
      </c>
      <c r="H70" s="883" t="str">
        <f t="shared" si="88"/>
        <v/>
      </c>
      <c r="I70" s="883" t="str">
        <f t="shared" si="88"/>
        <v/>
      </c>
      <c r="J70" s="883" t="str">
        <f t="shared" si="88"/>
        <v/>
      </c>
      <c r="K70" s="883" t="str">
        <f t="shared" si="88"/>
        <v/>
      </c>
      <c r="L70" s="883" t="str">
        <f t="shared" si="88"/>
        <v/>
      </c>
      <c r="M70" s="883" t="str">
        <f t="shared" si="88"/>
        <v/>
      </c>
      <c r="N70" s="883" t="str">
        <f t="shared" si="88"/>
        <v/>
      </c>
      <c r="O70" s="883" t="str">
        <f t="shared" si="88"/>
        <v/>
      </c>
      <c r="P70" s="883" t="str">
        <f t="shared" si="88"/>
        <v/>
      </c>
      <c r="Q70" s="883" t="str">
        <f t="shared" si="88"/>
        <v/>
      </c>
      <c r="R70" s="883" t="str">
        <f t="shared" si="88"/>
        <v/>
      </c>
      <c r="S70" s="883" t="str">
        <f t="shared" si="88"/>
        <v/>
      </c>
      <c r="T70" s="883" t="str">
        <f t="shared" si="88"/>
        <v/>
      </c>
      <c r="U70" s="883" t="str">
        <f t="shared" si="88"/>
        <v/>
      </c>
      <c r="V70" s="883" t="str">
        <f t="shared" si="88"/>
        <v/>
      </c>
      <c r="W70" s="884">
        <f t="shared" si="80"/>
        <v>0</v>
      </c>
      <c r="X70">
        <v>5</v>
      </c>
      <c r="Y70" t="str">
        <f>IF(W70&gt;0, HLOOKUP("OUTLIER", $G70:$V$75, X70, 0), "")</f>
        <v/>
      </c>
      <c r="AA70" s="148" t="str">
        <f t="shared" si="81"/>
        <v/>
      </c>
      <c r="AB70" s="856" t="e">
        <f t="shared" si="82"/>
        <v>#DIV/0!</v>
      </c>
      <c r="AC70" s="934" t="e">
        <f t="shared" si="83"/>
        <v>#DIV/0!</v>
      </c>
      <c r="AD70" s="856" t="e">
        <f t="shared" si="84"/>
        <v>#DIV/0!</v>
      </c>
      <c r="AE70" s="856" t="e">
        <f t="shared" si="85"/>
        <v>#DIV/0!</v>
      </c>
      <c r="BJ70" s="867"/>
    </row>
    <row r="71" spans="1:115" ht="17.25" hidden="1" customHeight="1" outlineLevel="1" thickBot="1" x14ac:dyDescent="0.3">
      <c r="A71" s="1557"/>
      <c r="B71" s="1529"/>
      <c r="C71" s="891" t="str">
        <f>IF(Language="English", 'Language Look Ups'!$P$27,IF(Language="Francais", 'Language Look Ups'!$T$27, 'Language Look Ups'!$R$27))</f>
        <v>Barrière vaginale</v>
      </c>
      <c r="D71" s="892"/>
      <c r="E71" s="892"/>
      <c r="F71" s="893"/>
      <c r="G71" s="883" t="str">
        <f t="shared" si="88"/>
        <v/>
      </c>
      <c r="H71" s="883" t="str">
        <f t="shared" si="88"/>
        <v/>
      </c>
      <c r="I71" s="883" t="str">
        <f t="shared" si="88"/>
        <v/>
      </c>
      <c r="J71" s="883" t="str">
        <f t="shared" si="88"/>
        <v/>
      </c>
      <c r="K71" s="883" t="str">
        <f t="shared" si="88"/>
        <v/>
      </c>
      <c r="L71" s="883" t="str">
        <f t="shared" si="88"/>
        <v/>
      </c>
      <c r="M71" s="883" t="str">
        <f t="shared" si="88"/>
        <v/>
      </c>
      <c r="N71" s="883" t="str">
        <f t="shared" si="88"/>
        <v/>
      </c>
      <c r="O71" s="883" t="str">
        <f t="shared" si="88"/>
        <v/>
      </c>
      <c r="P71" s="883" t="str">
        <f t="shared" si="88"/>
        <v/>
      </c>
      <c r="Q71" s="883" t="str">
        <f t="shared" si="88"/>
        <v/>
      </c>
      <c r="R71" s="883" t="str">
        <f t="shared" si="88"/>
        <v/>
      </c>
      <c r="S71" s="883" t="str">
        <f t="shared" si="88"/>
        <v/>
      </c>
      <c r="T71" s="883" t="str">
        <f t="shared" si="88"/>
        <v/>
      </c>
      <c r="U71" s="883" t="str">
        <f t="shared" si="88"/>
        <v/>
      </c>
      <c r="V71" s="883" t="str">
        <f t="shared" si="88"/>
        <v/>
      </c>
      <c r="W71" s="884">
        <f t="shared" si="80"/>
        <v>0</v>
      </c>
      <c r="X71">
        <v>4</v>
      </c>
      <c r="Y71" t="str">
        <f>IF(W71&gt;0, HLOOKUP("OUTLIER", $G71:$V$75, X71, 0), "")</f>
        <v/>
      </c>
      <c r="AA71" s="148" t="str">
        <f t="shared" si="81"/>
        <v/>
      </c>
      <c r="AB71" s="856" t="e">
        <f t="shared" si="82"/>
        <v>#DIV/0!</v>
      </c>
      <c r="AC71" s="934" t="e">
        <f t="shared" si="83"/>
        <v>#DIV/0!</v>
      </c>
      <c r="AD71" s="856" t="e">
        <f t="shared" si="84"/>
        <v>#DIV/0!</v>
      </c>
      <c r="AE71" s="856" t="e">
        <f t="shared" si="85"/>
        <v>#DIV/0!</v>
      </c>
      <c r="BJ71" s="867"/>
    </row>
    <row r="72" spans="1:115" ht="17.25" hidden="1" customHeight="1" outlineLevel="1" thickBot="1" x14ac:dyDescent="0.3">
      <c r="A72" s="1557"/>
      <c r="B72" s="1528"/>
      <c r="C72" s="888" t="str">
        <f>IF(Language="English", 'Language Look Ups'!$P$28,IF(Language="Francais", 'Language Look Ups'!$T$28, 'Language Look Ups'!$R$28))</f>
        <v>Spermicides</v>
      </c>
      <c r="D72" s="889"/>
      <c r="E72" s="889"/>
      <c r="F72" s="890"/>
      <c r="G72" s="883" t="str">
        <f t="shared" si="88"/>
        <v/>
      </c>
      <c r="H72" s="883" t="str">
        <f t="shared" si="88"/>
        <v/>
      </c>
      <c r="I72" s="883" t="str">
        <f t="shared" si="88"/>
        <v/>
      </c>
      <c r="J72" s="883" t="str">
        <f t="shared" si="88"/>
        <v/>
      </c>
      <c r="K72" s="883" t="str">
        <f t="shared" si="88"/>
        <v/>
      </c>
      <c r="L72" s="883" t="str">
        <f t="shared" si="88"/>
        <v/>
      </c>
      <c r="M72" s="883" t="str">
        <f t="shared" si="88"/>
        <v/>
      </c>
      <c r="N72" s="883" t="str">
        <f t="shared" si="88"/>
        <v/>
      </c>
      <c r="O72" s="883" t="str">
        <f t="shared" si="88"/>
        <v/>
      </c>
      <c r="P72" s="883" t="str">
        <f t="shared" si="88"/>
        <v/>
      </c>
      <c r="Q72" s="883" t="str">
        <f t="shared" si="88"/>
        <v/>
      </c>
      <c r="R72" s="883" t="str">
        <f t="shared" si="88"/>
        <v/>
      </c>
      <c r="S72" s="883" t="str">
        <f t="shared" si="88"/>
        <v/>
      </c>
      <c r="T72" s="883" t="str">
        <f t="shared" si="88"/>
        <v/>
      </c>
      <c r="U72" s="883" t="str">
        <f t="shared" si="88"/>
        <v/>
      </c>
      <c r="V72" s="883" t="str">
        <f t="shared" si="88"/>
        <v/>
      </c>
      <c r="W72" s="884">
        <f t="shared" si="80"/>
        <v>0</v>
      </c>
      <c r="X72">
        <v>3</v>
      </c>
      <c r="Y72" t="str">
        <f>IF(W72&gt;0, HLOOKUP("OUTLIER", $G72:$V$75, X72, 0), "")</f>
        <v/>
      </c>
      <c r="AA72" s="148" t="str">
        <f t="shared" si="81"/>
        <v/>
      </c>
      <c r="AB72" s="856" t="e">
        <f t="shared" si="82"/>
        <v>#DIV/0!</v>
      </c>
      <c r="AC72" s="934" t="e">
        <f t="shared" si="83"/>
        <v>#DIV/0!</v>
      </c>
      <c r="AD72" s="856" t="e">
        <f t="shared" si="84"/>
        <v>#DIV/0!</v>
      </c>
      <c r="AE72" s="856" t="e">
        <f t="shared" si="85"/>
        <v>#DIV/0!</v>
      </c>
      <c r="BJ72" s="866"/>
    </row>
    <row r="73" spans="1:115" ht="34.9" hidden="1" customHeight="1" outlineLevel="1" thickBot="1" x14ac:dyDescent="0.3">
      <c r="A73" s="1557"/>
      <c r="B73" s="894" t="str">
        <f>IF(Language="English", 'Language Look Ups'!$O$29,IF(Language="Francais", 'Language Look Ups'!$S$29, 'Language Look Ups'!Q$29))</f>
        <v>Contraception d'urgence</v>
      </c>
      <c r="C73" s="895" t="str">
        <f>IF(Language="English", 'Language Look Ups'!$P$29,IF(Language="Francais", 'Language Look Ups'!$T$29, 'Language Look Ups'!$R$29))</f>
        <v>CU</v>
      </c>
      <c r="D73" s="896"/>
      <c r="E73" s="896"/>
      <c r="F73" s="897"/>
      <c r="G73" s="883" t="str">
        <f t="shared" si="88"/>
        <v/>
      </c>
      <c r="H73" s="883" t="str">
        <f t="shared" si="88"/>
        <v/>
      </c>
      <c r="I73" s="883" t="str">
        <f t="shared" si="88"/>
        <v/>
      </c>
      <c r="J73" s="883" t="str">
        <f t="shared" si="88"/>
        <v/>
      </c>
      <c r="K73" s="883" t="str">
        <f t="shared" si="88"/>
        <v/>
      </c>
      <c r="L73" s="883" t="str">
        <f t="shared" si="88"/>
        <v/>
      </c>
      <c r="M73" s="883" t="str">
        <f t="shared" si="88"/>
        <v/>
      </c>
      <c r="N73" s="883" t="str">
        <f t="shared" si="88"/>
        <v/>
      </c>
      <c r="O73" s="883" t="str">
        <f t="shared" si="88"/>
        <v/>
      </c>
      <c r="P73" s="883" t="str">
        <f t="shared" si="88"/>
        <v/>
      </c>
      <c r="Q73" s="883" t="str">
        <f t="shared" si="88"/>
        <v/>
      </c>
      <c r="R73" s="883" t="str">
        <f t="shared" si="88"/>
        <v/>
      </c>
      <c r="S73" s="883" t="str">
        <f t="shared" si="88"/>
        <v/>
      </c>
      <c r="T73" s="883" t="str">
        <f t="shared" si="88"/>
        <v/>
      </c>
      <c r="U73" s="883" t="str">
        <f t="shared" si="88"/>
        <v/>
      </c>
      <c r="V73" s="883" t="str">
        <f t="shared" si="88"/>
        <v/>
      </c>
      <c r="W73" s="884">
        <f t="shared" si="80"/>
        <v>0</v>
      </c>
      <c r="X73">
        <v>2</v>
      </c>
      <c r="Y73" t="str">
        <f>IF(W73&gt;0, HLOOKUP("OUTLIER", $G73:$V$75, X73, 0), "")</f>
        <v/>
      </c>
      <c r="AA73" s="148" t="str">
        <f t="shared" si="81"/>
        <v/>
      </c>
      <c r="AB73" s="856" t="e">
        <f t="shared" si="82"/>
        <v>#DIV/0!</v>
      </c>
      <c r="AC73" s="934" t="e">
        <f t="shared" si="83"/>
        <v>#DIV/0!</v>
      </c>
      <c r="AD73" s="856" t="e">
        <f t="shared" si="84"/>
        <v>#DIV/0!</v>
      </c>
      <c r="AE73" s="856" t="e">
        <f t="shared" si="85"/>
        <v>#DIV/0!</v>
      </c>
    </row>
    <row r="74" spans="1:115" ht="20.45" hidden="1" customHeight="1" outlineLevel="1" x14ac:dyDescent="0.25">
      <c r="A74" s="1557"/>
      <c r="B74" s="898" t="str">
        <f>B47</f>
        <v>CAP Totale</v>
      </c>
      <c r="C74" s="899"/>
      <c r="D74" s="900"/>
      <c r="E74" s="900"/>
      <c r="F74" s="901"/>
      <c r="G74" s="883" t="e">
        <f t="shared" si="88"/>
        <v>#DIV/0!</v>
      </c>
      <c r="H74" s="883" t="str">
        <f t="shared" si="88"/>
        <v/>
      </c>
      <c r="I74" s="883" t="str">
        <f t="shared" si="88"/>
        <v/>
      </c>
      <c r="J74" s="883" t="str">
        <f t="shared" si="88"/>
        <v/>
      </c>
      <c r="K74" s="883" t="str">
        <f t="shared" si="88"/>
        <v/>
      </c>
      <c r="L74" s="883" t="str">
        <f t="shared" si="88"/>
        <v/>
      </c>
      <c r="M74" s="883" t="str">
        <f t="shared" si="88"/>
        <v/>
      </c>
      <c r="N74" s="883" t="str">
        <f t="shared" si="88"/>
        <v/>
      </c>
      <c r="O74" s="883" t="str">
        <f t="shared" si="88"/>
        <v/>
      </c>
      <c r="P74" s="883" t="str">
        <f t="shared" si="88"/>
        <v/>
      </c>
      <c r="Q74" s="883" t="str">
        <f t="shared" si="88"/>
        <v/>
      </c>
      <c r="R74" s="883" t="str">
        <f t="shared" si="88"/>
        <v/>
      </c>
      <c r="S74" s="883" t="str">
        <f t="shared" si="88"/>
        <v/>
      </c>
      <c r="T74" s="883" t="str">
        <f t="shared" si="88"/>
        <v/>
      </c>
      <c r="U74" s="883" t="str">
        <f t="shared" si="88"/>
        <v/>
      </c>
      <c r="V74" s="883" t="str">
        <f>IF(V47="", "", IF(OR(V47&gt;$AD74, V47&lt;$AE74), V$21&amp;",", ""))</f>
        <v/>
      </c>
      <c r="W74" s="902"/>
      <c r="AA74" s="148" t="str">
        <f t="shared" si="81"/>
        <v/>
      </c>
      <c r="AB74" s="856">
        <f t="shared" si="82"/>
        <v>0</v>
      </c>
      <c r="AC74" s="934" t="e">
        <f t="shared" si="83"/>
        <v>#DIV/0!</v>
      </c>
      <c r="AD74" s="856" t="e">
        <f t="shared" si="84"/>
        <v>#DIV/0!</v>
      </c>
      <c r="AE74" s="856" t="e">
        <f t="shared" si="85"/>
        <v>#DIV/0!</v>
      </c>
    </row>
    <row r="75" spans="1:115" ht="12.75" hidden="1" customHeight="1" outlineLevel="1" thickBot="1" x14ac:dyDescent="0.3">
      <c r="A75" s="1557"/>
      <c r="G75" s="426">
        <f>'3. ServiceStats Set Up'!$C$19</f>
        <v>0</v>
      </c>
      <c r="H75" s="427" t="str">
        <f>IFERROR(IF(G75+1&lt;='3. ServiceStats Set Up'!$C$20, 'Commodities (Clients) Input'!G75+1, ""), "")</f>
        <v/>
      </c>
      <c r="I75" s="427" t="str">
        <f>IFERROR(IF(H75+1&lt;='3. ServiceStats Set Up'!$C$20, 'Commodities (Clients) Input'!H75+1, ""), "")</f>
        <v/>
      </c>
      <c r="J75" s="427" t="str">
        <f>IFERROR(IF(I75+1&lt;='3. ServiceStats Set Up'!$C$20, 'Commodities (Clients) Input'!I75+1, ""), "")</f>
        <v/>
      </c>
      <c r="K75" s="427" t="str">
        <f>IFERROR(IF(J75+1&lt;='3. ServiceStats Set Up'!$C$20, 'Commodities (Clients) Input'!J75+1, ""), "")</f>
        <v/>
      </c>
      <c r="L75" s="427" t="str">
        <f>IFERROR(IF(K75+1&lt;='3. ServiceStats Set Up'!$C$20, 'Commodities (Clients) Input'!K75+1, ""), "")</f>
        <v/>
      </c>
      <c r="M75" s="427" t="str">
        <f>IFERROR(IF(L75+1&lt;='3. ServiceStats Set Up'!$C$20, 'Commodities (Clients) Input'!L75+1, ""), "")</f>
        <v/>
      </c>
      <c r="N75" s="427" t="str">
        <f>IFERROR(IF(M75+1&lt;='3. ServiceStats Set Up'!$C$20, 'Commodities (Clients) Input'!M75+1, ""), "")</f>
        <v/>
      </c>
      <c r="O75" s="427" t="str">
        <f>IFERROR(IF(N75+1&lt;='3. ServiceStats Set Up'!$C$20, 'Commodities (Clients) Input'!N75+1, ""), "")</f>
        <v/>
      </c>
      <c r="P75" s="427" t="str">
        <f>IFERROR(IF(O75+1&lt;='3. ServiceStats Set Up'!$C$20, 'Commodities (Clients) Input'!O75+1, ""), "")</f>
        <v/>
      </c>
      <c r="Q75" s="427" t="str">
        <f>IFERROR(IF(P75+1&lt;='3. ServiceStats Set Up'!$C$20, 'Commodities (Clients) Input'!P75+1, ""), "")</f>
        <v/>
      </c>
      <c r="R75" s="427" t="str">
        <f>IFERROR(IF(Q75+1&lt;='3. ServiceStats Set Up'!$C$20, 'Commodities (Clients) Input'!Q75+1, ""), "")</f>
        <v/>
      </c>
      <c r="S75" s="427" t="str">
        <f>IFERROR(IF(R75+1&lt;='3. ServiceStats Set Up'!$C$20, 'Commodities (Clients) Input'!R75+1, ""), "")</f>
        <v/>
      </c>
      <c r="T75" s="427" t="str">
        <f>IFERROR(IF(S75+1&lt;='3. ServiceStats Set Up'!$C$20, 'Commodities (Clients) Input'!S75+1, ""), "")</f>
        <v/>
      </c>
      <c r="U75" s="427" t="str">
        <f>IFERROR(IF(T75+1&lt;='3. ServiceStats Set Up'!$C$20, 'Commodities (Clients) Input'!T75+1, ""), "")</f>
        <v/>
      </c>
      <c r="V75" s="427" t="str">
        <f>IFERROR(IF(U75+1&lt;='3. ServiceStats Set Up'!$C$20, 'Commodities (Clients) Input'!U75+1, ""), "")</f>
        <v/>
      </c>
    </row>
    <row r="76" spans="1:115" s="1" customFormat="1" ht="42" hidden="1" customHeight="1" outlineLevel="1" thickBot="1" x14ac:dyDescent="0.3">
      <c r="A76" s="1557"/>
      <c r="B76" s="1509" t="s">
        <v>1217</v>
      </c>
      <c r="C76" s="1510"/>
      <c r="D76" s="1510"/>
      <c r="E76" s="1510"/>
      <c r="F76" s="1510"/>
      <c r="G76" s="1510"/>
      <c r="H76" s="1510"/>
      <c r="I76" s="1510"/>
      <c r="J76" s="1510"/>
      <c r="K76" s="1510"/>
      <c r="L76" s="1510"/>
      <c r="M76" s="1510"/>
      <c r="N76" s="1510"/>
      <c r="O76" s="1510"/>
      <c r="P76" s="1510"/>
      <c r="Q76" s="1510"/>
      <c r="R76" s="1510"/>
      <c r="S76" s="1510"/>
      <c r="T76" s="1510"/>
      <c r="U76" s="1510"/>
      <c r="V76" s="1511"/>
      <c r="W76"/>
      <c r="X76"/>
      <c r="Y76"/>
      <c r="Z76"/>
      <c r="AA76"/>
      <c r="AB76" s="156" t="s">
        <v>310</v>
      </c>
      <c r="AC76" s="157" t="s">
        <v>312</v>
      </c>
      <c r="AD76" s="43" t="s">
        <v>1195</v>
      </c>
      <c r="AE76" s="44" t="s">
        <v>1196</v>
      </c>
      <c r="AF76" s="43" t="s">
        <v>1197</v>
      </c>
      <c r="AG76" s="44" t="s">
        <v>1198</v>
      </c>
      <c r="AH76" s="43"/>
      <c r="AI76" s="44"/>
      <c r="AJ76" s="44"/>
      <c r="AK76" s="44"/>
      <c r="AL76" s="44"/>
      <c r="AM76" s="44"/>
      <c r="AN76" s="44"/>
      <c r="AO76" s="44"/>
      <c r="AP76" s="44"/>
      <c r="AQ76" s="45"/>
      <c r="AS76"/>
      <c r="AT76"/>
      <c r="AU76"/>
      <c r="AV76"/>
      <c r="AW76"/>
      <c r="AX76"/>
      <c r="AY76"/>
      <c r="AZ76"/>
      <c r="BA76" s="184"/>
      <c r="BB76" s="184"/>
      <c r="BC76" s="184"/>
      <c r="BD76"/>
      <c r="BE76"/>
      <c r="BF76"/>
      <c r="BG76"/>
      <c r="BH76"/>
      <c r="BI76" s="181"/>
      <c r="DK76"/>
    </row>
    <row r="77" spans="1:115" ht="17.25" hidden="1" customHeight="1" outlineLevel="1" x14ac:dyDescent="0.25">
      <c r="A77" s="1557"/>
      <c r="B77" s="1494" t="s">
        <v>1</v>
      </c>
      <c r="C77" s="885" t="str">
        <f>IF(Language="English", 'Language Look Ups'!$P$6,IF(Language="Francais", 'Language Look Ups'!$T$6, 'Language Look Ups'!$R$6))</f>
        <v>Ligature des trompes</v>
      </c>
      <c r="D77" s="886"/>
      <c r="E77" s="886"/>
      <c r="F77" s="887"/>
      <c r="G77" s="883"/>
      <c r="H77" s="903" t="str">
        <f t="shared" ref="H77:V83" si="107">IF(H$21="", "", IFERROR((H23-G23)/G23, ""))</f>
        <v/>
      </c>
      <c r="I77" s="903" t="str">
        <f t="shared" si="107"/>
        <v/>
      </c>
      <c r="J77" s="903" t="str">
        <f t="shared" si="107"/>
        <v/>
      </c>
      <c r="K77" s="903" t="str">
        <f>IF(K$21="", "", IFERROR((K23-J23)/J23, ""))</f>
        <v/>
      </c>
      <c r="L77" s="903" t="str">
        <f>IF(L$21="", "", IFERROR((L23-K23)/K23, ""))</f>
        <v/>
      </c>
      <c r="M77" s="903" t="str">
        <f t="shared" si="107"/>
        <v/>
      </c>
      <c r="N77" s="903" t="str">
        <f t="shared" ref="N77:P81" si="108">IF(N$21="", "", IFERROR((N23-M23)/M23, ""))</f>
        <v/>
      </c>
      <c r="O77" s="903" t="str">
        <f t="shared" si="108"/>
        <v/>
      </c>
      <c r="P77" s="903" t="str">
        <f t="shared" si="108"/>
        <v/>
      </c>
      <c r="Q77" s="903" t="str">
        <f t="shared" si="107"/>
        <v/>
      </c>
      <c r="R77" s="903" t="str">
        <f t="shared" si="107"/>
        <v/>
      </c>
      <c r="S77" s="903" t="str">
        <f t="shared" si="107"/>
        <v/>
      </c>
      <c r="T77" s="903" t="str">
        <f t="shared" si="107"/>
        <v/>
      </c>
      <c r="U77" s="903" t="str">
        <f t="shared" si="107"/>
        <v/>
      </c>
      <c r="V77" s="903" t="str">
        <f t="shared" si="107"/>
        <v/>
      </c>
      <c r="AA77" s="148"/>
      <c r="AB77" s="161">
        <f>COUNTIF(H77:V77, "&lt;-.25")</f>
        <v>0</v>
      </c>
      <c r="AC77" s="162">
        <f>COUNTIF(H77:V77, "&gt;150%")</f>
        <v>0</v>
      </c>
      <c r="AD77" s="2" t="e">
        <f t="shared" ref="AD77:AD101" si="109">AVERAGE(G23:V23)</f>
        <v>#DIV/0!</v>
      </c>
      <c r="AE77" s="2" t="e">
        <f t="shared" ref="AE77:AE101" si="110">_xlfn.STDEV.S(G23:V23)*2</f>
        <v>#DIV/0!</v>
      </c>
      <c r="AF77">
        <f>COUNTIF(G23:V23,"&gt;"&amp;AD77+AE77)</f>
        <v>0</v>
      </c>
      <c r="AG77">
        <f>COUNTIF(H23:W23,"&gt;"&amp;AD77-AE77)</f>
        <v>0</v>
      </c>
    </row>
    <row r="78" spans="1:115" ht="17.25" hidden="1" customHeight="1" outlineLevel="1" thickBot="1" x14ac:dyDescent="0.3">
      <c r="A78" s="1557"/>
      <c r="B78" s="1495"/>
      <c r="C78" s="888" t="str">
        <f>IF(Language="English",'Language Look Ups'!$P$7,IF(Language="Francais",'Language Look Ups'!$T$7,'Language Look Ups'!$R$7))</f>
        <v>Vasectomie</v>
      </c>
      <c r="D78" s="889"/>
      <c r="E78" s="889"/>
      <c r="F78" s="890"/>
      <c r="G78" s="904"/>
      <c r="H78" s="905" t="str">
        <f t="shared" si="107"/>
        <v/>
      </c>
      <c r="I78" s="905" t="str">
        <f t="shared" si="107"/>
        <v/>
      </c>
      <c r="J78" s="905" t="str">
        <f t="shared" si="107"/>
        <v/>
      </c>
      <c r="K78" s="905" t="str">
        <f t="shared" si="107"/>
        <v/>
      </c>
      <c r="L78" s="905" t="str">
        <f t="shared" si="107"/>
        <v/>
      </c>
      <c r="M78" s="905" t="str">
        <f t="shared" si="107"/>
        <v/>
      </c>
      <c r="N78" s="905" t="str">
        <f t="shared" si="108"/>
        <v/>
      </c>
      <c r="O78" s="905" t="str">
        <f t="shared" si="108"/>
        <v/>
      </c>
      <c r="P78" s="905" t="str">
        <f t="shared" si="108"/>
        <v/>
      </c>
      <c r="Q78" s="905" t="str">
        <f t="shared" si="107"/>
        <v/>
      </c>
      <c r="R78" s="905" t="str">
        <f t="shared" si="107"/>
        <v/>
      </c>
      <c r="S78" s="905" t="str">
        <f t="shared" si="107"/>
        <v/>
      </c>
      <c r="T78" s="905" t="str">
        <f t="shared" si="107"/>
        <v/>
      </c>
      <c r="U78" s="905" t="str">
        <f t="shared" si="107"/>
        <v/>
      </c>
      <c r="V78" s="905" t="str">
        <f t="shared" si="107"/>
        <v/>
      </c>
      <c r="AA78" s="149">
        <f>COUNTIF(AB78:AC78, "&gt;0")</f>
        <v>0</v>
      </c>
      <c r="AB78" s="163">
        <f t="shared" ref="AB78:AB100" si="111">COUNTIF(H78:V78, "&lt;-.25")</f>
        <v>0</v>
      </c>
      <c r="AC78" s="164">
        <f t="shared" ref="AC78:AC83" si="112">COUNTIF(H78:V78, "&gt;150%")</f>
        <v>0</v>
      </c>
      <c r="AD78" s="2" t="e">
        <f t="shared" si="109"/>
        <v>#DIV/0!</v>
      </c>
      <c r="AE78" s="2" t="e">
        <f t="shared" si="110"/>
        <v>#DIV/0!</v>
      </c>
      <c r="AF78">
        <f t="shared" ref="AF78:AF101" si="113">COUNTIF(G24:V24,"&gt;"&amp;AE78)</f>
        <v>0</v>
      </c>
    </row>
    <row r="79" spans="1:115" ht="17.25" hidden="1" customHeight="1" outlineLevel="1" x14ac:dyDescent="0.25">
      <c r="A79" s="1557"/>
      <c r="B79" s="1494" t="s">
        <v>5</v>
      </c>
      <c r="C79" s="885" t="str">
        <f>IF(Language="English", 'Language Look Ups'!$P$8,IF(Language="Francais", 'Language Look Ups'!$T$8, 'Language Look Ups'!$R$8))</f>
        <v>Copper- T 380-A DIU</v>
      </c>
      <c r="D79" s="886"/>
      <c r="E79" s="886"/>
      <c r="F79" s="887"/>
      <c r="G79" s="883"/>
      <c r="H79" s="903" t="str">
        <f t="shared" si="107"/>
        <v/>
      </c>
      <c r="I79" s="903" t="str">
        <f t="shared" si="107"/>
        <v/>
      </c>
      <c r="J79" s="903" t="str">
        <f t="shared" si="107"/>
        <v/>
      </c>
      <c r="K79" s="903" t="str">
        <f t="shared" ref="K79:M83" si="114">IF(K$21="", "", IFERROR((K25-J25)/J25, ""))</f>
        <v/>
      </c>
      <c r="L79" s="903" t="str">
        <f t="shared" si="114"/>
        <v/>
      </c>
      <c r="M79" s="903" t="str">
        <f t="shared" si="114"/>
        <v/>
      </c>
      <c r="N79" s="903" t="str">
        <f t="shared" si="108"/>
        <v/>
      </c>
      <c r="O79" s="903" t="str">
        <f t="shared" si="108"/>
        <v/>
      </c>
      <c r="P79" s="903" t="str">
        <f t="shared" si="108"/>
        <v/>
      </c>
      <c r="Q79" s="903" t="str">
        <f t="shared" si="107"/>
        <v/>
      </c>
      <c r="R79" s="903" t="str">
        <f t="shared" si="107"/>
        <v/>
      </c>
      <c r="S79" s="903" t="str">
        <f t="shared" si="107"/>
        <v/>
      </c>
      <c r="T79" s="903" t="str">
        <f t="shared" si="107"/>
        <v/>
      </c>
      <c r="U79" s="903" t="str">
        <f t="shared" si="107"/>
        <v/>
      </c>
      <c r="V79" s="903" t="str">
        <f t="shared" si="107"/>
        <v/>
      </c>
      <c r="AA79" s="148"/>
      <c r="AB79" s="161">
        <f t="shared" si="111"/>
        <v>0</v>
      </c>
      <c r="AC79" s="162">
        <f t="shared" si="112"/>
        <v>0</v>
      </c>
      <c r="AD79" s="2" t="e">
        <f t="shared" si="109"/>
        <v>#DIV/0!</v>
      </c>
      <c r="AE79" s="2" t="e">
        <f t="shared" si="110"/>
        <v>#DIV/0!</v>
      </c>
      <c r="AF79">
        <f t="shared" si="113"/>
        <v>0</v>
      </c>
    </row>
    <row r="80" spans="1:115" ht="17.25" hidden="1" customHeight="1" outlineLevel="1" thickBot="1" x14ac:dyDescent="0.3">
      <c r="A80" s="1557"/>
      <c r="B80" s="1495"/>
      <c r="C80" s="888" t="str">
        <f>IF(Language="English", 'Language Look Ups'!$P$9,IF(Language="Francais", 'Language Look Ups'!$T$9, 'Language Look Ups'!$R$9))</f>
        <v>DIU Hormonal (LNG-IUS)</v>
      </c>
      <c r="D80" s="889"/>
      <c r="E80" s="889"/>
      <c r="F80" s="890"/>
      <c r="G80" s="904"/>
      <c r="H80" s="905" t="str">
        <f t="shared" si="107"/>
        <v/>
      </c>
      <c r="I80" s="905" t="str">
        <f t="shared" si="107"/>
        <v/>
      </c>
      <c r="J80" s="905" t="str">
        <f t="shared" si="107"/>
        <v/>
      </c>
      <c r="K80" s="905" t="str">
        <f t="shared" si="114"/>
        <v/>
      </c>
      <c r="L80" s="905" t="str">
        <f t="shared" si="114"/>
        <v/>
      </c>
      <c r="M80" s="905" t="str">
        <f t="shared" si="114"/>
        <v/>
      </c>
      <c r="N80" s="905" t="str">
        <f t="shared" si="108"/>
        <v/>
      </c>
      <c r="O80" s="905" t="str">
        <f t="shared" si="108"/>
        <v/>
      </c>
      <c r="P80" s="905" t="str">
        <f t="shared" si="108"/>
        <v/>
      </c>
      <c r="Q80" s="905" t="str">
        <f t="shared" si="107"/>
        <v/>
      </c>
      <c r="R80" s="905" t="str">
        <f t="shared" si="107"/>
        <v/>
      </c>
      <c r="S80" s="905" t="str">
        <f t="shared" si="107"/>
        <v/>
      </c>
      <c r="T80" s="905" t="str">
        <f t="shared" si="107"/>
        <v/>
      </c>
      <c r="U80" s="905" t="str">
        <f t="shared" si="107"/>
        <v/>
      </c>
      <c r="V80" s="905" t="str">
        <f t="shared" si="107"/>
        <v/>
      </c>
      <c r="AA80" s="149"/>
      <c r="AB80" s="163">
        <f t="shared" si="111"/>
        <v>0</v>
      </c>
      <c r="AC80" s="164">
        <f t="shared" si="112"/>
        <v>0</v>
      </c>
      <c r="AD80" s="2" t="e">
        <f t="shared" si="109"/>
        <v>#DIV/0!</v>
      </c>
      <c r="AE80" s="2" t="e">
        <f t="shared" si="110"/>
        <v>#DIV/0!</v>
      </c>
      <c r="AF80">
        <f t="shared" si="113"/>
        <v>0</v>
      </c>
    </row>
    <row r="81" spans="1:32" ht="17.25" hidden="1" customHeight="1" outlineLevel="1" x14ac:dyDescent="0.25">
      <c r="A81" s="1557"/>
      <c r="B81" s="1494" t="s">
        <v>3</v>
      </c>
      <c r="C81" s="885" t="str">
        <f>IF(Language="English", 'Language Look Ups'!$P$10,IF(Language="Francais", 'Language Look Ups'!$T$10, 'Language Look Ups'!$R$10))</f>
        <v>Implant de 3 ans (Implanon, Levoplant)</v>
      </c>
      <c r="D81" s="886"/>
      <c r="E81" s="886"/>
      <c r="F81" s="887"/>
      <c r="G81" s="883"/>
      <c r="H81" s="903" t="str">
        <f t="shared" si="107"/>
        <v/>
      </c>
      <c r="I81" s="903" t="str">
        <f t="shared" si="107"/>
        <v/>
      </c>
      <c r="J81" s="903" t="str">
        <f t="shared" si="107"/>
        <v/>
      </c>
      <c r="K81" s="903" t="str">
        <f t="shared" si="114"/>
        <v/>
      </c>
      <c r="L81" s="903" t="str">
        <f t="shared" si="114"/>
        <v/>
      </c>
      <c r="M81" s="903" t="str">
        <f t="shared" si="114"/>
        <v/>
      </c>
      <c r="N81" s="903" t="str">
        <f t="shared" si="108"/>
        <v/>
      </c>
      <c r="O81" s="903" t="str">
        <f t="shared" si="108"/>
        <v/>
      </c>
      <c r="P81" s="903" t="str">
        <f t="shared" si="108"/>
        <v/>
      </c>
      <c r="Q81" s="903" t="str">
        <f t="shared" si="107"/>
        <v/>
      </c>
      <c r="R81" s="903" t="str">
        <f t="shared" si="107"/>
        <v/>
      </c>
      <c r="S81" s="903" t="str">
        <f t="shared" si="107"/>
        <v/>
      </c>
      <c r="T81" s="903" t="str">
        <f t="shared" si="107"/>
        <v/>
      </c>
      <c r="U81" s="903" t="str">
        <f t="shared" si="107"/>
        <v/>
      </c>
      <c r="V81" s="903" t="str">
        <f t="shared" si="107"/>
        <v/>
      </c>
      <c r="AA81" s="148"/>
      <c r="AB81" s="161">
        <f t="shared" si="111"/>
        <v>0</v>
      </c>
      <c r="AC81" s="162">
        <f t="shared" si="112"/>
        <v>0</v>
      </c>
      <c r="AD81" s="2" t="e">
        <f t="shared" si="109"/>
        <v>#DIV/0!</v>
      </c>
      <c r="AE81" s="2" t="e">
        <f t="shared" si="110"/>
        <v>#DIV/0!</v>
      </c>
      <c r="AF81">
        <f t="shared" si="113"/>
        <v>0</v>
      </c>
    </row>
    <row r="82" spans="1:32" ht="17.25" hidden="1" customHeight="1" outlineLevel="1" x14ac:dyDescent="0.25">
      <c r="A82" s="1557"/>
      <c r="B82" s="1496"/>
      <c r="C82" s="891" t="str">
        <f>IF(Language="English", 'Language Look Ups'!$P$11,IF(Language="Francais", 'Language Look Ups'!$T$11, 'Language Look Ups'!$R$11))</f>
        <v>Implant de 4 ans (Sino-Implant)</v>
      </c>
      <c r="D82" s="892"/>
      <c r="E82" s="892"/>
      <c r="F82" s="893"/>
      <c r="G82" s="906"/>
      <c r="H82" s="907" t="str">
        <f t="shared" si="107"/>
        <v/>
      </c>
      <c r="I82" s="907" t="str">
        <f t="shared" si="107"/>
        <v/>
      </c>
      <c r="J82" s="907" t="str">
        <f t="shared" si="107"/>
        <v/>
      </c>
      <c r="K82" s="907" t="str">
        <f t="shared" si="114"/>
        <v/>
      </c>
      <c r="L82" s="907" t="str">
        <f t="shared" si="114"/>
        <v/>
      </c>
      <c r="M82" s="907" t="str">
        <f t="shared" si="114"/>
        <v/>
      </c>
      <c r="N82" s="907" t="str">
        <f>IF(N$21="", "", IFERROR((N28-M28)/M28, ""))</f>
        <v/>
      </c>
      <c r="O82" s="907" t="str">
        <f t="shared" si="107"/>
        <v/>
      </c>
      <c r="P82" s="907" t="str">
        <f t="shared" si="107"/>
        <v/>
      </c>
      <c r="Q82" s="907" t="str">
        <f t="shared" si="107"/>
        <v/>
      </c>
      <c r="R82" s="907" t="str">
        <f t="shared" si="107"/>
        <v/>
      </c>
      <c r="S82" s="907" t="str">
        <f t="shared" si="107"/>
        <v/>
      </c>
      <c r="T82" s="907" t="str">
        <f t="shared" si="107"/>
        <v/>
      </c>
      <c r="U82" s="907" t="str">
        <f t="shared" si="107"/>
        <v/>
      </c>
      <c r="V82" s="907" t="str">
        <f t="shared" si="107"/>
        <v/>
      </c>
      <c r="AB82" s="153">
        <f t="shared" si="111"/>
        <v>0</v>
      </c>
      <c r="AC82" s="154">
        <f t="shared" si="112"/>
        <v>0</v>
      </c>
      <c r="AD82" s="2" t="e">
        <f t="shared" si="109"/>
        <v>#DIV/0!</v>
      </c>
      <c r="AE82" s="2" t="e">
        <f t="shared" si="110"/>
        <v>#DIV/0!</v>
      </c>
      <c r="AF82">
        <f t="shared" si="113"/>
        <v>0</v>
      </c>
    </row>
    <row r="83" spans="1:32" ht="17.25" hidden="1" customHeight="1" outlineLevel="1" thickBot="1" x14ac:dyDescent="0.3">
      <c r="A83" s="1557"/>
      <c r="B83" s="1495"/>
      <c r="C83" s="888" t="str">
        <f>IF(Language="English", 'Language Look Ups'!$P$12,IF(Language="Francais", 'Language Look Ups'!$T$12, 'Language Look Ups'!$R$12))</f>
        <v>Implant de 5 ans (Jadelle)</v>
      </c>
      <c r="D83" s="889"/>
      <c r="E83" s="889"/>
      <c r="F83" s="890"/>
      <c r="G83" s="904"/>
      <c r="H83" s="905" t="str">
        <f t="shared" si="107"/>
        <v/>
      </c>
      <c r="I83" s="905" t="str">
        <f t="shared" si="107"/>
        <v/>
      </c>
      <c r="J83" s="905" t="str">
        <f t="shared" si="107"/>
        <v/>
      </c>
      <c r="K83" s="905" t="str">
        <f t="shared" si="114"/>
        <v/>
      </c>
      <c r="L83" s="905" t="str">
        <f t="shared" si="114"/>
        <v/>
      </c>
      <c r="M83" s="905" t="str">
        <f t="shared" si="114"/>
        <v/>
      </c>
      <c r="N83" s="905" t="str">
        <f>IF(N$21="", "", IFERROR((N29-M29)/M29, ""))</f>
        <v/>
      </c>
      <c r="O83" s="905" t="str">
        <f t="shared" si="107"/>
        <v/>
      </c>
      <c r="P83" s="905" t="str">
        <f t="shared" si="107"/>
        <v/>
      </c>
      <c r="Q83" s="905" t="str">
        <f t="shared" si="107"/>
        <v/>
      </c>
      <c r="R83" s="905" t="str">
        <f t="shared" si="107"/>
        <v/>
      </c>
      <c r="S83" s="905" t="str">
        <f t="shared" si="107"/>
        <v/>
      </c>
      <c r="T83" s="905" t="str">
        <f t="shared" si="107"/>
        <v/>
      </c>
      <c r="U83" s="905" t="str">
        <f t="shared" si="107"/>
        <v/>
      </c>
      <c r="V83" s="905" t="str">
        <f t="shared" si="107"/>
        <v/>
      </c>
      <c r="AA83" s="149"/>
      <c r="AB83" s="163">
        <f t="shared" si="111"/>
        <v>0</v>
      </c>
      <c r="AC83" s="164">
        <f t="shared" si="112"/>
        <v>0</v>
      </c>
      <c r="AD83" s="2" t="e">
        <f t="shared" si="109"/>
        <v>#DIV/0!</v>
      </c>
      <c r="AE83" s="2" t="e">
        <f t="shared" si="110"/>
        <v>#DIV/0!</v>
      </c>
      <c r="AF83">
        <f t="shared" si="113"/>
        <v>0</v>
      </c>
    </row>
    <row r="84" spans="1:32" ht="6" hidden="1" customHeight="1" outlineLevel="1" x14ac:dyDescent="0.25">
      <c r="A84" s="1557"/>
      <c r="C84" s="279"/>
      <c r="AB84" s="153"/>
      <c r="AC84" s="154"/>
      <c r="AD84" s="2" t="e">
        <f t="shared" si="109"/>
        <v>#DIV/0!</v>
      </c>
      <c r="AE84" s="2" t="e">
        <f t="shared" si="110"/>
        <v>#DIV/0!</v>
      </c>
      <c r="AF84">
        <f t="shared" si="113"/>
        <v>0</v>
      </c>
    </row>
    <row r="85" spans="1:32" ht="21.75" hidden="1" customHeight="1" outlineLevel="1" thickBot="1" x14ac:dyDescent="0.3">
      <c r="A85" s="1557"/>
      <c r="B85" s="104" t="s">
        <v>95</v>
      </c>
      <c r="C85" s="104"/>
      <c r="D85" s="51"/>
      <c r="E85" s="50"/>
      <c r="F85" s="42"/>
      <c r="G85" s="158"/>
      <c r="H85" s="159"/>
      <c r="I85" s="158"/>
      <c r="J85" s="159"/>
      <c r="K85" s="158"/>
      <c r="L85" s="159"/>
      <c r="M85" s="158"/>
      <c r="N85" s="159"/>
      <c r="O85" s="158"/>
      <c r="P85" s="159"/>
      <c r="Q85" s="158"/>
      <c r="R85" s="159"/>
      <c r="S85" s="158"/>
      <c r="T85" s="159"/>
      <c r="U85" s="158"/>
      <c r="V85" s="160"/>
      <c r="AB85" s="153"/>
      <c r="AC85" s="154"/>
      <c r="AD85" s="2" t="e">
        <f t="shared" si="109"/>
        <v>#DIV/0!</v>
      </c>
      <c r="AE85" s="2" t="e">
        <f t="shared" si="110"/>
        <v>#DIV/0!</v>
      </c>
      <c r="AF85">
        <f t="shared" si="113"/>
        <v>0</v>
      </c>
    </row>
    <row r="86" spans="1:32" ht="17.25" hidden="1" customHeight="1" outlineLevel="1" x14ac:dyDescent="0.25">
      <c r="A86" s="1557"/>
      <c r="B86" s="1494" t="s">
        <v>2</v>
      </c>
      <c r="C86" s="885" t="str">
        <f>IF(Language="English", 'Language Look Ups'!$P$15,IF(Language="Francais", 'Language Look Ups'!$T$15, 'Language Look Ups'!$R$15))</f>
        <v>Depo Provera (DMPA)</v>
      </c>
      <c r="D86" s="886"/>
      <c r="E86" s="886"/>
      <c r="F86" s="887"/>
      <c r="G86" s="908"/>
      <c r="H86" s="903" t="str">
        <f t="shared" ref="H86:V101" si="115">IF(H$21="", "", IFERROR((H32-G32)/G32, ""))</f>
        <v/>
      </c>
      <c r="I86" s="903" t="str">
        <f t="shared" si="115"/>
        <v/>
      </c>
      <c r="J86" s="903" t="str">
        <f t="shared" si="115"/>
        <v/>
      </c>
      <c r="K86" s="903" t="str">
        <f t="shared" si="115"/>
        <v/>
      </c>
      <c r="L86" s="903" t="str">
        <f t="shared" si="115"/>
        <v/>
      </c>
      <c r="M86" s="903" t="str">
        <f t="shared" si="115"/>
        <v/>
      </c>
      <c r="N86" s="903" t="str">
        <f t="shared" si="115"/>
        <v/>
      </c>
      <c r="O86" s="903" t="str">
        <f t="shared" si="115"/>
        <v/>
      </c>
      <c r="P86" s="903" t="str">
        <f t="shared" si="115"/>
        <v/>
      </c>
      <c r="Q86" s="903" t="str">
        <f t="shared" si="115"/>
        <v/>
      </c>
      <c r="R86" s="903" t="str">
        <f t="shared" si="115"/>
        <v/>
      </c>
      <c r="S86" s="903" t="str">
        <f t="shared" si="115"/>
        <v/>
      </c>
      <c r="T86" s="903" t="str">
        <f t="shared" si="115"/>
        <v/>
      </c>
      <c r="U86" s="903" t="str">
        <f t="shared" si="115"/>
        <v/>
      </c>
      <c r="V86" s="903" t="str">
        <f t="shared" si="115"/>
        <v/>
      </c>
      <c r="AA86" s="148"/>
      <c r="AB86" s="161">
        <f t="shared" si="111"/>
        <v>0</v>
      </c>
      <c r="AC86" s="162">
        <f>COUNTIF(H86:V86, "&gt;150%")</f>
        <v>0</v>
      </c>
      <c r="AD86" s="2" t="e">
        <f t="shared" si="109"/>
        <v>#DIV/0!</v>
      </c>
      <c r="AE86" s="2" t="e">
        <f t="shared" si="110"/>
        <v>#DIV/0!</v>
      </c>
      <c r="AF86">
        <f t="shared" si="113"/>
        <v>0</v>
      </c>
    </row>
    <row r="87" spans="1:32" ht="17.25" hidden="1" customHeight="1" outlineLevel="1" x14ac:dyDescent="0.25">
      <c r="A87" s="1557"/>
      <c r="B87" s="1496"/>
      <c r="C87" s="891" t="str">
        <f>IF(Language="English", 'Language Look Ups'!$P$16,IF(Language="Francais", 'Language Look Ups'!$T$16, 'Language Look Ups'!$R$16))</f>
        <v>Noristerat (NET-En)</v>
      </c>
      <c r="D87" s="892"/>
      <c r="E87" s="892"/>
      <c r="F87" s="893"/>
      <c r="G87" s="909"/>
      <c r="H87" s="907" t="str">
        <f t="shared" si="115"/>
        <v/>
      </c>
      <c r="I87" s="907" t="str">
        <f t="shared" si="115"/>
        <v/>
      </c>
      <c r="J87" s="907" t="str">
        <f t="shared" si="115"/>
        <v/>
      </c>
      <c r="K87" s="907" t="str">
        <f t="shared" si="115"/>
        <v/>
      </c>
      <c r="L87" s="907" t="str">
        <f t="shared" si="115"/>
        <v/>
      </c>
      <c r="M87" s="907" t="str">
        <f t="shared" si="115"/>
        <v/>
      </c>
      <c r="N87" s="907" t="str">
        <f t="shared" si="115"/>
        <v/>
      </c>
      <c r="O87" s="907" t="str">
        <f t="shared" si="115"/>
        <v/>
      </c>
      <c r="P87" s="907" t="str">
        <f t="shared" si="115"/>
        <v/>
      </c>
      <c r="Q87" s="907" t="str">
        <f t="shared" si="115"/>
        <v/>
      </c>
      <c r="R87" s="907" t="str">
        <f t="shared" si="115"/>
        <v/>
      </c>
      <c r="S87" s="907" t="str">
        <f t="shared" si="115"/>
        <v/>
      </c>
      <c r="T87" s="907" t="str">
        <f t="shared" si="115"/>
        <v/>
      </c>
      <c r="U87" s="907" t="str">
        <f t="shared" si="115"/>
        <v/>
      </c>
      <c r="V87" s="907" t="str">
        <f t="shared" si="115"/>
        <v/>
      </c>
      <c r="AB87" s="153">
        <f t="shared" si="111"/>
        <v>0</v>
      </c>
      <c r="AC87" s="154">
        <f t="shared" ref="AC87:AC100" si="116">COUNTIF(H87:V87, "&gt;150%")</f>
        <v>0</v>
      </c>
      <c r="AD87" s="2" t="e">
        <f t="shared" si="109"/>
        <v>#DIV/0!</v>
      </c>
      <c r="AE87" s="2" t="e">
        <f t="shared" si="110"/>
        <v>#DIV/0!</v>
      </c>
      <c r="AF87">
        <f t="shared" si="113"/>
        <v>0</v>
      </c>
    </row>
    <row r="88" spans="1:32" ht="17.25" hidden="1" customHeight="1" outlineLevel="1" x14ac:dyDescent="0.25">
      <c r="A88" s="1557"/>
      <c r="B88" s="1496"/>
      <c r="C88" s="891" t="str">
        <f>IF(Language="English",'Language Look Ups'!$P$17,IF(Language="Francais",'Language Look Ups'!$T$17,'Language Look Ups'!$R$17))</f>
        <v>Lunelle</v>
      </c>
      <c r="D88" s="892"/>
      <c r="E88" s="892"/>
      <c r="F88" s="893"/>
      <c r="G88" s="909"/>
      <c r="H88" s="907" t="str">
        <f t="shared" si="115"/>
        <v/>
      </c>
      <c r="I88" s="907" t="str">
        <f t="shared" si="115"/>
        <v/>
      </c>
      <c r="J88" s="907" t="str">
        <f t="shared" si="115"/>
        <v/>
      </c>
      <c r="K88" s="907" t="str">
        <f t="shared" si="115"/>
        <v/>
      </c>
      <c r="L88" s="907" t="str">
        <f t="shared" si="115"/>
        <v/>
      </c>
      <c r="M88" s="907" t="str">
        <f t="shared" si="115"/>
        <v/>
      </c>
      <c r="N88" s="907" t="str">
        <f t="shared" si="115"/>
        <v/>
      </c>
      <c r="O88" s="907" t="str">
        <f t="shared" si="115"/>
        <v/>
      </c>
      <c r="P88" s="907" t="str">
        <f t="shared" si="115"/>
        <v/>
      </c>
      <c r="Q88" s="907" t="str">
        <f t="shared" si="115"/>
        <v/>
      </c>
      <c r="R88" s="907" t="str">
        <f t="shared" si="115"/>
        <v/>
      </c>
      <c r="S88" s="907" t="str">
        <f t="shared" si="115"/>
        <v/>
      </c>
      <c r="T88" s="907" t="str">
        <f t="shared" si="115"/>
        <v/>
      </c>
      <c r="U88" s="907" t="str">
        <f t="shared" si="115"/>
        <v/>
      </c>
      <c r="V88" s="907" t="str">
        <f t="shared" si="115"/>
        <v/>
      </c>
      <c r="AB88" s="153">
        <f t="shared" si="111"/>
        <v>0</v>
      </c>
      <c r="AC88" s="154">
        <f t="shared" si="116"/>
        <v>0</v>
      </c>
      <c r="AD88" s="2" t="e">
        <f t="shared" si="109"/>
        <v>#DIV/0!</v>
      </c>
      <c r="AE88" s="2" t="e">
        <f t="shared" si="110"/>
        <v>#DIV/0!</v>
      </c>
      <c r="AF88">
        <f t="shared" si="113"/>
        <v>0</v>
      </c>
    </row>
    <row r="89" spans="1:32" ht="17.25" hidden="1" customHeight="1" outlineLevel="1" x14ac:dyDescent="0.25">
      <c r="A89" s="1557"/>
      <c r="B89" s="1496"/>
      <c r="C89" s="891" t="str">
        <f>IF(Language="English", 'Language Look Ups'!$P$18,IF(Language="Francais", 'Language Look Ups'!$T$18, 'Language Look Ups'!$R$18))</f>
        <v>Sayana Press</v>
      </c>
      <c r="D89" s="892"/>
      <c r="E89" s="892"/>
      <c r="F89" s="893"/>
      <c r="G89" s="909"/>
      <c r="H89" s="907" t="str">
        <f t="shared" si="115"/>
        <v/>
      </c>
      <c r="I89" s="907" t="str">
        <f t="shared" si="115"/>
        <v/>
      </c>
      <c r="J89" s="907" t="str">
        <f t="shared" si="115"/>
        <v/>
      </c>
      <c r="K89" s="907" t="str">
        <f t="shared" si="115"/>
        <v/>
      </c>
      <c r="L89" s="907" t="str">
        <f t="shared" si="115"/>
        <v/>
      </c>
      <c r="M89" s="907" t="str">
        <f t="shared" si="115"/>
        <v/>
      </c>
      <c r="N89" s="907" t="str">
        <f t="shared" si="115"/>
        <v/>
      </c>
      <c r="O89" s="907" t="str">
        <f t="shared" si="115"/>
        <v/>
      </c>
      <c r="P89" s="907" t="str">
        <f t="shared" si="115"/>
        <v/>
      </c>
      <c r="Q89" s="907" t="str">
        <f t="shared" si="115"/>
        <v/>
      </c>
      <c r="R89" s="907" t="str">
        <f t="shared" si="115"/>
        <v/>
      </c>
      <c r="S89" s="907" t="str">
        <f t="shared" si="115"/>
        <v/>
      </c>
      <c r="T89" s="907" t="str">
        <f t="shared" si="115"/>
        <v/>
      </c>
      <c r="U89" s="907" t="str">
        <f t="shared" si="115"/>
        <v/>
      </c>
      <c r="V89" s="907" t="str">
        <f t="shared" si="115"/>
        <v/>
      </c>
      <c r="AB89" s="153">
        <f t="shared" si="111"/>
        <v>0</v>
      </c>
      <c r="AC89" s="154">
        <f t="shared" si="116"/>
        <v>0</v>
      </c>
      <c r="AD89" s="2" t="e">
        <f t="shared" si="109"/>
        <v>#DIV/0!</v>
      </c>
      <c r="AE89" s="2" t="e">
        <f t="shared" si="110"/>
        <v>#DIV/0!</v>
      </c>
      <c r="AF89">
        <f t="shared" si="113"/>
        <v>0</v>
      </c>
    </row>
    <row r="90" spans="1:32" ht="17.25" hidden="1" customHeight="1" outlineLevel="1" thickBot="1" x14ac:dyDescent="0.3">
      <c r="A90" s="1557"/>
      <c r="B90" s="1495"/>
      <c r="C90" s="888" t="str">
        <f>IF(Language="English", 'Language Look Ups'!$P$19,IF(Language="Francais", 'Language Look Ups'!$T$19, 'Language Look Ups'!$R$19))</f>
        <v>Autre Injectable</v>
      </c>
      <c r="D90" s="889"/>
      <c r="E90" s="889"/>
      <c r="F90" s="890"/>
      <c r="G90" s="910"/>
      <c r="H90" s="905" t="str">
        <f t="shared" si="115"/>
        <v/>
      </c>
      <c r="I90" s="905" t="str">
        <f t="shared" si="115"/>
        <v/>
      </c>
      <c r="J90" s="905" t="str">
        <f t="shared" si="115"/>
        <v/>
      </c>
      <c r="K90" s="905" t="str">
        <f t="shared" si="115"/>
        <v/>
      </c>
      <c r="L90" s="905" t="str">
        <f t="shared" si="115"/>
        <v/>
      </c>
      <c r="M90" s="905" t="str">
        <f t="shared" si="115"/>
        <v/>
      </c>
      <c r="N90" s="905" t="str">
        <f t="shared" si="115"/>
        <v/>
      </c>
      <c r="O90" s="905" t="str">
        <f t="shared" si="115"/>
        <v/>
      </c>
      <c r="P90" s="905" t="str">
        <f t="shared" si="115"/>
        <v/>
      </c>
      <c r="Q90" s="905" t="str">
        <f t="shared" si="115"/>
        <v/>
      </c>
      <c r="R90" s="905" t="str">
        <f t="shared" si="115"/>
        <v/>
      </c>
      <c r="S90" s="905" t="str">
        <f t="shared" si="115"/>
        <v/>
      </c>
      <c r="T90" s="905" t="str">
        <f t="shared" si="115"/>
        <v/>
      </c>
      <c r="U90" s="905" t="str">
        <f t="shared" si="115"/>
        <v/>
      </c>
      <c r="V90" s="905" t="str">
        <f t="shared" si="115"/>
        <v/>
      </c>
      <c r="AA90" s="149"/>
      <c r="AB90" s="163">
        <f t="shared" si="111"/>
        <v>0</v>
      </c>
      <c r="AC90" s="164">
        <f t="shared" si="116"/>
        <v>0</v>
      </c>
      <c r="AD90" s="2" t="e">
        <f t="shared" si="109"/>
        <v>#DIV/0!</v>
      </c>
      <c r="AE90" s="2" t="e">
        <f t="shared" si="110"/>
        <v>#DIV/0!</v>
      </c>
      <c r="AF90">
        <f t="shared" si="113"/>
        <v>0</v>
      </c>
    </row>
    <row r="91" spans="1:32" ht="17.25" hidden="1" customHeight="1" outlineLevel="1" x14ac:dyDescent="0.25">
      <c r="A91" s="1557"/>
      <c r="B91" s="1494" t="s">
        <v>4</v>
      </c>
      <c r="C91" s="885" t="str">
        <f>IF(Language="English", 'Language Look Ups'!$P$20,IF(Language="Francais", 'Language Look Ups'!$T$20, 'Language Look Ups'!$R$20))</f>
        <v>Oraux combinés (COC)</v>
      </c>
      <c r="D91" s="886"/>
      <c r="E91" s="886"/>
      <c r="F91" s="887"/>
      <c r="G91" s="908"/>
      <c r="H91" s="903" t="str">
        <f t="shared" si="115"/>
        <v/>
      </c>
      <c r="I91" s="903" t="str">
        <f t="shared" si="115"/>
        <v/>
      </c>
      <c r="J91" s="903" t="str">
        <f t="shared" si="115"/>
        <v/>
      </c>
      <c r="K91" s="903" t="str">
        <f t="shared" si="115"/>
        <v/>
      </c>
      <c r="L91" s="903" t="str">
        <f t="shared" si="115"/>
        <v/>
      </c>
      <c r="M91" s="903" t="str">
        <f t="shared" si="115"/>
        <v/>
      </c>
      <c r="N91" s="903" t="str">
        <f t="shared" si="115"/>
        <v/>
      </c>
      <c r="O91" s="903" t="str">
        <f t="shared" si="115"/>
        <v/>
      </c>
      <c r="P91" s="903" t="str">
        <f t="shared" si="115"/>
        <v/>
      </c>
      <c r="Q91" s="903" t="str">
        <f t="shared" si="115"/>
        <v/>
      </c>
      <c r="R91" s="903" t="str">
        <f t="shared" si="115"/>
        <v/>
      </c>
      <c r="S91" s="903" t="str">
        <f t="shared" si="115"/>
        <v/>
      </c>
      <c r="T91" s="903" t="str">
        <f t="shared" si="115"/>
        <v/>
      </c>
      <c r="U91" s="903" t="str">
        <f t="shared" si="115"/>
        <v/>
      </c>
      <c r="V91" s="903" t="str">
        <f t="shared" si="115"/>
        <v/>
      </c>
      <c r="AA91" s="148"/>
      <c r="AB91" s="161">
        <f t="shared" si="111"/>
        <v>0</v>
      </c>
      <c r="AC91" s="162">
        <f t="shared" si="116"/>
        <v>0</v>
      </c>
      <c r="AD91" s="2" t="e">
        <f t="shared" si="109"/>
        <v>#DIV/0!</v>
      </c>
      <c r="AE91" s="2" t="e">
        <f t="shared" si="110"/>
        <v>#DIV/0!</v>
      </c>
      <c r="AF91">
        <f t="shared" si="113"/>
        <v>0</v>
      </c>
    </row>
    <row r="92" spans="1:32" ht="17.25" hidden="1" customHeight="1" outlineLevel="1" x14ac:dyDescent="0.25">
      <c r="A92" s="1557"/>
      <c r="B92" s="1496"/>
      <c r="C92" s="891" t="str">
        <f>IF(Language="English", 'Language Look Ups'!$P$21,IF(Language="Francais", 'Language Look Ups'!$T$21, 'Language Look Ups'!$R$21))</f>
        <v>Progestatifs seul (POP)</v>
      </c>
      <c r="D92" s="892"/>
      <c r="E92" s="892"/>
      <c r="F92" s="893"/>
      <c r="G92" s="909"/>
      <c r="H92" s="907" t="str">
        <f t="shared" si="115"/>
        <v/>
      </c>
      <c r="I92" s="907" t="str">
        <f t="shared" si="115"/>
        <v/>
      </c>
      <c r="J92" s="907" t="str">
        <f t="shared" si="115"/>
        <v/>
      </c>
      <c r="K92" s="907" t="str">
        <f t="shared" si="115"/>
        <v/>
      </c>
      <c r="L92" s="907" t="str">
        <f t="shared" si="115"/>
        <v/>
      </c>
      <c r="M92" s="907" t="str">
        <f t="shared" si="115"/>
        <v/>
      </c>
      <c r="N92" s="907" t="str">
        <f t="shared" si="115"/>
        <v/>
      </c>
      <c r="O92" s="907" t="str">
        <f t="shared" si="115"/>
        <v/>
      </c>
      <c r="P92" s="907" t="str">
        <f t="shared" si="115"/>
        <v/>
      </c>
      <c r="Q92" s="907" t="str">
        <f t="shared" si="115"/>
        <v/>
      </c>
      <c r="R92" s="907" t="str">
        <f t="shared" si="115"/>
        <v/>
      </c>
      <c r="S92" s="907" t="str">
        <f t="shared" si="115"/>
        <v/>
      </c>
      <c r="T92" s="907" t="str">
        <f t="shared" si="115"/>
        <v/>
      </c>
      <c r="U92" s="907" t="str">
        <f t="shared" si="115"/>
        <v/>
      </c>
      <c r="V92" s="907" t="str">
        <f t="shared" si="115"/>
        <v/>
      </c>
      <c r="AB92" s="153">
        <f t="shared" si="111"/>
        <v>0</v>
      </c>
      <c r="AC92" s="154">
        <f t="shared" si="116"/>
        <v>0</v>
      </c>
      <c r="AD92" s="2" t="e">
        <f t="shared" si="109"/>
        <v>#DIV/0!</v>
      </c>
      <c r="AE92" s="2" t="e">
        <f t="shared" si="110"/>
        <v>#DIV/0!</v>
      </c>
      <c r="AF92">
        <f t="shared" si="113"/>
        <v>0</v>
      </c>
    </row>
    <row r="93" spans="1:32" ht="17.25" hidden="1" customHeight="1" outlineLevel="1" thickBot="1" x14ac:dyDescent="0.3">
      <c r="A93" s="1557"/>
      <c r="B93" s="1495"/>
      <c r="C93" s="888" t="str">
        <f>IF(Language="English", 'Language Look Ups'!$P$22,IF(Language="Francais", 'Language Look Ups'!$T$22, 'Language Look Ups'!$R$22))</f>
        <v>Autre pilule</v>
      </c>
      <c r="D93" s="889"/>
      <c r="E93" s="889"/>
      <c r="F93" s="890"/>
      <c r="G93" s="910"/>
      <c r="H93" s="905" t="str">
        <f t="shared" si="115"/>
        <v/>
      </c>
      <c r="I93" s="905" t="str">
        <f t="shared" si="115"/>
        <v/>
      </c>
      <c r="J93" s="905" t="str">
        <f t="shared" si="115"/>
        <v/>
      </c>
      <c r="K93" s="905" t="str">
        <f t="shared" si="115"/>
        <v/>
      </c>
      <c r="L93" s="905" t="str">
        <f t="shared" si="115"/>
        <v/>
      </c>
      <c r="M93" s="905" t="str">
        <f t="shared" si="115"/>
        <v/>
      </c>
      <c r="N93" s="905" t="str">
        <f t="shared" si="115"/>
        <v/>
      </c>
      <c r="O93" s="905" t="str">
        <f t="shared" si="115"/>
        <v/>
      </c>
      <c r="P93" s="905" t="str">
        <f t="shared" si="115"/>
        <v/>
      </c>
      <c r="Q93" s="905" t="str">
        <f t="shared" si="115"/>
        <v/>
      </c>
      <c r="R93" s="905" t="str">
        <f t="shared" si="115"/>
        <v/>
      </c>
      <c r="S93" s="905" t="str">
        <f t="shared" si="115"/>
        <v/>
      </c>
      <c r="T93" s="905" t="str">
        <f t="shared" si="115"/>
        <v/>
      </c>
      <c r="U93" s="905" t="str">
        <f t="shared" si="115"/>
        <v/>
      </c>
      <c r="V93" s="905" t="str">
        <f t="shared" si="115"/>
        <v/>
      </c>
      <c r="AA93" s="149"/>
      <c r="AB93" s="163">
        <f t="shared" si="111"/>
        <v>0</v>
      </c>
      <c r="AC93" s="164">
        <f t="shared" si="116"/>
        <v>0</v>
      </c>
      <c r="AD93" s="2" t="e">
        <f t="shared" si="109"/>
        <v>#DIV/0!</v>
      </c>
      <c r="AE93" s="2" t="e">
        <f t="shared" si="110"/>
        <v>#DIV/0!</v>
      </c>
      <c r="AF93">
        <f t="shared" si="113"/>
        <v>0</v>
      </c>
    </row>
    <row r="94" spans="1:32" ht="17.25" hidden="1" customHeight="1" outlineLevel="1" x14ac:dyDescent="0.25">
      <c r="A94" s="1557"/>
      <c r="B94" s="1494" t="s">
        <v>0</v>
      </c>
      <c r="C94" s="885" t="str">
        <f>IF(Language="English", 'Language Look Ups'!$P$23,IF(Language="Francais", 'Language Look Ups'!$T$23, 'Language Look Ups'!$R$23))</f>
        <v>Préservatifs masculin</v>
      </c>
      <c r="D94" s="886"/>
      <c r="E94" s="886"/>
      <c r="F94" s="887"/>
      <c r="G94" s="908"/>
      <c r="H94" s="903" t="str">
        <f t="shared" si="115"/>
        <v/>
      </c>
      <c r="I94" s="903" t="str">
        <f t="shared" si="115"/>
        <v/>
      </c>
      <c r="J94" s="903" t="str">
        <f t="shared" si="115"/>
        <v/>
      </c>
      <c r="K94" s="903" t="str">
        <f t="shared" si="115"/>
        <v/>
      </c>
      <c r="L94" s="903" t="str">
        <f t="shared" si="115"/>
        <v/>
      </c>
      <c r="M94" s="903" t="str">
        <f t="shared" si="115"/>
        <v/>
      </c>
      <c r="N94" s="903" t="str">
        <f t="shared" si="115"/>
        <v/>
      </c>
      <c r="O94" s="903" t="str">
        <f t="shared" si="115"/>
        <v/>
      </c>
      <c r="P94" s="903" t="str">
        <f t="shared" si="115"/>
        <v/>
      </c>
      <c r="Q94" s="903" t="str">
        <f t="shared" si="115"/>
        <v/>
      </c>
      <c r="R94" s="903" t="str">
        <f t="shared" si="115"/>
        <v/>
      </c>
      <c r="S94" s="903" t="str">
        <f t="shared" si="115"/>
        <v/>
      </c>
      <c r="T94" s="903" t="str">
        <f t="shared" si="115"/>
        <v/>
      </c>
      <c r="U94" s="903" t="str">
        <f t="shared" si="115"/>
        <v/>
      </c>
      <c r="V94" s="903" t="str">
        <f t="shared" si="115"/>
        <v/>
      </c>
      <c r="AA94" s="148"/>
      <c r="AB94" s="161">
        <f t="shared" si="111"/>
        <v>0</v>
      </c>
      <c r="AC94" s="162">
        <f t="shared" si="116"/>
        <v>0</v>
      </c>
      <c r="AD94" s="2" t="e">
        <f t="shared" si="109"/>
        <v>#DIV/0!</v>
      </c>
      <c r="AE94" s="2" t="e">
        <f t="shared" si="110"/>
        <v>#DIV/0!</v>
      </c>
      <c r="AF94">
        <f t="shared" si="113"/>
        <v>0</v>
      </c>
    </row>
    <row r="95" spans="1:32" ht="17.25" hidden="1" customHeight="1" outlineLevel="1" thickBot="1" x14ac:dyDescent="0.3">
      <c r="A95" s="1557"/>
      <c r="B95" s="1495"/>
      <c r="C95" s="888" t="str">
        <f>IF(Language="English", 'Language Look Ups'!$P$24,IF(Language="Francais", 'Language Look Ups'!$T$24, 'Language Look Ups'!$R$24))</f>
        <v>Préservatifs feminin</v>
      </c>
      <c r="D95" s="889"/>
      <c r="E95" s="889"/>
      <c r="F95" s="890"/>
      <c r="G95" s="910"/>
      <c r="H95" s="905" t="str">
        <f t="shared" si="115"/>
        <v/>
      </c>
      <c r="I95" s="905" t="str">
        <f t="shared" si="115"/>
        <v/>
      </c>
      <c r="J95" s="905" t="str">
        <f t="shared" si="115"/>
        <v/>
      </c>
      <c r="K95" s="905" t="str">
        <f t="shared" si="115"/>
        <v/>
      </c>
      <c r="L95" s="905" t="str">
        <f t="shared" si="115"/>
        <v/>
      </c>
      <c r="M95" s="905" t="str">
        <f t="shared" si="115"/>
        <v/>
      </c>
      <c r="N95" s="905" t="str">
        <f t="shared" si="115"/>
        <v/>
      </c>
      <c r="O95" s="905" t="str">
        <f t="shared" si="115"/>
        <v/>
      </c>
      <c r="P95" s="905" t="str">
        <f t="shared" si="115"/>
        <v/>
      </c>
      <c r="Q95" s="905" t="str">
        <f t="shared" si="115"/>
        <v/>
      </c>
      <c r="R95" s="905" t="str">
        <f t="shared" si="115"/>
        <v/>
      </c>
      <c r="S95" s="905" t="str">
        <f t="shared" si="115"/>
        <v/>
      </c>
      <c r="T95" s="905" t="str">
        <f t="shared" si="115"/>
        <v/>
      </c>
      <c r="U95" s="905" t="str">
        <f t="shared" si="115"/>
        <v/>
      </c>
      <c r="V95" s="905" t="str">
        <f t="shared" si="115"/>
        <v/>
      </c>
      <c r="AA95" s="149"/>
      <c r="AB95" s="163">
        <f t="shared" si="111"/>
        <v>0</v>
      </c>
      <c r="AC95" s="164">
        <f t="shared" si="116"/>
        <v>0</v>
      </c>
      <c r="AD95" s="2" t="e">
        <f t="shared" si="109"/>
        <v>#DIV/0!</v>
      </c>
      <c r="AE95" s="2" t="e">
        <f t="shared" si="110"/>
        <v>#DIV/0!</v>
      </c>
      <c r="AF95">
        <f t="shared" si="113"/>
        <v>0</v>
      </c>
    </row>
    <row r="96" spans="1:32" ht="17.25" hidden="1" customHeight="1" outlineLevel="1" x14ac:dyDescent="0.25">
      <c r="A96" s="1557"/>
      <c r="B96" s="1494" t="s">
        <v>93</v>
      </c>
      <c r="C96" s="885" t="str">
        <f>IF(Language="English", 'Language Look Ups'!$P$25,IF(Language="Francais", 'Language Look Ups'!$T$25, 'Language Look Ups'!$R$25))</f>
        <v>MAMA</v>
      </c>
      <c r="D96" s="886"/>
      <c r="E96" s="886"/>
      <c r="F96" s="887"/>
      <c r="G96" s="908"/>
      <c r="H96" s="903" t="str">
        <f t="shared" si="115"/>
        <v/>
      </c>
      <c r="I96" s="903" t="str">
        <f t="shared" si="115"/>
        <v/>
      </c>
      <c r="J96" s="903" t="str">
        <f t="shared" si="115"/>
        <v/>
      </c>
      <c r="K96" s="903" t="str">
        <f t="shared" si="115"/>
        <v/>
      </c>
      <c r="L96" s="903" t="str">
        <f t="shared" si="115"/>
        <v/>
      </c>
      <c r="M96" s="903" t="str">
        <f t="shared" si="115"/>
        <v/>
      </c>
      <c r="N96" s="903" t="str">
        <f t="shared" si="115"/>
        <v/>
      </c>
      <c r="O96" s="903" t="str">
        <f t="shared" si="115"/>
        <v/>
      </c>
      <c r="P96" s="903" t="str">
        <f t="shared" si="115"/>
        <v/>
      </c>
      <c r="Q96" s="903" t="str">
        <f t="shared" si="115"/>
        <v/>
      </c>
      <c r="R96" s="903" t="str">
        <f t="shared" si="115"/>
        <v/>
      </c>
      <c r="S96" s="903" t="str">
        <f t="shared" si="115"/>
        <v/>
      </c>
      <c r="T96" s="903" t="str">
        <f t="shared" si="115"/>
        <v/>
      </c>
      <c r="U96" s="903" t="str">
        <f t="shared" si="115"/>
        <v/>
      </c>
      <c r="V96" s="903" t="str">
        <f t="shared" si="115"/>
        <v/>
      </c>
      <c r="AA96" s="148"/>
      <c r="AB96" s="161">
        <f t="shared" si="111"/>
        <v>0</v>
      </c>
      <c r="AC96" s="162">
        <f t="shared" si="116"/>
        <v>0</v>
      </c>
      <c r="AD96" s="2" t="e">
        <f t="shared" si="109"/>
        <v>#DIV/0!</v>
      </c>
      <c r="AE96" s="2" t="e">
        <f t="shared" si="110"/>
        <v>#DIV/0!</v>
      </c>
      <c r="AF96">
        <f t="shared" si="113"/>
        <v>0</v>
      </c>
    </row>
    <row r="97" spans="1:115" ht="17.25" hidden="1" customHeight="1" outlineLevel="1" x14ac:dyDescent="0.25">
      <c r="A97" s="1557"/>
      <c r="B97" s="1496"/>
      <c r="C97" s="891" t="str">
        <f>IF(Language="English", 'Language Look Ups'!$P$26,IF(Language="Francais", 'Language Look Ups'!$T$26, 'Language Look Ups'!$R$26))</f>
        <v>MJF (Jours fixes)</v>
      </c>
      <c r="D97" s="892"/>
      <c r="E97" s="892"/>
      <c r="F97" s="893"/>
      <c r="G97" s="909"/>
      <c r="H97" s="907" t="str">
        <f t="shared" si="115"/>
        <v/>
      </c>
      <c r="I97" s="907" t="str">
        <f t="shared" si="115"/>
        <v/>
      </c>
      <c r="J97" s="907" t="str">
        <f t="shared" si="115"/>
        <v/>
      </c>
      <c r="K97" s="907" t="str">
        <f t="shared" si="115"/>
        <v/>
      </c>
      <c r="L97" s="907" t="str">
        <f t="shared" si="115"/>
        <v/>
      </c>
      <c r="M97" s="907" t="str">
        <f t="shared" si="115"/>
        <v/>
      </c>
      <c r="N97" s="907" t="str">
        <f t="shared" si="115"/>
        <v/>
      </c>
      <c r="O97" s="907" t="str">
        <f t="shared" si="115"/>
        <v/>
      </c>
      <c r="P97" s="907" t="str">
        <f t="shared" si="115"/>
        <v/>
      </c>
      <c r="Q97" s="907" t="str">
        <f t="shared" si="115"/>
        <v/>
      </c>
      <c r="R97" s="907" t="str">
        <f t="shared" si="115"/>
        <v/>
      </c>
      <c r="S97" s="907" t="str">
        <f t="shared" si="115"/>
        <v/>
      </c>
      <c r="T97" s="907" t="str">
        <f t="shared" si="115"/>
        <v/>
      </c>
      <c r="U97" s="907" t="str">
        <f t="shared" si="115"/>
        <v/>
      </c>
      <c r="V97" s="907" t="str">
        <f t="shared" si="115"/>
        <v/>
      </c>
      <c r="AB97" s="153">
        <f t="shared" si="111"/>
        <v>0</v>
      </c>
      <c r="AC97" s="154">
        <f t="shared" si="116"/>
        <v>0</v>
      </c>
      <c r="AD97" s="2" t="e">
        <f t="shared" si="109"/>
        <v>#DIV/0!</v>
      </c>
      <c r="AE97" s="2" t="e">
        <f t="shared" si="110"/>
        <v>#DIV/0!</v>
      </c>
      <c r="AF97">
        <f t="shared" si="113"/>
        <v>0</v>
      </c>
    </row>
    <row r="98" spans="1:115" ht="17.25" hidden="1" customHeight="1" outlineLevel="1" x14ac:dyDescent="0.25">
      <c r="A98" s="1557"/>
      <c r="B98" s="1496"/>
      <c r="C98" s="891" t="str">
        <f>IF(Language="English", 'Language Look Ups'!$P$27,IF(Language="Francais", 'Language Look Ups'!$T$27, 'Language Look Ups'!$R$27))</f>
        <v>Barrière vaginale</v>
      </c>
      <c r="D98" s="892"/>
      <c r="E98" s="892"/>
      <c r="F98" s="893"/>
      <c r="G98" s="909"/>
      <c r="H98" s="907" t="str">
        <f t="shared" si="115"/>
        <v/>
      </c>
      <c r="I98" s="907" t="str">
        <f t="shared" si="115"/>
        <v/>
      </c>
      <c r="J98" s="907" t="str">
        <f t="shared" si="115"/>
        <v/>
      </c>
      <c r="K98" s="907" t="str">
        <f t="shared" si="115"/>
        <v/>
      </c>
      <c r="L98" s="907" t="str">
        <f t="shared" si="115"/>
        <v/>
      </c>
      <c r="M98" s="907" t="str">
        <f t="shared" si="115"/>
        <v/>
      </c>
      <c r="N98" s="907" t="str">
        <f t="shared" si="115"/>
        <v/>
      </c>
      <c r="O98" s="907" t="str">
        <f t="shared" si="115"/>
        <v/>
      </c>
      <c r="P98" s="907" t="str">
        <f t="shared" si="115"/>
        <v/>
      </c>
      <c r="Q98" s="907" t="str">
        <f t="shared" si="115"/>
        <v/>
      </c>
      <c r="R98" s="907" t="str">
        <f t="shared" si="115"/>
        <v/>
      </c>
      <c r="S98" s="907" t="str">
        <f t="shared" si="115"/>
        <v/>
      </c>
      <c r="T98" s="907" t="str">
        <f t="shared" si="115"/>
        <v/>
      </c>
      <c r="U98" s="907" t="str">
        <f t="shared" si="115"/>
        <v/>
      </c>
      <c r="V98" s="907" t="str">
        <f t="shared" si="115"/>
        <v/>
      </c>
      <c r="AB98" s="153">
        <f t="shared" si="111"/>
        <v>0</v>
      </c>
      <c r="AC98" s="154">
        <f t="shared" si="116"/>
        <v>0</v>
      </c>
      <c r="AD98" s="2" t="e">
        <f t="shared" si="109"/>
        <v>#DIV/0!</v>
      </c>
      <c r="AE98" s="2" t="e">
        <f t="shared" si="110"/>
        <v>#DIV/0!</v>
      </c>
      <c r="AF98">
        <f t="shared" si="113"/>
        <v>0</v>
      </c>
    </row>
    <row r="99" spans="1:115" ht="17.25" hidden="1" customHeight="1" outlineLevel="1" thickBot="1" x14ac:dyDescent="0.3">
      <c r="A99" s="1557"/>
      <c r="B99" s="1495"/>
      <c r="C99" s="888" t="str">
        <f>IF(Language="English", 'Language Look Ups'!$P$28,IF(Language="Francais", 'Language Look Ups'!$T$28, 'Language Look Ups'!$R$28))</f>
        <v>Spermicides</v>
      </c>
      <c r="D99" s="889"/>
      <c r="E99" s="889"/>
      <c r="F99" s="890"/>
      <c r="G99" s="910"/>
      <c r="H99" s="905" t="str">
        <f t="shared" si="115"/>
        <v/>
      </c>
      <c r="I99" s="905" t="str">
        <f t="shared" si="115"/>
        <v/>
      </c>
      <c r="J99" s="905" t="str">
        <f t="shared" si="115"/>
        <v/>
      </c>
      <c r="K99" s="905" t="str">
        <f t="shared" si="115"/>
        <v/>
      </c>
      <c r="L99" s="905" t="str">
        <f t="shared" si="115"/>
        <v/>
      </c>
      <c r="M99" s="905" t="str">
        <f t="shared" si="115"/>
        <v/>
      </c>
      <c r="N99" s="905" t="str">
        <f t="shared" si="115"/>
        <v/>
      </c>
      <c r="O99" s="905" t="str">
        <f t="shared" si="115"/>
        <v/>
      </c>
      <c r="P99" s="905" t="str">
        <f t="shared" si="115"/>
        <v/>
      </c>
      <c r="Q99" s="905" t="str">
        <f t="shared" si="115"/>
        <v/>
      </c>
      <c r="R99" s="905" t="str">
        <f t="shared" si="115"/>
        <v/>
      </c>
      <c r="S99" s="905" t="str">
        <f t="shared" si="115"/>
        <v/>
      </c>
      <c r="T99" s="905" t="str">
        <f t="shared" si="115"/>
        <v/>
      </c>
      <c r="U99" s="905" t="str">
        <f t="shared" si="115"/>
        <v/>
      </c>
      <c r="V99" s="905" t="str">
        <f t="shared" si="115"/>
        <v/>
      </c>
      <c r="AA99" s="149"/>
      <c r="AB99" s="163">
        <f t="shared" si="111"/>
        <v>0</v>
      </c>
      <c r="AC99" s="164">
        <f t="shared" si="116"/>
        <v>0</v>
      </c>
      <c r="AD99" s="2" t="e">
        <f t="shared" si="109"/>
        <v>#DIV/0!</v>
      </c>
      <c r="AE99" s="2" t="e">
        <f t="shared" si="110"/>
        <v>#DIV/0!</v>
      </c>
      <c r="AF99">
        <f t="shared" si="113"/>
        <v>0</v>
      </c>
    </row>
    <row r="100" spans="1:115" ht="36" hidden="1" customHeight="1" outlineLevel="1" thickBot="1" x14ac:dyDescent="0.3">
      <c r="A100" s="1557"/>
      <c r="B100" s="911" t="s">
        <v>7</v>
      </c>
      <c r="C100" s="895" t="str">
        <f>IF(Language="English", 'Language Look Ups'!$P$29,IF(Language="Francais", 'Language Look Ups'!$T$29, 'Language Look Ups'!$R$29))</f>
        <v>CU</v>
      </c>
      <c r="D100" s="896"/>
      <c r="E100" s="896"/>
      <c r="F100" s="897"/>
      <c r="G100" s="912"/>
      <c r="H100" s="913" t="str">
        <f t="shared" si="115"/>
        <v/>
      </c>
      <c r="I100" s="913" t="str">
        <f t="shared" si="115"/>
        <v/>
      </c>
      <c r="J100" s="913" t="str">
        <f t="shared" si="115"/>
        <v/>
      </c>
      <c r="K100" s="913" t="str">
        <f t="shared" si="115"/>
        <v/>
      </c>
      <c r="L100" s="913" t="str">
        <f t="shared" si="115"/>
        <v/>
      </c>
      <c r="M100" s="913" t="str">
        <f t="shared" si="115"/>
        <v/>
      </c>
      <c r="N100" s="913" t="str">
        <f t="shared" si="115"/>
        <v/>
      </c>
      <c r="O100" s="913" t="str">
        <f t="shared" si="115"/>
        <v/>
      </c>
      <c r="P100" s="913" t="str">
        <f t="shared" si="115"/>
        <v/>
      </c>
      <c r="Q100" s="913" t="str">
        <f t="shared" si="115"/>
        <v/>
      </c>
      <c r="R100" s="913" t="str">
        <f t="shared" si="115"/>
        <v/>
      </c>
      <c r="S100" s="913" t="str">
        <f t="shared" si="115"/>
        <v/>
      </c>
      <c r="T100" s="913" t="str">
        <f t="shared" si="115"/>
        <v/>
      </c>
      <c r="U100" s="913" t="str">
        <f t="shared" si="115"/>
        <v/>
      </c>
      <c r="V100" s="913" t="str">
        <f t="shared" si="115"/>
        <v/>
      </c>
      <c r="AA100" s="151"/>
      <c r="AB100" s="165">
        <f t="shared" si="111"/>
        <v>0</v>
      </c>
      <c r="AC100" s="166">
        <f t="shared" si="116"/>
        <v>0</v>
      </c>
      <c r="AD100" s="2" t="e">
        <f t="shared" si="109"/>
        <v>#DIV/0!</v>
      </c>
      <c r="AE100" s="2" t="e">
        <f t="shared" si="110"/>
        <v>#DIV/0!</v>
      </c>
      <c r="AF100">
        <f t="shared" si="113"/>
        <v>0</v>
      </c>
    </row>
    <row r="101" spans="1:115" ht="12.75" hidden="1" customHeight="1" outlineLevel="1" thickBot="1" x14ac:dyDescent="0.3">
      <c r="A101" s="1557"/>
      <c r="B101" s="914"/>
      <c r="C101" s="914"/>
      <c r="D101" s="914"/>
      <c r="E101" s="914"/>
      <c r="F101" s="914"/>
      <c r="G101" s="912"/>
      <c r="H101" s="913" t="str">
        <f t="shared" si="115"/>
        <v/>
      </c>
      <c r="I101" s="913" t="str">
        <f t="shared" si="115"/>
        <v/>
      </c>
      <c r="J101" s="913" t="str">
        <f t="shared" si="115"/>
        <v/>
      </c>
      <c r="K101" s="913" t="str">
        <f t="shared" si="115"/>
        <v/>
      </c>
      <c r="L101" s="913" t="str">
        <f t="shared" si="115"/>
        <v/>
      </c>
      <c r="M101" s="913" t="str">
        <f t="shared" si="115"/>
        <v/>
      </c>
      <c r="N101" s="913" t="str">
        <f t="shared" si="115"/>
        <v/>
      </c>
      <c r="O101" s="913" t="str">
        <f t="shared" si="115"/>
        <v/>
      </c>
      <c r="P101" s="913" t="str">
        <f t="shared" si="115"/>
        <v/>
      </c>
      <c r="Q101" s="913" t="str">
        <f t="shared" si="115"/>
        <v/>
      </c>
      <c r="R101" s="913" t="str">
        <f t="shared" si="115"/>
        <v/>
      </c>
      <c r="S101" s="913" t="str">
        <f t="shared" si="115"/>
        <v/>
      </c>
      <c r="T101" s="913" t="str">
        <f t="shared" si="115"/>
        <v/>
      </c>
      <c r="U101" s="913" t="str">
        <f t="shared" si="115"/>
        <v/>
      </c>
      <c r="V101" s="913" t="str">
        <f t="shared" si="115"/>
        <v/>
      </c>
      <c r="AB101" s="165">
        <f>COUNTIF(H101:V101, "&lt;-.25")</f>
        <v>0</v>
      </c>
      <c r="AC101" s="166">
        <f>COUNTIF(H101:V101, "&gt;150%")</f>
        <v>0</v>
      </c>
      <c r="AD101" s="2">
        <f t="shared" si="109"/>
        <v>0</v>
      </c>
      <c r="AE101" s="2" t="e">
        <f t="shared" si="110"/>
        <v>#DIV/0!</v>
      </c>
      <c r="AF101">
        <f t="shared" si="113"/>
        <v>0</v>
      </c>
    </row>
    <row r="102" spans="1:115" ht="12.75" customHeight="1" collapsed="1" x14ac:dyDescent="0.25"/>
    <row r="103" spans="1:115" ht="23.25" customHeight="1" thickBot="1" x14ac:dyDescent="0.45">
      <c r="B103" s="243" t="str">
        <f>IF(Language="Francais", BC103, BA103)</f>
        <v>ÉTAPE 3 de 3. EXAMINER VOS DONNÉES</v>
      </c>
      <c r="C103" s="232"/>
      <c r="D103" s="232"/>
      <c r="E103" s="232"/>
      <c r="F103" s="232"/>
      <c r="G103" s="232"/>
      <c r="H103" s="232"/>
      <c r="I103" s="232"/>
      <c r="J103" s="232"/>
      <c r="K103" s="232"/>
      <c r="L103" s="232"/>
      <c r="M103" s="232"/>
      <c r="N103" s="232"/>
      <c r="O103" s="232"/>
      <c r="P103" s="232"/>
      <c r="Q103" s="232"/>
      <c r="R103" s="232"/>
      <c r="S103" s="232"/>
      <c r="T103" s="232"/>
      <c r="U103" s="232"/>
      <c r="V103" s="232"/>
      <c r="BA103" s="184" t="s">
        <v>1074</v>
      </c>
      <c r="BC103" s="184" t="s">
        <v>1077</v>
      </c>
    </row>
    <row r="104" spans="1:115" ht="17.25" customHeight="1" x14ac:dyDescent="0.25">
      <c r="B104" t="str">
        <f>IF(Language="Francais", BC104, BA104)</f>
        <v xml:space="preserve">Examinez les graphiques ci-dessous illustrant les données que vous avez saisies ci-dessus. Veillez aux anomalies qui pourraient indiquer des erreurs. Une fois que vous avez validé les données, cliquez sur la flèche pour réviser vos résultats. </v>
      </c>
      <c r="BA104" t="s">
        <v>113</v>
      </c>
      <c r="BC104" t="s">
        <v>823</v>
      </c>
      <c r="CD104" s="1313"/>
    </row>
    <row r="105" spans="1:115" ht="9.75" customHeight="1" thickBot="1" x14ac:dyDescent="0.3"/>
    <row r="106" spans="1:115" s="41" customFormat="1" ht="18.75" customHeight="1" x14ac:dyDescent="0.25">
      <c r="B106" s="1524" t="str">
        <f>B23</f>
        <v>Stérilisation</v>
      </c>
      <c r="C106" s="1525"/>
      <c r="D106" s="1526"/>
      <c r="G106" s="1504" t="str">
        <f>B25</f>
        <v>DIU</v>
      </c>
      <c r="H106" s="1505"/>
      <c r="I106" s="1505"/>
      <c r="J106" s="1505"/>
      <c r="K106" s="1506"/>
      <c r="M106" s="1504" t="str">
        <f>B27</f>
        <v>Implant</v>
      </c>
      <c r="N106" s="1505"/>
      <c r="O106" s="1505"/>
      <c r="P106" s="1505"/>
      <c r="Q106" s="1506"/>
      <c r="W106"/>
      <c r="X106"/>
      <c r="Y106"/>
      <c r="Z106"/>
      <c r="AA106"/>
      <c r="AS106"/>
      <c r="AT106"/>
      <c r="AU106"/>
      <c r="AV106"/>
      <c r="AW106"/>
      <c r="AX106"/>
      <c r="AY106"/>
      <c r="AZ106"/>
      <c r="BA106" s="184"/>
      <c r="BB106" s="184"/>
      <c r="BC106" s="184"/>
      <c r="BD106"/>
      <c r="BE106"/>
      <c r="BF106"/>
      <c r="BG106"/>
      <c r="BH106"/>
      <c r="BI106" s="182"/>
      <c r="DK106"/>
    </row>
    <row r="107" spans="1:115" x14ac:dyDescent="0.25">
      <c r="B107" s="105"/>
      <c r="D107" s="106"/>
      <c r="G107" s="142"/>
      <c r="K107" s="143"/>
      <c r="M107" s="142"/>
      <c r="Q107" s="143"/>
    </row>
    <row r="108" spans="1:115" x14ac:dyDescent="0.25">
      <c r="B108" s="105"/>
      <c r="D108" s="106"/>
      <c r="G108" s="142"/>
      <c r="K108" s="143"/>
      <c r="M108" s="142"/>
      <c r="Q108" s="143"/>
    </row>
    <row r="109" spans="1:115" x14ac:dyDescent="0.25">
      <c r="B109" s="105"/>
      <c r="D109" s="106"/>
      <c r="G109" s="142"/>
      <c r="K109" s="143"/>
      <c r="M109" s="142"/>
      <c r="Q109" s="143"/>
    </row>
    <row r="110" spans="1:115" x14ac:dyDescent="0.25">
      <c r="B110" s="105"/>
      <c r="C110" s="18"/>
      <c r="D110" s="107"/>
      <c r="E110" s="18"/>
      <c r="F110" s="18"/>
      <c r="G110" s="144"/>
      <c r="H110" s="18"/>
      <c r="I110" s="18"/>
      <c r="J110" s="18"/>
      <c r="K110" s="145"/>
      <c r="L110" s="18"/>
      <c r="M110" s="144"/>
      <c r="N110" s="18"/>
      <c r="O110" s="18"/>
      <c r="P110" s="18"/>
      <c r="Q110" s="145"/>
      <c r="S110" s="18"/>
      <c r="T110" s="18"/>
      <c r="U110" s="18"/>
      <c r="V110" s="18"/>
      <c r="AB110" s="18"/>
      <c r="AC110" s="18"/>
      <c r="AD110" s="18"/>
      <c r="AE110" s="18"/>
      <c r="AF110" s="18"/>
      <c r="AG110" s="18"/>
      <c r="AH110" s="18"/>
      <c r="AI110" s="18"/>
      <c r="AJ110" s="18" t="str">
        <f>IF(AJ20="", "", "x")</f>
        <v/>
      </c>
      <c r="AK110" s="18" t="str">
        <f>IF(AJ20="", "", "x")</f>
        <v/>
      </c>
      <c r="AL110" s="18" t="str">
        <f>IF(AL20="", "", "x")</f>
        <v/>
      </c>
      <c r="AM110" s="18" t="str">
        <f>IF(AL20="", "", "x")</f>
        <v/>
      </c>
      <c r="AN110" s="18" t="str">
        <f>IF(AN20="", "", "x")</f>
        <v/>
      </c>
      <c r="AO110" s="18" t="str">
        <f>IF(AN20="", "", "x")</f>
        <v/>
      </c>
      <c r="AP110" s="18" t="str">
        <f>IF(AP20="", "", "x")</f>
        <v/>
      </c>
      <c r="AQ110" s="18" t="str">
        <f>IF(AP20="", "", "x")</f>
        <v/>
      </c>
    </row>
    <row r="111" spans="1:115" x14ac:dyDescent="0.25">
      <c r="B111" s="105"/>
      <c r="D111" s="106"/>
      <c r="G111" s="142"/>
      <c r="K111" s="143"/>
      <c r="M111" s="142"/>
      <c r="Q111" s="143"/>
    </row>
    <row r="112" spans="1:115" x14ac:dyDescent="0.25">
      <c r="B112" s="105"/>
      <c r="D112" s="106"/>
      <c r="G112" s="142"/>
      <c r="K112" s="143"/>
      <c r="M112" s="142"/>
      <c r="Q112" s="143"/>
    </row>
    <row r="113" spans="1:17" x14ac:dyDescent="0.25">
      <c r="B113" s="105"/>
      <c r="D113" s="106"/>
      <c r="G113" s="142"/>
      <c r="K113" s="143"/>
      <c r="M113" s="142"/>
      <c r="Q113" s="143"/>
    </row>
    <row r="114" spans="1:17" x14ac:dyDescent="0.25">
      <c r="B114" s="108"/>
      <c r="D114" s="106"/>
      <c r="G114" s="142"/>
      <c r="K114" s="143"/>
      <c r="M114" s="142"/>
      <c r="Q114" s="143"/>
    </row>
    <row r="115" spans="1:17" x14ac:dyDescent="0.25">
      <c r="B115" s="105"/>
      <c r="D115" s="106"/>
      <c r="G115" s="142"/>
      <c r="K115" s="143"/>
      <c r="M115" s="142"/>
      <c r="Q115" s="143"/>
    </row>
    <row r="116" spans="1:17" x14ac:dyDescent="0.25">
      <c r="B116" s="105"/>
      <c r="D116" s="106"/>
      <c r="G116" s="142"/>
      <c r="J116" s="1"/>
      <c r="K116" s="143"/>
      <c r="M116" s="142"/>
      <c r="Q116" s="143"/>
    </row>
    <row r="117" spans="1:17" x14ac:dyDescent="0.25">
      <c r="B117" s="109"/>
      <c r="D117" s="106"/>
      <c r="G117" s="142"/>
      <c r="K117" s="143"/>
      <c r="M117" s="142"/>
      <c r="Q117" s="143"/>
    </row>
    <row r="118" spans="1:17" x14ac:dyDescent="0.25">
      <c r="B118" s="105"/>
      <c r="D118" s="106"/>
      <c r="G118" s="142"/>
      <c r="K118" s="143"/>
      <c r="M118" s="142"/>
      <c r="Q118" s="143"/>
    </row>
    <row r="119" spans="1:17" ht="15.75" thickBot="1" x14ac:dyDescent="0.3">
      <c r="B119" s="110"/>
      <c r="C119" s="111"/>
      <c r="D119" s="112"/>
      <c r="G119" s="135"/>
      <c r="H119" s="136"/>
      <c r="I119" s="136"/>
      <c r="J119" s="136"/>
      <c r="K119" s="137"/>
      <c r="M119" s="135"/>
      <c r="N119" s="136"/>
      <c r="O119" s="136"/>
      <c r="P119" s="136"/>
      <c r="Q119" s="137"/>
    </row>
    <row r="120" spans="1:17" ht="15.75" thickBot="1" x14ac:dyDescent="0.3">
      <c r="B120" s="155"/>
      <c r="C120" s="1606" t="str">
        <f>IF(AND(B122="", B123="", B121=""), "", "Please explain / S'il vous plaît, expliquez")</f>
        <v/>
      </c>
      <c r="D120" s="1606"/>
      <c r="E120" s="878"/>
      <c r="F120" s="878"/>
      <c r="G120" s="878"/>
      <c r="H120" s="878"/>
      <c r="I120" s="1621" t="str">
        <f>IF(AND(G122="", G123="", G121=""), "", "Please explain / S'il vous plaît, expliquez")</f>
        <v/>
      </c>
      <c r="J120" s="1621"/>
      <c r="K120" s="1621"/>
      <c r="L120" s="878"/>
      <c r="M120" s="878"/>
      <c r="N120" s="878"/>
      <c r="O120" s="1621" t="str">
        <f>IF(AND(M122="", M123="", M121=""), "", "Please explain / S'il vous plaît, expliquez")</f>
        <v/>
      </c>
      <c r="P120" s="1621"/>
      <c r="Q120" s="1621"/>
    </row>
    <row r="121" spans="1:17" ht="26.45" customHeight="1" thickBot="1" x14ac:dyDescent="0.3">
      <c r="B121" s="953" t="str">
        <f>IF(C121=" ", "", 'Language Look Ups'!$B$37)</f>
        <v/>
      </c>
      <c r="C121" s="1560" t="str">
        <f>AA50&amp;" "&amp;AA51</f>
        <v xml:space="preserve"> </v>
      </c>
      <c r="D121" s="1561"/>
      <c r="G121" s="1552" t="str">
        <f>IF(I121=" ", "",  'Language Look Ups'!$B$37)</f>
        <v/>
      </c>
      <c r="H121" s="1553"/>
      <c r="I121" s="1554" t="str">
        <f>AA52&amp;" "&amp;AA53</f>
        <v xml:space="preserve"> </v>
      </c>
      <c r="J121" s="1555"/>
      <c r="K121" s="1556"/>
      <c r="M121" s="1552" t="str">
        <f>IF(O121="  ", "",  'Language Look Ups'!$B$37)</f>
        <v/>
      </c>
      <c r="N121" s="1553"/>
      <c r="O121" s="1558" t="str">
        <f>AA54&amp;" "&amp;AA55&amp;" "&amp;AA56</f>
        <v xml:space="preserve">  </v>
      </c>
      <c r="P121" s="1558"/>
      <c r="Q121" s="1559"/>
    </row>
    <row r="122" spans="1:17" ht="30" customHeight="1" x14ac:dyDescent="0.25">
      <c r="B122" s="950" t="str">
        <f>IF(OR($AB$77&gt;0, $AB$78&gt;0), 'Language Look Ups'!B38, "")</f>
        <v/>
      </c>
      <c r="C122" s="1617"/>
      <c r="D122" s="1618"/>
      <c r="G122" s="1607" t="str">
        <f>IF(OR($AB$79&gt;0, $AB$80&gt;0), 'Language Look Ups'!B38, "")</f>
        <v/>
      </c>
      <c r="H122" s="1607"/>
      <c r="I122" s="1617"/>
      <c r="J122" s="1619"/>
      <c r="K122" s="1618"/>
      <c r="M122" s="1607" t="str">
        <f>IF(OR($AB$81&gt;0, $AB$82&gt;0, $AB$83&gt;0), 'Language Look Ups'!B38, "")</f>
        <v/>
      </c>
      <c r="N122" s="1607"/>
      <c r="O122" s="1617"/>
      <c r="P122" s="1619"/>
      <c r="Q122" s="1618"/>
    </row>
    <row r="123" spans="1:17" ht="34.5" customHeight="1" x14ac:dyDescent="0.25">
      <c r="A123" s="22"/>
      <c r="B123" s="468" t="str">
        <f>IF(OR($AC$78&gt;0,$AC$77&gt;0), 'Language Look Ups'!B39, "")</f>
        <v/>
      </c>
      <c r="C123" s="1613"/>
      <c r="D123" s="1614"/>
      <c r="G123" s="1610" t="str">
        <f>IF(OR($AC$79&gt;0,$AC$80&gt;0), 'Language Look Ups'!B39,  "")</f>
        <v/>
      </c>
      <c r="H123" s="1610"/>
      <c r="I123" s="1613"/>
      <c r="J123" s="1616"/>
      <c r="K123" s="1614"/>
      <c r="M123" s="1610" t="str">
        <f>IF(OR($AC$81&gt;0,$AC$82&gt;0,$AC$83&gt;0), 'Language Look Ups'!B39,  "")</f>
        <v/>
      </c>
      <c r="N123" s="1610"/>
      <c r="O123" s="1613"/>
      <c r="P123" s="1616"/>
      <c r="Q123" s="1614"/>
    </row>
    <row r="124" spans="1:17" ht="5.25" customHeight="1" thickBot="1" x14ac:dyDescent="0.3">
      <c r="A124" s="22"/>
      <c r="G124" s="32"/>
      <c r="H124" s="32"/>
      <c r="I124" s="32"/>
      <c r="J124" s="32"/>
      <c r="M124" s="32"/>
      <c r="N124" s="32"/>
      <c r="O124" s="32"/>
      <c r="P124" s="32"/>
    </row>
    <row r="125" spans="1:17" ht="18.75" x14ac:dyDescent="0.25">
      <c r="B125" s="1524" t="str">
        <f>B32</f>
        <v>Produits injectables</v>
      </c>
      <c r="C125" s="1525"/>
      <c r="D125" s="1526"/>
      <c r="E125" s="41"/>
      <c r="F125" s="41"/>
      <c r="G125" s="1504" t="str">
        <f>B37</f>
        <v>Pilule</v>
      </c>
      <c r="H125" s="1505"/>
      <c r="I125" s="1505"/>
      <c r="J125" s="1505"/>
      <c r="K125" s="1506"/>
      <c r="L125" s="41"/>
      <c r="M125" s="1504" t="str">
        <f>B40</f>
        <v>Préservatifs</v>
      </c>
      <c r="N125" s="1505"/>
      <c r="O125" s="1505"/>
      <c r="P125" s="1505"/>
      <c r="Q125" s="1506"/>
    </row>
    <row r="126" spans="1:17" x14ac:dyDescent="0.25">
      <c r="B126" s="105"/>
      <c r="D126" s="106"/>
      <c r="G126" s="142"/>
      <c r="K126" s="143"/>
      <c r="M126" s="142"/>
      <c r="Q126" s="143"/>
    </row>
    <row r="127" spans="1:17" x14ac:dyDescent="0.25">
      <c r="B127" s="105"/>
      <c r="D127" s="106"/>
      <c r="G127" s="142"/>
      <c r="K127" s="143"/>
      <c r="M127" s="142"/>
      <c r="Q127" s="143"/>
    </row>
    <row r="128" spans="1:17" x14ac:dyDescent="0.25">
      <c r="B128" s="105"/>
      <c r="D128" s="106"/>
      <c r="G128" s="142"/>
      <c r="K128" s="143"/>
      <c r="M128" s="142"/>
      <c r="Q128" s="143"/>
    </row>
    <row r="129" spans="1:55" x14ac:dyDescent="0.25">
      <c r="B129" s="105"/>
      <c r="C129" s="18"/>
      <c r="D129" s="107"/>
      <c r="G129" s="142"/>
      <c r="K129" s="143"/>
      <c r="M129" s="142"/>
      <c r="Q129" s="143"/>
    </row>
    <row r="130" spans="1:55" x14ac:dyDescent="0.25">
      <c r="B130" s="105"/>
      <c r="D130" s="106"/>
      <c r="G130" s="142"/>
      <c r="K130" s="143"/>
      <c r="M130" s="142"/>
      <c r="Q130" s="143"/>
    </row>
    <row r="131" spans="1:55" x14ac:dyDescent="0.25">
      <c r="B131" s="105"/>
      <c r="D131" s="106"/>
      <c r="G131" s="142"/>
      <c r="K131" s="143"/>
      <c r="M131" s="142"/>
      <c r="Q131" s="143"/>
    </row>
    <row r="132" spans="1:55" x14ac:dyDescent="0.25">
      <c r="B132" s="105"/>
      <c r="D132" s="106"/>
      <c r="G132" s="142"/>
      <c r="K132" s="146"/>
      <c r="M132" s="142"/>
      <c r="Q132" s="143"/>
    </row>
    <row r="133" spans="1:55" x14ac:dyDescent="0.25">
      <c r="B133" s="108"/>
      <c r="D133" s="106"/>
      <c r="G133" s="142"/>
      <c r="K133" s="143"/>
      <c r="M133" s="142"/>
      <c r="Q133" s="143"/>
    </row>
    <row r="134" spans="1:55" x14ac:dyDescent="0.25">
      <c r="B134" s="105"/>
      <c r="D134" s="106"/>
      <c r="G134" s="142"/>
      <c r="K134" s="143"/>
      <c r="M134" s="142"/>
      <c r="Q134" s="143"/>
    </row>
    <row r="135" spans="1:55" x14ac:dyDescent="0.25">
      <c r="B135" s="105"/>
      <c r="D135" s="106"/>
      <c r="G135" s="142"/>
      <c r="K135" s="143"/>
      <c r="M135" s="142"/>
      <c r="Q135" s="143"/>
    </row>
    <row r="136" spans="1:55" x14ac:dyDescent="0.25">
      <c r="B136" s="109"/>
      <c r="D136" s="106"/>
      <c r="G136" s="142"/>
      <c r="K136" s="143"/>
      <c r="M136" s="142"/>
      <c r="Q136" s="143"/>
    </row>
    <row r="137" spans="1:55" x14ac:dyDescent="0.25">
      <c r="B137" s="105"/>
      <c r="D137" s="106"/>
      <c r="G137" s="142"/>
      <c r="K137" s="143"/>
      <c r="M137" s="142"/>
      <c r="Q137" s="143"/>
    </row>
    <row r="138" spans="1:55" ht="15.75" thickBot="1" x14ac:dyDescent="0.3">
      <c r="B138" s="110"/>
      <c r="C138" s="111"/>
      <c r="D138" s="112"/>
      <c r="G138" s="135"/>
      <c r="H138" s="136"/>
      <c r="I138" s="136"/>
      <c r="J138" s="136"/>
      <c r="K138" s="137"/>
      <c r="M138" s="135"/>
      <c r="N138" s="136"/>
      <c r="O138" s="136"/>
      <c r="P138" s="136"/>
      <c r="Q138" s="137"/>
    </row>
    <row r="139" spans="1:55" ht="15.75" thickBot="1" x14ac:dyDescent="0.3">
      <c r="B139" s="155"/>
      <c r="C139" s="1608" t="str">
        <f>IF(AND(B141="", B142="", B140=""), "", "Please explain / S'il vous plaît, expliquez")</f>
        <v/>
      </c>
      <c r="D139" s="1608"/>
      <c r="E139" s="878"/>
      <c r="F139" s="878"/>
      <c r="G139" s="878"/>
      <c r="H139" s="878"/>
      <c r="I139" s="1620" t="str">
        <f>IF(AND(G141="", G142="", G140=""), "", "Please explain / S'il vous plaît, expliquez")</f>
        <v/>
      </c>
      <c r="J139" s="1620"/>
      <c r="K139" s="1620"/>
      <c r="L139" s="878"/>
      <c r="M139" s="878"/>
      <c r="N139" s="878"/>
      <c r="O139" s="1620" t="str">
        <f>IF(AND(M141="", M142="", M140=""), "", "Please explain / S'il vous plaît, expliquez")</f>
        <v/>
      </c>
      <c r="P139" s="1620"/>
      <c r="Q139" s="1620"/>
    </row>
    <row r="140" spans="1:55" ht="26.45" customHeight="1" thickBot="1" x14ac:dyDescent="0.3">
      <c r="B140" s="953" t="str">
        <f>IF(C140="    ", "",  'Language Look Ups'!$B$37)</f>
        <v/>
      </c>
      <c r="C140" s="1560" t="str">
        <f>AA59&amp;" "&amp;AA60&amp;" "&amp;AA61&amp;" "&amp;AA62&amp;" "&amp;AA63</f>
        <v xml:space="preserve">    </v>
      </c>
      <c r="D140" s="1561"/>
      <c r="G140" s="1552" t="str">
        <f>IF(I140="  ", "",  'Language Look Ups'!$B$37)</f>
        <v/>
      </c>
      <c r="H140" s="1553"/>
      <c r="I140" s="1554" t="str">
        <f>AA64&amp;" "&amp;AA65&amp;" "&amp;AA66</f>
        <v xml:space="preserve">  </v>
      </c>
      <c r="J140" s="1555"/>
      <c r="K140" s="1556"/>
      <c r="M140" s="1552" t="str">
        <f>IF(O140=" ", "",  'Language Look Ups'!$B$37)</f>
        <v/>
      </c>
      <c r="N140" s="1553"/>
      <c r="O140" s="1558" t="str">
        <f>AA67&amp;" "&amp;AA68</f>
        <v xml:space="preserve"> </v>
      </c>
      <c r="P140" s="1558"/>
      <c r="Q140" s="1559"/>
    </row>
    <row r="141" spans="1:55" ht="31.5" customHeight="1" x14ac:dyDescent="0.25">
      <c r="B141" s="805" t="str">
        <f>IF(OR($AB$86&gt;0, $AB$87&gt;0, $AB$88&gt;0, $AB$89&gt;0, $AB$90&gt;0), 'Language Look Ups'!B38, "")</f>
        <v/>
      </c>
      <c r="C141" s="1611"/>
      <c r="D141" s="1612"/>
      <c r="G141" s="1609" t="str">
        <f>IF(OR($AB$91&gt;0, $AB$92&gt;0, $AB$93&gt;0), 'Language Look Ups'!B38, "")</f>
        <v/>
      </c>
      <c r="H141" s="1609"/>
      <c r="I141" s="1611"/>
      <c r="J141" s="1615"/>
      <c r="K141" s="1612"/>
      <c r="M141" s="1609" t="str">
        <f>IF(OR($AB$94&gt;0, $AB$95&gt;0), 'Language Look Ups'!B38, "")</f>
        <v/>
      </c>
      <c r="N141" s="1609"/>
      <c r="O141" s="1611"/>
      <c r="P141" s="1615"/>
      <c r="Q141" s="1612"/>
      <c r="BA141"/>
      <c r="BB141"/>
      <c r="BC141"/>
    </row>
    <row r="142" spans="1:55" ht="31.5" customHeight="1" x14ac:dyDescent="0.25">
      <c r="A142" s="22"/>
      <c r="B142" s="468" t="str">
        <f>IF(OR($AC$86&gt;0, $AC$87&gt;0, $AC$88&gt;0, $AC$89&gt;0, $AC$90&gt;0), 'Language Look Ups'!B39,  "")</f>
        <v/>
      </c>
      <c r="C142" s="1613"/>
      <c r="D142" s="1614"/>
      <c r="G142" s="1610" t="str">
        <f>IF(OR($AC$91&gt;0,$AC$92&gt;0,$AC$93&gt;0), 'Language Look Ups'!B39,  "")</f>
        <v/>
      </c>
      <c r="H142" s="1610"/>
      <c r="I142" s="1613"/>
      <c r="J142" s="1616"/>
      <c r="K142" s="1614"/>
      <c r="M142" s="1610" t="str">
        <f>IF(OR($AC$94&gt;0,$AC$95&gt;0), 'Language Look Ups'!B39,  "")</f>
        <v/>
      </c>
      <c r="N142" s="1610"/>
      <c r="O142" s="1613"/>
      <c r="P142" s="1616"/>
      <c r="Q142" s="1614"/>
      <c r="BA142"/>
      <c r="BB142"/>
      <c r="BC142"/>
    </row>
    <row r="143" spans="1:55" ht="11.25" customHeight="1" thickBot="1" x14ac:dyDescent="0.3"/>
    <row r="144" spans="1:55" ht="18.75" x14ac:dyDescent="0.25">
      <c r="B144" s="1504" t="str">
        <f>B42</f>
        <v>Autres Méthodes Modernes</v>
      </c>
      <c r="C144" s="1505"/>
      <c r="D144" s="1506"/>
      <c r="G144" s="1504" t="str">
        <f>B46</f>
        <v>Contraception d'urgence</v>
      </c>
      <c r="H144" s="1505"/>
      <c r="I144" s="1505"/>
      <c r="J144" s="1505"/>
      <c r="K144" s="1506"/>
      <c r="M144" s="1504" t="str">
        <f>B47</f>
        <v>CAP Totale</v>
      </c>
      <c r="N144" s="1505"/>
      <c r="O144" s="1505"/>
      <c r="P144" s="1505"/>
      <c r="Q144" s="1506"/>
    </row>
    <row r="145" spans="2:55" x14ac:dyDescent="0.25">
      <c r="B145" s="142"/>
      <c r="D145" s="143"/>
      <c r="G145" s="142"/>
      <c r="K145" s="143"/>
      <c r="M145" s="142"/>
      <c r="Q145" s="143"/>
    </row>
    <row r="146" spans="2:55" x14ac:dyDescent="0.25">
      <c r="B146" s="142"/>
      <c r="D146" s="143"/>
      <c r="G146" s="142"/>
      <c r="K146" s="143"/>
      <c r="M146" s="142"/>
      <c r="Q146" s="143"/>
    </row>
    <row r="147" spans="2:55" ht="18" customHeight="1" x14ac:dyDescent="0.25">
      <c r="B147" s="142"/>
      <c r="D147" s="143"/>
      <c r="G147" s="142"/>
      <c r="K147" s="143"/>
      <c r="M147" s="142"/>
      <c r="Q147" s="143"/>
    </row>
    <row r="148" spans="2:55" ht="18" customHeight="1" x14ac:dyDescent="0.25">
      <c r="B148" s="142"/>
      <c r="D148" s="143"/>
      <c r="G148" s="142"/>
      <c r="K148" s="143"/>
      <c r="M148" s="142"/>
      <c r="Q148" s="143"/>
      <c r="AA148" s="187"/>
      <c r="BA148" s="368" t="s">
        <v>115</v>
      </c>
      <c r="BC148" s="368" t="s">
        <v>824</v>
      </c>
    </row>
    <row r="149" spans="2:55" ht="18" customHeight="1" x14ac:dyDescent="0.25">
      <c r="B149" s="142"/>
      <c r="D149" s="143"/>
      <c r="G149" s="142"/>
      <c r="K149" s="143"/>
      <c r="M149" s="142"/>
      <c r="Q149" s="143"/>
      <c r="AA149" s="187"/>
    </row>
    <row r="150" spans="2:55" ht="15" customHeight="1" x14ac:dyDescent="0.25">
      <c r="B150" s="142"/>
      <c r="D150" s="143"/>
      <c r="G150" s="142"/>
      <c r="K150" s="143"/>
      <c r="M150" s="142"/>
      <c r="Q150" s="143"/>
      <c r="AA150" s="187"/>
    </row>
    <row r="151" spans="2:55" ht="15" customHeight="1" x14ac:dyDescent="0.25">
      <c r="B151" s="142"/>
      <c r="D151" s="143"/>
      <c r="G151" s="142"/>
      <c r="K151" s="143"/>
      <c r="M151" s="142"/>
      <c r="Q151" s="143"/>
    </row>
    <row r="152" spans="2:55" x14ac:dyDescent="0.25">
      <c r="B152" s="142"/>
      <c r="D152" s="143"/>
      <c r="G152" s="142"/>
      <c r="K152" s="143"/>
      <c r="M152" s="142"/>
      <c r="Q152" s="143"/>
    </row>
    <row r="153" spans="2:55" x14ac:dyDescent="0.25">
      <c r="B153" s="142"/>
      <c r="D153" s="143"/>
      <c r="G153" s="142"/>
      <c r="K153" s="143"/>
      <c r="M153" s="142"/>
      <c r="Q153" s="143"/>
    </row>
    <row r="154" spans="2:55" x14ac:dyDescent="0.25">
      <c r="B154" s="142"/>
      <c r="D154" s="143"/>
      <c r="G154" s="142"/>
      <c r="K154" s="143"/>
      <c r="M154" s="142"/>
      <c r="Q154" s="143"/>
    </row>
    <row r="155" spans="2:55" x14ac:dyDescent="0.25">
      <c r="B155" s="142"/>
      <c r="D155" s="143"/>
      <c r="G155" s="142"/>
      <c r="K155" s="143"/>
      <c r="M155" s="142"/>
      <c r="Q155" s="143"/>
    </row>
    <row r="156" spans="2:55" x14ac:dyDescent="0.25">
      <c r="B156" s="142"/>
      <c r="D156" s="143"/>
      <c r="G156" s="142"/>
      <c r="K156" s="143"/>
      <c r="M156" s="142"/>
      <c r="Q156" s="143"/>
    </row>
    <row r="157" spans="2:55" ht="15.75" thickBot="1" x14ac:dyDescent="0.3">
      <c r="B157" s="135"/>
      <c r="C157" s="136"/>
      <c r="D157" s="137"/>
      <c r="G157" s="135"/>
      <c r="H157" s="136"/>
      <c r="I157" s="136"/>
      <c r="J157" s="136"/>
      <c r="K157" s="137"/>
      <c r="M157" s="135"/>
      <c r="N157" s="136"/>
      <c r="O157" s="136"/>
      <c r="P157" s="136"/>
      <c r="Q157" s="137"/>
    </row>
    <row r="158" spans="2:55" ht="15.75" thickBot="1" x14ac:dyDescent="0.3">
      <c r="B158" s="155"/>
      <c r="C158" s="1608" t="str">
        <f>IF(AND(B160="", B161="", B159=""), "", "Please explain / S'il vous plaît, expliquez")</f>
        <v/>
      </c>
      <c r="D158" s="1608"/>
      <c r="E158" s="878"/>
      <c r="F158" s="878"/>
      <c r="G158" s="878"/>
      <c r="H158" s="878"/>
      <c r="I158" s="1620" t="str">
        <f>IF(AND(G160="", G161="", G159=""), "", "Please explain / S'il vous plaît, expliquez")</f>
        <v/>
      </c>
      <c r="J158" s="1620"/>
      <c r="K158" s="1620"/>
      <c r="L158" s="878"/>
      <c r="M158" s="878"/>
      <c r="N158" s="878"/>
      <c r="O158" s="1620" t="str">
        <f>IF(AND(M160="", M161="", M159=""), "", "Please explain / S'il vous plaît, expliquez")</f>
        <v/>
      </c>
      <c r="P158" s="1620"/>
      <c r="Q158" s="1620"/>
    </row>
    <row r="159" spans="2:55" ht="26.45" customHeight="1" thickBot="1" x14ac:dyDescent="0.3">
      <c r="B159" s="953" t="str">
        <f>IF(C159="   ", "",  'Language Look Ups'!$B$37)</f>
        <v/>
      </c>
      <c r="C159" s="1560" t="str">
        <f>AA69&amp;" "&amp;AA70&amp;" "&amp;AA71&amp;" "&amp;AA72</f>
        <v xml:space="preserve">   </v>
      </c>
      <c r="D159" s="1561"/>
      <c r="G159" s="1552" t="str">
        <f>IF(I159="", "",  'Language Look Ups'!$B$37)</f>
        <v/>
      </c>
      <c r="H159" s="1553"/>
      <c r="I159" s="1554" t="str">
        <f>AA73</f>
        <v/>
      </c>
      <c r="J159" s="1555"/>
      <c r="K159" s="1556"/>
      <c r="M159" s="1552" t="str">
        <f>IF(O159=" ", "",  'Language Look Ups'!$B$37)</f>
        <v/>
      </c>
      <c r="N159" s="1553"/>
      <c r="O159" s="1558" t="str">
        <f>AA74&amp;" "</f>
        <v xml:space="preserve"> </v>
      </c>
      <c r="P159" s="1558"/>
      <c r="Q159" s="1559"/>
    </row>
    <row r="160" spans="2:55" ht="31.5" customHeight="1" x14ac:dyDescent="0.25">
      <c r="B160" s="805" t="str">
        <f>IF(OR($AB$96&gt;0, $AB$97&gt;0, $AB$98&gt;0,  $AB$99&gt;0), 'Language Look Ups'!B38, "")</f>
        <v/>
      </c>
      <c r="C160" s="1611"/>
      <c r="D160" s="1612"/>
      <c r="G160" s="1609" t="str">
        <f>IF(OR($AB$100&gt;0), 'Language Look Ups'!B38, "")</f>
        <v/>
      </c>
      <c r="H160" s="1609"/>
      <c r="I160" s="1611"/>
      <c r="J160" s="1615"/>
      <c r="K160" s="1612"/>
      <c r="M160" s="1609" t="str">
        <f>IF( $AB$101&gt;0, 'Language Look Ups'!B38, "")</f>
        <v/>
      </c>
      <c r="N160" s="1609"/>
      <c r="O160" s="1611"/>
      <c r="P160" s="1615"/>
      <c r="Q160" s="1612"/>
      <c r="BA160"/>
      <c r="BB160"/>
      <c r="BC160"/>
    </row>
    <row r="161" spans="2:55" ht="33.75" customHeight="1" x14ac:dyDescent="0.25">
      <c r="B161" s="468" t="str">
        <f>IF(OR($AC$96&gt;0, $AC$97&gt;0, $AC$98&gt;0, $AC$99&gt;0), 'Language Look Ups'!B39,  "")</f>
        <v/>
      </c>
      <c r="C161" s="1613"/>
      <c r="D161" s="1614"/>
      <c r="G161" s="1610" t="str">
        <f>IF(OR($AC$100&gt;0), 'Language Look Ups'!B39,  "")</f>
        <v/>
      </c>
      <c r="H161" s="1610"/>
      <c r="I161" s="1613"/>
      <c r="J161" s="1616"/>
      <c r="K161" s="1614"/>
      <c r="M161" s="1610" t="str">
        <f>IF($AC$101&gt;0, 'Language Look Ups'!B39,  "")</f>
        <v/>
      </c>
      <c r="N161" s="1610"/>
      <c r="O161" s="1613"/>
      <c r="P161" s="1616"/>
      <c r="Q161" s="1614"/>
      <c r="BA161"/>
      <c r="BB161"/>
      <c r="BC161"/>
    </row>
    <row r="162" spans="2:55" ht="12" customHeight="1" x14ac:dyDescent="0.25">
      <c r="B162" s="881"/>
      <c r="C162" s="882"/>
      <c r="D162" s="882"/>
      <c r="G162" s="880"/>
      <c r="O162" s="879"/>
      <c r="P162" s="879"/>
      <c r="Q162" s="879"/>
      <c r="BA162"/>
      <c r="BB162"/>
      <c r="BC162"/>
    </row>
    <row r="163" spans="2:55" ht="16.149999999999999" customHeight="1" x14ac:dyDescent="0.25">
      <c r="B163" s="952" t="str">
        <f>IF(Language="Francais", BC163, BA163)</f>
        <v>*Valeurs aberrantes = valeurs de plus que 2 écart types de la moyenne</v>
      </c>
      <c r="C163" s="951"/>
      <c r="D163" s="951"/>
      <c r="E163" s="951"/>
      <c r="F163" s="951"/>
      <c r="BA163" s="184" t="s">
        <v>1208</v>
      </c>
      <c r="BC163" s="184" t="s">
        <v>1209</v>
      </c>
    </row>
    <row r="164" spans="2:55" x14ac:dyDescent="0.25">
      <c r="B164" s="226" t="str">
        <f>IF(Language="Francais", BC164, BA164)</f>
        <v>*Déclin = supérieur à 25% de déclin sur un an</v>
      </c>
      <c r="C164" s="226"/>
      <c r="D164" s="226"/>
      <c r="E164" s="226"/>
      <c r="F164" s="226"/>
      <c r="BA164" s="184" t="s">
        <v>1206</v>
      </c>
      <c r="BC164" s="184" t="s">
        <v>818</v>
      </c>
    </row>
    <row r="165" spans="2:55" x14ac:dyDescent="0.25">
      <c r="B165" s="227" t="str">
        <f>IF(Language="Francais", BC165, BA165)</f>
        <v>**Croissance spectaculaire = supérieure à 150% de croissance sur un an.</v>
      </c>
      <c r="C165" s="227"/>
      <c r="D165" s="227"/>
      <c r="E165" s="227"/>
      <c r="F165" s="227"/>
      <c r="BA165" s="184" t="s">
        <v>1207</v>
      </c>
      <c r="BC165" s="184" t="s">
        <v>819</v>
      </c>
    </row>
    <row r="169" spans="2:55" ht="15.75" customHeight="1" x14ac:dyDescent="0.25">
      <c r="G169" s="1604" t="str">
        <f>IF(Language="English", BA148, BC148)</f>
        <v>Si les données semblent bonnes, 
continuez la révision.</v>
      </c>
      <c r="H169" s="1604"/>
      <c r="I169" s="1604"/>
      <c r="J169" s="1604"/>
    </row>
    <row r="170" spans="2:55" ht="15.75" customHeight="1" x14ac:dyDescent="0.25">
      <c r="G170" s="1604"/>
      <c r="H170" s="1604"/>
      <c r="I170" s="1604"/>
      <c r="J170" s="1604"/>
    </row>
    <row r="171" spans="2:55" ht="15.75" customHeight="1" x14ac:dyDescent="0.25">
      <c r="G171" s="1604"/>
      <c r="H171" s="1604"/>
      <c r="I171" s="1604"/>
      <c r="J171" s="1604"/>
    </row>
    <row r="172" spans="2:55" ht="15" customHeight="1" x14ac:dyDescent="0.25">
      <c r="G172" s="1604"/>
      <c r="H172" s="1604"/>
      <c r="I172" s="1604"/>
      <c r="J172" s="1604"/>
    </row>
    <row r="173" spans="2:55" ht="15" customHeight="1" x14ac:dyDescent="0.25"/>
    <row r="174" spans="2:55" ht="15" customHeight="1" x14ac:dyDescent="0.25"/>
    <row r="175" spans="2:55" ht="15" customHeight="1" x14ac:dyDescent="0.25"/>
    <row r="176" spans="2:55" ht="15" customHeight="1" x14ac:dyDescent="0.25"/>
    <row r="177" spans="2:22" ht="15.6" hidden="1" customHeight="1" x14ac:dyDescent="0.25">
      <c r="B177" s="1497" t="str">
        <f>B21</f>
        <v>METHOD</v>
      </c>
      <c r="C177" s="1498"/>
      <c r="D177" s="918" t="str">
        <f>D21</f>
        <v>CYP FACTOR</v>
      </c>
      <c r="E177" s="918">
        <f>E21</f>
        <v>0</v>
      </c>
      <c r="F177" s="918" t="str">
        <f>F21</f>
        <v>UNITS</v>
      </c>
      <c r="G177" s="918"/>
      <c r="H177" s="918"/>
      <c r="I177" s="918"/>
      <c r="J177" s="918"/>
      <c r="K177" s="918" t="str">
        <f t="shared" ref="K177:V177" si="117">K21</f>
        <v/>
      </c>
      <c r="L177" s="918" t="str">
        <f t="shared" si="117"/>
        <v/>
      </c>
      <c r="M177" s="918" t="str">
        <f t="shared" si="117"/>
        <v/>
      </c>
      <c r="N177" s="918" t="str">
        <f t="shared" si="117"/>
        <v/>
      </c>
      <c r="O177" s="918" t="str">
        <f t="shared" si="117"/>
        <v/>
      </c>
      <c r="P177" s="918" t="str">
        <f t="shared" si="117"/>
        <v/>
      </c>
      <c r="Q177" s="918" t="str">
        <f t="shared" si="117"/>
        <v/>
      </c>
      <c r="R177" s="918" t="str">
        <f t="shared" si="117"/>
        <v/>
      </c>
      <c r="S177" s="918" t="str">
        <f t="shared" si="117"/>
        <v/>
      </c>
      <c r="T177" s="918" t="str">
        <f t="shared" si="117"/>
        <v/>
      </c>
      <c r="U177" s="918" t="str">
        <f t="shared" si="117"/>
        <v/>
      </c>
      <c r="V177" s="919" t="str">
        <f t="shared" si="117"/>
        <v/>
      </c>
    </row>
    <row r="178" spans="2:22" ht="15" hidden="1" customHeight="1" x14ac:dyDescent="0.25">
      <c r="B178" s="920"/>
      <c r="C178" s="921" t="e">
        <f>#REF!</f>
        <v>#REF!</v>
      </c>
      <c r="D178" s="921"/>
      <c r="E178" s="921"/>
      <c r="F178" s="921"/>
      <c r="G178" s="922" t="str">
        <f t="shared" ref="G178:V178" si="118">IF(G23="", "", G23)</f>
        <v/>
      </c>
      <c r="H178" s="922" t="str">
        <f t="shared" si="118"/>
        <v/>
      </c>
      <c r="I178" s="922" t="str">
        <f t="shared" si="118"/>
        <v/>
      </c>
      <c r="J178" s="922" t="str">
        <f t="shared" si="118"/>
        <v/>
      </c>
      <c r="K178" s="922" t="str">
        <f t="shared" si="118"/>
        <v/>
      </c>
      <c r="L178" s="922" t="str">
        <f t="shared" si="118"/>
        <v/>
      </c>
      <c r="M178" s="922" t="str">
        <f t="shared" si="118"/>
        <v/>
      </c>
      <c r="N178" s="922" t="str">
        <f t="shared" si="118"/>
        <v/>
      </c>
      <c r="O178" s="922" t="str">
        <f t="shared" si="118"/>
        <v/>
      </c>
      <c r="P178" s="922" t="str">
        <f t="shared" si="118"/>
        <v/>
      </c>
      <c r="Q178" s="922" t="str">
        <f t="shared" si="118"/>
        <v/>
      </c>
      <c r="R178" s="922" t="str">
        <f t="shared" si="118"/>
        <v/>
      </c>
      <c r="S178" s="922" t="str">
        <f t="shared" si="118"/>
        <v/>
      </c>
      <c r="T178" s="922" t="str">
        <f t="shared" si="118"/>
        <v/>
      </c>
      <c r="U178" s="922" t="str">
        <f t="shared" si="118"/>
        <v/>
      </c>
      <c r="V178" s="923" t="str">
        <f t="shared" si="118"/>
        <v/>
      </c>
    </row>
    <row r="179" spans="2:22" ht="15" hidden="1" customHeight="1" x14ac:dyDescent="0.25">
      <c r="B179" s="920"/>
      <c r="C179" s="921" t="e">
        <f>#REF!</f>
        <v>#REF!</v>
      </c>
      <c r="D179" s="921"/>
      <c r="E179" s="921"/>
      <c r="F179" s="921"/>
      <c r="G179" s="922" t="str">
        <f t="shared" ref="G179:V179" si="119">IF(G24="", "", G24)</f>
        <v/>
      </c>
      <c r="H179" s="922" t="str">
        <f t="shared" si="119"/>
        <v/>
      </c>
      <c r="I179" s="922" t="str">
        <f t="shared" si="119"/>
        <v/>
      </c>
      <c r="J179" s="922" t="str">
        <f t="shared" si="119"/>
        <v/>
      </c>
      <c r="K179" s="922" t="str">
        <f t="shared" si="119"/>
        <v/>
      </c>
      <c r="L179" s="922" t="str">
        <f t="shared" si="119"/>
        <v/>
      </c>
      <c r="M179" s="922" t="str">
        <f t="shared" si="119"/>
        <v/>
      </c>
      <c r="N179" s="922" t="str">
        <f t="shared" si="119"/>
        <v/>
      </c>
      <c r="O179" s="922" t="str">
        <f t="shared" si="119"/>
        <v/>
      </c>
      <c r="P179" s="922" t="str">
        <f t="shared" si="119"/>
        <v/>
      </c>
      <c r="Q179" s="922" t="str">
        <f t="shared" si="119"/>
        <v/>
      </c>
      <c r="R179" s="922" t="str">
        <f t="shared" si="119"/>
        <v/>
      </c>
      <c r="S179" s="922" t="str">
        <f t="shared" si="119"/>
        <v/>
      </c>
      <c r="T179" s="922" t="str">
        <f t="shared" si="119"/>
        <v/>
      </c>
      <c r="U179" s="922" t="str">
        <f t="shared" si="119"/>
        <v/>
      </c>
      <c r="V179" s="923" t="str">
        <f t="shared" si="119"/>
        <v/>
      </c>
    </row>
    <row r="180" spans="2:22" ht="15" hidden="1" customHeight="1" x14ac:dyDescent="0.25">
      <c r="B180" s="920"/>
      <c r="C180" s="921" t="e">
        <f>#REF!</f>
        <v>#REF!</v>
      </c>
      <c r="D180" s="921"/>
      <c r="E180" s="921"/>
      <c r="F180" s="921"/>
      <c r="G180" s="922" t="str">
        <f t="shared" ref="G180:V180" si="120">IF(SUM(G25:G26)=0, "", SUM(G25:G26))</f>
        <v/>
      </c>
      <c r="H180" s="922" t="str">
        <f t="shared" si="120"/>
        <v/>
      </c>
      <c r="I180" s="922" t="str">
        <f t="shared" si="120"/>
        <v/>
      </c>
      <c r="J180" s="922" t="str">
        <f t="shared" si="120"/>
        <v/>
      </c>
      <c r="K180" s="922" t="str">
        <f t="shared" si="120"/>
        <v/>
      </c>
      <c r="L180" s="922" t="str">
        <f t="shared" si="120"/>
        <v/>
      </c>
      <c r="M180" s="922" t="str">
        <f t="shared" si="120"/>
        <v/>
      </c>
      <c r="N180" s="922" t="str">
        <f t="shared" si="120"/>
        <v/>
      </c>
      <c r="O180" s="922" t="str">
        <f t="shared" si="120"/>
        <v/>
      </c>
      <c r="P180" s="922" t="str">
        <f t="shared" si="120"/>
        <v/>
      </c>
      <c r="Q180" s="922" t="str">
        <f t="shared" si="120"/>
        <v/>
      </c>
      <c r="R180" s="922" t="str">
        <f t="shared" si="120"/>
        <v/>
      </c>
      <c r="S180" s="922" t="str">
        <f t="shared" si="120"/>
        <v/>
      </c>
      <c r="T180" s="922" t="str">
        <f t="shared" si="120"/>
        <v/>
      </c>
      <c r="U180" s="922" t="str">
        <f t="shared" si="120"/>
        <v/>
      </c>
      <c r="V180" s="923" t="str">
        <f t="shared" si="120"/>
        <v/>
      </c>
    </row>
    <row r="181" spans="2:22" hidden="1" x14ac:dyDescent="0.25">
      <c r="B181" s="920"/>
      <c r="C181" s="921" t="e">
        <f>#REF!</f>
        <v>#REF!</v>
      </c>
      <c r="D181" s="921"/>
      <c r="E181" s="921"/>
      <c r="F181" s="921"/>
      <c r="G181" s="922" t="str">
        <f t="shared" ref="G181:V181" si="121">IF(SUM(G27:G29)=0, "", SUM(G27:G29))</f>
        <v/>
      </c>
      <c r="H181" s="922" t="str">
        <f t="shared" si="121"/>
        <v/>
      </c>
      <c r="I181" s="922" t="str">
        <f t="shared" si="121"/>
        <v/>
      </c>
      <c r="J181" s="922" t="str">
        <f t="shared" si="121"/>
        <v/>
      </c>
      <c r="K181" s="922" t="str">
        <f t="shared" si="121"/>
        <v/>
      </c>
      <c r="L181" s="922" t="str">
        <f t="shared" si="121"/>
        <v/>
      </c>
      <c r="M181" s="922" t="str">
        <f t="shared" si="121"/>
        <v/>
      </c>
      <c r="N181" s="922" t="str">
        <f t="shared" si="121"/>
        <v/>
      </c>
      <c r="O181" s="922" t="str">
        <f t="shared" si="121"/>
        <v/>
      </c>
      <c r="P181" s="922" t="str">
        <f t="shared" si="121"/>
        <v/>
      </c>
      <c r="Q181" s="922" t="str">
        <f t="shared" si="121"/>
        <v/>
      </c>
      <c r="R181" s="922" t="str">
        <f t="shared" si="121"/>
        <v/>
      </c>
      <c r="S181" s="922" t="str">
        <f t="shared" si="121"/>
        <v/>
      </c>
      <c r="T181" s="922" t="str">
        <f t="shared" si="121"/>
        <v/>
      </c>
      <c r="U181" s="922" t="str">
        <f t="shared" si="121"/>
        <v/>
      </c>
      <c r="V181" s="923" t="str">
        <f t="shared" si="121"/>
        <v/>
      </c>
    </row>
    <row r="182" spans="2:22" hidden="1" x14ac:dyDescent="0.25">
      <c r="B182" s="920"/>
      <c r="C182" s="921" t="e">
        <f>#REF!</f>
        <v>#REF!</v>
      </c>
      <c r="D182" s="921"/>
      <c r="E182" s="921"/>
      <c r="F182" s="921"/>
      <c r="G182" s="922" t="str">
        <f t="shared" ref="G182:V182" si="122">IF(SUM(G32:G36)=0, "", SUM(G32:G36))</f>
        <v/>
      </c>
      <c r="H182" s="922" t="str">
        <f t="shared" si="122"/>
        <v/>
      </c>
      <c r="I182" s="922" t="str">
        <f t="shared" si="122"/>
        <v/>
      </c>
      <c r="J182" s="922" t="str">
        <f t="shared" si="122"/>
        <v/>
      </c>
      <c r="K182" s="922" t="str">
        <f t="shared" si="122"/>
        <v/>
      </c>
      <c r="L182" s="922" t="str">
        <f t="shared" si="122"/>
        <v/>
      </c>
      <c r="M182" s="922" t="str">
        <f t="shared" si="122"/>
        <v/>
      </c>
      <c r="N182" s="922" t="str">
        <f t="shared" si="122"/>
        <v/>
      </c>
      <c r="O182" s="922" t="str">
        <f t="shared" si="122"/>
        <v/>
      </c>
      <c r="P182" s="922" t="str">
        <f t="shared" si="122"/>
        <v/>
      </c>
      <c r="Q182" s="922" t="str">
        <f t="shared" si="122"/>
        <v/>
      </c>
      <c r="R182" s="922" t="str">
        <f t="shared" si="122"/>
        <v/>
      </c>
      <c r="S182" s="922" t="str">
        <f t="shared" si="122"/>
        <v/>
      </c>
      <c r="T182" s="922" t="str">
        <f t="shared" si="122"/>
        <v/>
      </c>
      <c r="U182" s="922" t="str">
        <f t="shared" si="122"/>
        <v/>
      </c>
      <c r="V182" s="923" t="str">
        <f t="shared" si="122"/>
        <v/>
      </c>
    </row>
    <row r="183" spans="2:22" hidden="1" x14ac:dyDescent="0.25">
      <c r="B183" s="920"/>
      <c r="C183" s="921" t="e">
        <f>#REF!</f>
        <v>#REF!</v>
      </c>
      <c r="D183" s="921"/>
      <c r="E183" s="921"/>
      <c r="F183" s="921"/>
      <c r="G183" s="922" t="str">
        <f t="shared" ref="G183:V183" si="123">IF(SUM(G37:G39)=0,"", SUM(G37:G39))</f>
        <v/>
      </c>
      <c r="H183" s="922" t="str">
        <f t="shared" si="123"/>
        <v/>
      </c>
      <c r="I183" s="922" t="str">
        <f t="shared" si="123"/>
        <v/>
      </c>
      <c r="J183" s="922" t="str">
        <f t="shared" si="123"/>
        <v/>
      </c>
      <c r="K183" s="922" t="str">
        <f t="shared" si="123"/>
        <v/>
      </c>
      <c r="L183" s="922" t="str">
        <f t="shared" si="123"/>
        <v/>
      </c>
      <c r="M183" s="922" t="str">
        <f t="shared" si="123"/>
        <v/>
      </c>
      <c r="N183" s="922" t="str">
        <f t="shared" si="123"/>
        <v/>
      </c>
      <c r="O183" s="922" t="str">
        <f t="shared" si="123"/>
        <v/>
      </c>
      <c r="P183" s="922" t="str">
        <f t="shared" si="123"/>
        <v/>
      </c>
      <c r="Q183" s="922" t="str">
        <f t="shared" si="123"/>
        <v/>
      </c>
      <c r="R183" s="922" t="str">
        <f t="shared" si="123"/>
        <v/>
      </c>
      <c r="S183" s="922" t="str">
        <f t="shared" si="123"/>
        <v/>
      </c>
      <c r="T183" s="922" t="str">
        <f t="shared" si="123"/>
        <v/>
      </c>
      <c r="U183" s="922" t="str">
        <f t="shared" si="123"/>
        <v/>
      </c>
      <c r="V183" s="923" t="str">
        <f t="shared" si="123"/>
        <v/>
      </c>
    </row>
    <row r="184" spans="2:22" ht="15.75" hidden="1" thickBot="1" x14ac:dyDescent="0.3">
      <c r="B184" s="924"/>
      <c r="C184" s="925" t="e">
        <f>#REF!</f>
        <v>#REF!</v>
      </c>
      <c r="D184" s="925"/>
      <c r="E184" s="925"/>
      <c r="F184" s="925"/>
      <c r="G184" s="925" t="str">
        <f t="shared" ref="G184:V184" si="124">IF(SUM(G40:G41)=0,"", SUM(G40:G41))</f>
        <v/>
      </c>
      <c r="H184" s="925" t="str">
        <f t="shared" si="124"/>
        <v/>
      </c>
      <c r="I184" s="925" t="str">
        <f t="shared" si="124"/>
        <v/>
      </c>
      <c r="J184" s="925" t="str">
        <f t="shared" si="124"/>
        <v/>
      </c>
      <c r="K184" s="925" t="str">
        <f t="shared" si="124"/>
        <v/>
      </c>
      <c r="L184" s="925" t="str">
        <f t="shared" si="124"/>
        <v/>
      </c>
      <c r="M184" s="925" t="str">
        <f t="shared" si="124"/>
        <v/>
      </c>
      <c r="N184" s="925" t="str">
        <f t="shared" si="124"/>
        <v/>
      </c>
      <c r="O184" s="925" t="str">
        <f t="shared" si="124"/>
        <v/>
      </c>
      <c r="P184" s="925" t="str">
        <f t="shared" si="124"/>
        <v/>
      </c>
      <c r="Q184" s="925" t="str">
        <f t="shared" si="124"/>
        <v/>
      </c>
      <c r="R184" s="925" t="str">
        <f t="shared" si="124"/>
        <v/>
      </c>
      <c r="S184" s="925" t="str">
        <f t="shared" si="124"/>
        <v/>
      </c>
      <c r="T184" s="925" t="str">
        <f t="shared" si="124"/>
        <v/>
      </c>
      <c r="U184" s="925" t="str">
        <f t="shared" si="124"/>
        <v/>
      </c>
      <c r="V184" s="926" t="str">
        <f t="shared" si="124"/>
        <v/>
      </c>
    </row>
  </sheetData>
  <mergeCells count="104">
    <mergeCell ref="A49:A101"/>
    <mergeCell ref="B49:V49"/>
    <mergeCell ref="B76:V76"/>
    <mergeCell ref="C160:D161"/>
    <mergeCell ref="I160:K161"/>
    <mergeCell ref="O160:Q161"/>
    <mergeCell ref="C141:D142"/>
    <mergeCell ref="I141:K142"/>
    <mergeCell ref="O141:Q142"/>
    <mergeCell ref="C122:D123"/>
    <mergeCell ref="I122:K123"/>
    <mergeCell ref="O122:Q123"/>
    <mergeCell ref="I139:K139"/>
    <mergeCell ref="O139:Q139"/>
    <mergeCell ref="I120:K120"/>
    <mergeCell ref="O120:Q120"/>
    <mergeCell ref="I158:K158"/>
    <mergeCell ref="O158:Q158"/>
    <mergeCell ref="M140:N140"/>
    <mergeCell ref="O140:Q140"/>
    <mergeCell ref="C159:D159"/>
    <mergeCell ref="G159:H159"/>
    <mergeCell ref="I159:K159"/>
    <mergeCell ref="M159:N159"/>
    <mergeCell ref="O159:Q159"/>
    <mergeCell ref="DL6:DL7"/>
    <mergeCell ref="DL8:DL10"/>
    <mergeCell ref="P5:R5"/>
    <mergeCell ref="G161:H161"/>
    <mergeCell ref="M161:N161"/>
    <mergeCell ref="G160:H160"/>
    <mergeCell ref="M160:N160"/>
    <mergeCell ref="M142:N142"/>
    <mergeCell ref="M123:N123"/>
    <mergeCell ref="AA16:AR16"/>
    <mergeCell ref="AA17:AR17"/>
    <mergeCell ref="AB18:AR18"/>
    <mergeCell ref="BK20:BZ20"/>
    <mergeCell ref="CC20:CR20"/>
    <mergeCell ref="CU20:DJ20"/>
    <mergeCell ref="C158:D158"/>
    <mergeCell ref="DN20:EF20"/>
    <mergeCell ref="ED21:ED22"/>
    <mergeCell ref="EE21:EE22"/>
    <mergeCell ref="DL23:DL24"/>
    <mergeCell ref="DL25:DL26"/>
    <mergeCell ref="DL27:DL29"/>
    <mergeCell ref="M122:N122"/>
    <mergeCell ref="G106:K106"/>
    <mergeCell ref="CS21:CS22"/>
    <mergeCell ref="G121:H121"/>
    <mergeCell ref="I121:K121"/>
    <mergeCell ref="M121:N121"/>
    <mergeCell ref="B144:D144"/>
    <mergeCell ref="G144:K144"/>
    <mergeCell ref="M144:Q144"/>
    <mergeCell ref="C139:D139"/>
    <mergeCell ref="G141:H141"/>
    <mergeCell ref="M141:N141"/>
    <mergeCell ref="G142:H142"/>
    <mergeCell ref="C140:D140"/>
    <mergeCell ref="G140:H140"/>
    <mergeCell ref="I140:K140"/>
    <mergeCell ref="G123:H123"/>
    <mergeCell ref="B96:B99"/>
    <mergeCell ref="B106:D106"/>
    <mergeCell ref="C121:D121"/>
    <mergeCell ref="O121:Q121"/>
    <mergeCell ref="B37:B39"/>
    <mergeCell ref="B40:B41"/>
    <mergeCell ref="B42:B45"/>
    <mergeCell ref="B77:B78"/>
    <mergeCell ref="B79:B80"/>
    <mergeCell ref="B50:B51"/>
    <mergeCell ref="B52:B53"/>
    <mergeCell ref="B54:B56"/>
    <mergeCell ref="B59:B63"/>
    <mergeCell ref="B64:B66"/>
    <mergeCell ref="B67:B68"/>
    <mergeCell ref="B69:B72"/>
    <mergeCell ref="B177:C177"/>
    <mergeCell ref="B2:V2"/>
    <mergeCell ref="B10:B14"/>
    <mergeCell ref="C10:F10"/>
    <mergeCell ref="C12:V12"/>
    <mergeCell ref="C13:V13"/>
    <mergeCell ref="C14:V14"/>
    <mergeCell ref="B81:B83"/>
    <mergeCell ref="B21:C21"/>
    <mergeCell ref="B23:B24"/>
    <mergeCell ref="B25:B26"/>
    <mergeCell ref="B27:B29"/>
    <mergeCell ref="B32:B36"/>
    <mergeCell ref="G169:J172"/>
    <mergeCell ref="D20:F20"/>
    <mergeCell ref="B125:D125"/>
    <mergeCell ref="G125:K125"/>
    <mergeCell ref="M125:Q125"/>
    <mergeCell ref="M106:Q106"/>
    <mergeCell ref="C120:D120"/>
    <mergeCell ref="G122:H122"/>
    <mergeCell ref="B86:B90"/>
    <mergeCell ref="B91:B93"/>
    <mergeCell ref="B94:B95"/>
  </mergeCells>
  <conditionalFormatting sqref="G122">
    <cfRule type="cellIs" dxfId="184" priority="143" operator="equal">
      <formula>""</formula>
    </cfRule>
  </conditionalFormatting>
  <conditionalFormatting sqref="G123">
    <cfRule type="cellIs" dxfId="183" priority="142" operator="equal">
      <formula>""</formula>
    </cfRule>
  </conditionalFormatting>
  <conditionalFormatting sqref="C13:V13">
    <cfRule type="cellIs" dxfId="182" priority="139" operator="equal">
      <formula>"You have at least 3 years of data with reporting rates greater than 60%, please discuss with Track20 Team Member."</formula>
    </cfRule>
    <cfRule type="cellIs" dxfId="181" priority="140" operator="equal">
      <formula>"Reporting Rates are generally below 60%, so this data may not be useable in FPET. This may be an opportunity to address data quality."</formula>
    </cfRule>
    <cfRule type="cellIs" dxfId="180" priority="141" operator="equal">
      <formula>"You have at least 3 years of data with reporting rates greater than 80%."</formula>
    </cfRule>
  </conditionalFormatting>
  <conditionalFormatting sqref="B122">
    <cfRule type="cellIs" dxfId="179" priority="63" operator="equal">
      <formula>""</formula>
    </cfRule>
  </conditionalFormatting>
  <conditionalFormatting sqref="B123">
    <cfRule type="cellIs" dxfId="178" priority="62" operator="equal">
      <formula>""</formula>
    </cfRule>
  </conditionalFormatting>
  <conditionalFormatting sqref="M122">
    <cfRule type="cellIs" dxfId="177" priority="61" operator="equal">
      <formula>""</formula>
    </cfRule>
  </conditionalFormatting>
  <conditionalFormatting sqref="M123">
    <cfRule type="cellIs" dxfId="176" priority="60" operator="equal">
      <formula>""</formula>
    </cfRule>
  </conditionalFormatting>
  <conditionalFormatting sqref="G141">
    <cfRule type="cellIs" dxfId="175" priority="59" operator="equal">
      <formula>""</formula>
    </cfRule>
  </conditionalFormatting>
  <conditionalFormatting sqref="G142">
    <cfRule type="cellIs" dxfId="174" priority="58" operator="equal">
      <formula>""</formula>
    </cfRule>
  </conditionalFormatting>
  <conditionalFormatting sqref="M141">
    <cfRule type="cellIs" dxfId="173" priority="57" operator="equal">
      <formula>""</formula>
    </cfRule>
  </conditionalFormatting>
  <conditionalFormatting sqref="M142">
    <cfRule type="cellIs" dxfId="172" priority="56" operator="equal">
      <formula>""</formula>
    </cfRule>
  </conditionalFormatting>
  <conditionalFormatting sqref="G160">
    <cfRule type="cellIs" dxfId="171" priority="55" operator="equal">
      <formula>""</formula>
    </cfRule>
  </conditionalFormatting>
  <conditionalFormatting sqref="G161:G162">
    <cfRule type="cellIs" dxfId="170" priority="54" operator="equal">
      <formula>""</formula>
    </cfRule>
  </conditionalFormatting>
  <conditionalFormatting sqref="M160">
    <cfRule type="cellIs" dxfId="169" priority="53" operator="equal">
      <formula>""</formula>
    </cfRule>
  </conditionalFormatting>
  <conditionalFormatting sqref="M161">
    <cfRule type="cellIs" dxfId="168" priority="52" operator="equal">
      <formula>""</formula>
    </cfRule>
  </conditionalFormatting>
  <conditionalFormatting sqref="B141">
    <cfRule type="cellIs" dxfId="167" priority="51" operator="equal">
      <formula>""</formula>
    </cfRule>
  </conditionalFormatting>
  <conditionalFormatting sqref="B142">
    <cfRule type="cellIs" dxfId="166" priority="50" operator="equal">
      <formula>""</formula>
    </cfRule>
  </conditionalFormatting>
  <conditionalFormatting sqref="B160">
    <cfRule type="cellIs" dxfId="165" priority="49" operator="equal">
      <formula>""</formula>
    </cfRule>
  </conditionalFormatting>
  <conditionalFormatting sqref="B161:B162">
    <cfRule type="cellIs" dxfId="164" priority="48" operator="equal">
      <formula>""</formula>
    </cfRule>
  </conditionalFormatting>
  <conditionalFormatting sqref="G10:V10">
    <cfRule type="cellIs" dxfId="163" priority="44" operator="equal">
      <formula>""</formula>
    </cfRule>
    <cfRule type="cellIs" dxfId="162" priority="45" operator="greaterThanOrEqual">
      <formula>0.8</formula>
    </cfRule>
    <cfRule type="cellIs" dxfId="161" priority="46" operator="between">
      <formula>0.599</formula>
      <formula>0.7999</formula>
    </cfRule>
    <cfRule type="cellIs" dxfId="160" priority="47" operator="lessThan">
      <formula>0.5999</formula>
    </cfRule>
  </conditionalFormatting>
  <conditionalFormatting sqref="G10:V10">
    <cfRule type="cellIs" dxfId="159" priority="40" operator="equal">
      <formula>""</formula>
    </cfRule>
    <cfRule type="cellIs" dxfId="158" priority="41" operator="greaterThanOrEqual">
      <formula>0.8</formula>
    </cfRule>
    <cfRule type="cellIs" dxfId="157" priority="42" operator="between">
      <formula>0.599</formula>
      <formula>0.7999</formula>
    </cfRule>
    <cfRule type="cellIs" dxfId="156" priority="43" operator="lessThan">
      <formula>0.5999</formula>
    </cfRule>
  </conditionalFormatting>
  <conditionalFormatting sqref="G10:V10">
    <cfRule type="expression" dxfId="155" priority="39">
      <formula>G$9=""</formula>
    </cfRule>
  </conditionalFormatting>
  <conditionalFormatting sqref="M121">
    <cfRule type="expression" dxfId="154" priority="9">
      <formula>M121=""</formula>
    </cfRule>
  </conditionalFormatting>
  <conditionalFormatting sqref="G121">
    <cfRule type="expression" dxfId="153" priority="10">
      <formula>G121=""</formula>
    </cfRule>
  </conditionalFormatting>
  <conditionalFormatting sqref="B121">
    <cfRule type="expression" dxfId="152" priority="8">
      <formula>B121=""</formula>
    </cfRule>
  </conditionalFormatting>
  <conditionalFormatting sqref="M140">
    <cfRule type="expression" dxfId="151" priority="6">
      <formula>M140=""</formula>
    </cfRule>
  </conditionalFormatting>
  <conditionalFormatting sqref="G140">
    <cfRule type="expression" dxfId="150" priority="7">
      <formula>G140=""</formula>
    </cfRule>
  </conditionalFormatting>
  <conditionalFormatting sqref="B140">
    <cfRule type="expression" dxfId="149" priority="5">
      <formula>B140=""</formula>
    </cfRule>
  </conditionalFormatting>
  <conditionalFormatting sqref="M159">
    <cfRule type="expression" dxfId="148" priority="3">
      <formula>M159=""</formula>
    </cfRule>
  </conditionalFormatting>
  <conditionalFormatting sqref="G159">
    <cfRule type="expression" dxfId="147" priority="4">
      <formula>G159=""</formula>
    </cfRule>
  </conditionalFormatting>
  <conditionalFormatting sqref="B159">
    <cfRule type="expression" dxfId="146" priority="2">
      <formula>B159=""</formula>
    </cfRule>
  </conditionalFormatting>
  <conditionalFormatting sqref="B163">
    <cfRule type="expression" dxfId="145" priority="1">
      <formula>B163=""</formula>
    </cfRule>
  </conditionalFormatting>
  <hyperlinks>
    <hyperlink ref="P5:R5" location="'Visits Input'!A1" tooltip="Click to Enter Visits Data" display="'Visits Input'!A1" xr:uid="{00000000-0004-0000-0B00-000001000000}"/>
    <hyperlink ref="G169:I172" location="'Commodities (Facility) Output'!A1" display="'Commodities (Facility) Output'!A1" xr:uid="{CC497D17-0982-4015-B98E-F03074797A6B}"/>
  </hyperlinks>
  <pageMargins left="0.7" right="0.7" top="0.75" bottom="0.75" header="0.3" footer="0.3"/>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77" id="{D1E1D8C8-77AC-4A13-BB53-696B6D90930C}">
            <xm:f>$D32&lt;&gt;Assumptions!$D17</xm:f>
            <x14:dxf>
              <font>
                <b/>
                <i val="0"/>
                <color rgb="FFC00000"/>
              </font>
              <fill>
                <patternFill>
                  <bgColor rgb="FFFAC8C8"/>
                </patternFill>
              </fill>
            </x14:dxf>
          </x14:cfRule>
          <xm:sqref>D32:D46</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tabColor theme="3"/>
    <pageSetUpPr autoPageBreaks="0"/>
  </sheetPr>
  <dimension ref="A1:BH153"/>
  <sheetViews>
    <sheetView showGridLines="0" zoomScale="70" zoomScaleNormal="70" workbookViewId="0">
      <selection activeCell="C106" sqref="C106:H107"/>
    </sheetView>
  </sheetViews>
  <sheetFormatPr defaultRowHeight="15" outlineLevelRow="1" x14ac:dyDescent="0.25"/>
  <cols>
    <col min="1" max="1" width="6.7109375" customWidth="1"/>
    <col min="2" max="2" width="21.140625" customWidth="1"/>
    <col min="3" max="3" width="28.28515625" style="20" customWidth="1"/>
    <col min="4" max="8" width="12.140625" customWidth="1"/>
    <col min="9" max="19" width="10.7109375" customWidth="1"/>
    <col min="20" max="20" width="3.28515625" customWidth="1"/>
    <col min="21" max="21" width="16.5703125" customWidth="1"/>
    <col min="22" max="22" width="12.7109375" customWidth="1"/>
    <col min="23" max="23" width="6.7109375" style="489" customWidth="1"/>
    <col min="24" max="33" width="11" hidden="1" customWidth="1"/>
    <col min="34" max="38" width="11" customWidth="1"/>
    <col min="39" max="59" width="8.85546875" customWidth="1"/>
    <col min="60" max="60" width="4.28515625" style="489" customWidth="1"/>
  </cols>
  <sheetData>
    <row r="1" spans="2:51" ht="34.5" customHeight="1" x14ac:dyDescent="0.25">
      <c r="B1" s="1512" t="str">
        <f>IF(Language="English", AD2, AF2)</f>
        <v>Résultat : Examinez les Utilisatrices PF et l'EUM calculés à partir des données des produits distribués aux établissement</v>
      </c>
      <c r="C1" s="1512"/>
      <c r="D1" s="1512"/>
      <c r="E1" s="1512"/>
      <c r="F1" s="1512"/>
      <c r="G1" s="1512"/>
      <c r="H1" s="1512"/>
      <c r="I1" s="1512"/>
      <c r="J1" s="1512"/>
      <c r="K1" s="1512"/>
      <c r="L1" s="1512"/>
      <c r="M1" s="1512"/>
      <c r="N1" s="1512"/>
      <c r="O1" s="1512"/>
      <c r="P1" s="1512"/>
      <c r="Q1" s="1512"/>
      <c r="R1" s="1512"/>
      <c r="S1" s="1512"/>
      <c r="T1" s="1512"/>
      <c r="U1" s="1512"/>
      <c r="V1" s="1512"/>
      <c r="AD1" s="445" t="s">
        <v>628</v>
      </c>
      <c r="AE1" s="449" t="s">
        <v>656</v>
      </c>
      <c r="AF1" s="447" t="s">
        <v>740</v>
      </c>
      <c r="AY1">
        <f>'Commodities (Facility) Input'!AS22</f>
        <v>0</v>
      </c>
    </row>
    <row r="2" spans="2:51" ht="28.5" x14ac:dyDescent="0.45">
      <c r="B2" s="272" t="str">
        <f>IF('2. Pop_Prev Set Up'!$W$2="Yes", '2. Pop_Prev Set Up'!$W$1&amp;" : "&amp;'2. Pop_Prev Set Up'!$W$3, '2. Pop_Prev Set Up'!$W$1&amp;" : "&amp;"National")</f>
        <v>0 : National</v>
      </c>
      <c r="C2"/>
      <c r="Y2" s="470"/>
      <c r="Z2" s="470"/>
      <c r="AA2" s="470"/>
      <c r="AB2" s="470"/>
      <c r="AC2" s="470"/>
      <c r="AD2" s="445" t="s">
        <v>583</v>
      </c>
      <c r="AE2" s="449"/>
      <c r="AF2" s="447" t="s">
        <v>2424</v>
      </c>
      <c r="AG2" s="470"/>
      <c r="AH2" s="470"/>
      <c r="AI2" s="470"/>
      <c r="AJ2" s="470"/>
      <c r="AK2" s="470"/>
      <c r="AL2" s="470"/>
      <c r="AM2" s="470"/>
      <c r="AN2" s="470"/>
      <c r="AO2" s="470"/>
      <c r="AP2" s="470"/>
      <c r="AQ2" s="470"/>
      <c r="AR2" s="470"/>
      <c r="AS2" s="470"/>
    </row>
    <row r="3" spans="2:51" ht="34.9" customHeight="1" x14ac:dyDescent="0.3">
      <c r="B3" s="1562" t="str">
        <f>IF(Language="English", AD3, AF3)</f>
        <v>Sur la base de vos données, nous avons calculé les utilisatrices modernes par méthode, combinaison de méthodes modernes, et l'utilisation moderne estimée (EMU) qui en résulte, calculées en tant qu'utilisatrices / femmes en âge de procréer. Passez en revue les résultats dans les graphiques et les tableaux ci-dessous.</v>
      </c>
      <c r="C3" s="1562"/>
      <c r="D3" s="1562"/>
      <c r="E3" s="1562"/>
      <c r="F3" s="1562"/>
      <c r="G3" s="1562"/>
      <c r="H3" s="1562"/>
      <c r="I3" s="1562"/>
      <c r="J3" s="1562"/>
      <c r="K3" s="1562"/>
      <c r="L3" s="1562"/>
      <c r="M3" s="1562"/>
      <c r="N3" s="1562"/>
      <c r="O3" s="1562"/>
      <c r="P3" s="1562"/>
      <c r="Q3" s="1562"/>
      <c r="R3" s="1562"/>
      <c r="S3" s="1562"/>
      <c r="T3" s="1562"/>
      <c r="U3" s="1562"/>
      <c r="AD3" s="445" t="s">
        <v>1058</v>
      </c>
      <c r="AE3" s="449"/>
      <c r="AF3" s="447" t="s">
        <v>2434</v>
      </c>
    </row>
    <row r="4" spans="2:51" ht="15" customHeight="1" x14ac:dyDescent="0.3">
      <c r="B4" s="742" t="str">
        <f>IF(AND(COUNT($D$124:$S$124)&gt;COUNT(D125:S125), Language="English"), "One Year of Users/EMU Not Calculated : Check Reporting Rates on Input Tab", IF(AND(COUNT($D$124:$S$124)&gt;COUNT($D$125:$S$125), Language="Francais"), "Un an d'utilisatrices / EMU non calculé : Vérifier les taux de complétude sur l'onglet d'entrée", ""))</f>
        <v>Un an d'utilisatrices / EMU non calculé : Vérifier les taux de complétude sur l'onglet d'entrée</v>
      </c>
      <c r="AD4" s="445"/>
      <c r="AE4" s="449"/>
      <c r="AF4" s="447"/>
    </row>
    <row r="5" spans="2:51" ht="15.75" hidden="1" customHeight="1" outlineLevel="1" thickBot="1" x14ac:dyDescent="0.3">
      <c r="B5" t="s">
        <v>1070</v>
      </c>
      <c r="AD5" s="445"/>
      <c r="AE5" s="449"/>
      <c r="AF5" s="447"/>
    </row>
    <row r="6" spans="2:51" ht="18.75" hidden="1" customHeight="1" outlineLevel="1" x14ac:dyDescent="0.25">
      <c r="C6" s="725" t="str">
        <f>IF(Language="English", AD6, AF6)</f>
        <v>Utilisatrices par méthode 
(statistiques de service)</v>
      </c>
      <c r="D6" s="726">
        <f t="shared" ref="D6:S6" si="0">D124</f>
        <v>0</v>
      </c>
      <c r="E6" s="726" t="str">
        <f t="shared" si="0"/>
        <v/>
      </c>
      <c r="F6" s="726" t="str">
        <f t="shared" si="0"/>
        <v/>
      </c>
      <c r="G6" s="726" t="str">
        <f t="shared" si="0"/>
        <v/>
      </c>
      <c r="H6" s="726" t="str">
        <f t="shared" si="0"/>
        <v/>
      </c>
      <c r="I6" s="726" t="str">
        <f t="shared" si="0"/>
        <v/>
      </c>
      <c r="J6" s="726" t="str">
        <f t="shared" si="0"/>
        <v/>
      </c>
      <c r="K6" s="726" t="str">
        <f t="shared" si="0"/>
        <v/>
      </c>
      <c r="L6" s="726" t="str">
        <f t="shared" si="0"/>
        <v/>
      </c>
      <c r="M6" s="726" t="str">
        <f t="shared" si="0"/>
        <v/>
      </c>
      <c r="N6" s="726" t="str">
        <f t="shared" si="0"/>
        <v/>
      </c>
      <c r="O6" s="726" t="str">
        <f t="shared" si="0"/>
        <v/>
      </c>
      <c r="P6" s="726" t="str">
        <f t="shared" si="0"/>
        <v/>
      </c>
      <c r="Q6" s="726" t="str">
        <f t="shared" si="0"/>
        <v/>
      </c>
      <c r="R6" s="726" t="str">
        <f t="shared" si="0"/>
        <v/>
      </c>
      <c r="S6" s="727" t="str">
        <f t="shared" si="0"/>
        <v/>
      </c>
      <c r="AD6" s="654" t="s">
        <v>996</v>
      </c>
      <c r="AE6" s="449"/>
      <c r="AF6" s="655" t="s">
        <v>2415</v>
      </c>
    </row>
    <row r="7" spans="2:51" ht="15" hidden="1" customHeight="1" outlineLevel="1" x14ac:dyDescent="0.25">
      <c r="C7" s="728" t="str">
        <f>C45</f>
        <v>Stérilisation (f)</v>
      </c>
      <c r="D7" s="2" t="e">
        <f t="shared" ref="D7:S7" si="1">IF(D$124="", NA(),IF(D$152="", NA(), D126))</f>
        <v>#N/A</v>
      </c>
      <c r="E7" s="2" t="e">
        <f t="shared" si="1"/>
        <v>#N/A</v>
      </c>
      <c r="F7" s="2" t="e">
        <f t="shared" si="1"/>
        <v>#N/A</v>
      </c>
      <c r="G7" s="2" t="e">
        <f t="shared" si="1"/>
        <v>#N/A</v>
      </c>
      <c r="H7" s="2" t="e">
        <f t="shared" si="1"/>
        <v>#N/A</v>
      </c>
      <c r="I7" s="2" t="e">
        <f t="shared" si="1"/>
        <v>#N/A</v>
      </c>
      <c r="J7" s="2" t="e">
        <f t="shared" si="1"/>
        <v>#N/A</v>
      </c>
      <c r="K7" s="2" t="e">
        <f t="shared" si="1"/>
        <v>#N/A</v>
      </c>
      <c r="L7" s="2" t="e">
        <f t="shared" si="1"/>
        <v>#N/A</v>
      </c>
      <c r="M7" s="2" t="e">
        <f t="shared" si="1"/>
        <v>#N/A</v>
      </c>
      <c r="N7" s="2" t="e">
        <f t="shared" si="1"/>
        <v>#N/A</v>
      </c>
      <c r="O7" s="2" t="e">
        <f t="shared" si="1"/>
        <v>#N/A</v>
      </c>
      <c r="P7" s="2" t="e">
        <f t="shared" si="1"/>
        <v>#N/A</v>
      </c>
      <c r="Q7" s="2" t="e">
        <f t="shared" si="1"/>
        <v>#N/A</v>
      </c>
      <c r="R7" s="2" t="e">
        <f t="shared" si="1"/>
        <v>#N/A</v>
      </c>
      <c r="S7" s="729" t="e">
        <f t="shared" si="1"/>
        <v>#N/A</v>
      </c>
      <c r="AD7" s="445"/>
      <c r="AE7" s="449"/>
      <c r="AF7" s="447"/>
    </row>
    <row r="8" spans="2:51" ht="15" hidden="1" customHeight="1" outlineLevel="1" x14ac:dyDescent="0.25">
      <c r="C8" s="728" t="str">
        <f t="shared" ref="C8:C15" si="2">C46</f>
        <v>Stérilisation (m)</v>
      </c>
      <c r="D8" s="2" t="e">
        <f t="shared" ref="D8:S8" si="3">IF(D$124="", NA(),IF(D$152="", NA(), D127))</f>
        <v>#N/A</v>
      </c>
      <c r="E8" s="2" t="e">
        <f t="shared" si="3"/>
        <v>#N/A</v>
      </c>
      <c r="F8" s="2" t="e">
        <f t="shared" si="3"/>
        <v>#N/A</v>
      </c>
      <c r="G8" s="2" t="e">
        <f t="shared" si="3"/>
        <v>#N/A</v>
      </c>
      <c r="H8" s="2" t="e">
        <f t="shared" si="3"/>
        <v>#N/A</v>
      </c>
      <c r="I8" s="2" t="e">
        <f t="shared" si="3"/>
        <v>#N/A</v>
      </c>
      <c r="J8" s="2" t="e">
        <f t="shared" si="3"/>
        <v>#N/A</v>
      </c>
      <c r="K8" s="2" t="e">
        <f t="shared" si="3"/>
        <v>#N/A</v>
      </c>
      <c r="L8" s="2" t="e">
        <f t="shared" si="3"/>
        <v>#N/A</v>
      </c>
      <c r="M8" s="2" t="e">
        <f t="shared" si="3"/>
        <v>#N/A</v>
      </c>
      <c r="N8" s="2" t="e">
        <f t="shared" si="3"/>
        <v>#N/A</v>
      </c>
      <c r="O8" s="2" t="e">
        <f t="shared" si="3"/>
        <v>#N/A</v>
      </c>
      <c r="P8" s="2" t="e">
        <f t="shared" si="3"/>
        <v>#N/A</v>
      </c>
      <c r="Q8" s="2" t="e">
        <f t="shared" si="3"/>
        <v>#N/A</v>
      </c>
      <c r="R8" s="2" t="e">
        <f t="shared" si="3"/>
        <v>#N/A</v>
      </c>
      <c r="S8" s="729" t="e">
        <f t="shared" si="3"/>
        <v>#N/A</v>
      </c>
      <c r="AD8" s="445"/>
      <c r="AE8" s="449"/>
      <c r="AF8" s="447"/>
    </row>
    <row r="9" spans="2:51" ht="15" hidden="1" customHeight="1" outlineLevel="1" x14ac:dyDescent="0.25">
      <c r="C9" s="728" t="str">
        <f t="shared" si="2"/>
        <v>DIU</v>
      </c>
      <c r="D9" s="2" t="e">
        <f t="shared" ref="D9:S9" si="4">IF(D$124="", NA(), IF(D$152="", NA(), SUM(D128:D129)))</f>
        <v>#N/A</v>
      </c>
      <c r="E9" s="2" t="e">
        <f t="shared" si="4"/>
        <v>#N/A</v>
      </c>
      <c r="F9" s="2" t="e">
        <f t="shared" si="4"/>
        <v>#N/A</v>
      </c>
      <c r="G9" s="2" t="e">
        <f t="shared" si="4"/>
        <v>#N/A</v>
      </c>
      <c r="H9" s="2" t="e">
        <f t="shared" si="4"/>
        <v>#N/A</v>
      </c>
      <c r="I9" s="2" t="e">
        <f t="shared" si="4"/>
        <v>#N/A</v>
      </c>
      <c r="J9" s="2" t="e">
        <f t="shared" si="4"/>
        <v>#N/A</v>
      </c>
      <c r="K9" s="2" t="e">
        <f t="shared" si="4"/>
        <v>#N/A</v>
      </c>
      <c r="L9" s="2" t="e">
        <f t="shared" si="4"/>
        <v>#N/A</v>
      </c>
      <c r="M9" s="2" t="e">
        <f t="shared" si="4"/>
        <v>#N/A</v>
      </c>
      <c r="N9" s="2" t="e">
        <f t="shared" si="4"/>
        <v>#N/A</v>
      </c>
      <c r="O9" s="2" t="e">
        <f t="shared" si="4"/>
        <v>#N/A</v>
      </c>
      <c r="P9" s="2" t="e">
        <f t="shared" si="4"/>
        <v>#N/A</v>
      </c>
      <c r="Q9" s="2" t="e">
        <f t="shared" si="4"/>
        <v>#N/A</v>
      </c>
      <c r="R9" s="2" t="e">
        <f t="shared" si="4"/>
        <v>#N/A</v>
      </c>
      <c r="S9" s="729" t="e">
        <f t="shared" si="4"/>
        <v>#N/A</v>
      </c>
      <c r="AD9" s="445"/>
      <c r="AE9" s="449"/>
      <c r="AF9" s="447"/>
    </row>
    <row r="10" spans="2:51" ht="15" hidden="1" customHeight="1" outlineLevel="1" x14ac:dyDescent="0.25">
      <c r="C10" s="728" t="str">
        <f t="shared" si="2"/>
        <v>Implant</v>
      </c>
      <c r="D10" s="2" t="e">
        <f t="shared" ref="D10:S10" si="5">IF(D$124="", NA(), IF(D$152="", NA(), SUM(D130:D132)))</f>
        <v>#N/A</v>
      </c>
      <c r="E10" s="2" t="e">
        <f t="shared" si="5"/>
        <v>#N/A</v>
      </c>
      <c r="F10" s="2" t="e">
        <f t="shared" si="5"/>
        <v>#N/A</v>
      </c>
      <c r="G10" s="2" t="e">
        <f t="shared" si="5"/>
        <v>#N/A</v>
      </c>
      <c r="H10" s="2" t="e">
        <f t="shared" si="5"/>
        <v>#N/A</v>
      </c>
      <c r="I10" s="2" t="e">
        <f t="shared" si="5"/>
        <v>#N/A</v>
      </c>
      <c r="J10" s="2" t="e">
        <f t="shared" si="5"/>
        <v>#N/A</v>
      </c>
      <c r="K10" s="2" t="e">
        <f t="shared" si="5"/>
        <v>#N/A</v>
      </c>
      <c r="L10" s="2" t="e">
        <f t="shared" si="5"/>
        <v>#N/A</v>
      </c>
      <c r="M10" s="2" t="e">
        <f t="shared" si="5"/>
        <v>#N/A</v>
      </c>
      <c r="N10" s="2" t="e">
        <f t="shared" si="5"/>
        <v>#N/A</v>
      </c>
      <c r="O10" s="2" t="e">
        <f t="shared" si="5"/>
        <v>#N/A</v>
      </c>
      <c r="P10" s="2" t="e">
        <f t="shared" si="5"/>
        <v>#N/A</v>
      </c>
      <c r="Q10" s="2" t="e">
        <f t="shared" si="5"/>
        <v>#N/A</v>
      </c>
      <c r="R10" s="2" t="e">
        <f t="shared" si="5"/>
        <v>#N/A</v>
      </c>
      <c r="S10" s="729" t="e">
        <f t="shared" si="5"/>
        <v>#N/A</v>
      </c>
      <c r="AD10" s="445"/>
      <c r="AE10" s="449"/>
      <c r="AF10" s="447"/>
    </row>
    <row r="11" spans="2:51" ht="15" hidden="1" customHeight="1" outlineLevel="1" x14ac:dyDescent="0.25">
      <c r="C11" s="728" t="str">
        <f t="shared" si="2"/>
        <v>Produits injectables</v>
      </c>
      <c r="D11" s="2" t="e">
        <f t="shared" ref="D11:S11" si="6">IF(D124="",NA(),IF(D152="",NA(),SUM(D135:D139)))</f>
        <v>#N/A</v>
      </c>
      <c r="E11" s="2" t="e">
        <f t="shared" si="6"/>
        <v>#N/A</v>
      </c>
      <c r="F11" s="2" t="e">
        <f t="shared" si="6"/>
        <v>#N/A</v>
      </c>
      <c r="G11" s="2" t="e">
        <f t="shared" si="6"/>
        <v>#N/A</v>
      </c>
      <c r="H11" s="2" t="e">
        <f t="shared" si="6"/>
        <v>#N/A</v>
      </c>
      <c r="I11" s="2" t="e">
        <f t="shared" si="6"/>
        <v>#N/A</v>
      </c>
      <c r="J11" s="2" t="e">
        <f t="shared" si="6"/>
        <v>#N/A</v>
      </c>
      <c r="K11" s="2" t="e">
        <f t="shared" si="6"/>
        <v>#N/A</v>
      </c>
      <c r="L11" s="2" t="e">
        <f t="shared" si="6"/>
        <v>#N/A</v>
      </c>
      <c r="M11" s="2" t="e">
        <f t="shared" si="6"/>
        <v>#N/A</v>
      </c>
      <c r="N11" s="2" t="e">
        <f t="shared" si="6"/>
        <v>#N/A</v>
      </c>
      <c r="O11" s="2" t="e">
        <f t="shared" si="6"/>
        <v>#N/A</v>
      </c>
      <c r="P11" s="2" t="e">
        <f t="shared" si="6"/>
        <v>#N/A</v>
      </c>
      <c r="Q11" s="2" t="e">
        <f t="shared" si="6"/>
        <v>#N/A</v>
      </c>
      <c r="R11" s="2" t="e">
        <f t="shared" si="6"/>
        <v>#N/A</v>
      </c>
      <c r="S11" s="729" t="e">
        <f t="shared" si="6"/>
        <v>#N/A</v>
      </c>
      <c r="AD11" s="445"/>
      <c r="AE11" s="449"/>
      <c r="AF11" s="447"/>
    </row>
    <row r="12" spans="2:51" ht="15" hidden="1" customHeight="1" outlineLevel="1" x14ac:dyDescent="0.25">
      <c r="C12" s="728" t="str">
        <f t="shared" si="2"/>
        <v>Pilule</v>
      </c>
      <c r="D12" s="2" t="e">
        <f t="shared" ref="D12:S12" si="7">IF(D124="", NA(), IF(D152="", NA(), SUM(D140:D142)))</f>
        <v>#N/A</v>
      </c>
      <c r="E12" s="2" t="e">
        <f t="shared" si="7"/>
        <v>#N/A</v>
      </c>
      <c r="F12" s="2" t="e">
        <f t="shared" si="7"/>
        <v>#N/A</v>
      </c>
      <c r="G12" s="2" t="e">
        <f t="shared" si="7"/>
        <v>#N/A</v>
      </c>
      <c r="H12" s="2" t="e">
        <f t="shared" si="7"/>
        <v>#N/A</v>
      </c>
      <c r="I12" s="2" t="e">
        <f t="shared" si="7"/>
        <v>#N/A</v>
      </c>
      <c r="J12" s="2" t="e">
        <f t="shared" si="7"/>
        <v>#N/A</v>
      </c>
      <c r="K12" s="2" t="e">
        <f t="shared" si="7"/>
        <v>#N/A</v>
      </c>
      <c r="L12" s="2" t="e">
        <f t="shared" si="7"/>
        <v>#N/A</v>
      </c>
      <c r="M12" s="2" t="e">
        <f t="shared" si="7"/>
        <v>#N/A</v>
      </c>
      <c r="N12" s="2" t="e">
        <f t="shared" si="7"/>
        <v>#N/A</v>
      </c>
      <c r="O12" s="2" t="e">
        <f t="shared" si="7"/>
        <v>#N/A</v>
      </c>
      <c r="P12" s="2" t="e">
        <f t="shared" si="7"/>
        <v>#N/A</v>
      </c>
      <c r="Q12" s="2" t="e">
        <f t="shared" si="7"/>
        <v>#N/A</v>
      </c>
      <c r="R12" s="2" t="e">
        <f t="shared" si="7"/>
        <v>#N/A</v>
      </c>
      <c r="S12" s="729" t="e">
        <f t="shared" si="7"/>
        <v>#N/A</v>
      </c>
      <c r="AD12" s="445"/>
      <c r="AE12" s="449"/>
      <c r="AF12" s="447"/>
    </row>
    <row r="13" spans="2:51" ht="15" hidden="1" customHeight="1" outlineLevel="1" x14ac:dyDescent="0.25">
      <c r="C13" s="728" t="str">
        <f t="shared" si="2"/>
        <v>Préservatifs (m+f)</v>
      </c>
      <c r="D13" s="2" t="e">
        <f t="shared" ref="D13:S13" si="8">IF(D124="", NA(), IF(D152="", NA(), SUM(D143:D144)))</f>
        <v>#N/A</v>
      </c>
      <c r="E13" s="2" t="e">
        <f t="shared" si="8"/>
        <v>#N/A</v>
      </c>
      <c r="F13" s="2" t="e">
        <f t="shared" si="8"/>
        <v>#N/A</v>
      </c>
      <c r="G13" s="2" t="e">
        <f t="shared" si="8"/>
        <v>#N/A</v>
      </c>
      <c r="H13" s="2" t="e">
        <f t="shared" si="8"/>
        <v>#N/A</v>
      </c>
      <c r="I13" s="2" t="e">
        <f t="shared" si="8"/>
        <v>#N/A</v>
      </c>
      <c r="J13" s="2" t="e">
        <f t="shared" si="8"/>
        <v>#N/A</v>
      </c>
      <c r="K13" s="2" t="e">
        <f t="shared" si="8"/>
        <v>#N/A</v>
      </c>
      <c r="L13" s="2" t="e">
        <f t="shared" si="8"/>
        <v>#N/A</v>
      </c>
      <c r="M13" s="2" t="e">
        <f t="shared" si="8"/>
        <v>#N/A</v>
      </c>
      <c r="N13" s="2" t="e">
        <f t="shared" si="8"/>
        <v>#N/A</v>
      </c>
      <c r="O13" s="2" t="e">
        <f t="shared" si="8"/>
        <v>#N/A</v>
      </c>
      <c r="P13" s="2" t="e">
        <f t="shared" si="8"/>
        <v>#N/A</v>
      </c>
      <c r="Q13" s="2" t="e">
        <f t="shared" si="8"/>
        <v>#N/A</v>
      </c>
      <c r="R13" s="2" t="e">
        <f t="shared" si="8"/>
        <v>#N/A</v>
      </c>
      <c r="S13" s="729" t="e">
        <f t="shared" si="8"/>
        <v>#N/A</v>
      </c>
      <c r="AD13" s="445"/>
      <c r="AE13" s="449"/>
      <c r="AF13" s="447"/>
    </row>
    <row r="14" spans="2:51" ht="15" hidden="1" customHeight="1" outlineLevel="1" x14ac:dyDescent="0.25">
      <c r="C14" s="728" t="str">
        <f t="shared" si="2"/>
        <v>MAMA</v>
      </c>
      <c r="D14" s="2" t="e">
        <f t="shared" ref="D14:S14" si="9">IF(D124="", NA(), IF(D152="", NA(), D145))</f>
        <v>#N/A</v>
      </c>
      <c r="E14" s="2" t="e">
        <f t="shared" si="9"/>
        <v>#N/A</v>
      </c>
      <c r="F14" s="2" t="e">
        <f t="shared" si="9"/>
        <v>#N/A</v>
      </c>
      <c r="G14" s="2" t="e">
        <f t="shared" si="9"/>
        <v>#N/A</v>
      </c>
      <c r="H14" s="2" t="e">
        <f t="shared" si="9"/>
        <v>#N/A</v>
      </c>
      <c r="I14" s="2" t="e">
        <f t="shared" si="9"/>
        <v>#N/A</v>
      </c>
      <c r="J14" s="2" t="e">
        <f t="shared" si="9"/>
        <v>#N/A</v>
      </c>
      <c r="K14" s="2" t="e">
        <f t="shared" si="9"/>
        <v>#N/A</v>
      </c>
      <c r="L14" s="2" t="e">
        <f t="shared" si="9"/>
        <v>#N/A</v>
      </c>
      <c r="M14" s="2" t="e">
        <f t="shared" si="9"/>
        <v>#N/A</v>
      </c>
      <c r="N14" s="2" t="e">
        <f t="shared" si="9"/>
        <v>#N/A</v>
      </c>
      <c r="O14" s="2" t="e">
        <f t="shared" si="9"/>
        <v>#N/A</v>
      </c>
      <c r="P14" s="2" t="e">
        <f t="shared" si="9"/>
        <v>#N/A</v>
      </c>
      <c r="Q14" s="2" t="e">
        <f t="shared" si="9"/>
        <v>#N/A</v>
      </c>
      <c r="R14" s="2" t="e">
        <f t="shared" si="9"/>
        <v>#N/A</v>
      </c>
      <c r="S14" s="729" t="e">
        <f t="shared" si="9"/>
        <v>#N/A</v>
      </c>
      <c r="AD14" s="445"/>
      <c r="AE14" s="449"/>
      <c r="AF14" s="447"/>
    </row>
    <row r="15" spans="2:51" ht="15" hidden="1" customHeight="1" outlineLevel="1" x14ac:dyDescent="0.25">
      <c r="C15" s="728" t="str">
        <f t="shared" si="2"/>
        <v>Autres méthodes modernes</v>
      </c>
      <c r="D15" s="138" t="e">
        <f t="shared" ref="D15:S15" si="10">IF(D152="", NA(), SUM(D146:D149))</f>
        <v>#N/A</v>
      </c>
      <c r="E15" s="138" t="e">
        <f t="shared" si="10"/>
        <v>#N/A</v>
      </c>
      <c r="F15" s="138" t="e">
        <f t="shared" si="10"/>
        <v>#N/A</v>
      </c>
      <c r="G15" s="138" t="e">
        <f t="shared" si="10"/>
        <v>#N/A</v>
      </c>
      <c r="H15" s="138" t="e">
        <f t="shared" si="10"/>
        <v>#N/A</v>
      </c>
      <c r="I15" s="138" t="e">
        <f t="shared" si="10"/>
        <v>#N/A</v>
      </c>
      <c r="J15" s="138" t="e">
        <f t="shared" si="10"/>
        <v>#N/A</v>
      </c>
      <c r="K15" s="138" t="e">
        <f t="shared" si="10"/>
        <v>#N/A</v>
      </c>
      <c r="L15" s="138" t="e">
        <f t="shared" si="10"/>
        <v>#N/A</v>
      </c>
      <c r="M15" s="138" t="e">
        <f t="shared" si="10"/>
        <v>#N/A</v>
      </c>
      <c r="N15" s="138" t="e">
        <f t="shared" si="10"/>
        <v>#N/A</v>
      </c>
      <c r="O15" s="138" t="e">
        <f t="shared" si="10"/>
        <v>#N/A</v>
      </c>
      <c r="P15" s="138" t="e">
        <f t="shared" si="10"/>
        <v>#N/A</v>
      </c>
      <c r="Q15" s="138" t="e">
        <f t="shared" si="10"/>
        <v>#N/A</v>
      </c>
      <c r="R15" s="138" t="e">
        <f t="shared" si="10"/>
        <v>#N/A</v>
      </c>
      <c r="S15" s="730" t="e">
        <f t="shared" si="10"/>
        <v>#N/A</v>
      </c>
      <c r="AD15" s="445"/>
      <c r="AE15" s="449"/>
      <c r="AF15" s="447"/>
    </row>
    <row r="16" spans="2:51" ht="15.75" hidden="1" customHeight="1" outlineLevel="1" thickBot="1" x14ac:dyDescent="0.3">
      <c r="C16" s="731" t="s">
        <v>313</v>
      </c>
      <c r="D16" s="732" t="e">
        <f>SUM(D7:D15)</f>
        <v>#N/A</v>
      </c>
      <c r="E16" s="732" t="e">
        <f t="shared" ref="E16:S16" si="11">SUM(E7:E15)</f>
        <v>#N/A</v>
      </c>
      <c r="F16" s="732" t="e">
        <f t="shared" si="11"/>
        <v>#N/A</v>
      </c>
      <c r="G16" s="732" t="e">
        <f t="shared" si="11"/>
        <v>#N/A</v>
      </c>
      <c r="H16" s="732" t="e">
        <f t="shared" si="11"/>
        <v>#N/A</v>
      </c>
      <c r="I16" s="732" t="e">
        <f t="shared" si="11"/>
        <v>#N/A</v>
      </c>
      <c r="J16" s="732" t="e">
        <f t="shared" si="11"/>
        <v>#N/A</v>
      </c>
      <c r="K16" s="732" t="e">
        <f t="shared" si="11"/>
        <v>#N/A</v>
      </c>
      <c r="L16" s="732" t="e">
        <f t="shared" si="11"/>
        <v>#N/A</v>
      </c>
      <c r="M16" s="732" t="e">
        <f t="shared" si="11"/>
        <v>#N/A</v>
      </c>
      <c r="N16" s="732" t="e">
        <f t="shared" si="11"/>
        <v>#N/A</v>
      </c>
      <c r="O16" s="732" t="e">
        <f t="shared" si="11"/>
        <v>#N/A</v>
      </c>
      <c r="P16" s="732" t="e">
        <f t="shared" si="11"/>
        <v>#N/A</v>
      </c>
      <c r="Q16" s="732" t="e">
        <f t="shared" si="11"/>
        <v>#N/A</v>
      </c>
      <c r="R16" s="732" t="e">
        <f t="shared" si="11"/>
        <v>#N/A</v>
      </c>
      <c r="S16" s="733" t="e">
        <f t="shared" si="11"/>
        <v>#N/A</v>
      </c>
      <c r="AD16" s="445"/>
      <c r="AE16" s="449"/>
      <c r="AF16" s="447"/>
    </row>
    <row r="17" spans="3:35" ht="15.75" hidden="1" customHeight="1" outlineLevel="1" thickBot="1" x14ac:dyDescent="0.3">
      <c r="D17" s="2"/>
      <c r="E17" s="2"/>
      <c r="F17" s="2"/>
      <c r="G17" s="2"/>
      <c r="H17" s="2"/>
      <c r="I17" s="2"/>
      <c r="J17" s="2"/>
      <c r="K17" s="2"/>
      <c r="L17" s="2"/>
      <c r="M17" s="2"/>
      <c r="N17" s="2"/>
      <c r="O17" s="2"/>
      <c r="P17" s="2"/>
      <c r="Q17" s="2"/>
      <c r="R17" s="2"/>
      <c r="S17" s="2"/>
      <c r="U17" s="2"/>
      <c r="V17" s="2"/>
      <c r="X17" s="2"/>
      <c r="Y17" s="2"/>
      <c r="Z17" s="2"/>
      <c r="AA17" s="2"/>
      <c r="AB17" s="2"/>
      <c r="AC17" s="2"/>
      <c r="AD17" s="445"/>
      <c r="AE17" s="449"/>
      <c r="AF17" s="447"/>
      <c r="AG17" s="445"/>
    </row>
    <row r="18" spans="3:35" ht="18.75" hidden="1" customHeight="1" outlineLevel="1" x14ac:dyDescent="0.25">
      <c r="C18" s="725" t="str">
        <f>IF(Language="English", AD18, AF18)</f>
        <v>Utilisatrices par méthode 
(enquête)</v>
      </c>
      <c r="D18" s="726">
        <f t="shared" ref="D18:S18" si="12">D6</f>
        <v>0</v>
      </c>
      <c r="E18" s="726" t="str">
        <f t="shared" si="12"/>
        <v/>
      </c>
      <c r="F18" s="726" t="str">
        <f t="shared" si="12"/>
        <v/>
      </c>
      <c r="G18" s="726" t="str">
        <f t="shared" si="12"/>
        <v/>
      </c>
      <c r="H18" s="726" t="str">
        <f t="shared" si="12"/>
        <v/>
      </c>
      <c r="I18" s="726" t="str">
        <f t="shared" si="12"/>
        <v/>
      </c>
      <c r="J18" s="726" t="str">
        <f t="shared" si="12"/>
        <v/>
      </c>
      <c r="K18" s="726" t="str">
        <f t="shared" si="12"/>
        <v/>
      </c>
      <c r="L18" s="726" t="str">
        <f t="shared" si="12"/>
        <v/>
      </c>
      <c r="M18" s="726" t="str">
        <f t="shared" si="12"/>
        <v/>
      </c>
      <c r="N18" s="726" t="str">
        <f t="shared" si="12"/>
        <v/>
      </c>
      <c r="O18" s="726" t="str">
        <f t="shared" si="12"/>
        <v/>
      </c>
      <c r="P18" s="726" t="str">
        <f t="shared" si="12"/>
        <v/>
      </c>
      <c r="Q18" s="726" t="str">
        <f t="shared" si="12"/>
        <v/>
      </c>
      <c r="R18" s="726" t="str">
        <f t="shared" si="12"/>
        <v/>
      </c>
      <c r="S18" s="727" t="str">
        <f t="shared" si="12"/>
        <v/>
      </c>
      <c r="U18" s="2"/>
      <c r="V18" s="2"/>
      <c r="X18" s="2"/>
      <c r="Y18" s="2"/>
      <c r="Z18" s="2"/>
      <c r="AA18" s="2"/>
      <c r="AB18" s="2"/>
      <c r="AC18" s="2"/>
      <c r="AD18" s="445" t="s">
        <v>997</v>
      </c>
      <c r="AE18" s="449"/>
      <c r="AF18" s="655" t="s">
        <v>2416</v>
      </c>
    </row>
    <row r="19" spans="3:35" ht="15" hidden="1" customHeight="1" outlineLevel="1" x14ac:dyDescent="0.25">
      <c r="C19" s="728" t="str">
        <f>C7</f>
        <v>Stérilisation (f)</v>
      </c>
      <c r="D19" s="2" t="e">
        <f>VLOOKUP($C19, '5. MethodMix Set Up'!$S$34:$AI$43, MATCH(D$18, '5. MethodMix Set Up'!$S$34:$AI$34, 0), FALSE)</f>
        <v>#N/A</v>
      </c>
      <c r="E19" s="2" t="e">
        <f>VLOOKUP($C19, '5. MethodMix Set Up'!$S$34:$AI$43, MATCH(E$18, '5. MethodMix Set Up'!$S$34:$AI$34, 0), FALSE)</f>
        <v>#VALUE!</v>
      </c>
      <c r="F19" s="2" t="e">
        <f>VLOOKUP($C19, '5. MethodMix Set Up'!$S$34:$AI$43, MATCH(F$18, '5. MethodMix Set Up'!$S$34:$AI$34, 0), FALSE)</f>
        <v>#VALUE!</v>
      </c>
      <c r="G19" s="2" t="e">
        <f>VLOOKUP($C19, '5. MethodMix Set Up'!$S$34:$AI$43, MATCH(G$18, '5. MethodMix Set Up'!$S$34:$AI$34, 0), FALSE)</f>
        <v>#VALUE!</v>
      </c>
      <c r="H19" s="2" t="e">
        <f>VLOOKUP($C19, '5. MethodMix Set Up'!$S$34:$AI$43, MATCH(H$18, '5. MethodMix Set Up'!$S$34:$AI$34, 0), FALSE)</f>
        <v>#VALUE!</v>
      </c>
      <c r="I19" s="2" t="e">
        <f>VLOOKUP($C19, '5. MethodMix Set Up'!$S$34:$AI$43, MATCH(I$18, '5. MethodMix Set Up'!$S$34:$AI$34, 0), FALSE)</f>
        <v>#VALUE!</v>
      </c>
      <c r="J19" s="2" t="e">
        <f>VLOOKUP($C19, '5. MethodMix Set Up'!$S$34:$AI$43, MATCH(J$18, '5. MethodMix Set Up'!$S$34:$AI$34, 0), FALSE)</f>
        <v>#VALUE!</v>
      </c>
      <c r="K19" s="2" t="e">
        <f>VLOOKUP($C19, '5. MethodMix Set Up'!$S$34:$AI$43, MATCH(K$18, '5. MethodMix Set Up'!$S$34:$AI$34, 0), FALSE)</f>
        <v>#VALUE!</v>
      </c>
      <c r="L19" s="2" t="e">
        <f>VLOOKUP($C19, '5. MethodMix Set Up'!$S$34:$AI$43, MATCH(L$18, '5. MethodMix Set Up'!$S$34:$AI$34, 0), FALSE)</f>
        <v>#VALUE!</v>
      </c>
      <c r="M19" s="2" t="e">
        <f>VLOOKUP($C19, '5. MethodMix Set Up'!$S$34:$AI$43, MATCH(M$18, '5. MethodMix Set Up'!$S$34:$AI$34, 0), FALSE)</f>
        <v>#VALUE!</v>
      </c>
      <c r="N19" s="2" t="e">
        <f>VLOOKUP($C19, '5. MethodMix Set Up'!$S$34:$AI$43, MATCH(N$18, '5. MethodMix Set Up'!$S$34:$AI$34, 0), FALSE)</f>
        <v>#VALUE!</v>
      </c>
      <c r="O19" s="2" t="e">
        <f>VLOOKUP($C19, '5. MethodMix Set Up'!$S$34:$AI$43, MATCH(O$18, '5. MethodMix Set Up'!$S$34:$AI$34, 0), FALSE)</f>
        <v>#VALUE!</v>
      </c>
      <c r="P19" s="2" t="e">
        <f>VLOOKUP($C19, '5. MethodMix Set Up'!$S$34:$AI$43, MATCH(P$18, '5. MethodMix Set Up'!$S$34:$AI$34, 0), FALSE)</f>
        <v>#VALUE!</v>
      </c>
      <c r="Q19" s="2" t="e">
        <f>VLOOKUP($C19, '5. MethodMix Set Up'!$S$34:$AI$43, MATCH(Q$18, '5. MethodMix Set Up'!$S$34:$AI$34, 0), FALSE)</f>
        <v>#VALUE!</v>
      </c>
      <c r="R19" s="2" t="e">
        <f>VLOOKUP($C19, '5. MethodMix Set Up'!$S$34:$AI$43, MATCH(R$18, '5. MethodMix Set Up'!$S$34:$AI$34, 0), FALSE)</f>
        <v>#VALUE!</v>
      </c>
      <c r="S19" s="2" t="e">
        <f>VLOOKUP($C19, '5. MethodMix Set Up'!$S$34:$AI$43, MATCH(S$18, '5. MethodMix Set Up'!$S$34:$AI$34, 0), FALSE)</f>
        <v>#VALUE!</v>
      </c>
      <c r="U19" s="2"/>
      <c r="V19" s="2"/>
      <c r="X19" s="2"/>
      <c r="Y19" s="2"/>
      <c r="Z19" s="2"/>
      <c r="AA19" s="2"/>
      <c r="AB19" s="2"/>
      <c r="AC19" s="2"/>
      <c r="AD19" s="445"/>
      <c r="AE19" s="449"/>
      <c r="AF19" s="447"/>
      <c r="AG19" s="445"/>
    </row>
    <row r="20" spans="3:35" ht="15" hidden="1" customHeight="1" outlineLevel="1" x14ac:dyDescent="0.25">
      <c r="C20" s="728" t="str">
        <f t="shared" ref="C20:C26" si="13">C8</f>
        <v>Stérilisation (m)</v>
      </c>
      <c r="D20" s="2" t="e">
        <f>VLOOKUP($C20, '5. MethodMix Set Up'!$S$34:$AI$43, MATCH(D$18, '5. MethodMix Set Up'!$S$34:$AI$34, 0), FALSE)</f>
        <v>#N/A</v>
      </c>
      <c r="E20" s="2" t="e">
        <f>VLOOKUP($C20, '5. MethodMix Set Up'!$S$34:$AI$43, MATCH(E$18, '5. MethodMix Set Up'!$S$34:$AI$34, 0), FALSE)</f>
        <v>#VALUE!</v>
      </c>
      <c r="F20" s="2" t="e">
        <f>VLOOKUP($C20, '5. MethodMix Set Up'!$S$34:$AI$43, MATCH(F$18, '5. MethodMix Set Up'!$S$34:$AI$34, 0), FALSE)</f>
        <v>#VALUE!</v>
      </c>
      <c r="G20" s="2" t="e">
        <f>VLOOKUP($C20, '5. MethodMix Set Up'!$S$34:$AI$43, MATCH(G$18, '5. MethodMix Set Up'!$S$34:$AI$34, 0), FALSE)</f>
        <v>#VALUE!</v>
      </c>
      <c r="H20" s="2" t="e">
        <f>VLOOKUP($C20, '5. MethodMix Set Up'!$S$34:$AI$43, MATCH(H$18, '5. MethodMix Set Up'!$S$34:$AI$34, 0), FALSE)</f>
        <v>#VALUE!</v>
      </c>
      <c r="I20" s="2" t="e">
        <f>VLOOKUP($C20, '5. MethodMix Set Up'!$S$34:$AI$43, MATCH(I$18, '5. MethodMix Set Up'!$S$34:$AI$34, 0), FALSE)</f>
        <v>#VALUE!</v>
      </c>
      <c r="J20" s="2" t="e">
        <f>VLOOKUP($C20, '5. MethodMix Set Up'!$S$34:$AI$43, MATCH(J$18, '5. MethodMix Set Up'!$S$34:$AI$34, 0), FALSE)</f>
        <v>#VALUE!</v>
      </c>
      <c r="K20" s="2" t="e">
        <f>VLOOKUP($C20, '5. MethodMix Set Up'!$S$34:$AI$43, MATCH(K$18, '5. MethodMix Set Up'!$S$34:$AI$34, 0), FALSE)</f>
        <v>#VALUE!</v>
      </c>
      <c r="L20" s="2" t="e">
        <f>VLOOKUP($C20, '5. MethodMix Set Up'!$S$34:$AI$43, MATCH(L$18, '5. MethodMix Set Up'!$S$34:$AI$34, 0), FALSE)</f>
        <v>#VALUE!</v>
      </c>
      <c r="M20" s="2" t="e">
        <f>VLOOKUP($C20, '5. MethodMix Set Up'!$S$34:$AI$43, MATCH(M$18, '5. MethodMix Set Up'!$S$34:$AI$34, 0), FALSE)</f>
        <v>#VALUE!</v>
      </c>
      <c r="N20" s="2" t="e">
        <f>VLOOKUP($C20, '5. MethodMix Set Up'!$S$34:$AI$43, MATCH(N$18, '5. MethodMix Set Up'!$S$34:$AI$34, 0), FALSE)</f>
        <v>#VALUE!</v>
      </c>
      <c r="O20" s="2" t="e">
        <f>VLOOKUP($C20, '5. MethodMix Set Up'!$S$34:$AI$43, MATCH(O$18, '5. MethodMix Set Up'!$S$34:$AI$34, 0), FALSE)</f>
        <v>#VALUE!</v>
      </c>
      <c r="P20" s="2" t="e">
        <f>VLOOKUP($C20, '5. MethodMix Set Up'!$S$34:$AI$43, MATCH(P$18, '5. MethodMix Set Up'!$S$34:$AI$34, 0), FALSE)</f>
        <v>#VALUE!</v>
      </c>
      <c r="Q20" s="2" t="e">
        <f>VLOOKUP($C20, '5. MethodMix Set Up'!$S$34:$AI$43, MATCH(Q$18, '5. MethodMix Set Up'!$S$34:$AI$34, 0), FALSE)</f>
        <v>#VALUE!</v>
      </c>
      <c r="R20" s="2" t="e">
        <f>VLOOKUP($C20, '5. MethodMix Set Up'!$S$34:$AI$43, MATCH(R$18, '5. MethodMix Set Up'!$S$34:$AI$34, 0), FALSE)</f>
        <v>#VALUE!</v>
      </c>
      <c r="S20" s="2" t="e">
        <f>VLOOKUP($C20, '5. MethodMix Set Up'!$S$34:$AI$43, MATCH(S$18, '5. MethodMix Set Up'!$S$34:$AI$34, 0), FALSE)</f>
        <v>#VALUE!</v>
      </c>
      <c r="U20" s="2"/>
      <c r="V20" s="2"/>
      <c r="X20" s="2"/>
      <c r="Y20" s="2"/>
      <c r="Z20" s="2"/>
      <c r="AA20" s="2"/>
      <c r="AB20" s="2"/>
      <c r="AC20" s="2"/>
      <c r="AD20" s="445"/>
      <c r="AE20" s="449"/>
      <c r="AF20" s="447"/>
      <c r="AG20" s="445"/>
    </row>
    <row r="21" spans="3:35" ht="15" hidden="1" customHeight="1" outlineLevel="1" x14ac:dyDescent="0.25">
      <c r="C21" s="728" t="str">
        <f t="shared" si="13"/>
        <v>DIU</v>
      </c>
      <c r="D21" s="2" t="e">
        <f>VLOOKUP($C21, '5. MethodMix Set Up'!$S$34:$AI$43, MATCH(D$18, '5. MethodMix Set Up'!$S$34:$AI$34, 0), FALSE)</f>
        <v>#N/A</v>
      </c>
      <c r="E21" s="2" t="e">
        <f>VLOOKUP($C21, '5. MethodMix Set Up'!$S$34:$AI$43, MATCH(E$18, '5. MethodMix Set Up'!$S$34:$AI$34, 0), FALSE)</f>
        <v>#VALUE!</v>
      </c>
      <c r="F21" s="2" t="e">
        <f>VLOOKUP($C21, '5. MethodMix Set Up'!$S$34:$AI$43, MATCH(F$18, '5. MethodMix Set Up'!$S$34:$AI$34, 0), FALSE)</f>
        <v>#VALUE!</v>
      </c>
      <c r="G21" s="2" t="e">
        <f>VLOOKUP($C21, '5. MethodMix Set Up'!$S$34:$AI$43, MATCH(G$18, '5. MethodMix Set Up'!$S$34:$AI$34, 0), FALSE)</f>
        <v>#VALUE!</v>
      </c>
      <c r="H21" s="2" t="e">
        <f>VLOOKUP($C21, '5. MethodMix Set Up'!$S$34:$AI$43, MATCH(H$18, '5. MethodMix Set Up'!$S$34:$AI$34, 0), FALSE)</f>
        <v>#VALUE!</v>
      </c>
      <c r="I21" s="2" t="e">
        <f>VLOOKUP($C21, '5. MethodMix Set Up'!$S$34:$AI$43, MATCH(I$18, '5. MethodMix Set Up'!$S$34:$AI$34, 0), FALSE)</f>
        <v>#VALUE!</v>
      </c>
      <c r="J21" s="2" t="e">
        <f>VLOOKUP($C21, '5. MethodMix Set Up'!$S$34:$AI$43, MATCH(J$18, '5. MethodMix Set Up'!$S$34:$AI$34, 0), FALSE)</f>
        <v>#VALUE!</v>
      </c>
      <c r="K21" s="2" t="e">
        <f>VLOOKUP($C21, '5. MethodMix Set Up'!$S$34:$AI$43, MATCH(K$18, '5. MethodMix Set Up'!$S$34:$AI$34, 0), FALSE)</f>
        <v>#VALUE!</v>
      </c>
      <c r="L21" s="2" t="e">
        <f>VLOOKUP($C21, '5. MethodMix Set Up'!$S$34:$AI$43, MATCH(L$18, '5. MethodMix Set Up'!$S$34:$AI$34, 0), FALSE)</f>
        <v>#VALUE!</v>
      </c>
      <c r="M21" s="2" t="e">
        <f>VLOOKUP($C21, '5. MethodMix Set Up'!$S$34:$AI$43, MATCH(M$18, '5. MethodMix Set Up'!$S$34:$AI$34, 0), FALSE)</f>
        <v>#VALUE!</v>
      </c>
      <c r="N21" s="2" t="e">
        <f>VLOOKUP($C21, '5. MethodMix Set Up'!$S$34:$AI$43, MATCH(N$18, '5. MethodMix Set Up'!$S$34:$AI$34, 0), FALSE)</f>
        <v>#VALUE!</v>
      </c>
      <c r="O21" s="2" t="e">
        <f>VLOOKUP($C21, '5. MethodMix Set Up'!$S$34:$AI$43, MATCH(O$18, '5. MethodMix Set Up'!$S$34:$AI$34, 0), FALSE)</f>
        <v>#VALUE!</v>
      </c>
      <c r="P21" s="2" t="e">
        <f>VLOOKUP($C21, '5. MethodMix Set Up'!$S$34:$AI$43, MATCH(P$18, '5. MethodMix Set Up'!$S$34:$AI$34, 0), FALSE)</f>
        <v>#VALUE!</v>
      </c>
      <c r="Q21" s="2" t="e">
        <f>VLOOKUP($C21, '5. MethodMix Set Up'!$S$34:$AI$43, MATCH(Q$18, '5. MethodMix Set Up'!$S$34:$AI$34, 0), FALSE)</f>
        <v>#VALUE!</v>
      </c>
      <c r="R21" s="2" t="e">
        <f>VLOOKUP($C21, '5. MethodMix Set Up'!$S$34:$AI$43, MATCH(R$18, '5. MethodMix Set Up'!$S$34:$AI$34, 0), FALSE)</f>
        <v>#VALUE!</v>
      </c>
      <c r="S21" s="2" t="e">
        <f>VLOOKUP($C21, '5. MethodMix Set Up'!$S$34:$AI$43, MATCH(S$18, '5. MethodMix Set Up'!$S$34:$AI$34, 0), FALSE)</f>
        <v>#VALUE!</v>
      </c>
      <c r="U21" s="2"/>
      <c r="V21" s="2"/>
      <c r="X21" s="2"/>
      <c r="Y21" s="2"/>
      <c r="Z21" s="2"/>
      <c r="AA21" s="2"/>
      <c r="AB21" s="2"/>
      <c r="AC21" s="2"/>
      <c r="AD21" s="445"/>
      <c r="AE21" s="449"/>
      <c r="AF21" s="447"/>
      <c r="AG21" s="445"/>
    </row>
    <row r="22" spans="3:35" ht="15" hidden="1" customHeight="1" outlineLevel="1" x14ac:dyDescent="0.25">
      <c r="C22" s="728" t="str">
        <f t="shared" si="13"/>
        <v>Implant</v>
      </c>
      <c r="D22" s="2" t="e">
        <f>VLOOKUP($C22, '5. MethodMix Set Up'!$S$34:$AI$43, MATCH(D$18, '5. MethodMix Set Up'!$S$34:$AI$34, 0), FALSE)</f>
        <v>#N/A</v>
      </c>
      <c r="E22" s="2" t="e">
        <f>VLOOKUP($C22, '5. MethodMix Set Up'!$S$34:$AI$43, MATCH(E$18, '5. MethodMix Set Up'!$S$34:$AI$34, 0), FALSE)</f>
        <v>#VALUE!</v>
      </c>
      <c r="F22" s="2" t="e">
        <f>VLOOKUP($C22, '5. MethodMix Set Up'!$S$34:$AI$43, MATCH(F$18, '5. MethodMix Set Up'!$S$34:$AI$34, 0), FALSE)</f>
        <v>#VALUE!</v>
      </c>
      <c r="G22" s="2" t="e">
        <f>VLOOKUP($C22, '5. MethodMix Set Up'!$S$34:$AI$43, MATCH(G$18, '5. MethodMix Set Up'!$S$34:$AI$34, 0), FALSE)</f>
        <v>#VALUE!</v>
      </c>
      <c r="H22" s="2" t="e">
        <f>VLOOKUP($C22, '5. MethodMix Set Up'!$S$34:$AI$43, MATCH(H$18, '5. MethodMix Set Up'!$S$34:$AI$34, 0), FALSE)</f>
        <v>#VALUE!</v>
      </c>
      <c r="I22" s="2" t="e">
        <f>VLOOKUP($C22, '5. MethodMix Set Up'!$S$34:$AI$43, MATCH(I$18, '5. MethodMix Set Up'!$S$34:$AI$34, 0), FALSE)</f>
        <v>#VALUE!</v>
      </c>
      <c r="J22" s="2" t="e">
        <f>VLOOKUP($C22, '5. MethodMix Set Up'!$S$34:$AI$43, MATCH(J$18, '5. MethodMix Set Up'!$S$34:$AI$34, 0), FALSE)</f>
        <v>#VALUE!</v>
      </c>
      <c r="K22" s="2" t="e">
        <f>VLOOKUP($C22, '5. MethodMix Set Up'!$S$34:$AI$43, MATCH(K$18, '5. MethodMix Set Up'!$S$34:$AI$34, 0), FALSE)</f>
        <v>#VALUE!</v>
      </c>
      <c r="L22" s="2" t="e">
        <f>VLOOKUP($C22, '5. MethodMix Set Up'!$S$34:$AI$43, MATCH(L$18, '5. MethodMix Set Up'!$S$34:$AI$34, 0), FALSE)</f>
        <v>#VALUE!</v>
      </c>
      <c r="M22" s="2" t="e">
        <f>VLOOKUP($C22, '5. MethodMix Set Up'!$S$34:$AI$43, MATCH(M$18, '5. MethodMix Set Up'!$S$34:$AI$34, 0), FALSE)</f>
        <v>#VALUE!</v>
      </c>
      <c r="N22" s="2" t="e">
        <f>VLOOKUP($C22, '5. MethodMix Set Up'!$S$34:$AI$43, MATCH(N$18, '5. MethodMix Set Up'!$S$34:$AI$34, 0), FALSE)</f>
        <v>#VALUE!</v>
      </c>
      <c r="O22" s="2" t="e">
        <f>VLOOKUP($C22, '5. MethodMix Set Up'!$S$34:$AI$43, MATCH(O$18, '5. MethodMix Set Up'!$S$34:$AI$34, 0), FALSE)</f>
        <v>#VALUE!</v>
      </c>
      <c r="P22" s="2" t="e">
        <f>VLOOKUP($C22, '5. MethodMix Set Up'!$S$34:$AI$43, MATCH(P$18, '5. MethodMix Set Up'!$S$34:$AI$34, 0), FALSE)</f>
        <v>#VALUE!</v>
      </c>
      <c r="Q22" s="2" t="e">
        <f>VLOOKUP($C22, '5. MethodMix Set Up'!$S$34:$AI$43, MATCH(Q$18, '5. MethodMix Set Up'!$S$34:$AI$34, 0), FALSE)</f>
        <v>#VALUE!</v>
      </c>
      <c r="R22" s="2" t="e">
        <f>VLOOKUP($C22, '5. MethodMix Set Up'!$S$34:$AI$43, MATCH(R$18, '5. MethodMix Set Up'!$S$34:$AI$34, 0), FALSE)</f>
        <v>#VALUE!</v>
      </c>
      <c r="S22" s="2" t="e">
        <f>VLOOKUP($C22, '5. MethodMix Set Up'!$S$34:$AI$43, MATCH(S$18, '5. MethodMix Set Up'!$S$34:$AI$34, 0), FALSE)</f>
        <v>#VALUE!</v>
      </c>
      <c r="U22" s="2"/>
      <c r="V22" s="2"/>
      <c r="X22" s="2"/>
      <c r="Y22" s="2"/>
      <c r="Z22" s="2"/>
      <c r="AA22" s="2"/>
      <c r="AB22" s="2"/>
      <c r="AC22" s="2"/>
      <c r="AD22" s="445"/>
      <c r="AE22" s="449"/>
      <c r="AF22" s="447"/>
      <c r="AG22" s="445"/>
    </row>
    <row r="23" spans="3:35" ht="15" hidden="1" customHeight="1" outlineLevel="1" x14ac:dyDescent="0.25">
      <c r="C23" s="728" t="str">
        <f t="shared" si="13"/>
        <v>Produits injectables</v>
      </c>
      <c r="D23" s="2" t="e">
        <f>VLOOKUP($C23, '5. MethodMix Set Up'!$S$34:$AI$43, MATCH(D$18, '5. MethodMix Set Up'!$S$34:$AI$34, 0), FALSE)</f>
        <v>#N/A</v>
      </c>
      <c r="E23" s="2" t="e">
        <f>VLOOKUP($C23, '5. MethodMix Set Up'!$S$34:$AI$43, MATCH(E$18, '5. MethodMix Set Up'!$S$34:$AI$34, 0), FALSE)</f>
        <v>#VALUE!</v>
      </c>
      <c r="F23" s="2" t="e">
        <f>VLOOKUP($C23, '5. MethodMix Set Up'!$S$34:$AI$43, MATCH(F$18, '5. MethodMix Set Up'!$S$34:$AI$34, 0), FALSE)</f>
        <v>#VALUE!</v>
      </c>
      <c r="G23" s="2" t="e">
        <f>VLOOKUP($C23, '5. MethodMix Set Up'!$S$34:$AI$43, MATCH(G$18, '5. MethodMix Set Up'!$S$34:$AI$34, 0), FALSE)</f>
        <v>#VALUE!</v>
      </c>
      <c r="H23" s="2" t="e">
        <f>VLOOKUP($C23, '5. MethodMix Set Up'!$S$34:$AI$43, MATCH(H$18, '5. MethodMix Set Up'!$S$34:$AI$34, 0), FALSE)</f>
        <v>#VALUE!</v>
      </c>
      <c r="I23" s="2" t="e">
        <f>VLOOKUP($C23, '5. MethodMix Set Up'!$S$34:$AI$43, MATCH(I$18, '5. MethodMix Set Up'!$S$34:$AI$34, 0), FALSE)</f>
        <v>#VALUE!</v>
      </c>
      <c r="J23" s="2" t="e">
        <f>VLOOKUP($C23, '5. MethodMix Set Up'!$S$34:$AI$43, MATCH(J$18, '5. MethodMix Set Up'!$S$34:$AI$34, 0), FALSE)</f>
        <v>#VALUE!</v>
      </c>
      <c r="K23" s="2" t="e">
        <f>VLOOKUP($C23, '5. MethodMix Set Up'!$S$34:$AI$43, MATCH(K$18, '5. MethodMix Set Up'!$S$34:$AI$34, 0), FALSE)</f>
        <v>#VALUE!</v>
      </c>
      <c r="L23" s="2" t="e">
        <f>VLOOKUP($C23, '5. MethodMix Set Up'!$S$34:$AI$43, MATCH(L$18, '5. MethodMix Set Up'!$S$34:$AI$34, 0), FALSE)</f>
        <v>#VALUE!</v>
      </c>
      <c r="M23" s="2" t="e">
        <f>VLOOKUP($C23, '5. MethodMix Set Up'!$S$34:$AI$43, MATCH(M$18, '5. MethodMix Set Up'!$S$34:$AI$34, 0), FALSE)</f>
        <v>#VALUE!</v>
      </c>
      <c r="N23" s="2" t="e">
        <f>VLOOKUP($C23, '5. MethodMix Set Up'!$S$34:$AI$43, MATCH(N$18, '5. MethodMix Set Up'!$S$34:$AI$34, 0), FALSE)</f>
        <v>#VALUE!</v>
      </c>
      <c r="O23" s="2" t="e">
        <f>VLOOKUP($C23, '5. MethodMix Set Up'!$S$34:$AI$43, MATCH(O$18, '5. MethodMix Set Up'!$S$34:$AI$34, 0), FALSE)</f>
        <v>#VALUE!</v>
      </c>
      <c r="P23" s="2" t="e">
        <f>VLOOKUP($C23, '5. MethodMix Set Up'!$S$34:$AI$43, MATCH(P$18, '5. MethodMix Set Up'!$S$34:$AI$34, 0), FALSE)</f>
        <v>#VALUE!</v>
      </c>
      <c r="Q23" s="2" t="e">
        <f>VLOOKUP($C23, '5. MethodMix Set Up'!$S$34:$AI$43, MATCH(Q$18, '5. MethodMix Set Up'!$S$34:$AI$34, 0), FALSE)</f>
        <v>#VALUE!</v>
      </c>
      <c r="R23" s="2" t="e">
        <f>VLOOKUP($C23, '5. MethodMix Set Up'!$S$34:$AI$43, MATCH(R$18, '5. MethodMix Set Up'!$S$34:$AI$34, 0), FALSE)</f>
        <v>#VALUE!</v>
      </c>
      <c r="S23" s="2" t="e">
        <f>VLOOKUP($C23, '5. MethodMix Set Up'!$S$34:$AI$43, MATCH(S$18, '5. MethodMix Set Up'!$S$34:$AI$34, 0), FALSE)</f>
        <v>#VALUE!</v>
      </c>
      <c r="U23" s="2"/>
      <c r="V23" s="2"/>
      <c r="X23" s="2"/>
      <c r="Y23" s="2"/>
      <c r="Z23" s="2"/>
      <c r="AA23" s="2"/>
      <c r="AB23" s="2"/>
      <c r="AC23" s="2"/>
      <c r="AD23" s="445"/>
      <c r="AE23" s="449"/>
      <c r="AF23" s="447"/>
      <c r="AG23" s="445"/>
    </row>
    <row r="24" spans="3:35" ht="15" hidden="1" customHeight="1" outlineLevel="1" x14ac:dyDescent="0.25">
      <c r="C24" s="728" t="str">
        <f t="shared" si="13"/>
        <v>Pilule</v>
      </c>
      <c r="D24" s="2" t="e">
        <f>VLOOKUP($C24, '5. MethodMix Set Up'!$S$34:$AI$43, MATCH(D$18, '5. MethodMix Set Up'!$S$34:$AI$34, 0), FALSE)</f>
        <v>#N/A</v>
      </c>
      <c r="E24" s="2" t="e">
        <f>VLOOKUP($C24, '5. MethodMix Set Up'!$S$34:$AI$43, MATCH(E$18, '5. MethodMix Set Up'!$S$34:$AI$34, 0), FALSE)</f>
        <v>#VALUE!</v>
      </c>
      <c r="F24" s="2" t="e">
        <f>VLOOKUP($C24, '5. MethodMix Set Up'!$S$34:$AI$43, MATCH(F$18, '5. MethodMix Set Up'!$S$34:$AI$34, 0), FALSE)</f>
        <v>#VALUE!</v>
      </c>
      <c r="G24" s="2" t="e">
        <f>VLOOKUP($C24, '5. MethodMix Set Up'!$S$34:$AI$43, MATCH(G$18, '5. MethodMix Set Up'!$S$34:$AI$34, 0), FALSE)</f>
        <v>#VALUE!</v>
      </c>
      <c r="H24" s="2" t="e">
        <f>VLOOKUP($C24, '5. MethodMix Set Up'!$S$34:$AI$43, MATCH(H$18, '5. MethodMix Set Up'!$S$34:$AI$34, 0), FALSE)</f>
        <v>#VALUE!</v>
      </c>
      <c r="I24" s="2" t="e">
        <f>VLOOKUP($C24, '5. MethodMix Set Up'!$S$34:$AI$43, MATCH(I$18, '5. MethodMix Set Up'!$S$34:$AI$34, 0), FALSE)</f>
        <v>#VALUE!</v>
      </c>
      <c r="J24" s="2" t="e">
        <f>VLOOKUP($C24, '5. MethodMix Set Up'!$S$34:$AI$43, MATCH(J$18, '5. MethodMix Set Up'!$S$34:$AI$34, 0), FALSE)</f>
        <v>#VALUE!</v>
      </c>
      <c r="K24" s="2" t="e">
        <f>VLOOKUP($C24, '5. MethodMix Set Up'!$S$34:$AI$43, MATCH(K$18, '5. MethodMix Set Up'!$S$34:$AI$34, 0), FALSE)</f>
        <v>#VALUE!</v>
      </c>
      <c r="L24" s="2" t="e">
        <f>VLOOKUP($C24, '5. MethodMix Set Up'!$S$34:$AI$43, MATCH(L$18, '5. MethodMix Set Up'!$S$34:$AI$34, 0), FALSE)</f>
        <v>#VALUE!</v>
      </c>
      <c r="M24" s="2" t="e">
        <f>VLOOKUP($C24, '5. MethodMix Set Up'!$S$34:$AI$43, MATCH(M$18, '5. MethodMix Set Up'!$S$34:$AI$34, 0), FALSE)</f>
        <v>#VALUE!</v>
      </c>
      <c r="N24" s="2" t="e">
        <f>VLOOKUP($C24, '5. MethodMix Set Up'!$S$34:$AI$43, MATCH(N$18, '5. MethodMix Set Up'!$S$34:$AI$34, 0), FALSE)</f>
        <v>#VALUE!</v>
      </c>
      <c r="O24" s="2" t="e">
        <f>VLOOKUP($C24, '5. MethodMix Set Up'!$S$34:$AI$43, MATCH(O$18, '5. MethodMix Set Up'!$S$34:$AI$34, 0), FALSE)</f>
        <v>#VALUE!</v>
      </c>
      <c r="P24" s="2" t="e">
        <f>VLOOKUP($C24, '5. MethodMix Set Up'!$S$34:$AI$43, MATCH(P$18, '5. MethodMix Set Up'!$S$34:$AI$34, 0), FALSE)</f>
        <v>#VALUE!</v>
      </c>
      <c r="Q24" s="2" t="e">
        <f>VLOOKUP($C24, '5. MethodMix Set Up'!$S$34:$AI$43, MATCH(Q$18, '5. MethodMix Set Up'!$S$34:$AI$34, 0), FALSE)</f>
        <v>#VALUE!</v>
      </c>
      <c r="R24" s="2" t="e">
        <f>VLOOKUP($C24, '5. MethodMix Set Up'!$S$34:$AI$43, MATCH(R$18, '5. MethodMix Set Up'!$S$34:$AI$34, 0), FALSE)</f>
        <v>#VALUE!</v>
      </c>
      <c r="S24" s="2" t="e">
        <f>VLOOKUP($C24, '5. MethodMix Set Up'!$S$34:$AI$43, MATCH(S$18, '5. MethodMix Set Up'!$S$34:$AI$34, 0), FALSE)</f>
        <v>#VALUE!</v>
      </c>
      <c r="U24" s="2"/>
      <c r="V24" s="2"/>
      <c r="X24" s="2"/>
      <c r="Y24" s="2"/>
      <c r="Z24" s="2"/>
      <c r="AA24" s="2"/>
      <c r="AB24" s="2"/>
      <c r="AC24" s="2"/>
      <c r="AD24" s="445"/>
      <c r="AE24" s="449"/>
      <c r="AF24" s="447"/>
      <c r="AG24" s="445"/>
    </row>
    <row r="25" spans="3:35" ht="15" hidden="1" customHeight="1" outlineLevel="1" x14ac:dyDescent="0.25">
      <c r="C25" s="728" t="str">
        <f t="shared" si="13"/>
        <v>Préservatifs (m+f)</v>
      </c>
      <c r="D25" s="2" t="e">
        <f>VLOOKUP($C25, '5. MethodMix Set Up'!$S$34:$AI$43, MATCH(D$18, '5. MethodMix Set Up'!$S$34:$AI$34, 0), FALSE)</f>
        <v>#N/A</v>
      </c>
      <c r="E25" s="2" t="e">
        <f>VLOOKUP($C25, '5. MethodMix Set Up'!$S$34:$AI$43, MATCH(E$18, '5. MethodMix Set Up'!$S$34:$AI$34, 0), FALSE)</f>
        <v>#VALUE!</v>
      </c>
      <c r="F25" s="2" t="e">
        <f>VLOOKUP($C25, '5. MethodMix Set Up'!$S$34:$AI$43, MATCH(F$18, '5. MethodMix Set Up'!$S$34:$AI$34, 0), FALSE)</f>
        <v>#VALUE!</v>
      </c>
      <c r="G25" s="2" t="e">
        <f>VLOOKUP($C25, '5. MethodMix Set Up'!$S$34:$AI$43, MATCH(G$18, '5. MethodMix Set Up'!$S$34:$AI$34, 0), FALSE)</f>
        <v>#VALUE!</v>
      </c>
      <c r="H25" s="2" t="e">
        <f>VLOOKUP($C25, '5. MethodMix Set Up'!$S$34:$AI$43, MATCH(H$18, '5. MethodMix Set Up'!$S$34:$AI$34, 0), FALSE)</f>
        <v>#VALUE!</v>
      </c>
      <c r="I25" s="2" t="e">
        <f>VLOOKUP($C25, '5. MethodMix Set Up'!$S$34:$AI$43, MATCH(I$18, '5. MethodMix Set Up'!$S$34:$AI$34, 0), FALSE)</f>
        <v>#VALUE!</v>
      </c>
      <c r="J25" s="2" t="e">
        <f>VLOOKUP($C25, '5. MethodMix Set Up'!$S$34:$AI$43, MATCH(J$18, '5. MethodMix Set Up'!$S$34:$AI$34, 0), FALSE)</f>
        <v>#VALUE!</v>
      </c>
      <c r="K25" s="2" t="e">
        <f>VLOOKUP($C25, '5. MethodMix Set Up'!$S$34:$AI$43, MATCH(K$18, '5. MethodMix Set Up'!$S$34:$AI$34, 0), FALSE)</f>
        <v>#VALUE!</v>
      </c>
      <c r="L25" s="2" t="e">
        <f>VLOOKUP($C25, '5. MethodMix Set Up'!$S$34:$AI$43, MATCH(L$18, '5. MethodMix Set Up'!$S$34:$AI$34, 0), FALSE)</f>
        <v>#VALUE!</v>
      </c>
      <c r="M25" s="2" t="e">
        <f>VLOOKUP($C25, '5. MethodMix Set Up'!$S$34:$AI$43, MATCH(M$18, '5. MethodMix Set Up'!$S$34:$AI$34, 0), FALSE)</f>
        <v>#VALUE!</v>
      </c>
      <c r="N25" s="2" t="e">
        <f>VLOOKUP($C25, '5. MethodMix Set Up'!$S$34:$AI$43, MATCH(N$18, '5. MethodMix Set Up'!$S$34:$AI$34, 0), FALSE)</f>
        <v>#VALUE!</v>
      </c>
      <c r="O25" s="2" t="e">
        <f>VLOOKUP($C25, '5. MethodMix Set Up'!$S$34:$AI$43, MATCH(O$18, '5. MethodMix Set Up'!$S$34:$AI$34, 0), FALSE)</f>
        <v>#VALUE!</v>
      </c>
      <c r="P25" s="2" t="e">
        <f>VLOOKUP($C25, '5. MethodMix Set Up'!$S$34:$AI$43, MATCH(P$18, '5. MethodMix Set Up'!$S$34:$AI$34, 0), FALSE)</f>
        <v>#VALUE!</v>
      </c>
      <c r="Q25" s="2" t="e">
        <f>VLOOKUP($C25, '5. MethodMix Set Up'!$S$34:$AI$43, MATCH(Q$18, '5. MethodMix Set Up'!$S$34:$AI$34, 0), FALSE)</f>
        <v>#VALUE!</v>
      </c>
      <c r="R25" s="2" t="e">
        <f>VLOOKUP($C25, '5. MethodMix Set Up'!$S$34:$AI$43, MATCH(R$18, '5. MethodMix Set Up'!$S$34:$AI$34, 0), FALSE)</f>
        <v>#VALUE!</v>
      </c>
      <c r="S25" s="2" t="e">
        <f>VLOOKUP($C25, '5. MethodMix Set Up'!$S$34:$AI$43, MATCH(S$18, '5. MethodMix Set Up'!$S$34:$AI$34, 0), FALSE)</f>
        <v>#VALUE!</v>
      </c>
      <c r="U25" s="2"/>
      <c r="V25" s="2"/>
      <c r="X25" s="2"/>
      <c r="Y25" s="2"/>
      <c r="Z25" s="2"/>
      <c r="AA25" s="2"/>
      <c r="AB25" s="2"/>
      <c r="AC25" s="2"/>
      <c r="AD25" s="445"/>
      <c r="AE25" s="449"/>
      <c r="AF25" s="447"/>
      <c r="AG25" s="445"/>
    </row>
    <row r="26" spans="3:35" ht="15" hidden="1" customHeight="1" outlineLevel="1" x14ac:dyDescent="0.25">
      <c r="C26" s="728" t="str">
        <f t="shared" si="13"/>
        <v>MAMA</v>
      </c>
      <c r="D26" s="2" t="e">
        <f>VLOOKUP($C26, '5. MethodMix Set Up'!$S$34:$AI$43, MATCH(D$18, '5. MethodMix Set Up'!$S$34:$AI$34, 0), FALSE)</f>
        <v>#N/A</v>
      </c>
      <c r="E26" s="2" t="e">
        <f>VLOOKUP($C26, '5. MethodMix Set Up'!$S$34:$AI$43, MATCH(E$18, '5. MethodMix Set Up'!$S$34:$AI$34, 0), FALSE)</f>
        <v>#VALUE!</v>
      </c>
      <c r="F26" s="2" t="e">
        <f>VLOOKUP($C26, '5. MethodMix Set Up'!$S$34:$AI$43, MATCH(F$18, '5. MethodMix Set Up'!$S$34:$AI$34, 0), FALSE)</f>
        <v>#VALUE!</v>
      </c>
      <c r="G26" s="2" t="e">
        <f>VLOOKUP($C26, '5. MethodMix Set Up'!$S$34:$AI$43, MATCH(G$18, '5. MethodMix Set Up'!$S$34:$AI$34, 0), FALSE)</f>
        <v>#VALUE!</v>
      </c>
      <c r="H26" s="2" t="e">
        <f>VLOOKUP($C26, '5. MethodMix Set Up'!$S$34:$AI$43, MATCH(H$18, '5. MethodMix Set Up'!$S$34:$AI$34, 0), FALSE)</f>
        <v>#VALUE!</v>
      </c>
      <c r="I26" s="2" t="e">
        <f>VLOOKUP($C26, '5. MethodMix Set Up'!$S$34:$AI$43, MATCH(I$18, '5. MethodMix Set Up'!$S$34:$AI$34, 0), FALSE)</f>
        <v>#VALUE!</v>
      </c>
      <c r="J26" s="2" t="e">
        <f>VLOOKUP($C26, '5. MethodMix Set Up'!$S$34:$AI$43, MATCH(J$18, '5. MethodMix Set Up'!$S$34:$AI$34, 0), FALSE)</f>
        <v>#VALUE!</v>
      </c>
      <c r="K26" s="2" t="e">
        <f>VLOOKUP($C26, '5. MethodMix Set Up'!$S$34:$AI$43, MATCH(K$18, '5. MethodMix Set Up'!$S$34:$AI$34, 0), FALSE)</f>
        <v>#VALUE!</v>
      </c>
      <c r="L26" s="2" t="e">
        <f>VLOOKUP($C26, '5. MethodMix Set Up'!$S$34:$AI$43, MATCH(L$18, '5. MethodMix Set Up'!$S$34:$AI$34, 0), FALSE)</f>
        <v>#VALUE!</v>
      </c>
      <c r="M26" s="2" t="e">
        <f>VLOOKUP($C26, '5. MethodMix Set Up'!$S$34:$AI$43, MATCH(M$18, '5. MethodMix Set Up'!$S$34:$AI$34, 0), FALSE)</f>
        <v>#VALUE!</v>
      </c>
      <c r="N26" s="2" t="e">
        <f>VLOOKUP($C26, '5. MethodMix Set Up'!$S$34:$AI$43, MATCH(N$18, '5. MethodMix Set Up'!$S$34:$AI$34, 0), FALSE)</f>
        <v>#VALUE!</v>
      </c>
      <c r="O26" s="2" t="e">
        <f>VLOOKUP($C26, '5. MethodMix Set Up'!$S$34:$AI$43, MATCH(O$18, '5. MethodMix Set Up'!$S$34:$AI$34, 0), FALSE)</f>
        <v>#VALUE!</v>
      </c>
      <c r="P26" s="2" t="e">
        <f>VLOOKUP($C26, '5. MethodMix Set Up'!$S$34:$AI$43, MATCH(P$18, '5. MethodMix Set Up'!$S$34:$AI$34, 0), FALSE)</f>
        <v>#VALUE!</v>
      </c>
      <c r="Q26" s="2" t="e">
        <f>VLOOKUP($C26, '5. MethodMix Set Up'!$S$34:$AI$43, MATCH(Q$18, '5. MethodMix Set Up'!$S$34:$AI$34, 0), FALSE)</f>
        <v>#VALUE!</v>
      </c>
      <c r="R26" s="2" t="e">
        <f>VLOOKUP($C26, '5. MethodMix Set Up'!$S$34:$AI$43, MATCH(R$18, '5. MethodMix Set Up'!$S$34:$AI$34, 0), FALSE)</f>
        <v>#VALUE!</v>
      </c>
      <c r="S26" s="2" t="e">
        <f>VLOOKUP($C26, '5. MethodMix Set Up'!$S$34:$AI$43, MATCH(S$18, '5. MethodMix Set Up'!$S$34:$AI$34, 0), FALSE)</f>
        <v>#VALUE!</v>
      </c>
      <c r="U26" s="2"/>
      <c r="V26" s="2"/>
      <c r="X26" s="2"/>
      <c r="Y26" s="2"/>
      <c r="Z26" s="2"/>
      <c r="AA26" s="2"/>
      <c r="AB26" s="2"/>
      <c r="AC26" s="2"/>
      <c r="AD26" s="445"/>
      <c r="AE26" s="449"/>
      <c r="AF26" s="447"/>
      <c r="AG26" s="445"/>
    </row>
    <row r="27" spans="3:35" ht="15" hidden="1" customHeight="1" outlineLevel="1" x14ac:dyDescent="0.25">
      <c r="C27" s="728" t="str">
        <f>C15</f>
        <v>Autres méthodes modernes</v>
      </c>
      <c r="D27" s="2" t="e">
        <f>VLOOKUP($C27, '5. MethodMix Set Up'!$S$34:$AI$43, MATCH(D$18, '5. MethodMix Set Up'!$S$34:$AI$34, 0), FALSE)</f>
        <v>#N/A</v>
      </c>
      <c r="E27" s="2" t="e">
        <f>VLOOKUP($C27, '5. MethodMix Set Up'!$S$34:$AI$43, MATCH(E$18, '5. MethodMix Set Up'!$S$34:$AI$34, 0), FALSE)</f>
        <v>#VALUE!</v>
      </c>
      <c r="F27" s="2" t="e">
        <f>VLOOKUP($C27, '5. MethodMix Set Up'!$S$34:$AI$43, MATCH(F$18, '5. MethodMix Set Up'!$S$34:$AI$34, 0), FALSE)</f>
        <v>#VALUE!</v>
      </c>
      <c r="G27" s="2" t="e">
        <f>VLOOKUP($C27, '5. MethodMix Set Up'!$S$34:$AI$43, MATCH(G$18, '5. MethodMix Set Up'!$S$34:$AI$34, 0), FALSE)</f>
        <v>#VALUE!</v>
      </c>
      <c r="H27" s="2" t="e">
        <f>VLOOKUP($C27, '5. MethodMix Set Up'!$S$34:$AI$43, MATCH(H$18, '5. MethodMix Set Up'!$S$34:$AI$34, 0), FALSE)</f>
        <v>#VALUE!</v>
      </c>
      <c r="I27" s="2" t="e">
        <f>VLOOKUP($C27, '5. MethodMix Set Up'!$S$34:$AI$43, MATCH(I$18, '5. MethodMix Set Up'!$S$34:$AI$34, 0), FALSE)</f>
        <v>#VALUE!</v>
      </c>
      <c r="J27" s="2" t="e">
        <f>VLOOKUP($C27, '5. MethodMix Set Up'!$S$34:$AI$43, MATCH(J$18, '5. MethodMix Set Up'!$S$34:$AI$34, 0), FALSE)</f>
        <v>#VALUE!</v>
      </c>
      <c r="K27" s="2" t="e">
        <f>VLOOKUP($C27, '5. MethodMix Set Up'!$S$34:$AI$43, MATCH(K$18, '5. MethodMix Set Up'!$S$34:$AI$34, 0), FALSE)</f>
        <v>#VALUE!</v>
      </c>
      <c r="L27" s="2" t="e">
        <f>VLOOKUP($C27, '5. MethodMix Set Up'!$S$34:$AI$43, MATCH(L$18, '5. MethodMix Set Up'!$S$34:$AI$34, 0), FALSE)</f>
        <v>#VALUE!</v>
      </c>
      <c r="M27" s="2" t="e">
        <f>VLOOKUP($C27, '5. MethodMix Set Up'!$S$34:$AI$43, MATCH(M$18, '5. MethodMix Set Up'!$S$34:$AI$34, 0), FALSE)</f>
        <v>#VALUE!</v>
      </c>
      <c r="N27" s="2" t="e">
        <f>VLOOKUP($C27, '5. MethodMix Set Up'!$S$34:$AI$43, MATCH(N$18, '5. MethodMix Set Up'!$S$34:$AI$34, 0), FALSE)</f>
        <v>#VALUE!</v>
      </c>
      <c r="O27" s="2" t="e">
        <f>VLOOKUP($C27, '5. MethodMix Set Up'!$S$34:$AI$43, MATCH(O$18, '5. MethodMix Set Up'!$S$34:$AI$34, 0), FALSE)</f>
        <v>#VALUE!</v>
      </c>
      <c r="P27" s="2" t="e">
        <f>VLOOKUP($C27, '5. MethodMix Set Up'!$S$34:$AI$43, MATCH(P$18, '5. MethodMix Set Up'!$S$34:$AI$34, 0), FALSE)</f>
        <v>#VALUE!</v>
      </c>
      <c r="Q27" s="2" t="e">
        <f>VLOOKUP($C27, '5. MethodMix Set Up'!$S$34:$AI$43, MATCH(Q$18, '5. MethodMix Set Up'!$S$34:$AI$34, 0), FALSE)</f>
        <v>#VALUE!</v>
      </c>
      <c r="R27" s="2" t="e">
        <f>VLOOKUP($C27, '5. MethodMix Set Up'!$S$34:$AI$43, MATCH(R$18, '5. MethodMix Set Up'!$S$34:$AI$34, 0), FALSE)</f>
        <v>#VALUE!</v>
      </c>
      <c r="S27" s="2" t="e">
        <f>VLOOKUP($C27, '5. MethodMix Set Up'!$S$34:$AI$43, MATCH(S$18, '5. MethodMix Set Up'!$S$34:$AI$34, 0), FALSE)</f>
        <v>#VALUE!</v>
      </c>
      <c r="U27" s="2"/>
      <c r="V27" s="2"/>
      <c r="X27" s="2"/>
      <c r="Y27" s="2"/>
      <c r="Z27" s="2"/>
      <c r="AA27" s="2"/>
      <c r="AB27" s="2"/>
      <c r="AC27" s="2"/>
      <c r="AD27" s="445"/>
      <c r="AE27" s="449"/>
      <c r="AF27" s="447"/>
      <c r="AG27" s="445"/>
    </row>
    <row r="28" spans="3:35" ht="15.75" hidden="1" customHeight="1" outlineLevel="1" thickBot="1" x14ac:dyDescent="0.3">
      <c r="C28" s="731" t="str">
        <f>C16</f>
        <v>Total</v>
      </c>
      <c r="D28" s="732" t="e">
        <f t="shared" ref="D28:S28" si="14">SUM(D19:D27)</f>
        <v>#N/A</v>
      </c>
      <c r="E28" s="732" t="e">
        <f t="shared" si="14"/>
        <v>#VALUE!</v>
      </c>
      <c r="F28" s="732" t="e">
        <f t="shared" si="14"/>
        <v>#VALUE!</v>
      </c>
      <c r="G28" s="732" t="e">
        <f t="shared" si="14"/>
        <v>#VALUE!</v>
      </c>
      <c r="H28" s="732" t="e">
        <f t="shared" si="14"/>
        <v>#VALUE!</v>
      </c>
      <c r="I28" s="732" t="e">
        <f t="shared" si="14"/>
        <v>#VALUE!</v>
      </c>
      <c r="J28" s="732" t="e">
        <f t="shared" si="14"/>
        <v>#VALUE!</v>
      </c>
      <c r="K28" s="732" t="e">
        <f t="shared" si="14"/>
        <v>#VALUE!</v>
      </c>
      <c r="L28" s="732" t="e">
        <f t="shared" si="14"/>
        <v>#VALUE!</v>
      </c>
      <c r="M28" s="732" t="e">
        <f t="shared" si="14"/>
        <v>#VALUE!</v>
      </c>
      <c r="N28" s="732" t="e">
        <f t="shared" si="14"/>
        <v>#VALUE!</v>
      </c>
      <c r="O28" s="732" t="e">
        <f t="shared" si="14"/>
        <v>#VALUE!</v>
      </c>
      <c r="P28" s="732" t="e">
        <f t="shared" si="14"/>
        <v>#VALUE!</v>
      </c>
      <c r="Q28" s="732" t="e">
        <f t="shared" si="14"/>
        <v>#VALUE!</v>
      </c>
      <c r="R28" s="732" t="e">
        <f t="shared" si="14"/>
        <v>#VALUE!</v>
      </c>
      <c r="S28" s="733" t="e">
        <f t="shared" si="14"/>
        <v>#VALUE!</v>
      </c>
      <c r="U28" s="2"/>
      <c r="V28" s="2"/>
      <c r="X28" s="2"/>
      <c r="Y28" s="2"/>
      <c r="Z28" s="2"/>
      <c r="AA28" s="2"/>
      <c r="AB28" s="2"/>
      <c r="AC28" s="2"/>
      <c r="AD28" s="445"/>
      <c r="AE28" s="449"/>
      <c r="AF28" s="447"/>
      <c r="AG28" s="445"/>
    </row>
    <row r="29" spans="3:35" ht="15" hidden="1" customHeight="1" outlineLevel="1" x14ac:dyDescent="0.25">
      <c r="C29" s="167"/>
      <c r="D29" s="2"/>
      <c r="E29" s="2"/>
      <c r="F29" s="2"/>
      <c r="G29" s="2"/>
      <c r="H29" s="2"/>
      <c r="I29" s="2"/>
      <c r="J29" s="2"/>
      <c r="K29" s="2"/>
      <c r="L29" s="2"/>
      <c r="M29" s="2"/>
      <c r="N29" s="2"/>
      <c r="O29" s="2"/>
      <c r="P29" s="2"/>
      <c r="Q29" s="2"/>
      <c r="R29" s="2"/>
      <c r="S29" s="2"/>
      <c r="U29" s="2"/>
      <c r="V29" s="2"/>
      <c r="X29" s="2"/>
      <c r="Y29" s="2"/>
      <c r="Z29" s="2"/>
      <c r="AA29" s="2"/>
      <c r="AB29" s="2"/>
      <c r="AC29" s="2"/>
      <c r="AD29" s="445"/>
      <c r="AE29" s="449"/>
      <c r="AF29" s="447"/>
      <c r="AG29" s="738"/>
    </row>
    <row r="30" spans="3:35" ht="15.75" hidden="1" customHeight="1" outlineLevel="1" thickBot="1" x14ac:dyDescent="0.3">
      <c r="C30" s="167"/>
      <c r="D30" s="2"/>
      <c r="E30" s="2"/>
      <c r="F30" s="2"/>
      <c r="G30" s="2"/>
      <c r="H30" s="2"/>
      <c r="I30" s="2"/>
      <c r="J30" s="2"/>
      <c r="K30" s="2"/>
      <c r="L30" s="2"/>
      <c r="M30" s="2"/>
      <c r="N30" s="2"/>
      <c r="O30" s="2"/>
      <c r="P30" s="2"/>
      <c r="Q30" s="2"/>
      <c r="R30" s="2"/>
      <c r="S30" s="2"/>
      <c r="U30" s="2"/>
      <c r="V30" s="2"/>
      <c r="X30" s="2"/>
      <c r="Y30" s="2"/>
      <c r="Z30" s="2"/>
      <c r="AA30" s="2"/>
      <c r="AB30" s="2"/>
      <c r="AC30" s="2"/>
      <c r="AD30" s="445"/>
      <c r="AE30" s="449"/>
      <c r="AF30" s="447"/>
      <c r="AG30" s="738"/>
    </row>
    <row r="31" spans="3:35" ht="60" hidden="1" customHeight="1" outlineLevel="1" x14ac:dyDescent="0.25">
      <c r="C31" s="734"/>
      <c r="D31" s="735">
        <f>D124</f>
        <v>0</v>
      </c>
      <c r="E31" s="735" t="str">
        <f t="shared" ref="E31:S31" si="15">E124</f>
        <v/>
      </c>
      <c r="F31" s="735" t="str">
        <f t="shared" si="15"/>
        <v/>
      </c>
      <c r="G31" s="735" t="str">
        <f t="shared" si="15"/>
        <v/>
      </c>
      <c r="H31" s="735" t="str">
        <f t="shared" si="15"/>
        <v/>
      </c>
      <c r="I31" s="735" t="str">
        <f t="shared" si="15"/>
        <v/>
      </c>
      <c r="J31" s="735" t="str">
        <f t="shared" si="15"/>
        <v/>
      </c>
      <c r="K31" s="735" t="str">
        <f t="shared" si="15"/>
        <v/>
      </c>
      <c r="L31" s="735" t="str">
        <f t="shared" si="15"/>
        <v/>
      </c>
      <c r="M31" s="735" t="str">
        <f t="shared" si="15"/>
        <v/>
      </c>
      <c r="N31" s="735" t="str">
        <f t="shared" si="15"/>
        <v/>
      </c>
      <c r="O31" s="735" t="str">
        <f t="shared" si="15"/>
        <v/>
      </c>
      <c r="P31" s="735" t="str">
        <f t="shared" si="15"/>
        <v/>
      </c>
      <c r="Q31" s="735" t="str">
        <f t="shared" si="15"/>
        <v/>
      </c>
      <c r="R31" s="735" t="str">
        <f t="shared" si="15"/>
        <v/>
      </c>
      <c r="S31" s="735" t="str">
        <f t="shared" si="15"/>
        <v/>
      </c>
      <c r="U31" s="119" t="s">
        <v>1257</v>
      </c>
      <c r="V31" s="2"/>
      <c r="W31" s="807"/>
      <c r="X31" s="2"/>
      <c r="Y31" s="2"/>
      <c r="Z31" s="2"/>
      <c r="AA31" s="2"/>
      <c r="AB31" s="2"/>
      <c r="AC31" s="2"/>
      <c r="AD31" s="445"/>
      <c r="AE31" s="449"/>
      <c r="AF31" s="447"/>
      <c r="AG31" s="2"/>
      <c r="AH31" s="2"/>
      <c r="AI31" s="2"/>
    </row>
    <row r="32" spans="3:35" ht="15" hidden="1" customHeight="1" outlineLevel="1" x14ac:dyDescent="0.25">
      <c r="C32" s="736" t="str">
        <f xml:space="preserve"> "Pop :"&amp;'3. ServiceStats Set Up'!$C$8</f>
        <v>Pop :All Women</v>
      </c>
      <c r="D32" s="599" t="e">
        <f>VLOOKUP(D$31, '2. Pop_Prev Set Up'!$T$11:$U$28, 2, FALSE)</f>
        <v>#N/A</v>
      </c>
      <c r="E32" s="599" t="str">
        <f>VLOOKUP(E$31, '2. Pop_Prev Set Up'!$T$11:$U$28, 2, FALSE)</f>
        <v/>
      </c>
      <c r="F32" s="599" t="str">
        <f>VLOOKUP(F$31, '2. Pop_Prev Set Up'!$T$11:$U$28, 2, FALSE)</f>
        <v/>
      </c>
      <c r="G32" s="599" t="str">
        <f>VLOOKUP(G$31, '2. Pop_Prev Set Up'!$T$11:$U$28, 2, FALSE)</f>
        <v/>
      </c>
      <c r="H32" s="599" t="str">
        <f>VLOOKUP(H$31, '2. Pop_Prev Set Up'!$T$11:$U$28, 2, FALSE)</f>
        <v/>
      </c>
      <c r="I32" s="599" t="str">
        <f>VLOOKUP(I$31, '2. Pop_Prev Set Up'!$T$11:$U$28, 2, FALSE)</f>
        <v/>
      </c>
      <c r="J32" s="599" t="str">
        <f>VLOOKUP(J$31, '2. Pop_Prev Set Up'!$T$11:$U$28, 2, FALSE)</f>
        <v/>
      </c>
      <c r="K32" s="599" t="str">
        <f>VLOOKUP(K$31, '2. Pop_Prev Set Up'!$T$11:$U$28, 2, FALSE)</f>
        <v/>
      </c>
      <c r="L32" s="599" t="str">
        <f>VLOOKUP(L$31, '2. Pop_Prev Set Up'!$T$11:$U$28, 2, FALSE)</f>
        <v/>
      </c>
      <c r="M32" s="599" t="str">
        <f>VLOOKUP(M$31, '2. Pop_Prev Set Up'!$T$11:$U$28, 2, FALSE)</f>
        <v/>
      </c>
      <c r="N32" s="599" t="str">
        <f>VLOOKUP(N$31, '2. Pop_Prev Set Up'!$T$11:$U$28, 2, FALSE)</f>
        <v/>
      </c>
      <c r="O32" s="599" t="str">
        <f>VLOOKUP(O$31, '2. Pop_Prev Set Up'!$T$11:$U$28, 2, FALSE)</f>
        <v/>
      </c>
      <c r="P32" s="599" t="str">
        <f>VLOOKUP(P$31, '2. Pop_Prev Set Up'!$T$11:$U$28, 2, FALSE)</f>
        <v/>
      </c>
      <c r="Q32" s="599" t="str">
        <f>VLOOKUP(Q$31, '2. Pop_Prev Set Up'!$T$11:$U$28, 2, FALSE)</f>
        <v/>
      </c>
      <c r="R32" s="599" t="str">
        <f>VLOOKUP(R$31, '2. Pop_Prev Set Up'!$T$11:$U$28, 2, FALSE)</f>
        <v/>
      </c>
      <c r="S32" s="599" t="str">
        <f>VLOOKUP(S$31, '2. Pop_Prev Set Up'!$T$11:$U$28, 2, FALSE)</f>
        <v/>
      </c>
      <c r="V32" s="2"/>
      <c r="W32" s="807"/>
      <c r="X32" s="2"/>
      <c r="Y32" s="2"/>
      <c r="Z32" s="2"/>
      <c r="AA32" s="2"/>
      <c r="AB32" s="2"/>
      <c r="AC32" s="2"/>
      <c r="AD32" s="445"/>
      <c r="AE32" s="449"/>
      <c r="AF32" s="447"/>
      <c r="AG32" s="2"/>
      <c r="AH32" s="2"/>
      <c r="AI32" s="2"/>
    </row>
    <row r="33" spans="1:41" ht="15" hidden="1" customHeight="1" outlineLevel="1" x14ac:dyDescent="0.25">
      <c r="A33" s="237"/>
      <c r="B33" t="s">
        <v>1012</v>
      </c>
      <c r="C33" s="736" t="str">
        <f>IF(Language="English", AD45, AF45)</f>
        <v>EUM: Produits inc. Préservatifs</v>
      </c>
      <c r="D33" s="942" t="e">
        <f>IFERROR(IF(D31="", "",D151/D32), NA())</f>
        <v>#N/A</v>
      </c>
      <c r="E33" s="942" t="str">
        <f>IFERROR(IF(E31="", "",E151/E32), NA())</f>
        <v/>
      </c>
      <c r="F33" s="942" t="str">
        <f t="shared" ref="F33:S33" si="16">IFERROR(IF(F31="", "",F151/F32), NA())</f>
        <v/>
      </c>
      <c r="G33" s="942" t="str">
        <f t="shared" si="16"/>
        <v/>
      </c>
      <c r="H33" s="942" t="str">
        <f t="shared" si="16"/>
        <v/>
      </c>
      <c r="I33" s="942" t="str">
        <f t="shared" si="16"/>
        <v/>
      </c>
      <c r="J33" s="942" t="str">
        <f t="shared" si="16"/>
        <v/>
      </c>
      <c r="K33" s="942" t="str">
        <f t="shared" si="16"/>
        <v/>
      </c>
      <c r="L33" s="942" t="str">
        <f t="shared" si="16"/>
        <v/>
      </c>
      <c r="M33" s="942" t="str">
        <f t="shared" si="16"/>
        <v/>
      </c>
      <c r="N33" s="942" t="str">
        <f t="shared" si="16"/>
        <v/>
      </c>
      <c r="O33" s="942" t="str">
        <f t="shared" si="16"/>
        <v/>
      </c>
      <c r="P33" s="942" t="str">
        <f t="shared" si="16"/>
        <v/>
      </c>
      <c r="Q33" s="942" t="str">
        <f t="shared" si="16"/>
        <v/>
      </c>
      <c r="R33" s="942" t="str">
        <f t="shared" si="16"/>
        <v/>
      </c>
      <c r="S33" s="942" t="str">
        <f t="shared" si="16"/>
        <v/>
      </c>
      <c r="U33" s="968"/>
      <c r="V33" s="2"/>
      <c r="W33" s="807"/>
      <c r="X33" s="2"/>
      <c r="Y33" s="2"/>
      <c r="Z33" s="2"/>
      <c r="AA33" s="2"/>
      <c r="AB33" s="2"/>
      <c r="AC33" s="2"/>
      <c r="AD33" s="445"/>
      <c r="AE33" s="449"/>
      <c r="AF33" s="447"/>
      <c r="AG33" s="2"/>
      <c r="AH33" s="2"/>
      <c r="AI33" s="2"/>
    </row>
    <row r="34" spans="1:41" ht="15" hidden="1" customHeight="1" outlineLevel="1" x14ac:dyDescent="0.25">
      <c r="A34" s="237"/>
      <c r="B34" t="s">
        <v>1010</v>
      </c>
      <c r="C34" s="736" t="str">
        <f>IF(Language="English", AD46, AF46)</f>
        <v>EUM: Produits ex. Préservatifs</v>
      </c>
      <c r="D34" s="942" t="e">
        <f>IFERROR(IF(D31="", "", D152/D32), NA())</f>
        <v>#N/A</v>
      </c>
      <c r="E34" s="942" t="str">
        <f>IFERROR(IF(E31="", "", E152/E32), NA())</f>
        <v/>
      </c>
      <c r="F34" s="942" t="str">
        <f t="shared" ref="F34:S34" si="17">IFERROR(IF(F31="", "", F152/F32), NA())</f>
        <v/>
      </c>
      <c r="G34" s="942" t="str">
        <f t="shared" si="17"/>
        <v/>
      </c>
      <c r="H34" s="942" t="str">
        <f t="shared" si="17"/>
        <v/>
      </c>
      <c r="I34" s="942" t="str">
        <f t="shared" si="17"/>
        <v/>
      </c>
      <c r="J34" s="942" t="str">
        <f t="shared" si="17"/>
        <v/>
      </c>
      <c r="K34" s="942" t="str">
        <f t="shared" si="17"/>
        <v/>
      </c>
      <c r="L34" s="942" t="str">
        <f t="shared" si="17"/>
        <v/>
      </c>
      <c r="M34" s="942" t="str">
        <f t="shared" si="17"/>
        <v/>
      </c>
      <c r="N34" s="942" t="str">
        <f t="shared" si="17"/>
        <v/>
      </c>
      <c r="O34" s="942" t="str">
        <f t="shared" si="17"/>
        <v/>
      </c>
      <c r="P34" s="942" t="str">
        <f t="shared" si="17"/>
        <v/>
      </c>
      <c r="Q34" s="942" t="str">
        <f t="shared" si="17"/>
        <v/>
      </c>
      <c r="R34" s="942" t="str">
        <f t="shared" si="17"/>
        <v/>
      </c>
      <c r="S34" s="942" t="str">
        <f t="shared" si="17"/>
        <v/>
      </c>
      <c r="U34" s="968"/>
      <c r="V34" s="2"/>
      <c r="W34" s="807"/>
      <c r="X34" s="2"/>
      <c r="Y34" s="2"/>
      <c r="Z34" s="2"/>
      <c r="AA34" s="2"/>
      <c r="AB34" s="2"/>
      <c r="AC34" s="2"/>
      <c r="AD34" s="445"/>
      <c r="AE34" s="449"/>
      <c r="AF34" s="447"/>
      <c r="AG34" s="2"/>
      <c r="AH34" s="2"/>
      <c r="AI34" s="2"/>
    </row>
    <row r="35" spans="1:41" ht="15" hidden="1" customHeight="1" outlineLevel="1" x14ac:dyDescent="0.25">
      <c r="A35" s="237"/>
      <c r="B35" s="237" t="s">
        <v>1068</v>
      </c>
      <c r="C35" s="736" t="str">
        <f>IF('3. ServiceStats Set Up'!$T$8="MW", '2. Pop_Prev Set Up'!$V$10, '2. Pop_Prev Set Up'!$W$10)</f>
        <v>TPCm (TF): DHS</v>
      </c>
      <c r="D35" s="942" t="e">
        <f>VLOOKUP(D$31, '2. Pop_Prev Set Up'!$T$11:$AE$28, MATCH($C35, '2. Pop_Prev Set Up'!$T$10:$AE$10, 0), FALSE)</f>
        <v>#N/A</v>
      </c>
      <c r="E35" s="942" t="e">
        <f>VLOOKUP(E$31, '2. Pop_Prev Set Up'!$T$11:$AE$28, MATCH($C35, '2. Pop_Prev Set Up'!$T$10:$AE$10, 0), FALSE)</f>
        <v>#N/A</v>
      </c>
      <c r="F35" s="942" t="e">
        <f>VLOOKUP(F$31, '2. Pop_Prev Set Up'!$T$11:$AE$28, MATCH($C35, '2. Pop_Prev Set Up'!$T$10:$AE$10, 0), FALSE)</f>
        <v>#N/A</v>
      </c>
      <c r="G35" s="942" t="e">
        <f>VLOOKUP(G$31, '2. Pop_Prev Set Up'!$T$11:$AE$28, MATCH($C35, '2. Pop_Prev Set Up'!$T$10:$AE$10, 0), FALSE)</f>
        <v>#N/A</v>
      </c>
      <c r="H35" s="942" t="e">
        <f>VLOOKUP(H$31, '2. Pop_Prev Set Up'!$T$11:$AE$28, MATCH($C35, '2. Pop_Prev Set Up'!$T$10:$AE$10, 0), FALSE)</f>
        <v>#N/A</v>
      </c>
      <c r="I35" s="942" t="e">
        <f>VLOOKUP(I$31, '2. Pop_Prev Set Up'!$T$11:$AE$28, MATCH($C35, '2. Pop_Prev Set Up'!$T$10:$AE$10, 0), FALSE)</f>
        <v>#N/A</v>
      </c>
      <c r="J35" s="942" t="e">
        <f>VLOOKUP(J$31, '2. Pop_Prev Set Up'!$T$11:$AE$28, MATCH($C35, '2. Pop_Prev Set Up'!$T$10:$AE$10, 0), FALSE)</f>
        <v>#N/A</v>
      </c>
      <c r="K35" s="942" t="e">
        <f>VLOOKUP(K$31, '2. Pop_Prev Set Up'!$T$11:$AE$28, MATCH($C35, '2. Pop_Prev Set Up'!$T$10:$AE$10, 0), FALSE)</f>
        <v>#N/A</v>
      </c>
      <c r="L35" s="942" t="e">
        <f>VLOOKUP(L$31, '2. Pop_Prev Set Up'!$T$11:$AE$28, MATCH($C35, '2. Pop_Prev Set Up'!$T$10:$AE$10, 0), FALSE)</f>
        <v>#N/A</v>
      </c>
      <c r="M35" s="942" t="e">
        <f>VLOOKUP(M$31, '2. Pop_Prev Set Up'!$T$11:$AE$28, MATCH($C35, '2. Pop_Prev Set Up'!$T$10:$AE$10, 0), FALSE)</f>
        <v>#N/A</v>
      </c>
      <c r="N35" s="942" t="e">
        <f>VLOOKUP(N$31, '2. Pop_Prev Set Up'!$T$11:$AE$28, MATCH($C35, '2. Pop_Prev Set Up'!$T$10:$AE$10, 0), FALSE)</f>
        <v>#N/A</v>
      </c>
      <c r="O35" s="942" t="e">
        <f>VLOOKUP(O$31, '2. Pop_Prev Set Up'!$T$11:$AE$28, MATCH($C35, '2. Pop_Prev Set Up'!$T$10:$AE$10, 0), FALSE)</f>
        <v>#N/A</v>
      </c>
      <c r="P35" s="942" t="e">
        <f>VLOOKUP(P$31, '2. Pop_Prev Set Up'!$T$11:$AE$28, MATCH($C35, '2. Pop_Prev Set Up'!$T$10:$AE$10, 0), FALSE)</f>
        <v>#N/A</v>
      </c>
      <c r="Q35" s="942" t="e">
        <f>VLOOKUP(Q$31, '2. Pop_Prev Set Up'!$T$11:$AE$28, MATCH($C35, '2. Pop_Prev Set Up'!$T$10:$AE$10, 0), FALSE)</f>
        <v>#N/A</v>
      </c>
      <c r="R35" s="942" t="e">
        <f>VLOOKUP(R$31, '2. Pop_Prev Set Up'!$T$11:$AE$28, MATCH($C35, '2. Pop_Prev Set Up'!$T$10:$AE$10, 0), FALSE)</f>
        <v>#N/A</v>
      </c>
      <c r="S35" s="942" t="e">
        <f>VLOOKUP(S$31, '2. Pop_Prev Set Up'!$T$11:$AE$28, MATCH($C35, '2. Pop_Prev Set Up'!$T$10:$AE$10, 0), FALSE)</f>
        <v>#N/A</v>
      </c>
      <c r="U35" s="968"/>
      <c r="V35" s="2"/>
      <c r="W35" s="807"/>
      <c r="X35" s="2"/>
      <c r="Y35" s="2"/>
      <c r="Z35" s="2"/>
      <c r="AA35" s="2"/>
      <c r="AB35" s="2"/>
      <c r="AC35" s="2"/>
      <c r="AD35" s="445"/>
      <c r="AE35" s="449"/>
      <c r="AF35" s="447"/>
      <c r="AG35" s="2"/>
      <c r="AH35" s="2"/>
      <c r="AI35" s="2"/>
    </row>
    <row r="36" spans="1:41" ht="15" hidden="1" customHeight="1" outlineLevel="1" x14ac:dyDescent="0.25">
      <c r="A36" s="237"/>
      <c r="B36" s="237" t="s">
        <v>565</v>
      </c>
      <c r="C36" s="736" t="str">
        <f>C35</f>
        <v>TPCm (TF): DHS</v>
      </c>
      <c r="D36" s="942" t="str">
        <f>IFERROR(D35, "")</f>
        <v/>
      </c>
      <c r="E36" s="942" t="str">
        <f>IFERROR(E35, "")</f>
        <v/>
      </c>
      <c r="F36" s="942" t="str">
        <f t="shared" ref="F36:S36" si="18">IFERROR(F35, "")</f>
        <v/>
      </c>
      <c r="G36" s="942" t="str">
        <f t="shared" si="18"/>
        <v/>
      </c>
      <c r="H36" s="942" t="str">
        <f t="shared" si="18"/>
        <v/>
      </c>
      <c r="I36" s="942" t="str">
        <f t="shared" si="18"/>
        <v/>
      </c>
      <c r="J36" s="942" t="str">
        <f t="shared" si="18"/>
        <v/>
      </c>
      <c r="K36" s="942" t="str">
        <f t="shared" si="18"/>
        <v/>
      </c>
      <c r="L36" s="942" t="str">
        <f t="shared" si="18"/>
        <v/>
      </c>
      <c r="M36" s="942" t="str">
        <f t="shared" si="18"/>
        <v/>
      </c>
      <c r="N36" s="942" t="str">
        <f t="shared" si="18"/>
        <v/>
      </c>
      <c r="O36" s="942" t="str">
        <f t="shared" si="18"/>
        <v/>
      </c>
      <c r="P36" s="942" t="str">
        <f t="shared" si="18"/>
        <v/>
      </c>
      <c r="Q36" s="942" t="str">
        <f t="shared" si="18"/>
        <v/>
      </c>
      <c r="R36" s="942" t="str">
        <f t="shared" si="18"/>
        <v/>
      </c>
      <c r="S36" s="942" t="str">
        <f t="shared" si="18"/>
        <v/>
      </c>
      <c r="U36" s="968" t="e">
        <f>IFERROR((MAX($D$36:$R$36)-MIN($D$36:$R$36))/ (HLOOKUP(MAX($D$36:$R$36), $D$36:$R$41, 6, FALSE) - HLOOKUP(MIN($D$36:$R$36), $D$36:$R$41, 6, FALSE)), NA())</f>
        <v>#N/A</v>
      </c>
      <c r="V36" s="2"/>
      <c r="W36" s="807"/>
      <c r="X36" s="2"/>
      <c r="Y36" s="2"/>
      <c r="Z36" s="2"/>
      <c r="AA36" s="2"/>
      <c r="AB36" s="2"/>
      <c r="AC36" s="2"/>
      <c r="AD36" s="445"/>
      <c r="AE36" s="449"/>
      <c r="AF36" s="447"/>
      <c r="AG36" s="2"/>
      <c r="AH36" s="2"/>
      <c r="AI36" s="2"/>
    </row>
    <row r="37" spans="1:41" ht="15" hidden="1" customHeight="1" outlineLevel="1" x14ac:dyDescent="0.25">
      <c r="A37" s="238"/>
      <c r="B37" s="237" t="s">
        <v>565</v>
      </c>
      <c r="C37" s="736" t="str">
        <f>IF('3. ServiceStats Set Up'!$T$8="MW",'2. Pop_Prev Set Up'!$AD$10,'2. Pop_Prev Set Up'!$AE$10)</f>
        <v>TPCm (TF): FPET Global Run (2022)</v>
      </c>
      <c r="D37" s="942"/>
      <c r="E37" s="942" t="str">
        <f>IFERROR(E38-D38, "")</f>
        <v/>
      </c>
      <c r="F37" s="942" t="str">
        <f t="shared" ref="F37:S37" si="19">IFERROR(F38-E38, "")</f>
        <v/>
      </c>
      <c r="G37" s="942" t="str">
        <f t="shared" si="19"/>
        <v/>
      </c>
      <c r="H37" s="942" t="str">
        <f t="shared" si="19"/>
        <v/>
      </c>
      <c r="I37" s="942" t="str">
        <f t="shared" si="19"/>
        <v/>
      </c>
      <c r="J37" s="942" t="str">
        <f t="shared" si="19"/>
        <v/>
      </c>
      <c r="K37" s="942" t="str">
        <f t="shared" si="19"/>
        <v/>
      </c>
      <c r="L37" s="942" t="str">
        <f t="shared" si="19"/>
        <v/>
      </c>
      <c r="M37" s="942" t="str">
        <f t="shared" si="19"/>
        <v/>
      </c>
      <c r="N37" s="942" t="str">
        <f t="shared" si="19"/>
        <v/>
      </c>
      <c r="O37" s="942" t="str">
        <f t="shared" si="19"/>
        <v/>
      </c>
      <c r="P37" s="942" t="str">
        <f t="shared" si="19"/>
        <v/>
      </c>
      <c r="Q37" s="942" t="str">
        <f t="shared" si="19"/>
        <v/>
      </c>
      <c r="R37" s="942" t="str">
        <f t="shared" si="19"/>
        <v/>
      </c>
      <c r="S37" s="942" t="str">
        <f t="shared" si="19"/>
        <v/>
      </c>
      <c r="U37" s="968" t="e">
        <f>AVERAGE(D37:R37)</f>
        <v>#DIV/0!</v>
      </c>
      <c r="V37" s="2"/>
      <c r="W37" s="807"/>
      <c r="X37" s="2"/>
      <c r="Y37" s="2"/>
      <c r="Z37" s="2"/>
      <c r="AA37" s="2"/>
      <c r="AB37" s="2"/>
      <c r="AC37" s="2"/>
      <c r="AD37" s="445" t="s">
        <v>1246</v>
      </c>
      <c r="AE37" s="449"/>
      <c r="AF37" s="655" t="s">
        <v>2417</v>
      </c>
      <c r="AG37" s="2"/>
      <c r="AH37" s="2"/>
      <c r="AI37" s="2"/>
    </row>
    <row r="38" spans="1:41" ht="15" hidden="1" customHeight="1" outlineLevel="1" x14ac:dyDescent="0.25">
      <c r="A38" s="237"/>
      <c r="B38" s="237" t="s">
        <v>1068</v>
      </c>
      <c r="C38" s="736" t="str">
        <f>C37</f>
        <v>TPCm (TF): FPET Global Run (2022)</v>
      </c>
      <c r="D38" s="942" t="e">
        <f>VLOOKUP(D$31, '2. Pop_Prev Set Up'!$T$11:$AE$28, MATCH($C38, '2. Pop_Prev Set Up'!$T$10:$AE$10, 0), FALSE)</f>
        <v>#N/A</v>
      </c>
      <c r="E38" s="942" t="str">
        <f>VLOOKUP(E$31, '2. Pop_Prev Set Up'!$T$11:$AE$28, MATCH($C38, '2. Pop_Prev Set Up'!$T$10:$AE$10, 0), FALSE)</f>
        <v/>
      </c>
      <c r="F38" s="942" t="str">
        <f>VLOOKUP(F$31, '2. Pop_Prev Set Up'!$T$11:$AE$28, MATCH($C38, '2. Pop_Prev Set Up'!$T$10:$AE$10, 0), FALSE)</f>
        <v/>
      </c>
      <c r="G38" s="942" t="str">
        <f>VLOOKUP(G$31, '2. Pop_Prev Set Up'!$T$11:$AE$28, MATCH($C38, '2. Pop_Prev Set Up'!$T$10:$AE$10, 0), FALSE)</f>
        <v/>
      </c>
      <c r="H38" s="942" t="str">
        <f>VLOOKUP(H$31, '2. Pop_Prev Set Up'!$T$11:$AE$28, MATCH($C38, '2. Pop_Prev Set Up'!$T$10:$AE$10, 0), FALSE)</f>
        <v/>
      </c>
      <c r="I38" s="942" t="str">
        <f>VLOOKUP(I$31, '2. Pop_Prev Set Up'!$T$11:$AE$28, MATCH($C38, '2. Pop_Prev Set Up'!$T$10:$AE$10, 0), FALSE)</f>
        <v/>
      </c>
      <c r="J38" s="942" t="str">
        <f>VLOOKUP(J$31, '2. Pop_Prev Set Up'!$T$11:$AE$28, MATCH($C38, '2. Pop_Prev Set Up'!$T$10:$AE$10, 0), FALSE)</f>
        <v/>
      </c>
      <c r="K38" s="942" t="str">
        <f>VLOOKUP(K$31, '2. Pop_Prev Set Up'!$T$11:$AE$28, MATCH($C38, '2. Pop_Prev Set Up'!$T$10:$AE$10, 0), FALSE)</f>
        <v/>
      </c>
      <c r="L38" s="942" t="str">
        <f>VLOOKUP(L$31, '2. Pop_Prev Set Up'!$T$11:$AE$28, MATCH($C38, '2. Pop_Prev Set Up'!$T$10:$AE$10, 0), FALSE)</f>
        <v/>
      </c>
      <c r="M38" s="942" t="str">
        <f>VLOOKUP(M$31, '2. Pop_Prev Set Up'!$T$11:$AE$28, MATCH($C38, '2. Pop_Prev Set Up'!$T$10:$AE$10, 0), FALSE)</f>
        <v/>
      </c>
      <c r="N38" s="942" t="str">
        <f>VLOOKUP(N$31, '2. Pop_Prev Set Up'!$T$11:$AE$28, MATCH($C38, '2. Pop_Prev Set Up'!$T$10:$AE$10, 0), FALSE)</f>
        <v/>
      </c>
      <c r="O38" s="942" t="str">
        <f>VLOOKUP(O$31, '2. Pop_Prev Set Up'!$T$11:$AE$28, MATCH($C38, '2. Pop_Prev Set Up'!$T$10:$AE$10, 0), FALSE)</f>
        <v/>
      </c>
      <c r="P38" s="942" t="str">
        <f>VLOOKUP(P$31, '2. Pop_Prev Set Up'!$T$11:$AE$28, MATCH($C38, '2. Pop_Prev Set Up'!$T$10:$AE$10, 0), FALSE)</f>
        <v/>
      </c>
      <c r="Q38" s="942" t="str">
        <f>VLOOKUP(Q$31, '2. Pop_Prev Set Up'!$T$11:$AE$28, MATCH($C38, '2. Pop_Prev Set Up'!$T$10:$AE$10, 0), FALSE)</f>
        <v/>
      </c>
      <c r="R38" s="942" t="str">
        <f>VLOOKUP(R$31, '2. Pop_Prev Set Up'!$T$11:$AE$28, MATCH($C38, '2. Pop_Prev Set Up'!$T$10:$AE$10, 0), FALSE)</f>
        <v/>
      </c>
      <c r="S38" s="942" t="str">
        <f>VLOOKUP(S$31, '2. Pop_Prev Set Up'!$T$11:$AE$28, MATCH($C38, '2. Pop_Prev Set Up'!$T$10:$AE$10, 0), FALSE)</f>
        <v/>
      </c>
      <c r="U38" s="968"/>
      <c r="V38" s="2"/>
      <c r="W38" s="807"/>
      <c r="X38" s="2"/>
      <c r="Y38" s="2"/>
      <c r="Z38" s="2"/>
      <c r="AA38" s="2"/>
      <c r="AB38" s="2"/>
      <c r="AC38" s="2"/>
      <c r="AD38" s="445" t="s">
        <v>1245</v>
      </c>
      <c r="AE38" s="449"/>
      <c r="AF38" s="655" t="s">
        <v>2418</v>
      </c>
      <c r="AG38" s="2"/>
      <c r="AH38" s="2"/>
      <c r="AI38" s="2"/>
    </row>
    <row r="39" spans="1:41" ht="15" hidden="1" customHeight="1" outlineLevel="1" x14ac:dyDescent="0.25">
      <c r="A39" s="238"/>
      <c r="B39" s="237" t="s">
        <v>565</v>
      </c>
      <c r="C39" s="736" t="str">
        <f>IF(Language="English", AD50, AF50)</f>
        <v>EUM: Produits inc. Préservatifs</v>
      </c>
      <c r="D39" s="942"/>
      <c r="E39" s="942" t="str">
        <f>IFERROR(E33-D33, "")</f>
        <v/>
      </c>
      <c r="F39" s="942" t="str">
        <f t="shared" ref="F39:S39" si="20">IFERROR(F33-E33, "")</f>
        <v/>
      </c>
      <c r="G39" s="942" t="str">
        <f t="shared" si="20"/>
        <v/>
      </c>
      <c r="H39" s="942" t="str">
        <f t="shared" si="20"/>
        <v/>
      </c>
      <c r="I39" s="942" t="str">
        <f t="shared" si="20"/>
        <v/>
      </c>
      <c r="J39" s="942" t="str">
        <f t="shared" si="20"/>
        <v/>
      </c>
      <c r="K39" s="942" t="str">
        <f t="shared" si="20"/>
        <v/>
      </c>
      <c r="L39" s="942" t="str">
        <f t="shared" si="20"/>
        <v/>
      </c>
      <c r="M39" s="942" t="str">
        <f t="shared" si="20"/>
        <v/>
      </c>
      <c r="N39" s="942" t="str">
        <f t="shared" si="20"/>
        <v/>
      </c>
      <c r="O39" s="942" t="str">
        <f t="shared" si="20"/>
        <v/>
      </c>
      <c r="P39" s="942" t="str">
        <f t="shared" si="20"/>
        <v/>
      </c>
      <c r="Q39" s="942" t="str">
        <f t="shared" si="20"/>
        <v/>
      </c>
      <c r="R39" s="942" t="str">
        <f t="shared" si="20"/>
        <v/>
      </c>
      <c r="S39" s="942" t="str">
        <f t="shared" si="20"/>
        <v/>
      </c>
      <c r="U39" s="968" t="e">
        <f>AVERAGE(D39:R39)</f>
        <v>#DIV/0!</v>
      </c>
      <c r="V39" s="2"/>
      <c r="W39" s="807"/>
      <c r="X39" s="2"/>
      <c r="Y39" s="2"/>
      <c r="Z39" s="2"/>
      <c r="AA39" s="2"/>
      <c r="AB39" s="2"/>
      <c r="AC39" s="2"/>
      <c r="AD39" s="654" t="s">
        <v>2001</v>
      </c>
      <c r="AE39" s="449"/>
      <c r="AF39" s="655" t="s">
        <v>2419</v>
      </c>
      <c r="AG39" s="2"/>
      <c r="AH39" s="2"/>
      <c r="AI39" s="2"/>
    </row>
    <row r="40" spans="1:41" ht="15.75" hidden="1" customHeight="1" outlineLevel="1" thickBot="1" x14ac:dyDescent="0.3">
      <c r="A40" s="238"/>
      <c r="B40" s="237" t="s">
        <v>565</v>
      </c>
      <c r="C40" s="737" t="str">
        <f>IF(Language="English", AD51, AF51)</f>
        <v>EUM: Produits ex. Préservatifs</v>
      </c>
      <c r="D40" s="944"/>
      <c r="E40" s="942" t="str">
        <f>IFERROR(E34-D34, "")</f>
        <v/>
      </c>
      <c r="F40" s="942" t="str">
        <f t="shared" ref="F40:S40" si="21">IFERROR(F34-E34, "")</f>
        <v/>
      </c>
      <c r="G40" s="942" t="str">
        <f t="shared" si="21"/>
        <v/>
      </c>
      <c r="H40" s="942" t="str">
        <f t="shared" si="21"/>
        <v/>
      </c>
      <c r="I40" s="942" t="str">
        <f t="shared" si="21"/>
        <v/>
      </c>
      <c r="J40" s="942" t="str">
        <f t="shared" si="21"/>
        <v/>
      </c>
      <c r="K40" s="942" t="str">
        <f t="shared" si="21"/>
        <v/>
      </c>
      <c r="L40" s="942" t="str">
        <f t="shared" si="21"/>
        <v/>
      </c>
      <c r="M40" s="942" t="str">
        <f t="shared" si="21"/>
        <v/>
      </c>
      <c r="N40" s="942" t="str">
        <f t="shared" si="21"/>
        <v/>
      </c>
      <c r="O40" s="942" t="str">
        <f t="shared" si="21"/>
        <v/>
      </c>
      <c r="P40" s="942" t="str">
        <f t="shared" si="21"/>
        <v/>
      </c>
      <c r="Q40" s="942" t="str">
        <f t="shared" si="21"/>
        <v/>
      </c>
      <c r="R40" s="942" t="str">
        <f t="shared" si="21"/>
        <v/>
      </c>
      <c r="S40" s="942" t="str">
        <f t="shared" si="21"/>
        <v/>
      </c>
      <c r="U40" s="968" t="e">
        <f>AVERAGE(D40:R40)</f>
        <v>#DIV/0!</v>
      </c>
      <c r="V40" s="2"/>
      <c r="W40" s="807"/>
      <c r="X40" s="2"/>
      <c r="Y40" s="2"/>
      <c r="Z40" s="2"/>
      <c r="AA40" s="2"/>
      <c r="AB40" s="2"/>
      <c r="AC40" s="2"/>
      <c r="AD40" s="445" t="s">
        <v>1247</v>
      </c>
      <c r="AE40" s="449"/>
      <c r="AF40" s="447" t="s">
        <v>2420</v>
      </c>
      <c r="AG40" s="2"/>
      <c r="AH40" s="2"/>
      <c r="AI40" s="2"/>
    </row>
    <row r="41" spans="1:41" ht="15" hidden="1" customHeight="1" outlineLevel="1" x14ac:dyDescent="0.25">
      <c r="C41"/>
      <c r="D41" s="2">
        <f>D31</f>
        <v>0</v>
      </c>
      <c r="E41" s="2" t="str">
        <f>E31</f>
        <v/>
      </c>
      <c r="F41" s="2" t="str">
        <f t="shared" ref="F41:S41" si="22">F31</f>
        <v/>
      </c>
      <c r="G41" s="2" t="str">
        <f t="shared" si="22"/>
        <v/>
      </c>
      <c r="H41" s="2" t="str">
        <f t="shared" si="22"/>
        <v/>
      </c>
      <c r="I41" s="2" t="str">
        <f t="shared" si="22"/>
        <v/>
      </c>
      <c r="J41" s="2" t="str">
        <f t="shared" si="22"/>
        <v/>
      </c>
      <c r="K41" s="2" t="str">
        <f t="shared" si="22"/>
        <v/>
      </c>
      <c r="L41" s="2" t="str">
        <f t="shared" si="22"/>
        <v/>
      </c>
      <c r="M41" s="2" t="str">
        <f t="shared" si="22"/>
        <v/>
      </c>
      <c r="N41" s="2" t="str">
        <f t="shared" si="22"/>
        <v/>
      </c>
      <c r="O41" s="2" t="str">
        <f t="shared" si="22"/>
        <v/>
      </c>
      <c r="P41" s="2" t="str">
        <f t="shared" si="22"/>
        <v/>
      </c>
      <c r="Q41" s="2" t="str">
        <f t="shared" si="22"/>
        <v/>
      </c>
      <c r="R41" s="2" t="str">
        <f t="shared" si="22"/>
        <v/>
      </c>
      <c r="S41" s="2" t="str">
        <f t="shared" si="22"/>
        <v/>
      </c>
      <c r="U41" s="2"/>
      <c r="V41" s="2"/>
      <c r="W41" s="807"/>
      <c r="X41" s="2"/>
      <c r="Y41" s="2"/>
      <c r="Z41" s="2"/>
      <c r="AA41" s="2"/>
      <c r="AB41" s="2"/>
      <c r="AC41" s="2"/>
      <c r="AD41" s="445" t="s">
        <v>1248</v>
      </c>
      <c r="AE41" s="449"/>
      <c r="AF41" s="447" t="s">
        <v>2421</v>
      </c>
      <c r="AG41" s="2"/>
      <c r="AH41" s="2"/>
      <c r="AI41" s="2"/>
    </row>
    <row r="42" spans="1:41" ht="15" hidden="1" customHeight="1" outlineLevel="1" x14ac:dyDescent="0.25">
      <c r="D42" s="2"/>
      <c r="E42" s="2"/>
      <c r="F42" s="2"/>
      <c r="G42" s="2"/>
      <c r="H42" s="2"/>
      <c r="I42" s="2"/>
      <c r="J42" s="2"/>
      <c r="K42" s="2"/>
      <c r="L42" s="2"/>
      <c r="M42" s="2"/>
      <c r="N42" s="2"/>
      <c r="O42" s="2"/>
      <c r="P42" s="2"/>
      <c r="Q42" s="2"/>
      <c r="R42" s="2"/>
      <c r="S42" s="2"/>
      <c r="U42" s="2"/>
      <c r="V42" s="2"/>
      <c r="X42" s="2"/>
      <c r="Y42" s="2"/>
      <c r="Z42" s="2"/>
      <c r="AA42" s="2"/>
      <c r="AB42" s="2"/>
      <c r="AC42" s="2"/>
      <c r="AD42" s="445" t="s">
        <v>2002</v>
      </c>
      <c r="AE42" s="449"/>
      <c r="AF42" s="447" t="s">
        <v>2422</v>
      </c>
      <c r="AG42" s="2"/>
      <c r="AH42" s="2"/>
      <c r="AI42" s="2"/>
      <c r="AJ42" s="2"/>
      <c r="AK42" s="2"/>
      <c r="AL42" s="2"/>
    </row>
    <row r="43" spans="1:41" ht="105" hidden="1" customHeight="1" outlineLevel="1" x14ac:dyDescent="0.25">
      <c r="C43" s="139"/>
      <c r="D43" s="141" t="str">
        <f>'Language Look Ups'!B20&amp;" : "&amp;D44</f>
        <v>Mélange Estimée de Méthodes Modernes : 2021</v>
      </c>
      <c r="E43" s="289" t="e">
        <f>'5. MethodMix Set Up'!I7 &amp;" : "&amp;E44</f>
        <v>#N/A</v>
      </c>
      <c r="F43" s="141" t="str">
        <f>C6&amp;" : "&amp;F44</f>
        <v>Utilisatrices par méthode 
(statistiques de service) : 2021</v>
      </c>
      <c r="G43" s="141" t="str">
        <f>C18&amp;" : "&amp;G44</f>
        <v>Utilisatrices par méthode 
(enquête) : 2021</v>
      </c>
      <c r="M43">
        <f>$O$65</f>
        <v>2021</v>
      </c>
      <c r="N43">
        <f>$O$65</f>
        <v>2021</v>
      </c>
      <c r="O43">
        <f>$O$65</f>
        <v>2021</v>
      </c>
      <c r="AD43" s="654" t="s">
        <v>1244</v>
      </c>
      <c r="AE43" s="449"/>
      <c r="AF43" s="655" t="s">
        <v>2423</v>
      </c>
    </row>
    <row r="44" spans="1:41" ht="15" hidden="1" customHeight="1" outlineLevel="1" x14ac:dyDescent="0.25">
      <c r="C44" s="139"/>
      <c r="D44" s="140">
        <f>O76</f>
        <v>2021</v>
      </c>
      <c r="E44" s="290" t="e">
        <f>'5. MethodMix Set Up'!I9&amp;" ("&amp;'5. MethodMix Set Up'!I10&amp;")"</f>
        <v>#N/A</v>
      </c>
      <c r="F44" s="140">
        <f>$O$76</f>
        <v>2021</v>
      </c>
      <c r="G44" s="290">
        <f>$O$76</f>
        <v>2021</v>
      </c>
      <c r="M44" s="141" t="str">
        <f>IF(Language="English", AD37, AF37)&amp;" : "&amp;M43</f>
        <v>Utilisatrices par méthode 
(statistiques de service - non ajustées) : 2021</v>
      </c>
      <c r="N44" s="141" t="str">
        <f>IF(Language="English", AD38, AF38)&amp;" : "&amp;N43</f>
        <v>Utilisatrices par méthode 
(statistiques de service - ajustées) : 2021</v>
      </c>
      <c r="O44" s="141" t="str">
        <f>IF(Language="English", AD39, AF39)&amp;" : "&amp;O43</f>
        <v>Utilisatrices par méthode 
(enquête / FPET) : 2021</v>
      </c>
      <c r="AD44" s="445"/>
      <c r="AE44" s="449"/>
      <c r="AF44" s="447"/>
    </row>
    <row r="45" spans="1:41" ht="18" hidden="1" customHeight="1" outlineLevel="1" x14ac:dyDescent="0.25">
      <c r="C45" s="139" t="str">
        <f>'5. MethodMix Set Up'!G12</f>
        <v>Stérilisation (f)</v>
      </c>
      <c r="D45" s="647" t="e">
        <f>IF(HLOOKUP($D$44, $C$6:$S$15, 2, FALSE)=0, NA(), HLOOKUP($D$44, $C$6:$S$15, 2, FALSE)/HLOOKUP($D$44, $C$6:$S$16, 11, FALSE))</f>
        <v>#N/A</v>
      </c>
      <c r="E45" s="648" t="str">
        <f>IF('5. MethodMix Set Up'!I12=0, NA(), '5. MethodMix Set Up'!I12)</f>
        <v/>
      </c>
      <c r="F45" s="712" t="e">
        <f t="shared" ref="F45:F53" si="23">MROUND(VLOOKUP($C45, $C$7:$T$16, MATCH(F$44, $C$6:$T$6, 0), FALSE),100)</f>
        <v>#N/A</v>
      </c>
      <c r="G45" s="712" t="e">
        <f t="shared" ref="G45:G53" si="24">MROUND(VLOOKUP($C45, $C$18:$T$27, MATCH(G$44, $C$18:$T$18, 0), FALSE),100)</f>
        <v>#N/A</v>
      </c>
      <c r="L45" s="915" t="str">
        <f>'5. MethodMix Set Up'!$G$12</f>
        <v>Stérilisation (f)</v>
      </c>
      <c r="M45" s="964" t="e">
        <f>VLOOKUP($L45, 'Commodities (Facility) Input'!$BJ$59:$BZ$70, MATCH($M$43, 'Commodities (Facility) Input'!$BJ$58:$BZ$58, 0), FALSE)</f>
        <v>#N/A</v>
      </c>
      <c r="N45" s="964" t="e">
        <f>VLOOKUP($L45,'Commodities (Facility) Input'!$CB$58:$CR$70, MATCH($M$43, 'Commodities (Facility) Input'!$CB$58:$CR$58, 0), FALSE)</f>
        <v>#N/A</v>
      </c>
      <c r="O45" s="964">
        <f t="shared" ref="O45:O54" si="25">IFERROR(VLOOKUP(L45, $C$19:$S$27, MATCH(M$43, $C$18:$S$18,0), FALSE), 0)</f>
        <v>0</v>
      </c>
      <c r="AD45" s="445" t="s">
        <v>561</v>
      </c>
      <c r="AE45" s="449"/>
      <c r="AF45" s="447" t="s">
        <v>831</v>
      </c>
    </row>
    <row r="46" spans="1:41" ht="15" hidden="1" customHeight="1" outlineLevel="1" x14ac:dyDescent="0.25">
      <c r="C46" s="139" t="str">
        <f>'5. MethodMix Set Up'!G13</f>
        <v>Stérilisation (m)</v>
      </c>
      <c r="D46" s="647" t="e">
        <f>IF(HLOOKUP($D$44, $C$6:$S$15, 3, FALSE)=0, NA(), HLOOKUP($D$44, $C$6:$S$15, 3, FALSE)/HLOOKUP($D$44, $C$6:$S$16, 11, FALSE))</f>
        <v>#N/A</v>
      </c>
      <c r="E46" s="648" t="str">
        <f>IF('5. MethodMix Set Up'!I13=0, NA(), '5. MethodMix Set Up'!I13)</f>
        <v/>
      </c>
      <c r="F46" s="712" t="e">
        <f t="shared" si="23"/>
        <v>#N/A</v>
      </c>
      <c r="G46" s="712" t="e">
        <f t="shared" si="24"/>
        <v>#N/A</v>
      </c>
      <c r="L46" s="915" t="str">
        <f>'5. MethodMix Set Up'!$G$13</f>
        <v>Stérilisation (m)</v>
      </c>
      <c r="M46" s="964" t="e">
        <f>VLOOKUP($L46, 'Commodities (Facility) Input'!$BJ$59:$BZ$70, MATCH($M$43, 'Commodities (Facility) Input'!$BJ$58:$BZ$58, 0), FALSE)</f>
        <v>#N/A</v>
      </c>
      <c r="N46" s="964" t="e">
        <f>VLOOKUP($L46,'Commodities (Facility) Input'!$CB$58:$CR$70, MATCH($M$43, 'Commodities (Facility) Input'!$CB$58:$CR$58, 0), FALSE)</f>
        <v>#N/A</v>
      </c>
      <c r="O46" s="964">
        <f t="shared" si="25"/>
        <v>0</v>
      </c>
      <c r="AD46" s="445" t="s">
        <v>320</v>
      </c>
      <c r="AE46" s="449"/>
      <c r="AF46" s="447" t="s">
        <v>832</v>
      </c>
    </row>
    <row r="47" spans="1:41" ht="15" hidden="1" customHeight="1" outlineLevel="1" x14ac:dyDescent="0.25">
      <c r="C47" s="139" t="str">
        <f>'5. MethodMix Set Up'!G14</f>
        <v>DIU</v>
      </c>
      <c r="D47" s="647" t="e">
        <f>IF(HLOOKUP($D$44, $C$6:$T$15, 4, FALSE)=0, NA(), HLOOKUP($D$44, $C$6:$T$15, 4, FALSE)/HLOOKUP($D$44, $C$6:$S$16, 11, FALSE))</f>
        <v>#N/A</v>
      </c>
      <c r="E47" s="648" t="str">
        <f>IF('5. MethodMix Set Up'!I14=0, NA(), '5. MethodMix Set Up'!I14)</f>
        <v/>
      </c>
      <c r="F47" s="712" t="e">
        <f t="shared" si="23"/>
        <v>#N/A</v>
      </c>
      <c r="G47" s="712" t="e">
        <f t="shared" si="24"/>
        <v>#N/A</v>
      </c>
      <c r="L47" s="915" t="str">
        <f>'5. MethodMix Set Up'!$G$14</f>
        <v>DIU</v>
      </c>
      <c r="M47" s="964" t="e">
        <f>VLOOKUP($L47, 'Commodities (Facility) Input'!$BJ$59:$BZ$70, MATCH($M$43, 'Commodities (Facility) Input'!$BJ$58:$BZ$58, 0), FALSE)</f>
        <v>#N/A</v>
      </c>
      <c r="N47" s="964" t="e">
        <f>VLOOKUP($L47,'Commodities (Facility) Input'!$CB$58:$CR$70, MATCH($M$43, 'Commodities (Facility) Input'!$CB$58:$CR$58, 0), FALSE)</f>
        <v>#N/A</v>
      </c>
      <c r="O47" s="964">
        <f t="shared" si="25"/>
        <v>0</v>
      </c>
      <c r="AD47" s="445"/>
      <c r="AE47" s="449"/>
      <c r="AF47" s="447"/>
      <c r="AO47" s="184"/>
    </row>
    <row r="48" spans="1:41" ht="15" hidden="1" customHeight="1" outlineLevel="1" x14ac:dyDescent="0.25">
      <c r="C48" s="139" t="str">
        <f>'5. MethodMix Set Up'!G15</f>
        <v>Implant</v>
      </c>
      <c r="D48" s="647" t="e">
        <f>IF(HLOOKUP($D$44, $C$6:$T$15, 5, FALSE)=0, NA(), HLOOKUP($D$44, $C$6:$T$15, 5, FALSE)/HLOOKUP($D$44, $C$6:$S$16, 11, FALSE))</f>
        <v>#N/A</v>
      </c>
      <c r="E48" s="648" t="str">
        <f>IF('5. MethodMix Set Up'!I15=0, NA(), '5. MethodMix Set Up'!I15)</f>
        <v/>
      </c>
      <c r="F48" s="712" t="e">
        <f t="shared" si="23"/>
        <v>#N/A</v>
      </c>
      <c r="G48" s="712" t="e">
        <f t="shared" si="24"/>
        <v>#N/A</v>
      </c>
      <c r="L48" s="915" t="str">
        <f>'5. MethodMix Set Up'!$G$15</f>
        <v>Implant</v>
      </c>
      <c r="M48" s="964" t="e">
        <f>VLOOKUP($L48, 'Commodities (Facility) Input'!$BJ$59:$BZ$70, MATCH($M$43, 'Commodities (Facility) Input'!$BJ$58:$BZ$58, 0), FALSE)</f>
        <v>#N/A</v>
      </c>
      <c r="N48" s="964" t="e">
        <f>VLOOKUP($L48,'Commodities (Facility) Input'!$CB$58:$CR$70, MATCH($M$43, 'Commodities (Facility) Input'!$CB$58:$CR$58, 0), FALSE)</f>
        <v>#N/A</v>
      </c>
      <c r="O48" s="964">
        <f t="shared" si="25"/>
        <v>0</v>
      </c>
      <c r="AD48" s="445"/>
      <c r="AE48" s="449"/>
      <c r="AF48" s="447"/>
    </row>
    <row r="49" spans="2:42" ht="15" hidden="1" customHeight="1" outlineLevel="1" x14ac:dyDescent="0.25">
      <c r="C49" s="139" t="str">
        <f>'5. MethodMix Set Up'!G16</f>
        <v>Produits injectables</v>
      </c>
      <c r="D49" s="647" t="e">
        <f>IF(HLOOKUP($D$44, $C$6:$T$15, 6, FALSE)=0, NA(), HLOOKUP($D$44, $C$6:$T$15, 6, FALSE)/HLOOKUP($D$44, $C$6:$S$16, 11, FALSE))</f>
        <v>#N/A</v>
      </c>
      <c r="E49" s="648" t="str">
        <f>IF('5. MethodMix Set Up'!I16=0, NA(), '5. MethodMix Set Up'!I16)</f>
        <v/>
      </c>
      <c r="F49" s="712" t="e">
        <f t="shared" si="23"/>
        <v>#N/A</v>
      </c>
      <c r="G49" s="712" t="e">
        <f t="shared" si="24"/>
        <v>#N/A</v>
      </c>
      <c r="L49" s="915" t="str">
        <f>'5. MethodMix Set Up'!$G$16</f>
        <v>Produits injectables</v>
      </c>
      <c r="M49" s="964" t="e">
        <f>VLOOKUP($L49, 'Commodities (Facility) Input'!$BJ$59:$BZ$70, MATCH($M$43, 'Commodities (Facility) Input'!$BJ$58:$BZ$58, 0), FALSE)</f>
        <v>#N/A</v>
      </c>
      <c r="N49" s="964" t="e">
        <f>VLOOKUP($L49,'Commodities (Facility) Input'!$CB$58:$CR$70, MATCH($M$43, 'Commodities (Facility) Input'!$CB$58:$CR$58, 0), FALSE)</f>
        <v>#N/A</v>
      </c>
      <c r="O49" s="964">
        <f t="shared" si="25"/>
        <v>0</v>
      </c>
      <c r="AD49" s="445"/>
      <c r="AE49" s="449"/>
      <c r="AF49" s="447"/>
    </row>
    <row r="50" spans="2:42" ht="15" hidden="1" customHeight="1" outlineLevel="1" x14ac:dyDescent="0.25">
      <c r="C50" s="139" t="str">
        <f>'5. MethodMix Set Up'!G17</f>
        <v>Pilule</v>
      </c>
      <c r="D50" s="647" t="e">
        <f>IF(HLOOKUP($D$44, $C$6:$T$15, 7, FALSE)=0, NA(), HLOOKUP($D$44, $C$6:$T$15, 7, FALSE)/HLOOKUP($D$44, $C$6:$S$16, 11, FALSE))</f>
        <v>#N/A</v>
      </c>
      <c r="E50" s="648" t="str">
        <f>IF('5. MethodMix Set Up'!I17=0, NA(), '5. MethodMix Set Up'!I17)</f>
        <v/>
      </c>
      <c r="F50" s="712" t="e">
        <f t="shared" si="23"/>
        <v>#N/A</v>
      </c>
      <c r="G50" s="712" t="e">
        <f t="shared" si="24"/>
        <v>#N/A</v>
      </c>
      <c r="L50" s="915" t="str">
        <f>'5. MethodMix Set Up'!$G$17</f>
        <v>Pilule</v>
      </c>
      <c r="M50" s="964" t="e">
        <f>VLOOKUP($L50, 'Commodities (Facility) Input'!$BJ$59:$BZ$70, MATCH($M$43, 'Commodities (Facility) Input'!$BJ$58:$BZ$58, 0), FALSE)</f>
        <v>#N/A</v>
      </c>
      <c r="N50" s="964" t="e">
        <f>VLOOKUP($L50,'Commodities (Facility) Input'!$CB$58:$CR$70, MATCH($M$43, 'Commodities (Facility) Input'!$CB$58:$CR$58, 0), FALSE)</f>
        <v>#N/A</v>
      </c>
      <c r="O50" s="964">
        <f t="shared" si="25"/>
        <v>0</v>
      </c>
      <c r="AD50" s="445" t="s">
        <v>561</v>
      </c>
      <c r="AE50" s="449"/>
      <c r="AF50" s="447" t="s">
        <v>831</v>
      </c>
    </row>
    <row r="51" spans="2:42" ht="15" hidden="1" customHeight="1" outlineLevel="1" x14ac:dyDescent="0.25">
      <c r="C51" s="139" t="str">
        <f>'5. MethodMix Set Up'!G18</f>
        <v>Préservatifs (m+f)</v>
      </c>
      <c r="D51" s="647" t="e">
        <f>IF(HLOOKUP($D$44, $C$6:$T$15, 8, FALSE)=0, NA(), HLOOKUP($D$44, $C$6:$T$15, 8, FALSE)/HLOOKUP($D$44, $C$6:$S$16, 11, FALSE))</f>
        <v>#N/A</v>
      </c>
      <c r="E51" s="648" t="str">
        <f>IF('5. MethodMix Set Up'!I18=0, NA(), '5. MethodMix Set Up'!I18)</f>
        <v/>
      </c>
      <c r="F51" s="712" t="e">
        <f t="shared" si="23"/>
        <v>#N/A</v>
      </c>
      <c r="G51" s="712" t="e">
        <f t="shared" si="24"/>
        <v>#N/A</v>
      </c>
      <c r="L51" s="915" t="str">
        <f>'5. MethodMix Set Up'!$G$18</f>
        <v>Préservatifs (m+f)</v>
      </c>
      <c r="M51" s="964" t="e">
        <f>VLOOKUP($L51, 'Commodities (Facility) Input'!$BJ$59:$BZ$70, MATCH($M$43, 'Commodities (Facility) Input'!$BJ$58:$BZ$58, 0), FALSE)</f>
        <v>#N/A</v>
      </c>
      <c r="N51" s="964" t="e">
        <f>VLOOKUP($L51,'Commodities (Facility) Input'!$CB$58:$CR$70, MATCH($M$43, 'Commodities (Facility) Input'!$CB$58:$CR$58, 0), FALSE)</f>
        <v>#N/A</v>
      </c>
      <c r="O51" s="964">
        <f t="shared" si="25"/>
        <v>0</v>
      </c>
      <c r="AD51" s="445" t="s">
        <v>320</v>
      </c>
      <c r="AE51" s="449"/>
      <c r="AF51" s="447" t="s">
        <v>832</v>
      </c>
    </row>
    <row r="52" spans="2:42" ht="15" hidden="1" customHeight="1" outlineLevel="1" x14ac:dyDescent="0.25">
      <c r="C52" s="139" t="str">
        <f>'5. MethodMix Set Up'!G19</f>
        <v>MAMA</v>
      </c>
      <c r="D52" s="647" t="e">
        <f>IF(HLOOKUP($D$44, $C$6:$T$15, 9, FALSE)=0, NA(), HLOOKUP($D$44, $C$6:$T$15, 9, FALSE)/HLOOKUP($D$44, $C$6:$S$16, 11, FALSE))</f>
        <v>#N/A</v>
      </c>
      <c r="E52" s="648" t="str">
        <f>IF('5. MethodMix Set Up'!I19=0, NA(), '5. MethodMix Set Up'!I19)</f>
        <v/>
      </c>
      <c r="F52" s="712" t="e">
        <f t="shared" si="23"/>
        <v>#N/A</v>
      </c>
      <c r="G52" s="712" t="e">
        <f t="shared" si="24"/>
        <v>#N/A</v>
      </c>
      <c r="L52" s="915" t="str">
        <f>'5. MethodMix Set Up'!$G$19</f>
        <v>MAMA</v>
      </c>
      <c r="M52" s="964" t="e">
        <f>VLOOKUP($L52, 'Commodities (Facility) Input'!$BJ$59:$BZ$70, MATCH($M$43, 'Commodities (Facility) Input'!$BJ$58:$BZ$58, 0), FALSE)</f>
        <v>#N/A</v>
      </c>
      <c r="N52" s="964" t="e">
        <f>VLOOKUP($L52,'Commodities (Facility) Input'!$CB$58:$CR$70, MATCH($M$43, 'Commodities (Facility) Input'!$CB$58:$CR$58, 0), FALSE)</f>
        <v>#N/A</v>
      </c>
      <c r="O52" s="964">
        <f t="shared" si="25"/>
        <v>0</v>
      </c>
      <c r="AD52" s="445"/>
      <c r="AE52" s="449"/>
      <c r="AF52" s="447"/>
    </row>
    <row r="53" spans="2:42" ht="15" hidden="1" customHeight="1" outlineLevel="1" x14ac:dyDescent="0.25">
      <c r="C53" s="139" t="str">
        <f>'5. MethodMix Set Up'!G20</f>
        <v>Autres méthodes modernes</v>
      </c>
      <c r="D53" s="647" t="e">
        <f>IF(HLOOKUP($D$44, $C$6:$T$15, 10, FALSE)=0, NA(), HLOOKUP($D$44, $C$6:$T$15, 10, FALSE)/HLOOKUP($D$44, $C$6:$S$16, 11, FALSE))</f>
        <v>#N/A</v>
      </c>
      <c r="E53" s="648" t="str">
        <f>IF('5. MethodMix Set Up'!I20=0, NA(), '5. MethodMix Set Up'!I20)</f>
        <v/>
      </c>
      <c r="F53" s="712" t="e">
        <f t="shared" si="23"/>
        <v>#N/A</v>
      </c>
      <c r="G53" s="712" t="e">
        <f t="shared" si="24"/>
        <v>#N/A</v>
      </c>
      <c r="I53" s="152"/>
      <c r="L53" s="915" t="str">
        <f>IF(Language="English", 'Language Look Ups'!$O$29,IF(Language="Francais", 'Language Look Ups'!$S$29, 'Language Look Ups'!AQ$29))</f>
        <v>Contraception d'urgence</v>
      </c>
      <c r="M53" s="964" t="e">
        <f>VLOOKUP($L53, 'Commodities (Facility) Input'!$BJ$59:$BZ$70, MATCH($M$43, 'Commodities (Facility) Input'!$BJ$58:$BZ$58, 0), FALSE)</f>
        <v>#N/A</v>
      </c>
      <c r="N53" s="964" t="e">
        <f>VLOOKUP($L53,'Commodities (Facility) Input'!$CB$58:$CR$70, MATCH($M$43, 'Commodities (Facility) Input'!$CB$58:$CR$58, 0), FALSE)</f>
        <v>#N/A</v>
      </c>
      <c r="O53" s="964">
        <f t="shared" si="25"/>
        <v>0</v>
      </c>
      <c r="AD53" s="445"/>
      <c r="AE53" s="449"/>
      <c r="AF53" s="447"/>
    </row>
    <row r="54" spans="2:42" ht="15" hidden="1" customHeight="1" outlineLevel="1" x14ac:dyDescent="0.25">
      <c r="D54" s="646"/>
      <c r="E54" s="152"/>
      <c r="G54" s="152"/>
      <c r="L54" s="915" t="str">
        <f>'5. MethodMix Set Up'!$G$20</f>
        <v>Autres méthodes modernes</v>
      </c>
      <c r="M54" s="964" t="e">
        <f>VLOOKUP($L54, 'Commodities (Facility) Input'!$BJ$59:$BZ$70, MATCH($M$43, 'Commodities (Facility) Input'!$BJ$58:$BZ$58, 0), FALSE)</f>
        <v>#N/A</v>
      </c>
      <c r="N54" s="964" t="e">
        <f>VLOOKUP($L54,'Commodities (Facility) Input'!$CB$58:$CR$70, MATCH($M$43, 'Commodities (Facility) Input'!$CB$58:$CR$58, 0), FALSE)</f>
        <v>#N/A</v>
      </c>
      <c r="O54" s="964">
        <f t="shared" si="25"/>
        <v>0</v>
      </c>
      <c r="AD54" s="445"/>
      <c r="AE54" s="449"/>
      <c r="AF54" s="447"/>
    </row>
    <row r="55" spans="2:42" ht="15" hidden="1" customHeight="1" outlineLevel="1" thickBot="1" x14ac:dyDescent="0.3">
      <c r="D55" s="646"/>
      <c r="E55" s="152"/>
      <c r="G55" s="152"/>
      <c r="AD55" s="445"/>
      <c r="AE55" s="449"/>
      <c r="AF55" s="447"/>
    </row>
    <row r="56" spans="2:42" hidden="1" outlineLevel="1" x14ac:dyDescent="0.25">
      <c r="C56" s="734"/>
      <c r="D56" s="735">
        <f>D6</f>
        <v>0</v>
      </c>
      <c r="E56" s="735" t="str">
        <f t="shared" ref="E56:S56" si="26">E6</f>
        <v/>
      </c>
      <c r="F56" s="735" t="str">
        <f t="shared" si="26"/>
        <v/>
      </c>
      <c r="G56" s="735" t="str">
        <f t="shared" si="26"/>
        <v/>
      </c>
      <c r="H56" s="735" t="str">
        <f t="shared" si="26"/>
        <v/>
      </c>
      <c r="I56" s="735" t="str">
        <f t="shared" si="26"/>
        <v/>
      </c>
      <c r="J56" s="735" t="str">
        <f t="shared" si="26"/>
        <v/>
      </c>
      <c r="K56" s="735" t="str">
        <f t="shared" si="26"/>
        <v/>
      </c>
      <c r="L56" s="735" t="str">
        <f t="shared" si="26"/>
        <v/>
      </c>
      <c r="M56" s="735" t="str">
        <f t="shared" si="26"/>
        <v/>
      </c>
      <c r="N56" s="735" t="str">
        <f t="shared" si="26"/>
        <v/>
      </c>
      <c r="O56" s="735" t="str">
        <f t="shared" si="26"/>
        <v/>
      </c>
      <c r="P56" s="735" t="str">
        <f t="shared" si="26"/>
        <v/>
      </c>
      <c r="Q56" s="735" t="str">
        <f t="shared" si="26"/>
        <v/>
      </c>
      <c r="R56" s="735" t="str">
        <f t="shared" si="26"/>
        <v/>
      </c>
      <c r="S56" s="735" t="str">
        <f t="shared" si="26"/>
        <v/>
      </c>
      <c r="AD56" s="445"/>
      <c r="AE56" s="449"/>
      <c r="AF56" s="447"/>
      <c r="AG56" s="238"/>
      <c r="AH56" s="238"/>
      <c r="AI56" s="238"/>
      <c r="AJ56" s="238"/>
      <c r="AK56" s="238"/>
      <c r="AL56" s="238"/>
      <c r="AM56" s="238"/>
      <c r="AN56" s="238"/>
      <c r="AO56" s="238"/>
      <c r="AP56" s="238"/>
    </row>
    <row r="57" spans="2:42" hidden="1" outlineLevel="1" x14ac:dyDescent="0.25">
      <c r="C57" s="20" t="str">
        <f>IF(Language="English", AD40, AF40)</f>
        <v>Utilisatrices (statistiques de service - non ajustées)</v>
      </c>
      <c r="D57" s="966" t="e">
        <f>'Commodities (Facility) Input'!BK48</f>
        <v>#N/A</v>
      </c>
      <c r="E57" s="966" t="e">
        <f>'Commodities (Facility) Input'!BL48</f>
        <v>#N/A</v>
      </c>
      <c r="F57" s="966" t="e">
        <f>'Commodities (Facility) Input'!BM48</f>
        <v>#N/A</v>
      </c>
      <c r="G57" s="966" t="e">
        <f>'Commodities (Facility) Input'!BN48</f>
        <v>#N/A</v>
      </c>
      <c r="H57" s="966" t="e">
        <f>'Commodities (Facility) Input'!BO48</f>
        <v>#N/A</v>
      </c>
      <c r="I57" s="966" t="e">
        <f>'Commodities (Facility) Input'!BP48</f>
        <v>#N/A</v>
      </c>
      <c r="J57" s="966" t="e">
        <f>'Commodities (Facility) Input'!BQ48</f>
        <v>#N/A</v>
      </c>
      <c r="K57" s="966" t="e">
        <f>'Commodities (Facility) Input'!BR48</f>
        <v>#N/A</v>
      </c>
      <c r="L57" s="966" t="e">
        <f>'Commodities (Facility) Input'!BS48</f>
        <v>#N/A</v>
      </c>
      <c r="M57" s="966" t="e">
        <f>'Commodities (Facility) Input'!BT48</f>
        <v>#N/A</v>
      </c>
      <c r="N57" s="966" t="e">
        <f>'Commodities (Facility) Input'!BU48</f>
        <v>#N/A</v>
      </c>
      <c r="O57" s="966" t="e">
        <f>'Commodities (Facility) Input'!BV48</f>
        <v>#N/A</v>
      </c>
      <c r="P57" s="966" t="e">
        <f>'Commodities (Facility) Input'!BW48</f>
        <v>#N/A</v>
      </c>
      <c r="Q57" s="966" t="e">
        <f>'Commodities (Facility) Input'!BX48</f>
        <v>#N/A</v>
      </c>
      <c r="R57" s="966" t="e">
        <f>'Commodities (Facility) Input'!BY48</f>
        <v>#N/A</v>
      </c>
      <c r="S57" s="966" t="e">
        <f>'Commodities (Facility) Input'!BZ48</f>
        <v>#N/A</v>
      </c>
      <c r="AD57" s="445"/>
      <c r="AE57" s="449"/>
      <c r="AF57" s="447"/>
      <c r="AG57" s="238"/>
      <c r="AH57" s="238"/>
      <c r="AI57" s="238"/>
      <c r="AJ57" s="238"/>
      <c r="AK57" s="238"/>
      <c r="AL57" s="238"/>
      <c r="AM57" s="238"/>
      <c r="AN57" s="238"/>
      <c r="AO57" s="238"/>
      <c r="AP57" s="238"/>
    </row>
    <row r="58" spans="2:42" hidden="1" outlineLevel="1" x14ac:dyDescent="0.25">
      <c r="C58" s="20" t="str">
        <f>IF(Language="English", AD41, AF41)</f>
        <v>Utilisatrices (statistiques de service - ajustées)</v>
      </c>
      <c r="D58" s="966" t="e">
        <f>D16</f>
        <v>#N/A</v>
      </c>
      <c r="E58" s="966" t="e">
        <f t="shared" ref="E58:S58" si="27">E16</f>
        <v>#N/A</v>
      </c>
      <c r="F58" s="966" t="e">
        <f t="shared" si="27"/>
        <v>#N/A</v>
      </c>
      <c r="G58" s="966" t="e">
        <f t="shared" si="27"/>
        <v>#N/A</v>
      </c>
      <c r="H58" s="966" t="e">
        <f t="shared" si="27"/>
        <v>#N/A</v>
      </c>
      <c r="I58" s="966" t="e">
        <f t="shared" si="27"/>
        <v>#N/A</v>
      </c>
      <c r="J58" s="966" t="e">
        <f t="shared" si="27"/>
        <v>#N/A</v>
      </c>
      <c r="K58" s="966" t="e">
        <f t="shared" si="27"/>
        <v>#N/A</v>
      </c>
      <c r="L58" s="966" t="e">
        <f t="shared" si="27"/>
        <v>#N/A</v>
      </c>
      <c r="M58" s="966" t="e">
        <f t="shared" si="27"/>
        <v>#N/A</v>
      </c>
      <c r="N58" s="966" t="e">
        <f t="shared" si="27"/>
        <v>#N/A</v>
      </c>
      <c r="O58" s="966" t="e">
        <f t="shared" si="27"/>
        <v>#N/A</v>
      </c>
      <c r="P58" s="966" t="e">
        <f t="shared" si="27"/>
        <v>#N/A</v>
      </c>
      <c r="Q58" s="966" t="e">
        <f t="shared" si="27"/>
        <v>#N/A</v>
      </c>
      <c r="R58" s="966" t="e">
        <f t="shared" si="27"/>
        <v>#N/A</v>
      </c>
      <c r="S58" s="966" t="e">
        <f t="shared" si="27"/>
        <v>#N/A</v>
      </c>
      <c r="AD58" s="445"/>
      <c r="AE58" s="449"/>
      <c r="AF58" s="447"/>
    </row>
    <row r="59" spans="2:42" hidden="1" outlineLevel="1" x14ac:dyDescent="0.25">
      <c r="C59" s="20" t="str">
        <f>IF(Language="English", AD42, AF42)</f>
        <v>Utilisatrices (enquête / FPET)</v>
      </c>
      <c r="D59" s="966" t="e">
        <f>D28</f>
        <v>#N/A</v>
      </c>
      <c r="E59" s="966" t="e">
        <f t="shared" ref="E59:S59" si="28">E28</f>
        <v>#VALUE!</v>
      </c>
      <c r="F59" s="966" t="e">
        <f t="shared" si="28"/>
        <v>#VALUE!</v>
      </c>
      <c r="G59" s="966" t="e">
        <f t="shared" si="28"/>
        <v>#VALUE!</v>
      </c>
      <c r="H59" s="966" t="e">
        <f t="shared" si="28"/>
        <v>#VALUE!</v>
      </c>
      <c r="I59" s="966" t="e">
        <f t="shared" si="28"/>
        <v>#VALUE!</v>
      </c>
      <c r="J59" s="966" t="e">
        <f t="shared" si="28"/>
        <v>#VALUE!</v>
      </c>
      <c r="K59" s="966" t="e">
        <f t="shared" si="28"/>
        <v>#VALUE!</v>
      </c>
      <c r="L59" s="966" t="e">
        <f t="shared" si="28"/>
        <v>#VALUE!</v>
      </c>
      <c r="M59" s="966" t="e">
        <f t="shared" si="28"/>
        <v>#VALUE!</v>
      </c>
      <c r="N59" s="966" t="e">
        <f t="shared" si="28"/>
        <v>#VALUE!</v>
      </c>
      <c r="O59" s="966" t="e">
        <f t="shared" si="28"/>
        <v>#VALUE!</v>
      </c>
      <c r="P59" s="966" t="e">
        <f t="shared" si="28"/>
        <v>#VALUE!</v>
      </c>
      <c r="Q59" s="966" t="e">
        <f t="shared" si="28"/>
        <v>#VALUE!</v>
      </c>
      <c r="R59" s="966" t="e">
        <f t="shared" si="28"/>
        <v>#VALUE!</v>
      </c>
      <c r="S59" s="966" t="e">
        <f t="shared" si="28"/>
        <v>#VALUE!</v>
      </c>
      <c r="AD59" s="445"/>
      <c r="AE59" s="449"/>
      <c r="AF59" s="447"/>
    </row>
    <row r="60" spans="2:42" hidden="1" outlineLevel="1" x14ac:dyDescent="0.25">
      <c r="D60" s="646"/>
      <c r="E60" s="152"/>
      <c r="G60" s="152"/>
      <c r="AD60" s="445"/>
      <c r="AE60" s="449"/>
      <c r="AF60" s="447"/>
    </row>
    <row r="61" spans="2:42" collapsed="1" x14ac:dyDescent="0.25">
      <c r="D61" s="646"/>
      <c r="E61" s="152"/>
      <c r="G61" s="152"/>
      <c r="AD61" s="445" t="s">
        <v>1249</v>
      </c>
      <c r="AE61" s="449"/>
      <c r="AF61" s="447" t="s">
        <v>1306</v>
      </c>
    </row>
    <row r="62" spans="2:42" ht="24.75" customHeight="1" thickBot="1" x14ac:dyDescent="0.45">
      <c r="B62" s="785" t="str">
        <f>IF(Language="English", AD61, AF61)</f>
        <v>ÉTAPE 1 de 3. Examinez les graphiques ci-dessous montrant l'impact de l'ajustement du secteur privé.</v>
      </c>
      <c r="C62" s="786"/>
      <c r="D62" s="786"/>
      <c r="E62" s="786"/>
      <c r="F62" s="786"/>
      <c r="G62" s="786"/>
      <c r="H62" s="786"/>
      <c r="I62" s="786"/>
      <c r="J62" s="786"/>
      <c r="K62" s="786"/>
      <c r="L62" s="786"/>
      <c r="M62" s="786"/>
      <c r="N62" s="786"/>
      <c r="O62" s="786"/>
      <c r="P62" s="786"/>
      <c r="Q62" s="786"/>
      <c r="R62" s="786"/>
      <c r="S62" s="786"/>
      <c r="T62" s="787"/>
      <c r="U62" s="787"/>
      <c r="V62" s="787"/>
      <c r="AD62" s="445" t="s">
        <v>1250</v>
      </c>
      <c r="AE62" s="449" t="s">
        <v>1307</v>
      </c>
      <c r="AF62" s="447" t="s">
        <v>1307</v>
      </c>
    </row>
    <row r="63" spans="2:42" ht="45" customHeight="1" thickBot="1" x14ac:dyDescent="0.3">
      <c r="B63" s="1601" t="str">
        <f>IF(Language="English", AD62, AF62)</f>
        <v>Ces graphiques ont été conçus pour aider à illustrer l'impact de l'ajustement du secteur privé, qui vise à aider à rendre compte des services fournis par les secteurs qui ne sont pas inclus dans vos données. Veuillez examiner l'impact du facteur d'ajustement. Si vous souhaitez apporter des modifications au facteur d'ajustement, veuillez revenir à l'étape 4. FPSource Set Up</v>
      </c>
      <c r="C63" s="1601"/>
      <c r="D63" s="1601"/>
      <c r="E63" s="1601"/>
      <c r="F63" s="1601"/>
      <c r="G63" s="1601"/>
      <c r="H63" s="1601"/>
      <c r="I63" s="1601"/>
      <c r="J63" s="1601"/>
      <c r="K63" s="1601"/>
      <c r="L63" s="1601"/>
      <c r="M63" s="1601"/>
      <c r="N63" s="1601"/>
      <c r="O63" s="1601"/>
      <c r="P63" s="1601"/>
      <c r="Q63" s="1601"/>
      <c r="R63" s="1601"/>
      <c r="S63" s="1601"/>
      <c r="T63" s="1601"/>
      <c r="U63" s="1601"/>
      <c r="AD63" s="445" t="s">
        <v>2003</v>
      </c>
      <c r="AE63" s="449"/>
      <c r="AF63" s="447" t="s">
        <v>2004</v>
      </c>
    </row>
    <row r="64" spans="2:42" ht="49.15" customHeight="1" thickBot="1" x14ac:dyDescent="0.3">
      <c r="B64" s="1570" t="str">
        <f>IF(Language="English", AD63, AF63)</f>
        <v>1. Tendances totales des utilisatrices, les estimations de l'FPET vs. les estimations des statistiques de service (ajustées et non ajustées)</v>
      </c>
      <c r="C64" s="1571"/>
      <c r="D64" s="1571"/>
      <c r="E64" s="1571"/>
      <c r="F64" s="1571"/>
      <c r="G64" s="1571"/>
      <c r="H64" s="1571"/>
      <c r="I64" s="1572"/>
      <c r="K64" s="1570" t="str">
        <f>IF(Language="English", AD64,AF64)</f>
        <v>2. Comparaison du nombre total estimé d'utilisatrices de PF, Enquête / FPET vs statistiques de service (ajustées et non ajustées)</v>
      </c>
      <c r="L64" s="1571"/>
      <c r="M64" s="1571"/>
      <c r="N64" s="1571"/>
      <c r="O64" s="1571"/>
      <c r="P64" s="1571"/>
      <c r="Q64" s="1571"/>
      <c r="R64" s="1571"/>
      <c r="S64" s="1571"/>
      <c r="T64" s="1571"/>
      <c r="U64" s="1572"/>
      <c r="AD64" s="445" t="s">
        <v>2005</v>
      </c>
      <c r="AE64" s="449"/>
      <c r="AF64" s="41" t="s">
        <v>2006</v>
      </c>
    </row>
    <row r="65" spans="2:60" ht="26.25" customHeight="1" thickBot="1" x14ac:dyDescent="0.3">
      <c r="B65" s="649"/>
      <c r="C65" s="650"/>
      <c r="D65" s="650"/>
      <c r="E65" s="650"/>
      <c r="F65" s="650"/>
      <c r="G65" s="650"/>
      <c r="H65" s="650"/>
      <c r="I65" s="651"/>
      <c r="K65" s="1567" t="str">
        <f>K76</f>
        <v>Select Year for Comparison</v>
      </c>
      <c r="L65" s="1568"/>
      <c r="M65" s="1568"/>
      <c r="N65" s="1569"/>
      <c r="O65" s="652">
        <v>2021</v>
      </c>
      <c r="U65" s="143"/>
      <c r="AD65" s="967" t="s">
        <v>2007</v>
      </c>
      <c r="AE65" s="473"/>
      <c r="AF65" s="41" t="s">
        <v>2008</v>
      </c>
    </row>
    <row r="66" spans="2:60" ht="249.95" customHeight="1" thickBot="1" x14ac:dyDescent="0.3">
      <c r="B66" s="1573"/>
      <c r="C66" s="1574"/>
      <c r="D66" s="1574"/>
      <c r="E66" s="1574"/>
      <c r="F66" s="1574"/>
      <c r="G66" s="1574"/>
      <c r="H66" s="1574"/>
      <c r="I66" s="1575"/>
      <c r="K66" s="135"/>
      <c r="L66" s="136"/>
      <c r="M66" s="136"/>
      <c r="N66" s="136"/>
      <c r="O66" s="136"/>
      <c r="P66" s="136"/>
      <c r="Q66" s="136"/>
      <c r="R66" s="136"/>
      <c r="S66" s="136"/>
      <c r="T66" s="136"/>
      <c r="U66" s="137"/>
      <c r="AD66" s="445"/>
      <c r="AE66" s="449"/>
      <c r="AF66" s="447"/>
    </row>
    <row r="67" spans="2:60" s="41" customFormat="1" ht="41.45" customHeight="1" x14ac:dyDescent="0.25">
      <c r="B67" s="1576" t="str">
        <f>IF(Language="English", AD65,AF65)</f>
        <v>Examinez le graphique ci-dessus pour examiner la cohérence entre les tendances des enquêtes (FPET) chez les utilisatrices et les statistiques de service ajustées et non ajustées. Veuillez commenter ci-dessous et expliquer les tendances ci-dessus.</v>
      </c>
      <c r="C67" s="1577"/>
      <c r="D67" s="1577"/>
      <c r="E67" s="1577"/>
      <c r="F67" s="1577"/>
      <c r="G67" s="1577"/>
      <c r="H67" s="1577"/>
      <c r="I67" s="1578"/>
      <c r="K67" s="1576" t="str">
        <f>IF(Language="English", AD67, AF67)</f>
        <v>Comparez les graphiques et recherchez les grandes différences entre l'éventail des méthodes de l'enquête et l'éventail des méthodes produite à partir de vos données statistiques sur les services (ajustées vs non ajustées). Veuillez expliquer tout écart important dans l'éventail des méthodes.</v>
      </c>
      <c r="L67" s="1577"/>
      <c r="M67" s="1577"/>
      <c r="N67" s="1577"/>
      <c r="O67" s="1577"/>
      <c r="P67" s="1577"/>
      <c r="Q67" s="1577"/>
      <c r="R67" s="1577"/>
      <c r="S67" s="1577"/>
      <c r="T67" s="1577"/>
      <c r="U67" s="1578"/>
      <c r="W67" s="587"/>
      <c r="AD67" s="445" t="s">
        <v>1251</v>
      </c>
      <c r="AE67" s="449"/>
      <c r="AF67" s="41" t="s">
        <v>1305</v>
      </c>
      <c r="BH67" s="587"/>
    </row>
    <row r="68" spans="2:60" ht="54" customHeight="1" thickBot="1" x14ac:dyDescent="0.3">
      <c r="B68" s="1563"/>
      <c r="C68" s="1564"/>
      <c r="D68" s="1564"/>
      <c r="E68" s="1564"/>
      <c r="F68" s="1564"/>
      <c r="G68" s="1564"/>
      <c r="H68" s="1564"/>
      <c r="I68" s="1565"/>
      <c r="K68" s="1563"/>
      <c r="L68" s="1564"/>
      <c r="M68" s="1564"/>
      <c r="N68" s="1564"/>
      <c r="O68" s="1564"/>
      <c r="P68" s="1564"/>
      <c r="Q68" s="1564"/>
      <c r="R68" s="1564"/>
      <c r="S68" s="1564"/>
      <c r="T68" s="1564"/>
      <c r="U68" s="1565"/>
      <c r="AD68" s="445"/>
      <c r="AE68" s="449"/>
      <c r="AF68" s="447"/>
    </row>
    <row r="69" spans="2:60" ht="32.450000000000003" customHeight="1" x14ac:dyDescent="0.25">
      <c r="B69" s="975"/>
      <c r="C69" s="975"/>
      <c r="D69" s="975"/>
      <c r="E69" s="975"/>
      <c r="F69" s="975"/>
      <c r="G69" s="975"/>
      <c r="H69" s="975"/>
      <c r="I69" s="975"/>
      <c r="K69" s="1603" t="str">
        <f>IF('4. FPSource Set Up'!I85='4. FPSource Set Up'!AB86, "Note - condoms in the 'adjusted' values above and the graphs/values below have NOT been adjusted. This is in line with Track20 recommendations. ", "Note - condoms in the 'adjusted' values above and the graphs/values below have been adjusted. Consider the impact and whether the condom adjustment should be removed. ")</f>
        <v xml:space="preserve">Note - condoms in the 'adjusted' values above and the graphs/values below have NOT been adjusted. This is in line with Track20 recommendations. </v>
      </c>
      <c r="L69" s="1603"/>
      <c r="M69" s="1603"/>
      <c r="N69" s="1603"/>
      <c r="O69" s="1603"/>
      <c r="P69" s="1603"/>
      <c r="Q69" s="1603"/>
      <c r="R69" s="1603"/>
      <c r="S69" s="1603"/>
      <c r="T69" s="1603"/>
      <c r="U69" s="1603"/>
      <c r="AD69" s="184"/>
      <c r="AE69" s="184"/>
      <c r="AF69" s="184"/>
    </row>
    <row r="70" spans="2:60" ht="19.899999999999999" customHeight="1" x14ac:dyDescent="0.25">
      <c r="B70" s="975"/>
      <c r="C70" s="1602" t="s">
        <v>1290</v>
      </c>
      <c r="D70" s="1602"/>
      <c r="E70" s="1602"/>
      <c r="F70" s="1602"/>
      <c r="G70" s="1602"/>
      <c r="H70" s="1602"/>
      <c r="I70" s="1602"/>
      <c r="K70" s="975"/>
      <c r="L70" s="975"/>
      <c r="M70" s="975"/>
      <c r="N70" s="975"/>
      <c r="O70" s="975"/>
      <c r="P70" s="975"/>
      <c r="Q70" s="975"/>
      <c r="R70" s="975"/>
      <c r="S70" s="975"/>
      <c r="T70" s="975"/>
      <c r="U70" s="975"/>
      <c r="AD70" s="184"/>
      <c r="AE70" s="184"/>
      <c r="AF70" s="184"/>
    </row>
    <row r="71" spans="2:60" ht="14.45" customHeight="1" x14ac:dyDescent="0.25">
      <c r="B71" s="975"/>
      <c r="C71" s="975"/>
      <c r="D71" s="975"/>
      <c r="E71" s="975"/>
      <c r="F71" s="975"/>
      <c r="G71" s="975"/>
      <c r="H71" s="975"/>
      <c r="I71" s="975"/>
      <c r="K71" s="975"/>
      <c r="L71" s="975"/>
      <c r="M71" s="975"/>
      <c r="N71" s="975"/>
      <c r="O71" s="975"/>
      <c r="P71" s="975"/>
      <c r="Q71" s="975"/>
      <c r="R71" s="975"/>
      <c r="S71" s="975"/>
      <c r="T71" s="975"/>
      <c r="U71" s="975"/>
      <c r="AD71" s="184"/>
      <c r="AE71" s="184"/>
      <c r="AF71" s="184"/>
    </row>
    <row r="72" spans="2:60" ht="19.149999999999999" customHeight="1" thickBot="1" x14ac:dyDescent="0.45">
      <c r="B72" s="960"/>
      <c r="C72" s="961"/>
      <c r="D72" s="961"/>
      <c r="E72" s="961"/>
      <c r="F72" s="961"/>
      <c r="G72" s="961"/>
      <c r="H72" s="961"/>
      <c r="I72" s="961"/>
      <c r="J72" s="961"/>
      <c r="K72" s="961"/>
      <c r="L72" s="961"/>
      <c r="M72" s="961"/>
      <c r="N72" s="961"/>
      <c r="O72" s="961"/>
      <c r="P72" s="961"/>
      <c r="Q72" s="961"/>
      <c r="R72" s="961"/>
      <c r="S72" s="961"/>
      <c r="T72" s="962"/>
      <c r="U72" s="962"/>
      <c r="V72" s="962"/>
      <c r="AD72" s="184"/>
      <c r="AE72" s="184"/>
      <c r="AF72" s="184"/>
    </row>
    <row r="73" spans="2:60" ht="24.75" customHeight="1" thickBot="1" x14ac:dyDescent="0.45">
      <c r="B73" s="785" t="str">
        <f>IF(Language="English", AD73, AF73)</f>
        <v>ÉTAPE 2 de 3. Examiner et commenter les graphiques ci-dessous.</v>
      </c>
      <c r="C73" s="786"/>
      <c r="D73" s="786"/>
      <c r="E73" s="786"/>
      <c r="F73" s="786"/>
      <c r="G73" s="786"/>
      <c r="H73" s="786"/>
      <c r="I73" s="786"/>
      <c r="J73" s="786"/>
      <c r="K73" s="786"/>
      <c r="L73" s="786"/>
      <c r="M73" s="786"/>
      <c r="N73" s="786"/>
      <c r="O73" s="786"/>
      <c r="P73" s="786"/>
      <c r="Q73" s="786"/>
      <c r="R73" s="786"/>
      <c r="S73" s="786"/>
      <c r="T73" s="787"/>
      <c r="U73" s="787"/>
      <c r="V73" s="787"/>
      <c r="AD73" s="445" t="s">
        <v>1252</v>
      </c>
      <c r="AE73" s="449"/>
      <c r="AF73" s="447" t="s">
        <v>1255</v>
      </c>
    </row>
    <row r="74" spans="2:60" ht="27.75" customHeight="1" thickBot="1" x14ac:dyDescent="0.3">
      <c r="B74" s="240" t="str">
        <f>IF(Language="English", AD74, AF74)</f>
        <v>Ces graphiques ont été conçus pour aider à identifier les problèmes éventuels liés aux données des statistiques des services et analyser si ce type de données peut être utilisé dans FPET.</v>
      </c>
      <c r="AD74" s="445" t="s">
        <v>695</v>
      </c>
      <c r="AE74" s="449"/>
      <c r="AF74" s="447" t="s">
        <v>825</v>
      </c>
    </row>
    <row r="75" spans="2:60" ht="39" customHeight="1" thickBot="1" x14ac:dyDescent="0.3">
      <c r="B75" s="1582" t="str">
        <f>IF(Language="English", AD75, AF75)</f>
        <v>1. Tendances des utilisatrices par Méthode</v>
      </c>
      <c r="C75" s="1583"/>
      <c r="D75" s="1583"/>
      <c r="E75" s="1583"/>
      <c r="F75" s="1583"/>
      <c r="G75" s="1583"/>
      <c r="H75" s="1583"/>
      <c r="I75" s="1584"/>
      <c r="K75" s="1570" t="str">
        <f>IF(Language="English", AD77,AF77)</f>
        <v>2. Comparaison du nombre total estimé d'utilisatrices de PF : Statistiques des services et enquêtes</v>
      </c>
      <c r="L75" s="1571"/>
      <c r="M75" s="1571"/>
      <c r="N75" s="1571"/>
      <c r="O75" s="1571"/>
      <c r="P75" s="1571"/>
      <c r="Q75" s="1571"/>
      <c r="R75" s="1571"/>
      <c r="S75" s="1571"/>
      <c r="T75" s="1571"/>
      <c r="U75" s="1572"/>
      <c r="AD75" s="445" t="s">
        <v>319</v>
      </c>
      <c r="AE75" s="449"/>
      <c r="AF75" s="447" t="s">
        <v>2431</v>
      </c>
    </row>
    <row r="76" spans="2:60" ht="26.25" customHeight="1" thickBot="1" x14ac:dyDescent="0.3">
      <c r="B76" s="649"/>
      <c r="C76" s="650"/>
      <c r="D76" s="650"/>
      <c r="E76" s="650"/>
      <c r="F76" s="650"/>
      <c r="G76" s="650"/>
      <c r="H76" s="650"/>
      <c r="I76" s="651"/>
      <c r="K76" s="1567" t="s">
        <v>993</v>
      </c>
      <c r="L76" s="1568"/>
      <c r="M76" s="1568"/>
      <c r="N76" s="1569"/>
      <c r="O76" s="652">
        <v>2021</v>
      </c>
      <c r="U76" s="143"/>
      <c r="AD76" s="445"/>
      <c r="AE76" s="449"/>
      <c r="AF76" s="447"/>
    </row>
    <row r="77" spans="2:60" ht="249.95" customHeight="1" thickBot="1" x14ac:dyDescent="0.3">
      <c r="B77" s="1573"/>
      <c r="C77" s="1574"/>
      <c r="D77" s="1574"/>
      <c r="E77" s="1574"/>
      <c r="F77" s="1574"/>
      <c r="G77" s="1574"/>
      <c r="H77" s="1574"/>
      <c r="I77" s="1575"/>
      <c r="K77" s="135"/>
      <c r="L77" s="136"/>
      <c r="M77" s="136"/>
      <c r="N77" s="136"/>
      <c r="O77" s="136"/>
      <c r="P77" s="136"/>
      <c r="Q77" s="136"/>
      <c r="R77" s="136"/>
      <c r="S77" s="136"/>
      <c r="T77" s="136"/>
      <c r="U77" s="137"/>
      <c r="AD77" s="445" t="s">
        <v>1014</v>
      </c>
      <c r="AE77" s="449"/>
      <c r="AF77" s="447" t="s">
        <v>2432</v>
      </c>
    </row>
    <row r="78" spans="2:60" s="41" customFormat="1" ht="54" customHeight="1" x14ac:dyDescent="0.25">
      <c r="B78" s="1576" t="str">
        <f>IF(Language="English", AD78,AF78)</f>
        <v>Examinez le graphique ci-dessus pour les cas particuliers, les changements inattendus dans les tendances des méthodes ou les changements rapides dans les méthodes particulières.  Veuillez commenter ci-dessous et expliquez les tendances ci-dessus.</v>
      </c>
      <c r="C78" s="1577"/>
      <c r="D78" s="1577"/>
      <c r="E78" s="1577"/>
      <c r="F78" s="1577"/>
      <c r="G78" s="1577"/>
      <c r="H78" s="1577"/>
      <c r="I78" s="1578"/>
      <c r="K78" s="1576" t="str">
        <f>K84</f>
        <v>Comparez les deux graphiques et recherchez de grandes divergences entre la méthode utilisée à partir de l'enquête et la méthode utilisée produite à partir de vos données des statistiques de services. Veuillez expliquer toutes les irrégularités importantes dans la méthode utilisée.</v>
      </c>
      <c r="L78" s="1577"/>
      <c r="M78" s="1577"/>
      <c r="N78" s="1577"/>
      <c r="O78" s="1577"/>
      <c r="P78" s="1577"/>
      <c r="Q78" s="1577"/>
      <c r="R78" s="1577"/>
      <c r="S78" s="1577"/>
      <c r="T78" s="1577"/>
      <c r="U78" s="1578"/>
      <c r="W78" s="587"/>
      <c r="AD78" s="472" t="s">
        <v>283</v>
      </c>
      <c r="AE78" s="473"/>
      <c r="AF78" s="474" t="s">
        <v>826</v>
      </c>
      <c r="BH78" s="587"/>
    </row>
    <row r="79" spans="2:60" ht="54" customHeight="1" thickBot="1" x14ac:dyDescent="0.3">
      <c r="B79" s="1563"/>
      <c r="C79" s="1564"/>
      <c r="D79" s="1564"/>
      <c r="E79" s="1564"/>
      <c r="F79" s="1564"/>
      <c r="G79" s="1564"/>
      <c r="H79" s="1564"/>
      <c r="I79" s="1565"/>
      <c r="K79" s="1563"/>
      <c r="L79" s="1564"/>
      <c r="M79" s="1564"/>
      <c r="N79" s="1564"/>
      <c r="O79" s="1564"/>
      <c r="P79" s="1564"/>
      <c r="Q79" s="1564"/>
      <c r="R79" s="1564"/>
      <c r="S79" s="1564"/>
      <c r="T79" s="1564"/>
      <c r="U79" s="1565"/>
      <c r="AD79" s="445" t="s">
        <v>321</v>
      </c>
      <c r="AE79" s="449"/>
      <c r="AF79" s="447" t="s">
        <v>827</v>
      </c>
    </row>
    <row r="80" spans="2:60" ht="18" customHeight="1" thickBot="1" x14ac:dyDescent="0.3">
      <c r="C80"/>
    </row>
    <row r="81" spans="1:60" ht="36.75" customHeight="1" x14ac:dyDescent="0.25">
      <c r="A81" s="119"/>
      <c r="B81" s="1570" t="str">
        <f>IF(Language="English", AD81, AF81)</f>
        <v>3. Comparez l'estimation des utilisatrices modernes par méthode: Statistiques de Service v. Enquête (2021)</v>
      </c>
      <c r="C81" s="1571"/>
      <c r="D81" s="1571"/>
      <c r="E81" s="1571"/>
      <c r="F81" s="1571"/>
      <c r="G81" s="1571"/>
      <c r="H81" s="1571"/>
      <c r="I81" s="1572"/>
      <c r="J81" s="119"/>
      <c r="K81" s="1570" t="str">
        <f>IF(Language="English", AD83,AF83)</f>
        <v>4. Comparer la méthode utilisée : Statistiques des services et enquêtes (2021)</v>
      </c>
      <c r="L81" s="1571"/>
      <c r="M81" s="1571"/>
      <c r="N81" s="1571"/>
      <c r="O81" s="1571"/>
      <c r="P81" s="1571"/>
      <c r="Q81" s="1571"/>
      <c r="R81" s="1571"/>
      <c r="S81" s="1571"/>
      <c r="T81" s="1571"/>
      <c r="U81" s="1572"/>
      <c r="V81" s="119"/>
      <c r="W81" s="806"/>
      <c r="AD81" s="445" t="str">
        <f>"3. Comparing Estimate of Modern Users by Method :  Service Statistics v. Survey ("&amp;$O$76&amp;")"</f>
        <v>3. Comparing Estimate of Modern Users by Method :  Service Statistics v. Survey (2021)</v>
      </c>
      <c r="AE81" s="449"/>
      <c r="AF81" s="447" t="str">
        <f>"3. Comparez l'estimation des utilisatrices modernes par méthode: Statistiques de Service v. Enquête ("&amp;$O$76&amp;")"</f>
        <v>3. Comparez l'estimation des utilisatrices modernes par méthode: Statistiques de Service v. Enquête (2021)</v>
      </c>
    </row>
    <row r="82" spans="1:60" ht="26.25" customHeight="1" x14ac:dyDescent="0.25">
      <c r="B82" s="649"/>
      <c r="C82" s="650"/>
      <c r="D82" s="650"/>
      <c r="E82" s="650"/>
      <c r="F82" s="650"/>
      <c r="G82" s="650"/>
      <c r="H82" s="650"/>
      <c r="I82" s="651"/>
      <c r="K82" s="142"/>
      <c r="U82" s="143"/>
      <c r="AD82" s="445" t="s">
        <v>1110</v>
      </c>
      <c r="AE82" s="449"/>
      <c r="AF82" s="447" t="s">
        <v>2433</v>
      </c>
    </row>
    <row r="83" spans="1:60" ht="249.95" customHeight="1" thickBot="1" x14ac:dyDescent="0.3">
      <c r="B83" s="1573"/>
      <c r="C83" s="1574"/>
      <c r="D83" s="1574"/>
      <c r="E83" s="1574"/>
      <c r="F83" s="1574"/>
      <c r="G83" s="1574"/>
      <c r="H83" s="1574"/>
      <c r="I83" s="1575"/>
      <c r="K83" s="135"/>
      <c r="L83" s="136"/>
      <c r="M83" s="136"/>
      <c r="N83" s="136"/>
      <c r="O83" s="136"/>
      <c r="P83" s="136"/>
      <c r="Q83" s="136"/>
      <c r="R83" s="136"/>
      <c r="S83" s="136"/>
      <c r="T83" s="136"/>
      <c r="U83" s="137"/>
      <c r="AD83" s="445" t="str">
        <f>"4. Comparing Method Mix: Service Statistics and Surveys ("&amp;$O$76&amp;")"</f>
        <v>4. Comparing Method Mix: Service Statistics and Surveys (2021)</v>
      </c>
      <c r="AE83" s="449"/>
      <c r="AF83" s="447" t="str">
        <f>"4. Comparer la méthode utilisée : Statistiques des services et enquêtes ("&amp;$O$76&amp;")"</f>
        <v>4. Comparer la méthode utilisée : Statistiques des services et enquêtes (2021)</v>
      </c>
    </row>
    <row r="84" spans="1:60" s="41" customFormat="1" ht="54" customHeight="1" x14ac:dyDescent="0.25">
      <c r="B84" s="1576" t="str">
        <f>IF(Language="English", AD82, AF82)</f>
        <v>Comparez les utilisatrices estimés entre les enquêtes et les statistiques de service. Les niveaux semblent-ils cohérents? Des méthodes semblent-elles radicalement différentes? Y a-t-il une raison à cette différence?</v>
      </c>
      <c r="C84" s="1577"/>
      <c r="D84" s="1577"/>
      <c r="E84" s="1577"/>
      <c r="F84" s="1577"/>
      <c r="G84" s="1577"/>
      <c r="H84" s="1577"/>
      <c r="I84" s="1578"/>
      <c r="K84" s="1576" t="str">
        <f>IF(Language="English", AD85, AF85)</f>
        <v>Comparez les deux graphiques et recherchez de grandes divergences entre la méthode utilisée à partir de l'enquête et la méthode utilisée produite à partir de vos données des statistiques de services. Veuillez expliquer toutes les irrégularités importantes dans la méthode utilisée.</v>
      </c>
      <c r="L84" s="1577"/>
      <c r="M84" s="1577"/>
      <c r="N84" s="1577"/>
      <c r="O84" s="1577"/>
      <c r="P84" s="1577"/>
      <c r="Q84" s="1577"/>
      <c r="R84" s="1577"/>
      <c r="S84" s="1577"/>
      <c r="T84" s="1577"/>
      <c r="U84" s="1578"/>
      <c r="W84" s="587"/>
      <c r="AD84" s="472" t="s">
        <v>283</v>
      </c>
      <c r="AE84" s="473"/>
      <c r="AF84" s="474" t="s">
        <v>826</v>
      </c>
      <c r="BH84" s="587"/>
    </row>
    <row r="85" spans="1:60" ht="54" customHeight="1" thickBot="1" x14ac:dyDescent="0.3">
      <c r="B85" s="1563"/>
      <c r="C85" s="1564"/>
      <c r="D85" s="1564"/>
      <c r="E85" s="1564"/>
      <c r="F85" s="1564"/>
      <c r="G85" s="1564"/>
      <c r="H85" s="1564"/>
      <c r="I85" s="1565"/>
      <c r="K85" s="1563"/>
      <c r="L85" s="1564"/>
      <c r="M85" s="1564"/>
      <c r="N85" s="1564"/>
      <c r="O85" s="1564"/>
      <c r="P85" s="1564"/>
      <c r="Q85" s="1564"/>
      <c r="R85" s="1564"/>
      <c r="S85" s="1564"/>
      <c r="T85" s="1564"/>
      <c r="U85" s="1565"/>
      <c r="AD85" s="445" t="s">
        <v>321</v>
      </c>
      <c r="AE85" s="449"/>
      <c r="AF85" s="447" t="s">
        <v>827</v>
      </c>
    </row>
    <row r="86" spans="1:60" ht="15.75" thickBot="1" x14ac:dyDescent="0.3">
      <c r="AD86" s="445"/>
      <c r="AE86" s="449"/>
      <c r="AF86" s="447"/>
    </row>
    <row r="87" spans="1:60" ht="26.25" customHeight="1" x14ac:dyDescent="0.25">
      <c r="B87" s="1582" t="str">
        <f>IF(Language="English", AD87, AF87)</f>
        <v>5. Comparez les tendances des utilisatrices : EUM, FPET, et Enquêtes</v>
      </c>
      <c r="C87" s="1583"/>
      <c r="D87" s="1583"/>
      <c r="E87" s="1583"/>
      <c r="F87" s="1583"/>
      <c r="G87" s="1583"/>
      <c r="H87" s="1583"/>
      <c r="I87" s="1584"/>
      <c r="K87" s="1570" t="str">
        <f>IF(Language="English", AD88, AF88)</f>
        <v>6. Comparez les pentes : EUM, FPET, et Enquêtes</v>
      </c>
      <c r="L87" s="1571"/>
      <c r="M87" s="1571"/>
      <c r="N87" s="1571"/>
      <c r="O87" s="1571"/>
      <c r="P87" s="1571"/>
      <c r="Q87" s="1571"/>
      <c r="R87" s="1571"/>
      <c r="S87" s="1571"/>
      <c r="T87" s="1571"/>
      <c r="U87" s="1572"/>
      <c r="AD87" s="445" t="s">
        <v>994</v>
      </c>
      <c r="AE87" s="449"/>
      <c r="AF87" s="447" t="s">
        <v>2435</v>
      </c>
    </row>
    <row r="88" spans="1:60" ht="249.95" customHeight="1" thickBot="1" x14ac:dyDescent="0.3">
      <c r="B88" s="1573"/>
      <c r="C88" s="1574"/>
      <c r="D88" s="1574"/>
      <c r="E88" s="1574"/>
      <c r="F88" s="1574"/>
      <c r="G88" s="1574"/>
      <c r="H88" s="1574"/>
      <c r="I88" s="1575"/>
      <c r="K88" s="1573"/>
      <c r="L88" s="1574"/>
      <c r="M88" s="1574"/>
      <c r="N88" s="1574"/>
      <c r="O88" s="1574"/>
      <c r="P88" s="1574"/>
      <c r="Q88" s="1574"/>
      <c r="R88" s="1574"/>
      <c r="S88" s="1574"/>
      <c r="T88" s="1574"/>
      <c r="U88" s="1575"/>
      <c r="AD88" s="445" t="s">
        <v>1258</v>
      </c>
      <c r="AE88" s="449"/>
      <c r="AF88" s="447" t="s">
        <v>995</v>
      </c>
    </row>
    <row r="89" spans="1:60" ht="51" customHeight="1" x14ac:dyDescent="0.25">
      <c r="B89" s="1576" t="str">
        <f>IF(Language="English", AD89, AF89)</f>
        <v>Comparez l'EUM calculée à partir des vos données sur les produits au TPCM à partir du FPET et des enquêtes? Les pentes sont-elles identiques? Utiliseriez-vous ces données dans FPET? Veuillez commentez ci-dessous.</v>
      </c>
      <c r="C89" s="1577"/>
      <c r="D89" s="1577"/>
      <c r="E89" s="1577"/>
      <c r="F89" s="1577"/>
      <c r="G89" s="1577"/>
      <c r="H89" s="1577"/>
      <c r="I89" s="1578"/>
      <c r="K89" s="1576" t="str">
        <f>IF(Language="English", AD90,AF90)</f>
        <v>Comparez les augmentations annuelles moyennes en points de % du TPCM / EUM entre les tendances. Les pentes sont-elles similaires? La pente de l'EUM est-elle réalisable compte tenu de ce que vous savez sur le rythme de croissance de la prévalence?</v>
      </c>
      <c r="L89" s="1577"/>
      <c r="M89" s="1577"/>
      <c r="N89" s="1577"/>
      <c r="O89" s="1577"/>
      <c r="P89" s="1577"/>
      <c r="Q89" s="1577"/>
      <c r="R89" s="1577"/>
      <c r="S89" s="1577"/>
      <c r="T89" s="1577"/>
      <c r="U89" s="1578"/>
      <c r="AD89" s="445" t="s">
        <v>585</v>
      </c>
      <c r="AE89" s="449"/>
      <c r="AF89" s="447" t="s">
        <v>828</v>
      </c>
    </row>
    <row r="90" spans="1:60" ht="54" customHeight="1" thickBot="1" x14ac:dyDescent="0.3">
      <c r="B90" s="1563"/>
      <c r="C90" s="1564"/>
      <c r="D90" s="1564"/>
      <c r="E90" s="1564"/>
      <c r="F90" s="1564"/>
      <c r="G90" s="1564"/>
      <c r="H90" s="1564"/>
      <c r="I90" s="1565"/>
      <c r="K90" s="1563"/>
      <c r="L90" s="1564"/>
      <c r="M90" s="1564"/>
      <c r="N90" s="1564"/>
      <c r="O90" s="1564"/>
      <c r="P90" s="1564"/>
      <c r="Q90" s="1564"/>
      <c r="R90" s="1564"/>
      <c r="S90" s="1564"/>
      <c r="T90" s="1564"/>
      <c r="U90" s="1565"/>
      <c r="AD90" s="445" t="s">
        <v>1260</v>
      </c>
      <c r="AE90" s="449"/>
      <c r="AF90" s="447" t="s">
        <v>829</v>
      </c>
    </row>
    <row r="91" spans="1:60" ht="17.25" customHeight="1" x14ac:dyDescent="0.25">
      <c r="B91" s="240" t="str">
        <f>IF(Language="English", AD91, AF91)</f>
        <v>*Note : Les années avec des taux de complétude faibles (&lt;60%) ont été exclues dans les graphiques ci-dessus</v>
      </c>
      <c r="L91" s="1398"/>
      <c r="M91" s="1398"/>
      <c r="N91" s="1398"/>
      <c r="O91" s="1398"/>
      <c r="P91" s="1398"/>
      <c r="Q91" s="1398"/>
      <c r="R91" s="1398"/>
      <c r="S91" s="1398"/>
      <c r="T91" s="1398"/>
      <c r="U91" s="1398"/>
      <c r="V91" s="1398"/>
      <c r="AD91" s="445" t="s">
        <v>576</v>
      </c>
      <c r="AE91" s="449"/>
      <c r="AF91" s="447" t="s">
        <v>1133</v>
      </c>
    </row>
    <row r="92" spans="1:60" ht="17.25" hidden="1" customHeight="1" x14ac:dyDescent="0.25">
      <c r="B92" s="239"/>
      <c r="L92" s="32"/>
      <c r="M92" s="32"/>
      <c r="N92" s="32"/>
      <c r="O92" s="32"/>
      <c r="P92" s="32"/>
      <c r="Q92" s="32"/>
      <c r="R92" s="32"/>
      <c r="S92" s="32"/>
      <c r="T92" s="32"/>
      <c r="U92" s="32"/>
      <c r="V92" s="32"/>
      <c r="AD92" s="445" t="s">
        <v>326</v>
      </c>
      <c r="AE92" s="449"/>
      <c r="AF92" s="447" t="s">
        <v>833</v>
      </c>
    </row>
    <row r="93" spans="1:60" s="216" customFormat="1" ht="17.25" hidden="1" customHeight="1" x14ac:dyDescent="0.25">
      <c r="W93" s="808"/>
      <c r="AD93" s="445" t="s">
        <v>327</v>
      </c>
      <c r="AE93" s="451"/>
      <c r="AF93" s="447" t="s">
        <v>834</v>
      </c>
      <c r="BH93" s="808"/>
    </row>
    <row r="94" spans="1:60" s="216" customFormat="1" ht="17.25" hidden="1" customHeight="1" x14ac:dyDescent="0.25">
      <c r="W94" s="808"/>
      <c r="Z94" t="str">
        <f>IF(Language="English", AD94, AF94)</f>
        <v xml:space="preserve">Augmentation annuelle moyenne en points de % du TPCM / EUM </v>
      </c>
      <c r="AA94"/>
      <c r="AB94"/>
      <c r="AC94"/>
      <c r="AD94" s="445" t="s">
        <v>841</v>
      </c>
      <c r="AE94" s="451"/>
      <c r="AF94" s="447" t="s">
        <v>840</v>
      </c>
      <c r="BH94" s="808"/>
    </row>
    <row r="95" spans="1:60" ht="17.25" hidden="1" customHeight="1" x14ac:dyDescent="0.25">
      <c r="Z95" t="str">
        <f>IF(Language="English", AD95, AF95)</f>
        <v>TPCm - EUM</v>
      </c>
      <c r="AD95" s="445" t="s">
        <v>842</v>
      </c>
      <c r="AE95" s="451"/>
      <c r="AF95" s="447" t="s">
        <v>843</v>
      </c>
    </row>
    <row r="96" spans="1:60" ht="17.25" customHeight="1" x14ac:dyDescent="0.25">
      <c r="AD96" s="445"/>
      <c r="AE96" s="451"/>
      <c r="AF96" s="447"/>
    </row>
    <row r="97" spans="2:33" ht="27" customHeight="1" thickBot="1" x14ac:dyDescent="0.45">
      <c r="B97" s="785" t="str">
        <f>IF(Language="English", AD97, AF97)</f>
        <v>ÉTAPE 3 de 3. Choisissez d'inclure ou d'exclure les préservatifs de la valeur finale de EMU.</v>
      </c>
      <c r="C97" s="786"/>
      <c r="D97" s="786"/>
      <c r="E97" s="786"/>
      <c r="F97" s="786"/>
      <c r="G97" s="786"/>
      <c r="H97" s="786"/>
      <c r="I97" s="786"/>
      <c r="J97" s="786"/>
      <c r="K97" s="786"/>
      <c r="L97" s="786"/>
      <c r="M97" s="786"/>
      <c r="N97" s="786"/>
      <c r="O97" s="786"/>
      <c r="P97" s="786"/>
      <c r="Q97" s="786"/>
      <c r="R97" s="786"/>
      <c r="S97" s="786"/>
      <c r="T97" s="787"/>
      <c r="U97" s="787"/>
      <c r="V97" s="787"/>
      <c r="AD97" s="445" t="s">
        <v>1253</v>
      </c>
      <c r="AE97" s="451"/>
      <c r="AF97" s="447" t="s">
        <v>1254</v>
      </c>
    </row>
    <row r="98" spans="2:33" ht="15.75" thickBot="1" x14ac:dyDescent="0.3">
      <c r="B98" s="1398"/>
      <c r="C98" s="1398"/>
      <c r="D98" s="1398"/>
      <c r="E98" s="1398"/>
      <c r="F98" s="1398"/>
      <c r="G98" s="1398"/>
      <c r="H98" s="1398"/>
      <c r="I98" s="1398"/>
      <c r="J98" s="1398"/>
      <c r="K98" s="1398"/>
      <c r="L98" s="1398"/>
      <c r="M98" s="1398"/>
      <c r="N98" s="1398"/>
      <c r="O98" s="1398"/>
      <c r="P98" s="1398"/>
      <c r="Q98" s="1398"/>
      <c r="R98" s="1398"/>
      <c r="S98" s="1398"/>
      <c r="AC98" t="str">
        <f>IF(Language="English", AD98, AF98)</f>
        <v>Inclure des Préservatifs</v>
      </c>
      <c r="AD98" s="445" t="s">
        <v>1012</v>
      </c>
      <c r="AE98" s="451" t="s">
        <v>1012</v>
      </c>
      <c r="AF98" s="447" t="s">
        <v>1013</v>
      </c>
      <c r="AG98" s="445" t="s">
        <v>1012</v>
      </c>
    </row>
    <row r="99" spans="2:33" ht="19.5" thickBot="1" x14ac:dyDescent="0.35">
      <c r="C99" s="659" t="s">
        <v>1010</v>
      </c>
      <c r="D99" s="219" t="str">
        <f>VLOOKUP(C100, $B$33:$C$34, 2, FALSE)</f>
        <v>EUM: Produits ex. Préservatifs</v>
      </c>
      <c r="E99" s="220"/>
      <c r="F99" s="220"/>
      <c r="G99" s="220"/>
      <c r="H99" s="220"/>
      <c r="I99" s="220"/>
      <c r="J99" s="220"/>
      <c r="K99" s="220"/>
      <c r="L99" s="220"/>
      <c r="M99" s="220"/>
      <c r="N99" s="220"/>
      <c r="O99" s="220"/>
      <c r="P99" s="220"/>
      <c r="Q99" s="220"/>
      <c r="R99" s="220"/>
      <c r="S99" s="221"/>
      <c r="AC99" t="str">
        <f>IF(Language="English", AD99, AF99)</f>
        <v>Exclure les Préservatifs</v>
      </c>
      <c r="AD99" s="445" t="s">
        <v>1010</v>
      </c>
      <c r="AE99" s="451" t="s">
        <v>1010</v>
      </c>
      <c r="AF99" s="447" t="s">
        <v>1011</v>
      </c>
      <c r="AG99" s="445" t="s">
        <v>1010</v>
      </c>
    </row>
    <row r="100" spans="2:33" ht="15.75" thickBot="1" x14ac:dyDescent="0.3">
      <c r="C100" s="713" t="str">
        <f>IFERROR(VLOOKUP(C99,$AD$98:$AG$99,4,FALSE),VLOOKUP(C99,$AF$98:$AG$99,2,FALSE))</f>
        <v>Exclude Condoms</v>
      </c>
      <c r="D100" s="222">
        <f t="shared" ref="D100:S100" si="29">D31</f>
        <v>0</v>
      </c>
      <c r="E100" s="222" t="str">
        <f t="shared" si="29"/>
        <v/>
      </c>
      <c r="F100" s="222" t="str">
        <f t="shared" si="29"/>
        <v/>
      </c>
      <c r="G100" s="222" t="str">
        <f t="shared" si="29"/>
        <v/>
      </c>
      <c r="H100" s="222" t="str">
        <f t="shared" si="29"/>
        <v/>
      </c>
      <c r="I100" s="222" t="str">
        <f t="shared" si="29"/>
        <v/>
      </c>
      <c r="J100" s="222" t="str">
        <f t="shared" si="29"/>
        <v/>
      </c>
      <c r="K100" s="222" t="str">
        <f t="shared" si="29"/>
        <v/>
      </c>
      <c r="L100" s="222" t="str">
        <f t="shared" si="29"/>
        <v/>
      </c>
      <c r="M100" s="222" t="str">
        <f t="shared" si="29"/>
        <v/>
      </c>
      <c r="N100" s="222" t="str">
        <f t="shared" si="29"/>
        <v/>
      </c>
      <c r="O100" s="222" t="str">
        <f t="shared" si="29"/>
        <v/>
      </c>
      <c r="P100" s="222" t="str">
        <f t="shared" si="29"/>
        <v/>
      </c>
      <c r="Q100" s="222" t="str">
        <f t="shared" si="29"/>
        <v/>
      </c>
      <c r="R100" s="222" t="str">
        <f t="shared" si="29"/>
        <v/>
      </c>
      <c r="S100" s="222" t="str">
        <f t="shared" si="29"/>
        <v/>
      </c>
      <c r="AD100" s="445"/>
      <c r="AE100" s="451"/>
      <c r="AF100" s="447"/>
    </row>
    <row r="101" spans="2:33" ht="15.75" thickBot="1" x14ac:dyDescent="0.3">
      <c r="D101" s="714" t="str">
        <f>IFERROR(VLOOKUP($C$100, $B$33:$S$34, MATCH(D$100, $B$31:$S$31, 0), FALSE), "")</f>
        <v/>
      </c>
      <c r="E101" s="714" t="str">
        <f t="shared" ref="E101:S101" si="30">IFERROR(VLOOKUP($C$100, $B$33:$S$34, MATCH(E$100, $B$31:$S$31, 0), FALSE), "")</f>
        <v/>
      </c>
      <c r="F101" s="714" t="str">
        <f t="shared" si="30"/>
        <v/>
      </c>
      <c r="G101" s="714" t="str">
        <f t="shared" si="30"/>
        <v/>
      </c>
      <c r="H101" s="714" t="str">
        <f t="shared" si="30"/>
        <v/>
      </c>
      <c r="I101" s="714" t="str">
        <f t="shared" si="30"/>
        <v/>
      </c>
      <c r="J101" s="714" t="str">
        <f t="shared" si="30"/>
        <v/>
      </c>
      <c r="K101" s="714" t="str">
        <f t="shared" si="30"/>
        <v/>
      </c>
      <c r="L101" s="714" t="str">
        <f t="shared" si="30"/>
        <v/>
      </c>
      <c r="M101" s="714" t="str">
        <f t="shared" si="30"/>
        <v/>
      </c>
      <c r="N101" s="714" t="str">
        <f t="shared" si="30"/>
        <v/>
      </c>
      <c r="O101" s="714" t="str">
        <f t="shared" si="30"/>
        <v/>
      </c>
      <c r="P101" s="714" t="str">
        <f t="shared" si="30"/>
        <v/>
      </c>
      <c r="Q101" s="714" t="str">
        <f t="shared" si="30"/>
        <v/>
      </c>
      <c r="R101" s="714" t="str">
        <f t="shared" si="30"/>
        <v/>
      </c>
      <c r="S101" s="714" t="str">
        <f t="shared" si="30"/>
        <v/>
      </c>
      <c r="AD101" s="445"/>
      <c r="AE101" s="451"/>
      <c r="AF101" s="447"/>
    </row>
    <row r="106" spans="2:33" ht="16.5" customHeight="1" x14ac:dyDescent="0.4">
      <c r="B106" s="216"/>
      <c r="C106" s="1592" t="str">
        <f>'5. MethodMix Set Up'!G55</f>
        <v>Visites de PF</v>
      </c>
      <c r="D106" s="1592"/>
      <c r="E106" s="1592"/>
      <c r="F106" s="1592"/>
      <c r="G106" s="1592"/>
      <c r="H106" s="1592"/>
      <c r="I106" s="263"/>
      <c r="J106" s="263"/>
      <c r="K106" s="263"/>
      <c r="L106" s="1593" t="str">
        <f>IF(Language="English", AD93, AF93)</f>
        <v>Allez à Examen final de l'EUM</v>
      </c>
      <c r="M106" s="1593"/>
      <c r="N106" s="1593"/>
      <c r="O106" s="1593"/>
      <c r="P106" s="1593"/>
      <c r="Q106" s="1593"/>
      <c r="R106" s="1593"/>
    </row>
    <row r="107" spans="2:33" ht="16.5" customHeight="1" x14ac:dyDescent="0.4">
      <c r="B107" s="216"/>
      <c r="C107" s="1592"/>
      <c r="D107" s="1592"/>
      <c r="E107" s="1592"/>
      <c r="F107" s="1592"/>
      <c r="G107" s="1592"/>
      <c r="H107" s="1592"/>
      <c r="I107" s="263"/>
      <c r="J107" s="263"/>
      <c r="K107" s="263"/>
      <c r="L107" s="1593"/>
      <c r="M107" s="1593"/>
      <c r="N107" s="1593"/>
      <c r="O107" s="1593"/>
      <c r="P107" s="1593"/>
      <c r="Q107" s="1593"/>
      <c r="R107" s="1593"/>
    </row>
    <row r="110" spans="2:33" ht="15" hidden="1" customHeight="1" x14ac:dyDescent="0.25">
      <c r="C110" s="317"/>
      <c r="D110" s="318">
        <f t="shared" ref="D110:S110" si="31">D124</f>
        <v>0</v>
      </c>
      <c r="E110" s="318" t="str">
        <f t="shared" si="31"/>
        <v/>
      </c>
      <c r="F110" s="318" t="str">
        <f t="shared" si="31"/>
        <v/>
      </c>
      <c r="G110" s="318" t="str">
        <f t="shared" si="31"/>
        <v/>
      </c>
      <c r="H110" s="318" t="str">
        <f t="shared" si="31"/>
        <v/>
      </c>
      <c r="I110" s="318" t="str">
        <f t="shared" si="31"/>
        <v/>
      </c>
      <c r="J110" s="318" t="str">
        <f t="shared" si="31"/>
        <v/>
      </c>
      <c r="K110" s="318" t="str">
        <f t="shared" si="31"/>
        <v/>
      </c>
      <c r="L110" s="318" t="str">
        <f t="shared" si="31"/>
        <v/>
      </c>
      <c r="M110" s="318" t="str">
        <f t="shared" si="31"/>
        <v/>
      </c>
      <c r="N110" s="318" t="str">
        <f t="shared" si="31"/>
        <v/>
      </c>
      <c r="O110" s="318" t="str">
        <f t="shared" si="31"/>
        <v/>
      </c>
      <c r="P110" s="318" t="str">
        <f t="shared" si="31"/>
        <v/>
      </c>
      <c r="Q110" s="318" t="str">
        <f t="shared" si="31"/>
        <v/>
      </c>
      <c r="R110" s="318" t="str">
        <f t="shared" si="31"/>
        <v/>
      </c>
      <c r="S110" s="319" t="str">
        <f t="shared" si="31"/>
        <v/>
      </c>
    </row>
    <row r="111" spans="2:33" ht="15" hidden="1" customHeight="1" x14ac:dyDescent="0.25">
      <c r="C111" s="320" t="s">
        <v>722</v>
      </c>
      <c r="D111" s="323" t="str">
        <f t="shared" ref="D111:S111" si="32">IF(D125="", "", D125)</f>
        <v/>
      </c>
      <c r="E111" s="323" t="str">
        <f t="shared" si="32"/>
        <v/>
      </c>
      <c r="F111" s="323" t="str">
        <f t="shared" si="32"/>
        <v/>
      </c>
      <c r="G111" s="323" t="str">
        <f t="shared" si="32"/>
        <v/>
      </c>
      <c r="H111" s="323" t="str">
        <f t="shared" si="32"/>
        <v/>
      </c>
      <c r="I111" s="323" t="str">
        <f t="shared" si="32"/>
        <v/>
      </c>
      <c r="J111" s="323" t="str">
        <f t="shared" si="32"/>
        <v/>
      </c>
      <c r="K111" s="323" t="str">
        <f t="shared" si="32"/>
        <v/>
      </c>
      <c r="L111" s="323" t="str">
        <f t="shared" si="32"/>
        <v/>
      </c>
      <c r="M111" s="323" t="str">
        <f t="shared" si="32"/>
        <v/>
      </c>
      <c r="N111" s="323" t="str">
        <f t="shared" si="32"/>
        <v/>
      </c>
      <c r="O111" s="323" t="str">
        <f t="shared" si="32"/>
        <v/>
      </c>
      <c r="P111" s="323" t="str">
        <f t="shared" si="32"/>
        <v/>
      </c>
      <c r="Q111" s="323" t="str">
        <f t="shared" si="32"/>
        <v/>
      </c>
      <c r="R111" s="323" t="str">
        <f t="shared" si="32"/>
        <v/>
      </c>
      <c r="S111" s="324" t="str">
        <f t="shared" si="32"/>
        <v/>
      </c>
      <c r="T111" s="316"/>
    </row>
    <row r="112" spans="2:33" ht="15" hidden="1" customHeight="1" x14ac:dyDescent="0.25">
      <c r="C112" s="321" t="s">
        <v>1311</v>
      </c>
      <c r="D112" s="325" t="str">
        <f t="shared" ref="D112:S112" si="33">IF(D126=0,"", D126)</f>
        <v/>
      </c>
      <c r="E112" s="325" t="str">
        <f t="shared" si="33"/>
        <v/>
      </c>
      <c r="F112" s="325" t="str">
        <f t="shared" si="33"/>
        <v/>
      </c>
      <c r="G112" s="325" t="str">
        <f t="shared" si="33"/>
        <v/>
      </c>
      <c r="H112" s="325" t="str">
        <f t="shared" si="33"/>
        <v/>
      </c>
      <c r="I112" s="325" t="str">
        <f t="shared" si="33"/>
        <v/>
      </c>
      <c r="J112" s="325" t="str">
        <f t="shared" si="33"/>
        <v/>
      </c>
      <c r="K112" s="325" t="str">
        <f t="shared" si="33"/>
        <v/>
      </c>
      <c r="L112" s="325" t="str">
        <f t="shared" si="33"/>
        <v/>
      </c>
      <c r="M112" s="325" t="str">
        <f t="shared" si="33"/>
        <v/>
      </c>
      <c r="N112" s="325" t="str">
        <f t="shared" si="33"/>
        <v/>
      </c>
      <c r="O112" s="325" t="str">
        <f t="shared" si="33"/>
        <v/>
      </c>
      <c r="P112" s="325" t="str">
        <f t="shared" si="33"/>
        <v/>
      </c>
      <c r="Q112" s="325" t="str">
        <f t="shared" si="33"/>
        <v/>
      </c>
      <c r="R112" s="325" t="str">
        <f t="shared" si="33"/>
        <v/>
      </c>
      <c r="S112" s="326" t="str">
        <f t="shared" si="33"/>
        <v/>
      </c>
    </row>
    <row r="113" spans="1:35" ht="15" hidden="1" customHeight="1" x14ac:dyDescent="0.25">
      <c r="C113" s="321" t="s">
        <v>1312</v>
      </c>
      <c r="D113" s="325" t="str">
        <f t="shared" ref="D113:S113" si="34">IF(D127=0,"", D127)</f>
        <v/>
      </c>
      <c r="E113" s="325" t="str">
        <f t="shared" si="34"/>
        <v/>
      </c>
      <c r="F113" s="325" t="str">
        <f t="shared" si="34"/>
        <v/>
      </c>
      <c r="G113" s="325" t="str">
        <f t="shared" si="34"/>
        <v/>
      </c>
      <c r="H113" s="325" t="str">
        <f t="shared" si="34"/>
        <v/>
      </c>
      <c r="I113" s="325" t="str">
        <f t="shared" si="34"/>
        <v/>
      </c>
      <c r="J113" s="325" t="str">
        <f t="shared" si="34"/>
        <v/>
      </c>
      <c r="K113" s="325" t="str">
        <f t="shared" si="34"/>
        <v/>
      </c>
      <c r="L113" s="325" t="str">
        <f t="shared" si="34"/>
        <v/>
      </c>
      <c r="M113" s="325" t="str">
        <f t="shared" si="34"/>
        <v/>
      </c>
      <c r="N113" s="325" t="str">
        <f t="shared" si="34"/>
        <v/>
      </c>
      <c r="O113" s="325" t="str">
        <f t="shared" si="34"/>
        <v/>
      </c>
      <c r="P113" s="325" t="str">
        <f t="shared" si="34"/>
        <v/>
      </c>
      <c r="Q113" s="325" t="str">
        <f t="shared" si="34"/>
        <v/>
      </c>
      <c r="R113" s="325" t="str">
        <f t="shared" si="34"/>
        <v/>
      </c>
      <c r="S113" s="326" t="str">
        <f t="shared" si="34"/>
        <v/>
      </c>
    </row>
    <row r="114" spans="1:35" ht="15" hidden="1" customHeight="1" x14ac:dyDescent="0.25">
      <c r="C114" s="321" t="s">
        <v>5</v>
      </c>
      <c r="D114" s="325" t="str">
        <f t="shared" ref="D114:S114" si="35">IF(SUM(D128:D129)=0, "", SUM(D128:D129))</f>
        <v/>
      </c>
      <c r="E114" s="325" t="str">
        <f t="shared" si="35"/>
        <v/>
      </c>
      <c r="F114" s="325" t="str">
        <f t="shared" si="35"/>
        <v/>
      </c>
      <c r="G114" s="325" t="str">
        <f t="shared" si="35"/>
        <v/>
      </c>
      <c r="H114" s="325" t="str">
        <f t="shared" si="35"/>
        <v/>
      </c>
      <c r="I114" s="325" t="str">
        <f t="shared" si="35"/>
        <v/>
      </c>
      <c r="J114" s="325" t="str">
        <f t="shared" si="35"/>
        <v/>
      </c>
      <c r="K114" s="325" t="str">
        <f t="shared" si="35"/>
        <v/>
      </c>
      <c r="L114" s="325" t="str">
        <f t="shared" si="35"/>
        <v/>
      </c>
      <c r="M114" s="325" t="str">
        <f t="shared" si="35"/>
        <v/>
      </c>
      <c r="N114" s="325" t="str">
        <f t="shared" si="35"/>
        <v/>
      </c>
      <c r="O114" s="325" t="str">
        <f t="shared" si="35"/>
        <v/>
      </c>
      <c r="P114" s="325" t="str">
        <f t="shared" si="35"/>
        <v/>
      </c>
      <c r="Q114" s="325" t="str">
        <f t="shared" si="35"/>
        <v/>
      </c>
      <c r="R114" s="325" t="str">
        <f t="shared" si="35"/>
        <v/>
      </c>
      <c r="S114" s="326" t="str">
        <f t="shared" si="35"/>
        <v/>
      </c>
    </row>
    <row r="115" spans="1:35" ht="15" hidden="1" customHeight="1" x14ac:dyDescent="0.25">
      <c r="C115" s="321" t="s">
        <v>3</v>
      </c>
      <c r="D115" s="325" t="str">
        <f t="shared" ref="D115:S115" si="36">IF(SUM(D130:D132)=0,"",SUM(D130:D132))</f>
        <v/>
      </c>
      <c r="E115" s="325" t="str">
        <f t="shared" si="36"/>
        <v/>
      </c>
      <c r="F115" s="325" t="str">
        <f t="shared" si="36"/>
        <v/>
      </c>
      <c r="G115" s="325" t="str">
        <f t="shared" si="36"/>
        <v/>
      </c>
      <c r="H115" s="325" t="str">
        <f t="shared" si="36"/>
        <v/>
      </c>
      <c r="I115" s="325" t="str">
        <f t="shared" si="36"/>
        <v/>
      </c>
      <c r="J115" s="325" t="str">
        <f t="shared" si="36"/>
        <v/>
      </c>
      <c r="K115" s="325" t="str">
        <f t="shared" si="36"/>
        <v/>
      </c>
      <c r="L115" s="325" t="str">
        <f t="shared" si="36"/>
        <v/>
      </c>
      <c r="M115" s="325" t="str">
        <f t="shared" si="36"/>
        <v/>
      </c>
      <c r="N115" s="325" t="str">
        <f t="shared" si="36"/>
        <v/>
      </c>
      <c r="O115" s="325" t="str">
        <f t="shared" si="36"/>
        <v/>
      </c>
      <c r="P115" s="325" t="str">
        <f t="shared" si="36"/>
        <v/>
      </c>
      <c r="Q115" s="325" t="str">
        <f t="shared" si="36"/>
        <v/>
      </c>
      <c r="R115" s="325" t="str">
        <f t="shared" si="36"/>
        <v/>
      </c>
      <c r="S115" s="326" t="str">
        <f t="shared" si="36"/>
        <v/>
      </c>
    </row>
    <row r="116" spans="1:35" ht="15" hidden="1" customHeight="1" x14ac:dyDescent="0.25">
      <c r="C116" s="329" t="s">
        <v>723</v>
      </c>
      <c r="D116" s="330" t="str">
        <f t="shared" ref="D116:S116" si="37">IF(D134="", "", D134)</f>
        <v/>
      </c>
      <c r="E116" s="330" t="str">
        <f t="shared" si="37"/>
        <v/>
      </c>
      <c r="F116" s="330" t="str">
        <f t="shared" si="37"/>
        <v/>
      </c>
      <c r="G116" s="330" t="str">
        <f t="shared" si="37"/>
        <v/>
      </c>
      <c r="H116" s="330" t="str">
        <f t="shared" si="37"/>
        <v/>
      </c>
      <c r="I116" s="330" t="str">
        <f t="shared" si="37"/>
        <v/>
      </c>
      <c r="J116" s="330" t="str">
        <f t="shared" si="37"/>
        <v/>
      </c>
      <c r="K116" s="330" t="str">
        <f t="shared" si="37"/>
        <v/>
      </c>
      <c r="L116" s="330" t="str">
        <f t="shared" si="37"/>
        <v/>
      </c>
      <c r="M116" s="330" t="str">
        <f t="shared" si="37"/>
        <v/>
      </c>
      <c r="N116" s="330" t="str">
        <f t="shared" si="37"/>
        <v/>
      </c>
      <c r="O116" s="330" t="str">
        <f t="shared" si="37"/>
        <v/>
      </c>
      <c r="P116" s="330" t="str">
        <f t="shared" si="37"/>
        <v/>
      </c>
      <c r="Q116" s="330" t="str">
        <f t="shared" si="37"/>
        <v/>
      </c>
      <c r="R116" s="330" t="str">
        <f t="shared" si="37"/>
        <v/>
      </c>
      <c r="S116" s="331" t="str">
        <f t="shared" si="37"/>
        <v/>
      </c>
    </row>
    <row r="117" spans="1:35" ht="15" hidden="1" customHeight="1" x14ac:dyDescent="0.25">
      <c r="C117" s="321" t="s">
        <v>2</v>
      </c>
      <c r="D117" s="325" t="str">
        <f t="shared" ref="D117:S117" si="38">IF(SUM(D135:D137)=0, "", SUM(D135:D137))</f>
        <v/>
      </c>
      <c r="E117" s="325" t="str">
        <f t="shared" si="38"/>
        <v/>
      </c>
      <c r="F117" s="325" t="str">
        <f t="shared" si="38"/>
        <v/>
      </c>
      <c r="G117" s="325" t="str">
        <f t="shared" si="38"/>
        <v/>
      </c>
      <c r="H117" s="325" t="str">
        <f t="shared" si="38"/>
        <v/>
      </c>
      <c r="I117" s="325" t="str">
        <f t="shared" si="38"/>
        <v/>
      </c>
      <c r="J117" s="325" t="str">
        <f t="shared" si="38"/>
        <v/>
      </c>
      <c r="K117" s="325" t="str">
        <f t="shared" si="38"/>
        <v/>
      </c>
      <c r="L117" s="325" t="str">
        <f t="shared" si="38"/>
        <v/>
      </c>
      <c r="M117" s="325" t="str">
        <f t="shared" si="38"/>
        <v/>
      </c>
      <c r="N117" s="325" t="str">
        <f t="shared" si="38"/>
        <v/>
      </c>
      <c r="O117" s="325" t="str">
        <f t="shared" si="38"/>
        <v/>
      </c>
      <c r="P117" s="325" t="str">
        <f t="shared" si="38"/>
        <v/>
      </c>
      <c r="Q117" s="325" t="str">
        <f t="shared" si="38"/>
        <v/>
      </c>
      <c r="R117" s="325" t="str">
        <f t="shared" si="38"/>
        <v/>
      </c>
      <c r="S117" s="326" t="str">
        <f t="shared" si="38"/>
        <v/>
      </c>
    </row>
    <row r="118" spans="1:35" ht="15" hidden="1" customHeight="1" x14ac:dyDescent="0.25">
      <c r="C118" s="321" t="s">
        <v>110</v>
      </c>
      <c r="D118" s="325" t="str">
        <f t="shared" ref="D118:S118" si="39">IF(SUM(D140:D142)=0,"", SUM(D140:D142))</f>
        <v/>
      </c>
      <c r="E118" s="325" t="str">
        <f t="shared" si="39"/>
        <v/>
      </c>
      <c r="F118" s="325" t="str">
        <f t="shared" si="39"/>
        <v/>
      </c>
      <c r="G118" s="325" t="str">
        <f t="shared" si="39"/>
        <v/>
      </c>
      <c r="H118" s="325" t="str">
        <f t="shared" si="39"/>
        <v/>
      </c>
      <c r="I118" s="325" t="str">
        <f t="shared" si="39"/>
        <v/>
      </c>
      <c r="J118" s="325" t="str">
        <f t="shared" si="39"/>
        <v/>
      </c>
      <c r="K118" s="325" t="str">
        <f t="shared" si="39"/>
        <v/>
      </c>
      <c r="L118" s="325" t="str">
        <f t="shared" si="39"/>
        <v/>
      </c>
      <c r="M118" s="325" t="str">
        <f t="shared" si="39"/>
        <v/>
      </c>
      <c r="N118" s="325" t="str">
        <f t="shared" si="39"/>
        <v/>
      </c>
      <c r="O118" s="325" t="str">
        <f t="shared" si="39"/>
        <v/>
      </c>
      <c r="P118" s="325" t="str">
        <f t="shared" si="39"/>
        <v/>
      </c>
      <c r="Q118" s="325" t="str">
        <f t="shared" si="39"/>
        <v/>
      </c>
      <c r="R118" s="325" t="str">
        <f t="shared" si="39"/>
        <v/>
      </c>
      <c r="S118" s="326" t="str">
        <f t="shared" si="39"/>
        <v/>
      </c>
    </row>
    <row r="119" spans="1:35" ht="15.75" hidden="1" customHeight="1" thickBot="1" x14ac:dyDescent="0.3">
      <c r="C119" s="322" t="s">
        <v>111</v>
      </c>
      <c r="D119" s="327" t="str">
        <f t="shared" ref="D119:S119" si="40">IF(D143=0, "", D143)</f>
        <v/>
      </c>
      <c r="E119" s="327" t="str">
        <f t="shared" si="40"/>
        <v/>
      </c>
      <c r="F119" s="327" t="str">
        <f t="shared" si="40"/>
        <v/>
      </c>
      <c r="G119" s="327" t="str">
        <f t="shared" si="40"/>
        <v/>
      </c>
      <c r="H119" s="327" t="str">
        <f t="shared" si="40"/>
        <v/>
      </c>
      <c r="I119" s="327" t="str">
        <f t="shared" si="40"/>
        <v/>
      </c>
      <c r="J119" s="327" t="str">
        <f t="shared" si="40"/>
        <v/>
      </c>
      <c r="K119" s="327" t="str">
        <f t="shared" si="40"/>
        <v/>
      </c>
      <c r="L119" s="327" t="str">
        <f t="shared" si="40"/>
        <v/>
      </c>
      <c r="M119" s="327" t="str">
        <f t="shared" si="40"/>
        <v/>
      </c>
      <c r="N119" s="327" t="str">
        <f t="shared" si="40"/>
        <v/>
      </c>
      <c r="O119" s="327" t="str">
        <f t="shared" si="40"/>
        <v/>
      </c>
      <c r="P119" s="327" t="str">
        <f t="shared" si="40"/>
        <v/>
      </c>
      <c r="Q119" s="327" t="str">
        <f t="shared" si="40"/>
        <v/>
      </c>
      <c r="R119" s="327" t="str">
        <f t="shared" si="40"/>
        <v/>
      </c>
      <c r="S119" s="328" t="str">
        <f t="shared" si="40"/>
        <v/>
      </c>
    </row>
    <row r="120" spans="1:35" ht="15" hidden="1" customHeight="1" x14ac:dyDescent="0.25"/>
    <row r="121" spans="1:35" ht="54.75" customHeight="1" thickBot="1" x14ac:dyDescent="0.3">
      <c r="B121" s="1622" t="str">
        <f>IF(Language="English", AD121,AF121 )</f>
        <v>ÉTAPE OPTIONNELLE : Examinez les nombres de vos utilisatrices, calculés à partir des données des produits distribués aux établissement que vous avez saisies sur la page précédente.</v>
      </c>
      <c r="C121" s="1622"/>
      <c r="D121" s="1622"/>
      <c r="E121" s="1622"/>
      <c r="F121" s="1622"/>
      <c r="G121" s="1622"/>
      <c r="H121" s="1622"/>
      <c r="I121" s="1622"/>
      <c r="J121" s="1622"/>
      <c r="K121" s="1622"/>
      <c r="L121" s="1622"/>
      <c r="M121" s="1622"/>
      <c r="N121" s="1622"/>
      <c r="O121" s="1622"/>
      <c r="P121" s="1622"/>
      <c r="Q121" s="1622"/>
      <c r="R121" s="1622"/>
      <c r="S121" s="1622"/>
      <c r="T121" s="787"/>
      <c r="U121" s="787"/>
      <c r="V121" s="787"/>
      <c r="AD121" s="445" t="s">
        <v>1069</v>
      </c>
      <c r="AE121" s="449"/>
      <c r="AF121" s="447" t="s">
        <v>2438</v>
      </c>
    </row>
    <row r="122" spans="1:35" ht="42.75" customHeight="1" thickBot="1" x14ac:dyDescent="0.3">
      <c r="B122" s="236" t="str">
        <f>IF(Language="English", AD122,AF122 )</f>
        <v>Note : Si les taux de complétude étaient inférieurs à 60% pour une année donnée, ces valeurs ont été exclues ci-dessous et ne peuvent pas être utilisées pour produire l'EUM.</v>
      </c>
      <c r="C122" s="230"/>
      <c r="D122" s="230"/>
      <c r="E122" s="230"/>
      <c r="F122" s="230"/>
      <c r="G122" s="230"/>
      <c r="H122" s="230"/>
      <c r="I122" s="230"/>
      <c r="J122" s="230"/>
      <c r="K122" s="230"/>
      <c r="L122" s="230"/>
      <c r="M122" s="230"/>
      <c r="N122" s="230"/>
      <c r="O122" s="230"/>
      <c r="P122" s="230"/>
      <c r="Q122" s="230"/>
      <c r="R122" s="230"/>
      <c r="S122" s="230"/>
      <c r="AD122" s="445" t="s">
        <v>564</v>
      </c>
      <c r="AE122" s="449"/>
      <c r="AF122" s="447" t="s">
        <v>1134</v>
      </c>
    </row>
    <row r="123" spans="1:35" ht="18.75" x14ac:dyDescent="0.25">
      <c r="B123" s="1590" t="str">
        <f>IF(AND(COUNT($D$124:$S$124)&gt;COUNT(D125:S125), Language="English"), "One Year Not Calculated : Check Reporting Rates", IF(AND(COUNT($D$124:$S$124)&gt;COUNT($D$125:$S$125), Language="Francais"), "Un an non calculé : Vérifier les taux de complétude", ""))</f>
        <v>Un an non calculé : Vérifier les taux de complétude</v>
      </c>
      <c r="C123" s="1591"/>
      <c r="D123" s="1581" t="str">
        <f>IF(Language="English",'Language Look Ups'!O33, IF(Language="Francais", 'Language Look Ups'!S33, 'Language Look Ups'!Q33))</f>
        <v>Estimation des Utilisatrices Modernes: Ajusté pour le secteur privé</v>
      </c>
      <c r="E123" s="1533"/>
      <c r="F123" s="1533"/>
      <c r="G123" s="1533"/>
      <c r="H123" s="1533"/>
      <c r="I123" s="1533"/>
      <c r="J123" s="1533"/>
      <c r="K123" s="1533"/>
      <c r="L123" s="1533"/>
      <c r="M123" s="1533"/>
      <c r="N123" s="1533"/>
      <c r="O123" s="1533"/>
      <c r="P123" s="1533"/>
      <c r="Q123" s="1533"/>
      <c r="R123" s="1533"/>
      <c r="S123" s="1534"/>
      <c r="U123" s="1595" t="str">
        <f>'Language Look Ups'!B37</f>
        <v>Valeurs aberrantes*</v>
      </c>
      <c r="V123" s="1595" t="s">
        <v>1205</v>
      </c>
      <c r="X123" s="1596" t="s">
        <v>1195</v>
      </c>
      <c r="Y123" s="1597" t="s">
        <v>1196</v>
      </c>
      <c r="Z123" s="1599" t="s">
        <v>1199</v>
      </c>
      <c r="AA123" s="1600" t="s">
        <v>1200</v>
      </c>
      <c r="AD123" s="445"/>
      <c r="AE123" s="449"/>
      <c r="AF123" s="447"/>
    </row>
    <row r="124" spans="1:35" ht="15.75" thickBot="1" x14ac:dyDescent="0.3">
      <c r="B124" s="1590"/>
      <c r="C124" s="1591"/>
      <c r="D124" s="16">
        <f>'Commodities (Facility) Input'!G21</f>
        <v>0</v>
      </c>
      <c r="E124" s="12" t="str">
        <f>'Commodities (Facility) Input'!H21</f>
        <v/>
      </c>
      <c r="F124" s="12" t="str">
        <f>'Commodities (Facility) Input'!I21</f>
        <v/>
      </c>
      <c r="G124" s="12" t="str">
        <f>'Commodities (Facility) Input'!J21</f>
        <v/>
      </c>
      <c r="H124" s="12" t="str">
        <f>'Commodities (Facility) Input'!K21</f>
        <v/>
      </c>
      <c r="I124" s="12" t="str">
        <f>'Commodities (Facility) Input'!L21</f>
        <v/>
      </c>
      <c r="J124" s="12" t="str">
        <f>'Commodities (Facility) Input'!M21</f>
        <v/>
      </c>
      <c r="K124" s="12" t="str">
        <f>'Commodities (Facility) Input'!N21</f>
        <v/>
      </c>
      <c r="L124" s="12" t="str">
        <f>'Commodities (Facility) Input'!O21</f>
        <v/>
      </c>
      <c r="M124" s="13" t="str">
        <f>'Commodities (Facility) Input'!P21</f>
        <v/>
      </c>
      <c r="N124" s="13" t="str">
        <f>'Commodities (Facility) Input'!Q21</f>
        <v/>
      </c>
      <c r="O124" s="13" t="str">
        <f>'Commodities (Facility) Input'!R21</f>
        <v/>
      </c>
      <c r="P124" s="13" t="str">
        <f>'Commodities (Facility) Input'!S21</f>
        <v/>
      </c>
      <c r="Q124" s="13" t="str">
        <f>'Commodities (Facility) Input'!T21</f>
        <v/>
      </c>
      <c r="R124" s="13" t="str">
        <f>'Commodities (Facility) Input'!U21</f>
        <v/>
      </c>
      <c r="S124" s="13" t="str">
        <f>'Commodities (Facility) Input'!V21</f>
        <v/>
      </c>
      <c r="U124" s="1595"/>
      <c r="V124" s="1595"/>
      <c r="X124" s="1596"/>
      <c r="Y124" s="1597"/>
      <c r="Z124" s="1599"/>
      <c r="AA124" s="1600"/>
      <c r="AD124" s="445"/>
      <c r="AE124" s="449"/>
      <c r="AF124" s="447"/>
    </row>
    <row r="125" spans="1:35" ht="19.5" thickBot="1" x14ac:dyDescent="0.35">
      <c r="A125" s="188"/>
      <c r="B125" s="104" t="str">
        <f>'Commodities (Clients) Input'!B22</f>
        <v>Méthodes à Long Terme et Permanentes</v>
      </c>
      <c r="C125" s="51"/>
      <c r="D125" s="929" t="str">
        <f>IF(D124="","",IF(SUM(D126:D132)=0,"",(SUM(D126:D132))))</f>
        <v/>
      </c>
      <c r="E125" s="929" t="str">
        <f t="shared" ref="E125:S125" si="41">IF(E124="","",IF(SUM(E126:E132)=0,"",(SUM(E126:E132))))</f>
        <v/>
      </c>
      <c r="F125" s="929" t="str">
        <f t="shared" si="41"/>
        <v/>
      </c>
      <c r="G125" s="929" t="str">
        <f t="shared" si="41"/>
        <v/>
      </c>
      <c r="H125" s="929" t="str">
        <f t="shared" si="41"/>
        <v/>
      </c>
      <c r="I125" s="929" t="str">
        <f t="shared" si="41"/>
        <v/>
      </c>
      <c r="J125" s="929" t="str">
        <f t="shared" si="41"/>
        <v/>
      </c>
      <c r="K125" s="929" t="str">
        <f t="shared" si="41"/>
        <v/>
      </c>
      <c r="L125" s="929" t="str">
        <f t="shared" si="41"/>
        <v/>
      </c>
      <c r="M125" s="929" t="str">
        <f t="shared" si="41"/>
        <v/>
      </c>
      <c r="N125" s="929" t="str">
        <f t="shared" si="41"/>
        <v/>
      </c>
      <c r="O125" s="929" t="str">
        <f t="shared" si="41"/>
        <v/>
      </c>
      <c r="P125" s="929" t="str">
        <f t="shared" si="41"/>
        <v/>
      </c>
      <c r="Q125" s="929" t="str">
        <f t="shared" si="41"/>
        <v/>
      </c>
      <c r="R125" s="929" t="str">
        <f t="shared" si="41"/>
        <v/>
      </c>
      <c r="S125" s="929" t="str">
        <f t="shared" si="41"/>
        <v/>
      </c>
      <c r="T125" s="188"/>
      <c r="U125" s="927"/>
      <c r="V125" s="927"/>
      <c r="W125" s="809"/>
      <c r="X125" s="1596"/>
      <c r="Y125" s="1598"/>
      <c r="Z125" s="1599"/>
      <c r="AA125" s="1600"/>
      <c r="AB125" s="188"/>
      <c r="AC125" s="188"/>
      <c r="AD125" s="446"/>
      <c r="AE125" s="450"/>
      <c r="AF125" s="448"/>
      <c r="AG125" s="188"/>
      <c r="AH125" s="188"/>
      <c r="AI125" s="188"/>
    </row>
    <row r="126" spans="1:35" ht="15.75" thickBot="1" x14ac:dyDescent="0.3">
      <c r="B126" s="1579" t="str">
        <f>'Commodities (Clients) Input'!B23</f>
        <v>Stérilisation</v>
      </c>
      <c r="C126" s="274" t="str">
        <f>'Commodities (Clients) Input'!C23</f>
        <v>Ligature des trompes</v>
      </c>
      <c r="D126" s="197" t="str">
        <f>IF(D$124="", "", VLOOKUP($C126, 'Commodities (Facility) Input'!$CB$23:$CR$46, MATCH('Commodities (Facility) Output'!D$124, 'Commodities (Facility) Input'!$CB$21:$CR$21, 0), FALSE))</f>
        <v/>
      </c>
      <c r="E126" s="198" t="str">
        <f>IF(E$124="", "", VLOOKUP($C126, 'Commodities (Facility) Input'!$CB$23:$CR$46, MATCH('Commodities (Facility) Output'!E$124, 'Commodities (Facility) Input'!$CB$21:$CR$21, 0), FALSE))</f>
        <v/>
      </c>
      <c r="F126" s="198" t="str">
        <f>IF(F$124="", "", VLOOKUP($C126, 'Commodities (Facility) Input'!$CB$23:$CR$46, MATCH('Commodities (Facility) Output'!F$124, 'Commodities (Facility) Input'!$CB$21:$CR$21, 0), FALSE))</f>
        <v/>
      </c>
      <c r="G126" s="198" t="str">
        <f>IF(G$124="", "", VLOOKUP($C126, 'Commodities (Facility) Input'!$CB$23:$CR$46, MATCH('Commodities (Facility) Output'!G$124, 'Commodities (Facility) Input'!$CB$21:$CR$21, 0), FALSE))</f>
        <v/>
      </c>
      <c r="H126" s="198" t="str">
        <f>IF(H$124="", "", VLOOKUP($C126, 'Commodities (Facility) Input'!$CB$23:$CR$46, MATCH('Commodities (Facility) Output'!H$124, 'Commodities (Facility) Input'!$CB$21:$CR$21, 0), FALSE))</f>
        <v/>
      </c>
      <c r="I126" s="198" t="str">
        <f>IF(I$124="", "", VLOOKUP($C126, 'Commodities (Facility) Input'!$CB$23:$CR$46, MATCH('Commodities (Facility) Output'!I$124, 'Commodities (Facility) Input'!$CB$21:$CR$21, 0), FALSE))</f>
        <v/>
      </c>
      <c r="J126" s="198" t="str">
        <f>IF(J$124="", "", VLOOKUP($C126, 'Commodities (Facility) Input'!$CB$23:$CR$46, MATCH('Commodities (Facility) Output'!J$124, 'Commodities (Facility) Input'!$CB$21:$CR$21, 0), FALSE))</f>
        <v/>
      </c>
      <c r="K126" s="198" t="str">
        <f>IF(K$124="", "", VLOOKUP($C126, 'Commodities (Facility) Input'!$CB$23:$CR$46, MATCH('Commodities (Facility) Output'!K$124, 'Commodities (Facility) Input'!$CB$21:$CR$21, 0), FALSE))</f>
        <v/>
      </c>
      <c r="L126" s="198" t="str">
        <f>IF(L$124="", "", VLOOKUP($C126, 'Commodities (Facility) Input'!$CB$23:$CR$46, MATCH('Commodities (Facility) Output'!L$124, 'Commodities (Facility) Input'!$CB$21:$CR$21, 0), FALSE))</f>
        <v/>
      </c>
      <c r="M126" s="199" t="str">
        <f>IF(M$124="", "", VLOOKUP($C126, 'Commodities (Facility) Input'!$CB$23:$CR$46, MATCH('Commodities (Facility) Output'!M$124, 'Commodities (Facility) Input'!$CB$21:$CR$21, 0), FALSE))</f>
        <v/>
      </c>
      <c r="N126" s="199" t="str">
        <f>IF(N$124="", "", VLOOKUP($C126, 'Commodities (Facility) Input'!$CB$23:$CR$46, MATCH('Commodities (Facility) Output'!N$124, 'Commodities (Facility) Input'!$CB$21:$CR$21, 0), FALSE))</f>
        <v/>
      </c>
      <c r="O126" s="199" t="str">
        <f>IF(O$124="", "", VLOOKUP($C126, 'Commodities (Facility) Input'!$CB$23:$CR$46, MATCH('Commodities (Facility) Output'!O$124, 'Commodities (Facility) Input'!$CB$21:$CR$21, 0), FALSE))</f>
        <v/>
      </c>
      <c r="P126" s="199" t="str">
        <f>IF(P$124="", "", VLOOKUP($C126, 'Commodities (Facility) Input'!$CB$23:$CR$46, MATCH('Commodities (Facility) Output'!P$124, 'Commodities (Facility) Input'!$CB$21:$CR$21, 0), FALSE))</f>
        <v/>
      </c>
      <c r="Q126" s="199" t="str">
        <f>IF(Q$124="", "", VLOOKUP($C126, 'Commodities (Facility) Input'!$CB$23:$CR$46, MATCH('Commodities (Facility) Output'!Q$124, 'Commodities (Facility) Input'!$CB$21:$CR$21, 0), FALSE))</f>
        <v/>
      </c>
      <c r="R126" s="199" t="str">
        <f>IF(R$124="", "", VLOOKUP($C126, 'Commodities (Facility) Input'!$CB$23:$CR$46, MATCH('Commodities (Facility) Output'!R$124, 'Commodities (Facility) Input'!$CB$21:$CR$21, 0), FALSE))</f>
        <v/>
      </c>
      <c r="S126" s="200" t="str">
        <f>IF(S$124="", "", VLOOKUP($C126, 'Commodities (Facility) Input'!$CB$23:$CR$46, MATCH('Commodities (Facility) Output'!S$124, 'Commodities (Facility) Input'!$CB$21:$CR$21, 0), FALSE))</f>
        <v/>
      </c>
      <c r="U126" s="928" t="str">
        <f>IF(COUNTIF($D126:$S126, "&gt;"&amp;Z126)+COUNTIF($D126:$S126, "&lt;"&amp;AA126)&gt;0, $U$123, "")</f>
        <v/>
      </c>
      <c r="V126" s="877" t="str">
        <f>IFERROR(IF(U126="", "", "("&amp;TEXT(AA126, "0,000")&amp;" - "&amp;TEXT(Z126, "0,000")&amp;")"), "")</f>
        <v/>
      </c>
      <c r="X126" s="856" t="e">
        <f>AVERAGE($D126:$S126)</f>
        <v>#DIV/0!</v>
      </c>
      <c r="Y126" s="857" t="e">
        <f>STDEV($D126:$S126)*2</f>
        <v>#DIV/0!</v>
      </c>
      <c r="Z126" s="856" t="e">
        <f>X126+Y126</f>
        <v>#DIV/0!</v>
      </c>
      <c r="AA126" s="856" t="e">
        <f>X126-Y126</f>
        <v>#DIV/0!</v>
      </c>
      <c r="AD126" s="445"/>
      <c r="AE126" s="449"/>
      <c r="AF126" s="447"/>
    </row>
    <row r="127" spans="1:35" ht="15.75" thickBot="1" x14ac:dyDescent="0.3">
      <c r="B127" s="1580"/>
      <c r="C127" s="275" t="str">
        <f>'Commodities (Clients) Input'!C24</f>
        <v>Vasectomie</v>
      </c>
      <c r="D127" s="91" t="str">
        <f>IF(D$124="", "", VLOOKUP($C127, 'Commodities (Facility) Input'!$CB$23:$CR$46, MATCH('Commodities (Facility) Output'!D$124, 'Commodities (Facility) Input'!$CB$21:$CR$21, 0), FALSE))</f>
        <v/>
      </c>
      <c r="E127" s="92" t="str">
        <f>IF(E$124="", "", VLOOKUP($C127, 'Commodities (Facility) Input'!$CB$23:$CR$46, MATCH('Commodities (Facility) Output'!E$124, 'Commodities (Facility) Input'!$CB$21:$CR$21, 0), FALSE))</f>
        <v/>
      </c>
      <c r="F127" s="92" t="str">
        <f>IF(F$124="", "", VLOOKUP($C127, 'Commodities (Facility) Input'!$CB$23:$CR$46, MATCH('Commodities (Facility) Output'!F$124, 'Commodities (Facility) Input'!$CB$21:$CR$21, 0), FALSE))</f>
        <v/>
      </c>
      <c r="G127" s="92" t="str">
        <f>IF(G$124="", "", VLOOKUP($C127, 'Commodities (Facility) Input'!$CB$23:$CR$46, MATCH('Commodities (Facility) Output'!G$124, 'Commodities (Facility) Input'!$CB$21:$CR$21, 0), FALSE))</f>
        <v/>
      </c>
      <c r="H127" s="92" t="str">
        <f>IF(H$124="", "", VLOOKUP($C127, 'Commodities (Facility) Input'!$CB$23:$CR$46, MATCH('Commodities (Facility) Output'!H$124, 'Commodities (Facility) Input'!$CB$21:$CR$21, 0), FALSE))</f>
        <v/>
      </c>
      <c r="I127" s="92" t="str">
        <f>IF(I$124="", "", VLOOKUP($C127, 'Commodities (Facility) Input'!$CB$23:$CR$46, MATCH('Commodities (Facility) Output'!I$124, 'Commodities (Facility) Input'!$CB$21:$CR$21, 0), FALSE))</f>
        <v/>
      </c>
      <c r="J127" s="92" t="str">
        <f>IF(J$124="", "", VLOOKUP($C127, 'Commodities (Facility) Input'!$CB$23:$CR$46, MATCH('Commodities (Facility) Output'!J$124, 'Commodities (Facility) Input'!$CB$21:$CR$21, 0), FALSE))</f>
        <v/>
      </c>
      <c r="K127" s="92" t="str">
        <f>IF(K$124="", "", VLOOKUP($C127, 'Commodities (Facility) Input'!$CB$23:$CR$46, MATCH('Commodities (Facility) Output'!K$124, 'Commodities (Facility) Input'!$CB$21:$CR$21, 0), FALSE))</f>
        <v/>
      </c>
      <c r="L127" s="92" t="str">
        <f>IF(L$124="", "", VLOOKUP($C127, 'Commodities (Facility) Input'!$CB$23:$CR$46, MATCH('Commodities (Facility) Output'!L$124, 'Commodities (Facility) Input'!$CB$21:$CR$21, 0), FALSE))</f>
        <v/>
      </c>
      <c r="M127" s="93" t="str">
        <f>IF(M$124="", "", VLOOKUP($C127, 'Commodities (Facility) Input'!$CB$23:$CR$46, MATCH('Commodities (Facility) Output'!M$124, 'Commodities (Facility) Input'!$CB$21:$CR$21, 0), FALSE))</f>
        <v/>
      </c>
      <c r="N127" s="93" t="str">
        <f>IF(N$124="", "", VLOOKUP($C127, 'Commodities (Facility) Input'!$CB$23:$CR$46, MATCH('Commodities (Facility) Output'!N$124, 'Commodities (Facility) Input'!$CB$21:$CR$21, 0), FALSE))</f>
        <v/>
      </c>
      <c r="O127" s="93" t="str">
        <f>IF(O$124="", "", VLOOKUP($C127, 'Commodities (Facility) Input'!$CB$23:$CR$46, MATCH('Commodities (Facility) Output'!O$124, 'Commodities (Facility) Input'!$CB$21:$CR$21, 0), FALSE))</f>
        <v/>
      </c>
      <c r="P127" s="93" t="str">
        <f>IF(P$124="", "", VLOOKUP($C127, 'Commodities (Facility) Input'!$CB$23:$CR$46, MATCH('Commodities (Facility) Output'!P$124, 'Commodities (Facility) Input'!$CB$21:$CR$21, 0), FALSE))</f>
        <v/>
      </c>
      <c r="Q127" s="93" t="str">
        <f>IF(Q$124="", "", VLOOKUP($C127, 'Commodities (Facility) Input'!$CB$23:$CR$46, MATCH('Commodities (Facility) Output'!Q$124, 'Commodities (Facility) Input'!$CB$21:$CR$21, 0), FALSE))</f>
        <v/>
      </c>
      <c r="R127" s="93" t="str">
        <f>IF(R$124="", "", VLOOKUP($C127, 'Commodities (Facility) Input'!$CB$23:$CR$46, MATCH('Commodities (Facility) Output'!R$124, 'Commodities (Facility) Input'!$CB$21:$CR$21, 0), FALSE))</f>
        <v/>
      </c>
      <c r="S127" s="94" t="str">
        <f>IF(S$124="", "", VLOOKUP($C127, 'Commodities (Facility) Input'!$CB$23:$CR$46, MATCH('Commodities (Facility) Output'!S$124, 'Commodities (Facility) Input'!$CB$21:$CR$21, 0), FALSE))</f>
        <v/>
      </c>
      <c r="U127" s="928" t="str">
        <f t="shared" ref="U127:U132" si="42">IF(COUNTIF($D127:$S127, "&gt;"&amp;Z127)+COUNTIF($D127:$S127, "&lt;"&amp;AA127)&gt;0, $U$123, "")</f>
        <v/>
      </c>
      <c r="V127" s="877" t="str">
        <f t="shared" ref="V127:V132" si="43">IFERROR(IF(U127="", "", "("&amp;TEXT(AA127, "0,000")&amp;" - "&amp;TEXT(Z127, "0,000")&amp;")"), "")</f>
        <v/>
      </c>
      <c r="X127" s="856" t="e">
        <f t="shared" ref="X127:X132" si="44">AVERAGE($D127:$S127)</f>
        <v>#DIV/0!</v>
      </c>
      <c r="Y127" s="857" t="e">
        <f t="shared" ref="Y127:Y132" si="45">STDEV($D127:$S127)*2</f>
        <v>#DIV/0!</v>
      </c>
      <c r="Z127" s="856" t="e">
        <f t="shared" ref="Z127:Z132" si="46">X127+Y127</f>
        <v>#DIV/0!</v>
      </c>
      <c r="AA127" s="856" t="e">
        <f t="shared" ref="AA127:AA132" si="47">X127-Y127</f>
        <v>#DIV/0!</v>
      </c>
      <c r="AD127" s="445"/>
      <c r="AE127" s="449"/>
      <c r="AF127" s="447"/>
    </row>
    <row r="128" spans="1:35" ht="15.75" thickBot="1" x14ac:dyDescent="0.3">
      <c r="B128" s="1579" t="str">
        <f>'Commodities (Clients) Input'!B25</f>
        <v>DIU</v>
      </c>
      <c r="C128" s="274" t="str">
        <f>'Commodities (Clients) Input'!C25</f>
        <v>Copper- T 380-A DIU</v>
      </c>
      <c r="D128" s="95" t="str">
        <f>IF(D$124="", "", VLOOKUP($C128, 'Commodities (Facility) Input'!$CB$23:$CR$46, MATCH('Commodities (Facility) Output'!D$124, 'Commodities (Facility) Input'!$CB$21:$CR$21, 0), FALSE))</f>
        <v/>
      </c>
      <c r="E128" s="201" t="str">
        <f>IF(E$124="", "", VLOOKUP($C128, 'Commodities (Facility) Input'!$CB$23:$CR$46, MATCH('Commodities (Facility) Output'!E$124, 'Commodities (Facility) Input'!$CB$21:$CR$21, 0), FALSE))</f>
        <v/>
      </c>
      <c r="F128" s="201" t="str">
        <f>IF(F$124="", "", VLOOKUP($C128, 'Commodities (Facility) Input'!$CB$23:$CR$46, MATCH('Commodities (Facility) Output'!F$124, 'Commodities (Facility) Input'!$CB$21:$CR$21, 0), FALSE))</f>
        <v/>
      </c>
      <c r="G128" s="201" t="str">
        <f>IF(G$124="", "", VLOOKUP($C128, 'Commodities (Facility) Input'!$CB$23:$CR$46, MATCH('Commodities (Facility) Output'!G$124, 'Commodities (Facility) Input'!$CB$21:$CR$21, 0), FALSE))</f>
        <v/>
      </c>
      <c r="H128" s="201" t="str">
        <f>IF(H$124="", "", VLOOKUP($C128, 'Commodities (Facility) Input'!$CB$23:$CR$46, MATCH('Commodities (Facility) Output'!H$124, 'Commodities (Facility) Input'!$CB$21:$CR$21, 0), FALSE))</f>
        <v/>
      </c>
      <c r="I128" s="201" t="str">
        <f>IF(I$124="", "", VLOOKUP($C128, 'Commodities (Facility) Input'!$CB$23:$CR$46, MATCH('Commodities (Facility) Output'!I$124, 'Commodities (Facility) Input'!$CB$21:$CR$21, 0), FALSE))</f>
        <v/>
      </c>
      <c r="J128" s="201" t="str">
        <f>IF(J$124="", "", VLOOKUP($C128, 'Commodities (Facility) Input'!$CB$23:$CR$46, MATCH('Commodities (Facility) Output'!J$124, 'Commodities (Facility) Input'!$CB$21:$CR$21, 0), FALSE))</f>
        <v/>
      </c>
      <c r="K128" s="201" t="str">
        <f>IF(K$124="", "", VLOOKUP($C128, 'Commodities (Facility) Input'!$CB$23:$CR$46, MATCH('Commodities (Facility) Output'!K$124, 'Commodities (Facility) Input'!$CB$21:$CR$21, 0), FALSE))</f>
        <v/>
      </c>
      <c r="L128" s="201" t="str">
        <f>IF(L$124="", "", VLOOKUP($C128, 'Commodities (Facility) Input'!$CB$23:$CR$46, MATCH('Commodities (Facility) Output'!L$124, 'Commodities (Facility) Input'!$CB$21:$CR$21, 0), FALSE))</f>
        <v/>
      </c>
      <c r="M128" s="96" t="str">
        <f>IF(M$124="", "", VLOOKUP($C128, 'Commodities (Facility) Input'!$CB$23:$CR$46, MATCH('Commodities (Facility) Output'!M$124, 'Commodities (Facility) Input'!$CB$21:$CR$21, 0), FALSE))</f>
        <v/>
      </c>
      <c r="N128" s="96" t="str">
        <f>IF(N$124="", "", VLOOKUP($C128, 'Commodities (Facility) Input'!$CB$23:$CR$46, MATCH('Commodities (Facility) Output'!N$124, 'Commodities (Facility) Input'!$CB$21:$CR$21, 0), FALSE))</f>
        <v/>
      </c>
      <c r="O128" s="96" t="str">
        <f>IF(O$124="", "", VLOOKUP($C128, 'Commodities (Facility) Input'!$CB$23:$CR$46, MATCH('Commodities (Facility) Output'!O$124, 'Commodities (Facility) Input'!$CB$21:$CR$21, 0), FALSE))</f>
        <v/>
      </c>
      <c r="P128" s="96" t="str">
        <f>IF(P$124="", "", VLOOKUP($C128, 'Commodities (Facility) Input'!$CB$23:$CR$46, MATCH('Commodities (Facility) Output'!P$124, 'Commodities (Facility) Input'!$CB$21:$CR$21, 0), FALSE))</f>
        <v/>
      </c>
      <c r="Q128" s="96" t="str">
        <f>IF(Q$124="", "", VLOOKUP($C128, 'Commodities (Facility) Input'!$CB$23:$CR$46, MATCH('Commodities (Facility) Output'!Q$124, 'Commodities (Facility) Input'!$CB$21:$CR$21, 0), FALSE))</f>
        <v/>
      </c>
      <c r="R128" s="96" t="str">
        <f>IF(R$124="", "", VLOOKUP($C128, 'Commodities (Facility) Input'!$CB$23:$CR$46, MATCH('Commodities (Facility) Output'!R$124, 'Commodities (Facility) Input'!$CB$21:$CR$21, 0), FALSE))</f>
        <v/>
      </c>
      <c r="S128" s="97" t="str">
        <f>IF(S$124="", "", VLOOKUP($C128, 'Commodities (Facility) Input'!$CB$23:$CR$46, MATCH('Commodities (Facility) Output'!S$124, 'Commodities (Facility) Input'!$CB$21:$CR$21, 0), FALSE))</f>
        <v/>
      </c>
      <c r="U128" s="928" t="str">
        <f t="shared" si="42"/>
        <v/>
      </c>
      <c r="V128" s="877" t="str">
        <f t="shared" si="43"/>
        <v/>
      </c>
      <c r="X128" s="856" t="e">
        <f t="shared" si="44"/>
        <v>#DIV/0!</v>
      </c>
      <c r="Y128" s="857" t="e">
        <f t="shared" si="45"/>
        <v>#DIV/0!</v>
      </c>
      <c r="Z128" s="856" t="e">
        <f t="shared" si="46"/>
        <v>#DIV/0!</v>
      </c>
      <c r="AA128" s="856" t="e">
        <f t="shared" si="47"/>
        <v>#DIV/0!</v>
      </c>
      <c r="AD128" s="445"/>
      <c r="AE128" s="449"/>
      <c r="AF128" s="447"/>
    </row>
    <row r="129" spans="1:35" ht="15.75" thickBot="1" x14ac:dyDescent="0.3">
      <c r="B129" s="1580"/>
      <c r="C129" s="275" t="str">
        <f>'Commodities (Clients) Input'!C26</f>
        <v>DIU Hormonal (LNG-IUS)</v>
      </c>
      <c r="D129" s="91" t="str">
        <f>IF(D$124="", "", VLOOKUP($C129, 'Commodities (Facility) Input'!$CB$23:$CR$46, MATCH('Commodities (Facility) Output'!D$124, 'Commodities (Facility) Input'!$CB$21:$CR$21, 0), FALSE))</f>
        <v/>
      </c>
      <c r="E129" s="92" t="str">
        <f>IF(E$124="", "", VLOOKUP($C129, 'Commodities (Facility) Input'!$CB$23:$CR$46, MATCH('Commodities (Facility) Output'!E$124, 'Commodities (Facility) Input'!$CB$21:$CR$21, 0), FALSE))</f>
        <v/>
      </c>
      <c r="F129" s="92" t="str">
        <f>IF(F$124="", "", VLOOKUP($C129, 'Commodities (Facility) Input'!$CB$23:$CR$46, MATCH('Commodities (Facility) Output'!F$124, 'Commodities (Facility) Input'!$CB$21:$CR$21, 0), FALSE))</f>
        <v/>
      </c>
      <c r="G129" s="92" t="str">
        <f>IF(G$124="", "", VLOOKUP($C129, 'Commodities (Facility) Input'!$CB$23:$CR$46, MATCH('Commodities (Facility) Output'!G$124, 'Commodities (Facility) Input'!$CB$21:$CR$21, 0), FALSE))</f>
        <v/>
      </c>
      <c r="H129" s="92" t="str">
        <f>IF(H$124="", "", VLOOKUP($C129, 'Commodities (Facility) Input'!$CB$23:$CR$46, MATCH('Commodities (Facility) Output'!H$124, 'Commodities (Facility) Input'!$CB$21:$CR$21, 0), FALSE))</f>
        <v/>
      </c>
      <c r="I129" s="92" t="str">
        <f>IF(I$124="", "", VLOOKUP($C129, 'Commodities (Facility) Input'!$CB$23:$CR$46, MATCH('Commodities (Facility) Output'!I$124, 'Commodities (Facility) Input'!$CB$21:$CR$21, 0), FALSE))</f>
        <v/>
      </c>
      <c r="J129" s="92" t="str">
        <f>IF(J$124="", "", VLOOKUP($C129, 'Commodities (Facility) Input'!$CB$23:$CR$46, MATCH('Commodities (Facility) Output'!J$124, 'Commodities (Facility) Input'!$CB$21:$CR$21, 0), FALSE))</f>
        <v/>
      </c>
      <c r="K129" s="92" t="str">
        <f>IF(K$124="", "", VLOOKUP($C129, 'Commodities (Facility) Input'!$CB$23:$CR$46, MATCH('Commodities (Facility) Output'!K$124, 'Commodities (Facility) Input'!$CB$21:$CR$21, 0), FALSE))</f>
        <v/>
      </c>
      <c r="L129" s="92" t="str">
        <f>IF(L$124="", "", VLOOKUP($C129, 'Commodities (Facility) Input'!$CB$23:$CR$46, MATCH('Commodities (Facility) Output'!L$124, 'Commodities (Facility) Input'!$CB$21:$CR$21, 0), FALSE))</f>
        <v/>
      </c>
      <c r="M129" s="93" t="str">
        <f>IF(M$124="", "", VLOOKUP($C129, 'Commodities (Facility) Input'!$CB$23:$CR$46, MATCH('Commodities (Facility) Output'!M$124, 'Commodities (Facility) Input'!$CB$21:$CR$21, 0), FALSE))</f>
        <v/>
      </c>
      <c r="N129" s="93" t="str">
        <f>IF(N$124="", "", VLOOKUP($C129, 'Commodities (Facility) Input'!$CB$23:$CR$46, MATCH('Commodities (Facility) Output'!N$124, 'Commodities (Facility) Input'!$CB$21:$CR$21, 0), FALSE))</f>
        <v/>
      </c>
      <c r="O129" s="93" t="str">
        <f>IF(O$124="", "", VLOOKUP($C129, 'Commodities (Facility) Input'!$CB$23:$CR$46, MATCH('Commodities (Facility) Output'!O$124, 'Commodities (Facility) Input'!$CB$21:$CR$21, 0), FALSE))</f>
        <v/>
      </c>
      <c r="P129" s="93" t="str">
        <f>IF(P$124="", "", VLOOKUP($C129, 'Commodities (Facility) Input'!$CB$23:$CR$46, MATCH('Commodities (Facility) Output'!P$124, 'Commodities (Facility) Input'!$CB$21:$CR$21, 0), FALSE))</f>
        <v/>
      </c>
      <c r="Q129" s="93" t="str">
        <f>IF(Q$124="", "", VLOOKUP($C129, 'Commodities (Facility) Input'!$CB$23:$CR$46, MATCH('Commodities (Facility) Output'!Q$124, 'Commodities (Facility) Input'!$CB$21:$CR$21, 0), FALSE))</f>
        <v/>
      </c>
      <c r="R129" s="93" t="str">
        <f>IF(R$124="", "", VLOOKUP($C129, 'Commodities (Facility) Input'!$CB$23:$CR$46, MATCH('Commodities (Facility) Output'!R$124, 'Commodities (Facility) Input'!$CB$21:$CR$21, 0), FALSE))</f>
        <v/>
      </c>
      <c r="S129" s="94" t="str">
        <f>IF(S$124="", "", VLOOKUP($C129, 'Commodities (Facility) Input'!$CB$23:$CR$46, MATCH('Commodities (Facility) Output'!S$124, 'Commodities (Facility) Input'!$CB$21:$CR$21, 0), FALSE))</f>
        <v/>
      </c>
      <c r="U129" s="928" t="str">
        <f>IF(COUNTIF($D129:$S129, "&gt;"&amp;Z129)+COUNTIF($D129:$S129, "&lt;"&amp;AA129)&gt;0, $U$123, "")</f>
        <v/>
      </c>
      <c r="V129" s="877" t="str">
        <f>IFERROR(IF(U129="", "", "("&amp;TEXT(AA129, "0,000")&amp;" - "&amp;TEXT(Z129, "0,000")&amp;")"), "")</f>
        <v/>
      </c>
      <c r="X129" s="856" t="e">
        <f t="shared" si="44"/>
        <v>#DIV/0!</v>
      </c>
      <c r="Y129" s="857" t="e">
        <f t="shared" si="45"/>
        <v>#DIV/0!</v>
      </c>
      <c r="Z129" s="856" t="e">
        <f t="shared" si="46"/>
        <v>#DIV/0!</v>
      </c>
      <c r="AA129" s="856" t="e">
        <f t="shared" si="47"/>
        <v>#DIV/0!</v>
      </c>
      <c r="AD129" s="445"/>
      <c r="AE129" s="449"/>
      <c r="AF129" s="447"/>
    </row>
    <row r="130" spans="1:35" ht="15.75" thickBot="1" x14ac:dyDescent="0.3">
      <c r="B130" s="1579" t="str">
        <f>'Commodities (Clients) Input'!B27</f>
        <v>Implant</v>
      </c>
      <c r="C130" s="274" t="str">
        <f>'Commodities (Clients) Input'!C27</f>
        <v>Implant de 3 ans (Implanon, Levoplant)</v>
      </c>
      <c r="D130" s="87" t="str">
        <f>IF(D$124="", "", VLOOKUP($C130, 'Commodities (Facility) Input'!$CB$23:$CR$46, MATCH('Commodities (Facility) Output'!D$124, 'Commodities (Facility) Input'!$CB$21:$CR$21, 0), FALSE))</f>
        <v/>
      </c>
      <c r="E130" s="88" t="str">
        <f>IF(E$124="", "", VLOOKUP($C130, 'Commodities (Facility) Input'!$CB$23:$CR$46, MATCH('Commodities (Facility) Output'!E$124, 'Commodities (Facility) Input'!$CB$21:$CR$21, 0), FALSE))</f>
        <v/>
      </c>
      <c r="F130" s="88" t="str">
        <f>IF(F$124="", "", VLOOKUP($C130, 'Commodities (Facility) Input'!$CB$23:$CR$46, MATCH('Commodities (Facility) Output'!F$124, 'Commodities (Facility) Input'!$CB$21:$CR$21, 0), FALSE))</f>
        <v/>
      </c>
      <c r="G130" s="88" t="str">
        <f>IF(G$124="", "", VLOOKUP($C130, 'Commodities (Facility) Input'!$CB$23:$CR$46, MATCH('Commodities (Facility) Output'!G$124, 'Commodities (Facility) Input'!$CB$21:$CR$21, 0), FALSE))</f>
        <v/>
      </c>
      <c r="H130" s="88" t="str">
        <f>IF(H$124="", "", VLOOKUP($C130, 'Commodities (Facility) Input'!$CB$23:$CR$46, MATCH('Commodities (Facility) Output'!H$124, 'Commodities (Facility) Input'!$CB$21:$CR$21, 0), FALSE))</f>
        <v/>
      </c>
      <c r="I130" s="88" t="str">
        <f>IF(I$124="", "", VLOOKUP($C130, 'Commodities (Facility) Input'!$CB$23:$CR$46, MATCH('Commodities (Facility) Output'!I$124, 'Commodities (Facility) Input'!$CB$21:$CR$21, 0), FALSE))</f>
        <v/>
      </c>
      <c r="J130" s="88" t="str">
        <f>IF(J$124="", "", VLOOKUP($C130, 'Commodities (Facility) Input'!$CB$23:$CR$46, MATCH('Commodities (Facility) Output'!J$124, 'Commodities (Facility) Input'!$CB$21:$CR$21, 0), FALSE))</f>
        <v/>
      </c>
      <c r="K130" s="88" t="str">
        <f>IF(K$124="", "", VLOOKUP($C130, 'Commodities (Facility) Input'!$CB$23:$CR$46, MATCH('Commodities (Facility) Output'!K$124, 'Commodities (Facility) Input'!$CB$21:$CR$21, 0), FALSE))</f>
        <v/>
      </c>
      <c r="L130" s="88" t="str">
        <f>IF(L$124="", "", VLOOKUP($C130, 'Commodities (Facility) Input'!$CB$23:$CR$46, MATCH('Commodities (Facility) Output'!L$124, 'Commodities (Facility) Input'!$CB$21:$CR$21, 0), FALSE))</f>
        <v/>
      </c>
      <c r="M130" s="89" t="str">
        <f>IF(M$124="", "", VLOOKUP($C130, 'Commodities (Facility) Input'!$CB$23:$CR$46, MATCH('Commodities (Facility) Output'!M$124, 'Commodities (Facility) Input'!$CB$21:$CR$21, 0), FALSE))</f>
        <v/>
      </c>
      <c r="N130" s="89" t="str">
        <f>IF(N$124="", "", VLOOKUP($C130, 'Commodities (Facility) Input'!$CB$23:$CR$46, MATCH('Commodities (Facility) Output'!N$124, 'Commodities (Facility) Input'!$CB$21:$CR$21, 0), FALSE))</f>
        <v/>
      </c>
      <c r="O130" s="89" t="str">
        <f>IF(O$124="", "", VLOOKUP($C130, 'Commodities (Facility) Input'!$CB$23:$CR$46, MATCH('Commodities (Facility) Output'!O$124, 'Commodities (Facility) Input'!$CB$21:$CR$21, 0), FALSE))</f>
        <v/>
      </c>
      <c r="P130" s="89" t="str">
        <f>IF(P$124="", "", VLOOKUP($C130, 'Commodities (Facility) Input'!$CB$23:$CR$46, MATCH('Commodities (Facility) Output'!P$124, 'Commodities (Facility) Input'!$CB$21:$CR$21, 0), FALSE))</f>
        <v/>
      </c>
      <c r="Q130" s="89" t="str">
        <f>IF(Q$124="", "", VLOOKUP($C130, 'Commodities (Facility) Input'!$CB$23:$CR$46, MATCH('Commodities (Facility) Output'!Q$124, 'Commodities (Facility) Input'!$CB$21:$CR$21, 0), FALSE))</f>
        <v/>
      </c>
      <c r="R130" s="89" t="str">
        <f>IF(R$124="", "", VLOOKUP($C130, 'Commodities (Facility) Input'!$CB$23:$CR$46, MATCH('Commodities (Facility) Output'!R$124, 'Commodities (Facility) Input'!$CB$21:$CR$21, 0), FALSE))</f>
        <v/>
      </c>
      <c r="S130" s="90" t="str">
        <f>IF(S$124="", "", VLOOKUP($C130, 'Commodities (Facility) Input'!$CB$23:$CR$46, MATCH('Commodities (Facility) Output'!S$124, 'Commodities (Facility) Input'!$CB$21:$CR$21, 0), FALSE))</f>
        <v/>
      </c>
      <c r="U130" s="928" t="str">
        <f t="shared" si="42"/>
        <v/>
      </c>
      <c r="V130" s="877" t="str">
        <f t="shared" si="43"/>
        <v/>
      </c>
      <c r="X130" s="856" t="e">
        <f t="shared" si="44"/>
        <v>#DIV/0!</v>
      </c>
      <c r="Y130" s="857" t="e">
        <f t="shared" si="45"/>
        <v>#DIV/0!</v>
      </c>
      <c r="Z130" s="856" t="e">
        <f t="shared" si="46"/>
        <v>#DIV/0!</v>
      </c>
      <c r="AA130" s="856" t="e">
        <f t="shared" si="47"/>
        <v>#DIV/0!</v>
      </c>
      <c r="AD130" s="445"/>
      <c r="AE130" s="449"/>
      <c r="AF130" s="447"/>
    </row>
    <row r="131" spans="1:35" ht="15.75" thickBot="1" x14ac:dyDescent="0.3">
      <c r="B131" s="1515"/>
      <c r="C131" s="277" t="str">
        <f>'Commodities (Clients) Input'!C28</f>
        <v>Implant de 4 ans (Sino-Implant)</v>
      </c>
      <c r="D131" s="79" t="str">
        <f>IF(D$124="", "", VLOOKUP($C131, 'Commodities (Facility) Input'!$CB$23:$CR$46, MATCH('Commodities (Facility) Output'!D$124, 'Commodities (Facility) Input'!$CB$21:$CR$21, 0), FALSE))</f>
        <v/>
      </c>
      <c r="E131" s="80" t="str">
        <f>IF(E$124="", "", VLOOKUP($C131, 'Commodities (Facility) Input'!$CB$23:$CR$46, MATCH('Commodities (Facility) Output'!E$124, 'Commodities (Facility) Input'!$CB$21:$CR$21, 0), FALSE))</f>
        <v/>
      </c>
      <c r="F131" s="80" t="str">
        <f>IF(F$124="", "", VLOOKUP($C131, 'Commodities (Facility) Input'!$CB$23:$CR$46, MATCH('Commodities (Facility) Output'!F$124, 'Commodities (Facility) Input'!$CB$21:$CR$21, 0), FALSE))</f>
        <v/>
      </c>
      <c r="G131" s="80" t="str">
        <f>IF(G$124="", "", VLOOKUP($C131, 'Commodities (Facility) Input'!$CB$23:$CR$46, MATCH('Commodities (Facility) Output'!G$124, 'Commodities (Facility) Input'!$CB$21:$CR$21, 0), FALSE))</f>
        <v/>
      </c>
      <c r="H131" s="80" t="str">
        <f>IF(H$124="", "", VLOOKUP($C131, 'Commodities (Facility) Input'!$CB$23:$CR$46, MATCH('Commodities (Facility) Output'!H$124, 'Commodities (Facility) Input'!$CB$21:$CR$21, 0), FALSE))</f>
        <v/>
      </c>
      <c r="I131" s="80" t="str">
        <f>IF(I$124="", "", VLOOKUP($C131, 'Commodities (Facility) Input'!$CB$23:$CR$46, MATCH('Commodities (Facility) Output'!I$124, 'Commodities (Facility) Input'!$CB$21:$CR$21, 0), FALSE))</f>
        <v/>
      </c>
      <c r="J131" s="80" t="str">
        <f>IF(J$124="", "", VLOOKUP($C131, 'Commodities (Facility) Input'!$CB$23:$CR$46, MATCH('Commodities (Facility) Output'!J$124, 'Commodities (Facility) Input'!$CB$21:$CR$21, 0), FALSE))</f>
        <v/>
      </c>
      <c r="K131" s="80" t="str">
        <f>IF(K$124="", "", VLOOKUP($C131, 'Commodities (Facility) Input'!$CB$23:$CR$46, MATCH('Commodities (Facility) Output'!K$124, 'Commodities (Facility) Input'!$CB$21:$CR$21, 0), FALSE))</f>
        <v/>
      </c>
      <c r="L131" s="80" t="str">
        <f>IF(L$124="", "", VLOOKUP($C131, 'Commodities (Facility) Input'!$CB$23:$CR$46, MATCH('Commodities (Facility) Output'!L$124, 'Commodities (Facility) Input'!$CB$21:$CR$21, 0), FALSE))</f>
        <v/>
      </c>
      <c r="M131" s="81" t="str">
        <f>IF(M$124="", "", VLOOKUP($C131, 'Commodities (Facility) Input'!$CB$23:$CR$46, MATCH('Commodities (Facility) Output'!M$124, 'Commodities (Facility) Input'!$CB$21:$CR$21, 0), FALSE))</f>
        <v/>
      </c>
      <c r="N131" s="81" t="str">
        <f>IF(N$124="", "", VLOOKUP($C131, 'Commodities (Facility) Input'!$CB$23:$CR$46, MATCH('Commodities (Facility) Output'!N$124, 'Commodities (Facility) Input'!$CB$21:$CR$21, 0), FALSE))</f>
        <v/>
      </c>
      <c r="O131" s="81" t="str">
        <f>IF(O$124="", "", VLOOKUP($C131, 'Commodities (Facility) Input'!$CB$23:$CR$46, MATCH('Commodities (Facility) Output'!O$124, 'Commodities (Facility) Input'!$CB$21:$CR$21, 0), FALSE))</f>
        <v/>
      </c>
      <c r="P131" s="81" t="str">
        <f>IF(P$124="", "", VLOOKUP($C131, 'Commodities (Facility) Input'!$CB$23:$CR$46, MATCH('Commodities (Facility) Output'!P$124, 'Commodities (Facility) Input'!$CB$21:$CR$21, 0), FALSE))</f>
        <v/>
      </c>
      <c r="Q131" s="81" t="str">
        <f>IF(Q$124="", "", VLOOKUP($C131, 'Commodities (Facility) Input'!$CB$23:$CR$46, MATCH('Commodities (Facility) Output'!Q$124, 'Commodities (Facility) Input'!$CB$21:$CR$21, 0), FALSE))</f>
        <v/>
      </c>
      <c r="R131" s="81" t="str">
        <f>IF(R$124="", "", VLOOKUP($C131, 'Commodities (Facility) Input'!$CB$23:$CR$46, MATCH('Commodities (Facility) Output'!R$124, 'Commodities (Facility) Input'!$CB$21:$CR$21, 0), FALSE))</f>
        <v/>
      </c>
      <c r="S131" s="82" t="str">
        <f>IF(S$124="", "", VLOOKUP($C131, 'Commodities (Facility) Input'!$CB$23:$CR$46, MATCH('Commodities (Facility) Output'!S$124, 'Commodities (Facility) Input'!$CB$21:$CR$21, 0), FALSE))</f>
        <v/>
      </c>
      <c r="U131" s="928" t="str">
        <f t="shared" si="42"/>
        <v/>
      </c>
      <c r="V131" s="877" t="str">
        <f t="shared" si="43"/>
        <v/>
      </c>
      <c r="X131" s="856" t="e">
        <f t="shared" si="44"/>
        <v>#DIV/0!</v>
      </c>
      <c r="Y131" s="857" t="e">
        <f t="shared" si="45"/>
        <v>#DIV/0!</v>
      </c>
      <c r="Z131" s="856" t="e">
        <f t="shared" si="46"/>
        <v>#DIV/0!</v>
      </c>
      <c r="AA131" s="856" t="e">
        <f t="shared" si="47"/>
        <v>#DIV/0!</v>
      </c>
      <c r="AD131" s="445"/>
      <c r="AE131" s="449"/>
      <c r="AF131" s="447"/>
    </row>
    <row r="132" spans="1:35" ht="15.75" thickBot="1" x14ac:dyDescent="0.3">
      <c r="B132" s="1580"/>
      <c r="C132" s="275" t="str">
        <f>'Commodities (Clients) Input'!C29</f>
        <v>Implant de 5 ans (Jadelle)</v>
      </c>
      <c r="D132" s="83" t="str">
        <f>IF(D$124="", "", VLOOKUP($C132, 'Commodities (Facility) Input'!$CB$23:$CR$46, MATCH('Commodities (Facility) Output'!D$124, 'Commodities (Facility) Input'!$CB$21:$CR$21, 0), FALSE))</f>
        <v/>
      </c>
      <c r="E132" s="84" t="str">
        <f>IF(E$124="", "", VLOOKUP($C132, 'Commodities (Facility) Input'!$CB$23:$CR$46, MATCH('Commodities (Facility) Output'!E$124, 'Commodities (Facility) Input'!$CB$21:$CR$21, 0), FALSE))</f>
        <v/>
      </c>
      <c r="F132" s="84" t="str">
        <f>IF(F$124="", "", VLOOKUP($C132, 'Commodities (Facility) Input'!$CB$23:$CR$46, MATCH('Commodities (Facility) Output'!F$124, 'Commodities (Facility) Input'!$CB$21:$CR$21, 0), FALSE))</f>
        <v/>
      </c>
      <c r="G132" s="84" t="str">
        <f>IF(G$124="", "", VLOOKUP($C132, 'Commodities (Facility) Input'!$CB$23:$CR$46, MATCH('Commodities (Facility) Output'!G$124, 'Commodities (Facility) Input'!$CB$21:$CR$21, 0), FALSE))</f>
        <v/>
      </c>
      <c r="H132" s="84" t="str">
        <f>IF(H$124="", "", VLOOKUP($C132, 'Commodities (Facility) Input'!$CB$23:$CR$46, MATCH('Commodities (Facility) Output'!H$124, 'Commodities (Facility) Input'!$CB$21:$CR$21, 0), FALSE))</f>
        <v/>
      </c>
      <c r="I132" s="84" t="str">
        <f>IF(I$124="", "", VLOOKUP($C132, 'Commodities (Facility) Input'!$CB$23:$CR$46, MATCH('Commodities (Facility) Output'!I$124, 'Commodities (Facility) Input'!$CB$21:$CR$21, 0), FALSE))</f>
        <v/>
      </c>
      <c r="J132" s="84" t="str">
        <f>IF(J$124="", "", VLOOKUP($C132, 'Commodities (Facility) Input'!$CB$23:$CR$46, MATCH('Commodities (Facility) Output'!J$124, 'Commodities (Facility) Input'!$CB$21:$CR$21, 0), FALSE))</f>
        <v/>
      </c>
      <c r="K132" s="84" t="str">
        <f>IF(K$124="", "", VLOOKUP($C132, 'Commodities (Facility) Input'!$CB$23:$CR$46, MATCH('Commodities (Facility) Output'!K$124, 'Commodities (Facility) Input'!$CB$21:$CR$21, 0), FALSE))</f>
        <v/>
      </c>
      <c r="L132" s="84" t="str">
        <f>IF(L$124="", "", VLOOKUP($C132, 'Commodities (Facility) Input'!$CB$23:$CR$46, MATCH('Commodities (Facility) Output'!L$124, 'Commodities (Facility) Input'!$CB$21:$CR$21, 0), FALSE))</f>
        <v/>
      </c>
      <c r="M132" s="85" t="str">
        <f>IF(M$124="", "", VLOOKUP($C132, 'Commodities (Facility) Input'!$CB$23:$CR$46, MATCH('Commodities (Facility) Output'!M$124, 'Commodities (Facility) Input'!$CB$21:$CR$21, 0), FALSE))</f>
        <v/>
      </c>
      <c r="N132" s="85" t="str">
        <f>IF(N$124="", "", VLOOKUP($C132, 'Commodities (Facility) Input'!$CB$23:$CR$46, MATCH('Commodities (Facility) Output'!N$124, 'Commodities (Facility) Input'!$CB$21:$CR$21, 0), FALSE))</f>
        <v/>
      </c>
      <c r="O132" s="85" t="str">
        <f>IF(O$124="", "", VLOOKUP($C132, 'Commodities (Facility) Input'!$CB$23:$CR$46, MATCH('Commodities (Facility) Output'!O$124, 'Commodities (Facility) Input'!$CB$21:$CR$21, 0), FALSE))</f>
        <v/>
      </c>
      <c r="P132" s="85" t="str">
        <f>IF(P$124="", "", VLOOKUP($C132, 'Commodities (Facility) Input'!$CB$23:$CR$46, MATCH('Commodities (Facility) Output'!P$124, 'Commodities (Facility) Input'!$CB$21:$CR$21, 0), FALSE))</f>
        <v/>
      </c>
      <c r="Q132" s="85" t="str">
        <f>IF(Q$124="", "", VLOOKUP($C132, 'Commodities (Facility) Input'!$CB$23:$CR$46, MATCH('Commodities (Facility) Output'!Q$124, 'Commodities (Facility) Input'!$CB$21:$CR$21, 0), FALSE))</f>
        <v/>
      </c>
      <c r="R132" s="85" t="str">
        <f>IF(R$124="", "", VLOOKUP($C132, 'Commodities (Facility) Input'!$CB$23:$CR$46, MATCH('Commodities (Facility) Output'!R$124, 'Commodities (Facility) Input'!$CB$21:$CR$21, 0), FALSE))</f>
        <v/>
      </c>
      <c r="S132" s="86" t="str">
        <f>IF(S$124="", "", VLOOKUP($C132, 'Commodities (Facility) Input'!$CB$23:$CR$46, MATCH('Commodities (Facility) Output'!S$124, 'Commodities (Facility) Input'!$CB$21:$CR$21, 0), FALSE))</f>
        <v/>
      </c>
      <c r="U132" s="928" t="str">
        <f t="shared" si="42"/>
        <v/>
      </c>
      <c r="V132" s="877" t="str">
        <f t="shared" si="43"/>
        <v/>
      </c>
      <c r="X132" s="856" t="e">
        <f t="shared" si="44"/>
        <v>#DIV/0!</v>
      </c>
      <c r="Y132" s="857" t="e">
        <f t="shared" si="45"/>
        <v>#DIV/0!</v>
      </c>
      <c r="Z132" s="856" t="e">
        <f t="shared" si="46"/>
        <v>#DIV/0!</v>
      </c>
      <c r="AA132" s="856" t="e">
        <f t="shared" si="47"/>
        <v>#DIV/0!</v>
      </c>
      <c r="AD132" s="445"/>
      <c r="AE132" s="449"/>
      <c r="AF132" s="447"/>
    </row>
    <row r="133" spans="1:35" ht="11.25" customHeight="1" thickBot="1" x14ac:dyDescent="0.3">
      <c r="C133" s="279"/>
      <c r="U133" s="41"/>
      <c r="V133" s="41"/>
      <c r="AD133" s="445"/>
      <c r="AE133" s="449"/>
      <c r="AF133" s="447"/>
    </row>
    <row r="134" spans="1:35" ht="19.5" thickBot="1" x14ac:dyDescent="0.35">
      <c r="A134" s="188"/>
      <c r="B134" s="104" t="str">
        <f>'Commodities (Clients) Input'!B31</f>
        <v>Méthodes à Court Terme</v>
      </c>
      <c r="C134" s="280"/>
      <c r="D134" s="929" t="str">
        <f>IF(D124="", "", IF( SUM(D135:D149)=0, "",  SUM(D135:D149)))</f>
        <v/>
      </c>
      <c r="E134" s="929" t="str">
        <f t="shared" ref="E134:S134" si="48">IF(E124="", "", IF( SUM(E135:E149)=0, "",  SUM(E135:E149)))</f>
        <v/>
      </c>
      <c r="F134" s="929" t="str">
        <f t="shared" si="48"/>
        <v/>
      </c>
      <c r="G134" s="929" t="str">
        <f t="shared" si="48"/>
        <v/>
      </c>
      <c r="H134" s="929" t="str">
        <f t="shared" si="48"/>
        <v/>
      </c>
      <c r="I134" s="929" t="str">
        <f t="shared" si="48"/>
        <v/>
      </c>
      <c r="J134" s="929" t="str">
        <f t="shared" si="48"/>
        <v/>
      </c>
      <c r="K134" s="929" t="str">
        <f t="shared" si="48"/>
        <v/>
      </c>
      <c r="L134" s="929" t="str">
        <f t="shared" si="48"/>
        <v/>
      </c>
      <c r="M134" s="929" t="str">
        <f t="shared" si="48"/>
        <v/>
      </c>
      <c r="N134" s="929" t="str">
        <f t="shared" si="48"/>
        <v/>
      </c>
      <c r="O134" s="929" t="str">
        <f t="shared" si="48"/>
        <v/>
      </c>
      <c r="P134" s="929" t="str">
        <f t="shared" si="48"/>
        <v/>
      </c>
      <c r="Q134" s="929" t="str">
        <f t="shared" si="48"/>
        <v/>
      </c>
      <c r="R134" s="929" t="str">
        <f t="shared" si="48"/>
        <v/>
      </c>
      <c r="S134" s="929" t="str">
        <f t="shared" si="48"/>
        <v/>
      </c>
      <c r="T134" s="188"/>
      <c r="U134" s="927"/>
      <c r="V134" s="927"/>
      <c r="W134" s="809"/>
      <c r="X134" s="188"/>
      <c r="Y134" s="188"/>
      <c r="Z134" s="188"/>
      <c r="AA134" s="188"/>
      <c r="AB134" s="188"/>
      <c r="AC134" s="188"/>
      <c r="AD134" s="446"/>
      <c r="AE134" s="450"/>
      <c r="AF134" s="448"/>
      <c r="AG134" s="188"/>
      <c r="AH134" s="188"/>
      <c r="AI134" s="188"/>
    </row>
    <row r="135" spans="1:35" ht="15.75" thickBot="1" x14ac:dyDescent="0.3">
      <c r="B135" s="1579" t="str">
        <f>'Commodities (Clients) Input'!B32</f>
        <v>Produits injectables</v>
      </c>
      <c r="C135" s="274" t="str">
        <f>'Commodities (Clients) Input'!C32</f>
        <v>Depo Provera (DMPA)</v>
      </c>
      <c r="D135" s="197" t="str">
        <f>IF(D$124="", "", VLOOKUP($C135, 'Commodities (Facility) Input'!$CB$23:$CR$46, MATCH('Commodities (Facility) Output'!D$124, 'Commodities (Facility) Input'!$CB$21:$CR$21, 0), FALSE))</f>
        <v/>
      </c>
      <c r="E135" s="198" t="str">
        <f>IF(E$124="", "", VLOOKUP($C135, 'Commodities (Facility) Input'!$CB$23:$CR$46, MATCH('Commodities (Facility) Output'!E$124, 'Commodities (Facility) Input'!$CB$21:$CR$21, 0), FALSE))</f>
        <v/>
      </c>
      <c r="F135" s="198" t="str">
        <f>IF(F$124="", "", VLOOKUP($C135, 'Commodities (Facility) Input'!$CB$23:$CR$46, MATCH('Commodities (Facility) Output'!F$124, 'Commodities (Facility) Input'!$CB$21:$CR$21, 0), FALSE))</f>
        <v/>
      </c>
      <c r="G135" s="198" t="str">
        <f>IF(G$124="", "", VLOOKUP($C135, 'Commodities (Facility) Input'!$CB$23:$CR$46, MATCH('Commodities (Facility) Output'!G$124, 'Commodities (Facility) Input'!$CB$21:$CR$21, 0), FALSE))</f>
        <v/>
      </c>
      <c r="H135" s="198" t="str">
        <f>IF(H$124="", "", VLOOKUP($C135, 'Commodities (Facility) Input'!$CB$23:$CR$46, MATCH('Commodities (Facility) Output'!H$124, 'Commodities (Facility) Input'!$CB$21:$CR$21, 0), FALSE))</f>
        <v/>
      </c>
      <c r="I135" s="198" t="str">
        <f>IF(I$124="", "", VLOOKUP($C135, 'Commodities (Facility) Input'!$CB$23:$CR$46, MATCH('Commodities (Facility) Output'!I$124, 'Commodities (Facility) Input'!$CB$21:$CR$21, 0), FALSE))</f>
        <v/>
      </c>
      <c r="J135" s="198" t="str">
        <f>IF(J$124="", "", VLOOKUP($C135, 'Commodities (Facility) Input'!$CB$23:$CR$46, MATCH('Commodities (Facility) Output'!J$124, 'Commodities (Facility) Input'!$CB$21:$CR$21, 0), FALSE))</f>
        <v/>
      </c>
      <c r="K135" s="198" t="str">
        <f>IF(K$124="", "", VLOOKUP($C135, 'Commodities (Facility) Input'!$CB$23:$CR$46, MATCH('Commodities (Facility) Output'!K$124, 'Commodities (Facility) Input'!$CB$21:$CR$21, 0), FALSE))</f>
        <v/>
      </c>
      <c r="L135" s="198" t="str">
        <f>IF(L$124="", "", VLOOKUP($C135, 'Commodities (Facility) Input'!$CB$23:$CR$46, MATCH('Commodities (Facility) Output'!L$124, 'Commodities (Facility) Input'!$CB$21:$CR$21, 0), FALSE))</f>
        <v/>
      </c>
      <c r="M135" s="199" t="str">
        <f>IF(M$124="", "", VLOOKUP($C135, 'Commodities (Facility) Input'!$CB$23:$CR$46, MATCH('Commodities (Facility) Output'!M$124, 'Commodities (Facility) Input'!$CB$21:$CR$21, 0), FALSE))</f>
        <v/>
      </c>
      <c r="N135" s="199" t="str">
        <f>IF(N$124="", "", VLOOKUP($C135, 'Commodities (Facility) Input'!$CB$23:$CR$46, MATCH('Commodities (Facility) Output'!N$124, 'Commodities (Facility) Input'!$CB$21:$CR$21, 0), FALSE))</f>
        <v/>
      </c>
      <c r="O135" s="199" t="str">
        <f>IF(O$124="", "", VLOOKUP($C135, 'Commodities (Facility) Input'!$CB$23:$CR$46, MATCH('Commodities (Facility) Output'!O$124, 'Commodities (Facility) Input'!$CB$21:$CR$21, 0), FALSE))</f>
        <v/>
      </c>
      <c r="P135" s="199" t="str">
        <f>IF(P$124="", "", VLOOKUP($C135, 'Commodities (Facility) Input'!$CB$23:$CR$46, MATCH('Commodities (Facility) Output'!P$124, 'Commodities (Facility) Input'!$CB$21:$CR$21, 0), FALSE))</f>
        <v/>
      </c>
      <c r="Q135" s="199" t="str">
        <f>IF(Q$124="", "", VLOOKUP($C135, 'Commodities (Facility) Input'!$CB$23:$CR$46, MATCH('Commodities (Facility) Output'!Q$124, 'Commodities (Facility) Input'!$CB$21:$CR$21, 0), FALSE))</f>
        <v/>
      </c>
      <c r="R135" s="199" t="str">
        <f>IF(R$124="", "", VLOOKUP($C135, 'Commodities (Facility) Input'!$CB$23:$CR$46, MATCH('Commodities (Facility) Output'!R$124, 'Commodities (Facility) Input'!$CB$21:$CR$21, 0), FALSE))</f>
        <v/>
      </c>
      <c r="S135" s="200" t="str">
        <f>IF(S$124="", "", VLOOKUP($C135, 'Commodities (Facility) Input'!$CB$23:$CR$46, MATCH('Commodities (Facility) Output'!S$124, 'Commodities (Facility) Input'!$CB$21:$CR$21, 0), FALSE))</f>
        <v/>
      </c>
      <c r="U135" s="928" t="str">
        <f t="shared" ref="U135:U152" si="49">IF(COUNTIF($D135:$S135, "&gt;"&amp;Z135)+COUNTIF($D135:$S135, "&lt;"&amp;AA135)&gt;0, $U$123, "")</f>
        <v/>
      </c>
      <c r="V135" s="877" t="str">
        <f t="shared" ref="V135:V149" si="50">IFERROR(IF(U135="", "", "("&amp;TEXT(AA135, "0,000")&amp;" - "&amp;TEXT(Z135, "0,000")&amp;")"), "")</f>
        <v/>
      </c>
      <c r="X135" s="856" t="e">
        <f t="shared" ref="X135:X152" si="51">AVERAGE($D135:$S135)</f>
        <v>#DIV/0!</v>
      </c>
      <c r="Y135" s="857" t="e">
        <f t="shared" ref="Y135:Y152" si="52">STDEV($D135:$S135)*2</f>
        <v>#DIV/0!</v>
      </c>
      <c r="Z135" s="856" t="e">
        <f t="shared" ref="Z135:Z149" si="53">X135+Y135</f>
        <v>#DIV/0!</v>
      </c>
      <c r="AA135" s="856" t="e">
        <f t="shared" ref="AA135:AA149" si="54">X135-Y135</f>
        <v>#DIV/0!</v>
      </c>
      <c r="AD135" s="445"/>
      <c r="AE135" s="449"/>
      <c r="AF135" s="447"/>
    </row>
    <row r="136" spans="1:35" ht="15.75" thickBot="1" x14ac:dyDescent="0.3">
      <c r="B136" s="1515"/>
      <c r="C136" s="277" t="str">
        <f>'Commodities (Clients) Input'!C33</f>
        <v>Noristerat (NET-En)</v>
      </c>
      <c r="D136" s="67" t="str">
        <f>IF(D$124="", "", VLOOKUP($C136, 'Commodities (Facility) Input'!$CB$23:$CR$46, MATCH('Commodities (Facility) Output'!D$124, 'Commodities (Facility) Input'!$CB$21:$CR$21, 0), FALSE))</f>
        <v/>
      </c>
      <c r="E136" s="68" t="str">
        <f>IF(E$124="", "", VLOOKUP($C136, 'Commodities (Facility) Input'!$CB$23:$CR$46, MATCH('Commodities (Facility) Output'!E$124, 'Commodities (Facility) Input'!$CB$21:$CR$21, 0), FALSE))</f>
        <v/>
      </c>
      <c r="F136" s="68" t="str">
        <f>IF(F$124="", "", VLOOKUP($C136, 'Commodities (Facility) Input'!$CB$23:$CR$46, MATCH('Commodities (Facility) Output'!F$124, 'Commodities (Facility) Input'!$CB$21:$CR$21, 0), FALSE))</f>
        <v/>
      </c>
      <c r="G136" s="68" t="str">
        <f>IF(G$124="", "", VLOOKUP($C136, 'Commodities (Facility) Input'!$CB$23:$CR$46, MATCH('Commodities (Facility) Output'!G$124, 'Commodities (Facility) Input'!$CB$21:$CR$21, 0), FALSE))</f>
        <v/>
      </c>
      <c r="H136" s="68" t="str">
        <f>IF(H$124="", "", VLOOKUP($C136, 'Commodities (Facility) Input'!$CB$23:$CR$46, MATCH('Commodities (Facility) Output'!H$124, 'Commodities (Facility) Input'!$CB$21:$CR$21, 0), FALSE))</f>
        <v/>
      </c>
      <c r="I136" s="68" t="str">
        <f>IF(I$124="", "", VLOOKUP($C136, 'Commodities (Facility) Input'!$CB$23:$CR$46, MATCH('Commodities (Facility) Output'!I$124, 'Commodities (Facility) Input'!$CB$21:$CR$21, 0), FALSE))</f>
        <v/>
      </c>
      <c r="J136" s="68" t="str">
        <f>IF(J$124="", "", VLOOKUP($C136, 'Commodities (Facility) Input'!$CB$23:$CR$46, MATCH('Commodities (Facility) Output'!J$124, 'Commodities (Facility) Input'!$CB$21:$CR$21, 0), FALSE))</f>
        <v/>
      </c>
      <c r="K136" s="68" t="str">
        <f>IF(K$124="", "", VLOOKUP($C136, 'Commodities (Facility) Input'!$CB$23:$CR$46, MATCH('Commodities (Facility) Output'!K$124, 'Commodities (Facility) Input'!$CB$21:$CR$21, 0), FALSE))</f>
        <v/>
      </c>
      <c r="L136" s="68" t="str">
        <f>IF(L$124="", "", VLOOKUP($C136, 'Commodities (Facility) Input'!$CB$23:$CR$46, MATCH('Commodities (Facility) Output'!L$124, 'Commodities (Facility) Input'!$CB$21:$CR$21, 0), FALSE))</f>
        <v/>
      </c>
      <c r="M136" s="69" t="str">
        <f>IF(M$124="", "", VLOOKUP($C136, 'Commodities (Facility) Input'!$CB$23:$CR$46, MATCH('Commodities (Facility) Output'!M$124, 'Commodities (Facility) Input'!$CB$21:$CR$21, 0), FALSE))</f>
        <v/>
      </c>
      <c r="N136" s="69" t="str">
        <f>IF(N$124="", "", VLOOKUP($C136, 'Commodities (Facility) Input'!$CB$23:$CR$46, MATCH('Commodities (Facility) Output'!N$124, 'Commodities (Facility) Input'!$CB$21:$CR$21, 0), FALSE))</f>
        <v/>
      </c>
      <c r="O136" s="69" t="str">
        <f>IF(O$124="", "", VLOOKUP($C136, 'Commodities (Facility) Input'!$CB$23:$CR$46, MATCH('Commodities (Facility) Output'!O$124, 'Commodities (Facility) Input'!$CB$21:$CR$21, 0), FALSE))</f>
        <v/>
      </c>
      <c r="P136" s="69" t="str">
        <f>IF(P$124="", "", VLOOKUP($C136, 'Commodities (Facility) Input'!$CB$23:$CR$46, MATCH('Commodities (Facility) Output'!P$124, 'Commodities (Facility) Input'!$CB$21:$CR$21, 0), FALSE))</f>
        <v/>
      </c>
      <c r="Q136" s="69" t="str">
        <f>IF(Q$124="", "", VLOOKUP($C136, 'Commodities (Facility) Input'!$CB$23:$CR$46, MATCH('Commodities (Facility) Output'!Q$124, 'Commodities (Facility) Input'!$CB$21:$CR$21, 0), FALSE))</f>
        <v/>
      </c>
      <c r="R136" s="69" t="str">
        <f>IF(R$124="", "", VLOOKUP($C136, 'Commodities (Facility) Input'!$CB$23:$CR$46, MATCH('Commodities (Facility) Output'!R$124, 'Commodities (Facility) Input'!$CB$21:$CR$21, 0), FALSE))</f>
        <v/>
      </c>
      <c r="S136" s="70" t="str">
        <f>IF(S$124="", "", VLOOKUP($C136, 'Commodities (Facility) Input'!$CB$23:$CR$46, MATCH('Commodities (Facility) Output'!S$124, 'Commodities (Facility) Input'!$CB$21:$CR$21, 0), FALSE))</f>
        <v/>
      </c>
      <c r="U136" s="928" t="str">
        <f t="shared" si="49"/>
        <v/>
      </c>
      <c r="V136" s="877" t="str">
        <f t="shared" si="50"/>
        <v/>
      </c>
      <c r="X136" s="856" t="e">
        <f t="shared" si="51"/>
        <v>#DIV/0!</v>
      </c>
      <c r="Y136" s="857" t="e">
        <f t="shared" si="52"/>
        <v>#DIV/0!</v>
      </c>
      <c r="Z136" s="856" t="e">
        <f t="shared" si="53"/>
        <v>#DIV/0!</v>
      </c>
      <c r="AA136" s="856" t="e">
        <f t="shared" si="54"/>
        <v>#DIV/0!</v>
      </c>
      <c r="AD136" s="445"/>
      <c r="AE136" s="449"/>
      <c r="AF136" s="447"/>
    </row>
    <row r="137" spans="1:35" ht="15.75" thickBot="1" x14ac:dyDescent="0.3">
      <c r="B137" s="1515"/>
      <c r="C137" s="277" t="str">
        <f>'Commodities (Clients) Input'!C34</f>
        <v>Lunelle</v>
      </c>
      <c r="D137" s="67" t="str">
        <f>IF(D$124="", "", VLOOKUP($C137, 'Commodities (Facility) Input'!$CB$23:$CR$46, MATCH('Commodities (Facility) Output'!D$124, 'Commodities (Facility) Input'!$CB$21:$CR$21, 0), FALSE))</f>
        <v/>
      </c>
      <c r="E137" s="68" t="str">
        <f>IF(E$124="", "", VLOOKUP($C137, 'Commodities (Facility) Input'!$CB$23:$CR$46, MATCH('Commodities (Facility) Output'!E$124, 'Commodities (Facility) Input'!$CB$21:$CR$21, 0), FALSE))</f>
        <v/>
      </c>
      <c r="F137" s="68" t="str">
        <f>IF(F$124="", "", VLOOKUP($C137, 'Commodities (Facility) Input'!$CB$23:$CR$46, MATCH('Commodities (Facility) Output'!F$124, 'Commodities (Facility) Input'!$CB$21:$CR$21, 0), FALSE))</f>
        <v/>
      </c>
      <c r="G137" s="68" t="str">
        <f>IF(G$124="", "", VLOOKUP($C137, 'Commodities (Facility) Input'!$CB$23:$CR$46, MATCH('Commodities (Facility) Output'!G$124, 'Commodities (Facility) Input'!$CB$21:$CR$21, 0), FALSE))</f>
        <v/>
      </c>
      <c r="H137" s="68" t="str">
        <f>IF(H$124="", "", VLOOKUP($C137, 'Commodities (Facility) Input'!$CB$23:$CR$46, MATCH('Commodities (Facility) Output'!H$124, 'Commodities (Facility) Input'!$CB$21:$CR$21, 0), FALSE))</f>
        <v/>
      </c>
      <c r="I137" s="68" t="str">
        <f>IF(I$124="", "", VLOOKUP($C137, 'Commodities (Facility) Input'!$CB$23:$CR$46, MATCH('Commodities (Facility) Output'!I$124, 'Commodities (Facility) Input'!$CB$21:$CR$21, 0), FALSE))</f>
        <v/>
      </c>
      <c r="J137" s="68" t="str">
        <f>IF(J$124="", "", VLOOKUP($C137, 'Commodities (Facility) Input'!$CB$23:$CR$46, MATCH('Commodities (Facility) Output'!J$124, 'Commodities (Facility) Input'!$CB$21:$CR$21, 0), FALSE))</f>
        <v/>
      </c>
      <c r="K137" s="68" t="str">
        <f>IF(K$124="", "", VLOOKUP($C137, 'Commodities (Facility) Input'!$CB$23:$CR$46, MATCH('Commodities (Facility) Output'!K$124, 'Commodities (Facility) Input'!$CB$21:$CR$21, 0), FALSE))</f>
        <v/>
      </c>
      <c r="L137" s="68" t="str">
        <f>IF(L$124="", "", VLOOKUP($C137, 'Commodities (Facility) Input'!$CB$23:$CR$46, MATCH('Commodities (Facility) Output'!L$124, 'Commodities (Facility) Input'!$CB$21:$CR$21, 0), FALSE))</f>
        <v/>
      </c>
      <c r="M137" s="69" t="str">
        <f>IF(M$124="", "", VLOOKUP($C137, 'Commodities (Facility) Input'!$CB$23:$CR$46, MATCH('Commodities (Facility) Output'!M$124, 'Commodities (Facility) Input'!$CB$21:$CR$21, 0), FALSE))</f>
        <v/>
      </c>
      <c r="N137" s="69" t="str">
        <f>IF(N$124="", "", VLOOKUP($C137, 'Commodities (Facility) Input'!$CB$23:$CR$46, MATCH('Commodities (Facility) Output'!N$124, 'Commodities (Facility) Input'!$CB$21:$CR$21, 0), FALSE))</f>
        <v/>
      </c>
      <c r="O137" s="69" t="str">
        <f>IF(O$124="", "", VLOOKUP($C137, 'Commodities (Facility) Input'!$CB$23:$CR$46, MATCH('Commodities (Facility) Output'!O$124, 'Commodities (Facility) Input'!$CB$21:$CR$21, 0), FALSE))</f>
        <v/>
      </c>
      <c r="P137" s="69" t="str">
        <f>IF(P$124="", "", VLOOKUP($C137, 'Commodities (Facility) Input'!$CB$23:$CR$46, MATCH('Commodities (Facility) Output'!P$124, 'Commodities (Facility) Input'!$CB$21:$CR$21, 0), FALSE))</f>
        <v/>
      </c>
      <c r="Q137" s="69" t="str">
        <f>IF(Q$124="", "", VLOOKUP($C137, 'Commodities (Facility) Input'!$CB$23:$CR$46, MATCH('Commodities (Facility) Output'!Q$124, 'Commodities (Facility) Input'!$CB$21:$CR$21, 0), FALSE))</f>
        <v/>
      </c>
      <c r="R137" s="69" t="str">
        <f>IF(R$124="", "", VLOOKUP($C137, 'Commodities (Facility) Input'!$CB$23:$CR$46, MATCH('Commodities (Facility) Output'!R$124, 'Commodities (Facility) Input'!$CB$21:$CR$21, 0), FALSE))</f>
        <v/>
      </c>
      <c r="S137" s="70" t="str">
        <f>IF(S$124="", "", VLOOKUP($C137, 'Commodities (Facility) Input'!$CB$23:$CR$46, MATCH('Commodities (Facility) Output'!S$124, 'Commodities (Facility) Input'!$CB$21:$CR$21, 0), FALSE))</f>
        <v/>
      </c>
      <c r="U137" s="928" t="str">
        <f t="shared" si="49"/>
        <v/>
      </c>
      <c r="V137" s="877" t="str">
        <f t="shared" si="50"/>
        <v/>
      </c>
      <c r="X137" s="856" t="e">
        <f t="shared" si="51"/>
        <v>#DIV/0!</v>
      </c>
      <c r="Y137" s="857" t="e">
        <f t="shared" si="52"/>
        <v>#DIV/0!</v>
      </c>
      <c r="Z137" s="856" t="e">
        <f t="shared" si="53"/>
        <v>#DIV/0!</v>
      </c>
      <c r="AA137" s="856" t="e">
        <f t="shared" si="54"/>
        <v>#DIV/0!</v>
      </c>
      <c r="AD137" s="445"/>
      <c r="AE137" s="449"/>
      <c r="AF137" s="447"/>
    </row>
    <row r="138" spans="1:35" ht="15.75" thickBot="1" x14ac:dyDescent="0.3">
      <c r="B138" s="1515"/>
      <c r="C138" s="277" t="str">
        <f>'Commodities (Clients) Input'!C35</f>
        <v>Sayana Press</v>
      </c>
      <c r="D138" s="67" t="str">
        <f>IF(D$124="", "", VLOOKUP($C138, 'Commodities (Facility) Input'!$CB$23:$CR$46, MATCH('Commodities (Facility) Output'!D$124, 'Commodities (Facility) Input'!$CB$21:$CR$21, 0), FALSE))</f>
        <v/>
      </c>
      <c r="E138" s="68" t="str">
        <f>IF(E$124="", "", VLOOKUP($C138, 'Commodities (Facility) Input'!$CB$23:$CR$46, MATCH('Commodities (Facility) Output'!E$124, 'Commodities (Facility) Input'!$CB$21:$CR$21, 0), FALSE))</f>
        <v/>
      </c>
      <c r="F138" s="68" t="str">
        <f>IF(F$124="", "", VLOOKUP($C138, 'Commodities (Facility) Input'!$CB$23:$CR$46, MATCH('Commodities (Facility) Output'!F$124, 'Commodities (Facility) Input'!$CB$21:$CR$21, 0), FALSE))</f>
        <v/>
      </c>
      <c r="G138" s="68" t="str">
        <f>IF(G$124="", "", VLOOKUP($C138, 'Commodities (Facility) Input'!$CB$23:$CR$46, MATCH('Commodities (Facility) Output'!G$124, 'Commodities (Facility) Input'!$CB$21:$CR$21, 0), FALSE))</f>
        <v/>
      </c>
      <c r="H138" s="68" t="str">
        <f>IF(H$124="", "", VLOOKUP($C138, 'Commodities (Facility) Input'!$CB$23:$CR$46, MATCH('Commodities (Facility) Output'!H$124, 'Commodities (Facility) Input'!$CB$21:$CR$21, 0), FALSE))</f>
        <v/>
      </c>
      <c r="I138" s="68" t="str">
        <f>IF(I$124="", "", VLOOKUP($C138, 'Commodities (Facility) Input'!$CB$23:$CR$46, MATCH('Commodities (Facility) Output'!I$124, 'Commodities (Facility) Input'!$CB$21:$CR$21, 0), FALSE))</f>
        <v/>
      </c>
      <c r="J138" s="68" t="str">
        <f>IF(J$124="", "", VLOOKUP($C138, 'Commodities (Facility) Input'!$CB$23:$CR$46, MATCH('Commodities (Facility) Output'!J$124, 'Commodities (Facility) Input'!$CB$21:$CR$21, 0), FALSE))</f>
        <v/>
      </c>
      <c r="K138" s="68" t="str">
        <f>IF(K$124="", "", VLOOKUP($C138, 'Commodities (Facility) Input'!$CB$23:$CR$46, MATCH('Commodities (Facility) Output'!K$124, 'Commodities (Facility) Input'!$CB$21:$CR$21, 0), FALSE))</f>
        <v/>
      </c>
      <c r="L138" s="68" t="str">
        <f>IF(L$124="", "", VLOOKUP($C138, 'Commodities (Facility) Input'!$CB$23:$CR$46, MATCH('Commodities (Facility) Output'!L$124, 'Commodities (Facility) Input'!$CB$21:$CR$21, 0), FALSE))</f>
        <v/>
      </c>
      <c r="M138" s="69" t="str">
        <f>IF(M$124="", "", VLOOKUP($C138, 'Commodities (Facility) Input'!$CB$23:$CR$46, MATCH('Commodities (Facility) Output'!M$124, 'Commodities (Facility) Input'!$CB$21:$CR$21, 0), FALSE))</f>
        <v/>
      </c>
      <c r="N138" s="69" t="str">
        <f>IF(N$124="", "", VLOOKUP($C138, 'Commodities (Facility) Input'!$CB$23:$CR$46, MATCH('Commodities (Facility) Output'!N$124, 'Commodities (Facility) Input'!$CB$21:$CR$21, 0), FALSE))</f>
        <v/>
      </c>
      <c r="O138" s="69" t="str">
        <f>IF(O$124="", "", VLOOKUP($C138, 'Commodities (Facility) Input'!$CB$23:$CR$46, MATCH('Commodities (Facility) Output'!O$124, 'Commodities (Facility) Input'!$CB$21:$CR$21, 0), FALSE))</f>
        <v/>
      </c>
      <c r="P138" s="69" t="str">
        <f>IF(P$124="", "", VLOOKUP($C138, 'Commodities (Facility) Input'!$CB$23:$CR$46, MATCH('Commodities (Facility) Output'!P$124, 'Commodities (Facility) Input'!$CB$21:$CR$21, 0), FALSE))</f>
        <v/>
      </c>
      <c r="Q138" s="69" t="str">
        <f>IF(Q$124="", "", VLOOKUP($C138, 'Commodities (Facility) Input'!$CB$23:$CR$46, MATCH('Commodities (Facility) Output'!Q$124, 'Commodities (Facility) Input'!$CB$21:$CR$21, 0), FALSE))</f>
        <v/>
      </c>
      <c r="R138" s="69" t="str">
        <f>IF(R$124="", "", VLOOKUP($C138, 'Commodities (Facility) Input'!$CB$23:$CR$46, MATCH('Commodities (Facility) Output'!R$124, 'Commodities (Facility) Input'!$CB$21:$CR$21, 0), FALSE))</f>
        <v/>
      </c>
      <c r="S138" s="70" t="str">
        <f>IF(S$124="", "", VLOOKUP($C138, 'Commodities (Facility) Input'!$CB$23:$CR$46, MATCH('Commodities (Facility) Output'!S$124, 'Commodities (Facility) Input'!$CB$21:$CR$21, 0), FALSE))</f>
        <v/>
      </c>
      <c r="U138" s="928" t="str">
        <f t="shared" si="49"/>
        <v/>
      </c>
      <c r="V138" s="877" t="str">
        <f t="shared" si="50"/>
        <v/>
      </c>
      <c r="X138" s="856" t="e">
        <f t="shared" si="51"/>
        <v>#DIV/0!</v>
      </c>
      <c r="Y138" s="857" t="e">
        <f t="shared" si="52"/>
        <v>#DIV/0!</v>
      </c>
      <c r="Z138" s="856" t="e">
        <f t="shared" si="53"/>
        <v>#DIV/0!</v>
      </c>
      <c r="AA138" s="856" t="e">
        <f t="shared" si="54"/>
        <v>#DIV/0!</v>
      </c>
      <c r="AD138" s="445"/>
      <c r="AE138" s="449"/>
      <c r="AF138" s="447"/>
    </row>
    <row r="139" spans="1:35" ht="15.75" thickBot="1" x14ac:dyDescent="0.3">
      <c r="B139" s="1580"/>
      <c r="C139" s="275" t="str">
        <f>'Commodities (Clients) Input'!C36</f>
        <v>Autre Injectable</v>
      </c>
      <c r="D139" s="71" t="str">
        <f>IF(D$124="", "", VLOOKUP($C139, 'Commodities (Facility) Input'!$CB$23:$CR$46, MATCH('Commodities (Facility) Output'!D$124, 'Commodities (Facility) Input'!$CB$21:$CR$21, 0), FALSE))</f>
        <v/>
      </c>
      <c r="E139" s="72" t="str">
        <f>IF(E$124="", "", VLOOKUP($C139, 'Commodities (Facility) Input'!$CB$23:$CR$46, MATCH('Commodities (Facility) Output'!E$124, 'Commodities (Facility) Input'!$CB$21:$CR$21, 0), FALSE))</f>
        <v/>
      </c>
      <c r="F139" s="72" t="str">
        <f>IF(F$124="", "", VLOOKUP($C139, 'Commodities (Facility) Input'!$CB$23:$CR$46, MATCH('Commodities (Facility) Output'!F$124, 'Commodities (Facility) Input'!$CB$21:$CR$21, 0), FALSE))</f>
        <v/>
      </c>
      <c r="G139" s="72" t="str">
        <f>IF(G$124="", "", VLOOKUP($C139, 'Commodities (Facility) Input'!$CB$23:$CR$46, MATCH('Commodities (Facility) Output'!G$124, 'Commodities (Facility) Input'!$CB$21:$CR$21, 0), FALSE))</f>
        <v/>
      </c>
      <c r="H139" s="72" t="str">
        <f>IF(H$124="", "", VLOOKUP($C139, 'Commodities (Facility) Input'!$CB$23:$CR$46, MATCH('Commodities (Facility) Output'!H$124, 'Commodities (Facility) Input'!$CB$21:$CR$21, 0), FALSE))</f>
        <v/>
      </c>
      <c r="I139" s="72" t="str">
        <f>IF(I$124="", "", VLOOKUP($C139, 'Commodities (Facility) Input'!$CB$23:$CR$46, MATCH('Commodities (Facility) Output'!I$124, 'Commodities (Facility) Input'!$CB$21:$CR$21, 0), FALSE))</f>
        <v/>
      </c>
      <c r="J139" s="72" t="str">
        <f>IF(J$124="", "", VLOOKUP($C139, 'Commodities (Facility) Input'!$CB$23:$CR$46, MATCH('Commodities (Facility) Output'!J$124, 'Commodities (Facility) Input'!$CB$21:$CR$21, 0), FALSE))</f>
        <v/>
      </c>
      <c r="K139" s="72" t="str">
        <f>IF(K$124="", "", VLOOKUP($C139, 'Commodities (Facility) Input'!$CB$23:$CR$46, MATCH('Commodities (Facility) Output'!K$124, 'Commodities (Facility) Input'!$CB$21:$CR$21, 0), FALSE))</f>
        <v/>
      </c>
      <c r="L139" s="72" t="str">
        <f>IF(L$124="", "", VLOOKUP($C139, 'Commodities (Facility) Input'!$CB$23:$CR$46, MATCH('Commodities (Facility) Output'!L$124, 'Commodities (Facility) Input'!$CB$21:$CR$21, 0), FALSE))</f>
        <v/>
      </c>
      <c r="M139" s="73" t="str">
        <f>IF(M$124="", "", VLOOKUP($C139, 'Commodities (Facility) Input'!$CB$23:$CR$46, MATCH('Commodities (Facility) Output'!M$124, 'Commodities (Facility) Input'!$CB$21:$CR$21, 0), FALSE))</f>
        <v/>
      </c>
      <c r="N139" s="73" t="str">
        <f>IF(N$124="", "", VLOOKUP($C139, 'Commodities (Facility) Input'!$CB$23:$CR$46, MATCH('Commodities (Facility) Output'!N$124, 'Commodities (Facility) Input'!$CB$21:$CR$21, 0), FALSE))</f>
        <v/>
      </c>
      <c r="O139" s="73" t="str">
        <f>IF(O$124="", "", VLOOKUP($C139, 'Commodities (Facility) Input'!$CB$23:$CR$46, MATCH('Commodities (Facility) Output'!O$124, 'Commodities (Facility) Input'!$CB$21:$CR$21, 0), FALSE))</f>
        <v/>
      </c>
      <c r="P139" s="73" t="str">
        <f>IF(P$124="", "", VLOOKUP($C139, 'Commodities (Facility) Input'!$CB$23:$CR$46, MATCH('Commodities (Facility) Output'!P$124, 'Commodities (Facility) Input'!$CB$21:$CR$21, 0), FALSE))</f>
        <v/>
      </c>
      <c r="Q139" s="73" t="str">
        <f>IF(Q$124="", "", VLOOKUP($C139, 'Commodities (Facility) Input'!$CB$23:$CR$46, MATCH('Commodities (Facility) Output'!Q$124, 'Commodities (Facility) Input'!$CB$21:$CR$21, 0), FALSE))</f>
        <v/>
      </c>
      <c r="R139" s="73" t="str">
        <f>IF(R$124="", "", VLOOKUP($C139, 'Commodities (Facility) Input'!$CB$23:$CR$46, MATCH('Commodities (Facility) Output'!R$124, 'Commodities (Facility) Input'!$CB$21:$CR$21, 0), FALSE))</f>
        <v/>
      </c>
      <c r="S139" s="74" t="str">
        <f>IF(S$124="", "", VLOOKUP($C139, 'Commodities (Facility) Input'!$CB$23:$CR$46, MATCH('Commodities (Facility) Output'!S$124, 'Commodities (Facility) Input'!$CB$21:$CR$21, 0), FALSE))</f>
        <v/>
      </c>
      <c r="U139" s="928" t="str">
        <f t="shared" si="49"/>
        <v/>
      </c>
      <c r="V139" s="877" t="str">
        <f t="shared" si="50"/>
        <v/>
      </c>
      <c r="X139" s="856" t="e">
        <f t="shared" si="51"/>
        <v>#DIV/0!</v>
      </c>
      <c r="Y139" s="857" t="e">
        <f t="shared" si="52"/>
        <v>#DIV/0!</v>
      </c>
      <c r="Z139" s="856" t="e">
        <f t="shared" si="53"/>
        <v>#DIV/0!</v>
      </c>
      <c r="AA139" s="856" t="e">
        <f t="shared" si="54"/>
        <v>#DIV/0!</v>
      </c>
      <c r="AD139" s="445"/>
      <c r="AE139" s="449"/>
      <c r="AF139" s="447"/>
    </row>
    <row r="140" spans="1:35" ht="15.75" thickBot="1" x14ac:dyDescent="0.3">
      <c r="B140" s="1579" t="str">
        <f>'Commodities (Clients) Input'!B37</f>
        <v>Pilule</v>
      </c>
      <c r="C140" s="274" t="str">
        <f>'Commodities (Clients) Input'!C37</f>
        <v>Oraux combinés (COC)</v>
      </c>
      <c r="D140" s="64" t="str">
        <f>IF(D$124="", "", VLOOKUP($C140, 'Commodities (Facility) Input'!$CB$23:$CR$46, MATCH('Commodities (Facility) Output'!D$124, 'Commodities (Facility) Input'!$CB$21:$CR$21, 0), FALSE))</f>
        <v/>
      </c>
      <c r="E140" s="202" t="str">
        <f>IF(E$124="", "", VLOOKUP($C140, 'Commodities (Facility) Input'!$CB$23:$CR$46, MATCH('Commodities (Facility) Output'!E$124, 'Commodities (Facility) Input'!$CB$21:$CR$21, 0), FALSE))</f>
        <v/>
      </c>
      <c r="F140" s="202" t="str">
        <f>IF(F$124="", "", VLOOKUP($C140, 'Commodities (Facility) Input'!$CB$23:$CR$46, MATCH('Commodities (Facility) Output'!F$124, 'Commodities (Facility) Input'!$CB$21:$CR$21, 0), FALSE))</f>
        <v/>
      </c>
      <c r="G140" s="202" t="str">
        <f>IF(G$124="", "", VLOOKUP($C140, 'Commodities (Facility) Input'!$CB$23:$CR$46, MATCH('Commodities (Facility) Output'!G$124, 'Commodities (Facility) Input'!$CB$21:$CR$21, 0), FALSE))</f>
        <v/>
      </c>
      <c r="H140" s="202" t="str">
        <f>IF(H$124="", "", VLOOKUP($C140, 'Commodities (Facility) Input'!$CB$23:$CR$46, MATCH('Commodities (Facility) Output'!H$124, 'Commodities (Facility) Input'!$CB$21:$CR$21, 0), FALSE))</f>
        <v/>
      </c>
      <c r="I140" s="202" t="str">
        <f>IF(I$124="", "", VLOOKUP($C140, 'Commodities (Facility) Input'!$CB$23:$CR$46, MATCH('Commodities (Facility) Output'!I$124, 'Commodities (Facility) Input'!$CB$21:$CR$21, 0), FALSE))</f>
        <v/>
      </c>
      <c r="J140" s="202" t="str">
        <f>IF(J$124="", "", VLOOKUP($C140, 'Commodities (Facility) Input'!$CB$23:$CR$46, MATCH('Commodities (Facility) Output'!J$124, 'Commodities (Facility) Input'!$CB$21:$CR$21, 0), FALSE))</f>
        <v/>
      </c>
      <c r="K140" s="202" t="str">
        <f>IF(K$124="", "", VLOOKUP($C140, 'Commodities (Facility) Input'!$CB$23:$CR$46, MATCH('Commodities (Facility) Output'!K$124, 'Commodities (Facility) Input'!$CB$21:$CR$21, 0), FALSE))</f>
        <v/>
      </c>
      <c r="L140" s="202" t="str">
        <f>IF(L$124="", "", VLOOKUP($C140, 'Commodities (Facility) Input'!$CB$23:$CR$46, MATCH('Commodities (Facility) Output'!L$124, 'Commodities (Facility) Input'!$CB$21:$CR$21, 0), FALSE))</f>
        <v/>
      </c>
      <c r="M140" s="65" t="str">
        <f>IF(M$124="", "", VLOOKUP($C140, 'Commodities (Facility) Input'!$CB$23:$CR$46, MATCH('Commodities (Facility) Output'!M$124, 'Commodities (Facility) Input'!$CB$21:$CR$21, 0), FALSE))</f>
        <v/>
      </c>
      <c r="N140" s="65" t="str">
        <f>IF(N$124="", "", VLOOKUP($C140, 'Commodities (Facility) Input'!$CB$23:$CR$46, MATCH('Commodities (Facility) Output'!N$124, 'Commodities (Facility) Input'!$CB$21:$CR$21, 0), FALSE))</f>
        <v/>
      </c>
      <c r="O140" s="65" t="str">
        <f>IF(O$124="", "", VLOOKUP($C140, 'Commodities (Facility) Input'!$CB$23:$CR$46, MATCH('Commodities (Facility) Output'!O$124, 'Commodities (Facility) Input'!$CB$21:$CR$21, 0), FALSE))</f>
        <v/>
      </c>
      <c r="P140" s="65" t="str">
        <f>IF(P$124="", "", VLOOKUP($C140, 'Commodities (Facility) Input'!$CB$23:$CR$46, MATCH('Commodities (Facility) Output'!P$124, 'Commodities (Facility) Input'!$CB$21:$CR$21, 0), FALSE))</f>
        <v/>
      </c>
      <c r="Q140" s="65" t="str">
        <f>IF(Q$124="", "", VLOOKUP($C140, 'Commodities (Facility) Input'!$CB$23:$CR$46, MATCH('Commodities (Facility) Output'!Q$124, 'Commodities (Facility) Input'!$CB$21:$CR$21, 0), FALSE))</f>
        <v/>
      </c>
      <c r="R140" s="65" t="str">
        <f>IF(R$124="", "", VLOOKUP($C140, 'Commodities (Facility) Input'!$CB$23:$CR$46, MATCH('Commodities (Facility) Output'!R$124, 'Commodities (Facility) Input'!$CB$21:$CR$21, 0), FALSE))</f>
        <v/>
      </c>
      <c r="S140" s="66" t="str">
        <f>IF(S$124="", "", VLOOKUP($C140, 'Commodities (Facility) Input'!$CB$23:$CR$46, MATCH('Commodities (Facility) Output'!S$124, 'Commodities (Facility) Input'!$CB$21:$CR$21, 0), FALSE))</f>
        <v/>
      </c>
      <c r="U140" s="928" t="str">
        <f t="shared" si="49"/>
        <v/>
      </c>
      <c r="V140" s="877" t="str">
        <f t="shared" si="50"/>
        <v/>
      </c>
      <c r="X140" s="856" t="e">
        <f t="shared" si="51"/>
        <v>#DIV/0!</v>
      </c>
      <c r="Y140" s="857" t="e">
        <f t="shared" si="52"/>
        <v>#DIV/0!</v>
      </c>
      <c r="Z140" s="856" t="e">
        <f t="shared" si="53"/>
        <v>#DIV/0!</v>
      </c>
      <c r="AA140" s="856" t="e">
        <f t="shared" si="54"/>
        <v>#DIV/0!</v>
      </c>
      <c r="AD140" s="445"/>
      <c r="AE140" s="449"/>
      <c r="AF140" s="447"/>
    </row>
    <row r="141" spans="1:35" ht="15.75" thickBot="1" x14ac:dyDescent="0.3">
      <c r="B141" s="1515"/>
      <c r="C141" s="277" t="str">
        <f>'Commodities (Clients) Input'!C38</f>
        <v>Progestatifs seul (POP)</v>
      </c>
      <c r="D141" s="67" t="str">
        <f>IF(D$124="", "", VLOOKUP($C141, 'Commodities (Facility) Input'!$CB$23:$CR$46, MATCH('Commodities (Facility) Output'!D$124, 'Commodities (Facility) Input'!$CB$21:$CR$21, 0), FALSE))</f>
        <v/>
      </c>
      <c r="E141" s="68" t="str">
        <f>IF(E$124="", "", VLOOKUP($C141, 'Commodities (Facility) Input'!$CB$23:$CR$46, MATCH('Commodities (Facility) Output'!E$124, 'Commodities (Facility) Input'!$CB$21:$CR$21, 0), FALSE))</f>
        <v/>
      </c>
      <c r="F141" s="68" t="str">
        <f>IF(F$124="", "", VLOOKUP($C141, 'Commodities (Facility) Input'!$CB$23:$CR$46, MATCH('Commodities (Facility) Output'!F$124, 'Commodities (Facility) Input'!$CB$21:$CR$21, 0), FALSE))</f>
        <v/>
      </c>
      <c r="G141" s="68" t="str">
        <f>IF(G$124="", "", VLOOKUP($C141, 'Commodities (Facility) Input'!$CB$23:$CR$46, MATCH('Commodities (Facility) Output'!G$124, 'Commodities (Facility) Input'!$CB$21:$CR$21, 0), FALSE))</f>
        <v/>
      </c>
      <c r="H141" s="68" t="str">
        <f>IF(H$124="", "", VLOOKUP($C141, 'Commodities (Facility) Input'!$CB$23:$CR$46, MATCH('Commodities (Facility) Output'!H$124, 'Commodities (Facility) Input'!$CB$21:$CR$21, 0), FALSE))</f>
        <v/>
      </c>
      <c r="I141" s="68" t="str">
        <f>IF(I$124="", "", VLOOKUP($C141, 'Commodities (Facility) Input'!$CB$23:$CR$46, MATCH('Commodities (Facility) Output'!I$124, 'Commodities (Facility) Input'!$CB$21:$CR$21, 0), FALSE))</f>
        <v/>
      </c>
      <c r="J141" s="68" t="str">
        <f>IF(J$124="", "", VLOOKUP($C141, 'Commodities (Facility) Input'!$CB$23:$CR$46, MATCH('Commodities (Facility) Output'!J$124, 'Commodities (Facility) Input'!$CB$21:$CR$21, 0), FALSE))</f>
        <v/>
      </c>
      <c r="K141" s="68" t="str">
        <f>IF(K$124="", "", VLOOKUP($C141, 'Commodities (Facility) Input'!$CB$23:$CR$46, MATCH('Commodities (Facility) Output'!K$124, 'Commodities (Facility) Input'!$CB$21:$CR$21, 0), FALSE))</f>
        <v/>
      </c>
      <c r="L141" s="68" t="str">
        <f>IF(L$124="", "", VLOOKUP($C141, 'Commodities (Facility) Input'!$CB$23:$CR$46, MATCH('Commodities (Facility) Output'!L$124, 'Commodities (Facility) Input'!$CB$21:$CR$21, 0), FALSE))</f>
        <v/>
      </c>
      <c r="M141" s="69" t="str">
        <f>IF(M$124="", "", VLOOKUP($C141, 'Commodities (Facility) Input'!$CB$23:$CR$46, MATCH('Commodities (Facility) Output'!M$124, 'Commodities (Facility) Input'!$CB$21:$CR$21, 0), FALSE))</f>
        <v/>
      </c>
      <c r="N141" s="69" t="str">
        <f>IF(N$124="", "", VLOOKUP($C141, 'Commodities (Facility) Input'!$CB$23:$CR$46, MATCH('Commodities (Facility) Output'!N$124, 'Commodities (Facility) Input'!$CB$21:$CR$21, 0), FALSE))</f>
        <v/>
      </c>
      <c r="O141" s="69" t="str">
        <f>IF(O$124="", "", VLOOKUP($C141, 'Commodities (Facility) Input'!$CB$23:$CR$46, MATCH('Commodities (Facility) Output'!O$124, 'Commodities (Facility) Input'!$CB$21:$CR$21, 0), FALSE))</f>
        <v/>
      </c>
      <c r="P141" s="69" t="str">
        <f>IF(P$124="", "", VLOOKUP($C141, 'Commodities (Facility) Input'!$CB$23:$CR$46, MATCH('Commodities (Facility) Output'!P$124, 'Commodities (Facility) Input'!$CB$21:$CR$21, 0), FALSE))</f>
        <v/>
      </c>
      <c r="Q141" s="69" t="str">
        <f>IF(Q$124="", "", VLOOKUP($C141, 'Commodities (Facility) Input'!$CB$23:$CR$46, MATCH('Commodities (Facility) Output'!Q$124, 'Commodities (Facility) Input'!$CB$21:$CR$21, 0), FALSE))</f>
        <v/>
      </c>
      <c r="R141" s="69" t="str">
        <f>IF(R$124="", "", VLOOKUP($C141, 'Commodities (Facility) Input'!$CB$23:$CR$46, MATCH('Commodities (Facility) Output'!R$124, 'Commodities (Facility) Input'!$CB$21:$CR$21, 0), FALSE))</f>
        <v/>
      </c>
      <c r="S141" s="70" t="str">
        <f>IF(S$124="", "", VLOOKUP($C141, 'Commodities (Facility) Input'!$CB$23:$CR$46, MATCH('Commodities (Facility) Output'!S$124, 'Commodities (Facility) Input'!$CB$21:$CR$21, 0), FALSE))</f>
        <v/>
      </c>
      <c r="U141" s="928" t="str">
        <f t="shared" si="49"/>
        <v/>
      </c>
      <c r="V141" s="877" t="str">
        <f t="shared" si="50"/>
        <v/>
      </c>
      <c r="X141" s="856" t="e">
        <f t="shared" si="51"/>
        <v>#DIV/0!</v>
      </c>
      <c r="Y141" s="857" t="e">
        <f t="shared" si="52"/>
        <v>#DIV/0!</v>
      </c>
      <c r="Z141" s="856" t="e">
        <f t="shared" si="53"/>
        <v>#DIV/0!</v>
      </c>
      <c r="AA141" s="856" t="e">
        <f t="shared" si="54"/>
        <v>#DIV/0!</v>
      </c>
      <c r="AD141" s="445"/>
      <c r="AE141" s="449"/>
      <c r="AF141" s="447"/>
    </row>
    <row r="142" spans="1:35" ht="15.75" thickBot="1" x14ac:dyDescent="0.3">
      <c r="B142" s="1580"/>
      <c r="C142" s="275" t="str">
        <f>'Commodities (Clients) Input'!C39</f>
        <v>Autre pilule</v>
      </c>
      <c r="D142" s="71" t="str">
        <f>IF(D$124="", "", VLOOKUP($C142, 'Commodities (Facility) Input'!$CB$23:$CR$46, MATCH('Commodities (Facility) Output'!D$124, 'Commodities (Facility) Input'!$CB$21:$CR$21, 0), FALSE))</f>
        <v/>
      </c>
      <c r="E142" s="72" t="str">
        <f>IF(E$124="", "", VLOOKUP($C142, 'Commodities (Facility) Input'!$CB$23:$CR$46, MATCH('Commodities (Facility) Output'!E$124, 'Commodities (Facility) Input'!$CB$21:$CR$21, 0), FALSE))</f>
        <v/>
      </c>
      <c r="F142" s="72" t="str">
        <f>IF(F$124="", "", VLOOKUP($C142, 'Commodities (Facility) Input'!$CB$23:$CR$46, MATCH('Commodities (Facility) Output'!F$124, 'Commodities (Facility) Input'!$CB$21:$CR$21, 0), FALSE))</f>
        <v/>
      </c>
      <c r="G142" s="72" t="str">
        <f>IF(G$124="", "", VLOOKUP($C142, 'Commodities (Facility) Input'!$CB$23:$CR$46, MATCH('Commodities (Facility) Output'!G$124, 'Commodities (Facility) Input'!$CB$21:$CR$21, 0), FALSE))</f>
        <v/>
      </c>
      <c r="H142" s="72" t="str">
        <f>IF(H$124="", "", VLOOKUP($C142, 'Commodities (Facility) Input'!$CB$23:$CR$46, MATCH('Commodities (Facility) Output'!H$124, 'Commodities (Facility) Input'!$CB$21:$CR$21, 0), FALSE))</f>
        <v/>
      </c>
      <c r="I142" s="72" t="str">
        <f>IF(I$124="", "", VLOOKUP($C142, 'Commodities (Facility) Input'!$CB$23:$CR$46, MATCH('Commodities (Facility) Output'!I$124, 'Commodities (Facility) Input'!$CB$21:$CR$21, 0), FALSE))</f>
        <v/>
      </c>
      <c r="J142" s="72" t="str">
        <f>IF(J$124="", "", VLOOKUP($C142, 'Commodities (Facility) Input'!$CB$23:$CR$46, MATCH('Commodities (Facility) Output'!J$124, 'Commodities (Facility) Input'!$CB$21:$CR$21, 0), FALSE))</f>
        <v/>
      </c>
      <c r="K142" s="72" t="str">
        <f>IF(K$124="", "", VLOOKUP($C142, 'Commodities (Facility) Input'!$CB$23:$CR$46, MATCH('Commodities (Facility) Output'!K$124, 'Commodities (Facility) Input'!$CB$21:$CR$21, 0), FALSE))</f>
        <v/>
      </c>
      <c r="L142" s="72" t="str">
        <f>IF(L$124="", "", VLOOKUP($C142, 'Commodities (Facility) Input'!$CB$23:$CR$46, MATCH('Commodities (Facility) Output'!L$124, 'Commodities (Facility) Input'!$CB$21:$CR$21, 0), FALSE))</f>
        <v/>
      </c>
      <c r="M142" s="73" t="str">
        <f>IF(M$124="", "", VLOOKUP($C142, 'Commodities (Facility) Input'!$CB$23:$CR$46, MATCH('Commodities (Facility) Output'!M$124, 'Commodities (Facility) Input'!$CB$21:$CR$21, 0), FALSE))</f>
        <v/>
      </c>
      <c r="N142" s="73" t="str">
        <f>IF(N$124="", "", VLOOKUP($C142, 'Commodities (Facility) Input'!$CB$23:$CR$46, MATCH('Commodities (Facility) Output'!N$124, 'Commodities (Facility) Input'!$CB$21:$CR$21, 0), FALSE))</f>
        <v/>
      </c>
      <c r="O142" s="73" t="str">
        <f>IF(O$124="", "", VLOOKUP($C142, 'Commodities (Facility) Input'!$CB$23:$CR$46, MATCH('Commodities (Facility) Output'!O$124, 'Commodities (Facility) Input'!$CB$21:$CR$21, 0), FALSE))</f>
        <v/>
      </c>
      <c r="P142" s="73" t="str">
        <f>IF(P$124="", "", VLOOKUP($C142, 'Commodities (Facility) Input'!$CB$23:$CR$46, MATCH('Commodities (Facility) Output'!P$124, 'Commodities (Facility) Input'!$CB$21:$CR$21, 0), FALSE))</f>
        <v/>
      </c>
      <c r="Q142" s="73" t="str">
        <f>IF(Q$124="", "", VLOOKUP($C142, 'Commodities (Facility) Input'!$CB$23:$CR$46, MATCH('Commodities (Facility) Output'!Q$124, 'Commodities (Facility) Input'!$CB$21:$CR$21, 0), FALSE))</f>
        <v/>
      </c>
      <c r="R142" s="73" t="str">
        <f>IF(R$124="", "", VLOOKUP($C142, 'Commodities (Facility) Input'!$CB$23:$CR$46, MATCH('Commodities (Facility) Output'!R$124, 'Commodities (Facility) Input'!$CB$21:$CR$21, 0), FALSE))</f>
        <v/>
      </c>
      <c r="S142" s="74" t="str">
        <f>IF(S$124="", "", VLOOKUP($C142, 'Commodities (Facility) Input'!$CB$23:$CR$46, MATCH('Commodities (Facility) Output'!S$124, 'Commodities (Facility) Input'!$CB$21:$CR$21, 0), FALSE))</f>
        <v/>
      </c>
      <c r="U142" s="928" t="str">
        <f t="shared" si="49"/>
        <v/>
      </c>
      <c r="V142" s="877" t="str">
        <f t="shared" si="50"/>
        <v/>
      </c>
      <c r="X142" s="856" t="e">
        <f t="shared" si="51"/>
        <v>#DIV/0!</v>
      </c>
      <c r="Y142" s="857" t="e">
        <f t="shared" si="52"/>
        <v>#DIV/0!</v>
      </c>
      <c r="Z142" s="856" t="e">
        <f t="shared" si="53"/>
        <v>#DIV/0!</v>
      </c>
      <c r="AA142" s="856" t="e">
        <f t="shared" si="54"/>
        <v>#DIV/0!</v>
      </c>
      <c r="AD142" s="445"/>
      <c r="AE142" s="449"/>
      <c r="AF142" s="447"/>
    </row>
    <row r="143" spans="1:35" ht="15.75" thickBot="1" x14ac:dyDescent="0.3">
      <c r="B143" s="1579" t="str">
        <f>'Commodities (Clients) Input'!B40</f>
        <v>Préservatifs</v>
      </c>
      <c r="C143" s="274" t="str">
        <f>'Commodities (Clients) Input'!C40</f>
        <v>Préservatifs masculin</v>
      </c>
      <c r="D143" s="75" t="str">
        <f>IF(D$124="", "", VLOOKUP($C143, 'Commodities (Facility) Input'!$CB$23:$CR$46, MATCH('Commodities (Facility) Output'!D$124, 'Commodities (Facility) Input'!$CB$21:$CR$21, 0), FALSE))</f>
        <v/>
      </c>
      <c r="E143" s="76" t="str">
        <f>IF(E$124="", "", VLOOKUP($C143, 'Commodities (Facility) Input'!$CB$23:$CR$46, MATCH('Commodities (Facility) Output'!E$124, 'Commodities (Facility) Input'!$CB$21:$CR$21, 0), FALSE))</f>
        <v/>
      </c>
      <c r="F143" s="76" t="str">
        <f>IF(F$124="", "", VLOOKUP($C143, 'Commodities (Facility) Input'!$CB$23:$CR$46, MATCH('Commodities (Facility) Output'!F$124, 'Commodities (Facility) Input'!$CB$21:$CR$21, 0), FALSE))</f>
        <v/>
      </c>
      <c r="G143" s="76" t="str">
        <f>IF(G$124="", "", VLOOKUP($C143, 'Commodities (Facility) Input'!$CB$23:$CR$46, MATCH('Commodities (Facility) Output'!G$124, 'Commodities (Facility) Input'!$CB$21:$CR$21, 0), FALSE))</f>
        <v/>
      </c>
      <c r="H143" s="76" t="str">
        <f>IF(H$124="", "", VLOOKUP($C143, 'Commodities (Facility) Input'!$CB$23:$CR$46, MATCH('Commodities (Facility) Output'!H$124, 'Commodities (Facility) Input'!$CB$21:$CR$21, 0), FALSE))</f>
        <v/>
      </c>
      <c r="I143" s="76" t="str">
        <f>IF(I$124="", "", VLOOKUP($C143, 'Commodities (Facility) Input'!$CB$23:$CR$46, MATCH('Commodities (Facility) Output'!I$124, 'Commodities (Facility) Input'!$CB$21:$CR$21, 0), FALSE))</f>
        <v/>
      </c>
      <c r="J143" s="76" t="str">
        <f>IF(J$124="", "", VLOOKUP($C143, 'Commodities (Facility) Input'!$CB$23:$CR$46, MATCH('Commodities (Facility) Output'!J$124, 'Commodities (Facility) Input'!$CB$21:$CR$21, 0), FALSE))</f>
        <v/>
      </c>
      <c r="K143" s="76" t="str">
        <f>IF(K$124="", "", VLOOKUP($C143, 'Commodities (Facility) Input'!$CB$23:$CR$46, MATCH('Commodities (Facility) Output'!K$124, 'Commodities (Facility) Input'!$CB$21:$CR$21, 0), FALSE))</f>
        <v/>
      </c>
      <c r="L143" s="76" t="str">
        <f>IF(L$124="", "", VLOOKUP($C143, 'Commodities (Facility) Input'!$CB$23:$CR$46, MATCH('Commodities (Facility) Output'!L$124, 'Commodities (Facility) Input'!$CB$21:$CR$21, 0), FALSE))</f>
        <v/>
      </c>
      <c r="M143" s="77" t="str">
        <f>IF(M$124="", "", VLOOKUP($C143, 'Commodities (Facility) Input'!$CB$23:$CR$46, MATCH('Commodities (Facility) Output'!M$124, 'Commodities (Facility) Input'!$CB$21:$CR$21, 0), FALSE))</f>
        <v/>
      </c>
      <c r="N143" s="77" t="str">
        <f>IF(N$124="", "", VLOOKUP($C143, 'Commodities (Facility) Input'!$CB$23:$CR$46, MATCH('Commodities (Facility) Output'!N$124, 'Commodities (Facility) Input'!$CB$21:$CR$21, 0), FALSE))</f>
        <v/>
      </c>
      <c r="O143" s="77" t="str">
        <f>IF(O$124="", "", VLOOKUP($C143, 'Commodities (Facility) Input'!$CB$23:$CR$46, MATCH('Commodities (Facility) Output'!O$124, 'Commodities (Facility) Input'!$CB$21:$CR$21, 0), FALSE))</f>
        <v/>
      </c>
      <c r="P143" s="77" t="str">
        <f>IF(P$124="", "", VLOOKUP($C143, 'Commodities (Facility) Input'!$CB$23:$CR$46, MATCH('Commodities (Facility) Output'!P$124, 'Commodities (Facility) Input'!$CB$21:$CR$21, 0), FALSE))</f>
        <v/>
      </c>
      <c r="Q143" s="77" t="str">
        <f>IF(Q$124="", "", VLOOKUP($C143, 'Commodities (Facility) Input'!$CB$23:$CR$46, MATCH('Commodities (Facility) Output'!Q$124, 'Commodities (Facility) Input'!$CB$21:$CR$21, 0), FALSE))</f>
        <v/>
      </c>
      <c r="R143" s="77" t="str">
        <f>IF(R$124="", "", VLOOKUP($C143, 'Commodities (Facility) Input'!$CB$23:$CR$46, MATCH('Commodities (Facility) Output'!R$124, 'Commodities (Facility) Input'!$CB$21:$CR$21, 0), FALSE))</f>
        <v/>
      </c>
      <c r="S143" s="78" t="str">
        <f>IF(S$124="", "", VLOOKUP($C143, 'Commodities (Facility) Input'!$CB$23:$CR$46, MATCH('Commodities (Facility) Output'!S$124, 'Commodities (Facility) Input'!$CB$21:$CR$21, 0), FALSE))</f>
        <v/>
      </c>
      <c r="U143" s="928" t="str">
        <f t="shared" si="49"/>
        <v/>
      </c>
      <c r="V143" s="877" t="str">
        <f t="shared" si="50"/>
        <v/>
      </c>
      <c r="X143" s="856" t="e">
        <f t="shared" si="51"/>
        <v>#DIV/0!</v>
      </c>
      <c r="Y143" s="857" t="e">
        <f t="shared" si="52"/>
        <v>#DIV/0!</v>
      </c>
      <c r="Z143" s="856" t="e">
        <f t="shared" si="53"/>
        <v>#DIV/0!</v>
      </c>
      <c r="AA143" s="856" t="e">
        <f t="shared" si="54"/>
        <v>#DIV/0!</v>
      </c>
      <c r="AD143" s="445"/>
      <c r="AE143" s="449"/>
      <c r="AF143" s="447"/>
    </row>
    <row r="144" spans="1:35" ht="15.75" thickBot="1" x14ac:dyDescent="0.3">
      <c r="B144" s="1580"/>
      <c r="C144" s="275" t="str">
        <f>'Commodities (Clients) Input'!C41</f>
        <v>Préservatifs feminin</v>
      </c>
      <c r="D144" s="60" t="str">
        <f>IF(D$124="", "", VLOOKUP($C144, 'Commodities (Facility) Input'!$CB$23:$CR$46, MATCH('Commodities (Facility) Output'!D$124, 'Commodities (Facility) Input'!$CB$21:$CR$21, 0), FALSE))</f>
        <v/>
      </c>
      <c r="E144" s="61" t="str">
        <f>IF(E$124="", "", VLOOKUP($C144, 'Commodities (Facility) Input'!$CB$23:$CR$46, MATCH('Commodities (Facility) Output'!E$124, 'Commodities (Facility) Input'!$CB$21:$CR$21, 0), FALSE))</f>
        <v/>
      </c>
      <c r="F144" s="61" t="str">
        <f>IF(F$124="", "", VLOOKUP($C144, 'Commodities (Facility) Input'!$CB$23:$CR$46, MATCH('Commodities (Facility) Output'!F$124, 'Commodities (Facility) Input'!$CB$21:$CR$21, 0), FALSE))</f>
        <v/>
      </c>
      <c r="G144" s="61" t="str">
        <f>IF(G$124="", "", VLOOKUP($C144, 'Commodities (Facility) Input'!$CB$23:$CR$46, MATCH('Commodities (Facility) Output'!G$124, 'Commodities (Facility) Input'!$CB$21:$CR$21, 0), FALSE))</f>
        <v/>
      </c>
      <c r="H144" s="61" t="str">
        <f>IF(H$124="", "", VLOOKUP($C144, 'Commodities (Facility) Input'!$CB$23:$CR$46, MATCH('Commodities (Facility) Output'!H$124, 'Commodities (Facility) Input'!$CB$21:$CR$21, 0), FALSE))</f>
        <v/>
      </c>
      <c r="I144" s="61" t="str">
        <f>IF(I$124="", "", VLOOKUP($C144, 'Commodities (Facility) Input'!$CB$23:$CR$46, MATCH('Commodities (Facility) Output'!I$124, 'Commodities (Facility) Input'!$CB$21:$CR$21, 0), FALSE))</f>
        <v/>
      </c>
      <c r="J144" s="61" t="str">
        <f>IF(J$124="", "", VLOOKUP($C144, 'Commodities (Facility) Input'!$CB$23:$CR$46, MATCH('Commodities (Facility) Output'!J$124, 'Commodities (Facility) Input'!$CB$21:$CR$21, 0), FALSE))</f>
        <v/>
      </c>
      <c r="K144" s="61" t="str">
        <f>IF(K$124="", "", VLOOKUP($C144, 'Commodities (Facility) Input'!$CB$23:$CR$46, MATCH('Commodities (Facility) Output'!K$124, 'Commodities (Facility) Input'!$CB$21:$CR$21, 0), FALSE))</f>
        <v/>
      </c>
      <c r="L144" s="61" t="str">
        <f>IF(L$124="", "", VLOOKUP($C144, 'Commodities (Facility) Input'!$CB$23:$CR$46, MATCH('Commodities (Facility) Output'!L$124, 'Commodities (Facility) Input'!$CB$21:$CR$21, 0), FALSE))</f>
        <v/>
      </c>
      <c r="M144" s="62" t="str">
        <f>IF(M$124="", "", VLOOKUP($C144, 'Commodities (Facility) Input'!$CB$23:$CR$46, MATCH('Commodities (Facility) Output'!M$124, 'Commodities (Facility) Input'!$CB$21:$CR$21, 0), FALSE))</f>
        <v/>
      </c>
      <c r="N144" s="62" t="str">
        <f>IF(N$124="", "", VLOOKUP($C144, 'Commodities (Facility) Input'!$CB$23:$CR$46, MATCH('Commodities (Facility) Output'!N$124, 'Commodities (Facility) Input'!$CB$21:$CR$21, 0), FALSE))</f>
        <v/>
      </c>
      <c r="O144" s="62" t="str">
        <f>IF(O$124="", "", VLOOKUP($C144, 'Commodities (Facility) Input'!$CB$23:$CR$46, MATCH('Commodities (Facility) Output'!O$124, 'Commodities (Facility) Input'!$CB$21:$CR$21, 0), FALSE))</f>
        <v/>
      </c>
      <c r="P144" s="62" t="str">
        <f>IF(P$124="", "", VLOOKUP($C144, 'Commodities (Facility) Input'!$CB$23:$CR$46, MATCH('Commodities (Facility) Output'!P$124, 'Commodities (Facility) Input'!$CB$21:$CR$21, 0), FALSE))</f>
        <v/>
      </c>
      <c r="Q144" s="62" t="str">
        <f>IF(Q$124="", "", VLOOKUP($C144, 'Commodities (Facility) Input'!$CB$23:$CR$46, MATCH('Commodities (Facility) Output'!Q$124, 'Commodities (Facility) Input'!$CB$21:$CR$21, 0), FALSE))</f>
        <v/>
      </c>
      <c r="R144" s="62" t="str">
        <f>IF(R$124="", "", VLOOKUP($C144, 'Commodities (Facility) Input'!$CB$23:$CR$46, MATCH('Commodities (Facility) Output'!R$124, 'Commodities (Facility) Input'!$CB$21:$CR$21, 0), FALSE))</f>
        <v/>
      </c>
      <c r="S144" s="63" t="str">
        <f>IF(S$124="", "", VLOOKUP($C144, 'Commodities (Facility) Input'!$CB$23:$CR$46, MATCH('Commodities (Facility) Output'!S$124, 'Commodities (Facility) Input'!$CB$21:$CR$21, 0), FALSE))</f>
        <v/>
      </c>
      <c r="U144" s="928" t="str">
        <f t="shared" si="49"/>
        <v/>
      </c>
      <c r="V144" s="877" t="str">
        <f t="shared" si="50"/>
        <v/>
      </c>
      <c r="X144" s="856" t="e">
        <f t="shared" si="51"/>
        <v>#DIV/0!</v>
      </c>
      <c r="Y144" s="857" t="e">
        <f t="shared" si="52"/>
        <v>#DIV/0!</v>
      </c>
      <c r="Z144" s="856" t="e">
        <f t="shared" si="53"/>
        <v>#DIV/0!</v>
      </c>
      <c r="AA144" s="856" t="e">
        <f t="shared" si="54"/>
        <v>#DIV/0!</v>
      </c>
      <c r="AD144" s="445"/>
      <c r="AE144" s="449"/>
      <c r="AF144" s="447"/>
    </row>
    <row r="145" spans="2:60" ht="15.75" thickBot="1" x14ac:dyDescent="0.3">
      <c r="B145" s="1587" t="str">
        <f>'Commodities (Clients) Input'!B42</f>
        <v>Autres Méthodes Modernes</v>
      </c>
      <c r="C145" s="274" t="str">
        <f>'Commodities (Clients) Input'!C42</f>
        <v>MAMA</v>
      </c>
      <c r="D145" s="75" t="str">
        <f>IF(D$124="", "", VLOOKUP($C145, 'Commodities (Facility) Input'!$CB$23:$CR$46, MATCH('Commodities (Facility) Output'!D$124, 'Commodities (Facility) Input'!$CB$21:$CR$21, 0), FALSE))</f>
        <v/>
      </c>
      <c r="E145" s="76" t="str">
        <f>IF(E$124="", "", VLOOKUP($C145, 'Commodities (Facility) Input'!$CB$23:$CR$46, MATCH('Commodities (Facility) Output'!E$124, 'Commodities (Facility) Input'!$CB$21:$CR$21, 0), FALSE))</f>
        <v/>
      </c>
      <c r="F145" s="76" t="str">
        <f>IF(F$124="", "", VLOOKUP($C145, 'Commodities (Facility) Input'!$CB$23:$CR$46, MATCH('Commodities (Facility) Output'!F$124, 'Commodities (Facility) Input'!$CB$21:$CR$21, 0), FALSE))</f>
        <v/>
      </c>
      <c r="G145" s="76" t="str">
        <f>IF(G$124="", "", VLOOKUP($C145, 'Commodities (Facility) Input'!$CB$23:$CR$46, MATCH('Commodities (Facility) Output'!G$124, 'Commodities (Facility) Input'!$CB$21:$CR$21, 0), FALSE))</f>
        <v/>
      </c>
      <c r="H145" s="76" t="str">
        <f>IF(H$124="", "", VLOOKUP($C145, 'Commodities (Facility) Input'!$CB$23:$CR$46, MATCH('Commodities (Facility) Output'!H$124, 'Commodities (Facility) Input'!$CB$21:$CR$21, 0), FALSE))</f>
        <v/>
      </c>
      <c r="I145" s="76" t="str">
        <f>IF(I$124="", "", VLOOKUP($C145, 'Commodities (Facility) Input'!$CB$23:$CR$46, MATCH('Commodities (Facility) Output'!I$124, 'Commodities (Facility) Input'!$CB$21:$CR$21, 0), FALSE))</f>
        <v/>
      </c>
      <c r="J145" s="76" t="str">
        <f>IF(J$124="", "", VLOOKUP($C145, 'Commodities (Facility) Input'!$CB$23:$CR$46, MATCH('Commodities (Facility) Output'!J$124, 'Commodities (Facility) Input'!$CB$21:$CR$21, 0), FALSE))</f>
        <v/>
      </c>
      <c r="K145" s="76" t="str">
        <f>IF(K$124="", "", VLOOKUP($C145, 'Commodities (Facility) Input'!$CB$23:$CR$46, MATCH('Commodities (Facility) Output'!K$124, 'Commodities (Facility) Input'!$CB$21:$CR$21, 0), FALSE))</f>
        <v/>
      </c>
      <c r="L145" s="76" t="str">
        <f>IF(L$124="", "", VLOOKUP($C145, 'Commodities (Facility) Input'!$CB$23:$CR$46, MATCH('Commodities (Facility) Output'!L$124, 'Commodities (Facility) Input'!$CB$21:$CR$21, 0), FALSE))</f>
        <v/>
      </c>
      <c r="M145" s="77" t="str">
        <f>IF(M$124="", "", VLOOKUP($C145, 'Commodities (Facility) Input'!$CB$23:$CR$46, MATCH('Commodities (Facility) Output'!M$124, 'Commodities (Facility) Input'!$CB$21:$CR$21, 0), FALSE))</f>
        <v/>
      </c>
      <c r="N145" s="77" t="str">
        <f>IF(N$124="", "", VLOOKUP($C145, 'Commodities (Facility) Input'!$CB$23:$CR$46, MATCH('Commodities (Facility) Output'!N$124, 'Commodities (Facility) Input'!$CB$21:$CR$21, 0), FALSE))</f>
        <v/>
      </c>
      <c r="O145" s="77" t="str">
        <f>IF(O$124="", "", VLOOKUP($C145, 'Commodities (Facility) Input'!$CB$23:$CR$46, MATCH('Commodities (Facility) Output'!O$124, 'Commodities (Facility) Input'!$CB$21:$CR$21, 0), FALSE))</f>
        <v/>
      </c>
      <c r="P145" s="77" t="str">
        <f>IF(P$124="", "", VLOOKUP($C145, 'Commodities (Facility) Input'!$CB$23:$CR$46, MATCH('Commodities (Facility) Output'!P$124, 'Commodities (Facility) Input'!$CB$21:$CR$21, 0), FALSE))</f>
        <v/>
      </c>
      <c r="Q145" s="77" t="str">
        <f>IF(Q$124="", "", VLOOKUP($C145, 'Commodities (Facility) Input'!$CB$23:$CR$46, MATCH('Commodities (Facility) Output'!Q$124, 'Commodities (Facility) Input'!$CB$21:$CR$21, 0), FALSE))</f>
        <v/>
      </c>
      <c r="R145" s="77" t="str">
        <f>IF(R$124="", "", VLOOKUP($C145, 'Commodities (Facility) Input'!$CB$23:$CR$46, MATCH('Commodities (Facility) Output'!R$124, 'Commodities (Facility) Input'!$CB$21:$CR$21, 0), FALSE))</f>
        <v/>
      </c>
      <c r="S145" s="78" t="str">
        <f>IF(S$124="", "", VLOOKUP($C145, 'Commodities (Facility) Input'!$CB$23:$CR$46, MATCH('Commodities (Facility) Output'!S$124, 'Commodities (Facility) Input'!$CB$21:$CR$21, 0), FALSE))</f>
        <v/>
      </c>
      <c r="U145" s="928" t="str">
        <f t="shared" si="49"/>
        <v/>
      </c>
      <c r="V145" s="877" t="str">
        <f t="shared" si="50"/>
        <v/>
      </c>
      <c r="X145" s="856" t="e">
        <f t="shared" si="51"/>
        <v>#DIV/0!</v>
      </c>
      <c r="Y145" s="857" t="e">
        <f t="shared" si="52"/>
        <v>#DIV/0!</v>
      </c>
      <c r="Z145" s="856" t="e">
        <f t="shared" si="53"/>
        <v>#DIV/0!</v>
      </c>
      <c r="AA145" s="856" t="e">
        <f t="shared" si="54"/>
        <v>#DIV/0!</v>
      </c>
      <c r="AD145" s="445"/>
      <c r="AE145" s="449"/>
      <c r="AF145" s="447"/>
    </row>
    <row r="146" spans="2:60" ht="15.75" thickBot="1" x14ac:dyDescent="0.3">
      <c r="B146" s="1588"/>
      <c r="C146" s="277" t="str">
        <f>'Commodities (Clients) Input'!C43</f>
        <v>MJF (Jours fixes)</v>
      </c>
      <c r="D146" s="56" t="str">
        <f>IF(D$124="", "", VLOOKUP($C146, 'Commodities (Facility) Input'!$CB$23:$CR$46, MATCH('Commodities (Facility) Output'!D$124, 'Commodities (Facility) Input'!$CB$21:$CR$21, 0), FALSE))</f>
        <v/>
      </c>
      <c r="E146" s="57" t="str">
        <f>IF(E$124="", "", VLOOKUP($C146, 'Commodities (Facility) Input'!$CB$23:$CR$46, MATCH('Commodities (Facility) Output'!E$124, 'Commodities (Facility) Input'!$CB$21:$CR$21, 0), FALSE))</f>
        <v/>
      </c>
      <c r="F146" s="57" t="str">
        <f>IF(F$124="", "", VLOOKUP($C146, 'Commodities (Facility) Input'!$CB$23:$CR$46, MATCH('Commodities (Facility) Output'!F$124, 'Commodities (Facility) Input'!$CB$21:$CR$21, 0), FALSE))</f>
        <v/>
      </c>
      <c r="G146" s="57" t="str">
        <f>IF(G$124="", "", VLOOKUP($C146, 'Commodities (Facility) Input'!$CB$23:$CR$46, MATCH('Commodities (Facility) Output'!G$124, 'Commodities (Facility) Input'!$CB$21:$CR$21, 0), FALSE))</f>
        <v/>
      </c>
      <c r="H146" s="57" t="str">
        <f>IF(H$124="", "", VLOOKUP($C146, 'Commodities (Facility) Input'!$CB$23:$CR$46, MATCH('Commodities (Facility) Output'!H$124, 'Commodities (Facility) Input'!$CB$21:$CR$21, 0), FALSE))</f>
        <v/>
      </c>
      <c r="I146" s="57" t="str">
        <f>IF(I$124="", "", VLOOKUP($C146, 'Commodities (Facility) Input'!$CB$23:$CR$46, MATCH('Commodities (Facility) Output'!I$124, 'Commodities (Facility) Input'!$CB$21:$CR$21, 0), FALSE))</f>
        <v/>
      </c>
      <c r="J146" s="57" t="str">
        <f>IF(J$124="", "", VLOOKUP($C146, 'Commodities (Facility) Input'!$CB$23:$CR$46, MATCH('Commodities (Facility) Output'!J$124, 'Commodities (Facility) Input'!$CB$21:$CR$21, 0), FALSE))</f>
        <v/>
      </c>
      <c r="K146" s="57" t="str">
        <f>IF(K$124="", "", VLOOKUP($C146, 'Commodities (Facility) Input'!$CB$23:$CR$46, MATCH('Commodities (Facility) Output'!K$124, 'Commodities (Facility) Input'!$CB$21:$CR$21, 0), FALSE))</f>
        <v/>
      </c>
      <c r="L146" s="57" t="str">
        <f>IF(L$124="", "", VLOOKUP($C146, 'Commodities (Facility) Input'!$CB$23:$CR$46, MATCH('Commodities (Facility) Output'!L$124, 'Commodities (Facility) Input'!$CB$21:$CR$21, 0), FALSE))</f>
        <v/>
      </c>
      <c r="M146" s="58" t="str">
        <f>IF(M$124="", "", VLOOKUP($C146, 'Commodities (Facility) Input'!$CB$23:$CR$46, MATCH('Commodities (Facility) Output'!M$124, 'Commodities (Facility) Input'!$CB$21:$CR$21, 0), FALSE))</f>
        <v/>
      </c>
      <c r="N146" s="58" t="str">
        <f>IF(N$124="", "", VLOOKUP($C146, 'Commodities (Facility) Input'!$CB$23:$CR$46, MATCH('Commodities (Facility) Output'!N$124, 'Commodities (Facility) Input'!$CB$21:$CR$21, 0), FALSE))</f>
        <v/>
      </c>
      <c r="O146" s="58" t="str">
        <f>IF(O$124="", "", VLOOKUP($C146, 'Commodities (Facility) Input'!$CB$23:$CR$46, MATCH('Commodities (Facility) Output'!O$124, 'Commodities (Facility) Input'!$CB$21:$CR$21, 0), FALSE))</f>
        <v/>
      </c>
      <c r="P146" s="58" t="str">
        <f>IF(P$124="", "", VLOOKUP($C146, 'Commodities (Facility) Input'!$CB$23:$CR$46, MATCH('Commodities (Facility) Output'!P$124, 'Commodities (Facility) Input'!$CB$21:$CR$21, 0), FALSE))</f>
        <v/>
      </c>
      <c r="Q146" s="58" t="str">
        <f>IF(Q$124="", "", VLOOKUP($C146, 'Commodities (Facility) Input'!$CB$23:$CR$46, MATCH('Commodities (Facility) Output'!Q$124, 'Commodities (Facility) Input'!$CB$21:$CR$21, 0), FALSE))</f>
        <v/>
      </c>
      <c r="R146" s="58" t="str">
        <f>IF(R$124="", "", VLOOKUP($C146, 'Commodities (Facility) Input'!$CB$23:$CR$46, MATCH('Commodities (Facility) Output'!R$124, 'Commodities (Facility) Input'!$CB$21:$CR$21, 0), FALSE))</f>
        <v/>
      </c>
      <c r="S146" s="59" t="str">
        <f>IF(S$124="", "", VLOOKUP($C146, 'Commodities (Facility) Input'!$CB$23:$CR$46, MATCH('Commodities (Facility) Output'!S$124, 'Commodities (Facility) Input'!$CB$21:$CR$21, 0), FALSE))</f>
        <v/>
      </c>
      <c r="U146" s="928" t="str">
        <f t="shared" si="49"/>
        <v/>
      </c>
      <c r="V146" s="877" t="str">
        <f t="shared" si="50"/>
        <v/>
      </c>
      <c r="X146" s="856" t="e">
        <f t="shared" si="51"/>
        <v>#DIV/0!</v>
      </c>
      <c r="Y146" s="857" t="e">
        <f t="shared" si="52"/>
        <v>#DIV/0!</v>
      </c>
      <c r="Z146" s="856" t="e">
        <f t="shared" si="53"/>
        <v>#DIV/0!</v>
      </c>
      <c r="AA146" s="856" t="e">
        <f t="shared" si="54"/>
        <v>#DIV/0!</v>
      </c>
      <c r="AD146" s="445"/>
      <c r="AE146" s="449"/>
      <c r="AF146" s="447"/>
    </row>
    <row r="147" spans="2:60" ht="15.75" thickBot="1" x14ac:dyDescent="0.3">
      <c r="B147" s="1588"/>
      <c r="C147" s="277" t="str">
        <f>'Commodities (Clients) Input'!C44</f>
        <v>Barrière vaginale</v>
      </c>
      <c r="D147" s="56" t="str">
        <f>IF(D$124="", "", VLOOKUP($C147, 'Commodities (Facility) Input'!$CB$23:$CR$46, MATCH('Commodities (Facility) Output'!D$124, 'Commodities (Facility) Input'!$CB$21:$CR$21, 0), FALSE))</f>
        <v/>
      </c>
      <c r="E147" s="57" t="str">
        <f>IF(E$124="", "", VLOOKUP($C147, 'Commodities (Facility) Input'!$CB$23:$CR$46, MATCH('Commodities (Facility) Output'!E$124, 'Commodities (Facility) Input'!$CB$21:$CR$21, 0), FALSE))</f>
        <v/>
      </c>
      <c r="F147" s="57" t="str">
        <f>IF(F$124="", "", VLOOKUP($C147, 'Commodities (Facility) Input'!$CB$23:$CR$46, MATCH('Commodities (Facility) Output'!F$124, 'Commodities (Facility) Input'!$CB$21:$CR$21, 0), FALSE))</f>
        <v/>
      </c>
      <c r="G147" s="57" t="str">
        <f>IF(G$124="", "", VLOOKUP($C147, 'Commodities (Facility) Input'!$CB$23:$CR$46, MATCH('Commodities (Facility) Output'!G$124, 'Commodities (Facility) Input'!$CB$21:$CR$21, 0), FALSE))</f>
        <v/>
      </c>
      <c r="H147" s="57" t="str">
        <f>IF(H$124="", "", VLOOKUP($C147, 'Commodities (Facility) Input'!$CB$23:$CR$46, MATCH('Commodities (Facility) Output'!H$124, 'Commodities (Facility) Input'!$CB$21:$CR$21, 0), FALSE))</f>
        <v/>
      </c>
      <c r="I147" s="57" t="str">
        <f>IF(I$124="", "", VLOOKUP($C147, 'Commodities (Facility) Input'!$CB$23:$CR$46, MATCH('Commodities (Facility) Output'!I$124, 'Commodities (Facility) Input'!$CB$21:$CR$21, 0), FALSE))</f>
        <v/>
      </c>
      <c r="J147" s="57" t="str">
        <f>IF(J$124="", "", VLOOKUP($C147, 'Commodities (Facility) Input'!$CB$23:$CR$46, MATCH('Commodities (Facility) Output'!J$124, 'Commodities (Facility) Input'!$CB$21:$CR$21, 0), FALSE))</f>
        <v/>
      </c>
      <c r="K147" s="57" t="str">
        <f>IF(K$124="", "", VLOOKUP($C147, 'Commodities (Facility) Input'!$CB$23:$CR$46, MATCH('Commodities (Facility) Output'!K$124, 'Commodities (Facility) Input'!$CB$21:$CR$21, 0), FALSE))</f>
        <v/>
      </c>
      <c r="L147" s="57" t="str">
        <f>IF(L$124="", "", VLOOKUP($C147, 'Commodities (Facility) Input'!$CB$23:$CR$46, MATCH('Commodities (Facility) Output'!L$124, 'Commodities (Facility) Input'!$CB$21:$CR$21, 0), FALSE))</f>
        <v/>
      </c>
      <c r="M147" s="58" t="str">
        <f>IF(M$124="", "", VLOOKUP($C147, 'Commodities (Facility) Input'!$CB$23:$CR$46, MATCH('Commodities (Facility) Output'!M$124, 'Commodities (Facility) Input'!$CB$21:$CR$21, 0), FALSE))</f>
        <v/>
      </c>
      <c r="N147" s="58" t="str">
        <f>IF(N$124="", "", VLOOKUP($C147, 'Commodities (Facility) Input'!$CB$23:$CR$46, MATCH('Commodities (Facility) Output'!N$124, 'Commodities (Facility) Input'!$CB$21:$CR$21, 0), FALSE))</f>
        <v/>
      </c>
      <c r="O147" s="58" t="str">
        <f>IF(O$124="", "", VLOOKUP($C147, 'Commodities (Facility) Input'!$CB$23:$CR$46, MATCH('Commodities (Facility) Output'!O$124, 'Commodities (Facility) Input'!$CB$21:$CR$21, 0), FALSE))</f>
        <v/>
      </c>
      <c r="P147" s="58" t="str">
        <f>IF(P$124="", "", VLOOKUP($C147, 'Commodities (Facility) Input'!$CB$23:$CR$46, MATCH('Commodities (Facility) Output'!P$124, 'Commodities (Facility) Input'!$CB$21:$CR$21, 0), FALSE))</f>
        <v/>
      </c>
      <c r="Q147" s="58" t="str">
        <f>IF(Q$124="", "", VLOOKUP($C147, 'Commodities (Facility) Input'!$CB$23:$CR$46, MATCH('Commodities (Facility) Output'!Q$124, 'Commodities (Facility) Input'!$CB$21:$CR$21, 0), FALSE))</f>
        <v/>
      </c>
      <c r="R147" s="58" t="str">
        <f>IF(R$124="", "", VLOOKUP($C147, 'Commodities (Facility) Input'!$CB$23:$CR$46, MATCH('Commodities (Facility) Output'!R$124, 'Commodities (Facility) Input'!$CB$21:$CR$21, 0), FALSE))</f>
        <v/>
      </c>
      <c r="S147" s="59" t="str">
        <f>IF(S$124="", "", VLOOKUP($C147, 'Commodities (Facility) Input'!$CB$23:$CR$46, MATCH('Commodities (Facility) Output'!S$124, 'Commodities (Facility) Input'!$CB$21:$CR$21, 0), FALSE))</f>
        <v/>
      </c>
      <c r="U147" s="928" t="str">
        <f t="shared" si="49"/>
        <v/>
      </c>
      <c r="V147" s="877" t="str">
        <f t="shared" si="50"/>
        <v/>
      </c>
      <c r="X147" s="856" t="e">
        <f t="shared" si="51"/>
        <v>#DIV/0!</v>
      </c>
      <c r="Y147" s="857" t="e">
        <f t="shared" si="52"/>
        <v>#DIV/0!</v>
      </c>
      <c r="Z147" s="856" t="e">
        <f t="shared" si="53"/>
        <v>#DIV/0!</v>
      </c>
      <c r="AA147" s="856" t="e">
        <f t="shared" si="54"/>
        <v>#DIV/0!</v>
      </c>
      <c r="AD147" s="445"/>
      <c r="AE147" s="449"/>
      <c r="AF147" s="447"/>
    </row>
    <row r="148" spans="2:60" ht="15.75" thickBot="1" x14ac:dyDescent="0.3">
      <c r="B148" s="1589"/>
      <c r="C148" s="275" t="str">
        <f>'Commodities (Clients) Input'!C45</f>
        <v>Spermicides</v>
      </c>
      <c r="D148" s="60" t="str">
        <f>IF(D$124="", "", VLOOKUP($C148, 'Commodities (Facility) Input'!$CB$23:$CR$46, MATCH('Commodities (Facility) Output'!D$124, 'Commodities (Facility) Input'!$CB$21:$CR$21, 0), FALSE))</f>
        <v/>
      </c>
      <c r="E148" s="61" t="str">
        <f>IF(E$124="", "", VLOOKUP($C148, 'Commodities (Facility) Input'!$CB$23:$CR$46, MATCH('Commodities (Facility) Output'!E$124, 'Commodities (Facility) Input'!$CB$21:$CR$21, 0), FALSE))</f>
        <v/>
      </c>
      <c r="F148" s="61" t="str">
        <f>IF(F$124="", "", VLOOKUP($C148, 'Commodities (Facility) Input'!$CB$23:$CR$46, MATCH('Commodities (Facility) Output'!F$124, 'Commodities (Facility) Input'!$CB$21:$CR$21, 0), FALSE))</f>
        <v/>
      </c>
      <c r="G148" s="61" t="str">
        <f>IF(G$124="", "", VLOOKUP($C148, 'Commodities (Facility) Input'!$CB$23:$CR$46, MATCH('Commodities (Facility) Output'!G$124, 'Commodities (Facility) Input'!$CB$21:$CR$21, 0), FALSE))</f>
        <v/>
      </c>
      <c r="H148" s="61" t="str">
        <f>IF(H$124="", "", VLOOKUP($C148, 'Commodities (Facility) Input'!$CB$23:$CR$46, MATCH('Commodities (Facility) Output'!H$124, 'Commodities (Facility) Input'!$CB$21:$CR$21, 0), FALSE))</f>
        <v/>
      </c>
      <c r="I148" s="61" t="str">
        <f>IF(I$124="", "", VLOOKUP($C148, 'Commodities (Facility) Input'!$CB$23:$CR$46, MATCH('Commodities (Facility) Output'!I$124, 'Commodities (Facility) Input'!$CB$21:$CR$21, 0), FALSE))</f>
        <v/>
      </c>
      <c r="J148" s="61" t="str">
        <f>IF(J$124="", "", VLOOKUP($C148, 'Commodities (Facility) Input'!$CB$23:$CR$46, MATCH('Commodities (Facility) Output'!J$124, 'Commodities (Facility) Input'!$CB$21:$CR$21, 0), FALSE))</f>
        <v/>
      </c>
      <c r="K148" s="61" t="str">
        <f>IF(K$124="", "", VLOOKUP($C148, 'Commodities (Facility) Input'!$CB$23:$CR$46, MATCH('Commodities (Facility) Output'!K$124, 'Commodities (Facility) Input'!$CB$21:$CR$21, 0), FALSE))</f>
        <v/>
      </c>
      <c r="L148" s="61" t="str">
        <f>IF(L$124="", "", VLOOKUP($C148, 'Commodities (Facility) Input'!$CB$23:$CR$46, MATCH('Commodities (Facility) Output'!L$124, 'Commodities (Facility) Input'!$CB$21:$CR$21, 0), FALSE))</f>
        <v/>
      </c>
      <c r="M148" s="62" t="str">
        <f>IF(M$124="", "", VLOOKUP($C148, 'Commodities (Facility) Input'!$CB$23:$CR$46, MATCH('Commodities (Facility) Output'!M$124, 'Commodities (Facility) Input'!$CB$21:$CR$21, 0), FALSE))</f>
        <v/>
      </c>
      <c r="N148" s="62" t="str">
        <f>IF(N$124="", "", VLOOKUP($C148, 'Commodities (Facility) Input'!$CB$23:$CR$46, MATCH('Commodities (Facility) Output'!N$124, 'Commodities (Facility) Input'!$CB$21:$CR$21, 0), FALSE))</f>
        <v/>
      </c>
      <c r="O148" s="62" t="str">
        <f>IF(O$124="", "", VLOOKUP($C148, 'Commodities (Facility) Input'!$CB$23:$CR$46, MATCH('Commodities (Facility) Output'!O$124, 'Commodities (Facility) Input'!$CB$21:$CR$21, 0), FALSE))</f>
        <v/>
      </c>
      <c r="P148" s="62" t="str">
        <f>IF(P$124="", "", VLOOKUP($C148, 'Commodities (Facility) Input'!$CB$23:$CR$46, MATCH('Commodities (Facility) Output'!P$124, 'Commodities (Facility) Input'!$CB$21:$CR$21, 0), FALSE))</f>
        <v/>
      </c>
      <c r="Q148" s="62" t="str">
        <f>IF(Q$124="", "", VLOOKUP($C148, 'Commodities (Facility) Input'!$CB$23:$CR$46, MATCH('Commodities (Facility) Output'!Q$124, 'Commodities (Facility) Input'!$CB$21:$CR$21, 0), FALSE))</f>
        <v/>
      </c>
      <c r="R148" s="62" t="str">
        <f>IF(R$124="", "", VLOOKUP($C148, 'Commodities (Facility) Input'!$CB$23:$CR$46, MATCH('Commodities (Facility) Output'!R$124, 'Commodities (Facility) Input'!$CB$21:$CR$21, 0), FALSE))</f>
        <v/>
      </c>
      <c r="S148" s="63" t="str">
        <f>IF(S$124="", "", VLOOKUP($C148, 'Commodities (Facility) Input'!$CB$23:$CR$46, MATCH('Commodities (Facility) Output'!S$124, 'Commodities (Facility) Input'!$CB$21:$CR$21, 0), FALSE))</f>
        <v/>
      </c>
      <c r="U148" s="928" t="str">
        <f t="shared" si="49"/>
        <v/>
      </c>
      <c r="V148" s="877" t="str">
        <f t="shared" si="50"/>
        <v/>
      </c>
      <c r="X148" s="856" t="e">
        <f t="shared" si="51"/>
        <v>#DIV/0!</v>
      </c>
      <c r="Y148" s="857" t="e">
        <f t="shared" si="52"/>
        <v>#DIV/0!</v>
      </c>
      <c r="Z148" s="856" t="e">
        <f t="shared" si="53"/>
        <v>#DIV/0!</v>
      </c>
      <c r="AA148" s="856" t="e">
        <f t="shared" si="54"/>
        <v>#DIV/0!</v>
      </c>
      <c r="AD148" s="445"/>
      <c r="AE148" s="449"/>
      <c r="AF148" s="447"/>
    </row>
    <row r="149" spans="2:60" ht="32.25" customHeight="1" thickBot="1" x14ac:dyDescent="0.3">
      <c r="B149" s="179" t="str">
        <f>'Commodities (Clients) Input'!B46</f>
        <v>Contraception d'urgence</v>
      </c>
      <c r="C149" s="281" t="str">
        <f>'Commodities (Clients) Input'!C46</f>
        <v>CU</v>
      </c>
      <c r="D149" s="52" t="str">
        <f>IF(D$124="", "", VLOOKUP($C149, 'Commodities (Facility) Input'!$CB$23:$CR$46, MATCH('Commodities (Facility) Output'!D$124, 'Commodities (Facility) Input'!$CB$21:$CR$21, 0), FALSE))</f>
        <v/>
      </c>
      <c r="E149" s="53" t="str">
        <f>IF(E$124="", "", VLOOKUP($C149, 'Commodities (Facility) Input'!$CB$23:$CR$46, MATCH('Commodities (Facility) Output'!E$124, 'Commodities (Facility) Input'!$CB$21:$CR$21, 0), FALSE))</f>
        <v/>
      </c>
      <c r="F149" s="53" t="str">
        <f>IF(F$124="", "", VLOOKUP($C149, 'Commodities (Facility) Input'!$CB$23:$CR$46, MATCH('Commodities (Facility) Output'!F$124, 'Commodities (Facility) Input'!$CB$21:$CR$21, 0), FALSE))</f>
        <v/>
      </c>
      <c r="G149" s="53" t="str">
        <f>IF(G$124="", "", VLOOKUP($C149, 'Commodities (Facility) Input'!$CB$23:$CR$46, MATCH('Commodities (Facility) Output'!G$124, 'Commodities (Facility) Input'!$CB$21:$CR$21, 0), FALSE))</f>
        <v/>
      </c>
      <c r="H149" s="53" t="str">
        <f>IF(H$124="", "", VLOOKUP($C149, 'Commodities (Facility) Input'!$CB$23:$CR$46, MATCH('Commodities (Facility) Output'!H$124, 'Commodities (Facility) Input'!$CB$21:$CR$21, 0), FALSE))</f>
        <v/>
      </c>
      <c r="I149" s="53" t="str">
        <f>IF(I$124="", "", VLOOKUP($C149, 'Commodities (Facility) Input'!$CB$23:$CR$46, MATCH('Commodities (Facility) Output'!I$124, 'Commodities (Facility) Input'!$CB$21:$CR$21, 0), FALSE))</f>
        <v/>
      </c>
      <c r="J149" s="53" t="str">
        <f>IF(J$124="", "", VLOOKUP($C149, 'Commodities (Facility) Input'!$CB$23:$CR$46, MATCH('Commodities (Facility) Output'!J$124, 'Commodities (Facility) Input'!$CB$21:$CR$21, 0), FALSE))</f>
        <v/>
      </c>
      <c r="K149" s="53" t="str">
        <f>IF(K$124="", "", VLOOKUP($C149, 'Commodities (Facility) Input'!$CB$23:$CR$46, MATCH('Commodities (Facility) Output'!K$124, 'Commodities (Facility) Input'!$CB$21:$CR$21, 0), FALSE))</f>
        <v/>
      </c>
      <c r="L149" s="53" t="str">
        <f>IF(L$124="", "", VLOOKUP($C149, 'Commodities (Facility) Input'!$CB$23:$CR$46, MATCH('Commodities (Facility) Output'!L$124, 'Commodities (Facility) Input'!$CB$21:$CR$21, 0), FALSE))</f>
        <v/>
      </c>
      <c r="M149" s="54" t="str">
        <f>IF(M$124="", "", VLOOKUP($C149, 'Commodities (Facility) Input'!$CB$23:$CR$46, MATCH('Commodities (Facility) Output'!M$124, 'Commodities (Facility) Input'!$CB$21:$CR$21, 0), FALSE))</f>
        <v/>
      </c>
      <c r="N149" s="54" t="str">
        <f>IF(N$124="", "", VLOOKUP($C149, 'Commodities (Facility) Input'!$CB$23:$CR$46, MATCH('Commodities (Facility) Output'!N$124, 'Commodities (Facility) Input'!$CB$21:$CR$21, 0), FALSE))</f>
        <v/>
      </c>
      <c r="O149" s="54" t="str">
        <f>IF(O$124="", "", VLOOKUP($C149, 'Commodities (Facility) Input'!$CB$23:$CR$46, MATCH('Commodities (Facility) Output'!O$124, 'Commodities (Facility) Input'!$CB$21:$CR$21, 0), FALSE))</f>
        <v/>
      </c>
      <c r="P149" s="54" t="str">
        <f>IF(P$124="", "", VLOOKUP($C149, 'Commodities (Facility) Input'!$CB$23:$CR$46, MATCH('Commodities (Facility) Output'!P$124, 'Commodities (Facility) Input'!$CB$21:$CR$21, 0), FALSE))</f>
        <v/>
      </c>
      <c r="Q149" s="54" t="str">
        <f>IF(Q$124="", "", VLOOKUP($C149, 'Commodities (Facility) Input'!$CB$23:$CR$46, MATCH('Commodities (Facility) Output'!Q$124, 'Commodities (Facility) Input'!$CB$21:$CR$21, 0), FALSE))</f>
        <v/>
      </c>
      <c r="R149" s="54" t="str">
        <f>IF(R$124="", "", VLOOKUP($C149, 'Commodities (Facility) Input'!$CB$23:$CR$46, MATCH('Commodities (Facility) Output'!R$124, 'Commodities (Facility) Input'!$CB$21:$CR$21, 0), FALSE))</f>
        <v/>
      </c>
      <c r="S149" s="55" t="str">
        <f>IF(S$124="", "", VLOOKUP($C149, 'Commodities (Facility) Input'!$CB$23:$CR$46, MATCH('Commodities (Facility) Output'!S$124, 'Commodities (Facility) Input'!$CB$21:$CR$21, 0), FALSE))</f>
        <v/>
      </c>
      <c r="U149" s="928" t="str">
        <f t="shared" si="49"/>
        <v/>
      </c>
      <c r="V149" s="877" t="str">
        <f t="shared" si="50"/>
        <v/>
      </c>
      <c r="X149" s="856" t="e">
        <f t="shared" si="51"/>
        <v>#DIV/0!</v>
      </c>
      <c r="Y149" s="857" t="e">
        <f t="shared" si="52"/>
        <v>#DIV/0!</v>
      </c>
      <c r="Z149" s="856" t="e">
        <f t="shared" si="53"/>
        <v>#DIV/0!</v>
      </c>
      <c r="AA149" s="856" t="e">
        <f t="shared" si="54"/>
        <v>#DIV/0!</v>
      </c>
      <c r="AD149" s="445"/>
      <c r="AE149" s="449"/>
      <c r="AF149" s="447"/>
    </row>
    <row r="150" spans="2:60" ht="11.25" customHeight="1" thickBot="1" x14ac:dyDescent="0.3">
      <c r="C150"/>
      <c r="U150" s="876"/>
      <c r="AD150" s="445"/>
      <c r="AE150" s="449"/>
      <c r="AF150" s="447"/>
    </row>
    <row r="151" spans="2:60" s="188" customFormat="1" ht="19.5" thickBot="1" x14ac:dyDescent="0.35">
      <c r="B151" s="1585" t="str">
        <f>IF(Language="English",'Language Look Ups'!O31,IF(Language="Francais", 'Language Look Ups'!S31,'Language Look Ups'!Q31))</f>
        <v>Estimation des Utilisatrices Modernes</v>
      </c>
      <c r="C151" s="1585"/>
      <c r="D151" s="204" t="str">
        <f>IF(D124="", "", IF(SUM(D126:D132,D135:D149)=0, "", SUM(D126:D132,D135:D149)))</f>
        <v/>
      </c>
      <c r="E151" s="204" t="str">
        <f t="shared" ref="E151:S151" si="55">IF(E124="", "", IF(SUM(E126:E132,E135:E149)=0, "", SUM(E126:E132,E135:E149)))</f>
        <v/>
      </c>
      <c r="F151" s="204" t="str">
        <f t="shared" si="55"/>
        <v/>
      </c>
      <c r="G151" s="204" t="str">
        <f t="shared" si="55"/>
        <v/>
      </c>
      <c r="H151" s="204" t="str">
        <f t="shared" si="55"/>
        <v/>
      </c>
      <c r="I151" s="204" t="str">
        <f t="shared" si="55"/>
        <v/>
      </c>
      <c r="J151" s="204" t="str">
        <f t="shared" si="55"/>
        <v/>
      </c>
      <c r="K151" s="204" t="str">
        <f t="shared" si="55"/>
        <v/>
      </c>
      <c r="L151" s="204" t="str">
        <f t="shared" si="55"/>
        <v/>
      </c>
      <c r="M151" s="204" t="str">
        <f t="shared" si="55"/>
        <v/>
      </c>
      <c r="N151" s="204" t="str">
        <f t="shared" si="55"/>
        <v/>
      </c>
      <c r="O151" s="204" t="str">
        <f t="shared" si="55"/>
        <v/>
      </c>
      <c r="P151" s="204" t="str">
        <f t="shared" si="55"/>
        <v/>
      </c>
      <c r="Q151" s="204" t="str">
        <f t="shared" si="55"/>
        <v/>
      </c>
      <c r="R151" s="204" t="str">
        <f t="shared" si="55"/>
        <v/>
      </c>
      <c r="S151" s="204" t="str">
        <f t="shared" si="55"/>
        <v/>
      </c>
      <c r="U151" s="876" t="str">
        <f t="shared" si="49"/>
        <v/>
      </c>
      <c r="V151" s="877" t="str">
        <f>IFERROR(IF(U151="", "", "("&amp;TEXT(AA151, "0,000")&amp;" - "&amp;TEXT(Z151, "0,000")&amp;")"), "")</f>
        <v/>
      </c>
      <c r="W151" s="809"/>
      <c r="X151" s="856" t="e">
        <f t="shared" si="51"/>
        <v>#DIV/0!</v>
      </c>
      <c r="Y151" s="857" t="e">
        <f t="shared" si="52"/>
        <v>#DIV/0!</v>
      </c>
      <c r="Z151" s="856" t="e">
        <f>X151+Y151</f>
        <v>#DIV/0!</v>
      </c>
      <c r="AA151" s="856" t="e">
        <f>X151-Y151</f>
        <v>#DIV/0!</v>
      </c>
      <c r="AD151" s="446"/>
      <c r="AE151" s="450"/>
      <c r="AF151" s="448"/>
      <c r="BH151" s="809"/>
    </row>
    <row r="152" spans="2:60" s="188" customFormat="1" ht="41.25" customHeight="1" thickBot="1" x14ac:dyDescent="0.35">
      <c r="B152" s="1586" t="str">
        <f>IF(Language="English",'Language Look Ups'!O32,IF(Language="Francais", 'Language Look Ups'!S32,'Language Look Ups'!Q32))</f>
        <v>Estimation des Utilisatrices Modernes , exclusion des Préservatifs**</v>
      </c>
      <c r="C152" s="1586"/>
      <c r="D152" s="203" t="str">
        <f>IFERROR(IF(D124="", "",D151-SUM(D143:D144)), "")</f>
        <v/>
      </c>
      <c r="E152" s="203" t="str">
        <f t="shared" ref="E152:S152" si="56">IFERROR(IF(E124="", "",E151-SUM(E143:E144)), "")</f>
        <v/>
      </c>
      <c r="F152" s="203" t="str">
        <f t="shared" si="56"/>
        <v/>
      </c>
      <c r="G152" s="203" t="str">
        <f t="shared" si="56"/>
        <v/>
      </c>
      <c r="H152" s="203" t="str">
        <f t="shared" si="56"/>
        <v/>
      </c>
      <c r="I152" s="203" t="str">
        <f t="shared" si="56"/>
        <v/>
      </c>
      <c r="J152" s="203" t="str">
        <f t="shared" si="56"/>
        <v/>
      </c>
      <c r="K152" s="203" t="str">
        <f t="shared" si="56"/>
        <v/>
      </c>
      <c r="L152" s="203" t="str">
        <f t="shared" si="56"/>
        <v/>
      </c>
      <c r="M152" s="203" t="str">
        <f t="shared" si="56"/>
        <v/>
      </c>
      <c r="N152" s="203" t="str">
        <f t="shared" si="56"/>
        <v/>
      </c>
      <c r="O152" s="203" t="str">
        <f t="shared" si="56"/>
        <v/>
      </c>
      <c r="P152" s="203" t="str">
        <f t="shared" si="56"/>
        <v/>
      </c>
      <c r="Q152" s="203" t="str">
        <f t="shared" si="56"/>
        <v/>
      </c>
      <c r="R152" s="203" t="str">
        <f t="shared" si="56"/>
        <v/>
      </c>
      <c r="S152" s="203" t="str">
        <f t="shared" si="56"/>
        <v/>
      </c>
      <c r="U152" s="876" t="str">
        <f t="shared" si="49"/>
        <v/>
      </c>
      <c r="V152" s="877" t="str">
        <f>IF(U152="", "", "("&amp;TEXT(AA152, "0,000")&amp;" - "&amp;TEXT(Z152, "0,000")&amp;")")</f>
        <v/>
      </c>
      <c r="W152" s="809"/>
      <c r="X152" s="856" t="e">
        <f t="shared" si="51"/>
        <v>#DIV/0!</v>
      </c>
      <c r="Y152" s="857" t="e">
        <f t="shared" si="52"/>
        <v>#DIV/0!</v>
      </c>
      <c r="Z152" s="856" t="e">
        <f>X152+Y152</f>
        <v>#DIV/0!</v>
      </c>
      <c r="AA152" s="856" t="e">
        <f>X152-Y152</f>
        <v>#DIV/0!</v>
      </c>
      <c r="AD152" s="446"/>
      <c r="AE152" s="450"/>
      <c r="AF152" s="448"/>
      <c r="BH152" s="809"/>
    </row>
    <row r="153" spans="2:60" ht="32.25" customHeight="1" x14ac:dyDescent="0.25">
      <c r="B153" s="1566" t="str">
        <f>IF(Language="English", AD153,AF153 )</f>
        <v xml:space="preserve">**Pour calculer l'EUM, l'exclusion des préservatifs est recommandée pour éviter des problèmes éventuels avec les données sur les préservatifs liées à une utilisation d'une double méthode , les difficultés liées à l'estimation des utilisatrices à partir des données sur les préservatifs et parce que dans de nombreux pays, les préservatifs sont généralement accédés par le secteur privé.   </v>
      </c>
      <c r="C153" s="1566"/>
      <c r="D153" s="1566"/>
      <c r="E153" s="1566"/>
      <c r="F153" s="1566"/>
      <c r="G153" s="1566"/>
      <c r="H153" s="1566"/>
      <c r="I153" s="1566"/>
      <c r="J153" s="1566"/>
      <c r="K153" s="1566"/>
      <c r="L153" s="1566"/>
      <c r="M153" s="1566"/>
      <c r="N153" s="1566"/>
      <c r="O153" s="1566"/>
      <c r="P153" s="1566"/>
      <c r="Q153" s="1566"/>
      <c r="R153" s="1566"/>
      <c r="S153" s="1566"/>
      <c r="AD153" s="445" t="s">
        <v>584</v>
      </c>
      <c r="AE153" s="449"/>
      <c r="AF153" s="447" t="s">
        <v>2437</v>
      </c>
    </row>
  </sheetData>
  <mergeCells count="59">
    <mergeCell ref="X123:X125"/>
    <mergeCell ref="Y123:Y125"/>
    <mergeCell ref="Z123:Z125"/>
    <mergeCell ref="AA123:AA125"/>
    <mergeCell ref="B63:U63"/>
    <mergeCell ref="B64:I64"/>
    <mergeCell ref="K64:U64"/>
    <mergeCell ref="K65:N65"/>
    <mergeCell ref="B66:I66"/>
    <mergeCell ref="B67:I67"/>
    <mergeCell ref="K67:U67"/>
    <mergeCell ref="B68:I68"/>
    <mergeCell ref="K68:U68"/>
    <mergeCell ref="K81:U81"/>
    <mergeCell ref="B83:I83"/>
    <mergeCell ref="B84:I84"/>
    <mergeCell ref="B153:S153"/>
    <mergeCell ref="B88:I88"/>
    <mergeCell ref="K88:U88"/>
    <mergeCell ref="K90:U90"/>
    <mergeCell ref="L91:V91"/>
    <mergeCell ref="B121:S121"/>
    <mergeCell ref="U123:U124"/>
    <mergeCell ref="V123:V124"/>
    <mergeCell ref="B152:C152"/>
    <mergeCell ref="B89:I89"/>
    <mergeCell ref="K89:U89"/>
    <mergeCell ref="B98:S98"/>
    <mergeCell ref="C106:H107"/>
    <mergeCell ref="B151:C151"/>
    <mergeCell ref="B135:B139"/>
    <mergeCell ref="B140:B142"/>
    <mergeCell ref="B143:B144"/>
    <mergeCell ref="B145:B148"/>
    <mergeCell ref="B128:B129"/>
    <mergeCell ref="B130:B132"/>
    <mergeCell ref="B3:U3"/>
    <mergeCell ref="L106:R107"/>
    <mergeCell ref="B123:C124"/>
    <mergeCell ref="B85:I85"/>
    <mergeCell ref="K85:U85"/>
    <mergeCell ref="B90:I90"/>
    <mergeCell ref="B79:I79"/>
    <mergeCell ref="K79:U79"/>
    <mergeCell ref="B87:I87"/>
    <mergeCell ref="K87:U87"/>
    <mergeCell ref="B81:I81"/>
    <mergeCell ref="B75:I75"/>
    <mergeCell ref="K75:U75"/>
    <mergeCell ref="B77:I77"/>
    <mergeCell ref="C70:I70"/>
    <mergeCell ref="K69:U69"/>
    <mergeCell ref="B1:V1"/>
    <mergeCell ref="D123:S123"/>
    <mergeCell ref="B126:B127"/>
    <mergeCell ref="B78:I78"/>
    <mergeCell ref="K78:U78"/>
    <mergeCell ref="K76:N76"/>
    <mergeCell ref="K84:U84"/>
  </mergeCells>
  <conditionalFormatting sqref="D126:S132">
    <cfRule type="containsBlanks" dxfId="143" priority="4">
      <formula>LEN(TRIM(D126))=0</formula>
    </cfRule>
    <cfRule type="cellIs" dxfId="142" priority="5" operator="greaterThan">
      <formula>$Z126</formula>
    </cfRule>
    <cfRule type="cellIs" dxfId="141" priority="6" operator="lessThan">
      <formula>$AA126</formula>
    </cfRule>
  </conditionalFormatting>
  <conditionalFormatting sqref="D135:S149">
    <cfRule type="containsBlanks" dxfId="140" priority="1">
      <formula>LEN(TRIM(D135))=0</formula>
    </cfRule>
    <cfRule type="cellIs" dxfId="139" priority="2" operator="greaterThan">
      <formula>$Z135</formula>
    </cfRule>
    <cfRule type="cellIs" dxfId="138" priority="3" operator="lessThan">
      <formula>$AA135</formula>
    </cfRule>
  </conditionalFormatting>
  <dataValidations count="2">
    <dataValidation type="list" allowBlank="1" showInputMessage="1" showErrorMessage="1" sqref="C99" xr:uid="{3704BD41-A666-4B3E-9BA8-9D31293DACA3}">
      <formula1>$AC$98:$AC$99</formula1>
    </dataValidation>
    <dataValidation type="list" allowBlank="1" showInputMessage="1" showErrorMessage="1" sqref="O76 O65" xr:uid="{B60FA058-5AA3-4096-BB6F-38601A76665A}">
      <formula1>Year_C2F</formula1>
    </dataValidation>
  </dataValidations>
  <hyperlinks>
    <hyperlink ref="C106:H107" location="'Visits Input'!A1" tooltip="Set Up" display="'Visits Input'!A1" xr:uid="{76AE9A20-89C0-4B96-BCE2-946A4A4137AB}"/>
    <hyperlink ref="L106:R107" location="'&quot;EMU&quot; Output'!A1" tooltip="EMU Review" display="Go to Final EMU Review" xr:uid="{0EBD22D9-30B2-4F0D-B4AA-B0F798A7A6B1}"/>
    <hyperlink ref="C70:F70" location="'4. FPSource Set Up'!A1" display="Return to FP Source Set Up to review Private Sector Adjustment" xr:uid="{E6E54281-EE19-4F4C-8F42-5C1AC20951F3}"/>
    <hyperlink ref="C70:I70" location="'4. FPSource Set Up'!A1" tooltip="Return to Set-Up Step 4" display="Return to FP Source Set Up to review Private Sector Adjustment" xr:uid="{59116DC7-A508-4A1D-811C-DC13C6D78C43}"/>
  </hyperlinks>
  <pageMargins left="0.7" right="0.7" top="0.75" bottom="0.75" header="0.3" footer="0.3"/>
  <pageSetup orientation="portrait"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theme="8"/>
    <pageSetUpPr autoPageBreaks="0"/>
  </sheetPr>
  <dimension ref="A1:EY184"/>
  <sheetViews>
    <sheetView showGridLines="0" zoomScale="70" zoomScaleNormal="70" workbookViewId="0">
      <selection activeCell="G32" sqref="G32:R46"/>
    </sheetView>
  </sheetViews>
  <sheetFormatPr defaultRowHeight="15" outlineLevelRow="1" x14ac:dyDescent="0.25"/>
  <cols>
    <col min="1" max="1" width="4.42578125" customWidth="1"/>
    <col min="2" max="2" width="25.140625" customWidth="1"/>
    <col min="3" max="3" width="30.5703125" customWidth="1"/>
    <col min="4" max="4" width="13.42578125" customWidth="1"/>
    <col min="5" max="5" width="21.5703125" hidden="1" customWidth="1"/>
    <col min="6" max="6" width="17.7109375" customWidth="1"/>
    <col min="7" max="22" width="13.85546875" customWidth="1"/>
    <col min="23" max="26" width="5.5703125" customWidth="1"/>
    <col min="27" max="27" width="22.42578125" customWidth="1"/>
    <col min="28" max="43" width="8.42578125" customWidth="1"/>
    <col min="44" max="44" width="19.7109375" customWidth="1"/>
    <col min="45" max="45" width="11.28515625" customWidth="1"/>
    <col min="46" max="46" width="11.140625" customWidth="1"/>
    <col min="47" max="47" width="10.7109375" customWidth="1"/>
    <col min="48" max="48" width="10.5703125" customWidth="1"/>
    <col min="49" max="49" width="9.5703125" customWidth="1"/>
    <col min="50" max="50" width="11" customWidth="1"/>
    <col min="51" max="52" width="9.140625" customWidth="1"/>
    <col min="53" max="55" width="29.5703125" style="184" hidden="1" customWidth="1"/>
    <col min="56" max="59" width="9.140625" hidden="1" customWidth="1"/>
    <col min="60" max="60" width="9.28515625" hidden="1" customWidth="1"/>
    <col min="61" max="61" width="9.28515625" style="180" customWidth="1"/>
    <col min="62" max="62" width="27.7109375" customWidth="1"/>
    <col min="63" max="69" width="11.5703125" customWidth="1"/>
    <col min="70" max="77" width="10.140625" customWidth="1"/>
    <col min="78" max="79" width="9.140625" customWidth="1"/>
    <col min="80" max="80" width="21.42578125" customWidth="1"/>
    <col min="87" max="96" width="11.85546875" customWidth="1"/>
    <col min="98" max="98" width="21.42578125" customWidth="1"/>
    <col min="105" max="115" width="11.85546875" customWidth="1"/>
    <col min="117" max="117" width="36" bestFit="1" customWidth="1"/>
    <col min="130" max="133" width="12.5703125" customWidth="1"/>
    <col min="134" max="135" width="13.28515625" customWidth="1"/>
    <col min="138" max="138" width="36" bestFit="1" customWidth="1"/>
  </cols>
  <sheetData>
    <row r="1" spans="2:128" x14ac:dyDescent="0.25">
      <c r="C1" s="5"/>
    </row>
    <row r="2" spans="2:128" ht="34.5" customHeight="1" x14ac:dyDescent="0.25">
      <c r="B2" s="1512" t="str">
        <f>"Input: "&amp;'3. ServiceStats Set Up'!B25</f>
        <v>Input: Visites de PF</v>
      </c>
      <c r="C2" s="1512"/>
      <c r="D2" s="1512"/>
      <c r="E2" s="1512"/>
      <c r="F2" s="1512"/>
      <c r="G2" s="1512"/>
      <c r="H2" s="1512"/>
      <c r="I2" s="1512"/>
      <c r="J2" s="1512"/>
      <c r="K2" s="1512"/>
      <c r="L2" s="1512"/>
      <c r="M2" s="1512"/>
      <c r="N2" s="1512"/>
      <c r="O2" s="1512"/>
      <c r="P2" s="1512"/>
      <c r="Q2" s="1512"/>
      <c r="R2" s="1512"/>
      <c r="S2" s="1512"/>
      <c r="T2" s="1512"/>
      <c r="U2" s="1512"/>
      <c r="V2" s="1512"/>
      <c r="BA2" s="184" t="s">
        <v>628</v>
      </c>
      <c r="BB2" s="184" t="s">
        <v>656</v>
      </c>
      <c r="BC2" s="184" t="s">
        <v>740</v>
      </c>
    </row>
    <row r="3" spans="2:128" ht="28.5" x14ac:dyDescent="0.45">
      <c r="B3" s="272" t="str">
        <f>IF('2. Pop_Prev Set Up'!$W$2="Yes", '2. Pop_Prev Set Up'!$W$1&amp;" : "&amp;'2. Pop_Prev Set Up'!$W$3, '2. Pop_Prev Set Up'!$W$1&amp;" : "&amp;"National")</f>
        <v>0 : National</v>
      </c>
    </row>
    <row r="4" spans="2:128" ht="21" hidden="1" customHeight="1" x14ac:dyDescent="0.35">
      <c r="B4" s="231"/>
    </row>
    <row r="5" spans="2:128" ht="19.5" customHeight="1" x14ac:dyDescent="0.25">
      <c r="P5" s="1520" t="str">
        <f>IF(Language="English", BA5, BC5)</f>
        <v>Passer ce type de données</v>
      </c>
      <c r="Q5" s="1520"/>
      <c r="R5" s="1520"/>
      <c r="BA5" s="184" t="s">
        <v>935</v>
      </c>
      <c r="BC5" s="184" t="s">
        <v>936</v>
      </c>
      <c r="DN5" s="1" t="s">
        <v>285</v>
      </c>
      <c r="DO5" s="1" t="s">
        <v>286</v>
      </c>
      <c r="DP5" s="1" t="s">
        <v>287</v>
      </c>
      <c r="DQ5" s="1" t="s">
        <v>288</v>
      </c>
      <c r="DR5" s="1" t="s">
        <v>289</v>
      </c>
      <c r="DS5" s="1" t="s">
        <v>290</v>
      </c>
      <c r="DT5" s="1" t="s">
        <v>291</v>
      </c>
      <c r="DU5" s="1" t="s">
        <v>292</v>
      </c>
      <c r="DV5" s="1" t="s">
        <v>293</v>
      </c>
      <c r="DW5" s="1" t="s">
        <v>294</v>
      </c>
      <c r="DX5" s="1" t="s">
        <v>295</v>
      </c>
    </row>
    <row r="6" spans="2:128" ht="27" thickBot="1" x14ac:dyDescent="0.45">
      <c r="B6" s="243" t="str">
        <f>IF(Language="English", BA6, BC6)</f>
        <v>ÉTAPE 1 of 3. SAISIR LES TAUX DE COMPLÉTUDE</v>
      </c>
      <c r="C6" s="232"/>
      <c r="D6" s="232"/>
      <c r="E6" s="232"/>
      <c r="F6" s="232"/>
      <c r="G6" s="232"/>
      <c r="H6" s="232"/>
      <c r="I6" s="232"/>
      <c r="J6" s="232"/>
      <c r="K6" s="232"/>
      <c r="L6" s="232"/>
      <c r="M6" s="232"/>
      <c r="N6" s="232"/>
      <c r="O6" s="232"/>
      <c r="P6" s="232"/>
      <c r="Q6" s="232"/>
      <c r="R6" s="232"/>
      <c r="S6" s="232"/>
      <c r="T6" s="232"/>
      <c r="U6" s="232"/>
      <c r="V6" s="232"/>
      <c r="BA6" s="184" t="s">
        <v>1277</v>
      </c>
      <c r="BC6" s="184" t="s">
        <v>1130</v>
      </c>
      <c r="DL6" s="1484" t="s">
        <v>5</v>
      </c>
      <c r="DM6" s="388" t="s">
        <v>2032</v>
      </c>
      <c r="DN6" s="346">
        <f>VLOOKUP($DM6, Assumptions!$C$36:$N$42, MATCH(DN$5,Assumptions!$C$36:$N$36, 0), FALSE)</f>
        <v>1</v>
      </c>
      <c r="DO6" s="346">
        <f>VLOOKUP($DM6, Assumptions!$C$36:$N$42, MATCH(DO$5,Assumptions!$C$36:$N$36, 0), FALSE)</f>
        <v>0.83978886799999997</v>
      </c>
      <c r="DP6" s="346">
        <f>VLOOKUP($DM6, Assumptions!$C$36:$N$42, MATCH(DP$5,Assumptions!$C$36:$N$36, 0), FALSE)</f>
        <v>0.70524534299999997</v>
      </c>
      <c r="DQ6" s="346">
        <f>VLOOKUP($DM6, Assumptions!$C$36:$N$42, MATCH(DQ$5,Assumptions!$C$36:$N$36, 0), FALSE)</f>
        <v>0.59225718800000005</v>
      </c>
      <c r="DR6" s="346">
        <f>VLOOKUP($DM6, Assumptions!$C$36:$N$42, MATCH(DR$5,Assumptions!$C$36:$N$36, 0), FALSE)</f>
        <v>0.49737099400000001</v>
      </c>
      <c r="DS6" s="346">
        <f>VLOOKUP($DM6, Assumptions!$C$36:$N$42, MATCH(DS$5,Assumptions!$C$36:$N$36, 0), FALSE)</f>
        <v>0.41768662400000001</v>
      </c>
      <c r="DT6" s="346">
        <f>VLOOKUP($DM6, Assumptions!$C$36:$N$42, MATCH(DT$5,Assumptions!$C$36:$N$36, 0), FALSE)</f>
        <v>0.35076857700000003</v>
      </c>
      <c r="DU6" s="346">
        <f>VLOOKUP($DM6, Assumptions!$C$36:$N$42, MATCH(DU$5,Assumptions!$C$36:$N$36, 0), FALSE)</f>
        <v>0.29457154600000002</v>
      </c>
      <c r="DV6" s="346">
        <f>VLOOKUP($DM6, Assumptions!$C$36:$N$42, MATCH(DV$5,Assumptions!$C$36:$N$36, 0), FALSE)</f>
        <v>0.24737790500000001</v>
      </c>
      <c r="DW6" s="346">
        <f>VLOOKUP($DM6, Assumptions!$C$36:$N$42, MATCH(DW$5,Assumptions!$C$36:$N$36, 0), FALSE)</f>
        <v>0.20774521100000001</v>
      </c>
      <c r="DX6" s="346">
        <f>VLOOKUP($DM6, Assumptions!$C$36:$N$42, MATCH(DX$5,Assumptions!$C$36:$N$36, 0), FALSE)</f>
        <v>0.16735418915404954</v>
      </c>
    </row>
    <row r="7" spans="2:128" ht="15.75" x14ac:dyDescent="0.25">
      <c r="B7" s="103" t="str">
        <f>IF(Language="English", BA7, BC7)</f>
        <v>Saisissez les taux de complétude pour chaque année des données disponibles. Examinez si les taux de complétude sont assez élevés et cohérents pour utiliser les données.</v>
      </c>
      <c r="BA7" s="103" t="s">
        <v>1278</v>
      </c>
      <c r="BC7" s="103" t="s">
        <v>1131</v>
      </c>
      <c r="DL7" s="1485"/>
      <c r="DM7" s="388" t="s">
        <v>2031</v>
      </c>
      <c r="DN7" s="346">
        <f>VLOOKUP($DM7, Assumptions!$C$36:$N$42, MATCH(DN$5,Assumptions!$C$36:$N$36, 0), FALSE)</f>
        <v>1</v>
      </c>
      <c r="DO7" s="346">
        <f>VLOOKUP($DM7, Assumptions!$C$36:$N$42, MATCH(DO$5,Assumptions!$C$36:$N$36, 0), FALSE)</f>
        <v>0.89093513267927982</v>
      </c>
      <c r="DP7" s="346">
        <f>VLOOKUP($DM7, Assumptions!$C$36:$N$42, MATCH(DP$5,Assumptions!$C$36:$N$36, 0), FALSE)</f>
        <v>0.79376541064224604</v>
      </c>
      <c r="DQ7" s="346">
        <f>VLOOKUP($DM7, Assumptions!$C$36:$N$42, MATCH(DQ$5,Assumptions!$C$36:$N$36, 0), FALSE)</f>
        <v>0.70719349144677257</v>
      </c>
      <c r="DR7" s="346">
        <f>VLOOKUP($DM7, Assumptions!$C$36:$N$42, MATCH(DR$5,Assumptions!$C$36:$N$36, 0), FALSE)</f>
        <v>0.63006352713205349</v>
      </c>
      <c r="DS7" s="346">
        <f>VLOOKUP($DM7, Assumptions!$C$36:$N$42, MATCH(DS$5,Assumptions!$C$36:$N$36, 0), FALSE)</f>
        <v>0.56134573214177108</v>
      </c>
      <c r="DT7" s="346">
        <f>VLOOKUP($DM7, Assumptions!$C$36:$N$42, MATCH(DT$5,Assumptions!$C$36:$N$36, 0), FALSE)</f>
        <v>0.5001226343446763</v>
      </c>
      <c r="DU7" s="346">
        <f>VLOOKUP($DM7, Assumptions!$C$36:$N$42, MATCH(DU$5,Assumptions!$C$36:$N$36, 0), FALSE)</f>
        <v>0.44557682558578521</v>
      </c>
      <c r="DV7" s="346">
        <f>VLOOKUP($DM7, Assumptions!$C$36:$N$42, MATCH(DV$5,Assumptions!$C$36:$N$36, 0), FALSE)</f>
        <v>0</v>
      </c>
      <c r="DW7" s="346" t="str">
        <f>VLOOKUP($DM7, Assumptions!$C$36:$N$42, MATCH(DW$5,Assumptions!$C$36:$N$36, 0), FALSE)</f>
        <v xml:space="preserve"> </v>
      </c>
      <c r="DX7" s="346" t="str">
        <f>VLOOKUP($DM7, Assumptions!$C$36:$N$42, MATCH(DX$5,Assumptions!$C$36:$N$36, 0), FALSE)</f>
        <v xml:space="preserve"> </v>
      </c>
    </row>
    <row r="8" spans="2:128" ht="15.75" x14ac:dyDescent="0.25">
      <c r="B8" s="103"/>
      <c r="DL8" s="1486" t="s">
        <v>3</v>
      </c>
      <c r="DM8" s="389" t="s">
        <v>1060</v>
      </c>
      <c r="DN8" s="346">
        <f>VLOOKUP($DM8, Assumptions!$C$36:$N$42, MATCH(DN$5,Assumptions!$C$36:$N$36, 0), FALSE)</f>
        <v>1</v>
      </c>
      <c r="DO8" s="346">
        <f>VLOOKUP($DM8, Assumptions!$C$36:$N$42, MATCH(DO$5,Assumptions!$C$36:$N$36, 0), FALSE)</f>
        <v>0.89093513267927982</v>
      </c>
      <c r="DP8" s="346">
        <f>VLOOKUP($DM8, Assumptions!$C$36:$N$42, MATCH(DP$5,Assumptions!$C$36:$N$36, 0), FALSE)</f>
        <v>0.79376541064224604</v>
      </c>
      <c r="DQ8" s="346">
        <f>VLOOKUP($DM8, Assumptions!$C$36:$N$42, MATCH(DQ$5,Assumptions!$C$36:$N$36, 0), FALSE)</f>
        <v>0.70719349144677257</v>
      </c>
      <c r="DR8" s="346">
        <f>VLOOKUP($DM8, Assumptions!$C$36:$N$42, MATCH(DR$5,Assumptions!$C$36:$N$36, 0), FALSE)</f>
        <v>0</v>
      </c>
      <c r="DS8" s="346" t="str">
        <f>VLOOKUP($DM8, Assumptions!$C$36:$N$42, MATCH(DS$5,Assumptions!$C$36:$N$36, 0), FALSE)</f>
        <v xml:space="preserve"> </v>
      </c>
      <c r="DT8" s="346" t="str">
        <f>VLOOKUP($DM8, Assumptions!$C$36:$N$42, MATCH(DT$5,Assumptions!$C$36:$N$36, 0), FALSE)</f>
        <v xml:space="preserve"> </v>
      </c>
      <c r="DU8" s="346" t="str">
        <f>VLOOKUP($DM8, Assumptions!$C$36:$N$42, MATCH(DU$5,Assumptions!$C$36:$N$36, 0), FALSE)</f>
        <v xml:space="preserve"> </v>
      </c>
      <c r="DV8" s="346" t="str">
        <f>VLOOKUP($DM8, Assumptions!$C$36:$N$42, MATCH(DV$5,Assumptions!$C$36:$N$36, 0), FALSE)</f>
        <v xml:space="preserve"> </v>
      </c>
      <c r="DW8" s="346" t="str">
        <f>VLOOKUP($DM8, Assumptions!$C$36:$N$42, MATCH(DW$5,Assumptions!$C$36:$N$36, 0), FALSE)</f>
        <v xml:space="preserve"> </v>
      </c>
      <c r="DX8" s="346" t="str">
        <f>VLOOKUP($DM8, Assumptions!$C$36:$N$42, MATCH(DX$5,Assumptions!$C$36:$N$36, 0), FALSE)</f>
        <v xml:space="preserve"> </v>
      </c>
    </row>
    <row r="9" spans="2:128" ht="15.75" thickBot="1" x14ac:dyDescent="0.3">
      <c r="C9" s="11"/>
      <c r="D9" s="11"/>
      <c r="E9" s="11"/>
      <c r="F9" s="40"/>
      <c r="G9" s="47">
        <f>'3. ServiceStats Set Up'!$C$28</f>
        <v>0</v>
      </c>
      <c r="H9" s="47" t="str">
        <f>IFERROR(IF(G9+1&lt;='3. ServiceStats Set Up'!$C$29, 'Visits Input'!G9+1, ""), "")</f>
        <v/>
      </c>
      <c r="I9" s="47" t="str">
        <f>IFERROR(IF(H9+1&lt;='3. ServiceStats Set Up'!$C$29, 'Visits Input'!H9+1, ""), "")</f>
        <v/>
      </c>
      <c r="J9" s="47" t="str">
        <f>IFERROR(IF(I9+1&lt;='3. ServiceStats Set Up'!$C$29, 'Visits Input'!I9+1, ""), "")</f>
        <v/>
      </c>
      <c r="K9" s="47" t="str">
        <f>IFERROR(IF(J9+1&lt;='3. ServiceStats Set Up'!$C$29, 'Visits Input'!J9+1, ""), "")</f>
        <v/>
      </c>
      <c r="L9" s="47" t="str">
        <f>IFERROR(IF(K9+1&lt;='3. ServiceStats Set Up'!$C$29, 'Visits Input'!K9+1, ""), "")</f>
        <v/>
      </c>
      <c r="M9" s="47" t="str">
        <f>IFERROR(IF(L9+1&lt;='3. ServiceStats Set Up'!$C$29, 'Visits Input'!L9+1, ""), "")</f>
        <v/>
      </c>
      <c r="N9" s="47" t="str">
        <f>IFERROR(IF(M9+1&lt;='3. ServiceStats Set Up'!$C$29, 'Visits Input'!M9+1, ""), "")</f>
        <v/>
      </c>
      <c r="O9" s="47" t="str">
        <f>IFERROR(IF(N9+1&lt;='3. ServiceStats Set Up'!$C$29, 'Visits Input'!N9+1, ""), "")</f>
        <v/>
      </c>
      <c r="P9" s="47" t="str">
        <f>IFERROR(IF(O9+1&lt;='3. ServiceStats Set Up'!$C$29, 'Visits Input'!O9+1, ""), "")</f>
        <v/>
      </c>
      <c r="Q9" s="47" t="str">
        <f>IFERROR(IF(P9+1&lt;='3. ServiceStats Set Up'!$C$29, 'Visits Input'!P9+1, ""), "")</f>
        <v/>
      </c>
      <c r="R9" s="47" t="str">
        <f>IFERROR(IF(Q9+1&lt;='3. ServiceStats Set Up'!$C$29, 'Visits Input'!Q9+1, ""), "")</f>
        <v/>
      </c>
      <c r="S9" s="47" t="str">
        <f>IFERROR(IF(R9+1&lt;='3. ServiceStats Set Up'!$C$29, 'Visits Input'!R9+1, ""), "")</f>
        <v/>
      </c>
      <c r="T9" s="47" t="str">
        <f>IFERROR(IF(S9+1&lt;='3. ServiceStats Set Up'!$C$29, 'Visits Input'!S9+1, ""), "")</f>
        <v/>
      </c>
      <c r="U9" s="47" t="str">
        <f>IFERROR(IF(T9+1&lt;='3. ServiceStats Set Up'!$C$29, 'Visits Input'!T9+1, ""), "")</f>
        <v/>
      </c>
      <c r="V9" s="47" t="str">
        <f>IFERROR(IF(U9+1&lt;='3. ServiceStats Set Up'!$C$29, 'Visits Input'!U9+1, ""), "")</f>
        <v/>
      </c>
      <c r="BK9" s="47">
        <f>G9</f>
        <v>0</v>
      </c>
      <c r="BL9" s="47" t="str">
        <f t="shared" ref="BL9:BZ9" si="0">H9</f>
        <v/>
      </c>
      <c r="BM9" s="47" t="str">
        <f t="shared" si="0"/>
        <v/>
      </c>
      <c r="BN9" s="47" t="str">
        <f t="shared" si="0"/>
        <v/>
      </c>
      <c r="BO9" s="47" t="str">
        <f t="shared" si="0"/>
        <v/>
      </c>
      <c r="BP9" s="47" t="str">
        <f t="shared" si="0"/>
        <v/>
      </c>
      <c r="BQ9" s="47" t="str">
        <f t="shared" si="0"/>
        <v/>
      </c>
      <c r="BR9" s="47" t="str">
        <f t="shared" si="0"/>
        <v/>
      </c>
      <c r="BS9" s="47" t="str">
        <f t="shared" si="0"/>
        <v/>
      </c>
      <c r="BT9" s="47" t="str">
        <f t="shared" si="0"/>
        <v/>
      </c>
      <c r="BU9" s="47" t="str">
        <f t="shared" si="0"/>
        <v/>
      </c>
      <c r="BV9" s="47" t="str">
        <f t="shared" si="0"/>
        <v/>
      </c>
      <c r="BW9" s="47" t="str">
        <f t="shared" si="0"/>
        <v/>
      </c>
      <c r="BX9" s="47" t="str">
        <f t="shared" si="0"/>
        <v/>
      </c>
      <c r="BY9" s="47" t="str">
        <f t="shared" si="0"/>
        <v/>
      </c>
      <c r="BZ9" s="47" t="str">
        <f t="shared" si="0"/>
        <v/>
      </c>
      <c r="CC9" s="47">
        <f t="shared" ref="CC9:CR9" si="1">G9</f>
        <v>0</v>
      </c>
      <c r="CD9" s="47" t="str">
        <f t="shared" si="1"/>
        <v/>
      </c>
      <c r="CE9" s="47" t="str">
        <f t="shared" si="1"/>
        <v/>
      </c>
      <c r="CF9" s="47" t="str">
        <f t="shared" si="1"/>
        <v/>
      </c>
      <c r="CG9" s="47" t="str">
        <f t="shared" si="1"/>
        <v/>
      </c>
      <c r="CH9" s="47" t="str">
        <f t="shared" si="1"/>
        <v/>
      </c>
      <c r="CI9" s="47" t="str">
        <f t="shared" si="1"/>
        <v/>
      </c>
      <c r="CJ9" s="47" t="str">
        <f t="shared" si="1"/>
        <v/>
      </c>
      <c r="CK9" s="47" t="str">
        <f t="shared" si="1"/>
        <v/>
      </c>
      <c r="CL9" s="47" t="str">
        <f t="shared" si="1"/>
        <v/>
      </c>
      <c r="CM9" s="47" t="str">
        <f t="shared" si="1"/>
        <v/>
      </c>
      <c r="CN9" s="47" t="str">
        <f t="shared" si="1"/>
        <v/>
      </c>
      <c r="CO9" s="47" t="str">
        <f t="shared" si="1"/>
        <v/>
      </c>
      <c r="CP9" s="47" t="str">
        <f t="shared" si="1"/>
        <v/>
      </c>
      <c r="CQ9" s="47" t="str">
        <f t="shared" si="1"/>
        <v/>
      </c>
      <c r="CR9" s="47" t="str">
        <f t="shared" si="1"/>
        <v/>
      </c>
      <c r="DL9" s="1487"/>
      <c r="DM9" s="389" t="s">
        <v>298</v>
      </c>
      <c r="DN9" s="346">
        <f>VLOOKUP($DM9, Assumptions!$C$36:$N$42, MATCH(DN$5,Assumptions!$C$36:$N$36, 0), FALSE)</f>
        <v>1</v>
      </c>
      <c r="DO9" s="346">
        <f>VLOOKUP($DM9, Assumptions!$C$36:$N$42, MATCH(DO$5,Assumptions!$C$36:$N$36, 0), FALSE)</f>
        <v>0.89093513267927982</v>
      </c>
      <c r="DP9" s="346">
        <f>VLOOKUP($DM9, Assumptions!$C$36:$N$42, MATCH(DP$5,Assumptions!$C$36:$N$36, 0), FALSE)</f>
        <v>0.79376541064224604</v>
      </c>
      <c r="DQ9" s="346">
        <f>VLOOKUP($DM9, Assumptions!$C$36:$N$42, MATCH(DQ$5,Assumptions!$C$36:$N$36, 0), FALSE)</f>
        <v>0.70719349144677257</v>
      </c>
      <c r="DR9" s="346">
        <f>VLOOKUP($DM9, Assumptions!$C$36:$N$42, MATCH(DR$5,Assumptions!$C$36:$N$36, 0), FALSE)</f>
        <v>0.63006352713205349</v>
      </c>
      <c r="DS9" s="346">
        <f>VLOOKUP($DM9, Assumptions!$C$36:$N$42, MATCH(DS$5,Assumptions!$C$36:$N$36, 0), FALSE)</f>
        <v>0</v>
      </c>
      <c r="DT9" s="346" t="str">
        <f>VLOOKUP($DM9, Assumptions!$C$36:$N$42, MATCH(DT$5,Assumptions!$C$36:$N$36, 0), FALSE)</f>
        <v xml:space="preserve"> </v>
      </c>
      <c r="DU9" s="346" t="str">
        <f>VLOOKUP($DM9, Assumptions!$C$36:$N$42, MATCH(DU$5,Assumptions!$C$36:$N$36, 0), FALSE)</f>
        <v xml:space="preserve"> </v>
      </c>
      <c r="DV9" s="346" t="str">
        <f>VLOOKUP($DM9, Assumptions!$C$36:$N$42, MATCH(DV$5,Assumptions!$C$36:$N$36, 0), FALSE)</f>
        <v xml:space="preserve"> </v>
      </c>
      <c r="DW9" s="346" t="str">
        <f>VLOOKUP($DM9, Assumptions!$C$36:$N$42, MATCH(DW$5,Assumptions!$C$36:$N$36, 0), FALSE)</f>
        <v xml:space="preserve"> </v>
      </c>
      <c r="DX9" s="346" t="str">
        <f>VLOOKUP($DM9, Assumptions!$C$36:$N$42, MATCH(DX$5,Assumptions!$C$36:$N$36, 0), FALSE)</f>
        <v xml:space="preserve"> </v>
      </c>
    </row>
    <row r="10" spans="2:128" ht="22.5" thickTop="1" thickBot="1" x14ac:dyDescent="0.3">
      <c r="B10" s="1518"/>
      <c r="C10" s="1513" t="str">
        <f>'Language Look Ups'!$B$22</f>
        <v>Saisissez les taux de complétude</v>
      </c>
      <c r="D10" s="1514"/>
      <c r="E10" s="1514"/>
      <c r="F10" s="1514"/>
      <c r="G10" s="273"/>
      <c r="H10" s="273"/>
      <c r="I10" s="273"/>
      <c r="J10" s="273"/>
      <c r="K10" s="273"/>
      <c r="L10" s="273"/>
      <c r="M10" s="273"/>
      <c r="N10" s="273"/>
      <c r="O10" s="273"/>
      <c r="P10" s="273"/>
      <c r="Q10" s="273"/>
      <c r="R10" s="273"/>
      <c r="S10" s="273"/>
      <c r="T10" s="273"/>
      <c r="U10" s="273"/>
      <c r="V10" s="273"/>
      <c r="AA10" s="113">
        <f>COUNTIF(G11:V11, 1)</f>
        <v>0</v>
      </c>
      <c r="BK10" s="49">
        <f>IF(BK9="", "", HLOOKUP(BK$9, $G$9:$V$10, 2, FALSE))</f>
        <v>0</v>
      </c>
      <c r="BL10" s="49" t="str">
        <f>IF(BL9="", "", HLOOKUP(BL$9, $G$9:$V$10, 2, FALSE))</f>
        <v/>
      </c>
      <c r="BM10" s="49" t="str">
        <f>IF(BM9="", "", HLOOKUP(BM$9, $G$9:$V$10, 2, FALSE))</f>
        <v/>
      </c>
      <c r="BN10" s="49" t="str">
        <f>IF(BN9="", "", HLOOKUP(BN$9, $G$9:$V$10, 2, FALSE))</f>
        <v/>
      </c>
      <c r="BO10" s="49" t="str">
        <f>IF(BO9="", "", HLOOKUP(BO$9, $G$9:$V$10, 2, FALSE))</f>
        <v/>
      </c>
      <c r="BP10" s="49" t="str">
        <f t="shared" ref="BP10:BZ10" si="2">IF(BP9="", "", HLOOKUP(BP$9, $G$9:$V$10, 2, FALSE))</f>
        <v/>
      </c>
      <c r="BQ10" s="49" t="str">
        <f t="shared" si="2"/>
        <v/>
      </c>
      <c r="BR10" s="49" t="str">
        <f t="shared" si="2"/>
        <v/>
      </c>
      <c r="BS10" s="49" t="str">
        <f t="shared" si="2"/>
        <v/>
      </c>
      <c r="BT10" s="49" t="str">
        <f t="shared" si="2"/>
        <v/>
      </c>
      <c r="BU10" s="49" t="str">
        <f t="shared" si="2"/>
        <v/>
      </c>
      <c r="BV10" s="49" t="str">
        <f t="shared" si="2"/>
        <v/>
      </c>
      <c r="BW10" s="49" t="str">
        <f t="shared" si="2"/>
        <v/>
      </c>
      <c r="BX10" s="49" t="str">
        <f t="shared" si="2"/>
        <v/>
      </c>
      <c r="BY10" s="49" t="str">
        <f t="shared" si="2"/>
        <v/>
      </c>
      <c r="BZ10" s="49" t="str">
        <f t="shared" si="2"/>
        <v/>
      </c>
      <c r="CC10" s="49">
        <f>IF(CC9="", "", HLOOKUP(CC$9, $G$9:$V$10, 2, FALSE))</f>
        <v>0</v>
      </c>
      <c r="CD10" s="49" t="str">
        <f t="shared" ref="CD10:CR10" si="3">IF(CD9="", "", HLOOKUP(CD$9, $G$9:$V$10, 2, FALSE))</f>
        <v/>
      </c>
      <c r="CE10" s="49" t="str">
        <f t="shared" si="3"/>
        <v/>
      </c>
      <c r="CF10" s="49" t="str">
        <f t="shared" si="3"/>
        <v/>
      </c>
      <c r="CG10" s="49" t="str">
        <f>IF(CG9="", "", HLOOKUP(CG$9, $G$9:$V$10, 2, FALSE))</f>
        <v/>
      </c>
      <c r="CH10" s="49" t="str">
        <f t="shared" si="3"/>
        <v/>
      </c>
      <c r="CI10" s="49" t="str">
        <f t="shared" si="3"/>
        <v/>
      </c>
      <c r="CJ10" s="49" t="str">
        <f t="shared" si="3"/>
        <v/>
      </c>
      <c r="CK10" s="49" t="str">
        <f t="shared" si="3"/>
        <v/>
      </c>
      <c r="CL10" s="49" t="str">
        <f t="shared" si="3"/>
        <v/>
      </c>
      <c r="CM10" s="49" t="str">
        <f t="shared" si="3"/>
        <v/>
      </c>
      <c r="CN10" s="49" t="str">
        <f t="shared" si="3"/>
        <v/>
      </c>
      <c r="CO10" s="49" t="str">
        <f t="shared" si="3"/>
        <v/>
      </c>
      <c r="CP10" s="49" t="str">
        <f t="shared" si="3"/>
        <v/>
      </c>
      <c r="CQ10" s="49" t="str">
        <f t="shared" si="3"/>
        <v/>
      </c>
      <c r="CR10" s="49" t="str">
        <f t="shared" si="3"/>
        <v/>
      </c>
      <c r="DL10" s="1488"/>
      <c r="DM10" s="389" t="s">
        <v>297</v>
      </c>
      <c r="DN10" s="346">
        <f>VLOOKUP($DM10, Assumptions!$C$36:$N$42, MATCH(DN$5,Assumptions!$C$36:$N$36, 0), FALSE)</f>
        <v>1</v>
      </c>
      <c r="DO10" s="346">
        <f>VLOOKUP($DM10, Assumptions!$C$36:$N$42, MATCH(DO$5,Assumptions!$C$36:$N$36, 0), FALSE)</f>
        <v>0.89093513267927982</v>
      </c>
      <c r="DP10" s="346">
        <f>VLOOKUP($DM10, Assumptions!$C$36:$N$42, MATCH(DP$5,Assumptions!$C$36:$N$36, 0), FALSE)</f>
        <v>0.79376541064224604</v>
      </c>
      <c r="DQ10" s="346">
        <f>VLOOKUP($DM10, Assumptions!$C$36:$N$42, MATCH(DQ$5,Assumptions!$C$36:$N$36, 0), FALSE)</f>
        <v>0.70719349144677257</v>
      </c>
      <c r="DR10" s="346">
        <f>VLOOKUP($DM10, Assumptions!$C$36:$N$42, MATCH(DR$5,Assumptions!$C$36:$N$36, 0), FALSE)</f>
        <v>0.63006352713205349</v>
      </c>
      <c r="DS10" s="346">
        <f>VLOOKUP($DM10, Assumptions!$C$36:$N$42, MATCH(DS$5,Assumptions!$C$36:$N$36, 0), FALSE)</f>
        <v>0.56134573214177108</v>
      </c>
      <c r="DT10" s="346">
        <f>VLOOKUP($DM10, Assumptions!$C$36:$N$42, MATCH(DT$5,Assumptions!$C$36:$N$36, 0), FALSE)</f>
        <v>0</v>
      </c>
      <c r="DU10" s="346" t="str">
        <f>VLOOKUP($DM10, Assumptions!$C$36:$N$42, MATCH(DU$5,Assumptions!$C$36:$N$36, 0), FALSE)</f>
        <v xml:space="preserve"> </v>
      </c>
      <c r="DV10" s="346" t="str">
        <f>VLOOKUP($DM10, Assumptions!$C$36:$N$42, MATCH(DV$5,Assumptions!$C$36:$N$36, 0), FALSE)</f>
        <v xml:space="preserve"> </v>
      </c>
      <c r="DW10" s="346" t="str">
        <f>VLOOKUP($DM10, Assumptions!$C$36:$N$42, MATCH(DW$5,Assumptions!$C$36:$N$36, 0), FALSE)</f>
        <v xml:space="preserve"> </v>
      </c>
      <c r="DX10" s="346" t="str">
        <f>VLOOKUP($DM10, Assumptions!$C$36:$N$42, MATCH(DX$5,Assumptions!$C$36:$N$36, 0), FALSE)</f>
        <v xml:space="preserve"> </v>
      </c>
    </row>
    <row r="11" spans="2:128" ht="12" customHeight="1" thickTop="1" x14ac:dyDescent="0.25">
      <c r="B11" s="1518"/>
      <c r="C11" s="31"/>
      <c r="D11" s="31"/>
      <c r="E11" s="31"/>
      <c r="F11" s="31"/>
      <c r="G11" s="113"/>
      <c r="H11" s="113"/>
      <c r="I11" s="113"/>
      <c r="J11" s="113"/>
      <c r="K11" s="113"/>
      <c r="L11" s="113" t="str">
        <f t="shared" ref="L11:U11" si="4">IF(L9="", "", IF(L10&gt;=80%, 1, IF(L10&gt;=60%, 2,3)))</f>
        <v/>
      </c>
      <c r="M11" s="113" t="str">
        <f t="shared" si="4"/>
        <v/>
      </c>
      <c r="N11" s="113" t="str">
        <f t="shared" si="4"/>
        <v/>
      </c>
      <c r="O11" s="113" t="str">
        <f t="shared" si="4"/>
        <v/>
      </c>
      <c r="P11" s="113" t="str">
        <f t="shared" si="4"/>
        <v/>
      </c>
      <c r="Q11" s="113" t="str">
        <f t="shared" si="4"/>
        <v/>
      </c>
      <c r="R11" s="113" t="str">
        <f t="shared" si="4"/>
        <v/>
      </c>
      <c r="S11" s="113" t="str">
        <f t="shared" si="4"/>
        <v/>
      </c>
      <c r="T11" s="113" t="str">
        <f t="shared" si="4"/>
        <v/>
      </c>
      <c r="U11" s="113" t="str">
        <f t="shared" si="4"/>
        <v/>
      </c>
      <c r="V11" s="113" t="str">
        <f>IF(V9="", "", IF(V10&gt;=80%, 1, IF(V10&gt;=60%, 2,3)))</f>
        <v/>
      </c>
      <c r="AA11" s="113">
        <f>COUNTIF(G11:V11, 2)</f>
        <v>0</v>
      </c>
      <c r="AB11" s="114"/>
      <c r="DL11" s="390"/>
      <c r="DM11" s="390" t="s">
        <v>299</v>
      </c>
      <c r="DN11" s="346">
        <f>VLOOKUP($DM11, Assumptions!$C$36:$N$42, MATCH(DN$5,Assumptions!$C$36:$N$36, 0), FALSE)</f>
        <v>1</v>
      </c>
      <c r="DO11" s="346">
        <f>VLOOKUP($DM11, Assumptions!$C$36:$N$42, MATCH(DO$5,Assumptions!$C$36:$N$36, 0), FALSE)</f>
        <v>0.54273299092385041</v>
      </c>
      <c r="DP11" s="346">
        <f>VLOOKUP($DM11, Assumptions!$C$36:$N$42, MATCH(DP$5,Assumptions!$C$36:$N$36, 0), FALSE)</f>
        <v>0.29455909943714825</v>
      </c>
      <c r="DQ11" s="346">
        <f>VLOOKUP($DM11, Assumptions!$C$36:$N$42, MATCH(DQ$5,Assumptions!$C$36:$N$36, 0), FALSE)</f>
        <v>0.15986694104135935</v>
      </c>
      <c r="DR11" s="346">
        <f>VLOOKUP($DM11, Assumptions!$C$36:$N$42, MATCH(DR$5,Assumptions!$C$36:$N$36, 0), FALSE)</f>
        <v>8.6765063061223793E-2</v>
      </c>
      <c r="DS11" s="346">
        <f>VLOOKUP($DM11, Assumptions!$C$36:$N$42, MATCH(DS$5,Assumptions!$C$36:$N$36, 0), FALSE)</f>
        <v>4.7090262182914476E-2</v>
      </c>
      <c r="DT11" s="346">
        <f>VLOOKUP($DM11, Assumptions!$C$36:$N$42, MATCH(DT$5,Assumptions!$C$36:$N$36, 0), FALSE)</f>
        <v>2.5557438837921467E-2</v>
      </c>
      <c r="DU11" s="346">
        <f>VLOOKUP($DM11, Assumptions!$C$36:$N$42, MATCH(DU$5,Assumptions!$C$36:$N$36, 0), FALSE)</f>
        <v>1.3870865220858486E-2</v>
      </c>
      <c r="DV11" s="346">
        <f>VLOOKUP($DM11, Assumptions!$C$36:$N$42, MATCH(DV$5,Assumptions!$C$36:$N$36, 0), FALSE)</f>
        <v>7.5281761680181429E-3</v>
      </c>
      <c r="DW11" s="346">
        <f>VLOOKUP($DM11, Assumptions!$C$36:$N$42, MATCH(DW$5,Assumptions!$C$36:$N$36, 0), FALSE)</f>
        <v>4.0857895678701383E-3</v>
      </c>
      <c r="DX11" s="346">
        <f>VLOOKUP($DM11, Assumptions!$C$36:$N$42, MATCH(DX$5,Assumptions!$C$36:$N$36, 0), FALSE)</f>
        <v>2.2174927924556252E-3</v>
      </c>
    </row>
    <row r="12" spans="2:128" ht="16.5" customHeight="1" x14ac:dyDescent="0.25">
      <c r="B12" s="1518"/>
      <c r="C12" s="1516" t="str">
        <f>IF(Language="Francais", BC12, BA12)</f>
        <v>Les taux de complétude devraient être supérieurs à 80% pour utiliser les données dans FPET. Si les taux varient entre 60% et 80%, veuillez discuter avec un membre de l'équipe de Track20.</v>
      </c>
      <c r="D12" s="1516">
        <f t="shared" ref="D12:V12" si="5">IF(Language="Francais", BE12, BC12)</f>
        <v>0</v>
      </c>
      <c r="E12" s="1516">
        <f t="shared" si="5"/>
        <v>0</v>
      </c>
      <c r="F12" s="1516">
        <f t="shared" si="5"/>
        <v>0</v>
      </c>
      <c r="G12" s="1516">
        <f t="shared" si="5"/>
        <v>0</v>
      </c>
      <c r="H12" s="1516">
        <f t="shared" si="5"/>
        <v>0</v>
      </c>
      <c r="I12" s="1516">
        <f t="shared" si="5"/>
        <v>0</v>
      </c>
      <c r="J12" s="1516">
        <f t="shared" si="5"/>
        <v>0</v>
      </c>
      <c r="K12" s="1516">
        <f t="shared" si="5"/>
        <v>0</v>
      </c>
      <c r="L12" s="1516">
        <f t="shared" si="5"/>
        <v>0</v>
      </c>
      <c r="M12" s="1516">
        <f t="shared" si="5"/>
        <v>0</v>
      </c>
      <c r="N12" s="1516">
        <f t="shared" si="5"/>
        <v>0</v>
      </c>
      <c r="O12" s="1516">
        <f t="shared" si="5"/>
        <v>0</v>
      </c>
      <c r="P12" s="1516">
        <f t="shared" si="5"/>
        <v>0</v>
      </c>
      <c r="Q12" s="1516">
        <f t="shared" si="5"/>
        <v>0</v>
      </c>
      <c r="R12" s="1516">
        <f t="shared" si="5"/>
        <v>0</v>
      </c>
      <c r="S12" s="1516">
        <f t="shared" si="5"/>
        <v>0</v>
      </c>
      <c r="T12" s="1516">
        <f t="shared" si="5"/>
        <v>0</v>
      </c>
      <c r="U12" s="1516">
        <f t="shared" si="5"/>
        <v>0</v>
      </c>
      <c r="V12" s="1516">
        <f t="shared" si="5"/>
        <v>0</v>
      </c>
      <c r="BA12" s="184" t="s">
        <v>116</v>
      </c>
      <c r="BC12" s="184" t="s">
        <v>1132</v>
      </c>
    </row>
    <row r="13" spans="2:128" ht="16.5" hidden="1" customHeight="1" x14ac:dyDescent="0.25">
      <c r="B13" s="1518"/>
      <c r="C13" s="1517" t="str">
        <f>IF(AA10&gt;=3, "You have at least 3 years of data with reporting rates greater than 80%.", IF(SUM(AA10:AA11)&gt;=3, "You have at least 3 years of data with reporting rates greater than 60%, please discuss with Track20 Team Member.", "Reporting Rates are generally below 60%, so this data may not be useable in FPET. This may be an opportunity to address data quality."))</f>
        <v>Reporting Rates are generally below 60%, so this data may not be useable in FPET. This may be an opportunity to address data quality.</v>
      </c>
      <c r="D13" s="1517"/>
      <c r="E13" s="1517"/>
      <c r="F13" s="1517"/>
      <c r="G13" s="1517"/>
      <c r="H13" s="1517"/>
      <c r="I13" s="1517"/>
      <c r="J13" s="1517"/>
      <c r="K13" s="1517"/>
      <c r="L13" s="1517"/>
      <c r="M13" s="1517"/>
      <c r="N13" s="1517"/>
      <c r="O13" s="1517"/>
      <c r="P13" s="1517"/>
      <c r="Q13" s="1517"/>
      <c r="R13" s="1517"/>
      <c r="S13" s="1517"/>
      <c r="T13" s="1517"/>
      <c r="U13" s="1517"/>
      <c r="V13" s="1517"/>
    </row>
    <row r="14" spans="2:128" ht="16.5" hidden="1" customHeight="1" x14ac:dyDescent="0.45">
      <c r="B14" s="1518"/>
      <c r="C14" s="1519"/>
      <c r="D14" s="1519"/>
      <c r="E14" s="1519"/>
      <c r="F14" s="1519"/>
      <c r="G14" s="1519"/>
      <c r="H14" s="1519"/>
      <c r="I14" s="1519"/>
      <c r="J14" s="1519"/>
      <c r="K14" s="1519"/>
      <c r="L14" s="1519"/>
      <c r="M14" s="1519"/>
      <c r="N14" s="1519"/>
      <c r="O14" s="1519"/>
      <c r="P14" s="1519"/>
      <c r="Q14" s="1519"/>
      <c r="R14" s="1519"/>
      <c r="S14" s="1519"/>
      <c r="T14" s="1519"/>
      <c r="U14" s="1519"/>
      <c r="V14" s="1519"/>
      <c r="CH14" s="2"/>
    </row>
    <row r="15" spans="2:128" ht="9" customHeight="1" x14ac:dyDescent="0.25"/>
    <row r="16" spans="2:128" ht="27" thickBot="1" x14ac:dyDescent="0.45">
      <c r="B16" s="243" t="str">
        <f>IF(Language="English", BA16, BC16)</f>
        <v>ÉTAPE 2 de 3. SAISIR LES DONNÉES DES VISITES</v>
      </c>
      <c r="C16" s="232"/>
      <c r="D16" s="232"/>
      <c r="E16" s="232"/>
      <c r="F16" s="232"/>
      <c r="G16" s="232"/>
      <c r="H16" s="232"/>
      <c r="I16" s="232"/>
      <c r="J16" s="232"/>
      <c r="K16" s="232"/>
      <c r="L16" s="232"/>
      <c r="M16" s="232"/>
      <c r="N16" s="232"/>
      <c r="O16" s="232"/>
      <c r="P16" s="232"/>
      <c r="Q16" s="232"/>
      <c r="R16" s="232"/>
      <c r="S16" s="232"/>
      <c r="T16" s="232"/>
      <c r="U16" s="232"/>
      <c r="V16" s="232"/>
      <c r="AA16" s="1543" t="str">
        <f>IF(Language="English", BA20, BC20)</f>
        <v>OPTIONNEL: SAISIR LES AJUSTEMENTS POUR LES DONNÉES DU SECTEUR PRIVÉ MANQUANTES</v>
      </c>
      <c r="AB16" s="1543"/>
      <c r="AC16" s="1543"/>
      <c r="AD16" s="1543"/>
      <c r="AE16" s="1543"/>
      <c r="AF16" s="1543"/>
      <c r="AG16" s="1543"/>
      <c r="AH16" s="1543"/>
      <c r="AI16" s="1543"/>
      <c r="AJ16" s="1543"/>
      <c r="AK16" s="1543"/>
      <c r="AL16" s="1543"/>
      <c r="AM16" s="1543"/>
      <c r="AN16" s="1543"/>
      <c r="AO16" s="1543"/>
      <c r="AP16" s="1543"/>
      <c r="AQ16" s="1543"/>
      <c r="AR16" s="1543"/>
      <c r="AS16" s="232"/>
      <c r="AT16" s="232"/>
      <c r="AU16" s="232"/>
      <c r="AV16" s="232"/>
      <c r="BA16" s="184" t="s">
        <v>1078</v>
      </c>
      <c r="BC16" s="184" t="s">
        <v>1079</v>
      </c>
      <c r="BK16">
        <v>1</v>
      </c>
      <c r="BL16">
        <v>2</v>
      </c>
      <c r="BM16">
        <v>3</v>
      </c>
      <c r="BN16">
        <v>4</v>
      </c>
      <c r="BO16">
        <v>5</v>
      </c>
      <c r="BP16">
        <v>6</v>
      </c>
      <c r="BQ16">
        <v>7</v>
      </c>
      <c r="BR16">
        <v>8</v>
      </c>
      <c r="BS16">
        <v>9</v>
      </c>
      <c r="BT16">
        <v>10</v>
      </c>
      <c r="BU16">
        <v>11</v>
      </c>
      <c r="BV16">
        <v>12</v>
      </c>
      <c r="BW16">
        <v>13</v>
      </c>
      <c r="BX16">
        <v>14</v>
      </c>
      <c r="BY16">
        <v>15</v>
      </c>
      <c r="BZ16">
        <v>16</v>
      </c>
      <c r="CC16">
        <v>1</v>
      </c>
      <c r="CD16">
        <v>2</v>
      </c>
      <c r="CE16">
        <v>3</v>
      </c>
      <c r="CF16">
        <v>4</v>
      </c>
      <c r="CG16">
        <v>5</v>
      </c>
      <c r="CH16">
        <v>6</v>
      </c>
      <c r="CI16">
        <v>7</v>
      </c>
      <c r="CJ16">
        <v>8</v>
      </c>
      <c r="CK16">
        <v>9</v>
      </c>
      <c r="CL16">
        <v>10</v>
      </c>
      <c r="CM16">
        <v>11</v>
      </c>
      <c r="CN16">
        <v>12</v>
      </c>
      <c r="CO16">
        <v>13</v>
      </c>
      <c r="CP16">
        <v>14</v>
      </c>
      <c r="CQ16">
        <v>15</v>
      </c>
      <c r="CR16">
        <v>16</v>
      </c>
      <c r="CU16">
        <v>1</v>
      </c>
      <c r="CV16">
        <v>2</v>
      </c>
      <c r="CW16">
        <v>3</v>
      </c>
      <c r="CX16">
        <v>4</v>
      </c>
      <c r="CY16">
        <v>5</v>
      </c>
      <c r="CZ16">
        <v>6</v>
      </c>
      <c r="DA16">
        <v>7</v>
      </c>
      <c r="DB16">
        <v>8</v>
      </c>
      <c r="DC16">
        <v>9</v>
      </c>
      <c r="DD16">
        <v>10</v>
      </c>
      <c r="DE16">
        <v>11</v>
      </c>
      <c r="DF16">
        <v>12</v>
      </c>
      <c r="DG16">
        <v>13</v>
      </c>
      <c r="DH16">
        <v>14</v>
      </c>
      <c r="DI16">
        <v>15</v>
      </c>
      <c r="DJ16">
        <v>16</v>
      </c>
    </row>
    <row r="17" spans="2:155" ht="45" customHeight="1" thickBot="1" x14ac:dyDescent="0.3">
      <c r="B17" s="196" t="str">
        <f>IF(Language="English", BA17, BC17)</f>
        <v>Saisissez les chiffres des visites annuelles par méthode dans le tableau ci-dessous pour les méthodes utilisées dans votre pays. Saisissez les données pour chaque année.</v>
      </c>
      <c r="AA17" s="1541" t="str">
        <f>IF(Language="English", BA21, BC21)</f>
        <v>Si vous souhaitez modifier l'ajustement du secteur privé au fil du temps, vous pouvez le faire ci-dessous. Ces chiffres représentent le facteur d'inflation, par méthode, qui sera utilisé pour ajuster les valeurs que vous avez saisies à gauche pour représenter l'ensemble du marché (toutes les prestations de PF du secteur public et privé).</v>
      </c>
      <c r="AB17" s="1541"/>
      <c r="AC17" s="1541"/>
      <c r="AD17" s="1541"/>
      <c r="AE17" s="1541"/>
      <c r="AF17" s="1541"/>
      <c r="AG17" s="1541"/>
      <c r="AH17" s="1541"/>
      <c r="AI17" s="1541"/>
      <c r="AJ17" s="1541"/>
      <c r="AK17" s="1541"/>
      <c r="AL17" s="1541"/>
      <c r="AM17" s="1541"/>
      <c r="AN17" s="1541"/>
      <c r="AO17" s="1541"/>
      <c r="AP17" s="1541"/>
      <c r="AQ17" s="1541"/>
      <c r="AR17" s="1541"/>
      <c r="BA17" s="196" t="s">
        <v>570</v>
      </c>
      <c r="BC17" s="196" t="s">
        <v>845</v>
      </c>
      <c r="CC17" t="s">
        <v>1054</v>
      </c>
      <c r="CU17" t="s">
        <v>1054</v>
      </c>
    </row>
    <row r="18" spans="2:155" ht="30" hidden="1" customHeight="1" x14ac:dyDescent="0.25">
      <c r="B18" s="196" t="s">
        <v>573</v>
      </c>
      <c r="AB18" s="1523" t="s">
        <v>112</v>
      </c>
      <c r="AC18" s="1523"/>
      <c r="AD18" s="1523"/>
      <c r="AE18" s="1523"/>
      <c r="AF18" s="1523"/>
      <c r="AG18" s="1523"/>
      <c r="AH18" s="1523"/>
      <c r="AI18" s="1523"/>
      <c r="AJ18" s="1523"/>
      <c r="AK18" s="1523"/>
      <c r="AL18" s="1523"/>
      <c r="AM18" s="1523"/>
      <c r="AN18" s="1523"/>
      <c r="AO18" s="1523"/>
      <c r="AP18" s="1523"/>
      <c r="AQ18" s="1523"/>
      <c r="AR18" s="1523"/>
    </row>
    <row r="19" spans="2:155" ht="19.5" hidden="1" customHeight="1" thickBot="1" x14ac:dyDescent="0.3">
      <c r="AB19" s="183" t="s">
        <v>82</v>
      </c>
      <c r="AC19" s="183"/>
      <c r="AD19" s="183"/>
      <c r="AE19" s="183"/>
      <c r="AF19" s="183"/>
      <c r="AG19" s="183"/>
      <c r="AH19" s="183"/>
      <c r="AI19" s="183"/>
      <c r="AJ19" s="183"/>
      <c r="AK19" s="183"/>
      <c r="AL19" s="183"/>
      <c r="AM19" s="183"/>
      <c r="AN19" s="183"/>
      <c r="AO19" s="183"/>
      <c r="AP19" s="183"/>
      <c r="AQ19" s="183"/>
      <c r="AR19" s="183"/>
      <c r="BK19" s="233" t="s">
        <v>563</v>
      </c>
      <c r="BL19" s="234"/>
      <c r="BM19" s="234"/>
      <c r="BN19" s="234"/>
      <c r="BO19" s="234"/>
      <c r="BP19" s="234"/>
      <c r="BQ19" s="234"/>
      <c r="BR19" s="234"/>
      <c r="BS19" s="234"/>
      <c r="BT19" s="234"/>
      <c r="BU19" s="234"/>
      <c r="BV19" s="234"/>
      <c r="BW19" s="234"/>
      <c r="BX19" s="234"/>
      <c r="BY19" s="234"/>
      <c r="BZ19" s="234"/>
      <c r="CC19" s="235"/>
      <c r="CD19" s="235"/>
      <c r="CE19" s="235"/>
      <c r="CF19" s="235"/>
      <c r="CG19" s="235"/>
      <c r="CH19" s="235"/>
      <c r="CI19" s="235"/>
      <c r="CJ19" s="235"/>
      <c r="CK19" s="235"/>
      <c r="CL19" s="235"/>
      <c r="CM19" s="235"/>
      <c r="CN19" s="235"/>
      <c r="CO19" s="235"/>
      <c r="CP19" s="235"/>
      <c r="CQ19" s="235"/>
      <c r="CR19" s="235"/>
      <c r="CU19" s="235"/>
      <c r="CV19" s="235"/>
      <c r="CW19" s="235"/>
      <c r="CX19" s="235"/>
      <c r="CY19" s="235"/>
      <c r="CZ19" s="235"/>
      <c r="DA19" s="235"/>
      <c r="DB19" s="235"/>
      <c r="DC19" s="235"/>
      <c r="DD19" s="235"/>
      <c r="DE19" s="235"/>
      <c r="DF19" s="235"/>
      <c r="DG19" s="235"/>
      <c r="DH19" s="235"/>
      <c r="DI19" s="235"/>
      <c r="DJ19" s="235"/>
    </row>
    <row r="20" spans="2:155" ht="24.75" thickTop="1" thickBot="1" x14ac:dyDescent="0.4">
      <c r="B20" s="1"/>
      <c r="C20" s="1"/>
      <c r="D20" s="1521" t="str">
        <f>IF(AND(SUM(D23:D29,D32:D46)&lt;&gt;Assumptions!$E$32, Language="English"), "CYP Factor Changed", IF(AND(SUM(D23:D29,D32:D46)&lt;&gt;Assumptions!$E$32, Language="Francais"), "Facteur CAP modifié",""))</f>
        <v/>
      </c>
      <c r="E20" s="1521"/>
      <c r="F20" s="1605"/>
      <c r="G20" s="423" t="str">
        <f>'3. ServiceStats Set Up'!B25</f>
        <v>Visites de PF</v>
      </c>
      <c r="H20" s="424"/>
      <c r="I20" s="424"/>
      <c r="J20" s="424"/>
      <c r="K20" s="424"/>
      <c r="L20" s="424"/>
      <c r="M20" s="424"/>
      <c r="N20" s="424"/>
      <c r="O20" s="424"/>
      <c r="P20" s="424"/>
      <c r="Q20" s="424"/>
      <c r="R20" s="424"/>
      <c r="S20" s="424"/>
      <c r="T20" s="424"/>
      <c r="U20" s="424"/>
      <c r="V20" s="425"/>
      <c r="AA20" s="147"/>
      <c r="AB20" s="455" t="str">
        <f>IF(Language="English", BA22, BC22)</f>
        <v>Facteur d'ajustement</v>
      </c>
      <c r="AC20" s="456"/>
      <c r="AD20" s="456"/>
      <c r="AE20" s="456"/>
      <c r="AF20" s="456"/>
      <c r="AG20" s="456"/>
      <c r="AH20" s="456"/>
      <c r="AI20" s="456"/>
      <c r="AJ20" s="456"/>
      <c r="AK20" s="456"/>
      <c r="AL20" s="456"/>
      <c r="AM20" s="456"/>
      <c r="AN20" s="456"/>
      <c r="AO20" s="456"/>
      <c r="AP20" s="456"/>
      <c r="AQ20" s="457"/>
      <c r="AR20" s="118" t="s">
        <v>125</v>
      </c>
      <c r="BA20" s="184" t="s">
        <v>817</v>
      </c>
      <c r="BC20" s="184" t="s">
        <v>837</v>
      </c>
      <c r="BJ20" s="147"/>
      <c r="BK20" s="1533" t="s">
        <v>1190</v>
      </c>
      <c r="BL20" s="1533"/>
      <c r="BM20" s="1533"/>
      <c r="BN20" s="1533"/>
      <c r="BO20" s="1533"/>
      <c r="BP20" s="1533"/>
      <c r="BQ20" s="1533"/>
      <c r="BR20" s="1533"/>
      <c r="BS20" s="1533"/>
      <c r="BT20" s="1533"/>
      <c r="BU20" s="1533"/>
      <c r="BV20" s="1533"/>
      <c r="BW20" s="1533"/>
      <c r="BX20" s="1533"/>
      <c r="BY20" s="1533"/>
      <c r="BZ20" s="1534"/>
      <c r="CB20" s="147"/>
      <c r="CC20" s="1533" t="s">
        <v>1018</v>
      </c>
      <c r="CD20" s="1533"/>
      <c r="CE20" s="1533"/>
      <c r="CF20" s="1533"/>
      <c r="CG20" s="1533"/>
      <c r="CH20" s="1533"/>
      <c r="CI20" s="1533"/>
      <c r="CJ20" s="1533"/>
      <c r="CK20" s="1533"/>
      <c r="CL20" s="1533"/>
      <c r="CM20" s="1533"/>
      <c r="CN20" s="1533"/>
      <c r="CO20" s="1533"/>
      <c r="CP20" s="1533"/>
      <c r="CQ20" s="1533"/>
      <c r="CR20" s="1534"/>
      <c r="CT20" s="147"/>
      <c r="CU20" s="1535" t="s">
        <v>1192</v>
      </c>
      <c r="CV20" s="1535"/>
      <c r="CW20" s="1535"/>
      <c r="CX20" s="1535"/>
      <c r="CY20" s="1535"/>
      <c r="CZ20" s="1535"/>
      <c r="DA20" s="1535"/>
      <c r="DB20" s="1535"/>
      <c r="DC20" s="1535"/>
      <c r="DD20" s="1535"/>
      <c r="DE20" s="1535"/>
      <c r="DF20" s="1535"/>
      <c r="DG20" s="1535"/>
      <c r="DH20" s="1535"/>
      <c r="DI20" s="1535"/>
      <c r="DJ20" s="1536"/>
      <c r="DN20" s="1535" t="s">
        <v>1098</v>
      </c>
      <c r="DO20" s="1535"/>
      <c r="DP20" s="1535"/>
      <c r="DQ20" s="1535"/>
      <c r="DR20" s="1535"/>
      <c r="DS20" s="1535"/>
      <c r="DT20" s="1535"/>
      <c r="DU20" s="1535"/>
      <c r="DV20" s="1535"/>
      <c r="DW20" s="1535"/>
      <c r="DX20" s="1535"/>
      <c r="DY20" s="1535"/>
      <c r="DZ20" s="1535"/>
      <c r="EA20" s="1535"/>
      <c r="EB20" s="1535"/>
      <c r="EC20" s="1535"/>
      <c r="ED20" s="1535"/>
      <c r="EE20" s="1535"/>
      <c r="EF20" s="1536"/>
    </row>
    <row r="21" spans="2:155" ht="33.75" customHeight="1" thickTop="1" thickBot="1" x14ac:dyDescent="0.3">
      <c r="B21" s="1515" t="s">
        <v>6</v>
      </c>
      <c r="C21" s="1515"/>
      <c r="D21" s="98" t="s">
        <v>8</v>
      </c>
      <c r="E21" s="229"/>
      <c r="F21" s="229" t="s">
        <v>84</v>
      </c>
      <c r="G21" s="426">
        <f>'3. ServiceStats Set Up'!$C$28</f>
        <v>0</v>
      </c>
      <c r="H21" s="427" t="str">
        <f>IFERROR(IF(G21+1&lt;='3. ServiceStats Set Up'!$C$29, 'Visits Input'!G21+1, ""), "")</f>
        <v/>
      </c>
      <c r="I21" s="427" t="str">
        <f>IFERROR(IF(H21+1&lt;='3. ServiceStats Set Up'!$C$29, 'Visits Input'!H21+1, ""), "")</f>
        <v/>
      </c>
      <c r="J21" s="427" t="str">
        <f>IFERROR(IF(I21+1&lt;='3. ServiceStats Set Up'!$C$29, 'Visits Input'!I21+1, ""), "")</f>
        <v/>
      </c>
      <c r="K21" s="427" t="str">
        <f>IFERROR(IF(J21+1&lt;='3. ServiceStats Set Up'!$C$29, 'Visits Input'!J21+1, ""), "")</f>
        <v/>
      </c>
      <c r="L21" s="427" t="str">
        <f>IFERROR(IF(K21+1&lt;='3. ServiceStats Set Up'!$C$29, 'Visits Input'!K21+1, ""), "")</f>
        <v/>
      </c>
      <c r="M21" s="427" t="str">
        <f>IFERROR(IF(L21+1&lt;='3. ServiceStats Set Up'!$C$29, 'Visits Input'!L21+1, ""), "")</f>
        <v/>
      </c>
      <c r="N21" s="427" t="str">
        <f>IFERROR(IF(M21+1&lt;='3. ServiceStats Set Up'!$C$29, 'Visits Input'!M21+1, ""), "")</f>
        <v/>
      </c>
      <c r="O21" s="427" t="str">
        <f>IFERROR(IF(N21+1&lt;='3. ServiceStats Set Up'!$C$29, 'Visits Input'!N21+1, ""), "")</f>
        <v/>
      </c>
      <c r="P21" s="427" t="str">
        <f>IFERROR(IF(O21+1&lt;='3. ServiceStats Set Up'!$C$29, 'Visits Input'!O21+1, ""), "")</f>
        <v/>
      </c>
      <c r="Q21" s="427" t="str">
        <f>IFERROR(IF(P21+1&lt;='3. ServiceStats Set Up'!$C$29, 'Visits Input'!P21+1, ""), "")</f>
        <v/>
      </c>
      <c r="R21" s="427" t="str">
        <f>IFERROR(IF(Q21+1&lt;='3. ServiceStats Set Up'!$C$29, 'Visits Input'!Q21+1, ""), "")</f>
        <v/>
      </c>
      <c r="S21" s="427" t="str">
        <f>IFERROR(IF(R21+1&lt;='3. ServiceStats Set Up'!$C$29, 'Visits Input'!R21+1, ""), "")</f>
        <v/>
      </c>
      <c r="T21" s="427" t="str">
        <f>IFERROR(IF(S21+1&lt;='3. ServiceStats Set Up'!$C$29, 'Visits Input'!S21+1, ""), "")</f>
        <v/>
      </c>
      <c r="U21" s="427" t="str">
        <f>IFERROR(IF(T21+1&lt;='3. ServiceStats Set Up'!$C$29, 'Visits Input'!T21+1, ""), "")</f>
        <v/>
      </c>
      <c r="V21" s="428" t="str">
        <f>IFERROR(IF(U21+1&lt;='3. ServiceStats Set Up'!$C$29, 'Visits Input'!U21+1, ""), "")</f>
        <v/>
      </c>
      <c r="AA21" s="150"/>
      <c r="AB21" s="426">
        <f>'3. ServiceStats Set Up'!$C$28</f>
        <v>0</v>
      </c>
      <c r="AC21" s="427" t="str">
        <f>IFERROR(IF(AB21+1&lt;='3. ServiceStats Set Up'!$C$29, 'Visits Input'!AB21+1, ""), "")</f>
        <v/>
      </c>
      <c r="AD21" s="427" t="str">
        <f>IFERROR(IF(AC21+1&lt;='3. ServiceStats Set Up'!$C$29, 'Visits Input'!AC21+1, ""), "")</f>
        <v/>
      </c>
      <c r="AE21" s="427" t="str">
        <f>IFERROR(IF(AD21+1&lt;='3. ServiceStats Set Up'!$C$29, 'Visits Input'!AD21+1, ""), "")</f>
        <v/>
      </c>
      <c r="AF21" s="427" t="str">
        <f>IFERROR(IF(AE21+1&lt;='3. ServiceStats Set Up'!$C$29, 'Visits Input'!AE21+1, ""), "")</f>
        <v/>
      </c>
      <c r="AG21" s="427" t="str">
        <f>IFERROR(IF(AF21+1&lt;='3. ServiceStats Set Up'!$C$29, 'Visits Input'!AF21+1, ""), "")</f>
        <v/>
      </c>
      <c r="AH21" s="427" t="str">
        <f>IFERROR(IF(AG21+1&lt;='3. ServiceStats Set Up'!$C$29, 'Visits Input'!AG21+1, ""), "")</f>
        <v/>
      </c>
      <c r="AI21" s="427" t="str">
        <f>IFERROR(IF(AH21+1&lt;='3. ServiceStats Set Up'!$C$29, 'Visits Input'!AH21+1, ""), "")</f>
        <v/>
      </c>
      <c r="AJ21" s="427" t="str">
        <f>IFERROR(IF(AI21+1&lt;='3. ServiceStats Set Up'!$C$29, 'Visits Input'!AI21+1, ""), "")</f>
        <v/>
      </c>
      <c r="AK21" s="427" t="str">
        <f>IFERROR(IF(AJ21+1&lt;='3. ServiceStats Set Up'!$C$29, 'Visits Input'!AJ21+1, ""), "")</f>
        <v/>
      </c>
      <c r="AL21" s="427" t="str">
        <f>IFERROR(IF(AK21+1&lt;='3. ServiceStats Set Up'!$C$29, 'Visits Input'!AK21+1, ""), "")</f>
        <v/>
      </c>
      <c r="AM21" s="427" t="str">
        <f>IFERROR(IF(AL21+1&lt;='3. ServiceStats Set Up'!$C$29, 'Visits Input'!AL21+1, ""), "")</f>
        <v/>
      </c>
      <c r="AN21" s="427" t="str">
        <f>IFERROR(IF(AM21+1&lt;='3. ServiceStats Set Up'!$C$29, 'Visits Input'!AM21+1, ""), "")</f>
        <v/>
      </c>
      <c r="AO21" s="427" t="str">
        <f>IFERROR(IF(AN21+1&lt;='3. ServiceStats Set Up'!$C$29, 'Visits Input'!AN21+1, ""), "")</f>
        <v/>
      </c>
      <c r="AP21" s="427" t="str">
        <f>IFERROR(IF(AO21+1&lt;='3. ServiceStats Set Up'!$C$29, 'Visits Input'!AO21+1, ""), "")</f>
        <v/>
      </c>
      <c r="AQ21" s="428" t="str">
        <f>IFERROR(IF(AP21+1&lt;='3. ServiceStats Set Up'!$C$29, 'Visits Input'!AP21+1, ""), "")</f>
        <v/>
      </c>
      <c r="AR21" s="537" t="str">
        <f>'4. FPSource Set Up'!D10</f>
        <v>No DHS Available - replace with your own data if available</v>
      </c>
      <c r="BA21" s="184" t="s">
        <v>1276</v>
      </c>
      <c r="BC21" s="184" t="s">
        <v>1308</v>
      </c>
      <c r="BJ21" s="150"/>
      <c r="BK21" s="426">
        <f>'3. ServiceStats Set Up'!$C$28</f>
        <v>0</v>
      </c>
      <c r="BL21" s="427" t="str">
        <f>IFERROR(IF(BK21+1&lt;='3. ServiceStats Set Up'!$C$29, 'Visits Input'!BK21+1, ""), "")</f>
        <v/>
      </c>
      <c r="BM21" s="427" t="str">
        <f>IFERROR(IF(BL21+1&lt;='3. ServiceStats Set Up'!$C$29, 'Visits Input'!BL21+1, ""), "")</f>
        <v/>
      </c>
      <c r="BN21" s="427" t="str">
        <f>IFERROR(IF(BM21+1&lt;='3. ServiceStats Set Up'!$C$29, 'Visits Input'!BM21+1, ""), "")</f>
        <v/>
      </c>
      <c r="BO21" s="427" t="str">
        <f>IFERROR(IF(BN21+1&lt;='3. ServiceStats Set Up'!$C$29, 'Visits Input'!BN21+1, ""), "")</f>
        <v/>
      </c>
      <c r="BP21" s="427" t="str">
        <f>IFERROR(IF(BO21+1&lt;='3. ServiceStats Set Up'!$C$29, 'Visits Input'!BO21+1, ""), "")</f>
        <v/>
      </c>
      <c r="BQ21" s="427" t="str">
        <f>IFERROR(IF(BP21+1&lt;='3. ServiceStats Set Up'!$C$29, 'Visits Input'!BP21+1, ""), "")</f>
        <v/>
      </c>
      <c r="BR21" s="427" t="str">
        <f>IFERROR(IF(BQ21+1&lt;='3. ServiceStats Set Up'!$C$29, 'Visits Input'!BQ21+1, ""), "")</f>
        <v/>
      </c>
      <c r="BS21" s="427" t="str">
        <f>IFERROR(IF(BR21+1&lt;='3. ServiceStats Set Up'!$C$29, 'Visits Input'!BR21+1, ""), "")</f>
        <v/>
      </c>
      <c r="BT21" s="427" t="str">
        <f>IFERROR(IF(BS21+1&lt;='3. ServiceStats Set Up'!$C$29, 'Visits Input'!BS21+1, ""), "")</f>
        <v/>
      </c>
      <c r="BU21" s="427" t="str">
        <f>IFERROR(IF(BT21+1&lt;='3. ServiceStats Set Up'!$C$29, 'Visits Input'!BT21+1, ""), "")</f>
        <v/>
      </c>
      <c r="BV21" s="427" t="str">
        <f>IFERROR(IF(BU21+1&lt;='3. ServiceStats Set Up'!$C$29, 'Visits Input'!BU21+1, ""), "")</f>
        <v/>
      </c>
      <c r="BW21" s="427" t="str">
        <f>IFERROR(IF(BV21+1&lt;='3. ServiceStats Set Up'!$C$29, 'Visits Input'!BV21+1, ""), "")</f>
        <v/>
      </c>
      <c r="BX21" s="427" t="str">
        <f>IFERROR(IF(BW21+1&lt;='3. ServiceStats Set Up'!$C$29, 'Visits Input'!BW21+1, ""), "")</f>
        <v/>
      </c>
      <c r="BY21" s="427" t="str">
        <f>IFERROR(IF(BX21+1&lt;='3. ServiceStats Set Up'!$C$29, 'Visits Input'!BX21+1, ""), "")</f>
        <v/>
      </c>
      <c r="BZ21" s="428" t="str">
        <f>IFERROR(IF(BY21+1&lt;='3. ServiceStats Set Up'!$C$29, 'Visits Input'!BY21+1, ""), "")</f>
        <v/>
      </c>
      <c r="CB21" s="150"/>
      <c r="CC21" s="426">
        <f>'3. ServiceStats Set Up'!$C$28</f>
        <v>0</v>
      </c>
      <c r="CD21" s="427" t="str">
        <f>IFERROR(IF(CC21+1&lt;='3. ServiceStats Set Up'!$C$29, 'Visits Input'!CC21+1, ""), "")</f>
        <v/>
      </c>
      <c r="CE21" s="427" t="str">
        <f>IFERROR(IF(CD21+1&lt;='3. ServiceStats Set Up'!$C$29, 'Visits Input'!CD21+1, ""), "")</f>
        <v/>
      </c>
      <c r="CF21" s="427" t="str">
        <f>IFERROR(IF(CE21+1&lt;='3. ServiceStats Set Up'!$C$29, 'Visits Input'!CE21+1, ""), "")</f>
        <v/>
      </c>
      <c r="CG21" s="427" t="str">
        <f>IFERROR(IF(CF21+1&lt;='3. ServiceStats Set Up'!$C$29, 'Visits Input'!CF21+1, ""), "")</f>
        <v/>
      </c>
      <c r="CH21" s="427" t="str">
        <f>IFERROR(IF(CG21+1&lt;='3. ServiceStats Set Up'!$C$29, 'Visits Input'!CG21+1, ""), "")</f>
        <v/>
      </c>
      <c r="CI21" s="427" t="str">
        <f>IFERROR(IF(CH21+1&lt;='3. ServiceStats Set Up'!$C$29, 'Visits Input'!CH21+1, ""), "")</f>
        <v/>
      </c>
      <c r="CJ21" s="427" t="str">
        <f>IFERROR(IF(CI21+1&lt;='3. ServiceStats Set Up'!$C$29, 'Visits Input'!CI21+1, ""), "")</f>
        <v/>
      </c>
      <c r="CK21" s="427" t="str">
        <f>IFERROR(IF(CJ21+1&lt;='3. ServiceStats Set Up'!$C$29, 'Visits Input'!CJ21+1, ""), "")</f>
        <v/>
      </c>
      <c r="CL21" s="427" t="str">
        <f>IFERROR(IF(CK21+1&lt;='3. ServiceStats Set Up'!$C$29, 'Visits Input'!CK21+1, ""), "")</f>
        <v/>
      </c>
      <c r="CM21" s="427" t="str">
        <f>IFERROR(IF(CL21+1&lt;='3. ServiceStats Set Up'!$C$29, 'Visits Input'!CL21+1, ""), "")</f>
        <v/>
      </c>
      <c r="CN21" s="427" t="str">
        <f>IFERROR(IF(CM21+1&lt;='3. ServiceStats Set Up'!$C$29, 'Visits Input'!CM21+1, ""), "")</f>
        <v/>
      </c>
      <c r="CO21" s="427" t="str">
        <f>IFERROR(IF(CN21+1&lt;='3. ServiceStats Set Up'!$C$29, 'Visits Input'!CN21+1, ""), "")</f>
        <v/>
      </c>
      <c r="CP21" s="427" t="str">
        <f>IFERROR(IF(CO21+1&lt;='3. ServiceStats Set Up'!$C$29, 'Visits Input'!CO21+1, ""), "")</f>
        <v/>
      </c>
      <c r="CQ21" s="427" t="str">
        <f>IFERROR(IF(CP21+1&lt;='3. ServiceStats Set Up'!$C$29, 'Visits Input'!CP21+1, ""), "")</f>
        <v/>
      </c>
      <c r="CR21" s="428" t="str">
        <f>IFERROR(IF(CQ21+1&lt;='3. ServiceStats Set Up'!$C$29, 'Visits Input'!CQ21+1, ""), "")</f>
        <v/>
      </c>
      <c r="CS21" s="1542" t="s">
        <v>1191</v>
      </c>
      <c r="CT21" s="147"/>
      <c r="CU21" s="426">
        <f>'3. ServiceStats Set Up'!$C$28</f>
        <v>0</v>
      </c>
      <c r="CV21" s="427" t="str">
        <f>IFERROR(IF(CU21+1&lt;='3. ServiceStats Set Up'!$C$29, 'Visits Input'!CU21+1, ""), "")</f>
        <v/>
      </c>
      <c r="CW21" s="427" t="str">
        <f>IFERROR(IF(CV21+1&lt;='3. ServiceStats Set Up'!$C$29, 'Visits Input'!CV21+1, ""), "")</f>
        <v/>
      </c>
      <c r="CX21" s="427" t="str">
        <f>IFERROR(IF(CW21+1&lt;='3. ServiceStats Set Up'!$C$29, 'Visits Input'!CW21+1, ""), "")</f>
        <v/>
      </c>
      <c r="CY21" s="427" t="str">
        <f>IFERROR(IF(CX21+1&lt;='3. ServiceStats Set Up'!$C$29, 'Visits Input'!CX21+1, ""), "")</f>
        <v/>
      </c>
      <c r="CZ21" s="427" t="str">
        <f>IFERROR(IF(CY21+1&lt;='3. ServiceStats Set Up'!$C$29, 'Visits Input'!CY21+1, ""), "")</f>
        <v/>
      </c>
      <c r="DA21" s="427" t="str">
        <f>IFERROR(IF(CZ21+1&lt;='3. ServiceStats Set Up'!$C$29, 'Visits Input'!CZ21+1, ""), "")</f>
        <v/>
      </c>
      <c r="DB21" s="427" t="str">
        <f>IFERROR(IF(DA21+1&lt;='3. ServiceStats Set Up'!$C$29, 'Visits Input'!DA21+1, ""), "")</f>
        <v/>
      </c>
      <c r="DC21" s="427" t="str">
        <f>IFERROR(IF(DB21+1&lt;='3. ServiceStats Set Up'!$C$29, 'Visits Input'!DB21+1, ""), "")</f>
        <v/>
      </c>
      <c r="DD21" s="427" t="str">
        <f>IFERROR(IF(DC21+1&lt;='3. ServiceStats Set Up'!$C$29, 'Visits Input'!DC21+1, ""), "")</f>
        <v/>
      </c>
      <c r="DE21" s="427" t="str">
        <f>IFERROR(IF(DD21+1&lt;='3. ServiceStats Set Up'!$C$29, 'Visits Input'!DD21+1, ""), "")</f>
        <v/>
      </c>
      <c r="DF21" s="427" t="str">
        <f>IFERROR(IF(DE21+1&lt;='3. ServiceStats Set Up'!$C$29, 'Visits Input'!DE21+1, ""), "")</f>
        <v/>
      </c>
      <c r="DG21" s="427" t="str">
        <f>IFERROR(IF(DF21+1&lt;='3. ServiceStats Set Up'!$C$29, 'Visits Input'!DF21+1, ""), "")</f>
        <v/>
      </c>
      <c r="DH21" s="427" t="str">
        <f>IFERROR(IF(DG21+1&lt;='3. ServiceStats Set Up'!$C$29, 'Visits Input'!DG21+1, ""), "")</f>
        <v/>
      </c>
      <c r="DI21" s="427" t="str">
        <f>IFERROR(IF(DH21+1&lt;='3. ServiceStats Set Up'!$C$29, 'Visits Input'!DH21+1, ""), "")</f>
        <v/>
      </c>
      <c r="DJ21" s="428" t="str">
        <f>IFERROR(IF(DI21+1&lt;='3. ServiceStats Set Up'!$C$29, 'Visits Input'!DI21+1, ""), "")</f>
        <v/>
      </c>
      <c r="DN21" s="494">
        <f>CC21</f>
        <v>0</v>
      </c>
      <c r="DO21" s="494" t="str">
        <f>CD21</f>
        <v/>
      </c>
      <c r="DP21" s="494" t="str">
        <f>CE21</f>
        <v/>
      </c>
      <c r="DQ21" s="494" t="str">
        <f>CF21</f>
        <v/>
      </c>
      <c r="DR21" s="494" t="str">
        <f>CG21</f>
        <v/>
      </c>
      <c r="DS21" s="494" t="str">
        <f t="shared" ref="DS21:DZ21" si="6">CH21</f>
        <v/>
      </c>
      <c r="DT21" s="494" t="str">
        <f t="shared" si="6"/>
        <v/>
      </c>
      <c r="DU21" s="494" t="str">
        <f t="shared" si="6"/>
        <v/>
      </c>
      <c r="DV21" s="494" t="str">
        <f t="shared" si="6"/>
        <v/>
      </c>
      <c r="DW21" s="494" t="str">
        <f t="shared" si="6"/>
        <v/>
      </c>
      <c r="DX21" s="494" t="str">
        <f t="shared" si="6"/>
        <v/>
      </c>
      <c r="DY21" s="494" t="str">
        <f t="shared" si="6"/>
        <v/>
      </c>
      <c r="DZ21" s="494" t="str">
        <f t="shared" si="6"/>
        <v/>
      </c>
      <c r="EA21" s="801"/>
      <c r="EB21" s="801"/>
      <c r="EC21" s="801"/>
      <c r="ED21" s="1539" t="s">
        <v>1071</v>
      </c>
      <c r="EE21" s="1537" t="s">
        <v>731</v>
      </c>
    </row>
    <row r="22" spans="2:155" s="1" customFormat="1" ht="18.75" customHeight="1" thickBot="1" x14ac:dyDescent="0.3">
      <c r="B22" s="415" t="str">
        <f>IF(Language="English", 'Language Look Ups'!$O$5,IF(Language="Francais", 'Language Look Ups'!$S$5,  'Language Look Ups'!$Q$5))</f>
        <v>Méthodes à Long Terme et Permanentes</v>
      </c>
      <c r="C22" s="401"/>
      <c r="D22" s="402"/>
      <c r="E22" s="403"/>
      <c r="F22" s="177"/>
      <c r="G22" s="404"/>
      <c r="H22" s="405"/>
      <c r="I22" s="404"/>
      <c r="J22" s="405"/>
      <c r="K22" s="404"/>
      <c r="L22" s="405"/>
      <c r="M22" s="404"/>
      <c r="N22" s="405"/>
      <c r="O22" s="404"/>
      <c r="P22" s="405"/>
      <c r="Q22" s="404"/>
      <c r="R22" s="405"/>
      <c r="S22" s="404"/>
      <c r="T22" s="405"/>
      <c r="U22" s="404"/>
      <c r="V22" s="406"/>
      <c r="W22"/>
      <c r="X22"/>
      <c r="Y22"/>
      <c r="Z22"/>
      <c r="AA22" s="460" t="str">
        <f>B22</f>
        <v>Méthodes à Long Terme et Permanentes</v>
      </c>
      <c r="AB22" s="46"/>
      <c r="AC22" s="44"/>
      <c r="AD22" s="43"/>
      <c r="AE22" s="44"/>
      <c r="AF22" s="43"/>
      <c r="AG22" s="44"/>
      <c r="AH22" s="43"/>
      <c r="AI22" s="44"/>
      <c r="AJ22" s="44"/>
      <c r="AK22" s="44"/>
      <c r="AL22" s="44"/>
      <c r="AM22" s="44"/>
      <c r="AN22" s="44"/>
      <c r="AO22" s="44"/>
      <c r="AP22" s="44"/>
      <c r="AQ22" s="461"/>
      <c r="AS22"/>
      <c r="AT22"/>
      <c r="AU22"/>
      <c r="AV22"/>
      <c r="AW22"/>
      <c r="AX22"/>
      <c r="AY22"/>
      <c r="AZ22"/>
      <c r="BA22" s="184" t="s">
        <v>102</v>
      </c>
      <c r="BB22" s="184"/>
      <c r="BC22" s="184" t="s">
        <v>838</v>
      </c>
      <c r="BD22"/>
      <c r="BE22"/>
      <c r="BF22"/>
      <c r="BG22"/>
      <c r="BH22"/>
      <c r="BI22" s="181"/>
      <c r="BJ22" s="675"/>
      <c r="BK22" s="46"/>
      <c r="BL22" s="44"/>
      <c r="BM22" s="43"/>
      <c r="BN22" s="44"/>
      <c r="BO22" s="43"/>
      <c r="BP22" s="44"/>
      <c r="BQ22" s="43"/>
      <c r="BR22" s="44"/>
      <c r="BS22" s="44"/>
      <c r="BT22" s="44"/>
      <c r="BU22" s="44"/>
      <c r="BV22" s="44"/>
      <c r="BW22" s="44"/>
      <c r="BX22" s="44"/>
      <c r="BY22" s="44"/>
      <c r="BZ22" s="461"/>
      <c r="CB22" s="675"/>
      <c r="CC22" s="404"/>
      <c r="CD22" s="405"/>
      <c r="CE22" s="404"/>
      <c r="CF22" s="405"/>
      <c r="CG22" s="404"/>
      <c r="CH22" s="405"/>
      <c r="CI22" s="404"/>
      <c r="CJ22" s="405"/>
      <c r="CK22" s="404"/>
      <c r="CL22" s="405"/>
      <c r="CM22" s="404"/>
      <c r="CN22" s="405"/>
      <c r="CO22" s="404"/>
      <c r="CP22" s="405"/>
      <c r="CQ22" s="404"/>
      <c r="CR22" s="406"/>
      <c r="CS22" s="1542"/>
      <c r="CT22" s="675"/>
      <c r="CU22" s="404"/>
      <c r="CV22" s="405"/>
      <c r="CW22" s="404"/>
      <c r="CX22" s="405"/>
      <c r="CY22" s="404"/>
      <c r="CZ22" s="405"/>
      <c r="DA22" s="404"/>
      <c r="DB22" s="405"/>
      <c r="DC22" s="404"/>
      <c r="DD22" s="405"/>
      <c r="DE22" s="404"/>
      <c r="DF22" s="405"/>
      <c r="DG22" s="404"/>
      <c r="DH22" s="405"/>
      <c r="DI22" s="404"/>
      <c r="DJ22" s="406"/>
      <c r="DK22"/>
      <c r="DL22" s="352"/>
      <c r="DM22" s="352" t="s">
        <v>1099</v>
      </c>
      <c r="DN22" s="353" t="s">
        <v>300</v>
      </c>
      <c r="DO22" s="353" t="s">
        <v>301</v>
      </c>
      <c r="DP22" s="353" t="s">
        <v>302</v>
      </c>
      <c r="DQ22" s="353" t="s">
        <v>303</v>
      </c>
      <c r="DR22" s="353" t="s">
        <v>304</v>
      </c>
      <c r="DS22" s="353" t="s">
        <v>305</v>
      </c>
      <c r="DT22" s="353" t="s">
        <v>306</v>
      </c>
      <c r="DU22" s="353" t="s">
        <v>307</v>
      </c>
      <c r="DV22" s="353" t="s">
        <v>308</v>
      </c>
      <c r="DW22" s="391" t="s">
        <v>309</v>
      </c>
      <c r="DX22" s="353" t="s">
        <v>1061</v>
      </c>
      <c r="DY22" s="391" t="s">
        <v>1062</v>
      </c>
      <c r="DZ22" s="353" t="s">
        <v>1063</v>
      </c>
      <c r="EA22" s="802" t="s">
        <v>1116</v>
      </c>
      <c r="EB22" s="802" t="s">
        <v>1117</v>
      </c>
      <c r="EC22" s="802" t="s">
        <v>1118</v>
      </c>
      <c r="ED22" s="1540"/>
      <c r="EE22" s="1538"/>
      <c r="EF22"/>
      <c r="EG22"/>
      <c r="EH22"/>
      <c r="EI22"/>
      <c r="EJ22"/>
      <c r="EK22"/>
      <c r="EL22"/>
      <c r="EM22"/>
      <c r="EN22"/>
      <c r="EO22"/>
      <c r="EP22"/>
      <c r="EQ22"/>
      <c r="ER22"/>
      <c r="ES22"/>
      <c r="ET22"/>
      <c r="EU22"/>
      <c r="EV22"/>
      <c r="EW22"/>
      <c r="EX22"/>
      <c r="EY22"/>
    </row>
    <row r="23" spans="2:155" ht="17.25" customHeight="1" x14ac:dyDescent="0.25">
      <c r="B23" s="1480" t="str">
        <f>IF(Language="English",'Language Look Ups'!$O$6,IF(Language="Francais",'Language Look Ups'!$S$6,'Language Look Ups'!$Q$6))</f>
        <v>Stérilisation</v>
      </c>
      <c r="C23" s="363" t="str">
        <f>IF(Language="English", 'Language Look Ups'!$P$6,IF(Language="Francais", 'Language Look Ups'!$T$6, 'Language Look Ups'!$R$6))</f>
        <v>Ligature des trompes</v>
      </c>
      <c r="D23" s="407">
        <f>IF(OR(Country_Selected="India", Country_Selected = "Bangladesh", Country_Selected="Nepal"), 13, 10)</f>
        <v>10</v>
      </c>
      <c r="E23" s="408">
        <f>D23</f>
        <v>10</v>
      </c>
      <c r="F23" s="416" t="str">
        <f t="shared" ref="F23:F29" si="7">IF(Language="English", BA23, BC23)</f>
        <v>années de protection</v>
      </c>
      <c r="G23" s="409"/>
      <c r="H23" s="409"/>
      <c r="I23" s="409"/>
      <c r="J23" s="409"/>
      <c r="K23" s="409"/>
      <c r="L23" s="409"/>
      <c r="M23" s="409"/>
      <c r="N23" s="409"/>
      <c r="O23" s="409"/>
      <c r="P23" s="409"/>
      <c r="Q23" s="409"/>
      <c r="R23" s="409"/>
      <c r="S23" s="409"/>
      <c r="T23" s="409"/>
      <c r="U23" s="409"/>
      <c r="V23" s="411"/>
      <c r="AA23" s="462" t="str">
        <f>$C23</f>
        <v>Ligature des trompes</v>
      </c>
      <c r="AB23" s="1008" t="str">
        <f>IF(AB$21="", "", VLOOKUP($AA23,'4. FPSource Set Up'!$C$96:$H$117, 5, FALSE))</f>
        <v>n/a</v>
      </c>
      <c r="AC23" s="1009" t="str">
        <f>IF(AC$21="", "", VLOOKUP($AA23,'4. FPSource Set Up'!$C$96:$H$117, 5, FALSE))</f>
        <v/>
      </c>
      <c r="AD23" s="1009" t="str">
        <f>IF(AD$21="", "", VLOOKUP($AA23,'4. FPSource Set Up'!$C$96:$H$117, 5, FALSE))</f>
        <v/>
      </c>
      <c r="AE23" s="1009" t="str">
        <f>IF(AE$21="", "", VLOOKUP($AA23,'4. FPSource Set Up'!$C$96:$H$117, 5, FALSE))</f>
        <v/>
      </c>
      <c r="AF23" s="1009" t="str">
        <f>IF(AF$21="", "", VLOOKUP($AA23,'4. FPSource Set Up'!$C$96:$H$117, 5, FALSE))</f>
        <v/>
      </c>
      <c r="AG23" s="1009" t="str">
        <f>IF(AG$21="", "", VLOOKUP($AA23,'4. FPSource Set Up'!$C$96:$H$117, 5, FALSE))</f>
        <v/>
      </c>
      <c r="AH23" s="1009" t="str">
        <f>IF(AH$21="", "", VLOOKUP($AA23,'4. FPSource Set Up'!$C$96:$H$117, 5, FALSE))</f>
        <v/>
      </c>
      <c r="AI23" s="1009" t="str">
        <f>IF(AI$21="", "", VLOOKUP($AA23,'4. FPSource Set Up'!$C$96:$H$117, 5, FALSE))</f>
        <v/>
      </c>
      <c r="AJ23" s="1009" t="str">
        <f>IF(AJ$21="", "", VLOOKUP($AA23,'4. FPSource Set Up'!$C$96:$H$117, 5, FALSE))</f>
        <v/>
      </c>
      <c r="AK23" s="1009" t="str">
        <f>IF(AK$21="", "", VLOOKUP($AA23,'4. FPSource Set Up'!$C$96:$H$117, 5, FALSE))</f>
        <v/>
      </c>
      <c r="AL23" s="1009" t="str">
        <f>IF(AL$21="", "", VLOOKUP($AA23,'4. FPSource Set Up'!$C$96:$H$117, 5, FALSE))</f>
        <v/>
      </c>
      <c r="AM23" s="1009" t="str">
        <f>IF(AM$21="", "", VLOOKUP($AA23,'4. FPSource Set Up'!$C$96:$H$117, 5, FALSE))</f>
        <v/>
      </c>
      <c r="AN23" s="1009" t="str">
        <f>IF(AN$21="", "", VLOOKUP($AA23,'4. FPSource Set Up'!$C$96:$H$117, 5, FALSE))</f>
        <v/>
      </c>
      <c r="AO23" s="1009" t="str">
        <f>IF(AO$21="", "", VLOOKUP($AA23,'4. FPSource Set Up'!$C$96:$H$117, 5, FALSE))</f>
        <v/>
      </c>
      <c r="AP23" s="1009" t="str">
        <f>IF(AP$21="", "", VLOOKUP($AA23,'4. FPSource Set Up'!$C$96:$H$117, 5, FALSE))</f>
        <v/>
      </c>
      <c r="AQ23" s="1010" t="str">
        <f>IF(AQ$21="", "", VLOOKUP($AA23,'4. FPSource Set Up'!$C$96:$H$117, 5, FALSE))</f>
        <v/>
      </c>
      <c r="BA23" s="416" t="s">
        <v>9</v>
      </c>
      <c r="BC23" s="184" t="s">
        <v>835</v>
      </c>
      <c r="BJ23" s="843" t="str">
        <f>$C23</f>
        <v>Ligature des trompes</v>
      </c>
      <c r="BK23" s="844" t="str">
        <f>IF(OR(BK$10&lt;0.6,BK$10=""), "", IFERROR(CU23+(G23*$DN23),""))</f>
        <v/>
      </c>
      <c r="BL23" s="844" t="str">
        <f>IF(OR(BL$10&lt;0.6,BL$10=""), "", IFERROR(CV23+(G23*$DO23)+(H23*$DN23),""))</f>
        <v/>
      </c>
      <c r="BM23" s="844" t="str">
        <f>IF(OR(BM$10&lt;0.6, BM$10=""), "", IFERROR(CW23+(G23*$DP23)+(H23*$DO23)+(I23*$DN23),""))</f>
        <v/>
      </c>
      <c r="BN23" s="844" t="str">
        <f>IF(OR(BN$10&lt;0.6, BN$10=""),"", IFERROR(CX23+(G23*$DQ23)+(H23*$DP23)+(I23*$DO23)+(J23*$DN23), ""))</f>
        <v/>
      </c>
      <c r="BO23" s="844" t="str">
        <f>IF(OR(BO$10&lt;0.6,BO$10=""), "", IFERROR(CY23+(G23*$DR23)+(H23*$DQ23)+(I23*$DP23)+(J23*$DO23)+(K23*$DN23), ""))</f>
        <v/>
      </c>
      <c r="BP23" s="844" t="str">
        <f>IF(OR(BP$10&lt;0.6,BP$10=""), "", IFERROR(CZ23+(G23*$DS23)+(H23*$DR23)+(I23*$DQ23)+(J23*$DP23)+(K23*$DO23)+(L23*$DN23), ""))</f>
        <v/>
      </c>
      <c r="BQ23" s="844" t="str">
        <f>IF(OR(BQ$10&lt;0.6,BQ$10=""), "", IFERROR(DA23+(G23*$DT23)+(H23*$DS23)+(I23*$DR23)+(J23*$DQ23)+(K23*$DP23)+(L23*$DO23)+(M23*$DN23), ""))</f>
        <v/>
      </c>
      <c r="BR23" s="844" t="str">
        <f>IF(OR(BR$10&lt;0.6,BR$10=""), "", IFERROR(DB23+(G23*$DU23)+(H23*$DT23)+(I23*$DS23)+(J23*$DR23)+(K23*$DQ23)+(L23*$DP23)+(M23*$DO23)+(N23*$DN23), ""))</f>
        <v/>
      </c>
      <c r="BS23" s="844" t="str">
        <f>IF(OR(BS$10&lt;0.6,BS$10=""), "", IFERROR(DC23+(G23*$DV23)+(H23*$DU23)+(I23*$DT23)+(J23*$DS23)+(K23*$DR23)+(L23*$DQ23)+(M23*$DP23)+(N23*$DO23)+(O23*$DN23), ""))</f>
        <v/>
      </c>
      <c r="BT23" s="844" t="str">
        <f>IF(OR(BT$10&lt;0.6, BT$10=""),"", IFERROR(DD23+(G23*$DW23)+(H23*$DV23)+(I23*$DU23)+(J23*$DT23)+(K23*$DS23)+(L23*$DR23)+(M23*$DQ23)+(N23*$DP23)+(O23*$DO23)+(P23*$DN23), ""))</f>
        <v/>
      </c>
      <c r="BU23" s="844" t="str">
        <f>IF(OR(BU$10&lt;0.6,BU$10=""), "", IFERROR(DE23+(G23*$DX23)+(H23*$DW23)+(I23*$DV23)+(J23*$DU23)+(K23*$DT23)+(L23*$DS23)+(M23*$DR23)+(N23*$DQ23)+(O23*$DP23)+(P23*$DO23)+(Q23*$DN23), ""))</f>
        <v/>
      </c>
      <c r="BV23" s="844" t="str">
        <f>IF(OR(BV$10&lt;0.6,BV$10=""), "", IFERROR(DF23+(G23*$DY23)+(H23*$DX23)+(I23*$DW23)+(J23*$DV23)+(K23*$DU23)+(L23*$DT23)+(M23*$DS23)+(N23*$DR23)+(O23*$DQ23)+(P23*$DP23)+(Q23*$DO23)+(R23*$DN23), ""))</f>
        <v/>
      </c>
      <c r="BW23" s="844" t="str">
        <f>IF(OR(BW$10&lt;0.6,BW$10=""), "", IFERROR(DZ23+(G23*$DZ23)+(H23*$DY23)+(I23*$DX23)+(J23*$DW23)+(K23*$DV23)+(L23*$DU23)+(M23*$DT23)+(N23*$DS23)+(O23*$DR23)+(P23*$DQ23)+(Q23*$DP23)+(R23*$DO23)+(S23*$DN23), ""))</f>
        <v/>
      </c>
      <c r="BX23" s="844" t="str">
        <f>IF(OR(BX$10&lt;0.6,BX$10=""), "", IFERROR((H23*$DZ23)+(I23*$DY23)+(J23*$DX23)+(K23*$DW23)+(L23*$DV23)+(M23*$DU23)+(N23*$DT23)+(O23*$DS23)+(P23*$DR23)+(Q23*$DQ23)+(R23*$DP23)+(S23*$DO23)+(T23*$DN23), ""))</f>
        <v/>
      </c>
      <c r="BY23" s="844" t="str">
        <f>IF(OR(BY$10&lt;0.6,BY$10=""), "", IFERROR((I23*$DZ23)+(J23*$DY23)+(K23*$DX23)+(L23*$DW23)+(M23*$DV23)+(N23*$DU23)+(O23*$DT23)+(P23*$DS23)+(Q23*$DR23)+(R23*$DQ23)+(S23*$DP23)+(T23*$DO23)+(U23*$DN23), ""))</f>
        <v/>
      </c>
      <c r="BZ23" s="845" t="str">
        <f>IF(OR(BZ$10&lt;0.6,BZ$10=""), "", IFERROR((J23*$DZ23)+(K23*$DY23)+(L23*$DX23)+(M23*$DW23)+(N23*$DV23)+(O23*$DU23)+(P23*$DT23)+(Q23*$DS23)+(R23*$DR23)+(S23*$DQ23)+(T23*$DP23)+(U23*$DO23)+(V23*$DN23), ""))</f>
        <v/>
      </c>
      <c r="CB23" s="676" t="str">
        <f>$C23</f>
        <v>Ligature des trompes</v>
      </c>
      <c r="CC23" s="664" t="str">
        <f>IF(CC$21="", "", IF(BK23="", "", BK23*AB23))</f>
        <v/>
      </c>
      <c r="CD23" s="664" t="str">
        <f t="shared" ref="CD23:CR23" si="8">IF(CD$21="", "", IF(BL23="", "", BL23*AC23))</f>
        <v/>
      </c>
      <c r="CE23" s="664" t="str">
        <f t="shared" si="8"/>
        <v/>
      </c>
      <c r="CF23" s="664" t="str">
        <f t="shared" si="8"/>
        <v/>
      </c>
      <c r="CG23" s="664" t="str">
        <f t="shared" si="8"/>
        <v/>
      </c>
      <c r="CH23" s="664" t="str">
        <f t="shared" si="8"/>
        <v/>
      </c>
      <c r="CI23" s="664" t="str">
        <f t="shared" si="8"/>
        <v/>
      </c>
      <c r="CJ23" s="664" t="str">
        <f t="shared" si="8"/>
        <v/>
      </c>
      <c r="CK23" s="664" t="str">
        <f t="shared" si="8"/>
        <v/>
      </c>
      <c r="CL23" s="664" t="str">
        <f t="shared" si="8"/>
        <v/>
      </c>
      <c r="CM23" s="664" t="str">
        <f t="shared" si="8"/>
        <v/>
      </c>
      <c r="CN23" s="664" t="str">
        <f t="shared" si="8"/>
        <v/>
      </c>
      <c r="CO23" s="664" t="str">
        <f t="shared" si="8"/>
        <v/>
      </c>
      <c r="CP23" s="664" t="str">
        <f t="shared" si="8"/>
        <v/>
      </c>
      <c r="CQ23" s="664" t="str">
        <f t="shared" si="8"/>
        <v/>
      </c>
      <c r="CR23" s="664" t="str">
        <f t="shared" si="8"/>
        <v/>
      </c>
      <c r="CS23">
        <f>'3. ServiceStats Set Up'!K49</f>
        <v>1</v>
      </c>
      <c r="CT23" s="676" t="str">
        <f>$C23</f>
        <v>Ligature des trompes</v>
      </c>
      <c r="CU23" s="664">
        <f>IFERROR(($G23*SUM(DO23:$EC23)*$CS23), "")</f>
        <v>0</v>
      </c>
      <c r="CV23" s="664">
        <f>IFERROR(($G23*SUM(DP23:$EC23)*$CS23), "")</f>
        <v>0</v>
      </c>
      <c r="CW23" s="664">
        <f>IFERROR(($G23*SUM(DQ23:$EC23)*$CS23), "")</f>
        <v>0</v>
      </c>
      <c r="CX23" s="664">
        <f>IFERROR(($G23*SUM(DR23:$EC23)*$CS23), "")</f>
        <v>0</v>
      </c>
      <c r="CY23" s="664">
        <f>IFERROR(($G23*SUM(DS23:$EC23)*$CS23), "")</f>
        <v>0</v>
      </c>
      <c r="CZ23" s="664">
        <f>IFERROR(($G23*SUM(DT23:$EC23)*$CS23), "")</f>
        <v>0</v>
      </c>
      <c r="DA23" s="664">
        <f>IFERROR(($G23*SUM(DU23:$EC23)*$CS23), "")</f>
        <v>0</v>
      </c>
      <c r="DB23" s="664">
        <f>IFERROR(($G23*SUM(DV23:$EC23)*$CS23), "")</f>
        <v>0</v>
      </c>
      <c r="DC23" s="664">
        <f>IFERROR(($G23*SUM(DW23:$EC23)*$CS23), "")</f>
        <v>0</v>
      </c>
      <c r="DD23" s="664">
        <f>IFERROR(($G23*SUM(DX23:$EC23)*$CS23), "")</f>
        <v>0</v>
      </c>
      <c r="DE23" s="664">
        <f>IFERROR(($G23*SUM(DY23:$EC23)*$CS23), "")</f>
        <v>0</v>
      </c>
      <c r="DF23" s="664">
        <f>IFERROR(($G23*SUM(DZ23:$EC23)*$CS23), "")</f>
        <v>0</v>
      </c>
      <c r="DG23" s="664">
        <f>IFERROR(($G23*SUM(EA23:$EC23)*$CS23), "")</f>
        <v>0</v>
      </c>
      <c r="DH23" s="664">
        <f>IFERROR(($G23*SUM(EB23:$EC23)*$CS23), "")</f>
        <v>0</v>
      </c>
      <c r="DI23" s="664">
        <f>IFERROR(($G23*SUM(EC23:$EC23)*$CS23), "")</f>
        <v>0</v>
      </c>
      <c r="DJ23" s="664"/>
      <c r="DL23" s="1489" t="s">
        <v>1</v>
      </c>
      <c r="DM23" s="740" t="str">
        <f>CB23</f>
        <v>Ligature des trompes</v>
      </c>
      <c r="DN23" s="741">
        <f>$EE23</f>
        <v>1</v>
      </c>
      <c r="DO23" s="741">
        <f t="shared" ref="DO23:DW24" si="9">$EE23</f>
        <v>1</v>
      </c>
      <c r="DP23" s="741">
        <f t="shared" si="9"/>
        <v>1</v>
      </c>
      <c r="DQ23" s="741">
        <f t="shared" si="9"/>
        <v>1</v>
      </c>
      <c r="DR23" s="741">
        <f t="shared" si="9"/>
        <v>1</v>
      </c>
      <c r="DS23" s="741">
        <f t="shared" si="9"/>
        <v>1</v>
      </c>
      <c r="DT23" s="741">
        <f t="shared" si="9"/>
        <v>1</v>
      </c>
      <c r="DU23" s="741">
        <f t="shared" si="9"/>
        <v>1</v>
      </c>
      <c r="DV23" s="741">
        <f t="shared" si="9"/>
        <v>1</v>
      </c>
      <c r="DW23" s="741">
        <f t="shared" si="9"/>
        <v>1</v>
      </c>
      <c r="DX23" s="741">
        <f>IF(SUM($DN23:DW23)=$ED23, 0, $EE23)</f>
        <v>0</v>
      </c>
      <c r="DY23" s="741">
        <f>IF(SUM($DN23:DX23)=$ED23, 0, $EE23)</f>
        <v>0</v>
      </c>
      <c r="DZ23" s="741">
        <f>IF(SUM($DN23:DY23)=$ED23, 0, $EE23)</f>
        <v>0</v>
      </c>
      <c r="EA23" s="741">
        <f>IF(SUM($DN23:DZ23)=$ED23, 0, $EE23)</f>
        <v>0</v>
      </c>
      <c r="EB23" s="741">
        <f>IF(SUM($DN23:EA23)=$ED23, 0, $EE23)</f>
        <v>0</v>
      </c>
      <c r="EC23" s="741">
        <f>IF(SUM($DN23:EB23)=$ED23, 0, $EE23)</f>
        <v>0</v>
      </c>
      <c r="ED23" s="407">
        <f>IF(OR(Country_Selected="India", Country_Selected = "Bangladesh", Country_Selected="Nepal"), 13, 10)</f>
        <v>10</v>
      </c>
      <c r="EE23" s="395">
        <f t="shared" ref="EE23:EE29" si="10">IF(D23/ED23&gt;1, 1, D23/ED23)</f>
        <v>1</v>
      </c>
    </row>
    <row r="24" spans="2:155" ht="17.25" customHeight="1" x14ac:dyDescent="0.25">
      <c r="B24" s="1481"/>
      <c r="C24" s="275" t="str">
        <f>IF(Language="English",'Language Look Ups'!$P$7,IF(Language="Francais",'Language Look Ups'!$T$7,'Language Look Ups'!$R$7))</f>
        <v>Vasectomie</v>
      </c>
      <c r="D24" s="276">
        <f>IF(OR(Country_Selected="India", Country_Selected = "Bangladesh", Country_Selected="Nepal"), 13, 10)</f>
        <v>10</v>
      </c>
      <c r="E24" s="99">
        <f t="shared" ref="E24:E29" si="11">D24</f>
        <v>10</v>
      </c>
      <c r="F24" s="100" t="str">
        <f t="shared" si="7"/>
        <v>années de protection</v>
      </c>
      <c r="G24" s="284"/>
      <c r="H24" s="284"/>
      <c r="I24" s="284"/>
      <c r="J24" s="284"/>
      <c r="K24" s="284"/>
      <c r="L24" s="284"/>
      <c r="M24" s="284"/>
      <c r="N24" s="284"/>
      <c r="O24" s="284"/>
      <c r="P24" s="284"/>
      <c r="Q24" s="284"/>
      <c r="R24" s="284"/>
      <c r="S24" s="284"/>
      <c r="T24" s="284"/>
      <c r="U24" s="284"/>
      <c r="V24" s="412"/>
      <c r="AA24" s="463" t="str">
        <f t="shared" ref="AA24:AA29" si="12">$C24</f>
        <v>Vasectomie</v>
      </c>
      <c r="AB24" s="1035" t="str">
        <f>IF(AB$21="", "", VLOOKUP($AA24,'4. FPSource Set Up'!$C$96:$H$117, 5, FALSE))</f>
        <v>n/a</v>
      </c>
      <c r="AC24" s="1036" t="str">
        <f>IF(AC$21="", "", VLOOKUP($AA24,'4. FPSource Set Up'!$C$96:$H$117, 5, FALSE))</f>
        <v/>
      </c>
      <c r="AD24" s="1036" t="str">
        <f>IF(AD$21="", "", VLOOKUP($AA24,'4. FPSource Set Up'!$C$96:$H$117, 5, FALSE))</f>
        <v/>
      </c>
      <c r="AE24" s="1036" t="str">
        <f>IF(AE$21="", "", VLOOKUP($AA24,'4. FPSource Set Up'!$C$96:$H$117, 5, FALSE))</f>
        <v/>
      </c>
      <c r="AF24" s="1036" t="str">
        <f>IF(AF$21="", "", VLOOKUP($AA24,'4. FPSource Set Up'!$C$96:$H$117, 5, FALSE))</f>
        <v/>
      </c>
      <c r="AG24" s="1036" t="str">
        <f>IF(AG$21="", "", VLOOKUP($AA24,'4. FPSource Set Up'!$C$96:$H$117, 5, FALSE))</f>
        <v/>
      </c>
      <c r="AH24" s="1036" t="str">
        <f>IF(AH$21="", "", VLOOKUP($AA24,'4. FPSource Set Up'!$C$96:$H$117, 5, FALSE))</f>
        <v/>
      </c>
      <c r="AI24" s="1036" t="str">
        <f>IF(AI$21="", "", VLOOKUP($AA24,'4. FPSource Set Up'!$C$96:$H$117, 5, FALSE))</f>
        <v/>
      </c>
      <c r="AJ24" s="1036" t="str">
        <f>IF(AJ$21="", "", VLOOKUP($AA24,'4. FPSource Set Up'!$C$96:$H$117, 5, FALSE))</f>
        <v/>
      </c>
      <c r="AK24" s="1036" t="str">
        <f>IF(AK$21="", "", VLOOKUP($AA24,'4. FPSource Set Up'!$C$96:$H$117, 5, FALSE))</f>
        <v/>
      </c>
      <c r="AL24" s="1036" t="str">
        <f>IF(AL$21="", "", VLOOKUP($AA24,'4. FPSource Set Up'!$C$96:$H$117, 5, FALSE))</f>
        <v/>
      </c>
      <c r="AM24" s="1036" t="str">
        <f>IF(AM$21="", "", VLOOKUP($AA24,'4. FPSource Set Up'!$C$96:$H$117, 5, FALSE))</f>
        <v/>
      </c>
      <c r="AN24" s="1036" t="str">
        <f>IF(AN$21="", "", VLOOKUP($AA24,'4. FPSource Set Up'!$C$96:$H$117, 5, FALSE))</f>
        <v/>
      </c>
      <c r="AO24" s="1036" t="str">
        <f>IF(AO$21="", "", VLOOKUP($AA24,'4. FPSource Set Up'!$C$96:$H$117, 5, FALSE))</f>
        <v/>
      </c>
      <c r="AP24" s="1036" t="str">
        <f>IF(AP$21="", "", VLOOKUP($AA24,'4. FPSource Set Up'!$C$96:$H$117, 5, FALSE))</f>
        <v/>
      </c>
      <c r="AQ24" s="1037" t="str">
        <f>IF(AQ$21="", "", VLOOKUP($AA24,'4. FPSource Set Up'!$C$96:$H$117, 5, FALSE))</f>
        <v/>
      </c>
      <c r="BA24" s="100" t="s">
        <v>9</v>
      </c>
      <c r="BC24" s="184" t="s">
        <v>835</v>
      </c>
      <c r="BJ24" s="677" t="str">
        <f t="shared" ref="BJ24:BJ46" si="13">$C24</f>
        <v>Vasectomie</v>
      </c>
      <c r="BK24" s="667" t="str">
        <f t="shared" ref="BK24:BK29" si="14">IF(OR(BK$10&lt;0.6,BK$10=""), "", IFERROR(CU24+(G24*$DN24),""))</f>
        <v/>
      </c>
      <c r="BL24" s="668" t="str">
        <f t="shared" ref="BL24:BL29" si="15">IF(OR(BL$10&lt;0.6,BL$10=""), "", IFERROR(CV24+(G24*$DO24)+(H24*$DN24),""))</f>
        <v/>
      </c>
      <c r="BM24" s="667" t="str">
        <f t="shared" ref="BM24:BM29" si="16">IF(OR(BM$10&lt;0.6, BM$10=""), "", IFERROR(CW24+(G24*$DP24)+(H24*$DO24)+(I24*$DN24),""))</f>
        <v/>
      </c>
      <c r="BN24" s="667" t="str">
        <f t="shared" ref="BN24:BN29" si="17">IF(OR(BN$10&lt;0.6, BN$10=""),"", IFERROR(CX24+(G24*$DQ24)+(H24*$DP24)+(I24*$DO24)+(J24*$DN24), ""))</f>
        <v/>
      </c>
      <c r="BO24" s="667" t="str">
        <f t="shared" ref="BO24:BO29" si="18">IF(OR(BO$10&lt;0.6,BO$10=""), "", IFERROR(CY24+(G24*$DR24)+(H24*$DQ24)+(I24*$DP24)+(J24*$DO24)+(K24*$DN24), ""))</f>
        <v/>
      </c>
      <c r="BP24" s="667" t="str">
        <f t="shared" ref="BP24:BP29" si="19">IF(OR(BP$10&lt;0.6,BP$10=""), "", IFERROR(CZ24+(G24*$DS24)+(H24*$DR24)+(I24*$DQ24)+(J24*$DP24)+(K24*$DO24)+(L24*$DN24), ""))</f>
        <v/>
      </c>
      <c r="BQ24" s="667" t="str">
        <f t="shared" ref="BQ24:BQ29" si="20">IF(OR(BQ$10&lt;0.6,BQ$10=""), "", IFERROR(DA24+(G24*$DT24)+(H24*$DS24)+(I24*$DR24)+(J24*$DQ24)+(K24*$DP24)+(L24*$DO24)+(M24*$DN24), ""))</f>
        <v/>
      </c>
      <c r="BR24" s="667" t="str">
        <f t="shared" ref="BR24:BR29" si="21">IF(OR(BR$10&lt;0.6,BR$10=""), "", IFERROR(DB24+(G24*$DU24)+(H24*$DT24)+(I24*$DS24)+(J24*$DR24)+(K24*$DQ24)+(L24*$DP24)+(M24*$DO24)+(N24*$DN24), ""))</f>
        <v/>
      </c>
      <c r="BS24" s="667" t="str">
        <f t="shared" ref="BS24:BS29" si="22">IF(OR(BS$10&lt;0.6,BS$10=""), "", IFERROR(DC24+(G24*$DV24)+(H24*$DU24)+(I24*$DT24)+(J24*$DS24)+(K24*$DR24)+(L24*$DQ24)+(M24*$DP24)+(N24*$DO24)+(O24*$DN24), ""))</f>
        <v/>
      </c>
      <c r="BT24" s="667" t="str">
        <f t="shared" ref="BT24:BT29" si="23">IF(OR(BT$10&lt;0.6, BT$10=""),"", IFERROR(DD24+(G24*$DW24)+(H24*$DV24)+(I24*$DU24)+(J24*$DT24)+(K24*$DS24)+(L24*$DR24)+(M24*$DQ24)+(N24*$DP24)+(O24*$DO24)+(P24*$DN24), ""))</f>
        <v/>
      </c>
      <c r="BU24" s="667" t="str">
        <f t="shared" ref="BU24:BU29" si="24">IF(OR(BU$10&lt;0.6,BU$10=""), "", IFERROR(DE24+(G24*$DX24)+(H24*$DW24)+(I24*$DV24)+(J24*$DU24)+(K24*$DT24)+(L24*$DS24)+(M24*$DR24)+(N24*$DQ24)+(O24*$DP24)+(P24*$DO24)+(Q24*$DN24), ""))</f>
        <v/>
      </c>
      <c r="BV24" s="667" t="str">
        <f t="shared" ref="BV24:BV29" si="25">IF(OR(BV$10&lt;0.6,BV$10=""), "", IFERROR(DF24+(G24*$DY24)+(H24*$DX24)+(I24*$DW24)+(J24*$DV24)+(K24*$DU24)+(L24*$DT24)+(M24*$DS24)+(N24*$DR24)+(O24*$DQ24)+(P24*$DP24)+(Q24*$DO24)+(R24*$DN24), ""))</f>
        <v/>
      </c>
      <c r="BW24" s="667" t="str">
        <f t="shared" ref="BW24:BW29" si="26">IF(OR(BW$10&lt;0.6,BW$10=""), "", IFERROR(DZ24+(G24*$DZ24)+(H24*$DY24)+(I24*$DX24)+(J24*$DW24)+(K24*$DV24)+(L24*$DU24)+(M24*$DT24)+(N24*$DS24)+(O24*$DR24)+(P24*$DQ24)+(Q24*$DP24)+(R24*$DO24)+(S24*$DN24), ""))</f>
        <v/>
      </c>
      <c r="BX24" s="667" t="str">
        <f t="shared" ref="BX24:BZ29" si="27">IF(OR(BX$10&lt;0.6,BX$10=""), "", IFERROR((H24*$DZ24)+(I24*$DY24)+(J24*$DX24)+(K24*$DW24)+(L24*$DV24)+(M24*$DU24)+(N24*$DT24)+(O24*$DS24)+(P24*$DR24)+(Q24*$DQ24)+(R24*$DP24)+(S24*$DO24)+(T24*$DN24), ""))</f>
        <v/>
      </c>
      <c r="BY24" s="667" t="str">
        <f t="shared" si="27"/>
        <v/>
      </c>
      <c r="BZ24" s="846" t="str">
        <f t="shared" si="27"/>
        <v/>
      </c>
      <c r="CB24" s="677" t="str">
        <f t="shared" ref="CB24:CB46" si="28">$C24</f>
        <v>Vasectomie</v>
      </c>
      <c r="CC24" s="667" t="str">
        <f t="shared" ref="CC24:CC29" si="29">IF(CC$21="", "", IF(BK24="", "", BK24*AB24))</f>
        <v/>
      </c>
      <c r="CD24" s="668" t="str">
        <f t="shared" ref="CD24:CD29" si="30">IF(CD$21="", "", IF(BL24="", "", BL24*AC24))</f>
        <v/>
      </c>
      <c r="CE24" s="667" t="str">
        <f t="shared" ref="CE24:CE29" si="31">IF(CE$21="", "", IF(BM24="", "", BM24*AD24))</f>
        <v/>
      </c>
      <c r="CF24" s="667" t="str">
        <f t="shared" ref="CF24:CF29" si="32">IF(CF$21="", "", IF(BN24="", "", BN24*AE24))</f>
        <v/>
      </c>
      <c r="CG24" s="667" t="str">
        <f t="shared" ref="CG24:CG29" si="33">IF(CG$21="", "", IF(BO24="", "", BO24*AF24))</f>
        <v/>
      </c>
      <c r="CH24" s="667" t="str">
        <f t="shared" ref="CH24:CH29" si="34">IF(CH$21="", "", IF(BP24="", "", BP24*AG24))</f>
        <v/>
      </c>
      <c r="CI24" s="667" t="str">
        <f t="shared" ref="CI24:CI29" si="35">IF(CI$21="", "", IF(BQ24="", "", BQ24*AH24))</f>
        <v/>
      </c>
      <c r="CJ24" s="667" t="str">
        <f t="shared" ref="CJ24:CJ29" si="36">IF(CJ$21="", "", IF(BR24="", "", BR24*AI24))</f>
        <v/>
      </c>
      <c r="CK24" s="667" t="str">
        <f t="shared" ref="CK24:CK29" si="37">IF(CK$21="", "", IF(BS24="", "", BS24*AJ24))</f>
        <v/>
      </c>
      <c r="CL24" s="667" t="str">
        <f t="shared" ref="CL24:CL29" si="38">IF(CL$21="", "", IF(BT24="", "", BT24*AK24))</f>
        <v/>
      </c>
      <c r="CM24" s="667" t="str">
        <f t="shared" ref="CM24:CM29" si="39">IF(CM$21="", "", IF(BU24="", "", BU24*AL24))</f>
        <v/>
      </c>
      <c r="CN24" s="667" t="str">
        <f t="shared" ref="CN24:CN29" si="40">IF(CN$21="", "", IF(BV24="", "", BV24*AM24))</f>
        <v/>
      </c>
      <c r="CO24" s="667" t="str">
        <f t="shared" ref="CO24:CO29" si="41">IF(CO$21="", "", IF(BW24="", "", BW24*AN24))</f>
        <v/>
      </c>
      <c r="CP24" s="667" t="str">
        <f t="shared" ref="CP24:CP29" si="42">IF(CP$21="", "", IF(BX24="", "", BX24*AO24))</f>
        <v/>
      </c>
      <c r="CQ24" s="667" t="str">
        <f t="shared" ref="CQ24:CQ29" si="43">IF(CQ$21="", "", IF(BY24="", "", BY24*AP24))</f>
        <v/>
      </c>
      <c r="CR24" s="667" t="str">
        <f t="shared" ref="CR24:CR29" si="44">IF(CR$21="", "", IF(BZ24="", "", BZ24*AQ24))</f>
        <v/>
      </c>
      <c r="CS24">
        <f>'3. ServiceStats Set Up'!K50</f>
        <v>1</v>
      </c>
      <c r="CT24" s="677" t="str">
        <f t="shared" ref="CT24:CT46" si="45">$C24</f>
        <v>Vasectomie</v>
      </c>
      <c r="CU24" s="664">
        <f>IFERROR(($G24*SUM(DO24:$EC24)*$CS24), "")</f>
        <v>0</v>
      </c>
      <c r="CV24" s="664">
        <f>IFERROR(($G24*SUM(DP24:$EC24)*$CS24), "")</f>
        <v>0</v>
      </c>
      <c r="CW24" s="664">
        <f>IFERROR(($G24*SUM(DQ24:$EC24)*$CS24), "")</f>
        <v>0</v>
      </c>
      <c r="CX24" s="664">
        <f>IFERROR(($G24*SUM(DR24:$EC24)*$CS24), "")</f>
        <v>0</v>
      </c>
      <c r="CY24" s="664">
        <f>IFERROR(($G24*SUM(DS24:$EC24)*$CS24), "")</f>
        <v>0</v>
      </c>
      <c r="CZ24" s="664">
        <f>IFERROR(($G24*SUM(DT24:$EC24)*$CS24), "")</f>
        <v>0</v>
      </c>
      <c r="DA24" s="664">
        <f>IFERROR(($G24*SUM(DU24:$EC24)*$CS24), "")</f>
        <v>0</v>
      </c>
      <c r="DB24" s="664">
        <f>IFERROR(($G24*SUM(DV24:$EC24)*$CS24), "")</f>
        <v>0</v>
      </c>
      <c r="DC24" s="664">
        <f>IFERROR(($G24*SUM(DW24:$EC24)*$CS24), "")</f>
        <v>0</v>
      </c>
      <c r="DD24" s="664">
        <f>IFERROR(($G24*SUM(DX24:$EC24)*$CS24), "")</f>
        <v>0</v>
      </c>
      <c r="DE24" s="664">
        <f>IFERROR(($G24*SUM(DY24:$EC24)*$CS24), "")</f>
        <v>0</v>
      </c>
      <c r="DF24" s="664">
        <f>IFERROR(($G24*SUM(DZ24:$EC24)*$CS24), "")</f>
        <v>0</v>
      </c>
      <c r="DG24" s="664">
        <f>IFERROR(($G24*SUM(EA24:$EC24)*$CS24), "")</f>
        <v>0</v>
      </c>
      <c r="DH24" s="664">
        <f>IFERROR(($G24*SUM(EB24:$EC24)*$CS24), "")</f>
        <v>0</v>
      </c>
      <c r="DI24" s="664">
        <f>IFERROR(($G24*SUM(EC24:$EC24)*$CS24), "")</f>
        <v>0</v>
      </c>
      <c r="DJ24" s="664"/>
      <c r="DL24" s="1490"/>
      <c r="DM24" s="740" t="str">
        <f t="shared" ref="DM24:DM29" si="46">CB24</f>
        <v>Vasectomie</v>
      </c>
      <c r="DN24" s="741">
        <f>$EE24</f>
        <v>1</v>
      </c>
      <c r="DO24" s="741">
        <f t="shared" si="9"/>
        <v>1</v>
      </c>
      <c r="DP24" s="741">
        <f t="shared" si="9"/>
        <v>1</v>
      </c>
      <c r="DQ24" s="741">
        <f t="shared" si="9"/>
        <v>1</v>
      </c>
      <c r="DR24" s="741">
        <f t="shared" si="9"/>
        <v>1</v>
      </c>
      <c r="DS24" s="741">
        <f t="shared" si="9"/>
        <v>1</v>
      </c>
      <c r="DT24" s="741">
        <f t="shared" si="9"/>
        <v>1</v>
      </c>
      <c r="DU24" s="741">
        <f t="shared" si="9"/>
        <v>1</v>
      </c>
      <c r="DV24" s="741">
        <f t="shared" si="9"/>
        <v>1</v>
      </c>
      <c r="DW24" s="741">
        <f t="shared" si="9"/>
        <v>1</v>
      </c>
      <c r="DX24" s="741">
        <f>IF(SUM($DN24:DW24)=$ED24, 0, $EE24)</f>
        <v>0</v>
      </c>
      <c r="DY24" s="741">
        <f>IF(SUM($DN24:DX24)=$ED24, 0, $EE24)</f>
        <v>0</v>
      </c>
      <c r="DZ24" s="741">
        <f>IF(SUM($DN24:DY24)=$ED24, 0, $EE24)</f>
        <v>0</v>
      </c>
      <c r="EA24" s="741">
        <f>IF(SUM($DN24:DZ24)=$ED24, 0, $EE24)</f>
        <v>0</v>
      </c>
      <c r="EB24" s="741">
        <f>IF(SUM($DN24:EA24)=$ED24, 0, $EE24)</f>
        <v>0</v>
      </c>
      <c r="EC24" s="741">
        <f>IF(SUM($DN24:EB24)=$ED24, 0, $EE24)</f>
        <v>0</v>
      </c>
      <c r="ED24" s="276">
        <f>IF(OR(Country_Selected="India", Country_Selected = "Bangladesh", Country_Selected="Nepal"), 13, 10)</f>
        <v>10</v>
      </c>
      <c r="EE24" s="395">
        <f t="shared" si="10"/>
        <v>1</v>
      </c>
    </row>
    <row r="25" spans="2:155" ht="17.25" customHeight="1" x14ac:dyDescent="0.25">
      <c r="B25" s="1480" t="str">
        <f>IF(Language="English", 'Language Look Ups'!$O$8,IF(Language="Francais", 'Language Look Ups'!$S$8, 'Language Look Ups'!$Q$8))</f>
        <v>DIU</v>
      </c>
      <c r="C25" s="363" t="str">
        <f>IF(Language="English", 'Language Look Ups'!$P$8,IF(Language="Francais", 'Language Look Ups'!$T$8, 'Language Look Ups'!$R$8))</f>
        <v>Copper- T 380-A DIU</v>
      </c>
      <c r="D25" s="407">
        <v>4.5999999999999996</v>
      </c>
      <c r="E25" s="408">
        <f t="shared" si="11"/>
        <v>4.5999999999999996</v>
      </c>
      <c r="F25" s="416" t="str">
        <f t="shared" si="7"/>
        <v>années de protection</v>
      </c>
      <c r="G25" s="409"/>
      <c r="H25" s="409"/>
      <c r="I25" s="409"/>
      <c r="J25" s="409"/>
      <c r="K25" s="409"/>
      <c r="L25" s="409"/>
      <c r="M25" s="409"/>
      <c r="N25" s="409"/>
      <c r="O25" s="409"/>
      <c r="P25" s="409"/>
      <c r="Q25" s="409"/>
      <c r="R25" s="409"/>
      <c r="S25" s="409"/>
      <c r="T25" s="409"/>
      <c r="U25" s="409"/>
      <c r="V25" s="411"/>
      <c r="AA25" s="462" t="str">
        <f t="shared" si="12"/>
        <v>Copper- T 380-A DIU</v>
      </c>
      <c r="AB25" s="1008" t="str">
        <f>IF(AB$21="", "", VLOOKUP($AA25,'4. FPSource Set Up'!$C$96:$H$117, 5, FALSE))</f>
        <v>n/a</v>
      </c>
      <c r="AC25" s="1009" t="str">
        <f>IF(AC$21="", "", VLOOKUP($AA25,'4. FPSource Set Up'!$C$96:$H$117, 5, FALSE))</f>
        <v/>
      </c>
      <c r="AD25" s="1009" t="str">
        <f>IF(AD$21="", "", VLOOKUP($AA25,'4. FPSource Set Up'!$C$96:$H$117, 5, FALSE))</f>
        <v/>
      </c>
      <c r="AE25" s="1009" t="str">
        <f>IF(AE$21="", "", VLOOKUP($AA25,'4. FPSource Set Up'!$C$96:$H$117, 5, FALSE))</f>
        <v/>
      </c>
      <c r="AF25" s="1009" t="str">
        <f>IF(AF$21="", "", VLOOKUP($AA25,'4. FPSource Set Up'!$C$96:$H$117, 5, FALSE))</f>
        <v/>
      </c>
      <c r="AG25" s="1009" t="str">
        <f>IF(AG$21="", "", VLOOKUP($AA25,'4. FPSource Set Up'!$C$96:$H$117, 5, FALSE))</f>
        <v/>
      </c>
      <c r="AH25" s="1009" t="str">
        <f>IF(AH$21="", "", VLOOKUP($AA25,'4. FPSource Set Up'!$C$96:$H$117, 5, FALSE))</f>
        <v/>
      </c>
      <c r="AI25" s="1009" t="str">
        <f>IF(AI$21="", "", VLOOKUP($AA25,'4. FPSource Set Up'!$C$96:$H$117, 5, FALSE))</f>
        <v/>
      </c>
      <c r="AJ25" s="1009" t="str">
        <f>IF(AJ$21="", "", VLOOKUP($AA25,'4. FPSource Set Up'!$C$96:$H$117, 5, FALSE))</f>
        <v/>
      </c>
      <c r="AK25" s="1009" t="str">
        <f>IF(AK$21="", "", VLOOKUP($AA25,'4. FPSource Set Up'!$C$96:$H$117, 5, FALSE))</f>
        <v/>
      </c>
      <c r="AL25" s="1009" t="str">
        <f>IF(AL$21="", "", VLOOKUP($AA25,'4. FPSource Set Up'!$C$96:$H$117, 5, FALSE))</f>
        <v/>
      </c>
      <c r="AM25" s="1009" t="str">
        <f>IF(AM$21="", "", VLOOKUP($AA25,'4. FPSource Set Up'!$C$96:$H$117, 5, FALSE))</f>
        <v/>
      </c>
      <c r="AN25" s="1009" t="str">
        <f>IF(AN$21="", "", VLOOKUP($AA25,'4. FPSource Set Up'!$C$96:$H$117, 5, FALSE))</f>
        <v/>
      </c>
      <c r="AO25" s="1009" t="str">
        <f>IF(AO$21="", "", VLOOKUP($AA25,'4. FPSource Set Up'!$C$96:$H$117, 5, FALSE))</f>
        <v/>
      </c>
      <c r="AP25" s="1009" t="str">
        <f>IF(AP$21="", "", VLOOKUP($AA25,'4. FPSource Set Up'!$C$96:$H$117, 5, FALSE))</f>
        <v/>
      </c>
      <c r="AQ25" s="1010" t="str">
        <f>IF(AQ$21="", "", VLOOKUP($AA25,'4. FPSource Set Up'!$C$96:$H$117, 5, FALSE))</f>
        <v/>
      </c>
      <c r="BA25" s="416" t="s">
        <v>9</v>
      </c>
      <c r="BC25" s="184" t="s">
        <v>835</v>
      </c>
      <c r="BJ25" s="676" t="str">
        <f t="shared" si="13"/>
        <v>Copper- T 380-A DIU</v>
      </c>
      <c r="BK25" s="664" t="str">
        <f t="shared" si="14"/>
        <v/>
      </c>
      <c r="BL25" s="665" t="str">
        <f t="shared" si="15"/>
        <v/>
      </c>
      <c r="BM25" s="665" t="str">
        <f t="shared" si="16"/>
        <v/>
      </c>
      <c r="BN25" s="665" t="str">
        <f t="shared" si="17"/>
        <v/>
      </c>
      <c r="BO25" s="665" t="str">
        <f t="shared" si="18"/>
        <v/>
      </c>
      <c r="BP25" s="665" t="str">
        <f t="shared" si="19"/>
        <v/>
      </c>
      <c r="BQ25" s="665" t="str">
        <f t="shared" si="20"/>
        <v/>
      </c>
      <c r="BR25" s="665" t="str">
        <f t="shared" si="21"/>
        <v/>
      </c>
      <c r="BS25" s="665" t="str">
        <f t="shared" si="22"/>
        <v/>
      </c>
      <c r="BT25" s="665" t="str">
        <f t="shared" si="23"/>
        <v/>
      </c>
      <c r="BU25" s="665" t="str">
        <f t="shared" si="24"/>
        <v/>
      </c>
      <c r="BV25" s="665" t="str">
        <f t="shared" si="25"/>
        <v/>
      </c>
      <c r="BW25" s="665" t="str">
        <f t="shared" si="26"/>
        <v/>
      </c>
      <c r="BX25" s="665" t="str">
        <f t="shared" si="27"/>
        <v/>
      </c>
      <c r="BY25" s="665" t="str">
        <f t="shared" si="27"/>
        <v/>
      </c>
      <c r="BZ25" s="666" t="str">
        <f t="shared" si="27"/>
        <v/>
      </c>
      <c r="CB25" s="676" t="str">
        <f t="shared" si="28"/>
        <v>Copper- T 380-A DIU</v>
      </c>
      <c r="CC25" s="664" t="str">
        <f t="shared" si="29"/>
        <v/>
      </c>
      <c r="CD25" s="665" t="str">
        <f t="shared" si="30"/>
        <v/>
      </c>
      <c r="CE25" s="665" t="str">
        <f t="shared" si="31"/>
        <v/>
      </c>
      <c r="CF25" s="665" t="str">
        <f t="shared" si="32"/>
        <v/>
      </c>
      <c r="CG25" s="665" t="str">
        <f t="shared" si="33"/>
        <v/>
      </c>
      <c r="CH25" s="665" t="str">
        <f t="shared" si="34"/>
        <v/>
      </c>
      <c r="CI25" s="665" t="str">
        <f t="shared" si="35"/>
        <v/>
      </c>
      <c r="CJ25" s="665" t="str">
        <f t="shared" si="36"/>
        <v/>
      </c>
      <c r="CK25" s="665" t="str">
        <f t="shared" si="37"/>
        <v/>
      </c>
      <c r="CL25" s="665" t="str">
        <f t="shared" si="38"/>
        <v/>
      </c>
      <c r="CM25" s="665" t="str">
        <f t="shared" si="39"/>
        <v/>
      </c>
      <c r="CN25" s="665" t="str">
        <f t="shared" si="40"/>
        <v/>
      </c>
      <c r="CO25" s="665" t="str">
        <f t="shared" si="41"/>
        <v/>
      </c>
      <c r="CP25" s="665" t="str">
        <f t="shared" si="42"/>
        <v/>
      </c>
      <c r="CQ25" s="665" t="str">
        <f t="shared" si="43"/>
        <v/>
      </c>
      <c r="CR25" s="665" t="str">
        <f t="shared" si="44"/>
        <v/>
      </c>
      <c r="CS25">
        <f>'3. ServiceStats Set Up'!K51</f>
        <v>1</v>
      </c>
      <c r="CT25" s="676" t="str">
        <f t="shared" si="45"/>
        <v>Copper- T 380-A DIU</v>
      </c>
      <c r="CU25" s="664">
        <f>IFERROR(($G25*SUM(DO25:$EC25)*$CS25), "")</f>
        <v>0</v>
      </c>
      <c r="CV25" s="664">
        <f>IFERROR(($G25*SUM(DP25:$EC25)*$CS25), "")</f>
        <v>0</v>
      </c>
      <c r="CW25" s="664">
        <f>IFERROR(($G25*SUM(DQ25:$EC25)*$CS25), "")</f>
        <v>0</v>
      </c>
      <c r="CX25" s="664">
        <f>IFERROR(($G25*SUM(DR25:$EC25)*$CS25), "")</f>
        <v>0</v>
      </c>
      <c r="CY25" s="664">
        <f>IFERROR(($G25*SUM(DS25:$EC25)*$CS25), "")</f>
        <v>0</v>
      </c>
      <c r="CZ25" s="664">
        <f>IFERROR(($G25*SUM(DT25:$EC25)*$CS25), "")</f>
        <v>0</v>
      </c>
      <c r="DA25" s="664">
        <f>IFERROR(($G25*SUM(DU25:$EC25)*$CS25), "")</f>
        <v>0</v>
      </c>
      <c r="DB25" s="664">
        <f>IFERROR(($G25*SUM(DV25:$EC25)*$CS25), "")</f>
        <v>0</v>
      </c>
      <c r="DC25" s="664">
        <f>IFERROR(($G25*SUM(DW25:$EC25)*$CS25), "")</f>
        <v>0</v>
      </c>
      <c r="DD25" s="664">
        <f>IFERROR(($G25*SUM(DX25:$EC25)*$CS25), "")</f>
        <v>0</v>
      </c>
      <c r="DE25" s="664">
        <f>IFERROR(($G25*SUM(DY25:$EC25)*$CS25), "")</f>
        <v>0</v>
      </c>
      <c r="DF25" s="664">
        <f>IFERROR(($G25*SUM(DZ25:$EC25)*$CS25), "")</f>
        <v>0</v>
      </c>
      <c r="DG25" s="664">
        <f>IFERROR(($G25*SUM(EA25:$EC25)*$CS25), "")</f>
        <v>0</v>
      </c>
      <c r="DH25" s="664">
        <f>IFERROR(($G25*SUM(EB25:$EC25)*$CS25), "")</f>
        <v>0</v>
      </c>
      <c r="DI25" s="664">
        <f>IFERROR(($G25*SUM(EC25:$EC25)*$CS25), "")</f>
        <v>0</v>
      </c>
      <c r="DJ25" s="664"/>
      <c r="DL25" s="1484" t="s">
        <v>5</v>
      </c>
      <c r="DM25" s="388" t="str">
        <f>CB25</f>
        <v>Copper- T 380-A DIU</v>
      </c>
      <c r="DN25" s="351">
        <f>IFERROR(AVERAGE(DN6:DO6)*$EE25,0)</f>
        <v>0.91989443399999993</v>
      </c>
      <c r="DO25" s="351">
        <f t="shared" ref="DO25:DW25" si="47">IFERROR(AVERAGE(DO6:DP6)*$EE25,0)</f>
        <v>0.77251710549999997</v>
      </c>
      <c r="DP25" s="351">
        <f t="shared" si="47"/>
        <v>0.64875126550000006</v>
      </c>
      <c r="DQ25" s="351">
        <f t="shared" si="47"/>
        <v>0.544814091</v>
      </c>
      <c r="DR25" s="351">
        <f t="shared" si="47"/>
        <v>0.45752880900000004</v>
      </c>
      <c r="DS25" s="351">
        <f t="shared" si="47"/>
        <v>0.38422760050000004</v>
      </c>
      <c r="DT25" s="351">
        <f t="shared" si="47"/>
        <v>0.32267006149999999</v>
      </c>
      <c r="DU25" s="351">
        <f t="shared" si="47"/>
        <v>0.27097472550000001</v>
      </c>
      <c r="DV25" s="351">
        <f t="shared" si="47"/>
        <v>0.227561558</v>
      </c>
      <c r="DW25" s="351">
        <f t="shared" si="47"/>
        <v>0.18754970007702476</v>
      </c>
      <c r="DX25" s="351">
        <v>0</v>
      </c>
      <c r="DY25" s="351">
        <v>0</v>
      </c>
      <c r="DZ25" s="351">
        <v>0</v>
      </c>
      <c r="EA25" s="351">
        <v>0</v>
      </c>
      <c r="EB25" s="351">
        <v>0</v>
      </c>
      <c r="EC25" s="351">
        <v>0</v>
      </c>
      <c r="ED25" s="407">
        <v>4.5999999999999996</v>
      </c>
      <c r="EE25" s="395">
        <f t="shared" si="10"/>
        <v>1</v>
      </c>
    </row>
    <row r="26" spans="2:155" ht="17.25" customHeight="1" x14ac:dyDescent="0.25">
      <c r="B26" s="1481"/>
      <c r="C26" s="275" t="str">
        <f>IF(Language="English", 'Language Look Ups'!$P$9,IF(Language="Francais", 'Language Look Ups'!$T$9, 'Language Look Ups'!$R$9))</f>
        <v>DIU Hormonal (LNG-IUS)</v>
      </c>
      <c r="D26" s="276">
        <v>4.8</v>
      </c>
      <c r="E26" s="99">
        <f t="shared" si="11"/>
        <v>4.8</v>
      </c>
      <c r="F26" s="100" t="str">
        <f t="shared" si="7"/>
        <v>années de protection</v>
      </c>
      <c r="G26" s="284"/>
      <c r="H26" s="284"/>
      <c r="I26" s="284"/>
      <c r="J26" s="284"/>
      <c r="K26" s="284"/>
      <c r="L26" s="284"/>
      <c r="M26" s="284"/>
      <c r="N26" s="284"/>
      <c r="O26" s="284"/>
      <c r="P26" s="284"/>
      <c r="Q26" s="284"/>
      <c r="R26" s="284"/>
      <c r="S26" s="284"/>
      <c r="T26" s="284"/>
      <c r="U26" s="284"/>
      <c r="V26" s="412"/>
      <c r="AA26" s="463" t="str">
        <f t="shared" si="12"/>
        <v>DIU Hormonal (LNG-IUS)</v>
      </c>
      <c r="AB26" s="1035" t="str">
        <f>IF(AB$21="", "", VLOOKUP($AA26,'4. FPSource Set Up'!$C$96:$H$117, 5, FALSE))</f>
        <v>n/a</v>
      </c>
      <c r="AC26" s="1036" t="str">
        <f>IF(AC$21="", "", VLOOKUP($AA26,'4. FPSource Set Up'!$C$96:$H$117, 5, FALSE))</f>
        <v/>
      </c>
      <c r="AD26" s="1036" t="str">
        <f>IF(AD$21="", "", VLOOKUP($AA26,'4. FPSource Set Up'!$C$96:$H$117, 5, FALSE))</f>
        <v/>
      </c>
      <c r="AE26" s="1036" t="str">
        <f>IF(AE$21="", "", VLOOKUP($AA26,'4. FPSource Set Up'!$C$96:$H$117, 5, FALSE))</f>
        <v/>
      </c>
      <c r="AF26" s="1036" t="str">
        <f>IF(AF$21="", "", VLOOKUP($AA26,'4. FPSource Set Up'!$C$96:$H$117, 5, FALSE))</f>
        <v/>
      </c>
      <c r="AG26" s="1036" t="str">
        <f>IF(AG$21="", "", VLOOKUP($AA26,'4. FPSource Set Up'!$C$96:$H$117, 5, FALSE))</f>
        <v/>
      </c>
      <c r="AH26" s="1036" t="str">
        <f>IF(AH$21="", "", VLOOKUP($AA26,'4. FPSource Set Up'!$C$96:$H$117, 5, FALSE))</f>
        <v/>
      </c>
      <c r="AI26" s="1036" t="str">
        <f>IF(AI$21="", "", VLOOKUP($AA26,'4. FPSource Set Up'!$C$96:$H$117, 5, FALSE))</f>
        <v/>
      </c>
      <c r="AJ26" s="1036" t="str">
        <f>IF(AJ$21="", "", VLOOKUP($AA26,'4. FPSource Set Up'!$C$96:$H$117, 5, FALSE))</f>
        <v/>
      </c>
      <c r="AK26" s="1036" t="str">
        <f>IF(AK$21="", "", VLOOKUP($AA26,'4. FPSource Set Up'!$C$96:$H$117, 5, FALSE))</f>
        <v/>
      </c>
      <c r="AL26" s="1036" t="str">
        <f>IF(AL$21="", "", VLOOKUP($AA26,'4. FPSource Set Up'!$C$96:$H$117, 5, FALSE))</f>
        <v/>
      </c>
      <c r="AM26" s="1036" t="str">
        <f>IF(AM$21="", "", VLOOKUP($AA26,'4. FPSource Set Up'!$C$96:$H$117, 5, FALSE))</f>
        <v/>
      </c>
      <c r="AN26" s="1036" t="str">
        <f>IF(AN$21="", "", VLOOKUP($AA26,'4. FPSource Set Up'!$C$96:$H$117, 5, FALSE))</f>
        <v/>
      </c>
      <c r="AO26" s="1036" t="str">
        <f>IF(AO$21="", "", VLOOKUP($AA26,'4. FPSource Set Up'!$C$96:$H$117, 5, FALSE))</f>
        <v/>
      </c>
      <c r="AP26" s="1036" t="str">
        <f>IF(AP$21="", "", VLOOKUP($AA26,'4. FPSource Set Up'!$C$96:$H$117, 5, FALSE))</f>
        <v/>
      </c>
      <c r="AQ26" s="1037" t="str">
        <f>IF(AQ$21="", "", VLOOKUP($AA26,'4. FPSource Set Up'!$C$96:$H$117, 5, FALSE))</f>
        <v/>
      </c>
      <c r="BA26" s="100" t="s">
        <v>9</v>
      </c>
      <c r="BC26" s="184" t="s">
        <v>835</v>
      </c>
      <c r="BJ26" s="677" t="str">
        <f t="shared" si="13"/>
        <v>DIU Hormonal (LNG-IUS)</v>
      </c>
      <c r="BK26" s="667" t="str">
        <f t="shared" si="14"/>
        <v/>
      </c>
      <c r="BL26" s="668" t="str">
        <f t="shared" si="15"/>
        <v/>
      </c>
      <c r="BM26" s="667" t="str">
        <f t="shared" si="16"/>
        <v/>
      </c>
      <c r="BN26" s="667" t="str">
        <f t="shared" si="17"/>
        <v/>
      </c>
      <c r="BO26" s="667" t="str">
        <f t="shared" si="18"/>
        <v/>
      </c>
      <c r="BP26" s="667" t="str">
        <f t="shared" si="19"/>
        <v/>
      </c>
      <c r="BQ26" s="667" t="str">
        <f t="shared" si="20"/>
        <v/>
      </c>
      <c r="BR26" s="667" t="str">
        <f t="shared" si="21"/>
        <v/>
      </c>
      <c r="BS26" s="667" t="str">
        <f t="shared" si="22"/>
        <v/>
      </c>
      <c r="BT26" s="667" t="str">
        <f t="shared" si="23"/>
        <v/>
      </c>
      <c r="BU26" s="667" t="str">
        <f t="shared" si="24"/>
        <v/>
      </c>
      <c r="BV26" s="667" t="str">
        <f t="shared" si="25"/>
        <v/>
      </c>
      <c r="BW26" s="667" t="str">
        <f t="shared" si="26"/>
        <v/>
      </c>
      <c r="BX26" s="667" t="str">
        <f t="shared" si="27"/>
        <v/>
      </c>
      <c r="BY26" s="667" t="str">
        <f t="shared" si="27"/>
        <v/>
      </c>
      <c r="BZ26" s="846" t="str">
        <f t="shared" si="27"/>
        <v/>
      </c>
      <c r="CB26" s="677" t="str">
        <f t="shared" si="28"/>
        <v>DIU Hormonal (LNG-IUS)</v>
      </c>
      <c r="CC26" s="667" t="str">
        <f t="shared" si="29"/>
        <v/>
      </c>
      <c r="CD26" s="668" t="str">
        <f t="shared" si="30"/>
        <v/>
      </c>
      <c r="CE26" s="667" t="str">
        <f t="shared" si="31"/>
        <v/>
      </c>
      <c r="CF26" s="667" t="str">
        <f t="shared" si="32"/>
        <v/>
      </c>
      <c r="CG26" s="667" t="str">
        <f t="shared" si="33"/>
        <v/>
      </c>
      <c r="CH26" s="667" t="str">
        <f t="shared" si="34"/>
        <v/>
      </c>
      <c r="CI26" s="667" t="str">
        <f t="shared" si="35"/>
        <v/>
      </c>
      <c r="CJ26" s="667" t="str">
        <f t="shared" si="36"/>
        <v/>
      </c>
      <c r="CK26" s="667" t="str">
        <f t="shared" si="37"/>
        <v/>
      </c>
      <c r="CL26" s="667" t="str">
        <f t="shared" si="38"/>
        <v/>
      </c>
      <c r="CM26" s="667" t="str">
        <f t="shared" si="39"/>
        <v/>
      </c>
      <c r="CN26" s="667" t="str">
        <f t="shared" si="40"/>
        <v/>
      </c>
      <c r="CO26" s="667" t="str">
        <f t="shared" si="41"/>
        <v/>
      </c>
      <c r="CP26" s="667" t="str">
        <f t="shared" si="42"/>
        <v/>
      </c>
      <c r="CQ26" s="667" t="str">
        <f t="shared" si="43"/>
        <v/>
      </c>
      <c r="CR26" s="667" t="str">
        <f t="shared" si="44"/>
        <v/>
      </c>
      <c r="CS26">
        <f>'3. ServiceStats Set Up'!K52</f>
        <v>1</v>
      </c>
      <c r="CT26" s="677" t="str">
        <f t="shared" si="45"/>
        <v>DIU Hormonal (LNG-IUS)</v>
      </c>
      <c r="CU26" s="667">
        <f>IFERROR(($G26*SUM(DO26:$EC26)*$CS26), "")</f>
        <v>0</v>
      </c>
      <c r="CV26" s="667">
        <f>IFERROR(($G26*SUM(DP26:$EC26)*$CS26), "")</f>
        <v>0</v>
      </c>
      <c r="CW26" s="667">
        <f>IFERROR(($G26*SUM(DQ26:$EC26)*$CS26), "")</f>
        <v>0</v>
      </c>
      <c r="CX26" s="667">
        <f>IFERROR(($G26*SUM(DR26:$EC26)*$CS26), "")</f>
        <v>0</v>
      </c>
      <c r="CY26" s="667">
        <f>IFERROR(($G26*SUM(DS26:$EC26)*$CS26), "")</f>
        <v>0</v>
      </c>
      <c r="CZ26" s="667">
        <f>IFERROR(($G26*SUM(DT26:$EC26)*$CS26), "")</f>
        <v>0</v>
      </c>
      <c r="DA26" s="667">
        <f>IFERROR(($G26*SUM(DU26:$EC26)*$CS26), "")</f>
        <v>0</v>
      </c>
      <c r="DB26" s="667">
        <f>IFERROR(($G26*SUM(DV26:$EC26)*$CS26), "")</f>
        <v>0</v>
      </c>
      <c r="DC26" s="667">
        <f>IFERROR(($G26*SUM(DW26:$EC26)*$CS26), "")</f>
        <v>0</v>
      </c>
      <c r="DD26" s="667">
        <f>IFERROR(($G26*SUM(DX26:$EC26)*$CS26), "")</f>
        <v>0</v>
      </c>
      <c r="DE26" s="667">
        <f>IFERROR(($G26*SUM(DY26:$EC26)*$CS26), "")</f>
        <v>0</v>
      </c>
      <c r="DF26" s="667">
        <f>IFERROR(($G26*SUM(DZ26:$EC26)*$CS26), "")</f>
        <v>0</v>
      </c>
      <c r="DG26" s="667">
        <f>IFERROR(($G26*SUM(EA26:$EC26)*$CS26), "")</f>
        <v>0</v>
      </c>
      <c r="DH26" s="667">
        <f>IFERROR(($G26*SUM(EB26:$EC26)*$CS26), "")</f>
        <v>0</v>
      </c>
      <c r="DI26" s="667">
        <f>IFERROR(($G26*SUM(EC26:$EC26)*$CS26), "")</f>
        <v>0</v>
      </c>
      <c r="DJ26" s="667"/>
      <c r="DL26" s="1485"/>
      <c r="DM26" s="388" t="str">
        <f t="shared" si="46"/>
        <v>DIU Hormonal (LNG-IUS)</v>
      </c>
      <c r="DN26" s="351">
        <f t="shared" ref="DN26:EC29" si="48">IFERROR(AVERAGE(DN7:DO7)*$EE26,0)</f>
        <v>0.94546756633963991</v>
      </c>
      <c r="DO26" s="351">
        <f t="shared" ref="DO26:DW26" si="49">IFERROR(AVERAGE(DO7:DP7)*$EE26,0)</f>
        <v>0.84235027166076293</v>
      </c>
      <c r="DP26" s="351">
        <f t="shared" si="49"/>
        <v>0.7504794510445093</v>
      </c>
      <c r="DQ26" s="351">
        <f t="shared" si="49"/>
        <v>0.66862850928941309</v>
      </c>
      <c r="DR26" s="351">
        <f t="shared" si="49"/>
        <v>0.59570462963691229</v>
      </c>
      <c r="DS26" s="351">
        <f t="shared" si="49"/>
        <v>0.53073418324322374</v>
      </c>
      <c r="DT26" s="351">
        <f t="shared" si="49"/>
        <v>0.47284972996523078</v>
      </c>
      <c r="DU26" s="351">
        <f t="shared" si="49"/>
        <v>0.2227884127928926</v>
      </c>
      <c r="DV26" s="351">
        <f t="shared" si="49"/>
        <v>0</v>
      </c>
      <c r="DW26" s="351">
        <f t="shared" si="49"/>
        <v>0</v>
      </c>
      <c r="DX26" s="351">
        <v>0</v>
      </c>
      <c r="DY26" s="351">
        <v>0</v>
      </c>
      <c r="DZ26" s="351">
        <v>0</v>
      </c>
      <c r="EA26" s="351">
        <v>0</v>
      </c>
      <c r="EB26" s="351">
        <v>0</v>
      </c>
      <c r="EC26" s="351">
        <v>0</v>
      </c>
      <c r="ED26" s="276">
        <v>4.8</v>
      </c>
      <c r="EE26" s="395">
        <f t="shared" si="10"/>
        <v>1</v>
      </c>
    </row>
    <row r="27" spans="2:155" ht="17.25" customHeight="1" x14ac:dyDescent="0.25">
      <c r="B27" s="1480" t="str">
        <f>IF(Language="English", 'Language Look Ups'!$O$10,IF(Language="Francais", 'Language Look Ups'!$S$10, 'Language Look Ups'!$Q$10))</f>
        <v>Implant</v>
      </c>
      <c r="C27" s="363" t="str">
        <f>IF(Language="English", 'Language Look Ups'!$P$10,IF(Language="Francais", 'Language Look Ups'!$T$10, 'Language Look Ups'!$R$10))</f>
        <v>Implant de 3 ans (Implanon, Levoplant)</v>
      </c>
      <c r="D27" s="407">
        <v>2.5</v>
      </c>
      <c r="E27" s="408">
        <f t="shared" si="11"/>
        <v>2.5</v>
      </c>
      <c r="F27" s="416" t="str">
        <f t="shared" si="7"/>
        <v>années de protection</v>
      </c>
      <c r="G27" s="409"/>
      <c r="H27" s="409"/>
      <c r="I27" s="409"/>
      <c r="J27" s="409"/>
      <c r="K27" s="409"/>
      <c r="L27" s="409"/>
      <c r="M27" s="409"/>
      <c r="N27" s="409"/>
      <c r="O27" s="409"/>
      <c r="P27" s="409"/>
      <c r="Q27" s="409"/>
      <c r="R27" s="409"/>
      <c r="S27" s="409"/>
      <c r="T27" s="409"/>
      <c r="U27" s="409"/>
      <c r="V27" s="411"/>
      <c r="AA27" s="462" t="str">
        <f t="shared" si="12"/>
        <v>Implant de 3 ans (Implanon, Levoplant)</v>
      </c>
      <c r="AB27" s="1008" t="str">
        <f>IF(AB$21="", "", VLOOKUP($AA27,'4. FPSource Set Up'!$C$96:$H$117, 5, FALSE))</f>
        <v>n/a</v>
      </c>
      <c r="AC27" s="1009" t="str">
        <f>IF(AC$21="", "", VLOOKUP($AA27,'4. FPSource Set Up'!$C$96:$H$117, 5, FALSE))</f>
        <v/>
      </c>
      <c r="AD27" s="1009" t="str">
        <f>IF(AD$21="", "", VLOOKUP($AA27,'4. FPSource Set Up'!$C$96:$H$117, 5, FALSE))</f>
        <v/>
      </c>
      <c r="AE27" s="1009" t="str">
        <f>IF(AE$21="", "", VLOOKUP($AA27,'4. FPSource Set Up'!$C$96:$H$117, 5, FALSE))</f>
        <v/>
      </c>
      <c r="AF27" s="1009" t="str">
        <f>IF(AF$21="", "", VLOOKUP($AA27,'4. FPSource Set Up'!$C$96:$H$117, 5, FALSE))</f>
        <v/>
      </c>
      <c r="AG27" s="1009" t="str">
        <f>IF(AG$21="", "", VLOOKUP($AA27,'4. FPSource Set Up'!$C$96:$H$117, 5, FALSE))</f>
        <v/>
      </c>
      <c r="AH27" s="1009" t="str">
        <f>IF(AH$21="", "", VLOOKUP($AA27,'4. FPSource Set Up'!$C$96:$H$117, 5, FALSE))</f>
        <v/>
      </c>
      <c r="AI27" s="1009" t="str">
        <f>IF(AI$21="", "", VLOOKUP($AA27,'4. FPSource Set Up'!$C$96:$H$117, 5, FALSE))</f>
        <v/>
      </c>
      <c r="AJ27" s="1009" t="str">
        <f>IF(AJ$21="", "", VLOOKUP($AA27,'4. FPSource Set Up'!$C$96:$H$117, 5, FALSE))</f>
        <v/>
      </c>
      <c r="AK27" s="1009" t="str">
        <f>IF(AK$21="", "", VLOOKUP($AA27,'4. FPSource Set Up'!$C$96:$H$117, 5, FALSE))</f>
        <v/>
      </c>
      <c r="AL27" s="1009" t="str">
        <f>IF(AL$21="", "", VLOOKUP($AA27,'4. FPSource Set Up'!$C$96:$H$117, 5, FALSE))</f>
        <v/>
      </c>
      <c r="AM27" s="1009" t="str">
        <f>IF(AM$21="", "", VLOOKUP($AA27,'4. FPSource Set Up'!$C$96:$H$117, 5, FALSE))</f>
        <v/>
      </c>
      <c r="AN27" s="1009" t="str">
        <f>IF(AN$21="", "", VLOOKUP($AA27,'4. FPSource Set Up'!$C$96:$H$117, 5, FALSE))</f>
        <v/>
      </c>
      <c r="AO27" s="1009" t="str">
        <f>IF(AO$21="", "", VLOOKUP($AA27,'4. FPSource Set Up'!$C$96:$H$117, 5, FALSE))</f>
        <v/>
      </c>
      <c r="AP27" s="1009" t="str">
        <f>IF(AP$21="", "", VLOOKUP($AA27,'4. FPSource Set Up'!$C$96:$H$117, 5, FALSE))</f>
        <v/>
      </c>
      <c r="AQ27" s="1010" t="str">
        <f>IF(AQ$21="", "", VLOOKUP($AA27,'4. FPSource Set Up'!$C$96:$H$117, 5, FALSE))</f>
        <v/>
      </c>
      <c r="BA27" s="416" t="s">
        <v>9</v>
      </c>
      <c r="BC27" s="184" t="s">
        <v>835</v>
      </c>
      <c r="BJ27" s="676" t="str">
        <f t="shared" si="13"/>
        <v>Implant de 3 ans (Implanon, Levoplant)</v>
      </c>
      <c r="BK27" s="664" t="str">
        <f t="shared" si="14"/>
        <v/>
      </c>
      <c r="BL27" s="665" t="str">
        <f t="shared" si="15"/>
        <v/>
      </c>
      <c r="BM27" s="664" t="str">
        <f t="shared" si="16"/>
        <v/>
      </c>
      <c r="BN27" s="664" t="str">
        <f t="shared" si="17"/>
        <v/>
      </c>
      <c r="BO27" s="664" t="str">
        <f t="shared" si="18"/>
        <v/>
      </c>
      <c r="BP27" s="664" t="str">
        <f t="shared" si="19"/>
        <v/>
      </c>
      <c r="BQ27" s="664" t="str">
        <f t="shared" si="20"/>
        <v/>
      </c>
      <c r="BR27" s="664" t="str">
        <f t="shared" si="21"/>
        <v/>
      </c>
      <c r="BS27" s="664" t="str">
        <f t="shared" si="22"/>
        <v/>
      </c>
      <c r="BT27" s="664" t="str">
        <f t="shared" si="23"/>
        <v/>
      </c>
      <c r="BU27" s="664" t="str">
        <f t="shared" si="24"/>
        <v/>
      </c>
      <c r="BV27" s="664" t="str">
        <f t="shared" si="25"/>
        <v/>
      </c>
      <c r="BW27" s="664" t="str">
        <f t="shared" si="26"/>
        <v/>
      </c>
      <c r="BX27" s="664" t="str">
        <f t="shared" si="27"/>
        <v/>
      </c>
      <c r="BY27" s="664" t="str">
        <f t="shared" si="27"/>
        <v/>
      </c>
      <c r="BZ27" s="842" t="str">
        <f t="shared" si="27"/>
        <v/>
      </c>
      <c r="CB27" s="676" t="str">
        <f t="shared" si="28"/>
        <v>Implant de 3 ans (Implanon, Levoplant)</v>
      </c>
      <c r="CC27" s="664" t="str">
        <f t="shared" si="29"/>
        <v/>
      </c>
      <c r="CD27" s="665" t="str">
        <f t="shared" si="30"/>
        <v/>
      </c>
      <c r="CE27" s="664" t="str">
        <f t="shared" si="31"/>
        <v/>
      </c>
      <c r="CF27" s="664" t="str">
        <f t="shared" si="32"/>
        <v/>
      </c>
      <c r="CG27" s="664" t="str">
        <f t="shared" si="33"/>
        <v/>
      </c>
      <c r="CH27" s="664" t="str">
        <f t="shared" si="34"/>
        <v/>
      </c>
      <c r="CI27" s="664" t="str">
        <f t="shared" si="35"/>
        <v/>
      </c>
      <c r="CJ27" s="664" t="str">
        <f t="shared" si="36"/>
        <v/>
      </c>
      <c r="CK27" s="664" t="str">
        <f t="shared" si="37"/>
        <v/>
      </c>
      <c r="CL27" s="664" t="str">
        <f t="shared" si="38"/>
        <v/>
      </c>
      <c r="CM27" s="664" t="str">
        <f t="shared" si="39"/>
        <v/>
      </c>
      <c r="CN27" s="664" t="str">
        <f t="shared" si="40"/>
        <v/>
      </c>
      <c r="CO27" s="664" t="str">
        <f t="shared" si="41"/>
        <v/>
      </c>
      <c r="CP27" s="664" t="str">
        <f t="shared" si="42"/>
        <v/>
      </c>
      <c r="CQ27" s="664" t="str">
        <f t="shared" si="43"/>
        <v/>
      </c>
      <c r="CR27" s="664" t="str">
        <f t="shared" si="44"/>
        <v/>
      </c>
      <c r="CS27">
        <f>'3. ServiceStats Set Up'!K53</f>
        <v>1</v>
      </c>
      <c r="CT27" s="676" t="str">
        <f t="shared" si="45"/>
        <v>Implant de 3 ans (Implanon, Levoplant)</v>
      </c>
      <c r="CU27" s="664">
        <f>IFERROR(($G27*SUM(DO27:$EC27)*$CS27), "")</f>
        <v>0</v>
      </c>
      <c r="CV27" s="664">
        <f>IFERROR(($G27*SUM(DP27:$EC27)*$CS27), "")</f>
        <v>0</v>
      </c>
      <c r="CW27" s="664">
        <f>IFERROR(($G27*SUM(DQ27:$EC27)*$CS27), "")</f>
        <v>0</v>
      </c>
      <c r="CX27" s="664">
        <f>IFERROR(($G27*SUM(DR27:$EC27)*$CS27), "")</f>
        <v>0</v>
      </c>
      <c r="CY27" s="664">
        <f>IFERROR(($G27*SUM(DS27:$EC27)*$CS27), "")</f>
        <v>0</v>
      </c>
      <c r="CZ27" s="664">
        <f>IFERROR(($G27*SUM(DT27:$EC27)*$CS27), "")</f>
        <v>0</v>
      </c>
      <c r="DA27" s="664">
        <f>IFERROR(($G27*SUM(DU27:$EC27)*$CS27), "")</f>
        <v>0</v>
      </c>
      <c r="DB27" s="664">
        <f>IFERROR(($G27*SUM(DV27:$EC27)*$CS27), "")</f>
        <v>0</v>
      </c>
      <c r="DC27" s="664">
        <f>IFERROR(($G27*SUM(DW27:$EC27)*$CS27), "")</f>
        <v>0</v>
      </c>
      <c r="DD27" s="664">
        <f>IFERROR(($G27*SUM(DX27:$EC27)*$CS27), "")</f>
        <v>0</v>
      </c>
      <c r="DE27" s="664">
        <f>IFERROR(($G27*SUM(DY27:$EC27)*$CS27), "")</f>
        <v>0</v>
      </c>
      <c r="DF27" s="664">
        <f>IFERROR(($G27*SUM(DZ27:$EC27)*$CS27), "")</f>
        <v>0</v>
      </c>
      <c r="DG27" s="664">
        <f>IFERROR(($G27*SUM(EA27:$EC27)*$CS27), "")</f>
        <v>0</v>
      </c>
      <c r="DH27" s="664">
        <f>IFERROR(($G27*SUM(EB27:$EC27)*$CS27), "")</f>
        <v>0</v>
      </c>
      <c r="DI27" s="664">
        <f>IFERROR(($G27*SUM(EC27:$EC27)*$CS27), "")</f>
        <v>0</v>
      </c>
      <c r="DJ27" s="664"/>
      <c r="DL27" s="1486" t="s">
        <v>3</v>
      </c>
      <c r="DM27" s="389" t="str">
        <f t="shared" si="46"/>
        <v>Implant de 3 ans (Implanon, Levoplant)</v>
      </c>
      <c r="DN27" s="349">
        <f t="shared" si="48"/>
        <v>0.94546756633963991</v>
      </c>
      <c r="DO27" s="349">
        <f t="shared" si="48"/>
        <v>0.84235027166076293</v>
      </c>
      <c r="DP27" s="349">
        <f t="shared" si="48"/>
        <v>0.7504794510445093</v>
      </c>
      <c r="DQ27" s="349">
        <f t="shared" si="48"/>
        <v>0.35359674572338629</v>
      </c>
      <c r="DR27" s="349">
        <f t="shared" si="48"/>
        <v>0</v>
      </c>
      <c r="DS27" s="349">
        <f t="shared" si="48"/>
        <v>0</v>
      </c>
      <c r="DT27" s="349">
        <f t="shared" si="48"/>
        <v>0</v>
      </c>
      <c r="DU27" s="349">
        <f t="shared" si="48"/>
        <v>0</v>
      </c>
      <c r="DV27" s="349">
        <f t="shared" si="48"/>
        <v>0</v>
      </c>
      <c r="DW27" s="349">
        <f t="shared" si="48"/>
        <v>0</v>
      </c>
      <c r="DX27" s="349">
        <f t="shared" si="48"/>
        <v>0</v>
      </c>
      <c r="DY27" s="349">
        <f t="shared" si="48"/>
        <v>0</v>
      </c>
      <c r="DZ27" s="349">
        <f t="shared" si="48"/>
        <v>0</v>
      </c>
      <c r="EA27" s="349">
        <f t="shared" si="48"/>
        <v>0</v>
      </c>
      <c r="EB27" s="349">
        <f t="shared" si="48"/>
        <v>0</v>
      </c>
      <c r="EC27" s="349">
        <f t="shared" si="48"/>
        <v>0</v>
      </c>
      <c r="ED27" s="407">
        <v>2.5</v>
      </c>
      <c r="EE27" s="395">
        <f t="shared" si="10"/>
        <v>1</v>
      </c>
    </row>
    <row r="28" spans="2:155" ht="17.25" customHeight="1" x14ac:dyDescent="0.25">
      <c r="B28" s="1482"/>
      <c r="C28" s="277" t="str">
        <f>IF(Language="English", 'Language Look Ups'!$P$11,IF(Language="Francais", 'Language Look Ups'!$T$11, 'Language Look Ups'!$R$11))</f>
        <v>Implant de 4 ans (Sino-Implant)</v>
      </c>
      <c r="D28" s="278">
        <v>3.2</v>
      </c>
      <c r="E28" s="101">
        <f t="shared" si="11"/>
        <v>3.2</v>
      </c>
      <c r="F28" s="102" t="str">
        <f t="shared" si="7"/>
        <v>années de protection</v>
      </c>
      <c r="G28" s="282"/>
      <c r="H28" s="282"/>
      <c r="I28" s="282"/>
      <c r="J28" s="282"/>
      <c r="K28" s="282"/>
      <c r="L28" s="282"/>
      <c r="M28" s="282"/>
      <c r="N28" s="282"/>
      <c r="O28" s="282"/>
      <c r="P28" s="282"/>
      <c r="Q28" s="282"/>
      <c r="R28" s="282"/>
      <c r="S28" s="282"/>
      <c r="T28" s="282"/>
      <c r="U28" s="282"/>
      <c r="V28" s="413"/>
      <c r="AA28" s="464" t="str">
        <f t="shared" si="12"/>
        <v>Implant de 4 ans (Sino-Implant)</v>
      </c>
      <c r="AB28" s="1038" t="str">
        <f>IF(AB$21="", "", VLOOKUP($AA28,'4. FPSource Set Up'!$C$96:$H$117, 5, FALSE))</f>
        <v>n/a</v>
      </c>
      <c r="AC28" s="1039" t="str">
        <f>IF(AC$21="", "", VLOOKUP($AA28,'4. FPSource Set Up'!$C$96:$H$117, 5, FALSE))</f>
        <v/>
      </c>
      <c r="AD28" s="1039" t="str">
        <f>IF(AD$21="", "", VLOOKUP($AA28,'4. FPSource Set Up'!$C$96:$H$117, 5, FALSE))</f>
        <v/>
      </c>
      <c r="AE28" s="1039" t="str">
        <f>IF(AE$21="", "", VLOOKUP($AA28,'4. FPSource Set Up'!$C$96:$H$117, 5, FALSE))</f>
        <v/>
      </c>
      <c r="AF28" s="1039" t="str">
        <f>IF(AF$21="", "", VLOOKUP($AA28,'4. FPSource Set Up'!$C$96:$H$117, 5, FALSE))</f>
        <v/>
      </c>
      <c r="AG28" s="1039" t="str">
        <f>IF(AG$21="", "", VLOOKUP($AA28,'4. FPSource Set Up'!$C$96:$H$117, 5, FALSE))</f>
        <v/>
      </c>
      <c r="AH28" s="1039" t="str">
        <f>IF(AH$21="", "", VLOOKUP($AA28,'4. FPSource Set Up'!$C$96:$H$117, 5, FALSE))</f>
        <v/>
      </c>
      <c r="AI28" s="1039" t="str">
        <f>IF(AI$21="", "", VLOOKUP($AA28,'4. FPSource Set Up'!$C$96:$H$117, 5, FALSE))</f>
        <v/>
      </c>
      <c r="AJ28" s="1039" t="str">
        <f>IF(AJ$21="", "", VLOOKUP($AA28,'4. FPSource Set Up'!$C$96:$H$117, 5, FALSE))</f>
        <v/>
      </c>
      <c r="AK28" s="1039" t="str">
        <f>IF(AK$21="", "", VLOOKUP($AA28,'4. FPSource Set Up'!$C$96:$H$117, 5, FALSE))</f>
        <v/>
      </c>
      <c r="AL28" s="1039" t="str">
        <f>IF(AL$21="", "", VLOOKUP($AA28,'4. FPSource Set Up'!$C$96:$H$117, 5, FALSE))</f>
        <v/>
      </c>
      <c r="AM28" s="1039" t="str">
        <f>IF(AM$21="", "", VLOOKUP($AA28,'4. FPSource Set Up'!$C$96:$H$117, 5, FALSE))</f>
        <v/>
      </c>
      <c r="AN28" s="1039" t="str">
        <f>IF(AN$21="", "", VLOOKUP($AA28,'4. FPSource Set Up'!$C$96:$H$117, 5, FALSE))</f>
        <v/>
      </c>
      <c r="AO28" s="1039" t="str">
        <f>IF(AO$21="", "", VLOOKUP($AA28,'4. FPSource Set Up'!$C$96:$H$117, 5, FALSE))</f>
        <v/>
      </c>
      <c r="AP28" s="1039" t="str">
        <f>IF(AP$21="", "", VLOOKUP($AA28,'4. FPSource Set Up'!$C$96:$H$117, 5, FALSE))</f>
        <v/>
      </c>
      <c r="AQ28" s="1040" t="str">
        <f>IF(AQ$21="", "", VLOOKUP($AA28,'4. FPSource Set Up'!$C$96:$H$117, 5, FALSE))</f>
        <v/>
      </c>
      <c r="BA28" s="102" t="s">
        <v>9</v>
      </c>
      <c r="BC28" s="184" t="s">
        <v>835</v>
      </c>
      <c r="BJ28" s="678" t="str">
        <f t="shared" si="13"/>
        <v>Implant de 4 ans (Sino-Implant)</v>
      </c>
      <c r="BK28" s="670" t="str">
        <f t="shared" si="14"/>
        <v/>
      </c>
      <c r="BL28" s="671" t="str">
        <f t="shared" si="15"/>
        <v/>
      </c>
      <c r="BM28" s="671" t="str">
        <f t="shared" si="16"/>
        <v/>
      </c>
      <c r="BN28" s="671" t="str">
        <f t="shared" si="17"/>
        <v/>
      </c>
      <c r="BO28" s="671" t="str">
        <f t="shared" si="18"/>
        <v/>
      </c>
      <c r="BP28" s="671" t="str">
        <f t="shared" si="19"/>
        <v/>
      </c>
      <c r="BQ28" s="671" t="str">
        <f t="shared" si="20"/>
        <v/>
      </c>
      <c r="BR28" s="671" t="str">
        <f t="shared" si="21"/>
        <v/>
      </c>
      <c r="BS28" s="671" t="str">
        <f t="shared" si="22"/>
        <v/>
      </c>
      <c r="BT28" s="671" t="str">
        <f t="shared" si="23"/>
        <v/>
      </c>
      <c r="BU28" s="671" t="str">
        <f t="shared" si="24"/>
        <v/>
      </c>
      <c r="BV28" s="671" t="str">
        <f t="shared" si="25"/>
        <v/>
      </c>
      <c r="BW28" s="671" t="str">
        <f t="shared" si="26"/>
        <v/>
      </c>
      <c r="BX28" s="671" t="str">
        <f t="shared" si="27"/>
        <v/>
      </c>
      <c r="BY28" s="671" t="str">
        <f t="shared" si="27"/>
        <v/>
      </c>
      <c r="BZ28" s="672" t="str">
        <f t="shared" si="27"/>
        <v/>
      </c>
      <c r="CB28" s="678" t="str">
        <f t="shared" si="28"/>
        <v>Implant de 4 ans (Sino-Implant)</v>
      </c>
      <c r="CC28" s="670" t="str">
        <f t="shared" si="29"/>
        <v/>
      </c>
      <c r="CD28" s="671" t="str">
        <f t="shared" si="30"/>
        <v/>
      </c>
      <c r="CE28" s="671" t="str">
        <f t="shared" si="31"/>
        <v/>
      </c>
      <c r="CF28" s="671" t="str">
        <f t="shared" si="32"/>
        <v/>
      </c>
      <c r="CG28" s="671" t="str">
        <f t="shared" si="33"/>
        <v/>
      </c>
      <c r="CH28" s="671" t="str">
        <f t="shared" si="34"/>
        <v/>
      </c>
      <c r="CI28" s="671" t="str">
        <f t="shared" si="35"/>
        <v/>
      </c>
      <c r="CJ28" s="671" t="str">
        <f t="shared" si="36"/>
        <v/>
      </c>
      <c r="CK28" s="671" t="str">
        <f t="shared" si="37"/>
        <v/>
      </c>
      <c r="CL28" s="671" t="str">
        <f t="shared" si="38"/>
        <v/>
      </c>
      <c r="CM28" s="671" t="str">
        <f t="shared" si="39"/>
        <v/>
      </c>
      <c r="CN28" s="671" t="str">
        <f t="shared" si="40"/>
        <v/>
      </c>
      <c r="CO28" s="671" t="str">
        <f t="shared" si="41"/>
        <v/>
      </c>
      <c r="CP28" s="671" t="str">
        <f t="shared" si="42"/>
        <v/>
      </c>
      <c r="CQ28" s="671" t="str">
        <f t="shared" si="43"/>
        <v/>
      </c>
      <c r="CR28" s="671" t="str">
        <f t="shared" si="44"/>
        <v/>
      </c>
      <c r="CS28">
        <f>'3. ServiceStats Set Up'!K54</f>
        <v>1</v>
      </c>
      <c r="CT28" s="678" t="str">
        <f t="shared" si="45"/>
        <v>Implant de 4 ans (Sino-Implant)</v>
      </c>
      <c r="CU28" s="670">
        <f>IFERROR(($G28*SUM(DO28:$EC28)*$CS28), "")</f>
        <v>0</v>
      </c>
      <c r="CV28" s="670">
        <f>IFERROR(($G28*SUM(DP28:$EC28)*$CS28), "")</f>
        <v>0</v>
      </c>
      <c r="CW28" s="670">
        <f>IFERROR(($G28*SUM(DQ28:$EC28)*$CS28), "")</f>
        <v>0</v>
      </c>
      <c r="CX28" s="670">
        <f>IFERROR(($G28*SUM(DR28:$EC28)*$CS28), "")</f>
        <v>0</v>
      </c>
      <c r="CY28" s="670">
        <f>IFERROR(($G28*SUM(DS28:$EC28)*$CS28), "")</f>
        <v>0</v>
      </c>
      <c r="CZ28" s="670">
        <f>IFERROR(($G28*SUM(DT28:$EC28)*$CS28), "")</f>
        <v>0</v>
      </c>
      <c r="DA28" s="670">
        <f>IFERROR(($G28*SUM(DU28:$EC28)*$CS28), "")</f>
        <v>0</v>
      </c>
      <c r="DB28" s="670">
        <f>IFERROR(($G28*SUM(DV28:$EC28)*$CS28), "")</f>
        <v>0</v>
      </c>
      <c r="DC28" s="670">
        <f>IFERROR(($G28*SUM(DW28:$EC28)*$CS28), "")</f>
        <v>0</v>
      </c>
      <c r="DD28" s="670">
        <f>IFERROR(($G28*SUM(DX28:$EC28)*$CS28), "")</f>
        <v>0</v>
      </c>
      <c r="DE28" s="670">
        <f>IFERROR(($G28*SUM(DY28:$EC28)*$CS28), "")</f>
        <v>0</v>
      </c>
      <c r="DF28" s="670">
        <f>IFERROR(($G28*SUM(DZ28:$EC28)*$CS28), "")</f>
        <v>0</v>
      </c>
      <c r="DG28" s="670">
        <f>IFERROR(($G28*SUM(EA28:$EC28)*$CS28), "")</f>
        <v>0</v>
      </c>
      <c r="DH28" s="670">
        <f>IFERROR(($G28*SUM(EB28:$EC28)*$CS28), "")</f>
        <v>0</v>
      </c>
      <c r="DI28" s="670">
        <f>IFERROR(($G28*SUM(EC28:$EC28)*$CS28), "")</f>
        <v>0</v>
      </c>
      <c r="DJ28" s="670"/>
      <c r="DL28" s="1487"/>
      <c r="DM28" s="389" t="str">
        <f t="shared" si="46"/>
        <v>Implant de 4 ans (Sino-Implant)</v>
      </c>
      <c r="DN28" s="349">
        <f t="shared" si="48"/>
        <v>0.94546756633963991</v>
      </c>
      <c r="DO28" s="349">
        <f t="shared" si="48"/>
        <v>0.84235027166076293</v>
      </c>
      <c r="DP28" s="349">
        <f t="shared" si="48"/>
        <v>0.7504794510445093</v>
      </c>
      <c r="DQ28" s="349">
        <f t="shared" si="48"/>
        <v>0.66862850928941309</v>
      </c>
      <c r="DR28" s="349">
        <f t="shared" si="48"/>
        <v>0.31503176356602675</v>
      </c>
      <c r="DS28" s="349">
        <f t="shared" si="48"/>
        <v>0</v>
      </c>
      <c r="DT28" s="349">
        <f t="shared" si="48"/>
        <v>0</v>
      </c>
      <c r="DU28" s="349">
        <f t="shared" si="48"/>
        <v>0</v>
      </c>
      <c r="DV28" s="349">
        <f t="shared" si="48"/>
        <v>0</v>
      </c>
      <c r="DW28" s="349">
        <f t="shared" si="48"/>
        <v>0</v>
      </c>
      <c r="DX28" s="349">
        <f t="shared" si="48"/>
        <v>0</v>
      </c>
      <c r="DY28" s="349">
        <f t="shared" si="48"/>
        <v>0</v>
      </c>
      <c r="DZ28" s="349">
        <f t="shared" si="48"/>
        <v>0</v>
      </c>
      <c r="EA28" s="349">
        <f t="shared" si="48"/>
        <v>0</v>
      </c>
      <c r="EB28" s="349">
        <f t="shared" si="48"/>
        <v>0</v>
      </c>
      <c r="EC28" s="349">
        <f t="shared" si="48"/>
        <v>0</v>
      </c>
      <c r="ED28" s="278">
        <v>3.2</v>
      </c>
      <c r="EE28" s="395">
        <f t="shared" si="10"/>
        <v>1</v>
      </c>
    </row>
    <row r="29" spans="2:155" ht="17.25" customHeight="1" thickBot="1" x14ac:dyDescent="0.3">
      <c r="B29" s="1481"/>
      <c r="C29" s="275" t="str">
        <f>IF(Language="English", 'Language Look Ups'!$P$12,IF(Language="Francais", 'Language Look Ups'!$T$12, 'Language Look Ups'!$R$12))</f>
        <v>Implant de 5 ans (Jadelle)</v>
      </c>
      <c r="D29" s="276">
        <v>3.8</v>
      </c>
      <c r="E29" s="99">
        <f t="shared" si="11"/>
        <v>3.8</v>
      </c>
      <c r="F29" s="100" t="str">
        <f t="shared" si="7"/>
        <v>années de protection</v>
      </c>
      <c r="G29" s="284"/>
      <c r="H29" s="284"/>
      <c r="I29" s="284"/>
      <c r="J29" s="284"/>
      <c r="K29" s="284"/>
      <c r="L29" s="284"/>
      <c r="M29" s="284"/>
      <c r="N29" s="284"/>
      <c r="O29" s="284"/>
      <c r="P29" s="284"/>
      <c r="Q29" s="284"/>
      <c r="R29" s="284"/>
      <c r="S29" s="284"/>
      <c r="T29" s="284"/>
      <c r="U29" s="284"/>
      <c r="V29" s="412"/>
      <c r="AA29" s="463" t="str">
        <f t="shared" si="12"/>
        <v>Implant de 5 ans (Jadelle)</v>
      </c>
      <c r="AB29" s="1035" t="str">
        <f>IF(AB$21="", "", VLOOKUP($AA29,'4. FPSource Set Up'!$C$96:$H$117, 5, FALSE))</f>
        <v>n/a</v>
      </c>
      <c r="AC29" s="1036" t="str">
        <f>IF(AC$21="", "", VLOOKUP($AA29,'4. FPSource Set Up'!$C$96:$H$117, 5, FALSE))</f>
        <v/>
      </c>
      <c r="AD29" s="1036" t="str">
        <f>IF(AD$21="", "", VLOOKUP($AA29,'4. FPSource Set Up'!$C$96:$H$117, 5, FALSE))</f>
        <v/>
      </c>
      <c r="AE29" s="1036" t="str">
        <f>IF(AE$21="", "", VLOOKUP($AA29,'4. FPSource Set Up'!$C$96:$H$117, 5, FALSE))</f>
        <v/>
      </c>
      <c r="AF29" s="1036" t="str">
        <f>IF(AF$21="", "", VLOOKUP($AA29,'4. FPSource Set Up'!$C$96:$H$117, 5, FALSE))</f>
        <v/>
      </c>
      <c r="AG29" s="1036" t="str">
        <f>IF(AG$21="", "", VLOOKUP($AA29,'4. FPSource Set Up'!$C$96:$H$117, 5, FALSE))</f>
        <v/>
      </c>
      <c r="AH29" s="1036" t="str">
        <f>IF(AH$21="", "", VLOOKUP($AA29,'4. FPSource Set Up'!$C$96:$H$117, 5, FALSE))</f>
        <v/>
      </c>
      <c r="AI29" s="1036" t="str">
        <f>IF(AI$21="", "", VLOOKUP($AA29,'4. FPSource Set Up'!$C$96:$H$117, 5, FALSE))</f>
        <v/>
      </c>
      <c r="AJ29" s="1036" t="str">
        <f>IF(AJ$21="", "", VLOOKUP($AA29,'4. FPSource Set Up'!$C$96:$H$117, 5, FALSE))</f>
        <v/>
      </c>
      <c r="AK29" s="1036" t="str">
        <f>IF(AK$21="", "", VLOOKUP($AA29,'4. FPSource Set Up'!$C$96:$H$117, 5, FALSE))</f>
        <v/>
      </c>
      <c r="AL29" s="1036" t="str">
        <f>IF(AL$21="", "", VLOOKUP($AA29,'4. FPSource Set Up'!$C$96:$H$117, 5, FALSE))</f>
        <v/>
      </c>
      <c r="AM29" s="1036" t="str">
        <f>IF(AM$21="", "", VLOOKUP($AA29,'4. FPSource Set Up'!$C$96:$H$117, 5, FALSE))</f>
        <v/>
      </c>
      <c r="AN29" s="1036" t="str">
        <f>IF(AN$21="", "", VLOOKUP($AA29,'4. FPSource Set Up'!$C$96:$H$117, 5, FALSE))</f>
        <v/>
      </c>
      <c r="AO29" s="1036" t="str">
        <f>IF(AO$21="", "", VLOOKUP($AA29,'4. FPSource Set Up'!$C$96:$H$117, 5, FALSE))</f>
        <v/>
      </c>
      <c r="AP29" s="1036" t="str">
        <f>IF(AP$21="", "", VLOOKUP($AA29,'4. FPSource Set Up'!$C$96:$H$117, 5, FALSE))</f>
        <v/>
      </c>
      <c r="AQ29" s="1037" t="str">
        <f>IF(AQ$21="", "", VLOOKUP($AA29,'4. FPSource Set Up'!$C$96:$H$117, 5, FALSE))</f>
        <v/>
      </c>
      <c r="BA29" s="100" t="s">
        <v>9</v>
      </c>
      <c r="BC29" s="184" t="s">
        <v>835</v>
      </c>
      <c r="BJ29" s="847" t="str">
        <f t="shared" si="13"/>
        <v>Implant de 5 ans (Jadelle)</v>
      </c>
      <c r="BK29" s="848" t="str">
        <f t="shared" si="14"/>
        <v/>
      </c>
      <c r="BL29" s="849" t="str">
        <f t="shared" si="15"/>
        <v/>
      </c>
      <c r="BM29" s="848" t="str">
        <f t="shared" si="16"/>
        <v/>
      </c>
      <c r="BN29" s="848" t="str">
        <f t="shared" si="17"/>
        <v/>
      </c>
      <c r="BO29" s="848" t="str">
        <f t="shared" si="18"/>
        <v/>
      </c>
      <c r="BP29" s="848" t="str">
        <f t="shared" si="19"/>
        <v/>
      </c>
      <c r="BQ29" s="848" t="str">
        <f t="shared" si="20"/>
        <v/>
      </c>
      <c r="BR29" s="848" t="str">
        <f t="shared" si="21"/>
        <v/>
      </c>
      <c r="BS29" s="848" t="str">
        <f t="shared" si="22"/>
        <v/>
      </c>
      <c r="BT29" s="848" t="str">
        <f t="shared" si="23"/>
        <v/>
      </c>
      <c r="BU29" s="848" t="str">
        <f t="shared" si="24"/>
        <v/>
      </c>
      <c r="BV29" s="848" t="str">
        <f t="shared" si="25"/>
        <v/>
      </c>
      <c r="BW29" s="848" t="str">
        <f t="shared" si="26"/>
        <v/>
      </c>
      <c r="BX29" s="848" t="str">
        <f t="shared" si="27"/>
        <v/>
      </c>
      <c r="BY29" s="848" t="str">
        <f t="shared" si="27"/>
        <v/>
      </c>
      <c r="BZ29" s="850" t="str">
        <f t="shared" si="27"/>
        <v/>
      </c>
      <c r="CB29" s="847" t="str">
        <f t="shared" si="28"/>
        <v>Implant de 5 ans (Jadelle)</v>
      </c>
      <c r="CC29" s="848" t="str">
        <f t="shared" si="29"/>
        <v/>
      </c>
      <c r="CD29" s="849" t="str">
        <f t="shared" si="30"/>
        <v/>
      </c>
      <c r="CE29" s="848" t="str">
        <f t="shared" si="31"/>
        <v/>
      </c>
      <c r="CF29" s="848" t="str">
        <f t="shared" si="32"/>
        <v/>
      </c>
      <c r="CG29" s="848" t="str">
        <f t="shared" si="33"/>
        <v/>
      </c>
      <c r="CH29" s="848" t="str">
        <f t="shared" si="34"/>
        <v/>
      </c>
      <c r="CI29" s="848" t="str">
        <f t="shared" si="35"/>
        <v/>
      </c>
      <c r="CJ29" s="848" t="str">
        <f t="shared" si="36"/>
        <v/>
      </c>
      <c r="CK29" s="848" t="str">
        <f t="shared" si="37"/>
        <v/>
      </c>
      <c r="CL29" s="848" t="str">
        <f t="shared" si="38"/>
        <v/>
      </c>
      <c r="CM29" s="848" t="str">
        <f t="shared" si="39"/>
        <v/>
      </c>
      <c r="CN29" s="848" t="str">
        <f t="shared" si="40"/>
        <v/>
      </c>
      <c r="CO29" s="848" t="str">
        <f t="shared" si="41"/>
        <v/>
      </c>
      <c r="CP29" s="848" t="str">
        <f t="shared" si="42"/>
        <v/>
      </c>
      <c r="CQ29" s="848" t="str">
        <f t="shared" si="43"/>
        <v/>
      </c>
      <c r="CR29" s="848" t="str">
        <f t="shared" si="44"/>
        <v/>
      </c>
      <c r="CS29">
        <f>'3. ServiceStats Set Up'!K55</f>
        <v>1</v>
      </c>
      <c r="CT29" s="677" t="str">
        <f t="shared" si="45"/>
        <v>Implant de 5 ans (Jadelle)</v>
      </c>
      <c r="CU29" s="667">
        <f>IFERROR(($G29*SUM(DO29:$EC29)*$CS29), "")</f>
        <v>0</v>
      </c>
      <c r="CV29" s="667">
        <f>IFERROR(($G29*SUM(DP29:$EC29)*$CS29), "")</f>
        <v>0</v>
      </c>
      <c r="CW29" s="667">
        <f>IFERROR(($G29*SUM(DQ29:$EC29)*$CS29), "")</f>
        <v>0</v>
      </c>
      <c r="CX29" s="667">
        <f>IFERROR(($G29*SUM(DR29:$EC29)*$CS29), "")</f>
        <v>0</v>
      </c>
      <c r="CY29" s="667">
        <f>IFERROR(($G29*SUM(DS29:$EC29)*$CS29), "")</f>
        <v>0</v>
      </c>
      <c r="CZ29" s="667">
        <f>IFERROR(($G29*SUM(DT29:$EC29)*$CS29), "")</f>
        <v>0</v>
      </c>
      <c r="DA29" s="667">
        <f>IFERROR(($G29*SUM(DU29:$EC29)*$CS29), "")</f>
        <v>0</v>
      </c>
      <c r="DB29" s="667">
        <f>IFERROR(($G29*SUM(DV29:$EC29)*$CS29), "")</f>
        <v>0</v>
      </c>
      <c r="DC29" s="667">
        <f>IFERROR(($G29*SUM(DW29:$EC29)*$CS29), "")</f>
        <v>0</v>
      </c>
      <c r="DD29" s="667">
        <f>IFERROR(($G29*SUM(DX29:$EC29)*$CS29), "")</f>
        <v>0</v>
      </c>
      <c r="DE29" s="667">
        <f>IFERROR(($G29*SUM(DY29:$EC29)*$CS29), "")</f>
        <v>0</v>
      </c>
      <c r="DF29" s="667">
        <f>IFERROR(($G29*SUM(DZ29:$EC29)*$CS29), "")</f>
        <v>0</v>
      </c>
      <c r="DG29" s="667">
        <f>IFERROR(($G29*SUM(EA29:$EC29)*$CS29), "")</f>
        <v>0</v>
      </c>
      <c r="DH29" s="667">
        <f>IFERROR(($G29*SUM(EB29:$EC29)*$CS29), "")</f>
        <v>0</v>
      </c>
      <c r="DI29" s="667">
        <f>IFERROR(($G29*SUM(EC29:$EC29)*$CS29), "")</f>
        <v>0</v>
      </c>
      <c r="DJ29" s="667"/>
      <c r="DL29" s="1488"/>
      <c r="DM29" s="389" t="str">
        <f t="shared" si="46"/>
        <v>Implant de 5 ans (Jadelle)</v>
      </c>
      <c r="DN29" s="349">
        <f t="shared" si="48"/>
        <v>0.94546756633963991</v>
      </c>
      <c r="DO29" s="349">
        <f t="shared" si="48"/>
        <v>0.84235027166076293</v>
      </c>
      <c r="DP29" s="349">
        <f t="shared" si="48"/>
        <v>0.7504794510445093</v>
      </c>
      <c r="DQ29" s="349">
        <f t="shared" si="48"/>
        <v>0.66862850928941309</v>
      </c>
      <c r="DR29" s="349">
        <f t="shared" si="48"/>
        <v>0.59570462963691229</v>
      </c>
      <c r="DS29" s="349">
        <f t="shared" si="48"/>
        <v>0.28067286607088554</v>
      </c>
      <c r="DT29" s="349">
        <f t="shared" si="48"/>
        <v>0</v>
      </c>
      <c r="DU29" s="349">
        <f t="shared" si="48"/>
        <v>0</v>
      </c>
      <c r="DV29" s="349">
        <f t="shared" si="48"/>
        <v>0</v>
      </c>
      <c r="DW29" s="349">
        <f t="shared" si="48"/>
        <v>0</v>
      </c>
      <c r="DX29" s="349">
        <f t="shared" si="48"/>
        <v>0</v>
      </c>
      <c r="DY29" s="349">
        <f t="shared" si="48"/>
        <v>0</v>
      </c>
      <c r="DZ29" s="349">
        <f t="shared" si="48"/>
        <v>0</v>
      </c>
      <c r="EA29" s="349">
        <f t="shared" si="48"/>
        <v>0</v>
      </c>
      <c r="EB29" s="349">
        <f t="shared" si="48"/>
        <v>0</v>
      </c>
      <c r="EC29" s="349">
        <f t="shared" si="48"/>
        <v>0</v>
      </c>
      <c r="ED29" s="276">
        <v>3.8</v>
      </c>
      <c r="EE29" s="395">
        <f t="shared" si="10"/>
        <v>1</v>
      </c>
    </row>
    <row r="30" spans="2:155" ht="6" customHeight="1" thickBot="1" x14ac:dyDescent="0.3">
      <c r="B30" s="150"/>
      <c r="C30" s="279"/>
      <c r="G30" s="2"/>
      <c r="H30" s="2"/>
      <c r="I30" s="2"/>
      <c r="J30" s="2"/>
      <c r="K30" s="2"/>
      <c r="L30" s="2"/>
      <c r="M30" s="2"/>
      <c r="N30" s="2"/>
      <c r="O30" s="2"/>
      <c r="P30" s="2"/>
      <c r="Q30" s="2"/>
      <c r="R30" s="2"/>
      <c r="S30" s="2"/>
      <c r="T30" s="2"/>
      <c r="U30" s="2"/>
      <c r="V30" s="301"/>
      <c r="AA30" s="150"/>
      <c r="AB30" s="571"/>
      <c r="AC30" s="572"/>
      <c r="AD30" s="572"/>
      <c r="AE30" s="572"/>
      <c r="AF30" s="572"/>
      <c r="AG30" s="572"/>
      <c r="AH30" s="572"/>
      <c r="AI30" s="572"/>
      <c r="AJ30" s="572"/>
      <c r="AK30" s="572"/>
      <c r="AL30" s="572"/>
      <c r="AM30" s="572"/>
      <c r="AN30" s="572"/>
      <c r="AO30" s="572"/>
      <c r="AP30" s="572"/>
      <c r="AQ30" s="573"/>
      <c r="BK30" s="2"/>
      <c r="BL30" s="2"/>
      <c r="BM30" s="2"/>
      <c r="BN30" s="2"/>
      <c r="BO30" s="2"/>
      <c r="BP30" s="2"/>
      <c r="BQ30" s="2"/>
      <c r="BR30" s="2"/>
      <c r="BS30" s="2"/>
      <c r="BT30" s="2"/>
      <c r="BU30" s="2"/>
      <c r="BV30" s="2"/>
      <c r="BW30" s="2"/>
      <c r="BX30" s="2"/>
      <c r="BY30" s="2"/>
      <c r="BZ30" s="2"/>
      <c r="CB30" s="150"/>
      <c r="CC30" s="2"/>
      <c r="CD30" s="2"/>
      <c r="CE30" s="2"/>
      <c r="CF30" s="2"/>
      <c r="CG30" s="2"/>
      <c r="CH30" s="2"/>
      <c r="CI30" s="2"/>
      <c r="CJ30" s="2"/>
      <c r="CK30" s="2"/>
      <c r="CL30" s="2"/>
      <c r="CM30" s="2"/>
      <c r="CN30" s="2"/>
      <c r="CO30" s="2"/>
      <c r="CP30" s="2"/>
      <c r="CQ30" s="2"/>
      <c r="CR30" s="301"/>
      <c r="CT30" s="150"/>
      <c r="CU30" s="2"/>
      <c r="CV30" s="2"/>
      <c r="CW30" s="2"/>
      <c r="CX30" s="2"/>
      <c r="CY30" s="2"/>
      <c r="CZ30" s="2"/>
      <c r="DA30" s="2"/>
      <c r="DB30" s="2"/>
      <c r="DC30" s="2"/>
      <c r="DD30" s="2"/>
      <c r="DE30" s="2"/>
      <c r="DF30" s="2"/>
      <c r="DG30" s="2"/>
      <c r="DH30" s="2"/>
      <c r="DI30" s="2"/>
      <c r="DJ30" s="301"/>
    </row>
    <row r="31" spans="2:155" ht="21.75" customHeight="1" x14ac:dyDescent="0.25">
      <c r="B31" s="364" t="str">
        <f>IF(Language="English", 'Language Look Ups'!$O$14,IF(Language="Francais", 'Language Look Ups'!$S$14, 'Language Look Ups'!$Q$14))</f>
        <v>Méthodes à Court Terme</v>
      </c>
      <c r="C31" s="104"/>
      <c r="D31" s="51"/>
      <c r="E31" s="50"/>
      <c r="F31" s="42"/>
      <c r="G31" s="299"/>
      <c r="H31" s="300"/>
      <c r="I31" s="299"/>
      <c r="J31" s="300"/>
      <c r="K31" s="300"/>
      <c r="L31" s="300"/>
      <c r="M31" s="299"/>
      <c r="N31" s="300"/>
      <c r="O31" s="299"/>
      <c r="P31" s="300"/>
      <c r="Q31" s="299"/>
      <c r="R31" s="300"/>
      <c r="S31" s="299"/>
      <c r="T31" s="300"/>
      <c r="U31" s="299"/>
      <c r="V31" s="414"/>
      <c r="AA31" s="460" t="str">
        <f>B31</f>
        <v>Méthodes à Court Terme</v>
      </c>
      <c r="AB31" s="386"/>
      <c r="AC31" s="387"/>
      <c r="AD31" s="387"/>
      <c r="AE31" s="387"/>
      <c r="AF31" s="387"/>
      <c r="AG31" s="387"/>
      <c r="AH31" s="387"/>
      <c r="AI31" s="387"/>
      <c r="AJ31" s="387"/>
      <c r="AK31" s="387"/>
      <c r="AL31" s="387"/>
      <c r="AM31" s="387"/>
      <c r="AN31" s="387"/>
      <c r="AO31" s="387"/>
      <c r="AP31" s="387"/>
      <c r="AQ31" s="466"/>
      <c r="BJ31" s="839"/>
      <c r="BK31" s="840"/>
      <c r="BL31" s="840"/>
      <c r="BM31" s="840"/>
      <c r="BN31" s="840"/>
      <c r="BO31" s="840"/>
      <c r="BP31" s="840"/>
      <c r="BQ31" s="840"/>
      <c r="BR31" s="840"/>
      <c r="BS31" s="840"/>
      <c r="BT31" s="840"/>
      <c r="BU31" s="840"/>
      <c r="BV31" s="840" t="str">
        <f>IF(BV$21="", "", IF(AM31="",R31, R31/AM31))</f>
        <v/>
      </c>
      <c r="BW31" s="840" t="str">
        <f>IF(BW$21="", "", IF(AN31="",S31, S31/AN31))</f>
        <v/>
      </c>
      <c r="BX31" s="840" t="str">
        <f>IF(BX$21="", "", IF(AO31="",T31, T31/AO31))</f>
        <v/>
      </c>
      <c r="BY31" s="840" t="str">
        <f>IF(BY$21="", "", IF(AP31="",U31, U31/AP31))</f>
        <v/>
      </c>
      <c r="BZ31" s="841" t="str">
        <f>IF(BZ$21="", "", IF(AQ31="",V31, V31/AQ31))</f>
        <v/>
      </c>
      <c r="CB31" s="839"/>
      <c r="CC31" s="851"/>
      <c r="CD31" s="852"/>
      <c r="CE31" s="851"/>
      <c r="CF31" s="852"/>
      <c r="CG31" s="851"/>
      <c r="CH31" s="852"/>
      <c r="CI31" s="851"/>
      <c r="CJ31" s="852"/>
      <c r="CK31" s="851"/>
      <c r="CL31" s="852"/>
      <c r="CM31" s="851"/>
      <c r="CN31" s="852"/>
      <c r="CO31" s="851"/>
      <c r="CP31" s="852"/>
      <c r="CQ31" s="851"/>
      <c r="CR31" s="406"/>
      <c r="CT31" s="679"/>
      <c r="CU31" s="299"/>
      <c r="CV31" s="300"/>
      <c r="CW31" s="299"/>
      <c r="CX31" s="300"/>
      <c r="CY31" s="299"/>
      <c r="CZ31" s="300"/>
      <c r="DA31" s="299"/>
      <c r="DB31" s="300"/>
      <c r="DC31" s="299"/>
      <c r="DD31" s="300"/>
      <c r="DE31" s="299"/>
      <c r="DF31" s="300"/>
      <c r="DG31" s="299"/>
      <c r="DH31" s="300"/>
      <c r="DI31" s="299"/>
      <c r="DJ31" s="414"/>
    </row>
    <row r="32" spans="2:155" ht="17.25" customHeight="1" x14ac:dyDescent="0.25">
      <c r="B32" s="1491" t="str">
        <f>IF(Language="English", 'Language Look Ups'!$O$15,IF(Language="Francais", 'Language Look Ups'!$S$15, 'Language Look Ups'!Q$15))</f>
        <v>Produits injectables</v>
      </c>
      <c r="C32" s="363" t="str">
        <f>IF(Language="English", 'Language Look Ups'!$P$15,IF(Language="Francais", 'Language Look Ups'!$T$15, 'Language Look Ups'!$R$15))</f>
        <v>Depo Provera (DMPA)</v>
      </c>
      <c r="D32" s="407">
        <v>4</v>
      </c>
      <c r="E32" s="408">
        <f>1/D32</f>
        <v>0.25</v>
      </c>
      <c r="F32" s="416" t="str">
        <f t="shared" ref="F32:F46" si="50">IF(Language="English", BA32, BC32)</f>
        <v>visites par an</v>
      </c>
      <c r="G32" s="409"/>
      <c r="H32" s="409"/>
      <c r="I32" s="409"/>
      <c r="J32" s="409"/>
      <c r="K32" s="409"/>
      <c r="L32" s="409"/>
      <c r="M32" s="409"/>
      <c r="N32" s="409"/>
      <c r="O32" s="409"/>
      <c r="P32" s="410"/>
      <c r="Q32" s="409"/>
      <c r="R32" s="410"/>
      <c r="S32" s="409"/>
      <c r="T32" s="410"/>
      <c r="U32" s="409"/>
      <c r="V32" s="411"/>
      <c r="AA32" s="462" t="str">
        <f t="shared" ref="AA32:AA46" si="51">$C32</f>
        <v>Depo Provera (DMPA)</v>
      </c>
      <c r="AB32" s="1008" t="str">
        <f>IF(AB$21="", "", VLOOKUP($AA32,'4. FPSource Set Up'!$C$96:$H$117, 5, FALSE))</f>
        <v>n/a</v>
      </c>
      <c r="AC32" s="1009" t="str">
        <f>IF(AC$21="", "", VLOOKUP($AA32,'4. FPSource Set Up'!$C$96:$H$117, 5, FALSE))</f>
        <v/>
      </c>
      <c r="AD32" s="1009" t="str">
        <f>IF(AD$21="", "", VLOOKUP($AA32,'4. FPSource Set Up'!$C$96:$H$117, 5, FALSE))</f>
        <v/>
      </c>
      <c r="AE32" s="1009" t="str">
        <f>IF(AE$21="", "", VLOOKUP($AA32,'4. FPSource Set Up'!$C$96:$H$117, 5, FALSE))</f>
        <v/>
      </c>
      <c r="AF32" s="1009" t="str">
        <f>IF(AF$21="", "", VLOOKUP($AA32,'4. FPSource Set Up'!$C$96:$H$117, 5, FALSE))</f>
        <v/>
      </c>
      <c r="AG32" s="1009" t="str">
        <f>IF(AG$21="", "", VLOOKUP($AA32,'4. FPSource Set Up'!$C$96:$H$117, 5, FALSE))</f>
        <v/>
      </c>
      <c r="AH32" s="1009" t="str">
        <f>IF(AH$21="", "", VLOOKUP($AA32,'4. FPSource Set Up'!$C$96:$H$117, 5, FALSE))</f>
        <v/>
      </c>
      <c r="AI32" s="1009" t="str">
        <f>IF(AI$21="", "", VLOOKUP($AA32,'4. FPSource Set Up'!$C$96:$H$117, 5, FALSE))</f>
        <v/>
      </c>
      <c r="AJ32" s="1009" t="str">
        <f>IF(AJ$21="", "", VLOOKUP($AA32,'4. FPSource Set Up'!$C$96:$H$117, 5, FALSE))</f>
        <v/>
      </c>
      <c r="AK32" s="1009" t="str">
        <f>IF(AK$21="", "", VLOOKUP($AA32,'4. FPSource Set Up'!$C$96:$H$117, 5, FALSE))</f>
        <v/>
      </c>
      <c r="AL32" s="1009" t="str">
        <f>IF(AL$21="", "", VLOOKUP($AA32,'4. FPSource Set Up'!$C$96:$H$117, 5, FALSE))</f>
        <v/>
      </c>
      <c r="AM32" s="1009" t="str">
        <f>IF(AM$21="", "", VLOOKUP($AA32,'4. FPSource Set Up'!$C$96:$H$117, 5, FALSE))</f>
        <v/>
      </c>
      <c r="AN32" s="1009" t="str">
        <f>IF(AN$21="", "", VLOOKUP($AA32,'4. FPSource Set Up'!$C$96:$H$117, 5, FALSE))</f>
        <v/>
      </c>
      <c r="AO32" s="1009" t="str">
        <f>IF(AO$21="", "", VLOOKUP($AA32,'4. FPSource Set Up'!$C$96:$H$117, 5, FALSE))</f>
        <v/>
      </c>
      <c r="AP32" s="1009" t="str">
        <f>IF(AP$21="", "", VLOOKUP($AA32,'4. FPSource Set Up'!$C$96:$H$117, 5, FALSE))</f>
        <v/>
      </c>
      <c r="AQ32" s="1010" t="str">
        <f>IF(AQ$21="", "", VLOOKUP($AA32,'4. FPSource Set Up'!$C$96:$H$117, 5, FALSE))</f>
        <v/>
      </c>
      <c r="BA32" s="416" t="s">
        <v>571</v>
      </c>
      <c r="BC32" s="184" t="s">
        <v>846</v>
      </c>
      <c r="BJ32" s="676" t="str">
        <f t="shared" si="13"/>
        <v>Depo Provera (DMPA)</v>
      </c>
      <c r="BK32" s="664" t="str">
        <f>IF(BK$21="", "", IF(BK$10&lt;60%, "", G32*$E32))</f>
        <v/>
      </c>
      <c r="BL32" s="664" t="str">
        <f t="shared" ref="BL32:BZ46" si="52">IF(BL$21="", "", IF(BL$10&lt;60%, "", H32*$E32))</f>
        <v/>
      </c>
      <c r="BM32" s="664" t="str">
        <f t="shared" si="52"/>
        <v/>
      </c>
      <c r="BN32" s="664" t="str">
        <f t="shared" si="52"/>
        <v/>
      </c>
      <c r="BO32" s="664" t="str">
        <f t="shared" si="52"/>
        <v/>
      </c>
      <c r="BP32" s="664" t="str">
        <f t="shared" si="52"/>
        <v/>
      </c>
      <c r="BQ32" s="664" t="str">
        <f t="shared" si="52"/>
        <v/>
      </c>
      <c r="BR32" s="664" t="str">
        <f t="shared" si="52"/>
        <v/>
      </c>
      <c r="BS32" s="664" t="str">
        <f t="shared" si="52"/>
        <v/>
      </c>
      <c r="BT32" s="664" t="str">
        <f t="shared" si="52"/>
        <v/>
      </c>
      <c r="BU32" s="664" t="str">
        <f t="shared" si="52"/>
        <v/>
      </c>
      <c r="BV32" s="664" t="str">
        <f t="shared" si="52"/>
        <v/>
      </c>
      <c r="BW32" s="664" t="str">
        <f t="shared" si="52"/>
        <v/>
      </c>
      <c r="BX32" s="664" t="str">
        <f t="shared" si="52"/>
        <v/>
      </c>
      <c r="BY32" s="664" t="str">
        <f t="shared" si="52"/>
        <v/>
      </c>
      <c r="BZ32" s="842" t="str">
        <f t="shared" si="52"/>
        <v/>
      </c>
      <c r="CB32" s="676" t="str">
        <f t="shared" si="28"/>
        <v>Depo Provera (DMPA)</v>
      </c>
      <c r="CC32" s="664" t="str">
        <f t="shared" ref="CC32:CR32" si="53">IF(CC$21="", "", IF(BK32="", "", BK32*AB32))</f>
        <v/>
      </c>
      <c r="CD32" s="664" t="str">
        <f t="shared" si="53"/>
        <v/>
      </c>
      <c r="CE32" s="664" t="str">
        <f t="shared" si="53"/>
        <v/>
      </c>
      <c r="CF32" s="664" t="str">
        <f t="shared" si="53"/>
        <v/>
      </c>
      <c r="CG32" s="664" t="str">
        <f t="shared" si="53"/>
        <v/>
      </c>
      <c r="CH32" s="664" t="str">
        <f t="shared" si="53"/>
        <v/>
      </c>
      <c r="CI32" s="664" t="str">
        <f t="shared" si="53"/>
        <v/>
      </c>
      <c r="CJ32" s="664" t="str">
        <f t="shared" si="53"/>
        <v/>
      </c>
      <c r="CK32" s="664" t="str">
        <f t="shared" si="53"/>
        <v/>
      </c>
      <c r="CL32" s="664" t="str">
        <f t="shared" si="53"/>
        <v/>
      </c>
      <c r="CM32" s="664" t="str">
        <f t="shared" si="53"/>
        <v/>
      </c>
      <c r="CN32" s="664" t="str">
        <f t="shared" si="53"/>
        <v/>
      </c>
      <c r="CO32" s="664" t="str">
        <f t="shared" si="53"/>
        <v/>
      </c>
      <c r="CP32" s="664" t="str">
        <f t="shared" si="53"/>
        <v/>
      </c>
      <c r="CQ32" s="664" t="str">
        <f t="shared" si="53"/>
        <v/>
      </c>
      <c r="CR32" s="664" t="str">
        <f t="shared" si="53"/>
        <v/>
      </c>
      <c r="CT32" s="768" t="str">
        <f t="shared" si="45"/>
        <v>Depo Provera (DMPA)</v>
      </c>
      <c r="CU32" s="769"/>
      <c r="CV32" s="769"/>
      <c r="CW32" s="769"/>
      <c r="CX32" s="769"/>
      <c r="CY32" s="769"/>
      <c r="CZ32" s="769"/>
      <c r="DA32" s="769"/>
      <c r="DB32" s="769"/>
      <c r="DC32" s="769"/>
      <c r="DD32" s="770"/>
      <c r="DE32" s="769"/>
      <c r="DF32" s="770"/>
      <c r="DG32" s="769"/>
      <c r="DH32" s="770"/>
      <c r="DI32" s="769"/>
      <c r="DJ32" s="771"/>
    </row>
    <row r="33" spans="2:114" ht="17.25" customHeight="1" x14ac:dyDescent="0.25">
      <c r="B33" s="1492"/>
      <c r="C33" s="277" t="str">
        <f>IF(Language="English", 'Language Look Ups'!$P$16,IF(Language="Francais", 'Language Look Ups'!$T$16, 'Language Look Ups'!$R$16))</f>
        <v>Noristerat (NET-En)</v>
      </c>
      <c r="D33" s="278">
        <v>6</v>
      </c>
      <c r="E33" s="101">
        <f t="shared" ref="E33:E46" si="54">1/D33</f>
        <v>0.16666666666666666</v>
      </c>
      <c r="F33" s="102" t="str">
        <f t="shared" si="50"/>
        <v>visites par an</v>
      </c>
      <c r="G33" s="282"/>
      <c r="H33" s="282"/>
      <c r="I33" s="282"/>
      <c r="J33" s="282"/>
      <c r="K33" s="282"/>
      <c r="L33" s="282"/>
      <c r="M33" s="282"/>
      <c r="N33" s="282"/>
      <c r="O33" s="282"/>
      <c r="P33" s="283"/>
      <c r="Q33" s="282"/>
      <c r="R33" s="283"/>
      <c r="S33" s="282"/>
      <c r="T33" s="283"/>
      <c r="U33" s="282"/>
      <c r="V33" s="413"/>
      <c r="AA33" s="464" t="str">
        <f t="shared" si="51"/>
        <v>Noristerat (NET-En)</v>
      </c>
      <c r="AB33" s="1041" t="str">
        <f>IF(AB$21="", "", VLOOKUP($AA33,'4. FPSource Set Up'!$C$96:$H$117, 5, FALSE))</f>
        <v>n/a</v>
      </c>
      <c r="AC33" s="1042" t="str">
        <f>IF(AC$21="", "", VLOOKUP($AA33,'4. FPSource Set Up'!$C$96:$H$117, 5, FALSE))</f>
        <v/>
      </c>
      <c r="AD33" s="1042" t="str">
        <f>IF(AD$21="", "", VLOOKUP($AA33,'4. FPSource Set Up'!$C$96:$H$117, 5, FALSE))</f>
        <v/>
      </c>
      <c r="AE33" s="1042" t="str">
        <f>IF(AE$21="", "", VLOOKUP($AA33,'4. FPSource Set Up'!$C$96:$H$117, 5, FALSE))</f>
        <v/>
      </c>
      <c r="AF33" s="1042" t="str">
        <f>IF(AF$21="", "", VLOOKUP($AA33,'4. FPSource Set Up'!$C$96:$H$117, 5, FALSE))</f>
        <v/>
      </c>
      <c r="AG33" s="1042" t="str">
        <f>IF(AG$21="", "", VLOOKUP($AA33,'4. FPSource Set Up'!$C$96:$H$117, 5, FALSE))</f>
        <v/>
      </c>
      <c r="AH33" s="1042" t="str">
        <f>IF(AH$21="", "", VLOOKUP($AA33,'4. FPSource Set Up'!$C$96:$H$117, 5, FALSE))</f>
        <v/>
      </c>
      <c r="AI33" s="1042" t="str">
        <f>IF(AI$21="", "", VLOOKUP($AA33,'4. FPSource Set Up'!$C$96:$H$117, 5, FALSE))</f>
        <v/>
      </c>
      <c r="AJ33" s="1042" t="str">
        <f>IF(AJ$21="", "", VLOOKUP($AA33,'4. FPSource Set Up'!$C$96:$H$117, 5, FALSE))</f>
        <v/>
      </c>
      <c r="AK33" s="1042" t="str">
        <f>IF(AK$21="", "", VLOOKUP($AA33,'4. FPSource Set Up'!$C$96:$H$117, 5, FALSE))</f>
        <v/>
      </c>
      <c r="AL33" s="1042" t="str">
        <f>IF(AL$21="", "", VLOOKUP($AA33,'4. FPSource Set Up'!$C$96:$H$117, 5, FALSE))</f>
        <v/>
      </c>
      <c r="AM33" s="1042" t="str">
        <f>IF(AM$21="", "", VLOOKUP($AA33,'4. FPSource Set Up'!$C$96:$H$117, 5, FALSE))</f>
        <v/>
      </c>
      <c r="AN33" s="1042" t="str">
        <f>IF(AN$21="", "", VLOOKUP($AA33,'4. FPSource Set Up'!$C$96:$H$117, 5, FALSE))</f>
        <v/>
      </c>
      <c r="AO33" s="1042" t="str">
        <f>IF(AO$21="", "", VLOOKUP($AA33,'4. FPSource Set Up'!$C$96:$H$117, 5, FALSE))</f>
        <v/>
      </c>
      <c r="AP33" s="1042" t="str">
        <f>IF(AP$21="", "", VLOOKUP($AA33,'4. FPSource Set Up'!$C$96:$H$117, 5, FALSE))</f>
        <v/>
      </c>
      <c r="AQ33" s="1043" t="str">
        <f>IF(AQ$21="", "", VLOOKUP($AA33,'4. FPSource Set Up'!$C$96:$H$117, 5, FALSE))</f>
        <v/>
      </c>
      <c r="BA33" s="416" t="s">
        <v>571</v>
      </c>
      <c r="BC33" s="184" t="s">
        <v>846</v>
      </c>
      <c r="BJ33" s="678" t="str">
        <f t="shared" si="13"/>
        <v>Noristerat (NET-En)</v>
      </c>
      <c r="BK33" s="670" t="str">
        <f t="shared" ref="BK33:BK46" si="55">IF(BK$21="", "", IF(BK$10&lt;60%, "", G33*$E33))</f>
        <v/>
      </c>
      <c r="BL33" s="670" t="str">
        <f t="shared" si="52"/>
        <v/>
      </c>
      <c r="BM33" s="670" t="str">
        <f t="shared" si="52"/>
        <v/>
      </c>
      <c r="BN33" s="670" t="str">
        <f t="shared" si="52"/>
        <v/>
      </c>
      <c r="BO33" s="670" t="str">
        <f t="shared" si="52"/>
        <v/>
      </c>
      <c r="BP33" s="670" t="str">
        <f t="shared" si="52"/>
        <v/>
      </c>
      <c r="BQ33" s="670" t="str">
        <f t="shared" si="52"/>
        <v/>
      </c>
      <c r="BR33" s="670" t="str">
        <f t="shared" si="52"/>
        <v/>
      </c>
      <c r="BS33" s="670" t="str">
        <f t="shared" si="52"/>
        <v/>
      </c>
      <c r="BT33" s="671" t="str">
        <f t="shared" si="52"/>
        <v/>
      </c>
      <c r="BU33" s="670" t="str">
        <f t="shared" si="52"/>
        <v/>
      </c>
      <c r="BV33" s="671" t="str">
        <f t="shared" si="52"/>
        <v/>
      </c>
      <c r="BW33" s="670" t="str">
        <f t="shared" si="52"/>
        <v/>
      </c>
      <c r="BX33" s="671" t="str">
        <f t="shared" si="52"/>
        <v/>
      </c>
      <c r="BY33" s="670" t="str">
        <f t="shared" si="52"/>
        <v/>
      </c>
      <c r="BZ33" s="672" t="str">
        <f t="shared" si="52"/>
        <v/>
      </c>
      <c r="CB33" s="678" t="str">
        <f t="shared" si="28"/>
        <v>Noristerat (NET-En)</v>
      </c>
      <c r="CC33" s="670" t="str">
        <f t="shared" ref="CC33:CC46" si="56">IF(CC$21="", "", IF(BK33="", "", BK33*AB33))</f>
        <v/>
      </c>
      <c r="CD33" s="670" t="str">
        <f t="shared" ref="CD33:CD46" si="57">IF(CD$21="", "", IF(BL33="", "", BL33*AC33))</f>
        <v/>
      </c>
      <c r="CE33" s="670" t="str">
        <f t="shared" ref="CE33:CE46" si="58">IF(CE$21="", "", IF(BM33="", "", BM33*AD33))</f>
        <v/>
      </c>
      <c r="CF33" s="670" t="str">
        <f t="shared" ref="CF33:CF46" si="59">IF(CF$21="", "", IF(BN33="", "", BN33*AE33))</f>
        <v/>
      </c>
      <c r="CG33" s="670" t="str">
        <f t="shared" ref="CG33:CG46" si="60">IF(CG$21="", "", IF(BO33="", "", BO33*AF33))</f>
        <v/>
      </c>
      <c r="CH33" s="670" t="str">
        <f t="shared" ref="CH33:CH46" si="61">IF(CH$21="", "", IF(BP33="", "", BP33*AG33))</f>
        <v/>
      </c>
      <c r="CI33" s="670" t="str">
        <f t="shared" ref="CI33:CI46" si="62">IF(CI$21="", "", IF(BQ33="", "", BQ33*AH33))</f>
        <v/>
      </c>
      <c r="CJ33" s="670" t="str">
        <f t="shared" ref="CJ33:CJ46" si="63">IF(CJ$21="", "", IF(BR33="", "", BR33*AI33))</f>
        <v/>
      </c>
      <c r="CK33" s="670" t="str">
        <f t="shared" ref="CK33:CK46" si="64">IF(CK$21="", "", IF(BS33="", "", BS33*AJ33))</f>
        <v/>
      </c>
      <c r="CL33" s="671" t="str">
        <f t="shared" ref="CL33:CL46" si="65">IF(CL$21="", "", IF(BT33="", "", BT33*AK33))</f>
        <v/>
      </c>
      <c r="CM33" s="670" t="str">
        <f t="shared" ref="CM33:CM46" si="66">IF(CM$21="", "", IF(BU33="", "", BU33*AL33))</f>
        <v/>
      </c>
      <c r="CN33" s="671" t="str">
        <f t="shared" ref="CN33:CN46" si="67">IF(CN$21="", "", IF(BV33="", "", BV33*AM33))</f>
        <v/>
      </c>
      <c r="CO33" s="670" t="str">
        <f t="shared" ref="CO33:CO46" si="68">IF(CO$21="", "", IF(BW33="", "", BW33*AN33))</f>
        <v/>
      </c>
      <c r="CP33" s="671" t="str">
        <f t="shared" ref="CP33:CP46" si="69">IF(CP$21="", "", IF(BX33="", "", BX33*AO33))</f>
        <v/>
      </c>
      <c r="CQ33" s="670" t="str">
        <f t="shared" ref="CQ33:CQ46" si="70">IF(CQ$21="", "", IF(BY33="", "", BY33*AP33))</f>
        <v/>
      </c>
      <c r="CR33" s="672" t="str">
        <f t="shared" ref="CR33:CR46" si="71">IF(CR$21="", "", IF(BZ33="", "", BZ33*AQ33))</f>
        <v/>
      </c>
      <c r="CT33" s="772" t="str">
        <f t="shared" si="45"/>
        <v>Noristerat (NET-En)</v>
      </c>
      <c r="CU33" s="773"/>
      <c r="CV33" s="773"/>
      <c r="CW33" s="773"/>
      <c r="CX33" s="773"/>
      <c r="CY33" s="773"/>
      <c r="CZ33" s="773"/>
      <c r="DA33" s="773"/>
      <c r="DB33" s="773"/>
      <c r="DC33" s="773"/>
      <c r="DD33" s="774"/>
      <c r="DE33" s="773"/>
      <c r="DF33" s="774"/>
      <c r="DG33" s="773"/>
      <c r="DH33" s="774"/>
      <c r="DI33" s="773"/>
      <c r="DJ33" s="775"/>
    </row>
    <row r="34" spans="2:114" ht="17.25" customHeight="1" x14ac:dyDescent="0.25">
      <c r="B34" s="1492"/>
      <c r="C34" s="277" t="str">
        <f>IF(Language="English",'Language Look Ups'!$P$17,IF(Language="Francais",'Language Look Ups'!$T$17,'Language Look Ups'!$R$17))</f>
        <v>Lunelle</v>
      </c>
      <c r="D34" s="278">
        <v>13</v>
      </c>
      <c r="E34" s="101">
        <f t="shared" si="54"/>
        <v>7.6923076923076927E-2</v>
      </c>
      <c r="F34" s="102" t="str">
        <f t="shared" si="50"/>
        <v>visites par an</v>
      </c>
      <c r="G34" s="282"/>
      <c r="H34" s="283"/>
      <c r="I34" s="282"/>
      <c r="J34" s="283"/>
      <c r="K34" s="283"/>
      <c r="L34" s="283"/>
      <c r="M34" s="282"/>
      <c r="N34" s="283"/>
      <c r="O34" s="282"/>
      <c r="P34" s="283"/>
      <c r="Q34" s="282"/>
      <c r="R34" s="283"/>
      <c r="S34" s="282"/>
      <c r="T34" s="283"/>
      <c r="U34" s="282"/>
      <c r="V34" s="413"/>
      <c r="AA34" s="464" t="str">
        <f t="shared" si="51"/>
        <v>Lunelle</v>
      </c>
      <c r="AB34" s="1041" t="str">
        <f>IF(AB$21="", "", VLOOKUP($AA34,'4. FPSource Set Up'!$C$96:$H$117, 5, FALSE))</f>
        <v>n/a</v>
      </c>
      <c r="AC34" s="1042" t="str">
        <f>IF(AC$21="", "", VLOOKUP($AA34,'4. FPSource Set Up'!$C$96:$H$117, 5, FALSE))</f>
        <v/>
      </c>
      <c r="AD34" s="1042" t="str">
        <f>IF(AD$21="", "", VLOOKUP($AA34,'4. FPSource Set Up'!$C$96:$H$117, 5, FALSE))</f>
        <v/>
      </c>
      <c r="AE34" s="1042" t="str">
        <f>IF(AE$21="", "", VLOOKUP($AA34,'4. FPSource Set Up'!$C$96:$H$117, 5, FALSE))</f>
        <v/>
      </c>
      <c r="AF34" s="1042" t="str">
        <f>IF(AF$21="", "", VLOOKUP($AA34,'4. FPSource Set Up'!$C$96:$H$117, 5, FALSE))</f>
        <v/>
      </c>
      <c r="AG34" s="1042" t="str">
        <f>IF(AG$21="", "", VLOOKUP($AA34,'4. FPSource Set Up'!$C$96:$H$117, 5, FALSE))</f>
        <v/>
      </c>
      <c r="AH34" s="1042" t="str">
        <f>IF(AH$21="", "", VLOOKUP($AA34,'4. FPSource Set Up'!$C$96:$H$117, 5, FALSE))</f>
        <v/>
      </c>
      <c r="AI34" s="1042" t="str">
        <f>IF(AI$21="", "", VLOOKUP($AA34,'4. FPSource Set Up'!$C$96:$H$117, 5, FALSE))</f>
        <v/>
      </c>
      <c r="AJ34" s="1042" t="str">
        <f>IF(AJ$21="", "", VLOOKUP($AA34,'4. FPSource Set Up'!$C$96:$H$117, 5, FALSE))</f>
        <v/>
      </c>
      <c r="AK34" s="1042" t="str">
        <f>IF(AK$21="", "", VLOOKUP($AA34,'4. FPSource Set Up'!$C$96:$H$117, 5, FALSE))</f>
        <v/>
      </c>
      <c r="AL34" s="1042" t="str">
        <f>IF(AL$21="", "", VLOOKUP($AA34,'4. FPSource Set Up'!$C$96:$H$117, 5, FALSE))</f>
        <v/>
      </c>
      <c r="AM34" s="1042" t="str">
        <f>IF(AM$21="", "", VLOOKUP($AA34,'4. FPSource Set Up'!$C$96:$H$117, 5, FALSE))</f>
        <v/>
      </c>
      <c r="AN34" s="1042" t="str">
        <f>IF(AN$21="", "", VLOOKUP($AA34,'4. FPSource Set Up'!$C$96:$H$117, 5, FALSE))</f>
        <v/>
      </c>
      <c r="AO34" s="1042" t="str">
        <f>IF(AO$21="", "", VLOOKUP($AA34,'4. FPSource Set Up'!$C$96:$H$117, 5, FALSE))</f>
        <v/>
      </c>
      <c r="AP34" s="1042" t="str">
        <f>IF(AP$21="", "", VLOOKUP($AA34,'4. FPSource Set Up'!$C$96:$H$117, 5, FALSE))</f>
        <v/>
      </c>
      <c r="AQ34" s="1043" t="str">
        <f>IF(AQ$21="", "", VLOOKUP($AA34,'4. FPSource Set Up'!$C$96:$H$117, 5, FALSE))</f>
        <v/>
      </c>
      <c r="BA34" s="416" t="s">
        <v>571</v>
      </c>
      <c r="BC34" s="184" t="s">
        <v>846</v>
      </c>
      <c r="BJ34" s="678" t="str">
        <f t="shared" si="13"/>
        <v>Lunelle</v>
      </c>
      <c r="BK34" s="670" t="str">
        <f t="shared" si="55"/>
        <v/>
      </c>
      <c r="BL34" s="671" t="str">
        <f t="shared" si="52"/>
        <v/>
      </c>
      <c r="BM34" s="670" t="str">
        <f t="shared" si="52"/>
        <v/>
      </c>
      <c r="BN34" s="671" t="str">
        <f t="shared" si="52"/>
        <v/>
      </c>
      <c r="BO34" s="670" t="str">
        <f t="shared" si="52"/>
        <v/>
      </c>
      <c r="BP34" s="671" t="str">
        <f t="shared" si="52"/>
        <v/>
      </c>
      <c r="BQ34" s="670" t="str">
        <f t="shared" si="52"/>
        <v/>
      </c>
      <c r="BR34" s="671" t="str">
        <f t="shared" si="52"/>
        <v/>
      </c>
      <c r="BS34" s="670" t="str">
        <f t="shared" si="52"/>
        <v/>
      </c>
      <c r="BT34" s="671" t="str">
        <f t="shared" si="52"/>
        <v/>
      </c>
      <c r="BU34" s="670" t="str">
        <f t="shared" si="52"/>
        <v/>
      </c>
      <c r="BV34" s="671" t="str">
        <f t="shared" si="52"/>
        <v/>
      </c>
      <c r="BW34" s="670" t="str">
        <f t="shared" si="52"/>
        <v/>
      </c>
      <c r="BX34" s="671" t="str">
        <f t="shared" si="52"/>
        <v/>
      </c>
      <c r="BY34" s="670" t="str">
        <f t="shared" si="52"/>
        <v/>
      </c>
      <c r="BZ34" s="672" t="str">
        <f t="shared" si="52"/>
        <v/>
      </c>
      <c r="CB34" s="678" t="str">
        <f t="shared" si="28"/>
        <v>Lunelle</v>
      </c>
      <c r="CC34" s="670" t="str">
        <f t="shared" si="56"/>
        <v/>
      </c>
      <c r="CD34" s="671" t="str">
        <f t="shared" si="57"/>
        <v/>
      </c>
      <c r="CE34" s="670" t="str">
        <f t="shared" si="58"/>
        <v/>
      </c>
      <c r="CF34" s="671" t="str">
        <f t="shared" si="59"/>
        <v/>
      </c>
      <c r="CG34" s="670" t="str">
        <f t="shared" si="60"/>
        <v/>
      </c>
      <c r="CH34" s="671" t="str">
        <f t="shared" si="61"/>
        <v/>
      </c>
      <c r="CI34" s="670" t="str">
        <f t="shared" si="62"/>
        <v/>
      </c>
      <c r="CJ34" s="671" t="str">
        <f t="shared" si="63"/>
        <v/>
      </c>
      <c r="CK34" s="670" t="str">
        <f t="shared" si="64"/>
        <v/>
      </c>
      <c r="CL34" s="671" t="str">
        <f t="shared" si="65"/>
        <v/>
      </c>
      <c r="CM34" s="670" t="str">
        <f t="shared" si="66"/>
        <v/>
      </c>
      <c r="CN34" s="671" t="str">
        <f t="shared" si="67"/>
        <v/>
      </c>
      <c r="CO34" s="670" t="str">
        <f t="shared" si="68"/>
        <v/>
      </c>
      <c r="CP34" s="671" t="str">
        <f t="shared" si="69"/>
        <v/>
      </c>
      <c r="CQ34" s="670" t="str">
        <f t="shared" si="70"/>
        <v/>
      </c>
      <c r="CR34" s="672" t="str">
        <f t="shared" si="71"/>
        <v/>
      </c>
      <c r="CT34" s="772" t="str">
        <f t="shared" si="45"/>
        <v>Lunelle</v>
      </c>
      <c r="CU34" s="773"/>
      <c r="CV34" s="774"/>
      <c r="CW34" s="773"/>
      <c r="CX34" s="774"/>
      <c r="CY34" s="773"/>
      <c r="CZ34" s="774"/>
      <c r="DA34" s="773"/>
      <c r="DB34" s="774"/>
      <c r="DC34" s="773"/>
      <c r="DD34" s="774"/>
      <c r="DE34" s="773"/>
      <c r="DF34" s="774"/>
      <c r="DG34" s="773"/>
      <c r="DH34" s="774"/>
      <c r="DI34" s="773"/>
      <c r="DJ34" s="775"/>
    </row>
    <row r="35" spans="2:114" ht="17.25" customHeight="1" x14ac:dyDescent="0.25">
      <c r="B35" s="1492"/>
      <c r="C35" s="277" t="str">
        <f>IF(Language="English", 'Language Look Ups'!$P$18,IF(Language="Francais", 'Language Look Ups'!$T$18, 'Language Look Ups'!$R$18))</f>
        <v>Sayana Press</v>
      </c>
      <c r="D35" s="278">
        <v>4</v>
      </c>
      <c r="E35" s="101">
        <v>0.25</v>
      </c>
      <c r="F35" s="102" t="str">
        <f t="shared" si="50"/>
        <v>visites par an</v>
      </c>
      <c r="G35" s="282"/>
      <c r="H35" s="283"/>
      <c r="I35" s="282"/>
      <c r="J35" s="283"/>
      <c r="K35" s="283"/>
      <c r="L35" s="283"/>
      <c r="M35" s="282"/>
      <c r="N35" s="283"/>
      <c r="O35" s="282"/>
      <c r="P35" s="283"/>
      <c r="Q35" s="282"/>
      <c r="R35" s="283"/>
      <c r="S35" s="282"/>
      <c r="T35" s="283"/>
      <c r="U35" s="282"/>
      <c r="V35" s="413"/>
      <c r="AA35" s="464" t="str">
        <f t="shared" si="51"/>
        <v>Sayana Press</v>
      </c>
      <c r="AB35" s="1041" t="str">
        <f>IF(AB$21="", "", VLOOKUP($AA35,'4. FPSource Set Up'!$C$96:$H$117, 5, FALSE))</f>
        <v>n/a</v>
      </c>
      <c r="AC35" s="1042" t="str">
        <f>IF(AC$21="", "", VLOOKUP($AA35,'4. FPSource Set Up'!$C$96:$H$117, 5, FALSE))</f>
        <v/>
      </c>
      <c r="AD35" s="1042" t="str">
        <f>IF(AD$21="", "", VLOOKUP($AA35,'4. FPSource Set Up'!$C$96:$H$117, 5, FALSE))</f>
        <v/>
      </c>
      <c r="AE35" s="1042" t="str">
        <f>IF(AE$21="", "", VLOOKUP($AA35,'4. FPSource Set Up'!$C$96:$H$117, 5, FALSE))</f>
        <v/>
      </c>
      <c r="AF35" s="1042" t="str">
        <f>IF(AF$21="", "", VLOOKUP($AA35,'4. FPSource Set Up'!$C$96:$H$117, 5, FALSE))</f>
        <v/>
      </c>
      <c r="AG35" s="1042" t="str">
        <f>IF(AG$21="", "", VLOOKUP($AA35,'4. FPSource Set Up'!$C$96:$H$117, 5, FALSE))</f>
        <v/>
      </c>
      <c r="AH35" s="1042" t="str">
        <f>IF(AH$21="", "", VLOOKUP($AA35,'4. FPSource Set Up'!$C$96:$H$117, 5, FALSE))</f>
        <v/>
      </c>
      <c r="AI35" s="1042" t="str">
        <f>IF(AI$21="", "", VLOOKUP($AA35,'4. FPSource Set Up'!$C$96:$H$117, 5, FALSE))</f>
        <v/>
      </c>
      <c r="AJ35" s="1042" t="str">
        <f>IF(AJ$21="", "", VLOOKUP($AA35,'4. FPSource Set Up'!$C$96:$H$117, 5, FALSE))</f>
        <v/>
      </c>
      <c r="AK35" s="1042" t="str">
        <f>IF(AK$21="", "", VLOOKUP($AA35,'4. FPSource Set Up'!$C$96:$H$117, 5, FALSE))</f>
        <v/>
      </c>
      <c r="AL35" s="1042" t="str">
        <f>IF(AL$21="", "", VLOOKUP($AA35,'4. FPSource Set Up'!$C$96:$H$117, 5, FALSE))</f>
        <v/>
      </c>
      <c r="AM35" s="1042" t="str">
        <f>IF(AM$21="", "", VLOOKUP($AA35,'4. FPSource Set Up'!$C$96:$H$117, 5, FALSE))</f>
        <v/>
      </c>
      <c r="AN35" s="1042" t="str">
        <f>IF(AN$21="", "", VLOOKUP($AA35,'4. FPSource Set Up'!$C$96:$H$117, 5, FALSE))</f>
        <v/>
      </c>
      <c r="AO35" s="1042" t="str">
        <f>IF(AO$21="", "", VLOOKUP($AA35,'4. FPSource Set Up'!$C$96:$H$117, 5, FALSE))</f>
        <v/>
      </c>
      <c r="AP35" s="1042" t="str">
        <f>IF(AP$21="", "", VLOOKUP($AA35,'4. FPSource Set Up'!$C$96:$H$117, 5, FALSE))</f>
        <v/>
      </c>
      <c r="AQ35" s="1043" t="str">
        <f>IF(AQ$21="", "", VLOOKUP($AA35,'4. FPSource Set Up'!$C$96:$H$117, 5, FALSE))</f>
        <v/>
      </c>
      <c r="BA35" s="416" t="s">
        <v>571</v>
      </c>
      <c r="BC35" s="184" t="s">
        <v>846</v>
      </c>
      <c r="BJ35" s="678" t="str">
        <f t="shared" si="13"/>
        <v>Sayana Press</v>
      </c>
      <c r="BK35" s="670" t="str">
        <f t="shared" si="55"/>
        <v/>
      </c>
      <c r="BL35" s="671" t="str">
        <f t="shared" si="52"/>
        <v/>
      </c>
      <c r="BM35" s="670" t="str">
        <f t="shared" si="52"/>
        <v/>
      </c>
      <c r="BN35" s="671" t="str">
        <f t="shared" si="52"/>
        <v/>
      </c>
      <c r="BO35" s="670" t="str">
        <f t="shared" si="52"/>
        <v/>
      </c>
      <c r="BP35" s="671" t="str">
        <f t="shared" si="52"/>
        <v/>
      </c>
      <c r="BQ35" s="670" t="str">
        <f t="shared" si="52"/>
        <v/>
      </c>
      <c r="BR35" s="671" t="str">
        <f t="shared" si="52"/>
        <v/>
      </c>
      <c r="BS35" s="670" t="str">
        <f t="shared" si="52"/>
        <v/>
      </c>
      <c r="BT35" s="671" t="str">
        <f t="shared" si="52"/>
        <v/>
      </c>
      <c r="BU35" s="670" t="str">
        <f t="shared" si="52"/>
        <v/>
      </c>
      <c r="BV35" s="671" t="str">
        <f t="shared" si="52"/>
        <v/>
      </c>
      <c r="BW35" s="670" t="str">
        <f t="shared" si="52"/>
        <v/>
      </c>
      <c r="BX35" s="671" t="str">
        <f t="shared" si="52"/>
        <v/>
      </c>
      <c r="BY35" s="670" t="str">
        <f t="shared" si="52"/>
        <v/>
      </c>
      <c r="BZ35" s="672" t="str">
        <f t="shared" si="52"/>
        <v/>
      </c>
      <c r="CB35" s="678" t="str">
        <f t="shared" si="28"/>
        <v>Sayana Press</v>
      </c>
      <c r="CC35" s="670" t="str">
        <f t="shared" si="56"/>
        <v/>
      </c>
      <c r="CD35" s="671" t="str">
        <f t="shared" si="57"/>
        <v/>
      </c>
      <c r="CE35" s="670" t="str">
        <f t="shared" si="58"/>
        <v/>
      </c>
      <c r="CF35" s="671" t="str">
        <f t="shared" si="59"/>
        <v/>
      </c>
      <c r="CG35" s="670" t="str">
        <f t="shared" si="60"/>
        <v/>
      </c>
      <c r="CH35" s="671" t="str">
        <f t="shared" si="61"/>
        <v/>
      </c>
      <c r="CI35" s="670" t="str">
        <f t="shared" si="62"/>
        <v/>
      </c>
      <c r="CJ35" s="671" t="str">
        <f t="shared" si="63"/>
        <v/>
      </c>
      <c r="CK35" s="670" t="str">
        <f t="shared" si="64"/>
        <v/>
      </c>
      <c r="CL35" s="671" t="str">
        <f t="shared" si="65"/>
        <v/>
      </c>
      <c r="CM35" s="670" t="str">
        <f t="shared" si="66"/>
        <v/>
      </c>
      <c r="CN35" s="671" t="str">
        <f t="shared" si="67"/>
        <v/>
      </c>
      <c r="CO35" s="670" t="str">
        <f t="shared" si="68"/>
        <v/>
      </c>
      <c r="CP35" s="671" t="str">
        <f t="shared" si="69"/>
        <v/>
      </c>
      <c r="CQ35" s="670" t="str">
        <f t="shared" si="70"/>
        <v/>
      </c>
      <c r="CR35" s="672" t="str">
        <f t="shared" si="71"/>
        <v/>
      </c>
      <c r="CT35" s="772" t="str">
        <f t="shared" si="45"/>
        <v>Sayana Press</v>
      </c>
      <c r="CU35" s="773"/>
      <c r="CV35" s="774"/>
      <c r="CW35" s="773"/>
      <c r="CX35" s="774"/>
      <c r="CY35" s="773"/>
      <c r="CZ35" s="774"/>
      <c r="DA35" s="773"/>
      <c r="DB35" s="774"/>
      <c r="DC35" s="773"/>
      <c r="DD35" s="774"/>
      <c r="DE35" s="773"/>
      <c r="DF35" s="774"/>
      <c r="DG35" s="773"/>
      <c r="DH35" s="774"/>
      <c r="DI35" s="773"/>
      <c r="DJ35" s="775"/>
    </row>
    <row r="36" spans="2:114" ht="17.25" customHeight="1" x14ac:dyDescent="0.25">
      <c r="B36" s="1493"/>
      <c r="C36" s="275" t="str">
        <f>IF(Language="English", 'Language Look Ups'!$P$19,IF(Language="Francais", 'Language Look Ups'!$T$19, 'Language Look Ups'!$R$19))</f>
        <v>Autre Injectable</v>
      </c>
      <c r="D36" s="276">
        <v>4</v>
      </c>
      <c r="E36" s="99">
        <f t="shared" si="54"/>
        <v>0.25</v>
      </c>
      <c r="F36" s="100" t="str">
        <f t="shared" si="50"/>
        <v>visites par an</v>
      </c>
      <c r="G36" s="284"/>
      <c r="H36" s="285"/>
      <c r="I36" s="284"/>
      <c r="J36" s="285"/>
      <c r="K36" s="285"/>
      <c r="L36" s="285"/>
      <c r="M36" s="284"/>
      <c r="N36" s="285"/>
      <c r="O36" s="284"/>
      <c r="P36" s="285"/>
      <c r="Q36" s="284"/>
      <c r="R36" s="285"/>
      <c r="S36" s="284"/>
      <c r="T36" s="285"/>
      <c r="U36" s="284"/>
      <c r="V36" s="412"/>
      <c r="AA36" s="463" t="str">
        <f t="shared" si="51"/>
        <v>Autre Injectable</v>
      </c>
      <c r="AB36" s="1044" t="str">
        <f>IF(AB$21="", "", VLOOKUP($AA36,'4. FPSource Set Up'!$C$96:$H$117, 5, FALSE))</f>
        <v>n/a</v>
      </c>
      <c r="AC36" s="1045" t="str">
        <f>IF(AC$21="", "", VLOOKUP($AA36,'4. FPSource Set Up'!$C$96:$H$117, 5, FALSE))</f>
        <v/>
      </c>
      <c r="AD36" s="1045" t="str">
        <f>IF(AD$21="", "", VLOOKUP($AA36,'4. FPSource Set Up'!$C$96:$H$117, 5, FALSE))</f>
        <v/>
      </c>
      <c r="AE36" s="1045" t="str">
        <f>IF(AE$21="", "", VLOOKUP($AA36,'4. FPSource Set Up'!$C$96:$H$117, 5, FALSE))</f>
        <v/>
      </c>
      <c r="AF36" s="1045" t="str">
        <f>IF(AF$21="", "", VLOOKUP($AA36,'4. FPSource Set Up'!$C$96:$H$117, 5, FALSE))</f>
        <v/>
      </c>
      <c r="AG36" s="1045" t="str">
        <f>IF(AG$21="", "", VLOOKUP($AA36,'4. FPSource Set Up'!$C$96:$H$117, 5, FALSE))</f>
        <v/>
      </c>
      <c r="AH36" s="1045" t="str">
        <f>IF(AH$21="", "", VLOOKUP($AA36,'4. FPSource Set Up'!$C$96:$H$117, 5, FALSE))</f>
        <v/>
      </c>
      <c r="AI36" s="1045" t="str">
        <f>IF(AI$21="", "", VLOOKUP($AA36,'4. FPSource Set Up'!$C$96:$H$117, 5, FALSE))</f>
        <v/>
      </c>
      <c r="AJ36" s="1045" t="str">
        <f>IF(AJ$21="", "", VLOOKUP($AA36,'4. FPSource Set Up'!$C$96:$H$117, 5, FALSE))</f>
        <v/>
      </c>
      <c r="AK36" s="1045" t="str">
        <f>IF(AK$21="", "", VLOOKUP($AA36,'4. FPSource Set Up'!$C$96:$H$117, 5, FALSE))</f>
        <v/>
      </c>
      <c r="AL36" s="1045" t="str">
        <f>IF(AL$21="", "", VLOOKUP($AA36,'4. FPSource Set Up'!$C$96:$H$117, 5, FALSE))</f>
        <v/>
      </c>
      <c r="AM36" s="1045" t="str">
        <f>IF(AM$21="", "", VLOOKUP($AA36,'4. FPSource Set Up'!$C$96:$H$117, 5, FALSE))</f>
        <v/>
      </c>
      <c r="AN36" s="1045" t="str">
        <f>IF(AN$21="", "", VLOOKUP($AA36,'4. FPSource Set Up'!$C$96:$H$117, 5, FALSE))</f>
        <v/>
      </c>
      <c r="AO36" s="1045" t="str">
        <f>IF(AO$21="", "", VLOOKUP($AA36,'4. FPSource Set Up'!$C$96:$H$117, 5, FALSE))</f>
        <v/>
      </c>
      <c r="AP36" s="1045" t="str">
        <f>IF(AP$21="", "", VLOOKUP($AA36,'4. FPSource Set Up'!$C$96:$H$117, 5, FALSE))</f>
        <v/>
      </c>
      <c r="AQ36" s="1046" t="str">
        <f>IF(AQ$21="", "", VLOOKUP($AA36,'4. FPSource Set Up'!$C$96:$H$117, 5, FALSE))</f>
        <v/>
      </c>
      <c r="BA36" s="416" t="s">
        <v>571</v>
      </c>
      <c r="BC36" s="184" t="s">
        <v>846</v>
      </c>
      <c r="BJ36" s="677" t="str">
        <f t="shared" si="13"/>
        <v>Autre Injectable</v>
      </c>
      <c r="BK36" s="667" t="str">
        <f t="shared" si="55"/>
        <v/>
      </c>
      <c r="BL36" s="668" t="str">
        <f t="shared" si="52"/>
        <v/>
      </c>
      <c r="BM36" s="667" t="str">
        <f t="shared" si="52"/>
        <v/>
      </c>
      <c r="BN36" s="668" t="str">
        <f t="shared" si="52"/>
        <v/>
      </c>
      <c r="BO36" s="667" t="str">
        <f t="shared" si="52"/>
        <v/>
      </c>
      <c r="BP36" s="668" t="str">
        <f t="shared" si="52"/>
        <v/>
      </c>
      <c r="BQ36" s="667" t="str">
        <f t="shared" si="52"/>
        <v/>
      </c>
      <c r="BR36" s="668" t="str">
        <f t="shared" si="52"/>
        <v/>
      </c>
      <c r="BS36" s="667" t="str">
        <f t="shared" si="52"/>
        <v/>
      </c>
      <c r="BT36" s="668" t="str">
        <f t="shared" si="52"/>
        <v/>
      </c>
      <c r="BU36" s="667" t="str">
        <f t="shared" si="52"/>
        <v/>
      </c>
      <c r="BV36" s="668" t="str">
        <f t="shared" si="52"/>
        <v/>
      </c>
      <c r="BW36" s="667" t="str">
        <f t="shared" si="52"/>
        <v/>
      </c>
      <c r="BX36" s="668" t="str">
        <f t="shared" si="52"/>
        <v/>
      </c>
      <c r="BY36" s="667" t="str">
        <f t="shared" si="52"/>
        <v/>
      </c>
      <c r="BZ36" s="669" t="str">
        <f t="shared" si="52"/>
        <v/>
      </c>
      <c r="CB36" s="677" t="str">
        <f t="shared" si="28"/>
        <v>Autre Injectable</v>
      </c>
      <c r="CC36" s="667" t="str">
        <f t="shared" si="56"/>
        <v/>
      </c>
      <c r="CD36" s="668" t="str">
        <f t="shared" si="57"/>
        <v/>
      </c>
      <c r="CE36" s="667" t="str">
        <f t="shared" si="58"/>
        <v/>
      </c>
      <c r="CF36" s="668" t="str">
        <f t="shared" si="59"/>
        <v/>
      </c>
      <c r="CG36" s="667" t="str">
        <f t="shared" si="60"/>
        <v/>
      </c>
      <c r="CH36" s="668" t="str">
        <f t="shared" si="61"/>
        <v/>
      </c>
      <c r="CI36" s="667" t="str">
        <f t="shared" si="62"/>
        <v/>
      </c>
      <c r="CJ36" s="668" t="str">
        <f t="shared" si="63"/>
        <v/>
      </c>
      <c r="CK36" s="667" t="str">
        <f t="shared" si="64"/>
        <v/>
      </c>
      <c r="CL36" s="668" t="str">
        <f t="shared" si="65"/>
        <v/>
      </c>
      <c r="CM36" s="667" t="str">
        <f t="shared" si="66"/>
        <v/>
      </c>
      <c r="CN36" s="668" t="str">
        <f t="shared" si="67"/>
        <v/>
      </c>
      <c r="CO36" s="667" t="str">
        <f t="shared" si="68"/>
        <v/>
      </c>
      <c r="CP36" s="668" t="str">
        <f t="shared" si="69"/>
        <v/>
      </c>
      <c r="CQ36" s="667" t="str">
        <f t="shared" si="70"/>
        <v/>
      </c>
      <c r="CR36" s="669" t="str">
        <f t="shared" si="71"/>
        <v/>
      </c>
      <c r="CT36" s="776" t="str">
        <f t="shared" si="45"/>
        <v>Autre Injectable</v>
      </c>
      <c r="CU36" s="777"/>
      <c r="CV36" s="778"/>
      <c r="CW36" s="777"/>
      <c r="CX36" s="778"/>
      <c r="CY36" s="777"/>
      <c r="CZ36" s="778"/>
      <c r="DA36" s="777"/>
      <c r="DB36" s="778"/>
      <c r="DC36" s="777"/>
      <c r="DD36" s="778"/>
      <c r="DE36" s="777"/>
      <c r="DF36" s="778"/>
      <c r="DG36" s="777"/>
      <c r="DH36" s="778"/>
      <c r="DI36" s="777"/>
      <c r="DJ36" s="779"/>
    </row>
    <row r="37" spans="2:114" ht="17.25" customHeight="1" x14ac:dyDescent="0.25">
      <c r="B37" s="1480" t="str">
        <f>IF(Language="English", 'Language Look Ups'!$O$20,IF(Language="Francais", 'Language Look Ups'!$S$20, 'Language Look Ups'!Q$20))</f>
        <v>Pilule</v>
      </c>
      <c r="C37" s="363" t="str">
        <f>IF(Language="English", 'Language Look Ups'!$P$20,IF(Language="Francais", 'Language Look Ups'!$T$20, 'Language Look Ups'!$R$20))</f>
        <v>Oraux combinés (COC)</v>
      </c>
      <c r="D37" s="407">
        <v>4</v>
      </c>
      <c r="E37" s="408">
        <f t="shared" si="54"/>
        <v>0.25</v>
      </c>
      <c r="F37" s="416" t="str">
        <f t="shared" si="50"/>
        <v>visites par an</v>
      </c>
      <c r="G37" s="409"/>
      <c r="H37" s="410"/>
      <c r="I37" s="409"/>
      <c r="J37" s="410"/>
      <c r="K37" s="410"/>
      <c r="L37" s="283"/>
      <c r="M37" s="409"/>
      <c r="N37" s="410"/>
      <c r="O37" s="409"/>
      <c r="P37" s="410"/>
      <c r="Q37" s="409"/>
      <c r="R37" s="410"/>
      <c r="S37" s="409"/>
      <c r="T37" s="410"/>
      <c r="U37" s="409"/>
      <c r="V37" s="411"/>
      <c r="AA37" s="462" t="str">
        <f t="shared" si="51"/>
        <v>Oraux combinés (COC)</v>
      </c>
      <c r="AB37" s="1008" t="str">
        <f>IF(AB$21="", "", VLOOKUP($AA37,'4. FPSource Set Up'!$C$96:$H$117, 5, FALSE))</f>
        <v>n/a</v>
      </c>
      <c r="AC37" s="1009" t="str">
        <f>IF(AC$21="", "", VLOOKUP($AA37,'4. FPSource Set Up'!$C$96:$H$117, 5, FALSE))</f>
        <v/>
      </c>
      <c r="AD37" s="1009" t="str">
        <f>IF(AD$21="", "", VLOOKUP($AA37,'4. FPSource Set Up'!$C$96:$H$117, 5, FALSE))</f>
        <v/>
      </c>
      <c r="AE37" s="1009" t="str">
        <f>IF(AE$21="", "", VLOOKUP($AA37,'4. FPSource Set Up'!$C$96:$H$117, 5, FALSE))</f>
        <v/>
      </c>
      <c r="AF37" s="1009" t="str">
        <f>IF(AF$21="", "", VLOOKUP($AA37,'4. FPSource Set Up'!$C$96:$H$117, 5, FALSE))</f>
        <v/>
      </c>
      <c r="AG37" s="1009" t="str">
        <f>IF(AG$21="", "", VLOOKUP($AA37,'4. FPSource Set Up'!$C$96:$H$117, 5, FALSE))</f>
        <v/>
      </c>
      <c r="AH37" s="1009" t="str">
        <f>IF(AH$21="", "", VLOOKUP($AA37,'4. FPSource Set Up'!$C$96:$H$117, 5, FALSE))</f>
        <v/>
      </c>
      <c r="AI37" s="1009" t="str">
        <f>IF(AI$21="", "", VLOOKUP($AA37,'4. FPSource Set Up'!$C$96:$H$117, 5, FALSE))</f>
        <v/>
      </c>
      <c r="AJ37" s="1009" t="str">
        <f>IF(AJ$21="", "", VLOOKUP($AA37,'4. FPSource Set Up'!$C$96:$H$117, 5, FALSE))</f>
        <v/>
      </c>
      <c r="AK37" s="1009" t="str">
        <f>IF(AK$21="", "", VLOOKUP($AA37,'4. FPSource Set Up'!$C$96:$H$117, 5, FALSE))</f>
        <v/>
      </c>
      <c r="AL37" s="1009" t="str">
        <f>IF(AL$21="", "", VLOOKUP($AA37,'4. FPSource Set Up'!$C$96:$H$117, 5, FALSE))</f>
        <v/>
      </c>
      <c r="AM37" s="1009" t="str">
        <f>IF(AM$21="", "", VLOOKUP($AA37,'4. FPSource Set Up'!$C$96:$H$117, 5, FALSE))</f>
        <v/>
      </c>
      <c r="AN37" s="1009" t="str">
        <f>IF(AN$21="", "", VLOOKUP($AA37,'4. FPSource Set Up'!$C$96:$H$117, 5, FALSE))</f>
        <v/>
      </c>
      <c r="AO37" s="1009" t="str">
        <f>IF(AO$21="", "", VLOOKUP($AA37,'4. FPSource Set Up'!$C$96:$H$117, 5, FALSE))</f>
        <v/>
      </c>
      <c r="AP37" s="1009" t="str">
        <f>IF(AP$21="", "", VLOOKUP($AA37,'4. FPSource Set Up'!$C$96:$H$117, 5, FALSE))</f>
        <v/>
      </c>
      <c r="AQ37" s="1010" t="str">
        <f>IF(AQ$21="", "", VLOOKUP($AA37,'4. FPSource Set Up'!$C$96:$H$117, 5, FALSE))</f>
        <v/>
      </c>
      <c r="BA37" s="416" t="s">
        <v>571</v>
      </c>
      <c r="BC37" s="184" t="s">
        <v>846</v>
      </c>
      <c r="BJ37" s="676" t="str">
        <f t="shared" si="13"/>
        <v>Oraux combinés (COC)</v>
      </c>
      <c r="BK37" s="664" t="str">
        <f t="shared" si="55"/>
        <v/>
      </c>
      <c r="BL37" s="665" t="str">
        <f t="shared" si="52"/>
        <v/>
      </c>
      <c r="BM37" s="664" t="str">
        <f t="shared" si="52"/>
        <v/>
      </c>
      <c r="BN37" s="665" t="str">
        <f t="shared" si="52"/>
        <v/>
      </c>
      <c r="BO37" s="664" t="str">
        <f t="shared" si="52"/>
        <v/>
      </c>
      <c r="BP37" s="665" t="str">
        <f t="shared" si="52"/>
        <v/>
      </c>
      <c r="BQ37" s="664" t="str">
        <f t="shared" si="52"/>
        <v/>
      </c>
      <c r="BR37" s="665" t="str">
        <f t="shared" si="52"/>
        <v/>
      </c>
      <c r="BS37" s="664" t="str">
        <f t="shared" si="52"/>
        <v/>
      </c>
      <c r="BT37" s="665" t="str">
        <f t="shared" si="52"/>
        <v/>
      </c>
      <c r="BU37" s="664" t="str">
        <f t="shared" si="52"/>
        <v/>
      </c>
      <c r="BV37" s="665" t="str">
        <f t="shared" si="52"/>
        <v/>
      </c>
      <c r="BW37" s="664" t="str">
        <f t="shared" si="52"/>
        <v/>
      </c>
      <c r="BX37" s="665" t="str">
        <f t="shared" si="52"/>
        <v/>
      </c>
      <c r="BY37" s="664" t="str">
        <f t="shared" si="52"/>
        <v/>
      </c>
      <c r="BZ37" s="666" t="str">
        <f t="shared" si="52"/>
        <v/>
      </c>
      <c r="CB37" s="676" t="str">
        <f t="shared" si="28"/>
        <v>Oraux combinés (COC)</v>
      </c>
      <c r="CC37" s="664" t="str">
        <f t="shared" si="56"/>
        <v/>
      </c>
      <c r="CD37" s="665" t="str">
        <f t="shared" si="57"/>
        <v/>
      </c>
      <c r="CE37" s="664" t="str">
        <f t="shared" si="58"/>
        <v/>
      </c>
      <c r="CF37" s="665" t="str">
        <f t="shared" si="59"/>
        <v/>
      </c>
      <c r="CG37" s="664" t="str">
        <f t="shared" si="60"/>
        <v/>
      </c>
      <c r="CH37" s="665" t="str">
        <f t="shared" si="61"/>
        <v/>
      </c>
      <c r="CI37" s="664" t="str">
        <f t="shared" si="62"/>
        <v/>
      </c>
      <c r="CJ37" s="665" t="str">
        <f t="shared" si="63"/>
        <v/>
      </c>
      <c r="CK37" s="664" t="str">
        <f t="shared" si="64"/>
        <v/>
      </c>
      <c r="CL37" s="665" t="str">
        <f t="shared" si="65"/>
        <v/>
      </c>
      <c r="CM37" s="664" t="str">
        <f t="shared" si="66"/>
        <v/>
      </c>
      <c r="CN37" s="665" t="str">
        <f t="shared" si="67"/>
        <v/>
      </c>
      <c r="CO37" s="664" t="str">
        <f t="shared" si="68"/>
        <v/>
      </c>
      <c r="CP37" s="665" t="str">
        <f t="shared" si="69"/>
        <v/>
      </c>
      <c r="CQ37" s="664" t="str">
        <f t="shared" si="70"/>
        <v/>
      </c>
      <c r="CR37" s="666" t="str">
        <f t="shared" si="71"/>
        <v/>
      </c>
      <c r="CT37" s="768" t="str">
        <f t="shared" si="45"/>
        <v>Oraux combinés (COC)</v>
      </c>
      <c r="CU37" s="769"/>
      <c r="CV37" s="770"/>
      <c r="CW37" s="769"/>
      <c r="CX37" s="770"/>
      <c r="CY37" s="769"/>
      <c r="CZ37" s="770"/>
      <c r="DA37" s="769"/>
      <c r="DB37" s="770"/>
      <c r="DC37" s="769"/>
      <c r="DD37" s="770"/>
      <c r="DE37" s="769"/>
      <c r="DF37" s="770"/>
      <c r="DG37" s="769"/>
      <c r="DH37" s="770"/>
      <c r="DI37" s="769"/>
      <c r="DJ37" s="771"/>
    </row>
    <row r="38" spans="2:114" ht="17.25" customHeight="1" x14ac:dyDescent="0.25">
      <c r="B38" s="1482"/>
      <c r="C38" s="277" t="str">
        <f>IF(Language="English", 'Language Look Ups'!$P$21,IF(Language="Francais", 'Language Look Ups'!$T$21, 'Language Look Ups'!$R$21))</f>
        <v>Progestatifs seul (POP)</v>
      </c>
      <c r="D38" s="278">
        <v>4</v>
      </c>
      <c r="E38" s="101">
        <f t="shared" si="54"/>
        <v>0.25</v>
      </c>
      <c r="F38" s="102" t="str">
        <f t="shared" si="50"/>
        <v>visites par an</v>
      </c>
      <c r="G38" s="282"/>
      <c r="H38" s="283"/>
      <c r="I38" s="282"/>
      <c r="J38" s="283"/>
      <c r="K38" s="283"/>
      <c r="L38" s="283"/>
      <c r="M38" s="282"/>
      <c r="N38" s="283"/>
      <c r="O38" s="282"/>
      <c r="P38" s="283"/>
      <c r="Q38" s="282"/>
      <c r="R38" s="283"/>
      <c r="S38" s="282"/>
      <c r="T38" s="283"/>
      <c r="U38" s="282"/>
      <c r="V38" s="413"/>
      <c r="AA38" s="464" t="str">
        <f t="shared" si="51"/>
        <v>Progestatifs seul (POP)</v>
      </c>
      <c r="AB38" s="1038" t="str">
        <f>IF(AB$21="", "", VLOOKUP($AA38,'4. FPSource Set Up'!$C$96:$H$117, 5, FALSE))</f>
        <v>n/a</v>
      </c>
      <c r="AC38" s="1039" t="str">
        <f>IF(AC$21="", "", VLOOKUP($AA38,'4. FPSource Set Up'!$C$96:$H$117, 5, FALSE))</f>
        <v/>
      </c>
      <c r="AD38" s="1039" t="str">
        <f>IF(AD$21="", "", VLOOKUP($AA38,'4. FPSource Set Up'!$C$96:$H$117, 5, FALSE))</f>
        <v/>
      </c>
      <c r="AE38" s="1039" t="str">
        <f>IF(AE$21="", "", VLOOKUP($AA38,'4. FPSource Set Up'!$C$96:$H$117, 5, FALSE))</f>
        <v/>
      </c>
      <c r="AF38" s="1039" t="str">
        <f>IF(AF$21="", "", VLOOKUP($AA38,'4. FPSource Set Up'!$C$96:$H$117, 5, FALSE))</f>
        <v/>
      </c>
      <c r="AG38" s="1039" t="str">
        <f>IF(AG$21="", "", VLOOKUP($AA38,'4. FPSource Set Up'!$C$96:$H$117, 5, FALSE))</f>
        <v/>
      </c>
      <c r="AH38" s="1039" t="str">
        <f>IF(AH$21="", "", VLOOKUP($AA38,'4. FPSource Set Up'!$C$96:$H$117, 5, FALSE))</f>
        <v/>
      </c>
      <c r="AI38" s="1039" t="str">
        <f>IF(AI$21="", "", VLOOKUP($AA38,'4. FPSource Set Up'!$C$96:$H$117, 5, FALSE))</f>
        <v/>
      </c>
      <c r="AJ38" s="1039" t="str">
        <f>IF(AJ$21="", "", VLOOKUP($AA38,'4. FPSource Set Up'!$C$96:$H$117, 5, FALSE))</f>
        <v/>
      </c>
      <c r="AK38" s="1039" t="str">
        <f>IF(AK$21="", "", VLOOKUP($AA38,'4. FPSource Set Up'!$C$96:$H$117, 5, FALSE))</f>
        <v/>
      </c>
      <c r="AL38" s="1039" t="str">
        <f>IF(AL$21="", "", VLOOKUP($AA38,'4. FPSource Set Up'!$C$96:$H$117, 5, FALSE))</f>
        <v/>
      </c>
      <c r="AM38" s="1039" t="str">
        <f>IF(AM$21="", "", VLOOKUP($AA38,'4. FPSource Set Up'!$C$96:$H$117, 5, FALSE))</f>
        <v/>
      </c>
      <c r="AN38" s="1039" t="str">
        <f>IF(AN$21="", "", VLOOKUP($AA38,'4. FPSource Set Up'!$C$96:$H$117, 5, FALSE))</f>
        <v/>
      </c>
      <c r="AO38" s="1039" t="str">
        <f>IF(AO$21="", "", VLOOKUP($AA38,'4. FPSource Set Up'!$C$96:$H$117, 5, FALSE))</f>
        <v/>
      </c>
      <c r="AP38" s="1039" t="str">
        <f>IF(AP$21="", "", VLOOKUP($AA38,'4. FPSource Set Up'!$C$96:$H$117, 5, FALSE))</f>
        <v/>
      </c>
      <c r="AQ38" s="1040" t="str">
        <f>IF(AQ$21="", "", VLOOKUP($AA38,'4. FPSource Set Up'!$C$96:$H$117, 5, FALSE))</f>
        <v/>
      </c>
      <c r="BA38" s="416" t="s">
        <v>571</v>
      </c>
      <c r="BC38" s="184" t="s">
        <v>846</v>
      </c>
      <c r="BJ38" s="678" t="str">
        <f t="shared" si="13"/>
        <v>Progestatifs seul (POP)</v>
      </c>
      <c r="BK38" s="670" t="str">
        <f t="shared" si="55"/>
        <v/>
      </c>
      <c r="BL38" s="671" t="str">
        <f t="shared" si="52"/>
        <v/>
      </c>
      <c r="BM38" s="670" t="str">
        <f t="shared" si="52"/>
        <v/>
      </c>
      <c r="BN38" s="671" t="str">
        <f t="shared" si="52"/>
        <v/>
      </c>
      <c r="BO38" s="670" t="str">
        <f t="shared" si="52"/>
        <v/>
      </c>
      <c r="BP38" s="671" t="str">
        <f t="shared" si="52"/>
        <v/>
      </c>
      <c r="BQ38" s="670" t="str">
        <f t="shared" si="52"/>
        <v/>
      </c>
      <c r="BR38" s="671" t="str">
        <f t="shared" si="52"/>
        <v/>
      </c>
      <c r="BS38" s="670" t="str">
        <f t="shared" si="52"/>
        <v/>
      </c>
      <c r="BT38" s="671" t="str">
        <f t="shared" si="52"/>
        <v/>
      </c>
      <c r="BU38" s="670" t="str">
        <f t="shared" si="52"/>
        <v/>
      </c>
      <c r="BV38" s="671" t="str">
        <f t="shared" si="52"/>
        <v/>
      </c>
      <c r="BW38" s="670" t="str">
        <f t="shared" si="52"/>
        <v/>
      </c>
      <c r="BX38" s="671" t="str">
        <f t="shared" si="52"/>
        <v/>
      </c>
      <c r="BY38" s="670" t="str">
        <f t="shared" si="52"/>
        <v/>
      </c>
      <c r="BZ38" s="672" t="str">
        <f t="shared" si="52"/>
        <v/>
      </c>
      <c r="CB38" s="678" t="str">
        <f t="shared" si="28"/>
        <v>Progestatifs seul (POP)</v>
      </c>
      <c r="CC38" s="670" t="str">
        <f t="shared" si="56"/>
        <v/>
      </c>
      <c r="CD38" s="671" t="str">
        <f t="shared" si="57"/>
        <v/>
      </c>
      <c r="CE38" s="670" t="str">
        <f t="shared" si="58"/>
        <v/>
      </c>
      <c r="CF38" s="671" t="str">
        <f t="shared" si="59"/>
        <v/>
      </c>
      <c r="CG38" s="670" t="str">
        <f t="shared" si="60"/>
        <v/>
      </c>
      <c r="CH38" s="671" t="str">
        <f t="shared" si="61"/>
        <v/>
      </c>
      <c r="CI38" s="670" t="str">
        <f t="shared" si="62"/>
        <v/>
      </c>
      <c r="CJ38" s="671" t="str">
        <f t="shared" si="63"/>
        <v/>
      </c>
      <c r="CK38" s="670" t="str">
        <f t="shared" si="64"/>
        <v/>
      </c>
      <c r="CL38" s="671" t="str">
        <f t="shared" si="65"/>
        <v/>
      </c>
      <c r="CM38" s="670" t="str">
        <f t="shared" si="66"/>
        <v/>
      </c>
      <c r="CN38" s="671" t="str">
        <f t="shared" si="67"/>
        <v/>
      </c>
      <c r="CO38" s="670" t="str">
        <f t="shared" si="68"/>
        <v/>
      </c>
      <c r="CP38" s="671" t="str">
        <f t="shared" si="69"/>
        <v/>
      </c>
      <c r="CQ38" s="670" t="str">
        <f t="shared" si="70"/>
        <v/>
      </c>
      <c r="CR38" s="672" t="str">
        <f t="shared" si="71"/>
        <v/>
      </c>
      <c r="CT38" s="772" t="str">
        <f t="shared" si="45"/>
        <v>Progestatifs seul (POP)</v>
      </c>
      <c r="CU38" s="773"/>
      <c r="CV38" s="774"/>
      <c r="CW38" s="773"/>
      <c r="CX38" s="774"/>
      <c r="CY38" s="773"/>
      <c r="CZ38" s="774"/>
      <c r="DA38" s="773"/>
      <c r="DB38" s="774"/>
      <c r="DC38" s="773"/>
      <c r="DD38" s="774"/>
      <c r="DE38" s="773"/>
      <c r="DF38" s="774"/>
      <c r="DG38" s="773"/>
      <c r="DH38" s="774"/>
      <c r="DI38" s="773"/>
      <c r="DJ38" s="775"/>
    </row>
    <row r="39" spans="2:114" ht="17.25" customHeight="1" x14ac:dyDescent="0.25">
      <c r="B39" s="1481"/>
      <c r="C39" s="275" t="str">
        <f>IF(Language="English", 'Language Look Ups'!$P$22,IF(Language="Francais", 'Language Look Ups'!$T$22, 'Language Look Ups'!$R$22))</f>
        <v>Autre pilule</v>
      </c>
      <c r="D39" s="276">
        <v>4</v>
      </c>
      <c r="E39" s="99">
        <f t="shared" si="54"/>
        <v>0.25</v>
      </c>
      <c r="F39" s="100" t="str">
        <f t="shared" si="50"/>
        <v>visites par an</v>
      </c>
      <c r="G39" s="284"/>
      <c r="H39" s="285"/>
      <c r="I39" s="284"/>
      <c r="J39" s="285"/>
      <c r="K39" s="285"/>
      <c r="L39" s="285"/>
      <c r="M39" s="284"/>
      <c r="N39" s="285"/>
      <c r="O39" s="284"/>
      <c r="P39" s="285"/>
      <c r="Q39" s="284"/>
      <c r="R39" s="285"/>
      <c r="S39" s="284"/>
      <c r="T39" s="285"/>
      <c r="U39" s="284"/>
      <c r="V39" s="412"/>
      <c r="AA39" s="463" t="str">
        <f t="shared" si="51"/>
        <v>Autre pilule</v>
      </c>
      <c r="AB39" s="1035" t="str">
        <f>IF(AB$21="", "", VLOOKUP($AA39,'4. FPSource Set Up'!$C$96:$H$117, 5, FALSE))</f>
        <v>n/a</v>
      </c>
      <c r="AC39" s="1036" t="str">
        <f>IF(AC$21="", "", VLOOKUP($AA39,'4. FPSource Set Up'!$C$96:$H$117, 5, FALSE))</f>
        <v/>
      </c>
      <c r="AD39" s="1036" t="str">
        <f>IF(AD$21="", "", VLOOKUP($AA39,'4. FPSource Set Up'!$C$96:$H$117, 5, FALSE))</f>
        <v/>
      </c>
      <c r="AE39" s="1036" t="str">
        <f>IF(AE$21="", "", VLOOKUP($AA39,'4. FPSource Set Up'!$C$96:$H$117, 5, FALSE))</f>
        <v/>
      </c>
      <c r="AF39" s="1036" t="str">
        <f>IF(AF$21="", "", VLOOKUP($AA39,'4. FPSource Set Up'!$C$96:$H$117, 5, FALSE))</f>
        <v/>
      </c>
      <c r="AG39" s="1036" t="str">
        <f>IF(AG$21="", "", VLOOKUP($AA39,'4. FPSource Set Up'!$C$96:$H$117, 5, FALSE))</f>
        <v/>
      </c>
      <c r="AH39" s="1036" t="str">
        <f>IF(AH$21="", "", VLOOKUP($AA39,'4. FPSource Set Up'!$C$96:$H$117, 5, FALSE))</f>
        <v/>
      </c>
      <c r="AI39" s="1036" t="str">
        <f>IF(AI$21="", "", VLOOKUP($AA39,'4. FPSource Set Up'!$C$96:$H$117, 5, FALSE))</f>
        <v/>
      </c>
      <c r="AJ39" s="1036" t="str">
        <f>IF(AJ$21="", "", VLOOKUP($AA39,'4. FPSource Set Up'!$C$96:$H$117, 5, FALSE))</f>
        <v/>
      </c>
      <c r="AK39" s="1036" t="str">
        <f>IF(AK$21="", "", VLOOKUP($AA39,'4. FPSource Set Up'!$C$96:$H$117, 5, FALSE))</f>
        <v/>
      </c>
      <c r="AL39" s="1036" t="str">
        <f>IF(AL$21="", "", VLOOKUP($AA39,'4. FPSource Set Up'!$C$96:$H$117, 5, FALSE))</f>
        <v/>
      </c>
      <c r="AM39" s="1036" t="str">
        <f>IF(AM$21="", "", VLOOKUP($AA39,'4. FPSource Set Up'!$C$96:$H$117, 5, FALSE))</f>
        <v/>
      </c>
      <c r="AN39" s="1036" t="str">
        <f>IF(AN$21="", "", VLOOKUP($AA39,'4. FPSource Set Up'!$C$96:$H$117, 5, FALSE))</f>
        <v/>
      </c>
      <c r="AO39" s="1036" t="str">
        <f>IF(AO$21="", "", VLOOKUP($AA39,'4. FPSource Set Up'!$C$96:$H$117, 5, FALSE))</f>
        <v/>
      </c>
      <c r="AP39" s="1036" t="str">
        <f>IF(AP$21="", "", VLOOKUP($AA39,'4. FPSource Set Up'!$C$96:$H$117, 5, FALSE))</f>
        <v/>
      </c>
      <c r="AQ39" s="1037" t="str">
        <f>IF(AQ$21="", "", VLOOKUP($AA39,'4. FPSource Set Up'!$C$96:$H$117, 5, FALSE))</f>
        <v/>
      </c>
      <c r="BA39" s="416" t="s">
        <v>571</v>
      </c>
      <c r="BC39" s="184" t="s">
        <v>846</v>
      </c>
      <c r="BJ39" s="677" t="str">
        <f t="shared" si="13"/>
        <v>Autre pilule</v>
      </c>
      <c r="BK39" s="667" t="str">
        <f t="shared" si="55"/>
        <v/>
      </c>
      <c r="BL39" s="668" t="str">
        <f t="shared" si="52"/>
        <v/>
      </c>
      <c r="BM39" s="667" t="str">
        <f t="shared" si="52"/>
        <v/>
      </c>
      <c r="BN39" s="668" t="str">
        <f t="shared" si="52"/>
        <v/>
      </c>
      <c r="BO39" s="667" t="str">
        <f t="shared" si="52"/>
        <v/>
      </c>
      <c r="BP39" s="668" t="str">
        <f t="shared" si="52"/>
        <v/>
      </c>
      <c r="BQ39" s="667" t="str">
        <f t="shared" si="52"/>
        <v/>
      </c>
      <c r="BR39" s="668" t="str">
        <f t="shared" si="52"/>
        <v/>
      </c>
      <c r="BS39" s="667" t="str">
        <f t="shared" si="52"/>
        <v/>
      </c>
      <c r="BT39" s="668" t="str">
        <f t="shared" si="52"/>
        <v/>
      </c>
      <c r="BU39" s="667" t="str">
        <f t="shared" si="52"/>
        <v/>
      </c>
      <c r="BV39" s="668" t="str">
        <f t="shared" si="52"/>
        <v/>
      </c>
      <c r="BW39" s="667" t="str">
        <f t="shared" si="52"/>
        <v/>
      </c>
      <c r="BX39" s="668" t="str">
        <f t="shared" si="52"/>
        <v/>
      </c>
      <c r="BY39" s="667" t="str">
        <f t="shared" si="52"/>
        <v/>
      </c>
      <c r="BZ39" s="669" t="str">
        <f t="shared" si="52"/>
        <v/>
      </c>
      <c r="CB39" s="677" t="str">
        <f t="shared" si="28"/>
        <v>Autre pilule</v>
      </c>
      <c r="CC39" s="667" t="str">
        <f t="shared" si="56"/>
        <v/>
      </c>
      <c r="CD39" s="668" t="str">
        <f t="shared" si="57"/>
        <v/>
      </c>
      <c r="CE39" s="667" t="str">
        <f t="shared" si="58"/>
        <v/>
      </c>
      <c r="CF39" s="668" t="str">
        <f t="shared" si="59"/>
        <v/>
      </c>
      <c r="CG39" s="667" t="str">
        <f t="shared" si="60"/>
        <v/>
      </c>
      <c r="CH39" s="668" t="str">
        <f t="shared" si="61"/>
        <v/>
      </c>
      <c r="CI39" s="667" t="str">
        <f t="shared" si="62"/>
        <v/>
      </c>
      <c r="CJ39" s="668" t="str">
        <f t="shared" si="63"/>
        <v/>
      </c>
      <c r="CK39" s="667" t="str">
        <f t="shared" si="64"/>
        <v/>
      </c>
      <c r="CL39" s="668" t="str">
        <f t="shared" si="65"/>
        <v/>
      </c>
      <c r="CM39" s="667" t="str">
        <f t="shared" si="66"/>
        <v/>
      </c>
      <c r="CN39" s="668" t="str">
        <f t="shared" si="67"/>
        <v/>
      </c>
      <c r="CO39" s="667" t="str">
        <f t="shared" si="68"/>
        <v/>
      </c>
      <c r="CP39" s="668" t="str">
        <f t="shared" si="69"/>
        <v/>
      </c>
      <c r="CQ39" s="667" t="str">
        <f t="shared" si="70"/>
        <v/>
      </c>
      <c r="CR39" s="669" t="str">
        <f t="shared" si="71"/>
        <v/>
      </c>
      <c r="CT39" s="776" t="str">
        <f t="shared" si="45"/>
        <v>Autre pilule</v>
      </c>
      <c r="CU39" s="777"/>
      <c r="CV39" s="778"/>
      <c r="CW39" s="777"/>
      <c r="CX39" s="778"/>
      <c r="CY39" s="777"/>
      <c r="CZ39" s="778"/>
      <c r="DA39" s="777"/>
      <c r="DB39" s="778"/>
      <c r="DC39" s="777"/>
      <c r="DD39" s="778"/>
      <c r="DE39" s="777"/>
      <c r="DF39" s="778"/>
      <c r="DG39" s="777"/>
      <c r="DH39" s="778"/>
      <c r="DI39" s="777"/>
      <c r="DJ39" s="779"/>
    </row>
    <row r="40" spans="2:114" ht="17.25" customHeight="1" x14ac:dyDescent="0.25">
      <c r="B40" s="1480" t="str">
        <f>IF(Language="English", 'Language Look Ups'!$O$23,IF(Language="Francais", 'Language Look Ups'!$S$23, 'Language Look Ups'!Q$23))</f>
        <v>Préservatifs</v>
      </c>
      <c r="C40" s="363" t="str">
        <f>IF(Language="English", 'Language Look Ups'!$P$23,IF(Language="Francais", 'Language Look Ups'!$T$23, 'Language Look Ups'!$R$23))</f>
        <v>Préservatifs masculin</v>
      </c>
      <c r="D40" s="407">
        <v>12</v>
      </c>
      <c r="E40" s="408">
        <f t="shared" si="54"/>
        <v>8.3333333333333329E-2</v>
      </c>
      <c r="F40" s="416" t="str">
        <f t="shared" si="50"/>
        <v>visites par an</v>
      </c>
      <c r="G40" s="409"/>
      <c r="H40" s="410"/>
      <c r="I40" s="409"/>
      <c r="J40" s="410"/>
      <c r="K40" s="410"/>
      <c r="L40" s="410"/>
      <c r="M40" s="409"/>
      <c r="N40" s="410"/>
      <c r="O40" s="409"/>
      <c r="P40" s="410"/>
      <c r="Q40" s="409"/>
      <c r="R40" s="410"/>
      <c r="S40" s="409"/>
      <c r="T40" s="410"/>
      <c r="U40" s="409"/>
      <c r="V40" s="411"/>
      <c r="AA40" s="462" t="str">
        <f t="shared" si="51"/>
        <v>Préservatifs masculin</v>
      </c>
      <c r="AB40" s="1008" t="str">
        <f>IF(AB$21="", "", VLOOKUP($AA40,'4. FPSource Set Up'!$C$96:$H$117, 5, FALSE))</f>
        <v>n/a</v>
      </c>
      <c r="AC40" s="1009" t="str">
        <f>IF(AC$21="", "", VLOOKUP($AA40,'4. FPSource Set Up'!$C$96:$H$117, 5, FALSE))</f>
        <v/>
      </c>
      <c r="AD40" s="1009" t="str">
        <f>IF(AD$21="", "", VLOOKUP($AA40,'4. FPSource Set Up'!$C$96:$H$117, 5, FALSE))</f>
        <v/>
      </c>
      <c r="AE40" s="1009" t="str">
        <f>IF(AE$21="", "", VLOOKUP($AA40,'4. FPSource Set Up'!$C$96:$H$117, 5, FALSE))</f>
        <v/>
      </c>
      <c r="AF40" s="1009" t="str">
        <f>IF(AF$21="", "", VLOOKUP($AA40,'4. FPSource Set Up'!$C$96:$H$117, 5, FALSE))</f>
        <v/>
      </c>
      <c r="AG40" s="1009" t="str">
        <f>IF(AG$21="", "", VLOOKUP($AA40,'4. FPSource Set Up'!$C$96:$H$117, 5, FALSE))</f>
        <v/>
      </c>
      <c r="AH40" s="1009" t="str">
        <f>IF(AH$21="", "", VLOOKUP($AA40,'4. FPSource Set Up'!$C$96:$H$117, 5, FALSE))</f>
        <v/>
      </c>
      <c r="AI40" s="1009" t="str">
        <f>IF(AI$21="", "", VLOOKUP($AA40,'4. FPSource Set Up'!$C$96:$H$117, 5, FALSE))</f>
        <v/>
      </c>
      <c r="AJ40" s="1009" t="str">
        <f>IF(AJ$21="", "", VLOOKUP($AA40,'4. FPSource Set Up'!$C$96:$H$117, 5, FALSE))</f>
        <v/>
      </c>
      <c r="AK40" s="1009" t="str">
        <f>IF(AK$21="", "", VLOOKUP($AA40,'4. FPSource Set Up'!$C$96:$H$117, 5, FALSE))</f>
        <v/>
      </c>
      <c r="AL40" s="1009" t="str">
        <f>IF(AL$21="", "", VLOOKUP($AA40,'4. FPSource Set Up'!$C$96:$H$117, 5, FALSE))</f>
        <v/>
      </c>
      <c r="AM40" s="1009" t="str">
        <f>IF(AM$21="", "", VLOOKUP($AA40,'4. FPSource Set Up'!$C$96:$H$117, 5, FALSE))</f>
        <v/>
      </c>
      <c r="AN40" s="1009" t="str">
        <f>IF(AN$21="", "", VLOOKUP($AA40,'4. FPSource Set Up'!$C$96:$H$117, 5, FALSE))</f>
        <v/>
      </c>
      <c r="AO40" s="1009" t="str">
        <f>IF(AO$21="", "", VLOOKUP($AA40,'4. FPSource Set Up'!$C$96:$H$117, 5, FALSE))</f>
        <v/>
      </c>
      <c r="AP40" s="1009" t="str">
        <f>IF(AP$21="", "", VLOOKUP($AA40,'4. FPSource Set Up'!$C$96:$H$117, 5, FALSE))</f>
        <v/>
      </c>
      <c r="AQ40" s="1010" t="str">
        <f>IF(AQ$21="", "", VLOOKUP($AA40,'4. FPSource Set Up'!$C$96:$H$117, 5, FALSE))</f>
        <v/>
      </c>
      <c r="BA40" s="416" t="s">
        <v>571</v>
      </c>
      <c r="BC40" s="184" t="s">
        <v>846</v>
      </c>
      <c r="BJ40" s="676" t="str">
        <f t="shared" si="13"/>
        <v>Préservatifs masculin</v>
      </c>
      <c r="BK40" s="664" t="str">
        <f t="shared" si="55"/>
        <v/>
      </c>
      <c r="BL40" s="665" t="str">
        <f t="shared" si="52"/>
        <v/>
      </c>
      <c r="BM40" s="664" t="str">
        <f t="shared" si="52"/>
        <v/>
      </c>
      <c r="BN40" s="665" t="str">
        <f t="shared" si="52"/>
        <v/>
      </c>
      <c r="BO40" s="664" t="str">
        <f t="shared" si="52"/>
        <v/>
      </c>
      <c r="BP40" s="665" t="str">
        <f t="shared" si="52"/>
        <v/>
      </c>
      <c r="BQ40" s="664" t="str">
        <f t="shared" si="52"/>
        <v/>
      </c>
      <c r="BR40" s="665" t="str">
        <f t="shared" si="52"/>
        <v/>
      </c>
      <c r="BS40" s="664" t="str">
        <f t="shared" si="52"/>
        <v/>
      </c>
      <c r="BT40" s="665" t="str">
        <f t="shared" si="52"/>
        <v/>
      </c>
      <c r="BU40" s="664" t="str">
        <f t="shared" si="52"/>
        <v/>
      </c>
      <c r="BV40" s="665" t="str">
        <f t="shared" si="52"/>
        <v/>
      </c>
      <c r="BW40" s="664" t="str">
        <f t="shared" si="52"/>
        <v/>
      </c>
      <c r="BX40" s="665" t="str">
        <f t="shared" si="52"/>
        <v/>
      </c>
      <c r="BY40" s="664" t="str">
        <f t="shared" si="52"/>
        <v/>
      </c>
      <c r="BZ40" s="666" t="str">
        <f t="shared" si="52"/>
        <v/>
      </c>
      <c r="CB40" s="676" t="str">
        <f t="shared" si="28"/>
        <v>Préservatifs masculin</v>
      </c>
      <c r="CC40" s="664" t="str">
        <f t="shared" si="56"/>
        <v/>
      </c>
      <c r="CD40" s="665" t="str">
        <f t="shared" si="57"/>
        <v/>
      </c>
      <c r="CE40" s="664" t="str">
        <f t="shared" si="58"/>
        <v/>
      </c>
      <c r="CF40" s="665" t="str">
        <f t="shared" si="59"/>
        <v/>
      </c>
      <c r="CG40" s="664" t="str">
        <f t="shared" si="60"/>
        <v/>
      </c>
      <c r="CH40" s="665" t="str">
        <f t="shared" si="61"/>
        <v/>
      </c>
      <c r="CI40" s="664" t="str">
        <f t="shared" si="62"/>
        <v/>
      </c>
      <c r="CJ40" s="665" t="str">
        <f t="shared" si="63"/>
        <v/>
      </c>
      <c r="CK40" s="664" t="str">
        <f t="shared" si="64"/>
        <v/>
      </c>
      <c r="CL40" s="665" t="str">
        <f t="shared" si="65"/>
        <v/>
      </c>
      <c r="CM40" s="664" t="str">
        <f t="shared" si="66"/>
        <v/>
      </c>
      <c r="CN40" s="665" t="str">
        <f t="shared" si="67"/>
        <v/>
      </c>
      <c r="CO40" s="664" t="str">
        <f t="shared" si="68"/>
        <v/>
      </c>
      <c r="CP40" s="665" t="str">
        <f t="shared" si="69"/>
        <v/>
      </c>
      <c r="CQ40" s="664" t="str">
        <f t="shared" si="70"/>
        <v/>
      </c>
      <c r="CR40" s="666" t="str">
        <f t="shared" si="71"/>
        <v/>
      </c>
      <c r="CT40" s="768" t="str">
        <f t="shared" si="45"/>
        <v>Préservatifs masculin</v>
      </c>
      <c r="CU40" s="769"/>
      <c r="CV40" s="770"/>
      <c r="CW40" s="769"/>
      <c r="CX40" s="770"/>
      <c r="CY40" s="769"/>
      <c r="CZ40" s="770"/>
      <c r="DA40" s="769"/>
      <c r="DB40" s="770"/>
      <c r="DC40" s="769"/>
      <c r="DD40" s="770"/>
      <c r="DE40" s="769"/>
      <c r="DF40" s="770"/>
      <c r="DG40" s="769"/>
      <c r="DH40" s="770"/>
      <c r="DI40" s="769"/>
      <c r="DJ40" s="771"/>
    </row>
    <row r="41" spans="2:114" ht="17.25" customHeight="1" x14ac:dyDescent="0.25">
      <c r="B41" s="1481"/>
      <c r="C41" s="275" t="str">
        <f>IF(Language="English", 'Language Look Ups'!$P$24,IF(Language="Francais", 'Language Look Ups'!$T$24, 'Language Look Ups'!$R$24))</f>
        <v>Préservatifs feminin</v>
      </c>
      <c r="D41" s="276">
        <v>12</v>
      </c>
      <c r="E41" s="99">
        <f t="shared" si="54"/>
        <v>8.3333333333333329E-2</v>
      </c>
      <c r="F41" s="100" t="str">
        <f t="shared" si="50"/>
        <v>visites par an</v>
      </c>
      <c r="G41" s="284"/>
      <c r="H41" s="285"/>
      <c r="I41" s="284"/>
      <c r="J41" s="285"/>
      <c r="K41" s="285"/>
      <c r="L41" s="285"/>
      <c r="M41" s="284"/>
      <c r="N41" s="285"/>
      <c r="O41" s="284"/>
      <c r="P41" s="285"/>
      <c r="Q41" s="284"/>
      <c r="R41" s="285"/>
      <c r="S41" s="284"/>
      <c r="T41" s="285"/>
      <c r="U41" s="284"/>
      <c r="V41" s="412"/>
      <c r="AA41" s="463" t="str">
        <f t="shared" si="51"/>
        <v>Préservatifs feminin</v>
      </c>
      <c r="AB41" s="1035" t="str">
        <f>IF(AB$21="", "", VLOOKUP($AA41,'4. FPSource Set Up'!$C$96:$H$117, 5, FALSE))</f>
        <v>n/a</v>
      </c>
      <c r="AC41" s="1036" t="str">
        <f>IF(AC$21="", "", VLOOKUP($AA41,'4. FPSource Set Up'!$C$96:$H$117, 5, FALSE))</f>
        <v/>
      </c>
      <c r="AD41" s="1036" t="str">
        <f>IF(AD$21="", "", VLOOKUP($AA41,'4. FPSource Set Up'!$C$96:$H$117, 5, FALSE))</f>
        <v/>
      </c>
      <c r="AE41" s="1036" t="str">
        <f>IF(AE$21="", "", VLOOKUP($AA41,'4. FPSource Set Up'!$C$96:$H$117, 5, FALSE))</f>
        <v/>
      </c>
      <c r="AF41" s="1036" t="str">
        <f>IF(AF$21="", "", VLOOKUP($AA41,'4. FPSource Set Up'!$C$96:$H$117, 5, FALSE))</f>
        <v/>
      </c>
      <c r="AG41" s="1036" t="str">
        <f>IF(AG$21="", "", VLOOKUP($AA41,'4. FPSource Set Up'!$C$96:$H$117, 5, FALSE))</f>
        <v/>
      </c>
      <c r="AH41" s="1036" t="str">
        <f>IF(AH$21="", "", VLOOKUP($AA41,'4. FPSource Set Up'!$C$96:$H$117, 5, FALSE))</f>
        <v/>
      </c>
      <c r="AI41" s="1036" t="str">
        <f>IF(AI$21="", "", VLOOKUP($AA41,'4. FPSource Set Up'!$C$96:$H$117, 5, FALSE))</f>
        <v/>
      </c>
      <c r="AJ41" s="1036" t="str">
        <f>IF(AJ$21="", "", VLOOKUP($AA41,'4. FPSource Set Up'!$C$96:$H$117, 5, FALSE))</f>
        <v/>
      </c>
      <c r="AK41" s="1036" t="str">
        <f>IF(AK$21="", "", VLOOKUP($AA41,'4. FPSource Set Up'!$C$96:$H$117, 5, FALSE))</f>
        <v/>
      </c>
      <c r="AL41" s="1036" t="str">
        <f>IF(AL$21="", "", VLOOKUP($AA41,'4. FPSource Set Up'!$C$96:$H$117, 5, FALSE))</f>
        <v/>
      </c>
      <c r="AM41" s="1036" t="str">
        <f>IF(AM$21="", "", VLOOKUP($AA41,'4. FPSource Set Up'!$C$96:$H$117, 5, FALSE))</f>
        <v/>
      </c>
      <c r="AN41" s="1036" t="str">
        <f>IF(AN$21="", "", VLOOKUP($AA41,'4. FPSource Set Up'!$C$96:$H$117, 5, FALSE))</f>
        <v/>
      </c>
      <c r="AO41" s="1036" t="str">
        <f>IF(AO$21="", "", VLOOKUP($AA41,'4. FPSource Set Up'!$C$96:$H$117, 5, FALSE))</f>
        <v/>
      </c>
      <c r="AP41" s="1036" t="str">
        <f>IF(AP$21="", "", VLOOKUP($AA41,'4. FPSource Set Up'!$C$96:$H$117, 5, FALSE))</f>
        <v/>
      </c>
      <c r="AQ41" s="1037" t="str">
        <f>IF(AQ$21="", "", VLOOKUP($AA41,'4. FPSource Set Up'!$C$96:$H$117, 5, FALSE))</f>
        <v/>
      </c>
      <c r="BA41" s="416" t="s">
        <v>571</v>
      </c>
      <c r="BC41" s="184" t="s">
        <v>846</v>
      </c>
      <c r="BJ41" s="677" t="str">
        <f t="shared" si="13"/>
        <v>Préservatifs feminin</v>
      </c>
      <c r="BK41" s="667" t="str">
        <f t="shared" si="55"/>
        <v/>
      </c>
      <c r="BL41" s="668" t="str">
        <f t="shared" si="52"/>
        <v/>
      </c>
      <c r="BM41" s="667" t="str">
        <f t="shared" si="52"/>
        <v/>
      </c>
      <c r="BN41" s="668" t="str">
        <f t="shared" si="52"/>
        <v/>
      </c>
      <c r="BO41" s="667" t="str">
        <f t="shared" si="52"/>
        <v/>
      </c>
      <c r="BP41" s="668" t="str">
        <f t="shared" si="52"/>
        <v/>
      </c>
      <c r="BQ41" s="667" t="str">
        <f t="shared" si="52"/>
        <v/>
      </c>
      <c r="BR41" s="668" t="str">
        <f t="shared" si="52"/>
        <v/>
      </c>
      <c r="BS41" s="667" t="str">
        <f t="shared" si="52"/>
        <v/>
      </c>
      <c r="BT41" s="668" t="str">
        <f t="shared" si="52"/>
        <v/>
      </c>
      <c r="BU41" s="667" t="str">
        <f t="shared" si="52"/>
        <v/>
      </c>
      <c r="BV41" s="668" t="str">
        <f t="shared" si="52"/>
        <v/>
      </c>
      <c r="BW41" s="667" t="str">
        <f t="shared" si="52"/>
        <v/>
      </c>
      <c r="BX41" s="668" t="str">
        <f t="shared" si="52"/>
        <v/>
      </c>
      <c r="BY41" s="667" t="str">
        <f t="shared" si="52"/>
        <v/>
      </c>
      <c r="BZ41" s="669" t="str">
        <f t="shared" si="52"/>
        <v/>
      </c>
      <c r="CB41" s="677" t="str">
        <f t="shared" si="28"/>
        <v>Préservatifs feminin</v>
      </c>
      <c r="CC41" s="667" t="str">
        <f t="shared" si="56"/>
        <v/>
      </c>
      <c r="CD41" s="668" t="str">
        <f t="shared" si="57"/>
        <v/>
      </c>
      <c r="CE41" s="667" t="str">
        <f t="shared" si="58"/>
        <v/>
      </c>
      <c r="CF41" s="668" t="str">
        <f t="shared" si="59"/>
        <v/>
      </c>
      <c r="CG41" s="667" t="str">
        <f t="shared" si="60"/>
        <v/>
      </c>
      <c r="CH41" s="668" t="str">
        <f t="shared" si="61"/>
        <v/>
      </c>
      <c r="CI41" s="667" t="str">
        <f t="shared" si="62"/>
        <v/>
      </c>
      <c r="CJ41" s="668" t="str">
        <f t="shared" si="63"/>
        <v/>
      </c>
      <c r="CK41" s="667" t="str">
        <f t="shared" si="64"/>
        <v/>
      </c>
      <c r="CL41" s="668" t="str">
        <f t="shared" si="65"/>
        <v/>
      </c>
      <c r="CM41" s="667" t="str">
        <f t="shared" si="66"/>
        <v/>
      </c>
      <c r="CN41" s="668" t="str">
        <f t="shared" si="67"/>
        <v/>
      </c>
      <c r="CO41" s="667" t="str">
        <f t="shared" si="68"/>
        <v/>
      </c>
      <c r="CP41" s="668" t="str">
        <f t="shared" si="69"/>
        <v/>
      </c>
      <c r="CQ41" s="667" t="str">
        <f t="shared" si="70"/>
        <v/>
      </c>
      <c r="CR41" s="669" t="str">
        <f t="shared" si="71"/>
        <v/>
      </c>
      <c r="CT41" s="776" t="str">
        <f t="shared" si="45"/>
        <v>Préservatifs feminin</v>
      </c>
      <c r="CU41" s="777"/>
      <c r="CV41" s="778"/>
      <c r="CW41" s="777"/>
      <c r="CX41" s="778"/>
      <c r="CY41" s="777"/>
      <c r="CZ41" s="778"/>
      <c r="DA41" s="777"/>
      <c r="DB41" s="778"/>
      <c r="DC41" s="777"/>
      <c r="DD41" s="778"/>
      <c r="DE41" s="777"/>
      <c r="DF41" s="778"/>
      <c r="DG41" s="777"/>
      <c r="DH41" s="778"/>
      <c r="DI41" s="777"/>
      <c r="DJ41" s="779"/>
    </row>
    <row r="42" spans="2:114" ht="17.25" customHeight="1" x14ac:dyDescent="0.25">
      <c r="B42" s="1480" t="str">
        <f>IF(Language="English", 'Language Look Ups'!$O$25,IF(Language="Francais", 'Language Look Ups'!$S$25, 'Language Look Ups'!Q$25))</f>
        <v>Autres Méthodes Modernes</v>
      </c>
      <c r="C42" s="363" t="str">
        <f>IF(Language="English", 'Language Look Ups'!$P$25,IF(Language="Francais", 'Language Look Ups'!$T$25, 'Language Look Ups'!$R$25))</f>
        <v>MAMA</v>
      </c>
      <c r="D42" s="407">
        <v>4</v>
      </c>
      <c r="E42" s="408">
        <f t="shared" si="54"/>
        <v>0.25</v>
      </c>
      <c r="F42" s="416" t="str">
        <f t="shared" si="50"/>
        <v>consultation par utilisateur</v>
      </c>
      <c r="G42" s="409"/>
      <c r="H42" s="410"/>
      <c r="I42" s="409"/>
      <c r="J42" s="410"/>
      <c r="K42" s="410"/>
      <c r="L42" s="410"/>
      <c r="M42" s="409"/>
      <c r="N42" s="410"/>
      <c r="O42" s="409"/>
      <c r="P42" s="410"/>
      <c r="Q42" s="409"/>
      <c r="R42" s="410"/>
      <c r="S42" s="409"/>
      <c r="T42" s="410"/>
      <c r="U42" s="409"/>
      <c r="V42" s="411"/>
      <c r="AA42" s="462" t="str">
        <f t="shared" si="51"/>
        <v>MAMA</v>
      </c>
      <c r="AB42" s="1047" t="str">
        <f>IF(AB$21="", "", VLOOKUP($AA42,'4. FPSource Set Up'!$C$96:$H$117, 5, FALSE))</f>
        <v>n/a</v>
      </c>
      <c r="AC42" s="1048" t="str">
        <f>IF(AC$21="", "", VLOOKUP($AA42,'4. FPSource Set Up'!$C$96:$H$117, 5, FALSE))</f>
        <v/>
      </c>
      <c r="AD42" s="1048" t="str">
        <f>IF(AD$21="", "", VLOOKUP($AA42,'4. FPSource Set Up'!$C$96:$H$117, 5, FALSE))</f>
        <v/>
      </c>
      <c r="AE42" s="1048" t="str">
        <f>IF(AE$21="", "", VLOOKUP($AA42,'4. FPSource Set Up'!$C$96:$H$117, 5, FALSE))</f>
        <v/>
      </c>
      <c r="AF42" s="1048" t="str">
        <f>IF(AF$21="", "", VLOOKUP($AA42,'4. FPSource Set Up'!$C$96:$H$117, 5, FALSE))</f>
        <v/>
      </c>
      <c r="AG42" s="1048" t="str">
        <f>IF(AG$21="", "", VLOOKUP($AA42,'4. FPSource Set Up'!$C$96:$H$117, 5, FALSE))</f>
        <v/>
      </c>
      <c r="AH42" s="1048" t="str">
        <f>IF(AH$21="", "", VLOOKUP($AA42,'4. FPSource Set Up'!$C$96:$H$117, 5, FALSE))</f>
        <v/>
      </c>
      <c r="AI42" s="1048" t="str">
        <f>IF(AI$21="", "", VLOOKUP($AA42,'4. FPSource Set Up'!$C$96:$H$117, 5, FALSE))</f>
        <v/>
      </c>
      <c r="AJ42" s="1048" t="str">
        <f>IF(AJ$21="", "", VLOOKUP($AA42,'4. FPSource Set Up'!$C$96:$H$117, 5, FALSE))</f>
        <v/>
      </c>
      <c r="AK42" s="1048" t="str">
        <f>IF(AK$21="", "", VLOOKUP($AA42,'4. FPSource Set Up'!$C$96:$H$117, 5, FALSE))</f>
        <v/>
      </c>
      <c r="AL42" s="1048" t="str">
        <f>IF(AL$21="", "", VLOOKUP($AA42,'4. FPSource Set Up'!$C$96:$H$117, 5, FALSE))</f>
        <v/>
      </c>
      <c r="AM42" s="1048" t="str">
        <f>IF(AM$21="", "", VLOOKUP($AA42,'4. FPSource Set Up'!$C$96:$H$117, 5, FALSE))</f>
        <v/>
      </c>
      <c r="AN42" s="1048" t="str">
        <f>IF(AN$21="", "", VLOOKUP($AA42,'4. FPSource Set Up'!$C$96:$H$117, 5, FALSE))</f>
        <v/>
      </c>
      <c r="AO42" s="1048" t="str">
        <f>IF(AO$21="", "", VLOOKUP($AA42,'4. FPSource Set Up'!$C$96:$H$117, 5, FALSE))</f>
        <v/>
      </c>
      <c r="AP42" s="1048" t="str">
        <f>IF(AP$21="", "", VLOOKUP($AA42,'4. FPSource Set Up'!$C$96:$H$117, 5, FALSE))</f>
        <v/>
      </c>
      <c r="AQ42" s="1049" t="str">
        <f>IF(AQ$21="", "", VLOOKUP($AA42,'4. FPSource Set Up'!$C$96:$H$117, 5, FALSE))</f>
        <v/>
      </c>
      <c r="BA42" s="416" t="s">
        <v>848</v>
      </c>
      <c r="BC42" s="184" t="s">
        <v>847</v>
      </c>
      <c r="BJ42" s="676" t="str">
        <f t="shared" si="13"/>
        <v>MAMA</v>
      </c>
      <c r="BK42" s="664" t="str">
        <f t="shared" si="55"/>
        <v/>
      </c>
      <c r="BL42" s="665" t="str">
        <f t="shared" si="52"/>
        <v/>
      </c>
      <c r="BM42" s="664" t="str">
        <f t="shared" si="52"/>
        <v/>
      </c>
      <c r="BN42" s="665" t="str">
        <f t="shared" si="52"/>
        <v/>
      </c>
      <c r="BO42" s="664" t="str">
        <f t="shared" si="52"/>
        <v/>
      </c>
      <c r="BP42" s="665" t="str">
        <f t="shared" si="52"/>
        <v/>
      </c>
      <c r="BQ42" s="664" t="str">
        <f t="shared" si="52"/>
        <v/>
      </c>
      <c r="BR42" s="665" t="str">
        <f t="shared" si="52"/>
        <v/>
      </c>
      <c r="BS42" s="664" t="str">
        <f t="shared" si="52"/>
        <v/>
      </c>
      <c r="BT42" s="665" t="str">
        <f t="shared" si="52"/>
        <v/>
      </c>
      <c r="BU42" s="664" t="str">
        <f t="shared" si="52"/>
        <v/>
      </c>
      <c r="BV42" s="665" t="str">
        <f t="shared" si="52"/>
        <v/>
      </c>
      <c r="BW42" s="664" t="str">
        <f t="shared" si="52"/>
        <v/>
      </c>
      <c r="BX42" s="665" t="str">
        <f t="shared" si="52"/>
        <v/>
      </c>
      <c r="BY42" s="664" t="str">
        <f t="shared" si="52"/>
        <v/>
      </c>
      <c r="BZ42" s="666" t="str">
        <f t="shared" si="52"/>
        <v/>
      </c>
      <c r="CB42" s="676" t="str">
        <f t="shared" si="28"/>
        <v>MAMA</v>
      </c>
      <c r="CC42" s="664" t="str">
        <f t="shared" si="56"/>
        <v/>
      </c>
      <c r="CD42" s="665" t="str">
        <f t="shared" si="57"/>
        <v/>
      </c>
      <c r="CE42" s="664" t="str">
        <f t="shared" si="58"/>
        <v/>
      </c>
      <c r="CF42" s="665" t="str">
        <f t="shared" si="59"/>
        <v/>
      </c>
      <c r="CG42" s="664" t="str">
        <f t="shared" si="60"/>
        <v/>
      </c>
      <c r="CH42" s="665" t="str">
        <f t="shared" si="61"/>
        <v/>
      </c>
      <c r="CI42" s="664" t="str">
        <f t="shared" si="62"/>
        <v/>
      </c>
      <c r="CJ42" s="665" t="str">
        <f t="shared" si="63"/>
        <v/>
      </c>
      <c r="CK42" s="664" t="str">
        <f t="shared" si="64"/>
        <v/>
      </c>
      <c r="CL42" s="665" t="str">
        <f t="shared" si="65"/>
        <v/>
      </c>
      <c r="CM42" s="664" t="str">
        <f t="shared" si="66"/>
        <v/>
      </c>
      <c r="CN42" s="665" t="str">
        <f t="shared" si="67"/>
        <v/>
      </c>
      <c r="CO42" s="664" t="str">
        <f t="shared" si="68"/>
        <v/>
      </c>
      <c r="CP42" s="665" t="str">
        <f t="shared" si="69"/>
        <v/>
      </c>
      <c r="CQ42" s="664" t="str">
        <f t="shared" si="70"/>
        <v/>
      </c>
      <c r="CR42" s="666" t="str">
        <f t="shared" si="71"/>
        <v/>
      </c>
      <c r="CT42" s="768" t="str">
        <f t="shared" si="45"/>
        <v>MAMA</v>
      </c>
      <c r="CU42" s="769"/>
      <c r="CV42" s="770"/>
      <c r="CW42" s="769"/>
      <c r="CX42" s="770"/>
      <c r="CY42" s="769"/>
      <c r="CZ42" s="770"/>
      <c r="DA42" s="769"/>
      <c r="DB42" s="770"/>
      <c r="DC42" s="769"/>
      <c r="DD42" s="770"/>
      <c r="DE42" s="769"/>
      <c r="DF42" s="770"/>
      <c r="DG42" s="769"/>
      <c r="DH42" s="770"/>
      <c r="DI42" s="769"/>
      <c r="DJ42" s="771"/>
    </row>
    <row r="43" spans="2:114" ht="17.25" customHeight="1" x14ac:dyDescent="0.25">
      <c r="B43" s="1482"/>
      <c r="C43" s="277" t="str">
        <f>IF(Language="English", 'Language Look Ups'!$P$26,IF(Language="Francais", 'Language Look Ups'!$T$26, 'Language Look Ups'!$R$26))</f>
        <v>MJF (Jours fixes)</v>
      </c>
      <c r="D43" s="278">
        <v>1</v>
      </c>
      <c r="E43" s="101">
        <f>D43</f>
        <v>1</v>
      </c>
      <c r="F43" s="102" t="str">
        <f t="shared" si="50"/>
        <v>consultation par utilisateur</v>
      </c>
      <c r="G43" s="282"/>
      <c r="H43" s="283"/>
      <c r="I43" s="282"/>
      <c r="J43" s="283"/>
      <c r="K43" s="283"/>
      <c r="L43" s="283"/>
      <c r="M43" s="282"/>
      <c r="N43" s="283"/>
      <c r="O43" s="282"/>
      <c r="P43" s="283"/>
      <c r="Q43" s="282"/>
      <c r="R43" s="283"/>
      <c r="S43" s="282"/>
      <c r="T43" s="283"/>
      <c r="U43" s="282"/>
      <c r="V43" s="413"/>
      <c r="AA43" s="464" t="str">
        <f t="shared" si="51"/>
        <v>MJF (Jours fixes)</v>
      </c>
      <c r="AB43" s="1041" t="str">
        <f>IF(AB$21="", "", VLOOKUP($AA43,'4. FPSource Set Up'!$C$96:$H$117, 5, FALSE))</f>
        <v>n/a</v>
      </c>
      <c r="AC43" s="1042" t="str">
        <f>IF(AC$21="", "", VLOOKUP($AA43,'4. FPSource Set Up'!$C$96:$H$117, 5, FALSE))</f>
        <v/>
      </c>
      <c r="AD43" s="1042" t="str">
        <f>IF(AD$21="", "", VLOOKUP($AA43,'4. FPSource Set Up'!$C$96:$H$117, 5, FALSE))</f>
        <v/>
      </c>
      <c r="AE43" s="1042" t="str">
        <f>IF(AE$21="", "", VLOOKUP($AA43,'4. FPSource Set Up'!$C$96:$H$117, 5, FALSE))</f>
        <v/>
      </c>
      <c r="AF43" s="1042" t="str">
        <f>IF(AF$21="", "", VLOOKUP($AA43,'4. FPSource Set Up'!$C$96:$H$117, 5, FALSE))</f>
        <v/>
      </c>
      <c r="AG43" s="1042" t="str">
        <f>IF(AG$21="", "", VLOOKUP($AA43,'4. FPSource Set Up'!$C$96:$H$117, 5, FALSE))</f>
        <v/>
      </c>
      <c r="AH43" s="1042" t="str">
        <f>IF(AH$21="", "", VLOOKUP($AA43,'4. FPSource Set Up'!$C$96:$H$117, 5, FALSE))</f>
        <v/>
      </c>
      <c r="AI43" s="1042" t="str">
        <f>IF(AI$21="", "", VLOOKUP($AA43,'4. FPSource Set Up'!$C$96:$H$117, 5, FALSE))</f>
        <v/>
      </c>
      <c r="AJ43" s="1042" t="str">
        <f>IF(AJ$21="", "", VLOOKUP($AA43,'4. FPSource Set Up'!$C$96:$H$117, 5, FALSE))</f>
        <v/>
      </c>
      <c r="AK43" s="1042" t="str">
        <f>IF(AK$21="", "", VLOOKUP($AA43,'4. FPSource Set Up'!$C$96:$H$117, 5, FALSE))</f>
        <v/>
      </c>
      <c r="AL43" s="1042" t="str">
        <f>IF(AL$21="", "", VLOOKUP($AA43,'4. FPSource Set Up'!$C$96:$H$117, 5, FALSE))</f>
        <v/>
      </c>
      <c r="AM43" s="1042" t="str">
        <f>IF(AM$21="", "", VLOOKUP($AA43,'4. FPSource Set Up'!$C$96:$H$117, 5, FALSE))</f>
        <v/>
      </c>
      <c r="AN43" s="1042" t="str">
        <f>IF(AN$21="", "", VLOOKUP($AA43,'4. FPSource Set Up'!$C$96:$H$117, 5, FALSE))</f>
        <v/>
      </c>
      <c r="AO43" s="1042" t="str">
        <f>IF(AO$21="", "", VLOOKUP($AA43,'4. FPSource Set Up'!$C$96:$H$117, 5, FALSE))</f>
        <v/>
      </c>
      <c r="AP43" s="1042" t="str">
        <f>IF(AP$21="", "", VLOOKUP($AA43,'4. FPSource Set Up'!$C$96:$H$117, 5, FALSE))</f>
        <v/>
      </c>
      <c r="AQ43" s="1043" t="str">
        <f>IF(AQ$21="", "", VLOOKUP($AA43,'4. FPSource Set Up'!$C$96:$H$117, 5, FALSE))</f>
        <v/>
      </c>
      <c r="BA43" s="416" t="s">
        <v>848</v>
      </c>
      <c r="BC43" s="184" t="s">
        <v>847</v>
      </c>
      <c r="BJ43" s="678" t="str">
        <f t="shared" si="13"/>
        <v>MJF (Jours fixes)</v>
      </c>
      <c r="BK43" s="670" t="str">
        <f t="shared" si="55"/>
        <v/>
      </c>
      <c r="BL43" s="671" t="str">
        <f t="shared" si="52"/>
        <v/>
      </c>
      <c r="BM43" s="670" t="str">
        <f t="shared" si="52"/>
        <v/>
      </c>
      <c r="BN43" s="671" t="str">
        <f t="shared" si="52"/>
        <v/>
      </c>
      <c r="BO43" s="670" t="str">
        <f t="shared" si="52"/>
        <v/>
      </c>
      <c r="BP43" s="671" t="str">
        <f t="shared" si="52"/>
        <v/>
      </c>
      <c r="BQ43" s="670" t="str">
        <f t="shared" si="52"/>
        <v/>
      </c>
      <c r="BR43" s="671" t="str">
        <f t="shared" si="52"/>
        <v/>
      </c>
      <c r="BS43" s="670" t="str">
        <f t="shared" si="52"/>
        <v/>
      </c>
      <c r="BT43" s="671" t="str">
        <f t="shared" si="52"/>
        <v/>
      </c>
      <c r="BU43" s="670" t="str">
        <f t="shared" si="52"/>
        <v/>
      </c>
      <c r="BV43" s="671" t="str">
        <f t="shared" si="52"/>
        <v/>
      </c>
      <c r="BW43" s="670" t="str">
        <f t="shared" si="52"/>
        <v/>
      </c>
      <c r="BX43" s="671" t="str">
        <f t="shared" si="52"/>
        <v/>
      </c>
      <c r="BY43" s="670" t="str">
        <f t="shared" si="52"/>
        <v/>
      </c>
      <c r="BZ43" s="672" t="str">
        <f t="shared" si="52"/>
        <v/>
      </c>
      <c r="CB43" s="678" t="str">
        <f t="shared" si="28"/>
        <v>MJF (Jours fixes)</v>
      </c>
      <c r="CC43" s="670" t="str">
        <f t="shared" si="56"/>
        <v/>
      </c>
      <c r="CD43" s="671" t="str">
        <f t="shared" si="57"/>
        <v/>
      </c>
      <c r="CE43" s="670" t="str">
        <f t="shared" si="58"/>
        <v/>
      </c>
      <c r="CF43" s="671" t="str">
        <f t="shared" si="59"/>
        <v/>
      </c>
      <c r="CG43" s="670" t="str">
        <f t="shared" si="60"/>
        <v/>
      </c>
      <c r="CH43" s="671" t="str">
        <f t="shared" si="61"/>
        <v/>
      </c>
      <c r="CI43" s="670" t="str">
        <f t="shared" si="62"/>
        <v/>
      </c>
      <c r="CJ43" s="671" t="str">
        <f t="shared" si="63"/>
        <v/>
      </c>
      <c r="CK43" s="670" t="str">
        <f t="shared" si="64"/>
        <v/>
      </c>
      <c r="CL43" s="671" t="str">
        <f t="shared" si="65"/>
        <v/>
      </c>
      <c r="CM43" s="670" t="str">
        <f t="shared" si="66"/>
        <v/>
      </c>
      <c r="CN43" s="671" t="str">
        <f t="shared" si="67"/>
        <v/>
      </c>
      <c r="CO43" s="670" t="str">
        <f t="shared" si="68"/>
        <v/>
      </c>
      <c r="CP43" s="671" t="str">
        <f t="shared" si="69"/>
        <v/>
      </c>
      <c r="CQ43" s="670" t="str">
        <f t="shared" si="70"/>
        <v/>
      </c>
      <c r="CR43" s="672" t="str">
        <f t="shared" si="71"/>
        <v/>
      </c>
      <c r="CT43" s="772" t="str">
        <f t="shared" si="45"/>
        <v>MJF (Jours fixes)</v>
      </c>
      <c r="CU43" s="773"/>
      <c r="CV43" s="774"/>
      <c r="CW43" s="773"/>
      <c r="CX43" s="774"/>
      <c r="CY43" s="773"/>
      <c r="CZ43" s="774"/>
      <c r="DA43" s="773"/>
      <c r="DB43" s="774"/>
      <c r="DC43" s="773"/>
      <c r="DD43" s="774"/>
      <c r="DE43" s="773"/>
      <c r="DF43" s="774"/>
      <c r="DG43" s="773"/>
      <c r="DH43" s="774"/>
      <c r="DI43" s="773"/>
      <c r="DJ43" s="775"/>
    </row>
    <row r="44" spans="2:114" ht="17.25" customHeight="1" x14ac:dyDescent="0.25">
      <c r="B44" s="1482"/>
      <c r="C44" s="277" t="str">
        <f>IF(Language="English", 'Language Look Ups'!$P$27,IF(Language="Francais", 'Language Look Ups'!$T$27, 'Language Look Ups'!$R$27))</f>
        <v>Barrière vaginale</v>
      </c>
      <c r="D44" s="278">
        <v>1</v>
      </c>
      <c r="E44" s="101">
        <f t="shared" si="54"/>
        <v>1</v>
      </c>
      <c r="F44" s="102" t="str">
        <f t="shared" si="50"/>
        <v>années de protection</v>
      </c>
      <c r="G44" s="282"/>
      <c r="H44" s="283"/>
      <c r="I44" s="282"/>
      <c r="J44" s="283"/>
      <c r="K44" s="283"/>
      <c r="L44" s="283"/>
      <c r="M44" s="282"/>
      <c r="N44" s="283"/>
      <c r="O44" s="282"/>
      <c r="P44" s="283"/>
      <c r="Q44" s="282"/>
      <c r="R44" s="283"/>
      <c r="S44" s="282"/>
      <c r="T44" s="283"/>
      <c r="U44" s="282"/>
      <c r="V44" s="413"/>
      <c r="AA44" s="464" t="str">
        <f t="shared" si="51"/>
        <v>Barrière vaginale</v>
      </c>
      <c r="AB44" s="1041" t="str">
        <f>IF(AB$21="", "", VLOOKUP($AA44,'4. FPSource Set Up'!$C$96:$H$117, 5, FALSE))</f>
        <v>n/a</v>
      </c>
      <c r="AC44" s="1042" t="str">
        <f>IF(AC$21="", "", VLOOKUP($AA44,'4. FPSource Set Up'!$C$96:$H$117, 5, FALSE))</f>
        <v/>
      </c>
      <c r="AD44" s="1042" t="str">
        <f>IF(AD$21="", "", VLOOKUP($AA44,'4. FPSource Set Up'!$C$96:$H$117, 5, FALSE))</f>
        <v/>
      </c>
      <c r="AE44" s="1042" t="str">
        <f>IF(AE$21="", "", VLOOKUP($AA44,'4. FPSource Set Up'!$C$96:$H$117, 5, FALSE))</f>
        <v/>
      </c>
      <c r="AF44" s="1042" t="str">
        <f>IF(AF$21="", "", VLOOKUP($AA44,'4. FPSource Set Up'!$C$96:$H$117, 5, FALSE))</f>
        <v/>
      </c>
      <c r="AG44" s="1042" t="str">
        <f>IF(AG$21="", "", VLOOKUP($AA44,'4. FPSource Set Up'!$C$96:$H$117, 5, FALSE))</f>
        <v/>
      </c>
      <c r="AH44" s="1042" t="str">
        <f>IF(AH$21="", "", VLOOKUP($AA44,'4. FPSource Set Up'!$C$96:$H$117, 5, FALSE))</f>
        <v/>
      </c>
      <c r="AI44" s="1042" t="str">
        <f>IF(AI$21="", "", VLOOKUP($AA44,'4. FPSource Set Up'!$C$96:$H$117, 5, FALSE))</f>
        <v/>
      </c>
      <c r="AJ44" s="1042" t="str">
        <f>IF(AJ$21="", "", VLOOKUP($AA44,'4. FPSource Set Up'!$C$96:$H$117, 5, FALSE))</f>
        <v/>
      </c>
      <c r="AK44" s="1042" t="str">
        <f>IF(AK$21="", "", VLOOKUP($AA44,'4. FPSource Set Up'!$C$96:$H$117, 5, FALSE))</f>
        <v/>
      </c>
      <c r="AL44" s="1042" t="str">
        <f>IF(AL$21="", "", VLOOKUP($AA44,'4. FPSource Set Up'!$C$96:$H$117, 5, FALSE))</f>
        <v/>
      </c>
      <c r="AM44" s="1042" t="str">
        <f>IF(AM$21="", "", VLOOKUP($AA44,'4. FPSource Set Up'!$C$96:$H$117, 5, FALSE))</f>
        <v/>
      </c>
      <c r="AN44" s="1042" t="str">
        <f>IF(AN$21="", "", VLOOKUP($AA44,'4. FPSource Set Up'!$C$96:$H$117, 5, FALSE))</f>
        <v/>
      </c>
      <c r="AO44" s="1042" t="str">
        <f>IF(AO$21="", "", VLOOKUP($AA44,'4. FPSource Set Up'!$C$96:$H$117, 5, FALSE))</f>
        <v/>
      </c>
      <c r="AP44" s="1042" t="str">
        <f>IF(AP$21="", "", VLOOKUP($AA44,'4. FPSource Set Up'!$C$96:$H$117, 5, FALSE))</f>
        <v/>
      </c>
      <c r="AQ44" s="1043" t="str">
        <f>IF(AQ$21="", "", VLOOKUP($AA44,'4. FPSource Set Up'!$C$96:$H$117, 5, FALSE))</f>
        <v/>
      </c>
      <c r="BA44" s="100" t="s">
        <v>9</v>
      </c>
      <c r="BC44" s="184" t="s">
        <v>835</v>
      </c>
      <c r="BJ44" s="678" t="str">
        <f t="shared" si="13"/>
        <v>Barrière vaginale</v>
      </c>
      <c r="BK44" s="670" t="str">
        <f t="shared" si="55"/>
        <v/>
      </c>
      <c r="BL44" s="671" t="str">
        <f t="shared" si="52"/>
        <v/>
      </c>
      <c r="BM44" s="670" t="str">
        <f t="shared" si="52"/>
        <v/>
      </c>
      <c r="BN44" s="671" t="str">
        <f t="shared" si="52"/>
        <v/>
      </c>
      <c r="BO44" s="670" t="str">
        <f t="shared" si="52"/>
        <v/>
      </c>
      <c r="BP44" s="671" t="str">
        <f t="shared" si="52"/>
        <v/>
      </c>
      <c r="BQ44" s="670" t="str">
        <f t="shared" si="52"/>
        <v/>
      </c>
      <c r="BR44" s="671" t="str">
        <f t="shared" si="52"/>
        <v/>
      </c>
      <c r="BS44" s="670" t="str">
        <f t="shared" si="52"/>
        <v/>
      </c>
      <c r="BT44" s="671" t="str">
        <f t="shared" si="52"/>
        <v/>
      </c>
      <c r="BU44" s="670" t="str">
        <f t="shared" si="52"/>
        <v/>
      </c>
      <c r="BV44" s="671" t="str">
        <f t="shared" si="52"/>
        <v/>
      </c>
      <c r="BW44" s="670" t="str">
        <f t="shared" si="52"/>
        <v/>
      </c>
      <c r="BX44" s="671" t="str">
        <f t="shared" si="52"/>
        <v/>
      </c>
      <c r="BY44" s="670" t="str">
        <f t="shared" si="52"/>
        <v/>
      </c>
      <c r="BZ44" s="672" t="str">
        <f t="shared" si="52"/>
        <v/>
      </c>
      <c r="CB44" s="678" t="str">
        <f t="shared" si="28"/>
        <v>Barrière vaginale</v>
      </c>
      <c r="CC44" s="670" t="str">
        <f t="shared" si="56"/>
        <v/>
      </c>
      <c r="CD44" s="671" t="str">
        <f t="shared" si="57"/>
        <v/>
      </c>
      <c r="CE44" s="670" t="str">
        <f t="shared" si="58"/>
        <v/>
      </c>
      <c r="CF44" s="671" t="str">
        <f t="shared" si="59"/>
        <v/>
      </c>
      <c r="CG44" s="670" t="str">
        <f t="shared" si="60"/>
        <v/>
      </c>
      <c r="CH44" s="671" t="str">
        <f t="shared" si="61"/>
        <v/>
      </c>
      <c r="CI44" s="670" t="str">
        <f t="shared" si="62"/>
        <v/>
      </c>
      <c r="CJ44" s="671" t="str">
        <f t="shared" si="63"/>
        <v/>
      </c>
      <c r="CK44" s="670" t="str">
        <f t="shared" si="64"/>
        <v/>
      </c>
      <c r="CL44" s="671" t="str">
        <f t="shared" si="65"/>
        <v/>
      </c>
      <c r="CM44" s="670" t="str">
        <f t="shared" si="66"/>
        <v/>
      </c>
      <c r="CN44" s="671" t="str">
        <f t="shared" si="67"/>
        <v/>
      </c>
      <c r="CO44" s="670" t="str">
        <f t="shared" si="68"/>
        <v/>
      </c>
      <c r="CP44" s="671" t="str">
        <f t="shared" si="69"/>
        <v/>
      </c>
      <c r="CQ44" s="670" t="str">
        <f t="shared" si="70"/>
        <v/>
      </c>
      <c r="CR44" s="672" t="str">
        <f t="shared" si="71"/>
        <v/>
      </c>
      <c r="CT44" s="772" t="str">
        <f t="shared" si="45"/>
        <v>Barrière vaginale</v>
      </c>
      <c r="CU44" s="773"/>
      <c r="CV44" s="774"/>
      <c r="CW44" s="773"/>
      <c r="CX44" s="774"/>
      <c r="CY44" s="773"/>
      <c r="CZ44" s="774"/>
      <c r="DA44" s="773"/>
      <c r="DB44" s="774"/>
      <c r="DC44" s="773"/>
      <c r="DD44" s="774"/>
      <c r="DE44" s="773"/>
      <c r="DF44" s="774"/>
      <c r="DG44" s="773"/>
      <c r="DH44" s="774"/>
      <c r="DI44" s="773"/>
      <c r="DJ44" s="775"/>
    </row>
    <row r="45" spans="2:114" ht="16.5" customHeight="1" x14ac:dyDescent="0.25">
      <c r="B45" s="1481"/>
      <c r="C45" s="275" t="str">
        <f>IF(Language="English", 'Language Look Ups'!$P$28,IF(Language="Francais", 'Language Look Ups'!$T$28, 'Language Look Ups'!$R$28))</f>
        <v>Spermicides</v>
      </c>
      <c r="D45" s="276">
        <v>12</v>
      </c>
      <c r="E45" s="99">
        <f t="shared" si="54"/>
        <v>8.3333333333333329E-2</v>
      </c>
      <c r="F45" s="100" t="str">
        <f t="shared" si="50"/>
        <v>visites par an</v>
      </c>
      <c r="G45" s="284"/>
      <c r="H45" s="285"/>
      <c r="I45" s="284"/>
      <c r="J45" s="285"/>
      <c r="K45" s="285"/>
      <c r="L45" s="285"/>
      <c r="M45" s="284"/>
      <c r="N45" s="285"/>
      <c r="O45" s="284"/>
      <c r="P45" s="285"/>
      <c r="Q45" s="284"/>
      <c r="R45" s="285"/>
      <c r="S45" s="284"/>
      <c r="T45" s="285"/>
      <c r="U45" s="284"/>
      <c r="V45" s="412"/>
      <c r="AA45" s="463" t="str">
        <f t="shared" si="51"/>
        <v>Spermicides</v>
      </c>
      <c r="AB45" s="1050" t="str">
        <f>IF(AB$21="", "", VLOOKUP($AA45,'4. FPSource Set Up'!$C$96:$H$117, 5, FALSE))</f>
        <v>n/a</v>
      </c>
      <c r="AC45" s="1051" t="str">
        <f>IF(AC$21="", "", VLOOKUP($AA45,'4. FPSource Set Up'!$C$96:$H$117, 5, FALSE))</f>
        <v/>
      </c>
      <c r="AD45" s="1051" t="str">
        <f>IF(AD$21="", "", VLOOKUP($AA45,'4. FPSource Set Up'!$C$96:$H$117, 5, FALSE))</f>
        <v/>
      </c>
      <c r="AE45" s="1051" t="str">
        <f>IF(AE$21="", "", VLOOKUP($AA45,'4. FPSource Set Up'!$C$96:$H$117, 5, FALSE))</f>
        <v/>
      </c>
      <c r="AF45" s="1051" t="str">
        <f>IF(AF$21="", "", VLOOKUP($AA45,'4. FPSource Set Up'!$C$96:$H$117, 5, FALSE))</f>
        <v/>
      </c>
      <c r="AG45" s="1051" t="str">
        <f>IF(AG$21="", "", VLOOKUP($AA45,'4. FPSource Set Up'!$C$96:$H$117, 5, FALSE))</f>
        <v/>
      </c>
      <c r="AH45" s="1051" t="str">
        <f>IF(AH$21="", "", VLOOKUP($AA45,'4. FPSource Set Up'!$C$96:$H$117, 5, FALSE))</f>
        <v/>
      </c>
      <c r="AI45" s="1051" t="str">
        <f>IF(AI$21="", "", VLOOKUP($AA45,'4. FPSource Set Up'!$C$96:$H$117, 5, FALSE))</f>
        <v/>
      </c>
      <c r="AJ45" s="1051" t="str">
        <f>IF(AJ$21="", "", VLOOKUP($AA45,'4. FPSource Set Up'!$C$96:$H$117, 5, FALSE))</f>
        <v/>
      </c>
      <c r="AK45" s="1051" t="str">
        <f>IF(AK$21="", "", VLOOKUP($AA45,'4. FPSource Set Up'!$C$96:$H$117, 5, FALSE))</f>
        <v/>
      </c>
      <c r="AL45" s="1051" t="str">
        <f>IF(AL$21="", "", VLOOKUP($AA45,'4. FPSource Set Up'!$C$96:$H$117, 5, FALSE))</f>
        <v/>
      </c>
      <c r="AM45" s="1051" t="str">
        <f>IF(AM$21="", "", VLOOKUP($AA45,'4. FPSource Set Up'!$C$96:$H$117, 5, FALSE))</f>
        <v/>
      </c>
      <c r="AN45" s="1051" t="str">
        <f>IF(AN$21="", "", VLOOKUP($AA45,'4. FPSource Set Up'!$C$96:$H$117, 5, FALSE))</f>
        <v/>
      </c>
      <c r="AO45" s="1051" t="str">
        <f>IF(AO$21="", "", VLOOKUP($AA45,'4. FPSource Set Up'!$C$96:$H$117, 5, FALSE))</f>
        <v/>
      </c>
      <c r="AP45" s="1051" t="str">
        <f>IF(AP$21="", "", VLOOKUP($AA45,'4. FPSource Set Up'!$C$96:$H$117, 5, FALSE))</f>
        <v/>
      </c>
      <c r="AQ45" s="1052" t="str">
        <f>IF(AQ$21="", "", VLOOKUP($AA45,'4. FPSource Set Up'!$C$96:$H$117, 5, FALSE))</f>
        <v/>
      </c>
      <c r="BA45" s="416" t="s">
        <v>571</v>
      </c>
      <c r="BC45" s="184" t="s">
        <v>846</v>
      </c>
      <c r="BJ45" s="677" t="str">
        <f t="shared" si="13"/>
        <v>Spermicides</v>
      </c>
      <c r="BK45" s="667" t="str">
        <f t="shared" si="55"/>
        <v/>
      </c>
      <c r="BL45" s="668" t="str">
        <f t="shared" si="52"/>
        <v/>
      </c>
      <c r="BM45" s="667" t="str">
        <f t="shared" si="52"/>
        <v/>
      </c>
      <c r="BN45" s="668" t="str">
        <f t="shared" si="52"/>
        <v/>
      </c>
      <c r="BO45" s="667" t="str">
        <f t="shared" si="52"/>
        <v/>
      </c>
      <c r="BP45" s="668" t="str">
        <f t="shared" si="52"/>
        <v/>
      </c>
      <c r="BQ45" s="667" t="str">
        <f t="shared" si="52"/>
        <v/>
      </c>
      <c r="BR45" s="668" t="str">
        <f t="shared" si="52"/>
        <v/>
      </c>
      <c r="BS45" s="667" t="str">
        <f t="shared" si="52"/>
        <v/>
      </c>
      <c r="BT45" s="668" t="str">
        <f t="shared" si="52"/>
        <v/>
      </c>
      <c r="BU45" s="667" t="str">
        <f t="shared" si="52"/>
        <v/>
      </c>
      <c r="BV45" s="668" t="str">
        <f t="shared" si="52"/>
        <v/>
      </c>
      <c r="BW45" s="667" t="str">
        <f t="shared" si="52"/>
        <v/>
      </c>
      <c r="BX45" s="668" t="str">
        <f t="shared" si="52"/>
        <v/>
      </c>
      <c r="BY45" s="667" t="str">
        <f t="shared" si="52"/>
        <v/>
      </c>
      <c r="BZ45" s="669" t="str">
        <f t="shared" si="52"/>
        <v/>
      </c>
      <c r="CB45" s="677" t="str">
        <f t="shared" si="28"/>
        <v>Spermicides</v>
      </c>
      <c r="CC45" s="667" t="str">
        <f t="shared" si="56"/>
        <v/>
      </c>
      <c r="CD45" s="668" t="str">
        <f t="shared" si="57"/>
        <v/>
      </c>
      <c r="CE45" s="667" t="str">
        <f t="shared" si="58"/>
        <v/>
      </c>
      <c r="CF45" s="668" t="str">
        <f t="shared" si="59"/>
        <v/>
      </c>
      <c r="CG45" s="667" t="str">
        <f t="shared" si="60"/>
        <v/>
      </c>
      <c r="CH45" s="668" t="str">
        <f t="shared" si="61"/>
        <v/>
      </c>
      <c r="CI45" s="667" t="str">
        <f t="shared" si="62"/>
        <v/>
      </c>
      <c r="CJ45" s="668" t="str">
        <f t="shared" si="63"/>
        <v/>
      </c>
      <c r="CK45" s="667" t="str">
        <f t="shared" si="64"/>
        <v/>
      </c>
      <c r="CL45" s="668" t="str">
        <f t="shared" si="65"/>
        <v/>
      </c>
      <c r="CM45" s="667" t="str">
        <f t="shared" si="66"/>
        <v/>
      </c>
      <c r="CN45" s="668" t="str">
        <f t="shared" si="67"/>
        <v/>
      </c>
      <c r="CO45" s="667" t="str">
        <f t="shared" si="68"/>
        <v/>
      </c>
      <c r="CP45" s="668" t="str">
        <f t="shared" si="69"/>
        <v/>
      </c>
      <c r="CQ45" s="667" t="str">
        <f t="shared" si="70"/>
        <v/>
      </c>
      <c r="CR45" s="669" t="str">
        <f t="shared" si="71"/>
        <v/>
      </c>
      <c r="CT45" s="776" t="str">
        <f t="shared" si="45"/>
        <v>Spermicides</v>
      </c>
      <c r="CU45" s="777"/>
      <c r="CV45" s="778"/>
      <c r="CW45" s="777"/>
      <c r="CX45" s="778"/>
      <c r="CY45" s="777"/>
      <c r="CZ45" s="778"/>
      <c r="DA45" s="777"/>
      <c r="DB45" s="778"/>
      <c r="DC45" s="777"/>
      <c r="DD45" s="778"/>
      <c r="DE45" s="777"/>
      <c r="DF45" s="778"/>
      <c r="DG45" s="777"/>
      <c r="DH45" s="778"/>
      <c r="DI45" s="777"/>
      <c r="DJ45" s="779"/>
    </row>
    <row r="46" spans="2:114" ht="33.75" customHeight="1" thickBot="1" x14ac:dyDescent="0.3">
      <c r="B46" s="378" t="str">
        <f>IF(Language="English", 'Language Look Ups'!$O$29,IF(Language="Francais", 'Language Look Ups'!$S$29, 'Language Look Ups'!Q$29))</f>
        <v>Contraception d'urgence</v>
      </c>
      <c r="C46" s="397" t="str">
        <f>IF(Language="English", 'Language Look Ups'!$P$29,IF(Language="Francais", 'Language Look Ups'!$T$29, 'Language Look Ups'!$R$29))</f>
        <v>CU</v>
      </c>
      <c r="D46" s="417">
        <v>12</v>
      </c>
      <c r="E46" s="418">
        <f t="shared" si="54"/>
        <v>8.3333333333333329E-2</v>
      </c>
      <c r="F46" s="419" t="str">
        <f t="shared" si="50"/>
        <v>visites par an</v>
      </c>
      <c r="G46" s="420"/>
      <c r="H46" s="421"/>
      <c r="I46" s="420"/>
      <c r="J46" s="421"/>
      <c r="K46" s="421"/>
      <c r="L46" s="421"/>
      <c r="M46" s="420"/>
      <c r="N46" s="421"/>
      <c r="O46" s="420"/>
      <c r="P46" s="421"/>
      <c r="Q46" s="420"/>
      <c r="R46" s="421"/>
      <c r="S46" s="420"/>
      <c r="T46" s="421"/>
      <c r="U46" s="420"/>
      <c r="V46" s="422"/>
      <c r="AA46" s="467" t="str">
        <f t="shared" si="51"/>
        <v>CU</v>
      </c>
      <c r="AB46" s="1053" t="str">
        <f>IF(AB$21="", "", VLOOKUP($AA46,'4. FPSource Set Up'!$C$96:$H$117, 5, FALSE))</f>
        <v>n/a</v>
      </c>
      <c r="AC46" s="1054" t="str">
        <f>IF(AC$21="", "", VLOOKUP($AA46,'4. FPSource Set Up'!$C$96:$H$117, 5, FALSE))</f>
        <v/>
      </c>
      <c r="AD46" s="1054" t="str">
        <f>IF(AD$21="", "", VLOOKUP($AA46,'4. FPSource Set Up'!$C$96:$H$117, 5, FALSE))</f>
        <v/>
      </c>
      <c r="AE46" s="1054" t="str">
        <f>IF(AE$21="", "", VLOOKUP($AA46,'4. FPSource Set Up'!$C$96:$H$117, 5, FALSE))</f>
        <v/>
      </c>
      <c r="AF46" s="1054" t="str">
        <f>IF(AF$21="", "", VLOOKUP($AA46,'4. FPSource Set Up'!$C$96:$H$117, 5, FALSE))</f>
        <v/>
      </c>
      <c r="AG46" s="1054" t="str">
        <f>IF(AG$21="", "", VLOOKUP($AA46,'4. FPSource Set Up'!$C$96:$H$117, 5, FALSE))</f>
        <v/>
      </c>
      <c r="AH46" s="1054" t="str">
        <f>IF(AH$21="", "", VLOOKUP($AA46,'4. FPSource Set Up'!$C$96:$H$117, 5, FALSE))</f>
        <v/>
      </c>
      <c r="AI46" s="1054" t="str">
        <f>IF(AI$21="", "", VLOOKUP($AA46,'4. FPSource Set Up'!$C$96:$H$117, 5, FALSE))</f>
        <v/>
      </c>
      <c r="AJ46" s="1054" t="str">
        <f>IF(AJ$21="", "", VLOOKUP($AA46,'4. FPSource Set Up'!$C$96:$H$117, 5, FALSE))</f>
        <v/>
      </c>
      <c r="AK46" s="1054" t="str">
        <f>IF(AK$21="", "", VLOOKUP($AA46,'4. FPSource Set Up'!$C$96:$H$117, 5, FALSE))</f>
        <v/>
      </c>
      <c r="AL46" s="1054" t="str">
        <f>IF(AL$21="", "", VLOOKUP($AA46,'4. FPSource Set Up'!$C$96:$H$117, 5, FALSE))</f>
        <v/>
      </c>
      <c r="AM46" s="1054" t="str">
        <f>IF(AM$21="", "", VLOOKUP($AA46,'4. FPSource Set Up'!$C$96:$H$117, 5, FALSE))</f>
        <v/>
      </c>
      <c r="AN46" s="1054" t="str">
        <f>IF(AN$21="", "", VLOOKUP($AA46,'4. FPSource Set Up'!$C$96:$H$117, 5, FALSE))</f>
        <v/>
      </c>
      <c r="AO46" s="1054" t="str">
        <f>IF(AO$21="", "", VLOOKUP($AA46,'4. FPSource Set Up'!$C$96:$H$117, 5, FALSE))</f>
        <v/>
      </c>
      <c r="AP46" s="1054" t="str">
        <f>IF(AP$21="", "", VLOOKUP($AA46,'4. FPSource Set Up'!$C$96:$H$117, 5, FALSE))</f>
        <v/>
      </c>
      <c r="AQ46" s="1055" t="str">
        <f>IF(AQ$21="", "", VLOOKUP($AA46,'4. FPSource Set Up'!$C$96:$H$117, 5, FALSE))</f>
        <v/>
      </c>
      <c r="BA46" s="416" t="s">
        <v>571</v>
      </c>
      <c r="BC46" s="184" t="s">
        <v>846</v>
      </c>
      <c r="BJ46" s="680" t="str">
        <f t="shared" si="13"/>
        <v>CU</v>
      </c>
      <c r="BK46" s="681" t="str">
        <f t="shared" si="55"/>
        <v/>
      </c>
      <c r="BL46" s="682" t="str">
        <f t="shared" si="52"/>
        <v/>
      </c>
      <c r="BM46" s="681" t="str">
        <f t="shared" si="52"/>
        <v/>
      </c>
      <c r="BN46" s="682" t="str">
        <f t="shared" si="52"/>
        <v/>
      </c>
      <c r="BO46" s="681" t="str">
        <f t="shared" si="52"/>
        <v/>
      </c>
      <c r="BP46" s="682" t="str">
        <f t="shared" si="52"/>
        <v/>
      </c>
      <c r="BQ46" s="681" t="str">
        <f t="shared" si="52"/>
        <v/>
      </c>
      <c r="BR46" s="682" t="str">
        <f t="shared" si="52"/>
        <v/>
      </c>
      <c r="BS46" s="681" t="str">
        <f t="shared" si="52"/>
        <v/>
      </c>
      <c r="BT46" s="682" t="str">
        <f t="shared" si="52"/>
        <v/>
      </c>
      <c r="BU46" s="681" t="str">
        <f t="shared" si="52"/>
        <v/>
      </c>
      <c r="BV46" s="682" t="str">
        <f t="shared" si="52"/>
        <v/>
      </c>
      <c r="BW46" s="681" t="str">
        <f t="shared" si="52"/>
        <v/>
      </c>
      <c r="BX46" s="682" t="str">
        <f t="shared" si="52"/>
        <v/>
      </c>
      <c r="BY46" s="681" t="str">
        <f t="shared" si="52"/>
        <v/>
      </c>
      <c r="BZ46" s="683" t="str">
        <f t="shared" si="52"/>
        <v/>
      </c>
      <c r="CB46" s="680" t="str">
        <f t="shared" si="28"/>
        <v>CU</v>
      </c>
      <c r="CC46" s="681" t="str">
        <f t="shared" si="56"/>
        <v/>
      </c>
      <c r="CD46" s="682" t="str">
        <f t="shared" si="57"/>
        <v/>
      </c>
      <c r="CE46" s="681" t="str">
        <f t="shared" si="58"/>
        <v/>
      </c>
      <c r="CF46" s="682" t="str">
        <f t="shared" si="59"/>
        <v/>
      </c>
      <c r="CG46" s="681" t="str">
        <f t="shared" si="60"/>
        <v/>
      </c>
      <c r="CH46" s="682" t="str">
        <f t="shared" si="61"/>
        <v/>
      </c>
      <c r="CI46" s="681" t="str">
        <f t="shared" si="62"/>
        <v/>
      </c>
      <c r="CJ46" s="682" t="str">
        <f t="shared" si="63"/>
        <v/>
      </c>
      <c r="CK46" s="681" t="str">
        <f t="shared" si="64"/>
        <v/>
      </c>
      <c r="CL46" s="682" t="str">
        <f t="shared" si="65"/>
        <v/>
      </c>
      <c r="CM46" s="681" t="str">
        <f t="shared" si="66"/>
        <v/>
      </c>
      <c r="CN46" s="682" t="str">
        <f t="shared" si="67"/>
        <v/>
      </c>
      <c r="CO46" s="681" t="str">
        <f t="shared" si="68"/>
        <v/>
      </c>
      <c r="CP46" s="682" t="str">
        <f t="shared" si="69"/>
        <v/>
      </c>
      <c r="CQ46" s="681" t="str">
        <f t="shared" si="70"/>
        <v/>
      </c>
      <c r="CR46" s="683" t="str">
        <f t="shared" si="71"/>
        <v/>
      </c>
      <c r="CT46" s="780" t="str">
        <f t="shared" si="45"/>
        <v>CU</v>
      </c>
      <c r="CU46" s="781"/>
      <c r="CV46" s="782"/>
      <c r="CW46" s="781"/>
      <c r="CX46" s="782"/>
      <c r="CY46" s="781"/>
      <c r="CZ46" s="782"/>
      <c r="DA46" s="781"/>
      <c r="DB46" s="782"/>
      <c r="DC46" s="781"/>
      <c r="DD46" s="782"/>
      <c r="DE46" s="781"/>
      <c r="DF46" s="782"/>
      <c r="DG46" s="781"/>
      <c r="DH46" s="782"/>
      <c r="DI46" s="781"/>
      <c r="DJ46" s="783"/>
    </row>
    <row r="47" spans="2:114" ht="19.5" customHeight="1" thickBot="1" x14ac:dyDescent="0.35">
      <c r="B47" s="429" t="str">
        <f>IF(Language="English",'Language Look Ups'!O30,'Language Look Ups'!S30)</f>
        <v>CAP Totale</v>
      </c>
      <c r="C47" s="430"/>
      <c r="D47" s="430"/>
      <c r="E47" s="431"/>
      <c r="F47" s="432"/>
      <c r="G47" s="433">
        <f>IF(G21="", "", SUMPRODUCT(G23:G46, $E$23:$E$46))</f>
        <v>0</v>
      </c>
      <c r="H47" s="433" t="str">
        <f t="shared" ref="H47:V47" si="72">IF(H21="", "", SUMPRODUCT(H23:H46, $E$23:$E$46))</f>
        <v/>
      </c>
      <c r="I47" s="433" t="str">
        <f t="shared" si="72"/>
        <v/>
      </c>
      <c r="J47" s="433" t="str">
        <f t="shared" si="72"/>
        <v/>
      </c>
      <c r="K47" s="433" t="str">
        <f t="shared" si="72"/>
        <v/>
      </c>
      <c r="L47" s="433" t="str">
        <f t="shared" si="72"/>
        <v/>
      </c>
      <c r="M47" s="433" t="str">
        <f t="shared" si="72"/>
        <v/>
      </c>
      <c r="N47" s="433" t="str">
        <f t="shared" si="72"/>
        <v/>
      </c>
      <c r="O47" s="433" t="str">
        <f t="shared" si="72"/>
        <v/>
      </c>
      <c r="P47" s="433" t="str">
        <f t="shared" si="72"/>
        <v/>
      </c>
      <c r="Q47" s="433" t="str">
        <f t="shared" si="72"/>
        <v/>
      </c>
      <c r="R47" s="433" t="str">
        <f t="shared" si="72"/>
        <v/>
      </c>
      <c r="S47" s="433" t="str">
        <f t="shared" si="72"/>
        <v/>
      </c>
      <c r="T47" s="433" t="str">
        <f t="shared" si="72"/>
        <v/>
      </c>
      <c r="U47" s="433" t="str">
        <f t="shared" si="72"/>
        <v/>
      </c>
      <c r="V47" s="434" t="str">
        <f t="shared" si="72"/>
        <v/>
      </c>
      <c r="BJ47" s="178"/>
      <c r="CB47" s="178"/>
      <c r="CT47" s="178"/>
    </row>
    <row r="48" spans="2:114" ht="12.75" customHeight="1" x14ac:dyDescent="0.25">
      <c r="BJ48" t="s">
        <v>313</v>
      </c>
      <c r="BK48" s="2" t="e">
        <f>IF(BK21="",NA(),IF(SUM(BK23:BK46)=0,NA(),SUM(BK23:BK46)))</f>
        <v>#N/A</v>
      </c>
      <c r="BL48" s="2" t="e">
        <f t="shared" ref="BL48:BZ48" si="73">IF(BL21="",NA(),IF(SUM(BL23:BL46)=0,NA(),SUM(BL23:BL46)))</f>
        <v>#N/A</v>
      </c>
      <c r="BM48" s="2" t="e">
        <f t="shared" si="73"/>
        <v>#N/A</v>
      </c>
      <c r="BN48" s="2" t="e">
        <f t="shared" si="73"/>
        <v>#N/A</v>
      </c>
      <c r="BO48" s="2" t="e">
        <f t="shared" si="73"/>
        <v>#N/A</v>
      </c>
      <c r="BP48" s="2" t="e">
        <f t="shared" si="73"/>
        <v>#N/A</v>
      </c>
      <c r="BQ48" s="2" t="e">
        <f t="shared" si="73"/>
        <v>#N/A</v>
      </c>
      <c r="BR48" s="2" t="e">
        <f t="shared" si="73"/>
        <v>#N/A</v>
      </c>
      <c r="BS48" s="2" t="e">
        <f t="shared" si="73"/>
        <v>#N/A</v>
      </c>
      <c r="BT48" s="2" t="e">
        <f t="shared" si="73"/>
        <v>#N/A</v>
      </c>
      <c r="BU48" s="2" t="e">
        <f t="shared" si="73"/>
        <v>#N/A</v>
      </c>
      <c r="BV48" s="2" t="e">
        <f t="shared" si="73"/>
        <v>#N/A</v>
      </c>
      <c r="BW48" s="2" t="e">
        <f t="shared" si="73"/>
        <v>#N/A</v>
      </c>
      <c r="BX48" s="2" t="e">
        <f t="shared" si="73"/>
        <v>#N/A</v>
      </c>
      <c r="BY48" s="2" t="e">
        <f t="shared" si="73"/>
        <v>#N/A</v>
      </c>
      <c r="BZ48" s="2" t="e">
        <f t="shared" si="73"/>
        <v>#N/A</v>
      </c>
      <c r="CB48" t="s">
        <v>313</v>
      </c>
      <c r="CC48" s="2" t="e">
        <f>IF(CC21="",NA(),IF(SUM(CC23:CC46)=0,NA(),SUM(CC23:CC46)))</f>
        <v>#N/A</v>
      </c>
      <c r="CD48" s="2" t="e">
        <f t="shared" ref="CD48:CR48" si="74">IF(CD21="",NA(),IF(SUM(CD23:CD46)=0,NA(),SUM(CD23:CD46)))</f>
        <v>#N/A</v>
      </c>
      <c r="CE48" s="2" t="e">
        <f t="shared" si="74"/>
        <v>#N/A</v>
      </c>
      <c r="CF48" s="2" t="e">
        <f t="shared" si="74"/>
        <v>#N/A</v>
      </c>
      <c r="CG48" s="2" t="e">
        <f t="shared" si="74"/>
        <v>#N/A</v>
      </c>
      <c r="CH48" s="2" t="e">
        <f t="shared" si="74"/>
        <v>#N/A</v>
      </c>
      <c r="CI48" s="2" t="e">
        <f t="shared" si="74"/>
        <v>#N/A</v>
      </c>
      <c r="CJ48" s="2" t="e">
        <f t="shared" si="74"/>
        <v>#N/A</v>
      </c>
      <c r="CK48" s="2" t="e">
        <f t="shared" si="74"/>
        <v>#N/A</v>
      </c>
      <c r="CL48" s="2" t="e">
        <f t="shared" si="74"/>
        <v>#N/A</v>
      </c>
      <c r="CM48" s="2" t="e">
        <f t="shared" si="74"/>
        <v>#N/A</v>
      </c>
      <c r="CN48" s="2" t="e">
        <f t="shared" si="74"/>
        <v>#N/A</v>
      </c>
      <c r="CO48" s="2" t="e">
        <f t="shared" si="74"/>
        <v>#N/A</v>
      </c>
      <c r="CP48" s="2" t="e">
        <f t="shared" si="74"/>
        <v>#N/A</v>
      </c>
      <c r="CQ48" s="2" t="e">
        <f t="shared" si="74"/>
        <v>#N/A</v>
      </c>
      <c r="CR48" s="2" t="e">
        <f t="shared" si="74"/>
        <v>#N/A</v>
      </c>
    </row>
    <row r="49" spans="1:115" s="1" customFormat="1" ht="42" hidden="1" customHeight="1" outlineLevel="1" thickBot="1" x14ac:dyDescent="0.3">
      <c r="A49" s="1557" t="s">
        <v>1218</v>
      </c>
      <c r="B49" s="1509" t="s">
        <v>1216</v>
      </c>
      <c r="C49" s="1510"/>
      <c r="D49" s="1510"/>
      <c r="E49" s="1510"/>
      <c r="F49" s="1510"/>
      <c r="G49" s="1510"/>
      <c r="H49" s="1510"/>
      <c r="I49" s="1510"/>
      <c r="J49" s="1510"/>
      <c r="K49" s="1510"/>
      <c r="L49" s="1510"/>
      <c r="M49" s="1510"/>
      <c r="N49" s="1510"/>
      <c r="O49" s="1510"/>
      <c r="P49" s="1510"/>
      <c r="Q49" s="1510"/>
      <c r="R49" s="1510"/>
      <c r="S49" s="1510"/>
      <c r="T49" s="1510"/>
      <c r="U49" s="1510"/>
      <c r="V49" s="1511"/>
      <c r="W49"/>
      <c r="X49"/>
      <c r="Y49"/>
      <c r="Z49"/>
      <c r="AA49"/>
      <c r="AB49" s="43" t="s">
        <v>1195</v>
      </c>
      <c r="AC49" s="44" t="s">
        <v>1196</v>
      </c>
      <c r="AD49" s="854" t="s">
        <v>1199</v>
      </c>
      <c r="AE49" s="855" t="s">
        <v>1200</v>
      </c>
      <c r="AF49" s="43"/>
      <c r="AG49" s="44"/>
      <c r="AH49" s="43"/>
      <c r="AI49" s="44"/>
      <c r="AJ49" s="44"/>
      <c r="AK49" s="44"/>
      <c r="AL49" s="44"/>
      <c r="AM49" s="44"/>
      <c r="AN49" s="44"/>
      <c r="AO49" s="44"/>
      <c r="AP49" s="44"/>
      <c r="AQ49" s="45"/>
      <c r="AS49"/>
      <c r="AT49"/>
      <c r="AU49"/>
      <c r="AV49"/>
      <c r="AW49"/>
      <c r="AX49"/>
      <c r="AY49"/>
      <c r="AZ49"/>
      <c r="BA49" s="184"/>
      <c r="BB49" s="184"/>
      <c r="BC49" s="184"/>
      <c r="BD49"/>
      <c r="BE49"/>
      <c r="BF49"/>
      <c r="BG49"/>
      <c r="BH49"/>
      <c r="BI49" s="181"/>
      <c r="DK49"/>
    </row>
    <row r="50" spans="1:115" ht="17.25" hidden="1" customHeight="1" outlineLevel="1" thickBot="1" x14ac:dyDescent="0.3">
      <c r="A50" s="1557"/>
      <c r="B50" s="1527" t="str">
        <f>IF(Language="English",'Language Look Ups'!$O$6,IF(Language="Francais",'Language Look Ups'!$S$6,'Language Look Ups'!$Q$6))</f>
        <v>Stérilisation</v>
      </c>
      <c r="C50" s="885" t="str">
        <f>IF(Language="English", 'Language Look Ups'!$P$6,IF(Language="Francais", 'Language Look Ups'!$T$6, 'Language Look Ups'!$R$6))</f>
        <v>Ligature des trompes</v>
      </c>
      <c r="D50" s="886"/>
      <c r="E50" s="886"/>
      <c r="F50" s="887"/>
      <c r="G50" s="883" t="str">
        <f>IF(G23="", "", IF(OR(G23&gt;$AD50, G23&lt;$AE50), G$21&amp;",", ""))</f>
        <v/>
      </c>
      <c r="H50" s="883" t="str">
        <f t="shared" ref="H50:V50" si="75">IF(H23="", "", IF(OR(H23&gt;$AD50, H23&lt;$AE50), H$21&amp;",", ""))</f>
        <v/>
      </c>
      <c r="I50" s="883" t="str">
        <f t="shared" si="75"/>
        <v/>
      </c>
      <c r="J50" s="883" t="str">
        <f t="shared" si="75"/>
        <v/>
      </c>
      <c r="K50" s="883" t="str">
        <f t="shared" si="75"/>
        <v/>
      </c>
      <c r="L50" s="883" t="str">
        <f t="shared" si="75"/>
        <v/>
      </c>
      <c r="M50" s="883" t="str">
        <f t="shared" si="75"/>
        <v/>
      </c>
      <c r="N50" s="883" t="str">
        <f t="shared" si="75"/>
        <v/>
      </c>
      <c r="O50" s="883" t="str">
        <f t="shared" si="75"/>
        <v/>
      </c>
      <c r="P50" s="883" t="str">
        <f t="shared" si="75"/>
        <v/>
      </c>
      <c r="Q50" s="883" t="str">
        <f t="shared" si="75"/>
        <v/>
      </c>
      <c r="R50" s="883" t="str">
        <f t="shared" si="75"/>
        <v/>
      </c>
      <c r="S50" s="883" t="str">
        <f t="shared" si="75"/>
        <v/>
      </c>
      <c r="T50" s="883" t="str">
        <f t="shared" si="75"/>
        <v/>
      </c>
      <c r="U50" s="883" t="str">
        <f t="shared" si="75"/>
        <v/>
      </c>
      <c r="V50" s="883" t="str">
        <f t="shared" si="75"/>
        <v/>
      </c>
      <c r="W50" s="884">
        <f>COUNTIF(G50:V50, "*,*")</f>
        <v>0</v>
      </c>
      <c r="X50">
        <v>25</v>
      </c>
      <c r="Y50" t="str">
        <f>IF(W50&gt;0, HLOOKUP("OUTLIER", $G50:$V$75, X50, 0), "")</f>
        <v/>
      </c>
      <c r="AA50" s="148" t="str">
        <f>IF(W50=0, "", C50&amp;": "&amp;CONCATENATE( IF(ISBLANK(G50), "", G50), IF(ISBLANK(H50), "", H50), IF(ISBLANK(I50), "", I50), IF(ISBLANK(J50), "", J50), IF(ISBLANK(K50), "", K50), IF(ISBLANK(L50), "", L50), IF(ISBLANK(M50), "", M50), IF(ISBLANK(N50), "", N50), IF(ISBLANK(O50), "", O50), IF(ISBLANK(P50), "", P50), IF(ISBLANK(Q50), "", Q50), IF(ISBLANK(R50), "", R50), IF(ISBLANK(S50), "", S50), IF(ISBLANK(T50), "", T50), IF(ISBLANK(U50), "", U50), IF(ISBLANK(V50), "", V50)))</f>
        <v/>
      </c>
      <c r="AB50" s="856" t="e">
        <f>AVERAGE($G23:$V23)</f>
        <v>#DIV/0!</v>
      </c>
      <c r="AC50" s="857" t="e">
        <f>STDEV($G23:$V23)*2</f>
        <v>#DIV/0!</v>
      </c>
      <c r="AD50" s="856" t="e">
        <f>AB50+AC50</f>
        <v>#DIV/0!</v>
      </c>
      <c r="AE50" s="856" t="e">
        <f>AB50-AC50</f>
        <v>#DIV/0!</v>
      </c>
    </row>
    <row r="51" spans="1:115" ht="17.25" hidden="1" customHeight="1" outlineLevel="1" thickBot="1" x14ac:dyDescent="0.3">
      <c r="A51" s="1557"/>
      <c r="B51" s="1528"/>
      <c r="C51" s="888" t="str">
        <f>IF(Language="English",'Language Look Ups'!$P$7,IF(Language="Francais",'Language Look Ups'!$T$7,'Language Look Ups'!$R$7))</f>
        <v>Vasectomie</v>
      </c>
      <c r="D51" s="889"/>
      <c r="E51" s="889"/>
      <c r="F51" s="890"/>
      <c r="G51" s="883" t="str">
        <f t="shared" ref="G51:V56" si="76">IF(G24="", "", IF(OR(G24&gt;$AD51, G24&lt;$AE51), G$21&amp;",", ""))</f>
        <v/>
      </c>
      <c r="H51" s="883" t="str">
        <f t="shared" si="76"/>
        <v/>
      </c>
      <c r="I51" s="883" t="str">
        <f t="shared" si="76"/>
        <v/>
      </c>
      <c r="J51" s="883" t="str">
        <f t="shared" si="76"/>
        <v/>
      </c>
      <c r="K51" s="883" t="str">
        <f t="shared" si="76"/>
        <v/>
      </c>
      <c r="L51" s="883" t="str">
        <f t="shared" si="76"/>
        <v/>
      </c>
      <c r="M51" s="883" t="str">
        <f t="shared" si="76"/>
        <v/>
      </c>
      <c r="N51" s="883" t="str">
        <f t="shared" si="76"/>
        <v/>
      </c>
      <c r="O51" s="883" t="str">
        <f t="shared" si="76"/>
        <v/>
      </c>
      <c r="P51" s="883" t="str">
        <f t="shared" si="76"/>
        <v/>
      </c>
      <c r="Q51" s="883" t="str">
        <f t="shared" si="76"/>
        <v/>
      </c>
      <c r="R51" s="883" t="str">
        <f t="shared" si="76"/>
        <v/>
      </c>
      <c r="S51" s="883" t="str">
        <f t="shared" si="76"/>
        <v/>
      </c>
      <c r="T51" s="883" t="str">
        <f t="shared" si="76"/>
        <v/>
      </c>
      <c r="U51" s="883" t="str">
        <f t="shared" si="76"/>
        <v/>
      </c>
      <c r="V51" s="883" t="str">
        <f t="shared" si="76"/>
        <v/>
      </c>
      <c r="W51" s="884">
        <f t="shared" ref="W51:W73" si="77">COUNTIF(G51:V51, "*,*")</f>
        <v>0</v>
      </c>
      <c r="X51">
        <v>24</v>
      </c>
      <c r="Y51" t="str">
        <f>IF(W51&gt;0, HLOOKUP("OUTLIER", $G51:$V$75, X51, 0), "")</f>
        <v/>
      </c>
      <c r="AA51" s="148" t="str">
        <f t="shared" ref="AA51:AA74" si="78">IF(W51=0, "", C51&amp;": "&amp;CONCATENATE( IF(ISBLANK(G51), "", G51), IF(ISBLANK(H51), "", H51), IF(ISBLANK(I51), "", I51), IF(ISBLANK(J51), "", J51), IF(ISBLANK(K51), "", K51), IF(ISBLANK(L51), "", L51), IF(ISBLANK(M51), "", M51), IF(ISBLANK(N51), "", N51), IF(ISBLANK(O51), "", O51), IF(ISBLANK(P51), "", P51), IF(ISBLANK(Q51), "", Q51), IF(ISBLANK(R51), "", R51), IF(ISBLANK(S51), "", S51), IF(ISBLANK(T51), "", T51), IF(ISBLANK(U51), "", U51), IF(ISBLANK(V51), "", V51)))</f>
        <v/>
      </c>
      <c r="AB51" s="856" t="e">
        <f t="shared" ref="AB51:AB74" si="79">AVERAGE($G24:$V24)</f>
        <v>#DIV/0!</v>
      </c>
      <c r="AC51" s="857" t="e">
        <f t="shared" ref="AC51:AC74" si="80">STDEV($G24:$V24)*2</f>
        <v>#DIV/0!</v>
      </c>
      <c r="AD51" s="856" t="e">
        <f t="shared" ref="AD51:AD74" si="81">AB51+AC51</f>
        <v>#DIV/0!</v>
      </c>
      <c r="AE51" s="856" t="e">
        <f t="shared" ref="AE51:AE74" si="82">AB51-AC51</f>
        <v>#DIV/0!</v>
      </c>
    </row>
    <row r="52" spans="1:115" ht="17.25" hidden="1" customHeight="1" outlineLevel="1" thickBot="1" x14ac:dyDescent="0.3">
      <c r="A52" s="1557"/>
      <c r="B52" s="1527" t="str">
        <f>IF(Language="English", 'Language Look Ups'!$O$8,IF(Language="Francais", 'Language Look Ups'!$S$8, 'Language Look Ups'!$Q$8))</f>
        <v>DIU</v>
      </c>
      <c r="C52" s="885" t="str">
        <f>IF(Language="English", 'Language Look Ups'!$P$8,IF(Language="Francais", 'Language Look Ups'!$T$8, 'Language Look Ups'!$R$8))</f>
        <v>Copper- T 380-A DIU</v>
      </c>
      <c r="D52" s="886"/>
      <c r="E52" s="886"/>
      <c r="F52" s="887"/>
      <c r="G52" s="883" t="str">
        <f t="shared" si="76"/>
        <v/>
      </c>
      <c r="H52" s="883" t="str">
        <f t="shared" si="76"/>
        <v/>
      </c>
      <c r="I52" s="883" t="str">
        <f t="shared" si="76"/>
        <v/>
      </c>
      <c r="J52" s="883" t="str">
        <f t="shared" si="76"/>
        <v/>
      </c>
      <c r="K52" s="883" t="str">
        <f t="shared" si="76"/>
        <v/>
      </c>
      <c r="L52" s="883" t="str">
        <f t="shared" si="76"/>
        <v/>
      </c>
      <c r="M52" s="883" t="str">
        <f t="shared" si="76"/>
        <v/>
      </c>
      <c r="N52" s="883" t="str">
        <f t="shared" si="76"/>
        <v/>
      </c>
      <c r="O52" s="883" t="str">
        <f t="shared" si="76"/>
        <v/>
      </c>
      <c r="P52" s="883" t="str">
        <f t="shared" si="76"/>
        <v/>
      </c>
      <c r="Q52" s="883" t="str">
        <f t="shared" si="76"/>
        <v/>
      </c>
      <c r="R52" s="883" t="str">
        <f t="shared" si="76"/>
        <v/>
      </c>
      <c r="S52" s="883" t="str">
        <f t="shared" si="76"/>
        <v/>
      </c>
      <c r="T52" s="883" t="str">
        <f t="shared" si="76"/>
        <v/>
      </c>
      <c r="U52" s="883" t="str">
        <f t="shared" si="76"/>
        <v/>
      </c>
      <c r="V52" s="883" t="str">
        <f t="shared" si="76"/>
        <v/>
      </c>
      <c r="W52" s="884">
        <f t="shared" si="77"/>
        <v>0</v>
      </c>
      <c r="X52">
        <v>23</v>
      </c>
      <c r="Y52" t="str">
        <f>IF(W52&gt;0, HLOOKUP("OUTLIER", $G52:$V$75, X52, 0), "")</f>
        <v/>
      </c>
      <c r="AA52" s="148" t="str">
        <f t="shared" si="78"/>
        <v/>
      </c>
      <c r="AB52" s="856" t="e">
        <f t="shared" si="79"/>
        <v>#DIV/0!</v>
      </c>
      <c r="AC52" s="857" t="e">
        <f t="shared" si="80"/>
        <v>#DIV/0!</v>
      </c>
      <c r="AD52" s="856" t="e">
        <f t="shared" si="81"/>
        <v>#DIV/0!</v>
      </c>
      <c r="AE52" s="856" t="e">
        <f t="shared" si="82"/>
        <v>#DIV/0!</v>
      </c>
    </row>
    <row r="53" spans="1:115" ht="17.25" hidden="1" customHeight="1" outlineLevel="1" thickBot="1" x14ac:dyDescent="0.3">
      <c r="A53" s="1557"/>
      <c r="B53" s="1528"/>
      <c r="C53" s="888" t="str">
        <f>IF(Language="English", 'Language Look Ups'!$P$9,IF(Language="Francais", 'Language Look Ups'!$T$9, 'Language Look Ups'!$R$9))</f>
        <v>DIU Hormonal (LNG-IUS)</v>
      </c>
      <c r="D53" s="889"/>
      <c r="E53" s="889"/>
      <c r="F53" s="890"/>
      <c r="G53" s="883" t="str">
        <f t="shared" si="76"/>
        <v/>
      </c>
      <c r="H53" s="883" t="str">
        <f t="shared" si="76"/>
        <v/>
      </c>
      <c r="I53" s="883" t="str">
        <f t="shared" si="76"/>
        <v/>
      </c>
      <c r="J53" s="883" t="str">
        <f t="shared" si="76"/>
        <v/>
      </c>
      <c r="K53" s="883" t="str">
        <f t="shared" si="76"/>
        <v/>
      </c>
      <c r="L53" s="883" t="str">
        <f t="shared" si="76"/>
        <v/>
      </c>
      <c r="M53" s="883" t="str">
        <f t="shared" si="76"/>
        <v/>
      </c>
      <c r="N53" s="883" t="str">
        <f t="shared" si="76"/>
        <v/>
      </c>
      <c r="O53" s="883" t="str">
        <f t="shared" si="76"/>
        <v/>
      </c>
      <c r="P53" s="883" t="str">
        <f t="shared" si="76"/>
        <v/>
      </c>
      <c r="Q53" s="883" t="str">
        <f t="shared" si="76"/>
        <v/>
      </c>
      <c r="R53" s="883" t="str">
        <f t="shared" si="76"/>
        <v/>
      </c>
      <c r="S53" s="883" t="str">
        <f t="shared" si="76"/>
        <v/>
      </c>
      <c r="T53" s="883" t="str">
        <f t="shared" si="76"/>
        <v/>
      </c>
      <c r="U53" s="883" t="str">
        <f t="shared" si="76"/>
        <v/>
      </c>
      <c r="V53" s="883" t="str">
        <f t="shared" si="76"/>
        <v/>
      </c>
      <c r="W53" s="884">
        <f t="shared" si="77"/>
        <v>0</v>
      </c>
      <c r="X53">
        <v>22</v>
      </c>
      <c r="Y53" t="str">
        <f>IF(W53&gt;0, HLOOKUP("OUTLIER", $G53:$V$75, X53, 0), "")</f>
        <v/>
      </c>
      <c r="AA53" s="148" t="str">
        <f t="shared" si="78"/>
        <v/>
      </c>
      <c r="AB53" s="856" t="e">
        <f t="shared" si="79"/>
        <v>#DIV/0!</v>
      </c>
      <c r="AC53" s="857" t="e">
        <f t="shared" si="80"/>
        <v>#DIV/0!</v>
      </c>
      <c r="AD53" s="856" t="e">
        <f t="shared" si="81"/>
        <v>#DIV/0!</v>
      </c>
      <c r="AE53" s="856" t="e">
        <f t="shared" si="82"/>
        <v>#DIV/0!</v>
      </c>
    </row>
    <row r="54" spans="1:115" ht="17.25" hidden="1" customHeight="1" outlineLevel="1" thickBot="1" x14ac:dyDescent="0.3">
      <c r="A54" s="1557"/>
      <c r="B54" s="1527" t="str">
        <f>IF(Language="English", 'Language Look Ups'!$O$10,IF(Language="Francais", 'Language Look Ups'!$S$10, 'Language Look Ups'!$Q$10))</f>
        <v>Implant</v>
      </c>
      <c r="C54" s="885" t="str">
        <f>IF(Language="English", 'Language Look Ups'!$P$10,IF(Language="Francais", 'Language Look Ups'!$T$10, 'Language Look Ups'!$R$10))</f>
        <v>Implant de 3 ans (Implanon, Levoplant)</v>
      </c>
      <c r="D54" s="886"/>
      <c r="E54" s="886"/>
      <c r="F54" s="887"/>
      <c r="G54" s="883" t="str">
        <f t="shared" si="76"/>
        <v/>
      </c>
      <c r="H54" s="883" t="str">
        <f t="shared" si="76"/>
        <v/>
      </c>
      <c r="I54" s="883" t="str">
        <f t="shared" si="76"/>
        <v/>
      </c>
      <c r="J54" s="883" t="str">
        <f t="shared" si="76"/>
        <v/>
      </c>
      <c r="K54" s="883" t="str">
        <f t="shared" si="76"/>
        <v/>
      </c>
      <c r="L54" s="883" t="str">
        <f t="shared" si="76"/>
        <v/>
      </c>
      <c r="M54" s="883" t="str">
        <f t="shared" si="76"/>
        <v/>
      </c>
      <c r="N54" s="883" t="str">
        <f t="shared" si="76"/>
        <v/>
      </c>
      <c r="O54" s="883" t="str">
        <f t="shared" si="76"/>
        <v/>
      </c>
      <c r="P54" s="883" t="str">
        <f t="shared" si="76"/>
        <v/>
      </c>
      <c r="Q54" s="883" t="str">
        <f t="shared" si="76"/>
        <v/>
      </c>
      <c r="R54" s="883" t="str">
        <f t="shared" si="76"/>
        <v/>
      </c>
      <c r="S54" s="883" t="str">
        <f t="shared" si="76"/>
        <v/>
      </c>
      <c r="T54" s="883" t="str">
        <f t="shared" si="76"/>
        <v/>
      </c>
      <c r="U54" s="883" t="str">
        <f t="shared" si="76"/>
        <v/>
      </c>
      <c r="V54" s="883" t="str">
        <f t="shared" si="76"/>
        <v/>
      </c>
      <c r="W54" s="884">
        <f t="shared" si="77"/>
        <v>0</v>
      </c>
      <c r="X54">
        <v>21</v>
      </c>
      <c r="Y54" t="str">
        <f>IF(W54&gt;0, HLOOKUP("OUTLIER", $G54:$V$75, X54, 0), "")</f>
        <v/>
      </c>
      <c r="AA54" s="148" t="str">
        <f t="shared" si="78"/>
        <v/>
      </c>
      <c r="AB54" s="856" t="e">
        <f t="shared" si="79"/>
        <v>#DIV/0!</v>
      </c>
      <c r="AC54" s="857" t="e">
        <f t="shared" si="80"/>
        <v>#DIV/0!</v>
      </c>
      <c r="AD54" s="856" t="e">
        <f t="shared" si="81"/>
        <v>#DIV/0!</v>
      </c>
      <c r="AE54" s="856" t="e">
        <f t="shared" si="82"/>
        <v>#DIV/0!</v>
      </c>
    </row>
    <row r="55" spans="1:115" ht="17.25" hidden="1" customHeight="1" outlineLevel="1" thickBot="1" x14ac:dyDescent="0.3">
      <c r="A55" s="1557"/>
      <c r="B55" s="1529"/>
      <c r="C55" s="891" t="str">
        <f>IF(Language="English", 'Language Look Ups'!$P$11,IF(Language="Francais", 'Language Look Ups'!$T$11, 'Language Look Ups'!$R$11))</f>
        <v>Implant de 4 ans (Sino-Implant)</v>
      </c>
      <c r="D55" s="892"/>
      <c r="E55" s="892"/>
      <c r="F55" s="893"/>
      <c r="G55" s="883" t="str">
        <f t="shared" si="76"/>
        <v/>
      </c>
      <c r="H55" s="883" t="str">
        <f t="shared" si="76"/>
        <v/>
      </c>
      <c r="I55" s="883" t="str">
        <f t="shared" si="76"/>
        <v/>
      </c>
      <c r="J55" s="883" t="str">
        <f t="shared" si="76"/>
        <v/>
      </c>
      <c r="K55" s="883" t="str">
        <f t="shared" si="76"/>
        <v/>
      </c>
      <c r="L55" s="883" t="str">
        <f t="shared" si="76"/>
        <v/>
      </c>
      <c r="M55" s="883" t="str">
        <f t="shared" si="76"/>
        <v/>
      </c>
      <c r="N55" s="883" t="str">
        <f t="shared" si="76"/>
        <v/>
      </c>
      <c r="O55" s="883" t="str">
        <f t="shared" si="76"/>
        <v/>
      </c>
      <c r="P55" s="883" t="str">
        <f t="shared" si="76"/>
        <v/>
      </c>
      <c r="Q55" s="883" t="str">
        <f t="shared" si="76"/>
        <v/>
      </c>
      <c r="R55" s="883" t="str">
        <f t="shared" si="76"/>
        <v/>
      </c>
      <c r="S55" s="883" t="str">
        <f t="shared" si="76"/>
        <v/>
      </c>
      <c r="T55" s="883" t="str">
        <f t="shared" si="76"/>
        <v/>
      </c>
      <c r="U55" s="883" t="str">
        <f t="shared" si="76"/>
        <v/>
      </c>
      <c r="V55" s="883" t="str">
        <f t="shared" si="76"/>
        <v/>
      </c>
      <c r="W55" s="884">
        <f t="shared" si="77"/>
        <v>0</v>
      </c>
      <c r="X55">
        <v>20</v>
      </c>
      <c r="Y55" t="str">
        <f>IF(W55&gt;0, HLOOKUP("OUTLIER", $G55:$V$75, X55, 0), "")</f>
        <v/>
      </c>
      <c r="AA55" s="148" t="str">
        <f t="shared" si="78"/>
        <v/>
      </c>
      <c r="AB55" s="856" t="e">
        <f t="shared" si="79"/>
        <v>#DIV/0!</v>
      </c>
      <c r="AC55" s="857" t="e">
        <f t="shared" si="80"/>
        <v>#DIV/0!</v>
      </c>
      <c r="AD55" s="856" t="e">
        <f t="shared" si="81"/>
        <v>#DIV/0!</v>
      </c>
      <c r="AE55" s="856" t="e">
        <f t="shared" si="82"/>
        <v>#DIV/0!</v>
      </c>
    </row>
    <row r="56" spans="1:115" ht="17.25" hidden="1" customHeight="1" outlineLevel="1" thickBot="1" x14ac:dyDescent="0.3">
      <c r="A56" s="1557"/>
      <c r="B56" s="1528"/>
      <c r="C56" s="888" t="str">
        <f>IF(Language="English", 'Language Look Ups'!$P$12,IF(Language="Francais", 'Language Look Ups'!$T$12, 'Language Look Ups'!$R$12))</f>
        <v>Implant de 5 ans (Jadelle)</v>
      </c>
      <c r="D56" s="889"/>
      <c r="E56" s="889"/>
      <c r="F56" s="890"/>
      <c r="G56" s="883" t="str">
        <f t="shared" si="76"/>
        <v/>
      </c>
      <c r="H56" s="883" t="str">
        <f t="shared" si="76"/>
        <v/>
      </c>
      <c r="I56" s="883" t="str">
        <f t="shared" si="76"/>
        <v/>
      </c>
      <c r="J56" s="883" t="str">
        <f t="shared" si="76"/>
        <v/>
      </c>
      <c r="K56" s="883" t="str">
        <f t="shared" si="76"/>
        <v/>
      </c>
      <c r="L56" s="883" t="str">
        <f t="shared" si="76"/>
        <v/>
      </c>
      <c r="M56" s="883" t="str">
        <f t="shared" si="76"/>
        <v/>
      </c>
      <c r="N56" s="883" t="str">
        <f t="shared" si="76"/>
        <v/>
      </c>
      <c r="O56" s="883" t="str">
        <f t="shared" si="76"/>
        <v/>
      </c>
      <c r="P56" s="883" t="str">
        <f t="shared" si="76"/>
        <v/>
      </c>
      <c r="Q56" s="883" t="str">
        <f t="shared" si="76"/>
        <v/>
      </c>
      <c r="R56" s="883" t="str">
        <f t="shared" si="76"/>
        <v/>
      </c>
      <c r="S56" s="883" t="str">
        <f t="shared" si="76"/>
        <v/>
      </c>
      <c r="T56" s="883" t="str">
        <f t="shared" si="76"/>
        <v/>
      </c>
      <c r="U56" s="883" t="str">
        <f t="shared" si="76"/>
        <v/>
      </c>
      <c r="V56" s="883" t="str">
        <f t="shared" si="76"/>
        <v/>
      </c>
      <c r="W56" s="884">
        <f t="shared" si="77"/>
        <v>0</v>
      </c>
      <c r="X56">
        <v>19</v>
      </c>
      <c r="Y56" t="str">
        <f>IF(W56&gt;0, HLOOKUP("OUTLIER", $G56:$V$75, X56, 0), "")</f>
        <v/>
      </c>
      <c r="AA56" s="148" t="str">
        <f t="shared" si="78"/>
        <v/>
      </c>
      <c r="AB56" s="856" t="e">
        <f t="shared" si="79"/>
        <v>#DIV/0!</v>
      </c>
      <c r="AC56" s="857" t="e">
        <f t="shared" si="80"/>
        <v>#DIV/0!</v>
      </c>
      <c r="AD56" s="856" t="e">
        <f t="shared" si="81"/>
        <v>#DIV/0!</v>
      </c>
      <c r="AE56" s="856" t="e">
        <f t="shared" si="82"/>
        <v>#DIV/0!</v>
      </c>
    </row>
    <row r="57" spans="1:115" ht="6" hidden="1" customHeight="1" outlineLevel="1" thickBot="1" x14ac:dyDescent="0.3">
      <c r="A57" s="1557"/>
      <c r="B57" s="150"/>
      <c r="C57" s="279"/>
      <c r="W57" s="858"/>
      <c r="X57">
        <v>18</v>
      </c>
      <c r="Y57" t="str">
        <f>IF(W57&gt;0, HLOOKUP("OUTLIER", $G57:$V$75, X57, 0), "")</f>
        <v/>
      </c>
      <c r="AA57" s="148" t="str">
        <f t="shared" si="78"/>
        <v/>
      </c>
      <c r="AB57" s="856"/>
      <c r="AC57" s="857" t="e">
        <f t="shared" si="80"/>
        <v>#DIV/0!</v>
      </c>
      <c r="AD57" s="856"/>
      <c r="AE57" s="856"/>
    </row>
    <row r="58" spans="1:115" ht="21.75" hidden="1" customHeight="1" outlineLevel="1" thickBot="1" x14ac:dyDescent="0.3">
      <c r="A58" s="1557"/>
      <c r="B58" s="364" t="str">
        <f>IF(Language="English", 'Language Look Ups'!$O$14,IF(Language="Francais", 'Language Look Ups'!$S$14, 'Language Look Ups'!$Q$14))</f>
        <v>Méthodes à Court Terme</v>
      </c>
      <c r="C58" s="104"/>
      <c r="D58" s="51"/>
      <c r="E58" s="50"/>
      <c r="F58" s="42"/>
      <c r="G58" s="158"/>
      <c r="H58" s="159"/>
      <c r="I58" s="158"/>
      <c r="J58" s="159"/>
      <c r="K58" s="158"/>
      <c r="L58" s="159"/>
      <c r="M58" s="158"/>
      <c r="N58" s="159"/>
      <c r="O58" s="158"/>
      <c r="P58" s="159"/>
      <c r="Q58" s="158"/>
      <c r="R58" s="159"/>
      <c r="S58" s="158"/>
      <c r="T58" s="159"/>
      <c r="U58" s="158"/>
      <c r="V58" s="160"/>
      <c r="W58" s="858">
        <f t="shared" si="77"/>
        <v>0</v>
      </c>
      <c r="X58">
        <v>17</v>
      </c>
      <c r="Y58" t="str">
        <f>IF(W58&gt;0, HLOOKUP("OUTLIER", $G58:$V$75, X58, 0), "")</f>
        <v/>
      </c>
      <c r="AA58" s="148" t="str">
        <f t="shared" si="78"/>
        <v/>
      </c>
      <c r="AB58" s="856"/>
      <c r="AC58" s="857" t="e">
        <f t="shared" si="80"/>
        <v>#DIV/0!</v>
      </c>
      <c r="AD58" s="856"/>
      <c r="AE58" s="856"/>
      <c r="BJ58" s="1082" t="s">
        <v>1223</v>
      </c>
      <c r="BK58" s="1083">
        <f>BK21</f>
        <v>0</v>
      </c>
      <c r="BL58" s="1083" t="str">
        <f t="shared" ref="BL58:BZ58" si="83">BL21</f>
        <v/>
      </c>
      <c r="BM58" s="1083" t="str">
        <f t="shared" si="83"/>
        <v/>
      </c>
      <c r="BN58" s="1083" t="str">
        <f t="shared" si="83"/>
        <v/>
      </c>
      <c r="BO58" s="1083" t="str">
        <f t="shared" si="83"/>
        <v/>
      </c>
      <c r="BP58" s="1083" t="str">
        <f t="shared" si="83"/>
        <v/>
      </c>
      <c r="BQ58" s="1083" t="str">
        <f t="shared" si="83"/>
        <v/>
      </c>
      <c r="BR58" s="1083" t="str">
        <f t="shared" si="83"/>
        <v/>
      </c>
      <c r="BS58" s="1083" t="str">
        <f t="shared" si="83"/>
        <v/>
      </c>
      <c r="BT58" s="1083" t="str">
        <f t="shared" si="83"/>
        <v/>
      </c>
      <c r="BU58" s="1083" t="str">
        <f t="shared" si="83"/>
        <v/>
      </c>
      <c r="BV58" s="1083" t="str">
        <f t="shared" si="83"/>
        <v/>
      </c>
      <c r="BW58" s="1083" t="str">
        <f t="shared" si="83"/>
        <v/>
      </c>
      <c r="BX58" s="1083" t="str">
        <f t="shared" si="83"/>
        <v/>
      </c>
      <c r="BY58" s="1083" t="str">
        <f t="shared" si="83"/>
        <v/>
      </c>
      <c r="BZ58" s="1084" t="str">
        <f t="shared" si="83"/>
        <v/>
      </c>
      <c r="CB58" s="1082" t="s">
        <v>1233</v>
      </c>
      <c r="CC58" s="1083">
        <f>CC21</f>
        <v>0</v>
      </c>
      <c r="CD58" s="1083" t="str">
        <f t="shared" ref="CD58:CR58" si="84">CD21</f>
        <v/>
      </c>
      <c r="CE58" s="1083" t="str">
        <f t="shared" si="84"/>
        <v/>
      </c>
      <c r="CF58" s="1083" t="str">
        <f t="shared" si="84"/>
        <v/>
      </c>
      <c r="CG58" s="1083" t="str">
        <f t="shared" si="84"/>
        <v/>
      </c>
      <c r="CH58" s="1083" t="str">
        <f t="shared" si="84"/>
        <v/>
      </c>
      <c r="CI58" s="1083" t="str">
        <f t="shared" si="84"/>
        <v/>
      </c>
      <c r="CJ58" s="1083" t="str">
        <f t="shared" si="84"/>
        <v/>
      </c>
      <c r="CK58" s="1083" t="str">
        <f t="shared" si="84"/>
        <v/>
      </c>
      <c r="CL58" s="1083" t="str">
        <f t="shared" si="84"/>
        <v/>
      </c>
      <c r="CM58" s="1083" t="str">
        <f t="shared" si="84"/>
        <v/>
      </c>
      <c r="CN58" s="1083" t="str">
        <f t="shared" si="84"/>
        <v/>
      </c>
      <c r="CO58" s="1083" t="str">
        <f t="shared" si="84"/>
        <v/>
      </c>
      <c r="CP58" s="1083" t="str">
        <f t="shared" si="84"/>
        <v/>
      </c>
      <c r="CQ58" s="1083" t="str">
        <f t="shared" si="84"/>
        <v/>
      </c>
      <c r="CR58" s="1084" t="str">
        <f t="shared" si="84"/>
        <v/>
      </c>
    </row>
    <row r="59" spans="1:115" ht="17.25" hidden="1" customHeight="1" outlineLevel="1" thickBot="1" x14ac:dyDescent="0.3">
      <c r="A59" s="1557"/>
      <c r="B59" s="1530" t="str">
        <f>IF(Language="English", 'Language Look Ups'!$O$15,IF(Language="Francais", 'Language Look Ups'!$S$15, 'Language Look Ups'!Q$15))</f>
        <v>Produits injectables</v>
      </c>
      <c r="C59" s="885" t="str">
        <f>IF(Language="English", 'Language Look Ups'!$P$15,IF(Language="Francais", 'Language Look Ups'!$T$15, 'Language Look Ups'!$R$15))</f>
        <v>Depo Provera (DMPA)</v>
      </c>
      <c r="D59" s="886"/>
      <c r="E59" s="886"/>
      <c r="F59" s="887"/>
      <c r="G59" s="883" t="str">
        <f t="shared" ref="G59:V74" si="85">IF(G32="", "", IF(OR(G32&gt;$AD59, G32&lt;$AE59), G$21&amp;",", ""))</f>
        <v/>
      </c>
      <c r="H59" s="883" t="str">
        <f t="shared" si="85"/>
        <v/>
      </c>
      <c r="I59" s="883" t="str">
        <f t="shared" si="85"/>
        <v/>
      </c>
      <c r="J59" s="883" t="str">
        <f t="shared" si="85"/>
        <v/>
      </c>
      <c r="K59" s="883" t="str">
        <f t="shared" si="85"/>
        <v/>
      </c>
      <c r="L59" s="883" t="str">
        <f t="shared" si="85"/>
        <v/>
      </c>
      <c r="M59" s="883" t="str">
        <f t="shared" si="85"/>
        <v/>
      </c>
      <c r="N59" s="883" t="str">
        <f t="shared" si="85"/>
        <v/>
      </c>
      <c r="O59" s="883" t="str">
        <f t="shared" si="85"/>
        <v/>
      </c>
      <c r="P59" s="883" t="str">
        <f t="shared" si="85"/>
        <v/>
      </c>
      <c r="Q59" s="883" t="str">
        <f t="shared" si="85"/>
        <v/>
      </c>
      <c r="R59" s="883" t="str">
        <f t="shared" si="85"/>
        <v/>
      </c>
      <c r="S59" s="883" t="str">
        <f t="shared" si="85"/>
        <v/>
      </c>
      <c r="T59" s="883" t="str">
        <f t="shared" si="85"/>
        <v/>
      </c>
      <c r="U59" s="883" t="str">
        <f t="shared" si="85"/>
        <v/>
      </c>
      <c r="V59" s="883" t="str">
        <f t="shared" si="85"/>
        <v/>
      </c>
      <c r="W59" s="884">
        <f t="shared" si="77"/>
        <v>0</v>
      </c>
      <c r="X59">
        <v>16</v>
      </c>
      <c r="Y59" t="str">
        <f>IF(W59&gt;0, HLOOKUP("OUTLIER", $G59:$V$75, X59, 0), "")</f>
        <v/>
      </c>
      <c r="AA59" s="148" t="str">
        <f t="shared" si="78"/>
        <v/>
      </c>
      <c r="AB59" s="856" t="e">
        <f t="shared" si="79"/>
        <v>#DIV/0!</v>
      </c>
      <c r="AC59" s="857" t="e">
        <f t="shared" si="80"/>
        <v>#DIV/0!</v>
      </c>
      <c r="AD59" s="856" t="e">
        <f t="shared" si="81"/>
        <v>#DIV/0!</v>
      </c>
      <c r="AE59" s="856" t="e">
        <f t="shared" si="82"/>
        <v>#DIV/0!</v>
      </c>
      <c r="BJ59" s="915" t="str">
        <f>'5. MethodMix Set Up'!$G$12</f>
        <v>Stérilisation (f)</v>
      </c>
      <c r="BK59" s="2">
        <f>SUM(BK23)</f>
        <v>0</v>
      </c>
      <c r="BL59" s="2">
        <f t="shared" ref="BL59:BZ60" si="86">SUM(BL23)</f>
        <v>0</v>
      </c>
      <c r="BM59" s="2">
        <f t="shared" si="86"/>
        <v>0</v>
      </c>
      <c r="BN59" s="2">
        <f t="shared" si="86"/>
        <v>0</v>
      </c>
      <c r="BO59" s="2">
        <f t="shared" si="86"/>
        <v>0</v>
      </c>
      <c r="BP59" s="2">
        <f t="shared" si="86"/>
        <v>0</v>
      </c>
      <c r="BQ59" s="2">
        <f t="shared" si="86"/>
        <v>0</v>
      </c>
      <c r="BR59" s="2">
        <f t="shared" si="86"/>
        <v>0</v>
      </c>
      <c r="BS59" s="2">
        <f t="shared" si="86"/>
        <v>0</v>
      </c>
      <c r="BT59" s="2">
        <f t="shared" si="86"/>
        <v>0</v>
      </c>
      <c r="BU59" s="2">
        <f t="shared" si="86"/>
        <v>0</v>
      </c>
      <c r="BV59" s="2">
        <f t="shared" si="86"/>
        <v>0</v>
      </c>
      <c r="BW59" s="2">
        <f t="shared" si="86"/>
        <v>0</v>
      </c>
      <c r="BX59" s="2">
        <f t="shared" si="86"/>
        <v>0</v>
      </c>
      <c r="BY59" s="2">
        <f t="shared" si="86"/>
        <v>0</v>
      </c>
      <c r="BZ59" s="2">
        <f t="shared" si="86"/>
        <v>0</v>
      </c>
      <c r="CB59" s="915" t="str">
        <f>'5. MethodMix Set Up'!$G$12</f>
        <v>Stérilisation (f)</v>
      </c>
      <c r="CC59" s="2">
        <f>SUM(CC23)</f>
        <v>0</v>
      </c>
      <c r="CD59" s="2">
        <f t="shared" ref="CD59:CR60" si="87">SUM(CD23)</f>
        <v>0</v>
      </c>
      <c r="CE59" s="2">
        <f t="shared" si="87"/>
        <v>0</v>
      </c>
      <c r="CF59" s="2">
        <f t="shared" si="87"/>
        <v>0</v>
      </c>
      <c r="CG59" s="2">
        <f t="shared" si="87"/>
        <v>0</v>
      </c>
      <c r="CH59" s="2">
        <f t="shared" si="87"/>
        <v>0</v>
      </c>
      <c r="CI59" s="2">
        <f t="shared" si="87"/>
        <v>0</v>
      </c>
      <c r="CJ59" s="2">
        <f t="shared" si="87"/>
        <v>0</v>
      </c>
      <c r="CK59" s="2">
        <f t="shared" si="87"/>
        <v>0</v>
      </c>
      <c r="CL59" s="2">
        <f t="shared" si="87"/>
        <v>0</v>
      </c>
      <c r="CM59" s="2">
        <f t="shared" si="87"/>
        <v>0</v>
      </c>
      <c r="CN59" s="2">
        <f t="shared" si="87"/>
        <v>0</v>
      </c>
      <c r="CO59" s="2">
        <f t="shared" si="87"/>
        <v>0</v>
      </c>
      <c r="CP59" s="2">
        <f t="shared" si="87"/>
        <v>0</v>
      </c>
      <c r="CQ59" s="2">
        <f t="shared" si="87"/>
        <v>0</v>
      </c>
      <c r="CR59" s="2">
        <f t="shared" si="87"/>
        <v>0</v>
      </c>
    </row>
    <row r="60" spans="1:115" ht="17.25" hidden="1" customHeight="1" outlineLevel="1" thickBot="1" x14ac:dyDescent="0.3">
      <c r="A60" s="1557"/>
      <c r="B60" s="1531"/>
      <c r="C60" s="891" t="str">
        <f>IF(Language="English", 'Language Look Ups'!$P$16,IF(Language="Francais", 'Language Look Ups'!$T$16, 'Language Look Ups'!$R$16))</f>
        <v>Noristerat (NET-En)</v>
      </c>
      <c r="D60" s="892"/>
      <c r="E60" s="892"/>
      <c r="F60" s="893"/>
      <c r="G60" s="883" t="str">
        <f t="shared" si="85"/>
        <v/>
      </c>
      <c r="H60" s="883" t="str">
        <f t="shared" si="85"/>
        <v/>
      </c>
      <c r="I60" s="883" t="str">
        <f t="shared" si="85"/>
        <v/>
      </c>
      <c r="J60" s="883" t="str">
        <f t="shared" si="85"/>
        <v/>
      </c>
      <c r="K60" s="883" t="str">
        <f t="shared" si="85"/>
        <v/>
      </c>
      <c r="L60" s="883" t="str">
        <f t="shared" si="85"/>
        <v/>
      </c>
      <c r="M60" s="883" t="str">
        <f t="shared" si="85"/>
        <v/>
      </c>
      <c r="N60" s="883" t="str">
        <f t="shared" si="85"/>
        <v/>
      </c>
      <c r="O60" s="883" t="str">
        <f t="shared" si="85"/>
        <v/>
      </c>
      <c r="P60" s="883" t="str">
        <f t="shared" si="85"/>
        <v/>
      </c>
      <c r="Q60" s="883" t="str">
        <f t="shared" si="85"/>
        <v/>
      </c>
      <c r="R60" s="883" t="str">
        <f t="shared" si="85"/>
        <v/>
      </c>
      <c r="S60" s="883" t="str">
        <f t="shared" si="85"/>
        <v/>
      </c>
      <c r="T60" s="883" t="str">
        <f t="shared" si="85"/>
        <v/>
      </c>
      <c r="U60" s="883" t="str">
        <f t="shared" si="85"/>
        <v/>
      </c>
      <c r="V60" s="883" t="str">
        <f t="shared" si="85"/>
        <v/>
      </c>
      <c r="W60" s="884">
        <f t="shared" si="77"/>
        <v>0</v>
      </c>
      <c r="X60">
        <v>15</v>
      </c>
      <c r="Y60" t="str">
        <f>IF(W60&gt;0, HLOOKUP("OUTLIER", $G60:$V$75, X60, 0), "")</f>
        <v/>
      </c>
      <c r="AA60" s="148" t="str">
        <f t="shared" si="78"/>
        <v/>
      </c>
      <c r="AB60" s="856" t="e">
        <f t="shared" si="79"/>
        <v>#DIV/0!</v>
      </c>
      <c r="AC60" s="857" t="e">
        <f t="shared" si="80"/>
        <v>#DIV/0!</v>
      </c>
      <c r="AD60" s="856" t="e">
        <f t="shared" si="81"/>
        <v>#DIV/0!</v>
      </c>
      <c r="AE60" s="856" t="e">
        <f t="shared" si="82"/>
        <v>#DIV/0!</v>
      </c>
      <c r="BJ60" s="915" t="str">
        <f>'5. MethodMix Set Up'!$G$13</f>
        <v>Stérilisation (m)</v>
      </c>
      <c r="BK60" s="2">
        <f>SUM(BK24)</f>
        <v>0</v>
      </c>
      <c r="BL60" s="2">
        <f t="shared" si="86"/>
        <v>0</v>
      </c>
      <c r="BM60" s="2">
        <f t="shared" si="86"/>
        <v>0</v>
      </c>
      <c r="BN60" s="2">
        <f t="shared" si="86"/>
        <v>0</v>
      </c>
      <c r="BO60" s="2">
        <f t="shared" si="86"/>
        <v>0</v>
      </c>
      <c r="BP60" s="2">
        <f t="shared" si="86"/>
        <v>0</v>
      </c>
      <c r="BQ60" s="2">
        <f t="shared" si="86"/>
        <v>0</v>
      </c>
      <c r="BR60" s="2">
        <f t="shared" si="86"/>
        <v>0</v>
      </c>
      <c r="BS60" s="2">
        <f t="shared" si="86"/>
        <v>0</v>
      </c>
      <c r="BT60" s="2">
        <f t="shared" si="86"/>
        <v>0</v>
      </c>
      <c r="BU60" s="2">
        <f t="shared" si="86"/>
        <v>0</v>
      </c>
      <c r="BV60" s="2">
        <f t="shared" si="86"/>
        <v>0</v>
      </c>
      <c r="BW60" s="2">
        <f t="shared" si="86"/>
        <v>0</v>
      </c>
      <c r="BX60" s="2">
        <f t="shared" si="86"/>
        <v>0</v>
      </c>
      <c r="BY60" s="2">
        <f t="shared" si="86"/>
        <v>0</v>
      </c>
      <c r="BZ60" s="2">
        <f t="shared" si="86"/>
        <v>0</v>
      </c>
      <c r="CB60" s="915" t="str">
        <f>'5. MethodMix Set Up'!$G$13</f>
        <v>Stérilisation (m)</v>
      </c>
      <c r="CC60" s="2">
        <f>SUM(CC24)</f>
        <v>0</v>
      </c>
      <c r="CD60" s="2">
        <f t="shared" si="87"/>
        <v>0</v>
      </c>
      <c r="CE60" s="2">
        <f t="shared" si="87"/>
        <v>0</v>
      </c>
      <c r="CF60" s="2">
        <f t="shared" si="87"/>
        <v>0</v>
      </c>
      <c r="CG60" s="2">
        <f t="shared" si="87"/>
        <v>0</v>
      </c>
      <c r="CH60" s="2">
        <f t="shared" si="87"/>
        <v>0</v>
      </c>
      <c r="CI60" s="2">
        <f t="shared" si="87"/>
        <v>0</v>
      </c>
      <c r="CJ60" s="2">
        <f t="shared" si="87"/>
        <v>0</v>
      </c>
      <c r="CK60" s="2">
        <f t="shared" si="87"/>
        <v>0</v>
      </c>
      <c r="CL60" s="2">
        <f t="shared" si="87"/>
        <v>0</v>
      </c>
      <c r="CM60" s="2">
        <f t="shared" si="87"/>
        <v>0</v>
      </c>
      <c r="CN60" s="2">
        <f t="shared" si="87"/>
        <v>0</v>
      </c>
      <c r="CO60" s="2">
        <f t="shared" si="87"/>
        <v>0</v>
      </c>
      <c r="CP60" s="2">
        <f t="shared" si="87"/>
        <v>0</v>
      </c>
      <c r="CQ60" s="2">
        <f t="shared" si="87"/>
        <v>0</v>
      </c>
      <c r="CR60" s="2">
        <f t="shared" si="87"/>
        <v>0</v>
      </c>
    </row>
    <row r="61" spans="1:115" ht="17.25" hidden="1" customHeight="1" outlineLevel="1" thickBot="1" x14ac:dyDescent="0.3">
      <c r="A61" s="1557"/>
      <c r="B61" s="1531"/>
      <c r="C61" s="891" t="str">
        <f>IF(Language="English",'Language Look Ups'!$P$17,IF(Language="Francais",'Language Look Ups'!$T$17,'Language Look Ups'!$R$17))</f>
        <v>Lunelle</v>
      </c>
      <c r="D61" s="892"/>
      <c r="E61" s="892"/>
      <c r="F61" s="893"/>
      <c r="G61" s="883" t="str">
        <f t="shared" si="85"/>
        <v/>
      </c>
      <c r="H61" s="883" t="str">
        <f t="shared" si="85"/>
        <v/>
      </c>
      <c r="I61" s="883" t="str">
        <f t="shared" si="85"/>
        <v/>
      </c>
      <c r="J61" s="883" t="str">
        <f t="shared" si="85"/>
        <v/>
      </c>
      <c r="K61" s="883" t="str">
        <f t="shared" si="85"/>
        <v/>
      </c>
      <c r="L61" s="883" t="str">
        <f t="shared" si="85"/>
        <v/>
      </c>
      <c r="M61" s="883" t="str">
        <f t="shared" si="85"/>
        <v/>
      </c>
      <c r="N61" s="883" t="str">
        <f t="shared" si="85"/>
        <v/>
      </c>
      <c r="O61" s="883" t="str">
        <f t="shared" si="85"/>
        <v/>
      </c>
      <c r="P61" s="883" t="str">
        <f t="shared" si="85"/>
        <v/>
      </c>
      <c r="Q61" s="883" t="str">
        <f t="shared" si="85"/>
        <v/>
      </c>
      <c r="R61" s="883" t="str">
        <f t="shared" si="85"/>
        <v/>
      </c>
      <c r="S61" s="883" t="str">
        <f t="shared" si="85"/>
        <v/>
      </c>
      <c r="T61" s="883" t="str">
        <f t="shared" si="85"/>
        <v/>
      </c>
      <c r="U61" s="883" t="str">
        <f t="shared" si="85"/>
        <v/>
      </c>
      <c r="V61" s="883" t="str">
        <f t="shared" si="85"/>
        <v/>
      </c>
      <c r="W61" s="884">
        <f t="shared" si="77"/>
        <v>0</v>
      </c>
      <c r="X61">
        <v>14</v>
      </c>
      <c r="Y61" t="str">
        <f>IF(W61&gt;0, HLOOKUP("OUTLIER", $G61:$V$75, X61, 0), "")</f>
        <v/>
      </c>
      <c r="AA61" s="148" t="str">
        <f t="shared" si="78"/>
        <v/>
      </c>
      <c r="AB61" s="856" t="e">
        <f t="shared" si="79"/>
        <v>#DIV/0!</v>
      </c>
      <c r="AC61" s="857" t="e">
        <f t="shared" si="80"/>
        <v>#DIV/0!</v>
      </c>
      <c r="AD61" s="856" t="e">
        <f t="shared" si="81"/>
        <v>#DIV/0!</v>
      </c>
      <c r="AE61" s="856" t="e">
        <f t="shared" si="82"/>
        <v>#DIV/0!</v>
      </c>
      <c r="BJ61" s="915" t="str">
        <f>'5. MethodMix Set Up'!$G$14</f>
        <v>DIU</v>
      </c>
      <c r="BK61" s="2">
        <f t="shared" ref="BK61:BZ61" si="88">SUM(BK25:BK26)</f>
        <v>0</v>
      </c>
      <c r="BL61" s="2">
        <f t="shared" si="88"/>
        <v>0</v>
      </c>
      <c r="BM61" s="2">
        <f t="shared" si="88"/>
        <v>0</v>
      </c>
      <c r="BN61" s="2">
        <f t="shared" si="88"/>
        <v>0</v>
      </c>
      <c r="BO61" s="2">
        <f t="shared" si="88"/>
        <v>0</v>
      </c>
      <c r="BP61" s="2">
        <f t="shared" si="88"/>
        <v>0</v>
      </c>
      <c r="BQ61" s="2">
        <f t="shared" si="88"/>
        <v>0</v>
      </c>
      <c r="BR61" s="2">
        <f t="shared" si="88"/>
        <v>0</v>
      </c>
      <c r="BS61" s="2">
        <f t="shared" si="88"/>
        <v>0</v>
      </c>
      <c r="BT61" s="2">
        <f t="shared" si="88"/>
        <v>0</v>
      </c>
      <c r="BU61" s="2">
        <f t="shared" si="88"/>
        <v>0</v>
      </c>
      <c r="BV61" s="2">
        <f t="shared" si="88"/>
        <v>0</v>
      </c>
      <c r="BW61" s="2">
        <f t="shared" si="88"/>
        <v>0</v>
      </c>
      <c r="BX61" s="2">
        <f t="shared" si="88"/>
        <v>0</v>
      </c>
      <c r="BY61" s="2">
        <f t="shared" si="88"/>
        <v>0</v>
      </c>
      <c r="BZ61" s="729">
        <f t="shared" si="88"/>
        <v>0</v>
      </c>
      <c r="CB61" s="915" t="str">
        <f>'5. MethodMix Set Up'!$G$14</f>
        <v>DIU</v>
      </c>
      <c r="CC61" s="2">
        <f t="shared" ref="CC61:CR61" si="89">SUM(CC25:CC26)</f>
        <v>0</v>
      </c>
      <c r="CD61" s="2">
        <f t="shared" si="89"/>
        <v>0</v>
      </c>
      <c r="CE61" s="2">
        <f t="shared" si="89"/>
        <v>0</v>
      </c>
      <c r="CF61" s="2">
        <f t="shared" si="89"/>
        <v>0</v>
      </c>
      <c r="CG61" s="2">
        <f t="shared" si="89"/>
        <v>0</v>
      </c>
      <c r="CH61" s="2">
        <f t="shared" si="89"/>
        <v>0</v>
      </c>
      <c r="CI61" s="2">
        <f t="shared" si="89"/>
        <v>0</v>
      </c>
      <c r="CJ61" s="2">
        <f t="shared" si="89"/>
        <v>0</v>
      </c>
      <c r="CK61" s="2">
        <f t="shared" si="89"/>
        <v>0</v>
      </c>
      <c r="CL61" s="2">
        <f t="shared" si="89"/>
        <v>0</v>
      </c>
      <c r="CM61" s="2">
        <f t="shared" si="89"/>
        <v>0</v>
      </c>
      <c r="CN61" s="2">
        <f t="shared" si="89"/>
        <v>0</v>
      </c>
      <c r="CO61" s="2">
        <f t="shared" si="89"/>
        <v>0</v>
      </c>
      <c r="CP61" s="2">
        <f t="shared" si="89"/>
        <v>0</v>
      </c>
      <c r="CQ61" s="2">
        <f t="shared" si="89"/>
        <v>0</v>
      </c>
      <c r="CR61" s="729">
        <f t="shared" si="89"/>
        <v>0</v>
      </c>
    </row>
    <row r="62" spans="1:115" ht="17.25" hidden="1" customHeight="1" outlineLevel="1" thickBot="1" x14ac:dyDescent="0.3">
      <c r="A62" s="1557"/>
      <c r="B62" s="1531"/>
      <c r="C62" s="891" t="str">
        <f>IF(Language="English", 'Language Look Ups'!$P$18,IF(Language="Francais", 'Language Look Ups'!$T$18, 'Language Look Ups'!$R$18))</f>
        <v>Sayana Press</v>
      </c>
      <c r="D62" s="892"/>
      <c r="E62" s="892"/>
      <c r="F62" s="893"/>
      <c r="G62" s="883" t="str">
        <f t="shared" si="85"/>
        <v/>
      </c>
      <c r="H62" s="883" t="str">
        <f t="shared" si="85"/>
        <v/>
      </c>
      <c r="I62" s="883" t="str">
        <f t="shared" si="85"/>
        <v/>
      </c>
      <c r="J62" s="883" t="str">
        <f t="shared" si="85"/>
        <v/>
      </c>
      <c r="K62" s="883" t="str">
        <f t="shared" si="85"/>
        <v/>
      </c>
      <c r="L62" s="883" t="str">
        <f t="shared" si="85"/>
        <v/>
      </c>
      <c r="M62" s="883" t="str">
        <f t="shared" si="85"/>
        <v/>
      </c>
      <c r="N62" s="883" t="str">
        <f t="shared" si="85"/>
        <v/>
      </c>
      <c r="O62" s="883" t="str">
        <f t="shared" si="85"/>
        <v/>
      </c>
      <c r="P62" s="883" t="str">
        <f t="shared" si="85"/>
        <v/>
      </c>
      <c r="Q62" s="883" t="str">
        <f t="shared" si="85"/>
        <v/>
      </c>
      <c r="R62" s="883" t="str">
        <f t="shared" si="85"/>
        <v/>
      </c>
      <c r="S62" s="883" t="str">
        <f t="shared" si="85"/>
        <v/>
      </c>
      <c r="T62" s="883" t="str">
        <f t="shared" si="85"/>
        <v/>
      </c>
      <c r="U62" s="883" t="str">
        <f t="shared" si="85"/>
        <v/>
      </c>
      <c r="V62" s="883" t="str">
        <f t="shared" si="85"/>
        <v/>
      </c>
      <c r="W62" s="884">
        <f t="shared" si="77"/>
        <v>0</v>
      </c>
      <c r="X62">
        <v>13</v>
      </c>
      <c r="Y62" t="str">
        <f>IF(W62&gt;0, HLOOKUP("OUTLIER", $G62:$V$75, X62, 0), "")</f>
        <v/>
      </c>
      <c r="AA62" s="148" t="str">
        <f t="shared" si="78"/>
        <v/>
      </c>
      <c r="AB62" s="856" t="e">
        <f t="shared" si="79"/>
        <v>#DIV/0!</v>
      </c>
      <c r="AC62" s="857" t="e">
        <f t="shared" si="80"/>
        <v>#DIV/0!</v>
      </c>
      <c r="AD62" s="856" t="e">
        <f t="shared" si="81"/>
        <v>#DIV/0!</v>
      </c>
      <c r="AE62" s="856" t="e">
        <f t="shared" si="82"/>
        <v>#DIV/0!</v>
      </c>
      <c r="BJ62" s="915" t="str">
        <f>'5. MethodMix Set Up'!$G$15</f>
        <v>Implant</v>
      </c>
      <c r="BK62" s="2">
        <f t="shared" ref="BK62:BZ62" si="90">SUM(BK27:BK29)</f>
        <v>0</v>
      </c>
      <c r="BL62" s="2">
        <f t="shared" si="90"/>
        <v>0</v>
      </c>
      <c r="BM62" s="2">
        <f t="shared" si="90"/>
        <v>0</v>
      </c>
      <c r="BN62" s="2">
        <f t="shared" si="90"/>
        <v>0</v>
      </c>
      <c r="BO62" s="2">
        <f t="shared" si="90"/>
        <v>0</v>
      </c>
      <c r="BP62" s="2">
        <f t="shared" si="90"/>
        <v>0</v>
      </c>
      <c r="BQ62" s="2">
        <f t="shared" si="90"/>
        <v>0</v>
      </c>
      <c r="BR62" s="2">
        <f t="shared" si="90"/>
        <v>0</v>
      </c>
      <c r="BS62" s="2">
        <f t="shared" si="90"/>
        <v>0</v>
      </c>
      <c r="BT62" s="2">
        <f t="shared" si="90"/>
        <v>0</v>
      </c>
      <c r="BU62" s="2">
        <f t="shared" si="90"/>
        <v>0</v>
      </c>
      <c r="BV62" s="2">
        <f t="shared" si="90"/>
        <v>0</v>
      </c>
      <c r="BW62" s="2">
        <f t="shared" si="90"/>
        <v>0</v>
      </c>
      <c r="BX62" s="2">
        <f t="shared" si="90"/>
        <v>0</v>
      </c>
      <c r="BY62" s="2">
        <f t="shared" si="90"/>
        <v>0</v>
      </c>
      <c r="BZ62" s="729">
        <f t="shared" si="90"/>
        <v>0</v>
      </c>
      <c r="CB62" s="915" t="str">
        <f>'5. MethodMix Set Up'!$G$15</f>
        <v>Implant</v>
      </c>
      <c r="CC62" s="2">
        <f t="shared" ref="CC62:CR62" si="91">SUM(CC27:CC29)</f>
        <v>0</v>
      </c>
      <c r="CD62" s="2">
        <f t="shared" si="91"/>
        <v>0</v>
      </c>
      <c r="CE62" s="2">
        <f t="shared" si="91"/>
        <v>0</v>
      </c>
      <c r="CF62" s="2">
        <f t="shared" si="91"/>
        <v>0</v>
      </c>
      <c r="CG62" s="2">
        <f t="shared" si="91"/>
        <v>0</v>
      </c>
      <c r="CH62" s="2">
        <f t="shared" si="91"/>
        <v>0</v>
      </c>
      <c r="CI62" s="2">
        <f t="shared" si="91"/>
        <v>0</v>
      </c>
      <c r="CJ62" s="2">
        <f t="shared" si="91"/>
        <v>0</v>
      </c>
      <c r="CK62" s="2">
        <f t="shared" si="91"/>
        <v>0</v>
      </c>
      <c r="CL62" s="2">
        <f t="shared" si="91"/>
        <v>0</v>
      </c>
      <c r="CM62" s="2">
        <f t="shared" si="91"/>
        <v>0</v>
      </c>
      <c r="CN62" s="2">
        <f t="shared" si="91"/>
        <v>0</v>
      </c>
      <c r="CO62" s="2">
        <f t="shared" si="91"/>
        <v>0</v>
      </c>
      <c r="CP62" s="2">
        <f t="shared" si="91"/>
        <v>0</v>
      </c>
      <c r="CQ62" s="2">
        <f t="shared" si="91"/>
        <v>0</v>
      </c>
      <c r="CR62" s="729">
        <f t="shared" si="91"/>
        <v>0</v>
      </c>
    </row>
    <row r="63" spans="1:115" ht="17.25" hidden="1" customHeight="1" outlineLevel="1" thickBot="1" x14ac:dyDescent="0.3">
      <c r="A63" s="1557"/>
      <c r="B63" s="1532"/>
      <c r="C63" s="888" t="str">
        <f>IF(Language="English", 'Language Look Ups'!$P$19,IF(Language="Francais", 'Language Look Ups'!$T$19, 'Language Look Ups'!$R$19))</f>
        <v>Autre Injectable</v>
      </c>
      <c r="D63" s="889"/>
      <c r="E63" s="889"/>
      <c r="F63" s="890"/>
      <c r="G63" s="883" t="str">
        <f t="shared" si="85"/>
        <v/>
      </c>
      <c r="H63" s="883" t="str">
        <f t="shared" si="85"/>
        <v/>
      </c>
      <c r="I63" s="883" t="str">
        <f t="shared" si="85"/>
        <v/>
      </c>
      <c r="J63" s="883" t="str">
        <f t="shared" si="85"/>
        <v/>
      </c>
      <c r="K63" s="883" t="str">
        <f t="shared" si="85"/>
        <v/>
      </c>
      <c r="L63" s="883" t="str">
        <f t="shared" si="85"/>
        <v/>
      </c>
      <c r="M63" s="883" t="str">
        <f t="shared" si="85"/>
        <v/>
      </c>
      <c r="N63" s="883" t="str">
        <f t="shared" si="85"/>
        <v/>
      </c>
      <c r="O63" s="883" t="str">
        <f t="shared" si="85"/>
        <v/>
      </c>
      <c r="P63" s="883" t="str">
        <f t="shared" si="85"/>
        <v/>
      </c>
      <c r="Q63" s="883" t="str">
        <f t="shared" si="85"/>
        <v/>
      </c>
      <c r="R63" s="883" t="str">
        <f t="shared" si="85"/>
        <v/>
      </c>
      <c r="S63" s="883" t="str">
        <f t="shared" si="85"/>
        <v/>
      </c>
      <c r="T63" s="883" t="str">
        <f t="shared" si="85"/>
        <v/>
      </c>
      <c r="U63" s="883" t="str">
        <f t="shared" si="85"/>
        <v/>
      </c>
      <c r="V63" s="883" t="str">
        <f t="shared" si="85"/>
        <v/>
      </c>
      <c r="W63" s="884">
        <f t="shared" si="77"/>
        <v>0</v>
      </c>
      <c r="X63">
        <v>12</v>
      </c>
      <c r="Y63" t="str">
        <f>IF(W63&gt;0, HLOOKUP("OUTLIER", $G63:$V$75, X63, 0), "")</f>
        <v/>
      </c>
      <c r="AA63" s="148" t="str">
        <f t="shared" si="78"/>
        <v/>
      </c>
      <c r="AB63" s="856" t="e">
        <f t="shared" si="79"/>
        <v>#DIV/0!</v>
      </c>
      <c r="AC63" s="857" t="e">
        <f t="shared" si="80"/>
        <v>#DIV/0!</v>
      </c>
      <c r="AD63" s="856" t="e">
        <f t="shared" si="81"/>
        <v>#DIV/0!</v>
      </c>
      <c r="AE63" s="856" t="e">
        <f t="shared" si="82"/>
        <v>#DIV/0!</v>
      </c>
      <c r="BJ63" s="915" t="str">
        <f>'5. MethodMix Set Up'!$G$16</f>
        <v>Produits injectables</v>
      </c>
      <c r="BK63" s="2">
        <f t="shared" ref="BK63:BZ63" si="92">SUM(BK32:BK36)</f>
        <v>0</v>
      </c>
      <c r="BL63" s="2">
        <f t="shared" si="92"/>
        <v>0</v>
      </c>
      <c r="BM63" s="2">
        <f t="shared" si="92"/>
        <v>0</v>
      </c>
      <c r="BN63" s="2">
        <f t="shared" si="92"/>
        <v>0</v>
      </c>
      <c r="BO63" s="2">
        <f t="shared" si="92"/>
        <v>0</v>
      </c>
      <c r="BP63" s="2">
        <f t="shared" si="92"/>
        <v>0</v>
      </c>
      <c r="BQ63" s="2">
        <f t="shared" si="92"/>
        <v>0</v>
      </c>
      <c r="BR63" s="2">
        <f t="shared" si="92"/>
        <v>0</v>
      </c>
      <c r="BS63" s="2">
        <f t="shared" si="92"/>
        <v>0</v>
      </c>
      <c r="BT63" s="2">
        <f t="shared" si="92"/>
        <v>0</v>
      </c>
      <c r="BU63" s="2">
        <f t="shared" si="92"/>
        <v>0</v>
      </c>
      <c r="BV63" s="2">
        <f t="shared" si="92"/>
        <v>0</v>
      </c>
      <c r="BW63" s="2">
        <f t="shared" si="92"/>
        <v>0</v>
      </c>
      <c r="BX63" s="2">
        <f t="shared" si="92"/>
        <v>0</v>
      </c>
      <c r="BY63" s="2">
        <f t="shared" si="92"/>
        <v>0</v>
      </c>
      <c r="BZ63" s="729">
        <f t="shared" si="92"/>
        <v>0</v>
      </c>
      <c r="CB63" s="915" t="str">
        <f>'5. MethodMix Set Up'!$G$16</f>
        <v>Produits injectables</v>
      </c>
      <c r="CC63" s="2">
        <f t="shared" ref="CC63:CR63" si="93">SUM(CC32:CC36)</f>
        <v>0</v>
      </c>
      <c r="CD63" s="2">
        <f t="shared" si="93"/>
        <v>0</v>
      </c>
      <c r="CE63" s="2">
        <f t="shared" si="93"/>
        <v>0</v>
      </c>
      <c r="CF63" s="2">
        <f t="shared" si="93"/>
        <v>0</v>
      </c>
      <c r="CG63" s="2">
        <f t="shared" si="93"/>
        <v>0</v>
      </c>
      <c r="CH63" s="2">
        <f t="shared" si="93"/>
        <v>0</v>
      </c>
      <c r="CI63" s="2">
        <f t="shared" si="93"/>
        <v>0</v>
      </c>
      <c r="CJ63" s="2">
        <f t="shared" si="93"/>
        <v>0</v>
      </c>
      <c r="CK63" s="2">
        <f t="shared" si="93"/>
        <v>0</v>
      </c>
      <c r="CL63" s="2">
        <f t="shared" si="93"/>
        <v>0</v>
      </c>
      <c r="CM63" s="2">
        <f t="shared" si="93"/>
        <v>0</v>
      </c>
      <c r="CN63" s="2">
        <f t="shared" si="93"/>
        <v>0</v>
      </c>
      <c r="CO63" s="2">
        <f t="shared" si="93"/>
        <v>0</v>
      </c>
      <c r="CP63" s="2">
        <f t="shared" si="93"/>
        <v>0</v>
      </c>
      <c r="CQ63" s="2">
        <f t="shared" si="93"/>
        <v>0</v>
      </c>
      <c r="CR63" s="729">
        <f t="shared" si="93"/>
        <v>0</v>
      </c>
    </row>
    <row r="64" spans="1:115" ht="17.25" hidden="1" customHeight="1" outlineLevel="1" thickBot="1" x14ac:dyDescent="0.3">
      <c r="A64" s="1557"/>
      <c r="B64" s="1527" t="str">
        <f>IF(Language="English", 'Language Look Ups'!$O$20,IF(Language="Francais", 'Language Look Ups'!$S$20, 'Language Look Ups'!Q$20))</f>
        <v>Pilule</v>
      </c>
      <c r="C64" s="885" t="str">
        <f>IF(Language="English", 'Language Look Ups'!$P$20,IF(Language="Francais", 'Language Look Ups'!$T$20, 'Language Look Ups'!$R$20))</f>
        <v>Oraux combinés (COC)</v>
      </c>
      <c r="D64" s="886"/>
      <c r="E64" s="886"/>
      <c r="F64" s="887"/>
      <c r="G64" s="883" t="str">
        <f t="shared" si="85"/>
        <v/>
      </c>
      <c r="H64" s="883" t="str">
        <f t="shared" si="85"/>
        <v/>
      </c>
      <c r="I64" s="883" t="str">
        <f t="shared" si="85"/>
        <v/>
      </c>
      <c r="J64" s="883" t="str">
        <f t="shared" si="85"/>
        <v/>
      </c>
      <c r="K64" s="883" t="str">
        <f t="shared" si="85"/>
        <v/>
      </c>
      <c r="L64" s="883" t="str">
        <f t="shared" si="85"/>
        <v/>
      </c>
      <c r="M64" s="883" t="str">
        <f t="shared" si="85"/>
        <v/>
      </c>
      <c r="N64" s="883" t="str">
        <f t="shared" si="85"/>
        <v/>
      </c>
      <c r="O64" s="883" t="str">
        <f t="shared" si="85"/>
        <v/>
      </c>
      <c r="P64" s="883" t="str">
        <f t="shared" si="85"/>
        <v/>
      </c>
      <c r="Q64" s="883" t="str">
        <f t="shared" si="85"/>
        <v/>
      </c>
      <c r="R64" s="883" t="str">
        <f t="shared" si="85"/>
        <v/>
      </c>
      <c r="S64" s="883" t="str">
        <f t="shared" si="85"/>
        <v/>
      </c>
      <c r="T64" s="883" t="str">
        <f t="shared" si="85"/>
        <v/>
      </c>
      <c r="U64" s="883" t="str">
        <f t="shared" si="85"/>
        <v/>
      </c>
      <c r="V64" s="883" t="str">
        <f t="shared" si="85"/>
        <v/>
      </c>
      <c r="W64" s="884">
        <f t="shared" si="77"/>
        <v>0</v>
      </c>
      <c r="X64">
        <v>11</v>
      </c>
      <c r="Y64" t="str">
        <f>IF(W64&gt;0, HLOOKUP("OUTLIER", $G64:$V$75, X64, 0), "")</f>
        <v/>
      </c>
      <c r="AA64" s="148" t="str">
        <f t="shared" si="78"/>
        <v/>
      </c>
      <c r="AB64" s="856" t="e">
        <f t="shared" si="79"/>
        <v>#DIV/0!</v>
      </c>
      <c r="AC64" s="857" t="e">
        <f t="shared" si="80"/>
        <v>#DIV/0!</v>
      </c>
      <c r="AD64" s="856" t="e">
        <f t="shared" si="81"/>
        <v>#DIV/0!</v>
      </c>
      <c r="AE64" s="856" t="e">
        <f t="shared" si="82"/>
        <v>#DIV/0!</v>
      </c>
      <c r="BJ64" s="915" t="str">
        <f>'5. MethodMix Set Up'!$G$17</f>
        <v>Pilule</v>
      </c>
      <c r="BK64" s="2">
        <f t="shared" ref="BK64:BZ64" si="94">SUM(BK37:BK39)</f>
        <v>0</v>
      </c>
      <c r="BL64" s="2">
        <f t="shared" si="94"/>
        <v>0</v>
      </c>
      <c r="BM64" s="2">
        <f t="shared" si="94"/>
        <v>0</v>
      </c>
      <c r="BN64" s="2">
        <f t="shared" si="94"/>
        <v>0</v>
      </c>
      <c r="BO64" s="2">
        <f t="shared" si="94"/>
        <v>0</v>
      </c>
      <c r="BP64" s="2">
        <f t="shared" si="94"/>
        <v>0</v>
      </c>
      <c r="BQ64" s="2">
        <f t="shared" si="94"/>
        <v>0</v>
      </c>
      <c r="BR64" s="2">
        <f t="shared" si="94"/>
        <v>0</v>
      </c>
      <c r="BS64" s="2">
        <f t="shared" si="94"/>
        <v>0</v>
      </c>
      <c r="BT64" s="2">
        <f t="shared" si="94"/>
        <v>0</v>
      </c>
      <c r="BU64" s="2">
        <f t="shared" si="94"/>
        <v>0</v>
      </c>
      <c r="BV64" s="2">
        <f t="shared" si="94"/>
        <v>0</v>
      </c>
      <c r="BW64" s="2">
        <f t="shared" si="94"/>
        <v>0</v>
      </c>
      <c r="BX64" s="2">
        <f t="shared" si="94"/>
        <v>0</v>
      </c>
      <c r="BY64" s="2">
        <f t="shared" si="94"/>
        <v>0</v>
      </c>
      <c r="BZ64" s="729">
        <f t="shared" si="94"/>
        <v>0</v>
      </c>
      <c r="CB64" s="915" t="str">
        <f>'5. MethodMix Set Up'!$G$17</f>
        <v>Pilule</v>
      </c>
      <c r="CC64" s="2">
        <f t="shared" ref="CC64:CR64" si="95">SUM(CC37:CC39)</f>
        <v>0</v>
      </c>
      <c r="CD64" s="2">
        <f t="shared" si="95"/>
        <v>0</v>
      </c>
      <c r="CE64" s="2">
        <f t="shared" si="95"/>
        <v>0</v>
      </c>
      <c r="CF64" s="2">
        <f t="shared" si="95"/>
        <v>0</v>
      </c>
      <c r="CG64" s="2">
        <f t="shared" si="95"/>
        <v>0</v>
      </c>
      <c r="CH64" s="2">
        <f t="shared" si="95"/>
        <v>0</v>
      </c>
      <c r="CI64" s="2">
        <f t="shared" si="95"/>
        <v>0</v>
      </c>
      <c r="CJ64" s="2">
        <f t="shared" si="95"/>
        <v>0</v>
      </c>
      <c r="CK64" s="2">
        <f t="shared" si="95"/>
        <v>0</v>
      </c>
      <c r="CL64" s="2">
        <f t="shared" si="95"/>
        <v>0</v>
      </c>
      <c r="CM64" s="2">
        <f t="shared" si="95"/>
        <v>0</v>
      </c>
      <c r="CN64" s="2">
        <f t="shared" si="95"/>
        <v>0</v>
      </c>
      <c r="CO64" s="2">
        <f t="shared" si="95"/>
        <v>0</v>
      </c>
      <c r="CP64" s="2">
        <f t="shared" si="95"/>
        <v>0</v>
      </c>
      <c r="CQ64" s="2">
        <f t="shared" si="95"/>
        <v>0</v>
      </c>
      <c r="CR64" s="729">
        <f t="shared" si="95"/>
        <v>0</v>
      </c>
    </row>
    <row r="65" spans="1:115" ht="17.25" hidden="1" customHeight="1" outlineLevel="1" thickBot="1" x14ac:dyDescent="0.3">
      <c r="A65" s="1557"/>
      <c r="B65" s="1529"/>
      <c r="C65" s="891" t="str">
        <f>IF(Language="English", 'Language Look Ups'!$P$21,IF(Language="Francais", 'Language Look Ups'!$T$21, 'Language Look Ups'!$R$21))</f>
        <v>Progestatifs seul (POP)</v>
      </c>
      <c r="D65" s="892"/>
      <c r="E65" s="892"/>
      <c r="F65" s="893"/>
      <c r="G65" s="883" t="str">
        <f t="shared" si="85"/>
        <v/>
      </c>
      <c r="H65" s="883" t="str">
        <f t="shared" si="85"/>
        <v/>
      </c>
      <c r="I65" s="883" t="str">
        <f t="shared" si="85"/>
        <v/>
      </c>
      <c r="J65" s="883" t="str">
        <f t="shared" si="85"/>
        <v/>
      </c>
      <c r="K65" s="883" t="str">
        <f t="shared" si="85"/>
        <v/>
      </c>
      <c r="L65" s="883" t="str">
        <f t="shared" si="85"/>
        <v/>
      </c>
      <c r="M65" s="883" t="str">
        <f t="shared" si="85"/>
        <v/>
      </c>
      <c r="N65" s="883" t="str">
        <f t="shared" si="85"/>
        <v/>
      </c>
      <c r="O65" s="883" t="str">
        <f t="shared" si="85"/>
        <v/>
      </c>
      <c r="P65" s="883" t="str">
        <f t="shared" si="85"/>
        <v/>
      </c>
      <c r="Q65" s="883" t="str">
        <f t="shared" si="85"/>
        <v/>
      </c>
      <c r="R65" s="883" t="str">
        <f t="shared" si="85"/>
        <v/>
      </c>
      <c r="S65" s="883" t="str">
        <f t="shared" si="85"/>
        <v/>
      </c>
      <c r="T65" s="883" t="str">
        <f t="shared" si="85"/>
        <v/>
      </c>
      <c r="U65" s="883" t="str">
        <f t="shared" si="85"/>
        <v/>
      </c>
      <c r="V65" s="883" t="str">
        <f t="shared" si="85"/>
        <v/>
      </c>
      <c r="W65" s="884">
        <f t="shared" si="77"/>
        <v>0</v>
      </c>
      <c r="X65">
        <v>10</v>
      </c>
      <c r="Y65" t="str">
        <f>IF(W65&gt;0, HLOOKUP("OUTLIER", $G65:$V$75, X65, 0), "")</f>
        <v/>
      </c>
      <c r="AA65" s="148" t="str">
        <f t="shared" si="78"/>
        <v/>
      </c>
      <c r="AB65" s="856" t="e">
        <f t="shared" si="79"/>
        <v>#DIV/0!</v>
      </c>
      <c r="AC65" s="857" t="e">
        <f t="shared" si="80"/>
        <v>#DIV/0!</v>
      </c>
      <c r="AD65" s="856" t="e">
        <f t="shared" si="81"/>
        <v>#DIV/0!</v>
      </c>
      <c r="AE65" s="856" t="e">
        <f t="shared" si="82"/>
        <v>#DIV/0!</v>
      </c>
      <c r="BJ65" s="915" t="str">
        <f>'5. MethodMix Set Up'!$G$18</f>
        <v>Préservatifs (m+f)</v>
      </c>
      <c r="BK65" s="2">
        <f t="shared" ref="BK65:BZ65" si="96">SUM(BK40:BK41)</f>
        <v>0</v>
      </c>
      <c r="BL65" s="2">
        <f t="shared" si="96"/>
        <v>0</v>
      </c>
      <c r="BM65" s="2">
        <f t="shared" si="96"/>
        <v>0</v>
      </c>
      <c r="BN65" s="2">
        <f t="shared" si="96"/>
        <v>0</v>
      </c>
      <c r="BO65" s="2">
        <f t="shared" si="96"/>
        <v>0</v>
      </c>
      <c r="BP65" s="2">
        <f t="shared" si="96"/>
        <v>0</v>
      </c>
      <c r="BQ65" s="2">
        <f t="shared" si="96"/>
        <v>0</v>
      </c>
      <c r="BR65" s="2">
        <f t="shared" si="96"/>
        <v>0</v>
      </c>
      <c r="BS65" s="2">
        <f t="shared" si="96"/>
        <v>0</v>
      </c>
      <c r="BT65" s="2">
        <f t="shared" si="96"/>
        <v>0</v>
      </c>
      <c r="BU65" s="2">
        <f t="shared" si="96"/>
        <v>0</v>
      </c>
      <c r="BV65" s="2">
        <f t="shared" si="96"/>
        <v>0</v>
      </c>
      <c r="BW65" s="2">
        <f t="shared" si="96"/>
        <v>0</v>
      </c>
      <c r="BX65" s="2">
        <f t="shared" si="96"/>
        <v>0</v>
      </c>
      <c r="BY65" s="2">
        <f t="shared" si="96"/>
        <v>0</v>
      </c>
      <c r="BZ65" s="729">
        <f t="shared" si="96"/>
        <v>0</v>
      </c>
      <c r="CB65" s="915" t="str">
        <f>'5. MethodMix Set Up'!$G$18</f>
        <v>Préservatifs (m+f)</v>
      </c>
      <c r="CC65" s="2">
        <f t="shared" ref="CC65:CR65" si="97">SUM(CC40:CC41)</f>
        <v>0</v>
      </c>
      <c r="CD65" s="2">
        <f t="shared" si="97"/>
        <v>0</v>
      </c>
      <c r="CE65" s="2">
        <f t="shared" si="97"/>
        <v>0</v>
      </c>
      <c r="CF65" s="2">
        <f t="shared" si="97"/>
        <v>0</v>
      </c>
      <c r="CG65" s="2">
        <f t="shared" si="97"/>
        <v>0</v>
      </c>
      <c r="CH65" s="2">
        <f t="shared" si="97"/>
        <v>0</v>
      </c>
      <c r="CI65" s="2">
        <f t="shared" si="97"/>
        <v>0</v>
      </c>
      <c r="CJ65" s="2">
        <f t="shared" si="97"/>
        <v>0</v>
      </c>
      <c r="CK65" s="2">
        <f t="shared" si="97"/>
        <v>0</v>
      </c>
      <c r="CL65" s="2">
        <f t="shared" si="97"/>
        <v>0</v>
      </c>
      <c r="CM65" s="2">
        <f t="shared" si="97"/>
        <v>0</v>
      </c>
      <c r="CN65" s="2">
        <f t="shared" si="97"/>
        <v>0</v>
      </c>
      <c r="CO65" s="2">
        <f t="shared" si="97"/>
        <v>0</v>
      </c>
      <c r="CP65" s="2">
        <f t="shared" si="97"/>
        <v>0</v>
      </c>
      <c r="CQ65" s="2">
        <f t="shared" si="97"/>
        <v>0</v>
      </c>
      <c r="CR65" s="729">
        <f t="shared" si="97"/>
        <v>0</v>
      </c>
    </row>
    <row r="66" spans="1:115" ht="17.25" hidden="1" customHeight="1" outlineLevel="1" thickBot="1" x14ac:dyDescent="0.3">
      <c r="A66" s="1557"/>
      <c r="B66" s="1528"/>
      <c r="C66" s="888" t="str">
        <f>IF(Language="English", 'Language Look Ups'!$P$22,IF(Language="Francais", 'Language Look Ups'!$T$22, 'Language Look Ups'!$R$22))</f>
        <v>Autre pilule</v>
      </c>
      <c r="D66" s="889"/>
      <c r="E66" s="889"/>
      <c r="F66" s="890"/>
      <c r="G66" s="883" t="str">
        <f t="shared" si="85"/>
        <v/>
      </c>
      <c r="H66" s="883" t="str">
        <f t="shared" si="85"/>
        <v/>
      </c>
      <c r="I66" s="883" t="str">
        <f t="shared" si="85"/>
        <v/>
      </c>
      <c r="J66" s="883" t="str">
        <f t="shared" si="85"/>
        <v/>
      </c>
      <c r="K66" s="883" t="str">
        <f t="shared" si="85"/>
        <v/>
      </c>
      <c r="L66" s="883" t="str">
        <f t="shared" si="85"/>
        <v/>
      </c>
      <c r="M66" s="883" t="str">
        <f t="shared" si="85"/>
        <v/>
      </c>
      <c r="N66" s="883" t="str">
        <f t="shared" si="85"/>
        <v/>
      </c>
      <c r="O66" s="883" t="str">
        <f t="shared" si="85"/>
        <v/>
      </c>
      <c r="P66" s="883" t="str">
        <f t="shared" si="85"/>
        <v/>
      </c>
      <c r="Q66" s="883" t="str">
        <f t="shared" si="85"/>
        <v/>
      </c>
      <c r="R66" s="883" t="str">
        <f t="shared" si="85"/>
        <v/>
      </c>
      <c r="S66" s="883" t="str">
        <f t="shared" si="85"/>
        <v/>
      </c>
      <c r="T66" s="883" t="str">
        <f t="shared" si="85"/>
        <v/>
      </c>
      <c r="U66" s="883" t="str">
        <f t="shared" si="85"/>
        <v/>
      </c>
      <c r="V66" s="883" t="str">
        <f t="shared" si="85"/>
        <v/>
      </c>
      <c r="W66" s="884">
        <f t="shared" si="77"/>
        <v>0</v>
      </c>
      <c r="X66">
        <v>9</v>
      </c>
      <c r="Y66" t="str">
        <f>IF(W66&gt;0, HLOOKUP("OUTLIER", $G66:$V$75, X66, 0), "")</f>
        <v/>
      </c>
      <c r="AA66" s="148" t="str">
        <f t="shared" si="78"/>
        <v/>
      </c>
      <c r="AB66" s="856" t="e">
        <f t="shared" si="79"/>
        <v>#DIV/0!</v>
      </c>
      <c r="AC66" s="857" t="e">
        <f t="shared" si="80"/>
        <v>#DIV/0!</v>
      </c>
      <c r="AD66" s="856" t="e">
        <f t="shared" si="81"/>
        <v>#DIV/0!</v>
      </c>
      <c r="AE66" s="856" t="e">
        <f t="shared" si="82"/>
        <v>#DIV/0!</v>
      </c>
      <c r="BJ66" s="915" t="str">
        <f>'5. MethodMix Set Up'!$G$19</f>
        <v>MAMA</v>
      </c>
      <c r="BK66" s="2">
        <f>SUM(BK42)</f>
        <v>0</v>
      </c>
      <c r="BL66" s="2">
        <f t="shared" ref="BL66:BZ66" si="98">SUM(BL42)</f>
        <v>0</v>
      </c>
      <c r="BM66" s="2">
        <f t="shared" si="98"/>
        <v>0</v>
      </c>
      <c r="BN66" s="2">
        <f t="shared" si="98"/>
        <v>0</v>
      </c>
      <c r="BO66" s="2">
        <f t="shared" si="98"/>
        <v>0</v>
      </c>
      <c r="BP66" s="2">
        <f t="shared" si="98"/>
        <v>0</v>
      </c>
      <c r="BQ66" s="2">
        <f t="shared" si="98"/>
        <v>0</v>
      </c>
      <c r="BR66" s="2">
        <f t="shared" si="98"/>
        <v>0</v>
      </c>
      <c r="BS66" s="2">
        <f t="shared" si="98"/>
        <v>0</v>
      </c>
      <c r="BT66" s="2">
        <f t="shared" si="98"/>
        <v>0</v>
      </c>
      <c r="BU66" s="2">
        <f t="shared" si="98"/>
        <v>0</v>
      </c>
      <c r="BV66" s="2">
        <f t="shared" si="98"/>
        <v>0</v>
      </c>
      <c r="BW66" s="2">
        <f t="shared" si="98"/>
        <v>0</v>
      </c>
      <c r="BX66" s="2">
        <f t="shared" si="98"/>
        <v>0</v>
      </c>
      <c r="BY66" s="2">
        <f t="shared" si="98"/>
        <v>0</v>
      </c>
      <c r="BZ66" s="2">
        <f t="shared" si="98"/>
        <v>0</v>
      </c>
      <c r="CB66" s="915" t="str">
        <f>'5. MethodMix Set Up'!$G$19</f>
        <v>MAMA</v>
      </c>
      <c r="CC66" s="2">
        <f>SUM(CC42)</f>
        <v>0</v>
      </c>
      <c r="CD66" s="2">
        <f t="shared" ref="CD66:CR66" si="99">SUM(CD42)</f>
        <v>0</v>
      </c>
      <c r="CE66" s="2">
        <f t="shared" si="99"/>
        <v>0</v>
      </c>
      <c r="CF66" s="2">
        <f t="shared" si="99"/>
        <v>0</v>
      </c>
      <c r="CG66" s="2">
        <f t="shared" si="99"/>
        <v>0</v>
      </c>
      <c r="CH66" s="2">
        <f t="shared" si="99"/>
        <v>0</v>
      </c>
      <c r="CI66" s="2">
        <f t="shared" si="99"/>
        <v>0</v>
      </c>
      <c r="CJ66" s="2">
        <f t="shared" si="99"/>
        <v>0</v>
      </c>
      <c r="CK66" s="2">
        <f t="shared" si="99"/>
        <v>0</v>
      </c>
      <c r="CL66" s="2">
        <f t="shared" si="99"/>
        <v>0</v>
      </c>
      <c r="CM66" s="2">
        <f t="shared" si="99"/>
        <v>0</v>
      </c>
      <c r="CN66" s="2">
        <f t="shared" si="99"/>
        <v>0</v>
      </c>
      <c r="CO66" s="2">
        <f t="shared" si="99"/>
        <v>0</v>
      </c>
      <c r="CP66" s="2">
        <f t="shared" si="99"/>
        <v>0</v>
      </c>
      <c r="CQ66" s="2">
        <f t="shared" si="99"/>
        <v>0</v>
      </c>
      <c r="CR66" s="2">
        <f t="shared" si="99"/>
        <v>0</v>
      </c>
    </row>
    <row r="67" spans="1:115" ht="17.25" hidden="1" customHeight="1" outlineLevel="1" thickBot="1" x14ac:dyDescent="0.3">
      <c r="A67" s="1557"/>
      <c r="B67" s="1527" t="str">
        <f>IF(Language="English", 'Language Look Ups'!$O$23,IF(Language="Francais", 'Language Look Ups'!$S$23, 'Language Look Ups'!Q$23))</f>
        <v>Préservatifs</v>
      </c>
      <c r="C67" s="885" t="str">
        <f>IF(Language="English", 'Language Look Ups'!$P$23,IF(Language="Francais", 'Language Look Ups'!$T$23, 'Language Look Ups'!$R$23))</f>
        <v>Préservatifs masculin</v>
      </c>
      <c r="D67" s="886"/>
      <c r="E67" s="886"/>
      <c r="F67" s="887"/>
      <c r="G67" s="883" t="str">
        <f t="shared" si="85"/>
        <v/>
      </c>
      <c r="H67" s="883" t="str">
        <f t="shared" si="85"/>
        <v/>
      </c>
      <c r="I67" s="883" t="str">
        <f t="shared" si="85"/>
        <v/>
      </c>
      <c r="J67" s="883" t="str">
        <f t="shared" si="85"/>
        <v/>
      </c>
      <c r="K67" s="883" t="str">
        <f t="shared" si="85"/>
        <v/>
      </c>
      <c r="L67" s="883" t="str">
        <f t="shared" si="85"/>
        <v/>
      </c>
      <c r="M67" s="883" t="str">
        <f t="shared" si="85"/>
        <v/>
      </c>
      <c r="N67" s="883" t="str">
        <f t="shared" si="85"/>
        <v/>
      </c>
      <c r="O67" s="883" t="str">
        <f t="shared" si="85"/>
        <v/>
      </c>
      <c r="P67" s="883" t="str">
        <f t="shared" si="85"/>
        <v/>
      </c>
      <c r="Q67" s="883" t="str">
        <f t="shared" si="85"/>
        <v/>
      </c>
      <c r="R67" s="883" t="str">
        <f t="shared" si="85"/>
        <v/>
      </c>
      <c r="S67" s="883" t="str">
        <f t="shared" si="85"/>
        <v/>
      </c>
      <c r="T67" s="883" t="str">
        <f t="shared" si="85"/>
        <v/>
      </c>
      <c r="U67" s="883" t="str">
        <f t="shared" si="85"/>
        <v/>
      </c>
      <c r="V67" s="883" t="str">
        <f t="shared" si="85"/>
        <v/>
      </c>
      <c r="W67" s="884">
        <f t="shared" si="77"/>
        <v>0</v>
      </c>
      <c r="X67">
        <v>8</v>
      </c>
      <c r="Y67" t="str">
        <f>IF(W67&gt;0, HLOOKUP("OUTLIER", $G67:$V$75, X67, 0), "")</f>
        <v/>
      </c>
      <c r="AA67" s="148" t="str">
        <f t="shared" si="78"/>
        <v/>
      </c>
      <c r="AB67" s="856" t="e">
        <f t="shared" si="79"/>
        <v>#DIV/0!</v>
      </c>
      <c r="AC67" s="857" t="e">
        <f t="shared" si="80"/>
        <v>#DIV/0!</v>
      </c>
      <c r="AD67" s="856" t="e">
        <f t="shared" si="81"/>
        <v>#DIV/0!</v>
      </c>
      <c r="AE67" s="856" t="e">
        <f t="shared" si="82"/>
        <v>#DIV/0!</v>
      </c>
      <c r="BJ67" s="915" t="str">
        <f>IF(Language="English", 'Language Look Ups'!$O$29,IF(Language="Francais", 'Language Look Ups'!$S$29, 'Language Look Ups'!CO$29))</f>
        <v>Contraception d'urgence</v>
      </c>
      <c r="BK67" s="732">
        <f>SUM(BK46)</f>
        <v>0</v>
      </c>
      <c r="BL67" s="732">
        <f t="shared" ref="BL67:BZ67" si="100">SUM(BL46)</f>
        <v>0</v>
      </c>
      <c r="BM67" s="732">
        <f t="shared" si="100"/>
        <v>0</v>
      </c>
      <c r="BN67" s="732">
        <f t="shared" si="100"/>
        <v>0</v>
      </c>
      <c r="BO67" s="732">
        <f t="shared" si="100"/>
        <v>0</v>
      </c>
      <c r="BP67" s="732">
        <f t="shared" si="100"/>
        <v>0</v>
      </c>
      <c r="BQ67" s="732">
        <f t="shared" si="100"/>
        <v>0</v>
      </c>
      <c r="BR67" s="732">
        <f t="shared" si="100"/>
        <v>0</v>
      </c>
      <c r="BS67" s="732">
        <f t="shared" si="100"/>
        <v>0</v>
      </c>
      <c r="BT67" s="732">
        <f t="shared" si="100"/>
        <v>0</v>
      </c>
      <c r="BU67" s="732">
        <f t="shared" si="100"/>
        <v>0</v>
      </c>
      <c r="BV67" s="732">
        <f t="shared" si="100"/>
        <v>0</v>
      </c>
      <c r="BW67" s="732">
        <f t="shared" si="100"/>
        <v>0</v>
      </c>
      <c r="BX67" s="732">
        <f t="shared" si="100"/>
        <v>0</v>
      </c>
      <c r="BY67" s="732">
        <f t="shared" si="100"/>
        <v>0</v>
      </c>
      <c r="BZ67" s="732">
        <f t="shared" si="100"/>
        <v>0</v>
      </c>
      <c r="CB67" s="915" t="str">
        <f>IF(Language="English", 'Language Look Ups'!$O$29,IF(Language="Francais", 'Language Look Ups'!$S$29, 'Language Look Ups'!DG$29))</f>
        <v>Contraception d'urgence</v>
      </c>
      <c r="CC67" s="732">
        <f>SUM(CC46)</f>
        <v>0</v>
      </c>
      <c r="CD67" s="732">
        <f t="shared" ref="CD67:CR67" si="101">SUM(CD46)</f>
        <v>0</v>
      </c>
      <c r="CE67" s="732">
        <f t="shared" si="101"/>
        <v>0</v>
      </c>
      <c r="CF67" s="732">
        <f t="shared" si="101"/>
        <v>0</v>
      </c>
      <c r="CG67" s="732">
        <f t="shared" si="101"/>
        <v>0</v>
      </c>
      <c r="CH67" s="732">
        <f t="shared" si="101"/>
        <v>0</v>
      </c>
      <c r="CI67" s="732">
        <f t="shared" si="101"/>
        <v>0</v>
      </c>
      <c r="CJ67" s="732">
        <f t="shared" si="101"/>
        <v>0</v>
      </c>
      <c r="CK67" s="732">
        <f t="shared" si="101"/>
        <v>0</v>
      </c>
      <c r="CL67" s="732">
        <f t="shared" si="101"/>
        <v>0</v>
      </c>
      <c r="CM67" s="732">
        <f t="shared" si="101"/>
        <v>0</v>
      </c>
      <c r="CN67" s="732">
        <f t="shared" si="101"/>
        <v>0</v>
      </c>
      <c r="CO67" s="732">
        <f t="shared" si="101"/>
        <v>0</v>
      </c>
      <c r="CP67" s="732">
        <f t="shared" si="101"/>
        <v>0</v>
      </c>
      <c r="CQ67" s="732">
        <f t="shared" si="101"/>
        <v>0</v>
      </c>
      <c r="CR67" s="732">
        <f t="shared" si="101"/>
        <v>0</v>
      </c>
    </row>
    <row r="68" spans="1:115" ht="17.25" hidden="1" customHeight="1" outlineLevel="1" thickBot="1" x14ac:dyDescent="0.3">
      <c r="A68" s="1557"/>
      <c r="B68" s="1528"/>
      <c r="C68" s="888" t="str">
        <f>IF(Language="English", 'Language Look Ups'!$P$24,IF(Language="Francais", 'Language Look Ups'!$T$24, 'Language Look Ups'!$R$24))</f>
        <v>Préservatifs feminin</v>
      </c>
      <c r="D68" s="889"/>
      <c r="E68" s="889"/>
      <c r="F68" s="890"/>
      <c r="G68" s="883" t="str">
        <f t="shared" si="85"/>
        <v/>
      </c>
      <c r="H68" s="883" t="str">
        <f t="shared" si="85"/>
        <v/>
      </c>
      <c r="I68" s="883" t="str">
        <f t="shared" si="85"/>
        <v/>
      </c>
      <c r="J68" s="883" t="str">
        <f t="shared" si="85"/>
        <v/>
      </c>
      <c r="K68" s="883" t="str">
        <f t="shared" si="85"/>
        <v/>
      </c>
      <c r="L68" s="883" t="str">
        <f t="shared" si="85"/>
        <v/>
      </c>
      <c r="M68" s="883" t="str">
        <f t="shared" si="85"/>
        <v/>
      </c>
      <c r="N68" s="883" t="str">
        <f t="shared" si="85"/>
        <v/>
      </c>
      <c r="O68" s="883" t="str">
        <f t="shared" si="85"/>
        <v/>
      </c>
      <c r="P68" s="883" t="str">
        <f t="shared" si="85"/>
        <v/>
      </c>
      <c r="Q68" s="883" t="str">
        <f t="shared" si="85"/>
        <v/>
      </c>
      <c r="R68" s="883" t="str">
        <f t="shared" si="85"/>
        <v/>
      </c>
      <c r="S68" s="883" t="str">
        <f t="shared" si="85"/>
        <v/>
      </c>
      <c r="T68" s="883" t="str">
        <f t="shared" si="85"/>
        <v/>
      </c>
      <c r="U68" s="883" t="str">
        <f t="shared" si="85"/>
        <v/>
      </c>
      <c r="V68" s="883" t="str">
        <f t="shared" si="85"/>
        <v/>
      </c>
      <c r="W68" s="884">
        <f t="shared" si="77"/>
        <v>0</v>
      </c>
      <c r="X68">
        <v>7</v>
      </c>
      <c r="Y68" t="str">
        <f>IF(W68&gt;0, HLOOKUP("OUTLIER", $G68:$V$75, X68, 0), "")</f>
        <v/>
      </c>
      <c r="AA68" s="148" t="str">
        <f t="shared" si="78"/>
        <v/>
      </c>
      <c r="AB68" s="856" t="e">
        <f t="shared" si="79"/>
        <v>#DIV/0!</v>
      </c>
      <c r="AC68" s="857" t="e">
        <f t="shared" si="80"/>
        <v>#DIV/0!</v>
      </c>
      <c r="AD68" s="856" t="e">
        <f t="shared" si="81"/>
        <v>#DIV/0!</v>
      </c>
      <c r="AE68" s="856" t="e">
        <f t="shared" si="82"/>
        <v>#DIV/0!</v>
      </c>
      <c r="BJ68" s="915" t="str">
        <f>'5. MethodMix Set Up'!$G$20</f>
        <v>Autres méthodes modernes</v>
      </c>
      <c r="BK68" s="2">
        <f>SUM(BK43:BK45)</f>
        <v>0</v>
      </c>
      <c r="BL68" s="2">
        <f t="shared" ref="BL68:BZ68" si="102">SUM(BL43:BL45)</f>
        <v>0</v>
      </c>
      <c r="BM68" s="2">
        <f t="shared" si="102"/>
        <v>0</v>
      </c>
      <c r="BN68" s="2">
        <f t="shared" si="102"/>
        <v>0</v>
      </c>
      <c r="BO68" s="2">
        <f t="shared" si="102"/>
        <v>0</v>
      </c>
      <c r="BP68" s="2">
        <f t="shared" si="102"/>
        <v>0</v>
      </c>
      <c r="BQ68" s="2">
        <f t="shared" si="102"/>
        <v>0</v>
      </c>
      <c r="BR68" s="2">
        <f t="shared" si="102"/>
        <v>0</v>
      </c>
      <c r="BS68" s="2">
        <f t="shared" si="102"/>
        <v>0</v>
      </c>
      <c r="BT68" s="2">
        <f t="shared" si="102"/>
        <v>0</v>
      </c>
      <c r="BU68" s="2">
        <f t="shared" si="102"/>
        <v>0</v>
      </c>
      <c r="BV68" s="2">
        <f t="shared" si="102"/>
        <v>0</v>
      </c>
      <c r="BW68" s="2">
        <f t="shared" si="102"/>
        <v>0</v>
      </c>
      <c r="BX68" s="2">
        <f t="shared" si="102"/>
        <v>0</v>
      </c>
      <c r="BY68" s="2">
        <f t="shared" si="102"/>
        <v>0</v>
      </c>
      <c r="BZ68" s="2">
        <f t="shared" si="102"/>
        <v>0</v>
      </c>
      <c r="CB68" s="915" t="str">
        <f>'5. MethodMix Set Up'!$G$20</f>
        <v>Autres méthodes modernes</v>
      </c>
      <c r="CC68" s="2">
        <f>SUM(CC43:CC45)</f>
        <v>0</v>
      </c>
      <c r="CD68" s="2">
        <f t="shared" ref="CD68:CR68" si="103">SUM(CD43:CD45)</f>
        <v>0</v>
      </c>
      <c r="CE68" s="2">
        <f t="shared" si="103"/>
        <v>0</v>
      </c>
      <c r="CF68" s="2">
        <f t="shared" si="103"/>
        <v>0</v>
      </c>
      <c r="CG68" s="2">
        <f t="shared" si="103"/>
        <v>0</v>
      </c>
      <c r="CH68" s="2">
        <f t="shared" si="103"/>
        <v>0</v>
      </c>
      <c r="CI68" s="2">
        <f t="shared" si="103"/>
        <v>0</v>
      </c>
      <c r="CJ68" s="2">
        <f t="shared" si="103"/>
        <v>0</v>
      </c>
      <c r="CK68" s="2">
        <f t="shared" si="103"/>
        <v>0</v>
      </c>
      <c r="CL68" s="2">
        <f t="shared" si="103"/>
        <v>0</v>
      </c>
      <c r="CM68" s="2">
        <f t="shared" si="103"/>
        <v>0</v>
      </c>
      <c r="CN68" s="2">
        <f t="shared" si="103"/>
        <v>0</v>
      </c>
      <c r="CO68" s="2">
        <f t="shared" si="103"/>
        <v>0</v>
      </c>
      <c r="CP68" s="2">
        <f t="shared" si="103"/>
        <v>0</v>
      </c>
      <c r="CQ68" s="2">
        <f t="shared" si="103"/>
        <v>0</v>
      </c>
      <c r="CR68" s="2">
        <f t="shared" si="103"/>
        <v>0</v>
      </c>
    </row>
    <row r="69" spans="1:115" ht="17.25" hidden="1" customHeight="1" outlineLevel="1" thickBot="1" x14ac:dyDescent="0.3">
      <c r="A69" s="1557"/>
      <c r="B69" s="1527" t="str">
        <f>IF(Language="English", 'Language Look Ups'!$O$25,IF(Language="Francais", 'Language Look Ups'!$S$25, 'Language Look Ups'!Q$25))</f>
        <v>Autres Méthodes Modernes</v>
      </c>
      <c r="C69" s="885" t="str">
        <f>IF(Language="English", 'Language Look Ups'!$P$25,IF(Language="Francais", 'Language Look Ups'!$T$25, 'Language Look Ups'!$R$25))</f>
        <v>MAMA</v>
      </c>
      <c r="D69" s="886"/>
      <c r="E69" s="886"/>
      <c r="F69" s="887"/>
      <c r="G69" s="883" t="str">
        <f t="shared" si="85"/>
        <v/>
      </c>
      <c r="H69" s="883" t="str">
        <f t="shared" si="85"/>
        <v/>
      </c>
      <c r="I69" s="883" t="str">
        <f t="shared" si="85"/>
        <v/>
      </c>
      <c r="J69" s="883" t="str">
        <f t="shared" si="85"/>
        <v/>
      </c>
      <c r="K69" s="883" t="str">
        <f t="shared" si="85"/>
        <v/>
      </c>
      <c r="L69" s="883" t="str">
        <f t="shared" si="85"/>
        <v/>
      </c>
      <c r="M69" s="883" t="str">
        <f t="shared" si="85"/>
        <v/>
      </c>
      <c r="N69" s="883" t="str">
        <f t="shared" si="85"/>
        <v/>
      </c>
      <c r="O69" s="883" t="str">
        <f t="shared" si="85"/>
        <v/>
      </c>
      <c r="P69" s="883" t="str">
        <f t="shared" si="85"/>
        <v/>
      </c>
      <c r="Q69" s="883" t="str">
        <f t="shared" si="85"/>
        <v/>
      </c>
      <c r="R69" s="883" t="str">
        <f t="shared" si="85"/>
        <v/>
      </c>
      <c r="S69" s="883" t="str">
        <f t="shared" si="85"/>
        <v/>
      </c>
      <c r="T69" s="883" t="str">
        <f t="shared" si="85"/>
        <v/>
      </c>
      <c r="U69" s="883" t="str">
        <f t="shared" si="85"/>
        <v/>
      </c>
      <c r="V69" s="883" t="str">
        <f t="shared" si="85"/>
        <v/>
      </c>
      <c r="W69" s="884">
        <f t="shared" si="77"/>
        <v>0</v>
      </c>
      <c r="X69">
        <v>6</v>
      </c>
      <c r="Y69" t="str">
        <f>IF(W69&gt;0, HLOOKUP("OUTLIER", $G69:$V$75, X69, 0), "")</f>
        <v/>
      </c>
      <c r="AA69" s="148" t="str">
        <f t="shared" si="78"/>
        <v/>
      </c>
      <c r="AB69" s="856" t="e">
        <f t="shared" si="79"/>
        <v>#DIV/0!</v>
      </c>
      <c r="AC69" s="857" t="e">
        <f t="shared" si="80"/>
        <v>#DIV/0!</v>
      </c>
      <c r="AD69" s="856" t="e">
        <f t="shared" si="81"/>
        <v>#DIV/0!</v>
      </c>
      <c r="AE69" s="856" t="e">
        <f t="shared" si="82"/>
        <v>#DIV/0!</v>
      </c>
    </row>
    <row r="70" spans="1:115" ht="17.25" hidden="1" customHeight="1" outlineLevel="1" thickBot="1" x14ac:dyDescent="0.3">
      <c r="A70" s="1557"/>
      <c r="B70" s="1529"/>
      <c r="C70" s="891" t="str">
        <f>IF(Language="English", 'Language Look Ups'!$P$26,IF(Language="Francais", 'Language Look Ups'!$T$26, 'Language Look Ups'!$R$26))</f>
        <v>MJF (Jours fixes)</v>
      </c>
      <c r="D70" s="892"/>
      <c r="E70" s="892"/>
      <c r="F70" s="893"/>
      <c r="G70" s="883" t="str">
        <f t="shared" si="85"/>
        <v/>
      </c>
      <c r="H70" s="883" t="str">
        <f t="shared" si="85"/>
        <v/>
      </c>
      <c r="I70" s="883" t="str">
        <f t="shared" si="85"/>
        <v/>
      </c>
      <c r="J70" s="883" t="str">
        <f t="shared" si="85"/>
        <v/>
      </c>
      <c r="K70" s="883" t="str">
        <f t="shared" si="85"/>
        <v/>
      </c>
      <c r="L70" s="883" t="str">
        <f t="shared" si="85"/>
        <v/>
      </c>
      <c r="M70" s="883" t="str">
        <f t="shared" si="85"/>
        <v/>
      </c>
      <c r="N70" s="883" t="str">
        <f t="shared" si="85"/>
        <v/>
      </c>
      <c r="O70" s="883" t="str">
        <f t="shared" si="85"/>
        <v/>
      </c>
      <c r="P70" s="883" t="str">
        <f t="shared" si="85"/>
        <v/>
      </c>
      <c r="Q70" s="883" t="str">
        <f t="shared" si="85"/>
        <v/>
      </c>
      <c r="R70" s="883" t="str">
        <f t="shared" si="85"/>
        <v/>
      </c>
      <c r="S70" s="883" t="str">
        <f t="shared" si="85"/>
        <v/>
      </c>
      <c r="T70" s="883" t="str">
        <f t="shared" si="85"/>
        <v/>
      </c>
      <c r="U70" s="883" t="str">
        <f t="shared" si="85"/>
        <v/>
      </c>
      <c r="V70" s="883" t="str">
        <f t="shared" si="85"/>
        <v/>
      </c>
      <c r="W70" s="884">
        <f t="shared" si="77"/>
        <v>0</v>
      </c>
      <c r="X70">
        <v>5</v>
      </c>
      <c r="Y70" t="str">
        <f>IF(W70&gt;0, HLOOKUP("OUTLIER", $G70:$V$75, X70, 0), "")</f>
        <v/>
      </c>
      <c r="AA70" s="148" t="str">
        <f t="shared" si="78"/>
        <v/>
      </c>
      <c r="AB70" s="856" t="e">
        <f t="shared" si="79"/>
        <v>#DIV/0!</v>
      </c>
      <c r="AC70" s="857" t="e">
        <f t="shared" si="80"/>
        <v>#DIV/0!</v>
      </c>
      <c r="AD70" s="856" t="e">
        <f t="shared" si="81"/>
        <v>#DIV/0!</v>
      </c>
      <c r="AE70" s="856" t="e">
        <f t="shared" si="82"/>
        <v>#DIV/0!</v>
      </c>
      <c r="BJ70" s="867"/>
    </row>
    <row r="71" spans="1:115" ht="17.25" hidden="1" customHeight="1" outlineLevel="1" thickBot="1" x14ac:dyDescent="0.3">
      <c r="A71" s="1557"/>
      <c r="B71" s="1529"/>
      <c r="C71" s="891" t="str">
        <f>IF(Language="English", 'Language Look Ups'!$P$27,IF(Language="Francais", 'Language Look Ups'!$T$27, 'Language Look Ups'!$R$27))</f>
        <v>Barrière vaginale</v>
      </c>
      <c r="D71" s="892"/>
      <c r="E71" s="892"/>
      <c r="F71" s="893"/>
      <c r="G71" s="883" t="str">
        <f t="shared" si="85"/>
        <v/>
      </c>
      <c r="H71" s="883" t="str">
        <f t="shared" si="85"/>
        <v/>
      </c>
      <c r="I71" s="883" t="str">
        <f t="shared" si="85"/>
        <v/>
      </c>
      <c r="J71" s="883" t="str">
        <f t="shared" si="85"/>
        <v/>
      </c>
      <c r="K71" s="883" t="str">
        <f t="shared" si="85"/>
        <v/>
      </c>
      <c r="L71" s="883" t="str">
        <f t="shared" si="85"/>
        <v/>
      </c>
      <c r="M71" s="883" t="str">
        <f t="shared" si="85"/>
        <v/>
      </c>
      <c r="N71" s="883" t="str">
        <f t="shared" si="85"/>
        <v/>
      </c>
      <c r="O71" s="883" t="str">
        <f t="shared" si="85"/>
        <v/>
      </c>
      <c r="P71" s="883" t="str">
        <f t="shared" si="85"/>
        <v/>
      </c>
      <c r="Q71" s="883" t="str">
        <f t="shared" si="85"/>
        <v/>
      </c>
      <c r="R71" s="883" t="str">
        <f t="shared" si="85"/>
        <v/>
      </c>
      <c r="S71" s="883" t="str">
        <f t="shared" si="85"/>
        <v/>
      </c>
      <c r="T71" s="883" t="str">
        <f t="shared" si="85"/>
        <v/>
      </c>
      <c r="U71" s="883" t="str">
        <f t="shared" si="85"/>
        <v/>
      </c>
      <c r="V71" s="883" t="str">
        <f t="shared" si="85"/>
        <v/>
      </c>
      <c r="W71" s="884">
        <f t="shared" si="77"/>
        <v>0</v>
      </c>
      <c r="X71">
        <v>4</v>
      </c>
      <c r="Y71" t="str">
        <f>IF(W71&gt;0, HLOOKUP("OUTLIER", $G71:$V$75, X71, 0), "")</f>
        <v/>
      </c>
      <c r="AA71" s="148" t="str">
        <f t="shared" si="78"/>
        <v/>
      </c>
      <c r="AB71" s="856" t="e">
        <f t="shared" si="79"/>
        <v>#DIV/0!</v>
      </c>
      <c r="AC71" s="857" t="e">
        <f t="shared" si="80"/>
        <v>#DIV/0!</v>
      </c>
      <c r="AD71" s="856" t="e">
        <f t="shared" si="81"/>
        <v>#DIV/0!</v>
      </c>
      <c r="AE71" s="856" t="e">
        <f t="shared" si="82"/>
        <v>#DIV/0!</v>
      </c>
      <c r="BJ71" s="867"/>
    </row>
    <row r="72" spans="1:115" ht="17.25" hidden="1" customHeight="1" outlineLevel="1" thickBot="1" x14ac:dyDescent="0.3">
      <c r="A72" s="1557"/>
      <c r="B72" s="1528"/>
      <c r="C72" s="888" t="str">
        <f>IF(Language="English", 'Language Look Ups'!$P$28,IF(Language="Francais", 'Language Look Ups'!$T$28, 'Language Look Ups'!$R$28))</f>
        <v>Spermicides</v>
      </c>
      <c r="D72" s="889"/>
      <c r="E72" s="889"/>
      <c r="F72" s="890"/>
      <c r="G72" s="883" t="str">
        <f t="shared" si="85"/>
        <v/>
      </c>
      <c r="H72" s="883" t="str">
        <f t="shared" si="85"/>
        <v/>
      </c>
      <c r="I72" s="883" t="str">
        <f t="shared" si="85"/>
        <v/>
      </c>
      <c r="J72" s="883" t="str">
        <f t="shared" si="85"/>
        <v/>
      </c>
      <c r="K72" s="883" t="str">
        <f t="shared" si="85"/>
        <v/>
      </c>
      <c r="L72" s="883" t="str">
        <f t="shared" si="85"/>
        <v/>
      </c>
      <c r="M72" s="883" t="str">
        <f t="shared" si="85"/>
        <v/>
      </c>
      <c r="N72" s="883" t="str">
        <f t="shared" si="85"/>
        <v/>
      </c>
      <c r="O72" s="883" t="str">
        <f t="shared" si="85"/>
        <v/>
      </c>
      <c r="P72" s="883" t="str">
        <f t="shared" si="85"/>
        <v/>
      </c>
      <c r="Q72" s="883" t="str">
        <f t="shared" si="85"/>
        <v/>
      </c>
      <c r="R72" s="883" t="str">
        <f t="shared" si="85"/>
        <v/>
      </c>
      <c r="S72" s="883" t="str">
        <f t="shared" si="85"/>
        <v/>
      </c>
      <c r="T72" s="883" t="str">
        <f t="shared" si="85"/>
        <v/>
      </c>
      <c r="U72" s="883" t="str">
        <f t="shared" si="85"/>
        <v/>
      </c>
      <c r="V72" s="883" t="str">
        <f t="shared" si="85"/>
        <v/>
      </c>
      <c r="W72" s="884">
        <f t="shared" si="77"/>
        <v>0</v>
      </c>
      <c r="X72">
        <v>3</v>
      </c>
      <c r="Y72" t="str">
        <f>IF(W72&gt;0, HLOOKUP("OUTLIER", $G72:$V$75, X72, 0), "")</f>
        <v/>
      </c>
      <c r="AA72" s="148" t="str">
        <f t="shared" si="78"/>
        <v/>
      </c>
      <c r="AB72" s="856" t="e">
        <f t="shared" si="79"/>
        <v>#DIV/0!</v>
      </c>
      <c r="AC72" s="857" t="e">
        <f t="shared" si="80"/>
        <v>#DIV/0!</v>
      </c>
      <c r="AD72" s="856" t="e">
        <f t="shared" si="81"/>
        <v>#DIV/0!</v>
      </c>
      <c r="AE72" s="856" t="e">
        <f t="shared" si="82"/>
        <v>#DIV/0!</v>
      </c>
      <c r="BJ72" s="866"/>
    </row>
    <row r="73" spans="1:115" ht="34.9" hidden="1" customHeight="1" outlineLevel="1" thickBot="1" x14ac:dyDescent="0.3">
      <c r="A73" s="1557"/>
      <c r="B73" s="894" t="str">
        <f>IF(Language="English", 'Language Look Ups'!$O$29,IF(Language="Francais", 'Language Look Ups'!$S$29, 'Language Look Ups'!Q$29))</f>
        <v>Contraception d'urgence</v>
      </c>
      <c r="C73" s="895" t="str">
        <f>IF(Language="English", 'Language Look Ups'!$P$29,IF(Language="Francais", 'Language Look Ups'!$T$29, 'Language Look Ups'!$R$29))</f>
        <v>CU</v>
      </c>
      <c r="D73" s="896"/>
      <c r="E73" s="896"/>
      <c r="F73" s="897"/>
      <c r="G73" s="883" t="str">
        <f t="shared" si="85"/>
        <v/>
      </c>
      <c r="H73" s="883" t="str">
        <f t="shared" si="85"/>
        <v/>
      </c>
      <c r="I73" s="883" t="str">
        <f t="shared" si="85"/>
        <v/>
      </c>
      <c r="J73" s="883" t="str">
        <f t="shared" si="85"/>
        <v/>
      </c>
      <c r="K73" s="883" t="str">
        <f t="shared" si="85"/>
        <v/>
      </c>
      <c r="L73" s="883" t="str">
        <f t="shared" si="85"/>
        <v/>
      </c>
      <c r="M73" s="883" t="str">
        <f t="shared" si="85"/>
        <v/>
      </c>
      <c r="N73" s="883" t="str">
        <f t="shared" si="85"/>
        <v/>
      </c>
      <c r="O73" s="883" t="str">
        <f t="shared" si="85"/>
        <v/>
      </c>
      <c r="P73" s="883" t="str">
        <f t="shared" si="85"/>
        <v/>
      </c>
      <c r="Q73" s="883" t="str">
        <f t="shared" si="85"/>
        <v/>
      </c>
      <c r="R73" s="883" t="str">
        <f t="shared" si="85"/>
        <v/>
      </c>
      <c r="S73" s="883" t="str">
        <f t="shared" si="85"/>
        <v/>
      </c>
      <c r="T73" s="883" t="str">
        <f t="shared" si="85"/>
        <v/>
      </c>
      <c r="U73" s="883" t="str">
        <f t="shared" si="85"/>
        <v/>
      </c>
      <c r="V73" s="883" t="str">
        <f t="shared" si="85"/>
        <v/>
      </c>
      <c r="W73" s="884">
        <f t="shared" si="77"/>
        <v>0</v>
      </c>
      <c r="X73">
        <v>2</v>
      </c>
      <c r="Y73" t="str">
        <f>IF(W73&gt;0, HLOOKUP("OUTLIER", $G73:$V$75, X73, 0), "")</f>
        <v/>
      </c>
      <c r="AA73" s="148" t="str">
        <f t="shared" si="78"/>
        <v/>
      </c>
      <c r="AB73" s="856" t="e">
        <f t="shared" si="79"/>
        <v>#DIV/0!</v>
      </c>
      <c r="AC73" s="857" t="e">
        <f t="shared" si="80"/>
        <v>#DIV/0!</v>
      </c>
      <c r="AD73" s="856" t="e">
        <f t="shared" si="81"/>
        <v>#DIV/0!</v>
      </c>
      <c r="AE73" s="856" t="e">
        <f t="shared" si="82"/>
        <v>#DIV/0!</v>
      </c>
    </row>
    <row r="74" spans="1:115" ht="20.45" hidden="1" customHeight="1" outlineLevel="1" x14ac:dyDescent="0.25">
      <c r="A74" s="1557"/>
      <c r="B74" s="898" t="str">
        <f>B47</f>
        <v>CAP Totale</v>
      </c>
      <c r="C74" s="899"/>
      <c r="D74" s="900"/>
      <c r="E74" s="900"/>
      <c r="F74" s="901"/>
      <c r="G74" s="883" t="e">
        <f t="shared" si="85"/>
        <v>#DIV/0!</v>
      </c>
      <c r="H74" s="883" t="str">
        <f t="shared" si="85"/>
        <v/>
      </c>
      <c r="I74" s="883" t="str">
        <f t="shared" si="85"/>
        <v/>
      </c>
      <c r="J74" s="883" t="str">
        <f t="shared" si="85"/>
        <v/>
      </c>
      <c r="K74" s="883" t="str">
        <f t="shared" si="85"/>
        <v/>
      </c>
      <c r="L74" s="883" t="str">
        <f t="shared" si="85"/>
        <v/>
      </c>
      <c r="M74" s="883" t="str">
        <f t="shared" si="85"/>
        <v/>
      </c>
      <c r="N74" s="883" t="str">
        <f t="shared" si="85"/>
        <v/>
      </c>
      <c r="O74" s="883" t="str">
        <f t="shared" si="85"/>
        <v/>
      </c>
      <c r="P74" s="883" t="str">
        <f t="shared" si="85"/>
        <v/>
      </c>
      <c r="Q74" s="883" t="str">
        <f t="shared" si="85"/>
        <v/>
      </c>
      <c r="R74" s="883" t="str">
        <f t="shared" si="85"/>
        <v/>
      </c>
      <c r="S74" s="883" t="str">
        <f t="shared" si="85"/>
        <v/>
      </c>
      <c r="T74" s="883" t="str">
        <f t="shared" si="85"/>
        <v/>
      </c>
      <c r="U74" s="883" t="str">
        <f t="shared" si="85"/>
        <v/>
      </c>
      <c r="V74" s="883" t="str">
        <f>IF(V47="", "", IF(OR(V47&gt;$AD74, V47&lt;$AE74), V$21&amp;",", ""))</f>
        <v/>
      </c>
      <c r="W74" s="902"/>
      <c r="AA74" s="148" t="str">
        <f t="shared" si="78"/>
        <v/>
      </c>
      <c r="AB74" s="856">
        <f t="shared" si="79"/>
        <v>0</v>
      </c>
      <c r="AC74" s="857" t="e">
        <f t="shared" si="80"/>
        <v>#DIV/0!</v>
      </c>
      <c r="AD74" s="856" t="e">
        <f t="shared" si="81"/>
        <v>#DIV/0!</v>
      </c>
      <c r="AE74" s="856" t="e">
        <f t="shared" si="82"/>
        <v>#DIV/0!</v>
      </c>
    </row>
    <row r="75" spans="1:115" ht="12.75" hidden="1" customHeight="1" outlineLevel="1" thickBot="1" x14ac:dyDescent="0.3">
      <c r="A75" s="1557"/>
      <c r="G75" s="426">
        <f>'3. ServiceStats Set Up'!$C$19</f>
        <v>0</v>
      </c>
      <c r="H75" s="427" t="str">
        <f>IFERROR(IF(G75+1&lt;='3. ServiceStats Set Up'!$C$20, 'Commodities (Clients) Input'!G75+1, ""), "")</f>
        <v/>
      </c>
      <c r="I75" s="427" t="str">
        <f>IFERROR(IF(H75+1&lt;='3. ServiceStats Set Up'!$C$20, 'Commodities (Clients) Input'!H75+1, ""), "")</f>
        <v/>
      </c>
      <c r="J75" s="427" t="str">
        <f>IFERROR(IF(I75+1&lt;='3. ServiceStats Set Up'!$C$20, 'Commodities (Clients) Input'!I75+1, ""), "")</f>
        <v/>
      </c>
      <c r="K75" s="427" t="str">
        <f>IFERROR(IF(J75+1&lt;='3. ServiceStats Set Up'!$C$20, 'Commodities (Clients) Input'!J75+1, ""), "")</f>
        <v/>
      </c>
      <c r="L75" s="427" t="str">
        <f>IFERROR(IF(K75+1&lt;='3. ServiceStats Set Up'!$C$20, 'Commodities (Clients) Input'!K75+1, ""), "")</f>
        <v/>
      </c>
      <c r="M75" s="427" t="str">
        <f>IFERROR(IF(L75+1&lt;='3. ServiceStats Set Up'!$C$20, 'Commodities (Clients) Input'!L75+1, ""), "")</f>
        <v/>
      </c>
      <c r="N75" s="427" t="str">
        <f>IFERROR(IF(M75+1&lt;='3. ServiceStats Set Up'!$C$20, 'Commodities (Clients) Input'!M75+1, ""), "")</f>
        <v/>
      </c>
      <c r="O75" s="427" t="str">
        <f>IFERROR(IF(N75+1&lt;='3. ServiceStats Set Up'!$C$20, 'Commodities (Clients) Input'!N75+1, ""), "")</f>
        <v/>
      </c>
      <c r="P75" s="427" t="str">
        <f>IFERROR(IF(O75+1&lt;='3. ServiceStats Set Up'!$C$20, 'Commodities (Clients) Input'!O75+1, ""), "")</f>
        <v/>
      </c>
      <c r="Q75" s="427" t="str">
        <f>IFERROR(IF(P75+1&lt;='3. ServiceStats Set Up'!$C$20, 'Commodities (Clients) Input'!P75+1, ""), "")</f>
        <v/>
      </c>
      <c r="R75" s="427" t="str">
        <f>IFERROR(IF(Q75+1&lt;='3. ServiceStats Set Up'!$C$20, 'Commodities (Clients) Input'!Q75+1, ""), "")</f>
        <v/>
      </c>
      <c r="S75" s="427" t="str">
        <f>IFERROR(IF(R75+1&lt;='3. ServiceStats Set Up'!$C$20, 'Commodities (Clients) Input'!R75+1, ""), "")</f>
        <v/>
      </c>
      <c r="T75" s="427" t="str">
        <f>IFERROR(IF(S75+1&lt;='3. ServiceStats Set Up'!$C$20, 'Commodities (Clients) Input'!S75+1, ""), "")</f>
        <v/>
      </c>
      <c r="U75" s="427" t="str">
        <f>IFERROR(IF(T75+1&lt;='3. ServiceStats Set Up'!$C$20, 'Commodities (Clients) Input'!T75+1, ""), "")</f>
        <v/>
      </c>
      <c r="V75" s="427" t="str">
        <f>IFERROR(IF(U75+1&lt;='3. ServiceStats Set Up'!$C$20, 'Commodities (Clients) Input'!U75+1, ""), "")</f>
        <v/>
      </c>
    </row>
    <row r="76" spans="1:115" s="1" customFormat="1" ht="42" hidden="1" customHeight="1" outlineLevel="1" thickBot="1" x14ac:dyDescent="0.3">
      <c r="A76" s="1557"/>
      <c r="B76" s="1509" t="s">
        <v>1217</v>
      </c>
      <c r="C76" s="1510"/>
      <c r="D76" s="1510"/>
      <c r="E76" s="1510"/>
      <c r="F76" s="1510"/>
      <c r="G76" s="1510"/>
      <c r="H76" s="1510"/>
      <c r="I76" s="1510"/>
      <c r="J76" s="1510"/>
      <c r="K76" s="1510"/>
      <c r="L76" s="1510"/>
      <c r="M76" s="1510"/>
      <c r="N76" s="1510"/>
      <c r="O76" s="1510"/>
      <c r="P76" s="1510"/>
      <c r="Q76" s="1510"/>
      <c r="R76" s="1510"/>
      <c r="S76" s="1510"/>
      <c r="T76" s="1510"/>
      <c r="U76" s="1510"/>
      <c r="V76" s="1511"/>
      <c r="W76"/>
      <c r="X76"/>
      <c r="Y76"/>
      <c r="Z76"/>
      <c r="AA76"/>
      <c r="AB76" s="156" t="s">
        <v>310</v>
      </c>
      <c r="AC76" s="157" t="s">
        <v>312</v>
      </c>
      <c r="AD76" s="43" t="s">
        <v>1195</v>
      </c>
      <c r="AE76" s="44" t="s">
        <v>1196</v>
      </c>
      <c r="AF76" s="43" t="s">
        <v>1197</v>
      </c>
      <c r="AG76" s="44" t="s">
        <v>1198</v>
      </c>
      <c r="AH76" s="43"/>
      <c r="AI76" s="44"/>
      <c r="AJ76" s="44"/>
      <c r="AK76" s="44"/>
      <c r="AL76" s="44"/>
      <c r="AM76" s="44"/>
      <c r="AN76" s="44"/>
      <c r="AO76" s="44"/>
      <c r="AP76" s="44"/>
      <c r="AQ76" s="45"/>
      <c r="AS76"/>
      <c r="AT76"/>
      <c r="AU76"/>
      <c r="AV76"/>
      <c r="AW76"/>
      <c r="AX76"/>
      <c r="AY76"/>
      <c r="AZ76"/>
      <c r="BA76" s="184"/>
      <c r="BB76" s="184"/>
      <c r="BC76" s="184"/>
      <c r="BD76"/>
      <c r="BE76"/>
      <c r="BF76"/>
      <c r="BG76"/>
      <c r="BH76"/>
      <c r="BI76" s="181"/>
      <c r="DK76"/>
    </row>
    <row r="77" spans="1:115" ht="17.25" hidden="1" customHeight="1" outlineLevel="1" x14ac:dyDescent="0.25">
      <c r="A77" s="1557"/>
      <c r="B77" s="1494" t="s">
        <v>1</v>
      </c>
      <c r="C77" s="885" t="str">
        <f>IF(Language="English", 'Language Look Ups'!$P$6,IF(Language="Francais", 'Language Look Ups'!$T$6, 'Language Look Ups'!$R$6))</f>
        <v>Ligature des trompes</v>
      </c>
      <c r="D77" s="886"/>
      <c r="E77" s="886"/>
      <c r="F77" s="887"/>
      <c r="G77" s="883"/>
      <c r="H77" s="903" t="str">
        <f t="shared" ref="H77:V83" si="104">IF(H$21="", "", IFERROR((H23-G23)/G23, ""))</f>
        <v/>
      </c>
      <c r="I77" s="903" t="str">
        <f t="shared" si="104"/>
        <v/>
      </c>
      <c r="J77" s="903" t="str">
        <f t="shared" si="104"/>
        <v/>
      </c>
      <c r="K77" s="903" t="str">
        <f>IF(K$21="", "", IFERROR((K23-J23)/J23, ""))</f>
        <v/>
      </c>
      <c r="L77" s="903" t="str">
        <f>IF(L$21="", "", IFERROR((L23-K23)/K23, ""))</f>
        <v/>
      </c>
      <c r="M77" s="903" t="str">
        <f t="shared" si="104"/>
        <v/>
      </c>
      <c r="N77" s="903" t="str">
        <f t="shared" ref="N77:P81" si="105">IF(N$21="", "", IFERROR((N23-M23)/M23, ""))</f>
        <v/>
      </c>
      <c r="O77" s="903" t="str">
        <f t="shared" si="105"/>
        <v/>
      </c>
      <c r="P77" s="903" t="str">
        <f t="shared" si="105"/>
        <v/>
      </c>
      <c r="Q77" s="903" t="str">
        <f t="shared" si="104"/>
        <v/>
      </c>
      <c r="R77" s="903" t="str">
        <f t="shared" si="104"/>
        <v/>
      </c>
      <c r="S77" s="903" t="str">
        <f t="shared" si="104"/>
        <v/>
      </c>
      <c r="T77" s="903" t="str">
        <f t="shared" si="104"/>
        <v/>
      </c>
      <c r="U77" s="903" t="str">
        <f t="shared" si="104"/>
        <v/>
      </c>
      <c r="V77" s="903" t="str">
        <f t="shared" si="104"/>
        <v/>
      </c>
      <c r="AA77" s="148"/>
      <c r="AB77" s="161">
        <f>COUNTIF(H77:V77, "&lt;-.25")</f>
        <v>0</v>
      </c>
      <c r="AC77" s="162">
        <f>COUNTIF(H77:V77, "&gt;150%")</f>
        <v>0</v>
      </c>
      <c r="AD77" s="2" t="e">
        <f t="shared" ref="AD77:AD101" si="106">AVERAGE(G23:V23)</f>
        <v>#DIV/0!</v>
      </c>
      <c r="AE77" s="2" t="e">
        <f t="shared" ref="AE77:AE101" si="107">_xlfn.STDEV.S(G23:V23)*2</f>
        <v>#DIV/0!</v>
      </c>
      <c r="AF77">
        <f>COUNTIF(G23:V23,"&gt;"&amp;AD77+AE77)</f>
        <v>0</v>
      </c>
      <c r="AG77">
        <f>COUNTIF(H23:W23,"&gt;"&amp;AD77-AE77)</f>
        <v>0</v>
      </c>
    </row>
    <row r="78" spans="1:115" ht="17.25" hidden="1" customHeight="1" outlineLevel="1" thickBot="1" x14ac:dyDescent="0.3">
      <c r="A78" s="1557"/>
      <c r="B78" s="1495"/>
      <c r="C78" s="888" t="str">
        <f>IF(Language="English",'Language Look Ups'!$P$7,IF(Language="Francais",'Language Look Ups'!$T$7,'Language Look Ups'!$R$7))</f>
        <v>Vasectomie</v>
      </c>
      <c r="D78" s="889"/>
      <c r="E78" s="889"/>
      <c r="F78" s="890"/>
      <c r="G78" s="904"/>
      <c r="H78" s="905" t="str">
        <f t="shared" si="104"/>
        <v/>
      </c>
      <c r="I78" s="905" t="str">
        <f t="shared" si="104"/>
        <v/>
      </c>
      <c r="J78" s="905" t="str">
        <f t="shared" si="104"/>
        <v/>
      </c>
      <c r="K78" s="905" t="str">
        <f t="shared" si="104"/>
        <v/>
      </c>
      <c r="L78" s="905" t="str">
        <f t="shared" si="104"/>
        <v/>
      </c>
      <c r="M78" s="905" t="str">
        <f t="shared" si="104"/>
        <v/>
      </c>
      <c r="N78" s="905" t="str">
        <f t="shared" si="105"/>
        <v/>
      </c>
      <c r="O78" s="905" t="str">
        <f t="shared" si="105"/>
        <v/>
      </c>
      <c r="P78" s="905" t="str">
        <f t="shared" si="105"/>
        <v/>
      </c>
      <c r="Q78" s="905" t="str">
        <f t="shared" si="104"/>
        <v/>
      </c>
      <c r="R78" s="905" t="str">
        <f t="shared" si="104"/>
        <v/>
      </c>
      <c r="S78" s="905" t="str">
        <f t="shared" si="104"/>
        <v/>
      </c>
      <c r="T78" s="905" t="str">
        <f t="shared" si="104"/>
        <v/>
      </c>
      <c r="U78" s="905" t="str">
        <f t="shared" si="104"/>
        <v/>
      </c>
      <c r="V78" s="905" t="str">
        <f t="shared" si="104"/>
        <v/>
      </c>
      <c r="AA78" s="149">
        <f>COUNTIF(AB78:AC78, "&gt;0")</f>
        <v>0</v>
      </c>
      <c r="AB78" s="163">
        <f t="shared" ref="AB78:AB100" si="108">COUNTIF(H78:V78, "&lt;-.25")</f>
        <v>0</v>
      </c>
      <c r="AC78" s="164">
        <f t="shared" ref="AC78:AC83" si="109">COUNTIF(H78:V78, "&gt;150%")</f>
        <v>0</v>
      </c>
      <c r="AD78" s="2" t="e">
        <f t="shared" si="106"/>
        <v>#DIV/0!</v>
      </c>
      <c r="AE78" s="2" t="e">
        <f t="shared" si="107"/>
        <v>#DIV/0!</v>
      </c>
      <c r="AF78">
        <f t="shared" ref="AF78:AF101" si="110">COUNTIF(G24:V24,"&gt;"&amp;AE78)</f>
        <v>0</v>
      </c>
    </row>
    <row r="79" spans="1:115" ht="17.25" hidden="1" customHeight="1" outlineLevel="1" x14ac:dyDescent="0.25">
      <c r="A79" s="1557"/>
      <c r="B79" s="1494" t="s">
        <v>5</v>
      </c>
      <c r="C79" s="885" t="str">
        <f>IF(Language="English", 'Language Look Ups'!$P$8,IF(Language="Francais", 'Language Look Ups'!$T$8, 'Language Look Ups'!$R$8))</f>
        <v>Copper- T 380-A DIU</v>
      </c>
      <c r="D79" s="886"/>
      <c r="E79" s="886"/>
      <c r="F79" s="887"/>
      <c r="G79" s="883"/>
      <c r="H79" s="903" t="str">
        <f t="shared" si="104"/>
        <v/>
      </c>
      <c r="I79" s="903" t="str">
        <f t="shared" si="104"/>
        <v/>
      </c>
      <c r="J79" s="903" t="str">
        <f t="shared" si="104"/>
        <v/>
      </c>
      <c r="K79" s="903" t="str">
        <f t="shared" ref="K79:M83" si="111">IF(K$21="", "", IFERROR((K25-J25)/J25, ""))</f>
        <v/>
      </c>
      <c r="L79" s="903" t="str">
        <f t="shared" si="111"/>
        <v/>
      </c>
      <c r="M79" s="903" t="str">
        <f t="shared" si="111"/>
        <v/>
      </c>
      <c r="N79" s="903" t="str">
        <f t="shared" si="105"/>
        <v/>
      </c>
      <c r="O79" s="903" t="str">
        <f t="shared" si="105"/>
        <v/>
      </c>
      <c r="P79" s="903" t="str">
        <f t="shared" si="105"/>
        <v/>
      </c>
      <c r="Q79" s="903" t="str">
        <f t="shared" si="104"/>
        <v/>
      </c>
      <c r="R79" s="903" t="str">
        <f t="shared" si="104"/>
        <v/>
      </c>
      <c r="S79" s="903" t="str">
        <f t="shared" si="104"/>
        <v/>
      </c>
      <c r="T79" s="903" t="str">
        <f t="shared" si="104"/>
        <v/>
      </c>
      <c r="U79" s="903" t="str">
        <f t="shared" si="104"/>
        <v/>
      </c>
      <c r="V79" s="903" t="str">
        <f t="shared" si="104"/>
        <v/>
      </c>
      <c r="AA79" s="148"/>
      <c r="AB79" s="161">
        <f t="shared" si="108"/>
        <v>0</v>
      </c>
      <c r="AC79" s="162">
        <f t="shared" si="109"/>
        <v>0</v>
      </c>
      <c r="AD79" s="2" t="e">
        <f t="shared" si="106"/>
        <v>#DIV/0!</v>
      </c>
      <c r="AE79" s="2" t="e">
        <f t="shared" si="107"/>
        <v>#DIV/0!</v>
      </c>
      <c r="AF79">
        <f t="shared" si="110"/>
        <v>0</v>
      </c>
    </row>
    <row r="80" spans="1:115" ht="17.25" hidden="1" customHeight="1" outlineLevel="1" thickBot="1" x14ac:dyDescent="0.3">
      <c r="A80" s="1557"/>
      <c r="B80" s="1495"/>
      <c r="C80" s="888" t="str">
        <f>IF(Language="English", 'Language Look Ups'!$P$9,IF(Language="Francais", 'Language Look Ups'!$T$9, 'Language Look Ups'!$R$9))</f>
        <v>DIU Hormonal (LNG-IUS)</v>
      </c>
      <c r="D80" s="889"/>
      <c r="E80" s="889"/>
      <c r="F80" s="890"/>
      <c r="G80" s="904"/>
      <c r="H80" s="905" t="str">
        <f t="shared" si="104"/>
        <v/>
      </c>
      <c r="I80" s="905" t="str">
        <f t="shared" si="104"/>
        <v/>
      </c>
      <c r="J80" s="905" t="str">
        <f t="shared" si="104"/>
        <v/>
      </c>
      <c r="K80" s="905" t="str">
        <f t="shared" si="111"/>
        <v/>
      </c>
      <c r="L80" s="905" t="str">
        <f t="shared" si="111"/>
        <v/>
      </c>
      <c r="M80" s="905" t="str">
        <f t="shared" si="111"/>
        <v/>
      </c>
      <c r="N80" s="905" t="str">
        <f t="shared" si="105"/>
        <v/>
      </c>
      <c r="O80" s="905" t="str">
        <f t="shared" si="105"/>
        <v/>
      </c>
      <c r="P80" s="905" t="str">
        <f t="shared" si="105"/>
        <v/>
      </c>
      <c r="Q80" s="905" t="str">
        <f t="shared" si="104"/>
        <v/>
      </c>
      <c r="R80" s="905" t="str">
        <f t="shared" si="104"/>
        <v/>
      </c>
      <c r="S80" s="905" t="str">
        <f t="shared" si="104"/>
        <v/>
      </c>
      <c r="T80" s="905" t="str">
        <f t="shared" si="104"/>
        <v/>
      </c>
      <c r="U80" s="905" t="str">
        <f t="shared" si="104"/>
        <v/>
      </c>
      <c r="V80" s="905" t="str">
        <f t="shared" si="104"/>
        <v/>
      </c>
      <c r="AA80" s="149"/>
      <c r="AB80" s="163">
        <f t="shared" si="108"/>
        <v>0</v>
      </c>
      <c r="AC80" s="164">
        <f t="shared" si="109"/>
        <v>0</v>
      </c>
      <c r="AD80" s="2" t="e">
        <f t="shared" si="106"/>
        <v>#DIV/0!</v>
      </c>
      <c r="AE80" s="2" t="e">
        <f t="shared" si="107"/>
        <v>#DIV/0!</v>
      </c>
      <c r="AF80">
        <f t="shared" si="110"/>
        <v>0</v>
      </c>
    </row>
    <row r="81" spans="1:32" ht="17.25" hidden="1" customHeight="1" outlineLevel="1" x14ac:dyDescent="0.25">
      <c r="A81" s="1557"/>
      <c r="B81" s="1494" t="s">
        <v>3</v>
      </c>
      <c r="C81" s="885" t="str">
        <f>IF(Language="English", 'Language Look Ups'!$P$10,IF(Language="Francais", 'Language Look Ups'!$T$10, 'Language Look Ups'!$R$10))</f>
        <v>Implant de 3 ans (Implanon, Levoplant)</v>
      </c>
      <c r="D81" s="886"/>
      <c r="E81" s="886"/>
      <c r="F81" s="887"/>
      <c r="G81" s="883"/>
      <c r="H81" s="903" t="str">
        <f t="shared" si="104"/>
        <v/>
      </c>
      <c r="I81" s="903" t="str">
        <f t="shared" si="104"/>
        <v/>
      </c>
      <c r="J81" s="903" t="str">
        <f t="shared" si="104"/>
        <v/>
      </c>
      <c r="K81" s="903" t="str">
        <f t="shared" si="111"/>
        <v/>
      </c>
      <c r="L81" s="903" t="str">
        <f t="shared" si="111"/>
        <v/>
      </c>
      <c r="M81" s="903" t="str">
        <f t="shared" si="111"/>
        <v/>
      </c>
      <c r="N81" s="903" t="str">
        <f t="shared" si="105"/>
        <v/>
      </c>
      <c r="O81" s="903" t="str">
        <f t="shared" si="105"/>
        <v/>
      </c>
      <c r="P81" s="903" t="str">
        <f t="shared" si="105"/>
        <v/>
      </c>
      <c r="Q81" s="903" t="str">
        <f t="shared" si="104"/>
        <v/>
      </c>
      <c r="R81" s="903" t="str">
        <f t="shared" si="104"/>
        <v/>
      </c>
      <c r="S81" s="903" t="str">
        <f t="shared" si="104"/>
        <v/>
      </c>
      <c r="T81" s="903" t="str">
        <f t="shared" si="104"/>
        <v/>
      </c>
      <c r="U81" s="903" t="str">
        <f t="shared" si="104"/>
        <v/>
      </c>
      <c r="V81" s="903" t="str">
        <f t="shared" si="104"/>
        <v/>
      </c>
      <c r="AA81" s="148"/>
      <c r="AB81" s="161">
        <f t="shared" si="108"/>
        <v>0</v>
      </c>
      <c r="AC81" s="162">
        <f t="shared" si="109"/>
        <v>0</v>
      </c>
      <c r="AD81" s="2" t="e">
        <f t="shared" si="106"/>
        <v>#DIV/0!</v>
      </c>
      <c r="AE81" s="2" t="e">
        <f t="shared" si="107"/>
        <v>#DIV/0!</v>
      </c>
      <c r="AF81">
        <f t="shared" si="110"/>
        <v>0</v>
      </c>
    </row>
    <row r="82" spans="1:32" ht="17.25" hidden="1" customHeight="1" outlineLevel="1" x14ac:dyDescent="0.25">
      <c r="A82" s="1557"/>
      <c r="B82" s="1496"/>
      <c r="C82" s="891" t="str">
        <f>IF(Language="English", 'Language Look Ups'!$P$11,IF(Language="Francais", 'Language Look Ups'!$T$11, 'Language Look Ups'!$R$11))</f>
        <v>Implant de 4 ans (Sino-Implant)</v>
      </c>
      <c r="D82" s="892"/>
      <c r="E82" s="892"/>
      <c r="F82" s="893"/>
      <c r="G82" s="906"/>
      <c r="H82" s="907" t="str">
        <f t="shared" si="104"/>
        <v/>
      </c>
      <c r="I82" s="907" t="str">
        <f t="shared" si="104"/>
        <v/>
      </c>
      <c r="J82" s="907" t="str">
        <f t="shared" si="104"/>
        <v/>
      </c>
      <c r="K82" s="907" t="str">
        <f t="shared" si="111"/>
        <v/>
      </c>
      <c r="L82" s="907" t="str">
        <f t="shared" si="111"/>
        <v/>
      </c>
      <c r="M82" s="907" t="str">
        <f t="shared" si="111"/>
        <v/>
      </c>
      <c r="N82" s="907" t="str">
        <f>IF(N$21="", "", IFERROR((N28-M28)/M28, ""))</f>
        <v/>
      </c>
      <c r="O82" s="907" t="str">
        <f t="shared" si="104"/>
        <v/>
      </c>
      <c r="P82" s="907" t="str">
        <f t="shared" si="104"/>
        <v/>
      </c>
      <c r="Q82" s="907" t="str">
        <f t="shared" si="104"/>
        <v/>
      </c>
      <c r="R82" s="907" t="str">
        <f t="shared" si="104"/>
        <v/>
      </c>
      <c r="S82" s="907" t="str">
        <f t="shared" si="104"/>
        <v/>
      </c>
      <c r="T82" s="907" t="str">
        <f t="shared" si="104"/>
        <v/>
      </c>
      <c r="U82" s="907" t="str">
        <f t="shared" si="104"/>
        <v/>
      </c>
      <c r="V82" s="907" t="str">
        <f t="shared" si="104"/>
        <v/>
      </c>
      <c r="AB82" s="153">
        <f t="shared" si="108"/>
        <v>0</v>
      </c>
      <c r="AC82" s="154">
        <f t="shared" si="109"/>
        <v>0</v>
      </c>
      <c r="AD82" s="2" t="e">
        <f t="shared" si="106"/>
        <v>#DIV/0!</v>
      </c>
      <c r="AE82" s="2" t="e">
        <f t="shared" si="107"/>
        <v>#DIV/0!</v>
      </c>
      <c r="AF82">
        <f t="shared" si="110"/>
        <v>0</v>
      </c>
    </row>
    <row r="83" spans="1:32" ht="17.25" hidden="1" customHeight="1" outlineLevel="1" thickBot="1" x14ac:dyDescent="0.3">
      <c r="A83" s="1557"/>
      <c r="B83" s="1495"/>
      <c r="C83" s="888" t="str">
        <f>IF(Language="English", 'Language Look Ups'!$P$12,IF(Language="Francais", 'Language Look Ups'!$T$12, 'Language Look Ups'!$R$12))</f>
        <v>Implant de 5 ans (Jadelle)</v>
      </c>
      <c r="D83" s="889"/>
      <c r="E83" s="889"/>
      <c r="F83" s="890"/>
      <c r="G83" s="904"/>
      <c r="H83" s="905" t="str">
        <f t="shared" si="104"/>
        <v/>
      </c>
      <c r="I83" s="905" t="str">
        <f t="shared" si="104"/>
        <v/>
      </c>
      <c r="J83" s="905" t="str">
        <f t="shared" si="104"/>
        <v/>
      </c>
      <c r="K83" s="905" t="str">
        <f t="shared" si="111"/>
        <v/>
      </c>
      <c r="L83" s="905" t="str">
        <f t="shared" si="111"/>
        <v/>
      </c>
      <c r="M83" s="905" t="str">
        <f t="shared" si="111"/>
        <v/>
      </c>
      <c r="N83" s="905" t="str">
        <f>IF(N$21="", "", IFERROR((N29-M29)/M29, ""))</f>
        <v/>
      </c>
      <c r="O83" s="905" t="str">
        <f t="shared" si="104"/>
        <v/>
      </c>
      <c r="P83" s="905" t="str">
        <f t="shared" si="104"/>
        <v/>
      </c>
      <c r="Q83" s="905" t="str">
        <f t="shared" si="104"/>
        <v/>
      </c>
      <c r="R83" s="905" t="str">
        <f t="shared" si="104"/>
        <v/>
      </c>
      <c r="S83" s="905" t="str">
        <f t="shared" si="104"/>
        <v/>
      </c>
      <c r="T83" s="905" t="str">
        <f t="shared" si="104"/>
        <v/>
      </c>
      <c r="U83" s="905" t="str">
        <f t="shared" si="104"/>
        <v/>
      </c>
      <c r="V83" s="905" t="str">
        <f t="shared" si="104"/>
        <v/>
      </c>
      <c r="AA83" s="149"/>
      <c r="AB83" s="163">
        <f t="shared" si="108"/>
        <v>0</v>
      </c>
      <c r="AC83" s="164">
        <f t="shared" si="109"/>
        <v>0</v>
      </c>
      <c r="AD83" s="2" t="e">
        <f t="shared" si="106"/>
        <v>#DIV/0!</v>
      </c>
      <c r="AE83" s="2" t="e">
        <f t="shared" si="107"/>
        <v>#DIV/0!</v>
      </c>
      <c r="AF83">
        <f t="shared" si="110"/>
        <v>0</v>
      </c>
    </row>
    <row r="84" spans="1:32" ht="6" hidden="1" customHeight="1" outlineLevel="1" x14ac:dyDescent="0.25">
      <c r="A84" s="1557"/>
      <c r="C84" s="279"/>
      <c r="AB84" s="153"/>
      <c r="AC84" s="154"/>
      <c r="AD84" s="2" t="e">
        <f t="shared" si="106"/>
        <v>#DIV/0!</v>
      </c>
      <c r="AE84" s="2" t="e">
        <f t="shared" si="107"/>
        <v>#DIV/0!</v>
      </c>
      <c r="AF84">
        <f t="shared" si="110"/>
        <v>0</v>
      </c>
    </row>
    <row r="85" spans="1:32" ht="21.75" hidden="1" customHeight="1" outlineLevel="1" thickBot="1" x14ac:dyDescent="0.3">
      <c r="A85" s="1557"/>
      <c r="B85" s="104" t="s">
        <v>95</v>
      </c>
      <c r="C85" s="104"/>
      <c r="D85" s="51"/>
      <c r="E85" s="50"/>
      <c r="F85" s="42"/>
      <c r="G85" s="158"/>
      <c r="H85" s="159"/>
      <c r="I85" s="158"/>
      <c r="J85" s="159"/>
      <c r="K85" s="158"/>
      <c r="L85" s="159"/>
      <c r="M85" s="158"/>
      <c r="N85" s="159"/>
      <c r="O85" s="158"/>
      <c r="P85" s="159"/>
      <c r="Q85" s="158"/>
      <c r="R85" s="159"/>
      <c r="S85" s="158"/>
      <c r="T85" s="159"/>
      <c r="U85" s="158"/>
      <c r="V85" s="160"/>
      <c r="AB85" s="153"/>
      <c r="AC85" s="154"/>
      <c r="AD85" s="2" t="e">
        <f t="shared" si="106"/>
        <v>#DIV/0!</v>
      </c>
      <c r="AE85" s="2" t="e">
        <f t="shared" si="107"/>
        <v>#DIV/0!</v>
      </c>
      <c r="AF85">
        <f t="shared" si="110"/>
        <v>0</v>
      </c>
    </row>
    <row r="86" spans="1:32" ht="17.25" hidden="1" customHeight="1" outlineLevel="1" x14ac:dyDescent="0.25">
      <c r="A86" s="1557"/>
      <c r="B86" s="1494" t="s">
        <v>2</v>
      </c>
      <c r="C86" s="885" t="str">
        <f>IF(Language="English", 'Language Look Ups'!$P$15,IF(Language="Francais", 'Language Look Ups'!$T$15, 'Language Look Ups'!$R$15))</f>
        <v>Depo Provera (DMPA)</v>
      </c>
      <c r="D86" s="886"/>
      <c r="E86" s="886"/>
      <c r="F86" s="887"/>
      <c r="G86" s="908"/>
      <c r="H86" s="903" t="str">
        <f t="shared" ref="H86:V101" si="112">IF(H$21="", "", IFERROR((H32-G32)/G32, ""))</f>
        <v/>
      </c>
      <c r="I86" s="903" t="str">
        <f t="shared" si="112"/>
        <v/>
      </c>
      <c r="J86" s="903" t="str">
        <f t="shared" si="112"/>
        <v/>
      </c>
      <c r="K86" s="903" t="str">
        <f t="shared" si="112"/>
        <v/>
      </c>
      <c r="L86" s="903" t="str">
        <f t="shared" si="112"/>
        <v/>
      </c>
      <c r="M86" s="903" t="str">
        <f t="shared" si="112"/>
        <v/>
      </c>
      <c r="N86" s="903" t="str">
        <f t="shared" si="112"/>
        <v/>
      </c>
      <c r="O86" s="903" t="str">
        <f t="shared" si="112"/>
        <v/>
      </c>
      <c r="P86" s="903" t="str">
        <f t="shared" si="112"/>
        <v/>
      </c>
      <c r="Q86" s="903" t="str">
        <f t="shared" si="112"/>
        <v/>
      </c>
      <c r="R86" s="903" t="str">
        <f t="shared" si="112"/>
        <v/>
      </c>
      <c r="S86" s="903" t="str">
        <f t="shared" si="112"/>
        <v/>
      </c>
      <c r="T86" s="903" t="str">
        <f t="shared" si="112"/>
        <v/>
      </c>
      <c r="U86" s="903" t="str">
        <f t="shared" si="112"/>
        <v/>
      </c>
      <c r="V86" s="903" t="str">
        <f t="shared" si="112"/>
        <v/>
      </c>
      <c r="AA86" s="148"/>
      <c r="AB86" s="161">
        <f t="shared" si="108"/>
        <v>0</v>
      </c>
      <c r="AC86" s="162">
        <f>COUNTIF(H86:V86, "&gt;150%")</f>
        <v>0</v>
      </c>
      <c r="AD86" s="2" t="e">
        <f t="shared" si="106"/>
        <v>#DIV/0!</v>
      </c>
      <c r="AE86" s="2" t="e">
        <f t="shared" si="107"/>
        <v>#DIV/0!</v>
      </c>
      <c r="AF86">
        <f t="shared" si="110"/>
        <v>0</v>
      </c>
    </row>
    <row r="87" spans="1:32" ht="17.25" hidden="1" customHeight="1" outlineLevel="1" x14ac:dyDescent="0.25">
      <c r="A87" s="1557"/>
      <c r="B87" s="1496"/>
      <c r="C87" s="891" t="str">
        <f>IF(Language="English", 'Language Look Ups'!$P$16,IF(Language="Francais", 'Language Look Ups'!$T$16, 'Language Look Ups'!$R$16))</f>
        <v>Noristerat (NET-En)</v>
      </c>
      <c r="D87" s="892"/>
      <c r="E87" s="892"/>
      <c r="F87" s="893"/>
      <c r="G87" s="909"/>
      <c r="H87" s="907" t="str">
        <f t="shared" si="112"/>
        <v/>
      </c>
      <c r="I87" s="907" t="str">
        <f t="shared" si="112"/>
        <v/>
      </c>
      <c r="J87" s="907" t="str">
        <f t="shared" si="112"/>
        <v/>
      </c>
      <c r="K87" s="907" t="str">
        <f t="shared" si="112"/>
        <v/>
      </c>
      <c r="L87" s="907" t="str">
        <f t="shared" si="112"/>
        <v/>
      </c>
      <c r="M87" s="907" t="str">
        <f t="shared" si="112"/>
        <v/>
      </c>
      <c r="N87" s="907" t="str">
        <f t="shared" si="112"/>
        <v/>
      </c>
      <c r="O87" s="907" t="str">
        <f t="shared" si="112"/>
        <v/>
      </c>
      <c r="P87" s="907" t="str">
        <f t="shared" si="112"/>
        <v/>
      </c>
      <c r="Q87" s="907" t="str">
        <f t="shared" si="112"/>
        <v/>
      </c>
      <c r="R87" s="907" t="str">
        <f t="shared" si="112"/>
        <v/>
      </c>
      <c r="S87" s="907" t="str">
        <f t="shared" si="112"/>
        <v/>
      </c>
      <c r="T87" s="907" t="str">
        <f t="shared" si="112"/>
        <v/>
      </c>
      <c r="U87" s="907" t="str">
        <f t="shared" si="112"/>
        <v/>
      </c>
      <c r="V87" s="907" t="str">
        <f t="shared" si="112"/>
        <v/>
      </c>
      <c r="AB87" s="153">
        <f t="shared" si="108"/>
        <v>0</v>
      </c>
      <c r="AC87" s="154">
        <f t="shared" ref="AC87:AC100" si="113">COUNTIF(H87:V87, "&gt;150%")</f>
        <v>0</v>
      </c>
      <c r="AD87" s="2" t="e">
        <f t="shared" si="106"/>
        <v>#DIV/0!</v>
      </c>
      <c r="AE87" s="2" t="e">
        <f t="shared" si="107"/>
        <v>#DIV/0!</v>
      </c>
      <c r="AF87">
        <f t="shared" si="110"/>
        <v>0</v>
      </c>
    </row>
    <row r="88" spans="1:32" ht="17.25" hidden="1" customHeight="1" outlineLevel="1" x14ac:dyDescent="0.25">
      <c r="A88" s="1557"/>
      <c r="B88" s="1496"/>
      <c r="C88" s="891" t="str">
        <f>IF(Language="English",'Language Look Ups'!$P$17,IF(Language="Francais",'Language Look Ups'!$T$17,'Language Look Ups'!$R$17))</f>
        <v>Lunelle</v>
      </c>
      <c r="D88" s="892"/>
      <c r="E88" s="892"/>
      <c r="F88" s="893"/>
      <c r="G88" s="909"/>
      <c r="H88" s="907" t="str">
        <f t="shared" si="112"/>
        <v/>
      </c>
      <c r="I88" s="907" t="str">
        <f t="shared" si="112"/>
        <v/>
      </c>
      <c r="J88" s="907" t="str">
        <f t="shared" si="112"/>
        <v/>
      </c>
      <c r="K88" s="907" t="str">
        <f t="shared" si="112"/>
        <v/>
      </c>
      <c r="L88" s="907" t="str">
        <f t="shared" si="112"/>
        <v/>
      </c>
      <c r="M88" s="907" t="str">
        <f t="shared" si="112"/>
        <v/>
      </c>
      <c r="N88" s="907" t="str">
        <f t="shared" si="112"/>
        <v/>
      </c>
      <c r="O88" s="907" t="str">
        <f t="shared" si="112"/>
        <v/>
      </c>
      <c r="P88" s="907" t="str">
        <f t="shared" si="112"/>
        <v/>
      </c>
      <c r="Q88" s="907" t="str">
        <f t="shared" si="112"/>
        <v/>
      </c>
      <c r="R88" s="907" t="str">
        <f t="shared" si="112"/>
        <v/>
      </c>
      <c r="S88" s="907" t="str">
        <f t="shared" si="112"/>
        <v/>
      </c>
      <c r="T88" s="907" t="str">
        <f t="shared" si="112"/>
        <v/>
      </c>
      <c r="U88" s="907" t="str">
        <f t="shared" si="112"/>
        <v/>
      </c>
      <c r="V88" s="907" t="str">
        <f t="shared" si="112"/>
        <v/>
      </c>
      <c r="AB88" s="153">
        <f t="shared" si="108"/>
        <v>0</v>
      </c>
      <c r="AC88" s="154">
        <f t="shared" si="113"/>
        <v>0</v>
      </c>
      <c r="AD88" s="2" t="e">
        <f t="shared" si="106"/>
        <v>#DIV/0!</v>
      </c>
      <c r="AE88" s="2" t="e">
        <f t="shared" si="107"/>
        <v>#DIV/0!</v>
      </c>
      <c r="AF88">
        <f t="shared" si="110"/>
        <v>0</v>
      </c>
    </row>
    <row r="89" spans="1:32" ht="17.25" hidden="1" customHeight="1" outlineLevel="1" x14ac:dyDescent="0.25">
      <c r="A89" s="1557"/>
      <c r="B89" s="1496"/>
      <c r="C89" s="891" t="str">
        <f>IF(Language="English", 'Language Look Ups'!$P$18,IF(Language="Francais", 'Language Look Ups'!$T$18, 'Language Look Ups'!$R$18))</f>
        <v>Sayana Press</v>
      </c>
      <c r="D89" s="892"/>
      <c r="E89" s="892"/>
      <c r="F89" s="893"/>
      <c r="G89" s="909"/>
      <c r="H89" s="907" t="str">
        <f t="shared" si="112"/>
        <v/>
      </c>
      <c r="I89" s="907" t="str">
        <f t="shared" si="112"/>
        <v/>
      </c>
      <c r="J89" s="907" t="str">
        <f t="shared" si="112"/>
        <v/>
      </c>
      <c r="K89" s="907" t="str">
        <f t="shared" si="112"/>
        <v/>
      </c>
      <c r="L89" s="907" t="str">
        <f t="shared" si="112"/>
        <v/>
      </c>
      <c r="M89" s="907" t="str">
        <f t="shared" si="112"/>
        <v/>
      </c>
      <c r="N89" s="907" t="str">
        <f t="shared" si="112"/>
        <v/>
      </c>
      <c r="O89" s="907" t="str">
        <f t="shared" si="112"/>
        <v/>
      </c>
      <c r="P89" s="907" t="str">
        <f t="shared" si="112"/>
        <v/>
      </c>
      <c r="Q89" s="907" t="str">
        <f t="shared" si="112"/>
        <v/>
      </c>
      <c r="R89" s="907" t="str">
        <f t="shared" si="112"/>
        <v/>
      </c>
      <c r="S89" s="907" t="str">
        <f t="shared" si="112"/>
        <v/>
      </c>
      <c r="T89" s="907" t="str">
        <f t="shared" si="112"/>
        <v/>
      </c>
      <c r="U89" s="907" t="str">
        <f t="shared" si="112"/>
        <v/>
      </c>
      <c r="V89" s="907" t="str">
        <f t="shared" si="112"/>
        <v/>
      </c>
      <c r="AB89" s="153">
        <f t="shared" si="108"/>
        <v>0</v>
      </c>
      <c r="AC89" s="154">
        <f t="shared" si="113"/>
        <v>0</v>
      </c>
      <c r="AD89" s="2" t="e">
        <f t="shared" si="106"/>
        <v>#DIV/0!</v>
      </c>
      <c r="AE89" s="2" t="e">
        <f t="shared" si="107"/>
        <v>#DIV/0!</v>
      </c>
      <c r="AF89">
        <f t="shared" si="110"/>
        <v>0</v>
      </c>
    </row>
    <row r="90" spans="1:32" ht="17.25" hidden="1" customHeight="1" outlineLevel="1" thickBot="1" x14ac:dyDescent="0.3">
      <c r="A90" s="1557"/>
      <c r="B90" s="1495"/>
      <c r="C90" s="888" t="str">
        <f>IF(Language="English", 'Language Look Ups'!$P$19,IF(Language="Francais", 'Language Look Ups'!$T$19, 'Language Look Ups'!$R$19))</f>
        <v>Autre Injectable</v>
      </c>
      <c r="D90" s="889"/>
      <c r="E90" s="889"/>
      <c r="F90" s="890"/>
      <c r="G90" s="910"/>
      <c r="H90" s="905" t="str">
        <f t="shared" si="112"/>
        <v/>
      </c>
      <c r="I90" s="905" t="str">
        <f t="shared" si="112"/>
        <v/>
      </c>
      <c r="J90" s="905" t="str">
        <f t="shared" si="112"/>
        <v/>
      </c>
      <c r="K90" s="905" t="str">
        <f t="shared" si="112"/>
        <v/>
      </c>
      <c r="L90" s="905" t="str">
        <f t="shared" si="112"/>
        <v/>
      </c>
      <c r="M90" s="905" t="str">
        <f t="shared" si="112"/>
        <v/>
      </c>
      <c r="N90" s="905" t="str">
        <f t="shared" si="112"/>
        <v/>
      </c>
      <c r="O90" s="905" t="str">
        <f t="shared" si="112"/>
        <v/>
      </c>
      <c r="P90" s="905" t="str">
        <f t="shared" si="112"/>
        <v/>
      </c>
      <c r="Q90" s="905" t="str">
        <f t="shared" si="112"/>
        <v/>
      </c>
      <c r="R90" s="905" t="str">
        <f t="shared" si="112"/>
        <v/>
      </c>
      <c r="S90" s="905" t="str">
        <f t="shared" si="112"/>
        <v/>
      </c>
      <c r="T90" s="905" t="str">
        <f t="shared" si="112"/>
        <v/>
      </c>
      <c r="U90" s="905" t="str">
        <f t="shared" si="112"/>
        <v/>
      </c>
      <c r="V90" s="905" t="str">
        <f t="shared" si="112"/>
        <v/>
      </c>
      <c r="AA90" s="149"/>
      <c r="AB90" s="163">
        <f t="shared" si="108"/>
        <v>0</v>
      </c>
      <c r="AC90" s="164">
        <f t="shared" si="113"/>
        <v>0</v>
      </c>
      <c r="AD90" s="2" t="e">
        <f t="shared" si="106"/>
        <v>#DIV/0!</v>
      </c>
      <c r="AE90" s="2" t="e">
        <f t="shared" si="107"/>
        <v>#DIV/0!</v>
      </c>
      <c r="AF90">
        <f t="shared" si="110"/>
        <v>0</v>
      </c>
    </row>
    <row r="91" spans="1:32" ht="17.25" hidden="1" customHeight="1" outlineLevel="1" x14ac:dyDescent="0.25">
      <c r="A91" s="1557"/>
      <c r="B91" s="1494" t="s">
        <v>4</v>
      </c>
      <c r="C91" s="885" t="str">
        <f>IF(Language="English", 'Language Look Ups'!$P$20,IF(Language="Francais", 'Language Look Ups'!$T$20, 'Language Look Ups'!$R$20))</f>
        <v>Oraux combinés (COC)</v>
      </c>
      <c r="D91" s="886"/>
      <c r="E91" s="886"/>
      <c r="F91" s="887"/>
      <c r="G91" s="908"/>
      <c r="H91" s="903" t="str">
        <f t="shared" si="112"/>
        <v/>
      </c>
      <c r="I91" s="903" t="str">
        <f t="shared" si="112"/>
        <v/>
      </c>
      <c r="J91" s="903" t="str">
        <f t="shared" si="112"/>
        <v/>
      </c>
      <c r="K91" s="903" t="str">
        <f t="shared" si="112"/>
        <v/>
      </c>
      <c r="L91" s="903" t="str">
        <f t="shared" si="112"/>
        <v/>
      </c>
      <c r="M91" s="903" t="str">
        <f t="shared" si="112"/>
        <v/>
      </c>
      <c r="N91" s="903" t="str">
        <f t="shared" si="112"/>
        <v/>
      </c>
      <c r="O91" s="903" t="str">
        <f t="shared" si="112"/>
        <v/>
      </c>
      <c r="P91" s="903" t="str">
        <f t="shared" si="112"/>
        <v/>
      </c>
      <c r="Q91" s="903" t="str">
        <f t="shared" si="112"/>
        <v/>
      </c>
      <c r="R91" s="903" t="str">
        <f t="shared" si="112"/>
        <v/>
      </c>
      <c r="S91" s="903" t="str">
        <f t="shared" si="112"/>
        <v/>
      </c>
      <c r="T91" s="903" t="str">
        <f t="shared" si="112"/>
        <v/>
      </c>
      <c r="U91" s="903" t="str">
        <f t="shared" si="112"/>
        <v/>
      </c>
      <c r="V91" s="903" t="str">
        <f t="shared" si="112"/>
        <v/>
      </c>
      <c r="AA91" s="148"/>
      <c r="AB91" s="161">
        <f t="shared" si="108"/>
        <v>0</v>
      </c>
      <c r="AC91" s="162">
        <f t="shared" si="113"/>
        <v>0</v>
      </c>
      <c r="AD91" s="2" t="e">
        <f t="shared" si="106"/>
        <v>#DIV/0!</v>
      </c>
      <c r="AE91" s="2" t="e">
        <f t="shared" si="107"/>
        <v>#DIV/0!</v>
      </c>
      <c r="AF91">
        <f t="shared" si="110"/>
        <v>0</v>
      </c>
    </row>
    <row r="92" spans="1:32" ht="17.25" hidden="1" customHeight="1" outlineLevel="1" x14ac:dyDescent="0.25">
      <c r="A92" s="1557"/>
      <c r="B92" s="1496"/>
      <c r="C92" s="891" t="str">
        <f>IF(Language="English", 'Language Look Ups'!$P$21,IF(Language="Francais", 'Language Look Ups'!$T$21, 'Language Look Ups'!$R$21))</f>
        <v>Progestatifs seul (POP)</v>
      </c>
      <c r="D92" s="892"/>
      <c r="E92" s="892"/>
      <c r="F92" s="893"/>
      <c r="G92" s="909"/>
      <c r="H92" s="907" t="str">
        <f t="shared" si="112"/>
        <v/>
      </c>
      <c r="I92" s="907" t="str">
        <f t="shared" si="112"/>
        <v/>
      </c>
      <c r="J92" s="907" t="str">
        <f t="shared" si="112"/>
        <v/>
      </c>
      <c r="K92" s="907" t="str">
        <f t="shared" si="112"/>
        <v/>
      </c>
      <c r="L92" s="907" t="str">
        <f t="shared" si="112"/>
        <v/>
      </c>
      <c r="M92" s="907" t="str">
        <f t="shared" si="112"/>
        <v/>
      </c>
      <c r="N92" s="907" t="str">
        <f t="shared" si="112"/>
        <v/>
      </c>
      <c r="O92" s="907" t="str">
        <f t="shared" si="112"/>
        <v/>
      </c>
      <c r="P92" s="907" t="str">
        <f t="shared" si="112"/>
        <v/>
      </c>
      <c r="Q92" s="907" t="str">
        <f t="shared" si="112"/>
        <v/>
      </c>
      <c r="R92" s="907" t="str">
        <f t="shared" si="112"/>
        <v/>
      </c>
      <c r="S92" s="907" t="str">
        <f t="shared" si="112"/>
        <v/>
      </c>
      <c r="T92" s="907" t="str">
        <f t="shared" si="112"/>
        <v/>
      </c>
      <c r="U92" s="907" t="str">
        <f t="shared" si="112"/>
        <v/>
      </c>
      <c r="V92" s="907" t="str">
        <f t="shared" si="112"/>
        <v/>
      </c>
      <c r="AB92" s="153">
        <f t="shared" si="108"/>
        <v>0</v>
      </c>
      <c r="AC92" s="154">
        <f t="shared" si="113"/>
        <v>0</v>
      </c>
      <c r="AD92" s="2" t="e">
        <f t="shared" si="106"/>
        <v>#DIV/0!</v>
      </c>
      <c r="AE92" s="2" t="e">
        <f t="shared" si="107"/>
        <v>#DIV/0!</v>
      </c>
      <c r="AF92">
        <f t="shared" si="110"/>
        <v>0</v>
      </c>
    </row>
    <row r="93" spans="1:32" ht="17.25" hidden="1" customHeight="1" outlineLevel="1" thickBot="1" x14ac:dyDescent="0.3">
      <c r="A93" s="1557"/>
      <c r="B93" s="1495"/>
      <c r="C93" s="888" t="str">
        <f>IF(Language="English", 'Language Look Ups'!$P$22,IF(Language="Francais", 'Language Look Ups'!$T$22, 'Language Look Ups'!$R$22))</f>
        <v>Autre pilule</v>
      </c>
      <c r="D93" s="889"/>
      <c r="E93" s="889"/>
      <c r="F93" s="890"/>
      <c r="G93" s="910"/>
      <c r="H93" s="905" t="str">
        <f t="shared" si="112"/>
        <v/>
      </c>
      <c r="I93" s="905" t="str">
        <f t="shared" si="112"/>
        <v/>
      </c>
      <c r="J93" s="905" t="str">
        <f t="shared" si="112"/>
        <v/>
      </c>
      <c r="K93" s="905" t="str">
        <f t="shared" si="112"/>
        <v/>
      </c>
      <c r="L93" s="905" t="str">
        <f t="shared" si="112"/>
        <v/>
      </c>
      <c r="M93" s="905" t="str">
        <f t="shared" si="112"/>
        <v/>
      </c>
      <c r="N93" s="905" t="str">
        <f t="shared" si="112"/>
        <v/>
      </c>
      <c r="O93" s="905" t="str">
        <f t="shared" si="112"/>
        <v/>
      </c>
      <c r="P93" s="905" t="str">
        <f t="shared" si="112"/>
        <v/>
      </c>
      <c r="Q93" s="905" t="str">
        <f t="shared" si="112"/>
        <v/>
      </c>
      <c r="R93" s="905" t="str">
        <f t="shared" si="112"/>
        <v/>
      </c>
      <c r="S93" s="905" t="str">
        <f t="shared" si="112"/>
        <v/>
      </c>
      <c r="T93" s="905" t="str">
        <f t="shared" si="112"/>
        <v/>
      </c>
      <c r="U93" s="905" t="str">
        <f t="shared" si="112"/>
        <v/>
      </c>
      <c r="V93" s="905" t="str">
        <f t="shared" si="112"/>
        <v/>
      </c>
      <c r="AA93" s="149"/>
      <c r="AB93" s="163">
        <f t="shared" si="108"/>
        <v>0</v>
      </c>
      <c r="AC93" s="164">
        <f t="shared" si="113"/>
        <v>0</v>
      </c>
      <c r="AD93" s="2" t="e">
        <f t="shared" si="106"/>
        <v>#DIV/0!</v>
      </c>
      <c r="AE93" s="2" t="e">
        <f t="shared" si="107"/>
        <v>#DIV/0!</v>
      </c>
      <c r="AF93">
        <f t="shared" si="110"/>
        <v>0</v>
      </c>
    </row>
    <row r="94" spans="1:32" ht="17.25" hidden="1" customHeight="1" outlineLevel="1" x14ac:dyDescent="0.25">
      <c r="A94" s="1557"/>
      <c r="B94" s="1494" t="s">
        <v>0</v>
      </c>
      <c r="C94" s="885" t="str">
        <f>IF(Language="English", 'Language Look Ups'!$P$23,IF(Language="Francais", 'Language Look Ups'!$T$23, 'Language Look Ups'!$R$23))</f>
        <v>Préservatifs masculin</v>
      </c>
      <c r="D94" s="886"/>
      <c r="E94" s="886"/>
      <c r="F94" s="887"/>
      <c r="G94" s="908"/>
      <c r="H94" s="903" t="str">
        <f t="shared" si="112"/>
        <v/>
      </c>
      <c r="I94" s="903" t="str">
        <f t="shared" si="112"/>
        <v/>
      </c>
      <c r="J94" s="903" t="str">
        <f t="shared" si="112"/>
        <v/>
      </c>
      <c r="K94" s="903" t="str">
        <f t="shared" si="112"/>
        <v/>
      </c>
      <c r="L94" s="903" t="str">
        <f t="shared" si="112"/>
        <v/>
      </c>
      <c r="M94" s="903" t="str">
        <f t="shared" si="112"/>
        <v/>
      </c>
      <c r="N94" s="903" t="str">
        <f t="shared" si="112"/>
        <v/>
      </c>
      <c r="O94" s="903" t="str">
        <f t="shared" si="112"/>
        <v/>
      </c>
      <c r="P94" s="903" t="str">
        <f t="shared" si="112"/>
        <v/>
      </c>
      <c r="Q94" s="903" t="str">
        <f t="shared" si="112"/>
        <v/>
      </c>
      <c r="R94" s="903" t="str">
        <f t="shared" si="112"/>
        <v/>
      </c>
      <c r="S94" s="903" t="str">
        <f t="shared" si="112"/>
        <v/>
      </c>
      <c r="T94" s="903" t="str">
        <f t="shared" si="112"/>
        <v/>
      </c>
      <c r="U94" s="903" t="str">
        <f t="shared" si="112"/>
        <v/>
      </c>
      <c r="V94" s="903" t="str">
        <f t="shared" si="112"/>
        <v/>
      </c>
      <c r="AA94" s="148"/>
      <c r="AB94" s="161">
        <f t="shared" si="108"/>
        <v>0</v>
      </c>
      <c r="AC94" s="162">
        <f t="shared" si="113"/>
        <v>0</v>
      </c>
      <c r="AD94" s="2" t="e">
        <f t="shared" si="106"/>
        <v>#DIV/0!</v>
      </c>
      <c r="AE94" s="2" t="e">
        <f t="shared" si="107"/>
        <v>#DIV/0!</v>
      </c>
      <c r="AF94">
        <f t="shared" si="110"/>
        <v>0</v>
      </c>
    </row>
    <row r="95" spans="1:32" ht="17.25" hidden="1" customHeight="1" outlineLevel="1" thickBot="1" x14ac:dyDescent="0.3">
      <c r="A95" s="1557"/>
      <c r="B95" s="1495"/>
      <c r="C95" s="888" t="str">
        <f>IF(Language="English", 'Language Look Ups'!$P$24,IF(Language="Francais", 'Language Look Ups'!$T$24, 'Language Look Ups'!$R$24))</f>
        <v>Préservatifs feminin</v>
      </c>
      <c r="D95" s="889"/>
      <c r="E95" s="889"/>
      <c r="F95" s="890"/>
      <c r="G95" s="910"/>
      <c r="H95" s="905" t="str">
        <f t="shared" si="112"/>
        <v/>
      </c>
      <c r="I95" s="905" t="str">
        <f t="shared" si="112"/>
        <v/>
      </c>
      <c r="J95" s="905" t="str">
        <f t="shared" si="112"/>
        <v/>
      </c>
      <c r="K95" s="905" t="str">
        <f t="shared" si="112"/>
        <v/>
      </c>
      <c r="L95" s="905" t="str">
        <f t="shared" si="112"/>
        <v/>
      </c>
      <c r="M95" s="905" t="str">
        <f t="shared" si="112"/>
        <v/>
      </c>
      <c r="N95" s="905" t="str">
        <f t="shared" si="112"/>
        <v/>
      </c>
      <c r="O95" s="905" t="str">
        <f t="shared" si="112"/>
        <v/>
      </c>
      <c r="P95" s="905" t="str">
        <f t="shared" si="112"/>
        <v/>
      </c>
      <c r="Q95" s="905" t="str">
        <f t="shared" si="112"/>
        <v/>
      </c>
      <c r="R95" s="905" t="str">
        <f t="shared" si="112"/>
        <v/>
      </c>
      <c r="S95" s="905" t="str">
        <f t="shared" si="112"/>
        <v/>
      </c>
      <c r="T95" s="905" t="str">
        <f t="shared" si="112"/>
        <v/>
      </c>
      <c r="U95" s="905" t="str">
        <f t="shared" si="112"/>
        <v/>
      </c>
      <c r="V95" s="905" t="str">
        <f t="shared" si="112"/>
        <v/>
      </c>
      <c r="AA95" s="149"/>
      <c r="AB95" s="163">
        <f t="shared" si="108"/>
        <v>0</v>
      </c>
      <c r="AC95" s="164">
        <f t="shared" si="113"/>
        <v>0</v>
      </c>
      <c r="AD95" s="2" t="e">
        <f t="shared" si="106"/>
        <v>#DIV/0!</v>
      </c>
      <c r="AE95" s="2" t="e">
        <f t="shared" si="107"/>
        <v>#DIV/0!</v>
      </c>
      <c r="AF95">
        <f t="shared" si="110"/>
        <v>0</v>
      </c>
    </row>
    <row r="96" spans="1:32" ht="17.25" hidden="1" customHeight="1" outlineLevel="1" x14ac:dyDescent="0.25">
      <c r="A96" s="1557"/>
      <c r="B96" s="1494" t="s">
        <v>93</v>
      </c>
      <c r="C96" s="885" t="str">
        <f>IF(Language="English", 'Language Look Ups'!$P$25,IF(Language="Francais", 'Language Look Ups'!$T$25, 'Language Look Ups'!$R$25))</f>
        <v>MAMA</v>
      </c>
      <c r="D96" s="886"/>
      <c r="E96" s="886"/>
      <c r="F96" s="887"/>
      <c r="G96" s="908"/>
      <c r="H96" s="903" t="str">
        <f t="shared" si="112"/>
        <v/>
      </c>
      <c r="I96" s="903" t="str">
        <f t="shared" si="112"/>
        <v/>
      </c>
      <c r="J96" s="903" t="str">
        <f t="shared" si="112"/>
        <v/>
      </c>
      <c r="K96" s="903" t="str">
        <f t="shared" si="112"/>
        <v/>
      </c>
      <c r="L96" s="903" t="str">
        <f t="shared" si="112"/>
        <v/>
      </c>
      <c r="M96" s="903" t="str">
        <f t="shared" si="112"/>
        <v/>
      </c>
      <c r="N96" s="903" t="str">
        <f t="shared" si="112"/>
        <v/>
      </c>
      <c r="O96" s="903" t="str">
        <f t="shared" si="112"/>
        <v/>
      </c>
      <c r="P96" s="903" t="str">
        <f t="shared" si="112"/>
        <v/>
      </c>
      <c r="Q96" s="903" t="str">
        <f t="shared" si="112"/>
        <v/>
      </c>
      <c r="R96" s="903" t="str">
        <f t="shared" si="112"/>
        <v/>
      </c>
      <c r="S96" s="903" t="str">
        <f t="shared" si="112"/>
        <v/>
      </c>
      <c r="T96" s="903" t="str">
        <f t="shared" si="112"/>
        <v/>
      </c>
      <c r="U96" s="903" t="str">
        <f t="shared" si="112"/>
        <v/>
      </c>
      <c r="V96" s="903" t="str">
        <f t="shared" si="112"/>
        <v/>
      </c>
      <c r="AA96" s="148"/>
      <c r="AB96" s="161">
        <f t="shared" si="108"/>
        <v>0</v>
      </c>
      <c r="AC96" s="162">
        <f t="shared" si="113"/>
        <v>0</v>
      </c>
      <c r="AD96" s="2" t="e">
        <f t="shared" si="106"/>
        <v>#DIV/0!</v>
      </c>
      <c r="AE96" s="2" t="e">
        <f t="shared" si="107"/>
        <v>#DIV/0!</v>
      </c>
      <c r="AF96">
        <f t="shared" si="110"/>
        <v>0</v>
      </c>
    </row>
    <row r="97" spans="1:155" ht="17.25" hidden="1" customHeight="1" outlineLevel="1" x14ac:dyDescent="0.25">
      <c r="A97" s="1557"/>
      <c r="B97" s="1496"/>
      <c r="C97" s="891" t="str">
        <f>IF(Language="English", 'Language Look Ups'!$P$26,IF(Language="Francais", 'Language Look Ups'!$T$26, 'Language Look Ups'!$R$26))</f>
        <v>MJF (Jours fixes)</v>
      </c>
      <c r="D97" s="892"/>
      <c r="E97" s="892"/>
      <c r="F97" s="893"/>
      <c r="G97" s="909"/>
      <c r="H97" s="907" t="str">
        <f t="shared" si="112"/>
        <v/>
      </c>
      <c r="I97" s="907" t="str">
        <f t="shared" si="112"/>
        <v/>
      </c>
      <c r="J97" s="907" t="str">
        <f t="shared" si="112"/>
        <v/>
      </c>
      <c r="K97" s="907" t="str">
        <f t="shared" si="112"/>
        <v/>
      </c>
      <c r="L97" s="907" t="str">
        <f t="shared" si="112"/>
        <v/>
      </c>
      <c r="M97" s="907" t="str">
        <f t="shared" si="112"/>
        <v/>
      </c>
      <c r="N97" s="907" t="str">
        <f t="shared" si="112"/>
        <v/>
      </c>
      <c r="O97" s="907" t="str">
        <f t="shared" si="112"/>
        <v/>
      </c>
      <c r="P97" s="907" t="str">
        <f t="shared" si="112"/>
        <v/>
      </c>
      <c r="Q97" s="907" t="str">
        <f t="shared" si="112"/>
        <v/>
      </c>
      <c r="R97" s="907" t="str">
        <f t="shared" si="112"/>
        <v/>
      </c>
      <c r="S97" s="907" t="str">
        <f t="shared" si="112"/>
        <v/>
      </c>
      <c r="T97" s="907" t="str">
        <f t="shared" si="112"/>
        <v/>
      </c>
      <c r="U97" s="907" t="str">
        <f t="shared" si="112"/>
        <v/>
      </c>
      <c r="V97" s="907" t="str">
        <f t="shared" si="112"/>
        <v/>
      </c>
      <c r="AB97" s="153">
        <f t="shared" si="108"/>
        <v>0</v>
      </c>
      <c r="AC97" s="154">
        <f t="shared" si="113"/>
        <v>0</v>
      </c>
      <c r="AD97" s="2" t="e">
        <f t="shared" si="106"/>
        <v>#DIV/0!</v>
      </c>
      <c r="AE97" s="2" t="e">
        <f t="shared" si="107"/>
        <v>#DIV/0!</v>
      </c>
      <c r="AF97">
        <f t="shared" si="110"/>
        <v>0</v>
      </c>
    </row>
    <row r="98" spans="1:155" ht="17.25" hidden="1" customHeight="1" outlineLevel="1" x14ac:dyDescent="0.25">
      <c r="A98" s="1557"/>
      <c r="B98" s="1496"/>
      <c r="C98" s="891" t="str">
        <f>IF(Language="English", 'Language Look Ups'!$P$27,IF(Language="Francais", 'Language Look Ups'!$T$27, 'Language Look Ups'!$R$27))</f>
        <v>Barrière vaginale</v>
      </c>
      <c r="D98" s="892"/>
      <c r="E98" s="892"/>
      <c r="F98" s="893"/>
      <c r="G98" s="909"/>
      <c r="H98" s="907" t="str">
        <f t="shared" si="112"/>
        <v/>
      </c>
      <c r="I98" s="907" t="str">
        <f t="shared" si="112"/>
        <v/>
      </c>
      <c r="J98" s="907" t="str">
        <f t="shared" si="112"/>
        <v/>
      </c>
      <c r="K98" s="907" t="str">
        <f t="shared" si="112"/>
        <v/>
      </c>
      <c r="L98" s="907" t="str">
        <f t="shared" si="112"/>
        <v/>
      </c>
      <c r="M98" s="907" t="str">
        <f t="shared" si="112"/>
        <v/>
      </c>
      <c r="N98" s="907" t="str">
        <f t="shared" si="112"/>
        <v/>
      </c>
      <c r="O98" s="907" t="str">
        <f t="shared" si="112"/>
        <v/>
      </c>
      <c r="P98" s="907" t="str">
        <f t="shared" si="112"/>
        <v/>
      </c>
      <c r="Q98" s="907" t="str">
        <f t="shared" si="112"/>
        <v/>
      </c>
      <c r="R98" s="907" t="str">
        <f t="shared" si="112"/>
        <v/>
      </c>
      <c r="S98" s="907" t="str">
        <f t="shared" si="112"/>
        <v/>
      </c>
      <c r="T98" s="907" t="str">
        <f t="shared" si="112"/>
        <v/>
      </c>
      <c r="U98" s="907" t="str">
        <f t="shared" si="112"/>
        <v/>
      </c>
      <c r="V98" s="907" t="str">
        <f t="shared" si="112"/>
        <v/>
      </c>
      <c r="AB98" s="153">
        <f t="shared" si="108"/>
        <v>0</v>
      </c>
      <c r="AC98" s="154">
        <f t="shared" si="113"/>
        <v>0</v>
      </c>
      <c r="AD98" s="2" t="e">
        <f t="shared" si="106"/>
        <v>#DIV/0!</v>
      </c>
      <c r="AE98" s="2" t="e">
        <f t="shared" si="107"/>
        <v>#DIV/0!</v>
      </c>
      <c r="AF98">
        <f t="shared" si="110"/>
        <v>0</v>
      </c>
    </row>
    <row r="99" spans="1:155" ht="17.25" hidden="1" customHeight="1" outlineLevel="1" thickBot="1" x14ac:dyDescent="0.3">
      <c r="A99" s="1557"/>
      <c r="B99" s="1495"/>
      <c r="C99" s="888" t="str">
        <f>IF(Language="English", 'Language Look Ups'!$P$28,IF(Language="Francais", 'Language Look Ups'!$T$28, 'Language Look Ups'!$R$28))</f>
        <v>Spermicides</v>
      </c>
      <c r="D99" s="889"/>
      <c r="E99" s="889"/>
      <c r="F99" s="890"/>
      <c r="G99" s="910"/>
      <c r="H99" s="905" t="str">
        <f t="shared" si="112"/>
        <v/>
      </c>
      <c r="I99" s="905" t="str">
        <f t="shared" si="112"/>
        <v/>
      </c>
      <c r="J99" s="905" t="str">
        <f t="shared" si="112"/>
        <v/>
      </c>
      <c r="K99" s="905" t="str">
        <f t="shared" si="112"/>
        <v/>
      </c>
      <c r="L99" s="905" t="str">
        <f t="shared" si="112"/>
        <v/>
      </c>
      <c r="M99" s="905" t="str">
        <f t="shared" si="112"/>
        <v/>
      </c>
      <c r="N99" s="905" t="str">
        <f t="shared" si="112"/>
        <v/>
      </c>
      <c r="O99" s="905" t="str">
        <f t="shared" si="112"/>
        <v/>
      </c>
      <c r="P99" s="905" t="str">
        <f t="shared" si="112"/>
        <v/>
      </c>
      <c r="Q99" s="905" t="str">
        <f t="shared" si="112"/>
        <v/>
      </c>
      <c r="R99" s="905" t="str">
        <f t="shared" si="112"/>
        <v/>
      </c>
      <c r="S99" s="905" t="str">
        <f t="shared" si="112"/>
        <v/>
      </c>
      <c r="T99" s="905" t="str">
        <f t="shared" si="112"/>
        <v/>
      </c>
      <c r="U99" s="905" t="str">
        <f t="shared" si="112"/>
        <v/>
      </c>
      <c r="V99" s="905" t="str">
        <f t="shared" si="112"/>
        <v/>
      </c>
      <c r="AA99" s="149"/>
      <c r="AB99" s="163">
        <f t="shared" si="108"/>
        <v>0</v>
      </c>
      <c r="AC99" s="164">
        <f t="shared" si="113"/>
        <v>0</v>
      </c>
      <c r="AD99" s="2" t="e">
        <f t="shared" si="106"/>
        <v>#DIV/0!</v>
      </c>
      <c r="AE99" s="2" t="e">
        <f t="shared" si="107"/>
        <v>#DIV/0!</v>
      </c>
      <c r="AF99">
        <f t="shared" si="110"/>
        <v>0</v>
      </c>
    </row>
    <row r="100" spans="1:155" ht="36" hidden="1" customHeight="1" outlineLevel="1" thickBot="1" x14ac:dyDescent="0.3">
      <c r="A100" s="1557"/>
      <c r="B100" s="911" t="s">
        <v>7</v>
      </c>
      <c r="C100" s="895" t="str">
        <f>IF(Language="English", 'Language Look Ups'!$P$29,IF(Language="Francais", 'Language Look Ups'!$T$29, 'Language Look Ups'!$R$29))</f>
        <v>CU</v>
      </c>
      <c r="D100" s="896"/>
      <c r="E100" s="896"/>
      <c r="F100" s="897"/>
      <c r="G100" s="912"/>
      <c r="H100" s="913" t="str">
        <f t="shared" si="112"/>
        <v/>
      </c>
      <c r="I100" s="913" t="str">
        <f t="shared" si="112"/>
        <v/>
      </c>
      <c r="J100" s="913" t="str">
        <f t="shared" si="112"/>
        <v/>
      </c>
      <c r="K100" s="913" t="str">
        <f t="shared" si="112"/>
        <v/>
      </c>
      <c r="L100" s="913" t="str">
        <f t="shared" si="112"/>
        <v/>
      </c>
      <c r="M100" s="913" t="str">
        <f t="shared" si="112"/>
        <v/>
      </c>
      <c r="N100" s="913" t="str">
        <f t="shared" si="112"/>
        <v/>
      </c>
      <c r="O100" s="913" t="str">
        <f t="shared" si="112"/>
        <v/>
      </c>
      <c r="P100" s="913" t="str">
        <f t="shared" si="112"/>
        <v/>
      </c>
      <c r="Q100" s="913" t="str">
        <f t="shared" si="112"/>
        <v/>
      </c>
      <c r="R100" s="913" t="str">
        <f t="shared" si="112"/>
        <v/>
      </c>
      <c r="S100" s="913" t="str">
        <f t="shared" si="112"/>
        <v/>
      </c>
      <c r="T100" s="913" t="str">
        <f t="shared" si="112"/>
        <v/>
      </c>
      <c r="U100" s="913" t="str">
        <f t="shared" si="112"/>
        <v/>
      </c>
      <c r="V100" s="913" t="str">
        <f t="shared" si="112"/>
        <v/>
      </c>
      <c r="AA100" s="151"/>
      <c r="AB100" s="165">
        <f t="shared" si="108"/>
        <v>0</v>
      </c>
      <c r="AC100" s="166">
        <f t="shared" si="113"/>
        <v>0</v>
      </c>
      <c r="AD100" s="2" t="e">
        <f t="shared" si="106"/>
        <v>#DIV/0!</v>
      </c>
      <c r="AE100" s="2" t="e">
        <f t="shared" si="107"/>
        <v>#DIV/0!</v>
      </c>
      <c r="AF100">
        <f t="shared" si="110"/>
        <v>0</v>
      </c>
    </row>
    <row r="101" spans="1:155" ht="12.75" hidden="1" customHeight="1" outlineLevel="1" thickBot="1" x14ac:dyDescent="0.3">
      <c r="A101" s="1557"/>
      <c r="B101" s="914"/>
      <c r="C101" s="914"/>
      <c r="D101" s="914"/>
      <c r="E101" s="914"/>
      <c r="F101" s="914"/>
      <c r="G101" s="912"/>
      <c r="H101" s="913" t="str">
        <f t="shared" si="112"/>
        <v/>
      </c>
      <c r="I101" s="913" t="str">
        <f t="shared" si="112"/>
        <v/>
      </c>
      <c r="J101" s="913" t="str">
        <f t="shared" si="112"/>
        <v/>
      </c>
      <c r="K101" s="913" t="str">
        <f t="shared" si="112"/>
        <v/>
      </c>
      <c r="L101" s="913" t="str">
        <f t="shared" si="112"/>
        <v/>
      </c>
      <c r="M101" s="913" t="str">
        <f t="shared" si="112"/>
        <v/>
      </c>
      <c r="N101" s="913" t="str">
        <f t="shared" si="112"/>
        <v/>
      </c>
      <c r="O101" s="913" t="str">
        <f t="shared" si="112"/>
        <v/>
      </c>
      <c r="P101" s="913" t="str">
        <f t="shared" si="112"/>
        <v/>
      </c>
      <c r="Q101" s="913" t="str">
        <f t="shared" si="112"/>
        <v/>
      </c>
      <c r="R101" s="913" t="str">
        <f t="shared" si="112"/>
        <v/>
      </c>
      <c r="S101" s="913" t="str">
        <f t="shared" si="112"/>
        <v/>
      </c>
      <c r="T101" s="913" t="str">
        <f t="shared" si="112"/>
        <v/>
      </c>
      <c r="U101" s="913" t="str">
        <f t="shared" si="112"/>
        <v/>
      </c>
      <c r="V101" s="913" t="str">
        <f t="shared" si="112"/>
        <v/>
      </c>
      <c r="AB101" s="165">
        <f>COUNTIF(H101:V101, "&lt;-.25")</f>
        <v>0</v>
      </c>
      <c r="AC101" s="166">
        <f>COUNTIF(H101:V101, "&gt;150%")</f>
        <v>0</v>
      </c>
      <c r="AD101" s="2">
        <f t="shared" si="106"/>
        <v>0</v>
      </c>
      <c r="AE101" s="2" t="e">
        <f t="shared" si="107"/>
        <v>#DIV/0!</v>
      </c>
      <c r="AF101">
        <f t="shared" si="110"/>
        <v>0</v>
      </c>
    </row>
    <row r="102" spans="1:155" ht="12.75" customHeight="1" collapsed="1" x14ac:dyDescent="0.25"/>
    <row r="103" spans="1:155" ht="23.25" customHeight="1" thickBot="1" x14ac:dyDescent="0.45">
      <c r="B103" s="243" t="str">
        <f>IF(Language="Francais", BC103, BA103)</f>
        <v>ÉTAPE 3 de 3. EXAMINER VOS DONNÉES</v>
      </c>
      <c r="C103" s="232"/>
      <c r="D103" s="232"/>
      <c r="E103" s="232"/>
      <c r="F103" s="232"/>
      <c r="G103" s="232"/>
      <c r="H103" s="232"/>
      <c r="I103" s="232"/>
      <c r="J103" s="232"/>
      <c r="K103" s="232"/>
      <c r="L103" s="232"/>
      <c r="M103" s="232"/>
      <c r="N103" s="232"/>
      <c r="O103" s="232"/>
      <c r="P103" s="232"/>
      <c r="Q103" s="232"/>
      <c r="R103" s="232"/>
      <c r="S103" s="232"/>
      <c r="T103" s="232"/>
      <c r="U103" s="232"/>
      <c r="V103" s="232"/>
      <c r="BA103" s="184" t="s">
        <v>1074</v>
      </c>
      <c r="BC103" s="184" t="s">
        <v>1077</v>
      </c>
    </row>
    <row r="104" spans="1:155" ht="17.25" customHeight="1" x14ac:dyDescent="0.25">
      <c r="B104" t="str">
        <f>IF(Language="Francais", BC104, BA104)</f>
        <v xml:space="preserve">Examinez les graphiques ci-dessous illustrant les données que vous avez saisies ci-dessus. Veillez aux anomalies qui pourraient indiquer des erreurs. Une fois que vous avez validé les données, cliquez sur la flèche pour réviser vos résultats. </v>
      </c>
      <c r="BA104" t="s">
        <v>113</v>
      </c>
      <c r="BC104" t="s">
        <v>823</v>
      </c>
    </row>
    <row r="105" spans="1:155" ht="9.75" customHeight="1" thickBot="1" x14ac:dyDescent="0.3"/>
    <row r="106" spans="1:155" s="41" customFormat="1" ht="18.75" customHeight="1" x14ac:dyDescent="0.25">
      <c r="B106" s="1524" t="str">
        <f>B23</f>
        <v>Stérilisation</v>
      </c>
      <c r="C106" s="1525"/>
      <c r="D106" s="1526"/>
      <c r="G106" s="1504" t="str">
        <f>B25</f>
        <v>DIU</v>
      </c>
      <c r="H106" s="1505"/>
      <c r="I106" s="1505"/>
      <c r="J106" s="1505"/>
      <c r="K106" s="1506"/>
      <c r="M106" s="1504" t="str">
        <f>B27</f>
        <v>Implant</v>
      </c>
      <c r="N106" s="1505"/>
      <c r="O106" s="1505"/>
      <c r="P106" s="1505"/>
      <c r="Q106" s="1506"/>
      <c r="W106"/>
      <c r="X106"/>
      <c r="Y106"/>
      <c r="Z106"/>
      <c r="AA106"/>
      <c r="AS106"/>
      <c r="AT106"/>
      <c r="AU106"/>
      <c r="AV106"/>
      <c r="AW106"/>
      <c r="AX106"/>
      <c r="AY106"/>
      <c r="AZ106"/>
      <c r="BA106" s="184"/>
      <c r="BB106" s="184"/>
      <c r="BC106" s="184"/>
      <c r="BD106"/>
      <c r="BE106"/>
      <c r="BF106"/>
      <c r="BG106"/>
      <c r="BH106"/>
      <c r="BI106" s="182"/>
      <c r="DK106"/>
      <c r="EG106"/>
      <c r="EH106"/>
      <c r="EI106"/>
      <c r="EJ106"/>
      <c r="EK106"/>
      <c r="EL106"/>
      <c r="EM106"/>
      <c r="EN106"/>
      <c r="EO106"/>
      <c r="EP106"/>
      <c r="EQ106"/>
      <c r="ER106"/>
      <c r="ES106"/>
      <c r="ET106"/>
      <c r="EU106"/>
      <c r="EV106"/>
      <c r="EW106"/>
      <c r="EX106"/>
      <c r="EY106"/>
    </row>
    <row r="107" spans="1:155" x14ac:dyDescent="0.25">
      <c r="B107" s="105"/>
      <c r="D107" s="106"/>
      <c r="G107" s="142"/>
      <c r="K107" s="143"/>
      <c r="M107" s="142"/>
      <c r="Q107" s="143"/>
    </row>
    <row r="108" spans="1:155" x14ac:dyDescent="0.25">
      <c r="B108" s="105"/>
      <c r="D108" s="106"/>
      <c r="G108" s="142"/>
      <c r="K108" s="143"/>
      <c r="M108" s="142"/>
      <c r="Q108" s="143"/>
    </row>
    <row r="109" spans="1:155" x14ac:dyDescent="0.25">
      <c r="B109" s="105"/>
      <c r="D109" s="106"/>
      <c r="G109" s="142"/>
      <c r="K109" s="143"/>
      <c r="M109" s="142"/>
      <c r="Q109" s="143"/>
    </row>
    <row r="110" spans="1:155" x14ac:dyDescent="0.25">
      <c r="B110" s="105"/>
      <c r="C110" s="18"/>
      <c r="D110" s="107"/>
      <c r="E110" s="18"/>
      <c r="F110" s="18"/>
      <c r="G110" s="144"/>
      <c r="H110" s="18"/>
      <c r="I110" s="18"/>
      <c r="J110" s="18"/>
      <c r="K110" s="145"/>
      <c r="L110" s="18"/>
      <c r="M110" s="144"/>
      <c r="N110" s="18"/>
      <c r="O110" s="18"/>
      <c r="P110" s="18"/>
      <c r="Q110" s="145"/>
      <c r="S110" s="18"/>
      <c r="T110" s="18"/>
      <c r="U110" s="18"/>
      <c r="V110" s="18"/>
      <c r="AB110" s="18"/>
      <c r="AC110" s="18"/>
      <c r="AD110" s="18"/>
      <c r="AE110" s="18"/>
      <c r="AF110" s="18"/>
      <c r="AG110" s="18"/>
      <c r="AH110" s="18"/>
      <c r="AI110" s="18"/>
      <c r="AJ110" s="18" t="str">
        <f>IF(AJ20="", "", "x")</f>
        <v/>
      </c>
      <c r="AK110" s="18" t="str">
        <f>IF(AJ20="", "", "x")</f>
        <v/>
      </c>
      <c r="AL110" s="18" t="str">
        <f>IF(AL20="", "", "x")</f>
        <v/>
      </c>
      <c r="AM110" s="18" t="str">
        <f>IF(AL20="", "", "x")</f>
        <v/>
      </c>
      <c r="AN110" s="18" t="str">
        <f>IF(AN20="", "", "x")</f>
        <v/>
      </c>
      <c r="AO110" s="18" t="str">
        <f>IF(AN20="", "", "x")</f>
        <v/>
      </c>
      <c r="AP110" s="18" t="str">
        <f>IF(AP20="", "", "x")</f>
        <v/>
      </c>
      <c r="AQ110" s="18" t="str">
        <f>IF(AP20="", "", "x")</f>
        <v/>
      </c>
    </row>
    <row r="111" spans="1:155" x14ac:dyDescent="0.25">
      <c r="B111" s="105"/>
      <c r="D111" s="106"/>
      <c r="G111" s="142"/>
      <c r="K111" s="143"/>
      <c r="M111" s="142"/>
      <c r="Q111" s="143"/>
    </row>
    <row r="112" spans="1:155" x14ac:dyDescent="0.25">
      <c r="B112" s="105"/>
      <c r="D112" s="106"/>
      <c r="G112" s="142"/>
      <c r="K112" s="143"/>
      <c r="M112" s="142"/>
      <c r="Q112" s="143"/>
    </row>
    <row r="113" spans="1:17" x14ac:dyDescent="0.25">
      <c r="B113" s="105"/>
      <c r="D113" s="106"/>
      <c r="G113" s="142"/>
      <c r="K113" s="143"/>
      <c r="M113" s="142"/>
      <c r="Q113" s="143"/>
    </row>
    <row r="114" spans="1:17" x14ac:dyDescent="0.25">
      <c r="B114" s="108"/>
      <c r="D114" s="106"/>
      <c r="G114" s="142"/>
      <c r="K114" s="143"/>
      <c r="M114" s="142"/>
      <c r="Q114" s="143"/>
    </row>
    <row r="115" spans="1:17" x14ac:dyDescent="0.25">
      <c r="B115" s="105"/>
      <c r="D115" s="106"/>
      <c r="G115" s="142"/>
      <c r="K115" s="143"/>
      <c r="M115" s="142"/>
      <c r="Q115" s="143"/>
    </row>
    <row r="116" spans="1:17" x14ac:dyDescent="0.25">
      <c r="B116" s="105"/>
      <c r="D116" s="106"/>
      <c r="G116" s="142"/>
      <c r="J116" s="1"/>
      <c r="K116" s="143"/>
      <c r="M116" s="142"/>
      <c r="Q116" s="143"/>
    </row>
    <row r="117" spans="1:17" x14ac:dyDescent="0.25">
      <c r="B117" s="109"/>
      <c r="D117" s="106"/>
      <c r="G117" s="142"/>
      <c r="K117" s="143"/>
      <c r="M117" s="142"/>
      <c r="Q117" s="143"/>
    </row>
    <row r="118" spans="1:17" x14ac:dyDescent="0.25">
      <c r="B118" s="105"/>
      <c r="D118" s="106"/>
      <c r="G118" s="142"/>
      <c r="K118" s="143"/>
      <c r="M118" s="142"/>
      <c r="Q118" s="143"/>
    </row>
    <row r="119" spans="1:17" ht="15.75" thickBot="1" x14ac:dyDescent="0.3">
      <c r="B119" s="110"/>
      <c r="C119" s="111"/>
      <c r="D119" s="112"/>
      <c r="G119" s="135"/>
      <c r="H119" s="136"/>
      <c r="I119" s="136"/>
      <c r="J119" s="136"/>
      <c r="K119" s="137"/>
      <c r="M119" s="135"/>
      <c r="N119" s="136"/>
      <c r="O119" s="136"/>
      <c r="P119" s="136"/>
      <c r="Q119" s="137"/>
    </row>
    <row r="120" spans="1:17" ht="15.75" thickBot="1" x14ac:dyDescent="0.3">
      <c r="B120" s="155"/>
      <c r="C120" s="1608" t="str">
        <f>IF(AND(B122="", B123="", B121=""), "", "Please explain / S'il vous plaît, expliquez")</f>
        <v/>
      </c>
      <c r="D120" s="1608"/>
      <c r="E120" s="878"/>
      <c r="F120" s="878"/>
      <c r="G120" s="878"/>
      <c r="H120" s="878"/>
      <c r="I120" s="1620" t="str">
        <f>IF(AND(G122="", G123="", G121=""), "", "Please explain / S'il vous plaît, expliquez")</f>
        <v/>
      </c>
      <c r="J120" s="1620"/>
      <c r="K120" s="1620"/>
      <c r="L120" s="878"/>
      <c r="M120" s="878"/>
      <c r="N120" s="878"/>
      <c r="O120" s="1620" t="str">
        <f>IF(AND(M122="", M123="", M121=""), "", "Please explain / S'il vous plaît, expliquez")</f>
        <v/>
      </c>
      <c r="P120" s="1620"/>
      <c r="Q120" s="1620"/>
    </row>
    <row r="121" spans="1:17" ht="26.45" customHeight="1" thickBot="1" x14ac:dyDescent="0.3">
      <c r="B121" s="953" t="str">
        <f>IF(C121=" ", "", 'Language Look Ups'!$B$37)</f>
        <v/>
      </c>
      <c r="C121" s="1560" t="str">
        <f>AA50&amp;" "&amp;AA51</f>
        <v xml:space="preserve"> </v>
      </c>
      <c r="D121" s="1561"/>
      <c r="G121" s="1552" t="str">
        <f>IF(I121=" ", "",  'Language Look Ups'!$B$37)</f>
        <v/>
      </c>
      <c r="H121" s="1553"/>
      <c r="I121" s="1554" t="str">
        <f>AA52&amp;" "&amp;AA53</f>
        <v xml:space="preserve"> </v>
      </c>
      <c r="J121" s="1555"/>
      <c r="K121" s="1556"/>
      <c r="M121" s="1552" t="str">
        <f>IF(O121="  ", "",  'Language Look Ups'!$B$37)</f>
        <v/>
      </c>
      <c r="N121" s="1553"/>
      <c r="O121" s="1558" t="str">
        <f>AA54&amp;" "&amp;AA55&amp;" "&amp;AA56</f>
        <v xml:space="preserve">  </v>
      </c>
      <c r="P121" s="1558"/>
      <c r="Q121" s="1559"/>
    </row>
    <row r="122" spans="1:17" ht="31.5" customHeight="1" x14ac:dyDescent="0.25">
      <c r="B122" s="228" t="str">
        <f>IF(OR($AB$77&gt;0, $AB$78&gt;0), 'Language Look Ups'!B38, "")</f>
        <v/>
      </c>
      <c r="C122" s="1626"/>
      <c r="D122" s="1627"/>
      <c r="G122" s="1623" t="str">
        <f>IF(OR($AB$79&gt;0, $AB$80&gt;0), 'Language Look Ups'!B38, "")</f>
        <v/>
      </c>
      <c r="H122" s="1623"/>
      <c r="I122" s="1626"/>
      <c r="J122" s="1628"/>
      <c r="K122" s="1627"/>
      <c r="M122" s="1623" t="str">
        <f>IF(OR($AB$81&gt;0, $AB$82&gt;0, $AB$83&gt;0), 'Language Look Ups'!B38, "")</f>
        <v/>
      </c>
      <c r="N122" s="1623"/>
      <c r="O122" s="1626"/>
      <c r="P122" s="1628"/>
      <c r="Q122" s="1627"/>
    </row>
    <row r="123" spans="1:17" ht="31.5" customHeight="1" x14ac:dyDescent="0.25">
      <c r="A123" s="22"/>
      <c r="B123" s="186" t="str">
        <f>IF(OR($AC$78&gt;0,$AC$77&gt;0), 'Language Look Ups'!B39,  "")</f>
        <v/>
      </c>
      <c r="C123" s="1613"/>
      <c r="D123" s="1614"/>
      <c r="G123" s="1625" t="str">
        <f>IF(OR($AC$79&gt;0,$AC$80&gt;0), 'Language Look Ups'!B39,  "")</f>
        <v/>
      </c>
      <c r="H123" s="1625"/>
      <c r="I123" s="1613"/>
      <c r="J123" s="1616"/>
      <c r="K123" s="1614"/>
      <c r="M123" s="1625" t="str">
        <f>IF(OR($AC$81&gt;0,$AC$82&gt;0,$AC$83&gt;0), 'Language Look Ups'!B39,  "")</f>
        <v/>
      </c>
      <c r="N123" s="1625"/>
      <c r="O123" s="1613"/>
      <c r="P123" s="1616"/>
      <c r="Q123" s="1614"/>
    </row>
    <row r="124" spans="1:17" ht="5.25" customHeight="1" thickBot="1" x14ac:dyDescent="0.3">
      <c r="A124" s="22"/>
      <c r="G124" s="32"/>
      <c r="H124" s="32"/>
      <c r="I124" s="32"/>
      <c r="J124" s="32"/>
      <c r="M124" s="32"/>
      <c r="N124" s="32"/>
      <c r="O124" s="32"/>
      <c r="P124" s="32"/>
    </row>
    <row r="125" spans="1:17" ht="18.75" x14ac:dyDescent="0.25">
      <c r="B125" s="1524" t="str">
        <f>B32</f>
        <v>Produits injectables</v>
      </c>
      <c r="C125" s="1525"/>
      <c r="D125" s="1526"/>
      <c r="E125" s="41"/>
      <c r="F125" s="41"/>
      <c r="G125" s="1504" t="str">
        <f>B37</f>
        <v>Pilule</v>
      </c>
      <c r="H125" s="1505"/>
      <c r="I125" s="1505"/>
      <c r="J125" s="1505"/>
      <c r="K125" s="1506"/>
      <c r="L125" s="41"/>
      <c r="M125" s="1504" t="str">
        <f>B40</f>
        <v>Préservatifs</v>
      </c>
      <c r="N125" s="1505"/>
      <c r="O125" s="1505"/>
      <c r="P125" s="1505"/>
      <c r="Q125" s="1506"/>
    </row>
    <row r="126" spans="1:17" x14ac:dyDescent="0.25">
      <c r="B126" s="105"/>
      <c r="D126" s="106"/>
      <c r="G126" s="142"/>
      <c r="K126" s="143"/>
      <c r="M126" s="142"/>
      <c r="Q126" s="143"/>
    </row>
    <row r="127" spans="1:17" x14ac:dyDescent="0.25">
      <c r="B127" s="105"/>
      <c r="D127" s="106"/>
      <c r="G127" s="142"/>
      <c r="K127" s="143"/>
      <c r="M127" s="142"/>
      <c r="Q127" s="143"/>
    </row>
    <row r="128" spans="1:17" x14ac:dyDescent="0.25">
      <c r="B128" s="105"/>
      <c r="D128" s="106"/>
      <c r="G128" s="142"/>
      <c r="K128" s="143"/>
      <c r="M128" s="142"/>
      <c r="Q128" s="143"/>
    </row>
    <row r="129" spans="1:55" x14ac:dyDescent="0.25">
      <c r="B129" s="105"/>
      <c r="C129" s="18"/>
      <c r="D129" s="107"/>
      <c r="G129" s="142"/>
      <c r="K129" s="143"/>
      <c r="M129" s="142"/>
      <c r="Q129" s="143"/>
    </row>
    <row r="130" spans="1:55" x14ac:dyDescent="0.25">
      <c r="B130" s="105"/>
      <c r="D130" s="106"/>
      <c r="G130" s="142"/>
      <c r="K130" s="143"/>
      <c r="M130" s="142"/>
      <c r="Q130" s="143"/>
    </row>
    <row r="131" spans="1:55" x14ac:dyDescent="0.25">
      <c r="B131" s="105"/>
      <c r="D131" s="106"/>
      <c r="G131" s="142"/>
      <c r="K131" s="143"/>
      <c r="M131" s="142"/>
      <c r="Q131" s="143"/>
    </row>
    <row r="132" spans="1:55" x14ac:dyDescent="0.25">
      <c r="B132" s="105"/>
      <c r="D132" s="106"/>
      <c r="G132" s="142"/>
      <c r="K132" s="146"/>
      <c r="M132" s="142"/>
      <c r="Q132" s="143"/>
    </row>
    <row r="133" spans="1:55" x14ac:dyDescent="0.25">
      <c r="B133" s="108"/>
      <c r="D133" s="106"/>
      <c r="G133" s="142"/>
      <c r="K133" s="143"/>
      <c r="M133" s="142"/>
      <c r="Q133" s="143"/>
    </row>
    <row r="134" spans="1:55" x14ac:dyDescent="0.25">
      <c r="B134" s="105"/>
      <c r="D134" s="106"/>
      <c r="G134" s="142"/>
      <c r="K134" s="143"/>
      <c r="M134" s="142"/>
      <c r="Q134" s="143"/>
    </row>
    <row r="135" spans="1:55" x14ac:dyDescent="0.25">
      <c r="B135" s="105"/>
      <c r="D135" s="106"/>
      <c r="G135" s="142"/>
      <c r="K135" s="143"/>
      <c r="M135" s="142"/>
      <c r="Q135" s="143"/>
    </row>
    <row r="136" spans="1:55" x14ac:dyDescent="0.25">
      <c r="B136" s="109"/>
      <c r="D136" s="106"/>
      <c r="G136" s="142"/>
      <c r="K136" s="143"/>
      <c r="M136" s="142"/>
      <c r="Q136" s="143"/>
    </row>
    <row r="137" spans="1:55" x14ac:dyDescent="0.25">
      <c r="B137" s="105"/>
      <c r="D137" s="106"/>
      <c r="G137" s="142"/>
      <c r="K137" s="143"/>
      <c r="M137" s="142"/>
      <c r="Q137" s="143"/>
    </row>
    <row r="138" spans="1:55" ht="15.75" thickBot="1" x14ac:dyDescent="0.3">
      <c r="B138" s="110"/>
      <c r="C138" s="111"/>
      <c r="D138" s="112"/>
      <c r="G138" s="135"/>
      <c r="H138" s="136"/>
      <c r="I138" s="136"/>
      <c r="J138" s="136"/>
      <c r="K138" s="137"/>
      <c r="M138" s="135"/>
      <c r="N138" s="136"/>
      <c r="O138" s="136"/>
      <c r="P138" s="136"/>
      <c r="Q138" s="137"/>
    </row>
    <row r="139" spans="1:55" ht="15.75" thickBot="1" x14ac:dyDescent="0.3">
      <c r="B139" s="155"/>
      <c r="C139" s="1608" t="str">
        <f>IF(AND(B141="", B142="", B140=""), "", "Please explain / S'il vous plaît, expliquez")</f>
        <v/>
      </c>
      <c r="D139" s="1608"/>
      <c r="E139" s="878"/>
      <c r="F139" s="878"/>
      <c r="G139" s="878"/>
      <c r="H139" s="878"/>
      <c r="I139" s="1620" t="str">
        <f>IF(AND(G141="", G142="", G140=""), "", "Please explain / S'il vous plaît, expliquez")</f>
        <v/>
      </c>
      <c r="J139" s="1620"/>
      <c r="K139" s="1620"/>
      <c r="L139" s="878"/>
      <c r="M139" s="878"/>
      <c r="N139" s="878"/>
      <c r="O139" s="1620" t="str">
        <f>IF(AND(M141="", M142="", M140=""), "", "Please explain / S'il vous plaît, expliquez")</f>
        <v/>
      </c>
      <c r="P139" s="1620"/>
      <c r="Q139" s="1620"/>
    </row>
    <row r="140" spans="1:55" ht="26.45" customHeight="1" thickBot="1" x14ac:dyDescent="0.3">
      <c r="B140" s="953" t="str">
        <f>IF(C140="    ", "",  'Language Look Ups'!$B$37)</f>
        <v/>
      </c>
      <c r="C140" s="1560" t="str">
        <f>AA59&amp;" "&amp;AA60&amp;" "&amp;AA61&amp;" "&amp;AA62&amp;" "&amp;AA63</f>
        <v xml:space="preserve">    </v>
      </c>
      <c r="D140" s="1561"/>
      <c r="G140" s="1552" t="str">
        <f>IF(I140="  ", "",  'Language Look Ups'!$B$37)</f>
        <v/>
      </c>
      <c r="H140" s="1553"/>
      <c r="I140" s="1554" t="str">
        <f>AA64&amp;" "&amp;AA65&amp;" "&amp;AA66</f>
        <v xml:space="preserve">  </v>
      </c>
      <c r="J140" s="1555"/>
      <c r="K140" s="1556"/>
      <c r="M140" s="1552" t="str">
        <f>IF(O140=" ", "",  'Language Look Ups'!$B$37)</f>
        <v/>
      </c>
      <c r="N140" s="1553"/>
      <c r="O140" s="1558" t="str">
        <f>AA67&amp;" "&amp;AA68</f>
        <v xml:space="preserve"> </v>
      </c>
      <c r="P140" s="1558"/>
      <c r="Q140" s="1559"/>
    </row>
    <row r="141" spans="1:55" ht="31.5" customHeight="1" x14ac:dyDescent="0.25">
      <c r="B141" s="228" t="str">
        <f>IF(OR($AB$86&gt;0, $AB$87&gt;0, $AB$88&gt;0, $AB$89&gt;0, $AB$90&gt;0), 'Language Look Ups'!B38, "")</f>
        <v/>
      </c>
      <c r="C141" s="1611"/>
      <c r="D141" s="1612"/>
      <c r="G141" s="1623" t="str">
        <f>IF(OR($AB$91&gt;0, $AB$92&gt;0, $AB$93&gt;0), 'Language Look Ups'!B38, "")</f>
        <v/>
      </c>
      <c r="H141" s="1623"/>
      <c r="I141" s="1611"/>
      <c r="J141" s="1615"/>
      <c r="K141" s="1612"/>
      <c r="M141" s="1623" t="str">
        <f>IF(OR($AB$94&gt;0, $AB$95&gt;0), 'Language Look Ups'!B38, "")</f>
        <v/>
      </c>
      <c r="N141" s="1623"/>
      <c r="O141" s="1611"/>
      <c r="P141" s="1615"/>
      <c r="Q141" s="1612"/>
      <c r="BA141"/>
      <c r="BB141"/>
      <c r="BC141"/>
    </row>
    <row r="142" spans="1:55" ht="31.5" customHeight="1" x14ac:dyDescent="0.25">
      <c r="A142" s="22"/>
      <c r="B142" s="186" t="str">
        <f>IF(OR($AC$86&gt;0, $AC$87&gt;0, $AC$88&gt;0, $AC$89&gt;0, $AC$90&gt;0), 'Language Look Ups'!B39,  "")</f>
        <v/>
      </c>
      <c r="C142" s="1613"/>
      <c r="D142" s="1614"/>
      <c r="G142" s="1625" t="str">
        <f>IF(OR($AC$91&gt;0,$AC$92&gt;0,$AC$93&gt;0), 'Language Look Ups'!B39,  "")</f>
        <v/>
      </c>
      <c r="H142" s="1625"/>
      <c r="I142" s="1613"/>
      <c r="J142" s="1616"/>
      <c r="K142" s="1614"/>
      <c r="M142" s="1625" t="str">
        <f>IF(OR($AC$94&gt;0,$AC$95&gt;0), 'Language Look Ups'!B39,  "")</f>
        <v/>
      </c>
      <c r="N142" s="1625"/>
      <c r="O142" s="1613"/>
      <c r="P142" s="1616"/>
      <c r="Q142" s="1614"/>
      <c r="BA142"/>
      <c r="BB142"/>
      <c r="BC142"/>
    </row>
    <row r="143" spans="1:55" ht="11.25" customHeight="1" thickBot="1" x14ac:dyDescent="0.3"/>
    <row r="144" spans="1:55" ht="18.75" x14ac:dyDescent="0.25">
      <c r="B144" s="1504" t="str">
        <f>B42</f>
        <v>Autres Méthodes Modernes</v>
      </c>
      <c r="C144" s="1505"/>
      <c r="D144" s="1506"/>
      <c r="G144" s="1504" t="str">
        <f>B46</f>
        <v>Contraception d'urgence</v>
      </c>
      <c r="H144" s="1505"/>
      <c r="I144" s="1505"/>
      <c r="J144" s="1505"/>
      <c r="K144" s="1506"/>
      <c r="M144" s="1504" t="str">
        <f>B47</f>
        <v>CAP Totale</v>
      </c>
      <c r="N144" s="1505"/>
      <c r="O144" s="1505"/>
      <c r="P144" s="1505"/>
      <c r="Q144" s="1506"/>
    </row>
    <row r="145" spans="2:55" x14ac:dyDescent="0.25">
      <c r="B145" s="142"/>
      <c r="D145" s="143"/>
      <c r="G145" s="142"/>
      <c r="K145" s="143"/>
      <c r="M145" s="142"/>
      <c r="Q145" s="143"/>
    </row>
    <row r="146" spans="2:55" x14ac:dyDescent="0.25">
      <c r="B146" s="142"/>
      <c r="D146" s="143"/>
      <c r="G146" s="142"/>
      <c r="K146" s="143"/>
      <c r="M146" s="142"/>
      <c r="Q146" s="143"/>
    </row>
    <row r="147" spans="2:55" ht="18" customHeight="1" x14ac:dyDescent="0.25">
      <c r="B147" s="142"/>
      <c r="D147" s="143"/>
      <c r="G147" s="142"/>
      <c r="K147" s="143"/>
      <c r="M147" s="142"/>
      <c r="Q147" s="143"/>
    </row>
    <row r="148" spans="2:55" ht="18" customHeight="1" x14ac:dyDescent="0.25">
      <c r="B148" s="142"/>
      <c r="D148" s="143"/>
      <c r="G148" s="142"/>
      <c r="K148" s="143"/>
      <c r="M148" s="142"/>
      <c r="Q148" s="143"/>
      <c r="S148" s="1624" t="str">
        <f>IF(Language="English", BA148, BC148)</f>
        <v>Si les données semblent bonnes, 
continuez la révision.</v>
      </c>
      <c r="T148" s="1624"/>
      <c r="U148" s="1624"/>
      <c r="V148" s="187"/>
      <c r="AA148" s="187"/>
      <c r="BA148" s="368" t="s">
        <v>115</v>
      </c>
      <c r="BC148" s="368" t="s">
        <v>824</v>
      </c>
    </row>
    <row r="149" spans="2:55" ht="18" customHeight="1" x14ac:dyDescent="0.25">
      <c r="B149" s="142"/>
      <c r="D149" s="143"/>
      <c r="G149" s="142"/>
      <c r="K149" s="143"/>
      <c r="M149" s="142"/>
      <c r="Q149" s="143"/>
      <c r="S149" s="1624"/>
      <c r="T149" s="1624"/>
      <c r="U149" s="1624"/>
      <c r="V149" s="187"/>
      <c r="AA149" s="187"/>
    </row>
    <row r="150" spans="2:55" ht="15" customHeight="1" x14ac:dyDescent="0.25">
      <c r="B150" s="142"/>
      <c r="D150" s="143"/>
      <c r="G150" s="142"/>
      <c r="K150" s="143"/>
      <c r="M150" s="142"/>
      <c r="Q150" s="143"/>
      <c r="S150" s="1624"/>
      <c r="T150" s="1624"/>
      <c r="U150" s="1624"/>
      <c r="V150" s="187"/>
      <c r="AA150" s="187"/>
    </row>
    <row r="151" spans="2:55" ht="15" customHeight="1" x14ac:dyDescent="0.25">
      <c r="B151" s="142"/>
      <c r="D151" s="143"/>
      <c r="G151" s="142"/>
      <c r="K151" s="143"/>
      <c r="M151" s="142"/>
      <c r="Q151" s="143"/>
    </row>
    <row r="152" spans="2:55" x14ac:dyDescent="0.25">
      <c r="B152" s="142"/>
      <c r="D152" s="143"/>
      <c r="G152" s="142"/>
      <c r="K152" s="143"/>
      <c r="M152" s="142"/>
      <c r="Q152" s="143"/>
    </row>
    <row r="153" spans="2:55" x14ac:dyDescent="0.25">
      <c r="B153" s="142"/>
      <c r="D153" s="143"/>
      <c r="G153" s="142"/>
      <c r="K153" s="143"/>
      <c r="M153" s="142"/>
      <c r="Q153" s="143"/>
    </row>
    <row r="154" spans="2:55" x14ac:dyDescent="0.25">
      <c r="B154" s="142"/>
      <c r="D154" s="143"/>
      <c r="G154" s="142"/>
      <c r="K154" s="143"/>
      <c r="M154" s="142"/>
      <c r="Q154" s="143"/>
    </row>
    <row r="155" spans="2:55" x14ac:dyDescent="0.25">
      <c r="B155" s="142"/>
      <c r="D155" s="143"/>
      <c r="G155" s="142"/>
      <c r="K155" s="143"/>
      <c r="M155" s="142"/>
      <c r="Q155" s="143"/>
    </row>
    <row r="156" spans="2:55" x14ac:dyDescent="0.25">
      <c r="B156" s="142"/>
      <c r="D156" s="143"/>
      <c r="G156" s="142"/>
      <c r="K156" s="143"/>
      <c r="M156" s="142"/>
      <c r="Q156" s="143"/>
    </row>
    <row r="157" spans="2:55" ht="15.75" thickBot="1" x14ac:dyDescent="0.3">
      <c r="B157" s="135"/>
      <c r="C157" s="136"/>
      <c r="D157" s="137"/>
      <c r="G157" s="135"/>
      <c r="H157" s="136"/>
      <c r="I157" s="136"/>
      <c r="J157" s="136"/>
      <c r="K157" s="137"/>
      <c r="M157" s="135"/>
      <c r="N157" s="136"/>
      <c r="O157" s="136"/>
      <c r="P157" s="136"/>
      <c r="Q157" s="137"/>
    </row>
    <row r="158" spans="2:55" ht="15.75" thickBot="1" x14ac:dyDescent="0.3">
      <c r="B158" s="155"/>
      <c r="C158" s="1608" t="str">
        <f>IF(AND(B160="", B161="", B159=""), "", "Please explain / S'il vous plaît, expliquez")</f>
        <v/>
      </c>
      <c r="D158" s="1608"/>
      <c r="E158" s="878"/>
      <c r="F158" s="878"/>
      <c r="G158" s="878"/>
      <c r="H158" s="878"/>
      <c r="I158" s="1620" t="str">
        <f>IF(AND(G160="", G161="", G159=""), "", "Please explain / S'il vous plaît, expliquez")</f>
        <v/>
      </c>
      <c r="J158" s="1620"/>
      <c r="K158" s="1620"/>
      <c r="L158" s="878"/>
      <c r="M158" s="878"/>
      <c r="N158" s="878"/>
      <c r="O158" s="1620" t="str">
        <f>IF(AND(M160="", M161="", M159=""), "", "Please explain / S'il vous plaît, expliquez")</f>
        <v/>
      </c>
      <c r="P158" s="1620"/>
      <c r="Q158" s="1620"/>
    </row>
    <row r="159" spans="2:55" ht="26.45" customHeight="1" thickBot="1" x14ac:dyDescent="0.3">
      <c r="B159" s="953" t="str">
        <f>IF(C159="   ", "",  'Language Look Ups'!$B$37)</f>
        <v/>
      </c>
      <c r="C159" s="1560" t="str">
        <f>AA69&amp;" "&amp;AA70&amp;" "&amp;AA71&amp;" "&amp;AA72</f>
        <v xml:space="preserve">   </v>
      </c>
      <c r="D159" s="1561"/>
      <c r="G159" s="1552" t="str">
        <f>IF(I159="", "",  'Language Look Ups'!$B$37)</f>
        <v/>
      </c>
      <c r="H159" s="1553"/>
      <c r="I159" s="1554" t="str">
        <f>AA73</f>
        <v/>
      </c>
      <c r="J159" s="1555"/>
      <c r="K159" s="1556"/>
      <c r="M159" s="1552" t="str">
        <f>IF(O159=" ", "",  'Language Look Ups'!$B$37)</f>
        <v/>
      </c>
      <c r="N159" s="1553"/>
      <c r="O159" s="1558" t="str">
        <f>AA74&amp;" "</f>
        <v xml:space="preserve"> </v>
      </c>
      <c r="P159" s="1558"/>
      <c r="Q159" s="1559"/>
    </row>
    <row r="160" spans="2:55" ht="31.5" customHeight="1" x14ac:dyDescent="0.25">
      <c r="B160" s="228" t="str">
        <f>IF(OR($AB$96&gt;0, $AB$97&gt;0, $AB$98&gt;0,  $AB$99&gt;0), 'Language Look Ups'!B38, "")</f>
        <v/>
      </c>
      <c r="C160" s="1611"/>
      <c r="D160" s="1612"/>
      <c r="G160" s="1623" t="str">
        <f>IF(OR($AB$100&gt;0), 'Language Look Ups'!B38, "")</f>
        <v/>
      </c>
      <c r="H160" s="1623"/>
      <c r="I160" s="1611"/>
      <c r="J160" s="1615"/>
      <c r="K160" s="1612"/>
      <c r="M160" s="1623" t="str">
        <f>IF( $AB$101&gt;0, 'Language Look Ups'!B38, "")</f>
        <v/>
      </c>
      <c r="N160" s="1623"/>
      <c r="O160" s="1611"/>
      <c r="P160" s="1615"/>
      <c r="Q160" s="1612"/>
      <c r="BA160"/>
      <c r="BB160"/>
      <c r="BC160"/>
    </row>
    <row r="161" spans="2:55" ht="30" customHeight="1" x14ac:dyDescent="0.25">
      <c r="B161" s="186" t="str">
        <f>IF(OR($AC$96&gt;0, $AC$97&gt;0, $AC$98&gt;0, $AC$99&gt;0), 'Language Look Ups'!B39,  "")</f>
        <v/>
      </c>
      <c r="C161" s="1613"/>
      <c r="D161" s="1614"/>
      <c r="G161" s="1625" t="str">
        <f>IF(OR($AC$100&gt;0), 'Language Look Ups'!B39,  "")</f>
        <v/>
      </c>
      <c r="H161" s="1625"/>
      <c r="I161" s="1613"/>
      <c r="J161" s="1616"/>
      <c r="K161" s="1614"/>
      <c r="M161" s="1625" t="str">
        <f>IF($AC$101&gt;0, 'Language Look Ups'!B39,  "")</f>
        <v/>
      </c>
      <c r="N161" s="1625"/>
      <c r="O161" s="1613"/>
      <c r="P161" s="1616"/>
      <c r="Q161" s="1614"/>
      <c r="BA161"/>
      <c r="BB161"/>
      <c r="BC161"/>
    </row>
    <row r="162" spans="2:55" ht="12" customHeight="1" x14ac:dyDescent="0.25">
      <c r="B162" s="881"/>
      <c r="C162" s="882"/>
      <c r="D162" s="882"/>
      <c r="G162" s="880"/>
      <c r="O162" s="879"/>
      <c r="P162" s="879"/>
      <c r="Q162" s="879"/>
      <c r="BA162"/>
      <c r="BB162"/>
      <c r="BC162"/>
    </row>
    <row r="163" spans="2:55" ht="16.149999999999999" customHeight="1" x14ac:dyDescent="0.25">
      <c r="B163" s="952" t="str">
        <f>IF(Language="Francais", BC163, BA163)</f>
        <v>*Valeurs aberrantes = valeurs de plus que 2 écart types de la moyenne</v>
      </c>
      <c r="C163" s="951"/>
      <c r="D163" s="951"/>
      <c r="E163" s="951"/>
      <c r="F163" s="951"/>
      <c r="BA163" s="184" t="s">
        <v>1208</v>
      </c>
      <c r="BC163" s="184" t="s">
        <v>1209</v>
      </c>
    </row>
    <row r="164" spans="2:55" x14ac:dyDescent="0.25">
      <c r="B164" s="226" t="str">
        <f>IF(Language="Francais", BC164, BA164)</f>
        <v>*Déclin = supérieur à 25% de déclin sur un an</v>
      </c>
      <c r="C164" s="226"/>
      <c r="D164" s="226"/>
      <c r="E164" s="226"/>
      <c r="F164" s="226"/>
      <c r="BA164" s="184" t="s">
        <v>1206</v>
      </c>
      <c r="BC164" s="184" t="s">
        <v>818</v>
      </c>
    </row>
    <row r="165" spans="2:55" x14ac:dyDescent="0.25">
      <c r="B165" s="227" t="str">
        <f>IF(Language="Francais", BC165, BA165)</f>
        <v>**Croissance spectaculaire = supérieure à 150% de croissance sur un an.</v>
      </c>
      <c r="C165" s="227"/>
      <c r="D165" s="227"/>
      <c r="E165" s="227"/>
      <c r="F165" s="227"/>
      <c r="BA165" s="184" t="s">
        <v>1207</v>
      </c>
      <c r="BC165" s="184" t="s">
        <v>819</v>
      </c>
    </row>
    <row r="169" spans="2:55" ht="14.45" customHeight="1" x14ac:dyDescent="0.25">
      <c r="G169" s="1604" t="str">
        <f>IF(Language="English", BA148, BC148)</f>
        <v>Si les données semblent bonnes, 
continuez la révision.</v>
      </c>
      <c r="H169" s="1604"/>
      <c r="I169" s="1604"/>
      <c r="J169" s="1604"/>
    </row>
    <row r="170" spans="2:55" ht="14.45" customHeight="1" x14ac:dyDescent="0.25">
      <c r="G170" s="1604"/>
      <c r="H170" s="1604"/>
      <c r="I170" s="1604"/>
      <c r="J170" s="1604"/>
    </row>
    <row r="171" spans="2:55" ht="14.45" customHeight="1" x14ac:dyDescent="0.25">
      <c r="G171" s="1604"/>
      <c r="H171" s="1604"/>
      <c r="I171" s="1604"/>
      <c r="J171" s="1604"/>
    </row>
    <row r="172" spans="2:55" ht="14.45" customHeight="1" x14ac:dyDescent="0.25">
      <c r="G172" s="1604"/>
      <c r="H172" s="1604"/>
      <c r="I172" s="1604"/>
      <c r="J172" s="1604"/>
    </row>
    <row r="176" spans="2:55" ht="15" customHeight="1" x14ac:dyDescent="0.25"/>
    <row r="177" spans="2:22" ht="15" hidden="1" customHeight="1" x14ac:dyDescent="0.25">
      <c r="B177" s="1497" t="str">
        <f>B21</f>
        <v>METHOD</v>
      </c>
      <c r="C177" s="1498"/>
      <c r="D177" s="918" t="str">
        <f t="shared" ref="D177:V177" si="114">D21</f>
        <v>CYP FACTOR</v>
      </c>
      <c r="E177" s="918">
        <f t="shared" si="114"/>
        <v>0</v>
      </c>
      <c r="F177" s="918" t="str">
        <f t="shared" si="114"/>
        <v>UNITS</v>
      </c>
      <c r="G177" s="918">
        <f t="shared" si="114"/>
        <v>0</v>
      </c>
      <c r="H177" s="918" t="str">
        <f t="shared" si="114"/>
        <v/>
      </c>
      <c r="I177" s="918" t="str">
        <f t="shared" si="114"/>
        <v/>
      </c>
      <c r="J177" s="918" t="str">
        <f t="shared" si="114"/>
        <v/>
      </c>
      <c r="K177" s="918" t="str">
        <f t="shared" si="114"/>
        <v/>
      </c>
      <c r="L177" s="918" t="str">
        <f t="shared" si="114"/>
        <v/>
      </c>
      <c r="M177" s="918" t="str">
        <f t="shared" si="114"/>
        <v/>
      </c>
      <c r="N177" s="918" t="str">
        <f t="shared" si="114"/>
        <v/>
      </c>
      <c r="O177" s="918" t="str">
        <f t="shared" si="114"/>
        <v/>
      </c>
      <c r="P177" s="918" t="str">
        <f t="shared" si="114"/>
        <v/>
      </c>
      <c r="Q177" s="918" t="str">
        <f t="shared" si="114"/>
        <v/>
      </c>
      <c r="R177" s="918" t="str">
        <f t="shared" si="114"/>
        <v/>
      </c>
      <c r="S177" s="918" t="str">
        <f t="shared" si="114"/>
        <v/>
      </c>
      <c r="T177" s="918" t="str">
        <f t="shared" si="114"/>
        <v/>
      </c>
      <c r="U177" s="918" t="str">
        <f t="shared" si="114"/>
        <v/>
      </c>
      <c r="V177" s="919" t="str">
        <f t="shared" si="114"/>
        <v/>
      </c>
    </row>
    <row r="178" spans="2:22" ht="15" hidden="1" customHeight="1" x14ac:dyDescent="0.25">
      <c r="B178" s="920"/>
      <c r="C178" s="921" t="e">
        <f>#REF!</f>
        <v>#REF!</v>
      </c>
      <c r="D178" s="921"/>
      <c r="E178" s="921"/>
      <c r="F178" s="921"/>
      <c r="G178" s="922" t="str">
        <f t="shared" ref="G178:V178" si="115">IF(G23="", "", G23)</f>
        <v/>
      </c>
      <c r="H178" s="922" t="str">
        <f t="shared" si="115"/>
        <v/>
      </c>
      <c r="I178" s="922" t="str">
        <f t="shared" si="115"/>
        <v/>
      </c>
      <c r="J178" s="922" t="str">
        <f t="shared" si="115"/>
        <v/>
      </c>
      <c r="K178" s="922" t="str">
        <f t="shared" si="115"/>
        <v/>
      </c>
      <c r="L178" s="922" t="str">
        <f t="shared" si="115"/>
        <v/>
      </c>
      <c r="M178" s="922" t="str">
        <f t="shared" si="115"/>
        <v/>
      </c>
      <c r="N178" s="922" t="str">
        <f t="shared" si="115"/>
        <v/>
      </c>
      <c r="O178" s="922" t="str">
        <f t="shared" si="115"/>
        <v/>
      </c>
      <c r="P178" s="922" t="str">
        <f t="shared" si="115"/>
        <v/>
      </c>
      <c r="Q178" s="922" t="str">
        <f t="shared" si="115"/>
        <v/>
      </c>
      <c r="R178" s="922" t="str">
        <f t="shared" si="115"/>
        <v/>
      </c>
      <c r="S178" s="922" t="str">
        <f t="shared" si="115"/>
        <v/>
      </c>
      <c r="T178" s="922" t="str">
        <f t="shared" si="115"/>
        <v/>
      </c>
      <c r="U178" s="922" t="str">
        <f t="shared" si="115"/>
        <v/>
      </c>
      <c r="V178" s="923" t="str">
        <f t="shared" si="115"/>
        <v/>
      </c>
    </row>
    <row r="179" spans="2:22" ht="15" hidden="1" customHeight="1" x14ac:dyDescent="0.25">
      <c r="B179" s="920"/>
      <c r="C179" s="921" t="e">
        <f>#REF!</f>
        <v>#REF!</v>
      </c>
      <c r="D179" s="921"/>
      <c r="E179" s="921"/>
      <c r="F179" s="921"/>
      <c r="G179" s="922" t="str">
        <f t="shared" ref="G179:V179" si="116">IF(G24="", "", G24)</f>
        <v/>
      </c>
      <c r="H179" s="922" t="str">
        <f t="shared" si="116"/>
        <v/>
      </c>
      <c r="I179" s="922" t="str">
        <f t="shared" si="116"/>
        <v/>
      </c>
      <c r="J179" s="922" t="str">
        <f t="shared" si="116"/>
        <v/>
      </c>
      <c r="K179" s="922" t="str">
        <f t="shared" si="116"/>
        <v/>
      </c>
      <c r="L179" s="922" t="str">
        <f t="shared" si="116"/>
        <v/>
      </c>
      <c r="M179" s="922" t="str">
        <f t="shared" si="116"/>
        <v/>
      </c>
      <c r="N179" s="922" t="str">
        <f t="shared" si="116"/>
        <v/>
      </c>
      <c r="O179" s="922" t="str">
        <f t="shared" si="116"/>
        <v/>
      </c>
      <c r="P179" s="922" t="str">
        <f t="shared" si="116"/>
        <v/>
      </c>
      <c r="Q179" s="922" t="str">
        <f t="shared" si="116"/>
        <v/>
      </c>
      <c r="R179" s="922" t="str">
        <f t="shared" si="116"/>
        <v/>
      </c>
      <c r="S179" s="922" t="str">
        <f t="shared" si="116"/>
        <v/>
      </c>
      <c r="T179" s="922" t="str">
        <f t="shared" si="116"/>
        <v/>
      </c>
      <c r="U179" s="922" t="str">
        <f t="shared" si="116"/>
        <v/>
      </c>
      <c r="V179" s="923" t="str">
        <f t="shared" si="116"/>
        <v/>
      </c>
    </row>
    <row r="180" spans="2:22" ht="15" hidden="1" customHeight="1" x14ac:dyDescent="0.25">
      <c r="B180" s="920"/>
      <c r="C180" s="921" t="e">
        <f>#REF!</f>
        <v>#REF!</v>
      </c>
      <c r="D180" s="921"/>
      <c r="E180" s="921"/>
      <c r="F180" s="921"/>
      <c r="G180" s="922" t="str">
        <f>IF(SUM(G25:G26)=0, "", SUM(G25:G26))</f>
        <v/>
      </c>
      <c r="H180" s="922" t="str">
        <f t="shared" ref="H180:V180" si="117">IF(SUM(H25:H26)=0, "", SUM(H25:H26))</f>
        <v/>
      </c>
      <c r="I180" s="922" t="str">
        <f t="shared" si="117"/>
        <v/>
      </c>
      <c r="J180" s="922" t="str">
        <f t="shared" si="117"/>
        <v/>
      </c>
      <c r="K180" s="922" t="str">
        <f t="shared" si="117"/>
        <v/>
      </c>
      <c r="L180" s="922" t="str">
        <f t="shared" si="117"/>
        <v/>
      </c>
      <c r="M180" s="922" t="str">
        <f t="shared" si="117"/>
        <v/>
      </c>
      <c r="N180" s="922" t="str">
        <f t="shared" si="117"/>
        <v/>
      </c>
      <c r="O180" s="922" t="str">
        <f t="shared" si="117"/>
        <v/>
      </c>
      <c r="P180" s="922" t="str">
        <f t="shared" si="117"/>
        <v/>
      </c>
      <c r="Q180" s="922" t="str">
        <f t="shared" si="117"/>
        <v/>
      </c>
      <c r="R180" s="922" t="str">
        <f t="shared" si="117"/>
        <v/>
      </c>
      <c r="S180" s="922" t="str">
        <f t="shared" si="117"/>
        <v/>
      </c>
      <c r="T180" s="922" t="str">
        <f t="shared" si="117"/>
        <v/>
      </c>
      <c r="U180" s="922" t="str">
        <f t="shared" si="117"/>
        <v/>
      </c>
      <c r="V180" s="923" t="str">
        <f t="shared" si="117"/>
        <v/>
      </c>
    </row>
    <row r="181" spans="2:22" ht="15" hidden="1" customHeight="1" x14ac:dyDescent="0.25">
      <c r="B181" s="920"/>
      <c r="C181" s="921" t="e">
        <f>#REF!</f>
        <v>#REF!</v>
      </c>
      <c r="D181" s="921"/>
      <c r="E181" s="921"/>
      <c r="F181" s="921"/>
      <c r="G181" s="922" t="str">
        <f>IF(SUM(G27:G29)=0, "", SUM(G27:G29))</f>
        <v/>
      </c>
      <c r="H181" s="922" t="str">
        <f t="shared" ref="H181:V181" si="118">IF(SUM(H27:H29)=0, "", SUM(H27:H29))</f>
        <v/>
      </c>
      <c r="I181" s="922" t="str">
        <f t="shared" si="118"/>
        <v/>
      </c>
      <c r="J181" s="922" t="str">
        <f t="shared" si="118"/>
        <v/>
      </c>
      <c r="K181" s="922" t="str">
        <f t="shared" si="118"/>
        <v/>
      </c>
      <c r="L181" s="922" t="str">
        <f t="shared" si="118"/>
        <v/>
      </c>
      <c r="M181" s="922" t="str">
        <f t="shared" si="118"/>
        <v/>
      </c>
      <c r="N181" s="922" t="str">
        <f t="shared" si="118"/>
        <v/>
      </c>
      <c r="O181" s="922" t="str">
        <f t="shared" si="118"/>
        <v/>
      </c>
      <c r="P181" s="922" t="str">
        <f t="shared" si="118"/>
        <v/>
      </c>
      <c r="Q181" s="922" t="str">
        <f t="shared" si="118"/>
        <v/>
      </c>
      <c r="R181" s="922" t="str">
        <f t="shared" si="118"/>
        <v/>
      </c>
      <c r="S181" s="922" t="str">
        <f t="shared" si="118"/>
        <v/>
      </c>
      <c r="T181" s="922" t="str">
        <f t="shared" si="118"/>
        <v/>
      </c>
      <c r="U181" s="922" t="str">
        <f t="shared" si="118"/>
        <v/>
      </c>
      <c r="V181" s="923" t="str">
        <f t="shared" si="118"/>
        <v/>
      </c>
    </row>
    <row r="182" spans="2:22" ht="15" hidden="1" customHeight="1" x14ac:dyDescent="0.25">
      <c r="B182" s="920"/>
      <c r="C182" s="921" t="e">
        <f>#REF!</f>
        <v>#REF!</v>
      </c>
      <c r="D182" s="921"/>
      <c r="E182" s="921"/>
      <c r="F182" s="921"/>
      <c r="G182" s="922" t="str">
        <f>IF(SUM(G32:G36)=0, "", SUM(G32:G36))</f>
        <v/>
      </c>
      <c r="H182" s="922" t="str">
        <f t="shared" ref="H182:V182" si="119">IF(SUM(H32:H36)=0, "", SUM(H32:H36))</f>
        <v/>
      </c>
      <c r="I182" s="922" t="str">
        <f t="shared" si="119"/>
        <v/>
      </c>
      <c r="J182" s="922" t="str">
        <f t="shared" si="119"/>
        <v/>
      </c>
      <c r="K182" s="922" t="str">
        <f t="shared" si="119"/>
        <v/>
      </c>
      <c r="L182" s="922" t="str">
        <f t="shared" si="119"/>
        <v/>
      </c>
      <c r="M182" s="922" t="str">
        <f t="shared" si="119"/>
        <v/>
      </c>
      <c r="N182" s="922" t="str">
        <f t="shared" si="119"/>
        <v/>
      </c>
      <c r="O182" s="922" t="str">
        <f t="shared" si="119"/>
        <v/>
      </c>
      <c r="P182" s="922" t="str">
        <f t="shared" si="119"/>
        <v/>
      </c>
      <c r="Q182" s="922" t="str">
        <f t="shared" si="119"/>
        <v/>
      </c>
      <c r="R182" s="922" t="str">
        <f t="shared" si="119"/>
        <v/>
      </c>
      <c r="S182" s="922" t="str">
        <f t="shared" si="119"/>
        <v/>
      </c>
      <c r="T182" s="922" t="str">
        <f t="shared" si="119"/>
        <v/>
      </c>
      <c r="U182" s="922" t="str">
        <f t="shared" si="119"/>
        <v/>
      </c>
      <c r="V182" s="923" t="str">
        <f t="shared" si="119"/>
        <v/>
      </c>
    </row>
    <row r="183" spans="2:22" ht="15" hidden="1" customHeight="1" x14ac:dyDescent="0.25">
      <c r="B183" s="920"/>
      <c r="C183" s="921" t="e">
        <f>#REF!</f>
        <v>#REF!</v>
      </c>
      <c r="D183" s="921"/>
      <c r="E183" s="921"/>
      <c r="F183" s="921"/>
      <c r="G183" s="922" t="str">
        <f>IF(SUM(G37:G39)=0,"", SUM(G37:G39))</f>
        <v/>
      </c>
      <c r="H183" s="922" t="str">
        <f t="shared" ref="H183:V183" si="120">IF(SUM(H37:H39)=0,"", SUM(H37:H39))</f>
        <v/>
      </c>
      <c r="I183" s="922" t="str">
        <f t="shared" si="120"/>
        <v/>
      </c>
      <c r="J183" s="922" t="str">
        <f t="shared" si="120"/>
        <v/>
      </c>
      <c r="K183" s="922" t="str">
        <f t="shared" si="120"/>
        <v/>
      </c>
      <c r="L183" s="922" t="str">
        <f t="shared" si="120"/>
        <v/>
      </c>
      <c r="M183" s="922" t="str">
        <f t="shared" si="120"/>
        <v/>
      </c>
      <c r="N183" s="922" t="str">
        <f t="shared" si="120"/>
        <v/>
      </c>
      <c r="O183" s="922" t="str">
        <f t="shared" si="120"/>
        <v/>
      </c>
      <c r="P183" s="922" t="str">
        <f t="shared" si="120"/>
        <v/>
      </c>
      <c r="Q183" s="922" t="str">
        <f t="shared" si="120"/>
        <v/>
      </c>
      <c r="R183" s="922" t="str">
        <f t="shared" si="120"/>
        <v/>
      </c>
      <c r="S183" s="922" t="str">
        <f t="shared" si="120"/>
        <v/>
      </c>
      <c r="T183" s="922" t="str">
        <f t="shared" si="120"/>
        <v/>
      </c>
      <c r="U183" s="922" t="str">
        <f t="shared" si="120"/>
        <v/>
      </c>
      <c r="V183" s="923" t="str">
        <f t="shared" si="120"/>
        <v/>
      </c>
    </row>
    <row r="184" spans="2:22" ht="15" hidden="1" customHeight="1" thickBot="1" x14ac:dyDescent="0.3">
      <c r="B184" s="924"/>
      <c r="C184" s="925" t="e">
        <f>#REF!</f>
        <v>#REF!</v>
      </c>
      <c r="D184" s="925"/>
      <c r="E184" s="925"/>
      <c r="F184" s="925"/>
      <c r="G184" s="925" t="str">
        <f>IF(SUM(G40:G41)=0,"", SUM(G40:G41))</f>
        <v/>
      </c>
      <c r="H184" s="925" t="str">
        <f t="shared" ref="H184:V184" si="121">IF(SUM(H40:H41)=0,"", SUM(H40:H41))</f>
        <v/>
      </c>
      <c r="I184" s="925" t="str">
        <f t="shared" si="121"/>
        <v/>
      </c>
      <c r="J184" s="925" t="str">
        <f t="shared" si="121"/>
        <v/>
      </c>
      <c r="K184" s="925" t="str">
        <f t="shared" si="121"/>
        <v/>
      </c>
      <c r="L184" s="925" t="str">
        <f t="shared" si="121"/>
        <v/>
      </c>
      <c r="M184" s="925" t="str">
        <f t="shared" si="121"/>
        <v/>
      </c>
      <c r="N184" s="925" t="str">
        <f t="shared" si="121"/>
        <v/>
      </c>
      <c r="O184" s="925" t="str">
        <f t="shared" si="121"/>
        <v/>
      </c>
      <c r="P184" s="925" t="str">
        <f t="shared" si="121"/>
        <v/>
      </c>
      <c r="Q184" s="925" t="str">
        <f t="shared" si="121"/>
        <v/>
      </c>
      <c r="R184" s="925" t="str">
        <f t="shared" si="121"/>
        <v/>
      </c>
      <c r="S184" s="925" t="str">
        <f t="shared" si="121"/>
        <v/>
      </c>
      <c r="T184" s="925" t="str">
        <f t="shared" si="121"/>
        <v/>
      </c>
      <c r="U184" s="925" t="str">
        <f t="shared" si="121"/>
        <v/>
      </c>
      <c r="V184" s="926" t="str">
        <f t="shared" si="121"/>
        <v/>
      </c>
    </row>
  </sheetData>
  <mergeCells count="105">
    <mergeCell ref="G169:J172"/>
    <mergeCell ref="C122:D123"/>
    <mergeCell ref="I122:K123"/>
    <mergeCell ref="O122:Q123"/>
    <mergeCell ref="C141:D142"/>
    <mergeCell ref="I141:K142"/>
    <mergeCell ref="O141:Q142"/>
    <mergeCell ref="C160:D161"/>
    <mergeCell ref="I160:K161"/>
    <mergeCell ref="O160:Q161"/>
    <mergeCell ref="G161:H161"/>
    <mergeCell ref="M161:N161"/>
    <mergeCell ref="B144:D144"/>
    <mergeCell ref="G144:K144"/>
    <mergeCell ref="M144:Q144"/>
    <mergeCell ref="C159:D159"/>
    <mergeCell ref="G159:H159"/>
    <mergeCell ref="I159:K159"/>
    <mergeCell ref="M159:N159"/>
    <mergeCell ref="O159:Q159"/>
    <mergeCell ref="I158:K158"/>
    <mergeCell ref="O158:Q158"/>
    <mergeCell ref="A49:A101"/>
    <mergeCell ref="B49:V49"/>
    <mergeCell ref="B76:V76"/>
    <mergeCell ref="I120:K120"/>
    <mergeCell ref="O120:Q120"/>
    <mergeCell ref="M121:N121"/>
    <mergeCell ref="O121:Q121"/>
    <mergeCell ref="C140:D140"/>
    <mergeCell ref="G140:H140"/>
    <mergeCell ref="I140:K140"/>
    <mergeCell ref="M140:N140"/>
    <mergeCell ref="O140:Q140"/>
    <mergeCell ref="I139:K139"/>
    <mergeCell ref="O139:Q139"/>
    <mergeCell ref="B67:B68"/>
    <mergeCell ref="B69:B72"/>
    <mergeCell ref="C121:D121"/>
    <mergeCell ref="G121:H121"/>
    <mergeCell ref="I121:K121"/>
    <mergeCell ref="B50:B51"/>
    <mergeCell ref="B52:B53"/>
    <mergeCell ref="B54:B56"/>
    <mergeCell ref="B59:B63"/>
    <mergeCell ref="B64:B66"/>
    <mergeCell ref="DN20:EF20"/>
    <mergeCell ref="ED21:ED22"/>
    <mergeCell ref="EE21:EE22"/>
    <mergeCell ref="DL23:DL24"/>
    <mergeCell ref="DL25:DL26"/>
    <mergeCell ref="DL27:DL29"/>
    <mergeCell ref="P5:R5"/>
    <mergeCell ref="B21:C21"/>
    <mergeCell ref="BK20:BZ20"/>
    <mergeCell ref="CC20:CR20"/>
    <mergeCell ref="CU20:DJ20"/>
    <mergeCell ref="D20:F20"/>
    <mergeCell ref="AA16:AR16"/>
    <mergeCell ref="AA17:AR17"/>
    <mergeCell ref="AB18:AR18"/>
    <mergeCell ref="DL6:DL7"/>
    <mergeCell ref="DL8:DL10"/>
    <mergeCell ref="CS21:CS22"/>
    <mergeCell ref="C120:D120"/>
    <mergeCell ref="G122:H122"/>
    <mergeCell ref="M122:N122"/>
    <mergeCell ref="G106:K106"/>
    <mergeCell ref="G125:K125"/>
    <mergeCell ref="M125:Q125"/>
    <mergeCell ref="S148:U150"/>
    <mergeCell ref="C158:D158"/>
    <mergeCell ref="G160:H160"/>
    <mergeCell ref="M160:N160"/>
    <mergeCell ref="M123:N123"/>
    <mergeCell ref="M141:N141"/>
    <mergeCell ref="G123:H123"/>
    <mergeCell ref="G142:H142"/>
    <mergeCell ref="M142:N142"/>
    <mergeCell ref="C139:D139"/>
    <mergeCell ref="G141:H141"/>
    <mergeCell ref="B79:B80"/>
    <mergeCell ref="B86:B90"/>
    <mergeCell ref="B91:B93"/>
    <mergeCell ref="B94:B95"/>
    <mergeCell ref="B96:B99"/>
    <mergeCell ref="B177:C177"/>
    <mergeCell ref="B2:V2"/>
    <mergeCell ref="B10:B14"/>
    <mergeCell ref="C10:F10"/>
    <mergeCell ref="C12:V12"/>
    <mergeCell ref="C13:V13"/>
    <mergeCell ref="C14:V14"/>
    <mergeCell ref="B81:B83"/>
    <mergeCell ref="B23:B24"/>
    <mergeCell ref="B25:B26"/>
    <mergeCell ref="B27:B29"/>
    <mergeCell ref="B32:B36"/>
    <mergeCell ref="B37:B39"/>
    <mergeCell ref="B40:B41"/>
    <mergeCell ref="B42:B45"/>
    <mergeCell ref="B77:B78"/>
    <mergeCell ref="B106:D106"/>
    <mergeCell ref="B125:D125"/>
    <mergeCell ref="M106:Q106"/>
  </mergeCells>
  <conditionalFormatting sqref="B122">
    <cfRule type="cellIs" dxfId="137" priority="133" operator="equal">
      <formula>""</formula>
    </cfRule>
  </conditionalFormatting>
  <conditionalFormatting sqref="B123">
    <cfRule type="cellIs" dxfId="136" priority="132" operator="equal">
      <formula>""</formula>
    </cfRule>
  </conditionalFormatting>
  <conditionalFormatting sqref="G122">
    <cfRule type="cellIs" dxfId="135" priority="131" operator="equal">
      <formula>""</formula>
    </cfRule>
  </conditionalFormatting>
  <conditionalFormatting sqref="G123">
    <cfRule type="cellIs" dxfId="134" priority="130" operator="equal">
      <formula>""</formula>
    </cfRule>
  </conditionalFormatting>
  <conditionalFormatting sqref="C13:V13">
    <cfRule type="cellIs" dxfId="133" priority="127" operator="equal">
      <formula>"You have at least 3 years of data with reporting rates greater than 60%, please discuss with Track20 Team Member."</formula>
    </cfRule>
    <cfRule type="cellIs" dxfId="132" priority="128" operator="equal">
      <formula>"Reporting Rates are generally below 60%, so this data may not be useable in FPET. This may be an opportunity to address data quality."</formula>
    </cfRule>
    <cfRule type="cellIs" dxfId="131" priority="129" operator="equal">
      <formula>"You have at least 3 years of data with reporting rates greater than 80%."</formula>
    </cfRule>
  </conditionalFormatting>
  <conditionalFormatting sqref="M122">
    <cfRule type="cellIs" dxfId="130" priority="58" operator="equal">
      <formula>""</formula>
    </cfRule>
  </conditionalFormatting>
  <conditionalFormatting sqref="M123">
    <cfRule type="cellIs" dxfId="129" priority="57" operator="equal">
      <formula>""</formula>
    </cfRule>
  </conditionalFormatting>
  <conditionalFormatting sqref="G141">
    <cfRule type="cellIs" dxfId="128" priority="56" operator="equal">
      <formula>""</formula>
    </cfRule>
  </conditionalFormatting>
  <conditionalFormatting sqref="G142">
    <cfRule type="cellIs" dxfId="127" priority="55" operator="equal">
      <formula>""</formula>
    </cfRule>
  </conditionalFormatting>
  <conditionalFormatting sqref="M141">
    <cfRule type="cellIs" dxfId="126" priority="54" operator="equal">
      <formula>""</formula>
    </cfRule>
  </conditionalFormatting>
  <conditionalFormatting sqref="M142">
    <cfRule type="cellIs" dxfId="125" priority="53" operator="equal">
      <formula>""</formula>
    </cfRule>
  </conditionalFormatting>
  <conditionalFormatting sqref="G160">
    <cfRule type="cellIs" dxfId="124" priority="52" operator="equal">
      <formula>""</formula>
    </cfRule>
  </conditionalFormatting>
  <conditionalFormatting sqref="G161">
    <cfRule type="cellIs" dxfId="123" priority="51" operator="equal">
      <formula>""</formula>
    </cfRule>
  </conditionalFormatting>
  <conditionalFormatting sqref="M160">
    <cfRule type="cellIs" dxfId="122" priority="50" operator="equal">
      <formula>""</formula>
    </cfRule>
  </conditionalFormatting>
  <conditionalFormatting sqref="M161">
    <cfRule type="cellIs" dxfId="121" priority="49" operator="equal">
      <formula>""</formula>
    </cfRule>
  </conditionalFormatting>
  <conditionalFormatting sqref="B141">
    <cfRule type="cellIs" dxfId="120" priority="48" operator="equal">
      <formula>""</formula>
    </cfRule>
  </conditionalFormatting>
  <conditionalFormatting sqref="B142">
    <cfRule type="cellIs" dxfId="119" priority="47" operator="equal">
      <formula>""</formula>
    </cfRule>
  </conditionalFormatting>
  <conditionalFormatting sqref="B160">
    <cfRule type="cellIs" dxfId="118" priority="46" operator="equal">
      <formula>""</formula>
    </cfRule>
  </conditionalFormatting>
  <conditionalFormatting sqref="B161">
    <cfRule type="cellIs" dxfId="117" priority="45" operator="equal">
      <formula>""</formula>
    </cfRule>
  </conditionalFormatting>
  <conditionalFormatting sqref="N10:V10">
    <cfRule type="cellIs" dxfId="116" priority="41" operator="equal">
      <formula>""</formula>
    </cfRule>
    <cfRule type="cellIs" dxfId="115" priority="42" operator="greaterThanOrEqual">
      <formula>0.8</formula>
    </cfRule>
    <cfRule type="cellIs" dxfId="114" priority="43" operator="between">
      <formula>0.599</formula>
      <formula>0.7999</formula>
    </cfRule>
    <cfRule type="cellIs" dxfId="113" priority="44" operator="lessThan">
      <formula>0.5999</formula>
    </cfRule>
  </conditionalFormatting>
  <conditionalFormatting sqref="N10:V10">
    <cfRule type="expression" dxfId="112" priority="40">
      <formula>N$9=""</formula>
    </cfRule>
  </conditionalFormatting>
  <conditionalFormatting sqref="G162">
    <cfRule type="cellIs" dxfId="111" priority="23" operator="equal">
      <formula>""</formula>
    </cfRule>
  </conditionalFormatting>
  <conditionalFormatting sqref="B162">
    <cfRule type="cellIs" dxfId="110" priority="22" operator="equal">
      <formula>""</formula>
    </cfRule>
  </conditionalFormatting>
  <conditionalFormatting sqref="M121">
    <cfRule type="expression" dxfId="109" priority="10">
      <formula>M121=""</formula>
    </cfRule>
  </conditionalFormatting>
  <conditionalFormatting sqref="G121">
    <cfRule type="expression" dxfId="108" priority="11">
      <formula>G121=""</formula>
    </cfRule>
  </conditionalFormatting>
  <conditionalFormatting sqref="B121">
    <cfRule type="expression" dxfId="107" priority="9">
      <formula>B121=""</formula>
    </cfRule>
  </conditionalFormatting>
  <conditionalFormatting sqref="M140">
    <cfRule type="expression" dxfId="106" priority="7">
      <formula>M140=""</formula>
    </cfRule>
  </conditionalFormatting>
  <conditionalFormatting sqref="G140">
    <cfRule type="expression" dxfId="105" priority="8">
      <formula>G140=""</formula>
    </cfRule>
  </conditionalFormatting>
  <conditionalFormatting sqref="B140">
    <cfRule type="expression" dxfId="104" priority="6">
      <formula>B140=""</formula>
    </cfRule>
  </conditionalFormatting>
  <conditionalFormatting sqref="M159">
    <cfRule type="expression" dxfId="103" priority="4">
      <formula>M159=""</formula>
    </cfRule>
  </conditionalFormatting>
  <conditionalFormatting sqref="G159">
    <cfRule type="expression" dxfId="102" priority="5">
      <formula>G159=""</formula>
    </cfRule>
  </conditionalFormatting>
  <conditionalFormatting sqref="B159">
    <cfRule type="expression" dxfId="101" priority="3">
      <formula>B159=""</formula>
    </cfRule>
  </conditionalFormatting>
  <conditionalFormatting sqref="B163">
    <cfRule type="expression" dxfId="100" priority="2">
      <formula>B163=""</formula>
    </cfRule>
  </conditionalFormatting>
  <conditionalFormatting sqref="G10:V10">
    <cfRule type="expression" dxfId="99" priority="1">
      <formula>G9=""</formula>
    </cfRule>
    <cfRule type="cellIs" dxfId="98" priority="36" operator="equal">
      <formula>""</formula>
    </cfRule>
    <cfRule type="cellIs" dxfId="97" priority="37" operator="greaterThanOrEqual">
      <formula>0.8</formula>
    </cfRule>
    <cfRule type="cellIs" dxfId="96" priority="38" operator="between">
      <formula>0.599</formula>
      <formula>0.7999</formula>
    </cfRule>
    <cfRule type="cellIs" dxfId="95" priority="39" operator="lessThan">
      <formula>0.5999</formula>
    </cfRule>
  </conditionalFormatting>
  <hyperlinks>
    <hyperlink ref="S148:U150" location="'Visits Output'!A1" tooltip="Review Output" display="'Visits Output'!A1" xr:uid="{00000000-0004-0000-0E00-000000000000}"/>
    <hyperlink ref="P5:R5" location="'Users Input'!A1" tooltip="Click to Enter Users Data" display="'Users Input'!A1" xr:uid="{00000000-0004-0000-0E00-000001000000}"/>
    <hyperlink ref="G169:I172" location="'Commodities (Facility) Output'!A1" display="'Commodities (Facility) Output'!A1" xr:uid="{EA8E008A-AAB8-43B0-8DD8-386CCB35DADC}"/>
    <hyperlink ref="G169:J172" location="'Visits Output'!A1" display="'Visits Output'!A1" xr:uid="{72DAAF08-4AB5-46A2-8561-C6C6E0F97B0D}"/>
  </hyperlinks>
  <pageMargins left="0.7" right="0.7" top="0.75" bottom="0.75" header="0.3" footer="0.3"/>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80" id="{76C9BDD6-4B9D-4824-AF1D-995AEA8C460E}">
            <xm:f>$D23&lt;&gt;Assumptions!$E8</xm:f>
            <x14:dxf>
              <font>
                <b/>
                <i val="0"/>
                <color rgb="FFC00000"/>
              </font>
              <fill>
                <patternFill>
                  <bgColor rgb="FFFAC8C8"/>
                </patternFill>
              </fill>
            </x14:dxf>
          </x14:cfRule>
          <xm:sqref>D23:D29 D32:D46</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tabColor theme="3"/>
    <pageSetUpPr autoPageBreaks="0"/>
  </sheetPr>
  <dimension ref="A1:BH153"/>
  <sheetViews>
    <sheetView showGridLines="0" zoomScale="70" zoomScaleNormal="70" workbookViewId="0">
      <selection activeCell="C106" sqref="C106:H107"/>
    </sheetView>
  </sheetViews>
  <sheetFormatPr defaultRowHeight="15" outlineLevelRow="1" x14ac:dyDescent="0.25"/>
  <cols>
    <col min="1" max="1" width="6.7109375" customWidth="1"/>
    <col min="2" max="2" width="21.140625" customWidth="1"/>
    <col min="3" max="3" width="28.28515625" style="20" customWidth="1"/>
    <col min="4" max="8" width="12.140625" customWidth="1"/>
    <col min="9" max="9" width="12.28515625" customWidth="1"/>
    <col min="10" max="10" width="11.42578125" customWidth="1"/>
    <col min="11" max="19" width="10.7109375" customWidth="1"/>
    <col min="20" max="20" width="3.28515625" customWidth="1"/>
    <col min="21" max="21" width="16.5703125" customWidth="1"/>
    <col min="22" max="22" width="16.42578125" customWidth="1"/>
    <col min="23" max="23" width="4.42578125" style="489" customWidth="1"/>
    <col min="24" max="32" width="11" hidden="1" customWidth="1"/>
    <col min="33" max="38" width="11" customWidth="1"/>
    <col min="39" max="59" width="8.85546875" customWidth="1"/>
    <col min="60" max="60" width="6.140625" style="489" customWidth="1"/>
  </cols>
  <sheetData>
    <row r="1" spans="2:51" ht="34.5" customHeight="1" x14ac:dyDescent="0.25">
      <c r="B1" s="1512" t="str">
        <f>IF(Language="English", AD2, AF2)</f>
        <v>Résultat : Examinez les Utilisatrices PF et l'EUM calculés à partir des données des visites</v>
      </c>
      <c r="C1" s="1512"/>
      <c r="D1" s="1512"/>
      <c r="E1" s="1512"/>
      <c r="F1" s="1512"/>
      <c r="G1" s="1512"/>
      <c r="H1" s="1512"/>
      <c r="I1" s="1512"/>
      <c r="J1" s="1512"/>
      <c r="K1" s="1512"/>
      <c r="L1" s="1512"/>
      <c r="M1" s="1512"/>
      <c r="N1" s="1512"/>
      <c r="O1" s="1512"/>
      <c r="P1" s="1512"/>
      <c r="Q1" s="1512"/>
      <c r="R1" s="1512"/>
      <c r="S1" s="1512"/>
      <c r="T1" s="1512"/>
      <c r="U1" s="1512"/>
      <c r="V1" s="1512"/>
      <c r="AD1" s="445" t="s">
        <v>628</v>
      </c>
      <c r="AE1" s="449" t="s">
        <v>656</v>
      </c>
      <c r="AF1" s="447" t="s">
        <v>740</v>
      </c>
      <c r="AY1">
        <f>'Visits Input'!AS22</f>
        <v>0</v>
      </c>
    </row>
    <row r="2" spans="2:51" ht="28.5" x14ac:dyDescent="0.45">
      <c r="B2" s="272" t="str">
        <f>IF('2. Pop_Prev Set Up'!$W$2="Yes", '2. Pop_Prev Set Up'!$W$1&amp;" : "&amp;'2. Pop_Prev Set Up'!$W$3, '2. Pop_Prev Set Up'!$W$1&amp;" : "&amp;"National")</f>
        <v>0 : National</v>
      </c>
      <c r="C2"/>
      <c r="AB2" s="470"/>
      <c r="AC2" s="470"/>
      <c r="AD2" s="445" t="s">
        <v>574</v>
      </c>
      <c r="AE2" s="449"/>
      <c r="AF2" s="447" t="s">
        <v>2425</v>
      </c>
      <c r="AG2" s="470"/>
      <c r="AH2" s="470"/>
      <c r="AI2" s="470"/>
      <c r="AJ2" s="470"/>
      <c r="AK2" s="470"/>
      <c r="AL2" s="470"/>
      <c r="AM2" s="470"/>
      <c r="AN2" s="470"/>
      <c r="AO2" s="470"/>
      <c r="AP2" s="470"/>
      <c r="AQ2" s="470"/>
      <c r="AR2" s="470"/>
      <c r="AS2" s="470"/>
    </row>
    <row r="3" spans="2:51" ht="35.25" customHeight="1" x14ac:dyDescent="0.3">
      <c r="B3" s="1562" t="str">
        <f>IF(Language="English", AD3, AF3)</f>
        <v>Sur la base de vos données, nous avons calculé les utilisatrices modernes par méthode, combinaison de méthodes modernes, et l'utilisation moderne estimée (EMU) qui en résulte, calculées en tant qu'utilisatrices / femmes en âge de procréer. Passez en revue les résultats dans les graphiques et les tableaux ci-dessous.</v>
      </c>
      <c r="C3" s="1562"/>
      <c r="D3" s="1562"/>
      <c r="E3" s="1562"/>
      <c r="F3" s="1562"/>
      <c r="G3" s="1562"/>
      <c r="H3" s="1562"/>
      <c r="I3" s="1562"/>
      <c r="J3" s="1562"/>
      <c r="K3" s="1562"/>
      <c r="L3" s="1562"/>
      <c r="M3" s="1562"/>
      <c r="N3" s="1562"/>
      <c r="O3" s="1562"/>
      <c r="P3" s="1562"/>
      <c r="Q3" s="1562"/>
      <c r="R3" s="1562"/>
      <c r="S3" s="1562"/>
      <c r="T3" s="1562"/>
      <c r="U3" s="1562"/>
      <c r="AD3" s="445" t="s">
        <v>1058</v>
      </c>
      <c r="AE3" s="449"/>
      <c r="AF3" s="447" t="s">
        <v>2434</v>
      </c>
    </row>
    <row r="4" spans="2:51" ht="18.75" x14ac:dyDescent="0.3">
      <c r="B4" s="742" t="str">
        <f>IF(AND(COUNT($D$124:$S$124)&gt;COUNT(D125:S125), Language="English"), "One Year of Users/EMU Not Calculated : Check Reporting Rates on Input Tab", IF(AND(COUNT($D$124:$S$124)&gt;COUNT($D$125:$S$125), Language="Francais"), "Un an d'utilisatrices / EMU non calculé : Vérifier les taux de complétude sur l'onglet d'entrée", ""))</f>
        <v>Un an d'utilisatrices / EMU non calculé : Vérifier les taux de complétude sur l'onglet d'entrée</v>
      </c>
      <c r="AD4" s="445"/>
      <c r="AE4" s="449"/>
      <c r="AF4" s="447"/>
    </row>
    <row r="5" spans="2:51" ht="15.75" hidden="1" customHeight="1" outlineLevel="1" thickBot="1" x14ac:dyDescent="0.3">
      <c r="B5" t="s">
        <v>1056</v>
      </c>
      <c r="AD5" s="445"/>
      <c r="AE5" s="449"/>
      <c r="AF5" s="447"/>
    </row>
    <row r="6" spans="2:51" ht="18.75" hidden="1" customHeight="1" outlineLevel="1" x14ac:dyDescent="0.25">
      <c r="C6" s="725" t="str">
        <f>IF(Language="English", AD6, AF6)</f>
        <v>Utilisatrices par méthode 
(statistiques de service)</v>
      </c>
      <c r="D6" s="726">
        <f t="shared" ref="D6:S6" si="0">D124</f>
        <v>0</v>
      </c>
      <c r="E6" s="726" t="str">
        <f t="shared" si="0"/>
        <v/>
      </c>
      <c r="F6" s="726" t="str">
        <f t="shared" si="0"/>
        <v/>
      </c>
      <c r="G6" s="726" t="str">
        <f t="shared" si="0"/>
        <v/>
      </c>
      <c r="H6" s="726" t="str">
        <f t="shared" si="0"/>
        <v/>
      </c>
      <c r="I6" s="726" t="str">
        <f t="shared" si="0"/>
        <v/>
      </c>
      <c r="J6" s="726" t="str">
        <f t="shared" si="0"/>
        <v/>
      </c>
      <c r="K6" s="726" t="str">
        <f t="shared" si="0"/>
        <v/>
      </c>
      <c r="L6" s="726" t="str">
        <f t="shared" si="0"/>
        <v/>
      </c>
      <c r="M6" s="726" t="str">
        <f t="shared" si="0"/>
        <v/>
      </c>
      <c r="N6" s="726" t="str">
        <f t="shared" si="0"/>
        <v/>
      </c>
      <c r="O6" s="726" t="str">
        <f t="shared" si="0"/>
        <v/>
      </c>
      <c r="P6" s="726" t="str">
        <f t="shared" si="0"/>
        <v/>
      </c>
      <c r="Q6" s="726" t="str">
        <f t="shared" si="0"/>
        <v/>
      </c>
      <c r="R6" s="726" t="str">
        <f t="shared" si="0"/>
        <v/>
      </c>
      <c r="S6" s="727" t="str">
        <f t="shared" si="0"/>
        <v/>
      </c>
      <c r="AD6" s="654" t="s">
        <v>996</v>
      </c>
      <c r="AE6" s="449"/>
      <c r="AF6" s="655" t="s">
        <v>2415</v>
      </c>
    </row>
    <row r="7" spans="2:51" ht="15" hidden="1" customHeight="1" outlineLevel="1" x14ac:dyDescent="0.25">
      <c r="C7" s="728" t="str">
        <f>C45</f>
        <v>Stérilisation (f)</v>
      </c>
      <c r="D7" s="2" t="e">
        <f t="shared" ref="D7:S7" si="1">IF(D$124="", NA(),IF(D$152="", NA(), D126))</f>
        <v>#N/A</v>
      </c>
      <c r="E7" s="2" t="e">
        <f t="shared" si="1"/>
        <v>#N/A</v>
      </c>
      <c r="F7" s="2" t="e">
        <f t="shared" si="1"/>
        <v>#N/A</v>
      </c>
      <c r="G7" s="2" t="e">
        <f t="shared" si="1"/>
        <v>#N/A</v>
      </c>
      <c r="H7" s="2" t="e">
        <f t="shared" si="1"/>
        <v>#N/A</v>
      </c>
      <c r="I7" s="2" t="e">
        <f t="shared" si="1"/>
        <v>#N/A</v>
      </c>
      <c r="J7" s="2" t="e">
        <f t="shared" si="1"/>
        <v>#N/A</v>
      </c>
      <c r="K7" s="2" t="e">
        <f t="shared" si="1"/>
        <v>#N/A</v>
      </c>
      <c r="L7" s="2" t="e">
        <f t="shared" si="1"/>
        <v>#N/A</v>
      </c>
      <c r="M7" s="2" t="e">
        <f t="shared" si="1"/>
        <v>#N/A</v>
      </c>
      <c r="N7" s="2" t="e">
        <f t="shared" si="1"/>
        <v>#N/A</v>
      </c>
      <c r="O7" s="2" t="e">
        <f t="shared" si="1"/>
        <v>#N/A</v>
      </c>
      <c r="P7" s="2" t="e">
        <f t="shared" si="1"/>
        <v>#N/A</v>
      </c>
      <c r="Q7" s="2" t="e">
        <f t="shared" si="1"/>
        <v>#N/A</v>
      </c>
      <c r="R7" s="2" t="e">
        <f t="shared" si="1"/>
        <v>#N/A</v>
      </c>
      <c r="S7" s="729" t="e">
        <f t="shared" si="1"/>
        <v>#N/A</v>
      </c>
      <c r="AD7" s="445"/>
      <c r="AE7" s="449"/>
      <c r="AF7" s="447"/>
    </row>
    <row r="8" spans="2:51" ht="15" hidden="1" customHeight="1" outlineLevel="1" x14ac:dyDescent="0.25">
      <c r="C8" s="728" t="str">
        <f t="shared" ref="C8:C14" si="2">C46</f>
        <v>Stérilisation (m)</v>
      </c>
      <c r="D8" s="2" t="e">
        <f t="shared" ref="D8:S8" si="3">IF(D$124="", NA(),IF(D$152="", NA(), D127))</f>
        <v>#N/A</v>
      </c>
      <c r="E8" s="2" t="e">
        <f t="shared" si="3"/>
        <v>#N/A</v>
      </c>
      <c r="F8" s="2" t="e">
        <f t="shared" si="3"/>
        <v>#N/A</v>
      </c>
      <c r="G8" s="2" t="e">
        <f t="shared" si="3"/>
        <v>#N/A</v>
      </c>
      <c r="H8" s="2" t="e">
        <f t="shared" si="3"/>
        <v>#N/A</v>
      </c>
      <c r="I8" s="2" t="e">
        <f t="shared" si="3"/>
        <v>#N/A</v>
      </c>
      <c r="J8" s="2" t="e">
        <f t="shared" si="3"/>
        <v>#N/A</v>
      </c>
      <c r="K8" s="2" t="e">
        <f t="shared" si="3"/>
        <v>#N/A</v>
      </c>
      <c r="L8" s="2" t="e">
        <f t="shared" si="3"/>
        <v>#N/A</v>
      </c>
      <c r="M8" s="2" t="e">
        <f t="shared" si="3"/>
        <v>#N/A</v>
      </c>
      <c r="N8" s="2" t="e">
        <f t="shared" si="3"/>
        <v>#N/A</v>
      </c>
      <c r="O8" s="2" t="e">
        <f t="shared" si="3"/>
        <v>#N/A</v>
      </c>
      <c r="P8" s="2" t="e">
        <f t="shared" si="3"/>
        <v>#N/A</v>
      </c>
      <c r="Q8" s="2" t="e">
        <f t="shared" si="3"/>
        <v>#N/A</v>
      </c>
      <c r="R8" s="2" t="e">
        <f t="shared" si="3"/>
        <v>#N/A</v>
      </c>
      <c r="S8" s="729" t="e">
        <f t="shared" si="3"/>
        <v>#N/A</v>
      </c>
      <c r="AD8" s="445"/>
      <c r="AE8" s="449"/>
      <c r="AF8" s="447"/>
    </row>
    <row r="9" spans="2:51" ht="15" hidden="1" customHeight="1" outlineLevel="1" x14ac:dyDescent="0.25">
      <c r="C9" s="728" t="str">
        <f t="shared" si="2"/>
        <v>DIU</v>
      </c>
      <c r="D9" s="2" t="e">
        <f t="shared" ref="D9:S9" si="4">IF(D$124="", NA(), IF(D$152="", NA(), SUM(D128:D129)))</f>
        <v>#N/A</v>
      </c>
      <c r="E9" s="2" t="e">
        <f t="shared" si="4"/>
        <v>#N/A</v>
      </c>
      <c r="F9" s="2" t="e">
        <f t="shared" si="4"/>
        <v>#N/A</v>
      </c>
      <c r="G9" s="2" t="e">
        <f t="shared" si="4"/>
        <v>#N/A</v>
      </c>
      <c r="H9" s="2" t="e">
        <f t="shared" si="4"/>
        <v>#N/A</v>
      </c>
      <c r="I9" s="2" t="e">
        <f t="shared" si="4"/>
        <v>#N/A</v>
      </c>
      <c r="J9" s="2" t="e">
        <f t="shared" si="4"/>
        <v>#N/A</v>
      </c>
      <c r="K9" s="2" t="e">
        <f t="shared" si="4"/>
        <v>#N/A</v>
      </c>
      <c r="L9" s="2" t="e">
        <f t="shared" si="4"/>
        <v>#N/A</v>
      </c>
      <c r="M9" s="2" t="e">
        <f t="shared" si="4"/>
        <v>#N/A</v>
      </c>
      <c r="N9" s="2" t="e">
        <f t="shared" si="4"/>
        <v>#N/A</v>
      </c>
      <c r="O9" s="2" t="e">
        <f t="shared" si="4"/>
        <v>#N/A</v>
      </c>
      <c r="P9" s="2" t="e">
        <f t="shared" si="4"/>
        <v>#N/A</v>
      </c>
      <c r="Q9" s="2" t="e">
        <f t="shared" si="4"/>
        <v>#N/A</v>
      </c>
      <c r="R9" s="2" t="e">
        <f t="shared" si="4"/>
        <v>#N/A</v>
      </c>
      <c r="S9" s="729" t="e">
        <f t="shared" si="4"/>
        <v>#N/A</v>
      </c>
      <c r="AD9" s="445"/>
      <c r="AE9" s="449"/>
      <c r="AF9" s="447"/>
    </row>
    <row r="10" spans="2:51" ht="15" hidden="1" customHeight="1" outlineLevel="1" x14ac:dyDescent="0.25">
      <c r="C10" s="728" t="str">
        <f t="shared" si="2"/>
        <v>Implant</v>
      </c>
      <c r="D10" s="2" t="e">
        <f t="shared" ref="D10:S10" si="5">IF(D$124="", NA(), IF(D$152="", NA(), SUM(D130:D132)))</f>
        <v>#N/A</v>
      </c>
      <c r="E10" s="2" t="e">
        <f t="shared" si="5"/>
        <v>#N/A</v>
      </c>
      <c r="F10" s="2" t="e">
        <f t="shared" si="5"/>
        <v>#N/A</v>
      </c>
      <c r="G10" s="2" t="e">
        <f t="shared" si="5"/>
        <v>#N/A</v>
      </c>
      <c r="H10" s="2" t="e">
        <f t="shared" si="5"/>
        <v>#N/A</v>
      </c>
      <c r="I10" s="2" t="e">
        <f t="shared" si="5"/>
        <v>#N/A</v>
      </c>
      <c r="J10" s="2" t="e">
        <f t="shared" si="5"/>
        <v>#N/A</v>
      </c>
      <c r="K10" s="2" t="e">
        <f t="shared" si="5"/>
        <v>#N/A</v>
      </c>
      <c r="L10" s="2" t="e">
        <f t="shared" si="5"/>
        <v>#N/A</v>
      </c>
      <c r="M10" s="2" t="e">
        <f t="shared" si="5"/>
        <v>#N/A</v>
      </c>
      <c r="N10" s="2" t="e">
        <f t="shared" si="5"/>
        <v>#N/A</v>
      </c>
      <c r="O10" s="2" t="e">
        <f t="shared" si="5"/>
        <v>#N/A</v>
      </c>
      <c r="P10" s="2" t="e">
        <f t="shared" si="5"/>
        <v>#N/A</v>
      </c>
      <c r="Q10" s="2" t="e">
        <f t="shared" si="5"/>
        <v>#N/A</v>
      </c>
      <c r="R10" s="2" t="e">
        <f t="shared" si="5"/>
        <v>#N/A</v>
      </c>
      <c r="S10" s="729" t="e">
        <f t="shared" si="5"/>
        <v>#N/A</v>
      </c>
      <c r="AD10" s="445"/>
      <c r="AE10" s="449"/>
      <c r="AF10" s="447"/>
    </row>
    <row r="11" spans="2:51" ht="15" hidden="1" customHeight="1" outlineLevel="1" x14ac:dyDescent="0.25">
      <c r="C11" s="728" t="str">
        <f t="shared" si="2"/>
        <v>Produits injectables</v>
      </c>
      <c r="D11" s="2" t="e">
        <f t="shared" ref="D11:S11" si="6">IF(D124="",NA(),IF(D152="",NA(),SUM(D135:D139)))</f>
        <v>#N/A</v>
      </c>
      <c r="E11" s="2" t="e">
        <f t="shared" si="6"/>
        <v>#N/A</v>
      </c>
      <c r="F11" s="2" t="e">
        <f t="shared" si="6"/>
        <v>#N/A</v>
      </c>
      <c r="G11" s="2" t="e">
        <f t="shared" si="6"/>
        <v>#N/A</v>
      </c>
      <c r="H11" s="2" t="e">
        <f t="shared" si="6"/>
        <v>#N/A</v>
      </c>
      <c r="I11" s="2" t="e">
        <f t="shared" si="6"/>
        <v>#N/A</v>
      </c>
      <c r="J11" s="2" t="e">
        <f t="shared" si="6"/>
        <v>#N/A</v>
      </c>
      <c r="K11" s="2" t="e">
        <f t="shared" si="6"/>
        <v>#N/A</v>
      </c>
      <c r="L11" s="2" t="e">
        <f t="shared" si="6"/>
        <v>#N/A</v>
      </c>
      <c r="M11" s="2" t="e">
        <f t="shared" si="6"/>
        <v>#N/A</v>
      </c>
      <c r="N11" s="2" t="e">
        <f t="shared" si="6"/>
        <v>#N/A</v>
      </c>
      <c r="O11" s="2" t="e">
        <f t="shared" si="6"/>
        <v>#N/A</v>
      </c>
      <c r="P11" s="2" t="e">
        <f t="shared" si="6"/>
        <v>#N/A</v>
      </c>
      <c r="Q11" s="2" t="e">
        <f t="shared" si="6"/>
        <v>#N/A</v>
      </c>
      <c r="R11" s="2" t="e">
        <f t="shared" si="6"/>
        <v>#N/A</v>
      </c>
      <c r="S11" s="729" t="e">
        <f t="shared" si="6"/>
        <v>#N/A</v>
      </c>
      <c r="AD11" s="445"/>
      <c r="AE11" s="449"/>
      <c r="AF11" s="447"/>
    </row>
    <row r="12" spans="2:51" ht="15" hidden="1" customHeight="1" outlineLevel="1" x14ac:dyDescent="0.25">
      <c r="C12" s="728" t="str">
        <f t="shared" si="2"/>
        <v>Pilule</v>
      </c>
      <c r="D12" s="2" t="e">
        <f t="shared" ref="D12:S12" si="7">IF(D124="", NA(), IF(D152="", NA(), SUM(D140:D142)))</f>
        <v>#N/A</v>
      </c>
      <c r="E12" s="2" t="e">
        <f t="shared" si="7"/>
        <v>#N/A</v>
      </c>
      <c r="F12" s="2" t="e">
        <f t="shared" si="7"/>
        <v>#N/A</v>
      </c>
      <c r="G12" s="2" t="e">
        <f t="shared" si="7"/>
        <v>#N/A</v>
      </c>
      <c r="H12" s="2" t="e">
        <f t="shared" si="7"/>
        <v>#N/A</v>
      </c>
      <c r="I12" s="2" t="e">
        <f t="shared" si="7"/>
        <v>#N/A</v>
      </c>
      <c r="J12" s="2" t="e">
        <f t="shared" si="7"/>
        <v>#N/A</v>
      </c>
      <c r="K12" s="2" t="e">
        <f t="shared" si="7"/>
        <v>#N/A</v>
      </c>
      <c r="L12" s="2" t="e">
        <f t="shared" si="7"/>
        <v>#N/A</v>
      </c>
      <c r="M12" s="2" t="e">
        <f t="shared" si="7"/>
        <v>#N/A</v>
      </c>
      <c r="N12" s="2" t="e">
        <f t="shared" si="7"/>
        <v>#N/A</v>
      </c>
      <c r="O12" s="2" t="e">
        <f t="shared" si="7"/>
        <v>#N/A</v>
      </c>
      <c r="P12" s="2" t="e">
        <f t="shared" si="7"/>
        <v>#N/A</v>
      </c>
      <c r="Q12" s="2" t="e">
        <f t="shared" si="7"/>
        <v>#N/A</v>
      </c>
      <c r="R12" s="2" t="e">
        <f t="shared" si="7"/>
        <v>#N/A</v>
      </c>
      <c r="S12" s="729" t="e">
        <f t="shared" si="7"/>
        <v>#N/A</v>
      </c>
      <c r="AD12" s="445"/>
      <c r="AE12" s="449"/>
      <c r="AF12" s="447"/>
    </row>
    <row r="13" spans="2:51" ht="15" hidden="1" customHeight="1" outlineLevel="1" x14ac:dyDescent="0.25">
      <c r="C13" s="728" t="str">
        <f t="shared" si="2"/>
        <v>Préservatifs (m+f)</v>
      </c>
      <c r="D13" s="2" t="e">
        <f t="shared" ref="D13:S13" si="8">IF(D124="", NA(), IF(D152="", NA(), SUM(D143:D144)))</f>
        <v>#N/A</v>
      </c>
      <c r="E13" s="2" t="e">
        <f t="shared" si="8"/>
        <v>#N/A</v>
      </c>
      <c r="F13" s="2" t="e">
        <f t="shared" si="8"/>
        <v>#N/A</v>
      </c>
      <c r="G13" s="2" t="e">
        <f t="shared" si="8"/>
        <v>#N/A</v>
      </c>
      <c r="H13" s="2" t="e">
        <f t="shared" si="8"/>
        <v>#N/A</v>
      </c>
      <c r="I13" s="2" t="e">
        <f t="shared" si="8"/>
        <v>#N/A</v>
      </c>
      <c r="J13" s="2" t="e">
        <f t="shared" si="8"/>
        <v>#N/A</v>
      </c>
      <c r="K13" s="2" t="e">
        <f t="shared" si="8"/>
        <v>#N/A</v>
      </c>
      <c r="L13" s="2" t="e">
        <f t="shared" si="8"/>
        <v>#N/A</v>
      </c>
      <c r="M13" s="2" t="e">
        <f t="shared" si="8"/>
        <v>#N/A</v>
      </c>
      <c r="N13" s="2" t="e">
        <f t="shared" si="8"/>
        <v>#N/A</v>
      </c>
      <c r="O13" s="2" t="e">
        <f t="shared" si="8"/>
        <v>#N/A</v>
      </c>
      <c r="P13" s="2" t="e">
        <f t="shared" si="8"/>
        <v>#N/A</v>
      </c>
      <c r="Q13" s="2" t="e">
        <f t="shared" si="8"/>
        <v>#N/A</v>
      </c>
      <c r="R13" s="2" t="e">
        <f t="shared" si="8"/>
        <v>#N/A</v>
      </c>
      <c r="S13" s="729" t="e">
        <f t="shared" si="8"/>
        <v>#N/A</v>
      </c>
      <c r="AD13" s="445"/>
      <c r="AE13" s="449"/>
      <c r="AF13" s="447"/>
    </row>
    <row r="14" spans="2:51" ht="15" hidden="1" customHeight="1" outlineLevel="1" x14ac:dyDescent="0.25">
      <c r="C14" s="728" t="str">
        <f t="shared" si="2"/>
        <v>MAMA</v>
      </c>
      <c r="D14" s="2" t="e">
        <f t="shared" ref="D14:S14" si="9">IF(D124="", NA(), IF(D152="", NA(), D145))</f>
        <v>#N/A</v>
      </c>
      <c r="E14" s="2" t="e">
        <f t="shared" si="9"/>
        <v>#N/A</v>
      </c>
      <c r="F14" s="2" t="e">
        <f t="shared" si="9"/>
        <v>#N/A</v>
      </c>
      <c r="G14" s="2" t="e">
        <f t="shared" si="9"/>
        <v>#N/A</v>
      </c>
      <c r="H14" s="2" t="e">
        <f t="shared" si="9"/>
        <v>#N/A</v>
      </c>
      <c r="I14" s="2" t="e">
        <f t="shared" si="9"/>
        <v>#N/A</v>
      </c>
      <c r="J14" s="2" t="e">
        <f t="shared" si="9"/>
        <v>#N/A</v>
      </c>
      <c r="K14" s="2" t="e">
        <f t="shared" si="9"/>
        <v>#N/A</v>
      </c>
      <c r="L14" s="2" t="e">
        <f t="shared" si="9"/>
        <v>#N/A</v>
      </c>
      <c r="M14" s="2" t="e">
        <f t="shared" si="9"/>
        <v>#N/A</v>
      </c>
      <c r="N14" s="2" t="e">
        <f t="shared" si="9"/>
        <v>#N/A</v>
      </c>
      <c r="O14" s="2" t="e">
        <f t="shared" si="9"/>
        <v>#N/A</v>
      </c>
      <c r="P14" s="2" t="e">
        <f t="shared" si="9"/>
        <v>#N/A</v>
      </c>
      <c r="Q14" s="2" t="e">
        <f t="shared" si="9"/>
        <v>#N/A</v>
      </c>
      <c r="R14" s="2" t="e">
        <f t="shared" si="9"/>
        <v>#N/A</v>
      </c>
      <c r="S14" s="729" t="e">
        <f t="shared" si="9"/>
        <v>#N/A</v>
      </c>
      <c r="AD14" s="445"/>
      <c r="AE14" s="449"/>
      <c r="AF14" s="447"/>
    </row>
    <row r="15" spans="2:51" ht="15" hidden="1" customHeight="1" outlineLevel="1" x14ac:dyDescent="0.25">
      <c r="C15" s="728" t="str">
        <f>C53</f>
        <v>Autres méthodes modernes</v>
      </c>
      <c r="D15" s="138" t="e">
        <f t="shared" ref="D15:S15" si="10">IF(D152="", NA(), SUM(D146:D149))</f>
        <v>#N/A</v>
      </c>
      <c r="E15" s="138" t="e">
        <f t="shared" si="10"/>
        <v>#N/A</v>
      </c>
      <c r="F15" s="138" t="e">
        <f t="shared" si="10"/>
        <v>#N/A</v>
      </c>
      <c r="G15" s="138" t="e">
        <f t="shared" si="10"/>
        <v>#N/A</v>
      </c>
      <c r="H15" s="138" t="e">
        <f t="shared" si="10"/>
        <v>#N/A</v>
      </c>
      <c r="I15" s="138" t="e">
        <f t="shared" si="10"/>
        <v>#N/A</v>
      </c>
      <c r="J15" s="138" t="e">
        <f t="shared" si="10"/>
        <v>#N/A</v>
      </c>
      <c r="K15" s="138" t="e">
        <f t="shared" si="10"/>
        <v>#N/A</v>
      </c>
      <c r="L15" s="138" t="e">
        <f t="shared" si="10"/>
        <v>#N/A</v>
      </c>
      <c r="M15" s="138" t="e">
        <f t="shared" si="10"/>
        <v>#N/A</v>
      </c>
      <c r="N15" s="138" t="e">
        <f t="shared" si="10"/>
        <v>#N/A</v>
      </c>
      <c r="O15" s="138" t="e">
        <f t="shared" si="10"/>
        <v>#N/A</v>
      </c>
      <c r="P15" s="138" t="e">
        <f t="shared" si="10"/>
        <v>#N/A</v>
      </c>
      <c r="Q15" s="138" t="e">
        <f t="shared" si="10"/>
        <v>#N/A</v>
      </c>
      <c r="R15" s="138" t="e">
        <f t="shared" si="10"/>
        <v>#N/A</v>
      </c>
      <c r="S15" s="730" t="e">
        <f t="shared" si="10"/>
        <v>#N/A</v>
      </c>
      <c r="AD15" s="445"/>
      <c r="AE15" s="449"/>
      <c r="AF15" s="447"/>
    </row>
    <row r="16" spans="2:51" ht="15.75" hidden="1" customHeight="1" outlineLevel="1" thickBot="1" x14ac:dyDescent="0.3">
      <c r="C16" s="731" t="s">
        <v>313</v>
      </c>
      <c r="D16" s="732" t="e">
        <f>SUM(D7:D15)</f>
        <v>#N/A</v>
      </c>
      <c r="E16" s="732" t="e">
        <f t="shared" ref="E16:S16" si="11">SUM(E7:E15)</f>
        <v>#N/A</v>
      </c>
      <c r="F16" s="732" t="e">
        <f t="shared" si="11"/>
        <v>#N/A</v>
      </c>
      <c r="G16" s="732" t="e">
        <f t="shared" si="11"/>
        <v>#N/A</v>
      </c>
      <c r="H16" s="732" t="e">
        <f t="shared" si="11"/>
        <v>#N/A</v>
      </c>
      <c r="I16" s="732" t="e">
        <f t="shared" si="11"/>
        <v>#N/A</v>
      </c>
      <c r="J16" s="732" t="e">
        <f t="shared" si="11"/>
        <v>#N/A</v>
      </c>
      <c r="K16" s="732" t="e">
        <f t="shared" si="11"/>
        <v>#N/A</v>
      </c>
      <c r="L16" s="732" t="e">
        <f t="shared" si="11"/>
        <v>#N/A</v>
      </c>
      <c r="M16" s="732" t="e">
        <f t="shared" si="11"/>
        <v>#N/A</v>
      </c>
      <c r="N16" s="732" t="e">
        <f t="shared" si="11"/>
        <v>#N/A</v>
      </c>
      <c r="O16" s="732" t="e">
        <f t="shared" si="11"/>
        <v>#N/A</v>
      </c>
      <c r="P16" s="732" t="e">
        <f t="shared" si="11"/>
        <v>#N/A</v>
      </c>
      <c r="Q16" s="732" t="e">
        <f t="shared" si="11"/>
        <v>#N/A</v>
      </c>
      <c r="R16" s="732" t="e">
        <f t="shared" si="11"/>
        <v>#N/A</v>
      </c>
      <c r="S16" s="733" t="e">
        <f t="shared" si="11"/>
        <v>#N/A</v>
      </c>
      <c r="AD16" s="445"/>
      <c r="AE16" s="449"/>
      <c r="AF16" s="447"/>
    </row>
    <row r="17" spans="3:35" ht="15.75" hidden="1" customHeight="1" outlineLevel="1" thickBot="1" x14ac:dyDescent="0.3">
      <c r="D17" s="2"/>
      <c r="E17" s="2"/>
      <c r="F17" s="2"/>
      <c r="G17" s="2"/>
      <c r="H17" s="2"/>
      <c r="I17" s="2"/>
      <c r="J17" s="2"/>
      <c r="K17" s="2"/>
      <c r="L17" s="2"/>
      <c r="M17" s="2"/>
      <c r="N17" s="2"/>
      <c r="O17" s="2"/>
      <c r="P17" s="2"/>
      <c r="Q17" s="2"/>
      <c r="R17" s="2"/>
      <c r="S17" s="2"/>
      <c r="U17" s="2"/>
      <c r="V17" s="2"/>
      <c r="W17" s="807"/>
      <c r="X17" s="2"/>
      <c r="Y17" s="2"/>
      <c r="Z17" s="2"/>
      <c r="AA17" s="2"/>
      <c r="AB17" s="2"/>
      <c r="AC17" s="2"/>
      <c r="AD17" s="445"/>
      <c r="AE17" s="449"/>
      <c r="AF17" s="447"/>
      <c r="AG17" s="2"/>
      <c r="AH17" s="2"/>
      <c r="AI17" s="2"/>
    </row>
    <row r="18" spans="3:35" ht="18.75" hidden="1" customHeight="1" outlineLevel="1" x14ac:dyDescent="0.25">
      <c r="C18" s="725" t="str">
        <f>IF(Language="English", AD18, AF18)</f>
        <v>Utilisatrices par méthode 
(enquête)</v>
      </c>
      <c r="D18" s="726">
        <f>D6</f>
        <v>0</v>
      </c>
      <c r="E18" s="726" t="str">
        <f t="shared" ref="E18:S18" si="12">E6</f>
        <v/>
      </c>
      <c r="F18" s="726" t="str">
        <f t="shared" si="12"/>
        <v/>
      </c>
      <c r="G18" s="726" t="str">
        <f t="shared" si="12"/>
        <v/>
      </c>
      <c r="H18" s="726" t="str">
        <f t="shared" si="12"/>
        <v/>
      </c>
      <c r="I18" s="726" t="str">
        <f t="shared" si="12"/>
        <v/>
      </c>
      <c r="J18" s="726" t="str">
        <f t="shared" si="12"/>
        <v/>
      </c>
      <c r="K18" s="726" t="str">
        <f t="shared" si="12"/>
        <v/>
      </c>
      <c r="L18" s="726" t="str">
        <f t="shared" si="12"/>
        <v/>
      </c>
      <c r="M18" s="726" t="str">
        <f t="shared" si="12"/>
        <v/>
      </c>
      <c r="N18" s="726" t="str">
        <f t="shared" si="12"/>
        <v/>
      </c>
      <c r="O18" s="726" t="str">
        <f t="shared" si="12"/>
        <v/>
      </c>
      <c r="P18" s="726" t="str">
        <f t="shared" si="12"/>
        <v/>
      </c>
      <c r="Q18" s="726" t="str">
        <f t="shared" si="12"/>
        <v/>
      </c>
      <c r="R18" s="726" t="str">
        <f t="shared" si="12"/>
        <v/>
      </c>
      <c r="S18" s="727" t="str">
        <f t="shared" si="12"/>
        <v/>
      </c>
      <c r="U18" s="2"/>
      <c r="V18" s="2"/>
      <c r="W18" s="807"/>
      <c r="X18" s="2"/>
      <c r="Y18" s="2"/>
      <c r="Z18" s="2"/>
      <c r="AA18" s="2"/>
      <c r="AB18" s="2"/>
      <c r="AC18" s="2"/>
      <c r="AD18" s="445" t="s">
        <v>997</v>
      </c>
      <c r="AE18" s="449"/>
      <c r="AF18" s="655" t="s">
        <v>2416</v>
      </c>
    </row>
    <row r="19" spans="3:35" ht="15" hidden="1" customHeight="1" outlineLevel="1" x14ac:dyDescent="0.25">
      <c r="C19" s="728" t="str">
        <f>C7</f>
        <v>Stérilisation (f)</v>
      </c>
      <c r="D19" s="2" t="e">
        <f>VLOOKUP($C19, '5. MethodMix Set Up'!$S$34:$AI$43, MATCH(D$18, '5. MethodMix Set Up'!$S$34:$AI$34, 0), FALSE)</f>
        <v>#N/A</v>
      </c>
      <c r="E19" s="2" t="e">
        <f>VLOOKUP($C19, '5. MethodMix Set Up'!$S$34:$AI$43, MATCH(E$18, '5. MethodMix Set Up'!$S$34:$AI$34, 0), FALSE)</f>
        <v>#VALUE!</v>
      </c>
      <c r="F19" s="2" t="e">
        <f>VLOOKUP($C19, '5. MethodMix Set Up'!$S$34:$AI$43, MATCH(F$18, '5. MethodMix Set Up'!$S$34:$AI$34, 0), FALSE)</f>
        <v>#VALUE!</v>
      </c>
      <c r="G19" s="2" t="e">
        <f>VLOOKUP($C19, '5. MethodMix Set Up'!$S$34:$AI$43, MATCH(G$18, '5. MethodMix Set Up'!$S$34:$AI$34, 0), FALSE)</f>
        <v>#VALUE!</v>
      </c>
      <c r="H19" s="2" t="e">
        <f>VLOOKUP($C19, '5. MethodMix Set Up'!$S$34:$AI$43, MATCH(H$18, '5. MethodMix Set Up'!$S$34:$AI$34, 0), FALSE)</f>
        <v>#VALUE!</v>
      </c>
      <c r="I19" s="2" t="e">
        <f>VLOOKUP($C19, '5. MethodMix Set Up'!$S$34:$AI$43, MATCH(I$18, '5. MethodMix Set Up'!$S$34:$AI$34, 0), FALSE)</f>
        <v>#VALUE!</v>
      </c>
      <c r="J19" s="2" t="e">
        <f>VLOOKUP($C19, '5. MethodMix Set Up'!$S$34:$AI$43, MATCH(J$18, '5. MethodMix Set Up'!$S$34:$AI$34, 0), FALSE)</f>
        <v>#VALUE!</v>
      </c>
      <c r="K19" s="2" t="e">
        <f>VLOOKUP($C19, '5. MethodMix Set Up'!$S$34:$AI$43, MATCH(K$18, '5. MethodMix Set Up'!$S$34:$AI$34, 0), FALSE)</f>
        <v>#VALUE!</v>
      </c>
      <c r="L19" s="2" t="e">
        <f>VLOOKUP($C19, '5. MethodMix Set Up'!$S$34:$AI$43, MATCH(L$18, '5. MethodMix Set Up'!$S$34:$AI$34, 0), FALSE)</f>
        <v>#VALUE!</v>
      </c>
      <c r="M19" s="2" t="e">
        <f>VLOOKUP($C19, '5. MethodMix Set Up'!$S$34:$AI$43, MATCH(M$18, '5. MethodMix Set Up'!$S$34:$AI$34, 0), FALSE)</f>
        <v>#VALUE!</v>
      </c>
      <c r="N19" s="2" t="e">
        <f>VLOOKUP($C19, '5. MethodMix Set Up'!$S$34:$AI$43, MATCH(N$18, '5. MethodMix Set Up'!$S$34:$AI$34, 0), FALSE)</f>
        <v>#VALUE!</v>
      </c>
      <c r="O19" s="2" t="e">
        <f>VLOOKUP($C19, '5. MethodMix Set Up'!$S$34:$AI$43, MATCH(O$18, '5. MethodMix Set Up'!$S$34:$AI$34, 0), FALSE)</f>
        <v>#VALUE!</v>
      </c>
      <c r="P19" s="2" t="e">
        <f>VLOOKUP($C19, '5. MethodMix Set Up'!$S$34:$AI$43, MATCH(P$18, '5. MethodMix Set Up'!$S$34:$AI$34, 0), FALSE)</f>
        <v>#VALUE!</v>
      </c>
      <c r="Q19" s="2" t="e">
        <f>VLOOKUP($C19, '5. MethodMix Set Up'!$S$34:$AI$43, MATCH(Q$18, '5. MethodMix Set Up'!$S$34:$AI$34, 0), FALSE)</f>
        <v>#VALUE!</v>
      </c>
      <c r="R19" s="2" t="e">
        <f>VLOOKUP($C19, '5. MethodMix Set Up'!$S$34:$AI$43, MATCH(R$18, '5. MethodMix Set Up'!$S$34:$AI$34, 0), FALSE)</f>
        <v>#VALUE!</v>
      </c>
      <c r="S19" s="2" t="e">
        <f>VLOOKUP($C19, '5. MethodMix Set Up'!$S$34:$AI$43, MATCH(S$18, '5. MethodMix Set Up'!$S$34:$AI$34, 0), FALSE)</f>
        <v>#VALUE!</v>
      </c>
      <c r="U19" s="2"/>
      <c r="V19" s="2"/>
      <c r="W19" s="807"/>
      <c r="X19" s="2"/>
      <c r="Y19" s="2"/>
      <c r="Z19" s="2"/>
      <c r="AA19" s="2"/>
      <c r="AB19" s="2"/>
      <c r="AC19" s="2"/>
      <c r="AD19" s="445"/>
      <c r="AE19" s="449"/>
      <c r="AF19" s="447"/>
      <c r="AG19" s="2"/>
      <c r="AH19" s="2"/>
      <c r="AI19" s="2"/>
    </row>
    <row r="20" spans="3:35" ht="15" hidden="1" customHeight="1" outlineLevel="1" x14ac:dyDescent="0.25">
      <c r="C20" s="728" t="str">
        <f t="shared" ref="C20:C26" si="13">C8</f>
        <v>Stérilisation (m)</v>
      </c>
      <c r="D20" s="2" t="e">
        <f>VLOOKUP($C20, '5. MethodMix Set Up'!$S$34:$AI$43, MATCH(D$18, '5. MethodMix Set Up'!$S$34:$AI$34, 0), FALSE)</f>
        <v>#N/A</v>
      </c>
      <c r="E20" s="2" t="e">
        <f>VLOOKUP($C20, '5. MethodMix Set Up'!$S$34:$AI$43, MATCH(E$18, '5. MethodMix Set Up'!$S$34:$AI$34, 0), FALSE)</f>
        <v>#VALUE!</v>
      </c>
      <c r="F20" s="2" t="e">
        <f>VLOOKUP($C20, '5. MethodMix Set Up'!$S$34:$AI$43, MATCH(F$18, '5. MethodMix Set Up'!$S$34:$AI$34, 0), FALSE)</f>
        <v>#VALUE!</v>
      </c>
      <c r="G20" s="2" t="e">
        <f>VLOOKUP($C20, '5. MethodMix Set Up'!$S$34:$AI$43, MATCH(G$18, '5. MethodMix Set Up'!$S$34:$AI$34, 0), FALSE)</f>
        <v>#VALUE!</v>
      </c>
      <c r="H20" s="2" t="e">
        <f>VLOOKUP($C20, '5. MethodMix Set Up'!$S$34:$AI$43, MATCH(H$18, '5. MethodMix Set Up'!$S$34:$AI$34, 0), FALSE)</f>
        <v>#VALUE!</v>
      </c>
      <c r="I20" s="2" t="e">
        <f>VLOOKUP($C20, '5. MethodMix Set Up'!$S$34:$AI$43, MATCH(I$18, '5. MethodMix Set Up'!$S$34:$AI$34, 0), FALSE)</f>
        <v>#VALUE!</v>
      </c>
      <c r="J20" s="2" t="e">
        <f>VLOOKUP($C20, '5. MethodMix Set Up'!$S$34:$AI$43, MATCH(J$18, '5. MethodMix Set Up'!$S$34:$AI$34, 0), FALSE)</f>
        <v>#VALUE!</v>
      </c>
      <c r="K20" s="2" t="e">
        <f>VLOOKUP($C20, '5. MethodMix Set Up'!$S$34:$AI$43, MATCH(K$18, '5. MethodMix Set Up'!$S$34:$AI$34, 0), FALSE)</f>
        <v>#VALUE!</v>
      </c>
      <c r="L20" s="2" t="e">
        <f>VLOOKUP($C20, '5. MethodMix Set Up'!$S$34:$AI$43, MATCH(L$18, '5. MethodMix Set Up'!$S$34:$AI$34, 0), FALSE)</f>
        <v>#VALUE!</v>
      </c>
      <c r="M20" s="2" t="e">
        <f>VLOOKUP($C20, '5. MethodMix Set Up'!$S$34:$AI$43, MATCH(M$18, '5. MethodMix Set Up'!$S$34:$AI$34, 0), FALSE)</f>
        <v>#VALUE!</v>
      </c>
      <c r="N20" s="2" t="e">
        <f>VLOOKUP($C20, '5. MethodMix Set Up'!$S$34:$AI$43, MATCH(N$18, '5. MethodMix Set Up'!$S$34:$AI$34, 0), FALSE)</f>
        <v>#VALUE!</v>
      </c>
      <c r="O20" s="2" t="e">
        <f>VLOOKUP($C20, '5. MethodMix Set Up'!$S$34:$AI$43, MATCH(O$18, '5. MethodMix Set Up'!$S$34:$AI$34, 0), FALSE)</f>
        <v>#VALUE!</v>
      </c>
      <c r="P20" s="2" t="e">
        <f>VLOOKUP($C20, '5. MethodMix Set Up'!$S$34:$AI$43, MATCH(P$18, '5. MethodMix Set Up'!$S$34:$AI$34, 0), FALSE)</f>
        <v>#VALUE!</v>
      </c>
      <c r="Q20" s="2" t="e">
        <f>VLOOKUP($C20, '5. MethodMix Set Up'!$S$34:$AI$43, MATCH(Q$18, '5. MethodMix Set Up'!$S$34:$AI$34, 0), FALSE)</f>
        <v>#VALUE!</v>
      </c>
      <c r="R20" s="2" t="e">
        <f>VLOOKUP($C20, '5. MethodMix Set Up'!$S$34:$AI$43, MATCH(R$18, '5. MethodMix Set Up'!$S$34:$AI$34, 0), FALSE)</f>
        <v>#VALUE!</v>
      </c>
      <c r="S20" s="2" t="e">
        <f>VLOOKUP($C20, '5. MethodMix Set Up'!$S$34:$AI$43, MATCH(S$18, '5. MethodMix Set Up'!$S$34:$AI$34, 0), FALSE)</f>
        <v>#VALUE!</v>
      </c>
      <c r="U20" s="2"/>
      <c r="V20" s="2"/>
      <c r="W20" s="807"/>
      <c r="X20" s="2"/>
      <c r="Y20" s="2"/>
      <c r="Z20" s="2"/>
      <c r="AA20" s="2"/>
      <c r="AB20" s="2"/>
      <c r="AC20" s="2"/>
      <c r="AD20" s="445"/>
      <c r="AE20" s="449"/>
      <c r="AF20" s="447"/>
      <c r="AG20" s="2"/>
      <c r="AH20" s="2"/>
      <c r="AI20" s="2"/>
    </row>
    <row r="21" spans="3:35" ht="15" hidden="1" customHeight="1" outlineLevel="1" x14ac:dyDescent="0.25">
      <c r="C21" s="728" t="str">
        <f t="shared" si="13"/>
        <v>DIU</v>
      </c>
      <c r="D21" s="2" t="e">
        <f>VLOOKUP($C21, '5. MethodMix Set Up'!$S$34:$AI$43, MATCH(D$18, '5. MethodMix Set Up'!$S$34:$AI$34, 0), FALSE)</f>
        <v>#N/A</v>
      </c>
      <c r="E21" s="2" t="e">
        <f>VLOOKUP($C21, '5. MethodMix Set Up'!$S$34:$AI$43, MATCH(E$18, '5. MethodMix Set Up'!$S$34:$AI$34, 0), FALSE)</f>
        <v>#VALUE!</v>
      </c>
      <c r="F21" s="2" t="e">
        <f>VLOOKUP($C21, '5. MethodMix Set Up'!$S$34:$AI$43, MATCH(F$18, '5. MethodMix Set Up'!$S$34:$AI$34, 0), FALSE)</f>
        <v>#VALUE!</v>
      </c>
      <c r="G21" s="2" t="e">
        <f>VLOOKUP($C21, '5. MethodMix Set Up'!$S$34:$AI$43, MATCH(G$18, '5. MethodMix Set Up'!$S$34:$AI$34, 0), FALSE)</f>
        <v>#VALUE!</v>
      </c>
      <c r="H21" s="2" t="e">
        <f>VLOOKUP($C21, '5. MethodMix Set Up'!$S$34:$AI$43, MATCH(H$18, '5. MethodMix Set Up'!$S$34:$AI$34, 0), FALSE)</f>
        <v>#VALUE!</v>
      </c>
      <c r="I21" s="2" t="e">
        <f>VLOOKUP($C21, '5. MethodMix Set Up'!$S$34:$AI$43, MATCH(I$18, '5. MethodMix Set Up'!$S$34:$AI$34, 0), FALSE)</f>
        <v>#VALUE!</v>
      </c>
      <c r="J21" s="2" t="e">
        <f>VLOOKUP($C21, '5. MethodMix Set Up'!$S$34:$AI$43, MATCH(J$18, '5. MethodMix Set Up'!$S$34:$AI$34, 0), FALSE)</f>
        <v>#VALUE!</v>
      </c>
      <c r="K21" s="2" t="e">
        <f>VLOOKUP($C21, '5. MethodMix Set Up'!$S$34:$AI$43, MATCH(K$18, '5. MethodMix Set Up'!$S$34:$AI$34, 0), FALSE)</f>
        <v>#VALUE!</v>
      </c>
      <c r="L21" s="2" t="e">
        <f>VLOOKUP($C21, '5. MethodMix Set Up'!$S$34:$AI$43, MATCH(L$18, '5. MethodMix Set Up'!$S$34:$AI$34, 0), FALSE)</f>
        <v>#VALUE!</v>
      </c>
      <c r="M21" s="2" t="e">
        <f>VLOOKUP($C21, '5. MethodMix Set Up'!$S$34:$AI$43, MATCH(M$18, '5. MethodMix Set Up'!$S$34:$AI$34, 0), FALSE)</f>
        <v>#VALUE!</v>
      </c>
      <c r="N21" s="2" t="e">
        <f>VLOOKUP($C21, '5. MethodMix Set Up'!$S$34:$AI$43, MATCH(N$18, '5. MethodMix Set Up'!$S$34:$AI$34, 0), FALSE)</f>
        <v>#VALUE!</v>
      </c>
      <c r="O21" s="2" t="e">
        <f>VLOOKUP($C21, '5. MethodMix Set Up'!$S$34:$AI$43, MATCH(O$18, '5. MethodMix Set Up'!$S$34:$AI$34, 0), FALSE)</f>
        <v>#VALUE!</v>
      </c>
      <c r="P21" s="2" t="e">
        <f>VLOOKUP($C21, '5. MethodMix Set Up'!$S$34:$AI$43, MATCH(P$18, '5. MethodMix Set Up'!$S$34:$AI$34, 0), FALSE)</f>
        <v>#VALUE!</v>
      </c>
      <c r="Q21" s="2" t="e">
        <f>VLOOKUP($C21, '5. MethodMix Set Up'!$S$34:$AI$43, MATCH(Q$18, '5. MethodMix Set Up'!$S$34:$AI$34, 0), FALSE)</f>
        <v>#VALUE!</v>
      </c>
      <c r="R21" s="2" t="e">
        <f>VLOOKUP($C21, '5. MethodMix Set Up'!$S$34:$AI$43, MATCH(R$18, '5. MethodMix Set Up'!$S$34:$AI$34, 0), FALSE)</f>
        <v>#VALUE!</v>
      </c>
      <c r="S21" s="2" t="e">
        <f>VLOOKUP($C21, '5. MethodMix Set Up'!$S$34:$AI$43, MATCH(S$18, '5. MethodMix Set Up'!$S$34:$AI$34, 0), FALSE)</f>
        <v>#VALUE!</v>
      </c>
      <c r="U21" s="2"/>
      <c r="V21" s="2"/>
      <c r="W21" s="807"/>
      <c r="X21" s="2"/>
      <c r="Y21" s="2"/>
      <c r="Z21" s="2"/>
      <c r="AA21" s="2"/>
      <c r="AB21" s="2"/>
      <c r="AC21" s="2"/>
      <c r="AD21" s="445"/>
      <c r="AE21" s="449"/>
      <c r="AF21" s="447"/>
      <c r="AG21" s="2"/>
      <c r="AH21" s="2"/>
      <c r="AI21" s="2"/>
    </row>
    <row r="22" spans="3:35" ht="15" hidden="1" customHeight="1" outlineLevel="1" x14ac:dyDescent="0.25">
      <c r="C22" s="728" t="str">
        <f t="shared" si="13"/>
        <v>Implant</v>
      </c>
      <c r="D22" s="2" t="e">
        <f>VLOOKUP($C22, '5. MethodMix Set Up'!$S$34:$AI$43, MATCH(D$18, '5. MethodMix Set Up'!$S$34:$AI$34, 0), FALSE)</f>
        <v>#N/A</v>
      </c>
      <c r="E22" s="2" t="e">
        <f>VLOOKUP($C22, '5. MethodMix Set Up'!$S$34:$AI$43, MATCH(E$18, '5. MethodMix Set Up'!$S$34:$AI$34, 0), FALSE)</f>
        <v>#VALUE!</v>
      </c>
      <c r="F22" s="2" t="e">
        <f>VLOOKUP($C22, '5. MethodMix Set Up'!$S$34:$AI$43, MATCH(F$18, '5. MethodMix Set Up'!$S$34:$AI$34, 0), FALSE)</f>
        <v>#VALUE!</v>
      </c>
      <c r="G22" s="2" t="e">
        <f>VLOOKUP($C22, '5. MethodMix Set Up'!$S$34:$AI$43, MATCH(G$18, '5. MethodMix Set Up'!$S$34:$AI$34, 0), FALSE)</f>
        <v>#VALUE!</v>
      </c>
      <c r="H22" s="2" t="e">
        <f>VLOOKUP($C22, '5. MethodMix Set Up'!$S$34:$AI$43, MATCH(H$18, '5. MethodMix Set Up'!$S$34:$AI$34, 0), FALSE)</f>
        <v>#VALUE!</v>
      </c>
      <c r="I22" s="2" t="e">
        <f>VLOOKUP($C22, '5. MethodMix Set Up'!$S$34:$AI$43, MATCH(I$18, '5. MethodMix Set Up'!$S$34:$AI$34, 0), FALSE)</f>
        <v>#VALUE!</v>
      </c>
      <c r="J22" s="2" t="e">
        <f>VLOOKUP($C22, '5. MethodMix Set Up'!$S$34:$AI$43, MATCH(J$18, '5. MethodMix Set Up'!$S$34:$AI$34, 0), FALSE)</f>
        <v>#VALUE!</v>
      </c>
      <c r="K22" s="2" t="e">
        <f>VLOOKUP($C22, '5. MethodMix Set Up'!$S$34:$AI$43, MATCH(K$18, '5. MethodMix Set Up'!$S$34:$AI$34, 0), FALSE)</f>
        <v>#VALUE!</v>
      </c>
      <c r="L22" s="2" t="e">
        <f>VLOOKUP($C22, '5. MethodMix Set Up'!$S$34:$AI$43, MATCH(L$18, '5. MethodMix Set Up'!$S$34:$AI$34, 0), FALSE)</f>
        <v>#VALUE!</v>
      </c>
      <c r="M22" s="2" t="e">
        <f>VLOOKUP($C22, '5. MethodMix Set Up'!$S$34:$AI$43, MATCH(M$18, '5. MethodMix Set Up'!$S$34:$AI$34, 0), FALSE)</f>
        <v>#VALUE!</v>
      </c>
      <c r="N22" s="2" t="e">
        <f>VLOOKUP($C22, '5. MethodMix Set Up'!$S$34:$AI$43, MATCH(N$18, '5. MethodMix Set Up'!$S$34:$AI$34, 0), FALSE)</f>
        <v>#VALUE!</v>
      </c>
      <c r="O22" s="2" t="e">
        <f>VLOOKUP($C22, '5. MethodMix Set Up'!$S$34:$AI$43, MATCH(O$18, '5. MethodMix Set Up'!$S$34:$AI$34, 0), FALSE)</f>
        <v>#VALUE!</v>
      </c>
      <c r="P22" s="2" t="e">
        <f>VLOOKUP($C22, '5. MethodMix Set Up'!$S$34:$AI$43, MATCH(P$18, '5. MethodMix Set Up'!$S$34:$AI$34, 0), FALSE)</f>
        <v>#VALUE!</v>
      </c>
      <c r="Q22" s="2" t="e">
        <f>VLOOKUP($C22, '5. MethodMix Set Up'!$S$34:$AI$43, MATCH(Q$18, '5. MethodMix Set Up'!$S$34:$AI$34, 0), FALSE)</f>
        <v>#VALUE!</v>
      </c>
      <c r="R22" s="2" t="e">
        <f>VLOOKUP($C22, '5. MethodMix Set Up'!$S$34:$AI$43, MATCH(R$18, '5. MethodMix Set Up'!$S$34:$AI$34, 0), FALSE)</f>
        <v>#VALUE!</v>
      </c>
      <c r="S22" s="2" t="e">
        <f>VLOOKUP($C22, '5. MethodMix Set Up'!$S$34:$AI$43, MATCH(S$18, '5. MethodMix Set Up'!$S$34:$AI$34, 0), FALSE)</f>
        <v>#VALUE!</v>
      </c>
      <c r="U22" s="2"/>
      <c r="V22" s="2"/>
      <c r="W22" s="807"/>
      <c r="X22" s="2"/>
      <c r="Y22" s="2"/>
      <c r="Z22" s="2"/>
      <c r="AA22" s="2"/>
      <c r="AB22" s="2"/>
      <c r="AC22" s="2"/>
      <c r="AD22" s="445"/>
      <c r="AE22" s="449"/>
      <c r="AF22" s="447"/>
      <c r="AG22" s="2"/>
      <c r="AH22" s="2"/>
      <c r="AI22" s="2"/>
    </row>
    <row r="23" spans="3:35" ht="15" hidden="1" customHeight="1" outlineLevel="1" x14ac:dyDescent="0.25">
      <c r="C23" s="728" t="str">
        <f t="shared" si="13"/>
        <v>Produits injectables</v>
      </c>
      <c r="D23" s="2" t="e">
        <f>VLOOKUP($C23, '5. MethodMix Set Up'!$S$34:$AI$43, MATCH(D$18, '5. MethodMix Set Up'!$S$34:$AI$34, 0), FALSE)</f>
        <v>#N/A</v>
      </c>
      <c r="E23" s="2" t="e">
        <f>VLOOKUP($C23, '5. MethodMix Set Up'!$S$34:$AI$43, MATCH(E$18, '5. MethodMix Set Up'!$S$34:$AI$34, 0), FALSE)</f>
        <v>#VALUE!</v>
      </c>
      <c r="F23" s="2" t="e">
        <f>VLOOKUP($C23, '5. MethodMix Set Up'!$S$34:$AI$43, MATCH(F$18, '5. MethodMix Set Up'!$S$34:$AI$34, 0), FALSE)</f>
        <v>#VALUE!</v>
      </c>
      <c r="G23" s="2" t="e">
        <f>VLOOKUP($C23, '5. MethodMix Set Up'!$S$34:$AI$43, MATCH(G$18, '5. MethodMix Set Up'!$S$34:$AI$34, 0), FALSE)</f>
        <v>#VALUE!</v>
      </c>
      <c r="H23" s="2" t="e">
        <f>VLOOKUP($C23, '5. MethodMix Set Up'!$S$34:$AI$43, MATCH(H$18, '5. MethodMix Set Up'!$S$34:$AI$34, 0), FALSE)</f>
        <v>#VALUE!</v>
      </c>
      <c r="I23" s="2" t="e">
        <f>VLOOKUP($C23, '5. MethodMix Set Up'!$S$34:$AI$43, MATCH(I$18, '5. MethodMix Set Up'!$S$34:$AI$34, 0), FALSE)</f>
        <v>#VALUE!</v>
      </c>
      <c r="J23" s="2" t="e">
        <f>VLOOKUP($C23, '5. MethodMix Set Up'!$S$34:$AI$43, MATCH(J$18, '5. MethodMix Set Up'!$S$34:$AI$34, 0), FALSE)</f>
        <v>#VALUE!</v>
      </c>
      <c r="K23" s="2" t="e">
        <f>VLOOKUP($C23, '5. MethodMix Set Up'!$S$34:$AI$43, MATCH(K$18, '5. MethodMix Set Up'!$S$34:$AI$34, 0), FALSE)</f>
        <v>#VALUE!</v>
      </c>
      <c r="L23" s="2" t="e">
        <f>VLOOKUP($C23, '5. MethodMix Set Up'!$S$34:$AI$43, MATCH(L$18, '5. MethodMix Set Up'!$S$34:$AI$34, 0), FALSE)</f>
        <v>#VALUE!</v>
      </c>
      <c r="M23" s="2" t="e">
        <f>VLOOKUP($C23, '5. MethodMix Set Up'!$S$34:$AI$43, MATCH(M$18, '5. MethodMix Set Up'!$S$34:$AI$34, 0), FALSE)</f>
        <v>#VALUE!</v>
      </c>
      <c r="N23" s="2" t="e">
        <f>VLOOKUP($C23, '5. MethodMix Set Up'!$S$34:$AI$43, MATCH(N$18, '5. MethodMix Set Up'!$S$34:$AI$34, 0), FALSE)</f>
        <v>#VALUE!</v>
      </c>
      <c r="O23" s="2" t="e">
        <f>VLOOKUP($C23, '5. MethodMix Set Up'!$S$34:$AI$43, MATCH(O$18, '5. MethodMix Set Up'!$S$34:$AI$34, 0), FALSE)</f>
        <v>#VALUE!</v>
      </c>
      <c r="P23" s="2" t="e">
        <f>VLOOKUP($C23, '5. MethodMix Set Up'!$S$34:$AI$43, MATCH(P$18, '5. MethodMix Set Up'!$S$34:$AI$34, 0), FALSE)</f>
        <v>#VALUE!</v>
      </c>
      <c r="Q23" s="2" t="e">
        <f>VLOOKUP($C23, '5. MethodMix Set Up'!$S$34:$AI$43, MATCH(Q$18, '5. MethodMix Set Up'!$S$34:$AI$34, 0), FALSE)</f>
        <v>#VALUE!</v>
      </c>
      <c r="R23" s="2" t="e">
        <f>VLOOKUP($C23, '5. MethodMix Set Up'!$S$34:$AI$43, MATCH(R$18, '5. MethodMix Set Up'!$S$34:$AI$34, 0), FALSE)</f>
        <v>#VALUE!</v>
      </c>
      <c r="S23" s="2" t="e">
        <f>VLOOKUP($C23, '5. MethodMix Set Up'!$S$34:$AI$43, MATCH(S$18, '5. MethodMix Set Up'!$S$34:$AI$34, 0), FALSE)</f>
        <v>#VALUE!</v>
      </c>
      <c r="U23" s="2"/>
      <c r="V23" s="2"/>
      <c r="W23" s="807"/>
      <c r="X23" s="2"/>
      <c r="Y23" s="2"/>
      <c r="Z23" s="2"/>
      <c r="AA23" s="2"/>
      <c r="AB23" s="2"/>
      <c r="AC23" s="2"/>
      <c r="AD23" s="445"/>
      <c r="AE23" s="449"/>
      <c r="AF23" s="447"/>
      <c r="AG23" s="2"/>
      <c r="AH23" s="2"/>
      <c r="AI23" s="2"/>
    </row>
    <row r="24" spans="3:35" ht="15" hidden="1" customHeight="1" outlineLevel="1" x14ac:dyDescent="0.25">
      <c r="C24" s="728" t="str">
        <f t="shared" si="13"/>
        <v>Pilule</v>
      </c>
      <c r="D24" s="2" t="e">
        <f>VLOOKUP($C24, '5. MethodMix Set Up'!$S$34:$AI$43, MATCH(D$18, '5. MethodMix Set Up'!$S$34:$AI$34, 0), FALSE)</f>
        <v>#N/A</v>
      </c>
      <c r="E24" s="2" t="e">
        <f>VLOOKUP($C24, '5. MethodMix Set Up'!$S$34:$AI$43, MATCH(E$18, '5. MethodMix Set Up'!$S$34:$AI$34, 0), FALSE)</f>
        <v>#VALUE!</v>
      </c>
      <c r="F24" s="2" t="e">
        <f>VLOOKUP($C24, '5. MethodMix Set Up'!$S$34:$AI$43, MATCH(F$18, '5. MethodMix Set Up'!$S$34:$AI$34, 0), FALSE)</f>
        <v>#VALUE!</v>
      </c>
      <c r="G24" s="2" t="e">
        <f>VLOOKUP($C24, '5. MethodMix Set Up'!$S$34:$AI$43, MATCH(G$18, '5. MethodMix Set Up'!$S$34:$AI$34, 0), FALSE)</f>
        <v>#VALUE!</v>
      </c>
      <c r="H24" s="2" t="e">
        <f>VLOOKUP($C24, '5. MethodMix Set Up'!$S$34:$AI$43, MATCH(H$18, '5. MethodMix Set Up'!$S$34:$AI$34, 0), FALSE)</f>
        <v>#VALUE!</v>
      </c>
      <c r="I24" s="2" t="e">
        <f>VLOOKUP($C24, '5. MethodMix Set Up'!$S$34:$AI$43, MATCH(I$18, '5. MethodMix Set Up'!$S$34:$AI$34, 0), FALSE)</f>
        <v>#VALUE!</v>
      </c>
      <c r="J24" s="2" t="e">
        <f>VLOOKUP($C24, '5. MethodMix Set Up'!$S$34:$AI$43, MATCH(J$18, '5. MethodMix Set Up'!$S$34:$AI$34, 0), FALSE)</f>
        <v>#VALUE!</v>
      </c>
      <c r="K24" s="2" t="e">
        <f>VLOOKUP($C24, '5. MethodMix Set Up'!$S$34:$AI$43, MATCH(K$18, '5. MethodMix Set Up'!$S$34:$AI$34, 0), FALSE)</f>
        <v>#VALUE!</v>
      </c>
      <c r="L24" s="2" t="e">
        <f>VLOOKUP($C24, '5. MethodMix Set Up'!$S$34:$AI$43, MATCH(L$18, '5. MethodMix Set Up'!$S$34:$AI$34, 0), FALSE)</f>
        <v>#VALUE!</v>
      </c>
      <c r="M24" s="2" t="e">
        <f>VLOOKUP($C24, '5. MethodMix Set Up'!$S$34:$AI$43, MATCH(M$18, '5. MethodMix Set Up'!$S$34:$AI$34, 0), FALSE)</f>
        <v>#VALUE!</v>
      </c>
      <c r="N24" s="2" t="e">
        <f>VLOOKUP($C24, '5. MethodMix Set Up'!$S$34:$AI$43, MATCH(N$18, '5. MethodMix Set Up'!$S$34:$AI$34, 0), FALSE)</f>
        <v>#VALUE!</v>
      </c>
      <c r="O24" s="2" t="e">
        <f>VLOOKUP($C24, '5. MethodMix Set Up'!$S$34:$AI$43, MATCH(O$18, '5. MethodMix Set Up'!$S$34:$AI$34, 0), FALSE)</f>
        <v>#VALUE!</v>
      </c>
      <c r="P24" s="2" t="e">
        <f>VLOOKUP($C24, '5. MethodMix Set Up'!$S$34:$AI$43, MATCH(P$18, '5. MethodMix Set Up'!$S$34:$AI$34, 0), FALSE)</f>
        <v>#VALUE!</v>
      </c>
      <c r="Q24" s="2" t="e">
        <f>VLOOKUP($C24, '5. MethodMix Set Up'!$S$34:$AI$43, MATCH(Q$18, '5. MethodMix Set Up'!$S$34:$AI$34, 0), FALSE)</f>
        <v>#VALUE!</v>
      </c>
      <c r="R24" s="2" t="e">
        <f>VLOOKUP($C24, '5. MethodMix Set Up'!$S$34:$AI$43, MATCH(R$18, '5. MethodMix Set Up'!$S$34:$AI$34, 0), FALSE)</f>
        <v>#VALUE!</v>
      </c>
      <c r="S24" s="2" t="e">
        <f>VLOOKUP($C24, '5. MethodMix Set Up'!$S$34:$AI$43, MATCH(S$18, '5. MethodMix Set Up'!$S$34:$AI$34, 0), FALSE)</f>
        <v>#VALUE!</v>
      </c>
      <c r="U24" s="2"/>
      <c r="V24" s="2"/>
      <c r="W24" s="807"/>
      <c r="X24" s="2"/>
      <c r="Y24" s="2"/>
      <c r="Z24" s="2"/>
      <c r="AA24" s="2"/>
      <c r="AB24" s="2"/>
      <c r="AC24" s="2"/>
      <c r="AD24" s="445"/>
      <c r="AE24" s="449"/>
      <c r="AF24" s="447"/>
      <c r="AG24" s="2"/>
      <c r="AH24" s="2"/>
      <c r="AI24" s="2"/>
    </row>
    <row r="25" spans="3:35" ht="15" hidden="1" customHeight="1" outlineLevel="1" x14ac:dyDescent="0.25">
      <c r="C25" s="728" t="str">
        <f t="shared" si="13"/>
        <v>Préservatifs (m+f)</v>
      </c>
      <c r="D25" s="2" t="e">
        <f>VLOOKUP($C25, '5. MethodMix Set Up'!$S$34:$AI$43, MATCH(D$18, '5. MethodMix Set Up'!$S$34:$AI$34, 0), FALSE)</f>
        <v>#N/A</v>
      </c>
      <c r="E25" s="2" t="e">
        <f>VLOOKUP($C25, '5. MethodMix Set Up'!$S$34:$AI$43, MATCH(E$18, '5. MethodMix Set Up'!$S$34:$AI$34, 0), FALSE)</f>
        <v>#VALUE!</v>
      </c>
      <c r="F25" s="2" t="e">
        <f>VLOOKUP($C25, '5. MethodMix Set Up'!$S$34:$AI$43, MATCH(F$18, '5. MethodMix Set Up'!$S$34:$AI$34, 0), FALSE)</f>
        <v>#VALUE!</v>
      </c>
      <c r="G25" s="2" t="e">
        <f>VLOOKUP($C25, '5. MethodMix Set Up'!$S$34:$AI$43, MATCH(G$18, '5. MethodMix Set Up'!$S$34:$AI$34, 0), FALSE)</f>
        <v>#VALUE!</v>
      </c>
      <c r="H25" s="2" t="e">
        <f>VLOOKUP($C25, '5. MethodMix Set Up'!$S$34:$AI$43, MATCH(H$18, '5. MethodMix Set Up'!$S$34:$AI$34, 0), FALSE)</f>
        <v>#VALUE!</v>
      </c>
      <c r="I25" s="2" t="e">
        <f>VLOOKUP($C25, '5. MethodMix Set Up'!$S$34:$AI$43, MATCH(I$18, '5. MethodMix Set Up'!$S$34:$AI$34, 0), FALSE)</f>
        <v>#VALUE!</v>
      </c>
      <c r="J25" s="2" t="e">
        <f>VLOOKUP($C25, '5. MethodMix Set Up'!$S$34:$AI$43, MATCH(J$18, '5. MethodMix Set Up'!$S$34:$AI$34, 0), FALSE)</f>
        <v>#VALUE!</v>
      </c>
      <c r="K25" s="2" t="e">
        <f>VLOOKUP($C25, '5. MethodMix Set Up'!$S$34:$AI$43, MATCH(K$18, '5. MethodMix Set Up'!$S$34:$AI$34, 0), FALSE)</f>
        <v>#VALUE!</v>
      </c>
      <c r="L25" s="2" t="e">
        <f>VLOOKUP($C25, '5. MethodMix Set Up'!$S$34:$AI$43, MATCH(L$18, '5. MethodMix Set Up'!$S$34:$AI$34, 0), FALSE)</f>
        <v>#VALUE!</v>
      </c>
      <c r="M25" s="2" t="e">
        <f>VLOOKUP($C25, '5. MethodMix Set Up'!$S$34:$AI$43, MATCH(M$18, '5. MethodMix Set Up'!$S$34:$AI$34, 0), FALSE)</f>
        <v>#VALUE!</v>
      </c>
      <c r="N25" s="2" t="e">
        <f>VLOOKUP($C25, '5. MethodMix Set Up'!$S$34:$AI$43, MATCH(N$18, '5. MethodMix Set Up'!$S$34:$AI$34, 0), FALSE)</f>
        <v>#VALUE!</v>
      </c>
      <c r="O25" s="2" t="e">
        <f>VLOOKUP($C25, '5. MethodMix Set Up'!$S$34:$AI$43, MATCH(O$18, '5. MethodMix Set Up'!$S$34:$AI$34, 0), FALSE)</f>
        <v>#VALUE!</v>
      </c>
      <c r="P25" s="2" t="e">
        <f>VLOOKUP($C25, '5. MethodMix Set Up'!$S$34:$AI$43, MATCH(P$18, '5. MethodMix Set Up'!$S$34:$AI$34, 0), FALSE)</f>
        <v>#VALUE!</v>
      </c>
      <c r="Q25" s="2" t="e">
        <f>VLOOKUP($C25, '5. MethodMix Set Up'!$S$34:$AI$43, MATCH(Q$18, '5. MethodMix Set Up'!$S$34:$AI$34, 0), FALSE)</f>
        <v>#VALUE!</v>
      </c>
      <c r="R25" s="2" t="e">
        <f>VLOOKUP($C25, '5. MethodMix Set Up'!$S$34:$AI$43, MATCH(R$18, '5. MethodMix Set Up'!$S$34:$AI$34, 0), FALSE)</f>
        <v>#VALUE!</v>
      </c>
      <c r="S25" s="2" t="e">
        <f>VLOOKUP($C25, '5. MethodMix Set Up'!$S$34:$AI$43, MATCH(S$18, '5. MethodMix Set Up'!$S$34:$AI$34, 0), FALSE)</f>
        <v>#VALUE!</v>
      </c>
      <c r="U25" s="2"/>
      <c r="V25" s="2"/>
      <c r="W25" s="807"/>
      <c r="X25" s="2"/>
      <c r="Y25" s="2"/>
      <c r="Z25" s="2"/>
      <c r="AA25" s="2"/>
      <c r="AB25" s="2"/>
      <c r="AC25" s="2"/>
      <c r="AD25" s="445"/>
      <c r="AE25" s="449"/>
      <c r="AF25" s="447"/>
      <c r="AG25" s="2"/>
      <c r="AH25" s="2"/>
      <c r="AI25" s="2"/>
    </row>
    <row r="26" spans="3:35" ht="15" hidden="1" customHeight="1" outlineLevel="1" x14ac:dyDescent="0.25">
      <c r="C26" s="728" t="str">
        <f t="shared" si="13"/>
        <v>MAMA</v>
      </c>
      <c r="D26" s="2" t="e">
        <f>VLOOKUP($C26, '5. MethodMix Set Up'!$S$34:$AI$43, MATCH(D$18, '5. MethodMix Set Up'!$S$34:$AI$34, 0), FALSE)</f>
        <v>#N/A</v>
      </c>
      <c r="E26" s="2" t="e">
        <f>VLOOKUP($C26, '5. MethodMix Set Up'!$S$34:$AI$43, MATCH(E$18, '5. MethodMix Set Up'!$S$34:$AI$34, 0), FALSE)</f>
        <v>#VALUE!</v>
      </c>
      <c r="F26" s="2" t="e">
        <f>VLOOKUP($C26, '5. MethodMix Set Up'!$S$34:$AI$43, MATCH(F$18, '5. MethodMix Set Up'!$S$34:$AI$34, 0), FALSE)</f>
        <v>#VALUE!</v>
      </c>
      <c r="G26" s="2" t="e">
        <f>VLOOKUP($C26, '5. MethodMix Set Up'!$S$34:$AI$43, MATCH(G$18, '5. MethodMix Set Up'!$S$34:$AI$34, 0), FALSE)</f>
        <v>#VALUE!</v>
      </c>
      <c r="H26" s="2" t="e">
        <f>VLOOKUP($C26, '5. MethodMix Set Up'!$S$34:$AI$43, MATCH(H$18, '5. MethodMix Set Up'!$S$34:$AI$34, 0), FALSE)</f>
        <v>#VALUE!</v>
      </c>
      <c r="I26" s="2" t="e">
        <f>VLOOKUP($C26, '5. MethodMix Set Up'!$S$34:$AI$43, MATCH(I$18, '5. MethodMix Set Up'!$S$34:$AI$34, 0), FALSE)</f>
        <v>#VALUE!</v>
      </c>
      <c r="J26" s="2" t="e">
        <f>VLOOKUP($C26, '5. MethodMix Set Up'!$S$34:$AI$43, MATCH(J$18, '5. MethodMix Set Up'!$S$34:$AI$34, 0), FALSE)</f>
        <v>#VALUE!</v>
      </c>
      <c r="K26" s="2" t="e">
        <f>VLOOKUP($C26, '5. MethodMix Set Up'!$S$34:$AI$43, MATCH(K$18, '5. MethodMix Set Up'!$S$34:$AI$34, 0), FALSE)</f>
        <v>#VALUE!</v>
      </c>
      <c r="L26" s="2" t="e">
        <f>VLOOKUP($C26, '5. MethodMix Set Up'!$S$34:$AI$43, MATCH(L$18, '5. MethodMix Set Up'!$S$34:$AI$34, 0), FALSE)</f>
        <v>#VALUE!</v>
      </c>
      <c r="M26" s="2" t="e">
        <f>VLOOKUP($C26, '5. MethodMix Set Up'!$S$34:$AI$43, MATCH(M$18, '5. MethodMix Set Up'!$S$34:$AI$34, 0), FALSE)</f>
        <v>#VALUE!</v>
      </c>
      <c r="N26" s="2" t="e">
        <f>VLOOKUP($C26, '5. MethodMix Set Up'!$S$34:$AI$43, MATCH(N$18, '5. MethodMix Set Up'!$S$34:$AI$34, 0), FALSE)</f>
        <v>#VALUE!</v>
      </c>
      <c r="O26" s="2" t="e">
        <f>VLOOKUP($C26, '5. MethodMix Set Up'!$S$34:$AI$43, MATCH(O$18, '5. MethodMix Set Up'!$S$34:$AI$34, 0), FALSE)</f>
        <v>#VALUE!</v>
      </c>
      <c r="P26" s="2" t="e">
        <f>VLOOKUP($C26, '5. MethodMix Set Up'!$S$34:$AI$43, MATCH(P$18, '5. MethodMix Set Up'!$S$34:$AI$34, 0), FALSE)</f>
        <v>#VALUE!</v>
      </c>
      <c r="Q26" s="2" t="e">
        <f>VLOOKUP($C26, '5. MethodMix Set Up'!$S$34:$AI$43, MATCH(Q$18, '5. MethodMix Set Up'!$S$34:$AI$34, 0), FALSE)</f>
        <v>#VALUE!</v>
      </c>
      <c r="R26" s="2" t="e">
        <f>VLOOKUP($C26, '5. MethodMix Set Up'!$S$34:$AI$43, MATCH(R$18, '5. MethodMix Set Up'!$S$34:$AI$34, 0), FALSE)</f>
        <v>#VALUE!</v>
      </c>
      <c r="S26" s="2" t="e">
        <f>VLOOKUP($C26, '5. MethodMix Set Up'!$S$34:$AI$43, MATCH(S$18, '5. MethodMix Set Up'!$S$34:$AI$34, 0), FALSE)</f>
        <v>#VALUE!</v>
      </c>
      <c r="U26" s="2"/>
      <c r="V26" s="2"/>
      <c r="W26" s="807"/>
      <c r="X26" s="2"/>
      <c r="Y26" s="2"/>
      <c r="Z26" s="2"/>
      <c r="AA26" s="2"/>
      <c r="AB26" s="2"/>
      <c r="AC26" s="2"/>
      <c r="AD26" s="445"/>
      <c r="AE26" s="449"/>
      <c r="AF26" s="447"/>
      <c r="AG26" s="2"/>
      <c r="AH26" s="2"/>
      <c r="AI26" s="2"/>
    </row>
    <row r="27" spans="3:35" ht="15" hidden="1" customHeight="1" outlineLevel="1" x14ac:dyDescent="0.25">
      <c r="C27" s="728" t="str">
        <f>C15</f>
        <v>Autres méthodes modernes</v>
      </c>
      <c r="D27" s="2" t="e">
        <f>VLOOKUP($C27, '5. MethodMix Set Up'!$S$34:$AI$43, MATCH(D$18, '5. MethodMix Set Up'!$S$34:$AI$34, 0), FALSE)</f>
        <v>#N/A</v>
      </c>
      <c r="E27" s="2" t="e">
        <f>VLOOKUP($C27, '5. MethodMix Set Up'!$S$34:$AI$43, MATCH(E$18, '5. MethodMix Set Up'!$S$34:$AI$34, 0), FALSE)</f>
        <v>#VALUE!</v>
      </c>
      <c r="F27" s="2" t="e">
        <f>VLOOKUP($C27, '5. MethodMix Set Up'!$S$34:$AI$43, MATCH(F$18, '5. MethodMix Set Up'!$S$34:$AI$34, 0), FALSE)</f>
        <v>#VALUE!</v>
      </c>
      <c r="G27" s="2" t="e">
        <f>VLOOKUP($C27, '5. MethodMix Set Up'!$S$34:$AI$43, MATCH(G$18, '5. MethodMix Set Up'!$S$34:$AI$34, 0), FALSE)</f>
        <v>#VALUE!</v>
      </c>
      <c r="H27" s="2" t="e">
        <f>VLOOKUP($C27, '5. MethodMix Set Up'!$S$34:$AI$43, MATCH(H$18, '5. MethodMix Set Up'!$S$34:$AI$34, 0), FALSE)</f>
        <v>#VALUE!</v>
      </c>
      <c r="I27" s="2" t="e">
        <f>VLOOKUP($C27, '5. MethodMix Set Up'!$S$34:$AI$43, MATCH(I$18, '5. MethodMix Set Up'!$S$34:$AI$34, 0), FALSE)</f>
        <v>#VALUE!</v>
      </c>
      <c r="J27" s="2" t="e">
        <f>VLOOKUP($C27, '5. MethodMix Set Up'!$S$34:$AI$43, MATCH(J$18, '5. MethodMix Set Up'!$S$34:$AI$34, 0), FALSE)</f>
        <v>#VALUE!</v>
      </c>
      <c r="K27" s="2" t="e">
        <f>VLOOKUP($C27, '5. MethodMix Set Up'!$S$34:$AI$43, MATCH(K$18, '5. MethodMix Set Up'!$S$34:$AI$34, 0), FALSE)</f>
        <v>#VALUE!</v>
      </c>
      <c r="L27" s="2" t="e">
        <f>VLOOKUP($C27, '5. MethodMix Set Up'!$S$34:$AI$43, MATCH(L$18, '5. MethodMix Set Up'!$S$34:$AI$34, 0), FALSE)</f>
        <v>#VALUE!</v>
      </c>
      <c r="M27" s="2" t="e">
        <f>VLOOKUP($C27, '5. MethodMix Set Up'!$S$34:$AI$43, MATCH(M$18, '5. MethodMix Set Up'!$S$34:$AI$34, 0), FALSE)</f>
        <v>#VALUE!</v>
      </c>
      <c r="N27" s="2" t="e">
        <f>VLOOKUP($C27, '5. MethodMix Set Up'!$S$34:$AI$43, MATCH(N$18, '5. MethodMix Set Up'!$S$34:$AI$34, 0), FALSE)</f>
        <v>#VALUE!</v>
      </c>
      <c r="O27" s="2" t="e">
        <f>VLOOKUP($C27, '5. MethodMix Set Up'!$S$34:$AI$43, MATCH(O$18, '5. MethodMix Set Up'!$S$34:$AI$34, 0), FALSE)</f>
        <v>#VALUE!</v>
      </c>
      <c r="P27" s="2" t="e">
        <f>VLOOKUP($C27, '5. MethodMix Set Up'!$S$34:$AI$43, MATCH(P$18, '5. MethodMix Set Up'!$S$34:$AI$34, 0), FALSE)</f>
        <v>#VALUE!</v>
      </c>
      <c r="Q27" s="2" t="e">
        <f>VLOOKUP($C27, '5. MethodMix Set Up'!$S$34:$AI$43, MATCH(Q$18, '5. MethodMix Set Up'!$S$34:$AI$34, 0), FALSE)</f>
        <v>#VALUE!</v>
      </c>
      <c r="R27" s="2" t="e">
        <f>VLOOKUP($C27, '5. MethodMix Set Up'!$S$34:$AI$43, MATCH(R$18, '5. MethodMix Set Up'!$S$34:$AI$34, 0), FALSE)</f>
        <v>#VALUE!</v>
      </c>
      <c r="S27" s="2" t="e">
        <f>VLOOKUP($C27, '5. MethodMix Set Up'!$S$34:$AI$43, MATCH(S$18, '5. MethodMix Set Up'!$S$34:$AI$34, 0), FALSE)</f>
        <v>#VALUE!</v>
      </c>
      <c r="U27" s="2"/>
      <c r="V27" s="2"/>
      <c r="W27" s="807"/>
      <c r="X27" s="2"/>
      <c r="Y27" s="2"/>
      <c r="Z27" s="2"/>
      <c r="AA27" s="2"/>
      <c r="AB27" s="2"/>
      <c r="AC27" s="2"/>
      <c r="AD27" s="445"/>
      <c r="AE27" s="449"/>
      <c r="AF27" s="447"/>
      <c r="AG27" s="2"/>
      <c r="AH27" s="2"/>
      <c r="AI27" s="2"/>
    </row>
    <row r="28" spans="3:35" ht="15.75" hidden="1" customHeight="1" outlineLevel="1" thickBot="1" x14ac:dyDescent="0.3">
      <c r="C28" s="731" t="str">
        <f>C16</f>
        <v>Total</v>
      </c>
      <c r="D28" s="732" t="e">
        <f t="shared" ref="D28:S28" si="14">SUM(D19:D27)</f>
        <v>#N/A</v>
      </c>
      <c r="E28" s="732" t="e">
        <f t="shared" si="14"/>
        <v>#VALUE!</v>
      </c>
      <c r="F28" s="732" t="e">
        <f t="shared" si="14"/>
        <v>#VALUE!</v>
      </c>
      <c r="G28" s="732" t="e">
        <f t="shared" si="14"/>
        <v>#VALUE!</v>
      </c>
      <c r="H28" s="732" t="e">
        <f t="shared" si="14"/>
        <v>#VALUE!</v>
      </c>
      <c r="I28" s="732" t="e">
        <f t="shared" si="14"/>
        <v>#VALUE!</v>
      </c>
      <c r="J28" s="732" t="e">
        <f t="shared" si="14"/>
        <v>#VALUE!</v>
      </c>
      <c r="K28" s="732" t="e">
        <f t="shared" si="14"/>
        <v>#VALUE!</v>
      </c>
      <c r="L28" s="732" t="e">
        <f t="shared" si="14"/>
        <v>#VALUE!</v>
      </c>
      <c r="M28" s="732" t="e">
        <f t="shared" si="14"/>
        <v>#VALUE!</v>
      </c>
      <c r="N28" s="732" t="e">
        <f t="shared" si="14"/>
        <v>#VALUE!</v>
      </c>
      <c r="O28" s="732" t="e">
        <f t="shared" si="14"/>
        <v>#VALUE!</v>
      </c>
      <c r="P28" s="732" t="e">
        <f t="shared" si="14"/>
        <v>#VALUE!</v>
      </c>
      <c r="Q28" s="732" t="e">
        <f t="shared" si="14"/>
        <v>#VALUE!</v>
      </c>
      <c r="R28" s="732" t="e">
        <f t="shared" si="14"/>
        <v>#VALUE!</v>
      </c>
      <c r="S28" s="733" t="e">
        <f t="shared" si="14"/>
        <v>#VALUE!</v>
      </c>
      <c r="U28" s="2"/>
      <c r="V28" s="2"/>
      <c r="W28" s="807"/>
      <c r="X28" s="2"/>
      <c r="Y28" s="2"/>
      <c r="Z28" s="2"/>
      <c r="AA28" s="2"/>
      <c r="AB28" s="2"/>
      <c r="AC28" s="2"/>
      <c r="AD28" s="445"/>
      <c r="AE28" s="449"/>
      <c r="AF28" s="447"/>
      <c r="AG28" s="2"/>
      <c r="AH28" s="2"/>
      <c r="AI28" s="2"/>
    </row>
    <row r="29" spans="3:35" ht="15" hidden="1" customHeight="1" outlineLevel="1" x14ac:dyDescent="0.25">
      <c r="C29" s="167"/>
      <c r="D29" s="2"/>
      <c r="E29" s="2"/>
      <c r="F29" s="2"/>
      <c r="G29" s="2"/>
      <c r="H29" s="2"/>
      <c r="I29" s="2"/>
      <c r="J29" s="2"/>
      <c r="K29" s="2"/>
      <c r="L29" s="2"/>
      <c r="M29" s="2"/>
      <c r="N29" s="2"/>
      <c r="O29" s="2"/>
      <c r="P29" s="2"/>
      <c r="Q29" s="2"/>
      <c r="R29" s="2"/>
      <c r="S29" s="2"/>
      <c r="U29" s="2"/>
      <c r="V29" s="2"/>
      <c r="W29" s="807"/>
      <c r="X29" s="2"/>
      <c r="Y29" s="2"/>
      <c r="Z29" s="2"/>
      <c r="AA29" s="2"/>
      <c r="AB29" s="2"/>
      <c r="AC29" s="2"/>
      <c r="AD29" s="445"/>
      <c r="AE29" s="449"/>
      <c r="AF29" s="447"/>
      <c r="AG29" s="2"/>
      <c r="AH29" s="2"/>
      <c r="AI29" s="2"/>
    </row>
    <row r="30" spans="3:35" ht="15.75" hidden="1" customHeight="1" outlineLevel="1" thickBot="1" x14ac:dyDescent="0.3">
      <c r="C30" s="167"/>
      <c r="D30" s="2"/>
      <c r="E30" s="2"/>
      <c r="F30" s="2"/>
      <c r="G30" s="2"/>
      <c r="H30" s="2"/>
      <c r="I30" s="2"/>
      <c r="J30" s="2"/>
      <c r="K30" s="2"/>
      <c r="L30" s="2"/>
      <c r="M30" s="2"/>
      <c r="N30" s="2"/>
      <c r="O30" s="2"/>
      <c r="P30" s="2"/>
      <c r="Q30" s="2"/>
      <c r="R30" s="2"/>
      <c r="S30" s="2"/>
      <c r="U30" s="2"/>
      <c r="V30" s="2"/>
      <c r="W30" s="807"/>
      <c r="X30" s="2"/>
      <c r="Y30" s="2"/>
      <c r="Z30" s="2"/>
      <c r="AA30" s="2"/>
      <c r="AB30" s="2"/>
      <c r="AC30" s="2"/>
      <c r="AD30" s="445"/>
      <c r="AE30" s="449"/>
      <c r="AF30" s="447"/>
      <c r="AG30" s="2"/>
      <c r="AH30" s="2"/>
      <c r="AI30" s="2"/>
    </row>
    <row r="31" spans="3:35" ht="60" hidden="1" customHeight="1" outlineLevel="1" x14ac:dyDescent="0.25">
      <c r="C31" s="734"/>
      <c r="D31" s="735">
        <f>D124</f>
        <v>0</v>
      </c>
      <c r="E31" s="735" t="str">
        <f t="shared" ref="E31:S31" si="15">E124</f>
        <v/>
      </c>
      <c r="F31" s="735" t="str">
        <f t="shared" si="15"/>
        <v/>
      </c>
      <c r="G31" s="735" t="str">
        <f t="shared" si="15"/>
        <v/>
      </c>
      <c r="H31" s="735" t="str">
        <f t="shared" si="15"/>
        <v/>
      </c>
      <c r="I31" s="735" t="str">
        <f t="shared" si="15"/>
        <v/>
      </c>
      <c r="J31" s="735" t="str">
        <f t="shared" si="15"/>
        <v/>
      </c>
      <c r="K31" s="735" t="str">
        <f t="shared" si="15"/>
        <v/>
      </c>
      <c r="L31" s="735" t="str">
        <f t="shared" si="15"/>
        <v/>
      </c>
      <c r="M31" s="735" t="str">
        <f t="shared" si="15"/>
        <v/>
      </c>
      <c r="N31" s="735" t="str">
        <f t="shared" si="15"/>
        <v/>
      </c>
      <c r="O31" s="735" t="str">
        <f t="shared" si="15"/>
        <v/>
      </c>
      <c r="P31" s="735" t="str">
        <f t="shared" si="15"/>
        <v/>
      </c>
      <c r="Q31" s="735" t="str">
        <f t="shared" si="15"/>
        <v/>
      </c>
      <c r="R31" s="735" t="str">
        <f t="shared" si="15"/>
        <v/>
      </c>
      <c r="S31" s="735" t="str">
        <f t="shared" si="15"/>
        <v/>
      </c>
      <c r="U31" s="119" t="s">
        <v>1257</v>
      </c>
      <c r="V31" s="2"/>
      <c r="W31" s="807"/>
      <c r="X31" s="2"/>
      <c r="Y31" s="2"/>
      <c r="Z31" s="2"/>
      <c r="AA31" s="2"/>
      <c r="AB31" s="2"/>
      <c r="AC31" s="2"/>
      <c r="AD31" s="445"/>
      <c r="AE31" s="449"/>
      <c r="AF31" s="447"/>
      <c r="AG31" s="2"/>
      <c r="AH31" s="2"/>
      <c r="AI31" s="2"/>
    </row>
    <row r="32" spans="3:35" ht="15" hidden="1" customHeight="1" outlineLevel="1" x14ac:dyDescent="0.25">
      <c r="C32" s="736" t="str">
        <f xml:space="preserve"> "Pop :"&amp;'3. ServiceStats Set Up'!$C$8</f>
        <v>Pop :All Women</v>
      </c>
      <c r="D32" s="599" t="e">
        <f>VLOOKUP(D$31, '2. Pop_Prev Set Up'!$T$11:$U$28, 2, FALSE)</f>
        <v>#N/A</v>
      </c>
      <c r="E32" s="599" t="str">
        <f>VLOOKUP(E$31, '2. Pop_Prev Set Up'!$T$11:$U$28, 2, FALSE)</f>
        <v/>
      </c>
      <c r="F32" s="599" t="str">
        <f>VLOOKUP(F$31, '2. Pop_Prev Set Up'!$T$11:$U$28, 2, FALSE)</f>
        <v/>
      </c>
      <c r="G32" s="599" t="str">
        <f>VLOOKUP(G$31, '2. Pop_Prev Set Up'!$T$11:$U$28, 2, FALSE)</f>
        <v/>
      </c>
      <c r="H32" s="599" t="str">
        <f>VLOOKUP(H$31, '2. Pop_Prev Set Up'!$T$11:$U$28, 2, FALSE)</f>
        <v/>
      </c>
      <c r="I32" s="599" t="str">
        <f>VLOOKUP(I$31, '2. Pop_Prev Set Up'!$T$11:$U$28, 2, FALSE)</f>
        <v/>
      </c>
      <c r="J32" s="599" t="str">
        <f>VLOOKUP(J$31, '2. Pop_Prev Set Up'!$T$11:$U$28, 2, FALSE)</f>
        <v/>
      </c>
      <c r="K32" s="599" t="str">
        <f>VLOOKUP(K$31, '2. Pop_Prev Set Up'!$T$11:$U$28, 2, FALSE)</f>
        <v/>
      </c>
      <c r="L32" s="599" t="str">
        <f>VLOOKUP(L$31, '2. Pop_Prev Set Up'!$T$11:$U$28, 2, FALSE)</f>
        <v/>
      </c>
      <c r="M32" s="599" t="str">
        <f>VLOOKUP(M$31, '2. Pop_Prev Set Up'!$T$11:$U$28, 2, FALSE)</f>
        <v/>
      </c>
      <c r="N32" s="599" t="str">
        <f>VLOOKUP(N$31, '2. Pop_Prev Set Up'!$T$11:$U$28, 2, FALSE)</f>
        <v/>
      </c>
      <c r="O32" s="599" t="str">
        <f>VLOOKUP(O$31, '2. Pop_Prev Set Up'!$T$11:$U$28, 2, FALSE)</f>
        <v/>
      </c>
      <c r="P32" s="599" t="str">
        <f>VLOOKUP(P$31, '2. Pop_Prev Set Up'!$T$11:$U$28, 2, FALSE)</f>
        <v/>
      </c>
      <c r="Q32" s="599" t="str">
        <f>VLOOKUP(Q$31, '2. Pop_Prev Set Up'!$T$11:$U$28, 2, FALSE)</f>
        <v/>
      </c>
      <c r="R32" s="599" t="str">
        <f>VLOOKUP(R$31, '2. Pop_Prev Set Up'!$T$11:$U$28, 2, FALSE)</f>
        <v/>
      </c>
      <c r="S32" s="599" t="str">
        <f>VLOOKUP(S$31, '2. Pop_Prev Set Up'!$T$11:$U$28, 2, FALSE)</f>
        <v/>
      </c>
      <c r="V32" s="2"/>
      <c r="W32" s="807"/>
      <c r="X32" s="2"/>
      <c r="Y32" s="2"/>
      <c r="Z32" s="2"/>
      <c r="AA32" s="2"/>
      <c r="AB32" s="2"/>
      <c r="AC32" s="2"/>
      <c r="AD32" s="445"/>
      <c r="AE32" s="449"/>
      <c r="AF32" s="447"/>
      <c r="AG32" s="2"/>
      <c r="AH32" s="2"/>
      <c r="AI32" s="2"/>
    </row>
    <row r="33" spans="1:41" ht="15" hidden="1" customHeight="1" outlineLevel="1" x14ac:dyDescent="0.25">
      <c r="A33" s="237"/>
      <c r="B33" t="s">
        <v>1012</v>
      </c>
      <c r="C33" s="736" t="str">
        <f>IF(Language="English", AD45, AF45)</f>
        <v>EUM: Produits inc. Préservatifs</v>
      </c>
      <c r="D33" s="942" t="e">
        <f>IFERROR(IF(D31="", "",D151/D32), NA())</f>
        <v>#N/A</v>
      </c>
      <c r="E33" s="942" t="str">
        <f>IFERROR(IF(E31="", "",E151/E32), NA())</f>
        <v/>
      </c>
      <c r="F33" s="942" t="str">
        <f t="shared" ref="F33:S33" si="16">IFERROR(IF(F31="", "",F151/F32), NA())</f>
        <v/>
      </c>
      <c r="G33" s="942" t="str">
        <f t="shared" si="16"/>
        <v/>
      </c>
      <c r="H33" s="942" t="str">
        <f t="shared" si="16"/>
        <v/>
      </c>
      <c r="I33" s="942" t="str">
        <f t="shared" si="16"/>
        <v/>
      </c>
      <c r="J33" s="942" t="str">
        <f t="shared" si="16"/>
        <v/>
      </c>
      <c r="K33" s="942" t="str">
        <f t="shared" si="16"/>
        <v/>
      </c>
      <c r="L33" s="942" t="str">
        <f t="shared" si="16"/>
        <v/>
      </c>
      <c r="M33" s="942" t="str">
        <f t="shared" si="16"/>
        <v/>
      </c>
      <c r="N33" s="942" t="str">
        <f t="shared" si="16"/>
        <v/>
      </c>
      <c r="O33" s="942" t="str">
        <f t="shared" si="16"/>
        <v/>
      </c>
      <c r="P33" s="942" t="str">
        <f t="shared" si="16"/>
        <v/>
      </c>
      <c r="Q33" s="942" t="str">
        <f t="shared" si="16"/>
        <v/>
      </c>
      <c r="R33" s="942" t="str">
        <f t="shared" si="16"/>
        <v/>
      </c>
      <c r="S33" s="942" t="str">
        <f t="shared" si="16"/>
        <v/>
      </c>
      <c r="U33" s="968"/>
      <c r="V33" s="2"/>
      <c r="W33" s="807"/>
      <c r="X33" s="2"/>
      <c r="Y33" s="2"/>
      <c r="Z33" s="2"/>
      <c r="AA33" s="2"/>
      <c r="AB33" s="2"/>
      <c r="AC33" s="2"/>
      <c r="AD33" s="445"/>
      <c r="AE33" s="449"/>
      <c r="AF33" s="447"/>
      <c r="AG33" s="2"/>
      <c r="AH33" s="2"/>
      <c r="AI33" s="2"/>
    </row>
    <row r="34" spans="1:41" ht="15" hidden="1" customHeight="1" outlineLevel="1" x14ac:dyDescent="0.25">
      <c r="A34" s="237"/>
      <c r="B34" t="s">
        <v>1010</v>
      </c>
      <c r="C34" s="736" t="str">
        <f>IF(Language="English", AD46, AF46)</f>
        <v>EUM: Produits ex. Préservatifs</v>
      </c>
      <c r="D34" s="942" t="e">
        <f>IFERROR(IF(D31="", "", D152/D32), NA())</f>
        <v>#N/A</v>
      </c>
      <c r="E34" s="942" t="str">
        <f>IFERROR(IF(E31="", "", E152/E32), NA())</f>
        <v/>
      </c>
      <c r="F34" s="942" t="str">
        <f t="shared" ref="F34:S34" si="17">IFERROR(IF(F31="", "", F152/F32), NA())</f>
        <v/>
      </c>
      <c r="G34" s="942" t="str">
        <f t="shared" si="17"/>
        <v/>
      </c>
      <c r="H34" s="942" t="str">
        <f t="shared" si="17"/>
        <v/>
      </c>
      <c r="I34" s="942" t="str">
        <f t="shared" si="17"/>
        <v/>
      </c>
      <c r="J34" s="942" t="str">
        <f t="shared" si="17"/>
        <v/>
      </c>
      <c r="K34" s="942" t="str">
        <f t="shared" si="17"/>
        <v/>
      </c>
      <c r="L34" s="942" t="str">
        <f t="shared" si="17"/>
        <v/>
      </c>
      <c r="M34" s="942" t="str">
        <f t="shared" si="17"/>
        <v/>
      </c>
      <c r="N34" s="942" t="str">
        <f t="shared" si="17"/>
        <v/>
      </c>
      <c r="O34" s="942" t="str">
        <f t="shared" si="17"/>
        <v/>
      </c>
      <c r="P34" s="942" t="str">
        <f t="shared" si="17"/>
        <v/>
      </c>
      <c r="Q34" s="942" t="str">
        <f t="shared" si="17"/>
        <v/>
      </c>
      <c r="R34" s="942" t="str">
        <f t="shared" si="17"/>
        <v/>
      </c>
      <c r="S34" s="942" t="str">
        <f t="shared" si="17"/>
        <v/>
      </c>
      <c r="U34" s="968"/>
      <c r="V34" s="2"/>
      <c r="W34" s="807"/>
      <c r="X34" s="2"/>
      <c r="Y34" s="2"/>
      <c r="Z34" s="2"/>
      <c r="AA34" s="2"/>
      <c r="AB34" s="2"/>
      <c r="AC34" s="2"/>
      <c r="AD34" s="445"/>
      <c r="AE34" s="449"/>
      <c r="AF34" s="447"/>
      <c r="AG34" s="2"/>
      <c r="AH34" s="2"/>
      <c r="AI34" s="2"/>
    </row>
    <row r="35" spans="1:41" ht="15" hidden="1" customHeight="1" outlineLevel="1" x14ac:dyDescent="0.25">
      <c r="A35" s="237"/>
      <c r="B35" s="237" t="s">
        <v>1068</v>
      </c>
      <c r="C35" s="736" t="str">
        <f>IF('3. ServiceStats Set Up'!$T$8="MW", '2. Pop_Prev Set Up'!$V$10, '2. Pop_Prev Set Up'!$W$10)</f>
        <v>TPCm (TF): DHS</v>
      </c>
      <c r="D35" s="942" t="e">
        <f>VLOOKUP(D$31, '2. Pop_Prev Set Up'!$T$11:$AE$28, MATCH($C35, '2. Pop_Prev Set Up'!$T$10:$AE$10, 0), FALSE)</f>
        <v>#N/A</v>
      </c>
      <c r="E35" s="942" t="e">
        <f>VLOOKUP(E$31, '2. Pop_Prev Set Up'!$T$11:$AE$28, MATCH($C35, '2. Pop_Prev Set Up'!$T$10:$AE$10, 0), FALSE)</f>
        <v>#N/A</v>
      </c>
      <c r="F35" s="942" t="e">
        <f>VLOOKUP(F$31, '2. Pop_Prev Set Up'!$T$11:$AE$28, MATCH($C35, '2. Pop_Prev Set Up'!$T$10:$AE$10, 0), FALSE)</f>
        <v>#N/A</v>
      </c>
      <c r="G35" s="942" t="e">
        <f>VLOOKUP(G$31, '2. Pop_Prev Set Up'!$T$11:$AE$28, MATCH($C35, '2. Pop_Prev Set Up'!$T$10:$AE$10, 0), FALSE)</f>
        <v>#N/A</v>
      </c>
      <c r="H35" s="942" t="e">
        <f>VLOOKUP(H$31, '2. Pop_Prev Set Up'!$T$11:$AE$28, MATCH($C35, '2. Pop_Prev Set Up'!$T$10:$AE$10, 0), FALSE)</f>
        <v>#N/A</v>
      </c>
      <c r="I35" s="942" t="e">
        <f>VLOOKUP(I$31, '2. Pop_Prev Set Up'!$T$11:$AE$28, MATCH($C35, '2. Pop_Prev Set Up'!$T$10:$AE$10, 0), FALSE)</f>
        <v>#N/A</v>
      </c>
      <c r="J35" s="942" t="e">
        <f>VLOOKUP(J$31, '2. Pop_Prev Set Up'!$T$11:$AE$28, MATCH($C35, '2. Pop_Prev Set Up'!$T$10:$AE$10, 0), FALSE)</f>
        <v>#N/A</v>
      </c>
      <c r="K35" s="942" t="e">
        <f>VLOOKUP(K$31, '2. Pop_Prev Set Up'!$T$11:$AE$28, MATCH($C35, '2. Pop_Prev Set Up'!$T$10:$AE$10, 0), FALSE)</f>
        <v>#N/A</v>
      </c>
      <c r="L35" s="942" t="e">
        <f>VLOOKUP(L$31, '2. Pop_Prev Set Up'!$T$11:$AE$28, MATCH($C35, '2. Pop_Prev Set Up'!$T$10:$AE$10, 0), FALSE)</f>
        <v>#N/A</v>
      </c>
      <c r="M35" s="942" t="e">
        <f>VLOOKUP(M$31, '2. Pop_Prev Set Up'!$T$11:$AE$28, MATCH($C35, '2. Pop_Prev Set Up'!$T$10:$AE$10, 0), FALSE)</f>
        <v>#N/A</v>
      </c>
      <c r="N35" s="942" t="e">
        <f>VLOOKUP(N$31, '2. Pop_Prev Set Up'!$T$11:$AE$28, MATCH($C35, '2. Pop_Prev Set Up'!$T$10:$AE$10, 0), FALSE)</f>
        <v>#N/A</v>
      </c>
      <c r="O35" s="942" t="e">
        <f>VLOOKUP(O$31, '2. Pop_Prev Set Up'!$T$11:$AE$28, MATCH($C35, '2. Pop_Prev Set Up'!$T$10:$AE$10, 0), FALSE)</f>
        <v>#N/A</v>
      </c>
      <c r="P35" s="942" t="e">
        <f>VLOOKUP(P$31, '2. Pop_Prev Set Up'!$T$11:$AE$28, MATCH($C35, '2. Pop_Prev Set Up'!$T$10:$AE$10, 0), FALSE)</f>
        <v>#N/A</v>
      </c>
      <c r="Q35" s="942" t="e">
        <f>VLOOKUP(Q$31, '2. Pop_Prev Set Up'!$T$11:$AE$28, MATCH($C35, '2. Pop_Prev Set Up'!$T$10:$AE$10, 0), FALSE)</f>
        <v>#N/A</v>
      </c>
      <c r="R35" s="942" t="e">
        <f>VLOOKUP(R$31, '2. Pop_Prev Set Up'!$T$11:$AE$28, MATCH($C35, '2. Pop_Prev Set Up'!$T$10:$AE$10, 0), FALSE)</f>
        <v>#N/A</v>
      </c>
      <c r="S35" s="942" t="e">
        <f>VLOOKUP(S$31, '2. Pop_Prev Set Up'!$T$11:$AE$28, MATCH($C35, '2. Pop_Prev Set Up'!$T$10:$AE$10, 0), FALSE)</f>
        <v>#N/A</v>
      </c>
      <c r="U35" s="968"/>
      <c r="V35" s="2"/>
      <c r="W35" s="807"/>
      <c r="X35" s="2"/>
      <c r="Y35" s="2"/>
      <c r="Z35" s="2"/>
      <c r="AA35" s="2"/>
      <c r="AB35" s="2"/>
      <c r="AC35" s="2"/>
      <c r="AD35" s="445"/>
      <c r="AE35" s="449"/>
      <c r="AF35" s="447"/>
      <c r="AG35" s="2"/>
      <c r="AH35" s="2"/>
      <c r="AI35" s="2"/>
    </row>
    <row r="36" spans="1:41" ht="15" hidden="1" customHeight="1" outlineLevel="1" x14ac:dyDescent="0.25">
      <c r="A36" s="237"/>
      <c r="B36" s="237" t="s">
        <v>565</v>
      </c>
      <c r="C36" s="736" t="str">
        <f>C35</f>
        <v>TPCm (TF): DHS</v>
      </c>
      <c r="D36" s="942" t="str">
        <f t="shared" ref="D36:S36" si="18">IFERROR(D35, "")</f>
        <v/>
      </c>
      <c r="E36" s="942" t="str">
        <f t="shared" si="18"/>
        <v/>
      </c>
      <c r="F36" s="942" t="str">
        <f t="shared" si="18"/>
        <v/>
      </c>
      <c r="G36" s="942" t="str">
        <f t="shared" si="18"/>
        <v/>
      </c>
      <c r="H36" s="942" t="str">
        <f t="shared" si="18"/>
        <v/>
      </c>
      <c r="I36" s="942" t="str">
        <f t="shared" si="18"/>
        <v/>
      </c>
      <c r="J36" s="942" t="str">
        <f t="shared" si="18"/>
        <v/>
      </c>
      <c r="K36" s="942" t="str">
        <f t="shared" si="18"/>
        <v/>
      </c>
      <c r="L36" s="942" t="str">
        <f t="shared" si="18"/>
        <v/>
      </c>
      <c r="M36" s="942" t="str">
        <f t="shared" si="18"/>
        <v/>
      </c>
      <c r="N36" s="942" t="str">
        <f t="shared" si="18"/>
        <v/>
      </c>
      <c r="O36" s="942" t="str">
        <f t="shared" si="18"/>
        <v/>
      </c>
      <c r="P36" s="942" t="str">
        <f t="shared" si="18"/>
        <v/>
      </c>
      <c r="Q36" s="942" t="str">
        <f t="shared" si="18"/>
        <v/>
      </c>
      <c r="R36" s="942" t="str">
        <f t="shared" si="18"/>
        <v/>
      </c>
      <c r="S36" s="942" t="str">
        <f t="shared" si="18"/>
        <v/>
      </c>
      <c r="U36" s="968" t="e">
        <f>IFERROR((MAX($D$36:$R$36)-MIN($D$36:$R$36))/ (HLOOKUP(MAX($D$36:$R$36), $D$36:$R$41, 6, FALSE) - HLOOKUP(MIN($D$36:$R$36), $D$36:$R$41, 6, FALSE)), NA())</f>
        <v>#N/A</v>
      </c>
      <c r="V36" s="2"/>
      <c r="W36" s="807"/>
      <c r="X36" s="2"/>
      <c r="Y36" s="2"/>
      <c r="Z36" s="2"/>
      <c r="AA36" s="2"/>
      <c r="AB36" s="2"/>
      <c r="AC36" s="2"/>
      <c r="AD36" s="445"/>
      <c r="AE36" s="449"/>
      <c r="AF36" s="447"/>
      <c r="AG36" s="2"/>
      <c r="AH36" s="2"/>
      <c r="AI36" s="2"/>
    </row>
    <row r="37" spans="1:41" ht="15" hidden="1" customHeight="1" outlineLevel="1" x14ac:dyDescent="0.25">
      <c r="A37" s="238"/>
      <c r="B37" s="237" t="s">
        <v>565</v>
      </c>
      <c r="C37" s="736" t="str">
        <f>IF('3. ServiceStats Set Up'!$T$8="MW",'2. Pop_Prev Set Up'!$AD$10,'2. Pop_Prev Set Up'!$AE$10)</f>
        <v>TPCm (TF): FPET Global Run (2022)</v>
      </c>
      <c r="D37" s="942"/>
      <c r="E37" s="942" t="str">
        <f>IFERROR(E38-D38, "")</f>
        <v/>
      </c>
      <c r="F37" s="942" t="str">
        <f t="shared" ref="F37:S37" si="19">IFERROR(F38-E38, "")</f>
        <v/>
      </c>
      <c r="G37" s="942" t="str">
        <f t="shared" si="19"/>
        <v/>
      </c>
      <c r="H37" s="942" t="str">
        <f t="shared" si="19"/>
        <v/>
      </c>
      <c r="I37" s="942" t="str">
        <f t="shared" si="19"/>
        <v/>
      </c>
      <c r="J37" s="942" t="str">
        <f t="shared" si="19"/>
        <v/>
      </c>
      <c r="K37" s="942" t="str">
        <f t="shared" si="19"/>
        <v/>
      </c>
      <c r="L37" s="942" t="str">
        <f t="shared" si="19"/>
        <v/>
      </c>
      <c r="M37" s="942" t="str">
        <f t="shared" si="19"/>
        <v/>
      </c>
      <c r="N37" s="942" t="str">
        <f t="shared" si="19"/>
        <v/>
      </c>
      <c r="O37" s="942" t="str">
        <f t="shared" si="19"/>
        <v/>
      </c>
      <c r="P37" s="942" t="str">
        <f t="shared" si="19"/>
        <v/>
      </c>
      <c r="Q37" s="942" t="str">
        <f t="shared" si="19"/>
        <v/>
      </c>
      <c r="R37" s="942" t="str">
        <f t="shared" si="19"/>
        <v/>
      </c>
      <c r="S37" s="942" t="str">
        <f t="shared" si="19"/>
        <v/>
      </c>
      <c r="U37" s="968" t="e">
        <f>AVERAGE(D37:R37)</f>
        <v>#DIV/0!</v>
      </c>
      <c r="V37" s="2"/>
      <c r="W37" s="807"/>
      <c r="X37" s="2"/>
      <c r="Y37" s="2"/>
      <c r="Z37" s="2"/>
      <c r="AA37" s="2"/>
      <c r="AB37" s="2"/>
      <c r="AC37" s="2"/>
      <c r="AD37" s="445" t="s">
        <v>1246</v>
      </c>
      <c r="AE37" s="449"/>
      <c r="AF37" s="655" t="s">
        <v>2417</v>
      </c>
      <c r="AG37" s="2"/>
      <c r="AH37" s="2"/>
      <c r="AI37" s="2"/>
    </row>
    <row r="38" spans="1:41" ht="15" hidden="1" customHeight="1" outlineLevel="1" x14ac:dyDescent="0.25">
      <c r="A38" s="237"/>
      <c r="B38" s="237" t="s">
        <v>1068</v>
      </c>
      <c r="C38" s="736" t="str">
        <f>C37</f>
        <v>TPCm (TF): FPET Global Run (2022)</v>
      </c>
      <c r="D38" s="942" t="e">
        <f>VLOOKUP(D$31, '2. Pop_Prev Set Up'!$T$11:$AE$28, MATCH($C38, '2. Pop_Prev Set Up'!$T$10:$AE$10, 0), FALSE)</f>
        <v>#N/A</v>
      </c>
      <c r="E38" s="942" t="str">
        <f>VLOOKUP(E$31, '2. Pop_Prev Set Up'!$T$11:$AE$28, MATCH($C38, '2. Pop_Prev Set Up'!$T$10:$AE$10, 0), FALSE)</f>
        <v/>
      </c>
      <c r="F38" s="942" t="str">
        <f>VLOOKUP(F$31, '2. Pop_Prev Set Up'!$T$11:$AE$28, MATCH($C38, '2. Pop_Prev Set Up'!$T$10:$AE$10, 0), FALSE)</f>
        <v/>
      </c>
      <c r="G38" s="942" t="str">
        <f>VLOOKUP(G$31, '2. Pop_Prev Set Up'!$T$11:$AE$28, MATCH($C38, '2. Pop_Prev Set Up'!$T$10:$AE$10, 0), FALSE)</f>
        <v/>
      </c>
      <c r="H38" s="942" t="str">
        <f>VLOOKUP(H$31, '2. Pop_Prev Set Up'!$T$11:$AE$28, MATCH($C38, '2. Pop_Prev Set Up'!$T$10:$AE$10, 0), FALSE)</f>
        <v/>
      </c>
      <c r="I38" s="942" t="str">
        <f>VLOOKUP(I$31, '2. Pop_Prev Set Up'!$T$11:$AE$28, MATCH($C38, '2. Pop_Prev Set Up'!$T$10:$AE$10, 0), FALSE)</f>
        <v/>
      </c>
      <c r="J38" s="942" t="str">
        <f>VLOOKUP(J$31, '2. Pop_Prev Set Up'!$T$11:$AE$28, MATCH($C38, '2. Pop_Prev Set Up'!$T$10:$AE$10, 0), FALSE)</f>
        <v/>
      </c>
      <c r="K38" s="942" t="str">
        <f>VLOOKUP(K$31, '2. Pop_Prev Set Up'!$T$11:$AE$28, MATCH($C38, '2. Pop_Prev Set Up'!$T$10:$AE$10, 0), FALSE)</f>
        <v/>
      </c>
      <c r="L38" s="942" t="str">
        <f>VLOOKUP(L$31, '2. Pop_Prev Set Up'!$T$11:$AE$28, MATCH($C38, '2. Pop_Prev Set Up'!$T$10:$AE$10, 0), FALSE)</f>
        <v/>
      </c>
      <c r="M38" s="942" t="str">
        <f>VLOOKUP(M$31, '2. Pop_Prev Set Up'!$T$11:$AE$28, MATCH($C38, '2. Pop_Prev Set Up'!$T$10:$AE$10, 0), FALSE)</f>
        <v/>
      </c>
      <c r="N38" s="942" t="str">
        <f>VLOOKUP(N$31, '2. Pop_Prev Set Up'!$T$11:$AE$28, MATCH($C38, '2. Pop_Prev Set Up'!$T$10:$AE$10, 0), FALSE)</f>
        <v/>
      </c>
      <c r="O38" s="942" t="str">
        <f>VLOOKUP(O$31, '2. Pop_Prev Set Up'!$T$11:$AE$28, MATCH($C38, '2. Pop_Prev Set Up'!$T$10:$AE$10, 0), FALSE)</f>
        <v/>
      </c>
      <c r="P38" s="942" t="str">
        <f>VLOOKUP(P$31, '2. Pop_Prev Set Up'!$T$11:$AE$28, MATCH($C38, '2. Pop_Prev Set Up'!$T$10:$AE$10, 0), FALSE)</f>
        <v/>
      </c>
      <c r="Q38" s="942" t="str">
        <f>VLOOKUP(Q$31, '2. Pop_Prev Set Up'!$T$11:$AE$28, MATCH($C38, '2. Pop_Prev Set Up'!$T$10:$AE$10, 0), FALSE)</f>
        <v/>
      </c>
      <c r="R38" s="942" t="str">
        <f>VLOOKUP(R$31, '2. Pop_Prev Set Up'!$T$11:$AE$28, MATCH($C38, '2. Pop_Prev Set Up'!$T$10:$AE$10, 0), FALSE)</f>
        <v/>
      </c>
      <c r="S38" s="942" t="str">
        <f>VLOOKUP(S$31, '2. Pop_Prev Set Up'!$T$11:$AE$28, MATCH($C38, '2. Pop_Prev Set Up'!$T$10:$AE$10, 0), FALSE)</f>
        <v/>
      </c>
      <c r="U38" s="968"/>
      <c r="V38" s="2"/>
      <c r="W38" s="807"/>
      <c r="X38" s="2"/>
      <c r="Y38" s="2"/>
      <c r="Z38" s="2"/>
      <c r="AA38" s="2"/>
      <c r="AB38" s="2"/>
      <c r="AC38" s="2"/>
      <c r="AD38" s="445" t="s">
        <v>1245</v>
      </c>
      <c r="AE38" s="449"/>
      <c r="AF38" s="655" t="s">
        <v>2418</v>
      </c>
      <c r="AG38" s="2"/>
      <c r="AH38" s="2"/>
      <c r="AI38" s="2"/>
    </row>
    <row r="39" spans="1:41" ht="15" hidden="1" customHeight="1" outlineLevel="1" x14ac:dyDescent="0.25">
      <c r="A39" s="238"/>
      <c r="B39" s="237" t="s">
        <v>565</v>
      </c>
      <c r="C39" s="736" t="str">
        <f>IF(Language="English", AD50, AF50)</f>
        <v>EUM: Produits inc. Préservatifs</v>
      </c>
      <c r="D39" s="942"/>
      <c r="E39" s="942" t="str">
        <f>IFERROR(E33-D33, "")</f>
        <v/>
      </c>
      <c r="F39" s="942" t="str">
        <f t="shared" ref="F39:S40" si="20">IFERROR(F33-E33, "")</f>
        <v/>
      </c>
      <c r="G39" s="942" t="str">
        <f t="shared" si="20"/>
        <v/>
      </c>
      <c r="H39" s="942" t="str">
        <f t="shared" si="20"/>
        <v/>
      </c>
      <c r="I39" s="942" t="str">
        <f t="shared" si="20"/>
        <v/>
      </c>
      <c r="J39" s="942" t="str">
        <f t="shared" si="20"/>
        <v/>
      </c>
      <c r="K39" s="942" t="str">
        <f t="shared" si="20"/>
        <v/>
      </c>
      <c r="L39" s="942" t="str">
        <f t="shared" si="20"/>
        <v/>
      </c>
      <c r="M39" s="942" t="str">
        <f t="shared" si="20"/>
        <v/>
      </c>
      <c r="N39" s="942" t="str">
        <f t="shared" si="20"/>
        <v/>
      </c>
      <c r="O39" s="942" t="str">
        <f t="shared" si="20"/>
        <v/>
      </c>
      <c r="P39" s="942" t="str">
        <f t="shared" si="20"/>
        <v/>
      </c>
      <c r="Q39" s="942" t="str">
        <f t="shared" si="20"/>
        <v/>
      </c>
      <c r="R39" s="942" t="str">
        <f t="shared" si="20"/>
        <v/>
      </c>
      <c r="S39" s="942" t="str">
        <f t="shared" si="20"/>
        <v/>
      </c>
      <c r="U39" s="968" t="e">
        <f>AVERAGE(D39:R39)</f>
        <v>#DIV/0!</v>
      </c>
      <c r="V39" s="2"/>
      <c r="W39" s="807"/>
      <c r="X39" s="2"/>
      <c r="Y39" s="2"/>
      <c r="Z39" s="2"/>
      <c r="AA39" s="2"/>
      <c r="AB39" s="2"/>
      <c r="AC39" s="2"/>
      <c r="AD39" s="654" t="s">
        <v>2001</v>
      </c>
      <c r="AE39" s="449"/>
      <c r="AF39" s="655" t="s">
        <v>2419</v>
      </c>
      <c r="AG39" s="2"/>
      <c r="AH39" s="2"/>
      <c r="AI39" s="2"/>
    </row>
    <row r="40" spans="1:41" ht="15.75" hidden="1" customHeight="1" outlineLevel="1" thickBot="1" x14ac:dyDescent="0.3">
      <c r="A40" s="238"/>
      <c r="B40" s="237" t="s">
        <v>565</v>
      </c>
      <c r="C40" s="737" t="str">
        <f>IF(Language="English", AD51, AF51)</f>
        <v>EUM: Produits ex. Préservatifs</v>
      </c>
      <c r="D40" s="944"/>
      <c r="E40" s="942" t="str">
        <f>IFERROR(E34-D34, "")</f>
        <v/>
      </c>
      <c r="F40" s="942" t="str">
        <f t="shared" si="20"/>
        <v/>
      </c>
      <c r="G40" s="942" t="str">
        <f t="shared" si="20"/>
        <v/>
      </c>
      <c r="H40" s="942" t="str">
        <f t="shared" si="20"/>
        <v/>
      </c>
      <c r="I40" s="942" t="str">
        <f t="shared" si="20"/>
        <v/>
      </c>
      <c r="J40" s="942" t="str">
        <f t="shared" si="20"/>
        <v/>
      </c>
      <c r="K40" s="942" t="str">
        <f t="shared" si="20"/>
        <v/>
      </c>
      <c r="L40" s="942" t="str">
        <f t="shared" si="20"/>
        <v/>
      </c>
      <c r="M40" s="942" t="str">
        <f t="shared" si="20"/>
        <v/>
      </c>
      <c r="N40" s="942" t="str">
        <f t="shared" si="20"/>
        <v/>
      </c>
      <c r="O40" s="942" t="str">
        <f t="shared" si="20"/>
        <v/>
      </c>
      <c r="P40" s="942" t="str">
        <f t="shared" si="20"/>
        <v/>
      </c>
      <c r="Q40" s="942" t="str">
        <f t="shared" si="20"/>
        <v/>
      </c>
      <c r="R40" s="942" t="str">
        <f t="shared" si="20"/>
        <v/>
      </c>
      <c r="S40" s="942" t="str">
        <f t="shared" si="20"/>
        <v/>
      </c>
      <c r="U40" s="968" t="e">
        <f>AVERAGE(D40:R40)</f>
        <v>#DIV/0!</v>
      </c>
      <c r="V40" s="2"/>
      <c r="W40" s="807"/>
      <c r="X40" s="2"/>
      <c r="Y40" s="2"/>
      <c r="Z40" s="2"/>
      <c r="AA40" s="2"/>
      <c r="AB40" s="2"/>
      <c r="AC40" s="2"/>
      <c r="AD40" s="445" t="s">
        <v>1247</v>
      </c>
      <c r="AE40" s="449"/>
      <c r="AF40" s="447" t="s">
        <v>2420</v>
      </c>
      <c r="AG40" s="2"/>
      <c r="AH40" s="2"/>
      <c r="AI40" s="2"/>
    </row>
    <row r="41" spans="1:41" ht="15" hidden="1" customHeight="1" outlineLevel="1" x14ac:dyDescent="0.25">
      <c r="C41"/>
      <c r="D41" s="2">
        <f>D31</f>
        <v>0</v>
      </c>
      <c r="E41" s="2" t="str">
        <f t="shared" ref="E41:S41" si="21">E31</f>
        <v/>
      </c>
      <c r="F41" s="2" t="str">
        <f t="shared" si="21"/>
        <v/>
      </c>
      <c r="G41" s="2" t="str">
        <f t="shared" si="21"/>
        <v/>
      </c>
      <c r="H41" s="2" t="str">
        <f t="shared" si="21"/>
        <v/>
      </c>
      <c r="I41" s="2" t="str">
        <f t="shared" si="21"/>
        <v/>
      </c>
      <c r="J41" s="2" t="str">
        <f t="shared" si="21"/>
        <v/>
      </c>
      <c r="K41" s="2" t="str">
        <f t="shared" si="21"/>
        <v/>
      </c>
      <c r="L41" s="2" t="str">
        <f t="shared" si="21"/>
        <v/>
      </c>
      <c r="M41" s="2" t="str">
        <f t="shared" si="21"/>
        <v/>
      </c>
      <c r="N41" s="2" t="str">
        <f t="shared" si="21"/>
        <v/>
      </c>
      <c r="O41" s="2" t="str">
        <f t="shared" si="21"/>
        <v/>
      </c>
      <c r="P41" s="2" t="str">
        <f t="shared" si="21"/>
        <v/>
      </c>
      <c r="Q41" s="2" t="str">
        <f t="shared" si="21"/>
        <v/>
      </c>
      <c r="R41" s="2" t="str">
        <f t="shared" si="21"/>
        <v/>
      </c>
      <c r="S41" s="2" t="str">
        <f t="shared" si="21"/>
        <v/>
      </c>
      <c r="U41" s="2"/>
      <c r="V41" s="2"/>
      <c r="W41" s="807"/>
      <c r="X41" s="2"/>
      <c r="Y41" s="2"/>
      <c r="Z41" s="2"/>
      <c r="AA41" s="2"/>
      <c r="AB41" s="2"/>
      <c r="AC41" s="2"/>
      <c r="AD41" s="445" t="s">
        <v>1248</v>
      </c>
      <c r="AE41" s="449"/>
      <c r="AF41" s="447" t="s">
        <v>2421</v>
      </c>
      <c r="AG41" s="2"/>
      <c r="AH41" s="2"/>
      <c r="AI41" s="2"/>
    </row>
    <row r="42" spans="1:41" ht="15" hidden="1" customHeight="1" outlineLevel="1" x14ac:dyDescent="0.25">
      <c r="D42" s="2"/>
      <c r="E42" s="2"/>
      <c r="F42" s="2"/>
      <c r="G42" s="2"/>
      <c r="H42" s="2"/>
      <c r="I42" s="2"/>
      <c r="J42" s="2"/>
      <c r="K42" s="2"/>
      <c r="L42" s="2"/>
      <c r="M42" s="2"/>
      <c r="N42" s="2"/>
      <c r="O42" s="2"/>
      <c r="P42" s="2"/>
      <c r="Q42" s="2"/>
      <c r="R42" s="2"/>
      <c r="S42" s="2"/>
      <c r="U42" s="2"/>
      <c r="V42" s="2"/>
      <c r="W42" s="807"/>
      <c r="X42" s="2"/>
      <c r="Y42" s="2"/>
      <c r="Z42" s="2"/>
      <c r="AA42" s="2"/>
      <c r="AB42" s="2"/>
      <c r="AC42" s="2"/>
      <c r="AD42" s="445" t="s">
        <v>2002</v>
      </c>
      <c r="AE42" s="449"/>
      <c r="AF42" s="447" t="s">
        <v>2422</v>
      </c>
      <c r="AG42" s="2"/>
      <c r="AH42" s="2"/>
      <c r="AI42" s="2"/>
      <c r="AJ42" s="2"/>
      <c r="AK42" s="2"/>
      <c r="AL42" s="2"/>
    </row>
    <row r="43" spans="1:41" ht="105" hidden="1" customHeight="1" outlineLevel="1" x14ac:dyDescent="0.25">
      <c r="C43" s="139"/>
      <c r="D43" s="141" t="str">
        <f>'Language Look Ups'!B20&amp;" : "&amp;D44</f>
        <v>Mélange Estimée de Méthodes Modernes : 2021</v>
      </c>
      <c r="E43" s="289" t="e">
        <f>'5. MethodMix Set Up'!I7 &amp;" : "&amp;E44</f>
        <v>#N/A</v>
      </c>
      <c r="F43" s="141" t="str">
        <f>C6&amp;" : "&amp;F44</f>
        <v>Utilisatrices par méthode 
(statistiques de service) : 2021</v>
      </c>
      <c r="G43" s="141" t="str">
        <f>C18&amp;" : "&amp;G44</f>
        <v>Utilisatrices par méthode 
(enquête) : 2021</v>
      </c>
      <c r="L43" s="822"/>
      <c r="M43">
        <f>$O$65</f>
        <v>2021</v>
      </c>
      <c r="N43">
        <f>$O$65</f>
        <v>2021</v>
      </c>
      <c r="O43">
        <f>$O$65</f>
        <v>2021</v>
      </c>
      <c r="AD43" s="654" t="s">
        <v>1244</v>
      </c>
      <c r="AE43" s="449"/>
      <c r="AF43" s="655" t="s">
        <v>2423</v>
      </c>
    </row>
    <row r="44" spans="1:41" ht="94.15" hidden="1" customHeight="1" outlineLevel="1" x14ac:dyDescent="0.25">
      <c r="C44" s="139"/>
      <c r="D44" s="140">
        <f>O76</f>
        <v>2021</v>
      </c>
      <c r="E44" s="290" t="e">
        <f>'5. MethodMix Set Up'!I9&amp;" ("&amp;'5. MethodMix Set Up'!I10&amp;")"</f>
        <v>#N/A</v>
      </c>
      <c r="F44" s="140">
        <f>$O$76</f>
        <v>2021</v>
      </c>
      <c r="G44" s="290">
        <f>$O$76</f>
        <v>2021</v>
      </c>
      <c r="M44" s="141" t="str">
        <f>IF(Language="English", AD37, AF37)&amp;" : "&amp;M43</f>
        <v>Utilisatrices par méthode 
(statistiques de service - non ajustées) : 2021</v>
      </c>
      <c r="N44" s="141" t="str">
        <f>IF(Language="English", AD38, AF38)&amp;" : "&amp;N43</f>
        <v>Utilisatrices par méthode 
(statistiques de service - ajustées) : 2021</v>
      </c>
      <c r="O44" s="141" t="str">
        <f>IF(Language="English", AD39, AF39)&amp;" : "&amp;O43</f>
        <v>Utilisatrices par méthode 
(enquête / FPET) : 2021</v>
      </c>
      <c r="AD44" s="445"/>
      <c r="AE44" s="449"/>
      <c r="AF44" s="447"/>
    </row>
    <row r="45" spans="1:41" ht="13.5" hidden="1" customHeight="1" outlineLevel="1" x14ac:dyDescent="0.25">
      <c r="C45" s="139" t="str">
        <f>'5. MethodMix Set Up'!G12</f>
        <v>Stérilisation (f)</v>
      </c>
      <c r="D45" s="647" t="e">
        <f>IF(HLOOKUP($D$44, $C$6:$S$15, 2, FALSE)=0, NA(), HLOOKUP($D$44, $C$6:$S$15, 2, FALSE)/HLOOKUP($D$44, $C$6:$S$16, 11, FALSE))</f>
        <v>#N/A</v>
      </c>
      <c r="E45" s="648" t="str">
        <f>IF('5. MethodMix Set Up'!I12=0, NA(), '5. MethodMix Set Up'!I12)</f>
        <v/>
      </c>
      <c r="F45" s="712" t="e">
        <f t="shared" ref="F45:F53" si="22">MROUND(VLOOKUP($C45, $C$7:$T$16, MATCH(F$44, $C$6:$T$6, 0), FALSE), 100)</f>
        <v>#N/A</v>
      </c>
      <c r="G45" s="712" t="e">
        <f t="shared" ref="G45:G53" si="23">MROUND(VLOOKUP($C45, $C$18:$T$27, MATCH(G$44, $C$18:$T$18, 0), FALSE), 100)</f>
        <v>#N/A</v>
      </c>
      <c r="L45" s="915" t="str">
        <f>'5. MethodMix Set Up'!$G$12</f>
        <v>Stérilisation (f)</v>
      </c>
      <c r="M45" s="964" t="e">
        <f>VLOOKUP($L45, 'Visits Input'!$BJ$59:$BZ$70, MATCH($M$43, 'Visits Input'!$BJ$58:$BZ$58, 0), FALSE)</f>
        <v>#N/A</v>
      </c>
      <c r="N45" s="964" t="e">
        <f>VLOOKUP($L45,'Visits Input'!$CB$58:$CR$70, MATCH($M$43, 'Visits Input'!$CB$58:$CR$58, 0), FALSE)</f>
        <v>#N/A</v>
      </c>
      <c r="O45" s="964">
        <f t="shared" ref="O45" si="24">IFERROR(VLOOKUP(L45, $C$19:$S$27, MATCH(M$43, $C$18:$S$18,0), FALSE), 0)</f>
        <v>0</v>
      </c>
      <c r="AD45" s="445" t="s">
        <v>561</v>
      </c>
      <c r="AE45" s="449"/>
      <c r="AF45" s="447" t="s">
        <v>831</v>
      </c>
    </row>
    <row r="46" spans="1:41" ht="15" hidden="1" customHeight="1" outlineLevel="1" x14ac:dyDescent="0.25">
      <c r="C46" s="139" t="str">
        <f>'5. MethodMix Set Up'!G13</f>
        <v>Stérilisation (m)</v>
      </c>
      <c r="D46" s="647" t="e">
        <f>IF(HLOOKUP($D$44, $C$6:$S$15, 3, FALSE)=0, NA(), HLOOKUP($D$44, $C$6:$S$15, 3, FALSE)/HLOOKUP($D$44, $C$6:$S$16, 11, FALSE))</f>
        <v>#N/A</v>
      </c>
      <c r="E46" s="648" t="str">
        <f>IF('5. MethodMix Set Up'!I13=0, NA(), '5. MethodMix Set Up'!I13)</f>
        <v/>
      </c>
      <c r="F46" s="712" t="e">
        <f t="shared" si="22"/>
        <v>#N/A</v>
      </c>
      <c r="G46" s="712" t="e">
        <f t="shared" si="23"/>
        <v>#N/A</v>
      </c>
      <c r="L46" s="915" t="str">
        <f>'5. MethodMix Set Up'!$G$13</f>
        <v>Stérilisation (m)</v>
      </c>
      <c r="M46" s="964" t="e">
        <f>VLOOKUP($L46, 'Visits Input'!$BJ$59:$BZ$70, MATCH($M$43, 'Visits Input'!$BJ$58:$BZ$58, 0), FALSE)</f>
        <v>#N/A</v>
      </c>
      <c r="N46" s="964" t="e">
        <f>VLOOKUP($L46,'Visits Input'!$CB$58:$CR$70, MATCH($M$43, 'Visits Input'!$CB$58:$CR$58, 0), FALSE)</f>
        <v>#N/A</v>
      </c>
      <c r="O46" s="964">
        <f t="shared" ref="O46:O54" si="25">IFERROR(VLOOKUP(L46, $C$19:$S$27, MATCH(M$43, $C$18:$S$18,0), FALSE), 0)</f>
        <v>0</v>
      </c>
      <c r="AD46" s="445" t="s">
        <v>320</v>
      </c>
      <c r="AE46" s="449"/>
      <c r="AF46" s="447" t="s">
        <v>832</v>
      </c>
    </row>
    <row r="47" spans="1:41" ht="15" hidden="1" customHeight="1" outlineLevel="1" x14ac:dyDescent="0.25">
      <c r="C47" s="139" t="str">
        <f>'5. MethodMix Set Up'!G14</f>
        <v>DIU</v>
      </c>
      <c r="D47" s="647" t="e">
        <f>IF(HLOOKUP($D$44, $C$6:$T$15, 4, FALSE)=0, NA(), HLOOKUP($D$44, $C$6:$T$15, 4, FALSE)/HLOOKUP($D$44, $C$6:$S$16, 11, FALSE))</f>
        <v>#N/A</v>
      </c>
      <c r="E47" s="648" t="str">
        <f>IF('5. MethodMix Set Up'!I14=0, NA(), '5. MethodMix Set Up'!I14)</f>
        <v/>
      </c>
      <c r="F47" s="712" t="e">
        <f t="shared" si="22"/>
        <v>#N/A</v>
      </c>
      <c r="G47" s="712" t="e">
        <f t="shared" si="23"/>
        <v>#N/A</v>
      </c>
      <c r="L47" s="915" t="str">
        <f>'5. MethodMix Set Up'!$G$14</f>
        <v>DIU</v>
      </c>
      <c r="M47" s="964" t="e">
        <f>VLOOKUP($L47, 'Visits Input'!$BJ$59:$BZ$70, MATCH($M$43, 'Visits Input'!$BJ$58:$BZ$58, 0), FALSE)</f>
        <v>#N/A</v>
      </c>
      <c r="N47" s="964" t="e">
        <f>VLOOKUP($L47,'Visits Input'!$CB$58:$CR$70, MATCH($M$43, 'Visits Input'!$CB$58:$CR$58, 0), FALSE)</f>
        <v>#N/A</v>
      </c>
      <c r="O47" s="964">
        <f t="shared" si="25"/>
        <v>0</v>
      </c>
      <c r="AD47" s="445"/>
      <c r="AE47" s="449"/>
      <c r="AF47" s="447"/>
      <c r="AO47" s="184"/>
    </row>
    <row r="48" spans="1:41" ht="15" hidden="1" customHeight="1" outlineLevel="1" x14ac:dyDescent="0.25">
      <c r="C48" s="139" t="str">
        <f>'5. MethodMix Set Up'!G15</f>
        <v>Implant</v>
      </c>
      <c r="D48" s="647" t="e">
        <f>IF(HLOOKUP($D$44, $C$6:$T$15, 5, FALSE)=0, NA(), HLOOKUP($D$44, $C$6:$T$15, 5, FALSE)/HLOOKUP($D$44, $C$6:$S$16, 11, FALSE))</f>
        <v>#N/A</v>
      </c>
      <c r="E48" s="648" t="str">
        <f>IF('5. MethodMix Set Up'!I15=0, NA(), '5. MethodMix Set Up'!I15)</f>
        <v/>
      </c>
      <c r="F48" s="712" t="e">
        <f t="shared" si="22"/>
        <v>#N/A</v>
      </c>
      <c r="G48" s="712" t="e">
        <f t="shared" si="23"/>
        <v>#N/A</v>
      </c>
      <c r="L48" s="915" t="str">
        <f>'5. MethodMix Set Up'!$G$15</f>
        <v>Implant</v>
      </c>
      <c r="M48" s="964" t="e">
        <f>VLOOKUP($L48, 'Visits Input'!$BJ$59:$BZ$70, MATCH($M$43, 'Visits Input'!$BJ$58:$BZ$58, 0), FALSE)</f>
        <v>#N/A</v>
      </c>
      <c r="N48" s="964" t="e">
        <f>VLOOKUP($L48,'Visits Input'!$CB$58:$CR$70, MATCH($M$43, 'Visits Input'!$CB$58:$CR$58, 0), FALSE)</f>
        <v>#N/A</v>
      </c>
      <c r="O48" s="964">
        <f t="shared" si="25"/>
        <v>0</v>
      </c>
      <c r="AD48" s="445"/>
      <c r="AE48" s="449"/>
      <c r="AF48" s="447"/>
    </row>
    <row r="49" spans="2:42" ht="15" hidden="1" customHeight="1" outlineLevel="1" x14ac:dyDescent="0.25">
      <c r="C49" s="139" t="str">
        <f>'5. MethodMix Set Up'!G16</f>
        <v>Produits injectables</v>
      </c>
      <c r="D49" s="647" t="e">
        <f>IF(HLOOKUP($D$44, $C$6:$T$15, 6, FALSE)=0, NA(), HLOOKUP($D$44, $C$6:$T$15, 6, FALSE)/HLOOKUP($D$44, $C$6:$S$16, 11, FALSE))</f>
        <v>#N/A</v>
      </c>
      <c r="E49" s="648" t="str">
        <f>IF('5. MethodMix Set Up'!I16=0, NA(), '5. MethodMix Set Up'!I16)</f>
        <v/>
      </c>
      <c r="F49" s="712" t="e">
        <f t="shared" si="22"/>
        <v>#N/A</v>
      </c>
      <c r="G49" s="712" t="e">
        <f t="shared" si="23"/>
        <v>#N/A</v>
      </c>
      <c r="L49" s="915" t="str">
        <f>'5. MethodMix Set Up'!$G$16</f>
        <v>Produits injectables</v>
      </c>
      <c r="M49" s="964" t="e">
        <f>VLOOKUP($L49, 'Visits Input'!$BJ$59:$BZ$70, MATCH($M$43, 'Visits Input'!$BJ$58:$BZ$58, 0), FALSE)</f>
        <v>#N/A</v>
      </c>
      <c r="N49" s="964" t="e">
        <f>VLOOKUP($L49,'Visits Input'!$CB$58:$CR$70, MATCH($M$43, 'Visits Input'!$CB$58:$CR$58, 0), FALSE)</f>
        <v>#N/A</v>
      </c>
      <c r="O49" s="964">
        <f t="shared" si="25"/>
        <v>0</v>
      </c>
      <c r="AD49" s="445"/>
      <c r="AE49" s="449"/>
      <c r="AF49" s="447"/>
    </row>
    <row r="50" spans="2:42" ht="15" hidden="1" customHeight="1" outlineLevel="1" x14ac:dyDescent="0.25">
      <c r="C50" s="139" t="str">
        <f>'5. MethodMix Set Up'!G17</f>
        <v>Pilule</v>
      </c>
      <c r="D50" s="647" t="e">
        <f>IF(HLOOKUP($D$44, $C$6:$T$15, 7, FALSE)=0, NA(), HLOOKUP($D$44, $C$6:$T$15, 7, FALSE)/HLOOKUP($D$44, $C$6:$S$16, 11, FALSE))</f>
        <v>#N/A</v>
      </c>
      <c r="E50" s="648" t="str">
        <f>IF('5. MethodMix Set Up'!I17=0, NA(), '5. MethodMix Set Up'!I17)</f>
        <v/>
      </c>
      <c r="F50" s="712" t="e">
        <f t="shared" si="22"/>
        <v>#N/A</v>
      </c>
      <c r="G50" s="712" t="e">
        <f t="shared" si="23"/>
        <v>#N/A</v>
      </c>
      <c r="L50" s="915" t="str">
        <f>'5. MethodMix Set Up'!$G$17</f>
        <v>Pilule</v>
      </c>
      <c r="M50" s="964" t="e">
        <f>VLOOKUP($L50, 'Visits Input'!$BJ$59:$BZ$70, MATCH($M$43, 'Visits Input'!$BJ$58:$BZ$58, 0), FALSE)</f>
        <v>#N/A</v>
      </c>
      <c r="N50" s="964" t="e">
        <f>VLOOKUP($L50,'Visits Input'!$CB$58:$CR$70, MATCH($M$43, 'Visits Input'!$CB$58:$CR$58, 0), FALSE)</f>
        <v>#N/A</v>
      </c>
      <c r="O50" s="964">
        <f t="shared" si="25"/>
        <v>0</v>
      </c>
      <c r="AD50" s="445" t="s">
        <v>561</v>
      </c>
      <c r="AE50" s="449"/>
      <c r="AF50" s="447" t="s">
        <v>831</v>
      </c>
    </row>
    <row r="51" spans="2:42" ht="15" hidden="1" customHeight="1" outlineLevel="1" x14ac:dyDescent="0.25">
      <c r="C51" s="139" t="str">
        <f>'5. MethodMix Set Up'!G18</f>
        <v>Préservatifs (m+f)</v>
      </c>
      <c r="D51" s="647" t="e">
        <f>IF(HLOOKUP($D$44, $C$6:$T$15, 8, FALSE)=0, NA(), HLOOKUP($D$44, $C$6:$T$15, 8, FALSE)/HLOOKUP($D$44, $C$6:$S$16, 11, FALSE))</f>
        <v>#N/A</v>
      </c>
      <c r="E51" s="648" t="str">
        <f>IF('5. MethodMix Set Up'!I18=0, NA(), '5. MethodMix Set Up'!I18)</f>
        <v/>
      </c>
      <c r="F51" s="712" t="e">
        <f t="shared" si="22"/>
        <v>#N/A</v>
      </c>
      <c r="G51" s="712" t="e">
        <f t="shared" si="23"/>
        <v>#N/A</v>
      </c>
      <c r="L51" s="915" t="str">
        <f>'5. MethodMix Set Up'!$G$18</f>
        <v>Préservatifs (m+f)</v>
      </c>
      <c r="M51" s="964" t="e">
        <f>VLOOKUP($L51, 'Visits Input'!$BJ$59:$BZ$70, MATCH($M$43, 'Visits Input'!$BJ$58:$BZ$58, 0), FALSE)</f>
        <v>#N/A</v>
      </c>
      <c r="N51" s="964" t="e">
        <f>VLOOKUP($L51,'Visits Input'!$CB$58:$CR$70, MATCH($M$43, 'Visits Input'!$CB$58:$CR$58, 0), FALSE)</f>
        <v>#N/A</v>
      </c>
      <c r="O51" s="964">
        <f t="shared" si="25"/>
        <v>0</v>
      </c>
      <c r="AD51" s="445" t="s">
        <v>320</v>
      </c>
      <c r="AE51" s="449"/>
      <c r="AF51" s="447" t="s">
        <v>832</v>
      </c>
    </row>
    <row r="52" spans="2:42" ht="15" hidden="1" customHeight="1" outlineLevel="1" x14ac:dyDescent="0.25">
      <c r="C52" s="139" t="str">
        <f>'5. MethodMix Set Up'!G19</f>
        <v>MAMA</v>
      </c>
      <c r="D52" s="647" t="e">
        <f>IF(HLOOKUP($D$44, $C$6:$T$15, 9, FALSE)=0, NA(), HLOOKUP($D$44, $C$6:$T$15, 9, FALSE)/HLOOKUP($D$44, $C$6:$S$16, 11, FALSE))</f>
        <v>#N/A</v>
      </c>
      <c r="E52" s="648" t="str">
        <f>IF('5. MethodMix Set Up'!I19=0, NA(), '5. MethodMix Set Up'!I19)</f>
        <v/>
      </c>
      <c r="F52" s="712" t="e">
        <f t="shared" si="22"/>
        <v>#N/A</v>
      </c>
      <c r="G52" s="712" t="e">
        <f t="shared" si="23"/>
        <v>#N/A</v>
      </c>
      <c r="L52" s="915" t="str">
        <f>'5. MethodMix Set Up'!$G$19</f>
        <v>MAMA</v>
      </c>
      <c r="M52" s="964" t="e">
        <f>VLOOKUP($L52, 'Visits Input'!$BJ$59:$BZ$70, MATCH($M$43, 'Visits Input'!$BJ$58:$BZ$58, 0), FALSE)</f>
        <v>#N/A</v>
      </c>
      <c r="N52" s="964" t="e">
        <f>VLOOKUP($L52,'Visits Input'!$CB$58:$CR$70, MATCH($M$43, 'Visits Input'!$CB$58:$CR$58, 0), FALSE)</f>
        <v>#N/A</v>
      </c>
      <c r="O52" s="964">
        <f t="shared" si="25"/>
        <v>0</v>
      </c>
      <c r="AD52" s="445"/>
      <c r="AE52" s="449"/>
      <c r="AF52" s="447"/>
    </row>
    <row r="53" spans="2:42" ht="13.5" hidden="1" customHeight="1" outlineLevel="1" x14ac:dyDescent="0.25">
      <c r="C53" s="139" t="str">
        <f>'5. MethodMix Set Up'!G20</f>
        <v>Autres méthodes modernes</v>
      </c>
      <c r="D53" s="647" t="e">
        <f>IF(HLOOKUP($D$44, $C$6:$T$15, 10, FALSE)=0, NA(), HLOOKUP($D$44, $C$6:$T$15, 10, FALSE)/HLOOKUP($D$44, $C$6:$S$16, 11, FALSE))</f>
        <v>#N/A</v>
      </c>
      <c r="E53" s="648" t="str">
        <f>IF('5. MethodMix Set Up'!I20=0, NA(), '5. MethodMix Set Up'!I20)</f>
        <v/>
      </c>
      <c r="F53" s="712" t="e">
        <f t="shared" si="22"/>
        <v>#N/A</v>
      </c>
      <c r="G53" s="712" t="e">
        <f t="shared" si="23"/>
        <v>#N/A</v>
      </c>
      <c r="I53" s="152"/>
      <c r="L53" s="915" t="str">
        <f>IF(Language="English", 'Language Look Ups'!$O$29,IF(Language="Francais", 'Language Look Ups'!$S$29, 'Language Look Ups'!AQ$29))</f>
        <v>Contraception d'urgence</v>
      </c>
      <c r="M53" s="964" t="e">
        <f>VLOOKUP($L53, 'Visits Input'!$BJ$59:$BZ$70, MATCH($M$43, 'Visits Input'!$BJ$58:$BZ$58, 0), FALSE)</f>
        <v>#N/A</v>
      </c>
      <c r="N53" s="964" t="e">
        <f>VLOOKUP($L53,'Visits Input'!$CB$58:$CR$70, MATCH($M$43, 'Visits Input'!$CB$58:$CR$58, 0), FALSE)</f>
        <v>#N/A</v>
      </c>
      <c r="O53" s="964">
        <f t="shared" si="25"/>
        <v>0</v>
      </c>
      <c r="AD53" s="445"/>
      <c r="AE53" s="449"/>
      <c r="AF53" s="447"/>
    </row>
    <row r="54" spans="2:42" ht="13.5" hidden="1" customHeight="1" outlineLevel="1" x14ac:dyDescent="0.25">
      <c r="D54" s="646"/>
      <c r="E54" s="152"/>
      <c r="G54" s="152"/>
      <c r="L54" s="915" t="str">
        <f>'5. MethodMix Set Up'!$G$20</f>
        <v>Autres méthodes modernes</v>
      </c>
      <c r="M54" s="964" t="e">
        <f>VLOOKUP($L54, 'Visits Input'!$BJ$59:$BZ$70, MATCH($M$43, 'Visits Input'!$BJ$58:$BZ$58, 0), FALSE)</f>
        <v>#N/A</v>
      </c>
      <c r="N54" s="964" t="e">
        <f>VLOOKUP($L54,'Visits Input'!$CB$58:$CR$70, MATCH($M$43, 'Visits Input'!$CB$58:$CR$58, 0), FALSE)</f>
        <v>#N/A</v>
      </c>
      <c r="O54" s="964">
        <f t="shared" si="25"/>
        <v>0</v>
      </c>
      <c r="AD54" s="445"/>
      <c r="AE54" s="449"/>
      <c r="AF54" s="447"/>
    </row>
    <row r="55" spans="2:42" ht="13.5" hidden="1" customHeight="1" outlineLevel="1" thickBot="1" x14ac:dyDescent="0.3">
      <c r="D55" s="646"/>
      <c r="E55" s="152"/>
      <c r="G55" s="152"/>
      <c r="AD55" s="445"/>
      <c r="AE55" s="449"/>
      <c r="AF55" s="447"/>
    </row>
    <row r="56" spans="2:42" hidden="1" outlineLevel="1" x14ac:dyDescent="0.25">
      <c r="C56" s="734"/>
      <c r="D56" s="735">
        <f>D6</f>
        <v>0</v>
      </c>
      <c r="E56" s="735" t="str">
        <f t="shared" ref="E56:S56" si="26">E6</f>
        <v/>
      </c>
      <c r="F56" s="735" t="str">
        <f t="shared" si="26"/>
        <v/>
      </c>
      <c r="G56" s="735" t="str">
        <f t="shared" si="26"/>
        <v/>
      </c>
      <c r="H56" s="735" t="str">
        <f t="shared" si="26"/>
        <v/>
      </c>
      <c r="I56" s="735" t="str">
        <f t="shared" si="26"/>
        <v/>
      </c>
      <c r="J56" s="735" t="str">
        <f t="shared" si="26"/>
        <v/>
      </c>
      <c r="K56" s="735" t="str">
        <f t="shared" si="26"/>
        <v/>
      </c>
      <c r="L56" s="735" t="str">
        <f t="shared" si="26"/>
        <v/>
      </c>
      <c r="M56" s="735" t="str">
        <f t="shared" si="26"/>
        <v/>
      </c>
      <c r="N56" s="735" t="str">
        <f t="shared" si="26"/>
        <v/>
      </c>
      <c r="O56" s="735" t="str">
        <f t="shared" si="26"/>
        <v/>
      </c>
      <c r="P56" s="735" t="str">
        <f t="shared" si="26"/>
        <v/>
      </c>
      <c r="Q56" s="735" t="str">
        <f t="shared" si="26"/>
        <v/>
      </c>
      <c r="R56" s="735" t="str">
        <f t="shared" si="26"/>
        <v/>
      </c>
      <c r="S56" s="735" t="str">
        <f t="shared" si="26"/>
        <v/>
      </c>
      <c r="AD56" s="445"/>
      <c r="AE56" s="449"/>
      <c r="AF56" s="447"/>
      <c r="AG56" s="238"/>
      <c r="AH56" s="238"/>
      <c r="AI56" s="238"/>
      <c r="AJ56" s="238"/>
      <c r="AK56" s="238"/>
      <c r="AL56" s="238"/>
      <c r="AM56" s="238"/>
      <c r="AN56" s="238"/>
      <c r="AO56" s="238"/>
      <c r="AP56" s="238"/>
    </row>
    <row r="57" spans="2:42" hidden="1" outlineLevel="1" x14ac:dyDescent="0.25">
      <c r="C57" s="20" t="str">
        <f>IF(Language="English", AD40, AF40)</f>
        <v>Utilisatrices (statistiques de service - non ajustées)</v>
      </c>
      <c r="D57" s="966" t="e">
        <f>'Visits Input'!BK48</f>
        <v>#N/A</v>
      </c>
      <c r="E57" s="966" t="e">
        <f>'Visits Input'!BL48</f>
        <v>#N/A</v>
      </c>
      <c r="F57" s="966" t="e">
        <f>'Visits Input'!BM48</f>
        <v>#N/A</v>
      </c>
      <c r="G57" s="966" t="e">
        <f>'Visits Input'!BN48</f>
        <v>#N/A</v>
      </c>
      <c r="H57" s="966" t="e">
        <f>'Visits Input'!BO48</f>
        <v>#N/A</v>
      </c>
      <c r="I57" s="966" t="e">
        <f>'Visits Input'!BP48</f>
        <v>#N/A</v>
      </c>
      <c r="J57" s="966" t="e">
        <f>'Visits Input'!BQ48</f>
        <v>#N/A</v>
      </c>
      <c r="K57" s="966" t="e">
        <f>'Visits Input'!BR48</f>
        <v>#N/A</v>
      </c>
      <c r="L57" s="966" t="e">
        <f>'Visits Input'!BS48</f>
        <v>#N/A</v>
      </c>
      <c r="M57" s="966" t="e">
        <f>'Visits Input'!BT48</f>
        <v>#N/A</v>
      </c>
      <c r="N57" s="966" t="e">
        <f>'Visits Input'!BU48</f>
        <v>#N/A</v>
      </c>
      <c r="O57" s="966" t="e">
        <f>'Visits Input'!BV48</f>
        <v>#N/A</v>
      </c>
      <c r="P57" s="966" t="e">
        <f>'Visits Input'!BW48</f>
        <v>#N/A</v>
      </c>
      <c r="Q57" s="966" t="e">
        <f>'Visits Input'!BX48</f>
        <v>#N/A</v>
      </c>
      <c r="R57" s="966" t="e">
        <f>'Visits Input'!BY48</f>
        <v>#N/A</v>
      </c>
      <c r="S57" s="966" t="e">
        <f>'Visits Input'!BZ48</f>
        <v>#N/A</v>
      </c>
      <c r="AD57" s="445"/>
      <c r="AE57" s="449"/>
      <c r="AF57" s="447"/>
      <c r="AG57" s="238"/>
      <c r="AH57" s="238"/>
      <c r="AI57" s="238"/>
      <c r="AJ57" s="238"/>
      <c r="AK57" s="238"/>
      <c r="AL57" s="238"/>
      <c r="AM57" s="238"/>
      <c r="AN57" s="238"/>
      <c r="AO57" s="238"/>
      <c r="AP57" s="238"/>
    </row>
    <row r="58" spans="2:42" hidden="1" outlineLevel="1" x14ac:dyDescent="0.25">
      <c r="C58" s="20" t="str">
        <f>IF(Language="English", AD41, AF41)</f>
        <v>Utilisatrices (statistiques de service - ajustées)</v>
      </c>
      <c r="D58" s="966" t="e">
        <f>D16</f>
        <v>#N/A</v>
      </c>
      <c r="E58" s="966" t="e">
        <f t="shared" ref="E58:S58" si="27">E16</f>
        <v>#N/A</v>
      </c>
      <c r="F58" s="966" t="e">
        <f t="shared" si="27"/>
        <v>#N/A</v>
      </c>
      <c r="G58" s="966" t="e">
        <f t="shared" si="27"/>
        <v>#N/A</v>
      </c>
      <c r="H58" s="966" t="e">
        <f t="shared" si="27"/>
        <v>#N/A</v>
      </c>
      <c r="I58" s="966" t="e">
        <f t="shared" si="27"/>
        <v>#N/A</v>
      </c>
      <c r="J58" s="966" t="e">
        <f t="shared" si="27"/>
        <v>#N/A</v>
      </c>
      <c r="K58" s="966" t="e">
        <f t="shared" si="27"/>
        <v>#N/A</v>
      </c>
      <c r="L58" s="966" t="e">
        <f t="shared" si="27"/>
        <v>#N/A</v>
      </c>
      <c r="M58" s="966" t="e">
        <f t="shared" si="27"/>
        <v>#N/A</v>
      </c>
      <c r="N58" s="966" t="e">
        <f t="shared" si="27"/>
        <v>#N/A</v>
      </c>
      <c r="O58" s="966" t="e">
        <f t="shared" si="27"/>
        <v>#N/A</v>
      </c>
      <c r="P58" s="966" t="e">
        <f t="shared" si="27"/>
        <v>#N/A</v>
      </c>
      <c r="Q58" s="966" t="e">
        <f t="shared" si="27"/>
        <v>#N/A</v>
      </c>
      <c r="R58" s="966" t="e">
        <f t="shared" si="27"/>
        <v>#N/A</v>
      </c>
      <c r="S58" s="966" t="e">
        <f t="shared" si="27"/>
        <v>#N/A</v>
      </c>
      <c r="AD58" s="445"/>
      <c r="AE58" s="449"/>
      <c r="AF58" s="447"/>
    </row>
    <row r="59" spans="2:42" hidden="1" outlineLevel="1" x14ac:dyDescent="0.25">
      <c r="C59" s="20" t="str">
        <f>IF(Language="English", AD42, AF42)</f>
        <v>Utilisatrices (enquête / FPET)</v>
      </c>
      <c r="D59" s="966" t="e">
        <f>D28</f>
        <v>#N/A</v>
      </c>
      <c r="E59" s="966" t="e">
        <f t="shared" ref="E59:S59" si="28">E28</f>
        <v>#VALUE!</v>
      </c>
      <c r="F59" s="966" t="e">
        <f t="shared" si="28"/>
        <v>#VALUE!</v>
      </c>
      <c r="G59" s="966" t="e">
        <f t="shared" si="28"/>
        <v>#VALUE!</v>
      </c>
      <c r="H59" s="966" t="e">
        <f t="shared" si="28"/>
        <v>#VALUE!</v>
      </c>
      <c r="I59" s="966" t="e">
        <f t="shared" si="28"/>
        <v>#VALUE!</v>
      </c>
      <c r="J59" s="966" t="e">
        <f t="shared" si="28"/>
        <v>#VALUE!</v>
      </c>
      <c r="K59" s="966" t="e">
        <f t="shared" si="28"/>
        <v>#VALUE!</v>
      </c>
      <c r="L59" s="966" t="e">
        <f t="shared" si="28"/>
        <v>#VALUE!</v>
      </c>
      <c r="M59" s="966" t="e">
        <f t="shared" si="28"/>
        <v>#VALUE!</v>
      </c>
      <c r="N59" s="966" t="e">
        <f t="shared" si="28"/>
        <v>#VALUE!</v>
      </c>
      <c r="O59" s="966" t="e">
        <f t="shared" si="28"/>
        <v>#VALUE!</v>
      </c>
      <c r="P59" s="966" t="e">
        <f t="shared" si="28"/>
        <v>#VALUE!</v>
      </c>
      <c r="Q59" s="966" t="e">
        <f t="shared" si="28"/>
        <v>#VALUE!</v>
      </c>
      <c r="R59" s="966" t="e">
        <f t="shared" si="28"/>
        <v>#VALUE!</v>
      </c>
      <c r="S59" s="966" t="e">
        <f t="shared" si="28"/>
        <v>#VALUE!</v>
      </c>
      <c r="AD59" s="445" t="s">
        <v>1249</v>
      </c>
      <c r="AE59" s="449"/>
      <c r="AF59" s="447" t="s">
        <v>1256</v>
      </c>
    </row>
    <row r="60" spans="2:42" hidden="1" outlineLevel="1" x14ac:dyDescent="0.25">
      <c r="D60" s="646"/>
      <c r="E60" s="152"/>
      <c r="G60" s="152"/>
      <c r="AD60" s="445" t="s">
        <v>1250</v>
      </c>
      <c r="AE60" s="449"/>
      <c r="AF60" s="447" t="s">
        <v>825</v>
      </c>
    </row>
    <row r="61" spans="2:42" collapsed="1" x14ac:dyDescent="0.25">
      <c r="D61" s="646"/>
      <c r="E61" s="152"/>
      <c r="G61" s="152"/>
      <c r="AD61" s="445" t="s">
        <v>1249</v>
      </c>
      <c r="AE61" s="449"/>
      <c r="AF61" s="447" t="s">
        <v>1306</v>
      </c>
    </row>
    <row r="62" spans="2:42" ht="24.75" customHeight="1" thickBot="1" x14ac:dyDescent="0.45">
      <c r="B62" s="785" t="str">
        <f>IF(Language="English", AD61, AF61)</f>
        <v>ÉTAPE 1 de 3. Examinez les graphiques ci-dessous montrant l'impact de l'ajustement du secteur privé.</v>
      </c>
      <c r="C62" s="786"/>
      <c r="D62" s="786"/>
      <c r="E62" s="786"/>
      <c r="F62" s="786"/>
      <c r="G62" s="786"/>
      <c r="H62" s="786"/>
      <c r="I62" s="786"/>
      <c r="J62" s="786"/>
      <c r="K62" s="786"/>
      <c r="L62" s="786"/>
      <c r="M62" s="786"/>
      <c r="N62" s="786"/>
      <c r="O62" s="786"/>
      <c r="P62" s="786"/>
      <c r="Q62" s="786"/>
      <c r="R62" s="786"/>
      <c r="S62" s="786"/>
      <c r="T62" s="787"/>
      <c r="U62" s="787"/>
      <c r="V62" s="787"/>
      <c r="AD62" s="445" t="s">
        <v>1250</v>
      </c>
      <c r="AE62" s="449" t="s">
        <v>1307</v>
      </c>
      <c r="AF62" s="447" t="s">
        <v>1307</v>
      </c>
    </row>
    <row r="63" spans="2:42" ht="45" customHeight="1" thickBot="1" x14ac:dyDescent="0.3">
      <c r="B63" s="1601" t="str">
        <f>IF(Language="English", AD62, AF62)</f>
        <v>Ces graphiques ont été conçus pour aider à illustrer l'impact de l'ajustement du secteur privé, qui vise à aider à rendre compte des services fournis par les secteurs qui ne sont pas inclus dans vos données. Veuillez examiner l'impact du facteur d'ajustement. Si vous souhaitez apporter des modifications au facteur d'ajustement, veuillez revenir à l'étape 4. FPSource Set Up</v>
      </c>
      <c r="C63" s="1601"/>
      <c r="D63" s="1601"/>
      <c r="E63" s="1601"/>
      <c r="F63" s="1601"/>
      <c r="G63" s="1601"/>
      <c r="H63" s="1601"/>
      <c r="I63" s="1601"/>
      <c r="J63" s="1601"/>
      <c r="K63" s="1601"/>
      <c r="L63" s="1601"/>
      <c r="M63" s="1601"/>
      <c r="N63" s="1601"/>
      <c r="O63" s="1601"/>
      <c r="P63" s="1601"/>
      <c r="Q63" s="1601"/>
      <c r="R63" s="1601"/>
      <c r="S63" s="1601"/>
      <c r="T63" s="1601"/>
      <c r="U63" s="1601"/>
      <c r="AD63" s="445" t="s">
        <v>2003</v>
      </c>
      <c r="AE63" s="449"/>
      <c r="AF63" s="447" t="s">
        <v>2004</v>
      </c>
    </row>
    <row r="64" spans="2:42" ht="49.15" customHeight="1" thickBot="1" x14ac:dyDescent="0.3">
      <c r="B64" s="1570" t="str">
        <f>IF(Language="English", AD63, AF63)</f>
        <v>1. Tendances totales des utilisatrices, les estimations de l'FPET vs. les estimations des statistiques de service (ajustées et non ajustées)</v>
      </c>
      <c r="C64" s="1571"/>
      <c r="D64" s="1571"/>
      <c r="E64" s="1571"/>
      <c r="F64" s="1571"/>
      <c r="G64" s="1571"/>
      <c r="H64" s="1571"/>
      <c r="I64" s="1572"/>
      <c r="K64" s="1570" t="str">
        <f>IF(Language="English", AD64,AF64)</f>
        <v>2. Comparaison du nombre total estimé d'utilisatrices de PF, Enquête / FPET vs statistiques de service (ajustées et non ajustées)</v>
      </c>
      <c r="L64" s="1571"/>
      <c r="M64" s="1571"/>
      <c r="N64" s="1571"/>
      <c r="O64" s="1571"/>
      <c r="P64" s="1571"/>
      <c r="Q64" s="1571"/>
      <c r="R64" s="1571"/>
      <c r="S64" s="1571"/>
      <c r="T64" s="1571"/>
      <c r="U64" s="1572"/>
      <c r="AD64" s="445" t="s">
        <v>2005</v>
      </c>
      <c r="AE64" s="449"/>
      <c r="AF64" s="447" t="s">
        <v>2006</v>
      </c>
    </row>
    <row r="65" spans="1:60" ht="26.25" customHeight="1" thickBot="1" x14ac:dyDescent="0.3">
      <c r="B65" s="649"/>
      <c r="C65" s="650"/>
      <c r="D65" s="650"/>
      <c r="E65" s="650"/>
      <c r="F65" s="650"/>
      <c r="G65" s="650"/>
      <c r="H65" s="650"/>
      <c r="I65" s="651"/>
      <c r="K65" s="1567" t="str">
        <f>K76</f>
        <v>Select Year for Comparison</v>
      </c>
      <c r="L65" s="1568"/>
      <c r="M65" s="1568"/>
      <c r="N65" s="1569"/>
      <c r="O65" s="652">
        <v>2021</v>
      </c>
      <c r="U65" s="143"/>
      <c r="AD65" s="967" t="s">
        <v>2007</v>
      </c>
      <c r="AE65" s="473"/>
      <c r="AF65" s="474" t="s">
        <v>2008</v>
      </c>
    </row>
    <row r="66" spans="1:60" ht="249.95" customHeight="1" thickBot="1" x14ac:dyDescent="0.3">
      <c r="B66" s="1573"/>
      <c r="C66" s="1574"/>
      <c r="D66" s="1574"/>
      <c r="E66" s="1574"/>
      <c r="F66" s="1574"/>
      <c r="G66" s="1574"/>
      <c r="H66" s="1574"/>
      <c r="I66" s="1575"/>
      <c r="K66" s="135"/>
      <c r="L66" s="136"/>
      <c r="M66" s="136"/>
      <c r="N66" s="136"/>
      <c r="O66" s="136"/>
      <c r="P66" s="136"/>
      <c r="Q66" s="136"/>
      <c r="R66" s="136"/>
      <c r="S66" s="136"/>
      <c r="T66" s="136"/>
      <c r="U66" s="137"/>
      <c r="AD66" s="445"/>
      <c r="AE66" s="449"/>
      <c r="AF66" s="447"/>
    </row>
    <row r="67" spans="1:60" s="41" customFormat="1" ht="41.45" customHeight="1" x14ac:dyDescent="0.25">
      <c r="B67" s="1576" t="str">
        <f>IF(Language="English", AD65,AF65)</f>
        <v>Examinez le graphique ci-dessus pour examiner la cohérence entre les tendances des enquêtes (FPET) chez les utilisatrices et les statistiques de service ajustées et non ajustées. Veuillez commenter ci-dessous et expliquer les tendances ci-dessus.</v>
      </c>
      <c r="C67" s="1577"/>
      <c r="D67" s="1577"/>
      <c r="E67" s="1577"/>
      <c r="F67" s="1577"/>
      <c r="G67" s="1577"/>
      <c r="H67" s="1577"/>
      <c r="I67" s="1578"/>
      <c r="K67" s="1576" t="str">
        <f>IF(Language="English", AD67, AF67)</f>
        <v>Comparez les graphiques et recherchez les grandes différences entre l'éventail des méthodes de l'enquête et l'éventail des méthodes produite à partir de vos données statistiques sur les services (ajustées vs non ajustées). Veuillez expliquer tout écart important dans l'éventail des méthodes.</v>
      </c>
      <c r="L67" s="1577"/>
      <c r="M67" s="1577"/>
      <c r="N67" s="1577"/>
      <c r="O67" s="1577"/>
      <c r="P67" s="1577"/>
      <c r="Q67" s="1577"/>
      <c r="R67" s="1577"/>
      <c r="S67" s="1577"/>
      <c r="T67" s="1577"/>
      <c r="U67" s="1578"/>
      <c r="W67" s="587"/>
      <c r="AD67" s="445" t="s">
        <v>1251</v>
      </c>
      <c r="AE67" s="449"/>
      <c r="AF67" s="447" t="s">
        <v>1305</v>
      </c>
      <c r="BH67" s="587"/>
    </row>
    <row r="68" spans="1:60" ht="54" customHeight="1" thickBot="1" x14ac:dyDescent="0.3">
      <c r="B68" s="1563"/>
      <c r="C68" s="1564"/>
      <c r="D68" s="1564"/>
      <c r="E68" s="1564"/>
      <c r="F68" s="1564"/>
      <c r="G68" s="1564"/>
      <c r="H68" s="1564"/>
      <c r="I68" s="1565"/>
      <c r="K68" s="1563"/>
      <c r="L68" s="1564"/>
      <c r="M68" s="1564"/>
      <c r="N68" s="1564"/>
      <c r="O68" s="1564"/>
      <c r="P68" s="1564"/>
      <c r="Q68" s="1564"/>
      <c r="R68" s="1564"/>
      <c r="S68" s="1564"/>
      <c r="T68" s="1564"/>
      <c r="U68" s="1565"/>
      <c r="AD68" s="445"/>
      <c r="AE68" s="449"/>
      <c r="AF68" s="447"/>
    </row>
    <row r="69" spans="1:60" ht="32.450000000000003" customHeight="1" x14ac:dyDescent="0.25">
      <c r="B69" s="975"/>
      <c r="C69" s="975"/>
      <c r="D69" s="975"/>
      <c r="E69" s="975"/>
      <c r="F69" s="975"/>
      <c r="G69" s="975"/>
      <c r="H69" s="975"/>
      <c r="I69" s="975"/>
      <c r="K69" s="1603" t="str">
        <f>IF('4. FPSource Set Up'!I85='4. FPSource Set Up'!AB86, "Note - condoms in the 'adjusted' values above and the graphs/values below have NOT been adjusted. This is in line with Track20 recommendations. ", "Note - condoms in the 'adjusted' values above and the graphs/values below have been adjusted. Consider the impact and whether the condom adjustment should be removed. ")</f>
        <v xml:space="preserve">Note - condoms in the 'adjusted' values above and the graphs/values below have NOT been adjusted. This is in line with Track20 recommendations. </v>
      </c>
      <c r="L69" s="1603"/>
      <c r="M69" s="1603"/>
      <c r="N69" s="1603"/>
      <c r="O69" s="1603"/>
      <c r="P69" s="1603"/>
      <c r="Q69" s="1603"/>
      <c r="R69" s="1603"/>
      <c r="S69" s="1603"/>
      <c r="T69" s="1603"/>
      <c r="U69" s="1603"/>
      <c r="AD69" s="184"/>
      <c r="AE69" s="184"/>
      <c r="AF69" s="184"/>
    </row>
    <row r="70" spans="1:60" ht="19.899999999999999" customHeight="1" x14ac:dyDescent="0.25">
      <c r="B70" s="975"/>
      <c r="C70" s="1602" t="s">
        <v>1290</v>
      </c>
      <c r="D70" s="1602"/>
      <c r="E70" s="1602"/>
      <c r="F70" s="1602"/>
      <c r="G70" s="1602"/>
      <c r="H70" s="1602"/>
      <c r="I70" s="1602"/>
      <c r="K70" s="975"/>
      <c r="L70" s="975"/>
      <c r="M70" s="975"/>
      <c r="N70" s="975"/>
      <c r="O70" s="975"/>
      <c r="P70" s="975"/>
      <c r="Q70" s="975"/>
      <c r="R70" s="975"/>
      <c r="S70" s="975"/>
      <c r="T70" s="975"/>
      <c r="U70" s="975"/>
      <c r="AD70" s="184"/>
      <c r="AE70" s="184"/>
      <c r="AF70" s="184"/>
    </row>
    <row r="71" spans="1:60" ht="14.45" customHeight="1" x14ac:dyDescent="0.25">
      <c r="B71" s="975"/>
      <c r="C71" s="975"/>
      <c r="D71" s="975"/>
      <c r="E71" s="975"/>
      <c r="F71" s="975"/>
      <c r="G71" s="975"/>
      <c r="H71" s="975"/>
      <c r="I71" s="975"/>
      <c r="K71" s="975"/>
      <c r="L71" s="975"/>
      <c r="M71" s="975"/>
      <c r="N71" s="975"/>
      <c r="O71" s="975"/>
      <c r="P71" s="975"/>
      <c r="Q71" s="975"/>
      <c r="R71" s="975"/>
      <c r="S71" s="975"/>
      <c r="T71" s="975"/>
      <c r="U71" s="975"/>
      <c r="AD71" s="184"/>
      <c r="AE71" s="184"/>
      <c r="AF71" s="184"/>
    </row>
    <row r="72" spans="1:60" ht="19.149999999999999" customHeight="1" thickBot="1" x14ac:dyDescent="0.45">
      <c r="B72" s="960"/>
      <c r="C72" s="961"/>
      <c r="D72" s="961"/>
      <c r="E72" s="961"/>
      <c r="F72" s="961"/>
      <c r="G72" s="961"/>
      <c r="H72" s="961"/>
      <c r="I72" s="961"/>
      <c r="J72" s="961"/>
      <c r="K72" s="961"/>
      <c r="L72" s="961"/>
      <c r="M72" s="961"/>
      <c r="N72" s="961"/>
      <c r="O72" s="961"/>
      <c r="P72" s="961"/>
      <c r="Q72" s="961"/>
      <c r="R72" s="961"/>
      <c r="S72" s="961"/>
      <c r="T72" s="962"/>
      <c r="U72" s="962"/>
      <c r="V72" s="962"/>
      <c r="AD72" s="184"/>
      <c r="AE72" s="184"/>
      <c r="AF72" s="184"/>
    </row>
    <row r="73" spans="1:60" ht="24.75" customHeight="1" thickBot="1" x14ac:dyDescent="0.45">
      <c r="B73" s="785" t="str">
        <f>IF(Language="English", AD73, AF73)</f>
        <v>ÉTAPE 2 de 3. Examiner et commenter les graphiques ci-dessous.</v>
      </c>
      <c r="C73" s="786"/>
      <c r="D73" s="786"/>
      <c r="E73" s="786"/>
      <c r="F73" s="786"/>
      <c r="G73" s="786"/>
      <c r="H73" s="786"/>
      <c r="I73" s="786"/>
      <c r="J73" s="786"/>
      <c r="K73" s="786"/>
      <c r="L73" s="786"/>
      <c r="M73" s="786"/>
      <c r="N73" s="786"/>
      <c r="O73" s="786"/>
      <c r="P73" s="786"/>
      <c r="Q73" s="786"/>
      <c r="R73" s="786"/>
      <c r="S73" s="786"/>
      <c r="T73" s="787"/>
      <c r="U73" s="787"/>
      <c r="V73" s="787"/>
      <c r="AD73" s="445" t="s">
        <v>1252</v>
      </c>
      <c r="AE73" s="449"/>
      <c r="AF73" s="447" t="s">
        <v>1255</v>
      </c>
    </row>
    <row r="74" spans="1:60" ht="27.75" customHeight="1" thickBot="1" x14ac:dyDescent="0.3">
      <c r="B74" s="240" t="str">
        <f>IF(Language="English", AD74, AF74)</f>
        <v>Ces graphiques ont été conçus pour aider à identifier les problèmes éventuels liés aux données des statistiques des services et analyser si ce type de données peut être utilisé dans FPET.</v>
      </c>
      <c r="AD74" s="445" t="s">
        <v>695</v>
      </c>
      <c r="AE74" s="449"/>
      <c r="AF74" s="447" t="s">
        <v>825</v>
      </c>
    </row>
    <row r="75" spans="1:60" ht="43.5" customHeight="1" thickBot="1" x14ac:dyDescent="0.3">
      <c r="B75" s="1582" t="str">
        <f>IF(Language="English", AD75, AF75)</f>
        <v>1. Tendances des utilisatrices par Méthode</v>
      </c>
      <c r="C75" s="1583"/>
      <c r="D75" s="1583"/>
      <c r="E75" s="1583"/>
      <c r="F75" s="1583"/>
      <c r="G75" s="1583"/>
      <c r="H75" s="1583"/>
      <c r="I75" s="1584"/>
      <c r="K75" s="1570" t="str">
        <f>IF(Language="English", AD77,AF77)</f>
        <v>2. Comparaison du nombre total estimé d'utilisatrices de PF : Statistiques des services et enquêtes</v>
      </c>
      <c r="L75" s="1571"/>
      <c r="M75" s="1571"/>
      <c r="N75" s="1571"/>
      <c r="O75" s="1571"/>
      <c r="P75" s="1571"/>
      <c r="Q75" s="1571"/>
      <c r="R75" s="1571"/>
      <c r="S75" s="1571"/>
      <c r="T75" s="1571"/>
      <c r="U75" s="1572"/>
      <c r="AD75" s="445" t="s">
        <v>319</v>
      </c>
      <c r="AE75" s="449"/>
      <c r="AF75" s="447" t="s">
        <v>2431</v>
      </c>
    </row>
    <row r="76" spans="1:60" ht="26.25" customHeight="1" thickBot="1" x14ac:dyDescent="0.3">
      <c r="B76" s="649"/>
      <c r="C76" s="650"/>
      <c r="D76" s="650"/>
      <c r="E76" s="650"/>
      <c r="F76" s="650"/>
      <c r="G76" s="650"/>
      <c r="H76" s="650"/>
      <c r="I76" s="651"/>
      <c r="K76" s="1567" t="s">
        <v>993</v>
      </c>
      <c r="L76" s="1568"/>
      <c r="M76" s="1568"/>
      <c r="N76" s="1569"/>
      <c r="O76" s="652">
        <v>2021</v>
      </c>
      <c r="U76" s="143"/>
      <c r="AD76" s="445"/>
      <c r="AE76" s="449"/>
      <c r="AF76" s="447"/>
    </row>
    <row r="77" spans="1:60" ht="249.95" customHeight="1" thickBot="1" x14ac:dyDescent="0.3">
      <c r="B77" s="1573"/>
      <c r="C77" s="1574"/>
      <c r="D77" s="1574"/>
      <c r="E77" s="1574"/>
      <c r="F77" s="1574"/>
      <c r="G77" s="1574"/>
      <c r="H77" s="1574"/>
      <c r="I77" s="1575"/>
      <c r="K77" s="135"/>
      <c r="L77" s="136"/>
      <c r="M77" s="136"/>
      <c r="N77" s="136"/>
      <c r="O77" s="136"/>
      <c r="P77" s="136"/>
      <c r="Q77" s="136"/>
      <c r="R77" s="136"/>
      <c r="S77" s="136"/>
      <c r="T77" s="136"/>
      <c r="U77" s="137"/>
      <c r="AD77" s="445" t="s">
        <v>1014</v>
      </c>
      <c r="AE77" s="449"/>
      <c r="AF77" s="447" t="s">
        <v>2432</v>
      </c>
    </row>
    <row r="78" spans="1:60" ht="45.75" customHeight="1" x14ac:dyDescent="0.25">
      <c r="A78" s="41"/>
      <c r="B78" s="1576" t="str">
        <f>IF(Language="English", AD78,AF78)</f>
        <v>Examinez le graphique ci-dessus pour les cas particuliers, les changements inattendus dans les tendances des méthodes ou les changements rapides dans les méthodes particulières.  Veuillez commenter ci-dessous et expliquez les tendances ci-dessus.</v>
      </c>
      <c r="C78" s="1577"/>
      <c r="D78" s="1577"/>
      <c r="E78" s="1577"/>
      <c r="F78" s="1577"/>
      <c r="G78" s="1577"/>
      <c r="H78" s="1577"/>
      <c r="I78" s="1578"/>
      <c r="J78" s="41"/>
      <c r="K78" s="1576" t="str">
        <f>IF(Language="English", AD79, AF79)</f>
        <v>Comparez les deux graphiques et recherchez de grandes divergences entre la méthode utilisée à partir de l'enquête et la méthode utilisée produite à partir de vos données des statistiques de services. Veuillez expliquer toutes les irrégularités importantes dans la méthode utilisée.</v>
      </c>
      <c r="L78" s="1577"/>
      <c r="M78" s="1577"/>
      <c r="N78" s="1577"/>
      <c r="O78" s="1577"/>
      <c r="P78" s="1577"/>
      <c r="Q78" s="1577"/>
      <c r="R78" s="1577"/>
      <c r="S78" s="1577"/>
      <c r="T78" s="1577"/>
      <c r="U78" s="1578"/>
      <c r="V78" s="41"/>
      <c r="AD78" s="472" t="s">
        <v>283</v>
      </c>
      <c r="AE78" s="473"/>
      <c r="AF78" s="474" t="s">
        <v>826</v>
      </c>
    </row>
    <row r="79" spans="1:60" ht="54" customHeight="1" thickBot="1" x14ac:dyDescent="0.3">
      <c r="B79" s="1563"/>
      <c r="C79" s="1564"/>
      <c r="D79" s="1564"/>
      <c r="E79" s="1564"/>
      <c r="F79" s="1564"/>
      <c r="G79" s="1564"/>
      <c r="H79" s="1564"/>
      <c r="I79" s="1565"/>
      <c r="K79" s="1563"/>
      <c r="L79" s="1564"/>
      <c r="M79" s="1564"/>
      <c r="N79" s="1564"/>
      <c r="O79" s="1564"/>
      <c r="P79" s="1564"/>
      <c r="Q79" s="1564"/>
      <c r="R79" s="1564"/>
      <c r="S79" s="1564"/>
      <c r="T79" s="1564"/>
      <c r="U79" s="1565"/>
      <c r="AD79" s="445" t="s">
        <v>321</v>
      </c>
      <c r="AE79" s="449"/>
      <c r="AF79" s="447" t="s">
        <v>827</v>
      </c>
    </row>
    <row r="80" spans="1:60" ht="15.75" thickBot="1" x14ac:dyDescent="0.3">
      <c r="C80"/>
    </row>
    <row r="81" spans="1:32" ht="40.5" customHeight="1" x14ac:dyDescent="0.25">
      <c r="A81" s="119"/>
      <c r="B81" s="1570" t="str">
        <f>IF(Language="English", AD81, AF81)</f>
        <v>3. Comparez l'estimation des utilisatrices modernes par méthode: Statistiques de Service v. Enquête (2021)</v>
      </c>
      <c r="C81" s="1571"/>
      <c r="D81" s="1571"/>
      <c r="E81" s="1571"/>
      <c r="F81" s="1571"/>
      <c r="G81" s="1571"/>
      <c r="H81" s="1571"/>
      <c r="I81" s="1572"/>
      <c r="J81" s="119"/>
      <c r="K81" s="1570" t="str">
        <f>IF(Language="English", AD83,AF83)</f>
        <v>4. Comparer la méthode utilisée : Statistiques des services et enquêtes (2021)</v>
      </c>
      <c r="L81" s="1571"/>
      <c r="M81" s="1571"/>
      <c r="N81" s="1571"/>
      <c r="O81" s="1571"/>
      <c r="P81" s="1571"/>
      <c r="Q81" s="1571"/>
      <c r="R81" s="1571"/>
      <c r="S81" s="1571"/>
      <c r="T81" s="1571"/>
      <c r="U81" s="1572"/>
      <c r="V81" s="119"/>
      <c r="AD81" s="445" t="str">
        <f>"3. Comparing Estimate of Modern Users by Method :  Service Statistics v. Survey ("&amp;$O$76&amp;")"</f>
        <v>3. Comparing Estimate of Modern Users by Method :  Service Statistics v. Survey (2021)</v>
      </c>
      <c r="AE81" s="449"/>
      <c r="AF81" s="447" t="str">
        <f>"3. Comparez l'estimation des utilisatrices modernes par méthode: Statistiques de Service v. Enquête ("&amp;$O$76&amp;")"</f>
        <v>3. Comparez l'estimation des utilisatrices modernes par méthode: Statistiques de Service v. Enquête (2021)</v>
      </c>
    </row>
    <row r="82" spans="1:32" ht="249.95" customHeight="1" x14ac:dyDescent="0.25">
      <c r="B82" s="649"/>
      <c r="C82" s="650"/>
      <c r="D82" s="650"/>
      <c r="E82" s="650"/>
      <c r="F82" s="650"/>
      <c r="G82" s="650"/>
      <c r="H82" s="650"/>
      <c r="I82" s="651"/>
      <c r="K82" s="142"/>
      <c r="U82" s="143"/>
      <c r="AD82" s="445" t="s">
        <v>1110</v>
      </c>
      <c r="AE82" s="449"/>
      <c r="AF82" s="447" t="s">
        <v>2433</v>
      </c>
    </row>
    <row r="83" spans="1:32" ht="30" customHeight="1" thickBot="1" x14ac:dyDescent="0.3">
      <c r="B83" s="1573"/>
      <c r="C83" s="1574"/>
      <c r="D83" s="1574"/>
      <c r="E83" s="1574"/>
      <c r="F83" s="1574"/>
      <c r="G83" s="1574"/>
      <c r="H83" s="1574"/>
      <c r="I83" s="1575"/>
      <c r="K83" s="135"/>
      <c r="L83" s="136"/>
      <c r="M83" s="136"/>
      <c r="N83" s="136"/>
      <c r="O83" s="136"/>
      <c r="P83" s="136"/>
      <c r="Q83" s="136"/>
      <c r="R83" s="136"/>
      <c r="S83" s="136"/>
      <c r="T83" s="136"/>
      <c r="U83" s="137"/>
      <c r="AD83" s="445" t="str">
        <f>"4. Comparing Method Mix: Service Statistics and Surveys ("&amp;$O$76&amp;")"</f>
        <v>4. Comparing Method Mix: Service Statistics and Surveys (2021)</v>
      </c>
      <c r="AE83" s="449"/>
      <c r="AF83" s="447" t="str">
        <f>"4. Comparer la méthode utilisée : Statistiques des services et enquêtes ("&amp;$O$76&amp;")"</f>
        <v>4. Comparer la méthode utilisée : Statistiques des services et enquêtes (2021)</v>
      </c>
    </row>
    <row r="84" spans="1:32" ht="45.75" customHeight="1" x14ac:dyDescent="0.25">
      <c r="A84" s="41"/>
      <c r="B84" s="1576" t="str">
        <f>IF(Language="English", AD82, AF82)</f>
        <v>Comparez les utilisatrices estimés entre les enquêtes et les statistiques de service. Les niveaux semblent-ils cohérents? Des méthodes semblent-elles radicalement différentes? Y a-t-il une raison à cette différence?</v>
      </c>
      <c r="C84" s="1577"/>
      <c r="D84" s="1577"/>
      <c r="E84" s="1577"/>
      <c r="F84" s="1577"/>
      <c r="G84" s="1577"/>
      <c r="H84" s="1577"/>
      <c r="I84" s="1578"/>
      <c r="J84" s="41"/>
      <c r="K84" s="1576" t="str">
        <f>IF(Language="English", AD85, AF85)</f>
        <v>Comparez les deux graphiques et recherchez de grandes divergences entre la méthode utilisée à partir de l'enquête et la méthode utilisée produite à partir de vos données des statistiques de services. Veuillez expliquer toutes les irrégularités importantes dans la méthode utilisée.</v>
      </c>
      <c r="L84" s="1577"/>
      <c r="M84" s="1577"/>
      <c r="N84" s="1577"/>
      <c r="O84" s="1577"/>
      <c r="P84" s="1577"/>
      <c r="Q84" s="1577"/>
      <c r="R84" s="1577"/>
      <c r="S84" s="1577"/>
      <c r="T84" s="1577"/>
      <c r="U84" s="1578"/>
      <c r="V84" s="41"/>
      <c r="AD84" s="472" t="s">
        <v>283</v>
      </c>
      <c r="AE84" s="473"/>
      <c r="AF84" s="474" t="s">
        <v>826</v>
      </c>
    </row>
    <row r="85" spans="1:32" ht="54" customHeight="1" thickBot="1" x14ac:dyDescent="0.3">
      <c r="B85" s="1563"/>
      <c r="C85" s="1564"/>
      <c r="D85" s="1564"/>
      <c r="E85" s="1564"/>
      <c r="F85" s="1564"/>
      <c r="G85" s="1564"/>
      <c r="H85" s="1564"/>
      <c r="I85" s="1565"/>
      <c r="K85" s="1563"/>
      <c r="L85" s="1564"/>
      <c r="M85" s="1564"/>
      <c r="N85" s="1564"/>
      <c r="O85" s="1564"/>
      <c r="P85" s="1564"/>
      <c r="Q85" s="1564"/>
      <c r="R85" s="1564"/>
      <c r="S85" s="1564"/>
      <c r="T85" s="1564"/>
      <c r="U85" s="1565"/>
      <c r="AD85" s="445" t="s">
        <v>321</v>
      </c>
      <c r="AE85" s="449"/>
      <c r="AF85" s="447" t="s">
        <v>827</v>
      </c>
    </row>
    <row r="86" spans="1:32" ht="15.75" thickBot="1" x14ac:dyDescent="0.3">
      <c r="AD86" s="445"/>
      <c r="AE86" s="449"/>
      <c r="AF86" s="447"/>
    </row>
    <row r="87" spans="1:32" ht="43.15" customHeight="1" x14ac:dyDescent="0.25">
      <c r="B87" s="1582" t="str">
        <f>IF(Language="English", AD87, AF87)</f>
        <v>5. Comparez les tendances des utilisatrices : EUM, FPET, et Enquêtes</v>
      </c>
      <c r="C87" s="1583"/>
      <c r="D87" s="1583"/>
      <c r="E87" s="1583"/>
      <c r="F87" s="1583"/>
      <c r="G87" s="1583"/>
      <c r="H87" s="1583"/>
      <c r="I87" s="1584"/>
      <c r="K87" s="1570" t="str">
        <f>IF(Language="English", AD88, AF88)</f>
        <v>6. Comparez les pentes : EUM, FPET, et Enquêtes</v>
      </c>
      <c r="L87" s="1571"/>
      <c r="M87" s="1571"/>
      <c r="N87" s="1571"/>
      <c r="O87" s="1571"/>
      <c r="P87" s="1571"/>
      <c r="Q87" s="1571"/>
      <c r="R87" s="1571"/>
      <c r="S87" s="1571"/>
      <c r="T87" s="1571"/>
      <c r="U87" s="1572"/>
      <c r="AD87" s="445" t="s">
        <v>994</v>
      </c>
      <c r="AE87" s="449"/>
      <c r="AF87" s="447" t="s">
        <v>2435</v>
      </c>
    </row>
    <row r="88" spans="1:32" ht="249.95" customHeight="1" thickBot="1" x14ac:dyDescent="0.3">
      <c r="B88" s="1573"/>
      <c r="C88" s="1574"/>
      <c r="D88" s="1574"/>
      <c r="E88" s="1574"/>
      <c r="F88" s="1574"/>
      <c r="G88" s="1574"/>
      <c r="H88" s="1574"/>
      <c r="I88" s="1575"/>
      <c r="K88" s="1573"/>
      <c r="L88" s="1574"/>
      <c r="M88" s="1574"/>
      <c r="N88" s="1574"/>
      <c r="O88" s="1574"/>
      <c r="P88" s="1574"/>
      <c r="Q88" s="1574"/>
      <c r="R88" s="1574"/>
      <c r="S88" s="1574"/>
      <c r="T88" s="1574"/>
      <c r="U88" s="1575"/>
      <c r="AD88" s="445" t="s">
        <v>1258</v>
      </c>
      <c r="AE88" s="449"/>
      <c r="AF88" s="447" t="s">
        <v>995</v>
      </c>
    </row>
    <row r="89" spans="1:32" ht="51" customHeight="1" x14ac:dyDescent="0.25">
      <c r="B89" s="1576" t="str">
        <f>IF(Language="English", AD89, AF89)</f>
        <v>Comparez l'EUM calculée à partir des vos données sur les produits au TPCM à partir du FPET et des enquêtes? Les pentes sont-elles identiques? Utiliseriez-vous ces données dans FPET? Veuillez commentez ci-dessous.</v>
      </c>
      <c r="C89" s="1577"/>
      <c r="D89" s="1577"/>
      <c r="E89" s="1577"/>
      <c r="F89" s="1577"/>
      <c r="G89" s="1577"/>
      <c r="H89" s="1577"/>
      <c r="I89" s="1578"/>
      <c r="K89" s="1576" t="str">
        <f>IF(Language="English", AD90,AF90)</f>
        <v>Comparez les augmentations annuelles moyennes en points de % du TPCM / EUM entre les tendances. Les pentes sont-elles similaires? La pente de l'EUM est-elle réalisable compte tenu de ce que vous savez sur le rythme de croissance de la prévalence?</v>
      </c>
      <c r="L89" s="1577"/>
      <c r="M89" s="1577"/>
      <c r="N89" s="1577"/>
      <c r="O89" s="1577"/>
      <c r="P89" s="1577"/>
      <c r="Q89" s="1577"/>
      <c r="R89" s="1577"/>
      <c r="S89" s="1577"/>
      <c r="T89" s="1577"/>
      <c r="U89" s="1578"/>
      <c r="AD89" s="445" t="s">
        <v>585</v>
      </c>
      <c r="AE89" s="449"/>
      <c r="AF89" s="447" t="s">
        <v>828</v>
      </c>
    </row>
    <row r="90" spans="1:32" ht="54" customHeight="1" thickBot="1" x14ac:dyDescent="0.3">
      <c r="B90" s="1563"/>
      <c r="C90" s="1564"/>
      <c r="D90" s="1564"/>
      <c r="E90" s="1564"/>
      <c r="F90" s="1564"/>
      <c r="G90" s="1564"/>
      <c r="H90" s="1564"/>
      <c r="I90" s="1565"/>
      <c r="K90" s="1563"/>
      <c r="L90" s="1564"/>
      <c r="M90" s="1564"/>
      <c r="N90" s="1564"/>
      <c r="O90" s="1564"/>
      <c r="P90" s="1564"/>
      <c r="Q90" s="1564"/>
      <c r="R90" s="1564"/>
      <c r="S90" s="1564"/>
      <c r="T90" s="1564"/>
      <c r="U90" s="1565"/>
      <c r="AD90" s="445" t="s">
        <v>1260</v>
      </c>
      <c r="AE90" s="449"/>
      <c r="AF90" s="447" t="s">
        <v>829</v>
      </c>
    </row>
    <row r="91" spans="1:32" ht="27.75" customHeight="1" x14ac:dyDescent="0.25">
      <c r="B91" s="240" t="str">
        <f>IF(Language="English", AD91, AF91)</f>
        <v>*Note : Les années avec des taux de complétude faibles (&lt;60%) ont été exclues dans les graphiques ci-dessus</v>
      </c>
      <c r="L91" s="1398"/>
      <c r="M91" s="1398"/>
      <c r="N91" s="1398"/>
      <c r="O91" s="1398"/>
      <c r="P91" s="1398"/>
      <c r="Q91" s="1398"/>
      <c r="R91" s="1398"/>
      <c r="S91" s="1398"/>
      <c r="T91" s="1398"/>
      <c r="U91" s="1398"/>
      <c r="V91" s="1398"/>
      <c r="AD91" s="445" t="s">
        <v>576</v>
      </c>
      <c r="AE91" s="449"/>
      <c r="AF91" s="447" t="s">
        <v>1133</v>
      </c>
    </row>
    <row r="92" spans="1:32" ht="9.75" customHeight="1" x14ac:dyDescent="0.25">
      <c r="B92" s="239"/>
      <c r="L92" s="32"/>
      <c r="M92" s="32"/>
      <c r="N92" s="32"/>
      <c r="O92" s="32"/>
      <c r="P92" s="32"/>
      <c r="Q92" s="32"/>
      <c r="R92" s="32"/>
      <c r="S92" s="32"/>
      <c r="T92" s="32"/>
      <c r="U92" s="32"/>
      <c r="V92" s="32"/>
      <c r="AD92" s="445" t="s">
        <v>326</v>
      </c>
      <c r="AE92" s="449"/>
      <c r="AF92" s="447" t="s">
        <v>833</v>
      </c>
    </row>
    <row r="93" spans="1:32" ht="9.75" customHeight="1" x14ac:dyDescent="0.25">
      <c r="A93" s="216"/>
      <c r="B93" s="216"/>
      <c r="C93" s="216"/>
      <c r="D93" s="216"/>
      <c r="E93" s="216"/>
      <c r="F93" s="216"/>
      <c r="G93" s="216"/>
      <c r="H93" s="216"/>
      <c r="I93" s="216"/>
      <c r="J93" s="216"/>
      <c r="K93" s="216"/>
      <c r="L93" s="216"/>
      <c r="M93" s="216"/>
      <c r="N93" s="216"/>
      <c r="O93" s="216"/>
      <c r="P93" s="216"/>
      <c r="Q93" s="216"/>
      <c r="R93" s="216"/>
      <c r="S93" s="216"/>
      <c r="T93" s="216"/>
      <c r="U93" s="216"/>
      <c r="V93" s="216"/>
      <c r="AD93" s="445" t="s">
        <v>327</v>
      </c>
      <c r="AE93" s="451"/>
      <c r="AF93" s="447" t="s">
        <v>834</v>
      </c>
    </row>
    <row r="94" spans="1:32" ht="9.75" customHeight="1" x14ac:dyDescent="0.25">
      <c r="A94" s="216"/>
      <c r="B94" s="216"/>
      <c r="C94" s="216"/>
      <c r="D94" s="216"/>
      <c r="E94" s="216"/>
      <c r="F94" s="216"/>
      <c r="G94" s="216"/>
      <c r="H94" s="216"/>
      <c r="I94" s="216"/>
      <c r="J94" s="216"/>
      <c r="K94" s="216"/>
      <c r="L94" s="216"/>
      <c r="M94" s="216"/>
      <c r="N94" s="216"/>
      <c r="O94" s="216"/>
      <c r="P94" s="216"/>
      <c r="Q94" s="216"/>
      <c r="R94" s="216"/>
      <c r="S94" s="216"/>
      <c r="T94" s="216"/>
      <c r="U94" s="216"/>
      <c r="V94" s="216"/>
      <c r="AC94" t="str">
        <f>IF(Language="English", AD94, AF94)</f>
        <v xml:space="preserve">Augmentation annuelle moyenne en points de % du TPCM / EUM </v>
      </c>
      <c r="AD94" s="445" t="s">
        <v>841</v>
      </c>
      <c r="AE94" s="451"/>
      <c r="AF94" s="447" t="s">
        <v>840</v>
      </c>
    </row>
    <row r="95" spans="1:32" ht="9.75" customHeight="1" x14ac:dyDescent="0.25">
      <c r="AC95" t="str">
        <f>IF(Language="English", AD95, AF95)</f>
        <v>TPCm - EUM</v>
      </c>
      <c r="AD95" s="445" t="s">
        <v>842</v>
      </c>
      <c r="AE95" s="451"/>
      <c r="AF95" s="447" t="s">
        <v>843</v>
      </c>
    </row>
    <row r="96" spans="1:32" ht="31.5" customHeight="1" x14ac:dyDescent="0.25">
      <c r="AD96" s="445"/>
      <c r="AE96" s="451"/>
      <c r="AF96" s="447"/>
    </row>
    <row r="97" spans="2:33" ht="24" customHeight="1" thickBot="1" x14ac:dyDescent="0.45">
      <c r="B97" s="785" t="str">
        <f>IF(Language="English", AD97, AF97)</f>
        <v>ÉTAPE 3 de 3. Choisissez d'inclure ou d'exclure les préservatifs de la valeur finale de EMU.</v>
      </c>
      <c r="C97" s="786"/>
      <c r="D97" s="786"/>
      <c r="E97" s="786"/>
      <c r="F97" s="786"/>
      <c r="G97" s="786"/>
      <c r="H97" s="786"/>
      <c r="I97" s="786"/>
      <c r="J97" s="786"/>
      <c r="K97" s="786"/>
      <c r="L97" s="786"/>
      <c r="M97" s="786"/>
      <c r="N97" s="786"/>
      <c r="O97" s="786"/>
      <c r="P97" s="786"/>
      <c r="Q97" s="786"/>
      <c r="R97" s="786"/>
      <c r="S97" s="786"/>
      <c r="T97" s="787"/>
      <c r="U97" s="787"/>
      <c r="V97" s="787"/>
      <c r="AD97" s="445" t="s">
        <v>1253</v>
      </c>
      <c r="AE97" s="451"/>
      <c r="AF97" s="447" t="s">
        <v>1254</v>
      </c>
    </row>
    <row r="98" spans="2:33" ht="15.75" thickBot="1" x14ac:dyDescent="0.3">
      <c r="B98" s="1629"/>
      <c r="C98" s="1629"/>
      <c r="D98" s="1629"/>
      <c r="E98" s="1629"/>
      <c r="F98" s="1629"/>
      <c r="G98" s="1629"/>
      <c r="H98" s="1629"/>
      <c r="I98" s="1629"/>
      <c r="J98" s="1629"/>
      <c r="K98" s="1629"/>
      <c r="L98" s="1629"/>
      <c r="M98" s="1629"/>
      <c r="N98" s="1629"/>
      <c r="O98" s="1629"/>
      <c r="P98" s="1629"/>
      <c r="Q98" s="1629"/>
      <c r="R98" s="1629"/>
      <c r="S98" s="1629"/>
      <c r="AC98" t="str">
        <f>IF(Language="English", AD98, AF98)</f>
        <v>Inclure des Préservatifs</v>
      </c>
      <c r="AD98" s="445" t="s">
        <v>1012</v>
      </c>
      <c r="AE98" s="451" t="s">
        <v>1012</v>
      </c>
      <c r="AF98" s="447" t="s">
        <v>1013</v>
      </c>
      <c r="AG98" t="s">
        <v>1012</v>
      </c>
    </row>
    <row r="99" spans="2:33" ht="19.5" thickBot="1" x14ac:dyDescent="0.35">
      <c r="C99" s="659" t="s">
        <v>1010</v>
      </c>
      <c r="D99" s="219" t="str">
        <f>VLOOKUP(C100, $B$33:$C$34, 2, FALSE)</f>
        <v>EUM: Produits ex. Préservatifs</v>
      </c>
      <c r="E99" s="220"/>
      <c r="F99" s="220"/>
      <c r="G99" s="220"/>
      <c r="H99" s="220"/>
      <c r="I99" s="220"/>
      <c r="J99" s="220"/>
      <c r="K99" s="220"/>
      <c r="L99" s="220"/>
      <c r="M99" s="220"/>
      <c r="N99" s="220"/>
      <c r="O99" s="220"/>
      <c r="P99" s="220"/>
      <c r="Q99" s="220"/>
      <c r="R99" s="220"/>
      <c r="S99" s="221"/>
      <c r="AC99" t="str">
        <f>IF(Language="English", AD99, AF99)</f>
        <v>Exclure les Préservatifs</v>
      </c>
      <c r="AD99" s="445" t="s">
        <v>1010</v>
      </c>
      <c r="AE99" s="451" t="s">
        <v>1010</v>
      </c>
      <c r="AF99" s="447" t="s">
        <v>1011</v>
      </c>
      <c r="AG99" t="s">
        <v>1010</v>
      </c>
    </row>
    <row r="100" spans="2:33" ht="15.75" thickBot="1" x14ac:dyDescent="0.3">
      <c r="C100" s="713" t="str">
        <f>IFERROR(VLOOKUP(C99,$AD$98:$AG$99,4,FALSE),VLOOKUP(C99,$AF$98:$AG$99,2,FALSE))</f>
        <v>Exclude Condoms</v>
      </c>
      <c r="D100" s="222">
        <f t="shared" ref="D100:S100" si="29">D31</f>
        <v>0</v>
      </c>
      <c r="E100" s="222" t="str">
        <f t="shared" si="29"/>
        <v/>
      </c>
      <c r="F100" s="222" t="str">
        <f t="shared" si="29"/>
        <v/>
      </c>
      <c r="G100" s="222" t="str">
        <f t="shared" si="29"/>
        <v/>
      </c>
      <c r="H100" s="222" t="str">
        <f t="shared" si="29"/>
        <v/>
      </c>
      <c r="I100" s="222" t="str">
        <f t="shared" si="29"/>
        <v/>
      </c>
      <c r="J100" s="222" t="str">
        <f t="shared" si="29"/>
        <v/>
      </c>
      <c r="K100" s="222" t="str">
        <f t="shared" si="29"/>
        <v/>
      </c>
      <c r="L100" s="222" t="str">
        <f t="shared" si="29"/>
        <v/>
      </c>
      <c r="M100" s="222" t="str">
        <f t="shared" si="29"/>
        <v/>
      </c>
      <c r="N100" s="222" t="str">
        <f t="shared" si="29"/>
        <v/>
      </c>
      <c r="O100" s="222" t="str">
        <f t="shared" si="29"/>
        <v/>
      </c>
      <c r="P100" s="222" t="str">
        <f t="shared" si="29"/>
        <v/>
      </c>
      <c r="Q100" s="222" t="str">
        <f t="shared" si="29"/>
        <v/>
      </c>
      <c r="R100" s="222" t="str">
        <f t="shared" si="29"/>
        <v/>
      </c>
      <c r="S100" s="222" t="str">
        <f t="shared" si="29"/>
        <v/>
      </c>
      <c r="AD100" s="445"/>
      <c r="AE100" s="451"/>
      <c r="AF100" s="447"/>
    </row>
    <row r="101" spans="2:33" ht="15.75" thickBot="1" x14ac:dyDescent="0.3">
      <c r="D101" s="714" t="str">
        <f>IFERROR(VLOOKUP($C$100, $B$33:$S$34, MATCH(D$100, $B$31:$S$31, 0), FALSE), "")</f>
        <v/>
      </c>
      <c r="E101" s="714" t="str">
        <f t="shared" ref="E101:S101" si="30">IFERROR(VLOOKUP($C$100, $B$33:$S$34, MATCH(E$100, $B$31:$S$31, 0), FALSE), "")</f>
        <v/>
      </c>
      <c r="F101" s="714" t="str">
        <f t="shared" si="30"/>
        <v/>
      </c>
      <c r="G101" s="714" t="str">
        <f t="shared" si="30"/>
        <v/>
      </c>
      <c r="H101" s="714" t="str">
        <f t="shared" si="30"/>
        <v/>
      </c>
      <c r="I101" s="714" t="str">
        <f t="shared" si="30"/>
        <v/>
      </c>
      <c r="J101" s="714" t="str">
        <f t="shared" si="30"/>
        <v/>
      </c>
      <c r="K101" s="714" t="str">
        <f t="shared" si="30"/>
        <v/>
      </c>
      <c r="L101" s="714" t="str">
        <f t="shared" si="30"/>
        <v/>
      </c>
      <c r="M101" s="714" t="str">
        <f t="shared" si="30"/>
        <v/>
      </c>
      <c r="N101" s="714" t="str">
        <f t="shared" si="30"/>
        <v/>
      </c>
      <c r="O101" s="714" t="str">
        <f t="shared" si="30"/>
        <v/>
      </c>
      <c r="P101" s="714" t="str">
        <f t="shared" si="30"/>
        <v/>
      </c>
      <c r="Q101" s="714" t="str">
        <f t="shared" si="30"/>
        <v/>
      </c>
      <c r="R101" s="714" t="str">
        <f t="shared" si="30"/>
        <v/>
      </c>
      <c r="S101" s="714" t="str">
        <f t="shared" si="30"/>
        <v/>
      </c>
      <c r="AD101" s="445"/>
      <c r="AE101" s="451"/>
      <c r="AF101" s="447"/>
    </row>
    <row r="106" spans="2:33" ht="15" customHeight="1" x14ac:dyDescent="0.4">
      <c r="B106" s="216"/>
      <c r="C106" s="1592" t="str">
        <f>'5. MethodMix Set Up'!$G$58</f>
        <v>Utilisatrices de PF</v>
      </c>
      <c r="D106" s="1592"/>
      <c r="E106" s="1592"/>
      <c r="F106" s="1592"/>
      <c r="G106" s="1592"/>
      <c r="H106" s="1592"/>
      <c r="I106" s="263"/>
      <c r="J106" s="263"/>
      <c r="K106" s="263"/>
      <c r="L106" s="1593" t="str">
        <f>IF(Language="English", AD93, AF93)</f>
        <v>Allez à Examen final de l'EUM</v>
      </c>
      <c r="M106" s="1593"/>
      <c r="N106" s="1593"/>
      <c r="O106" s="1593"/>
      <c r="P106" s="1593"/>
      <c r="Q106" s="1593"/>
      <c r="R106" s="1593"/>
    </row>
    <row r="107" spans="2:33" ht="15" customHeight="1" x14ac:dyDescent="0.4">
      <c r="B107" s="216"/>
      <c r="C107" s="1592"/>
      <c r="D107" s="1592"/>
      <c r="E107" s="1592"/>
      <c r="F107" s="1592"/>
      <c r="G107" s="1592"/>
      <c r="H107" s="1592"/>
      <c r="I107" s="263"/>
      <c r="J107" s="263"/>
      <c r="K107" s="263"/>
      <c r="L107" s="1593"/>
      <c r="M107" s="1593"/>
      <c r="N107" s="1593"/>
      <c r="O107" s="1593"/>
      <c r="P107" s="1593"/>
      <c r="Q107" s="1593"/>
      <c r="R107" s="1593"/>
    </row>
    <row r="110" spans="2:33" ht="15" hidden="1" customHeight="1" x14ac:dyDescent="0.25">
      <c r="C110" s="317"/>
      <c r="D110" s="318">
        <f t="shared" ref="D110:S110" si="31">D124</f>
        <v>0</v>
      </c>
      <c r="E110" s="318" t="str">
        <f t="shared" si="31"/>
        <v/>
      </c>
      <c r="F110" s="318" t="str">
        <f t="shared" si="31"/>
        <v/>
      </c>
      <c r="G110" s="318" t="str">
        <f t="shared" si="31"/>
        <v/>
      </c>
      <c r="H110" s="318" t="str">
        <f t="shared" si="31"/>
        <v/>
      </c>
      <c r="I110" s="318" t="str">
        <f t="shared" si="31"/>
        <v/>
      </c>
      <c r="J110" s="318" t="str">
        <f t="shared" si="31"/>
        <v/>
      </c>
      <c r="K110" s="318" t="str">
        <f t="shared" si="31"/>
        <v/>
      </c>
      <c r="L110" s="318" t="str">
        <f t="shared" si="31"/>
        <v/>
      </c>
      <c r="M110" s="318" t="str">
        <f t="shared" si="31"/>
        <v/>
      </c>
      <c r="N110" s="318" t="str">
        <f t="shared" si="31"/>
        <v/>
      </c>
      <c r="O110" s="318" t="str">
        <f t="shared" si="31"/>
        <v/>
      </c>
      <c r="P110" s="318" t="str">
        <f t="shared" si="31"/>
        <v/>
      </c>
      <c r="Q110" s="318" t="str">
        <f t="shared" si="31"/>
        <v/>
      </c>
      <c r="R110" s="318" t="str">
        <f t="shared" si="31"/>
        <v/>
      </c>
      <c r="S110" s="319" t="str">
        <f t="shared" si="31"/>
        <v/>
      </c>
    </row>
    <row r="111" spans="2:33" ht="15" hidden="1" customHeight="1" x14ac:dyDescent="0.25">
      <c r="C111" s="320" t="s">
        <v>722</v>
      </c>
      <c r="D111" s="323" t="str">
        <f t="shared" ref="D111:S111" si="32">IF(D125="", "", D125)</f>
        <v/>
      </c>
      <c r="E111" s="323" t="str">
        <f t="shared" si="32"/>
        <v/>
      </c>
      <c r="F111" s="323" t="str">
        <f t="shared" si="32"/>
        <v/>
      </c>
      <c r="G111" s="323" t="str">
        <f t="shared" si="32"/>
        <v/>
      </c>
      <c r="H111" s="323" t="str">
        <f t="shared" si="32"/>
        <v/>
      </c>
      <c r="I111" s="323" t="str">
        <f t="shared" si="32"/>
        <v/>
      </c>
      <c r="J111" s="323" t="str">
        <f t="shared" si="32"/>
        <v/>
      </c>
      <c r="K111" s="323" t="str">
        <f t="shared" si="32"/>
        <v/>
      </c>
      <c r="L111" s="323" t="str">
        <f t="shared" si="32"/>
        <v/>
      </c>
      <c r="M111" s="323" t="str">
        <f t="shared" si="32"/>
        <v/>
      </c>
      <c r="N111" s="323" t="str">
        <f t="shared" si="32"/>
        <v/>
      </c>
      <c r="O111" s="323" t="str">
        <f t="shared" si="32"/>
        <v/>
      </c>
      <c r="P111" s="323" t="str">
        <f t="shared" si="32"/>
        <v/>
      </c>
      <c r="Q111" s="323" t="str">
        <f t="shared" si="32"/>
        <v/>
      </c>
      <c r="R111" s="323" t="str">
        <f t="shared" si="32"/>
        <v/>
      </c>
      <c r="S111" s="324" t="str">
        <f t="shared" si="32"/>
        <v/>
      </c>
      <c r="T111" s="316"/>
    </row>
    <row r="112" spans="2:33" ht="15" hidden="1" customHeight="1" x14ac:dyDescent="0.25">
      <c r="C112" s="321" t="s">
        <v>1311</v>
      </c>
      <c r="D112" s="325" t="str">
        <f t="shared" ref="D112:S112" si="33">IF(D126=0,"", D126)</f>
        <v/>
      </c>
      <c r="E112" s="325" t="str">
        <f t="shared" si="33"/>
        <v/>
      </c>
      <c r="F112" s="325" t="str">
        <f t="shared" si="33"/>
        <v/>
      </c>
      <c r="G112" s="325" t="str">
        <f t="shared" si="33"/>
        <v/>
      </c>
      <c r="H112" s="325" t="str">
        <f t="shared" si="33"/>
        <v/>
      </c>
      <c r="I112" s="325" t="str">
        <f t="shared" si="33"/>
        <v/>
      </c>
      <c r="J112" s="325" t="str">
        <f t="shared" si="33"/>
        <v/>
      </c>
      <c r="K112" s="325" t="str">
        <f t="shared" si="33"/>
        <v/>
      </c>
      <c r="L112" s="325" t="str">
        <f t="shared" si="33"/>
        <v/>
      </c>
      <c r="M112" s="325" t="str">
        <f t="shared" si="33"/>
        <v/>
      </c>
      <c r="N112" s="325" t="str">
        <f t="shared" si="33"/>
        <v/>
      </c>
      <c r="O112" s="325" t="str">
        <f t="shared" si="33"/>
        <v/>
      </c>
      <c r="P112" s="325" t="str">
        <f t="shared" si="33"/>
        <v/>
      </c>
      <c r="Q112" s="325" t="str">
        <f t="shared" si="33"/>
        <v/>
      </c>
      <c r="R112" s="325" t="str">
        <f t="shared" si="33"/>
        <v/>
      </c>
      <c r="S112" s="326" t="str">
        <f t="shared" si="33"/>
        <v/>
      </c>
    </row>
    <row r="113" spans="1:35" ht="15" hidden="1" customHeight="1" x14ac:dyDescent="0.25">
      <c r="C113" s="321" t="s">
        <v>1312</v>
      </c>
      <c r="D113" s="325" t="str">
        <f t="shared" ref="D113:S113" si="34">IF(D127=0,"", D127)</f>
        <v/>
      </c>
      <c r="E113" s="325" t="str">
        <f t="shared" si="34"/>
        <v/>
      </c>
      <c r="F113" s="325" t="str">
        <f t="shared" si="34"/>
        <v/>
      </c>
      <c r="G113" s="325" t="str">
        <f t="shared" si="34"/>
        <v/>
      </c>
      <c r="H113" s="325" t="str">
        <f t="shared" si="34"/>
        <v/>
      </c>
      <c r="I113" s="325" t="str">
        <f t="shared" si="34"/>
        <v/>
      </c>
      <c r="J113" s="325" t="str">
        <f t="shared" si="34"/>
        <v/>
      </c>
      <c r="K113" s="325" t="str">
        <f t="shared" si="34"/>
        <v/>
      </c>
      <c r="L113" s="325" t="str">
        <f t="shared" si="34"/>
        <v/>
      </c>
      <c r="M113" s="325" t="str">
        <f t="shared" si="34"/>
        <v/>
      </c>
      <c r="N113" s="325" t="str">
        <f t="shared" si="34"/>
        <v/>
      </c>
      <c r="O113" s="325" t="str">
        <f t="shared" si="34"/>
        <v/>
      </c>
      <c r="P113" s="325" t="str">
        <f t="shared" si="34"/>
        <v/>
      </c>
      <c r="Q113" s="325" t="str">
        <f t="shared" si="34"/>
        <v/>
      </c>
      <c r="R113" s="325" t="str">
        <f t="shared" si="34"/>
        <v/>
      </c>
      <c r="S113" s="326" t="str">
        <f t="shared" si="34"/>
        <v/>
      </c>
    </row>
    <row r="114" spans="1:35" ht="15" hidden="1" customHeight="1" x14ac:dyDescent="0.25">
      <c r="C114" s="321" t="s">
        <v>5</v>
      </c>
      <c r="D114" s="325" t="str">
        <f t="shared" ref="D114:S114" si="35">IF(SUM(D128:D129)=0, "", SUM(D128:D129))</f>
        <v/>
      </c>
      <c r="E114" s="325" t="str">
        <f t="shared" si="35"/>
        <v/>
      </c>
      <c r="F114" s="325" t="str">
        <f t="shared" si="35"/>
        <v/>
      </c>
      <c r="G114" s="325" t="str">
        <f t="shared" si="35"/>
        <v/>
      </c>
      <c r="H114" s="325" t="str">
        <f t="shared" si="35"/>
        <v/>
      </c>
      <c r="I114" s="325" t="str">
        <f t="shared" si="35"/>
        <v/>
      </c>
      <c r="J114" s="325" t="str">
        <f t="shared" si="35"/>
        <v/>
      </c>
      <c r="K114" s="325" t="str">
        <f t="shared" si="35"/>
        <v/>
      </c>
      <c r="L114" s="325" t="str">
        <f t="shared" si="35"/>
        <v/>
      </c>
      <c r="M114" s="325" t="str">
        <f t="shared" si="35"/>
        <v/>
      </c>
      <c r="N114" s="325" t="str">
        <f t="shared" si="35"/>
        <v/>
      </c>
      <c r="O114" s="325" t="str">
        <f t="shared" si="35"/>
        <v/>
      </c>
      <c r="P114" s="325" t="str">
        <f t="shared" si="35"/>
        <v/>
      </c>
      <c r="Q114" s="325" t="str">
        <f t="shared" si="35"/>
        <v/>
      </c>
      <c r="R114" s="325" t="str">
        <f t="shared" si="35"/>
        <v/>
      </c>
      <c r="S114" s="326" t="str">
        <f t="shared" si="35"/>
        <v/>
      </c>
    </row>
    <row r="115" spans="1:35" ht="15" hidden="1" customHeight="1" x14ac:dyDescent="0.25">
      <c r="C115" s="321" t="s">
        <v>3</v>
      </c>
      <c r="D115" s="325" t="str">
        <f t="shared" ref="D115:S115" si="36">IF(SUM(D130:D132)=0,"",SUM(D130:D132))</f>
        <v/>
      </c>
      <c r="E115" s="325" t="str">
        <f t="shared" si="36"/>
        <v/>
      </c>
      <c r="F115" s="325" t="str">
        <f t="shared" si="36"/>
        <v/>
      </c>
      <c r="G115" s="325" t="str">
        <f t="shared" si="36"/>
        <v/>
      </c>
      <c r="H115" s="325" t="str">
        <f t="shared" si="36"/>
        <v/>
      </c>
      <c r="I115" s="325" t="str">
        <f t="shared" si="36"/>
        <v/>
      </c>
      <c r="J115" s="325" t="str">
        <f t="shared" si="36"/>
        <v/>
      </c>
      <c r="K115" s="325" t="str">
        <f t="shared" si="36"/>
        <v/>
      </c>
      <c r="L115" s="325" t="str">
        <f t="shared" si="36"/>
        <v/>
      </c>
      <c r="M115" s="325" t="str">
        <f t="shared" si="36"/>
        <v/>
      </c>
      <c r="N115" s="325" t="str">
        <f t="shared" si="36"/>
        <v/>
      </c>
      <c r="O115" s="325" t="str">
        <f t="shared" si="36"/>
        <v/>
      </c>
      <c r="P115" s="325" t="str">
        <f t="shared" si="36"/>
        <v/>
      </c>
      <c r="Q115" s="325" t="str">
        <f t="shared" si="36"/>
        <v/>
      </c>
      <c r="R115" s="325" t="str">
        <f t="shared" si="36"/>
        <v/>
      </c>
      <c r="S115" s="326" t="str">
        <f t="shared" si="36"/>
        <v/>
      </c>
    </row>
    <row r="116" spans="1:35" ht="15" hidden="1" customHeight="1" x14ac:dyDescent="0.25">
      <c r="C116" s="329" t="s">
        <v>723</v>
      </c>
      <c r="D116" s="330" t="str">
        <f t="shared" ref="D116:S116" si="37">IF(D134="", "", D134)</f>
        <v/>
      </c>
      <c r="E116" s="330" t="str">
        <f t="shared" si="37"/>
        <v/>
      </c>
      <c r="F116" s="330" t="str">
        <f t="shared" si="37"/>
        <v/>
      </c>
      <c r="G116" s="330" t="str">
        <f t="shared" si="37"/>
        <v/>
      </c>
      <c r="H116" s="330" t="str">
        <f t="shared" si="37"/>
        <v/>
      </c>
      <c r="I116" s="330" t="str">
        <f t="shared" si="37"/>
        <v/>
      </c>
      <c r="J116" s="330" t="str">
        <f t="shared" si="37"/>
        <v/>
      </c>
      <c r="K116" s="330" t="str">
        <f t="shared" si="37"/>
        <v/>
      </c>
      <c r="L116" s="330" t="str">
        <f t="shared" si="37"/>
        <v/>
      </c>
      <c r="M116" s="330" t="str">
        <f t="shared" si="37"/>
        <v/>
      </c>
      <c r="N116" s="330" t="str">
        <f t="shared" si="37"/>
        <v/>
      </c>
      <c r="O116" s="330" t="str">
        <f t="shared" si="37"/>
        <v/>
      </c>
      <c r="P116" s="330" t="str">
        <f t="shared" si="37"/>
        <v/>
      </c>
      <c r="Q116" s="330" t="str">
        <f t="shared" si="37"/>
        <v/>
      </c>
      <c r="R116" s="330" t="str">
        <f t="shared" si="37"/>
        <v/>
      </c>
      <c r="S116" s="331" t="str">
        <f t="shared" si="37"/>
        <v/>
      </c>
    </row>
    <row r="117" spans="1:35" ht="15" hidden="1" customHeight="1" x14ac:dyDescent="0.25">
      <c r="C117" s="321" t="s">
        <v>2</v>
      </c>
      <c r="D117" s="325" t="str">
        <f t="shared" ref="D117:S117" si="38">IF(SUM(D135:D137)=0, "", SUM(D135:D137))</f>
        <v/>
      </c>
      <c r="E117" s="325" t="str">
        <f t="shared" si="38"/>
        <v/>
      </c>
      <c r="F117" s="325" t="str">
        <f t="shared" si="38"/>
        <v/>
      </c>
      <c r="G117" s="325" t="str">
        <f t="shared" si="38"/>
        <v/>
      </c>
      <c r="H117" s="325" t="str">
        <f t="shared" si="38"/>
        <v/>
      </c>
      <c r="I117" s="325" t="str">
        <f t="shared" si="38"/>
        <v/>
      </c>
      <c r="J117" s="325" t="str">
        <f t="shared" si="38"/>
        <v/>
      </c>
      <c r="K117" s="325" t="str">
        <f t="shared" si="38"/>
        <v/>
      </c>
      <c r="L117" s="325" t="str">
        <f t="shared" si="38"/>
        <v/>
      </c>
      <c r="M117" s="325" t="str">
        <f t="shared" si="38"/>
        <v/>
      </c>
      <c r="N117" s="325" t="str">
        <f t="shared" si="38"/>
        <v/>
      </c>
      <c r="O117" s="325" t="str">
        <f t="shared" si="38"/>
        <v/>
      </c>
      <c r="P117" s="325" t="str">
        <f t="shared" si="38"/>
        <v/>
      </c>
      <c r="Q117" s="325" t="str">
        <f t="shared" si="38"/>
        <v/>
      </c>
      <c r="R117" s="325" t="str">
        <f t="shared" si="38"/>
        <v/>
      </c>
      <c r="S117" s="326" t="str">
        <f t="shared" si="38"/>
        <v/>
      </c>
    </row>
    <row r="118" spans="1:35" ht="15" hidden="1" customHeight="1" x14ac:dyDescent="0.25">
      <c r="C118" s="321" t="s">
        <v>110</v>
      </c>
      <c r="D118" s="325" t="str">
        <f t="shared" ref="D118:S118" si="39">IF(SUM(D140:D142)=0,"", SUM(D140:D142))</f>
        <v/>
      </c>
      <c r="E118" s="325" t="str">
        <f t="shared" si="39"/>
        <v/>
      </c>
      <c r="F118" s="325" t="str">
        <f t="shared" si="39"/>
        <v/>
      </c>
      <c r="G118" s="325" t="str">
        <f t="shared" si="39"/>
        <v/>
      </c>
      <c r="H118" s="325" t="str">
        <f t="shared" si="39"/>
        <v/>
      </c>
      <c r="I118" s="325" t="str">
        <f t="shared" si="39"/>
        <v/>
      </c>
      <c r="J118" s="325" t="str">
        <f t="shared" si="39"/>
        <v/>
      </c>
      <c r="K118" s="325" t="str">
        <f t="shared" si="39"/>
        <v/>
      </c>
      <c r="L118" s="325" t="str">
        <f t="shared" si="39"/>
        <v/>
      </c>
      <c r="M118" s="325" t="str">
        <f t="shared" si="39"/>
        <v/>
      </c>
      <c r="N118" s="325" t="str">
        <f t="shared" si="39"/>
        <v/>
      </c>
      <c r="O118" s="325" t="str">
        <f t="shared" si="39"/>
        <v/>
      </c>
      <c r="P118" s="325" t="str">
        <f t="shared" si="39"/>
        <v/>
      </c>
      <c r="Q118" s="325" t="str">
        <f t="shared" si="39"/>
        <v/>
      </c>
      <c r="R118" s="325" t="str">
        <f t="shared" si="39"/>
        <v/>
      </c>
      <c r="S118" s="326" t="str">
        <f t="shared" si="39"/>
        <v/>
      </c>
    </row>
    <row r="119" spans="1:35" ht="15.75" hidden="1" customHeight="1" thickBot="1" x14ac:dyDescent="0.3">
      <c r="C119" s="322" t="s">
        <v>111</v>
      </c>
      <c r="D119" s="327" t="str">
        <f t="shared" ref="D119:S119" si="40">IF(D143=0, "", D143)</f>
        <v/>
      </c>
      <c r="E119" s="327" t="str">
        <f t="shared" si="40"/>
        <v/>
      </c>
      <c r="F119" s="327" t="str">
        <f t="shared" si="40"/>
        <v/>
      </c>
      <c r="G119" s="327" t="str">
        <f t="shared" si="40"/>
        <v/>
      </c>
      <c r="H119" s="327" t="str">
        <f t="shared" si="40"/>
        <v/>
      </c>
      <c r="I119" s="327" t="str">
        <f t="shared" si="40"/>
        <v/>
      </c>
      <c r="J119" s="327" t="str">
        <f t="shared" si="40"/>
        <v/>
      </c>
      <c r="K119" s="327" t="str">
        <f t="shared" si="40"/>
        <v/>
      </c>
      <c r="L119" s="327" t="str">
        <f t="shared" si="40"/>
        <v/>
      </c>
      <c r="M119" s="327" t="str">
        <f t="shared" si="40"/>
        <v/>
      </c>
      <c r="N119" s="327" t="str">
        <f t="shared" si="40"/>
        <v/>
      </c>
      <c r="O119" s="327" t="str">
        <f t="shared" si="40"/>
        <v/>
      </c>
      <c r="P119" s="327" t="str">
        <f t="shared" si="40"/>
        <v/>
      </c>
      <c r="Q119" s="327" t="str">
        <f t="shared" si="40"/>
        <v/>
      </c>
      <c r="R119" s="327" t="str">
        <f t="shared" si="40"/>
        <v/>
      </c>
      <c r="S119" s="328" t="str">
        <f t="shared" si="40"/>
        <v/>
      </c>
    </row>
    <row r="120" spans="1:35" ht="15.75" customHeight="1" x14ac:dyDescent="0.25">
      <c r="D120" s="2"/>
      <c r="E120" s="2"/>
      <c r="F120" s="2"/>
      <c r="G120" s="2"/>
      <c r="H120" s="2"/>
      <c r="I120" s="2"/>
      <c r="J120" s="2"/>
      <c r="K120" s="2"/>
      <c r="L120" s="2"/>
      <c r="M120" s="2"/>
      <c r="N120" s="2"/>
      <c r="O120" s="2"/>
      <c r="P120" s="2"/>
      <c r="Q120" s="2"/>
      <c r="R120" s="2"/>
      <c r="S120" s="2"/>
    </row>
    <row r="121" spans="1:35" ht="38.25" customHeight="1" thickBot="1" x14ac:dyDescent="0.45">
      <c r="B121" s="243" t="str">
        <f>IF(Language="English", AD121,AF121 )</f>
        <v>ÉTAPE OPTIONNELLE : Examinez les nombres de vos utilisatrices, calculés à partir des données des produits distribués aux établissement que vous avez saisies sur la page précédente.</v>
      </c>
      <c r="C121" s="243"/>
      <c r="D121" s="243"/>
      <c r="E121" s="243"/>
      <c r="F121" s="243"/>
      <c r="G121" s="243"/>
      <c r="H121" s="243"/>
      <c r="I121" s="243"/>
      <c r="J121" s="243"/>
      <c r="K121" s="243"/>
      <c r="L121" s="243"/>
      <c r="M121" s="243"/>
      <c r="N121" s="243"/>
      <c r="O121" s="243"/>
      <c r="P121" s="243"/>
      <c r="Q121" s="243"/>
      <c r="R121" s="243"/>
      <c r="S121" s="243"/>
      <c r="T121" s="243"/>
      <c r="U121" s="243"/>
      <c r="V121" s="243"/>
      <c r="AD121" s="445" t="s">
        <v>1069</v>
      </c>
      <c r="AE121" s="449"/>
      <c r="AF121" s="447" t="s">
        <v>2438</v>
      </c>
    </row>
    <row r="122" spans="1:35" ht="42.75" customHeight="1" thickBot="1" x14ac:dyDescent="0.3">
      <c r="B122" s="236" t="str">
        <f>IF(Language="English", AD122,AF122 )</f>
        <v>Note : Si les taux de complétude étaient inférieurs à 60% pour une année donnée, ces valeurs ont été exclues ci-dessous et ne peuvent pas être utilisées pour produire l'EUM.</v>
      </c>
      <c r="C122" s="230"/>
      <c r="D122" s="230"/>
      <c r="E122" s="230"/>
      <c r="F122" s="230"/>
      <c r="G122" s="230"/>
      <c r="H122" s="230"/>
      <c r="I122" s="230"/>
      <c r="J122" s="230"/>
      <c r="K122" s="230"/>
      <c r="L122" s="230"/>
      <c r="M122" s="230"/>
      <c r="N122" s="230"/>
      <c r="O122" s="230"/>
      <c r="P122" s="230"/>
      <c r="Q122" s="230"/>
      <c r="R122" s="230"/>
      <c r="S122" s="230"/>
      <c r="V122" s="236"/>
      <c r="AD122" s="445" t="s">
        <v>564</v>
      </c>
      <c r="AE122" s="449"/>
      <c r="AF122" s="447" t="s">
        <v>1134</v>
      </c>
    </row>
    <row r="123" spans="1:35" ht="18.75" x14ac:dyDescent="0.25">
      <c r="B123" s="1590" t="str">
        <f>IF(AND(COUNT($D$124:$S$124)&gt;COUNT(D125:S125), Language="English"), "One Year Not Calculated : Check Reporting Rates", IF(AND(COUNT($D$124:$S$124)&gt;COUNT($D$125:$S$125), Language="Francais"), "Un an non calculé : Vérifier les taux de complétude", ""))</f>
        <v>Un an non calculé : Vérifier les taux de complétude</v>
      </c>
      <c r="C123" s="1591"/>
      <c r="D123" s="1581" t="str">
        <f>IF(Language="English",'Language Look Ups'!O33, IF(Language="Francais", 'Language Look Ups'!S33, 'Language Look Ups'!Q33))</f>
        <v>Estimation des Utilisatrices Modernes: Ajusté pour le secteur privé</v>
      </c>
      <c r="E123" s="1533"/>
      <c r="F123" s="1533"/>
      <c r="G123" s="1533"/>
      <c r="H123" s="1533"/>
      <c r="I123" s="1533"/>
      <c r="J123" s="1533"/>
      <c r="K123" s="1533"/>
      <c r="L123" s="1533"/>
      <c r="M123" s="1533"/>
      <c r="N123" s="1533"/>
      <c r="O123" s="1533"/>
      <c r="P123" s="1533"/>
      <c r="Q123" s="1533"/>
      <c r="R123" s="1533"/>
      <c r="S123" s="1534"/>
      <c r="U123" s="1595" t="str">
        <f>'Language Look Ups'!B37</f>
        <v>Valeurs aberrantes*</v>
      </c>
      <c r="V123" s="1595" t="s">
        <v>1205</v>
      </c>
      <c r="X123" s="1596" t="s">
        <v>1195</v>
      </c>
      <c r="Y123" s="1597" t="s">
        <v>1196</v>
      </c>
      <c r="Z123" s="1599" t="s">
        <v>1199</v>
      </c>
      <c r="AA123" s="1600" t="s">
        <v>1200</v>
      </c>
      <c r="AD123" s="445"/>
      <c r="AE123" s="449"/>
      <c r="AF123" s="447"/>
    </row>
    <row r="124" spans="1:35" ht="15.75" thickBot="1" x14ac:dyDescent="0.3">
      <c r="B124" s="1590"/>
      <c r="C124" s="1591"/>
      <c r="D124" s="16">
        <f>'Visits Input'!G21</f>
        <v>0</v>
      </c>
      <c r="E124" s="12" t="str">
        <f>'Visits Input'!H21</f>
        <v/>
      </c>
      <c r="F124" s="12" t="str">
        <f>'Visits Input'!I21</f>
        <v/>
      </c>
      <c r="G124" s="12" t="str">
        <f>'Visits Input'!J21</f>
        <v/>
      </c>
      <c r="H124" s="12" t="str">
        <f>'Visits Input'!K21</f>
        <v/>
      </c>
      <c r="I124" s="12" t="str">
        <f>'Visits Input'!L21</f>
        <v/>
      </c>
      <c r="J124" s="12" t="str">
        <f>'Visits Input'!M21</f>
        <v/>
      </c>
      <c r="K124" s="12" t="str">
        <f>'Visits Input'!N21</f>
        <v/>
      </c>
      <c r="L124" s="12" t="str">
        <f>'Visits Input'!O21</f>
        <v/>
      </c>
      <c r="M124" s="13" t="str">
        <f>'Visits Input'!P21</f>
        <v/>
      </c>
      <c r="N124" s="13" t="str">
        <f>'Visits Input'!Q21</f>
        <v/>
      </c>
      <c r="O124" s="13" t="str">
        <f>'Visits Input'!R21</f>
        <v/>
      </c>
      <c r="P124" s="13" t="str">
        <f>'Visits Input'!S21</f>
        <v/>
      </c>
      <c r="Q124" s="13" t="str">
        <f>'Visits Input'!T21</f>
        <v/>
      </c>
      <c r="R124" s="13" t="str">
        <f>'Visits Input'!U21</f>
        <v/>
      </c>
      <c r="S124" s="13" t="str">
        <f>'Visits Input'!V21</f>
        <v/>
      </c>
      <c r="U124" s="1595"/>
      <c r="V124" s="1595"/>
      <c r="X124" s="1596"/>
      <c r="Y124" s="1597"/>
      <c r="Z124" s="1599"/>
      <c r="AA124" s="1600"/>
      <c r="AD124" s="445"/>
      <c r="AE124" s="449"/>
      <c r="AF124" s="447"/>
    </row>
    <row r="125" spans="1:35" ht="19.5" thickBot="1" x14ac:dyDescent="0.35">
      <c r="A125" s="188"/>
      <c r="B125" s="104" t="str">
        <f>'Visits Input'!B22</f>
        <v>Méthodes à Long Terme et Permanentes</v>
      </c>
      <c r="C125" s="51"/>
      <c r="D125" s="929" t="str">
        <f>IF(D124="","",IF(SUM(D126:D132)=0,"",(SUM(D126:D132))))</f>
        <v/>
      </c>
      <c r="E125" s="929" t="str">
        <f t="shared" ref="E125:S125" si="41">IF(E124="","",IF(SUM(E126:E132)=0,"",(SUM(E126:E132))))</f>
        <v/>
      </c>
      <c r="F125" s="929" t="str">
        <f t="shared" si="41"/>
        <v/>
      </c>
      <c r="G125" s="929" t="str">
        <f t="shared" si="41"/>
        <v/>
      </c>
      <c r="H125" s="929" t="str">
        <f t="shared" si="41"/>
        <v/>
      </c>
      <c r="I125" s="929" t="str">
        <f t="shared" si="41"/>
        <v/>
      </c>
      <c r="J125" s="929" t="str">
        <f t="shared" si="41"/>
        <v/>
      </c>
      <c r="K125" s="929" t="str">
        <f t="shared" si="41"/>
        <v/>
      </c>
      <c r="L125" s="929" t="str">
        <f t="shared" si="41"/>
        <v/>
      </c>
      <c r="M125" s="929" t="str">
        <f t="shared" si="41"/>
        <v/>
      </c>
      <c r="N125" s="929" t="str">
        <f t="shared" si="41"/>
        <v/>
      </c>
      <c r="O125" s="929" t="str">
        <f t="shared" si="41"/>
        <v/>
      </c>
      <c r="P125" s="929" t="str">
        <f t="shared" si="41"/>
        <v/>
      </c>
      <c r="Q125" s="929" t="str">
        <f t="shared" si="41"/>
        <v/>
      </c>
      <c r="R125" s="929" t="str">
        <f t="shared" si="41"/>
        <v/>
      </c>
      <c r="S125" s="929" t="str">
        <f t="shared" si="41"/>
        <v/>
      </c>
      <c r="T125" s="188"/>
      <c r="U125" s="927"/>
      <c r="V125" s="927"/>
      <c r="W125" s="809"/>
      <c r="X125" s="1596"/>
      <c r="Y125" s="1598"/>
      <c r="Z125" s="1599"/>
      <c r="AA125" s="1600"/>
      <c r="AB125" s="188"/>
      <c r="AC125" s="188"/>
      <c r="AD125" s="446"/>
      <c r="AE125" s="450"/>
      <c r="AF125" s="448"/>
      <c r="AG125" s="188"/>
      <c r="AH125" s="188"/>
      <c r="AI125" s="188"/>
    </row>
    <row r="126" spans="1:35" ht="15.75" thickBot="1" x14ac:dyDescent="0.3">
      <c r="B126" s="1579" t="str">
        <f>'Visits Input'!B23</f>
        <v>Stérilisation</v>
      </c>
      <c r="C126" s="274" t="str">
        <f>'Visits Input'!C23</f>
        <v>Ligature des trompes</v>
      </c>
      <c r="D126" s="197" t="str">
        <f>IF(D$124="", "", VLOOKUP($C126, 'Visits Input'!$CB$23:$CR$46, MATCH('Visits Output'!D$124, 'Visits Input'!$CB$21:$CR$21, 0), FALSE))</f>
        <v/>
      </c>
      <c r="E126" s="198" t="str">
        <f>IF(E$124="", "", VLOOKUP($C126, 'Visits Input'!$CB$23:$CR$46, MATCH('Visits Output'!E$124, 'Visits Input'!$CB$21:$CR$21, 0), FALSE))</f>
        <v/>
      </c>
      <c r="F126" s="198" t="str">
        <f>IF(F$124="", "", VLOOKUP($C126, 'Visits Input'!$CB$23:$CR$46, MATCH('Visits Output'!F$124, 'Visits Input'!$CB$21:$CR$21, 0), FALSE))</f>
        <v/>
      </c>
      <c r="G126" s="198" t="str">
        <f>IF(G$124="", "", VLOOKUP($C126, 'Visits Input'!$CB$23:$CR$46, MATCH('Visits Output'!G$124, 'Visits Input'!$CB$21:$CR$21, 0), FALSE))</f>
        <v/>
      </c>
      <c r="H126" s="198" t="str">
        <f>IF(H$124="", "", VLOOKUP($C126, 'Visits Input'!$CB$23:$CR$46, MATCH('Visits Output'!H$124, 'Visits Input'!$CB$21:$CR$21, 0), FALSE))</f>
        <v/>
      </c>
      <c r="I126" s="198" t="str">
        <f>IF(I$124="", "", VLOOKUP($C126, 'Visits Input'!$CB$23:$CR$46, MATCH('Visits Output'!I$124, 'Visits Input'!$CB$21:$CR$21, 0), FALSE))</f>
        <v/>
      </c>
      <c r="J126" s="198" t="str">
        <f>IF(J$124="", "", VLOOKUP($C126, 'Visits Input'!$CB$23:$CR$46, MATCH('Visits Output'!J$124, 'Visits Input'!$CB$21:$CR$21, 0), FALSE))</f>
        <v/>
      </c>
      <c r="K126" s="198" t="str">
        <f>IF(K$124="", "", VLOOKUP($C126, 'Visits Input'!$CB$23:$CR$46, MATCH('Visits Output'!K$124, 'Visits Input'!$CB$21:$CR$21, 0), FALSE))</f>
        <v/>
      </c>
      <c r="L126" s="198" t="str">
        <f>IF(L$124="", "", VLOOKUP($C126, 'Visits Input'!$CB$23:$CR$46, MATCH('Visits Output'!L$124, 'Visits Input'!$CB$21:$CR$21, 0), FALSE))</f>
        <v/>
      </c>
      <c r="M126" s="199" t="str">
        <f>IF(M$124="", "", VLOOKUP($C126, 'Visits Input'!$CB$23:$CR$46, MATCH('Visits Output'!M$124, 'Visits Input'!$CB$21:$CR$21, 0), FALSE))</f>
        <v/>
      </c>
      <c r="N126" s="199" t="str">
        <f>IF(N$124="", "", VLOOKUP($C126, 'Visits Input'!$CB$23:$CR$46, MATCH('Visits Output'!N$124, 'Visits Input'!$CB$21:$CR$21, 0), FALSE))</f>
        <v/>
      </c>
      <c r="O126" s="199" t="str">
        <f>IF(O$124="", "", VLOOKUP($C126, 'Visits Input'!$CB$23:$CR$46, MATCH('Visits Output'!O$124, 'Visits Input'!$CB$21:$CR$21, 0), FALSE))</f>
        <v/>
      </c>
      <c r="P126" s="199" t="str">
        <f>IF(P$124="", "", VLOOKUP($C126, 'Visits Input'!$CB$23:$CR$46, MATCH('Visits Output'!P$124, 'Visits Input'!$CB$21:$CR$21, 0), FALSE))</f>
        <v/>
      </c>
      <c r="Q126" s="199" t="str">
        <f>IF(Q$124="", "", VLOOKUP($C126, 'Visits Input'!$CB$23:$CR$46, MATCH('Visits Output'!Q$124, 'Visits Input'!$CB$21:$CR$21, 0), FALSE))</f>
        <v/>
      </c>
      <c r="R126" s="199" t="str">
        <f>IF(R$124="", "", VLOOKUP($C126, 'Visits Input'!$CB$23:$CR$46, MATCH('Visits Output'!R$124, 'Visits Input'!$CB$21:$CR$21, 0), FALSE))</f>
        <v/>
      </c>
      <c r="S126" s="200" t="str">
        <f>IF(S$124="", "", VLOOKUP($C126, 'Visits Input'!$CB$23:$CR$46, MATCH('Visits Output'!S$124, 'Visits Input'!$CB$21:$CR$21, 0), FALSE))</f>
        <v/>
      </c>
      <c r="U126" s="928" t="str">
        <f>IF(COUNTIF($D126:$S126, "&gt;"&amp;Z126)+COUNTIF($D126:$S126, "&lt;"&amp;AA126)&gt;0, $U$123, "")</f>
        <v/>
      </c>
      <c r="V126" s="877" t="str">
        <f>IFERROR(IF(U126="", "", "("&amp;TEXT(AA126, "0,000")&amp;" - "&amp;TEXT(Z126, "0,000")&amp;")"), "")</f>
        <v/>
      </c>
      <c r="X126" s="856" t="e">
        <f>AVERAGE($D126:$S126)</f>
        <v>#DIV/0!</v>
      </c>
      <c r="Y126" s="857" t="e">
        <f>STDEV($D126:$S126)*2</f>
        <v>#DIV/0!</v>
      </c>
      <c r="Z126" s="856" t="e">
        <f>X126+Y126</f>
        <v>#DIV/0!</v>
      </c>
      <c r="AA126" s="856" t="e">
        <f>X126-Y126</f>
        <v>#DIV/0!</v>
      </c>
      <c r="AD126" s="445"/>
      <c r="AE126" s="449"/>
      <c r="AF126" s="447"/>
    </row>
    <row r="127" spans="1:35" ht="15.75" thickBot="1" x14ac:dyDescent="0.3">
      <c r="B127" s="1580"/>
      <c r="C127" s="275" t="str">
        <f>'Visits Input'!C24</f>
        <v>Vasectomie</v>
      </c>
      <c r="D127" s="91" t="str">
        <f>IF(D$124="", "", VLOOKUP($C127, 'Visits Input'!$CB$23:$CR$46, MATCH('Visits Output'!D$124, 'Visits Input'!$CB$21:$CR$21, 0), FALSE))</f>
        <v/>
      </c>
      <c r="E127" s="92" t="str">
        <f>IF(E$124="", "", VLOOKUP($C127, 'Visits Input'!$CB$23:$CR$46, MATCH('Visits Output'!E$124, 'Visits Input'!$CB$21:$CR$21, 0), FALSE))</f>
        <v/>
      </c>
      <c r="F127" s="92" t="str">
        <f>IF(F$124="", "", VLOOKUP($C127, 'Visits Input'!$CB$23:$CR$46, MATCH('Visits Output'!F$124, 'Visits Input'!$CB$21:$CR$21, 0), FALSE))</f>
        <v/>
      </c>
      <c r="G127" s="92" t="str">
        <f>IF(G$124="", "", VLOOKUP($C127, 'Visits Input'!$CB$23:$CR$46, MATCH('Visits Output'!G$124, 'Visits Input'!$CB$21:$CR$21, 0), FALSE))</f>
        <v/>
      </c>
      <c r="H127" s="92" t="str">
        <f>IF(H$124="", "", VLOOKUP($C127, 'Visits Input'!$CB$23:$CR$46, MATCH('Visits Output'!H$124, 'Visits Input'!$CB$21:$CR$21, 0), FALSE))</f>
        <v/>
      </c>
      <c r="I127" s="92" t="str">
        <f>IF(I$124="", "", VLOOKUP($C127, 'Visits Input'!$CB$23:$CR$46, MATCH('Visits Output'!I$124, 'Visits Input'!$CB$21:$CR$21, 0), FALSE))</f>
        <v/>
      </c>
      <c r="J127" s="92" t="str">
        <f>IF(J$124="", "", VLOOKUP($C127, 'Visits Input'!$CB$23:$CR$46, MATCH('Visits Output'!J$124, 'Visits Input'!$CB$21:$CR$21, 0), FALSE))</f>
        <v/>
      </c>
      <c r="K127" s="92" t="str">
        <f>IF(K$124="", "", VLOOKUP($C127, 'Visits Input'!$CB$23:$CR$46, MATCH('Visits Output'!K$124, 'Visits Input'!$CB$21:$CR$21, 0), FALSE))</f>
        <v/>
      </c>
      <c r="L127" s="92" t="str">
        <f>IF(L$124="", "", VLOOKUP($C127, 'Visits Input'!$CB$23:$CR$46, MATCH('Visits Output'!L$124, 'Visits Input'!$CB$21:$CR$21, 0), FALSE))</f>
        <v/>
      </c>
      <c r="M127" s="93" t="str">
        <f>IF(M$124="", "", VLOOKUP($C127, 'Visits Input'!$CB$23:$CR$46, MATCH('Visits Output'!M$124, 'Visits Input'!$CB$21:$CR$21, 0), FALSE))</f>
        <v/>
      </c>
      <c r="N127" s="93" t="str">
        <f>IF(N$124="", "", VLOOKUP($C127, 'Visits Input'!$CB$23:$CR$46, MATCH('Visits Output'!N$124, 'Visits Input'!$CB$21:$CR$21, 0), FALSE))</f>
        <v/>
      </c>
      <c r="O127" s="93" t="str">
        <f>IF(O$124="", "", VLOOKUP($C127, 'Visits Input'!$CB$23:$CR$46, MATCH('Visits Output'!O$124, 'Visits Input'!$CB$21:$CR$21, 0), FALSE))</f>
        <v/>
      </c>
      <c r="P127" s="93" t="str">
        <f>IF(P$124="", "", VLOOKUP($C127, 'Visits Input'!$CB$23:$CR$46, MATCH('Visits Output'!P$124, 'Visits Input'!$CB$21:$CR$21, 0), FALSE))</f>
        <v/>
      </c>
      <c r="Q127" s="93" t="str">
        <f>IF(Q$124="", "", VLOOKUP($C127, 'Visits Input'!$CB$23:$CR$46, MATCH('Visits Output'!Q$124, 'Visits Input'!$CB$21:$CR$21, 0), FALSE))</f>
        <v/>
      </c>
      <c r="R127" s="93" t="str">
        <f>IF(R$124="", "", VLOOKUP($C127, 'Visits Input'!$CB$23:$CR$46, MATCH('Visits Output'!R$124, 'Visits Input'!$CB$21:$CR$21, 0), FALSE))</f>
        <v/>
      </c>
      <c r="S127" s="94" t="str">
        <f>IF(S$124="", "", VLOOKUP($C127, 'Visits Input'!$CB$23:$CR$46, MATCH('Visits Output'!S$124, 'Visits Input'!$CB$21:$CR$21, 0), FALSE))</f>
        <v/>
      </c>
      <c r="U127" s="928" t="str">
        <f t="shared" ref="U127:U132" si="42">IF(COUNTIF($D127:$S127, "&gt;"&amp;Z127)+COUNTIF($D127:$S127, "&lt;"&amp;AA127)&gt;0, $U$123, "")</f>
        <v/>
      </c>
      <c r="V127" s="877" t="str">
        <f t="shared" ref="V127:V132" si="43">IFERROR(IF(U127="", "", "("&amp;TEXT(AA127, "0,000")&amp;" - "&amp;TEXT(Z127, "0,000")&amp;")"), "")</f>
        <v/>
      </c>
      <c r="X127" s="856" t="e">
        <f t="shared" ref="X127:X132" si="44">AVERAGE($D127:$S127)</f>
        <v>#DIV/0!</v>
      </c>
      <c r="Y127" s="857" t="e">
        <f t="shared" ref="Y127:Y132" si="45">STDEV($D127:$S127)*2</f>
        <v>#DIV/0!</v>
      </c>
      <c r="Z127" s="856" t="e">
        <f t="shared" ref="Z127:Z132" si="46">X127+Y127</f>
        <v>#DIV/0!</v>
      </c>
      <c r="AA127" s="856" t="e">
        <f t="shared" ref="AA127:AA132" si="47">X127-Y127</f>
        <v>#DIV/0!</v>
      </c>
      <c r="AD127" s="445"/>
      <c r="AE127" s="449"/>
      <c r="AF127" s="447"/>
    </row>
    <row r="128" spans="1:35" ht="15.75" thickBot="1" x14ac:dyDescent="0.3">
      <c r="B128" s="1579" t="str">
        <f>'Visits Input'!B25</f>
        <v>DIU</v>
      </c>
      <c r="C128" s="274" t="str">
        <f>'Visits Input'!C25</f>
        <v>Copper- T 380-A DIU</v>
      </c>
      <c r="D128" s="95" t="str">
        <f>IF(D$124="", "", VLOOKUP($C128, 'Visits Input'!$CB$23:$CR$46, MATCH('Visits Output'!D$124, 'Visits Input'!$CB$21:$CR$21, 0), FALSE))</f>
        <v/>
      </c>
      <c r="E128" s="201" t="str">
        <f>IF(E$124="", "", VLOOKUP($C128, 'Visits Input'!$CB$23:$CR$46, MATCH('Visits Output'!E$124, 'Visits Input'!$CB$21:$CR$21, 0), FALSE))</f>
        <v/>
      </c>
      <c r="F128" s="201" t="str">
        <f>IF(F$124="", "", VLOOKUP($C128, 'Visits Input'!$CB$23:$CR$46, MATCH('Visits Output'!F$124, 'Visits Input'!$CB$21:$CR$21, 0), FALSE))</f>
        <v/>
      </c>
      <c r="G128" s="201" t="str">
        <f>IF(G$124="", "", VLOOKUP($C128, 'Visits Input'!$CB$23:$CR$46, MATCH('Visits Output'!G$124, 'Visits Input'!$CB$21:$CR$21, 0), FALSE))</f>
        <v/>
      </c>
      <c r="H128" s="201" t="str">
        <f>IF(H$124="", "", VLOOKUP($C128, 'Visits Input'!$CB$23:$CR$46, MATCH('Visits Output'!H$124, 'Visits Input'!$CB$21:$CR$21, 0), FALSE))</f>
        <v/>
      </c>
      <c r="I128" s="201" t="str">
        <f>IF(I$124="", "", VLOOKUP($C128, 'Visits Input'!$CB$23:$CR$46, MATCH('Visits Output'!I$124, 'Visits Input'!$CB$21:$CR$21, 0), FALSE))</f>
        <v/>
      </c>
      <c r="J128" s="201" t="str">
        <f>IF(J$124="", "", VLOOKUP($C128, 'Visits Input'!$CB$23:$CR$46, MATCH('Visits Output'!J$124, 'Visits Input'!$CB$21:$CR$21, 0), FALSE))</f>
        <v/>
      </c>
      <c r="K128" s="201" t="str">
        <f>IF(K$124="", "", VLOOKUP($C128, 'Visits Input'!$CB$23:$CR$46, MATCH('Visits Output'!K$124, 'Visits Input'!$CB$21:$CR$21, 0), FALSE))</f>
        <v/>
      </c>
      <c r="L128" s="201" t="str">
        <f>IF(L$124="", "", VLOOKUP($C128, 'Visits Input'!$CB$23:$CR$46, MATCH('Visits Output'!L$124, 'Visits Input'!$CB$21:$CR$21, 0), FALSE))</f>
        <v/>
      </c>
      <c r="M128" s="96" t="str">
        <f>IF(M$124="", "", VLOOKUP($C128, 'Visits Input'!$CB$23:$CR$46, MATCH('Visits Output'!M$124, 'Visits Input'!$CB$21:$CR$21, 0), FALSE))</f>
        <v/>
      </c>
      <c r="N128" s="96" t="str">
        <f>IF(N$124="", "", VLOOKUP($C128, 'Visits Input'!$CB$23:$CR$46, MATCH('Visits Output'!N$124, 'Visits Input'!$CB$21:$CR$21, 0), FALSE))</f>
        <v/>
      </c>
      <c r="O128" s="96" t="str">
        <f>IF(O$124="", "", VLOOKUP($C128, 'Visits Input'!$CB$23:$CR$46, MATCH('Visits Output'!O$124, 'Visits Input'!$CB$21:$CR$21, 0), FALSE))</f>
        <v/>
      </c>
      <c r="P128" s="96" t="str">
        <f>IF(P$124="", "", VLOOKUP($C128, 'Visits Input'!$CB$23:$CR$46, MATCH('Visits Output'!P$124, 'Visits Input'!$CB$21:$CR$21, 0), FALSE))</f>
        <v/>
      </c>
      <c r="Q128" s="96" t="str">
        <f>IF(Q$124="", "", VLOOKUP($C128, 'Visits Input'!$CB$23:$CR$46, MATCH('Visits Output'!Q$124, 'Visits Input'!$CB$21:$CR$21, 0), FALSE))</f>
        <v/>
      </c>
      <c r="R128" s="96" t="str">
        <f>IF(R$124="", "", VLOOKUP($C128, 'Visits Input'!$CB$23:$CR$46, MATCH('Visits Output'!R$124, 'Visits Input'!$CB$21:$CR$21, 0), FALSE))</f>
        <v/>
      </c>
      <c r="S128" s="97" t="str">
        <f>IF(S$124="", "", VLOOKUP($C128, 'Visits Input'!$CB$23:$CR$46, MATCH('Visits Output'!S$124, 'Visits Input'!$CB$21:$CR$21, 0), FALSE))</f>
        <v/>
      </c>
      <c r="U128" s="928" t="str">
        <f t="shared" si="42"/>
        <v/>
      </c>
      <c r="V128" s="877" t="str">
        <f t="shared" si="43"/>
        <v/>
      </c>
      <c r="X128" s="856" t="e">
        <f t="shared" si="44"/>
        <v>#DIV/0!</v>
      </c>
      <c r="Y128" s="857" t="e">
        <f t="shared" si="45"/>
        <v>#DIV/0!</v>
      </c>
      <c r="Z128" s="856" t="e">
        <f t="shared" si="46"/>
        <v>#DIV/0!</v>
      </c>
      <c r="AA128" s="856" t="e">
        <f t="shared" si="47"/>
        <v>#DIV/0!</v>
      </c>
      <c r="AD128" s="445"/>
      <c r="AE128" s="449"/>
      <c r="AF128" s="447"/>
    </row>
    <row r="129" spans="1:35" ht="15.75" thickBot="1" x14ac:dyDescent="0.3">
      <c r="B129" s="1580"/>
      <c r="C129" s="275" t="str">
        <f>'Visits Input'!C26</f>
        <v>DIU Hormonal (LNG-IUS)</v>
      </c>
      <c r="D129" s="91" t="str">
        <f>IF(D$124="", "", VLOOKUP($C129, 'Visits Input'!$CB$23:$CR$46, MATCH('Visits Output'!D$124, 'Visits Input'!$CB$21:$CR$21, 0), FALSE))</f>
        <v/>
      </c>
      <c r="E129" s="92" t="str">
        <f>IF(E$124="", "", VLOOKUP($C129, 'Visits Input'!$CB$23:$CR$46, MATCH('Visits Output'!E$124, 'Visits Input'!$CB$21:$CR$21, 0), FALSE))</f>
        <v/>
      </c>
      <c r="F129" s="92" t="str">
        <f>IF(F$124="", "", VLOOKUP($C129, 'Visits Input'!$CB$23:$CR$46, MATCH('Visits Output'!F$124, 'Visits Input'!$CB$21:$CR$21, 0), FALSE))</f>
        <v/>
      </c>
      <c r="G129" s="92" t="str">
        <f>IF(G$124="", "", VLOOKUP($C129, 'Visits Input'!$CB$23:$CR$46, MATCH('Visits Output'!G$124, 'Visits Input'!$CB$21:$CR$21, 0), FALSE))</f>
        <v/>
      </c>
      <c r="H129" s="92" t="str">
        <f>IF(H$124="", "", VLOOKUP($C129, 'Visits Input'!$CB$23:$CR$46, MATCH('Visits Output'!H$124, 'Visits Input'!$CB$21:$CR$21, 0), FALSE))</f>
        <v/>
      </c>
      <c r="I129" s="92" t="str">
        <f>IF(I$124="", "", VLOOKUP($C129, 'Visits Input'!$CB$23:$CR$46, MATCH('Visits Output'!I$124, 'Visits Input'!$CB$21:$CR$21, 0), FALSE))</f>
        <v/>
      </c>
      <c r="J129" s="92" t="str">
        <f>IF(J$124="", "", VLOOKUP($C129, 'Visits Input'!$CB$23:$CR$46, MATCH('Visits Output'!J$124, 'Visits Input'!$CB$21:$CR$21, 0), FALSE))</f>
        <v/>
      </c>
      <c r="K129" s="92" t="str">
        <f>IF(K$124="", "", VLOOKUP($C129, 'Visits Input'!$CB$23:$CR$46, MATCH('Visits Output'!K$124, 'Visits Input'!$CB$21:$CR$21, 0), FALSE))</f>
        <v/>
      </c>
      <c r="L129" s="92" t="str">
        <f>IF(L$124="", "", VLOOKUP($C129, 'Visits Input'!$CB$23:$CR$46, MATCH('Visits Output'!L$124, 'Visits Input'!$CB$21:$CR$21, 0), FALSE))</f>
        <v/>
      </c>
      <c r="M129" s="93" t="str">
        <f>IF(M$124="", "", VLOOKUP($C129, 'Visits Input'!$CB$23:$CR$46, MATCH('Visits Output'!M$124, 'Visits Input'!$CB$21:$CR$21, 0), FALSE))</f>
        <v/>
      </c>
      <c r="N129" s="93" t="str">
        <f>IF(N$124="", "", VLOOKUP($C129, 'Visits Input'!$CB$23:$CR$46, MATCH('Visits Output'!N$124, 'Visits Input'!$CB$21:$CR$21, 0), FALSE))</f>
        <v/>
      </c>
      <c r="O129" s="93" t="str">
        <f>IF(O$124="", "", VLOOKUP($C129, 'Visits Input'!$CB$23:$CR$46, MATCH('Visits Output'!O$124, 'Visits Input'!$CB$21:$CR$21, 0), FALSE))</f>
        <v/>
      </c>
      <c r="P129" s="93" t="str">
        <f>IF(P$124="", "", VLOOKUP($C129, 'Visits Input'!$CB$23:$CR$46, MATCH('Visits Output'!P$124, 'Visits Input'!$CB$21:$CR$21, 0), FALSE))</f>
        <v/>
      </c>
      <c r="Q129" s="93" t="str">
        <f>IF(Q$124="", "", VLOOKUP($C129, 'Visits Input'!$CB$23:$CR$46, MATCH('Visits Output'!Q$124, 'Visits Input'!$CB$21:$CR$21, 0), FALSE))</f>
        <v/>
      </c>
      <c r="R129" s="93" t="str">
        <f>IF(R$124="", "", VLOOKUP($C129, 'Visits Input'!$CB$23:$CR$46, MATCH('Visits Output'!R$124, 'Visits Input'!$CB$21:$CR$21, 0), FALSE))</f>
        <v/>
      </c>
      <c r="S129" s="94" t="str">
        <f>IF(S$124="", "", VLOOKUP($C129, 'Visits Input'!$CB$23:$CR$46, MATCH('Visits Output'!S$124, 'Visits Input'!$CB$21:$CR$21, 0), FALSE))</f>
        <v/>
      </c>
      <c r="U129" s="928" t="str">
        <f t="shared" si="42"/>
        <v/>
      </c>
      <c r="V129" s="877" t="str">
        <f t="shared" si="43"/>
        <v/>
      </c>
      <c r="X129" s="856" t="e">
        <f t="shared" si="44"/>
        <v>#DIV/0!</v>
      </c>
      <c r="Y129" s="857" t="e">
        <f t="shared" si="45"/>
        <v>#DIV/0!</v>
      </c>
      <c r="Z129" s="856" t="e">
        <f t="shared" si="46"/>
        <v>#DIV/0!</v>
      </c>
      <c r="AA129" s="856" t="e">
        <f t="shared" si="47"/>
        <v>#DIV/0!</v>
      </c>
      <c r="AD129" s="445"/>
      <c r="AE129" s="449"/>
      <c r="AF129" s="447"/>
    </row>
    <row r="130" spans="1:35" ht="15.75" thickBot="1" x14ac:dyDescent="0.3">
      <c r="B130" s="1579" t="str">
        <f>'Visits Input'!B27</f>
        <v>Implant</v>
      </c>
      <c r="C130" s="274" t="str">
        <f>'Visits Input'!C27</f>
        <v>Implant de 3 ans (Implanon, Levoplant)</v>
      </c>
      <c r="D130" s="87" t="str">
        <f>IF(D$124="", "", VLOOKUP($C130, 'Visits Input'!$CB$23:$CR$46, MATCH('Visits Output'!D$124, 'Visits Input'!$CB$21:$CR$21, 0), FALSE))</f>
        <v/>
      </c>
      <c r="E130" s="88" t="str">
        <f>IF(E$124="", "", VLOOKUP($C130, 'Visits Input'!$CB$23:$CR$46, MATCH('Visits Output'!E$124, 'Visits Input'!$CB$21:$CR$21, 0), FALSE))</f>
        <v/>
      </c>
      <c r="F130" s="88" t="str">
        <f>IF(F$124="", "", VLOOKUP($C130, 'Visits Input'!$CB$23:$CR$46, MATCH('Visits Output'!F$124, 'Visits Input'!$CB$21:$CR$21, 0), FALSE))</f>
        <v/>
      </c>
      <c r="G130" s="88" t="str">
        <f>IF(G$124="", "", VLOOKUP($C130, 'Visits Input'!$CB$23:$CR$46, MATCH('Visits Output'!G$124, 'Visits Input'!$CB$21:$CR$21, 0), FALSE))</f>
        <v/>
      </c>
      <c r="H130" s="88" t="str">
        <f>IF(H$124="", "", VLOOKUP($C130, 'Visits Input'!$CB$23:$CR$46, MATCH('Visits Output'!H$124, 'Visits Input'!$CB$21:$CR$21, 0), FALSE))</f>
        <v/>
      </c>
      <c r="I130" s="88" t="str">
        <f>IF(I$124="", "", VLOOKUP($C130, 'Visits Input'!$CB$23:$CR$46, MATCH('Visits Output'!I$124, 'Visits Input'!$CB$21:$CR$21, 0), FALSE))</f>
        <v/>
      </c>
      <c r="J130" s="88" t="str">
        <f>IF(J$124="", "", VLOOKUP($C130, 'Visits Input'!$CB$23:$CR$46, MATCH('Visits Output'!J$124, 'Visits Input'!$CB$21:$CR$21, 0), FALSE))</f>
        <v/>
      </c>
      <c r="K130" s="88" t="str">
        <f>IF(K$124="", "", VLOOKUP($C130, 'Visits Input'!$CB$23:$CR$46, MATCH('Visits Output'!K$124, 'Visits Input'!$CB$21:$CR$21, 0), FALSE))</f>
        <v/>
      </c>
      <c r="L130" s="88" t="str">
        <f>IF(L$124="", "", VLOOKUP($C130, 'Visits Input'!$CB$23:$CR$46, MATCH('Visits Output'!L$124, 'Visits Input'!$CB$21:$CR$21, 0), FALSE))</f>
        <v/>
      </c>
      <c r="M130" s="89" t="str">
        <f>IF(M$124="", "", VLOOKUP($C130, 'Visits Input'!$CB$23:$CR$46, MATCH('Visits Output'!M$124, 'Visits Input'!$CB$21:$CR$21, 0), FALSE))</f>
        <v/>
      </c>
      <c r="N130" s="89" t="str">
        <f>IF(N$124="", "", VLOOKUP($C130, 'Visits Input'!$CB$23:$CR$46, MATCH('Visits Output'!N$124, 'Visits Input'!$CB$21:$CR$21, 0), FALSE))</f>
        <v/>
      </c>
      <c r="O130" s="89" t="str">
        <f>IF(O$124="", "", VLOOKUP($C130, 'Visits Input'!$CB$23:$CR$46, MATCH('Visits Output'!O$124, 'Visits Input'!$CB$21:$CR$21, 0), FALSE))</f>
        <v/>
      </c>
      <c r="P130" s="89" t="str">
        <f>IF(P$124="", "", VLOOKUP($C130, 'Visits Input'!$CB$23:$CR$46, MATCH('Visits Output'!P$124, 'Visits Input'!$CB$21:$CR$21, 0), FALSE))</f>
        <v/>
      </c>
      <c r="Q130" s="89" t="str">
        <f>IF(Q$124="", "", VLOOKUP($C130, 'Visits Input'!$CB$23:$CR$46, MATCH('Visits Output'!Q$124, 'Visits Input'!$CB$21:$CR$21, 0), FALSE))</f>
        <v/>
      </c>
      <c r="R130" s="89" t="str">
        <f>IF(R$124="", "", VLOOKUP($C130, 'Visits Input'!$CB$23:$CR$46, MATCH('Visits Output'!R$124, 'Visits Input'!$CB$21:$CR$21, 0), FALSE))</f>
        <v/>
      </c>
      <c r="S130" s="90" t="str">
        <f>IF(S$124="", "", VLOOKUP($C130, 'Visits Input'!$CB$23:$CR$46, MATCH('Visits Output'!S$124, 'Visits Input'!$CB$21:$CR$21, 0), FALSE))</f>
        <v/>
      </c>
      <c r="U130" s="928" t="str">
        <f t="shared" si="42"/>
        <v/>
      </c>
      <c r="V130" s="877" t="str">
        <f t="shared" si="43"/>
        <v/>
      </c>
      <c r="X130" s="856" t="e">
        <f t="shared" si="44"/>
        <v>#DIV/0!</v>
      </c>
      <c r="Y130" s="857" t="e">
        <f t="shared" si="45"/>
        <v>#DIV/0!</v>
      </c>
      <c r="Z130" s="856" t="e">
        <f t="shared" si="46"/>
        <v>#DIV/0!</v>
      </c>
      <c r="AA130" s="856" t="e">
        <f t="shared" si="47"/>
        <v>#DIV/0!</v>
      </c>
      <c r="AD130" s="445"/>
      <c r="AE130" s="449"/>
      <c r="AF130" s="447"/>
    </row>
    <row r="131" spans="1:35" ht="15.75" thickBot="1" x14ac:dyDescent="0.3">
      <c r="B131" s="1515"/>
      <c r="C131" s="277" t="str">
        <f>'Visits Input'!C28</f>
        <v>Implant de 4 ans (Sino-Implant)</v>
      </c>
      <c r="D131" s="79" t="str">
        <f>IF(D$124="", "", VLOOKUP($C131, 'Visits Input'!$CB$23:$CR$46, MATCH('Visits Output'!D$124, 'Visits Input'!$CB$21:$CR$21, 0), FALSE))</f>
        <v/>
      </c>
      <c r="E131" s="80" t="str">
        <f>IF(E$124="", "", VLOOKUP($C131, 'Visits Input'!$CB$23:$CR$46, MATCH('Visits Output'!E$124, 'Visits Input'!$CB$21:$CR$21, 0), FALSE))</f>
        <v/>
      </c>
      <c r="F131" s="80" t="str">
        <f>IF(F$124="", "", VLOOKUP($C131, 'Visits Input'!$CB$23:$CR$46, MATCH('Visits Output'!F$124, 'Visits Input'!$CB$21:$CR$21, 0), FALSE))</f>
        <v/>
      </c>
      <c r="G131" s="80" t="str">
        <f>IF(G$124="", "", VLOOKUP($C131, 'Visits Input'!$CB$23:$CR$46, MATCH('Visits Output'!G$124, 'Visits Input'!$CB$21:$CR$21, 0), FALSE))</f>
        <v/>
      </c>
      <c r="H131" s="80" t="str">
        <f>IF(H$124="", "", VLOOKUP($C131, 'Visits Input'!$CB$23:$CR$46, MATCH('Visits Output'!H$124, 'Visits Input'!$CB$21:$CR$21, 0), FALSE))</f>
        <v/>
      </c>
      <c r="I131" s="80" t="str">
        <f>IF(I$124="", "", VLOOKUP($C131, 'Visits Input'!$CB$23:$CR$46, MATCH('Visits Output'!I$124, 'Visits Input'!$CB$21:$CR$21, 0), FALSE))</f>
        <v/>
      </c>
      <c r="J131" s="80" t="str">
        <f>IF(J$124="", "", VLOOKUP($C131, 'Visits Input'!$CB$23:$CR$46, MATCH('Visits Output'!J$124, 'Visits Input'!$CB$21:$CR$21, 0), FALSE))</f>
        <v/>
      </c>
      <c r="K131" s="80" t="str">
        <f>IF(K$124="", "", VLOOKUP($C131, 'Visits Input'!$CB$23:$CR$46, MATCH('Visits Output'!K$124, 'Visits Input'!$CB$21:$CR$21, 0), FALSE))</f>
        <v/>
      </c>
      <c r="L131" s="80" t="str">
        <f>IF(L$124="", "", VLOOKUP($C131, 'Visits Input'!$CB$23:$CR$46, MATCH('Visits Output'!L$124, 'Visits Input'!$CB$21:$CR$21, 0), FALSE))</f>
        <v/>
      </c>
      <c r="M131" s="81" t="str">
        <f>IF(M$124="", "", VLOOKUP($C131, 'Visits Input'!$CB$23:$CR$46, MATCH('Visits Output'!M$124, 'Visits Input'!$CB$21:$CR$21, 0), FALSE))</f>
        <v/>
      </c>
      <c r="N131" s="81" t="str">
        <f>IF(N$124="", "", VLOOKUP($C131, 'Visits Input'!$CB$23:$CR$46, MATCH('Visits Output'!N$124, 'Visits Input'!$CB$21:$CR$21, 0), FALSE))</f>
        <v/>
      </c>
      <c r="O131" s="81" t="str">
        <f>IF(O$124="", "", VLOOKUP($C131, 'Visits Input'!$CB$23:$CR$46, MATCH('Visits Output'!O$124, 'Visits Input'!$CB$21:$CR$21, 0), FALSE))</f>
        <v/>
      </c>
      <c r="P131" s="81" t="str">
        <f>IF(P$124="", "", VLOOKUP($C131, 'Visits Input'!$CB$23:$CR$46, MATCH('Visits Output'!P$124, 'Visits Input'!$CB$21:$CR$21, 0), FALSE))</f>
        <v/>
      </c>
      <c r="Q131" s="81" t="str">
        <f>IF(Q$124="", "", VLOOKUP($C131, 'Visits Input'!$CB$23:$CR$46, MATCH('Visits Output'!Q$124, 'Visits Input'!$CB$21:$CR$21, 0), FALSE))</f>
        <v/>
      </c>
      <c r="R131" s="81" t="str">
        <f>IF(R$124="", "", VLOOKUP($C131, 'Visits Input'!$CB$23:$CR$46, MATCH('Visits Output'!R$124, 'Visits Input'!$CB$21:$CR$21, 0), FALSE))</f>
        <v/>
      </c>
      <c r="S131" s="82" t="str">
        <f>IF(S$124="", "", VLOOKUP($C131, 'Visits Input'!$CB$23:$CR$46, MATCH('Visits Output'!S$124, 'Visits Input'!$CB$21:$CR$21, 0), FALSE))</f>
        <v/>
      </c>
      <c r="U131" s="928" t="str">
        <f t="shared" si="42"/>
        <v/>
      </c>
      <c r="V131" s="877" t="str">
        <f t="shared" si="43"/>
        <v/>
      </c>
      <c r="X131" s="856" t="e">
        <f t="shared" si="44"/>
        <v>#DIV/0!</v>
      </c>
      <c r="Y131" s="857" t="e">
        <f t="shared" si="45"/>
        <v>#DIV/0!</v>
      </c>
      <c r="Z131" s="856" t="e">
        <f t="shared" si="46"/>
        <v>#DIV/0!</v>
      </c>
      <c r="AA131" s="856" t="e">
        <f t="shared" si="47"/>
        <v>#DIV/0!</v>
      </c>
      <c r="AD131" s="445"/>
      <c r="AE131" s="449"/>
      <c r="AF131" s="447"/>
    </row>
    <row r="132" spans="1:35" ht="15.75" thickBot="1" x14ac:dyDescent="0.3">
      <c r="B132" s="1580"/>
      <c r="C132" s="275" t="str">
        <f>'Visits Input'!C29</f>
        <v>Implant de 5 ans (Jadelle)</v>
      </c>
      <c r="D132" s="83" t="str">
        <f>IF(D$124="", "", VLOOKUP($C132, 'Visits Input'!$CB$23:$CR$46, MATCH('Visits Output'!D$124, 'Visits Input'!$CB$21:$CR$21, 0), FALSE))</f>
        <v/>
      </c>
      <c r="E132" s="84" t="str">
        <f>IF(E$124="", "", VLOOKUP($C132, 'Visits Input'!$CB$23:$CR$46, MATCH('Visits Output'!E$124, 'Visits Input'!$CB$21:$CR$21, 0), FALSE))</f>
        <v/>
      </c>
      <c r="F132" s="84" t="str">
        <f>IF(F$124="", "", VLOOKUP($C132, 'Visits Input'!$CB$23:$CR$46, MATCH('Visits Output'!F$124, 'Visits Input'!$CB$21:$CR$21, 0), FALSE))</f>
        <v/>
      </c>
      <c r="G132" s="84" t="str">
        <f>IF(G$124="", "", VLOOKUP($C132, 'Visits Input'!$CB$23:$CR$46, MATCH('Visits Output'!G$124, 'Visits Input'!$CB$21:$CR$21, 0), FALSE))</f>
        <v/>
      </c>
      <c r="H132" s="84" t="str">
        <f>IF(H$124="", "", VLOOKUP($C132, 'Visits Input'!$CB$23:$CR$46, MATCH('Visits Output'!H$124, 'Visits Input'!$CB$21:$CR$21, 0), FALSE))</f>
        <v/>
      </c>
      <c r="I132" s="84" t="str">
        <f>IF(I$124="", "", VLOOKUP($C132, 'Visits Input'!$CB$23:$CR$46, MATCH('Visits Output'!I$124, 'Visits Input'!$CB$21:$CR$21, 0), FALSE))</f>
        <v/>
      </c>
      <c r="J132" s="84" t="str">
        <f>IF(J$124="", "", VLOOKUP($C132, 'Visits Input'!$CB$23:$CR$46, MATCH('Visits Output'!J$124, 'Visits Input'!$CB$21:$CR$21, 0), FALSE))</f>
        <v/>
      </c>
      <c r="K132" s="84" t="str">
        <f>IF(K$124="", "", VLOOKUP($C132, 'Visits Input'!$CB$23:$CR$46, MATCH('Visits Output'!K$124, 'Visits Input'!$CB$21:$CR$21, 0), FALSE))</f>
        <v/>
      </c>
      <c r="L132" s="84" t="str">
        <f>IF(L$124="", "", VLOOKUP($C132, 'Visits Input'!$CB$23:$CR$46, MATCH('Visits Output'!L$124, 'Visits Input'!$CB$21:$CR$21, 0), FALSE))</f>
        <v/>
      </c>
      <c r="M132" s="85" t="str">
        <f>IF(M$124="", "", VLOOKUP($C132, 'Visits Input'!$CB$23:$CR$46, MATCH('Visits Output'!M$124, 'Visits Input'!$CB$21:$CR$21, 0), FALSE))</f>
        <v/>
      </c>
      <c r="N132" s="85" t="str">
        <f>IF(N$124="", "", VLOOKUP($C132, 'Visits Input'!$CB$23:$CR$46, MATCH('Visits Output'!N$124, 'Visits Input'!$CB$21:$CR$21, 0), FALSE))</f>
        <v/>
      </c>
      <c r="O132" s="85" t="str">
        <f>IF(O$124="", "", VLOOKUP($C132, 'Visits Input'!$CB$23:$CR$46, MATCH('Visits Output'!O$124, 'Visits Input'!$CB$21:$CR$21, 0), FALSE))</f>
        <v/>
      </c>
      <c r="P132" s="85" t="str">
        <f>IF(P$124="", "", VLOOKUP($C132, 'Visits Input'!$CB$23:$CR$46, MATCH('Visits Output'!P$124, 'Visits Input'!$CB$21:$CR$21, 0), FALSE))</f>
        <v/>
      </c>
      <c r="Q132" s="85" t="str">
        <f>IF(Q$124="", "", VLOOKUP($C132, 'Visits Input'!$CB$23:$CR$46, MATCH('Visits Output'!Q$124, 'Visits Input'!$CB$21:$CR$21, 0), FALSE))</f>
        <v/>
      </c>
      <c r="R132" s="85" t="str">
        <f>IF(R$124="", "", VLOOKUP($C132, 'Visits Input'!$CB$23:$CR$46, MATCH('Visits Output'!R$124, 'Visits Input'!$CB$21:$CR$21, 0), FALSE))</f>
        <v/>
      </c>
      <c r="S132" s="86" t="str">
        <f>IF(S$124="", "", VLOOKUP($C132, 'Visits Input'!$CB$23:$CR$46, MATCH('Visits Output'!S$124, 'Visits Input'!$CB$21:$CR$21, 0), FALSE))</f>
        <v/>
      </c>
      <c r="U132" s="928" t="str">
        <f t="shared" si="42"/>
        <v/>
      </c>
      <c r="V132" s="877" t="str">
        <f t="shared" si="43"/>
        <v/>
      </c>
      <c r="X132" s="856" t="e">
        <f t="shared" si="44"/>
        <v>#DIV/0!</v>
      </c>
      <c r="Y132" s="857" t="e">
        <f t="shared" si="45"/>
        <v>#DIV/0!</v>
      </c>
      <c r="Z132" s="856" t="e">
        <f t="shared" si="46"/>
        <v>#DIV/0!</v>
      </c>
      <c r="AA132" s="856" t="e">
        <f t="shared" si="47"/>
        <v>#DIV/0!</v>
      </c>
      <c r="AD132" s="445"/>
      <c r="AE132" s="449"/>
      <c r="AF132" s="447"/>
    </row>
    <row r="133" spans="1:35" ht="11.25" customHeight="1" thickBot="1" x14ac:dyDescent="0.3">
      <c r="C133" s="279"/>
      <c r="U133" s="41"/>
      <c r="V133" s="41"/>
      <c r="AD133" s="445"/>
      <c r="AE133" s="449"/>
      <c r="AF133" s="447"/>
    </row>
    <row r="134" spans="1:35" ht="19.5" thickBot="1" x14ac:dyDescent="0.35">
      <c r="A134" s="188"/>
      <c r="B134" s="104" t="str">
        <f>'Visits Input'!B31</f>
        <v>Méthodes à Court Terme</v>
      </c>
      <c r="C134" s="280"/>
      <c r="D134" s="929" t="str">
        <f>IF(D124="", "", IF( SUM(D135:D149)=0, "",  SUM(D135:D149)))</f>
        <v/>
      </c>
      <c r="E134" s="929" t="str">
        <f t="shared" ref="E134:S134" si="48">IF(E124="", "", IF( SUM(E135:E149)=0, "",  SUM(E135:E149)))</f>
        <v/>
      </c>
      <c r="F134" s="929" t="str">
        <f t="shared" si="48"/>
        <v/>
      </c>
      <c r="G134" s="929" t="str">
        <f t="shared" si="48"/>
        <v/>
      </c>
      <c r="H134" s="929" t="str">
        <f t="shared" si="48"/>
        <v/>
      </c>
      <c r="I134" s="929" t="str">
        <f t="shared" si="48"/>
        <v/>
      </c>
      <c r="J134" s="929" t="str">
        <f t="shared" si="48"/>
        <v/>
      </c>
      <c r="K134" s="929" t="str">
        <f t="shared" si="48"/>
        <v/>
      </c>
      <c r="L134" s="929" t="str">
        <f t="shared" si="48"/>
        <v/>
      </c>
      <c r="M134" s="929" t="str">
        <f t="shared" si="48"/>
        <v/>
      </c>
      <c r="N134" s="929" t="str">
        <f t="shared" si="48"/>
        <v/>
      </c>
      <c r="O134" s="929" t="str">
        <f t="shared" si="48"/>
        <v/>
      </c>
      <c r="P134" s="929" t="str">
        <f t="shared" si="48"/>
        <v/>
      </c>
      <c r="Q134" s="929" t="str">
        <f t="shared" si="48"/>
        <v/>
      </c>
      <c r="R134" s="929" t="str">
        <f t="shared" si="48"/>
        <v/>
      </c>
      <c r="S134" s="929" t="str">
        <f t="shared" si="48"/>
        <v/>
      </c>
      <c r="T134" s="188"/>
      <c r="U134" s="927"/>
      <c r="V134" s="927"/>
      <c r="W134" s="809"/>
      <c r="X134" s="188"/>
      <c r="Y134" s="188"/>
      <c r="Z134" s="188"/>
      <c r="AA134" s="188"/>
      <c r="AB134" s="188"/>
      <c r="AC134" s="188"/>
      <c r="AD134" s="446"/>
      <c r="AE134" s="450"/>
      <c r="AF134" s="448"/>
      <c r="AG134" s="188"/>
      <c r="AH134" s="188"/>
      <c r="AI134" s="188"/>
    </row>
    <row r="135" spans="1:35" ht="15.75" thickBot="1" x14ac:dyDescent="0.3">
      <c r="B135" s="1579" t="str">
        <f>'Visits Input'!B32</f>
        <v>Produits injectables</v>
      </c>
      <c r="C135" s="274" t="str">
        <f>'Visits Input'!C32</f>
        <v>Depo Provera (DMPA)</v>
      </c>
      <c r="D135" s="197" t="str">
        <f>IF(D$124="", "", VLOOKUP($C135, 'Visits Input'!$CB$23:$CR$46, MATCH('Visits Output'!D$124, 'Visits Input'!$CB$21:$CR$21, 0), FALSE))</f>
        <v/>
      </c>
      <c r="E135" s="198" t="str">
        <f>IF(E$124="", "", VLOOKUP($C135, 'Visits Input'!$CB$23:$CR$46, MATCH('Visits Output'!E$124, 'Visits Input'!$CB$21:$CR$21, 0), FALSE))</f>
        <v/>
      </c>
      <c r="F135" s="198" t="str">
        <f>IF(F$124="", "", VLOOKUP($C135, 'Visits Input'!$CB$23:$CR$46, MATCH('Visits Output'!F$124, 'Visits Input'!$CB$21:$CR$21, 0), FALSE))</f>
        <v/>
      </c>
      <c r="G135" s="198" t="str">
        <f>IF(G$124="", "", VLOOKUP($C135, 'Visits Input'!$CB$23:$CR$46, MATCH('Visits Output'!G$124, 'Visits Input'!$CB$21:$CR$21, 0), FALSE))</f>
        <v/>
      </c>
      <c r="H135" s="198" t="str">
        <f>IF(H$124="", "", VLOOKUP($C135, 'Visits Input'!$CB$23:$CR$46, MATCH('Visits Output'!H$124, 'Visits Input'!$CB$21:$CR$21, 0), FALSE))</f>
        <v/>
      </c>
      <c r="I135" s="198" t="str">
        <f>IF(I$124="", "", VLOOKUP($C135, 'Visits Input'!$CB$23:$CR$46, MATCH('Visits Output'!I$124, 'Visits Input'!$CB$21:$CR$21, 0), FALSE))</f>
        <v/>
      </c>
      <c r="J135" s="198" t="str">
        <f>IF(J$124="", "", VLOOKUP($C135, 'Visits Input'!$CB$23:$CR$46, MATCH('Visits Output'!J$124, 'Visits Input'!$CB$21:$CR$21, 0), FALSE))</f>
        <v/>
      </c>
      <c r="K135" s="198" t="str">
        <f>IF(K$124="", "", VLOOKUP($C135, 'Visits Input'!$CB$23:$CR$46, MATCH('Visits Output'!K$124, 'Visits Input'!$CB$21:$CR$21, 0), FALSE))</f>
        <v/>
      </c>
      <c r="L135" s="198" t="str">
        <f>IF(L$124="", "", VLOOKUP($C135, 'Visits Input'!$CB$23:$CR$46, MATCH('Visits Output'!L$124, 'Visits Input'!$CB$21:$CR$21, 0), FALSE))</f>
        <v/>
      </c>
      <c r="M135" s="199" t="str">
        <f>IF(M$124="", "", VLOOKUP($C135, 'Visits Input'!$CB$23:$CR$46, MATCH('Visits Output'!M$124, 'Visits Input'!$CB$21:$CR$21, 0), FALSE))</f>
        <v/>
      </c>
      <c r="N135" s="199" t="str">
        <f>IF(N$124="", "", VLOOKUP($C135, 'Visits Input'!$CB$23:$CR$46, MATCH('Visits Output'!N$124, 'Visits Input'!$CB$21:$CR$21, 0), FALSE))</f>
        <v/>
      </c>
      <c r="O135" s="199" t="str">
        <f>IF(O$124="", "", VLOOKUP($C135, 'Visits Input'!$CB$23:$CR$46, MATCH('Visits Output'!O$124, 'Visits Input'!$CB$21:$CR$21, 0), FALSE))</f>
        <v/>
      </c>
      <c r="P135" s="199" t="str">
        <f>IF(P$124="", "", VLOOKUP($C135, 'Visits Input'!$CB$23:$CR$46, MATCH('Visits Output'!P$124, 'Visits Input'!$CB$21:$CR$21, 0), FALSE))</f>
        <v/>
      </c>
      <c r="Q135" s="199" t="str">
        <f>IF(Q$124="", "", VLOOKUP($C135, 'Visits Input'!$CB$23:$CR$46, MATCH('Visits Output'!Q$124, 'Visits Input'!$CB$21:$CR$21, 0), FALSE))</f>
        <v/>
      </c>
      <c r="R135" s="199" t="str">
        <f>IF(R$124="", "", VLOOKUP($C135, 'Visits Input'!$CB$23:$CR$46, MATCH('Visits Output'!R$124, 'Visits Input'!$CB$21:$CR$21, 0), FALSE))</f>
        <v/>
      </c>
      <c r="S135" s="200" t="str">
        <f>IF(S$124="", "", VLOOKUP($C135, 'Visits Input'!$CB$23:$CR$46, MATCH('Visits Output'!S$124, 'Visits Input'!$CB$21:$CR$21, 0), FALSE))</f>
        <v/>
      </c>
      <c r="U135" s="928" t="str">
        <f>IF(COUNTIF($D135:$S135, "&gt;"&amp;Z135)+COUNTIF($D135:$S135, "&lt;"&amp;AA135)&gt;0, $U$123, "")</f>
        <v/>
      </c>
      <c r="V135" s="877" t="str">
        <f t="shared" ref="V135:V149" si="49">IFERROR(IF(U135="", "", "("&amp;TEXT(AA135, "0,000")&amp;" - "&amp;TEXT(Z135, "0,000")&amp;")"), "")</f>
        <v/>
      </c>
      <c r="X135" s="856" t="e">
        <f t="shared" ref="X135:X152" si="50">AVERAGE($D135:$S135)</f>
        <v>#DIV/0!</v>
      </c>
      <c r="Y135" s="857" t="e">
        <f t="shared" ref="Y135:Y152" si="51">STDEV($D135:$S135)*2</f>
        <v>#DIV/0!</v>
      </c>
      <c r="Z135" s="856" t="e">
        <f t="shared" ref="Z135:Z149" si="52">X135+Y135</f>
        <v>#DIV/0!</v>
      </c>
      <c r="AA135" s="856" t="e">
        <f t="shared" ref="AA135:AA149" si="53">X135-Y135</f>
        <v>#DIV/0!</v>
      </c>
      <c r="AD135" s="445"/>
      <c r="AE135" s="449"/>
      <c r="AF135" s="447"/>
    </row>
    <row r="136" spans="1:35" ht="15.75" thickBot="1" x14ac:dyDescent="0.3">
      <c r="B136" s="1515"/>
      <c r="C136" s="277" t="str">
        <f>'Visits Input'!C33</f>
        <v>Noristerat (NET-En)</v>
      </c>
      <c r="D136" s="67" t="str">
        <f>IF(D$124="", "", VLOOKUP($C136, 'Visits Input'!$CB$23:$CR$46, MATCH('Visits Output'!D$124, 'Visits Input'!$CB$21:$CR$21, 0), FALSE))</f>
        <v/>
      </c>
      <c r="E136" s="68" t="str">
        <f>IF(E$124="", "", VLOOKUP($C136, 'Visits Input'!$CB$23:$CR$46, MATCH('Visits Output'!E$124, 'Visits Input'!$CB$21:$CR$21, 0), FALSE))</f>
        <v/>
      </c>
      <c r="F136" s="68" t="str">
        <f>IF(F$124="", "", VLOOKUP($C136, 'Visits Input'!$CB$23:$CR$46, MATCH('Visits Output'!F$124, 'Visits Input'!$CB$21:$CR$21, 0), FALSE))</f>
        <v/>
      </c>
      <c r="G136" s="68" t="str">
        <f>IF(G$124="", "", VLOOKUP($C136, 'Visits Input'!$CB$23:$CR$46, MATCH('Visits Output'!G$124, 'Visits Input'!$CB$21:$CR$21, 0), FALSE))</f>
        <v/>
      </c>
      <c r="H136" s="68" t="str">
        <f>IF(H$124="", "", VLOOKUP($C136, 'Visits Input'!$CB$23:$CR$46, MATCH('Visits Output'!H$124, 'Visits Input'!$CB$21:$CR$21, 0), FALSE))</f>
        <v/>
      </c>
      <c r="I136" s="68" t="str">
        <f>IF(I$124="", "", VLOOKUP($C136, 'Visits Input'!$CB$23:$CR$46, MATCH('Visits Output'!I$124, 'Visits Input'!$CB$21:$CR$21, 0), FALSE))</f>
        <v/>
      </c>
      <c r="J136" s="68" t="str">
        <f>IF(J$124="", "", VLOOKUP($C136, 'Visits Input'!$CB$23:$CR$46, MATCH('Visits Output'!J$124, 'Visits Input'!$CB$21:$CR$21, 0), FALSE))</f>
        <v/>
      </c>
      <c r="K136" s="68" t="str">
        <f>IF(K$124="", "", VLOOKUP($C136, 'Visits Input'!$CB$23:$CR$46, MATCH('Visits Output'!K$124, 'Visits Input'!$CB$21:$CR$21, 0), FALSE))</f>
        <v/>
      </c>
      <c r="L136" s="68" t="str">
        <f>IF(L$124="", "", VLOOKUP($C136, 'Visits Input'!$CB$23:$CR$46, MATCH('Visits Output'!L$124, 'Visits Input'!$CB$21:$CR$21, 0), FALSE))</f>
        <v/>
      </c>
      <c r="M136" s="69" t="str">
        <f>IF(M$124="", "", VLOOKUP($C136, 'Visits Input'!$CB$23:$CR$46, MATCH('Visits Output'!M$124, 'Visits Input'!$CB$21:$CR$21, 0), FALSE))</f>
        <v/>
      </c>
      <c r="N136" s="69" t="str">
        <f>IF(N$124="", "", VLOOKUP($C136, 'Visits Input'!$CB$23:$CR$46, MATCH('Visits Output'!N$124, 'Visits Input'!$CB$21:$CR$21, 0), FALSE))</f>
        <v/>
      </c>
      <c r="O136" s="69" t="str">
        <f>IF(O$124="", "", VLOOKUP($C136, 'Visits Input'!$CB$23:$CR$46, MATCH('Visits Output'!O$124, 'Visits Input'!$CB$21:$CR$21, 0), FALSE))</f>
        <v/>
      </c>
      <c r="P136" s="69" t="str">
        <f>IF(P$124="", "", VLOOKUP($C136, 'Visits Input'!$CB$23:$CR$46, MATCH('Visits Output'!P$124, 'Visits Input'!$CB$21:$CR$21, 0), FALSE))</f>
        <v/>
      </c>
      <c r="Q136" s="69" t="str">
        <f>IF(Q$124="", "", VLOOKUP($C136, 'Visits Input'!$CB$23:$CR$46, MATCH('Visits Output'!Q$124, 'Visits Input'!$CB$21:$CR$21, 0), FALSE))</f>
        <v/>
      </c>
      <c r="R136" s="69" t="str">
        <f>IF(R$124="", "", VLOOKUP($C136, 'Visits Input'!$CB$23:$CR$46, MATCH('Visits Output'!R$124, 'Visits Input'!$CB$21:$CR$21, 0), FALSE))</f>
        <v/>
      </c>
      <c r="S136" s="70" t="str">
        <f>IF(S$124="", "", VLOOKUP($C136, 'Visits Input'!$CB$23:$CR$46, MATCH('Visits Output'!S$124, 'Visits Input'!$CB$21:$CR$21, 0), FALSE))</f>
        <v/>
      </c>
      <c r="U136" s="928" t="str">
        <f t="shared" ref="U136:U152" si="54">IF(COUNTIF($D136:$S136, "&gt;"&amp;Z136)+COUNTIF($D136:$S136, "&lt;"&amp;AA136)&gt;0, $U$123, "")</f>
        <v/>
      </c>
      <c r="V136" s="877" t="str">
        <f t="shared" si="49"/>
        <v/>
      </c>
      <c r="X136" s="856" t="e">
        <f t="shared" si="50"/>
        <v>#DIV/0!</v>
      </c>
      <c r="Y136" s="857" t="e">
        <f t="shared" si="51"/>
        <v>#DIV/0!</v>
      </c>
      <c r="Z136" s="856" t="e">
        <f t="shared" si="52"/>
        <v>#DIV/0!</v>
      </c>
      <c r="AA136" s="856" t="e">
        <f t="shared" si="53"/>
        <v>#DIV/0!</v>
      </c>
      <c r="AD136" s="445"/>
      <c r="AE136" s="449"/>
      <c r="AF136" s="447"/>
    </row>
    <row r="137" spans="1:35" ht="15.75" thickBot="1" x14ac:dyDescent="0.3">
      <c r="B137" s="1515"/>
      <c r="C137" s="277" t="str">
        <f>'Visits Input'!C34</f>
        <v>Lunelle</v>
      </c>
      <c r="D137" s="67" t="str">
        <f>IF(D$124="", "", VLOOKUP($C137, 'Visits Input'!$CB$23:$CR$46, MATCH('Visits Output'!D$124, 'Visits Input'!$CB$21:$CR$21, 0), FALSE))</f>
        <v/>
      </c>
      <c r="E137" s="68" t="str">
        <f>IF(E$124="", "", VLOOKUP($C137, 'Visits Input'!$CB$23:$CR$46, MATCH('Visits Output'!E$124, 'Visits Input'!$CB$21:$CR$21, 0), FALSE))</f>
        <v/>
      </c>
      <c r="F137" s="68" t="str">
        <f>IF(F$124="", "", VLOOKUP($C137, 'Visits Input'!$CB$23:$CR$46, MATCH('Visits Output'!F$124, 'Visits Input'!$CB$21:$CR$21, 0), FALSE))</f>
        <v/>
      </c>
      <c r="G137" s="68" t="str">
        <f>IF(G$124="", "", VLOOKUP($C137, 'Visits Input'!$CB$23:$CR$46, MATCH('Visits Output'!G$124, 'Visits Input'!$CB$21:$CR$21, 0), FALSE))</f>
        <v/>
      </c>
      <c r="H137" s="68" t="str">
        <f>IF(H$124="", "", VLOOKUP($C137, 'Visits Input'!$CB$23:$CR$46, MATCH('Visits Output'!H$124, 'Visits Input'!$CB$21:$CR$21, 0), FALSE))</f>
        <v/>
      </c>
      <c r="I137" s="68" t="str">
        <f>IF(I$124="", "", VLOOKUP($C137, 'Visits Input'!$CB$23:$CR$46, MATCH('Visits Output'!I$124, 'Visits Input'!$CB$21:$CR$21, 0), FALSE))</f>
        <v/>
      </c>
      <c r="J137" s="68" t="str">
        <f>IF(J$124="", "", VLOOKUP($C137, 'Visits Input'!$CB$23:$CR$46, MATCH('Visits Output'!J$124, 'Visits Input'!$CB$21:$CR$21, 0), FALSE))</f>
        <v/>
      </c>
      <c r="K137" s="68" t="str">
        <f>IF(K$124="", "", VLOOKUP($C137, 'Visits Input'!$CB$23:$CR$46, MATCH('Visits Output'!K$124, 'Visits Input'!$CB$21:$CR$21, 0), FALSE))</f>
        <v/>
      </c>
      <c r="L137" s="68" t="str">
        <f>IF(L$124="", "", VLOOKUP($C137, 'Visits Input'!$CB$23:$CR$46, MATCH('Visits Output'!L$124, 'Visits Input'!$CB$21:$CR$21, 0), FALSE))</f>
        <v/>
      </c>
      <c r="M137" s="69" t="str">
        <f>IF(M$124="", "", VLOOKUP($C137, 'Visits Input'!$CB$23:$CR$46, MATCH('Visits Output'!M$124, 'Visits Input'!$CB$21:$CR$21, 0), FALSE))</f>
        <v/>
      </c>
      <c r="N137" s="69" t="str">
        <f>IF(N$124="", "", VLOOKUP($C137, 'Visits Input'!$CB$23:$CR$46, MATCH('Visits Output'!N$124, 'Visits Input'!$CB$21:$CR$21, 0), FALSE))</f>
        <v/>
      </c>
      <c r="O137" s="69" t="str">
        <f>IF(O$124="", "", VLOOKUP($C137, 'Visits Input'!$CB$23:$CR$46, MATCH('Visits Output'!O$124, 'Visits Input'!$CB$21:$CR$21, 0), FALSE))</f>
        <v/>
      </c>
      <c r="P137" s="69" t="str">
        <f>IF(P$124="", "", VLOOKUP($C137, 'Visits Input'!$CB$23:$CR$46, MATCH('Visits Output'!P$124, 'Visits Input'!$CB$21:$CR$21, 0), FALSE))</f>
        <v/>
      </c>
      <c r="Q137" s="69" t="str">
        <f>IF(Q$124="", "", VLOOKUP($C137, 'Visits Input'!$CB$23:$CR$46, MATCH('Visits Output'!Q$124, 'Visits Input'!$CB$21:$CR$21, 0), FALSE))</f>
        <v/>
      </c>
      <c r="R137" s="69" t="str">
        <f>IF(R$124="", "", VLOOKUP($C137, 'Visits Input'!$CB$23:$CR$46, MATCH('Visits Output'!R$124, 'Visits Input'!$CB$21:$CR$21, 0), FALSE))</f>
        <v/>
      </c>
      <c r="S137" s="70" t="str">
        <f>IF(S$124="", "", VLOOKUP($C137, 'Visits Input'!$CB$23:$CR$46, MATCH('Visits Output'!S$124, 'Visits Input'!$CB$21:$CR$21, 0), FALSE))</f>
        <v/>
      </c>
      <c r="U137" s="928" t="str">
        <f t="shared" si="54"/>
        <v/>
      </c>
      <c r="V137" s="877" t="str">
        <f t="shared" si="49"/>
        <v/>
      </c>
      <c r="X137" s="856" t="e">
        <f t="shared" si="50"/>
        <v>#DIV/0!</v>
      </c>
      <c r="Y137" s="857" t="e">
        <f t="shared" si="51"/>
        <v>#DIV/0!</v>
      </c>
      <c r="Z137" s="856" t="e">
        <f t="shared" si="52"/>
        <v>#DIV/0!</v>
      </c>
      <c r="AA137" s="856" t="e">
        <f t="shared" si="53"/>
        <v>#DIV/0!</v>
      </c>
      <c r="AD137" s="445"/>
      <c r="AE137" s="449"/>
      <c r="AF137" s="447"/>
    </row>
    <row r="138" spans="1:35" ht="15.75" thickBot="1" x14ac:dyDescent="0.3">
      <c r="B138" s="1515"/>
      <c r="C138" s="277" t="str">
        <f>'Visits Input'!C35</f>
        <v>Sayana Press</v>
      </c>
      <c r="D138" s="67" t="str">
        <f>IF(D$124="", "", VLOOKUP($C138, 'Visits Input'!$CB$23:$CR$46, MATCH('Visits Output'!D$124, 'Visits Input'!$CB$21:$CR$21, 0), FALSE))</f>
        <v/>
      </c>
      <c r="E138" s="68" t="str">
        <f>IF(E$124="", "", VLOOKUP($C138, 'Visits Input'!$CB$23:$CR$46, MATCH('Visits Output'!E$124, 'Visits Input'!$CB$21:$CR$21, 0), FALSE))</f>
        <v/>
      </c>
      <c r="F138" s="68" t="str">
        <f>IF(F$124="", "", VLOOKUP($C138, 'Visits Input'!$CB$23:$CR$46, MATCH('Visits Output'!F$124, 'Visits Input'!$CB$21:$CR$21, 0), FALSE))</f>
        <v/>
      </c>
      <c r="G138" s="68" t="str">
        <f>IF(G$124="", "", VLOOKUP($C138, 'Visits Input'!$CB$23:$CR$46, MATCH('Visits Output'!G$124, 'Visits Input'!$CB$21:$CR$21, 0), FALSE))</f>
        <v/>
      </c>
      <c r="H138" s="68" t="str">
        <f>IF(H$124="", "", VLOOKUP($C138, 'Visits Input'!$CB$23:$CR$46, MATCH('Visits Output'!H$124, 'Visits Input'!$CB$21:$CR$21, 0), FALSE))</f>
        <v/>
      </c>
      <c r="I138" s="68" t="str">
        <f>IF(I$124="", "", VLOOKUP($C138, 'Visits Input'!$CB$23:$CR$46, MATCH('Visits Output'!I$124, 'Visits Input'!$CB$21:$CR$21, 0), FALSE))</f>
        <v/>
      </c>
      <c r="J138" s="68" t="str">
        <f>IF(J$124="", "", VLOOKUP($C138, 'Visits Input'!$CB$23:$CR$46, MATCH('Visits Output'!J$124, 'Visits Input'!$CB$21:$CR$21, 0), FALSE))</f>
        <v/>
      </c>
      <c r="K138" s="68" t="str">
        <f>IF(K$124="", "", VLOOKUP($C138, 'Visits Input'!$CB$23:$CR$46, MATCH('Visits Output'!K$124, 'Visits Input'!$CB$21:$CR$21, 0), FALSE))</f>
        <v/>
      </c>
      <c r="L138" s="68" t="str">
        <f>IF(L$124="", "", VLOOKUP($C138, 'Visits Input'!$CB$23:$CR$46, MATCH('Visits Output'!L$124, 'Visits Input'!$CB$21:$CR$21, 0), FALSE))</f>
        <v/>
      </c>
      <c r="M138" s="69" t="str">
        <f>IF(M$124="", "", VLOOKUP($C138, 'Visits Input'!$CB$23:$CR$46, MATCH('Visits Output'!M$124, 'Visits Input'!$CB$21:$CR$21, 0), FALSE))</f>
        <v/>
      </c>
      <c r="N138" s="69" t="str">
        <f>IF(N$124="", "", VLOOKUP($C138, 'Visits Input'!$CB$23:$CR$46, MATCH('Visits Output'!N$124, 'Visits Input'!$CB$21:$CR$21, 0), FALSE))</f>
        <v/>
      </c>
      <c r="O138" s="69" t="str">
        <f>IF(O$124="", "", VLOOKUP($C138, 'Visits Input'!$CB$23:$CR$46, MATCH('Visits Output'!O$124, 'Visits Input'!$CB$21:$CR$21, 0), FALSE))</f>
        <v/>
      </c>
      <c r="P138" s="69" t="str">
        <f>IF(P$124="", "", VLOOKUP($C138, 'Visits Input'!$CB$23:$CR$46, MATCH('Visits Output'!P$124, 'Visits Input'!$CB$21:$CR$21, 0), FALSE))</f>
        <v/>
      </c>
      <c r="Q138" s="69" t="str">
        <f>IF(Q$124="", "", VLOOKUP($C138, 'Visits Input'!$CB$23:$CR$46, MATCH('Visits Output'!Q$124, 'Visits Input'!$CB$21:$CR$21, 0), FALSE))</f>
        <v/>
      </c>
      <c r="R138" s="69" t="str">
        <f>IF(R$124="", "", VLOOKUP($C138, 'Visits Input'!$CB$23:$CR$46, MATCH('Visits Output'!R$124, 'Visits Input'!$CB$21:$CR$21, 0), FALSE))</f>
        <v/>
      </c>
      <c r="S138" s="70" t="str">
        <f>IF(S$124="", "", VLOOKUP($C138, 'Visits Input'!$CB$23:$CR$46, MATCH('Visits Output'!S$124, 'Visits Input'!$CB$21:$CR$21, 0), FALSE))</f>
        <v/>
      </c>
      <c r="U138" s="928" t="str">
        <f t="shared" si="54"/>
        <v/>
      </c>
      <c r="V138" s="877" t="str">
        <f t="shared" si="49"/>
        <v/>
      </c>
      <c r="X138" s="856" t="e">
        <f t="shared" si="50"/>
        <v>#DIV/0!</v>
      </c>
      <c r="Y138" s="857" t="e">
        <f t="shared" si="51"/>
        <v>#DIV/0!</v>
      </c>
      <c r="Z138" s="856" t="e">
        <f t="shared" si="52"/>
        <v>#DIV/0!</v>
      </c>
      <c r="AA138" s="856" t="e">
        <f t="shared" si="53"/>
        <v>#DIV/0!</v>
      </c>
      <c r="AD138" s="445"/>
      <c r="AE138" s="449"/>
      <c r="AF138" s="447"/>
    </row>
    <row r="139" spans="1:35" ht="15.75" thickBot="1" x14ac:dyDescent="0.3">
      <c r="B139" s="1580"/>
      <c r="C139" s="275" t="str">
        <f>'Visits Input'!C36</f>
        <v>Autre Injectable</v>
      </c>
      <c r="D139" s="71" t="str">
        <f>IF(D$124="", "", VLOOKUP($C139, 'Visits Input'!$CB$23:$CR$46, MATCH('Visits Output'!D$124, 'Visits Input'!$CB$21:$CR$21, 0), FALSE))</f>
        <v/>
      </c>
      <c r="E139" s="72" t="str">
        <f>IF(E$124="", "", VLOOKUP($C139, 'Visits Input'!$CB$23:$CR$46, MATCH('Visits Output'!E$124, 'Visits Input'!$CB$21:$CR$21, 0), FALSE))</f>
        <v/>
      </c>
      <c r="F139" s="72" t="str">
        <f>IF(F$124="", "", VLOOKUP($C139, 'Visits Input'!$CB$23:$CR$46, MATCH('Visits Output'!F$124, 'Visits Input'!$CB$21:$CR$21, 0), FALSE))</f>
        <v/>
      </c>
      <c r="G139" s="72" t="str">
        <f>IF(G$124="", "", VLOOKUP($C139, 'Visits Input'!$CB$23:$CR$46, MATCH('Visits Output'!G$124, 'Visits Input'!$CB$21:$CR$21, 0), FALSE))</f>
        <v/>
      </c>
      <c r="H139" s="72" t="str">
        <f>IF(H$124="", "", VLOOKUP($C139, 'Visits Input'!$CB$23:$CR$46, MATCH('Visits Output'!H$124, 'Visits Input'!$CB$21:$CR$21, 0), FALSE))</f>
        <v/>
      </c>
      <c r="I139" s="72" t="str">
        <f>IF(I$124="", "", VLOOKUP($C139, 'Visits Input'!$CB$23:$CR$46, MATCH('Visits Output'!I$124, 'Visits Input'!$CB$21:$CR$21, 0), FALSE))</f>
        <v/>
      </c>
      <c r="J139" s="72" t="str">
        <f>IF(J$124="", "", VLOOKUP($C139, 'Visits Input'!$CB$23:$CR$46, MATCH('Visits Output'!J$124, 'Visits Input'!$CB$21:$CR$21, 0), FALSE))</f>
        <v/>
      </c>
      <c r="K139" s="72" t="str">
        <f>IF(K$124="", "", VLOOKUP($C139, 'Visits Input'!$CB$23:$CR$46, MATCH('Visits Output'!K$124, 'Visits Input'!$CB$21:$CR$21, 0), FALSE))</f>
        <v/>
      </c>
      <c r="L139" s="72" t="str">
        <f>IF(L$124="", "", VLOOKUP($C139, 'Visits Input'!$CB$23:$CR$46, MATCH('Visits Output'!L$124, 'Visits Input'!$CB$21:$CR$21, 0), FALSE))</f>
        <v/>
      </c>
      <c r="M139" s="73" t="str">
        <f>IF(M$124="", "", VLOOKUP($C139, 'Visits Input'!$CB$23:$CR$46, MATCH('Visits Output'!M$124, 'Visits Input'!$CB$21:$CR$21, 0), FALSE))</f>
        <v/>
      </c>
      <c r="N139" s="73" t="str">
        <f>IF(N$124="", "", VLOOKUP($C139, 'Visits Input'!$CB$23:$CR$46, MATCH('Visits Output'!N$124, 'Visits Input'!$CB$21:$CR$21, 0), FALSE))</f>
        <v/>
      </c>
      <c r="O139" s="73" t="str">
        <f>IF(O$124="", "", VLOOKUP($C139, 'Visits Input'!$CB$23:$CR$46, MATCH('Visits Output'!O$124, 'Visits Input'!$CB$21:$CR$21, 0), FALSE))</f>
        <v/>
      </c>
      <c r="P139" s="73" t="str">
        <f>IF(P$124="", "", VLOOKUP($C139, 'Visits Input'!$CB$23:$CR$46, MATCH('Visits Output'!P$124, 'Visits Input'!$CB$21:$CR$21, 0), FALSE))</f>
        <v/>
      </c>
      <c r="Q139" s="73" t="str">
        <f>IF(Q$124="", "", VLOOKUP($C139, 'Visits Input'!$CB$23:$CR$46, MATCH('Visits Output'!Q$124, 'Visits Input'!$CB$21:$CR$21, 0), FALSE))</f>
        <v/>
      </c>
      <c r="R139" s="73" t="str">
        <f>IF(R$124="", "", VLOOKUP($C139, 'Visits Input'!$CB$23:$CR$46, MATCH('Visits Output'!R$124, 'Visits Input'!$CB$21:$CR$21, 0), FALSE))</f>
        <v/>
      </c>
      <c r="S139" s="74" t="str">
        <f>IF(S$124="", "", VLOOKUP($C139, 'Visits Input'!$CB$23:$CR$46, MATCH('Visits Output'!S$124, 'Visits Input'!$CB$21:$CR$21, 0), FALSE))</f>
        <v/>
      </c>
      <c r="U139" s="928" t="str">
        <f t="shared" si="54"/>
        <v/>
      </c>
      <c r="V139" s="877" t="str">
        <f t="shared" si="49"/>
        <v/>
      </c>
      <c r="X139" s="856" t="e">
        <f t="shared" si="50"/>
        <v>#DIV/0!</v>
      </c>
      <c r="Y139" s="857" t="e">
        <f t="shared" si="51"/>
        <v>#DIV/0!</v>
      </c>
      <c r="Z139" s="856" t="e">
        <f t="shared" si="52"/>
        <v>#DIV/0!</v>
      </c>
      <c r="AA139" s="856" t="e">
        <f t="shared" si="53"/>
        <v>#DIV/0!</v>
      </c>
      <c r="AD139" s="445"/>
      <c r="AE139" s="449"/>
      <c r="AF139" s="447"/>
    </row>
    <row r="140" spans="1:35" ht="15.75" thickBot="1" x14ac:dyDescent="0.3">
      <c r="B140" s="1579" t="str">
        <f>'Visits Input'!B37</f>
        <v>Pilule</v>
      </c>
      <c r="C140" s="274" t="str">
        <f>'Visits Input'!C37</f>
        <v>Oraux combinés (COC)</v>
      </c>
      <c r="D140" s="64" t="str">
        <f>IF(D$124="", "", VLOOKUP($C140, 'Visits Input'!$CB$23:$CR$46, MATCH('Visits Output'!D$124, 'Visits Input'!$CB$21:$CR$21, 0), FALSE))</f>
        <v/>
      </c>
      <c r="E140" s="202" t="str">
        <f>IF(E$124="", "", VLOOKUP($C140, 'Visits Input'!$CB$23:$CR$46, MATCH('Visits Output'!E$124, 'Visits Input'!$CB$21:$CR$21, 0), FALSE))</f>
        <v/>
      </c>
      <c r="F140" s="202" t="str">
        <f>IF(F$124="", "", VLOOKUP($C140, 'Visits Input'!$CB$23:$CR$46, MATCH('Visits Output'!F$124, 'Visits Input'!$CB$21:$CR$21, 0), FALSE))</f>
        <v/>
      </c>
      <c r="G140" s="202" t="str">
        <f>IF(G$124="", "", VLOOKUP($C140, 'Visits Input'!$CB$23:$CR$46, MATCH('Visits Output'!G$124, 'Visits Input'!$CB$21:$CR$21, 0), FALSE))</f>
        <v/>
      </c>
      <c r="H140" s="202" t="str">
        <f>IF(H$124="", "", VLOOKUP($C140, 'Visits Input'!$CB$23:$CR$46, MATCH('Visits Output'!H$124, 'Visits Input'!$CB$21:$CR$21, 0), FALSE))</f>
        <v/>
      </c>
      <c r="I140" s="202" t="str">
        <f>IF(I$124="", "", VLOOKUP($C140, 'Visits Input'!$CB$23:$CR$46, MATCH('Visits Output'!I$124, 'Visits Input'!$CB$21:$CR$21, 0), FALSE))</f>
        <v/>
      </c>
      <c r="J140" s="202" t="str">
        <f>IF(J$124="", "", VLOOKUP($C140, 'Visits Input'!$CB$23:$CR$46, MATCH('Visits Output'!J$124, 'Visits Input'!$CB$21:$CR$21, 0), FALSE))</f>
        <v/>
      </c>
      <c r="K140" s="202" t="str">
        <f>IF(K$124="", "", VLOOKUP($C140, 'Visits Input'!$CB$23:$CR$46, MATCH('Visits Output'!K$124, 'Visits Input'!$CB$21:$CR$21, 0), FALSE))</f>
        <v/>
      </c>
      <c r="L140" s="202" t="str">
        <f>IF(L$124="", "", VLOOKUP($C140, 'Visits Input'!$CB$23:$CR$46, MATCH('Visits Output'!L$124, 'Visits Input'!$CB$21:$CR$21, 0), FALSE))</f>
        <v/>
      </c>
      <c r="M140" s="65" t="str">
        <f>IF(M$124="", "", VLOOKUP($C140, 'Visits Input'!$CB$23:$CR$46, MATCH('Visits Output'!M$124, 'Visits Input'!$CB$21:$CR$21, 0), FALSE))</f>
        <v/>
      </c>
      <c r="N140" s="65" t="str">
        <f>IF(N$124="", "", VLOOKUP($C140, 'Visits Input'!$CB$23:$CR$46, MATCH('Visits Output'!N$124, 'Visits Input'!$CB$21:$CR$21, 0), FALSE))</f>
        <v/>
      </c>
      <c r="O140" s="65" t="str">
        <f>IF(O$124="", "", VLOOKUP($C140, 'Visits Input'!$CB$23:$CR$46, MATCH('Visits Output'!O$124, 'Visits Input'!$CB$21:$CR$21, 0), FALSE))</f>
        <v/>
      </c>
      <c r="P140" s="65" t="str">
        <f>IF(P$124="", "", VLOOKUP($C140, 'Visits Input'!$CB$23:$CR$46, MATCH('Visits Output'!P$124, 'Visits Input'!$CB$21:$CR$21, 0), FALSE))</f>
        <v/>
      </c>
      <c r="Q140" s="65" t="str">
        <f>IF(Q$124="", "", VLOOKUP($C140, 'Visits Input'!$CB$23:$CR$46, MATCH('Visits Output'!Q$124, 'Visits Input'!$CB$21:$CR$21, 0), FALSE))</f>
        <v/>
      </c>
      <c r="R140" s="65" t="str">
        <f>IF(R$124="", "", VLOOKUP($C140, 'Visits Input'!$CB$23:$CR$46, MATCH('Visits Output'!R$124, 'Visits Input'!$CB$21:$CR$21, 0), FALSE))</f>
        <v/>
      </c>
      <c r="S140" s="66" t="str">
        <f>IF(S$124="", "", VLOOKUP($C140, 'Visits Input'!$CB$23:$CR$46, MATCH('Visits Output'!S$124, 'Visits Input'!$CB$21:$CR$21, 0), FALSE))</f>
        <v/>
      </c>
      <c r="U140" s="928" t="str">
        <f t="shared" si="54"/>
        <v/>
      </c>
      <c r="V140" s="877" t="str">
        <f t="shared" si="49"/>
        <v/>
      </c>
      <c r="X140" s="856" t="e">
        <f t="shared" si="50"/>
        <v>#DIV/0!</v>
      </c>
      <c r="Y140" s="857" t="e">
        <f t="shared" si="51"/>
        <v>#DIV/0!</v>
      </c>
      <c r="Z140" s="856" t="e">
        <f t="shared" si="52"/>
        <v>#DIV/0!</v>
      </c>
      <c r="AA140" s="856" t="e">
        <f t="shared" si="53"/>
        <v>#DIV/0!</v>
      </c>
      <c r="AD140" s="445"/>
      <c r="AE140" s="449"/>
      <c r="AF140" s="447"/>
    </row>
    <row r="141" spans="1:35" ht="15.75" thickBot="1" x14ac:dyDescent="0.3">
      <c r="B141" s="1515"/>
      <c r="C141" s="277" t="str">
        <f>'Visits Input'!C38</f>
        <v>Progestatifs seul (POP)</v>
      </c>
      <c r="D141" s="67" t="str">
        <f>IF(D$124="", "", VLOOKUP($C141, 'Visits Input'!$CB$23:$CR$46, MATCH('Visits Output'!D$124, 'Visits Input'!$CB$21:$CR$21, 0), FALSE))</f>
        <v/>
      </c>
      <c r="E141" s="68" t="str">
        <f>IF(E$124="", "", VLOOKUP($C141, 'Visits Input'!$CB$23:$CR$46, MATCH('Visits Output'!E$124, 'Visits Input'!$CB$21:$CR$21, 0), FALSE))</f>
        <v/>
      </c>
      <c r="F141" s="68" t="str">
        <f>IF(F$124="", "", VLOOKUP($C141, 'Visits Input'!$CB$23:$CR$46, MATCH('Visits Output'!F$124, 'Visits Input'!$CB$21:$CR$21, 0), FALSE))</f>
        <v/>
      </c>
      <c r="G141" s="68" t="str">
        <f>IF(G$124="", "", VLOOKUP($C141, 'Visits Input'!$CB$23:$CR$46, MATCH('Visits Output'!G$124, 'Visits Input'!$CB$21:$CR$21, 0), FALSE))</f>
        <v/>
      </c>
      <c r="H141" s="68" t="str">
        <f>IF(H$124="", "", VLOOKUP($C141, 'Visits Input'!$CB$23:$CR$46, MATCH('Visits Output'!H$124, 'Visits Input'!$CB$21:$CR$21, 0), FALSE))</f>
        <v/>
      </c>
      <c r="I141" s="68" t="str">
        <f>IF(I$124="", "", VLOOKUP($C141, 'Visits Input'!$CB$23:$CR$46, MATCH('Visits Output'!I$124, 'Visits Input'!$CB$21:$CR$21, 0), FALSE))</f>
        <v/>
      </c>
      <c r="J141" s="68" t="str">
        <f>IF(J$124="", "", VLOOKUP($C141, 'Visits Input'!$CB$23:$CR$46, MATCH('Visits Output'!J$124, 'Visits Input'!$CB$21:$CR$21, 0), FALSE))</f>
        <v/>
      </c>
      <c r="K141" s="68" t="str">
        <f>IF(K$124="", "", VLOOKUP($C141, 'Visits Input'!$CB$23:$CR$46, MATCH('Visits Output'!K$124, 'Visits Input'!$CB$21:$CR$21, 0), FALSE))</f>
        <v/>
      </c>
      <c r="L141" s="68" t="str">
        <f>IF(L$124="", "", VLOOKUP($C141, 'Visits Input'!$CB$23:$CR$46, MATCH('Visits Output'!L$124, 'Visits Input'!$CB$21:$CR$21, 0), FALSE))</f>
        <v/>
      </c>
      <c r="M141" s="69" t="str">
        <f>IF(M$124="", "", VLOOKUP($C141, 'Visits Input'!$CB$23:$CR$46, MATCH('Visits Output'!M$124, 'Visits Input'!$CB$21:$CR$21, 0), FALSE))</f>
        <v/>
      </c>
      <c r="N141" s="69" t="str">
        <f>IF(N$124="", "", VLOOKUP($C141, 'Visits Input'!$CB$23:$CR$46, MATCH('Visits Output'!N$124, 'Visits Input'!$CB$21:$CR$21, 0), FALSE))</f>
        <v/>
      </c>
      <c r="O141" s="69" t="str">
        <f>IF(O$124="", "", VLOOKUP($C141, 'Visits Input'!$CB$23:$CR$46, MATCH('Visits Output'!O$124, 'Visits Input'!$CB$21:$CR$21, 0), FALSE))</f>
        <v/>
      </c>
      <c r="P141" s="69" t="str">
        <f>IF(P$124="", "", VLOOKUP($C141, 'Visits Input'!$CB$23:$CR$46, MATCH('Visits Output'!P$124, 'Visits Input'!$CB$21:$CR$21, 0), FALSE))</f>
        <v/>
      </c>
      <c r="Q141" s="69" t="str">
        <f>IF(Q$124="", "", VLOOKUP($C141, 'Visits Input'!$CB$23:$CR$46, MATCH('Visits Output'!Q$124, 'Visits Input'!$CB$21:$CR$21, 0), FALSE))</f>
        <v/>
      </c>
      <c r="R141" s="69" t="str">
        <f>IF(R$124="", "", VLOOKUP($C141, 'Visits Input'!$CB$23:$CR$46, MATCH('Visits Output'!R$124, 'Visits Input'!$CB$21:$CR$21, 0), FALSE))</f>
        <v/>
      </c>
      <c r="S141" s="70" t="str">
        <f>IF(S$124="", "", VLOOKUP($C141, 'Visits Input'!$CB$23:$CR$46, MATCH('Visits Output'!S$124, 'Visits Input'!$CB$21:$CR$21, 0), FALSE))</f>
        <v/>
      </c>
      <c r="U141" s="928" t="str">
        <f t="shared" si="54"/>
        <v/>
      </c>
      <c r="V141" s="877" t="str">
        <f t="shared" si="49"/>
        <v/>
      </c>
      <c r="X141" s="856" t="e">
        <f t="shared" si="50"/>
        <v>#DIV/0!</v>
      </c>
      <c r="Y141" s="857" t="e">
        <f t="shared" si="51"/>
        <v>#DIV/0!</v>
      </c>
      <c r="Z141" s="856" t="e">
        <f t="shared" si="52"/>
        <v>#DIV/0!</v>
      </c>
      <c r="AA141" s="856" t="e">
        <f t="shared" si="53"/>
        <v>#DIV/0!</v>
      </c>
      <c r="AD141" s="445"/>
      <c r="AE141" s="449"/>
      <c r="AF141" s="447"/>
    </row>
    <row r="142" spans="1:35" ht="15.75" thickBot="1" x14ac:dyDescent="0.3">
      <c r="B142" s="1580"/>
      <c r="C142" s="275" t="str">
        <f>'Visits Input'!C39</f>
        <v>Autre pilule</v>
      </c>
      <c r="D142" s="71" t="str">
        <f>IF(D$124="", "", VLOOKUP($C142, 'Visits Input'!$CB$23:$CR$46, MATCH('Visits Output'!D$124, 'Visits Input'!$CB$21:$CR$21, 0), FALSE))</f>
        <v/>
      </c>
      <c r="E142" s="72" t="str">
        <f>IF(E$124="", "", VLOOKUP($C142, 'Visits Input'!$CB$23:$CR$46, MATCH('Visits Output'!E$124, 'Visits Input'!$CB$21:$CR$21, 0), FALSE))</f>
        <v/>
      </c>
      <c r="F142" s="72" t="str">
        <f>IF(F$124="", "", VLOOKUP($C142, 'Visits Input'!$CB$23:$CR$46, MATCH('Visits Output'!F$124, 'Visits Input'!$CB$21:$CR$21, 0), FALSE))</f>
        <v/>
      </c>
      <c r="G142" s="72" t="str">
        <f>IF(G$124="", "", VLOOKUP($C142, 'Visits Input'!$CB$23:$CR$46, MATCH('Visits Output'!G$124, 'Visits Input'!$CB$21:$CR$21, 0), FALSE))</f>
        <v/>
      </c>
      <c r="H142" s="72" t="str">
        <f>IF(H$124="", "", VLOOKUP($C142, 'Visits Input'!$CB$23:$CR$46, MATCH('Visits Output'!H$124, 'Visits Input'!$CB$21:$CR$21, 0), FALSE))</f>
        <v/>
      </c>
      <c r="I142" s="72" t="str">
        <f>IF(I$124="", "", VLOOKUP($C142, 'Visits Input'!$CB$23:$CR$46, MATCH('Visits Output'!I$124, 'Visits Input'!$CB$21:$CR$21, 0), FALSE))</f>
        <v/>
      </c>
      <c r="J142" s="72" t="str">
        <f>IF(J$124="", "", VLOOKUP($C142, 'Visits Input'!$CB$23:$CR$46, MATCH('Visits Output'!J$124, 'Visits Input'!$CB$21:$CR$21, 0), FALSE))</f>
        <v/>
      </c>
      <c r="K142" s="72" t="str">
        <f>IF(K$124="", "", VLOOKUP($C142, 'Visits Input'!$CB$23:$CR$46, MATCH('Visits Output'!K$124, 'Visits Input'!$CB$21:$CR$21, 0), FALSE))</f>
        <v/>
      </c>
      <c r="L142" s="72" t="str">
        <f>IF(L$124="", "", VLOOKUP($C142, 'Visits Input'!$CB$23:$CR$46, MATCH('Visits Output'!L$124, 'Visits Input'!$CB$21:$CR$21, 0), FALSE))</f>
        <v/>
      </c>
      <c r="M142" s="73" t="str">
        <f>IF(M$124="", "", VLOOKUP($C142, 'Visits Input'!$CB$23:$CR$46, MATCH('Visits Output'!M$124, 'Visits Input'!$CB$21:$CR$21, 0), FALSE))</f>
        <v/>
      </c>
      <c r="N142" s="73" t="str">
        <f>IF(N$124="", "", VLOOKUP($C142, 'Visits Input'!$CB$23:$CR$46, MATCH('Visits Output'!N$124, 'Visits Input'!$CB$21:$CR$21, 0), FALSE))</f>
        <v/>
      </c>
      <c r="O142" s="73" t="str">
        <f>IF(O$124="", "", VLOOKUP($C142, 'Visits Input'!$CB$23:$CR$46, MATCH('Visits Output'!O$124, 'Visits Input'!$CB$21:$CR$21, 0), FALSE))</f>
        <v/>
      </c>
      <c r="P142" s="73" t="str">
        <f>IF(P$124="", "", VLOOKUP($C142, 'Visits Input'!$CB$23:$CR$46, MATCH('Visits Output'!P$124, 'Visits Input'!$CB$21:$CR$21, 0), FALSE))</f>
        <v/>
      </c>
      <c r="Q142" s="73" t="str">
        <f>IF(Q$124="", "", VLOOKUP($C142, 'Visits Input'!$CB$23:$CR$46, MATCH('Visits Output'!Q$124, 'Visits Input'!$CB$21:$CR$21, 0), FALSE))</f>
        <v/>
      </c>
      <c r="R142" s="73" t="str">
        <f>IF(R$124="", "", VLOOKUP($C142, 'Visits Input'!$CB$23:$CR$46, MATCH('Visits Output'!R$124, 'Visits Input'!$CB$21:$CR$21, 0), FALSE))</f>
        <v/>
      </c>
      <c r="S142" s="74" t="str">
        <f>IF(S$124="", "", VLOOKUP($C142, 'Visits Input'!$CB$23:$CR$46, MATCH('Visits Output'!S$124, 'Visits Input'!$CB$21:$CR$21, 0), FALSE))</f>
        <v/>
      </c>
      <c r="U142" s="928" t="str">
        <f t="shared" si="54"/>
        <v/>
      </c>
      <c r="V142" s="877" t="str">
        <f t="shared" si="49"/>
        <v/>
      </c>
      <c r="X142" s="856" t="e">
        <f t="shared" si="50"/>
        <v>#DIV/0!</v>
      </c>
      <c r="Y142" s="857" t="e">
        <f t="shared" si="51"/>
        <v>#DIV/0!</v>
      </c>
      <c r="Z142" s="856" t="e">
        <f t="shared" si="52"/>
        <v>#DIV/0!</v>
      </c>
      <c r="AA142" s="856" t="e">
        <f t="shared" si="53"/>
        <v>#DIV/0!</v>
      </c>
      <c r="AD142" s="445"/>
      <c r="AE142" s="449"/>
      <c r="AF142" s="447"/>
    </row>
    <row r="143" spans="1:35" ht="15.75" thickBot="1" x14ac:dyDescent="0.3">
      <c r="B143" s="1579" t="str">
        <f>'Visits Input'!B40</f>
        <v>Préservatifs</v>
      </c>
      <c r="C143" s="274" t="str">
        <f>'Visits Input'!C40</f>
        <v>Préservatifs masculin</v>
      </c>
      <c r="D143" s="75" t="str">
        <f>IF(D$124="", "", VLOOKUP($C143, 'Visits Input'!$CB$23:$CR$46, MATCH('Visits Output'!D$124, 'Visits Input'!$CB$21:$CR$21, 0), FALSE))</f>
        <v/>
      </c>
      <c r="E143" s="76" t="str">
        <f>IF(E$124="", "", VLOOKUP($C143, 'Visits Input'!$CB$23:$CR$46, MATCH('Visits Output'!E$124, 'Visits Input'!$CB$21:$CR$21, 0), FALSE))</f>
        <v/>
      </c>
      <c r="F143" s="76" t="str">
        <f>IF(F$124="", "", VLOOKUP($C143, 'Visits Input'!$CB$23:$CR$46, MATCH('Visits Output'!F$124, 'Visits Input'!$CB$21:$CR$21, 0), FALSE))</f>
        <v/>
      </c>
      <c r="G143" s="76" t="str">
        <f>IF(G$124="", "", VLOOKUP($C143, 'Visits Input'!$CB$23:$CR$46, MATCH('Visits Output'!G$124, 'Visits Input'!$CB$21:$CR$21, 0), FALSE))</f>
        <v/>
      </c>
      <c r="H143" s="76" t="str">
        <f>IF(H$124="", "", VLOOKUP($C143, 'Visits Input'!$CB$23:$CR$46, MATCH('Visits Output'!H$124, 'Visits Input'!$CB$21:$CR$21, 0), FALSE))</f>
        <v/>
      </c>
      <c r="I143" s="76" t="str">
        <f>IF(I$124="", "", VLOOKUP($C143, 'Visits Input'!$CB$23:$CR$46, MATCH('Visits Output'!I$124, 'Visits Input'!$CB$21:$CR$21, 0), FALSE))</f>
        <v/>
      </c>
      <c r="J143" s="76" t="str">
        <f>IF(J$124="", "", VLOOKUP($C143, 'Visits Input'!$CB$23:$CR$46, MATCH('Visits Output'!J$124, 'Visits Input'!$CB$21:$CR$21, 0), FALSE))</f>
        <v/>
      </c>
      <c r="K143" s="76" t="str">
        <f>IF(K$124="", "", VLOOKUP($C143, 'Visits Input'!$CB$23:$CR$46, MATCH('Visits Output'!K$124, 'Visits Input'!$CB$21:$CR$21, 0), FALSE))</f>
        <v/>
      </c>
      <c r="L143" s="76" t="str">
        <f>IF(L$124="", "", VLOOKUP($C143, 'Visits Input'!$CB$23:$CR$46, MATCH('Visits Output'!L$124, 'Visits Input'!$CB$21:$CR$21, 0), FALSE))</f>
        <v/>
      </c>
      <c r="M143" s="77" t="str">
        <f>IF(M$124="", "", VLOOKUP($C143, 'Visits Input'!$CB$23:$CR$46, MATCH('Visits Output'!M$124, 'Visits Input'!$CB$21:$CR$21, 0), FALSE))</f>
        <v/>
      </c>
      <c r="N143" s="77" t="str">
        <f>IF(N$124="", "", VLOOKUP($C143, 'Visits Input'!$CB$23:$CR$46, MATCH('Visits Output'!N$124, 'Visits Input'!$CB$21:$CR$21, 0), FALSE))</f>
        <v/>
      </c>
      <c r="O143" s="77" t="str">
        <f>IF(O$124="", "", VLOOKUP($C143, 'Visits Input'!$CB$23:$CR$46, MATCH('Visits Output'!O$124, 'Visits Input'!$CB$21:$CR$21, 0), FALSE))</f>
        <v/>
      </c>
      <c r="P143" s="77" t="str">
        <f>IF(P$124="", "", VLOOKUP($C143, 'Visits Input'!$CB$23:$CR$46, MATCH('Visits Output'!P$124, 'Visits Input'!$CB$21:$CR$21, 0), FALSE))</f>
        <v/>
      </c>
      <c r="Q143" s="77" t="str">
        <f>IF(Q$124="", "", VLOOKUP($C143, 'Visits Input'!$CB$23:$CR$46, MATCH('Visits Output'!Q$124, 'Visits Input'!$CB$21:$CR$21, 0), FALSE))</f>
        <v/>
      </c>
      <c r="R143" s="77" t="str">
        <f>IF(R$124="", "", VLOOKUP($C143, 'Visits Input'!$CB$23:$CR$46, MATCH('Visits Output'!R$124, 'Visits Input'!$CB$21:$CR$21, 0), FALSE))</f>
        <v/>
      </c>
      <c r="S143" s="78" t="str">
        <f>IF(S$124="", "", VLOOKUP($C143, 'Visits Input'!$CB$23:$CR$46, MATCH('Visits Output'!S$124, 'Visits Input'!$CB$21:$CR$21, 0), FALSE))</f>
        <v/>
      </c>
      <c r="U143" s="928" t="str">
        <f t="shared" si="54"/>
        <v/>
      </c>
      <c r="V143" s="877" t="str">
        <f t="shared" si="49"/>
        <v/>
      </c>
      <c r="X143" s="856" t="e">
        <f t="shared" si="50"/>
        <v>#DIV/0!</v>
      </c>
      <c r="Y143" s="857" t="e">
        <f t="shared" si="51"/>
        <v>#DIV/0!</v>
      </c>
      <c r="Z143" s="856" t="e">
        <f t="shared" si="52"/>
        <v>#DIV/0!</v>
      </c>
      <c r="AA143" s="856" t="e">
        <f t="shared" si="53"/>
        <v>#DIV/0!</v>
      </c>
      <c r="AD143" s="445"/>
      <c r="AE143" s="449"/>
      <c r="AF143" s="447"/>
    </row>
    <row r="144" spans="1:35" ht="15.75" thickBot="1" x14ac:dyDescent="0.3">
      <c r="B144" s="1580"/>
      <c r="C144" s="275" t="str">
        <f>'Visits Input'!C41</f>
        <v>Préservatifs feminin</v>
      </c>
      <c r="D144" s="60" t="str">
        <f>IF(D$124="", "", VLOOKUP($C144, 'Visits Input'!$CB$23:$CR$46, MATCH('Visits Output'!D$124, 'Visits Input'!$CB$21:$CR$21, 0), FALSE))</f>
        <v/>
      </c>
      <c r="E144" s="61" t="str">
        <f>IF(E$124="", "", VLOOKUP($C144, 'Visits Input'!$CB$23:$CR$46, MATCH('Visits Output'!E$124, 'Visits Input'!$CB$21:$CR$21, 0), FALSE))</f>
        <v/>
      </c>
      <c r="F144" s="61" t="str">
        <f>IF(F$124="", "", VLOOKUP($C144, 'Visits Input'!$CB$23:$CR$46, MATCH('Visits Output'!F$124, 'Visits Input'!$CB$21:$CR$21, 0), FALSE))</f>
        <v/>
      </c>
      <c r="G144" s="61" t="str">
        <f>IF(G$124="", "", VLOOKUP($C144, 'Visits Input'!$CB$23:$CR$46, MATCH('Visits Output'!G$124, 'Visits Input'!$CB$21:$CR$21, 0), FALSE))</f>
        <v/>
      </c>
      <c r="H144" s="61" t="str">
        <f>IF(H$124="", "", VLOOKUP($C144, 'Visits Input'!$CB$23:$CR$46, MATCH('Visits Output'!H$124, 'Visits Input'!$CB$21:$CR$21, 0), FALSE))</f>
        <v/>
      </c>
      <c r="I144" s="61" t="str">
        <f>IF(I$124="", "", VLOOKUP($C144, 'Visits Input'!$CB$23:$CR$46, MATCH('Visits Output'!I$124, 'Visits Input'!$CB$21:$CR$21, 0), FALSE))</f>
        <v/>
      </c>
      <c r="J144" s="61" t="str">
        <f>IF(J$124="", "", VLOOKUP($C144, 'Visits Input'!$CB$23:$CR$46, MATCH('Visits Output'!J$124, 'Visits Input'!$CB$21:$CR$21, 0), FALSE))</f>
        <v/>
      </c>
      <c r="K144" s="61" t="str">
        <f>IF(K$124="", "", VLOOKUP($C144, 'Visits Input'!$CB$23:$CR$46, MATCH('Visits Output'!K$124, 'Visits Input'!$CB$21:$CR$21, 0), FALSE))</f>
        <v/>
      </c>
      <c r="L144" s="61" t="str">
        <f>IF(L$124="", "", VLOOKUP($C144, 'Visits Input'!$CB$23:$CR$46, MATCH('Visits Output'!L$124, 'Visits Input'!$CB$21:$CR$21, 0), FALSE))</f>
        <v/>
      </c>
      <c r="M144" s="62" t="str">
        <f>IF(M$124="", "", VLOOKUP($C144, 'Visits Input'!$CB$23:$CR$46, MATCH('Visits Output'!M$124, 'Visits Input'!$CB$21:$CR$21, 0), FALSE))</f>
        <v/>
      </c>
      <c r="N144" s="62" t="str">
        <f>IF(N$124="", "", VLOOKUP($C144, 'Visits Input'!$CB$23:$CR$46, MATCH('Visits Output'!N$124, 'Visits Input'!$CB$21:$CR$21, 0), FALSE))</f>
        <v/>
      </c>
      <c r="O144" s="62" t="str">
        <f>IF(O$124="", "", VLOOKUP($C144, 'Visits Input'!$CB$23:$CR$46, MATCH('Visits Output'!O$124, 'Visits Input'!$CB$21:$CR$21, 0), FALSE))</f>
        <v/>
      </c>
      <c r="P144" s="62" t="str">
        <f>IF(P$124="", "", VLOOKUP($C144, 'Visits Input'!$CB$23:$CR$46, MATCH('Visits Output'!P$124, 'Visits Input'!$CB$21:$CR$21, 0), FALSE))</f>
        <v/>
      </c>
      <c r="Q144" s="62" t="str">
        <f>IF(Q$124="", "", VLOOKUP($C144, 'Visits Input'!$CB$23:$CR$46, MATCH('Visits Output'!Q$124, 'Visits Input'!$CB$21:$CR$21, 0), FALSE))</f>
        <v/>
      </c>
      <c r="R144" s="62" t="str">
        <f>IF(R$124="", "", VLOOKUP($C144, 'Visits Input'!$CB$23:$CR$46, MATCH('Visits Output'!R$124, 'Visits Input'!$CB$21:$CR$21, 0), FALSE))</f>
        <v/>
      </c>
      <c r="S144" s="63" t="str">
        <f>IF(S$124="", "", VLOOKUP($C144, 'Visits Input'!$CB$23:$CR$46, MATCH('Visits Output'!S$124, 'Visits Input'!$CB$21:$CR$21, 0), FALSE))</f>
        <v/>
      </c>
      <c r="U144" s="928" t="str">
        <f t="shared" si="54"/>
        <v/>
      </c>
      <c r="V144" s="877" t="str">
        <f t="shared" si="49"/>
        <v/>
      </c>
      <c r="X144" s="856" t="e">
        <f t="shared" si="50"/>
        <v>#DIV/0!</v>
      </c>
      <c r="Y144" s="857" t="e">
        <f t="shared" si="51"/>
        <v>#DIV/0!</v>
      </c>
      <c r="Z144" s="856" t="e">
        <f t="shared" si="52"/>
        <v>#DIV/0!</v>
      </c>
      <c r="AA144" s="856" t="e">
        <f t="shared" si="53"/>
        <v>#DIV/0!</v>
      </c>
      <c r="AD144" s="445"/>
      <c r="AE144" s="449"/>
      <c r="AF144" s="447"/>
    </row>
    <row r="145" spans="1:35" ht="15.75" thickBot="1" x14ac:dyDescent="0.3">
      <c r="B145" s="1587" t="str">
        <f>'Visits Input'!B42</f>
        <v>Autres Méthodes Modernes</v>
      </c>
      <c r="C145" s="274" t="str">
        <f>'Visits Input'!C42</f>
        <v>MAMA</v>
      </c>
      <c r="D145" s="75" t="str">
        <f>IF(D$124="", "", VLOOKUP($C145, 'Visits Input'!$CB$23:$CR$46, MATCH('Visits Output'!D$124, 'Visits Input'!$CB$21:$CR$21, 0), FALSE))</f>
        <v/>
      </c>
      <c r="E145" s="76" t="str">
        <f>IF(E$124="", "", VLOOKUP($C145, 'Visits Input'!$CB$23:$CR$46, MATCH('Visits Output'!E$124, 'Visits Input'!$CB$21:$CR$21, 0), FALSE))</f>
        <v/>
      </c>
      <c r="F145" s="76" t="str">
        <f>IF(F$124="", "", VLOOKUP($C145, 'Visits Input'!$CB$23:$CR$46, MATCH('Visits Output'!F$124, 'Visits Input'!$CB$21:$CR$21, 0), FALSE))</f>
        <v/>
      </c>
      <c r="G145" s="76" t="str">
        <f>IF(G$124="", "", VLOOKUP($C145, 'Visits Input'!$CB$23:$CR$46, MATCH('Visits Output'!G$124, 'Visits Input'!$CB$21:$CR$21, 0), FALSE))</f>
        <v/>
      </c>
      <c r="H145" s="76" t="str">
        <f>IF(H$124="", "", VLOOKUP($C145, 'Visits Input'!$CB$23:$CR$46, MATCH('Visits Output'!H$124, 'Visits Input'!$CB$21:$CR$21, 0), FALSE))</f>
        <v/>
      </c>
      <c r="I145" s="76" t="str">
        <f>IF(I$124="", "", VLOOKUP($C145, 'Visits Input'!$CB$23:$CR$46, MATCH('Visits Output'!I$124, 'Visits Input'!$CB$21:$CR$21, 0), FALSE))</f>
        <v/>
      </c>
      <c r="J145" s="76" t="str">
        <f>IF(J$124="", "", VLOOKUP($C145, 'Visits Input'!$CB$23:$CR$46, MATCH('Visits Output'!J$124, 'Visits Input'!$CB$21:$CR$21, 0), FALSE))</f>
        <v/>
      </c>
      <c r="K145" s="76" t="str">
        <f>IF(K$124="", "", VLOOKUP($C145, 'Visits Input'!$CB$23:$CR$46, MATCH('Visits Output'!K$124, 'Visits Input'!$CB$21:$CR$21, 0), FALSE))</f>
        <v/>
      </c>
      <c r="L145" s="76" t="str">
        <f>IF(L$124="", "", VLOOKUP($C145, 'Visits Input'!$CB$23:$CR$46, MATCH('Visits Output'!L$124, 'Visits Input'!$CB$21:$CR$21, 0), FALSE))</f>
        <v/>
      </c>
      <c r="M145" s="77" t="str">
        <f>IF(M$124="", "", VLOOKUP($C145, 'Visits Input'!$CB$23:$CR$46, MATCH('Visits Output'!M$124, 'Visits Input'!$CB$21:$CR$21, 0), FALSE))</f>
        <v/>
      </c>
      <c r="N145" s="77" t="str">
        <f>IF(N$124="", "", VLOOKUP($C145, 'Visits Input'!$CB$23:$CR$46, MATCH('Visits Output'!N$124, 'Visits Input'!$CB$21:$CR$21, 0), FALSE))</f>
        <v/>
      </c>
      <c r="O145" s="77" t="str">
        <f>IF(O$124="", "", VLOOKUP($C145, 'Visits Input'!$CB$23:$CR$46, MATCH('Visits Output'!O$124, 'Visits Input'!$CB$21:$CR$21, 0), FALSE))</f>
        <v/>
      </c>
      <c r="P145" s="77" t="str">
        <f>IF(P$124="", "", VLOOKUP($C145, 'Visits Input'!$CB$23:$CR$46, MATCH('Visits Output'!P$124, 'Visits Input'!$CB$21:$CR$21, 0), FALSE))</f>
        <v/>
      </c>
      <c r="Q145" s="77" t="str">
        <f>IF(Q$124="", "", VLOOKUP($C145, 'Visits Input'!$CB$23:$CR$46, MATCH('Visits Output'!Q$124, 'Visits Input'!$CB$21:$CR$21, 0), FALSE))</f>
        <v/>
      </c>
      <c r="R145" s="77" t="str">
        <f>IF(R$124="", "", VLOOKUP($C145, 'Visits Input'!$CB$23:$CR$46, MATCH('Visits Output'!R$124, 'Visits Input'!$CB$21:$CR$21, 0), FALSE))</f>
        <v/>
      </c>
      <c r="S145" s="78" t="str">
        <f>IF(S$124="", "", VLOOKUP($C145, 'Visits Input'!$CB$23:$CR$46, MATCH('Visits Output'!S$124, 'Visits Input'!$CB$21:$CR$21, 0), FALSE))</f>
        <v/>
      </c>
      <c r="U145" s="928" t="str">
        <f t="shared" si="54"/>
        <v/>
      </c>
      <c r="V145" s="877" t="str">
        <f t="shared" si="49"/>
        <v/>
      </c>
      <c r="X145" s="856" t="e">
        <f t="shared" si="50"/>
        <v>#DIV/0!</v>
      </c>
      <c r="Y145" s="857" t="e">
        <f t="shared" si="51"/>
        <v>#DIV/0!</v>
      </c>
      <c r="Z145" s="856" t="e">
        <f t="shared" si="52"/>
        <v>#DIV/0!</v>
      </c>
      <c r="AA145" s="856" t="e">
        <f t="shared" si="53"/>
        <v>#DIV/0!</v>
      </c>
      <c r="AD145" s="445"/>
      <c r="AE145" s="449"/>
      <c r="AF145" s="447"/>
    </row>
    <row r="146" spans="1:35" ht="15.75" thickBot="1" x14ac:dyDescent="0.3">
      <c r="B146" s="1588"/>
      <c r="C146" s="277" t="str">
        <f>'Visits Input'!C43</f>
        <v>MJF (Jours fixes)</v>
      </c>
      <c r="D146" s="56" t="str">
        <f>IF(D$124="", "", VLOOKUP($C146, 'Visits Input'!$CB$23:$CR$46, MATCH('Visits Output'!D$124, 'Visits Input'!$CB$21:$CR$21, 0), FALSE))</f>
        <v/>
      </c>
      <c r="E146" s="57" t="str">
        <f>IF(E$124="", "", VLOOKUP($C146, 'Visits Input'!$CB$23:$CR$46, MATCH('Visits Output'!E$124, 'Visits Input'!$CB$21:$CR$21, 0), FALSE))</f>
        <v/>
      </c>
      <c r="F146" s="57" t="str">
        <f>IF(F$124="", "", VLOOKUP($C146, 'Visits Input'!$CB$23:$CR$46, MATCH('Visits Output'!F$124, 'Visits Input'!$CB$21:$CR$21, 0), FALSE))</f>
        <v/>
      </c>
      <c r="G146" s="57" t="str">
        <f>IF(G$124="", "", VLOOKUP($C146, 'Visits Input'!$CB$23:$CR$46, MATCH('Visits Output'!G$124, 'Visits Input'!$CB$21:$CR$21, 0), FALSE))</f>
        <v/>
      </c>
      <c r="H146" s="57" t="str">
        <f>IF(H$124="", "", VLOOKUP($C146, 'Visits Input'!$CB$23:$CR$46, MATCH('Visits Output'!H$124, 'Visits Input'!$CB$21:$CR$21, 0), FALSE))</f>
        <v/>
      </c>
      <c r="I146" s="57" t="str">
        <f>IF(I$124="", "", VLOOKUP($C146, 'Visits Input'!$CB$23:$CR$46, MATCH('Visits Output'!I$124, 'Visits Input'!$CB$21:$CR$21, 0), FALSE))</f>
        <v/>
      </c>
      <c r="J146" s="57" t="str">
        <f>IF(J$124="", "", VLOOKUP($C146, 'Visits Input'!$CB$23:$CR$46, MATCH('Visits Output'!J$124, 'Visits Input'!$CB$21:$CR$21, 0), FALSE))</f>
        <v/>
      </c>
      <c r="K146" s="57" t="str">
        <f>IF(K$124="", "", VLOOKUP($C146, 'Visits Input'!$CB$23:$CR$46, MATCH('Visits Output'!K$124, 'Visits Input'!$CB$21:$CR$21, 0), FALSE))</f>
        <v/>
      </c>
      <c r="L146" s="57" t="str">
        <f>IF(L$124="", "", VLOOKUP($C146, 'Visits Input'!$CB$23:$CR$46, MATCH('Visits Output'!L$124, 'Visits Input'!$CB$21:$CR$21, 0), FALSE))</f>
        <v/>
      </c>
      <c r="M146" s="58" t="str">
        <f>IF(M$124="", "", VLOOKUP($C146, 'Visits Input'!$CB$23:$CR$46, MATCH('Visits Output'!M$124, 'Visits Input'!$CB$21:$CR$21, 0), FALSE))</f>
        <v/>
      </c>
      <c r="N146" s="58" t="str">
        <f>IF(N$124="", "", VLOOKUP($C146, 'Visits Input'!$CB$23:$CR$46, MATCH('Visits Output'!N$124, 'Visits Input'!$CB$21:$CR$21, 0), FALSE))</f>
        <v/>
      </c>
      <c r="O146" s="58" t="str">
        <f>IF(O$124="", "", VLOOKUP($C146, 'Visits Input'!$CB$23:$CR$46, MATCH('Visits Output'!O$124, 'Visits Input'!$CB$21:$CR$21, 0), FALSE))</f>
        <v/>
      </c>
      <c r="P146" s="58" t="str">
        <f>IF(P$124="", "", VLOOKUP($C146, 'Visits Input'!$CB$23:$CR$46, MATCH('Visits Output'!P$124, 'Visits Input'!$CB$21:$CR$21, 0), FALSE))</f>
        <v/>
      </c>
      <c r="Q146" s="58" t="str">
        <f>IF(Q$124="", "", VLOOKUP($C146, 'Visits Input'!$CB$23:$CR$46, MATCH('Visits Output'!Q$124, 'Visits Input'!$CB$21:$CR$21, 0), FALSE))</f>
        <v/>
      </c>
      <c r="R146" s="58" t="str">
        <f>IF(R$124="", "", VLOOKUP($C146, 'Visits Input'!$CB$23:$CR$46, MATCH('Visits Output'!R$124, 'Visits Input'!$CB$21:$CR$21, 0), FALSE))</f>
        <v/>
      </c>
      <c r="S146" s="59" t="str">
        <f>IF(S$124="", "", VLOOKUP($C146, 'Visits Input'!$CB$23:$CR$46, MATCH('Visits Output'!S$124, 'Visits Input'!$CB$21:$CR$21, 0), FALSE))</f>
        <v/>
      </c>
      <c r="U146" s="928" t="str">
        <f t="shared" si="54"/>
        <v/>
      </c>
      <c r="V146" s="877" t="str">
        <f t="shared" si="49"/>
        <v/>
      </c>
      <c r="X146" s="856" t="e">
        <f t="shared" si="50"/>
        <v>#DIV/0!</v>
      </c>
      <c r="Y146" s="857" t="e">
        <f t="shared" si="51"/>
        <v>#DIV/0!</v>
      </c>
      <c r="Z146" s="856" t="e">
        <f t="shared" si="52"/>
        <v>#DIV/0!</v>
      </c>
      <c r="AA146" s="856" t="e">
        <f t="shared" si="53"/>
        <v>#DIV/0!</v>
      </c>
      <c r="AD146" s="445"/>
      <c r="AE146" s="449"/>
      <c r="AF146" s="447"/>
    </row>
    <row r="147" spans="1:35" ht="15.75" thickBot="1" x14ac:dyDescent="0.3">
      <c r="B147" s="1588"/>
      <c r="C147" s="277" t="str">
        <f>'Visits Input'!C44</f>
        <v>Barrière vaginale</v>
      </c>
      <c r="D147" s="56" t="str">
        <f>IF(D$124="", "", VLOOKUP($C147, 'Visits Input'!$CB$23:$CR$46, MATCH('Visits Output'!D$124, 'Visits Input'!$CB$21:$CR$21, 0), FALSE))</f>
        <v/>
      </c>
      <c r="E147" s="57" t="str">
        <f>IF(E$124="", "", VLOOKUP($C147, 'Visits Input'!$CB$23:$CR$46, MATCH('Visits Output'!E$124, 'Visits Input'!$CB$21:$CR$21, 0), FALSE))</f>
        <v/>
      </c>
      <c r="F147" s="57" t="str">
        <f>IF(F$124="", "", VLOOKUP($C147, 'Visits Input'!$CB$23:$CR$46, MATCH('Visits Output'!F$124, 'Visits Input'!$CB$21:$CR$21, 0), FALSE))</f>
        <v/>
      </c>
      <c r="G147" s="57" t="str">
        <f>IF(G$124="", "", VLOOKUP($C147, 'Visits Input'!$CB$23:$CR$46, MATCH('Visits Output'!G$124, 'Visits Input'!$CB$21:$CR$21, 0), FALSE))</f>
        <v/>
      </c>
      <c r="H147" s="57" t="str">
        <f>IF(H$124="", "", VLOOKUP($C147, 'Visits Input'!$CB$23:$CR$46, MATCH('Visits Output'!H$124, 'Visits Input'!$CB$21:$CR$21, 0), FALSE))</f>
        <v/>
      </c>
      <c r="I147" s="57" t="str">
        <f>IF(I$124="", "", VLOOKUP($C147, 'Visits Input'!$CB$23:$CR$46, MATCH('Visits Output'!I$124, 'Visits Input'!$CB$21:$CR$21, 0), FALSE))</f>
        <v/>
      </c>
      <c r="J147" s="57" t="str">
        <f>IF(J$124="", "", VLOOKUP($C147, 'Visits Input'!$CB$23:$CR$46, MATCH('Visits Output'!J$124, 'Visits Input'!$CB$21:$CR$21, 0), FALSE))</f>
        <v/>
      </c>
      <c r="K147" s="57" t="str">
        <f>IF(K$124="", "", VLOOKUP($C147, 'Visits Input'!$CB$23:$CR$46, MATCH('Visits Output'!K$124, 'Visits Input'!$CB$21:$CR$21, 0), FALSE))</f>
        <v/>
      </c>
      <c r="L147" s="57" t="str">
        <f>IF(L$124="", "", VLOOKUP($C147, 'Visits Input'!$CB$23:$CR$46, MATCH('Visits Output'!L$124, 'Visits Input'!$CB$21:$CR$21, 0), FALSE))</f>
        <v/>
      </c>
      <c r="M147" s="58" t="str">
        <f>IF(M$124="", "", VLOOKUP($C147, 'Visits Input'!$CB$23:$CR$46, MATCH('Visits Output'!M$124, 'Visits Input'!$CB$21:$CR$21, 0), FALSE))</f>
        <v/>
      </c>
      <c r="N147" s="58" t="str">
        <f>IF(N$124="", "", VLOOKUP($C147, 'Visits Input'!$CB$23:$CR$46, MATCH('Visits Output'!N$124, 'Visits Input'!$CB$21:$CR$21, 0), FALSE))</f>
        <v/>
      </c>
      <c r="O147" s="58" t="str">
        <f>IF(O$124="", "", VLOOKUP($C147, 'Visits Input'!$CB$23:$CR$46, MATCH('Visits Output'!O$124, 'Visits Input'!$CB$21:$CR$21, 0), FALSE))</f>
        <v/>
      </c>
      <c r="P147" s="58" t="str">
        <f>IF(P$124="", "", VLOOKUP($C147, 'Visits Input'!$CB$23:$CR$46, MATCH('Visits Output'!P$124, 'Visits Input'!$CB$21:$CR$21, 0), FALSE))</f>
        <v/>
      </c>
      <c r="Q147" s="58" t="str">
        <f>IF(Q$124="", "", VLOOKUP($C147, 'Visits Input'!$CB$23:$CR$46, MATCH('Visits Output'!Q$124, 'Visits Input'!$CB$21:$CR$21, 0), FALSE))</f>
        <v/>
      </c>
      <c r="R147" s="58" t="str">
        <f>IF(R$124="", "", VLOOKUP($C147, 'Visits Input'!$CB$23:$CR$46, MATCH('Visits Output'!R$124, 'Visits Input'!$CB$21:$CR$21, 0), FALSE))</f>
        <v/>
      </c>
      <c r="S147" s="59" t="str">
        <f>IF(S$124="", "", VLOOKUP($C147, 'Visits Input'!$CB$23:$CR$46, MATCH('Visits Output'!S$124, 'Visits Input'!$CB$21:$CR$21, 0), FALSE))</f>
        <v/>
      </c>
      <c r="U147" s="928" t="str">
        <f t="shared" si="54"/>
        <v/>
      </c>
      <c r="V147" s="877" t="str">
        <f t="shared" si="49"/>
        <v/>
      </c>
      <c r="X147" s="856" t="e">
        <f t="shared" si="50"/>
        <v>#DIV/0!</v>
      </c>
      <c r="Y147" s="857" t="e">
        <f t="shared" si="51"/>
        <v>#DIV/0!</v>
      </c>
      <c r="Z147" s="856" t="e">
        <f t="shared" si="52"/>
        <v>#DIV/0!</v>
      </c>
      <c r="AA147" s="856" t="e">
        <f t="shared" si="53"/>
        <v>#DIV/0!</v>
      </c>
      <c r="AD147" s="445"/>
      <c r="AE147" s="449"/>
      <c r="AF147" s="447"/>
    </row>
    <row r="148" spans="1:35" ht="15.75" thickBot="1" x14ac:dyDescent="0.3">
      <c r="B148" s="1589"/>
      <c r="C148" s="275" t="str">
        <f>'Visits Input'!C45</f>
        <v>Spermicides</v>
      </c>
      <c r="D148" s="60" t="str">
        <f>IF(D$124="", "", VLOOKUP($C148, 'Visits Input'!$CB$23:$CR$46, MATCH('Visits Output'!D$124, 'Visits Input'!$CB$21:$CR$21, 0), FALSE))</f>
        <v/>
      </c>
      <c r="E148" s="61" t="str">
        <f>IF(E$124="", "", VLOOKUP($C148, 'Visits Input'!$CB$23:$CR$46, MATCH('Visits Output'!E$124, 'Visits Input'!$CB$21:$CR$21, 0), FALSE))</f>
        <v/>
      </c>
      <c r="F148" s="61" t="str">
        <f>IF(F$124="", "", VLOOKUP($C148, 'Visits Input'!$CB$23:$CR$46, MATCH('Visits Output'!F$124, 'Visits Input'!$CB$21:$CR$21, 0), FALSE))</f>
        <v/>
      </c>
      <c r="G148" s="61" t="str">
        <f>IF(G$124="", "", VLOOKUP($C148, 'Visits Input'!$CB$23:$CR$46, MATCH('Visits Output'!G$124, 'Visits Input'!$CB$21:$CR$21, 0), FALSE))</f>
        <v/>
      </c>
      <c r="H148" s="61" t="str">
        <f>IF(H$124="", "", VLOOKUP($C148, 'Visits Input'!$CB$23:$CR$46, MATCH('Visits Output'!H$124, 'Visits Input'!$CB$21:$CR$21, 0), FALSE))</f>
        <v/>
      </c>
      <c r="I148" s="61" t="str">
        <f>IF(I$124="", "", VLOOKUP($C148, 'Visits Input'!$CB$23:$CR$46, MATCH('Visits Output'!I$124, 'Visits Input'!$CB$21:$CR$21, 0), FALSE))</f>
        <v/>
      </c>
      <c r="J148" s="61" t="str">
        <f>IF(J$124="", "", VLOOKUP($C148, 'Visits Input'!$CB$23:$CR$46, MATCH('Visits Output'!J$124, 'Visits Input'!$CB$21:$CR$21, 0), FALSE))</f>
        <v/>
      </c>
      <c r="K148" s="61" t="str">
        <f>IF(K$124="", "", VLOOKUP($C148, 'Visits Input'!$CB$23:$CR$46, MATCH('Visits Output'!K$124, 'Visits Input'!$CB$21:$CR$21, 0), FALSE))</f>
        <v/>
      </c>
      <c r="L148" s="61" t="str">
        <f>IF(L$124="", "", VLOOKUP($C148, 'Visits Input'!$CB$23:$CR$46, MATCH('Visits Output'!L$124, 'Visits Input'!$CB$21:$CR$21, 0), FALSE))</f>
        <v/>
      </c>
      <c r="M148" s="62" t="str">
        <f>IF(M$124="", "", VLOOKUP($C148, 'Visits Input'!$CB$23:$CR$46, MATCH('Visits Output'!M$124, 'Visits Input'!$CB$21:$CR$21, 0), FALSE))</f>
        <v/>
      </c>
      <c r="N148" s="62" t="str">
        <f>IF(N$124="", "", VLOOKUP($C148, 'Visits Input'!$CB$23:$CR$46, MATCH('Visits Output'!N$124, 'Visits Input'!$CB$21:$CR$21, 0), FALSE))</f>
        <v/>
      </c>
      <c r="O148" s="62" t="str">
        <f>IF(O$124="", "", VLOOKUP($C148, 'Visits Input'!$CB$23:$CR$46, MATCH('Visits Output'!O$124, 'Visits Input'!$CB$21:$CR$21, 0), FALSE))</f>
        <v/>
      </c>
      <c r="P148" s="62" t="str">
        <f>IF(P$124="", "", VLOOKUP($C148, 'Visits Input'!$CB$23:$CR$46, MATCH('Visits Output'!P$124, 'Visits Input'!$CB$21:$CR$21, 0), FALSE))</f>
        <v/>
      </c>
      <c r="Q148" s="62" t="str">
        <f>IF(Q$124="", "", VLOOKUP($C148, 'Visits Input'!$CB$23:$CR$46, MATCH('Visits Output'!Q$124, 'Visits Input'!$CB$21:$CR$21, 0), FALSE))</f>
        <v/>
      </c>
      <c r="R148" s="62" t="str">
        <f>IF(R$124="", "", VLOOKUP($C148, 'Visits Input'!$CB$23:$CR$46, MATCH('Visits Output'!R$124, 'Visits Input'!$CB$21:$CR$21, 0), FALSE))</f>
        <v/>
      </c>
      <c r="S148" s="63" t="str">
        <f>IF(S$124="", "", VLOOKUP($C148, 'Visits Input'!$CB$23:$CR$46, MATCH('Visits Output'!S$124, 'Visits Input'!$CB$21:$CR$21, 0), FALSE))</f>
        <v/>
      </c>
      <c r="U148" s="928" t="str">
        <f t="shared" si="54"/>
        <v/>
      </c>
      <c r="V148" s="877" t="str">
        <f t="shared" si="49"/>
        <v/>
      </c>
      <c r="X148" s="856" t="e">
        <f t="shared" si="50"/>
        <v>#DIV/0!</v>
      </c>
      <c r="Y148" s="857" t="e">
        <f t="shared" si="51"/>
        <v>#DIV/0!</v>
      </c>
      <c r="Z148" s="856" t="e">
        <f t="shared" si="52"/>
        <v>#DIV/0!</v>
      </c>
      <c r="AA148" s="856" t="e">
        <f t="shared" si="53"/>
        <v>#DIV/0!</v>
      </c>
      <c r="AD148" s="445"/>
      <c r="AE148" s="449"/>
      <c r="AF148" s="447"/>
    </row>
    <row r="149" spans="1:35" ht="32.25" customHeight="1" thickBot="1" x14ac:dyDescent="0.3">
      <c r="B149" s="179" t="str">
        <f>'Visits Input'!B46</f>
        <v>Contraception d'urgence</v>
      </c>
      <c r="C149" s="281" t="str">
        <f>'Visits Input'!C46</f>
        <v>CU</v>
      </c>
      <c r="D149" s="52" t="str">
        <f>IF(D$124="", "", VLOOKUP($C149, 'Visits Input'!$CB$23:$CR$46, MATCH('Visits Output'!D$124, 'Visits Input'!$CB$21:$CR$21, 0), FALSE))</f>
        <v/>
      </c>
      <c r="E149" s="53" t="str">
        <f>IF(E$124="", "", VLOOKUP($C149, 'Visits Input'!$CB$23:$CR$46, MATCH('Visits Output'!E$124, 'Visits Input'!$CB$21:$CR$21, 0), FALSE))</f>
        <v/>
      </c>
      <c r="F149" s="53" t="str">
        <f>IF(F$124="", "", VLOOKUP($C149, 'Visits Input'!$CB$23:$CR$46, MATCH('Visits Output'!F$124, 'Visits Input'!$CB$21:$CR$21, 0), FALSE))</f>
        <v/>
      </c>
      <c r="G149" s="53" t="str">
        <f>IF(G$124="", "", VLOOKUP($C149, 'Visits Input'!$CB$23:$CR$46, MATCH('Visits Output'!G$124, 'Visits Input'!$CB$21:$CR$21, 0), FALSE))</f>
        <v/>
      </c>
      <c r="H149" s="53" t="str">
        <f>IF(H$124="", "", VLOOKUP($C149, 'Visits Input'!$CB$23:$CR$46, MATCH('Visits Output'!H$124, 'Visits Input'!$CB$21:$CR$21, 0), FALSE))</f>
        <v/>
      </c>
      <c r="I149" s="53" t="str">
        <f>IF(I$124="", "", VLOOKUP($C149, 'Visits Input'!$CB$23:$CR$46, MATCH('Visits Output'!I$124, 'Visits Input'!$CB$21:$CR$21, 0), FALSE))</f>
        <v/>
      </c>
      <c r="J149" s="53" t="str">
        <f>IF(J$124="", "", VLOOKUP($C149, 'Visits Input'!$CB$23:$CR$46, MATCH('Visits Output'!J$124, 'Visits Input'!$CB$21:$CR$21, 0), FALSE))</f>
        <v/>
      </c>
      <c r="K149" s="53" t="str">
        <f>IF(K$124="", "", VLOOKUP($C149, 'Visits Input'!$CB$23:$CR$46, MATCH('Visits Output'!K$124, 'Visits Input'!$CB$21:$CR$21, 0), FALSE))</f>
        <v/>
      </c>
      <c r="L149" s="53" t="str">
        <f>IF(L$124="", "", VLOOKUP($C149, 'Visits Input'!$CB$23:$CR$46, MATCH('Visits Output'!L$124, 'Visits Input'!$CB$21:$CR$21, 0), FALSE))</f>
        <v/>
      </c>
      <c r="M149" s="54" t="str">
        <f>IF(M$124="", "", VLOOKUP($C149, 'Visits Input'!$CB$23:$CR$46, MATCH('Visits Output'!M$124, 'Visits Input'!$CB$21:$CR$21, 0), FALSE))</f>
        <v/>
      </c>
      <c r="N149" s="54" t="str">
        <f>IF(N$124="", "", VLOOKUP($C149, 'Visits Input'!$CB$23:$CR$46, MATCH('Visits Output'!N$124, 'Visits Input'!$CB$21:$CR$21, 0), FALSE))</f>
        <v/>
      </c>
      <c r="O149" s="54" t="str">
        <f>IF(O$124="", "", VLOOKUP($C149, 'Visits Input'!$CB$23:$CR$46, MATCH('Visits Output'!O$124, 'Visits Input'!$CB$21:$CR$21, 0), FALSE))</f>
        <v/>
      </c>
      <c r="P149" s="54" t="str">
        <f>IF(P$124="", "", VLOOKUP($C149, 'Visits Input'!$CB$23:$CR$46, MATCH('Visits Output'!P$124, 'Visits Input'!$CB$21:$CR$21, 0), FALSE))</f>
        <v/>
      </c>
      <c r="Q149" s="54" t="str">
        <f>IF(Q$124="", "", VLOOKUP($C149, 'Visits Input'!$CB$23:$CR$46, MATCH('Visits Output'!Q$124, 'Visits Input'!$CB$21:$CR$21, 0), FALSE))</f>
        <v/>
      </c>
      <c r="R149" s="54" t="str">
        <f>IF(R$124="", "", VLOOKUP($C149, 'Visits Input'!$CB$23:$CR$46, MATCH('Visits Output'!R$124, 'Visits Input'!$CB$21:$CR$21, 0), FALSE))</f>
        <v/>
      </c>
      <c r="S149" s="55" t="str">
        <f>IF(S$124="", "", VLOOKUP($C149, 'Visits Input'!$CB$23:$CR$46, MATCH('Visits Output'!S$124, 'Visits Input'!$CB$21:$CR$21, 0), FALSE))</f>
        <v/>
      </c>
      <c r="U149" s="928" t="str">
        <f t="shared" si="54"/>
        <v/>
      </c>
      <c r="V149" s="877" t="str">
        <f t="shared" si="49"/>
        <v/>
      </c>
      <c r="X149" s="856" t="e">
        <f t="shared" si="50"/>
        <v>#DIV/0!</v>
      </c>
      <c r="Y149" s="857" t="e">
        <f t="shared" si="51"/>
        <v>#DIV/0!</v>
      </c>
      <c r="Z149" s="856" t="e">
        <f t="shared" si="52"/>
        <v>#DIV/0!</v>
      </c>
      <c r="AA149" s="856" t="e">
        <f t="shared" si="53"/>
        <v>#DIV/0!</v>
      </c>
      <c r="AD149" s="445"/>
      <c r="AE149" s="449"/>
      <c r="AF149" s="447"/>
    </row>
    <row r="150" spans="1:35" ht="11.25" customHeight="1" thickBot="1" x14ac:dyDescent="0.3">
      <c r="C150"/>
      <c r="U150" s="41"/>
      <c r="V150" s="41"/>
      <c r="AD150" s="445"/>
      <c r="AE150" s="449"/>
      <c r="AF150" s="447"/>
    </row>
    <row r="151" spans="1:35" ht="19.5" thickBot="1" x14ac:dyDescent="0.35">
      <c r="A151" s="188"/>
      <c r="B151" s="1585" t="str">
        <f>IF(Language="English",'Language Look Ups'!O31,IF(Language="Francais", 'Language Look Ups'!S31,'Language Look Ups'!Q31))</f>
        <v>Estimation des Utilisatrices Modernes</v>
      </c>
      <c r="C151" s="1585"/>
      <c r="D151" s="204" t="str">
        <f>IF(D124="", "", IF(SUM(D126:D132,D135:D149)=0, "", SUM(D126:D132,D135:D149)))</f>
        <v/>
      </c>
      <c r="E151" s="204" t="str">
        <f t="shared" ref="E151:S151" si="55">IF(E124="", "", IF(SUM(E126:E132,E135:E149)=0, "", SUM(E126:E132,E135:E149)))</f>
        <v/>
      </c>
      <c r="F151" s="204" t="str">
        <f t="shared" si="55"/>
        <v/>
      </c>
      <c r="G151" s="204" t="str">
        <f t="shared" si="55"/>
        <v/>
      </c>
      <c r="H151" s="204" t="str">
        <f t="shared" si="55"/>
        <v/>
      </c>
      <c r="I151" s="204" t="str">
        <f t="shared" si="55"/>
        <v/>
      </c>
      <c r="J151" s="204" t="str">
        <f t="shared" si="55"/>
        <v/>
      </c>
      <c r="K151" s="204" t="str">
        <f t="shared" si="55"/>
        <v/>
      </c>
      <c r="L151" s="204" t="str">
        <f t="shared" si="55"/>
        <v/>
      </c>
      <c r="M151" s="204" t="str">
        <f t="shared" si="55"/>
        <v/>
      </c>
      <c r="N151" s="204" t="str">
        <f t="shared" si="55"/>
        <v/>
      </c>
      <c r="O151" s="204" t="str">
        <f t="shared" si="55"/>
        <v/>
      </c>
      <c r="P151" s="204" t="str">
        <f t="shared" si="55"/>
        <v/>
      </c>
      <c r="Q151" s="204" t="str">
        <f t="shared" si="55"/>
        <v/>
      </c>
      <c r="R151" s="204" t="str">
        <f t="shared" si="55"/>
        <v/>
      </c>
      <c r="S151" s="204" t="str">
        <f t="shared" si="55"/>
        <v/>
      </c>
      <c r="T151" s="188"/>
      <c r="U151" s="928" t="str">
        <f t="shared" si="54"/>
        <v/>
      </c>
      <c r="V151" s="877" t="str">
        <f>IFERROR(IF(U151="", "", "("&amp;TEXT(AA151, "0,000")&amp;" - "&amp;TEXT(Z151, "0,000")&amp;")"), "")</f>
        <v/>
      </c>
      <c r="W151" s="809"/>
      <c r="X151" s="856" t="e">
        <f t="shared" si="50"/>
        <v>#DIV/0!</v>
      </c>
      <c r="Y151" s="857" t="e">
        <f t="shared" si="51"/>
        <v>#DIV/0!</v>
      </c>
      <c r="Z151" s="856" t="e">
        <f>X151+Y151</f>
        <v>#DIV/0!</v>
      </c>
      <c r="AA151" s="856" t="e">
        <f>X151-Y151</f>
        <v>#DIV/0!</v>
      </c>
      <c r="AB151" s="188"/>
      <c r="AC151" s="188"/>
      <c r="AD151" s="446"/>
      <c r="AE151" s="450"/>
      <c r="AF151" s="448"/>
      <c r="AG151" s="188"/>
      <c r="AH151" s="188"/>
      <c r="AI151" s="188"/>
    </row>
    <row r="152" spans="1:35" ht="36.75" customHeight="1" thickBot="1" x14ac:dyDescent="0.35">
      <c r="A152" s="188"/>
      <c r="B152" s="1586" t="str">
        <f>IF(Language="English",'Language Look Ups'!O32,IF(Language="Francais", 'Language Look Ups'!S32,'Language Look Ups'!Q32))</f>
        <v>Estimation des Utilisatrices Modernes , exclusion des Préservatifs**</v>
      </c>
      <c r="C152" s="1586"/>
      <c r="D152" s="203" t="str">
        <f>IFERROR(IF(D124="", "",D151-SUM(D143:D144)), "")</f>
        <v/>
      </c>
      <c r="E152" s="203" t="str">
        <f t="shared" ref="E152:S152" si="56">IFERROR(IF(E124="", "",E151-SUM(E143:E144)), "")</f>
        <v/>
      </c>
      <c r="F152" s="203" t="str">
        <f t="shared" si="56"/>
        <v/>
      </c>
      <c r="G152" s="203" t="str">
        <f t="shared" si="56"/>
        <v/>
      </c>
      <c r="H152" s="203" t="str">
        <f t="shared" si="56"/>
        <v/>
      </c>
      <c r="I152" s="203" t="str">
        <f t="shared" si="56"/>
        <v/>
      </c>
      <c r="J152" s="203" t="str">
        <f t="shared" si="56"/>
        <v/>
      </c>
      <c r="K152" s="203" t="str">
        <f t="shared" si="56"/>
        <v/>
      </c>
      <c r="L152" s="203" t="str">
        <f t="shared" si="56"/>
        <v/>
      </c>
      <c r="M152" s="203" t="str">
        <f t="shared" si="56"/>
        <v/>
      </c>
      <c r="N152" s="203" t="str">
        <f t="shared" si="56"/>
        <v/>
      </c>
      <c r="O152" s="203" t="str">
        <f t="shared" si="56"/>
        <v/>
      </c>
      <c r="P152" s="203" t="str">
        <f t="shared" si="56"/>
        <v/>
      </c>
      <c r="Q152" s="203" t="str">
        <f t="shared" si="56"/>
        <v/>
      </c>
      <c r="R152" s="203" t="str">
        <f t="shared" si="56"/>
        <v/>
      </c>
      <c r="S152" s="203" t="str">
        <f t="shared" si="56"/>
        <v/>
      </c>
      <c r="T152" s="188"/>
      <c r="U152" s="928" t="str">
        <f t="shared" si="54"/>
        <v/>
      </c>
      <c r="V152" s="877" t="str">
        <f>IF(U152="", "", "("&amp;TEXT(AA152, "0,000")&amp;" - "&amp;TEXT(Z152, "0,000")&amp;")")</f>
        <v/>
      </c>
      <c r="W152" s="809"/>
      <c r="X152" s="856" t="e">
        <f t="shared" si="50"/>
        <v>#DIV/0!</v>
      </c>
      <c r="Y152" s="857" t="e">
        <f t="shared" si="51"/>
        <v>#DIV/0!</v>
      </c>
      <c r="Z152" s="856" t="e">
        <f>X152+Y152</f>
        <v>#DIV/0!</v>
      </c>
      <c r="AA152" s="856" t="e">
        <f>X152-Y152</f>
        <v>#DIV/0!</v>
      </c>
      <c r="AB152" s="188"/>
      <c r="AC152" s="188"/>
      <c r="AD152" s="446"/>
      <c r="AE152" s="450"/>
      <c r="AF152" s="448"/>
      <c r="AG152" s="188"/>
      <c r="AH152" s="188"/>
      <c r="AI152" s="188"/>
    </row>
    <row r="153" spans="1:35" ht="32.25" customHeight="1" x14ac:dyDescent="0.25">
      <c r="B153" t="str">
        <f>IF(Language="English", AD153,AF153 )</f>
        <v xml:space="preserve">**Pour calculer l'EUM, l'exclusion des préservatifs est recommandée pour éviter des problèmes éventuels avec les données sur les préservatifs liées à une utilisation d'une double méthode , les difficultés liées à l'estimation des utilisatrices à partir des données sur les préservatifs et parce que dans de nombreux pays, les préservatifs sont généralement accédés par le secteur privé.   </v>
      </c>
      <c r="AD153" s="445" t="s">
        <v>584</v>
      </c>
      <c r="AE153" s="449"/>
      <c r="AF153" s="447" t="s">
        <v>2437</v>
      </c>
    </row>
  </sheetData>
  <mergeCells count="57">
    <mergeCell ref="K65:N65"/>
    <mergeCell ref="B66:I66"/>
    <mergeCell ref="AA123:AA125"/>
    <mergeCell ref="U123:U124"/>
    <mergeCell ref="V123:V124"/>
    <mergeCell ref="X123:X125"/>
    <mergeCell ref="Y123:Y125"/>
    <mergeCell ref="Z123:Z125"/>
    <mergeCell ref="C70:I70"/>
    <mergeCell ref="K69:U69"/>
    <mergeCell ref="C106:H107"/>
    <mergeCell ref="L106:R107"/>
    <mergeCell ref="B98:S98"/>
    <mergeCell ref="B1:V1"/>
    <mergeCell ref="B85:I85"/>
    <mergeCell ref="K85:U85"/>
    <mergeCell ref="B90:I90"/>
    <mergeCell ref="K90:U90"/>
    <mergeCell ref="B75:I75"/>
    <mergeCell ref="K75:U75"/>
    <mergeCell ref="B77:I77"/>
    <mergeCell ref="B78:I78"/>
    <mergeCell ref="K78:U78"/>
    <mergeCell ref="K76:N76"/>
    <mergeCell ref="B84:I84"/>
    <mergeCell ref="K84:U84"/>
    <mergeCell ref="B79:I79"/>
    <mergeCell ref="K79:U79"/>
    <mergeCell ref="B87:I87"/>
    <mergeCell ref="B3:U3"/>
    <mergeCell ref="L91:V91"/>
    <mergeCell ref="K87:U87"/>
    <mergeCell ref="B88:I88"/>
    <mergeCell ref="K88:U88"/>
    <mergeCell ref="B81:I81"/>
    <mergeCell ref="B89:I89"/>
    <mergeCell ref="K89:U89"/>
    <mergeCell ref="K81:U81"/>
    <mergeCell ref="B67:I67"/>
    <mergeCell ref="K67:U67"/>
    <mergeCell ref="B68:I68"/>
    <mergeCell ref="K68:U68"/>
    <mergeCell ref="B63:U63"/>
    <mergeCell ref="B64:I64"/>
    <mergeCell ref="K64:U64"/>
    <mergeCell ref="B126:B127"/>
    <mergeCell ref="B83:I83"/>
    <mergeCell ref="B123:C124"/>
    <mergeCell ref="D123:S123"/>
    <mergeCell ref="B152:C152"/>
    <mergeCell ref="B140:B142"/>
    <mergeCell ref="B143:B144"/>
    <mergeCell ref="B128:B129"/>
    <mergeCell ref="B130:B132"/>
    <mergeCell ref="B151:C151"/>
    <mergeCell ref="B135:B139"/>
    <mergeCell ref="B145:B148"/>
  </mergeCells>
  <conditionalFormatting sqref="D135:S149">
    <cfRule type="containsBlanks" dxfId="93" priority="1">
      <formula>LEN(TRIM(D135))=0</formula>
    </cfRule>
    <cfRule type="cellIs" dxfId="92" priority="2" operator="greaterThan">
      <formula>$Z135</formula>
    </cfRule>
    <cfRule type="cellIs" dxfId="91" priority="3" operator="lessThan">
      <formula>$AA135</formula>
    </cfRule>
  </conditionalFormatting>
  <conditionalFormatting sqref="D126:S132">
    <cfRule type="containsBlanks" dxfId="90" priority="4">
      <formula>LEN(TRIM(D126))=0</formula>
    </cfRule>
    <cfRule type="cellIs" dxfId="89" priority="5" operator="greaterThan">
      <formula>$Z126</formula>
    </cfRule>
    <cfRule type="cellIs" dxfId="88" priority="6" operator="lessThan">
      <formula>$AA126</formula>
    </cfRule>
  </conditionalFormatting>
  <dataValidations count="2">
    <dataValidation type="list" allowBlank="1" showInputMessage="1" showErrorMessage="1" sqref="O76 O65" xr:uid="{D63E610C-1510-4448-B6A9-7499BBFF9C6A}">
      <formula1>Year_V</formula1>
    </dataValidation>
    <dataValidation type="list" allowBlank="1" showInputMessage="1" showErrorMessage="1" sqref="C99" xr:uid="{557DFE6C-D79E-4F8B-A036-B330BF6AB253}">
      <formula1>$AC$98:$AC$99</formula1>
    </dataValidation>
  </dataValidations>
  <hyperlinks>
    <hyperlink ref="C106:H107" location="'Users Input'!A1" tooltip="Set Up" display="'Users Input'!A1" xr:uid="{00000000-0004-0000-0F00-000000000000}"/>
    <hyperlink ref="L106:R107" location="'&quot;EMU&quot; Output'!A1" tooltip="EMU Review" display="Go to Final EMU Review" xr:uid="{C32D84BE-D6F7-44C0-953D-FF14FD3DE608}"/>
    <hyperlink ref="C70:F70" location="'4. FPSource Set Up'!A1" display="Return to FP Source Set Up to review Private Sector Adjustment" xr:uid="{87C474A9-42C4-4697-BB2D-0B87E9A3D261}"/>
    <hyperlink ref="C70:I70" location="'4. FPSource Set Up'!A1" tooltip="Return to Set-Up Step 4" display="Return to FP Source Set Up to review Private Sector Adjustment" xr:uid="{51351834-CF87-4063-B00D-913D152839D8}"/>
  </hyperlinks>
  <pageMargins left="0.7" right="0.7" top="0.75" bottom="0.75" header="0.3" footer="0.3"/>
  <pageSetup orientation="portrait"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tabColor theme="8"/>
    <pageSetUpPr autoPageBreaks="0"/>
  </sheetPr>
  <dimension ref="A1:DK184"/>
  <sheetViews>
    <sheetView showGridLines="0" topLeftCell="A2" zoomScale="74" zoomScaleNormal="70" workbookViewId="0">
      <selection activeCell="L24" sqref="L24"/>
    </sheetView>
  </sheetViews>
  <sheetFormatPr defaultColWidth="9.140625" defaultRowHeight="15" outlineLevelRow="1" x14ac:dyDescent="0.25"/>
  <cols>
    <col min="1" max="1" width="4.42578125" customWidth="1"/>
    <col min="2" max="4" width="24.85546875" customWidth="1"/>
    <col min="5" max="5" width="7.5703125" hidden="1" customWidth="1"/>
    <col min="6" max="6" width="13.85546875" customWidth="1"/>
    <col min="7" max="22" width="13.7109375" customWidth="1"/>
    <col min="23" max="26" width="7.42578125" customWidth="1"/>
    <col min="27" max="27" width="24.85546875" customWidth="1"/>
    <col min="28" max="36" width="8.5703125" customWidth="1"/>
    <col min="37" max="43" width="7" customWidth="1"/>
    <col min="44" max="44" width="15" customWidth="1"/>
    <col min="45" max="45" width="11.28515625" customWidth="1"/>
    <col min="46" max="46" width="11.140625" customWidth="1"/>
    <col min="47" max="47" width="10.7109375" customWidth="1"/>
    <col min="48" max="48" width="10.5703125" customWidth="1"/>
    <col min="49" max="49" width="9.5703125" customWidth="1"/>
    <col min="50" max="50" width="11" customWidth="1"/>
    <col min="51" max="52" width="9.140625" customWidth="1"/>
    <col min="53" max="55" width="29.5703125" style="184" hidden="1" customWidth="1"/>
    <col min="56" max="60" width="9.140625" hidden="1" customWidth="1"/>
    <col min="61" max="61" width="9.140625" style="180" customWidth="1"/>
    <col min="62" max="62" width="27.7109375" customWidth="1"/>
    <col min="63" max="68" width="11.85546875" customWidth="1"/>
    <col min="69" max="69" width="11" customWidth="1"/>
    <col min="70" max="79" width="9.140625" customWidth="1"/>
    <col min="80" max="80" width="21.42578125" customWidth="1"/>
    <col min="81" max="86" width="12.42578125" customWidth="1"/>
  </cols>
  <sheetData>
    <row r="1" spans="2:96" x14ac:dyDescent="0.25">
      <c r="C1" s="5"/>
    </row>
    <row r="2" spans="2:96" ht="34.5" customHeight="1" x14ac:dyDescent="0.25">
      <c r="B2" s="1512" t="str">
        <f>"Input: "&amp;'3. ServiceStats Set Up'!I25</f>
        <v>Input: Utilisatrices de PF</v>
      </c>
      <c r="C2" s="1512"/>
      <c r="D2" s="1512"/>
      <c r="E2" s="1512"/>
      <c r="F2" s="1512"/>
      <c r="G2" s="1512"/>
      <c r="H2" s="1512"/>
      <c r="I2" s="1512"/>
      <c r="J2" s="1512"/>
      <c r="K2" s="1512"/>
      <c r="L2" s="1512"/>
      <c r="M2" s="1512"/>
      <c r="N2" s="1512"/>
      <c r="O2" s="1512"/>
      <c r="P2" s="1512"/>
      <c r="Q2" s="1512"/>
      <c r="R2" s="1512"/>
      <c r="S2" s="1512"/>
      <c r="T2" s="1512"/>
      <c r="U2" s="1512"/>
      <c r="V2" s="1512"/>
      <c r="BA2" s="184" t="s">
        <v>628</v>
      </c>
      <c r="BB2" s="184" t="s">
        <v>656</v>
      </c>
      <c r="BC2" s="184" t="s">
        <v>740</v>
      </c>
    </row>
    <row r="3" spans="2:96" ht="28.5" x14ac:dyDescent="0.45">
      <c r="B3" s="272" t="str">
        <f>IF('2. Pop_Prev Set Up'!$W$2="Yes", '2. Pop_Prev Set Up'!$W$1&amp;" : "&amp;'2. Pop_Prev Set Up'!$W$3, '2. Pop_Prev Set Up'!$W$1&amp;" : "&amp;"National")</f>
        <v>0 : National</v>
      </c>
    </row>
    <row r="4" spans="2:96" ht="21" hidden="1" customHeight="1" x14ac:dyDescent="0.35">
      <c r="B4" s="231"/>
    </row>
    <row r="5" spans="2:96" ht="19.5" customHeight="1" x14ac:dyDescent="0.25">
      <c r="P5" s="1520" t="str">
        <f>IF(Language="English", BA5, BC5)</f>
        <v>Passer ce type de données</v>
      </c>
      <c r="Q5" s="1520"/>
      <c r="R5" s="1520"/>
      <c r="BA5" s="184" t="s">
        <v>935</v>
      </c>
      <c r="BC5" s="184" t="s">
        <v>936</v>
      </c>
    </row>
    <row r="6" spans="2:96" ht="27" thickBot="1" x14ac:dyDescent="0.45">
      <c r="B6" s="243" t="str">
        <f>IF(Language="English", BA6, BC6)</f>
        <v>ÉTAPE 1 of 3. SAISIR LES TAUX DE COMPLÉTUDE</v>
      </c>
      <c r="C6" s="232"/>
      <c r="D6" s="232"/>
      <c r="E6" s="232"/>
      <c r="F6" s="232"/>
      <c r="G6" s="232"/>
      <c r="H6" s="232"/>
      <c r="I6" s="232"/>
      <c r="J6" s="232"/>
      <c r="K6" s="232"/>
      <c r="L6" s="232"/>
      <c r="M6" s="232"/>
      <c r="N6" s="232"/>
      <c r="O6" s="232"/>
      <c r="P6" s="232"/>
      <c r="Q6" s="232"/>
      <c r="R6" s="232"/>
      <c r="S6" s="232"/>
      <c r="T6" s="232"/>
      <c r="U6" s="232"/>
      <c r="V6" s="232"/>
      <c r="BA6" s="184" t="s">
        <v>1277</v>
      </c>
      <c r="BC6" s="184" t="s">
        <v>1130</v>
      </c>
    </row>
    <row r="7" spans="2:96" ht="15.75" x14ac:dyDescent="0.25">
      <c r="B7" s="103" t="str">
        <f>IF(Language="English", BA7, BC7)</f>
        <v>Saisissez les taux de complétude pour chaque année des données disponibles. Examinez si les taux de complétude sont assez élevés et cohérents pour utiliser les données.</v>
      </c>
      <c r="BA7" s="103" t="s">
        <v>1278</v>
      </c>
      <c r="BC7" s="103" t="s">
        <v>1131</v>
      </c>
    </row>
    <row r="8" spans="2:96" ht="15.75" x14ac:dyDescent="0.25">
      <c r="B8" s="103"/>
    </row>
    <row r="9" spans="2:96" ht="15.75" thickBot="1" x14ac:dyDescent="0.3">
      <c r="C9" s="11"/>
      <c r="D9" s="11"/>
      <c r="E9" s="11"/>
      <c r="F9" s="40"/>
      <c r="G9" s="47">
        <f xml:space="preserve"> '3. ServiceStats Set Up'!$K$28</f>
        <v>0</v>
      </c>
      <c r="H9" s="47" t="str">
        <f>IFERROR(IF(G9+1&lt;='3. ServiceStats Set Up'!$K$29, 'Users Input'!G9+1, ""), "")</f>
        <v/>
      </c>
      <c r="I9" s="47" t="str">
        <f>IFERROR(IF(H9+1&lt;='3. ServiceStats Set Up'!$K$29, 'Users Input'!H9+1, ""), "")</f>
        <v/>
      </c>
      <c r="J9" s="47" t="str">
        <f>IFERROR(IF(I9+1&lt;='3. ServiceStats Set Up'!$K$29, 'Users Input'!I9+1, ""), "")</f>
        <v/>
      </c>
      <c r="K9" s="47" t="str">
        <f>IFERROR(IF(J9+1&lt;='3. ServiceStats Set Up'!$K$29, 'Users Input'!J9+1, ""), "")</f>
        <v/>
      </c>
      <c r="L9" s="47" t="str">
        <f>IFERROR(IF(K9+1&lt;='3. ServiceStats Set Up'!$K$29, 'Users Input'!K9+1, ""), "")</f>
        <v/>
      </c>
      <c r="M9" s="47" t="str">
        <f>IFERROR(IF(L9+1&lt;='3. ServiceStats Set Up'!$K$29, 'Users Input'!L9+1, ""), "")</f>
        <v/>
      </c>
      <c r="N9" s="47" t="str">
        <f>IFERROR(IF(M9+1&lt;='3. ServiceStats Set Up'!$K$29, 'Users Input'!M9+1, ""), "")</f>
        <v/>
      </c>
      <c r="O9" s="47" t="str">
        <f>IFERROR(IF(N9+1&lt;='3. ServiceStats Set Up'!$K$29, 'Users Input'!N9+1, ""), "")</f>
        <v/>
      </c>
      <c r="P9" s="47" t="str">
        <f>IFERROR(IF(O9+1&lt;='3. ServiceStats Set Up'!$K$29, 'Users Input'!O9+1, ""), "")</f>
        <v/>
      </c>
      <c r="Q9" s="47" t="str">
        <f>IFERROR(IF(P9+1&lt;='3. ServiceStats Set Up'!$K$29, 'Users Input'!P9+1, ""), "")</f>
        <v/>
      </c>
      <c r="R9" s="47" t="str">
        <f>IFERROR(IF(Q9+1&lt;='3. ServiceStats Set Up'!$K$29, 'Users Input'!Q9+1, ""), "")</f>
        <v/>
      </c>
      <c r="S9" s="47" t="str">
        <f>IFERROR(IF(R9+1&lt;='3. ServiceStats Set Up'!$K$29, 'Users Input'!R9+1, ""), "")</f>
        <v/>
      </c>
      <c r="T9" s="47" t="str">
        <f>IFERROR(IF(S9+1&lt;='3. ServiceStats Set Up'!$K$29, 'Users Input'!S9+1, ""), "")</f>
        <v/>
      </c>
      <c r="U9" s="47" t="str">
        <f>IFERROR(IF(T9+1&lt;='3. ServiceStats Set Up'!$K$29, 'Users Input'!T9+1, ""), "")</f>
        <v/>
      </c>
      <c r="V9" s="47" t="str">
        <f>IFERROR(IF(U9+1&lt;='3. ServiceStats Set Up'!$K$29, 'Users Input'!U9+1, ""), "")</f>
        <v/>
      </c>
      <c r="BK9" s="47">
        <f>G9</f>
        <v>0</v>
      </c>
      <c r="BL9" s="47" t="str">
        <f t="shared" ref="BL9:BZ9" si="0">H9</f>
        <v/>
      </c>
      <c r="BM9" s="47" t="str">
        <f t="shared" si="0"/>
        <v/>
      </c>
      <c r="BN9" s="47" t="str">
        <f t="shared" si="0"/>
        <v/>
      </c>
      <c r="BO9" s="47" t="str">
        <f t="shared" si="0"/>
        <v/>
      </c>
      <c r="BP9" s="47" t="str">
        <f t="shared" si="0"/>
        <v/>
      </c>
      <c r="BQ9" s="47" t="str">
        <f t="shared" si="0"/>
        <v/>
      </c>
      <c r="BR9" s="47" t="str">
        <f t="shared" si="0"/>
        <v/>
      </c>
      <c r="BS9" s="47" t="str">
        <f t="shared" si="0"/>
        <v/>
      </c>
      <c r="BT9" s="47" t="str">
        <f t="shared" si="0"/>
        <v/>
      </c>
      <c r="BU9" s="47" t="str">
        <f t="shared" si="0"/>
        <v/>
      </c>
      <c r="BV9" s="47" t="str">
        <f t="shared" si="0"/>
        <v/>
      </c>
      <c r="BW9" s="47" t="str">
        <f t="shared" si="0"/>
        <v/>
      </c>
      <c r="BX9" s="47" t="str">
        <f t="shared" si="0"/>
        <v/>
      </c>
      <c r="BY9" s="47" t="str">
        <f t="shared" si="0"/>
        <v/>
      </c>
      <c r="BZ9" s="47" t="str">
        <f t="shared" si="0"/>
        <v/>
      </c>
      <c r="CC9" s="47">
        <f t="shared" ref="CC9:CR9" si="1">G9</f>
        <v>0</v>
      </c>
      <c r="CD9" s="47" t="str">
        <f t="shared" si="1"/>
        <v/>
      </c>
      <c r="CE9" s="47" t="str">
        <f t="shared" si="1"/>
        <v/>
      </c>
      <c r="CF9" s="47" t="str">
        <f t="shared" si="1"/>
        <v/>
      </c>
      <c r="CG9" s="47" t="str">
        <f t="shared" si="1"/>
        <v/>
      </c>
      <c r="CH9" s="47" t="str">
        <f t="shared" si="1"/>
        <v/>
      </c>
      <c r="CI9" s="47" t="str">
        <f t="shared" si="1"/>
        <v/>
      </c>
      <c r="CJ9" s="47" t="str">
        <f t="shared" si="1"/>
        <v/>
      </c>
      <c r="CK9" s="47" t="str">
        <f t="shared" si="1"/>
        <v/>
      </c>
      <c r="CL9" s="47" t="str">
        <f t="shared" si="1"/>
        <v/>
      </c>
      <c r="CM9" s="47" t="str">
        <f t="shared" si="1"/>
        <v/>
      </c>
      <c r="CN9" s="47" t="str">
        <f t="shared" si="1"/>
        <v/>
      </c>
      <c r="CO9" s="47" t="str">
        <f t="shared" si="1"/>
        <v/>
      </c>
      <c r="CP9" s="47" t="str">
        <f t="shared" si="1"/>
        <v/>
      </c>
      <c r="CQ9" s="47" t="str">
        <f t="shared" si="1"/>
        <v/>
      </c>
      <c r="CR9" s="47" t="str">
        <f t="shared" si="1"/>
        <v/>
      </c>
    </row>
    <row r="10" spans="2:96" ht="22.5" thickTop="1" thickBot="1" x14ac:dyDescent="0.3">
      <c r="B10" s="1518"/>
      <c r="C10" s="1513" t="str">
        <f>'Language Look Ups'!$B$22</f>
        <v>Saisissez les taux de complétude</v>
      </c>
      <c r="D10" s="1514"/>
      <c r="E10" s="1514"/>
      <c r="F10" s="1514"/>
      <c r="G10" s="273"/>
      <c r="H10" s="273"/>
      <c r="I10" s="273"/>
      <c r="J10" s="273"/>
      <c r="K10" s="273"/>
      <c r="L10" s="273"/>
      <c r="M10" s="273"/>
      <c r="N10" s="273"/>
      <c r="O10" s="273"/>
      <c r="P10" s="273"/>
      <c r="Q10" s="273"/>
      <c r="R10" s="273"/>
      <c r="S10" s="273"/>
      <c r="T10" s="273"/>
      <c r="U10" s="273"/>
      <c r="V10" s="273"/>
      <c r="AA10" s="113">
        <f>COUNTIF(G11:V11, 1)</f>
        <v>0</v>
      </c>
      <c r="BK10" s="49">
        <f>IF(BK9="", "", HLOOKUP(BK$9, $G$9:$V$10, 2, FALSE))</f>
        <v>0</v>
      </c>
      <c r="BL10" s="49" t="str">
        <f>IF(BL9="", "", HLOOKUP(BL$9, $G$9:$V$10, 2, FALSE))</f>
        <v/>
      </c>
      <c r="BM10" s="49" t="str">
        <f>IF(BM9="", "", HLOOKUP(BM$9, $G$9:$V$10, 2, FALSE))</f>
        <v/>
      </c>
      <c r="BN10" s="49" t="str">
        <f>IF(BN9="", "", HLOOKUP(BN$9, $G$9:$V$10, 2, FALSE))</f>
        <v/>
      </c>
      <c r="BO10" s="49" t="str">
        <f>IF(BO9="", "", HLOOKUP(BO$9, $G$9:$V$10, 2, FALSE))</f>
        <v/>
      </c>
      <c r="BP10" s="49" t="str">
        <f t="shared" ref="BP10:BZ10" si="2">IF(BP9="", "", HLOOKUP(BP$9, $G$9:$V$10, 2, FALSE))</f>
        <v/>
      </c>
      <c r="BQ10" s="49" t="str">
        <f t="shared" si="2"/>
        <v/>
      </c>
      <c r="BR10" s="49" t="str">
        <f t="shared" si="2"/>
        <v/>
      </c>
      <c r="BS10" s="49" t="str">
        <f t="shared" si="2"/>
        <v/>
      </c>
      <c r="BT10" s="49" t="str">
        <f t="shared" si="2"/>
        <v/>
      </c>
      <c r="BU10" s="49" t="str">
        <f t="shared" si="2"/>
        <v/>
      </c>
      <c r="BV10" s="49" t="str">
        <f t="shared" si="2"/>
        <v/>
      </c>
      <c r="BW10" s="49" t="str">
        <f t="shared" si="2"/>
        <v/>
      </c>
      <c r="BX10" s="49" t="str">
        <f t="shared" si="2"/>
        <v/>
      </c>
      <c r="BY10" s="49" t="str">
        <f t="shared" si="2"/>
        <v/>
      </c>
      <c r="BZ10" s="49" t="str">
        <f t="shared" si="2"/>
        <v/>
      </c>
      <c r="CC10" s="49">
        <f>IF(CC9="", "", HLOOKUP(CC$9, $G$9:$V$10, 2, FALSE))</f>
        <v>0</v>
      </c>
      <c r="CD10" s="49" t="str">
        <f t="shared" ref="CD10:CR10" si="3">IF(CD9="", "", HLOOKUP(CD$9, $G$9:$V$10, 2, FALSE))</f>
        <v/>
      </c>
      <c r="CE10" s="49" t="str">
        <f t="shared" si="3"/>
        <v/>
      </c>
      <c r="CF10" s="49" t="str">
        <f t="shared" si="3"/>
        <v/>
      </c>
      <c r="CG10" s="49" t="str">
        <f>IF(CG9="", "", HLOOKUP(CG$9, $G$9:$V$10, 2, FALSE))</f>
        <v/>
      </c>
      <c r="CH10" s="49" t="str">
        <f t="shared" si="3"/>
        <v/>
      </c>
      <c r="CI10" s="49" t="str">
        <f t="shared" si="3"/>
        <v/>
      </c>
      <c r="CJ10" s="49" t="str">
        <f t="shared" si="3"/>
        <v/>
      </c>
      <c r="CK10" s="49" t="str">
        <f t="shared" si="3"/>
        <v/>
      </c>
      <c r="CL10" s="49" t="str">
        <f t="shared" si="3"/>
        <v/>
      </c>
      <c r="CM10" s="49" t="str">
        <f t="shared" si="3"/>
        <v/>
      </c>
      <c r="CN10" s="49" t="str">
        <f t="shared" si="3"/>
        <v/>
      </c>
      <c r="CO10" s="49" t="str">
        <f t="shared" si="3"/>
        <v/>
      </c>
      <c r="CP10" s="49" t="str">
        <f t="shared" si="3"/>
        <v/>
      </c>
      <c r="CQ10" s="49" t="str">
        <f t="shared" si="3"/>
        <v/>
      </c>
      <c r="CR10" s="49" t="str">
        <f t="shared" si="3"/>
        <v/>
      </c>
    </row>
    <row r="11" spans="2:96" ht="12" customHeight="1" thickTop="1" x14ac:dyDescent="0.25">
      <c r="B11" s="1518"/>
      <c r="C11" s="31"/>
      <c r="D11" s="31"/>
      <c r="E11" s="31"/>
      <c r="F11" s="31"/>
      <c r="G11" s="113">
        <f>IF(G9="", "", IF(G10&gt;=80%, 1, IF(G10&gt;=60%, 2,3)))</f>
        <v>3</v>
      </c>
      <c r="H11" s="113" t="str">
        <f t="shared" ref="H11:U11" si="4">IF(H9="", "", IF(H10&gt;=80%, 1, IF(H10&gt;=60%, 2,3)))</f>
        <v/>
      </c>
      <c r="I11" s="113" t="str">
        <f t="shared" si="4"/>
        <v/>
      </c>
      <c r="J11" s="113" t="str">
        <f t="shared" si="4"/>
        <v/>
      </c>
      <c r="K11" s="113" t="str">
        <f t="shared" si="4"/>
        <v/>
      </c>
      <c r="L11" s="113" t="str">
        <f t="shared" si="4"/>
        <v/>
      </c>
      <c r="M11" s="113" t="str">
        <f t="shared" si="4"/>
        <v/>
      </c>
      <c r="N11" s="113" t="str">
        <f t="shared" si="4"/>
        <v/>
      </c>
      <c r="O11" s="113" t="str">
        <f t="shared" si="4"/>
        <v/>
      </c>
      <c r="P11" s="113" t="str">
        <f t="shared" si="4"/>
        <v/>
      </c>
      <c r="Q11" s="113" t="str">
        <f t="shared" si="4"/>
        <v/>
      </c>
      <c r="R11" s="113" t="str">
        <f t="shared" si="4"/>
        <v/>
      </c>
      <c r="S11" s="113" t="str">
        <f t="shared" si="4"/>
        <v/>
      </c>
      <c r="T11" s="113" t="str">
        <f t="shared" si="4"/>
        <v/>
      </c>
      <c r="U11" s="113" t="str">
        <f t="shared" si="4"/>
        <v/>
      </c>
      <c r="V11" s="113" t="str">
        <f>IF(V9="", "", IF(V10&gt;=80%, 1, IF(V10&gt;=60%, 2,3)))</f>
        <v/>
      </c>
      <c r="AA11" s="113">
        <f>COUNTIF(G11:V11, 2)</f>
        <v>0</v>
      </c>
      <c r="AB11" s="114"/>
    </row>
    <row r="12" spans="2:96" ht="22.5" customHeight="1" x14ac:dyDescent="0.25">
      <c r="B12" s="1518"/>
      <c r="C12" s="1516" t="str">
        <f>IF(Language="English", BA12, BC12)</f>
        <v>Les taux de complétude devraient être supérieurs à 80% pour utiliser les données dans FPET. Si les taux varient entre 60% et 80%, veuillez discuter avec un membre de l'équipe de Track20.</v>
      </c>
      <c r="D12" s="1516">
        <f t="shared" ref="D12:V12" si="5">IF(Language="Francais", BE12, BC12)</f>
        <v>0</v>
      </c>
      <c r="E12" s="1516">
        <f t="shared" si="5"/>
        <v>0</v>
      </c>
      <c r="F12" s="1516">
        <f t="shared" si="5"/>
        <v>0</v>
      </c>
      <c r="G12" s="1516">
        <f t="shared" si="5"/>
        <v>0</v>
      </c>
      <c r="H12" s="1516">
        <f t="shared" si="5"/>
        <v>0</v>
      </c>
      <c r="I12" s="1516">
        <f t="shared" si="5"/>
        <v>0</v>
      </c>
      <c r="J12" s="1516">
        <f t="shared" si="5"/>
        <v>0</v>
      </c>
      <c r="K12" s="1516">
        <f t="shared" si="5"/>
        <v>0</v>
      </c>
      <c r="L12" s="1516">
        <f t="shared" si="5"/>
        <v>0</v>
      </c>
      <c r="M12" s="1516">
        <f t="shared" si="5"/>
        <v>0</v>
      </c>
      <c r="N12" s="1516">
        <f t="shared" si="5"/>
        <v>0</v>
      </c>
      <c r="O12" s="1516">
        <f t="shared" si="5"/>
        <v>0</v>
      </c>
      <c r="P12" s="1516">
        <f t="shared" si="5"/>
        <v>0</v>
      </c>
      <c r="Q12" s="1516">
        <f t="shared" si="5"/>
        <v>0</v>
      </c>
      <c r="R12" s="1516">
        <f t="shared" si="5"/>
        <v>0</v>
      </c>
      <c r="S12" s="1516">
        <f t="shared" si="5"/>
        <v>0</v>
      </c>
      <c r="T12" s="1516">
        <f t="shared" si="5"/>
        <v>0</v>
      </c>
      <c r="U12" s="1516">
        <f t="shared" si="5"/>
        <v>0</v>
      </c>
      <c r="V12" s="1516">
        <f t="shared" si="5"/>
        <v>0</v>
      </c>
      <c r="BA12" s="184" t="s">
        <v>116</v>
      </c>
      <c r="BC12" s="184" t="s">
        <v>1132</v>
      </c>
    </row>
    <row r="13" spans="2:96" ht="22.5" hidden="1" customHeight="1" x14ac:dyDescent="0.25">
      <c r="B13" s="1518"/>
      <c r="C13" s="1517" t="str">
        <f>IF(AA10&gt;=3, "You have at least 3 years of data with reporting rates greater than 80%.", IF(SUM(AA10:AA11)&gt;=3, "You have at least 3 years of data with reporting rates greater than 60%, please discuss with Track20 Team Member.", "Reporting Rates are generally below 60%, so this data may not be useable in FPET. This may be an opportunity to address data quality."))</f>
        <v>Reporting Rates are generally below 60%, so this data may not be useable in FPET. This may be an opportunity to address data quality.</v>
      </c>
      <c r="D13" s="1517"/>
      <c r="E13" s="1517"/>
      <c r="F13" s="1517"/>
      <c r="G13" s="1517"/>
      <c r="H13" s="1517"/>
      <c r="I13" s="1517"/>
      <c r="J13" s="1517"/>
      <c r="K13" s="1517"/>
      <c r="L13" s="1517"/>
      <c r="M13" s="1517"/>
      <c r="N13" s="1517"/>
      <c r="O13" s="1517"/>
      <c r="P13" s="1517"/>
      <c r="Q13" s="1517"/>
      <c r="R13" s="1517"/>
      <c r="S13" s="1517"/>
      <c r="T13" s="1517"/>
      <c r="U13" s="1517"/>
      <c r="V13" s="1517"/>
    </row>
    <row r="14" spans="2:96" ht="35.1" hidden="1" customHeight="1" x14ac:dyDescent="0.45">
      <c r="B14" s="1518"/>
      <c r="C14" s="1519" t="str">
        <f>IF((COUNTIF(G10:V10, "&gt;0")=COUNTIF(G9:V9, "&gt;0"))=FALSE, "You have not entered reporting rates for all years, please add this data to continue", "")</f>
        <v/>
      </c>
      <c r="D14" s="1519"/>
      <c r="E14" s="1519"/>
      <c r="F14" s="1519"/>
      <c r="G14" s="1519"/>
      <c r="H14" s="1519"/>
      <c r="I14" s="1519"/>
      <c r="J14" s="1519"/>
      <c r="K14" s="1519"/>
      <c r="L14" s="1519"/>
      <c r="M14" s="1519"/>
      <c r="N14" s="1519"/>
      <c r="O14" s="1519"/>
      <c r="P14" s="1519"/>
      <c r="Q14" s="1519"/>
      <c r="R14" s="1519"/>
      <c r="S14" s="1519"/>
      <c r="T14" s="1519"/>
      <c r="U14" s="1519"/>
      <c r="V14" s="1519"/>
    </row>
    <row r="16" spans="2:96" ht="27" thickBot="1" x14ac:dyDescent="0.45">
      <c r="B16" s="243" t="str">
        <f>IF(Language="English", BA16, BC16)</f>
        <v>ÉTAPE 2 of 3. SAISIR LES DONNÉES DES UTILISATEURS</v>
      </c>
      <c r="C16" s="232"/>
      <c r="D16" s="232"/>
      <c r="E16" s="232"/>
      <c r="F16" s="232"/>
      <c r="G16" s="232"/>
      <c r="H16" s="232"/>
      <c r="I16" s="232"/>
      <c r="J16" s="232"/>
      <c r="K16" s="232"/>
      <c r="L16" s="232"/>
      <c r="M16" s="232"/>
      <c r="N16" s="232"/>
      <c r="O16" s="232"/>
      <c r="P16" s="232"/>
      <c r="Q16" s="232"/>
      <c r="R16" s="232"/>
      <c r="S16" s="232"/>
      <c r="T16" s="232"/>
      <c r="U16" s="232"/>
      <c r="V16" s="232"/>
      <c r="AA16" s="1543" t="str">
        <f>IF(Language="English", BA20, BC20)</f>
        <v>OPTIONNEL: SAISIR LES AJUSTEMENTS POUR LES DONNÉES DU SECTEUR PRIVÉ MANQUANTES</v>
      </c>
      <c r="AB16" s="1543"/>
      <c r="AC16" s="1543"/>
      <c r="AD16" s="1543"/>
      <c r="AE16" s="1543"/>
      <c r="AF16" s="1543"/>
      <c r="AG16" s="1543"/>
      <c r="AH16" s="1543"/>
      <c r="AI16" s="1543"/>
      <c r="AJ16" s="1543"/>
      <c r="AK16" s="1543"/>
      <c r="AL16" s="1543"/>
      <c r="AM16" s="1543"/>
      <c r="AN16" s="1543"/>
      <c r="AO16" s="1543"/>
      <c r="AP16" s="1543"/>
      <c r="AQ16" s="1543"/>
      <c r="AR16" s="1543"/>
      <c r="BA16" s="184" t="s">
        <v>1083</v>
      </c>
      <c r="BC16" s="184" t="s">
        <v>1084</v>
      </c>
    </row>
    <row r="17" spans="2:96" ht="30" customHeight="1" thickBot="1" x14ac:dyDescent="0.3">
      <c r="B17" s="196" t="str">
        <f>IF(Language="English", BA17, BC17)</f>
        <v>Saisissez les chiffres des utilisatrices annuels par méthode dans le tableau ci-dessous pour les méthodes utilisées dans votre pays. Saisissez les données pour chaque année.</v>
      </c>
      <c r="AA17" s="1541" t="str">
        <f>IF(Language="English", BA21, BC21)</f>
        <v>Si vous souhaitez modifier l'ajustement du secteur privé au fil du temps, vous pouvez le faire ci-dessous. Ces chiffres représentent le facteur d'inflation, par méthode, qui sera utilisé pour ajuster les valeurs que vous avez saisies à gauche pour représenter l'ensemble du marché (toutes les prestations de PF du secteur public et privé).</v>
      </c>
      <c r="AB17" s="1541"/>
      <c r="AC17" s="1541"/>
      <c r="AD17" s="1541"/>
      <c r="AE17" s="1541"/>
      <c r="AF17" s="1541"/>
      <c r="AG17" s="1541"/>
      <c r="AH17" s="1541"/>
      <c r="AI17" s="1541"/>
      <c r="AJ17" s="1541"/>
      <c r="AK17" s="1541"/>
      <c r="AL17" s="1541"/>
      <c r="AM17" s="1541"/>
      <c r="AN17" s="1541"/>
      <c r="AO17" s="1541"/>
      <c r="AP17" s="1541"/>
      <c r="AQ17" s="1541"/>
      <c r="AR17" s="1541"/>
      <c r="BA17" s="196" t="s">
        <v>572</v>
      </c>
      <c r="BC17" s="196" t="s">
        <v>2439</v>
      </c>
    </row>
    <row r="18" spans="2:96" ht="30" hidden="1" customHeight="1" x14ac:dyDescent="0.25">
      <c r="B18" s="196" t="s">
        <v>573</v>
      </c>
      <c r="AB18" s="1523" t="s">
        <v>112</v>
      </c>
      <c r="AC18" s="1523"/>
      <c r="AD18" s="1523"/>
      <c r="AE18" s="1523"/>
      <c r="AF18" s="1523"/>
      <c r="AG18" s="1523"/>
      <c r="AH18" s="1523"/>
      <c r="AI18" s="1523"/>
      <c r="AJ18" s="1523"/>
      <c r="AK18" s="1523"/>
      <c r="AL18" s="1523"/>
      <c r="AM18" s="1523"/>
      <c r="AN18" s="1523"/>
      <c r="AO18" s="1523"/>
      <c r="AP18" s="1523"/>
      <c r="AQ18" s="1523"/>
      <c r="AR18" s="1523"/>
    </row>
    <row r="19" spans="2:96" ht="19.5" hidden="1" customHeight="1" thickBot="1" x14ac:dyDescent="0.3">
      <c r="AB19" s="183" t="s">
        <v>82</v>
      </c>
      <c r="AC19" s="183"/>
      <c r="AD19" s="183"/>
      <c r="AE19" s="183"/>
      <c r="AF19" s="183"/>
      <c r="AG19" s="183"/>
      <c r="AH19" s="183"/>
      <c r="AI19" s="183"/>
      <c r="AJ19" s="183"/>
      <c r="AK19" s="183"/>
      <c r="AL19" s="183"/>
      <c r="AM19" s="183"/>
      <c r="AN19" s="183"/>
      <c r="AO19" s="183"/>
      <c r="AP19" s="183"/>
      <c r="AQ19" s="183"/>
      <c r="AR19" s="183"/>
      <c r="BK19" s="233" t="s">
        <v>563</v>
      </c>
      <c r="BL19" s="234"/>
      <c r="BM19" s="234"/>
      <c r="BN19" s="234"/>
      <c r="BO19" s="234"/>
      <c r="BP19" s="234"/>
      <c r="BQ19" s="234"/>
      <c r="BR19" s="234"/>
      <c r="BS19" s="234"/>
      <c r="BT19" s="234"/>
      <c r="BU19" s="234"/>
      <c r="BV19" s="234"/>
      <c r="BW19" s="234"/>
      <c r="BX19" s="234"/>
      <c r="BY19" s="234"/>
      <c r="BZ19" s="234"/>
      <c r="CC19" s="235"/>
      <c r="CD19" s="235"/>
      <c r="CE19" s="235"/>
      <c r="CF19" s="235"/>
      <c r="CG19" s="235"/>
      <c r="CH19" s="235"/>
      <c r="CI19" s="235"/>
      <c r="CJ19" s="235"/>
      <c r="CK19" s="235"/>
      <c r="CL19" s="235"/>
      <c r="CM19" s="235"/>
      <c r="CN19" s="235"/>
      <c r="CO19" s="235"/>
      <c r="CP19" s="235"/>
      <c r="CQ19" s="235"/>
      <c r="CR19" s="235"/>
    </row>
    <row r="20" spans="2:96" ht="24.75" thickTop="1" thickBot="1" x14ac:dyDescent="0.4">
      <c r="B20" s="1"/>
      <c r="C20" s="1"/>
      <c r="D20" s="1"/>
      <c r="E20" s="1"/>
      <c r="F20" s="1"/>
      <c r="G20" s="423" t="str">
        <f>'3. ServiceStats Set Up'!I25</f>
        <v>Utilisatrices de PF</v>
      </c>
      <c r="H20" s="424"/>
      <c r="I20" s="424"/>
      <c r="J20" s="424"/>
      <c r="K20" s="424"/>
      <c r="L20" s="424"/>
      <c r="M20" s="424"/>
      <c r="N20" s="424"/>
      <c r="O20" s="424"/>
      <c r="P20" s="424"/>
      <c r="Q20" s="424"/>
      <c r="R20" s="424"/>
      <c r="S20" s="424"/>
      <c r="T20" s="424"/>
      <c r="U20" s="424"/>
      <c r="V20" s="425"/>
      <c r="AA20" s="147"/>
      <c r="AB20" s="455" t="str">
        <f>IF(Language="English", BA22, BC22)</f>
        <v>Facteur d'ajustement</v>
      </c>
      <c r="AC20" s="456"/>
      <c r="AD20" s="456"/>
      <c r="AE20" s="456"/>
      <c r="AF20" s="456"/>
      <c r="AG20" s="456"/>
      <c r="AH20" s="456"/>
      <c r="AI20" s="456"/>
      <c r="AJ20" s="456"/>
      <c r="AK20" s="456"/>
      <c r="AL20" s="456"/>
      <c r="AM20" s="456"/>
      <c r="AN20" s="456"/>
      <c r="AO20" s="456"/>
      <c r="AP20" s="456"/>
      <c r="AQ20" s="457"/>
      <c r="AR20" s="118" t="s">
        <v>125</v>
      </c>
      <c r="BA20" s="184" t="s">
        <v>817</v>
      </c>
      <c r="BC20" s="184" t="s">
        <v>837</v>
      </c>
      <c r="BJ20" s="147"/>
      <c r="BK20" s="1533" t="s">
        <v>1194</v>
      </c>
      <c r="BL20" s="1533"/>
      <c r="BM20" s="1533"/>
      <c r="BN20" s="1533"/>
      <c r="BO20" s="1533"/>
      <c r="BP20" s="1533"/>
      <c r="BQ20" s="1533"/>
      <c r="BR20" s="1533"/>
      <c r="BS20" s="1533"/>
      <c r="BT20" s="1533"/>
      <c r="BU20" s="1533"/>
      <c r="BV20" s="1533"/>
      <c r="BW20" s="1533"/>
      <c r="BX20" s="1533"/>
      <c r="BY20" s="1533"/>
      <c r="BZ20" s="1534"/>
      <c r="CB20" s="147"/>
      <c r="CC20" s="1533" t="s">
        <v>1018</v>
      </c>
      <c r="CD20" s="1533"/>
      <c r="CE20" s="1533"/>
      <c r="CF20" s="1533"/>
      <c r="CG20" s="1533"/>
      <c r="CH20" s="1533"/>
      <c r="CI20" s="1533"/>
      <c r="CJ20" s="1533"/>
      <c r="CK20" s="1533"/>
      <c r="CL20" s="1533"/>
      <c r="CM20" s="1533"/>
      <c r="CN20" s="1533"/>
      <c r="CO20" s="1533"/>
      <c r="CP20" s="1533"/>
      <c r="CQ20" s="1533"/>
      <c r="CR20" s="1534"/>
    </row>
    <row r="21" spans="2:96" ht="33.75" customHeight="1" thickTop="1" thickBot="1" x14ac:dyDescent="0.3">
      <c r="B21" s="1515" t="s">
        <v>6</v>
      </c>
      <c r="C21" s="1515"/>
      <c r="D21" s="98" t="s">
        <v>8</v>
      </c>
      <c r="E21" s="229"/>
      <c r="F21" s="229" t="s">
        <v>84</v>
      </c>
      <c r="G21" s="426">
        <f xml:space="preserve"> '3. ServiceStats Set Up'!$K$28</f>
        <v>0</v>
      </c>
      <c r="H21" s="427" t="str">
        <f>IFERROR(IF(G21+1&lt;='3. ServiceStats Set Up'!$K$29, 'Users Input'!G21+1, ""), "")</f>
        <v/>
      </c>
      <c r="I21" s="427" t="str">
        <f>IFERROR(IF(H21+1&lt;='3. ServiceStats Set Up'!$K$29, 'Users Input'!H21+1, ""), "")</f>
        <v/>
      </c>
      <c r="J21" s="427" t="str">
        <f>IFERROR(IF(I21+1&lt;='3. ServiceStats Set Up'!$K$29, 'Users Input'!I21+1, ""), "")</f>
        <v/>
      </c>
      <c r="K21" s="427" t="str">
        <f>IFERROR(IF(J21+1&lt;='3. ServiceStats Set Up'!$K$29, 'Users Input'!J21+1, ""), "")</f>
        <v/>
      </c>
      <c r="L21" s="427" t="str">
        <f>IFERROR(IF(K21+1&lt;='3. ServiceStats Set Up'!$K$29, 'Users Input'!K21+1, ""), "")</f>
        <v/>
      </c>
      <c r="M21" s="427" t="str">
        <f>IFERROR(IF(L21+1&lt;='3. ServiceStats Set Up'!$K$29, 'Users Input'!L21+1, ""), "")</f>
        <v/>
      </c>
      <c r="N21" s="427" t="str">
        <f>IFERROR(IF(M21+1&lt;='3. ServiceStats Set Up'!$K$29, 'Users Input'!M21+1, ""), "")</f>
        <v/>
      </c>
      <c r="O21" s="427" t="str">
        <f>IFERROR(IF(N21+1&lt;='3. ServiceStats Set Up'!$K$29, 'Users Input'!N21+1, ""), "")</f>
        <v/>
      </c>
      <c r="P21" s="427" t="str">
        <f>IFERROR(IF(O21+1&lt;='3. ServiceStats Set Up'!$K$29, 'Users Input'!O21+1, ""), "")</f>
        <v/>
      </c>
      <c r="Q21" s="427" t="str">
        <f>IFERROR(IF(P21+1&lt;='3. ServiceStats Set Up'!$K$29, 'Users Input'!P21+1, ""), "")</f>
        <v/>
      </c>
      <c r="R21" s="427" t="str">
        <f>IFERROR(IF(Q21+1&lt;='3. ServiceStats Set Up'!$K$29, 'Users Input'!Q21+1, ""), "")</f>
        <v/>
      </c>
      <c r="S21" s="427" t="str">
        <f>IFERROR(IF(R21+1&lt;='3. ServiceStats Set Up'!$K$29, 'Users Input'!R21+1, ""), "")</f>
        <v/>
      </c>
      <c r="T21" s="427" t="str">
        <f>IFERROR(IF(S21+1&lt;='3. ServiceStats Set Up'!$K$29, 'Users Input'!S21+1, ""), "")</f>
        <v/>
      </c>
      <c r="U21" s="427" t="str">
        <f>IFERROR(IF(T21+1&lt;='3. ServiceStats Set Up'!$K$29, 'Users Input'!T21+1, ""), "")</f>
        <v/>
      </c>
      <c r="V21" s="428" t="str">
        <f>IFERROR(IF(U21+1&lt;='3. ServiceStats Set Up'!$K$29, 'Users Input'!U21+1, ""), "")</f>
        <v/>
      </c>
      <c r="AA21" s="150"/>
      <c r="AB21" s="426">
        <f xml:space="preserve"> '3. ServiceStats Set Up'!$K$28</f>
        <v>0</v>
      </c>
      <c r="AC21" s="427" t="str">
        <f>IFERROR(IF(AB21+1&lt;='3. ServiceStats Set Up'!$K$29, 'Users Input'!AB21+1, ""), "")</f>
        <v/>
      </c>
      <c r="AD21" s="427" t="str">
        <f>IFERROR(IF(AC21+1&lt;='3. ServiceStats Set Up'!$K$29, 'Users Input'!AC21+1, ""), "")</f>
        <v/>
      </c>
      <c r="AE21" s="427" t="str">
        <f>IFERROR(IF(AD21+1&lt;='3. ServiceStats Set Up'!$K$29, 'Users Input'!AD21+1, ""), "")</f>
        <v/>
      </c>
      <c r="AF21" s="427" t="str">
        <f>IFERROR(IF(AE21+1&lt;='3. ServiceStats Set Up'!$K$29, 'Users Input'!AE21+1, ""), "")</f>
        <v/>
      </c>
      <c r="AG21" s="427" t="str">
        <f>IFERROR(IF(AF21+1&lt;='3. ServiceStats Set Up'!$K$29, 'Users Input'!AF21+1, ""), "")</f>
        <v/>
      </c>
      <c r="AH21" s="427" t="str">
        <f>IFERROR(IF(AG21+1&lt;='3. ServiceStats Set Up'!$K$29, 'Users Input'!AG21+1, ""), "")</f>
        <v/>
      </c>
      <c r="AI21" s="427" t="str">
        <f>IFERROR(IF(AH21+1&lt;='3. ServiceStats Set Up'!$K$29, 'Users Input'!AH21+1, ""), "")</f>
        <v/>
      </c>
      <c r="AJ21" s="427" t="str">
        <f>IFERROR(IF(AI21+1&lt;='3. ServiceStats Set Up'!$K$29, 'Users Input'!AI21+1, ""), "")</f>
        <v/>
      </c>
      <c r="AK21" s="427" t="str">
        <f>IFERROR(IF(AJ21+1&lt;='3. ServiceStats Set Up'!$K$29, 'Users Input'!AJ21+1, ""), "")</f>
        <v/>
      </c>
      <c r="AL21" s="427" t="str">
        <f>IFERROR(IF(AK21+1&lt;='3. ServiceStats Set Up'!$K$29, 'Users Input'!AK21+1, ""), "")</f>
        <v/>
      </c>
      <c r="AM21" s="427" t="str">
        <f>IFERROR(IF(AL21+1&lt;='3. ServiceStats Set Up'!$K$29, 'Users Input'!AL21+1, ""), "")</f>
        <v/>
      </c>
      <c r="AN21" s="427" t="str">
        <f>IFERROR(IF(AM21+1&lt;='3. ServiceStats Set Up'!$K$29, 'Users Input'!AM21+1, ""), "")</f>
        <v/>
      </c>
      <c r="AO21" s="427" t="str">
        <f>IFERROR(IF(AN21+1&lt;='3. ServiceStats Set Up'!$K$29, 'Users Input'!AN21+1, ""), "")</f>
        <v/>
      </c>
      <c r="AP21" s="427" t="str">
        <f>IFERROR(IF(AO21+1&lt;='3. ServiceStats Set Up'!$K$29, 'Users Input'!AO21+1, ""), "")</f>
        <v/>
      </c>
      <c r="AQ21" s="428" t="str">
        <f>IFERROR(IF(AP21+1&lt;='3. ServiceStats Set Up'!$K$29, 'Users Input'!AP21+1, ""), "")</f>
        <v/>
      </c>
      <c r="AR21" s="286" t="str">
        <f>'4. FPSource Set Up'!D10</f>
        <v>No DHS Available - replace with your own data if available</v>
      </c>
      <c r="BA21" s="184" t="s">
        <v>1276</v>
      </c>
      <c r="BC21" s="1056" t="s">
        <v>1308</v>
      </c>
      <c r="BJ21" s="150"/>
      <c r="BK21" s="426">
        <f xml:space="preserve"> '3. ServiceStats Set Up'!$K$28</f>
        <v>0</v>
      </c>
      <c r="BL21" s="427" t="str">
        <f>IFERROR(IF(BK21+1&lt;='3. ServiceStats Set Up'!$K$29, 'Users Input'!BK21+1, ""), "")</f>
        <v/>
      </c>
      <c r="BM21" s="427" t="str">
        <f>IFERROR(IF(BL21+1&lt;='3. ServiceStats Set Up'!$K$29, 'Users Input'!BL21+1, ""), "")</f>
        <v/>
      </c>
      <c r="BN21" s="427" t="str">
        <f>IFERROR(IF(BM21+1&lt;='3. ServiceStats Set Up'!$K$29, 'Users Input'!BM21+1, ""), "")</f>
        <v/>
      </c>
      <c r="BO21" s="427" t="str">
        <f>IFERROR(IF(BN21+1&lt;='3. ServiceStats Set Up'!$K$29, 'Users Input'!BN21+1, ""), "")</f>
        <v/>
      </c>
      <c r="BP21" s="427" t="str">
        <f>IFERROR(IF(BO21+1&lt;='3. ServiceStats Set Up'!$K$29, 'Users Input'!BO21+1, ""), "")</f>
        <v/>
      </c>
      <c r="BQ21" s="427" t="str">
        <f>IFERROR(IF(BP21+1&lt;='3. ServiceStats Set Up'!$K$29, 'Users Input'!BP21+1, ""), "")</f>
        <v/>
      </c>
      <c r="BR21" s="427" t="str">
        <f>IFERROR(IF(BQ21+1&lt;='3. ServiceStats Set Up'!$K$29, 'Users Input'!BQ21+1, ""), "")</f>
        <v/>
      </c>
      <c r="BS21" s="427" t="str">
        <f>IFERROR(IF(BR21+1&lt;='3. ServiceStats Set Up'!$K$29, 'Users Input'!BR21+1, ""), "")</f>
        <v/>
      </c>
      <c r="BT21" s="427" t="str">
        <f>IFERROR(IF(BS21+1&lt;='3. ServiceStats Set Up'!$K$29, 'Users Input'!BS21+1, ""), "")</f>
        <v/>
      </c>
      <c r="BU21" s="427" t="str">
        <f>IFERROR(IF(BT21+1&lt;='3. ServiceStats Set Up'!$K$29, 'Users Input'!BT21+1, ""), "")</f>
        <v/>
      </c>
      <c r="BV21" s="427" t="str">
        <f>IFERROR(IF(BU21+1&lt;='3. ServiceStats Set Up'!$K$29, 'Users Input'!BU21+1, ""), "")</f>
        <v/>
      </c>
      <c r="BW21" s="427" t="str">
        <f>IFERROR(IF(BV21+1&lt;='3. ServiceStats Set Up'!$K$29, 'Users Input'!BV21+1, ""), "")</f>
        <v/>
      </c>
      <c r="BX21" s="427" t="str">
        <f>IFERROR(IF(BW21+1&lt;='3. ServiceStats Set Up'!$K$29, 'Users Input'!BW21+1, ""), "")</f>
        <v/>
      </c>
      <c r="BY21" s="427" t="str">
        <f>IFERROR(IF(BX21+1&lt;='3. ServiceStats Set Up'!$K$29, 'Users Input'!BX21+1, ""), "")</f>
        <v/>
      </c>
      <c r="BZ21" s="428" t="str">
        <f>IFERROR(IF(BY21+1&lt;='3. ServiceStats Set Up'!$K$29, 'Users Input'!BY21+1, ""), "")</f>
        <v/>
      </c>
      <c r="CB21" s="150"/>
      <c r="CC21" s="426">
        <f xml:space="preserve"> '3. ServiceStats Set Up'!$K$28</f>
        <v>0</v>
      </c>
      <c r="CD21" s="427" t="str">
        <f>IFERROR(IF(CC21+1&lt;='3. ServiceStats Set Up'!$K$29, 'Users Input'!CC21+1, ""), "")</f>
        <v/>
      </c>
      <c r="CE21" s="427" t="str">
        <f>IFERROR(IF(CD21+1&lt;='3. ServiceStats Set Up'!$K$29, 'Users Input'!CD21+1, ""), "")</f>
        <v/>
      </c>
      <c r="CF21" s="427" t="str">
        <f>IFERROR(IF(CE21+1&lt;='3. ServiceStats Set Up'!$K$29, 'Users Input'!CE21+1, ""), "")</f>
        <v/>
      </c>
      <c r="CG21" s="427" t="str">
        <f>IFERROR(IF(CF21+1&lt;='3. ServiceStats Set Up'!$K$29, 'Users Input'!CF21+1, ""), "")</f>
        <v/>
      </c>
      <c r="CH21" s="427" t="str">
        <f>IFERROR(IF(CG21+1&lt;='3. ServiceStats Set Up'!$K$29, 'Users Input'!CG21+1, ""), "")</f>
        <v/>
      </c>
      <c r="CI21" s="427" t="str">
        <f>IFERROR(IF(CH21+1&lt;='3. ServiceStats Set Up'!$K$29, 'Users Input'!CH21+1, ""), "")</f>
        <v/>
      </c>
      <c r="CJ21" s="427" t="str">
        <f>IFERROR(IF(CI21+1&lt;='3. ServiceStats Set Up'!$K$29, 'Users Input'!CI21+1, ""), "")</f>
        <v/>
      </c>
      <c r="CK21" s="427" t="str">
        <f>IFERROR(IF(CJ21+1&lt;='3. ServiceStats Set Up'!$K$29, 'Users Input'!CJ21+1, ""), "")</f>
        <v/>
      </c>
      <c r="CL21" s="427" t="str">
        <f>IFERROR(IF(CK21+1&lt;='3. ServiceStats Set Up'!$K$29, 'Users Input'!CK21+1, ""), "")</f>
        <v/>
      </c>
      <c r="CM21" s="427" t="str">
        <f>IFERROR(IF(CL21+1&lt;='3. ServiceStats Set Up'!$K$29, 'Users Input'!CL21+1, ""), "")</f>
        <v/>
      </c>
      <c r="CN21" s="427" t="str">
        <f>IFERROR(IF(CM21+1&lt;='3. ServiceStats Set Up'!$K$29, 'Users Input'!CM21+1, ""), "")</f>
        <v/>
      </c>
      <c r="CO21" s="427" t="str">
        <f>IFERROR(IF(CN21+1&lt;='3. ServiceStats Set Up'!$K$29, 'Users Input'!CN21+1, ""), "")</f>
        <v/>
      </c>
      <c r="CP21" s="427" t="str">
        <f>IFERROR(IF(CO21+1&lt;='3. ServiceStats Set Up'!$K$29, 'Users Input'!CO21+1, ""), "")</f>
        <v/>
      </c>
      <c r="CQ21" s="427" t="str">
        <f>IFERROR(IF(CP21+1&lt;='3. ServiceStats Set Up'!$K$29, 'Users Input'!CP21+1, ""), "")</f>
        <v/>
      </c>
      <c r="CR21" s="428" t="str">
        <f>IFERROR(IF(CQ21+1&lt;='3. ServiceStats Set Up'!$K$29, 'Users Input'!CQ21+1, ""), "")</f>
        <v/>
      </c>
    </row>
    <row r="22" spans="2:96" s="1" customFormat="1" ht="18.75" customHeight="1" x14ac:dyDescent="0.25">
      <c r="B22" s="415" t="str">
        <f>IF(Language="English", 'Language Look Ups'!$O$5,IF(Language="Francais", 'Language Look Ups'!$S$5,  'Language Look Ups'!$Q$5))</f>
        <v>Méthodes à Long Terme et Permanentes</v>
      </c>
      <c r="C22" s="401"/>
      <c r="D22" s="402"/>
      <c r="E22" s="403"/>
      <c r="F22" s="177"/>
      <c r="G22" s="404"/>
      <c r="H22" s="405"/>
      <c r="I22" s="404"/>
      <c r="J22" s="405"/>
      <c r="K22" s="404"/>
      <c r="L22" s="405"/>
      <c r="M22" s="404"/>
      <c r="N22" s="405"/>
      <c r="O22" s="404"/>
      <c r="P22" s="405"/>
      <c r="Q22" s="404"/>
      <c r="R22" s="405"/>
      <c r="S22" s="404"/>
      <c r="T22" s="405"/>
      <c r="U22" s="404"/>
      <c r="V22" s="406"/>
      <c r="W22"/>
      <c r="X22"/>
      <c r="Y22"/>
      <c r="Z22"/>
      <c r="AA22" s="460" t="str">
        <f>B22</f>
        <v>Méthodes à Long Terme et Permanentes</v>
      </c>
      <c r="AB22" s="46"/>
      <c r="AC22" s="44"/>
      <c r="AD22" s="43"/>
      <c r="AE22" s="44"/>
      <c r="AF22" s="43"/>
      <c r="AG22" s="44"/>
      <c r="AH22" s="43"/>
      <c r="AI22" s="44"/>
      <c r="AJ22" s="44"/>
      <c r="AK22" s="44"/>
      <c r="AL22" s="44"/>
      <c r="AM22" s="44"/>
      <c r="AN22" s="44"/>
      <c r="AO22" s="44"/>
      <c r="AP22" s="44"/>
      <c r="AQ22" s="461"/>
      <c r="AS22"/>
      <c r="AT22"/>
      <c r="AU22"/>
      <c r="AV22"/>
      <c r="AW22"/>
      <c r="AX22"/>
      <c r="AY22"/>
      <c r="AZ22"/>
      <c r="BA22" s="184" t="s">
        <v>102</v>
      </c>
      <c r="BB22" s="184"/>
      <c r="BC22" s="184" t="s">
        <v>838</v>
      </c>
      <c r="BD22"/>
      <c r="BE22"/>
      <c r="BF22"/>
      <c r="BG22"/>
      <c r="BH22"/>
      <c r="BI22" s="181"/>
      <c r="BJ22" s="675"/>
      <c r="BK22" s="404"/>
      <c r="BL22" s="405"/>
      <c r="BM22" s="404"/>
      <c r="BN22" s="405"/>
      <c r="BO22" s="404"/>
      <c r="BP22" s="405"/>
      <c r="BQ22" s="404"/>
      <c r="BR22" s="405"/>
      <c r="BS22" s="404"/>
      <c r="BT22" s="405"/>
      <c r="BU22" s="404"/>
      <c r="BV22" s="405"/>
      <c r="BW22" s="404"/>
      <c r="BX22" s="405"/>
      <c r="BY22" s="404"/>
      <c r="BZ22" s="406"/>
      <c r="CB22" s="675"/>
      <c r="CC22" s="404"/>
      <c r="CD22" s="405"/>
      <c r="CE22" s="404"/>
      <c r="CF22" s="405"/>
      <c r="CG22" s="404"/>
      <c r="CH22" s="405"/>
      <c r="CI22" s="404"/>
      <c r="CJ22" s="405"/>
      <c r="CK22" s="404"/>
      <c r="CL22" s="405"/>
      <c r="CM22" s="404"/>
      <c r="CN22" s="405"/>
      <c r="CO22" s="404"/>
      <c r="CP22" s="405"/>
      <c r="CQ22" s="404"/>
      <c r="CR22" s="406"/>
    </row>
    <row r="23" spans="2:96" ht="17.25" customHeight="1" x14ac:dyDescent="0.25">
      <c r="B23" s="1480" t="str">
        <f>IF(Language="English",'Language Look Ups'!$O$6,IF(Language="Francais",'Language Look Ups'!$S$6,'Language Look Ups'!$Q$6))</f>
        <v>Stérilisation</v>
      </c>
      <c r="C23" s="363" t="str">
        <f>IF(Language="English", 'Language Look Ups'!$P$6,IF(Language="Francais", 'Language Look Ups'!$T$6, 'Language Look Ups'!$R$6))</f>
        <v>Ligature des trompes</v>
      </c>
      <c r="D23" s="715">
        <v>1</v>
      </c>
      <c r="E23" s="408">
        <f>D23</f>
        <v>1</v>
      </c>
      <c r="F23" s="416" t="str">
        <f t="shared" ref="F23:F29" si="6">IF(Language="English", BA23, BC23)</f>
        <v>utilisatrices</v>
      </c>
      <c r="G23" s="409"/>
      <c r="H23" s="409"/>
      <c r="I23" s="409"/>
      <c r="J23" s="409"/>
      <c r="K23" s="409"/>
      <c r="L23" s="409"/>
      <c r="M23" s="409"/>
      <c r="N23" s="409"/>
      <c r="O23" s="409"/>
      <c r="P23" s="409"/>
      <c r="Q23" s="409"/>
      <c r="R23" s="409"/>
      <c r="S23" s="409"/>
      <c r="T23" s="409"/>
      <c r="U23" s="409"/>
      <c r="V23" s="411"/>
      <c r="AA23" s="462" t="str">
        <f>C23</f>
        <v>Ligature des trompes</v>
      </c>
      <c r="AB23" s="1008" t="str">
        <f>IF(AB$21="", "", VLOOKUP($AA23,'4. FPSource Set Up'!$C$96:$H$117, 6, FALSE))</f>
        <v>n/a</v>
      </c>
      <c r="AC23" s="1009" t="str">
        <f>IF(AC$21="", "", VLOOKUP($AA23,'4. FPSource Set Up'!$C$96:$H$117, 6, FALSE))</f>
        <v/>
      </c>
      <c r="AD23" s="1009" t="str">
        <f>IF(AD$21="", "", VLOOKUP($AA23,'4. FPSource Set Up'!$C$96:$H$117, 6, FALSE))</f>
        <v/>
      </c>
      <c r="AE23" s="1009" t="str">
        <f>IF(AE$21="", "", VLOOKUP($AA23,'4. FPSource Set Up'!$C$96:$H$117, 6, FALSE))</f>
        <v/>
      </c>
      <c r="AF23" s="1009" t="str">
        <f>IF(AF$21="", "", VLOOKUP($AA23,'4. FPSource Set Up'!$C$96:$H$117, 6, FALSE))</f>
        <v/>
      </c>
      <c r="AG23" s="1009" t="str">
        <f>IF(AG$21="", "", VLOOKUP($AA23,'4. FPSource Set Up'!$C$96:$H$117, 6, FALSE))</f>
        <v/>
      </c>
      <c r="AH23" s="1009" t="str">
        <f>IF(AH$21="", "", VLOOKUP($AA23,'4. FPSource Set Up'!$C$96:$H$117, 6, FALSE))</f>
        <v/>
      </c>
      <c r="AI23" s="1009" t="str">
        <f>IF(AI$21="", "", VLOOKUP($AA23,'4. FPSource Set Up'!$C$96:$H$117, 6, FALSE))</f>
        <v/>
      </c>
      <c r="AJ23" s="1009" t="str">
        <f>IF(AJ$21="", "", VLOOKUP($AA23,'4. FPSource Set Up'!$C$96:$H$117, 6, FALSE))</f>
        <v/>
      </c>
      <c r="AK23" s="1009" t="str">
        <f>IF(AK$21="", "", VLOOKUP($AA23,'4. FPSource Set Up'!$C$96:$H$117, 6, FALSE))</f>
        <v/>
      </c>
      <c r="AL23" s="1009" t="str">
        <f>IF(AL$21="", "", VLOOKUP($AA23,'4. FPSource Set Up'!$C$96:$H$117, 6, FALSE))</f>
        <v/>
      </c>
      <c r="AM23" s="1009" t="str">
        <f>IF(AM$21="", "", VLOOKUP($AA23,'4. FPSource Set Up'!$C$96:$H$117, 6, FALSE))</f>
        <v/>
      </c>
      <c r="AN23" s="1009" t="str">
        <f>IF(AN$21="", "", VLOOKUP($AA23,'4. FPSource Set Up'!$C$96:$H$117, 6, FALSE))</f>
        <v/>
      </c>
      <c r="AO23" s="1009" t="str">
        <f>IF(AO$21="", "", VLOOKUP($AA23,'4. FPSource Set Up'!$C$96:$H$117, 6, FALSE))</f>
        <v/>
      </c>
      <c r="AP23" s="1009" t="str">
        <f>IF(AP$21="", "", VLOOKUP($AA23,'4. FPSource Set Up'!$C$96:$H$117, 6, FALSE))</f>
        <v/>
      </c>
      <c r="AQ23" s="1010" t="str">
        <f>IF(AQ$21="", "", VLOOKUP($AA23,'4. FPSource Set Up'!$C$96:$H$117, 6, FALSE))</f>
        <v/>
      </c>
      <c r="BA23" s="416" t="s">
        <v>839</v>
      </c>
      <c r="BC23" s="469" t="s">
        <v>2440</v>
      </c>
      <c r="BJ23" s="676" t="str">
        <f>$C23</f>
        <v>Ligature des trompes</v>
      </c>
      <c r="BK23" s="664" t="str">
        <f>IF(OR(BK$10&lt;0.6, BK$21=""), "", G23)</f>
        <v/>
      </c>
      <c r="BL23" s="664" t="str">
        <f t="shared" ref="BL23:BZ23" si="7">IF(OR(BL$10&lt;0.6, BL$21=""), "", H23)</f>
        <v/>
      </c>
      <c r="BM23" s="664" t="str">
        <f t="shared" si="7"/>
        <v/>
      </c>
      <c r="BN23" s="664" t="str">
        <f t="shared" si="7"/>
        <v/>
      </c>
      <c r="BO23" s="664" t="str">
        <f t="shared" si="7"/>
        <v/>
      </c>
      <c r="BP23" s="664" t="str">
        <f t="shared" si="7"/>
        <v/>
      </c>
      <c r="BQ23" s="664" t="str">
        <f t="shared" si="7"/>
        <v/>
      </c>
      <c r="BR23" s="664" t="str">
        <f t="shared" si="7"/>
        <v/>
      </c>
      <c r="BS23" s="664" t="str">
        <f t="shared" si="7"/>
        <v/>
      </c>
      <c r="BT23" s="664" t="str">
        <f t="shared" si="7"/>
        <v/>
      </c>
      <c r="BU23" s="664" t="str">
        <f t="shared" si="7"/>
        <v/>
      </c>
      <c r="BV23" s="664" t="str">
        <f t="shared" si="7"/>
        <v/>
      </c>
      <c r="BW23" s="664" t="str">
        <f t="shared" si="7"/>
        <v/>
      </c>
      <c r="BX23" s="664" t="str">
        <f t="shared" si="7"/>
        <v/>
      </c>
      <c r="BY23" s="664" t="str">
        <f t="shared" si="7"/>
        <v/>
      </c>
      <c r="BZ23" s="842" t="str">
        <f t="shared" si="7"/>
        <v/>
      </c>
      <c r="CB23" s="676" t="str">
        <f>$C23</f>
        <v>Ligature des trompes</v>
      </c>
      <c r="CC23" s="664" t="str">
        <f>IF(CC$21="", "", IF(CC$10&lt;60%, "", BK23*AB23))</f>
        <v/>
      </c>
      <c r="CD23" s="664" t="str">
        <f t="shared" ref="CD23:CR23" si="8">IF(CD$21="", "", IF(CD$10&lt;60%, "", BL23*AC23))</f>
        <v/>
      </c>
      <c r="CE23" s="664" t="str">
        <f t="shared" si="8"/>
        <v/>
      </c>
      <c r="CF23" s="664" t="str">
        <f t="shared" si="8"/>
        <v/>
      </c>
      <c r="CG23" s="664" t="str">
        <f t="shared" si="8"/>
        <v/>
      </c>
      <c r="CH23" s="664" t="str">
        <f t="shared" si="8"/>
        <v/>
      </c>
      <c r="CI23" s="664" t="str">
        <f t="shared" si="8"/>
        <v/>
      </c>
      <c r="CJ23" s="664" t="str">
        <f t="shared" si="8"/>
        <v/>
      </c>
      <c r="CK23" s="664" t="str">
        <f t="shared" si="8"/>
        <v/>
      </c>
      <c r="CL23" s="664" t="str">
        <f t="shared" si="8"/>
        <v/>
      </c>
      <c r="CM23" s="664" t="str">
        <f t="shared" si="8"/>
        <v/>
      </c>
      <c r="CN23" s="664" t="str">
        <f t="shared" si="8"/>
        <v/>
      </c>
      <c r="CO23" s="664" t="str">
        <f t="shared" si="8"/>
        <v/>
      </c>
      <c r="CP23" s="664" t="str">
        <f t="shared" si="8"/>
        <v/>
      </c>
      <c r="CQ23" s="664" t="str">
        <f t="shared" si="8"/>
        <v/>
      </c>
      <c r="CR23" s="842" t="str">
        <f t="shared" si="8"/>
        <v/>
      </c>
    </row>
    <row r="24" spans="2:96" ht="17.25" customHeight="1" x14ac:dyDescent="0.25">
      <c r="B24" s="1481"/>
      <c r="C24" s="275" t="str">
        <f>IF(Language="English",'Language Look Ups'!$P$7,IF(Language="Francais",'Language Look Ups'!$T$7,'Language Look Ups'!$R$7))</f>
        <v>Vasectomie</v>
      </c>
      <c r="D24" s="716">
        <v>1</v>
      </c>
      <c r="E24" s="99">
        <f t="shared" ref="E24:E29" si="9">D24</f>
        <v>1</v>
      </c>
      <c r="F24" s="100" t="str">
        <f t="shared" si="6"/>
        <v>utilisatrices</v>
      </c>
      <c r="G24" s="284"/>
      <c r="H24" s="284"/>
      <c r="I24" s="284"/>
      <c r="J24" s="284"/>
      <c r="K24" s="284"/>
      <c r="L24" s="284"/>
      <c r="M24" s="284"/>
      <c r="N24" s="284"/>
      <c r="O24" s="284"/>
      <c r="P24" s="284"/>
      <c r="Q24" s="284"/>
      <c r="R24" s="284"/>
      <c r="S24" s="284"/>
      <c r="T24" s="284"/>
      <c r="U24" s="284"/>
      <c r="V24" s="412"/>
      <c r="AA24" s="463" t="str">
        <f t="shared" ref="AA24:AA29" si="10">C24</f>
        <v>Vasectomie</v>
      </c>
      <c r="AB24" s="1035" t="str">
        <f>IF(AB$21="", "", VLOOKUP($AA24,'4. FPSource Set Up'!$C$96:$H$117, 6, FALSE))</f>
        <v>n/a</v>
      </c>
      <c r="AC24" s="1036" t="str">
        <f>IF(AC$21="", "", VLOOKUP($AA24,'4. FPSource Set Up'!$C$96:$H$117, 6, FALSE))</f>
        <v/>
      </c>
      <c r="AD24" s="1036" t="str">
        <f>IF(AD$21="", "", VLOOKUP($AA24,'4. FPSource Set Up'!$C$96:$H$117, 6, FALSE))</f>
        <v/>
      </c>
      <c r="AE24" s="1036" t="str">
        <f>IF(AE$21="", "", VLOOKUP($AA24,'4. FPSource Set Up'!$C$96:$H$117, 6, FALSE))</f>
        <v/>
      </c>
      <c r="AF24" s="1036" t="str">
        <f>IF(AF$21="", "", VLOOKUP($AA24,'4. FPSource Set Up'!$C$96:$H$117, 6, FALSE))</f>
        <v/>
      </c>
      <c r="AG24" s="1036" t="str">
        <f>IF(AG$21="", "", VLOOKUP($AA24,'4. FPSource Set Up'!$C$96:$H$117, 6, FALSE))</f>
        <v/>
      </c>
      <c r="AH24" s="1036" t="str">
        <f>IF(AH$21="", "", VLOOKUP($AA24,'4. FPSource Set Up'!$C$96:$H$117, 6, FALSE))</f>
        <v/>
      </c>
      <c r="AI24" s="1036" t="str">
        <f>IF(AI$21="", "", VLOOKUP($AA24,'4. FPSource Set Up'!$C$96:$H$117, 6, FALSE))</f>
        <v/>
      </c>
      <c r="AJ24" s="1036" t="str">
        <f>IF(AJ$21="", "", VLOOKUP($AA24,'4. FPSource Set Up'!$C$96:$H$117, 6, FALSE))</f>
        <v/>
      </c>
      <c r="AK24" s="1036" t="str">
        <f>IF(AK$21="", "", VLOOKUP($AA24,'4. FPSource Set Up'!$C$96:$H$117, 6, FALSE))</f>
        <v/>
      </c>
      <c r="AL24" s="1036" t="str">
        <f>IF(AL$21="", "", VLOOKUP($AA24,'4. FPSource Set Up'!$C$96:$H$117, 6, FALSE))</f>
        <v/>
      </c>
      <c r="AM24" s="1036" t="str">
        <f>IF(AM$21="", "", VLOOKUP($AA24,'4. FPSource Set Up'!$C$96:$H$117, 6, FALSE))</f>
        <v/>
      </c>
      <c r="AN24" s="1036" t="str">
        <f>IF(AN$21="", "", VLOOKUP($AA24,'4. FPSource Set Up'!$C$96:$H$117, 6, FALSE))</f>
        <v/>
      </c>
      <c r="AO24" s="1036" t="str">
        <f>IF(AO$21="", "", VLOOKUP($AA24,'4. FPSource Set Up'!$C$96:$H$117, 6, FALSE))</f>
        <v/>
      </c>
      <c r="AP24" s="1036" t="str">
        <f>IF(AP$21="", "", VLOOKUP($AA24,'4. FPSource Set Up'!$C$96:$H$117, 6, FALSE))</f>
        <v/>
      </c>
      <c r="AQ24" s="1037" t="str">
        <f>IF(AQ$21="", "", VLOOKUP($AA24,'4. FPSource Set Up'!$C$96:$H$117, 6, FALSE))</f>
        <v/>
      </c>
      <c r="BA24" s="416" t="s">
        <v>839</v>
      </c>
      <c r="BC24" s="469" t="s">
        <v>2440</v>
      </c>
      <c r="BJ24" s="677" t="str">
        <f t="shared" ref="BJ24:BJ39" si="11">$C24</f>
        <v>Vasectomie</v>
      </c>
      <c r="BK24" s="667" t="str">
        <f t="shared" ref="BK24:BK29" si="12">IF(OR(BK$10&lt;0.6, BK$21=""), "", G24)</f>
        <v/>
      </c>
      <c r="BL24" s="668" t="str">
        <f t="shared" ref="BL24:BL29" si="13">IF(OR(BL$10&lt;0.6, BL$21=""), "", H24)</f>
        <v/>
      </c>
      <c r="BM24" s="667" t="str">
        <f t="shared" ref="BM24:BM29" si="14">IF(OR(BM$10&lt;0.6, BM$21=""), "", I24)</f>
        <v/>
      </c>
      <c r="BN24" s="667" t="str">
        <f t="shared" ref="BN24:BN29" si="15">IF(OR(BN$10&lt;0.6, BN$21=""), "", J24)</f>
        <v/>
      </c>
      <c r="BO24" s="667" t="str">
        <f t="shared" ref="BO24:BO29" si="16">IF(OR(BO$10&lt;0.6, BO$21=""), "", K24)</f>
        <v/>
      </c>
      <c r="BP24" s="667" t="str">
        <f t="shared" ref="BP24:BP29" si="17">IF(OR(BP$10&lt;0.6, BP$21=""), "", L24)</f>
        <v/>
      </c>
      <c r="BQ24" s="667" t="str">
        <f t="shared" ref="BQ24:BQ29" si="18">IF(OR(BQ$10&lt;0.6, BQ$21=""), "", M24)</f>
        <v/>
      </c>
      <c r="BR24" s="667" t="str">
        <f t="shared" ref="BR24:BR29" si="19">IF(OR(BR$10&lt;0.6, BR$21=""), "", N24)</f>
        <v/>
      </c>
      <c r="BS24" s="667" t="str">
        <f t="shared" ref="BS24:BS29" si="20">IF(OR(BS$10&lt;0.6, BS$21=""), "", O24)</f>
        <v/>
      </c>
      <c r="BT24" s="667" t="str">
        <f t="shared" ref="BT24:BT29" si="21">IF(OR(BT$10&lt;0.6, BT$21=""), "", P24)</f>
        <v/>
      </c>
      <c r="BU24" s="667" t="str">
        <f t="shared" ref="BU24:BU29" si="22">IF(OR(BU$10&lt;0.6, BU$21=""), "", Q24)</f>
        <v/>
      </c>
      <c r="BV24" s="667" t="str">
        <f t="shared" ref="BV24:BV29" si="23">IF(OR(BV$10&lt;0.6, BV$21=""), "", R24)</f>
        <v/>
      </c>
      <c r="BW24" s="667" t="str">
        <f t="shared" ref="BW24:BW29" si="24">IF(OR(BW$10&lt;0.6, BW$21=""), "", S24)</f>
        <v/>
      </c>
      <c r="BX24" s="667" t="str">
        <f t="shared" ref="BX24:BX29" si="25">IF(OR(BX$10&lt;0.6, BX$21=""), "", T24)</f>
        <v/>
      </c>
      <c r="BY24" s="667" t="str">
        <f t="shared" ref="BY24:BY29" si="26">IF(OR(BY$10&lt;0.6, BY$21=""), "", U24)</f>
        <v/>
      </c>
      <c r="BZ24" s="669" t="str">
        <f t="shared" ref="BZ24:BZ29" si="27">IF(OR(BZ$10&lt;0.6, BZ$21=""), "", V24)</f>
        <v/>
      </c>
      <c r="CB24" s="677" t="str">
        <f t="shared" ref="CB24:CB46" si="28">$C24</f>
        <v>Vasectomie</v>
      </c>
      <c r="CC24" s="667" t="str">
        <f t="shared" ref="CC24:CC29" si="29">IF(CC$21="", "", IF(CC$10&lt;60%, "", BK24*AB24))</f>
        <v/>
      </c>
      <c r="CD24" s="668" t="str">
        <f t="shared" ref="CD24:CD29" si="30">IF(CD$21="", "", IF(CD$10&lt;60%, "", BL24*AC24))</f>
        <v/>
      </c>
      <c r="CE24" s="667" t="str">
        <f t="shared" ref="CE24:CE29" si="31">IF(CE$21="", "", IF(CE$10&lt;60%, "", BM24*AD24))</f>
        <v/>
      </c>
      <c r="CF24" s="667" t="str">
        <f t="shared" ref="CF24:CF29" si="32">IF(CF$21="", "", IF(CF$10&lt;60%, "", BN24*AE24))</f>
        <v/>
      </c>
      <c r="CG24" s="667" t="str">
        <f t="shared" ref="CG24:CG29" si="33">IF(CG$21="", "", IF(CG$10&lt;60%, "", BO24*AF24))</f>
        <v/>
      </c>
      <c r="CH24" s="667" t="str">
        <f t="shared" ref="CH24:CH29" si="34">IF(CH$21="", "", IF(CH$10&lt;60%, "", BP24*AG24))</f>
        <v/>
      </c>
      <c r="CI24" s="667" t="str">
        <f t="shared" ref="CI24:CI29" si="35">IF(CI$21="", "", IF(CI$10&lt;60%, "", BQ24*AH24))</f>
        <v/>
      </c>
      <c r="CJ24" s="667" t="str">
        <f t="shared" ref="CJ24:CJ29" si="36">IF(CJ$21="", "", IF(CJ$10&lt;60%, "", BR24*AI24))</f>
        <v/>
      </c>
      <c r="CK24" s="667" t="str">
        <f t="shared" ref="CK24:CK29" si="37">IF(CK$21="", "", IF(CK$10&lt;60%, "", BS24*AJ24))</f>
        <v/>
      </c>
      <c r="CL24" s="667" t="str">
        <f t="shared" ref="CL24:CL29" si="38">IF(CL$21="", "", IF(CL$10&lt;60%, "", BT24*AK24))</f>
        <v/>
      </c>
      <c r="CM24" s="667" t="str">
        <f t="shared" ref="CM24:CM29" si="39">IF(CM$21="", "", IF(CM$10&lt;60%, "", BU24*AL24))</f>
        <v/>
      </c>
      <c r="CN24" s="667" t="str">
        <f t="shared" ref="CN24:CN29" si="40">IF(CN$21="", "", IF(CN$10&lt;60%, "", BV24*AM24))</f>
        <v/>
      </c>
      <c r="CO24" s="667" t="str">
        <f t="shared" ref="CO24:CO29" si="41">IF(CO$21="", "", IF(CO$10&lt;60%, "", BW24*AN24))</f>
        <v/>
      </c>
      <c r="CP24" s="667" t="str">
        <f t="shared" ref="CP24:CP29" si="42">IF(CP$21="", "", IF(CP$10&lt;60%, "", BX24*AO24))</f>
        <v/>
      </c>
      <c r="CQ24" s="667" t="str">
        <f t="shared" ref="CQ24:CQ29" si="43">IF(CQ$21="", "", IF(CQ$10&lt;60%, "", BY24*AP24))</f>
        <v/>
      </c>
      <c r="CR24" s="669" t="str">
        <f t="shared" ref="CR24:CR29" si="44">IF(CR$21="", "", IF(CR$10&lt;60%, "", BZ24*AQ24))</f>
        <v/>
      </c>
    </row>
    <row r="25" spans="2:96" ht="17.25" customHeight="1" x14ac:dyDescent="0.25">
      <c r="B25" s="1480" t="str">
        <f>IF(Language="English", 'Language Look Ups'!$O$8,IF(Language="Francais", 'Language Look Ups'!$S$8, 'Language Look Ups'!$Q$8))</f>
        <v>DIU</v>
      </c>
      <c r="C25" s="363" t="str">
        <f>IF(Language="English", 'Language Look Ups'!$P$8,IF(Language="Francais", 'Language Look Ups'!$T$8, 'Language Look Ups'!$R$8))</f>
        <v>Copper- T 380-A DIU</v>
      </c>
      <c r="D25" s="715">
        <v>1</v>
      </c>
      <c r="E25" s="408">
        <f t="shared" si="9"/>
        <v>1</v>
      </c>
      <c r="F25" s="416" t="str">
        <f t="shared" si="6"/>
        <v>utilisatrices</v>
      </c>
      <c r="G25" s="409"/>
      <c r="H25" s="409"/>
      <c r="I25" s="409"/>
      <c r="J25" s="409"/>
      <c r="K25" s="409"/>
      <c r="L25" s="409"/>
      <c r="M25" s="409"/>
      <c r="N25" s="409"/>
      <c r="O25" s="409"/>
      <c r="P25" s="409"/>
      <c r="Q25" s="409"/>
      <c r="R25" s="409"/>
      <c r="S25" s="409"/>
      <c r="T25" s="409"/>
      <c r="U25" s="409"/>
      <c r="V25" s="411"/>
      <c r="AA25" s="462" t="str">
        <f t="shared" si="10"/>
        <v>Copper- T 380-A DIU</v>
      </c>
      <c r="AB25" s="1008" t="str">
        <f>IF(AB$21="", "", VLOOKUP($AA25,'4. FPSource Set Up'!$C$96:$H$117, 6, FALSE))</f>
        <v>n/a</v>
      </c>
      <c r="AC25" s="1009" t="str">
        <f>IF(AC$21="", "", VLOOKUP($AA25,'4. FPSource Set Up'!$C$96:$H$117, 6, FALSE))</f>
        <v/>
      </c>
      <c r="AD25" s="1009" t="str">
        <f>IF(AD$21="", "", VLOOKUP($AA25,'4. FPSource Set Up'!$C$96:$H$117, 6, FALSE))</f>
        <v/>
      </c>
      <c r="AE25" s="1009" t="str">
        <f>IF(AE$21="", "", VLOOKUP($AA25,'4. FPSource Set Up'!$C$96:$H$117, 6, FALSE))</f>
        <v/>
      </c>
      <c r="AF25" s="1009" t="str">
        <f>IF(AF$21="", "", VLOOKUP($AA25,'4. FPSource Set Up'!$C$96:$H$117, 6, FALSE))</f>
        <v/>
      </c>
      <c r="AG25" s="1009" t="str">
        <f>IF(AG$21="", "", VLOOKUP($AA25,'4. FPSource Set Up'!$C$96:$H$117, 6, FALSE))</f>
        <v/>
      </c>
      <c r="AH25" s="1009" t="str">
        <f>IF(AH$21="", "", VLOOKUP($AA25,'4. FPSource Set Up'!$C$96:$H$117, 6, FALSE))</f>
        <v/>
      </c>
      <c r="AI25" s="1009" t="str">
        <f>IF(AI$21="", "", VLOOKUP($AA25,'4. FPSource Set Up'!$C$96:$H$117, 6, FALSE))</f>
        <v/>
      </c>
      <c r="AJ25" s="1009" t="str">
        <f>IF(AJ$21="", "", VLOOKUP($AA25,'4. FPSource Set Up'!$C$96:$H$117, 6, FALSE))</f>
        <v/>
      </c>
      <c r="AK25" s="1009" t="str">
        <f>IF(AK$21="", "", VLOOKUP($AA25,'4. FPSource Set Up'!$C$96:$H$117, 6, FALSE))</f>
        <v/>
      </c>
      <c r="AL25" s="1009" t="str">
        <f>IF(AL$21="", "", VLOOKUP($AA25,'4. FPSource Set Up'!$C$96:$H$117, 6, FALSE))</f>
        <v/>
      </c>
      <c r="AM25" s="1009" t="str">
        <f>IF(AM$21="", "", VLOOKUP($AA25,'4. FPSource Set Up'!$C$96:$H$117, 6, FALSE))</f>
        <v/>
      </c>
      <c r="AN25" s="1009" t="str">
        <f>IF(AN$21="", "", VLOOKUP($AA25,'4. FPSource Set Up'!$C$96:$H$117, 6, FALSE))</f>
        <v/>
      </c>
      <c r="AO25" s="1009" t="str">
        <f>IF(AO$21="", "", VLOOKUP($AA25,'4. FPSource Set Up'!$C$96:$H$117, 6, FALSE))</f>
        <v/>
      </c>
      <c r="AP25" s="1009" t="str">
        <f>IF(AP$21="", "", VLOOKUP($AA25,'4. FPSource Set Up'!$C$96:$H$117, 6, FALSE))</f>
        <v/>
      </c>
      <c r="AQ25" s="1010" t="str">
        <f>IF(AQ$21="", "", VLOOKUP($AA25,'4. FPSource Set Up'!$C$96:$H$117, 6, FALSE))</f>
        <v/>
      </c>
      <c r="BA25" s="416" t="s">
        <v>839</v>
      </c>
      <c r="BC25" s="469" t="s">
        <v>2440</v>
      </c>
      <c r="BJ25" s="676" t="str">
        <f t="shared" si="11"/>
        <v>Copper- T 380-A DIU</v>
      </c>
      <c r="BK25" s="664" t="str">
        <f t="shared" si="12"/>
        <v/>
      </c>
      <c r="BL25" s="665" t="str">
        <f t="shared" si="13"/>
        <v/>
      </c>
      <c r="BM25" s="664" t="str">
        <f t="shared" si="14"/>
        <v/>
      </c>
      <c r="BN25" s="664" t="str">
        <f t="shared" si="15"/>
        <v/>
      </c>
      <c r="BO25" s="664" t="str">
        <f t="shared" si="16"/>
        <v/>
      </c>
      <c r="BP25" s="664" t="str">
        <f t="shared" si="17"/>
        <v/>
      </c>
      <c r="BQ25" s="664" t="str">
        <f t="shared" si="18"/>
        <v/>
      </c>
      <c r="BR25" s="664" t="str">
        <f t="shared" si="19"/>
        <v/>
      </c>
      <c r="BS25" s="664" t="str">
        <f t="shared" si="20"/>
        <v/>
      </c>
      <c r="BT25" s="664" t="str">
        <f t="shared" si="21"/>
        <v/>
      </c>
      <c r="BU25" s="664" t="str">
        <f t="shared" si="22"/>
        <v/>
      </c>
      <c r="BV25" s="664" t="str">
        <f t="shared" si="23"/>
        <v/>
      </c>
      <c r="BW25" s="664" t="str">
        <f t="shared" si="24"/>
        <v/>
      </c>
      <c r="BX25" s="664" t="str">
        <f t="shared" si="25"/>
        <v/>
      </c>
      <c r="BY25" s="664" t="str">
        <f t="shared" si="26"/>
        <v/>
      </c>
      <c r="BZ25" s="666" t="str">
        <f t="shared" si="27"/>
        <v/>
      </c>
      <c r="CB25" s="676" t="str">
        <f t="shared" si="28"/>
        <v>Copper- T 380-A DIU</v>
      </c>
      <c r="CC25" s="664" t="str">
        <f t="shared" si="29"/>
        <v/>
      </c>
      <c r="CD25" s="665" t="str">
        <f t="shared" si="30"/>
        <v/>
      </c>
      <c r="CE25" s="664" t="str">
        <f t="shared" si="31"/>
        <v/>
      </c>
      <c r="CF25" s="664" t="str">
        <f t="shared" si="32"/>
        <v/>
      </c>
      <c r="CG25" s="664" t="str">
        <f t="shared" si="33"/>
        <v/>
      </c>
      <c r="CH25" s="664" t="str">
        <f t="shared" si="34"/>
        <v/>
      </c>
      <c r="CI25" s="664" t="str">
        <f t="shared" si="35"/>
        <v/>
      </c>
      <c r="CJ25" s="664" t="str">
        <f t="shared" si="36"/>
        <v/>
      </c>
      <c r="CK25" s="664" t="str">
        <f t="shared" si="37"/>
        <v/>
      </c>
      <c r="CL25" s="664" t="str">
        <f t="shared" si="38"/>
        <v/>
      </c>
      <c r="CM25" s="664" t="str">
        <f t="shared" si="39"/>
        <v/>
      </c>
      <c r="CN25" s="664" t="str">
        <f t="shared" si="40"/>
        <v/>
      </c>
      <c r="CO25" s="664" t="str">
        <f t="shared" si="41"/>
        <v/>
      </c>
      <c r="CP25" s="664" t="str">
        <f t="shared" si="42"/>
        <v/>
      </c>
      <c r="CQ25" s="664" t="str">
        <f t="shared" si="43"/>
        <v/>
      </c>
      <c r="CR25" s="666" t="str">
        <f t="shared" si="44"/>
        <v/>
      </c>
    </row>
    <row r="26" spans="2:96" ht="17.25" customHeight="1" x14ac:dyDescent="0.25">
      <c r="B26" s="1481"/>
      <c r="C26" s="275" t="str">
        <f>IF(Language="English", 'Language Look Ups'!$P$9,IF(Language="Francais", 'Language Look Ups'!$T$9, 'Language Look Ups'!$R$9))</f>
        <v>DIU Hormonal (LNG-IUS)</v>
      </c>
      <c r="D26" s="716">
        <v>1</v>
      </c>
      <c r="E26" s="99">
        <f t="shared" si="9"/>
        <v>1</v>
      </c>
      <c r="F26" s="100" t="str">
        <f t="shared" si="6"/>
        <v>utilisatrices</v>
      </c>
      <c r="G26" s="284"/>
      <c r="H26" s="284"/>
      <c r="I26" s="284"/>
      <c r="J26" s="284"/>
      <c r="K26" s="284"/>
      <c r="L26" s="284"/>
      <c r="M26" s="284"/>
      <c r="N26" s="284"/>
      <c r="O26" s="284"/>
      <c r="P26" s="284"/>
      <c r="Q26" s="284"/>
      <c r="R26" s="284"/>
      <c r="S26" s="284"/>
      <c r="T26" s="284"/>
      <c r="U26" s="284"/>
      <c r="V26" s="412"/>
      <c r="AA26" s="463" t="str">
        <f t="shared" si="10"/>
        <v>DIU Hormonal (LNG-IUS)</v>
      </c>
      <c r="AB26" s="1035" t="str">
        <f>IF(AB$21="", "", VLOOKUP($AA26,'4. FPSource Set Up'!$C$96:$H$117, 6, FALSE))</f>
        <v>n/a</v>
      </c>
      <c r="AC26" s="1036" t="str">
        <f>IF(AC$21="", "", VLOOKUP($AA26,'4. FPSource Set Up'!$C$96:$H$117, 6, FALSE))</f>
        <v/>
      </c>
      <c r="AD26" s="1036" t="str">
        <f>IF(AD$21="", "", VLOOKUP($AA26,'4. FPSource Set Up'!$C$96:$H$117, 6, FALSE))</f>
        <v/>
      </c>
      <c r="AE26" s="1036" t="str">
        <f>IF(AE$21="", "", VLOOKUP($AA26,'4. FPSource Set Up'!$C$96:$H$117, 6, FALSE))</f>
        <v/>
      </c>
      <c r="AF26" s="1036" t="str">
        <f>IF(AF$21="", "", VLOOKUP($AA26,'4. FPSource Set Up'!$C$96:$H$117, 6, FALSE))</f>
        <v/>
      </c>
      <c r="AG26" s="1036" t="str">
        <f>IF(AG$21="", "", VLOOKUP($AA26,'4. FPSource Set Up'!$C$96:$H$117, 6, FALSE))</f>
        <v/>
      </c>
      <c r="AH26" s="1036" t="str">
        <f>IF(AH$21="", "", VLOOKUP($AA26,'4. FPSource Set Up'!$C$96:$H$117, 6, FALSE))</f>
        <v/>
      </c>
      <c r="AI26" s="1036" t="str">
        <f>IF(AI$21="", "", VLOOKUP($AA26,'4. FPSource Set Up'!$C$96:$H$117, 6, FALSE))</f>
        <v/>
      </c>
      <c r="AJ26" s="1036" t="str">
        <f>IF(AJ$21="", "", VLOOKUP($AA26,'4. FPSource Set Up'!$C$96:$H$117, 6, FALSE))</f>
        <v/>
      </c>
      <c r="AK26" s="1036" t="str">
        <f>IF(AK$21="", "", VLOOKUP($AA26,'4. FPSource Set Up'!$C$96:$H$117, 6, FALSE))</f>
        <v/>
      </c>
      <c r="AL26" s="1036" t="str">
        <f>IF(AL$21="", "", VLOOKUP($AA26,'4. FPSource Set Up'!$C$96:$H$117, 6, FALSE))</f>
        <v/>
      </c>
      <c r="AM26" s="1036" t="str">
        <f>IF(AM$21="", "", VLOOKUP($AA26,'4. FPSource Set Up'!$C$96:$H$117, 6, FALSE))</f>
        <v/>
      </c>
      <c r="AN26" s="1036" t="str">
        <f>IF(AN$21="", "", VLOOKUP($AA26,'4. FPSource Set Up'!$C$96:$H$117, 6, FALSE))</f>
        <v/>
      </c>
      <c r="AO26" s="1036" t="str">
        <f>IF(AO$21="", "", VLOOKUP($AA26,'4. FPSource Set Up'!$C$96:$H$117, 6, FALSE))</f>
        <v/>
      </c>
      <c r="AP26" s="1036" t="str">
        <f>IF(AP$21="", "", VLOOKUP($AA26,'4. FPSource Set Up'!$C$96:$H$117, 6, FALSE))</f>
        <v/>
      </c>
      <c r="AQ26" s="1037" t="str">
        <f>IF(AQ$21="", "", VLOOKUP($AA26,'4. FPSource Set Up'!$C$96:$H$117, 6, FALSE))</f>
        <v/>
      </c>
      <c r="BA26" s="416" t="s">
        <v>839</v>
      </c>
      <c r="BC26" s="469" t="s">
        <v>2440</v>
      </c>
      <c r="BJ26" s="677" t="str">
        <f t="shared" si="11"/>
        <v>DIU Hormonal (LNG-IUS)</v>
      </c>
      <c r="BK26" s="667" t="str">
        <f t="shared" si="12"/>
        <v/>
      </c>
      <c r="BL26" s="668" t="str">
        <f t="shared" si="13"/>
        <v/>
      </c>
      <c r="BM26" s="667" t="str">
        <f t="shared" si="14"/>
        <v/>
      </c>
      <c r="BN26" s="667" t="str">
        <f t="shared" si="15"/>
        <v/>
      </c>
      <c r="BO26" s="667" t="str">
        <f t="shared" si="16"/>
        <v/>
      </c>
      <c r="BP26" s="667" t="str">
        <f t="shared" si="17"/>
        <v/>
      </c>
      <c r="BQ26" s="667" t="str">
        <f t="shared" si="18"/>
        <v/>
      </c>
      <c r="BR26" s="667" t="str">
        <f t="shared" si="19"/>
        <v/>
      </c>
      <c r="BS26" s="667" t="str">
        <f t="shared" si="20"/>
        <v/>
      </c>
      <c r="BT26" s="667" t="str">
        <f t="shared" si="21"/>
        <v/>
      </c>
      <c r="BU26" s="667" t="str">
        <f t="shared" si="22"/>
        <v/>
      </c>
      <c r="BV26" s="667" t="str">
        <f t="shared" si="23"/>
        <v/>
      </c>
      <c r="BW26" s="667" t="str">
        <f t="shared" si="24"/>
        <v/>
      </c>
      <c r="BX26" s="667" t="str">
        <f t="shared" si="25"/>
        <v/>
      </c>
      <c r="BY26" s="667" t="str">
        <f t="shared" si="26"/>
        <v/>
      </c>
      <c r="BZ26" s="669" t="str">
        <f t="shared" si="27"/>
        <v/>
      </c>
      <c r="CB26" s="677" t="str">
        <f t="shared" si="28"/>
        <v>DIU Hormonal (LNG-IUS)</v>
      </c>
      <c r="CC26" s="667" t="str">
        <f t="shared" si="29"/>
        <v/>
      </c>
      <c r="CD26" s="668" t="str">
        <f t="shared" si="30"/>
        <v/>
      </c>
      <c r="CE26" s="667" t="str">
        <f t="shared" si="31"/>
        <v/>
      </c>
      <c r="CF26" s="667" t="str">
        <f t="shared" si="32"/>
        <v/>
      </c>
      <c r="CG26" s="667" t="str">
        <f t="shared" si="33"/>
        <v/>
      </c>
      <c r="CH26" s="667" t="str">
        <f t="shared" si="34"/>
        <v/>
      </c>
      <c r="CI26" s="667" t="str">
        <f t="shared" si="35"/>
        <v/>
      </c>
      <c r="CJ26" s="667" t="str">
        <f t="shared" si="36"/>
        <v/>
      </c>
      <c r="CK26" s="667" t="str">
        <f t="shared" si="37"/>
        <v/>
      </c>
      <c r="CL26" s="667" t="str">
        <f t="shared" si="38"/>
        <v/>
      </c>
      <c r="CM26" s="667" t="str">
        <f t="shared" si="39"/>
        <v/>
      </c>
      <c r="CN26" s="667" t="str">
        <f t="shared" si="40"/>
        <v/>
      </c>
      <c r="CO26" s="667" t="str">
        <f t="shared" si="41"/>
        <v/>
      </c>
      <c r="CP26" s="667" t="str">
        <f t="shared" si="42"/>
        <v/>
      </c>
      <c r="CQ26" s="667" t="str">
        <f t="shared" si="43"/>
        <v/>
      </c>
      <c r="CR26" s="669" t="str">
        <f t="shared" si="44"/>
        <v/>
      </c>
    </row>
    <row r="27" spans="2:96" ht="17.25" customHeight="1" x14ac:dyDescent="0.25">
      <c r="B27" s="1480" t="str">
        <f>IF(Language="English", 'Language Look Ups'!$O$10,IF(Language="Francais", 'Language Look Ups'!$S$10, 'Language Look Ups'!$Q$10))</f>
        <v>Implant</v>
      </c>
      <c r="C27" s="363" t="str">
        <f>IF(Language="English", 'Language Look Ups'!$P$10,IF(Language="Francais", 'Language Look Ups'!$T$10, 'Language Look Ups'!$R$10))</f>
        <v>Implant de 3 ans (Implanon, Levoplant)</v>
      </c>
      <c r="D27" s="715">
        <v>1</v>
      </c>
      <c r="E27" s="408">
        <f t="shared" si="9"/>
        <v>1</v>
      </c>
      <c r="F27" s="416" t="str">
        <f t="shared" si="6"/>
        <v>utilisatrices</v>
      </c>
      <c r="G27" s="409"/>
      <c r="H27" s="409"/>
      <c r="I27" s="409"/>
      <c r="J27" s="409"/>
      <c r="K27" s="409"/>
      <c r="L27" s="409"/>
      <c r="M27" s="409"/>
      <c r="N27" s="409"/>
      <c r="O27" s="409"/>
      <c r="P27" s="409"/>
      <c r="Q27" s="409"/>
      <c r="R27" s="409"/>
      <c r="S27" s="409"/>
      <c r="T27" s="409"/>
      <c r="U27" s="409"/>
      <c r="V27" s="411"/>
      <c r="AA27" s="462" t="str">
        <f t="shared" si="10"/>
        <v>Implant de 3 ans (Implanon, Levoplant)</v>
      </c>
      <c r="AB27" s="1008" t="str">
        <f>IF(AB$21="", "", VLOOKUP($AA27,'4. FPSource Set Up'!$C$96:$H$117, 6, FALSE))</f>
        <v>n/a</v>
      </c>
      <c r="AC27" s="1009" t="str">
        <f>IF(AC$21="", "", VLOOKUP($AA27,'4. FPSource Set Up'!$C$96:$H$117, 6, FALSE))</f>
        <v/>
      </c>
      <c r="AD27" s="1009" t="str">
        <f>IF(AD$21="", "", VLOOKUP($AA27,'4. FPSource Set Up'!$C$96:$H$117, 6, FALSE))</f>
        <v/>
      </c>
      <c r="AE27" s="1009" t="str">
        <f>IF(AE$21="", "", VLOOKUP($AA27,'4. FPSource Set Up'!$C$96:$H$117, 6, FALSE))</f>
        <v/>
      </c>
      <c r="AF27" s="1009" t="str">
        <f>IF(AF$21="", "", VLOOKUP($AA27,'4. FPSource Set Up'!$C$96:$H$117, 6, FALSE))</f>
        <v/>
      </c>
      <c r="AG27" s="1009" t="str">
        <f>IF(AG$21="", "", VLOOKUP($AA27,'4. FPSource Set Up'!$C$96:$H$117, 6, FALSE))</f>
        <v/>
      </c>
      <c r="AH27" s="1009" t="str">
        <f>IF(AH$21="", "", VLOOKUP($AA27,'4. FPSource Set Up'!$C$96:$H$117, 6, FALSE))</f>
        <v/>
      </c>
      <c r="AI27" s="1009" t="str">
        <f>IF(AI$21="", "", VLOOKUP($AA27,'4. FPSource Set Up'!$C$96:$H$117, 6, FALSE))</f>
        <v/>
      </c>
      <c r="AJ27" s="1009" t="str">
        <f>IF(AJ$21="", "", VLOOKUP($AA27,'4. FPSource Set Up'!$C$96:$H$117, 6, FALSE))</f>
        <v/>
      </c>
      <c r="AK27" s="1009" t="str">
        <f>IF(AK$21="", "", VLOOKUP($AA27,'4. FPSource Set Up'!$C$96:$H$117, 6, FALSE))</f>
        <v/>
      </c>
      <c r="AL27" s="1009" t="str">
        <f>IF(AL$21="", "", VLOOKUP($AA27,'4. FPSource Set Up'!$C$96:$H$117, 6, FALSE))</f>
        <v/>
      </c>
      <c r="AM27" s="1009" t="str">
        <f>IF(AM$21="", "", VLOOKUP($AA27,'4. FPSource Set Up'!$C$96:$H$117, 6, FALSE))</f>
        <v/>
      </c>
      <c r="AN27" s="1009" t="str">
        <f>IF(AN$21="", "", VLOOKUP($AA27,'4. FPSource Set Up'!$C$96:$H$117, 6, FALSE))</f>
        <v/>
      </c>
      <c r="AO27" s="1009" t="str">
        <f>IF(AO$21="", "", VLOOKUP($AA27,'4. FPSource Set Up'!$C$96:$H$117, 6, FALSE))</f>
        <v/>
      </c>
      <c r="AP27" s="1009" t="str">
        <f>IF(AP$21="", "", VLOOKUP($AA27,'4. FPSource Set Up'!$C$96:$H$117, 6, FALSE))</f>
        <v/>
      </c>
      <c r="AQ27" s="1010" t="str">
        <f>IF(AQ$21="", "", VLOOKUP($AA27,'4. FPSource Set Up'!$C$96:$H$117, 6, FALSE))</f>
        <v/>
      </c>
      <c r="BA27" s="416" t="s">
        <v>839</v>
      </c>
      <c r="BC27" s="469" t="s">
        <v>2440</v>
      </c>
      <c r="BJ27" s="676" t="str">
        <f t="shared" si="11"/>
        <v>Implant de 3 ans (Implanon, Levoplant)</v>
      </c>
      <c r="BK27" s="664" t="str">
        <f t="shared" si="12"/>
        <v/>
      </c>
      <c r="BL27" s="665" t="str">
        <f t="shared" si="13"/>
        <v/>
      </c>
      <c r="BM27" s="664" t="str">
        <f t="shared" si="14"/>
        <v/>
      </c>
      <c r="BN27" s="664" t="str">
        <f t="shared" si="15"/>
        <v/>
      </c>
      <c r="BO27" s="664" t="str">
        <f t="shared" si="16"/>
        <v/>
      </c>
      <c r="BP27" s="664" t="str">
        <f t="shared" si="17"/>
        <v/>
      </c>
      <c r="BQ27" s="664" t="str">
        <f t="shared" si="18"/>
        <v/>
      </c>
      <c r="BR27" s="664" t="str">
        <f t="shared" si="19"/>
        <v/>
      </c>
      <c r="BS27" s="664" t="str">
        <f t="shared" si="20"/>
        <v/>
      </c>
      <c r="BT27" s="664" t="str">
        <f t="shared" si="21"/>
        <v/>
      </c>
      <c r="BU27" s="664" t="str">
        <f t="shared" si="22"/>
        <v/>
      </c>
      <c r="BV27" s="664" t="str">
        <f t="shared" si="23"/>
        <v/>
      </c>
      <c r="BW27" s="664" t="str">
        <f t="shared" si="24"/>
        <v/>
      </c>
      <c r="BX27" s="664" t="str">
        <f t="shared" si="25"/>
        <v/>
      </c>
      <c r="BY27" s="664" t="str">
        <f t="shared" si="26"/>
        <v/>
      </c>
      <c r="BZ27" s="666" t="str">
        <f t="shared" si="27"/>
        <v/>
      </c>
      <c r="CB27" s="676" t="str">
        <f t="shared" si="28"/>
        <v>Implant de 3 ans (Implanon, Levoplant)</v>
      </c>
      <c r="CC27" s="664" t="str">
        <f t="shared" si="29"/>
        <v/>
      </c>
      <c r="CD27" s="665" t="str">
        <f t="shared" si="30"/>
        <v/>
      </c>
      <c r="CE27" s="664" t="str">
        <f t="shared" si="31"/>
        <v/>
      </c>
      <c r="CF27" s="664" t="str">
        <f t="shared" si="32"/>
        <v/>
      </c>
      <c r="CG27" s="664" t="str">
        <f t="shared" si="33"/>
        <v/>
      </c>
      <c r="CH27" s="664" t="str">
        <f t="shared" si="34"/>
        <v/>
      </c>
      <c r="CI27" s="664" t="str">
        <f t="shared" si="35"/>
        <v/>
      </c>
      <c r="CJ27" s="664" t="str">
        <f t="shared" si="36"/>
        <v/>
      </c>
      <c r="CK27" s="664" t="str">
        <f t="shared" si="37"/>
        <v/>
      </c>
      <c r="CL27" s="664" t="str">
        <f t="shared" si="38"/>
        <v/>
      </c>
      <c r="CM27" s="664" t="str">
        <f t="shared" si="39"/>
        <v/>
      </c>
      <c r="CN27" s="664" t="str">
        <f t="shared" si="40"/>
        <v/>
      </c>
      <c r="CO27" s="664" t="str">
        <f t="shared" si="41"/>
        <v/>
      </c>
      <c r="CP27" s="664" t="str">
        <f t="shared" si="42"/>
        <v/>
      </c>
      <c r="CQ27" s="664" t="str">
        <f t="shared" si="43"/>
        <v/>
      </c>
      <c r="CR27" s="666" t="str">
        <f t="shared" si="44"/>
        <v/>
      </c>
    </row>
    <row r="28" spans="2:96" ht="17.25" customHeight="1" x14ac:dyDescent="0.25">
      <c r="B28" s="1482"/>
      <c r="C28" s="277" t="str">
        <f>IF(Language="English", 'Language Look Ups'!$P$11,IF(Language="Francais", 'Language Look Ups'!$T$11, 'Language Look Ups'!$R$11))</f>
        <v>Implant de 4 ans (Sino-Implant)</v>
      </c>
      <c r="D28" s="717">
        <v>1</v>
      </c>
      <c r="E28" s="101">
        <f t="shared" si="9"/>
        <v>1</v>
      </c>
      <c r="F28" s="102" t="str">
        <f t="shared" si="6"/>
        <v>utilisatrices</v>
      </c>
      <c r="G28" s="282"/>
      <c r="H28" s="282"/>
      <c r="I28" s="282"/>
      <c r="J28" s="282"/>
      <c r="K28" s="282"/>
      <c r="L28" s="282"/>
      <c r="M28" s="282"/>
      <c r="N28" s="282"/>
      <c r="O28" s="282"/>
      <c r="P28" s="282"/>
      <c r="Q28" s="282"/>
      <c r="R28" s="282"/>
      <c r="S28" s="282"/>
      <c r="T28" s="282"/>
      <c r="U28" s="282"/>
      <c r="V28" s="413"/>
      <c r="AA28" s="464" t="str">
        <f t="shared" si="10"/>
        <v>Implant de 4 ans (Sino-Implant)</v>
      </c>
      <c r="AB28" s="1038" t="str">
        <f>IF(AB$21="", "", VLOOKUP($AA28,'4. FPSource Set Up'!$C$96:$H$117, 6, FALSE))</f>
        <v>n/a</v>
      </c>
      <c r="AC28" s="1039" t="str">
        <f>IF(AC$21="", "", VLOOKUP($AA28,'4. FPSource Set Up'!$C$96:$H$117, 6, FALSE))</f>
        <v/>
      </c>
      <c r="AD28" s="1039" t="str">
        <f>IF(AD$21="", "", VLOOKUP($AA28,'4. FPSource Set Up'!$C$96:$H$117, 6, FALSE))</f>
        <v/>
      </c>
      <c r="AE28" s="1039" t="str">
        <f>IF(AE$21="", "", VLOOKUP($AA28,'4. FPSource Set Up'!$C$96:$H$117, 6, FALSE))</f>
        <v/>
      </c>
      <c r="AF28" s="1039" t="str">
        <f>IF(AF$21="", "", VLOOKUP($AA28,'4. FPSource Set Up'!$C$96:$H$117, 6, FALSE))</f>
        <v/>
      </c>
      <c r="AG28" s="1039" t="str">
        <f>IF(AG$21="", "", VLOOKUP($AA28,'4. FPSource Set Up'!$C$96:$H$117, 6, FALSE))</f>
        <v/>
      </c>
      <c r="AH28" s="1039" t="str">
        <f>IF(AH$21="", "", VLOOKUP($AA28,'4. FPSource Set Up'!$C$96:$H$117, 6, FALSE))</f>
        <v/>
      </c>
      <c r="AI28" s="1039" t="str">
        <f>IF(AI$21="", "", VLOOKUP($AA28,'4. FPSource Set Up'!$C$96:$H$117, 6, FALSE))</f>
        <v/>
      </c>
      <c r="AJ28" s="1039" t="str">
        <f>IF(AJ$21="", "", VLOOKUP($AA28,'4. FPSource Set Up'!$C$96:$H$117, 6, FALSE))</f>
        <v/>
      </c>
      <c r="AK28" s="1039" t="str">
        <f>IF(AK$21="", "", VLOOKUP($AA28,'4. FPSource Set Up'!$C$96:$H$117, 6, FALSE))</f>
        <v/>
      </c>
      <c r="AL28" s="1039" t="str">
        <f>IF(AL$21="", "", VLOOKUP($AA28,'4. FPSource Set Up'!$C$96:$H$117, 6, FALSE))</f>
        <v/>
      </c>
      <c r="AM28" s="1039" t="str">
        <f>IF(AM$21="", "", VLOOKUP($AA28,'4. FPSource Set Up'!$C$96:$H$117, 6, FALSE))</f>
        <v/>
      </c>
      <c r="AN28" s="1039" t="str">
        <f>IF(AN$21="", "", VLOOKUP($AA28,'4. FPSource Set Up'!$C$96:$H$117, 6, FALSE))</f>
        <v/>
      </c>
      <c r="AO28" s="1039" t="str">
        <f>IF(AO$21="", "", VLOOKUP($AA28,'4. FPSource Set Up'!$C$96:$H$117, 6, FALSE))</f>
        <v/>
      </c>
      <c r="AP28" s="1039" t="str">
        <f>IF(AP$21="", "", VLOOKUP($AA28,'4. FPSource Set Up'!$C$96:$H$117, 6, FALSE))</f>
        <v/>
      </c>
      <c r="AQ28" s="1040" t="str">
        <f>IF(AQ$21="", "", VLOOKUP($AA28,'4. FPSource Set Up'!$C$96:$H$117, 6, FALSE))</f>
        <v/>
      </c>
      <c r="BA28" s="416" t="s">
        <v>839</v>
      </c>
      <c r="BC28" s="469" t="s">
        <v>2440</v>
      </c>
      <c r="BJ28" s="678" t="str">
        <f t="shared" si="11"/>
        <v>Implant de 4 ans (Sino-Implant)</v>
      </c>
      <c r="BK28" s="670" t="str">
        <f t="shared" si="12"/>
        <v/>
      </c>
      <c r="BL28" s="671" t="str">
        <f t="shared" si="13"/>
        <v/>
      </c>
      <c r="BM28" s="670" t="str">
        <f t="shared" si="14"/>
        <v/>
      </c>
      <c r="BN28" s="670" t="str">
        <f t="shared" si="15"/>
        <v/>
      </c>
      <c r="BO28" s="670" t="str">
        <f t="shared" si="16"/>
        <v/>
      </c>
      <c r="BP28" s="670" t="str">
        <f t="shared" si="17"/>
        <v/>
      </c>
      <c r="BQ28" s="670" t="str">
        <f t="shared" si="18"/>
        <v/>
      </c>
      <c r="BR28" s="670" t="str">
        <f t="shared" si="19"/>
        <v/>
      </c>
      <c r="BS28" s="670" t="str">
        <f t="shared" si="20"/>
        <v/>
      </c>
      <c r="BT28" s="670" t="str">
        <f t="shared" si="21"/>
        <v/>
      </c>
      <c r="BU28" s="670" t="str">
        <f t="shared" si="22"/>
        <v/>
      </c>
      <c r="BV28" s="670" t="str">
        <f t="shared" si="23"/>
        <v/>
      </c>
      <c r="BW28" s="670" t="str">
        <f t="shared" si="24"/>
        <v/>
      </c>
      <c r="BX28" s="670" t="str">
        <f t="shared" si="25"/>
        <v/>
      </c>
      <c r="BY28" s="670" t="str">
        <f t="shared" si="26"/>
        <v/>
      </c>
      <c r="BZ28" s="672" t="str">
        <f t="shared" si="27"/>
        <v/>
      </c>
      <c r="CB28" s="678" t="str">
        <f t="shared" si="28"/>
        <v>Implant de 4 ans (Sino-Implant)</v>
      </c>
      <c r="CC28" s="670" t="str">
        <f t="shared" si="29"/>
        <v/>
      </c>
      <c r="CD28" s="671" t="str">
        <f t="shared" si="30"/>
        <v/>
      </c>
      <c r="CE28" s="670" t="str">
        <f t="shared" si="31"/>
        <v/>
      </c>
      <c r="CF28" s="670" t="str">
        <f t="shared" si="32"/>
        <v/>
      </c>
      <c r="CG28" s="670" t="str">
        <f t="shared" si="33"/>
        <v/>
      </c>
      <c r="CH28" s="670" t="str">
        <f t="shared" si="34"/>
        <v/>
      </c>
      <c r="CI28" s="670" t="str">
        <f t="shared" si="35"/>
        <v/>
      </c>
      <c r="CJ28" s="670" t="str">
        <f t="shared" si="36"/>
        <v/>
      </c>
      <c r="CK28" s="670" t="str">
        <f t="shared" si="37"/>
        <v/>
      </c>
      <c r="CL28" s="670" t="str">
        <f t="shared" si="38"/>
        <v/>
      </c>
      <c r="CM28" s="670" t="str">
        <f t="shared" si="39"/>
        <v/>
      </c>
      <c r="CN28" s="670" t="str">
        <f t="shared" si="40"/>
        <v/>
      </c>
      <c r="CO28" s="670" t="str">
        <f t="shared" si="41"/>
        <v/>
      </c>
      <c r="CP28" s="670" t="str">
        <f t="shared" si="42"/>
        <v/>
      </c>
      <c r="CQ28" s="670" t="str">
        <f t="shared" si="43"/>
        <v/>
      </c>
      <c r="CR28" s="672" t="str">
        <f t="shared" si="44"/>
        <v/>
      </c>
    </row>
    <row r="29" spans="2:96" ht="17.25" customHeight="1" x14ac:dyDescent="0.25">
      <c r="B29" s="1481"/>
      <c r="C29" s="275" t="str">
        <f>IF(Language="English", 'Language Look Ups'!$P$12,IF(Language="Francais", 'Language Look Ups'!$T$12, 'Language Look Ups'!$R$12))</f>
        <v>Implant de 5 ans (Jadelle)</v>
      </c>
      <c r="D29" s="716">
        <v>1</v>
      </c>
      <c r="E29" s="99">
        <f t="shared" si="9"/>
        <v>1</v>
      </c>
      <c r="F29" s="100" t="str">
        <f t="shared" si="6"/>
        <v>utilisatrices</v>
      </c>
      <c r="G29" s="282"/>
      <c r="H29" s="282"/>
      <c r="I29" s="282"/>
      <c r="J29" s="282"/>
      <c r="K29" s="282"/>
      <c r="L29" s="282"/>
      <c r="M29" s="282"/>
      <c r="N29" s="282"/>
      <c r="O29" s="282"/>
      <c r="P29" s="284"/>
      <c r="Q29" s="284"/>
      <c r="R29" s="284"/>
      <c r="S29" s="284"/>
      <c r="T29" s="284"/>
      <c r="U29" s="284"/>
      <c r="V29" s="412"/>
      <c r="AA29" s="463" t="str">
        <f t="shared" si="10"/>
        <v>Implant de 5 ans (Jadelle)</v>
      </c>
      <c r="AB29" s="1035" t="str">
        <f>IF(AB$21="", "", VLOOKUP($AA29,'4. FPSource Set Up'!$C$96:$H$117, 6, FALSE))</f>
        <v>n/a</v>
      </c>
      <c r="AC29" s="1036" t="str">
        <f>IF(AC$21="", "", VLOOKUP($AA29,'4. FPSource Set Up'!$C$96:$H$117, 6, FALSE))</f>
        <v/>
      </c>
      <c r="AD29" s="1036" t="str">
        <f>IF(AD$21="", "", VLOOKUP($AA29,'4. FPSource Set Up'!$C$96:$H$117, 6, FALSE))</f>
        <v/>
      </c>
      <c r="AE29" s="1036" t="str">
        <f>IF(AE$21="", "", VLOOKUP($AA29,'4. FPSource Set Up'!$C$96:$H$117, 6, FALSE))</f>
        <v/>
      </c>
      <c r="AF29" s="1036" t="str">
        <f>IF(AF$21="", "", VLOOKUP($AA29,'4. FPSource Set Up'!$C$96:$H$117, 6, FALSE))</f>
        <v/>
      </c>
      <c r="AG29" s="1036" t="str">
        <f>IF(AG$21="", "", VLOOKUP($AA29,'4. FPSource Set Up'!$C$96:$H$117, 6, FALSE))</f>
        <v/>
      </c>
      <c r="AH29" s="1036" t="str">
        <f>IF(AH$21="", "", VLOOKUP($AA29,'4. FPSource Set Up'!$C$96:$H$117, 6, FALSE))</f>
        <v/>
      </c>
      <c r="AI29" s="1036" t="str">
        <f>IF(AI$21="", "", VLOOKUP($AA29,'4. FPSource Set Up'!$C$96:$H$117, 6, FALSE))</f>
        <v/>
      </c>
      <c r="AJ29" s="1036" t="str">
        <f>IF(AJ$21="", "", VLOOKUP($AA29,'4. FPSource Set Up'!$C$96:$H$117, 6, FALSE))</f>
        <v/>
      </c>
      <c r="AK29" s="1036" t="str">
        <f>IF(AK$21="", "", VLOOKUP($AA29,'4. FPSource Set Up'!$C$96:$H$117, 6, FALSE))</f>
        <v/>
      </c>
      <c r="AL29" s="1036" t="str">
        <f>IF(AL$21="", "", VLOOKUP($AA29,'4. FPSource Set Up'!$C$96:$H$117, 6, FALSE))</f>
        <v/>
      </c>
      <c r="AM29" s="1036" t="str">
        <f>IF(AM$21="", "", VLOOKUP($AA29,'4. FPSource Set Up'!$C$96:$H$117, 6, FALSE))</f>
        <v/>
      </c>
      <c r="AN29" s="1036" t="str">
        <f>IF(AN$21="", "", VLOOKUP($AA29,'4. FPSource Set Up'!$C$96:$H$117, 6, FALSE))</f>
        <v/>
      </c>
      <c r="AO29" s="1036" t="str">
        <f>IF(AO$21="", "", VLOOKUP($AA29,'4. FPSource Set Up'!$C$96:$H$117, 6, FALSE))</f>
        <v/>
      </c>
      <c r="AP29" s="1036" t="str">
        <f>IF(AP$21="", "", VLOOKUP($AA29,'4. FPSource Set Up'!$C$96:$H$117, 6, FALSE))</f>
        <v/>
      </c>
      <c r="AQ29" s="1037" t="str">
        <f>IF(AQ$21="", "", VLOOKUP($AA29,'4. FPSource Set Up'!$C$96:$H$117, 6, FALSE))</f>
        <v/>
      </c>
      <c r="BA29" s="416" t="s">
        <v>839</v>
      </c>
      <c r="BC29" s="469" t="s">
        <v>2440</v>
      </c>
      <c r="BJ29" s="677" t="str">
        <f t="shared" si="11"/>
        <v>Implant de 5 ans (Jadelle)</v>
      </c>
      <c r="BK29" s="667" t="str">
        <f t="shared" si="12"/>
        <v/>
      </c>
      <c r="BL29" s="668" t="str">
        <f t="shared" si="13"/>
        <v/>
      </c>
      <c r="BM29" s="667" t="str">
        <f t="shared" si="14"/>
        <v/>
      </c>
      <c r="BN29" s="667" t="str">
        <f t="shared" si="15"/>
        <v/>
      </c>
      <c r="BO29" s="667" t="str">
        <f t="shared" si="16"/>
        <v/>
      </c>
      <c r="BP29" s="667" t="str">
        <f t="shared" si="17"/>
        <v/>
      </c>
      <c r="BQ29" s="667" t="str">
        <f t="shared" si="18"/>
        <v/>
      </c>
      <c r="BR29" s="667" t="str">
        <f t="shared" si="19"/>
        <v/>
      </c>
      <c r="BS29" s="667" t="str">
        <f t="shared" si="20"/>
        <v/>
      </c>
      <c r="BT29" s="667" t="str">
        <f t="shared" si="21"/>
        <v/>
      </c>
      <c r="BU29" s="667" t="str">
        <f t="shared" si="22"/>
        <v/>
      </c>
      <c r="BV29" s="667" t="str">
        <f t="shared" si="23"/>
        <v/>
      </c>
      <c r="BW29" s="667" t="str">
        <f t="shared" si="24"/>
        <v/>
      </c>
      <c r="BX29" s="667" t="str">
        <f t="shared" si="25"/>
        <v/>
      </c>
      <c r="BY29" s="667" t="str">
        <f t="shared" si="26"/>
        <v/>
      </c>
      <c r="BZ29" s="669" t="str">
        <f t="shared" si="27"/>
        <v/>
      </c>
      <c r="CB29" s="677" t="str">
        <f t="shared" si="28"/>
        <v>Implant de 5 ans (Jadelle)</v>
      </c>
      <c r="CC29" s="667" t="str">
        <f t="shared" si="29"/>
        <v/>
      </c>
      <c r="CD29" s="668" t="str">
        <f t="shared" si="30"/>
        <v/>
      </c>
      <c r="CE29" s="667" t="str">
        <f t="shared" si="31"/>
        <v/>
      </c>
      <c r="CF29" s="667" t="str">
        <f t="shared" si="32"/>
        <v/>
      </c>
      <c r="CG29" s="667" t="str">
        <f t="shared" si="33"/>
        <v/>
      </c>
      <c r="CH29" s="667" t="str">
        <f t="shared" si="34"/>
        <v/>
      </c>
      <c r="CI29" s="667" t="str">
        <f t="shared" si="35"/>
        <v/>
      </c>
      <c r="CJ29" s="667" t="str">
        <f t="shared" si="36"/>
        <v/>
      </c>
      <c r="CK29" s="667" t="str">
        <f t="shared" si="37"/>
        <v/>
      </c>
      <c r="CL29" s="667" t="str">
        <f t="shared" si="38"/>
        <v/>
      </c>
      <c r="CM29" s="667" t="str">
        <f t="shared" si="39"/>
        <v/>
      </c>
      <c r="CN29" s="667" t="str">
        <f t="shared" si="40"/>
        <v/>
      </c>
      <c r="CO29" s="667" t="str">
        <f t="shared" si="41"/>
        <v/>
      </c>
      <c r="CP29" s="667" t="str">
        <f t="shared" si="42"/>
        <v/>
      </c>
      <c r="CQ29" s="667" t="str">
        <f t="shared" si="43"/>
        <v/>
      </c>
      <c r="CR29" s="669" t="str">
        <f t="shared" si="44"/>
        <v/>
      </c>
    </row>
    <row r="30" spans="2:96" ht="6" customHeight="1" x14ac:dyDescent="0.25">
      <c r="B30" s="150"/>
      <c r="C30" s="279"/>
      <c r="G30" s="2"/>
      <c r="H30" s="2"/>
      <c r="I30" s="2"/>
      <c r="J30" s="2"/>
      <c r="K30" s="2"/>
      <c r="L30" s="2"/>
      <c r="M30" s="2"/>
      <c r="N30" s="2"/>
      <c r="O30" s="2"/>
      <c r="P30" s="2"/>
      <c r="Q30" s="2"/>
      <c r="R30" s="2"/>
      <c r="S30" s="2"/>
      <c r="T30" s="2"/>
      <c r="U30" s="2"/>
      <c r="V30" s="301"/>
      <c r="AA30" s="150"/>
      <c r="AB30" s="571"/>
      <c r="AC30" s="572"/>
      <c r="AD30" s="572"/>
      <c r="AE30" s="572"/>
      <c r="AF30" s="572"/>
      <c r="AG30" s="572"/>
      <c r="AH30" s="572"/>
      <c r="AI30" s="572"/>
      <c r="AJ30" s="572"/>
      <c r="AK30" s="572"/>
      <c r="AL30" s="572"/>
      <c r="AM30" s="572"/>
      <c r="AN30" s="572"/>
      <c r="AO30" s="572"/>
      <c r="AP30" s="572"/>
      <c r="AQ30" s="573"/>
      <c r="BJ30" s="150"/>
      <c r="BK30" s="2"/>
      <c r="BL30" s="2"/>
      <c r="BM30" s="2"/>
      <c r="BN30" s="2"/>
      <c r="BO30" s="2"/>
      <c r="BP30" s="2"/>
      <c r="BQ30" s="2"/>
      <c r="BR30" s="2"/>
      <c r="BS30" s="2"/>
      <c r="BT30" s="2"/>
      <c r="BU30" s="2"/>
      <c r="BV30" s="2"/>
      <c r="BW30" s="2"/>
      <c r="BX30" s="2"/>
      <c r="BY30" s="2"/>
      <c r="BZ30" s="301"/>
      <c r="CB30" s="150"/>
      <c r="CC30" s="2"/>
      <c r="CD30" s="2"/>
      <c r="CE30" s="2"/>
      <c r="CF30" s="2"/>
      <c r="CG30" s="2"/>
      <c r="CH30" s="2"/>
      <c r="CI30" s="2"/>
      <c r="CJ30" s="2" t="str">
        <f t="shared" ref="CJ30:CR30" si="45">IF(CJ$21="", "", IF(CJ$19&lt;60%, "", BR30*$E30))</f>
        <v/>
      </c>
      <c r="CK30" s="2" t="str">
        <f t="shared" si="45"/>
        <v/>
      </c>
      <c r="CL30" s="2" t="str">
        <f t="shared" si="45"/>
        <v/>
      </c>
      <c r="CM30" s="2" t="str">
        <f t="shared" si="45"/>
        <v/>
      </c>
      <c r="CN30" s="2" t="str">
        <f t="shared" si="45"/>
        <v/>
      </c>
      <c r="CO30" s="2" t="str">
        <f t="shared" si="45"/>
        <v/>
      </c>
      <c r="CP30" s="2" t="str">
        <f t="shared" si="45"/>
        <v/>
      </c>
      <c r="CQ30" s="2" t="str">
        <f t="shared" si="45"/>
        <v/>
      </c>
      <c r="CR30" s="301" t="str">
        <f t="shared" si="45"/>
        <v/>
      </c>
    </row>
    <row r="31" spans="2:96" ht="21.75" customHeight="1" x14ac:dyDescent="0.25">
      <c r="B31" s="364" t="str">
        <f>IF(Language="English", 'Language Look Ups'!$O$14,IF(Language="Francais", 'Language Look Ups'!$S$14, 'Language Look Ups'!$Q$14))</f>
        <v>Méthodes à Court Terme</v>
      </c>
      <c r="C31" s="104"/>
      <c r="D31" s="51"/>
      <c r="E31" s="50"/>
      <c r="F31" s="42"/>
      <c r="G31" s="299"/>
      <c r="H31" s="300"/>
      <c r="I31" s="299"/>
      <c r="J31" s="300"/>
      <c r="K31" s="300"/>
      <c r="L31" s="300"/>
      <c r="M31" s="299"/>
      <c r="N31" s="300"/>
      <c r="O31" s="299"/>
      <c r="P31" s="300"/>
      <c r="Q31" s="299"/>
      <c r="R31" s="300"/>
      <c r="S31" s="299"/>
      <c r="T31" s="300"/>
      <c r="U31" s="299"/>
      <c r="V31" s="414"/>
      <c r="AA31" s="460" t="str">
        <f>B31</f>
        <v>Méthodes à Court Terme</v>
      </c>
      <c r="AB31" s="386"/>
      <c r="AC31" s="387"/>
      <c r="AD31" s="387"/>
      <c r="AE31" s="387"/>
      <c r="AF31" s="387"/>
      <c r="AG31" s="387"/>
      <c r="AH31" s="387"/>
      <c r="AI31" s="387"/>
      <c r="AJ31" s="387"/>
      <c r="AK31" s="387"/>
      <c r="AL31" s="387"/>
      <c r="AM31" s="387"/>
      <c r="AN31" s="387"/>
      <c r="AO31" s="387"/>
      <c r="AP31" s="387"/>
      <c r="AQ31" s="466"/>
      <c r="BJ31" s="679"/>
      <c r="BK31" s="299"/>
      <c r="BL31" s="300"/>
      <c r="BM31" s="299"/>
      <c r="BN31" s="300"/>
      <c r="BO31" s="299"/>
      <c r="BP31" s="300"/>
      <c r="BQ31" s="299"/>
      <c r="BR31" s="300"/>
      <c r="BS31" s="299"/>
      <c r="BT31" s="300"/>
      <c r="BU31" s="299"/>
      <c r="BV31" s="300" t="str">
        <f>IF(BV$21="", "", IF(AM31="",R31, R31/AM31))</f>
        <v/>
      </c>
      <c r="BW31" s="299" t="str">
        <f>IF(BW$21="", "", IF(AN31="",S31, S31/AN31))</f>
        <v/>
      </c>
      <c r="BX31" s="300" t="str">
        <f>IF(BX$21="", "", IF(AO31="",T31, T31/AO31))</f>
        <v/>
      </c>
      <c r="BY31" s="299" t="str">
        <f>IF(BY$21="", "", IF(AP31="",U31, U31/AP31))</f>
        <v/>
      </c>
      <c r="BZ31" s="414" t="str">
        <f>IF(BZ$21="", "", IF(AQ31="",V31, V31/AQ31))</f>
        <v/>
      </c>
      <c r="CB31" s="679"/>
      <c r="CC31" s="299"/>
      <c r="CD31" s="299"/>
      <c r="CE31" s="299"/>
      <c r="CF31" s="299"/>
      <c r="CG31" s="299"/>
      <c r="CH31" s="299"/>
      <c r="CI31" s="299"/>
      <c r="CJ31" s="299"/>
      <c r="CK31" s="299"/>
      <c r="CL31" s="299"/>
      <c r="CM31" s="299"/>
      <c r="CN31" s="299"/>
      <c r="CO31" s="299"/>
      <c r="CP31" s="299"/>
      <c r="CQ31" s="299"/>
      <c r="CR31" s="853"/>
    </row>
    <row r="32" spans="2:96" ht="17.25" customHeight="1" x14ac:dyDescent="0.25">
      <c r="B32" s="1491" t="str">
        <f>IF(Language="English", 'Language Look Ups'!$O$15,IF(Language="Francais", 'Language Look Ups'!$S$15, 'Language Look Ups'!Q$15))</f>
        <v>Produits injectables</v>
      </c>
      <c r="C32" s="363" t="str">
        <f>IF(Language="English", 'Language Look Ups'!$P$15,IF(Language="Francais", 'Language Look Ups'!$T$15, 'Language Look Ups'!$R$15))</f>
        <v>Depo Provera (DMPA)</v>
      </c>
      <c r="D32" s="715">
        <v>1</v>
      </c>
      <c r="E32" s="408">
        <f>1/D32</f>
        <v>1</v>
      </c>
      <c r="F32" s="416" t="str">
        <f t="shared" ref="F32:F46" si="46">IF(Language="English", BA32, BC32)</f>
        <v>utilisatrices</v>
      </c>
      <c r="G32" s="409"/>
      <c r="H32" s="409"/>
      <c r="I32" s="409"/>
      <c r="J32" s="409"/>
      <c r="K32" s="409"/>
      <c r="L32" s="409"/>
      <c r="M32" s="409"/>
      <c r="N32" s="409"/>
      <c r="O32" s="409"/>
      <c r="P32" s="410"/>
      <c r="Q32" s="409"/>
      <c r="R32" s="410"/>
      <c r="S32" s="409"/>
      <c r="T32" s="410"/>
      <c r="U32" s="409"/>
      <c r="V32" s="411"/>
      <c r="AA32" s="462" t="str">
        <f t="shared" ref="AA32:AA46" si="47">C32</f>
        <v>Depo Provera (DMPA)</v>
      </c>
      <c r="AB32" s="1008" t="str">
        <f>IF(AB$21="", "", VLOOKUP($AA32,'4. FPSource Set Up'!$C$96:$H$117, 6, FALSE))</f>
        <v>n/a</v>
      </c>
      <c r="AC32" s="1009" t="str">
        <f>IF(AC$21="", "", VLOOKUP($AA32,'4. FPSource Set Up'!$C$96:$H$117, 6, FALSE))</f>
        <v/>
      </c>
      <c r="AD32" s="1009" t="str">
        <f>IF(AD$21="", "", VLOOKUP($AA32,'4. FPSource Set Up'!$C$96:$H$117, 6, FALSE))</f>
        <v/>
      </c>
      <c r="AE32" s="1009" t="str">
        <f>IF(AE$21="", "", VLOOKUP($AA32,'4. FPSource Set Up'!$C$96:$H$117, 6, FALSE))</f>
        <v/>
      </c>
      <c r="AF32" s="1009" t="str">
        <f>IF(AF$21="", "", VLOOKUP($AA32,'4. FPSource Set Up'!$C$96:$H$117, 6, FALSE))</f>
        <v/>
      </c>
      <c r="AG32" s="1009" t="str">
        <f>IF(AG$21="", "", VLOOKUP($AA32,'4. FPSource Set Up'!$C$96:$H$117, 6, FALSE))</f>
        <v/>
      </c>
      <c r="AH32" s="1009" t="str">
        <f>IF(AH$21="", "", VLOOKUP($AA32,'4. FPSource Set Up'!$C$96:$H$117, 6, FALSE))</f>
        <v/>
      </c>
      <c r="AI32" s="1009" t="str">
        <f>IF(AI$21="", "", VLOOKUP($AA32,'4. FPSource Set Up'!$C$96:$H$117, 6, FALSE))</f>
        <v/>
      </c>
      <c r="AJ32" s="1009" t="str">
        <f>IF(AJ$21="", "", VLOOKUP($AA32,'4. FPSource Set Up'!$C$96:$H$117, 6, FALSE))</f>
        <v/>
      </c>
      <c r="AK32" s="1009" t="str">
        <f>IF(AK$21="", "", VLOOKUP($AA32,'4. FPSource Set Up'!$C$96:$H$117, 6, FALSE))</f>
        <v/>
      </c>
      <c r="AL32" s="1009" t="str">
        <f>IF(AL$21="", "", VLOOKUP($AA32,'4. FPSource Set Up'!$C$96:$H$117, 6, FALSE))</f>
        <v/>
      </c>
      <c r="AM32" s="1009" t="str">
        <f>IF(AM$21="", "", VLOOKUP($AA32,'4. FPSource Set Up'!$C$96:$H$117, 6, FALSE))</f>
        <v/>
      </c>
      <c r="AN32" s="1009" t="str">
        <f>IF(AN$21="", "", VLOOKUP($AA32,'4. FPSource Set Up'!$C$96:$H$117, 6, FALSE))</f>
        <v/>
      </c>
      <c r="AO32" s="1009" t="str">
        <f>IF(AO$21="", "", VLOOKUP($AA32,'4. FPSource Set Up'!$C$96:$H$117, 6, FALSE))</f>
        <v/>
      </c>
      <c r="AP32" s="1009" t="str">
        <f>IF(AP$21="", "", VLOOKUP($AA32,'4. FPSource Set Up'!$C$96:$H$117, 6, FALSE))</f>
        <v/>
      </c>
      <c r="AQ32" s="1010" t="str">
        <f>IF(AQ$21="", "", VLOOKUP($AA32,'4. FPSource Set Up'!$C$96:$H$117, 6, FALSE))</f>
        <v/>
      </c>
      <c r="BA32" s="416" t="s">
        <v>839</v>
      </c>
      <c r="BC32" s="469" t="s">
        <v>2440</v>
      </c>
      <c r="BJ32" s="676" t="str">
        <f t="shared" si="11"/>
        <v>Depo Provera (DMPA)</v>
      </c>
      <c r="BK32" s="664" t="str">
        <f t="shared" ref="BK32:BZ32" si="48">IF(OR(BK$10&lt;0.6, BK$21=""), "", G32)</f>
        <v/>
      </c>
      <c r="BL32" s="664" t="str">
        <f t="shared" si="48"/>
        <v/>
      </c>
      <c r="BM32" s="664" t="str">
        <f t="shared" si="48"/>
        <v/>
      </c>
      <c r="BN32" s="664" t="str">
        <f t="shared" si="48"/>
        <v/>
      </c>
      <c r="BO32" s="664" t="str">
        <f t="shared" si="48"/>
        <v/>
      </c>
      <c r="BP32" s="664" t="str">
        <f t="shared" si="48"/>
        <v/>
      </c>
      <c r="BQ32" s="664" t="str">
        <f t="shared" si="48"/>
        <v/>
      </c>
      <c r="BR32" s="664" t="str">
        <f t="shared" si="48"/>
        <v/>
      </c>
      <c r="BS32" s="664" t="str">
        <f t="shared" si="48"/>
        <v/>
      </c>
      <c r="BT32" s="664" t="str">
        <f t="shared" si="48"/>
        <v/>
      </c>
      <c r="BU32" s="664" t="str">
        <f t="shared" si="48"/>
        <v/>
      </c>
      <c r="BV32" s="664" t="str">
        <f t="shared" si="48"/>
        <v/>
      </c>
      <c r="BW32" s="664" t="str">
        <f t="shared" si="48"/>
        <v/>
      </c>
      <c r="BX32" s="664" t="str">
        <f t="shared" si="48"/>
        <v/>
      </c>
      <c r="BY32" s="664" t="str">
        <f t="shared" si="48"/>
        <v/>
      </c>
      <c r="BZ32" s="842" t="str">
        <f t="shared" si="48"/>
        <v/>
      </c>
      <c r="CB32" s="676" t="str">
        <f t="shared" si="28"/>
        <v>Depo Provera (DMPA)</v>
      </c>
      <c r="CC32" s="664" t="str">
        <f t="shared" ref="CC32:CR32" si="49">IF(CC$21="", "", IF(CC$10&lt;60%, "", BK32*AB32))</f>
        <v/>
      </c>
      <c r="CD32" s="664" t="str">
        <f t="shared" si="49"/>
        <v/>
      </c>
      <c r="CE32" s="664" t="str">
        <f t="shared" si="49"/>
        <v/>
      </c>
      <c r="CF32" s="664" t="str">
        <f t="shared" si="49"/>
        <v/>
      </c>
      <c r="CG32" s="664" t="str">
        <f t="shared" si="49"/>
        <v/>
      </c>
      <c r="CH32" s="664" t="str">
        <f t="shared" si="49"/>
        <v/>
      </c>
      <c r="CI32" s="664" t="str">
        <f t="shared" si="49"/>
        <v/>
      </c>
      <c r="CJ32" s="664" t="str">
        <f t="shared" si="49"/>
        <v/>
      </c>
      <c r="CK32" s="664" t="str">
        <f t="shared" si="49"/>
        <v/>
      </c>
      <c r="CL32" s="664" t="str">
        <f t="shared" si="49"/>
        <v/>
      </c>
      <c r="CM32" s="664" t="str">
        <f t="shared" si="49"/>
        <v/>
      </c>
      <c r="CN32" s="664" t="str">
        <f t="shared" si="49"/>
        <v/>
      </c>
      <c r="CO32" s="664" t="str">
        <f t="shared" si="49"/>
        <v/>
      </c>
      <c r="CP32" s="664" t="str">
        <f t="shared" si="49"/>
        <v/>
      </c>
      <c r="CQ32" s="664" t="str">
        <f t="shared" si="49"/>
        <v/>
      </c>
      <c r="CR32" s="842" t="str">
        <f t="shared" si="49"/>
        <v/>
      </c>
    </row>
    <row r="33" spans="2:96" ht="17.25" customHeight="1" x14ac:dyDescent="0.25">
      <c r="B33" s="1492"/>
      <c r="C33" s="277" t="str">
        <f>IF(Language="English", 'Language Look Ups'!$P$16,IF(Language="Francais", 'Language Look Ups'!$T$16, 'Language Look Ups'!$R$16))</f>
        <v>Noristerat (NET-En)</v>
      </c>
      <c r="D33" s="717">
        <v>1</v>
      </c>
      <c r="E33" s="101">
        <f t="shared" ref="E33:E46" si="50">1/D33</f>
        <v>1</v>
      </c>
      <c r="F33" s="102" t="str">
        <f t="shared" si="46"/>
        <v>utilisatrices</v>
      </c>
      <c r="G33" s="282"/>
      <c r="H33" s="282"/>
      <c r="I33" s="282"/>
      <c r="J33" s="282"/>
      <c r="K33" s="282"/>
      <c r="L33" s="282"/>
      <c r="M33" s="282"/>
      <c r="N33" s="282"/>
      <c r="O33" s="282"/>
      <c r="P33" s="283"/>
      <c r="Q33" s="282"/>
      <c r="R33" s="283"/>
      <c r="S33" s="282"/>
      <c r="T33" s="283"/>
      <c r="U33" s="282"/>
      <c r="V33" s="413"/>
      <c r="AA33" s="464" t="str">
        <f t="shared" si="47"/>
        <v>Noristerat (NET-En)</v>
      </c>
      <c r="AB33" s="1038" t="str">
        <f>IF(AB$21="", "", VLOOKUP($AA33,'4. FPSource Set Up'!$C$96:$H$117, 6, FALSE))</f>
        <v>n/a</v>
      </c>
      <c r="AC33" s="1039" t="str">
        <f>IF(AC$21="", "", VLOOKUP($AA33,'4. FPSource Set Up'!$C$96:$H$117, 6, FALSE))</f>
        <v/>
      </c>
      <c r="AD33" s="1039" t="str">
        <f>IF(AD$21="", "", VLOOKUP($AA33,'4. FPSource Set Up'!$C$96:$H$117, 6, FALSE))</f>
        <v/>
      </c>
      <c r="AE33" s="1039" t="str">
        <f>IF(AE$21="", "", VLOOKUP($AA33,'4. FPSource Set Up'!$C$96:$H$117, 6, FALSE))</f>
        <v/>
      </c>
      <c r="AF33" s="1039" t="str">
        <f>IF(AF$21="", "", VLOOKUP($AA33,'4. FPSource Set Up'!$C$96:$H$117, 6, FALSE))</f>
        <v/>
      </c>
      <c r="AG33" s="1039" t="str">
        <f>IF(AG$21="", "", VLOOKUP($AA33,'4. FPSource Set Up'!$C$96:$H$117, 6, FALSE))</f>
        <v/>
      </c>
      <c r="AH33" s="1039" t="str">
        <f>IF(AH$21="", "", VLOOKUP($AA33,'4. FPSource Set Up'!$C$96:$H$117, 6, FALSE))</f>
        <v/>
      </c>
      <c r="AI33" s="1039" t="str">
        <f>IF(AI$21="", "", VLOOKUP($AA33,'4. FPSource Set Up'!$C$96:$H$117, 6, FALSE))</f>
        <v/>
      </c>
      <c r="AJ33" s="1039" t="str">
        <f>IF(AJ$21="", "", VLOOKUP($AA33,'4. FPSource Set Up'!$C$96:$H$117, 6, FALSE))</f>
        <v/>
      </c>
      <c r="AK33" s="1039" t="str">
        <f>IF(AK$21="", "", VLOOKUP($AA33,'4. FPSource Set Up'!$C$96:$H$117, 6, FALSE))</f>
        <v/>
      </c>
      <c r="AL33" s="1039" t="str">
        <f>IF(AL$21="", "", VLOOKUP($AA33,'4. FPSource Set Up'!$C$96:$H$117, 6, FALSE))</f>
        <v/>
      </c>
      <c r="AM33" s="1039" t="str">
        <f>IF(AM$21="", "", VLOOKUP($AA33,'4. FPSource Set Up'!$C$96:$H$117, 6, FALSE))</f>
        <v/>
      </c>
      <c r="AN33" s="1039" t="str">
        <f>IF(AN$21="", "", VLOOKUP($AA33,'4. FPSource Set Up'!$C$96:$H$117, 6, FALSE))</f>
        <v/>
      </c>
      <c r="AO33" s="1039" t="str">
        <f>IF(AO$21="", "", VLOOKUP($AA33,'4. FPSource Set Up'!$C$96:$H$117, 6, FALSE))</f>
        <v/>
      </c>
      <c r="AP33" s="1039" t="str">
        <f>IF(AP$21="", "", VLOOKUP($AA33,'4. FPSource Set Up'!$C$96:$H$117, 6, FALSE))</f>
        <v/>
      </c>
      <c r="AQ33" s="1040" t="str">
        <f>IF(AQ$21="", "", VLOOKUP($AA33,'4. FPSource Set Up'!$C$96:$H$117, 6, FALSE))</f>
        <v/>
      </c>
      <c r="BA33" s="416" t="s">
        <v>839</v>
      </c>
      <c r="BC33" s="469" t="s">
        <v>2440</v>
      </c>
      <c r="BJ33" s="678" t="str">
        <f t="shared" si="11"/>
        <v>Noristerat (NET-En)</v>
      </c>
      <c r="BK33" s="670" t="str">
        <f t="shared" ref="BK33:BK46" si="51">IF(OR(BK$10&lt;0.6, BK$21=""), "", G33)</f>
        <v/>
      </c>
      <c r="BL33" s="670" t="str">
        <f t="shared" ref="BL33:BL46" si="52">IF(OR(BL$10&lt;0.6, BL$21=""), "", H33)</f>
        <v/>
      </c>
      <c r="BM33" s="670" t="str">
        <f t="shared" ref="BM33:BM46" si="53">IF(OR(BM$10&lt;0.6, BM$21=""), "", I33)</f>
        <v/>
      </c>
      <c r="BN33" s="670" t="str">
        <f t="shared" ref="BN33:BN46" si="54">IF(OR(BN$10&lt;0.6, BN$21=""), "", J33)</f>
        <v/>
      </c>
      <c r="BO33" s="670" t="str">
        <f t="shared" ref="BO33:BO46" si="55">IF(OR(BO$10&lt;0.6, BO$21=""), "", K33)</f>
        <v/>
      </c>
      <c r="BP33" s="670" t="str">
        <f t="shared" ref="BP33:BP46" si="56">IF(OR(BP$10&lt;0.6, BP$21=""), "", L33)</f>
        <v/>
      </c>
      <c r="BQ33" s="670" t="str">
        <f t="shared" ref="BQ33:BQ46" si="57">IF(OR(BQ$10&lt;0.6, BQ$21=""), "", M33)</f>
        <v/>
      </c>
      <c r="BR33" s="670" t="str">
        <f t="shared" ref="BR33:BR46" si="58">IF(OR(BR$10&lt;0.6, BR$21=""), "", N33)</f>
        <v/>
      </c>
      <c r="BS33" s="670" t="str">
        <f t="shared" ref="BS33:BS46" si="59">IF(OR(BS$10&lt;0.6, BS$21=""), "", O33)</f>
        <v/>
      </c>
      <c r="BT33" s="671" t="str">
        <f t="shared" ref="BT33:BT46" si="60">IF(OR(BT$10&lt;0.6, BT$21=""), "", P33)</f>
        <v/>
      </c>
      <c r="BU33" s="670" t="str">
        <f t="shared" ref="BU33:BU46" si="61">IF(OR(BU$10&lt;0.6, BU$21=""), "", Q33)</f>
        <v/>
      </c>
      <c r="BV33" s="671" t="str">
        <f t="shared" ref="BV33:BV46" si="62">IF(OR(BV$10&lt;0.6, BV$21=""), "", R33)</f>
        <v/>
      </c>
      <c r="BW33" s="670" t="str">
        <f t="shared" ref="BW33:BW46" si="63">IF(OR(BW$10&lt;0.6, BW$21=""), "", S33)</f>
        <v/>
      </c>
      <c r="BX33" s="671" t="str">
        <f t="shared" ref="BX33:BX46" si="64">IF(OR(BX$10&lt;0.6, BX$21=""), "", T33)</f>
        <v/>
      </c>
      <c r="BY33" s="670" t="str">
        <f t="shared" ref="BY33:BY46" si="65">IF(OR(BY$10&lt;0.6, BY$21=""), "", U33)</f>
        <v/>
      </c>
      <c r="BZ33" s="672" t="str">
        <f t="shared" ref="BZ33:BZ46" si="66">IF(OR(BZ$10&lt;0.6, BZ$21=""), "", V33)</f>
        <v/>
      </c>
      <c r="CB33" s="678" t="str">
        <f t="shared" si="28"/>
        <v>Noristerat (NET-En)</v>
      </c>
      <c r="CC33" s="670" t="str">
        <f t="shared" ref="CC33:CC46" si="67">IF(CC$21="", "", IF(CC$10&lt;60%, "", BK33*AB33))</f>
        <v/>
      </c>
      <c r="CD33" s="670" t="str">
        <f t="shared" ref="CD33:CD46" si="68">IF(CD$21="", "", IF(CD$10&lt;60%, "", BL33*AC33))</f>
        <v/>
      </c>
      <c r="CE33" s="670" t="str">
        <f t="shared" ref="CE33:CE46" si="69">IF(CE$21="", "", IF(CE$10&lt;60%, "", BM33*AD33))</f>
        <v/>
      </c>
      <c r="CF33" s="670" t="str">
        <f t="shared" ref="CF33:CF46" si="70">IF(CF$21="", "", IF(CF$10&lt;60%, "", BN33*AE33))</f>
        <v/>
      </c>
      <c r="CG33" s="670" t="str">
        <f t="shared" ref="CG33:CG46" si="71">IF(CG$21="", "", IF(CG$10&lt;60%, "", BO33*AF33))</f>
        <v/>
      </c>
      <c r="CH33" s="670" t="str">
        <f t="shared" ref="CH33:CH46" si="72">IF(CH$21="", "", IF(CH$10&lt;60%, "", BP33*AG33))</f>
        <v/>
      </c>
      <c r="CI33" s="670" t="str">
        <f t="shared" ref="CI33:CI46" si="73">IF(CI$21="", "", IF(CI$10&lt;60%, "", BQ33*AH33))</f>
        <v/>
      </c>
      <c r="CJ33" s="670" t="str">
        <f t="shared" ref="CJ33:CJ46" si="74">IF(CJ$21="", "", IF(CJ$10&lt;60%, "", BR33*AI33))</f>
        <v/>
      </c>
      <c r="CK33" s="670" t="str">
        <f t="shared" ref="CK33:CK46" si="75">IF(CK$21="", "", IF(CK$10&lt;60%, "", BS33*AJ33))</f>
        <v/>
      </c>
      <c r="CL33" s="671" t="str">
        <f t="shared" ref="CL33:CL46" si="76">IF(CL$21="", "", IF(CL$10&lt;60%, "", BT33*AK33))</f>
        <v/>
      </c>
      <c r="CM33" s="670" t="str">
        <f t="shared" ref="CM33:CM46" si="77">IF(CM$21="", "", IF(CM$10&lt;60%, "", BU33*AL33))</f>
        <v/>
      </c>
      <c r="CN33" s="671" t="str">
        <f t="shared" ref="CN33:CN46" si="78">IF(CN$21="", "", IF(CN$10&lt;60%, "", BV33*AM33))</f>
        <v/>
      </c>
      <c r="CO33" s="670" t="str">
        <f t="shared" ref="CO33:CO46" si="79">IF(CO$21="", "", IF(CO$10&lt;60%, "", BW33*AN33))</f>
        <v/>
      </c>
      <c r="CP33" s="671" t="str">
        <f t="shared" ref="CP33:CP46" si="80">IF(CP$21="", "", IF(CP$10&lt;60%, "", BX33*AO33))</f>
        <v/>
      </c>
      <c r="CQ33" s="670" t="str">
        <f t="shared" ref="CQ33:CQ46" si="81">IF(CQ$21="", "", IF(CQ$10&lt;60%, "", BY33*AP33))</f>
        <v/>
      </c>
      <c r="CR33" s="672" t="str">
        <f t="shared" ref="CR33:CR46" si="82">IF(CR$21="", "", IF(CR$10&lt;60%, "", BZ33*AQ33))</f>
        <v/>
      </c>
    </row>
    <row r="34" spans="2:96" ht="17.25" customHeight="1" x14ac:dyDescent="0.25">
      <c r="B34" s="1492"/>
      <c r="C34" s="277" t="str">
        <f>IF(Language="English",'Language Look Ups'!$P$17,IF(Language="Francais",'Language Look Ups'!$T$17,'Language Look Ups'!$R$17))</f>
        <v>Lunelle</v>
      </c>
      <c r="D34" s="717">
        <v>1</v>
      </c>
      <c r="E34" s="101">
        <f t="shared" si="50"/>
        <v>1</v>
      </c>
      <c r="F34" s="102" t="str">
        <f t="shared" si="46"/>
        <v>utilisatrices</v>
      </c>
      <c r="G34" s="282"/>
      <c r="H34" s="283"/>
      <c r="I34" s="282"/>
      <c r="J34" s="283"/>
      <c r="K34" s="283"/>
      <c r="L34" s="283"/>
      <c r="M34" s="282"/>
      <c r="N34" s="283"/>
      <c r="O34" s="282"/>
      <c r="P34" s="283"/>
      <c r="Q34" s="282"/>
      <c r="R34" s="283"/>
      <c r="S34" s="282"/>
      <c r="T34" s="283"/>
      <c r="U34" s="282"/>
      <c r="V34" s="413"/>
      <c r="AA34" s="464" t="str">
        <f t="shared" si="47"/>
        <v>Lunelle</v>
      </c>
      <c r="AB34" s="1038" t="str">
        <f>IF(AB$21="", "", VLOOKUP($AA34,'4. FPSource Set Up'!$C$96:$H$117, 6, FALSE))</f>
        <v>n/a</v>
      </c>
      <c r="AC34" s="1039" t="str">
        <f>IF(AC$21="", "", VLOOKUP($AA34,'4. FPSource Set Up'!$C$96:$H$117, 6, FALSE))</f>
        <v/>
      </c>
      <c r="AD34" s="1039" t="str">
        <f>IF(AD$21="", "", VLOOKUP($AA34,'4. FPSource Set Up'!$C$96:$H$117, 6, FALSE))</f>
        <v/>
      </c>
      <c r="AE34" s="1039" t="str">
        <f>IF(AE$21="", "", VLOOKUP($AA34,'4. FPSource Set Up'!$C$96:$H$117, 6, FALSE))</f>
        <v/>
      </c>
      <c r="AF34" s="1039" t="str">
        <f>IF(AF$21="", "", VLOOKUP($AA34,'4. FPSource Set Up'!$C$96:$H$117, 6, FALSE))</f>
        <v/>
      </c>
      <c r="AG34" s="1039" t="str">
        <f>IF(AG$21="", "", VLOOKUP($AA34,'4. FPSource Set Up'!$C$96:$H$117, 6, FALSE))</f>
        <v/>
      </c>
      <c r="AH34" s="1039" t="str">
        <f>IF(AH$21="", "", VLOOKUP($AA34,'4. FPSource Set Up'!$C$96:$H$117, 6, FALSE))</f>
        <v/>
      </c>
      <c r="AI34" s="1039" t="str">
        <f>IF(AI$21="", "", VLOOKUP($AA34,'4. FPSource Set Up'!$C$96:$H$117, 6, FALSE))</f>
        <v/>
      </c>
      <c r="AJ34" s="1039" t="str">
        <f>IF(AJ$21="", "", VLOOKUP($AA34,'4. FPSource Set Up'!$C$96:$H$117, 6, FALSE))</f>
        <v/>
      </c>
      <c r="AK34" s="1039" t="str">
        <f>IF(AK$21="", "", VLOOKUP($AA34,'4. FPSource Set Up'!$C$96:$H$117, 6, FALSE))</f>
        <v/>
      </c>
      <c r="AL34" s="1039" t="str">
        <f>IF(AL$21="", "", VLOOKUP($AA34,'4. FPSource Set Up'!$C$96:$H$117, 6, FALSE))</f>
        <v/>
      </c>
      <c r="AM34" s="1039" t="str">
        <f>IF(AM$21="", "", VLOOKUP($AA34,'4. FPSource Set Up'!$C$96:$H$117, 6, FALSE))</f>
        <v/>
      </c>
      <c r="AN34" s="1039" t="str">
        <f>IF(AN$21="", "", VLOOKUP($AA34,'4. FPSource Set Up'!$C$96:$H$117, 6, FALSE))</f>
        <v/>
      </c>
      <c r="AO34" s="1039" t="str">
        <f>IF(AO$21="", "", VLOOKUP($AA34,'4. FPSource Set Up'!$C$96:$H$117, 6, FALSE))</f>
        <v/>
      </c>
      <c r="AP34" s="1039" t="str">
        <f>IF(AP$21="", "", VLOOKUP($AA34,'4. FPSource Set Up'!$C$96:$H$117, 6, FALSE))</f>
        <v/>
      </c>
      <c r="AQ34" s="1040" t="str">
        <f>IF(AQ$21="", "", VLOOKUP($AA34,'4. FPSource Set Up'!$C$96:$H$117, 6, FALSE))</f>
        <v/>
      </c>
      <c r="BA34" s="416" t="s">
        <v>839</v>
      </c>
      <c r="BC34" s="469" t="s">
        <v>2440</v>
      </c>
      <c r="BJ34" s="678" t="str">
        <f t="shared" si="11"/>
        <v>Lunelle</v>
      </c>
      <c r="BK34" s="670" t="str">
        <f t="shared" si="51"/>
        <v/>
      </c>
      <c r="BL34" s="671" t="str">
        <f t="shared" si="52"/>
        <v/>
      </c>
      <c r="BM34" s="670" t="str">
        <f t="shared" si="53"/>
        <v/>
      </c>
      <c r="BN34" s="671" t="str">
        <f t="shared" si="54"/>
        <v/>
      </c>
      <c r="BO34" s="670" t="str">
        <f t="shared" si="55"/>
        <v/>
      </c>
      <c r="BP34" s="671" t="str">
        <f t="shared" si="56"/>
        <v/>
      </c>
      <c r="BQ34" s="670" t="str">
        <f t="shared" si="57"/>
        <v/>
      </c>
      <c r="BR34" s="671" t="str">
        <f t="shared" si="58"/>
        <v/>
      </c>
      <c r="BS34" s="670" t="str">
        <f t="shared" si="59"/>
        <v/>
      </c>
      <c r="BT34" s="671" t="str">
        <f t="shared" si="60"/>
        <v/>
      </c>
      <c r="BU34" s="670" t="str">
        <f t="shared" si="61"/>
        <v/>
      </c>
      <c r="BV34" s="671" t="str">
        <f t="shared" si="62"/>
        <v/>
      </c>
      <c r="BW34" s="670" t="str">
        <f t="shared" si="63"/>
        <v/>
      </c>
      <c r="BX34" s="671" t="str">
        <f t="shared" si="64"/>
        <v/>
      </c>
      <c r="BY34" s="670" t="str">
        <f t="shared" si="65"/>
        <v/>
      </c>
      <c r="BZ34" s="672" t="str">
        <f t="shared" si="66"/>
        <v/>
      </c>
      <c r="CB34" s="678" t="str">
        <f t="shared" si="28"/>
        <v>Lunelle</v>
      </c>
      <c r="CC34" s="670" t="str">
        <f t="shared" si="67"/>
        <v/>
      </c>
      <c r="CD34" s="671" t="str">
        <f t="shared" si="68"/>
        <v/>
      </c>
      <c r="CE34" s="670" t="str">
        <f t="shared" si="69"/>
        <v/>
      </c>
      <c r="CF34" s="671" t="str">
        <f t="shared" si="70"/>
        <v/>
      </c>
      <c r="CG34" s="670" t="str">
        <f t="shared" si="71"/>
        <v/>
      </c>
      <c r="CH34" s="671" t="str">
        <f t="shared" si="72"/>
        <v/>
      </c>
      <c r="CI34" s="670" t="str">
        <f t="shared" si="73"/>
        <v/>
      </c>
      <c r="CJ34" s="671" t="str">
        <f t="shared" si="74"/>
        <v/>
      </c>
      <c r="CK34" s="670" t="str">
        <f t="shared" si="75"/>
        <v/>
      </c>
      <c r="CL34" s="671" t="str">
        <f t="shared" si="76"/>
        <v/>
      </c>
      <c r="CM34" s="670" t="str">
        <f t="shared" si="77"/>
        <v/>
      </c>
      <c r="CN34" s="671" t="str">
        <f t="shared" si="78"/>
        <v/>
      </c>
      <c r="CO34" s="670" t="str">
        <f t="shared" si="79"/>
        <v/>
      </c>
      <c r="CP34" s="671" t="str">
        <f t="shared" si="80"/>
        <v/>
      </c>
      <c r="CQ34" s="670" t="str">
        <f t="shared" si="81"/>
        <v/>
      </c>
      <c r="CR34" s="672" t="str">
        <f t="shared" si="82"/>
        <v/>
      </c>
    </row>
    <row r="35" spans="2:96" ht="17.25" customHeight="1" x14ac:dyDescent="0.25">
      <c r="B35" s="1492"/>
      <c r="C35" s="277" t="str">
        <f>IF(Language="English", 'Language Look Ups'!$P$18,IF(Language="Francais", 'Language Look Ups'!$T$18, 'Language Look Ups'!$R$18))</f>
        <v>Sayana Press</v>
      </c>
      <c r="D35" s="717">
        <v>1</v>
      </c>
      <c r="E35" s="101">
        <f t="shared" si="50"/>
        <v>1</v>
      </c>
      <c r="F35" s="102" t="str">
        <f t="shared" si="46"/>
        <v>utilisatrices</v>
      </c>
      <c r="G35" s="282"/>
      <c r="H35" s="283"/>
      <c r="I35" s="282"/>
      <c r="J35" s="283"/>
      <c r="K35" s="283"/>
      <c r="L35" s="283"/>
      <c r="M35" s="282"/>
      <c r="N35" s="283"/>
      <c r="O35" s="282"/>
      <c r="P35" s="283"/>
      <c r="Q35" s="282"/>
      <c r="R35" s="283"/>
      <c r="S35" s="282"/>
      <c r="T35" s="283"/>
      <c r="U35" s="282"/>
      <c r="V35" s="413"/>
      <c r="AA35" s="464" t="str">
        <f t="shared" si="47"/>
        <v>Sayana Press</v>
      </c>
      <c r="AB35" s="1038" t="str">
        <f>IF(AB$21="", "", VLOOKUP($AA35,'4. FPSource Set Up'!$C$96:$H$117, 6, FALSE))</f>
        <v>n/a</v>
      </c>
      <c r="AC35" s="1039" t="str">
        <f>IF(AC$21="", "", VLOOKUP($AA35,'4. FPSource Set Up'!$C$96:$H$117, 6, FALSE))</f>
        <v/>
      </c>
      <c r="AD35" s="1039" t="str">
        <f>IF(AD$21="", "", VLOOKUP($AA35,'4. FPSource Set Up'!$C$96:$H$117, 6, FALSE))</f>
        <v/>
      </c>
      <c r="AE35" s="1039" t="str">
        <f>IF(AE$21="", "", VLOOKUP($AA35,'4. FPSource Set Up'!$C$96:$H$117, 6, FALSE))</f>
        <v/>
      </c>
      <c r="AF35" s="1039" t="str">
        <f>IF(AF$21="", "", VLOOKUP($AA35,'4. FPSource Set Up'!$C$96:$H$117, 6, FALSE))</f>
        <v/>
      </c>
      <c r="AG35" s="1039" t="str">
        <f>IF(AG$21="", "", VLOOKUP($AA35,'4. FPSource Set Up'!$C$96:$H$117, 6, FALSE))</f>
        <v/>
      </c>
      <c r="AH35" s="1039" t="str">
        <f>IF(AH$21="", "", VLOOKUP($AA35,'4. FPSource Set Up'!$C$96:$H$117, 6, FALSE))</f>
        <v/>
      </c>
      <c r="AI35" s="1039" t="str">
        <f>IF(AI$21="", "", VLOOKUP($AA35,'4. FPSource Set Up'!$C$96:$H$117, 6, FALSE))</f>
        <v/>
      </c>
      <c r="AJ35" s="1039" t="str">
        <f>IF(AJ$21="", "", VLOOKUP($AA35,'4. FPSource Set Up'!$C$96:$H$117, 6, FALSE))</f>
        <v/>
      </c>
      <c r="AK35" s="1039" t="str">
        <f>IF(AK$21="", "", VLOOKUP($AA35,'4. FPSource Set Up'!$C$96:$H$117, 6, FALSE))</f>
        <v/>
      </c>
      <c r="AL35" s="1039" t="str">
        <f>IF(AL$21="", "", VLOOKUP($AA35,'4. FPSource Set Up'!$C$96:$H$117, 6, FALSE))</f>
        <v/>
      </c>
      <c r="AM35" s="1039" t="str">
        <f>IF(AM$21="", "", VLOOKUP($AA35,'4. FPSource Set Up'!$C$96:$H$117, 6, FALSE))</f>
        <v/>
      </c>
      <c r="AN35" s="1039" t="str">
        <f>IF(AN$21="", "", VLOOKUP($AA35,'4. FPSource Set Up'!$C$96:$H$117, 6, FALSE))</f>
        <v/>
      </c>
      <c r="AO35" s="1039" t="str">
        <f>IF(AO$21="", "", VLOOKUP($AA35,'4. FPSource Set Up'!$C$96:$H$117, 6, FALSE))</f>
        <v/>
      </c>
      <c r="AP35" s="1039" t="str">
        <f>IF(AP$21="", "", VLOOKUP($AA35,'4. FPSource Set Up'!$C$96:$H$117, 6, FALSE))</f>
        <v/>
      </c>
      <c r="AQ35" s="1040" t="str">
        <f>IF(AQ$21="", "", VLOOKUP($AA35,'4. FPSource Set Up'!$C$96:$H$117, 6, FALSE))</f>
        <v/>
      </c>
      <c r="BA35" s="416" t="s">
        <v>839</v>
      </c>
      <c r="BC35" s="469" t="s">
        <v>2440</v>
      </c>
      <c r="BJ35" s="678" t="str">
        <f t="shared" si="11"/>
        <v>Sayana Press</v>
      </c>
      <c r="BK35" s="670" t="str">
        <f t="shared" si="51"/>
        <v/>
      </c>
      <c r="BL35" s="671" t="str">
        <f t="shared" si="52"/>
        <v/>
      </c>
      <c r="BM35" s="670" t="str">
        <f t="shared" si="53"/>
        <v/>
      </c>
      <c r="BN35" s="671" t="str">
        <f t="shared" si="54"/>
        <v/>
      </c>
      <c r="BO35" s="670" t="str">
        <f t="shared" si="55"/>
        <v/>
      </c>
      <c r="BP35" s="671" t="str">
        <f t="shared" si="56"/>
        <v/>
      </c>
      <c r="BQ35" s="670" t="str">
        <f t="shared" si="57"/>
        <v/>
      </c>
      <c r="BR35" s="671" t="str">
        <f t="shared" si="58"/>
        <v/>
      </c>
      <c r="BS35" s="670" t="str">
        <f t="shared" si="59"/>
        <v/>
      </c>
      <c r="BT35" s="671" t="str">
        <f t="shared" si="60"/>
        <v/>
      </c>
      <c r="BU35" s="670" t="str">
        <f t="shared" si="61"/>
        <v/>
      </c>
      <c r="BV35" s="671" t="str">
        <f t="shared" si="62"/>
        <v/>
      </c>
      <c r="BW35" s="670" t="str">
        <f t="shared" si="63"/>
        <v/>
      </c>
      <c r="BX35" s="671" t="str">
        <f t="shared" si="64"/>
        <v/>
      </c>
      <c r="BY35" s="670" t="str">
        <f t="shared" si="65"/>
        <v/>
      </c>
      <c r="BZ35" s="672" t="str">
        <f t="shared" si="66"/>
        <v/>
      </c>
      <c r="CB35" s="678" t="str">
        <f t="shared" si="28"/>
        <v>Sayana Press</v>
      </c>
      <c r="CC35" s="670" t="str">
        <f t="shared" si="67"/>
        <v/>
      </c>
      <c r="CD35" s="671" t="str">
        <f t="shared" si="68"/>
        <v/>
      </c>
      <c r="CE35" s="670" t="str">
        <f t="shared" si="69"/>
        <v/>
      </c>
      <c r="CF35" s="671" t="str">
        <f t="shared" si="70"/>
        <v/>
      </c>
      <c r="CG35" s="670" t="str">
        <f t="shared" si="71"/>
        <v/>
      </c>
      <c r="CH35" s="671" t="str">
        <f t="shared" si="72"/>
        <v/>
      </c>
      <c r="CI35" s="670" t="str">
        <f t="shared" si="73"/>
        <v/>
      </c>
      <c r="CJ35" s="671" t="str">
        <f t="shared" si="74"/>
        <v/>
      </c>
      <c r="CK35" s="670" t="str">
        <f t="shared" si="75"/>
        <v/>
      </c>
      <c r="CL35" s="671" t="str">
        <f t="shared" si="76"/>
        <v/>
      </c>
      <c r="CM35" s="670" t="str">
        <f t="shared" si="77"/>
        <v/>
      </c>
      <c r="CN35" s="671" t="str">
        <f t="shared" si="78"/>
        <v/>
      </c>
      <c r="CO35" s="670" t="str">
        <f t="shared" si="79"/>
        <v/>
      </c>
      <c r="CP35" s="671" t="str">
        <f t="shared" si="80"/>
        <v/>
      </c>
      <c r="CQ35" s="670" t="str">
        <f t="shared" si="81"/>
        <v/>
      </c>
      <c r="CR35" s="672" t="str">
        <f t="shared" si="82"/>
        <v/>
      </c>
    </row>
    <row r="36" spans="2:96" ht="17.25" customHeight="1" x14ac:dyDescent="0.25">
      <c r="B36" s="1493"/>
      <c r="C36" s="275" t="str">
        <f>IF(Language="English", 'Language Look Ups'!$P$19,IF(Language="Francais", 'Language Look Ups'!$T$19, 'Language Look Ups'!$R$19))</f>
        <v>Autre Injectable</v>
      </c>
      <c r="D36" s="716">
        <v>1</v>
      </c>
      <c r="E36" s="99">
        <f t="shared" si="50"/>
        <v>1</v>
      </c>
      <c r="F36" s="100" t="str">
        <f t="shared" si="46"/>
        <v>utilisatrices</v>
      </c>
      <c r="G36" s="284"/>
      <c r="H36" s="285"/>
      <c r="I36" s="284"/>
      <c r="J36" s="285"/>
      <c r="K36" s="285"/>
      <c r="L36" s="285"/>
      <c r="M36" s="284"/>
      <c r="N36" s="285"/>
      <c r="O36" s="284"/>
      <c r="P36" s="285"/>
      <c r="Q36" s="284"/>
      <c r="R36" s="285"/>
      <c r="S36" s="284"/>
      <c r="T36" s="285"/>
      <c r="U36" s="284"/>
      <c r="V36" s="412"/>
      <c r="AA36" s="463" t="str">
        <f t="shared" si="47"/>
        <v>Autre Injectable</v>
      </c>
      <c r="AB36" s="1035" t="str">
        <f>IF(AB$21="", "", VLOOKUP($AA36,'4. FPSource Set Up'!$C$96:$H$117, 6, FALSE))</f>
        <v>n/a</v>
      </c>
      <c r="AC36" s="1036" t="str">
        <f>IF(AC$21="", "", VLOOKUP($AA36,'4. FPSource Set Up'!$C$96:$H$117, 6, FALSE))</f>
        <v/>
      </c>
      <c r="AD36" s="1036" t="str">
        <f>IF(AD$21="", "", VLOOKUP($AA36,'4. FPSource Set Up'!$C$96:$H$117, 6, FALSE))</f>
        <v/>
      </c>
      <c r="AE36" s="1036" t="str">
        <f>IF(AE$21="", "", VLOOKUP($AA36,'4. FPSource Set Up'!$C$96:$H$117, 6, FALSE))</f>
        <v/>
      </c>
      <c r="AF36" s="1036" t="str">
        <f>IF(AF$21="", "", VLOOKUP($AA36,'4. FPSource Set Up'!$C$96:$H$117, 6, FALSE))</f>
        <v/>
      </c>
      <c r="AG36" s="1036" t="str">
        <f>IF(AG$21="", "", VLOOKUP($AA36,'4. FPSource Set Up'!$C$96:$H$117, 6, FALSE))</f>
        <v/>
      </c>
      <c r="AH36" s="1036" t="str">
        <f>IF(AH$21="", "", VLOOKUP($AA36,'4. FPSource Set Up'!$C$96:$H$117, 6, FALSE))</f>
        <v/>
      </c>
      <c r="AI36" s="1036" t="str">
        <f>IF(AI$21="", "", VLOOKUP($AA36,'4. FPSource Set Up'!$C$96:$H$117, 6, FALSE))</f>
        <v/>
      </c>
      <c r="AJ36" s="1036" t="str">
        <f>IF(AJ$21="", "", VLOOKUP($AA36,'4. FPSource Set Up'!$C$96:$H$117, 6, FALSE))</f>
        <v/>
      </c>
      <c r="AK36" s="1036" t="str">
        <f>IF(AK$21="", "", VLOOKUP($AA36,'4. FPSource Set Up'!$C$96:$H$117, 6, FALSE))</f>
        <v/>
      </c>
      <c r="AL36" s="1036" t="str">
        <f>IF(AL$21="", "", VLOOKUP($AA36,'4. FPSource Set Up'!$C$96:$H$117, 6, FALSE))</f>
        <v/>
      </c>
      <c r="AM36" s="1036" t="str">
        <f>IF(AM$21="", "", VLOOKUP($AA36,'4. FPSource Set Up'!$C$96:$H$117, 6, FALSE))</f>
        <v/>
      </c>
      <c r="AN36" s="1036" t="str">
        <f>IF(AN$21="", "", VLOOKUP($AA36,'4. FPSource Set Up'!$C$96:$H$117, 6, FALSE))</f>
        <v/>
      </c>
      <c r="AO36" s="1036" t="str">
        <f>IF(AO$21="", "", VLOOKUP($AA36,'4. FPSource Set Up'!$C$96:$H$117, 6, FALSE))</f>
        <v/>
      </c>
      <c r="AP36" s="1036" t="str">
        <f>IF(AP$21="", "", VLOOKUP($AA36,'4. FPSource Set Up'!$C$96:$H$117, 6, FALSE))</f>
        <v/>
      </c>
      <c r="AQ36" s="1037" t="str">
        <f>IF(AQ$21="", "", VLOOKUP($AA36,'4. FPSource Set Up'!$C$96:$H$117, 6, FALSE))</f>
        <v/>
      </c>
      <c r="BA36" s="416" t="s">
        <v>839</v>
      </c>
      <c r="BC36" s="469" t="s">
        <v>2440</v>
      </c>
      <c r="BJ36" s="677" t="str">
        <f t="shared" si="11"/>
        <v>Autre Injectable</v>
      </c>
      <c r="BK36" s="667" t="str">
        <f t="shared" si="51"/>
        <v/>
      </c>
      <c r="BL36" s="668" t="str">
        <f t="shared" si="52"/>
        <v/>
      </c>
      <c r="BM36" s="667" t="str">
        <f t="shared" si="53"/>
        <v/>
      </c>
      <c r="BN36" s="668" t="str">
        <f t="shared" si="54"/>
        <v/>
      </c>
      <c r="BO36" s="667" t="str">
        <f t="shared" si="55"/>
        <v/>
      </c>
      <c r="BP36" s="668" t="str">
        <f t="shared" si="56"/>
        <v/>
      </c>
      <c r="BQ36" s="667" t="str">
        <f t="shared" si="57"/>
        <v/>
      </c>
      <c r="BR36" s="668" t="str">
        <f t="shared" si="58"/>
        <v/>
      </c>
      <c r="BS36" s="667" t="str">
        <f t="shared" si="59"/>
        <v/>
      </c>
      <c r="BT36" s="668" t="str">
        <f t="shared" si="60"/>
        <v/>
      </c>
      <c r="BU36" s="667" t="str">
        <f t="shared" si="61"/>
        <v/>
      </c>
      <c r="BV36" s="668" t="str">
        <f t="shared" si="62"/>
        <v/>
      </c>
      <c r="BW36" s="667" t="str">
        <f t="shared" si="63"/>
        <v/>
      </c>
      <c r="BX36" s="668" t="str">
        <f t="shared" si="64"/>
        <v/>
      </c>
      <c r="BY36" s="667" t="str">
        <f t="shared" si="65"/>
        <v/>
      </c>
      <c r="BZ36" s="669" t="str">
        <f t="shared" si="66"/>
        <v/>
      </c>
      <c r="CB36" s="677" t="str">
        <f t="shared" si="28"/>
        <v>Autre Injectable</v>
      </c>
      <c r="CC36" s="667" t="str">
        <f t="shared" si="67"/>
        <v/>
      </c>
      <c r="CD36" s="668" t="str">
        <f t="shared" si="68"/>
        <v/>
      </c>
      <c r="CE36" s="667" t="str">
        <f t="shared" si="69"/>
        <v/>
      </c>
      <c r="CF36" s="668" t="str">
        <f t="shared" si="70"/>
        <v/>
      </c>
      <c r="CG36" s="667" t="str">
        <f t="shared" si="71"/>
        <v/>
      </c>
      <c r="CH36" s="668" t="str">
        <f t="shared" si="72"/>
        <v/>
      </c>
      <c r="CI36" s="667" t="str">
        <f t="shared" si="73"/>
        <v/>
      </c>
      <c r="CJ36" s="668" t="str">
        <f t="shared" si="74"/>
        <v/>
      </c>
      <c r="CK36" s="667" t="str">
        <f t="shared" si="75"/>
        <v/>
      </c>
      <c r="CL36" s="668" t="str">
        <f t="shared" si="76"/>
        <v/>
      </c>
      <c r="CM36" s="667" t="str">
        <f t="shared" si="77"/>
        <v/>
      </c>
      <c r="CN36" s="668" t="str">
        <f t="shared" si="78"/>
        <v/>
      </c>
      <c r="CO36" s="667" t="str">
        <f t="shared" si="79"/>
        <v/>
      </c>
      <c r="CP36" s="668" t="str">
        <f t="shared" si="80"/>
        <v/>
      </c>
      <c r="CQ36" s="667" t="str">
        <f t="shared" si="81"/>
        <v/>
      </c>
      <c r="CR36" s="669" t="str">
        <f t="shared" si="82"/>
        <v/>
      </c>
    </row>
    <row r="37" spans="2:96" ht="17.25" customHeight="1" x14ac:dyDescent="0.25">
      <c r="B37" s="1480" t="str">
        <f>IF(Language="English", 'Language Look Ups'!$O$20,IF(Language="Francais", 'Language Look Ups'!$S$20, 'Language Look Ups'!Q$20))</f>
        <v>Pilule</v>
      </c>
      <c r="C37" s="363" t="str">
        <f>IF(Language="English", 'Language Look Ups'!$P$20,IF(Language="Francais", 'Language Look Ups'!$T$20, 'Language Look Ups'!$R$20))</f>
        <v>Oraux combinés (COC)</v>
      </c>
      <c r="D37" s="715">
        <v>1</v>
      </c>
      <c r="E37" s="408">
        <f t="shared" si="50"/>
        <v>1</v>
      </c>
      <c r="F37" s="416" t="str">
        <f t="shared" si="46"/>
        <v>utilisatrices</v>
      </c>
      <c r="G37" s="409"/>
      <c r="H37" s="410"/>
      <c r="I37" s="409"/>
      <c r="J37" s="410"/>
      <c r="K37" s="409"/>
      <c r="L37" s="283"/>
      <c r="M37" s="409"/>
      <c r="N37" s="410"/>
      <c r="O37" s="409"/>
      <c r="P37" s="410"/>
      <c r="Q37" s="409"/>
      <c r="R37" s="410"/>
      <c r="S37" s="409"/>
      <c r="T37" s="410"/>
      <c r="U37" s="409"/>
      <c r="V37" s="411"/>
      <c r="AA37" s="462" t="str">
        <f t="shared" si="47"/>
        <v>Oraux combinés (COC)</v>
      </c>
      <c r="AB37" s="1008" t="str">
        <f>IF(AB$21="", "", VLOOKUP($AA37,'4. FPSource Set Up'!$C$96:$H$117, 6, FALSE))</f>
        <v>n/a</v>
      </c>
      <c r="AC37" s="1009" t="str">
        <f>IF(AC$21="", "", VLOOKUP($AA37,'4. FPSource Set Up'!$C$96:$H$117, 6, FALSE))</f>
        <v/>
      </c>
      <c r="AD37" s="1009" t="str">
        <f>IF(AD$21="", "", VLOOKUP($AA37,'4. FPSource Set Up'!$C$96:$H$117, 6, FALSE))</f>
        <v/>
      </c>
      <c r="AE37" s="1009" t="str">
        <f>IF(AE$21="", "", VLOOKUP($AA37,'4. FPSource Set Up'!$C$96:$H$117, 6, FALSE))</f>
        <v/>
      </c>
      <c r="AF37" s="1009" t="str">
        <f>IF(AF$21="", "", VLOOKUP($AA37,'4. FPSource Set Up'!$C$96:$H$117, 6, FALSE))</f>
        <v/>
      </c>
      <c r="AG37" s="1009" t="str">
        <f>IF(AG$21="", "", VLOOKUP($AA37,'4. FPSource Set Up'!$C$96:$H$117, 6, FALSE))</f>
        <v/>
      </c>
      <c r="AH37" s="1009" t="str">
        <f>IF(AH$21="", "", VLOOKUP($AA37,'4. FPSource Set Up'!$C$96:$H$117, 6, FALSE))</f>
        <v/>
      </c>
      <c r="AI37" s="1009" t="str">
        <f>IF(AI$21="", "", VLOOKUP($AA37,'4. FPSource Set Up'!$C$96:$H$117, 6, FALSE))</f>
        <v/>
      </c>
      <c r="AJ37" s="1009" t="str">
        <f>IF(AJ$21="", "", VLOOKUP($AA37,'4. FPSource Set Up'!$C$96:$H$117, 6, FALSE))</f>
        <v/>
      </c>
      <c r="AK37" s="1009" t="str">
        <f>IF(AK$21="", "", VLOOKUP($AA37,'4. FPSource Set Up'!$C$96:$H$117, 6, FALSE))</f>
        <v/>
      </c>
      <c r="AL37" s="1009" t="str">
        <f>IF(AL$21="", "", VLOOKUP($AA37,'4. FPSource Set Up'!$C$96:$H$117, 6, FALSE))</f>
        <v/>
      </c>
      <c r="AM37" s="1009" t="str">
        <f>IF(AM$21="", "", VLOOKUP($AA37,'4. FPSource Set Up'!$C$96:$H$117, 6, FALSE))</f>
        <v/>
      </c>
      <c r="AN37" s="1009" t="str">
        <f>IF(AN$21="", "", VLOOKUP($AA37,'4. FPSource Set Up'!$C$96:$H$117, 6, FALSE))</f>
        <v/>
      </c>
      <c r="AO37" s="1009" t="str">
        <f>IF(AO$21="", "", VLOOKUP($AA37,'4. FPSource Set Up'!$C$96:$H$117, 6, FALSE))</f>
        <v/>
      </c>
      <c r="AP37" s="1009" t="str">
        <f>IF(AP$21="", "", VLOOKUP($AA37,'4. FPSource Set Up'!$C$96:$H$117, 6, FALSE))</f>
        <v/>
      </c>
      <c r="AQ37" s="1010" t="str">
        <f>IF(AQ$21="", "", VLOOKUP($AA37,'4. FPSource Set Up'!$C$96:$H$117, 6, FALSE))</f>
        <v/>
      </c>
      <c r="BA37" s="416" t="s">
        <v>839</v>
      </c>
      <c r="BC37" s="469" t="s">
        <v>2440</v>
      </c>
      <c r="BJ37" s="676" t="str">
        <f t="shared" si="11"/>
        <v>Oraux combinés (COC)</v>
      </c>
      <c r="BK37" s="664" t="str">
        <f t="shared" si="51"/>
        <v/>
      </c>
      <c r="BL37" s="665" t="str">
        <f t="shared" si="52"/>
        <v/>
      </c>
      <c r="BM37" s="664" t="str">
        <f t="shared" si="53"/>
        <v/>
      </c>
      <c r="BN37" s="665" t="str">
        <f t="shared" si="54"/>
        <v/>
      </c>
      <c r="BO37" s="664" t="str">
        <f t="shared" si="55"/>
        <v/>
      </c>
      <c r="BP37" s="665" t="str">
        <f t="shared" si="56"/>
        <v/>
      </c>
      <c r="BQ37" s="664" t="str">
        <f t="shared" si="57"/>
        <v/>
      </c>
      <c r="BR37" s="665" t="str">
        <f t="shared" si="58"/>
        <v/>
      </c>
      <c r="BS37" s="664" t="str">
        <f t="shared" si="59"/>
        <v/>
      </c>
      <c r="BT37" s="665" t="str">
        <f t="shared" si="60"/>
        <v/>
      </c>
      <c r="BU37" s="664" t="str">
        <f t="shared" si="61"/>
        <v/>
      </c>
      <c r="BV37" s="665" t="str">
        <f t="shared" si="62"/>
        <v/>
      </c>
      <c r="BW37" s="664" t="str">
        <f t="shared" si="63"/>
        <v/>
      </c>
      <c r="BX37" s="665" t="str">
        <f t="shared" si="64"/>
        <v/>
      </c>
      <c r="BY37" s="664" t="str">
        <f t="shared" si="65"/>
        <v/>
      </c>
      <c r="BZ37" s="666" t="str">
        <f t="shared" si="66"/>
        <v/>
      </c>
      <c r="CB37" s="676" t="str">
        <f t="shared" si="28"/>
        <v>Oraux combinés (COC)</v>
      </c>
      <c r="CC37" s="664" t="str">
        <f t="shared" si="67"/>
        <v/>
      </c>
      <c r="CD37" s="665" t="str">
        <f t="shared" si="68"/>
        <v/>
      </c>
      <c r="CE37" s="664" t="str">
        <f t="shared" si="69"/>
        <v/>
      </c>
      <c r="CF37" s="665" t="str">
        <f t="shared" si="70"/>
        <v/>
      </c>
      <c r="CG37" s="664" t="str">
        <f t="shared" si="71"/>
        <v/>
      </c>
      <c r="CH37" s="665" t="str">
        <f t="shared" si="72"/>
        <v/>
      </c>
      <c r="CI37" s="664" t="str">
        <f t="shared" si="73"/>
        <v/>
      </c>
      <c r="CJ37" s="665" t="str">
        <f t="shared" si="74"/>
        <v/>
      </c>
      <c r="CK37" s="664" t="str">
        <f t="shared" si="75"/>
        <v/>
      </c>
      <c r="CL37" s="665" t="str">
        <f t="shared" si="76"/>
        <v/>
      </c>
      <c r="CM37" s="664" t="str">
        <f t="shared" si="77"/>
        <v/>
      </c>
      <c r="CN37" s="665" t="str">
        <f t="shared" si="78"/>
        <v/>
      </c>
      <c r="CO37" s="664" t="str">
        <f t="shared" si="79"/>
        <v/>
      </c>
      <c r="CP37" s="665" t="str">
        <f t="shared" si="80"/>
        <v/>
      </c>
      <c r="CQ37" s="664" t="str">
        <f t="shared" si="81"/>
        <v/>
      </c>
      <c r="CR37" s="666" t="str">
        <f t="shared" si="82"/>
        <v/>
      </c>
    </row>
    <row r="38" spans="2:96" ht="17.25" customHeight="1" x14ac:dyDescent="0.25">
      <c r="B38" s="1482"/>
      <c r="C38" s="277" t="str">
        <f>IF(Language="English", 'Language Look Ups'!$P$21,IF(Language="Francais", 'Language Look Ups'!$T$21, 'Language Look Ups'!$R$21))</f>
        <v>Progestatifs seul (POP)</v>
      </c>
      <c r="D38" s="717">
        <v>1</v>
      </c>
      <c r="E38" s="101">
        <f t="shared" si="50"/>
        <v>1</v>
      </c>
      <c r="F38" s="102" t="str">
        <f t="shared" si="46"/>
        <v>utilisatrices</v>
      </c>
      <c r="G38" s="282"/>
      <c r="H38" s="283"/>
      <c r="I38" s="282"/>
      <c r="J38" s="283"/>
      <c r="K38" s="282"/>
      <c r="L38" s="283"/>
      <c r="M38" s="282"/>
      <c r="N38" s="283"/>
      <c r="O38" s="282"/>
      <c r="P38" s="283"/>
      <c r="Q38" s="282"/>
      <c r="R38" s="283"/>
      <c r="S38" s="282"/>
      <c r="T38" s="283"/>
      <c r="U38" s="282"/>
      <c r="V38" s="413"/>
      <c r="AA38" s="464" t="str">
        <f t="shared" si="47"/>
        <v>Progestatifs seul (POP)</v>
      </c>
      <c r="AB38" s="1038" t="str">
        <f>IF(AB$21="", "", VLOOKUP($AA38,'4. FPSource Set Up'!$C$96:$H$117, 6, FALSE))</f>
        <v>n/a</v>
      </c>
      <c r="AC38" s="1039" t="str">
        <f>IF(AC$21="", "", VLOOKUP($AA38,'4. FPSource Set Up'!$C$96:$H$117, 6, FALSE))</f>
        <v/>
      </c>
      <c r="AD38" s="1039" t="str">
        <f>IF(AD$21="", "", VLOOKUP($AA38,'4. FPSource Set Up'!$C$96:$H$117, 6, FALSE))</f>
        <v/>
      </c>
      <c r="AE38" s="1039" t="str">
        <f>IF(AE$21="", "", VLOOKUP($AA38,'4. FPSource Set Up'!$C$96:$H$117, 6, FALSE))</f>
        <v/>
      </c>
      <c r="AF38" s="1039" t="str">
        <f>IF(AF$21="", "", VLOOKUP($AA38,'4. FPSource Set Up'!$C$96:$H$117, 6, FALSE))</f>
        <v/>
      </c>
      <c r="AG38" s="1039" t="str">
        <f>IF(AG$21="", "", VLOOKUP($AA38,'4. FPSource Set Up'!$C$96:$H$117, 6, FALSE))</f>
        <v/>
      </c>
      <c r="AH38" s="1039" t="str">
        <f>IF(AH$21="", "", VLOOKUP($AA38,'4. FPSource Set Up'!$C$96:$H$117, 6, FALSE))</f>
        <v/>
      </c>
      <c r="AI38" s="1039" t="str">
        <f>IF(AI$21="", "", VLOOKUP($AA38,'4. FPSource Set Up'!$C$96:$H$117, 6, FALSE))</f>
        <v/>
      </c>
      <c r="AJ38" s="1039" t="str">
        <f>IF(AJ$21="", "", VLOOKUP($AA38,'4. FPSource Set Up'!$C$96:$H$117, 6, FALSE))</f>
        <v/>
      </c>
      <c r="AK38" s="1039" t="str">
        <f>IF(AK$21="", "", VLOOKUP($AA38,'4. FPSource Set Up'!$C$96:$H$117, 6, FALSE))</f>
        <v/>
      </c>
      <c r="AL38" s="1039" t="str">
        <f>IF(AL$21="", "", VLOOKUP($AA38,'4. FPSource Set Up'!$C$96:$H$117, 6, FALSE))</f>
        <v/>
      </c>
      <c r="AM38" s="1039" t="str">
        <f>IF(AM$21="", "", VLOOKUP($AA38,'4. FPSource Set Up'!$C$96:$H$117, 6, FALSE))</f>
        <v/>
      </c>
      <c r="AN38" s="1039" t="str">
        <f>IF(AN$21="", "", VLOOKUP($AA38,'4. FPSource Set Up'!$C$96:$H$117, 6, FALSE))</f>
        <v/>
      </c>
      <c r="AO38" s="1039" t="str">
        <f>IF(AO$21="", "", VLOOKUP($AA38,'4. FPSource Set Up'!$C$96:$H$117, 6, FALSE))</f>
        <v/>
      </c>
      <c r="AP38" s="1039" t="str">
        <f>IF(AP$21="", "", VLOOKUP($AA38,'4. FPSource Set Up'!$C$96:$H$117, 6, FALSE))</f>
        <v/>
      </c>
      <c r="AQ38" s="1040" t="str">
        <f>IF(AQ$21="", "", VLOOKUP($AA38,'4. FPSource Set Up'!$C$96:$H$117, 6, FALSE))</f>
        <v/>
      </c>
      <c r="BA38" s="416" t="s">
        <v>839</v>
      </c>
      <c r="BC38" s="469" t="s">
        <v>2440</v>
      </c>
      <c r="BJ38" s="678" t="str">
        <f t="shared" si="11"/>
        <v>Progestatifs seul (POP)</v>
      </c>
      <c r="BK38" s="670" t="str">
        <f t="shared" si="51"/>
        <v/>
      </c>
      <c r="BL38" s="671" t="str">
        <f t="shared" si="52"/>
        <v/>
      </c>
      <c r="BM38" s="670" t="str">
        <f t="shared" si="53"/>
        <v/>
      </c>
      <c r="BN38" s="671" t="str">
        <f t="shared" si="54"/>
        <v/>
      </c>
      <c r="BO38" s="670" t="str">
        <f t="shared" si="55"/>
        <v/>
      </c>
      <c r="BP38" s="671" t="str">
        <f t="shared" si="56"/>
        <v/>
      </c>
      <c r="BQ38" s="670" t="str">
        <f t="shared" si="57"/>
        <v/>
      </c>
      <c r="BR38" s="671" t="str">
        <f t="shared" si="58"/>
        <v/>
      </c>
      <c r="BS38" s="670" t="str">
        <f t="shared" si="59"/>
        <v/>
      </c>
      <c r="BT38" s="671" t="str">
        <f t="shared" si="60"/>
        <v/>
      </c>
      <c r="BU38" s="670" t="str">
        <f t="shared" si="61"/>
        <v/>
      </c>
      <c r="BV38" s="671" t="str">
        <f t="shared" si="62"/>
        <v/>
      </c>
      <c r="BW38" s="670" t="str">
        <f t="shared" si="63"/>
        <v/>
      </c>
      <c r="BX38" s="671" t="str">
        <f t="shared" si="64"/>
        <v/>
      </c>
      <c r="BY38" s="670" t="str">
        <f t="shared" si="65"/>
        <v/>
      </c>
      <c r="BZ38" s="672" t="str">
        <f t="shared" si="66"/>
        <v/>
      </c>
      <c r="CB38" s="678" t="str">
        <f t="shared" si="28"/>
        <v>Progestatifs seul (POP)</v>
      </c>
      <c r="CC38" s="670" t="str">
        <f t="shared" si="67"/>
        <v/>
      </c>
      <c r="CD38" s="671" t="str">
        <f t="shared" si="68"/>
        <v/>
      </c>
      <c r="CE38" s="670" t="str">
        <f t="shared" si="69"/>
        <v/>
      </c>
      <c r="CF38" s="671" t="str">
        <f t="shared" si="70"/>
        <v/>
      </c>
      <c r="CG38" s="670" t="str">
        <f t="shared" si="71"/>
        <v/>
      </c>
      <c r="CH38" s="671" t="str">
        <f t="shared" si="72"/>
        <v/>
      </c>
      <c r="CI38" s="670" t="str">
        <f t="shared" si="73"/>
        <v/>
      </c>
      <c r="CJ38" s="671" t="str">
        <f t="shared" si="74"/>
        <v/>
      </c>
      <c r="CK38" s="670" t="str">
        <f t="shared" si="75"/>
        <v/>
      </c>
      <c r="CL38" s="671" t="str">
        <f t="shared" si="76"/>
        <v/>
      </c>
      <c r="CM38" s="670" t="str">
        <f t="shared" si="77"/>
        <v/>
      </c>
      <c r="CN38" s="671" t="str">
        <f t="shared" si="78"/>
        <v/>
      </c>
      <c r="CO38" s="670" t="str">
        <f t="shared" si="79"/>
        <v/>
      </c>
      <c r="CP38" s="671" t="str">
        <f t="shared" si="80"/>
        <v/>
      </c>
      <c r="CQ38" s="670" t="str">
        <f t="shared" si="81"/>
        <v/>
      </c>
      <c r="CR38" s="672" t="str">
        <f t="shared" si="82"/>
        <v/>
      </c>
    </row>
    <row r="39" spans="2:96" ht="17.25" customHeight="1" x14ac:dyDescent="0.25">
      <c r="B39" s="1481"/>
      <c r="C39" s="275" t="str">
        <f>IF(Language="English", 'Language Look Ups'!$P$22,IF(Language="Francais", 'Language Look Ups'!$T$22, 'Language Look Ups'!$R$22))</f>
        <v>Autre pilule</v>
      </c>
      <c r="D39" s="716">
        <v>1</v>
      </c>
      <c r="E39" s="99">
        <f t="shared" si="50"/>
        <v>1</v>
      </c>
      <c r="F39" s="100" t="str">
        <f t="shared" si="46"/>
        <v>utilisatrices</v>
      </c>
      <c r="G39" s="284"/>
      <c r="H39" s="285"/>
      <c r="I39" s="284"/>
      <c r="J39" s="285"/>
      <c r="K39" s="284"/>
      <c r="L39" s="285"/>
      <c r="M39" s="284"/>
      <c r="N39" s="285"/>
      <c r="O39" s="284"/>
      <c r="P39" s="285"/>
      <c r="Q39" s="284"/>
      <c r="R39" s="285"/>
      <c r="S39" s="284"/>
      <c r="T39" s="285"/>
      <c r="U39" s="284"/>
      <c r="V39" s="412"/>
      <c r="AA39" s="463" t="str">
        <f t="shared" si="47"/>
        <v>Autre pilule</v>
      </c>
      <c r="AB39" s="1035" t="str">
        <f>IF(AB$21="", "", VLOOKUP($AA39,'4. FPSource Set Up'!$C$96:$H$117, 6, FALSE))</f>
        <v>n/a</v>
      </c>
      <c r="AC39" s="1036" t="str">
        <f>IF(AC$21="", "", VLOOKUP($AA39,'4. FPSource Set Up'!$C$96:$H$117, 6, FALSE))</f>
        <v/>
      </c>
      <c r="AD39" s="1036" t="str">
        <f>IF(AD$21="", "", VLOOKUP($AA39,'4. FPSource Set Up'!$C$96:$H$117, 6, FALSE))</f>
        <v/>
      </c>
      <c r="AE39" s="1036" t="str">
        <f>IF(AE$21="", "", VLOOKUP($AA39,'4. FPSource Set Up'!$C$96:$H$117, 6, FALSE))</f>
        <v/>
      </c>
      <c r="AF39" s="1036" t="str">
        <f>IF(AF$21="", "", VLOOKUP($AA39,'4. FPSource Set Up'!$C$96:$H$117, 6, FALSE))</f>
        <v/>
      </c>
      <c r="AG39" s="1036" t="str">
        <f>IF(AG$21="", "", VLOOKUP($AA39,'4. FPSource Set Up'!$C$96:$H$117, 6, FALSE))</f>
        <v/>
      </c>
      <c r="AH39" s="1036" t="str">
        <f>IF(AH$21="", "", VLOOKUP($AA39,'4. FPSource Set Up'!$C$96:$H$117, 6, FALSE))</f>
        <v/>
      </c>
      <c r="AI39" s="1036" t="str">
        <f>IF(AI$21="", "", VLOOKUP($AA39,'4. FPSource Set Up'!$C$96:$H$117, 6, FALSE))</f>
        <v/>
      </c>
      <c r="AJ39" s="1036" t="str">
        <f>IF(AJ$21="", "", VLOOKUP($AA39,'4. FPSource Set Up'!$C$96:$H$117, 6, FALSE))</f>
        <v/>
      </c>
      <c r="AK39" s="1036" t="str">
        <f>IF(AK$21="", "", VLOOKUP($AA39,'4. FPSource Set Up'!$C$96:$H$117, 6, FALSE))</f>
        <v/>
      </c>
      <c r="AL39" s="1036" t="str">
        <f>IF(AL$21="", "", VLOOKUP($AA39,'4. FPSource Set Up'!$C$96:$H$117, 6, FALSE))</f>
        <v/>
      </c>
      <c r="AM39" s="1036" t="str">
        <f>IF(AM$21="", "", VLOOKUP($AA39,'4. FPSource Set Up'!$C$96:$H$117, 6, FALSE))</f>
        <v/>
      </c>
      <c r="AN39" s="1036" t="str">
        <f>IF(AN$21="", "", VLOOKUP($AA39,'4. FPSource Set Up'!$C$96:$H$117, 6, FALSE))</f>
        <v/>
      </c>
      <c r="AO39" s="1036" t="str">
        <f>IF(AO$21="", "", VLOOKUP($AA39,'4. FPSource Set Up'!$C$96:$H$117, 6, FALSE))</f>
        <v/>
      </c>
      <c r="AP39" s="1036" t="str">
        <f>IF(AP$21="", "", VLOOKUP($AA39,'4. FPSource Set Up'!$C$96:$H$117, 6, FALSE))</f>
        <v/>
      </c>
      <c r="AQ39" s="1037" t="str">
        <f>IF(AQ$21="", "", VLOOKUP($AA39,'4. FPSource Set Up'!$C$96:$H$117, 6, FALSE))</f>
        <v/>
      </c>
      <c r="BA39" s="416" t="s">
        <v>839</v>
      </c>
      <c r="BC39" s="469" t="s">
        <v>2440</v>
      </c>
      <c r="BJ39" s="677" t="str">
        <f t="shared" si="11"/>
        <v>Autre pilule</v>
      </c>
      <c r="BK39" s="667" t="str">
        <f t="shared" si="51"/>
        <v/>
      </c>
      <c r="BL39" s="668" t="str">
        <f t="shared" si="52"/>
        <v/>
      </c>
      <c r="BM39" s="667" t="str">
        <f t="shared" si="53"/>
        <v/>
      </c>
      <c r="BN39" s="668" t="str">
        <f t="shared" si="54"/>
        <v/>
      </c>
      <c r="BO39" s="667" t="str">
        <f t="shared" si="55"/>
        <v/>
      </c>
      <c r="BP39" s="668" t="str">
        <f t="shared" si="56"/>
        <v/>
      </c>
      <c r="BQ39" s="667" t="str">
        <f t="shared" si="57"/>
        <v/>
      </c>
      <c r="BR39" s="668" t="str">
        <f t="shared" si="58"/>
        <v/>
      </c>
      <c r="BS39" s="667" t="str">
        <f t="shared" si="59"/>
        <v/>
      </c>
      <c r="BT39" s="668" t="str">
        <f t="shared" si="60"/>
        <v/>
      </c>
      <c r="BU39" s="667" t="str">
        <f t="shared" si="61"/>
        <v/>
      </c>
      <c r="BV39" s="668" t="str">
        <f t="shared" si="62"/>
        <v/>
      </c>
      <c r="BW39" s="667" t="str">
        <f t="shared" si="63"/>
        <v/>
      </c>
      <c r="BX39" s="668" t="str">
        <f t="shared" si="64"/>
        <v/>
      </c>
      <c r="BY39" s="667" t="str">
        <f t="shared" si="65"/>
        <v/>
      </c>
      <c r="BZ39" s="669" t="str">
        <f t="shared" si="66"/>
        <v/>
      </c>
      <c r="CB39" s="677" t="str">
        <f t="shared" si="28"/>
        <v>Autre pilule</v>
      </c>
      <c r="CC39" s="667" t="str">
        <f t="shared" si="67"/>
        <v/>
      </c>
      <c r="CD39" s="668" t="str">
        <f t="shared" si="68"/>
        <v/>
      </c>
      <c r="CE39" s="667" t="str">
        <f t="shared" si="69"/>
        <v/>
      </c>
      <c r="CF39" s="668" t="str">
        <f t="shared" si="70"/>
        <v/>
      </c>
      <c r="CG39" s="667" t="str">
        <f t="shared" si="71"/>
        <v/>
      </c>
      <c r="CH39" s="668" t="str">
        <f t="shared" si="72"/>
        <v/>
      </c>
      <c r="CI39" s="667" t="str">
        <f t="shared" si="73"/>
        <v/>
      </c>
      <c r="CJ39" s="668" t="str">
        <f t="shared" si="74"/>
        <v/>
      </c>
      <c r="CK39" s="667" t="str">
        <f t="shared" si="75"/>
        <v/>
      </c>
      <c r="CL39" s="668" t="str">
        <f t="shared" si="76"/>
        <v/>
      </c>
      <c r="CM39" s="667" t="str">
        <f t="shared" si="77"/>
        <v/>
      </c>
      <c r="CN39" s="668" t="str">
        <f t="shared" si="78"/>
        <v/>
      </c>
      <c r="CO39" s="667" t="str">
        <f t="shared" si="79"/>
        <v/>
      </c>
      <c r="CP39" s="668" t="str">
        <f t="shared" si="80"/>
        <v/>
      </c>
      <c r="CQ39" s="667" t="str">
        <f t="shared" si="81"/>
        <v/>
      </c>
      <c r="CR39" s="669" t="str">
        <f t="shared" si="82"/>
        <v/>
      </c>
    </row>
    <row r="40" spans="2:96" ht="17.25" customHeight="1" x14ac:dyDescent="0.25">
      <c r="B40" s="1480" t="str">
        <f>IF(Language="English", 'Language Look Ups'!$O$23,IF(Language="Francais", 'Language Look Ups'!$S$23, 'Language Look Ups'!Q$23))</f>
        <v>Préservatifs</v>
      </c>
      <c r="C40" s="363" t="str">
        <f>IF(Language="English", 'Language Look Ups'!$P$23,IF(Language="Francais", 'Language Look Ups'!$T$23, 'Language Look Ups'!$R$23))</f>
        <v>Préservatifs masculin</v>
      </c>
      <c r="D40" s="715">
        <v>1</v>
      </c>
      <c r="E40" s="408">
        <f t="shared" si="50"/>
        <v>1</v>
      </c>
      <c r="F40" s="416" t="str">
        <f t="shared" si="46"/>
        <v>utilisatrices</v>
      </c>
      <c r="G40" s="409"/>
      <c r="H40" s="410"/>
      <c r="I40" s="409"/>
      <c r="J40" s="410"/>
      <c r="K40" s="409"/>
      <c r="L40" s="410"/>
      <c r="M40" s="409"/>
      <c r="N40" s="410"/>
      <c r="O40" s="409"/>
      <c r="P40" s="410"/>
      <c r="Q40" s="409"/>
      <c r="R40" s="410"/>
      <c r="S40" s="409"/>
      <c r="T40" s="410"/>
      <c r="U40" s="409"/>
      <c r="V40" s="411"/>
      <c r="AA40" s="462" t="str">
        <f t="shared" si="47"/>
        <v>Préservatifs masculin</v>
      </c>
      <c r="AB40" s="1008" t="str">
        <f>IF(AB$21="", "", VLOOKUP($AA40,'4. FPSource Set Up'!$C$96:$H$117, 6, FALSE))</f>
        <v>n/a</v>
      </c>
      <c r="AC40" s="1009" t="str">
        <f>IF(AC$21="", "", VLOOKUP($AA40,'4. FPSource Set Up'!$C$96:$H$117, 6, FALSE))</f>
        <v/>
      </c>
      <c r="AD40" s="1009" t="str">
        <f>IF(AD$21="", "", VLOOKUP($AA40,'4. FPSource Set Up'!$C$96:$H$117, 6, FALSE))</f>
        <v/>
      </c>
      <c r="AE40" s="1009" t="str">
        <f>IF(AE$21="", "", VLOOKUP($AA40,'4. FPSource Set Up'!$C$96:$H$117, 6, FALSE))</f>
        <v/>
      </c>
      <c r="AF40" s="1009" t="str">
        <f>IF(AF$21="", "", VLOOKUP($AA40,'4. FPSource Set Up'!$C$96:$H$117, 6, FALSE))</f>
        <v/>
      </c>
      <c r="AG40" s="1009" t="str">
        <f>IF(AG$21="", "", VLOOKUP($AA40,'4. FPSource Set Up'!$C$96:$H$117, 6, FALSE))</f>
        <v/>
      </c>
      <c r="AH40" s="1009" t="str">
        <f>IF(AH$21="", "", VLOOKUP($AA40,'4. FPSource Set Up'!$C$96:$H$117, 6, FALSE))</f>
        <v/>
      </c>
      <c r="AI40" s="1009" t="str">
        <f>IF(AI$21="", "", VLOOKUP($AA40,'4. FPSource Set Up'!$C$96:$H$117, 6, FALSE))</f>
        <v/>
      </c>
      <c r="AJ40" s="1009" t="str">
        <f>IF(AJ$21="", "", VLOOKUP($AA40,'4. FPSource Set Up'!$C$96:$H$117, 6, FALSE))</f>
        <v/>
      </c>
      <c r="AK40" s="1009" t="str">
        <f>IF(AK$21="", "", VLOOKUP($AA40,'4. FPSource Set Up'!$C$96:$H$117, 6, FALSE))</f>
        <v/>
      </c>
      <c r="AL40" s="1009" t="str">
        <f>IF(AL$21="", "", VLOOKUP($AA40,'4. FPSource Set Up'!$C$96:$H$117, 6, FALSE))</f>
        <v/>
      </c>
      <c r="AM40" s="1009" t="str">
        <f>IF(AM$21="", "", VLOOKUP($AA40,'4. FPSource Set Up'!$C$96:$H$117, 6, FALSE))</f>
        <v/>
      </c>
      <c r="AN40" s="1009" t="str">
        <f>IF(AN$21="", "", VLOOKUP($AA40,'4. FPSource Set Up'!$C$96:$H$117, 6, FALSE))</f>
        <v/>
      </c>
      <c r="AO40" s="1009" t="str">
        <f>IF(AO$21="", "", VLOOKUP($AA40,'4. FPSource Set Up'!$C$96:$H$117, 6, FALSE))</f>
        <v/>
      </c>
      <c r="AP40" s="1009" t="str">
        <f>IF(AP$21="", "", VLOOKUP($AA40,'4. FPSource Set Up'!$C$96:$H$117, 6, FALSE))</f>
        <v/>
      </c>
      <c r="AQ40" s="1010" t="str">
        <f>IF(AQ$21="", "", VLOOKUP($AA40,'4. FPSource Set Up'!$C$96:$H$117, 6, FALSE))</f>
        <v/>
      </c>
      <c r="BA40" s="416" t="s">
        <v>839</v>
      </c>
      <c r="BC40" s="469" t="s">
        <v>2440</v>
      </c>
      <c r="BJ40" s="676" t="str">
        <f t="shared" ref="BJ40:BJ46" si="83">$C40</f>
        <v>Préservatifs masculin</v>
      </c>
      <c r="BK40" s="664" t="str">
        <f t="shared" si="51"/>
        <v/>
      </c>
      <c r="BL40" s="665" t="str">
        <f t="shared" si="52"/>
        <v/>
      </c>
      <c r="BM40" s="664" t="str">
        <f t="shared" si="53"/>
        <v/>
      </c>
      <c r="BN40" s="665" t="str">
        <f t="shared" si="54"/>
        <v/>
      </c>
      <c r="BO40" s="664" t="str">
        <f t="shared" si="55"/>
        <v/>
      </c>
      <c r="BP40" s="665" t="str">
        <f t="shared" si="56"/>
        <v/>
      </c>
      <c r="BQ40" s="664" t="str">
        <f t="shared" si="57"/>
        <v/>
      </c>
      <c r="BR40" s="665" t="str">
        <f t="shared" si="58"/>
        <v/>
      </c>
      <c r="BS40" s="664" t="str">
        <f t="shared" si="59"/>
        <v/>
      </c>
      <c r="BT40" s="665" t="str">
        <f t="shared" si="60"/>
        <v/>
      </c>
      <c r="BU40" s="664" t="str">
        <f t="shared" si="61"/>
        <v/>
      </c>
      <c r="BV40" s="665" t="str">
        <f t="shared" si="62"/>
        <v/>
      </c>
      <c r="BW40" s="664" t="str">
        <f t="shared" si="63"/>
        <v/>
      </c>
      <c r="BX40" s="665" t="str">
        <f t="shared" si="64"/>
        <v/>
      </c>
      <c r="BY40" s="664" t="str">
        <f t="shared" si="65"/>
        <v/>
      </c>
      <c r="BZ40" s="666" t="str">
        <f t="shared" si="66"/>
        <v/>
      </c>
      <c r="CB40" s="676" t="str">
        <f t="shared" si="28"/>
        <v>Préservatifs masculin</v>
      </c>
      <c r="CC40" s="664" t="str">
        <f t="shared" si="67"/>
        <v/>
      </c>
      <c r="CD40" s="665" t="str">
        <f t="shared" si="68"/>
        <v/>
      </c>
      <c r="CE40" s="664" t="str">
        <f t="shared" si="69"/>
        <v/>
      </c>
      <c r="CF40" s="665" t="str">
        <f t="shared" si="70"/>
        <v/>
      </c>
      <c r="CG40" s="664" t="str">
        <f t="shared" si="71"/>
        <v/>
      </c>
      <c r="CH40" s="665" t="str">
        <f t="shared" si="72"/>
        <v/>
      </c>
      <c r="CI40" s="664" t="str">
        <f t="shared" si="73"/>
        <v/>
      </c>
      <c r="CJ40" s="665" t="str">
        <f t="shared" si="74"/>
        <v/>
      </c>
      <c r="CK40" s="664" t="str">
        <f t="shared" si="75"/>
        <v/>
      </c>
      <c r="CL40" s="665" t="str">
        <f t="shared" si="76"/>
        <v/>
      </c>
      <c r="CM40" s="664" t="str">
        <f t="shared" si="77"/>
        <v/>
      </c>
      <c r="CN40" s="665" t="str">
        <f t="shared" si="78"/>
        <v/>
      </c>
      <c r="CO40" s="664" t="str">
        <f t="shared" si="79"/>
        <v/>
      </c>
      <c r="CP40" s="665" t="str">
        <f t="shared" si="80"/>
        <v/>
      </c>
      <c r="CQ40" s="664" t="str">
        <f t="shared" si="81"/>
        <v/>
      </c>
      <c r="CR40" s="666" t="str">
        <f t="shared" si="82"/>
        <v/>
      </c>
    </row>
    <row r="41" spans="2:96" ht="17.25" customHeight="1" x14ac:dyDescent="0.25">
      <c r="B41" s="1481"/>
      <c r="C41" s="275" t="str">
        <f>IF(Language="English", 'Language Look Ups'!$P$24,IF(Language="Francais", 'Language Look Ups'!$T$24, 'Language Look Ups'!$R$24))</f>
        <v>Préservatifs feminin</v>
      </c>
      <c r="D41" s="716">
        <v>1</v>
      </c>
      <c r="E41" s="99">
        <f t="shared" si="50"/>
        <v>1</v>
      </c>
      <c r="F41" s="100" t="str">
        <f t="shared" si="46"/>
        <v>utilisatrices</v>
      </c>
      <c r="G41" s="284"/>
      <c r="H41" s="285"/>
      <c r="I41" s="284"/>
      <c r="J41" s="285"/>
      <c r="K41" s="285"/>
      <c r="L41" s="285"/>
      <c r="M41" s="284"/>
      <c r="N41" s="285"/>
      <c r="O41" s="284"/>
      <c r="P41" s="285"/>
      <c r="Q41" s="284"/>
      <c r="R41" s="285"/>
      <c r="S41" s="284"/>
      <c r="T41" s="285"/>
      <c r="U41" s="284"/>
      <c r="V41" s="412"/>
      <c r="AA41" s="463" t="str">
        <f t="shared" si="47"/>
        <v>Préservatifs feminin</v>
      </c>
      <c r="AB41" s="1035" t="str">
        <f>IF(AB$21="", "", VLOOKUP($AA41,'4. FPSource Set Up'!$C$96:$H$117, 6, FALSE))</f>
        <v>n/a</v>
      </c>
      <c r="AC41" s="1036" t="str">
        <f>IF(AC$21="", "", VLOOKUP($AA41,'4. FPSource Set Up'!$C$96:$H$117, 6, FALSE))</f>
        <v/>
      </c>
      <c r="AD41" s="1036" t="str">
        <f>IF(AD$21="", "", VLOOKUP($AA41,'4. FPSource Set Up'!$C$96:$H$117, 6, FALSE))</f>
        <v/>
      </c>
      <c r="AE41" s="1036" t="str">
        <f>IF(AE$21="", "", VLOOKUP($AA41,'4. FPSource Set Up'!$C$96:$H$117, 6, FALSE))</f>
        <v/>
      </c>
      <c r="AF41" s="1036" t="str">
        <f>IF(AF$21="", "", VLOOKUP($AA41,'4. FPSource Set Up'!$C$96:$H$117, 6, FALSE))</f>
        <v/>
      </c>
      <c r="AG41" s="1036" t="str">
        <f>IF(AG$21="", "", VLOOKUP($AA41,'4. FPSource Set Up'!$C$96:$H$117, 6, FALSE))</f>
        <v/>
      </c>
      <c r="AH41" s="1036" t="str">
        <f>IF(AH$21="", "", VLOOKUP($AA41,'4. FPSource Set Up'!$C$96:$H$117, 6, FALSE))</f>
        <v/>
      </c>
      <c r="AI41" s="1036" t="str">
        <f>IF(AI$21="", "", VLOOKUP($AA41,'4. FPSource Set Up'!$C$96:$H$117, 6, FALSE))</f>
        <v/>
      </c>
      <c r="AJ41" s="1036" t="str">
        <f>IF(AJ$21="", "", VLOOKUP($AA41,'4. FPSource Set Up'!$C$96:$H$117, 6, FALSE))</f>
        <v/>
      </c>
      <c r="AK41" s="1036" t="str">
        <f>IF(AK$21="", "", VLOOKUP($AA41,'4. FPSource Set Up'!$C$96:$H$117, 6, FALSE))</f>
        <v/>
      </c>
      <c r="AL41" s="1036" t="str">
        <f>IF(AL$21="", "", VLOOKUP($AA41,'4. FPSource Set Up'!$C$96:$H$117, 6, FALSE))</f>
        <v/>
      </c>
      <c r="AM41" s="1036" t="str">
        <f>IF(AM$21="", "", VLOOKUP($AA41,'4. FPSource Set Up'!$C$96:$H$117, 6, FALSE))</f>
        <v/>
      </c>
      <c r="AN41" s="1036" t="str">
        <f>IF(AN$21="", "", VLOOKUP($AA41,'4. FPSource Set Up'!$C$96:$H$117, 6, FALSE))</f>
        <v/>
      </c>
      <c r="AO41" s="1036" t="str">
        <f>IF(AO$21="", "", VLOOKUP($AA41,'4. FPSource Set Up'!$C$96:$H$117, 6, FALSE))</f>
        <v/>
      </c>
      <c r="AP41" s="1036" t="str">
        <f>IF(AP$21="", "", VLOOKUP($AA41,'4. FPSource Set Up'!$C$96:$H$117, 6, FALSE))</f>
        <v/>
      </c>
      <c r="AQ41" s="1037" t="str">
        <f>IF(AQ$21="", "", VLOOKUP($AA41,'4. FPSource Set Up'!$C$96:$H$117, 6, FALSE))</f>
        <v/>
      </c>
      <c r="BA41" s="416" t="s">
        <v>839</v>
      </c>
      <c r="BC41" s="469" t="s">
        <v>2440</v>
      </c>
      <c r="BJ41" s="677" t="str">
        <f t="shared" si="83"/>
        <v>Préservatifs feminin</v>
      </c>
      <c r="BK41" s="667" t="str">
        <f t="shared" si="51"/>
        <v/>
      </c>
      <c r="BL41" s="668" t="str">
        <f t="shared" si="52"/>
        <v/>
      </c>
      <c r="BM41" s="667" t="str">
        <f t="shared" si="53"/>
        <v/>
      </c>
      <c r="BN41" s="668" t="str">
        <f t="shared" si="54"/>
        <v/>
      </c>
      <c r="BO41" s="667" t="str">
        <f t="shared" si="55"/>
        <v/>
      </c>
      <c r="BP41" s="668" t="str">
        <f t="shared" si="56"/>
        <v/>
      </c>
      <c r="BQ41" s="667" t="str">
        <f t="shared" si="57"/>
        <v/>
      </c>
      <c r="BR41" s="668" t="str">
        <f t="shared" si="58"/>
        <v/>
      </c>
      <c r="BS41" s="667" t="str">
        <f t="shared" si="59"/>
        <v/>
      </c>
      <c r="BT41" s="668" t="str">
        <f t="shared" si="60"/>
        <v/>
      </c>
      <c r="BU41" s="667" t="str">
        <f t="shared" si="61"/>
        <v/>
      </c>
      <c r="BV41" s="668" t="str">
        <f t="shared" si="62"/>
        <v/>
      </c>
      <c r="BW41" s="667" t="str">
        <f t="shared" si="63"/>
        <v/>
      </c>
      <c r="BX41" s="668" t="str">
        <f t="shared" si="64"/>
        <v/>
      </c>
      <c r="BY41" s="667" t="str">
        <f t="shared" si="65"/>
        <v/>
      </c>
      <c r="BZ41" s="669" t="str">
        <f t="shared" si="66"/>
        <v/>
      </c>
      <c r="CB41" s="677" t="str">
        <f t="shared" si="28"/>
        <v>Préservatifs feminin</v>
      </c>
      <c r="CC41" s="667" t="str">
        <f t="shared" si="67"/>
        <v/>
      </c>
      <c r="CD41" s="668" t="str">
        <f t="shared" si="68"/>
        <v/>
      </c>
      <c r="CE41" s="667" t="str">
        <f t="shared" si="69"/>
        <v/>
      </c>
      <c r="CF41" s="668" t="str">
        <f t="shared" si="70"/>
        <v/>
      </c>
      <c r="CG41" s="667" t="str">
        <f t="shared" si="71"/>
        <v/>
      </c>
      <c r="CH41" s="668" t="str">
        <f t="shared" si="72"/>
        <v/>
      </c>
      <c r="CI41" s="667" t="str">
        <f t="shared" si="73"/>
        <v/>
      </c>
      <c r="CJ41" s="668" t="str">
        <f t="shared" si="74"/>
        <v/>
      </c>
      <c r="CK41" s="667" t="str">
        <f t="shared" si="75"/>
        <v/>
      </c>
      <c r="CL41" s="668" t="str">
        <f t="shared" si="76"/>
        <v/>
      </c>
      <c r="CM41" s="667" t="str">
        <f t="shared" si="77"/>
        <v/>
      </c>
      <c r="CN41" s="668" t="str">
        <f t="shared" si="78"/>
        <v/>
      </c>
      <c r="CO41" s="667" t="str">
        <f t="shared" si="79"/>
        <v/>
      </c>
      <c r="CP41" s="668" t="str">
        <f t="shared" si="80"/>
        <v/>
      </c>
      <c r="CQ41" s="667" t="str">
        <f t="shared" si="81"/>
        <v/>
      </c>
      <c r="CR41" s="669" t="str">
        <f t="shared" si="82"/>
        <v/>
      </c>
    </row>
    <row r="42" spans="2:96" ht="17.25" customHeight="1" x14ac:dyDescent="0.25">
      <c r="B42" s="1480" t="str">
        <f>IF(Language="English", 'Language Look Ups'!$O$25,IF(Language="Francais", 'Language Look Ups'!$S$25, 'Language Look Ups'!Q$25))</f>
        <v>Autres Méthodes Modernes</v>
      </c>
      <c r="C42" s="363" t="str">
        <f>IF(Language="English", 'Language Look Ups'!$P$25,IF(Language="Francais", 'Language Look Ups'!$T$25, 'Language Look Ups'!$R$25))</f>
        <v>MAMA</v>
      </c>
      <c r="D42" s="715">
        <v>1</v>
      </c>
      <c r="E42" s="408">
        <f t="shared" si="50"/>
        <v>1</v>
      </c>
      <c r="F42" s="416" t="str">
        <f t="shared" si="46"/>
        <v>utilisatrices</v>
      </c>
      <c r="G42" s="409"/>
      <c r="H42" s="410"/>
      <c r="I42" s="409"/>
      <c r="J42" s="410"/>
      <c r="K42" s="410"/>
      <c r="L42" s="410"/>
      <c r="M42" s="409"/>
      <c r="N42" s="410"/>
      <c r="O42" s="409"/>
      <c r="P42" s="410"/>
      <c r="Q42" s="409"/>
      <c r="R42" s="410"/>
      <c r="S42" s="409"/>
      <c r="T42" s="410"/>
      <c r="U42" s="409"/>
      <c r="V42" s="411"/>
      <c r="AA42" s="462" t="str">
        <f t="shared" si="47"/>
        <v>MAMA</v>
      </c>
      <c r="AB42" s="1008" t="str">
        <f>IF(AB$21="", "", VLOOKUP($AA42,'4. FPSource Set Up'!$C$96:$H$117, 6, FALSE))</f>
        <v>n/a</v>
      </c>
      <c r="AC42" s="1009" t="str">
        <f>IF(AC$21="", "", VLOOKUP($AA42,'4. FPSource Set Up'!$C$96:$H$117, 6, FALSE))</f>
        <v/>
      </c>
      <c r="AD42" s="1009" t="str">
        <f>IF(AD$21="", "", VLOOKUP($AA42,'4. FPSource Set Up'!$C$96:$H$117, 6, FALSE))</f>
        <v/>
      </c>
      <c r="AE42" s="1009" t="str">
        <f>IF(AE$21="", "", VLOOKUP($AA42,'4. FPSource Set Up'!$C$96:$H$117, 6, FALSE))</f>
        <v/>
      </c>
      <c r="AF42" s="1009" t="str">
        <f>IF(AF$21="", "", VLOOKUP($AA42,'4. FPSource Set Up'!$C$96:$H$117, 6, FALSE))</f>
        <v/>
      </c>
      <c r="AG42" s="1009" t="str">
        <f>IF(AG$21="", "", VLOOKUP($AA42,'4. FPSource Set Up'!$C$96:$H$117, 6, FALSE))</f>
        <v/>
      </c>
      <c r="AH42" s="1009" t="str">
        <f>IF(AH$21="", "", VLOOKUP($AA42,'4. FPSource Set Up'!$C$96:$H$117, 6, FALSE))</f>
        <v/>
      </c>
      <c r="AI42" s="1009" t="str">
        <f>IF(AI$21="", "", VLOOKUP($AA42,'4. FPSource Set Up'!$C$96:$H$117, 6, FALSE))</f>
        <v/>
      </c>
      <c r="AJ42" s="1009" t="str">
        <f>IF(AJ$21="", "", VLOOKUP($AA42,'4. FPSource Set Up'!$C$96:$H$117, 6, FALSE))</f>
        <v/>
      </c>
      <c r="AK42" s="1009" t="str">
        <f>IF(AK$21="", "", VLOOKUP($AA42,'4. FPSource Set Up'!$C$96:$H$117, 6, FALSE))</f>
        <v/>
      </c>
      <c r="AL42" s="1009" t="str">
        <f>IF(AL$21="", "", VLOOKUP($AA42,'4. FPSource Set Up'!$C$96:$H$117, 6, FALSE))</f>
        <v/>
      </c>
      <c r="AM42" s="1009" t="str">
        <f>IF(AM$21="", "", VLOOKUP($AA42,'4. FPSource Set Up'!$C$96:$H$117, 6, FALSE))</f>
        <v/>
      </c>
      <c r="AN42" s="1009" t="str">
        <f>IF(AN$21="", "", VLOOKUP($AA42,'4. FPSource Set Up'!$C$96:$H$117, 6, FALSE))</f>
        <v/>
      </c>
      <c r="AO42" s="1009" t="str">
        <f>IF(AO$21="", "", VLOOKUP($AA42,'4. FPSource Set Up'!$C$96:$H$117, 6, FALSE))</f>
        <v/>
      </c>
      <c r="AP42" s="1009" t="str">
        <f>IF(AP$21="", "", VLOOKUP($AA42,'4. FPSource Set Up'!$C$96:$H$117, 6, FALSE))</f>
        <v/>
      </c>
      <c r="AQ42" s="1010" t="str">
        <f>IF(AQ$21="", "", VLOOKUP($AA42,'4. FPSource Set Up'!$C$96:$H$117, 6, FALSE))</f>
        <v/>
      </c>
      <c r="BA42" s="416" t="s">
        <v>839</v>
      </c>
      <c r="BC42" s="469" t="s">
        <v>2440</v>
      </c>
      <c r="BJ42" s="676" t="str">
        <f t="shared" si="83"/>
        <v>MAMA</v>
      </c>
      <c r="BK42" s="664" t="str">
        <f t="shared" si="51"/>
        <v/>
      </c>
      <c r="BL42" s="665" t="str">
        <f t="shared" si="52"/>
        <v/>
      </c>
      <c r="BM42" s="664" t="str">
        <f t="shared" si="53"/>
        <v/>
      </c>
      <c r="BN42" s="665" t="str">
        <f t="shared" si="54"/>
        <v/>
      </c>
      <c r="BO42" s="664" t="str">
        <f t="shared" si="55"/>
        <v/>
      </c>
      <c r="BP42" s="665" t="str">
        <f t="shared" si="56"/>
        <v/>
      </c>
      <c r="BQ42" s="664" t="str">
        <f t="shared" si="57"/>
        <v/>
      </c>
      <c r="BR42" s="665" t="str">
        <f t="shared" si="58"/>
        <v/>
      </c>
      <c r="BS42" s="664" t="str">
        <f t="shared" si="59"/>
        <v/>
      </c>
      <c r="BT42" s="665" t="str">
        <f t="shared" si="60"/>
        <v/>
      </c>
      <c r="BU42" s="664" t="str">
        <f t="shared" si="61"/>
        <v/>
      </c>
      <c r="BV42" s="665" t="str">
        <f t="shared" si="62"/>
        <v/>
      </c>
      <c r="BW42" s="664" t="str">
        <f t="shared" si="63"/>
        <v/>
      </c>
      <c r="BX42" s="665" t="str">
        <f t="shared" si="64"/>
        <v/>
      </c>
      <c r="BY42" s="664" t="str">
        <f t="shared" si="65"/>
        <v/>
      </c>
      <c r="BZ42" s="666" t="str">
        <f t="shared" si="66"/>
        <v/>
      </c>
      <c r="CB42" s="676" t="str">
        <f t="shared" si="28"/>
        <v>MAMA</v>
      </c>
      <c r="CC42" s="664" t="str">
        <f t="shared" si="67"/>
        <v/>
      </c>
      <c r="CD42" s="665" t="str">
        <f t="shared" si="68"/>
        <v/>
      </c>
      <c r="CE42" s="664" t="str">
        <f t="shared" si="69"/>
        <v/>
      </c>
      <c r="CF42" s="665" t="str">
        <f t="shared" si="70"/>
        <v/>
      </c>
      <c r="CG42" s="664" t="str">
        <f t="shared" si="71"/>
        <v/>
      </c>
      <c r="CH42" s="665" t="str">
        <f t="shared" si="72"/>
        <v/>
      </c>
      <c r="CI42" s="664" t="str">
        <f t="shared" si="73"/>
        <v/>
      </c>
      <c r="CJ42" s="665" t="str">
        <f t="shared" si="74"/>
        <v/>
      </c>
      <c r="CK42" s="664" t="str">
        <f t="shared" si="75"/>
        <v/>
      </c>
      <c r="CL42" s="665" t="str">
        <f t="shared" si="76"/>
        <v/>
      </c>
      <c r="CM42" s="664" t="str">
        <f t="shared" si="77"/>
        <v/>
      </c>
      <c r="CN42" s="665" t="str">
        <f t="shared" si="78"/>
        <v/>
      </c>
      <c r="CO42" s="664" t="str">
        <f t="shared" si="79"/>
        <v/>
      </c>
      <c r="CP42" s="665" t="str">
        <f t="shared" si="80"/>
        <v/>
      </c>
      <c r="CQ42" s="664" t="str">
        <f t="shared" si="81"/>
        <v/>
      </c>
      <c r="CR42" s="666" t="str">
        <f t="shared" si="82"/>
        <v/>
      </c>
    </row>
    <row r="43" spans="2:96" ht="17.25" customHeight="1" x14ac:dyDescent="0.25">
      <c r="B43" s="1482"/>
      <c r="C43" s="277" t="str">
        <f>IF(Language="English", 'Language Look Ups'!$P$26,IF(Language="Francais", 'Language Look Ups'!$T$26, 'Language Look Ups'!$R$26))</f>
        <v>MJF (Jours fixes)</v>
      </c>
      <c r="D43" s="717">
        <v>1</v>
      </c>
      <c r="E43" s="101">
        <f>D43</f>
        <v>1</v>
      </c>
      <c r="F43" s="102" t="str">
        <f t="shared" si="46"/>
        <v>utilisatrices</v>
      </c>
      <c r="G43" s="282"/>
      <c r="H43" s="283"/>
      <c r="I43" s="282"/>
      <c r="J43" s="283"/>
      <c r="K43" s="283"/>
      <c r="L43" s="283"/>
      <c r="M43" s="282"/>
      <c r="N43" s="283"/>
      <c r="O43" s="282"/>
      <c r="P43" s="283"/>
      <c r="Q43" s="282"/>
      <c r="R43" s="283"/>
      <c r="S43" s="282"/>
      <c r="T43" s="283"/>
      <c r="U43" s="282"/>
      <c r="V43" s="413"/>
      <c r="AA43" s="464" t="str">
        <f t="shared" si="47"/>
        <v>MJF (Jours fixes)</v>
      </c>
      <c r="AB43" s="1038" t="str">
        <f>IF(AB$21="", "", VLOOKUP($AA43,'4. FPSource Set Up'!$C$96:$H$117, 6, FALSE))</f>
        <v>n/a</v>
      </c>
      <c r="AC43" s="1039" t="str">
        <f>IF(AC$21="", "", VLOOKUP($AA43,'4. FPSource Set Up'!$C$96:$H$117, 6, FALSE))</f>
        <v/>
      </c>
      <c r="AD43" s="1039" t="str">
        <f>IF(AD$21="", "", VLOOKUP($AA43,'4. FPSource Set Up'!$C$96:$H$117, 6, FALSE))</f>
        <v/>
      </c>
      <c r="AE43" s="1039" t="str">
        <f>IF(AE$21="", "", VLOOKUP($AA43,'4. FPSource Set Up'!$C$96:$H$117, 6, FALSE))</f>
        <v/>
      </c>
      <c r="AF43" s="1039" t="str">
        <f>IF(AF$21="", "", VLOOKUP($AA43,'4. FPSource Set Up'!$C$96:$H$117, 6, FALSE))</f>
        <v/>
      </c>
      <c r="AG43" s="1039" t="str">
        <f>IF(AG$21="", "", VLOOKUP($AA43,'4. FPSource Set Up'!$C$96:$H$117, 6, FALSE))</f>
        <v/>
      </c>
      <c r="AH43" s="1039" t="str">
        <f>IF(AH$21="", "", VLOOKUP($AA43,'4. FPSource Set Up'!$C$96:$H$117, 6, FALSE))</f>
        <v/>
      </c>
      <c r="AI43" s="1039" t="str">
        <f>IF(AI$21="", "", VLOOKUP($AA43,'4. FPSource Set Up'!$C$96:$H$117, 6, FALSE))</f>
        <v/>
      </c>
      <c r="AJ43" s="1039" t="str">
        <f>IF(AJ$21="", "", VLOOKUP($AA43,'4. FPSource Set Up'!$C$96:$H$117, 6, FALSE))</f>
        <v/>
      </c>
      <c r="AK43" s="1039" t="str">
        <f>IF(AK$21="", "", VLOOKUP($AA43,'4. FPSource Set Up'!$C$96:$H$117, 6, FALSE))</f>
        <v/>
      </c>
      <c r="AL43" s="1039" t="str">
        <f>IF(AL$21="", "", VLOOKUP($AA43,'4. FPSource Set Up'!$C$96:$H$117, 6, FALSE))</f>
        <v/>
      </c>
      <c r="AM43" s="1039" t="str">
        <f>IF(AM$21="", "", VLOOKUP($AA43,'4. FPSource Set Up'!$C$96:$H$117, 6, FALSE))</f>
        <v/>
      </c>
      <c r="AN43" s="1039" t="str">
        <f>IF(AN$21="", "", VLOOKUP($AA43,'4. FPSource Set Up'!$C$96:$H$117, 6, FALSE))</f>
        <v/>
      </c>
      <c r="AO43" s="1039" t="str">
        <f>IF(AO$21="", "", VLOOKUP($AA43,'4. FPSource Set Up'!$C$96:$H$117, 6, FALSE))</f>
        <v/>
      </c>
      <c r="AP43" s="1039" t="str">
        <f>IF(AP$21="", "", VLOOKUP($AA43,'4. FPSource Set Up'!$C$96:$H$117, 6, FALSE))</f>
        <v/>
      </c>
      <c r="AQ43" s="1040" t="str">
        <f>IF(AQ$21="", "", VLOOKUP($AA43,'4. FPSource Set Up'!$C$96:$H$117, 6, FALSE))</f>
        <v/>
      </c>
      <c r="BA43" s="416" t="s">
        <v>839</v>
      </c>
      <c r="BC43" s="469" t="s">
        <v>2440</v>
      </c>
      <c r="BJ43" s="678" t="str">
        <f t="shared" si="83"/>
        <v>MJF (Jours fixes)</v>
      </c>
      <c r="BK43" s="670" t="str">
        <f t="shared" si="51"/>
        <v/>
      </c>
      <c r="BL43" s="671" t="str">
        <f t="shared" si="52"/>
        <v/>
      </c>
      <c r="BM43" s="670" t="str">
        <f t="shared" si="53"/>
        <v/>
      </c>
      <c r="BN43" s="671" t="str">
        <f t="shared" si="54"/>
        <v/>
      </c>
      <c r="BO43" s="670" t="str">
        <f t="shared" si="55"/>
        <v/>
      </c>
      <c r="BP43" s="671" t="str">
        <f t="shared" si="56"/>
        <v/>
      </c>
      <c r="BQ43" s="670" t="str">
        <f t="shared" si="57"/>
        <v/>
      </c>
      <c r="BR43" s="671" t="str">
        <f t="shared" si="58"/>
        <v/>
      </c>
      <c r="BS43" s="670" t="str">
        <f t="shared" si="59"/>
        <v/>
      </c>
      <c r="BT43" s="671" t="str">
        <f t="shared" si="60"/>
        <v/>
      </c>
      <c r="BU43" s="670" t="str">
        <f t="shared" si="61"/>
        <v/>
      </c>
      <c r="BV43" s="671" t="str">
        <f t="shared" si="62"/>
        <v/>
      </c>
      <c r="BW43" s="670" t="str">
        <f t="shared" si="63"/>
        <v/>
      </c>
      <c r="BX43" s="671" t="str">
        <f t="shared" si="64"/>
        <v/>
      </c>
      <c r="BY43" s="670" t="str">
        <f t="shared" si="65"/>
        <v/>
      </c>
      <c r="BZ43" s="672" t="str">
        <f t="shared" si="66"/>
        <v/>
      </c>
      <c r="CB43" s="678" t="str">
        <f t="shared" si="28"/>
        <v>MJF (Jours fixes)</v>
      </c>
      <c r="CC43" s="670" t="str">
        <f t="shared" si="67"/>
        <v/>
      </c>
      <c r="CD43" s="671" t="str">
        <f t="shared" si="68"/>
        <v/>
      </c>
      <c r="CE43" s="670" t="str">
        <f t="shared" si="69"/>
        <v/>
      </c>
      <c r="CF43" s="671" t="str">
        <f t="shared" si="70"/>
        <v/>
      </c>
      <c r="CG43" s="670" t="str">
        <f t="shared" si="71"/>
        <v/>
      </c>
      <c r="CH43" s="671" t="str">
        <f t="shared" si="72"/>
        <v/>
      </c>
      <c r="CI43" s="670" t="str">
        <f t="shared" si="73"/>
        <v/>
      </c>
      <c r="CJ43" s="671" t="str">
        <f t="shared" si="74"/>
        <v/>
      </c>
      <c r="CK43" s="670" t="str">
        <f t="shared" si="75"/>
        <v/>
      </c>
      <c r="CL43" s="671" t="str">
        <f t="shared" si="76"/>
        <v/>
      </c>
      <c r="CM43" s="670" t="str">
        <f t="shared" si="77"/>
        <v/>
      </c>
      <c r="CN43" s="671" t="str">
        <f t="shared" si="78"/>
        <v/>
      </c>
      <c r="CO43" s="670" t="str">
        <f t="shared" si="79"/>
        <v/>
      </c>
      <c r="CP43" s="671" t="str">
        <f t="shared" si="80"/>
        <v/>
      </c>
      <c r="CQ43" s="670" t="str">
        <f t="shared" si="81"/>
        <v/>
      </c>
      <c r="CR43" s="672" t="str">
        <f t="shared" si="82"/>
        <v/>
      </c>
    </row>
    <row r="44" spans="2:96" ht="17.25" customHeight="1" x14ac:dyDescent="0.25">
      <c r="B44" s="1482"/>
      <c r="C44" s="277" t="str">
        <f>IF(Language="English", 'Language Look Ups'!$P$27,IF(Language="Francais", 'Language Look Ups'!$T$27, 'Language Look Ups'!$R$27))</f>
        <v>Barrière vaginale</v>
      </c>
      <c r="D44" s="717">
        <v>1</v>
      </c>
      <c r="E44" s="101">
        <f t="shared" si="50"/>
        <v>1</v>
      </c>
      <c r="F44" s="102" t="str">
        <f t="shared" si="46"/>
        <v>utilisatrices</v>
      </c>
      <c r="G44" s="282"/>
      <c r="H44" s="283"/>
      <c r="I44" s="282"/>
      <c r="J44" s="283"/>
      <c r="K44" s="283"/>
      <c r="L44" s="283"/>
      <c r="M44" s="282"/>
      <c r="N44" s="283"/>
      <c r="O44" s="282"/>
      <c r="P44" s="283"/>
      <c r="Q44" s="282"/>
      <c r="R44" s="283"/>
      <c r="S44" s="282"/>
      <c r="T44" s="283"/>
      <c r="U44" s="282"/>
      <c r="V44" s="413"/>
      <c r="AA44" s="464" t="str">
        <f t="shared" si="47"/>
        <v>Barrière vaginale</v>
      </c>
      <c r="AB44" s="1038" t="str">
        <f>IF(AB$21="", "", VLOOKUP($AA44,'4. FPSource Set Up'!$C$96:$H$117, 6, FALSE))</f>
        <v>n/a</v>
      </c>
      <c r="AC44" s="1039" t="str">
        <f>IF(AC$21="", "", VLOOKUP($AA44,'4. FPSource Set Up'!$C$96:$H$117, 6, FALSE))</f>
        <v/>
      </c>
      <c r="AD44" s="1039" t="str">
        <f>IF(AD$21="", "", VLOOKUP($AA44,'4. FPSource Set Up'!$C$96:$H$117, 6, FALSE))</f>
        <v/>
      </c>
      <c r="AE44" s="1039" t="str">
        <f>IF(AE$21="", "", VLOOKUP($AA44,'4. FPSource Set Up'!$C$96:$H$117, 6, FALSE))</f>
        <v/>
      </c>
      <c r="AF44" s="1039" t="str">
        <f>IF(AF$21="", "", VLOOKUP($AA44,'4. FPSource Set Up'!$C$96:$H$117, 6, FALSE))</f>
        <v/>
      </c>
      <c r="AG44" s="1039" t="str">
        <f>IF(AG$21="", "", VLOOKUP($AA44,'4. FPSource Set Up'!$C$96:$H$117, 6, FALSE))</f>
        <v/>
      </c>
      <c r="AH44" s="1039" t="str">
        <f>IF(AH$21="", "", VLOOKUP($AA44,'4. FPSource Set Up'!$C$96:$H$117, 6, FALSE))</f>
        <v/>
      </c>
      <c r="AI44" s="1039" t="str">
        <f>IF(AI$21="", "", VLOOKUP($AA44,'4. FPSource Set Up'!$C$96:$H$117, 6, FALSE))</f>
        <v/>
      </c>
      <c r="AJ44" s="1039" t="str">
        <f>IF(AJ$21="", "", VLOOKUP($AA44,'4. FPSource Set Up'!$C$96:$H$117, 6, FALSE))</f>
        <v/>
      </c>
      <c r="AK44" s="1039" t="str">
        <f>IF(AK$21="", "", VLOOKUP($AA44,'4. FPSource Set Up'!$C$96:$H$117, 6, FALSE))</f>
        <v/>
      </c>
      <c r="AL44" s="1039" t="str">
        <f>IF(AL$21="", "", VLOOKUP($AA44,'4. FPSource Set Up'!$C$96:$H$117, 6, FALSE))</f>
        <v/>
      </c>
      <c r="AM44" s="1039" t="str">
        <f>IF(AM$21="", "", VLOOKUP($AA44,'4. FPSource Set Up'!$C$96:$H$117, 6, FALSE))</f>
        <v/>
      </c>
      <c r="AN44" s="1039" t="str">
        <f>IF(AN$21="", "", VLOOKUP($AA44,'4. FPSource Set Up'!$C$96:$H$117, 6, FALSE))</f>
        <v/>
      </c>
      <c r="AO44" s="1039" t="str">
        <f>IF(AO$21="", "", VLOOKUP($AA44,'4. FPSource Set Up'!$C$96:$H$117, 6, FALSE))</f>
        <v/>
      </c>
      <c r="AP44" s="1039" t="str">
        <f>IF(AP$21="", "", VLOOKUP($AA44,'4. FPSource Set Up'!$C$96:$H$117, 6, FALSE))</f>
        <v/>
      </c>
      <c r="AQ44" s="1040" t="str">
        <f>IF(AQ$21="", "", VLOOKUP($AA44,'4. FPSource Set Up'!$C$96:$H$117, 6, FALSE))</f>
        <v/>
      </c>
      <c r="BA44" s="416" t="s">
        <v>839</v>
      </c>
      <c r="BC44" s="469" t="s">
        <v>2440</v>
      </c>
      <c r="BJ44" s="678" t="str">
        <f t="shared" si="83"/>
        <v>Barrière vaginale</v>
      </c>
      <c r="BK44" s="670" t="str">
        <f t="shared" si="51"/>
        <v/>
      </c>
      <c r="BL44" s="671" t="str">
        <f t="shared" si="52"/>
        <v/>
      </c>
      <c r="BM44" s="670" t="str">
        <f t="shared" si="53"/>
        <v/>
      </c>
      <c r="BN44" s="671" t="str">
        <f t="shared" si="54"/>
        <v/>
      </c>
      <c r="BO44" s="670" t="str">
        <f t="shared" si="55"/>
        <v/>
      </c>
      <c r="BP44" s="671" t="str">
        <f t="shared" si="56"/>
        <v/>
      </c>
      <c r="BQ44" s="670" t="str">
        <f t="shared" si="57"/>
        <v/>
      </c>
      <c r="BR44" s="671" t="str">
        <f t="shared" si="58"/>
        <v/>
      </c>
      <c r="BS44" s="670" t="str">
        <f t="shared" si="59"/>
        <v/>
      </c>
      <c r="BT44" s="671" t="str">
        <f t="shared" si="60"/>
        <v/>
      </c>
      <c r="BU44" s="670" t="str">
        <f t="shared" si="61"/>
        <v/>
      </c>
      <c r="BV44" s="671" t="str">
        <f t="shared" si="62"/>
        <v/>
      </c>
      <c r="BW44" s="670" t="str">
        <f t="shared" si="63"/>
        <v/>
      </c>
      <c r="BX44" s="671" t="str">
        <f t="shared" si="64"/>
        <v/>
      </c>
      <c r="BY44" s="670" t="str">
        <f t="shared" si="65"/>
        <v/>
      </c>
      <c r="BZ44" s="672" t="str">
        <f t="shared" si="66"/>
        <v/>
      </c>
      <c r="CB44" s="678" t="str">
        <f t="shared" si="28"/>
        <v>Barrière vaginale</v>
      </c>
      <c r="CC44" s="670" t="str">
        <f t="shared" si="67"/>
        <v/>
      </c>
      <c r="CD44" s="671" t="str">
        <f t="shared" si="68"/>
        <v/>
      </c>
      <c r="CE44" s="670" t="str">
        <f t="shared" si="69"/>
        <v/>
      </c>
      <c r="CF44" s="671" t="str">
        <f t="shared" si="70"/>
        <v/>
      </c>
      <c r="CG44" s="670" t="str">
        <f t="shared" si="71"/>
        <v/>
      </c>
      <c r="CH44" s="671" t="str">
        <f t="shared" si="72"/>
        <v/>
      </c>
      <c r="CI44" s="670" t="str">
        <f t="shared" si="73"/>
        <v/>
      </c>
      <c r="CJ44" s="671" t="str">
        <f t="shared" si="74"/>
        <v/>
      </c>
      <c r="CK44" s="670" t="str">
        <f t="shared" si="75"/>
        <v/>
      </c>
      <c r="CL44" s="671" t="str">
        <f t="shared" si="76"/>
        <v/>
      </c>
      <c r="CM44" s="670" t="str">
        <f t="shared" si="77"/>
        <v/>
      </c>
      <c r="CN44" s="671" t="str">
        <f t="shared" si="78"/>
        <v/>
      </c>
      <c r="CO44" s="670" t="str">
        <f t="shared" si="79"/>
        <v/>
      </c>
      <c r="CP44" s="671" t="str">
        <f t="shared" si="80"/>
        <v/>
      </c>
      <c r="CQ44" s="670" t="str">
        <f t="shared" si="81"/>
        <v/>
      </c>
      <c r="CR44" s="672" t="str">
        <f t="shared" si="82"/>
        <v/>
      </c>
    </row>
    <row r="45" spans="2:96" ht="22.5" customHeight="1" x14ac:dyDescent="0.25">
      <c r="B45" s="1481"/>
      <c r="C45" s="275" t="str">
        <f>IF(Language="English", 'Language Look Ups'!$P$28,IF(Language="Francais", 'Language Look Ups'!$T$28, 'Language Look Ups'!$R$28))</f>
        <v>Spermicides</v>
      </c>
      <c r="D45" s="716">
        <v>1</v>
      </c>
      <c r="E45" s="99">
        <f t="shared" si="50"/>
        <v>1</v>
      </c>
      <c r="F45" s="100" t="str">
        <f t="shared" si="46"/>
        <v>utilisatrices</v>
      </c>
      <c r="G45" s="284"/>
      <c r="H45" s="285"/>
      <c r="I45" s="284"/>
      <c r="J45" s="285"/>
      <c r="K45" s="285"/>
      <c r="L45" s="285"/>
      <c r="M45" s="284"/>
      <c r="N45" s="285"/>
      <c r="O45" s="284"/>
      <c r="P45" s="285"/>
      <c r="Q45" s="284"/>
      <c r="R45" s="285"/>
      <c r="S45" s="284"/>
      <c r="T45" s="285"/>
      <c r="U45" s="284"/>
      <c r="V45" s="412"/>
      <c r="AA45" s="463" t="str">
        <f t="shared" si="47"/>
        <v>Spermicides</v>
      </c>
      <c r="AB45" s="1035" t="str">
        <f>IF(AB$21="", "", VLOOKUP($AA45,'4. FPSource Set Up'!$C$96:$H$117, 6, FALSE))</f>
        <v>n/a</v>
      </c>
      <c r="AC45" s="1036" t="str">
        <f>IF(AC$21="", "", VLOOKUP($AA45,'4. FPSource Set Up'!$C$96:$H$117, 6, FALSE))</f>
        <v/>
      </c>
      <c r="AD45" s="1036" t="str">
        <f>IF(AD$21="", "", VLOOKUP($AA45,'4. FPSource Set Up'!$C$96:$H$117, 6, FALSE))</f>
        <v/>
      </c>
      <c r="AE45" s="1036" t="str">
        <f>IF(AE$21="", "", VLOOKUP($AA45,'4. FPSource Set Up'!$C$96:$H$117, 6, FALSE))</f>
        <v/>
      </c>
      <c r="AF45" s="1036" t="str">
        <f>IF(AF$21="", "", VLOOKUP($AA45,'4. FPSource Set Up'!$C$96:$H$117, 6, FALSE))</f>
        <v/>
      </c>
      <c r="AG45" s="1036" t="str">
        <f>IF(AG$21="", "", VLOOKUP($AA45,'4. FPSource Set Up'!$C$96:$H$117, 6, FALSE))</f>
        <v/>
      </c>
      <c r="AH45" s="1036" t="str">
        <f>IF(AH$21="", "", VLOOKUP($AA45,'4. FPSource Set Up'!$C$96:$H$117, 6, FALSE))</f>
        <v/>
      </c>
      <c r="AI45" s="1036" t="str">
        <f>IF(AI$21="", "", VLOOKUP($AA45,'4. FPSource Set Up'!$C$96:$H$117, 6, FALSE))</f>
        <v/>
      </c>
      <c r="AJ45" s="1036" t="str">
        <f>IF(AJ$21="", "", VLOOKUP($AA45,'4. FPSource Set Up'!$C$96:$H$117, 6, FALSE))</f>
        <v/>
      </c>
      <c r="AK45" s="1036" t="str">
        <f>IF(AK$21="", "", VLOOKUP($AA45,'4. FPSource Set Up'!$C$96:$H$117, 6, FALSE))</f>
        <v/>
      </c>
      <c r="AL45" s="1036" t="str">
        <f>IF(AL$21="", "", VLOOKUP($AA45,'4. FPSource Set Up'!$C$96:$H$117, 6, FALSE))</f>
        <v/>
      </c>
      <c r="AM45" s="1036" t="str">
        <f>IF(AM$21="", "", VLOOKUP($AA45,'4. FPSource Set Up'!$C$96:$H$117, 6, FALSE))</f>
        <v/>
      </c>
      <c r="AN45" s="1036" t="str">
        <f>IF(AN$21="", "", VLOOKUP($AA45,'4. FPSource Set Up'!$C$96:$H$117, 6, FALSE))</f>
        <v/>
      </c>
      <c r="AO45" s="1036" t="str">
        <f>IF(AO$21="", "", VLOOKUP($AA45,'4. FPSource Set Up'!$C$96:$H$117, 6, FALSE))</f>
        <v/>
      </c>
      <c r="AP45" s="1036" t="str">
        <f>IF(AP$21="", "", VLOOKUP($AA45,'4. FPSource Set Up'!$C$96:$H$117, 6, FALSE))</f>
        <v/>
      </c>
      <c r="AQ45" s="1037" t="str">
        <f>IF(AQ$21="", "", VLOOKUP($AA45,'4. FPSource Set Up'!$C$96:$H$117, 6, FALSE))</f>
        <v/>
      </c>
      <c r="BA45" s="416" t="s">
        <v>839</v>
      </c>
      <c r="BC45" s="469" t="s">
        <v>2440</v>
      </c>
      <c r="BJ45" s="677" t="str">
        <f t="shared" si="83"/>
        <v>Spermicides</v>
      </c>
      <c r="BK45" s="667" t="str">
        <f t="shared" si="51"/>
        <v/>
      </c>
      <c r="BL45" s="668" t="str">
        <f t="shared" si="52"/>
        <v/>
      </c>
      <c r="BM45" s="667" t="str">
        <f t="shared" si="53"/>
        <v/>
      </c>
      <c r="BN45" s="668" t="str">
        <f t="shared" si="54"/>
        <v/>
      </c>
      <c r="BO45" s="667" t="str">
        <f t="shared" si="55"/>
        <v/>
      </c>
      <c r="BP45" s="668" t="str">
        <f t="shared" si="56"/>
        <v/>
      </c>
      <c r="BQ45" s="667" t="str">
        <f t="shared" si="57"/>
        <v/>
      </c>
      <c r="BR45" s="668" t="str">
        <f t="shared" si="58"/>
        <v/>
      </c>
      <c r="BS45" s="667" t="str">
        <f t="shared" si="59"/>
        <v/>
      </c>
      <c r="BT45" s="668" t="str">
        <f t="shared" si="60"/>
        <v/>
      </c>
      <c r="BU45" s="667" t="str">
        <f t="shared" si="61"/>
        <v/>
      </c>
      <c r="BV45" s="668" t="str">
        <f t="shared" si="62"/>
        <v/>
      </c>
      <c r="BW45" s="667" t="str">
        <f t="shared" si="63"/>
        <v/>
      </c>
      <c r="BX45" s="668" t="str">
        <f t="shared" si="64"/>
        <v/>
      </c>
      <c r="BY45" s="667" t="str">
        <f t="shared" si="65"/>
        <v/>
      </c>
      <c r="BZ45" s="669" t="str">
        <f t="shared" si="66"/>
        <v/>
      </c>
      <c r="CB45" s="677" t="str">
        <f t="shared" si="28"/>
        <v>Spermicides</v>
      </c>
      <c r="CC45" s="667" t="str">
        <f t="shared" si="67"/>
        <v/>
      </c>
      <c r="CD45" s="668" t="str">
        <f t="shared" si="68"/>
        <v/>
      </c>
      <c r="CE45" s="667" t="str">
        <f t="shared" si="69"/>
        <v/>
      </c>
      <c r="CF45" s="668" t="str">
        <f t="shared" si="70"/>
        <v/>
      </c>
      <c r="CG45" s="667" t="str">
        <f t="shared" si="71"/>
        <v/>
      </c>
      <c r="CH45" s="668" t="str">
        <f t="shared" si="72"/>
        <v/>
      </c>
      <c r="CI45" s="667" t="str">
        <f t="shared" si="73"/>
        <v/>
      </c>
      <c r="CJ45" s="668" t="str">
        <f t="shared" si="74"/>
        <v/>
      </c>
      <c r="CK45" s="667" t="str">
        <f t="shared" si="75"/>
        <v/>
      </c>
      <c r="CL45" s="668" t="str">
        <f t="shared" si="76"/>
        <v/>
      </c>
      <c r="CM45" s="667" t="str">
        <f t="shared" si="77"/>
        <v/>
      </c>
      <c r="CN45" s="668" t="str">
        <f t="shared" si="78"/>
        <v/>
      </c>
      <c r="CO45" s="667" t="str">
        <f t="shared" si="79"/>
        <v/>
      </c>
      <c r="CP45" s="668" t="str">
        <f t="shared" si="80"/>
        <v/>
      </c>
      <c r="CQ45" s="667" t="str">
        <f t="shared" si="81"/>
        <v/>
      </c>
      <c r="CR45" s="669" t="str">
        <f t="shared" si="82"/>
        <v/>
      </c>
    </row>
    <row r="46" spans="2:96" ht="30.75" customHeight="1" thickBot="1" x14ac:dyDescent="0.3">
      <c r="B46" s="378" t="str">
        <f>IF(Language="English", 'Language Look Ups'!$O$29,IF(Language="Francais", 'Language Look Ups'!$S$29, 'Language Look Ups'!Q$29))</f>
        <v>Contraception d'urgence</v>
      </c>
      <c r="C46" s="397" t="str">
        <f>IF(Language="English", 'Language Look Ups'!$P$29,IF(Language="Francais", 'Language Look Ups'!$T$29, 'Language Look Ups'!$R$29))</f>
        <v>CU</v>
      </c>
      <c r="D46" s="718">
        <v>1</v>
      </c>
      <c r="E46" s="418">
        <f t="shared" si="50"/>
        <v>1</v>
      </c>
      <c r="F46" s="419" t="str">
        <f t="shared" si="46"/>
        <v>utilisatrices</v>
      </c>
      <c r="G46" s="420"/>
      <c r="H46" s="421"/>
      <c r="I46" s="420"/>
      <c r="J46" s="421"/>
      <c r="K46" s="421"/>
      <c r="L46" s="421"/>
      <c r="M46" s="420"/>
      <c r="N46" s="421"/>
      <c r="O46" s="420"/>
      <c r="P46" s="421"/>
      <c r="Q46" s="420"/>
      <c r="R46" s="421"/>
      <c r="S46" s="420"/>
      <c r="T46" s="421"/>
      <c r="U46" s="420"/>
      <c r="V46" s="422"/>
      <c r="AA46" s="467" t="str">
        <f t="shared" si="47"/>
        <v>CU</v>
      </c>
      <c r="AB46" s="1053" t="str">
        <f>IF(AB$21="", "", VLOOKUP($AA46,'4. FPSource Set Up'!$C$96:$H$117, 6, FALSE))</f>
        <v>n/a</v>
      </c>
      <c r="AC46" s="1054" t="str">
        <f>IF(AC$21="", "", VLOOKUP($AA46,'4. FPSource Set Up'!$C$96:$H$117, 6, FALSE))</f>
        <v/>
      </c>
      <c r="AD46" s="1054" t="str">
        <f>IF(AD$21="", "", VLOOKUP($AA46,'4. FPSource Set Up'!$C$96:$H$117, 6, FALSE))</f>
        <v/>
      </c>
      <c r="AE46" s="1054" t="str">
        <f>IF(AE$21="", "", VLOOKUP($AA46,'4. FPSource Set Up'!$C$96:$H$117, 6, FALSE))</f>
        <v/>
      </c>
      <c r="AF46" s="1054" t="str">
        <f>IF(AF$21="", "", VLOOKUP($AA46,'4. FPSource Set Up'!$C$96:$H$117, 6, FALSE))</f>
        <v/>
      </c>
      <c r="AG46" s="1054" t="str">
        <f>IF(AG$21="", "", VLOOKUP($AA46,'4. FPSource Set Up'!$C$96:$H$117, 6, FALSE))</f>
        <v/>
      </c>
      <c r="AH46" s="1054" t="str">
        <f>IF(AH$21="", "", VLOOKUP($AA46,'4. FPSource Set Up'!$C$96:$H$117, 6, FALSE))</f>
        <v/>
      </c>
      <c r="AI46" s="1054" t="str">
        <f>IF(AI$21="", "", VLOOKUP($AA46,'4. FPSource Set Up'!$C$96:$H$117, 6, FALSE))</f>
        <v/>
      </c>
      <c r="AJ46" s="1054" t="str">
        <f>IF(AJ$21="", "", VLOOKUP($AA46,'4. FPSource Set Up'!$C$96:$H$117, 6, FALSE))</f>
        <v/>
      </c>
      <c r="AK46" s="1054" t="str">
        <f>IF(AK$21="", "", VLOOKUP($AA46,'4. FPSource Set Up'!$C$96:$H$117, 6, FALSE))</f>
        <v/>
      </c>
      <c r="AL46" s="1054" t="str">
        <f>IF(AL$21="", "", VLOOKUP($AA46,'4. FPSource Set Up'!$C$96:$H$117, 6, FALSE))</f>
        <v/>
      </c>
      <c r="AM46" s="1054" t="str">
        <f>IF(AM$21="", "", VLOOKUP($AA46,'4. FPSource Set Up'!$C$96:$H$117, 6, FALSE))</f>
        <v/>
      </c>
      <c r="AN46" s="1054" t="str">
        <f>IF(AN$21="", "", VLOOKUP($AA46,'4. FPSource Set Up'!$C$96:$H$117, 6, FALSE))</f>
        <v/>
      </c>
      <c r="AO46" s="1054" t="str">
        <f>IF(AO$21="", "", VLOOKUP($AA46,'4. FPSource Set Up'!$C$96:$H$117, 6, FALSE))</f>
        <v/>
      </c>
      <c r="AP46" s="1054" t="str">
        <f>IF(AP$21="", "", VLOOKUP($AA46,'4. FPSource Set Up'!$C$96:$H$117, 6, FALSE))</f>
        <v/>
      </c>
      <c r="AQ46" s="1055" t="str">
        <f>IF(AQ$21="", "", VLOOKUP($AA46,'4. FPSource Set Up'!$C$96:$H$117, 6, FALSE))</f>
        <v/>
      </c>
      <c r="BA46" s="416" t="s">
        <v>839</v>
      </c>
      <c r="BC46" s="469" t="s">
        <v>2440</v>
      </c>
      <c r="BJ46" s="680" t="str">
        <f t="shared" si="83"/>
        <v>CU</v>
      </c>
      <c r="BK46" s="681" t="str">
        <f t="shared" si="51"/>
        <v/>
      </c>
      <c r="BL46" s="682" t="str">
        <f t="shared" si="52"/>
        <v/>
      </c>
      <c r="BM46" s="681" t="str">
        <f t="shared" si="53"/>
        <v/>
      </c>
      <c r="BN46" s="682" t="str">
        <f t="shared" si="54"/>
        <v/>
      </c>
      <c r="BO46" s="681" t="str">
        <f t="shared" si="55"/>
        <v/>
      </c>
      <c r="BP46" s="682" t="str">
        <f t="shared" si="56"/>
        <v/>
      </c>
      <c r="BQ46" s="681" t="str">
        <f t="shared" si="57"/>
        <v/>
      </c>
      <c r="BR46" s="682" t="str">
        <f t="shared" si="58"/>
        <v/>
      </c>
      <c r="BS46" s="681" t="str">
        <f t="shared" si="59"/>
        <v/>
      </c>
      <c r="BT46" s="682" t="str">
        <f t="shared" si="60"/>
        <v/>
      </c>
      <c r="BU46" s="681" t="str">
        <f t="shared" si="61"/>
        <v/>
      </c>
      <c r="BV46" s="682" t="str">
        <f t="shared" si="62"/>
        <v/>
      </c>
      <c r="BW46" s="681" t="str">
        <f t="shared" si="63"/>
        <v/>
      </c>
      <c r="BX46" s="682" t="str">
        <f t="shared" si="64"/>
        <v/>
      </c>
      <c r="BY46" s="681" t="str">
        <f t="shared" si="65"/>
        <v/>
      </c>
      <c r="BZ46" s="683" t="str">
        <f t="shared" si="66"/>
        <v/>
      </c>
      <c r="CB46" s="680" t="str">
        <f t="shared" si="28"/>
        <v>CU</v>
      </c>
      <c r="CC46" s="681" t="str">
        <f t="shared" si="67"/>
        <v/>
      </c>
      <c r="CD46" s="682" t="str">
        <f t="shared" si="68"/>
        <v/>
      </c>
      <c r="CE46" s="681" t="str">
        <f t="shared" si="69"/>
        <v/>
      </c>
      <c r="CF46" s="682" t="str">
        <f t="shared" si="70"/>
        <v/>
      </c>
      <c r="CG46" s="681" t="str">
        <f t="shared" si="71"/>
        <v/>
      </c>
      <c r="CH46" s="682" t="str">
        <f t="shared" si="72"/>
        <v/>
      </c>
      <c r="CI46" s="681" t="str">
        <f t="shared" si="73"/>
        <v/>
      </c>
      <c r="CJ46" s="682" t="str">
        <f t="shared" si="74"/>
        <v/>
      </c>
      <c r="CK46" s="681" t="str">
        <f t="shared" si="75"/>
        <v/>
      </c>
      <c r="CL46" s="682" t="str">
        <f t="shared" si="76"/>
        <v/>
      </c>
      <c r="CM46" s="681" t="str">
        <f t="shared" si="77"/>
        <v/>
      </c>
      <c r="CN46" s="682" t="str">
        <f t="shared" si="78"/>
        <v/>
      </c>
      <c r="CO46" s="681" t="str">
        <f t="shared" si="79"/>
        <v/>
      </c>
      <c r="CP46" s="682" t="str">
        <f t="shared" si="80"/>
        <v/>
      </c>
      <c r="CQ46" s="681" t="str">
        <f t="shared" si="81"/>
        <v/>
      </c>
      <c r="CR46" s="683" t="str">
        <f t="shared" si="82"/>
        <v/>
      </c>
    </row>
    <row r="47" spans="2:96" ht="19.5" customHeight="1" thickBot="1" x14ac:dyDescent="0.35">
      <c r="B47" s="429" t="str">
        <f>G20</f>
        <v>Utilisatrices de PF</v>
      </c>
      <c r="C47" s="430"/>
      <c r="D47" s="430"/>
      <c r="E47" s="431"/>
      <c r="F47" s="432"/>
      <c r="G47" s="433">
        <f>IF(G21="", "", SUM(G23:G29,G32:G46))</f>
        <v>0</v>
      </c>
      <c r="H47" s="433" t="str">
        <f t="shared" ref="H47:V47" si="84">IF(H21="", "", SUM(H23:H29,H32:H46))</f>
        <v/>
      </c>
      <c r="I47" s="433" t="str">
        <f t="shared" si="84"/>
        <v/>
      </c>
      <c r="J47" s="433" t="str">
        <f t="shared" si="84"/>
        <v/>
      </c>
      <c r="K47" s="433" t="str">
        <f t="shared" si="84"/>
        <v/>
      </c>
      <c r="L47" s="433" t="str">
        <f t="shared" si="84"/>
        <v/>
      </c>
      <c r="M47" s="433" t="str">
        <f t="shared" si="84"/>
        <v/>
      </c>
      <c r="N47" s="433" t="str">
        <f t="shared" si="84"/>
        <v/>
      </c>
      <c r="O47" s="433" t="str">
        <f t="shared" si="84"/>
        <v/>
      </c>
      <c r="P47" s="433" t="str">
        <f t="shared" si="84"/>
        <v/>
      </c>
      <c r="Q47" s="433" t="str">
        <f t="shared" si="84"/>
        <v/>
      </c>
      <c r="R47" s="433" t="str">
        <f t="shared" si="84"/>
        <v/>
      </c>
      <c r="S47" s="433" t="str">
        <f t="shared" si="84"/>
        <v/>
      </c>
      <c r="T47" s="433" t="str">
        <f t="shared" si="84"/>
        <v/>
      </c>
      <c r="U47" s="433" t="str">
        <f t="shared" si="84"/>
        <v/>
      </c>
      <c r="V47" s="433" t="str">
        <f t="shared" si="84"/>
        <v/>
      </c>
      <c r="BJ47" s="178"/>
      <c r="CB47" s="178"/>
      <c r="CC47" s="176"/>
      <c r="CD47" s="176"/>
      <c r="CE47" s="176"/>
      <c r="CF47" s="176"/>
      <c r="CG47" s="176"/>
      <c r="CH47" s="176"/>
      <c r="CI47" s="176"/>
      <c r="CJ47" s="176"/>
      <c r="CK47" s="176"/>
      <c r="CL47" s="176"/>
      <c r="CM47" s="176"/>
      <c r="CN47" s="176"/>
      <c r="CO47" s="176"/>
      <c r="CP47" s="176"/>
      <c r="CQ47" s="176"/>
      <c r="CR47" s="176"/>
    </row>
    <row r="48" spans="2:96" ht="12.75" customHeight="1" x14ac:dyDescent="0.25">
      <c r="BJ48" t="s">
        <v>313</v>
      </c>
      <c r="BK48" s="2" t="e">
        <f>IF(BK21="",NA(),IF(SUM(BK23:BK46)=0,NA(),SUM(BK23:BK46)))</f>
        <v>#N/A</v>
      </c>
      <c r="BL48" s="2" t="e">
        <f t="shared" ref="BL48:BZ48" si="85">IF(BL21="",NA(),IF(SUM(BL23:BL46)=0,NA(),SUM(BL23:BL46)))</f>
        <v>#N/A</v>
      </c>
      <c r="BM48" s="2" t="e">
        <f t="shared" si="85"/>
        <v>#N/A</v>
      </c>
      <c r="BN48" s="2" t="e">
        <f t="shared" si="85"/>
        <v>#N/A</v>
      </c>
      <c r="BO48" s="2" t="e">
        <f t="shared" si="85"/>
        <v>#N/A</v>
      </c>
      <c r="BP48" s="2" t="e">
        <f t="shared" si="85"/>
        <v>#N/A</v>
      </c>
      <c r="BQ48" s="2" t="e">
        <f t="shared" si="85"/>
        <v>#N/A</v>
      </c>
      <c r="BR48" s="2" t="e">
        <f t="shared" si="85"/>
        <v>#N/A</v>
      </c>
      <c r="BS48" s="2" t="e">
        <f t="shared" si="85"/>
        <v>#N/A</v>
      </c>
      <c r="BT48" s="2" t="e">
        <f t="shared" si="85"/>
        <v>#N/A</v>
      </c>
      <c r="BU48" s="2" t="e">
        <f t="shared" si="85"/>
        <v>#N/A</v>
      </c>
      <c r="BV48" s="2" t="e">
        <f t="shared" si="85"/>
        <v>#N/A</v>
      </c>
      <c r="BW48" s="2" t="e">
        <f t="shared" si="85"/>
        <v>#N/A</v>
      </c>
      <c r="BX48" s="2" t="e">
        <f t="shared" si="85"/>
        <v>#N/A</v>
      </c>
      <c r="BY48" s="2" t="e">
        <f t="shared" si="85"/>
        <v>#N/A</v>
      </c>
      <c r="BZ48" s="2" t="e">
        <f t="shared" si="85"/>
        <v>#N/A</v>
      </c>
      <c r="CB48" t="s">
        <v>313</v>
      </c>
      <c r="CC48" s="2" t="e">
        <f>IF(CC21="",NA(),IF(SUM(CC23:CC46)=0,NA(),SUM(CC23:CC46)))</f>
        <v>#N/A</v>
      </c>
      <c r="CD48" s="2" t="e">
        <f t="shared" ref="CD48:CR48" si="86">IF(CD21="",NA(),IF(SUM(CD23:CD46)=0,NA(),SUM(CD23:CD46)))</f>
        <v>#N/A</v>
      </c>
      <c r="CE48" s="2" t="e">
        <f t="shared" si="86"/>
        <v>#N/A</v>
      </c>
      <c r="CF48" s="2" t="e">
        <f t="shared" si="86"/>
        <v>#N/A</v>
      </c>
      <c r="CG48" s="2" t="e">
        <f t="shared" si="86"/>
        <v>#N/A</v>
      </c>
      <c r="CH48" s="2" t="e">
        <f t="shared" si="86"/>
        <v>#N/A</v>
      </c>
      <c r="CI48" s="2" t="e">
        <f t="shared" si="86"/>
        <v>#N/A</v>
      </c>
      <c r="CJ48" s="2" t="e">
        <f t="shared" si="86"/>
        <v>#N/A</v>
      </c>
      <c r="CK48" s="2" t="e">
        <f t="shared" si="86"/>
        <v>#N/A</v>
      </c>
      <c r="CL48" s="2" t="e">
        <f t="shared" si="86"/>
        <v>#N/A</v>
      </c>
      <c r="CM48" s="2" t="e">
        <f t="shared" si="86"/>
        <v>#N/A</v>
      </c>
      <c r="CN48" s="2" t="e">
        <f t="shared" si="86"/>
        <v>#N/A</v>
      </c>
      <c r="CO48" s="2" t="e">
        <f t="shared" si="86"/>
        <v>#N/A</v>
      </c>
      <c r="CP48" s="2" t="e">
        <f t="shared" si="86"/>
        <v>#N/A</v>
      </c>
      <c r="CQ48" s="2" t="e">
        <f t="shared" si="86"/>
        <v>#N/A</v>
      </c>
      <c r="CR48" s="2" t="e">
        <f t="shared" si="86"/>
        <v>#N/A</v>
      </c>
    </row>
    <row r="49" spans="1:115" s="1" customFormat="1" ht="42" hidden="1" customHeight="1" outlineLevel="1" thickBot="1" x14ac:dyDescent="0.3">
      <c r="A49" s="1557" t="s">
        <v>1218</v>
      </c>
      <c r="B49" s="1509" t="s">
        <v>1216</v>
      </c>
      <c r="C49" s="1510"/>
      <c r="D49" s="1510"/>
      <c r="E49" s="1510"/>
      <c r="F49" s="1510"/>
      <c r="G49" s="1510"/>
      <c r="H49" s="1510"/>
      <c r="I49" s="1510"/>
      <c r="J49" s="1510"/>
      <c r="K49" s="1510"/>
      <c r="L49" s="1510"/>
      <c r="M49" s="1510"/>
      <c r="N49" s="1510"/>
      <c r="O49" s="1510"/>
      <c r="P49" s="1510"/>
      <c r="Q49" s="1510"/>
      <c r="R49" s="1510"/>
      <c r="S49" s="1510"/>
      <c r="T49" s="1510"/>
      <c r="U49" s="1510"/>
      <c r="V49" s="1511"/>
      <c r="W49"/>
      <c r="X49"/>
      <c r="Y49"/>
      <c r="Z49"/>
      <c r="AA49"/>
      <c r="AB49" s="43" t="s">
        <v>1195</v>
      </c>
      <c r="AC49" s="44" t="s">
        <v>1196</v>
      </c>
      <c r="AD49" s="854" t="s">
        <v>1199</v>
      </c>
      <c r="AE49" s="855" t="s">
        <v>1200</v>
      </c>
      <c r="AF49" s="43"/>
      <c r="AG49" s="44"/>
      <c r="AH49" s="43"/>
      <c r="AI49" s="44"/>
      <c r="AJ49" s="44"/>
      <c r="AK49" s="44"/>
      <c r="AL49" s="44"/>
      <c r="AM49" s="44"/>
      <c r="AN49" s="44"/>
      <c r="AO49" s="44"/>
      <c r="AP49" s="44"/>
      <c r="AQ49" s="45"/>
      <c r="AS49"/>
      <c r="AT49"/>
      <c r="AU49"/>
      <c r="AV49"/>
      <c r="AW49"/>
      <c r="AX49"/>
      <c r="AY49"/>
      <c r="AZ49"/>
      <c r="BA49" s="184"/>
      <c r="BB49" s="184"/>
      <c r="BC49" s="184"/>
      <c r="BD49"/>
      <c r="BE49"/>
      <c r="BF49"/>
      <c r="BG49"/>
      <c r="BH49"/>
      <c r="BI49" s="181"/>
      <c r="DK49"/>
    </row>
    <row r="50" spans="1:115" ht="17.25" hidden="1" customHeight="1" outlineLevel="1" thickBot="1" x14ac:dyDescent="0.3">
      <c r="A50" s="1557"/>
      <c r="B50" s="1527" t="str">
        <f>IF(Language="English",'Language Look Ups'!$O$6,IF(Language="Francais",'Language Look Ups'!$S$6,'Language Look Ups'!$Q$6))</f>
        <v>Stérilisation</v>
      </c>
      <c r="C50" s="885" t="str">
        <f>IF(Language="English", 'Language Look Ups'!$P$6,IF(Language="Francais", 'Language Look Ups'!$T$6, 'Language Look Ups'!$R$6))</f>
        <v>Ligature des trompes</v>
      </c>
      <c r="D50" s="886"/>
      <c r="E50" s="886"/>
      <c r="F50" s="887"/>
      <c r="G50" s="883" t="str">
        <f>IF(G23="", "", IF(OR(G23&gt;$AD50, G23&lt;$AE50), G$21&amp;",", ""))</f>
        <v/>
      </c>
      <c r="H50" s="883" t="str">
        <f t="shared" ref="H50:V50" si="87">IF(H23="", "", IF(OR(H23&gt;$AD50, H23&lt;$AE50), H$21&amp;",", ""))</f>
        <v/>
      </c>
      <c r="I50" s="883" t="str">
        <f t="shared" si="87"/>
        <v/>
      </c>
      <c r="J50" s="883" t="str">
        <f t="shared" si="87"/>
        <v/>
      </c>
      <c r="K50" s="883" t="str">
        <f t="shared" si="87"/>
        <v/>
      </c>
      <c r="L50" s="883" t="str">
        <f t="shared" si="87"/>
        <v/>
      </c>
      <c r="M50" s="883" t="str">
        <f t="shared" si="87"/>
        <v/>
      </c>
      <c r="N50" s="883" t="str">
        <f t="shared" si="87"/>
        <v/>
      </c>
      <c r="O50" s="883" t="str">
        <f t="shared" si="87"/>
        <v/>
      </c>
      <c r="P50" s="883" t="str">
        <f t="shared" si="87"/>
        <v/>
      </c>
      <c r="Q50" s="883" t="str">
        <f t="shared" si="87"/>
        <v/>
      </c>
      <c r="R50" s="883" t="str">
        <f t="shared" si="87"/>
        <v/>
      </c>
      <c r="S50" s="883" t="str">
        <f t="shared" si="87"/>
        <v/>
      </c>
      <c r="T50" s="883" t="str">
        <f t="shared" si="87"/>
        <v/>
      </c>
      <c r="U50" s="883" t="str">
        <f t="shared" si="87"/>
        <v/>
      </c>
      <c r="V50" s="883" t="str">
        <f t="shared" si="87"/>
        <v/>
      </c>
      <c r="W50" s="884">
        <f>COUNTIF(G50:V50, "*,*")</f>
        <v>0</v>
      </c>
      <c r="X50">
        <v>25</v>
      </c>
      <c r="Y50" t="str">
        <f>IF(W50&gt;0, HLOOKUP("OUTLIER", $G50:$V$75, X50, 0), "")</f>
        <v/>
      </c>
      <c r="AA50" s="148" t="str">
        <f>IF(W50=0, "", C50&amp;": "&amp;CONCATENATE( IF(ISBLANK(G50), "", G50), IF(ISBLANK(H50), "", H50), IF(ISBLANK(I50), "", I50), IF(ISBLANK(J50), "", J50), IF(ISBLANK(K50), "", K50), IF(ISBLANK(L50), "", L50), IF(ISBLANK(M50), "", M50), IF(ISBLANK(N50), "", N50), IF(ISBLANK(O50), "", O50), IF(ISBLANK(P50), "", P50), IF(ISBLANK(Q50), "", Q50), IF(ISBLANK(R50), "", R50), IF(ISBLANK(S50), "", S50), IF(ISBLANK(T50), "", T50), IF(ISBLANK(U50), "", U50), IF(ISBLANK(V50), "", V50)))</f>
        <v/>
      </c>
      <c r="AB50" s="856" t="e">
        <f>AVERAGE($G23:$V23)</f>
        <v>#DIV/0!</v>
      </c>
      <c r="AC50" s="857" t="e">
        <f>STDEV($G23:$V23)*2</f>
        <v>#DIV/0!</v>
      </c>
      <c r="AD50" s="856" t="e">
        <f>AB50+AC50</f>
        <v>#DIV/0!</v>
      </c>
      <c r="AE50" s="856" t="e">
        <f>AB50-AC50</f>
        <v>#DIV/0!</v>
      </c>
    </row>
    <row r="51" spans="1:115" ht="17.25" hidden="1" customHeight="1" outlineLevel="1" thickBot="1" x14ac:dyDescent="0.3">
      <c r="A51" s="1557"/>
      <c r="B51" s="1528"/>
      <c r="C51" s="888" t="str">
        <f>IF(Language="English",'Language Look Ups'!$P$7,IF(Language="Francais",'Language Look Ups'!$T$7,'Language Look Ups'!$R$7))</f>
        <v>Vasectomie</v>
      </c>
      <c r="D51" s="889"/>
      <c r="E51" s="889"/>
      <c r="F51" s="890"/>
      <c r="G51" s="883" t="str">
        <f t="shared" ref="G51:V56" si="88">IF(G24="", "", IF(OR(G24&gt;$AD51, G24&lt;$AE51), G$21&amp;",", ""))</f>
        <v/>
      </c>
      <c r="H51" s="883" t="str">
        <f t="shared" si="88"/>
        <v/>
      </c>
      <c r="I51" s="883" t="str">
        <f t="shared" si="88"/>
        <v/>
      </c>
      <c r="J51" s="883" t="str">
        <f t="shared" si="88"/>
        <v/>
      </c>
      <c r="K51" s="883" t="str">
        <f t="shared" si="88"/>
        <v/>
      </c>
      <c r="L51" s="883" t="str">
        <f t="shared" si="88"/>
        <v/>
      </c>
      <c r="M51" s="883" t="str">
        <f t="shared" si="88"/>
        <v/>
      </c>
      <c r="N51" s="883" t="str">
        <f t="shared" si="88"/>
        <v/>
      </c>
      <c r="O51" s="883" t="str">
        <f t="shared" si="88"/>
        <v/>
      </c>
      <c r="P51" s="883" t="str">
        <f t="shared" si="88"/>
        <v/>
      </c>
      <c r="Q51" s="883" t="str">
        <f t="shared" si="88"/>
        <v/>
      </c>
      <c r="R51" s="883" t="str">
        <f t="shared" si="88"/>
        <v/>
      </c>
      <c r="S51" s="883" t="str">
        <f t="shared" si="88"/>
        <v/>
      </c>
      <c r="T51" s="883" t="str">
        <f t="shared" si="88"/>
        <v/>
      </c>
      <c r="U51" s="883" t="str">
        <f t="shared" si="88"/>
        <v/>
      </c>
      <c r="V51" s="883" t="str">
        <f t="shared" si="88"/>
        <v/>
      </c>
      <c r="W51" s="884">
        <f t="shared" ref="W51:W73" si="89">COUNTIF(G51:V51, "*,*")</f>
        <v>0</v>
      </c>
      <c r="X51">
        <v>24</v>
      </c>
      <c r="Y51" t="str">
        <f>IF(W51&gt;0, HLOOKUP("OUTLIER", $G51:$V$75, X51, 0), "")</f>
        <v/>
      </c>
      <c r="AA51" s="148" t="str">
        <f t="shared" ref="AA51:AA74" si="90">IF(W51=0, "", C51&amp;": "&amp;CONCATENATE( IF(ISBLANK(G51), "", G51), IF(ISBLANK(H51), "", H51), IF(ISBLANK(I51), "", I51), IF(ISBLANK(J51), "", J51), IF(ISBLANK(K51), "", K51), IF(ISBLANK(L51), "", L51), IF(ISBLANK(M51), "", M51), IF(ISBLANK(N51), "", N51), IF(ISBLANK(O51), "", O51), IF(ISBLANK(P51), "", P51), IF(ISBLANK(Q51), "", Q51), IF(ISBLANK(R51), "", R51), IF(ISBLANK(S51), "", S51), IF(ISBLANK(T51), "", T51), IF(ISBLANK(U51), "", U51), IF(ISBLANK(V51), "", V51)))</f>
        <v/>
      </c>
      <c r="AB51" s="856" t="e">
        <f t="shared" ref="AB51:AB74" si="91">AVERAGE($G24:$V24)</f>
        <v>#DIV/0!</v>
      </c>
      <c r="AC51" s="857" t="e">
        <f t="shared" ref="AC51:AC74" si="92">STDEV($G24:$V24)*2</f>
        <v>#DIV/0!</v>
      </c>
      <c r="AD51" s="856" t="e">
        <f t="shared" ref="AD51:AD74" si="93">AB51+AC51</f>
        <v>#DIV/0!</v>
      </c>
      <c r="AE51" s="856" t="e">
        <f t="shared" ref="AE51:AE74" si="94">AB51-AC51</f>
        <v>#DIV/0!</v>
      </c>
    </row>
    <row r="52" spans="1:115" ht="17.25" hidden="1" customHeight="1" outlineLevel="1" thickBot="1" x14ac:dyDescent="0.3">
      <c r="A52" s="1557"/>
      <c r="B52" s="1527" t="str">
        <f>IF(Language="English", 'Language Look Ups'!$O$8,IF(Language="Francais", 'Language Look Ups'!$S$8, 'Language Look Ups'!$Q$8))</f>
        <v>DIU</v>
      </c>
      <c r="C52" s="885" t="str">
        <f>IF(Language="English", 'Language Look Ups'!$P$8,IF(Language="Francais", 'Language Look Ups'!$T$8, 'Language Look Ups'!$R$8))</f>
        <v>Copper- T 380-A DIU</v>
      </c>
      <c r="D52" s="886"/>
      <c r="E52" s="886"/>
      <c r="F52" s="887"/>
      <c r="G52" s="883" t="str">
        <f t="shared" si="88"/>
        <v/>
      </c>
      <c r="H52" s="883" t="str">
        <f t="shared" si="88"/>
        <v/>
      </c>
      <c r="I52" s="883" t="str">
        <f t="shared" si="88"/>
        <v/>
      </c>
      <c r="J52" s="883" t="str">
        <f t="shared" si="88"/>
        <v/>
      </c>
      <c r="K52" s="883" t="str">
        <f t="shared" si="88"/>
        <v/>
      </c>
      <c r="L52" s="883" t="str">
        <f t="shared" si="88"/>
        <v/>
      </c>
      <c r="M52" s="883" t="str">
        <f t="shared" si="88"/>
        <v/>
      </c>
      <c r="N52" s="883" t="str">
        <f t="shared" si="88"/>
        <v/>
      </c>
      <c r="O52" s="883" t="str">
        <f t="shared" si="88"/>
        <v/>
      </c>
      <c r="P52" s="883" t="str">
        <f t="shared" si="88"/>
        <v/>
      </c>
      <c r="Q52" s="883" t="str">
        <f t="shared" si="88"/>
        <v/>
      </c>
      <c r="R52" s="883" t="str">
        <f t="shared" si="88"/>
        <v/>
      </c>
      <c r="S52" s="883" t="str">
        <f t="shared" si="88"/>
        <v/>
      </c>
      <c r="T52" s="883" t="str">
        <f t="shared" si="88"/>
        <v/>
      </c>
      <c r="U52" s="883" t="str">
        <f t="shared" si="88"/>
        <v/>
      </c>
      <c r="V52" s="883" t="str">
        <f t="shared" si="88"/>
        <v/>
      </c>
      <c r="W52" s="884">
        <f t="shared" si="89"/>
        <v>0</v>
      </c>
      <c r="X52">
        <v>23</v>
      </c>
      <c r="Y52" t="str">
        <f>IF(W52&gt;0, HLOOKUP("OUTLIER", $G52:$V$75, X52, 0), "")</f>
        <v/>
      </c>
      <c r="AA52" s="148" t="str">
        <f t="shared" si="90"/>
        <v/>
      </c>
      <c r="AB52" s="856" t="e">
        <f t="shared" si="91"/>
        <v>#DIV/0!</v>
      </c>
      <c r="AC52" s="857" t="e">
        <f t="shared" si="92"/>
        <v>#DIV/0!</v>
      </c>
      <c r="AD52" s="856" t="e">
        <f t="shared" si="93"/>
        <v>#DIV/0!</v>
      </c>
      <c r="AE52" s="856" t="e">
        <f t="shared" si="94"/>
        <v>#DIV/0!</v>
      </c>
    </row>
    <row r="53" spans="1:115" ht="17.25" hidden="1" customHeight="1" outlineLevel="1" thickBot="1" x14ac:dyDescent="0.3">
      <c r="A53" s="1557"/>
      <c r="B53" s="1528"/>
      <c r="C53" s="888" t="str">
        <f>IF(Language="English", 'Language Look Ups'!$P$9,IF(Language="Francais", 'Language Look Ups'!$T$9, 'Language Look Ups'!$R$9))</f>
        <v>DIU Hormonal (LNG-IUS)</v>
      </c>
      <c r="D53" s="889"/>
      <c r="E53" s="889"/>
      <c r="F53" s="890"/>
      <c r="G53" s="883" t="str">
        <f t="shared" si="88"/>
        <v/>
      </c>
      <c r="H53" s="883" t="str">
        <f t="shared" si="88"/>
        <v/>
      </c>
      <c r="I53" s="883" t="str">
        <f t="shared" si="88"/>
        <v/>
      </c>
      <c r="J53" s="883" t="str">
        <f t="shared" si="88"/>
        <v/>
      </c>
      <c r="K53" s="883" t="str">
        <f t="shared" si="88"/>
        <v/>
      </c>
      <c r="L53" s="883" t="str">
        <f t="shared" si="88"/>
        <v/>
      </c>
      <c r="M53" s="883" t="str">
        <f t="shared" si="88"/>
        <v/>
      </c>
      <c r="N53" s="883" t="str">
        <f t="shared" si="88"/>
        <v/>
      </c>
      <c r="O53" s="883" t="str">
        <f t="shared" si="88"/>
        <v/>
      </c>
      <c r="P53" s="883" t="str">
        <f t="shared" si="88"/>
        <v/>
      </c>
      <c r="Q53" s="883" t="str">
        <f t="shared" si="88"/>
        <v/>
      </c>
      <c r="R53" s="883" t="str">
        <f t="shared" si="88"/>
        <v/>
      </c>
      <c r="S53" s="883" t="str">
        <f t="shared" si="88"/>
        <v/>
      </c>
      <c r="T53" s="883" t="str">
        <f t="shared" si="88"/>
        <v/>
      </c>
      <c r="U53" s="883" t="str">
        <f t="shared" si="88"/>
        <v/>
      </c>
      <c r="V53" s="883" t="str">
        <f t="shared" si="88"/>
        <v/>
      </c>
      <c r="W53" s="884">
        <f t="shared" si="89"/>
        <v>0</v>
      </c>
      <c r="X53">
        <v>22</v>
      </c>
      <c r="Y53" t="str">
        <f>IF(W53&gt;0, HLOOKUP("OUTLIER", $G53:$V$75, X53, 0), "")</f>
        <v/>
      </c>
      <c r="AA53" s="148" t="str">
        <f t="shared" si="90"/>
        <v/>
      </c>
      <c r="AB53" s="856" t="e">
        <f t="shared" si="91"/>
        <v>#DIV/0!</v>
      </c>
      <c r="AC53" s="857" t="e">
        <f t="shared" si="92"/>
        <v>#DIV/0!</v>
      </c>
      <c r="AD53" s="856" t="e">
        <f t="shared" si="93"/>
        <v>#DIV/0!</v>
      </c>
      <c r="AE53" s="856" t="e">
        <f t="shared" si="94"/>
        <v>#DIV/0!</v>
      </c>
    </row>
    <row r="54" spans="1:115" ht="17.25" hidden="1" customHeight="1" outlineLevel="1" thickBot="1" x14ac:dyDescent="0.3">
      <c r="A54" s="1557"/>
      <c r="B54" s="1527" t="str">
        <f>IF(Language="English", 'Language Look Ups'!$O$10,IF(Language="Francais", 'Language Look Ups'!$S$10, 'Language Look Ups'!$Q$10))</f>
        <v>Implant</v>
      </c>
      <c r="C54" s="885" t="str">
        <f>IF(Language="English", 'Language Look Ups'!$P$10,IF(Language="Francais", 'Language Look Ups'!$T$10, 'Language Look Ups'!$R$10))</f>
        <v>Implant de 3 ans (Implanon, Levoplant)</v>
      </c>
      <c r="D54" s="886"/>
      <c r="E54" s="886"/>
      <c r="F54" s="887"/>
      <c r="G54" s="883" t="str">
        <f t="shared" si="88"/>
        <v/>
      </c>
      <c r="H54" s="883" t="str">
        <f t="shared" si="88"/>
        <v/>
      </c>
      <c r="I54" s="883" t="str">
        <f t="shared" si="88"/>
        <v/>
      </c>
      <c r="J54" s="883" t="str">
        <f t="shared" si="88"/>
        <v/>
      </c>
      <c r="K54" s="883" t="str">
        <f t="shared" si="88"/>
        <v/>
      </c>
      <c r="L54" s="883" t="str">
        <f t="shared" si="88"/>
        <v/>
      </c>
      <c r="M54" s="883" t="str">
        <f t="shared" si="88"/>
        <v/>
      </c>
      <c r="N54" s="883" t="str">
        <f t="shared" si="88"/>
        <v/>
      </c>
      <c r="O54" s="883" t="str">
        <f t="shared" si="88"/>
        <v/>
      </c>
      <c r="P54" s="883" t="str">
        <f t="shared" si="88"/>
        <v/>
      </c>
      <c r="Q54" s="883" t="str">
        <f t="shared" si="88"/>
        <v/>
      </c>
      <c r="R54" s="883" t="str">
        <f t="shared" si="88"/>
        <v/>
      </c>
      <c r="S54" s="883" t="str">
        <f t="shared" si="88"/>
        <v/>
      </c>
      <c r="T54" s="883" t="str">
        <f t="shared" si="88"/>
        <v/>
      </c>
      <c r="U54" s="883" t="str">
        <f t="shared" si="88"/>
        <v/>
      </c>
      <c r="V54" s="883" t="str">
        <f t="shared" si="88"/>
        <v/>
      </c>
      <c r="W54" s="884">
        <f t="shared" si="89"/>
        <v>0</v>
      </c>
      <c r="X54">
        <v>21</v>
      </c>
      <c r="Y54" t="str">
        <f>IF(W54&gt;0, HLOOKUP("OUTLIER", $G54:$V$75, X54, 0), "")</f>
        <v/>
      </c>
      <c r="AA54" s="148" t="str">
        <f t="shared" si="90"/>
        <v/>
      </c>
      <c r="AB54" s="856" t="e">
        <f t="shared" si="91"/>
        <v>#DIV/0!</v>
      </c>
      <c r="AC54" s="857" t="e">
        <f t="shared" si="92"/>
        <v>#DIV/0!</v>
      </c>
      <c r="AD54" s="856" t="e">
        <f t="shared" si="93"/>
        <v>#DIV/0!</v>
      </c>
      <c r="AE54" s="856" t="e">
        <f t="shared" si="94"/>
        <v>#DIV/0!</v>
      </c>
    </row>
    <row r="55" spans="1:115" ht="17.25" hidden="1" customHeight="1" outlineLevel="1" thickBot="1" x14ac:dyDescent="0.3">
      <c r="A55" s="1557"/>
      <c r="B55" s="1529"/>
      <c r="C55" s="891" t="str">
        <f>IF(Language="English", 'Language Look Ups'!$P$11,IF(Language="Francais", 'Language Look Ups'!$T$11, 'Language Look Ups'!$R$11))</f>
        <v>Implant de 4 ans (Sino-Implant)</v>
      </c>
      <c r="D55" s="892"/>
      <c r="E55" s="892"/>
      <c r="F55" s="893"/>
      <c r="G55" s="883" t="str">
        <f t="shared" si="88"/>
        <v/>
      </c>
      <c r="H55" s="883" t="str">
        <f t="shared" si="88"/>
        <v/>
      </c>
      <c r="I55" s="883" t="str">
        <f t="shared" si="88"/>
        <v/>
      </c>
      <c r="J55" s="883" t="str">
        <f t="shared" si="88"/>
        <v/>
      </c>
      <c r="K55" s="883" t="str">
        <f t="shared" si="88"/>
        <v/>
      </c>
      <c r="L55" s="883" t="str">
        <f t="shared" si="88"/>
        <v/>
      </c>
      <c r="M55" s="883" t="str">
        <f t="shared" si="88"/>
        <v/>
      </c>
      <c r="N55" s="883" t="str">
        <f t="shared" si="88"/>
        <v/>
      </c>
      <c r="O55" s="883" t="str">
        <f t="shared" si="88"/>
        <v/>
      </c>
      <c r="P55" s="883" t="str">
        <f t="shared" si="88"/>
        <v/>
      </c>
      <c r="Q55" s="883" t="str">
        <f t="shared" si="88"/>
        <v/>
      </c>
      <c r="R55" s="883" t="str">
        <f t="shared" si="88"/>
        <v/>
      </c>
      <c r="S55" s="883" t="str">
        <f t="shared" si="88"/>
        <v/>
      </c>
      <c r="T55" s="883" t="str">
        <f t="shared" si="88"/>
        <v/>
      </c>
      <c r="U55" s="883" t="str">
        <f t="shared" si="88"/>
        <v/>
      </c>
      <c r="V55" s="883" t="str">
        <f t="shared" si="88"/>
        <v/>
      </c>
      <c r="W55" s="884">
        <f t="shared" si="89"/>
        <v>0</v>
      </c>
      <c r="X55">
        <v>20</v>
      </c>
      <c r="Y55" t="str">
        <f>IF(W55&gt;0, HLOOKUP("OUTLIER", $G55:$V$75, X55, 0), "")</f>
        <v/>
      </c>
      <c r="AA55" s="148" t="str">
        <f t="shared" si="90"/>
        <v/>
      </c>
      <c r="AB55" s="856" t="e">
        <f t="shared" si="91"/>
        <v>#DIV/0!</v>
      </c>
      <c r="AC55" s="857" t="e">
        <f t="shared" si="92"/>
        <v>#DIV/0!</v>
      </c>
      <c r="AD55" s="856" t="e">
        <f t="shared" si="93"/>
        <v>#DIV/0!</v>
      </c>
      <c r="AE55" s="856" t="e">
        <f t="shared" si="94"/>
        <v>#DIV/0!</v>
      </c>
    </row>
    <row r="56" spans="1:115" ht="17.25" hidden="1" customHeight="1" outlineLevel="1" thickBot="1" x14ac:dyDescent="0.3">
      <c r="A56" s="1557"/>
      <c r="B56" s="1528"/>
      <c r="C56" s="888" t="str">
        <f>IF(Language="English", 'Language Look Ups'!$P$12,IF(Language="Francais", 'Language Look Ups'!$T$12, 'Language Look Ups'!$R$12))</f>
        <v>Implant de 5 ans (Jadelle)</v>
      </c>
      <c r="D56" s="889"/>
      <c r="E56" s="889"/>
      <c r="F56" s="890"/>
      <c r="G56" s="883" t="str">
        <f t="shared" si="88"/>
        <v/>
      </c>
      <c r="H56" s="883" t="str">
        <f t="shared" si="88"/>
        <v/>
      </c>
      <c r="I56" s="883" t="str">
        <f t="shared" si="88"/>
        <v/>
      </c>
      <c r="J56" s="883" t="str">
        <f t="shared" si="88"/>
        <v/>
      </c>
      <c r="K56" s="883" t="str">
        <f t="shared" si="88"/>
        <v/>
      </c>
      <c r="L56" s="883" t="str">
        <f t="shared" si="88"/>
        <v/>
      </c>
      <c r="M56" s="883" t="str">
        <f t="shared" si="88"/>
        <v/>
      </c>
      <c r="N56" s="883" t="str">
        <f t="shared" si="88"/>
        <v/>
      </c>
      <c r="O56" s="883" t="str">
        <f t="shared" si="88"/>
        <v/>
      </c>
      <c r="P56" s="883" t="str">
        <f t="shared" si="88"/>
        <v/>
      </c>
      <c r="Q56" s="883" t="str">
        <f t="shared" si="88"/>
        <v/>
      </c>
      <c r="R56" s="883" t="str">
        <f t="shared" si="88"/>
        <v/>
      </c>
      <c r="S56" s="883" t="str">
        <f t="shared" si="88"/>
        <v/>
      </c>
      <c r="T56" s="883" t="str">
        <f t="shared" si="88"/>
        <v/>
      </c>
      <c r="U56" s="883" t="str">
        <f t="shared" si="88"/>
        <v/>
      </c>
      <c r="V56" s="883" t="str">
        <f t="shared" si="88"/>
        <v/>
      </c>
      <c r="W56" s="884">
        <f t="shared" si="89"/>
        <v>0</v>
      </c>
      <c r="X56">
        <v>19</v>
      </c>
      <c r="Y56" t="str">
        <f>IF(W56&gt;0, HLOOKUP("OUTLIER", $G56:$V$75, X56, 0), "")</f>
        <v/>
      </c>
      <c r="AA56" s="148" t="str">
        <f t="shared" si="90"/>
        <v/>
      </c>
      <c r="AB56" s="856" t="e">
        <f t="shared" si="91"/>
        <v>#DIV/0!</v>
      </c>
      <c r="AC56" s="857" t="e">
        <f t="shared" si="92"/>
        <v>#DIV/0!</v>
      </c>
      <c r="AD56" s="856" t="e">
        <f t="shared" si="93"/>
        <v>#DIV/0!</v>
      </c>
      <c r="AE56" s="856" t="e">
        <f t="shared" si="94"/>
        <v>#DIV/0!</v>
      </c>
    </row>
    <row r="57" spans="1:115" ht="6" hidden="1" customHeight="1" outlineLevel="1" thickBot="1" x14ac:dyDescent="0.3">
      <c r="A57" s="1557"/>
      <c r="B57" s="150"/>
      <c r="C57" s="279"/>
      <c r="W57" s="858"/>
      <c r="X57">
        <v>18</v>
      </c>
      <c r="Y57" t="str">
        <f>IF(W57&gt;0, HLOOKUP("OUTLIER", $G57:$V$75, X57, 0), "")</f>
        <v/>
      </c>
      <c r="AA57" s="148" t="str">
        <f t="shared" si="90"/>
        <v/>
      </c>
      <c r="AB57" s="856"/>
      <c r="AC57" s="857" t="e">
        <f t="shared" si="92"/>
        <v>#DIV/0!</v>
      </c>
      <c r="AD57" s="856"/>
      <c r="AE57" s="856"/>
    </row>
    <row r="58" spans="1:115" ht="21.75" hidden="1" customHeight="1" outlineLevel="1" thickBot="1" x14ac:dyDescent="0.3">
      <c r="A58" s="1557"/>
      <c r="B58" s="364" t="str">
        <f>IF(Language="English", 'Language Look Ups'!$O$14,IF(Language="Francais", 'Language Look Ups'!$S$14, 'Language Look Ups'!$Q$14))</f>
        <v>Méthodes à Court Terme</v>
      </c>
      <c r="C58" s="104"/>
      <c r="D58" s="51"/>
      <c r="E58" s="50"/>
      <c r="F58" s="42"/>
      <c r="G58" s="158"/>
      <c r="H58" s="159"/>
      <c r="I58" s="158"/>
      <c r="J58" s="159"/>
      <c r="K58" s="158"/>
      <c r="L58" s="159"/>
      <c r="M58" s="158"/>
      <c r="N58" s="159"/>
      <c r="O58" s="158"/>
      <c r="P58" s="159"/>
      <c r="Q58" s="158"/>
      <c r="R58" s="159"/>
      <c r="S58" s="158"/>
      <c r="T58" s="159"/>
      <c r="U58" s="158"/>
      <c r="V58" s="160"/>
      <c r="W58" s="858">
        <f t="shared" si="89"/>
        <v>0</v>
      </c>
      <c r="X58">
        <v>17</v>
      </c>
      <c r="Y58" t="str">
        <f>IF(W58&gt;0, HLOOKUP("OUTLIER", $G58:$V$75, X58, 0), "")</f>
        <v/>
      </c>
      <c r="AA58" s="148" t="str">
        <f t="shared" si="90"/>
        <v/>
      </c>
      <c r="AB58" s="856"/>
      <c r="AC58" s="857" t="e">
        <f t="shared" si="92"/>
        <v>#DIV/0!</v>
      </c>
      <c r="AD58" s="856"/>
      <c r="AE58" s="856"/>
      <c r="BJ58" s="1082" t="s">
        <v>1223</v>
      </c>
      <c r="BK58" s="1083">
        <f>BK21</f>
        <v>0</v>
      </c>
      <c r="BL58" s="1083" t="str">
        <f t="shared" ref="BL58:BZ58" si="95">BL21</f>
        <v/>
      </c>
      <c r="BM58" s="1083" t="str">
        <f t="shared" si="95"/>
        <v/>
      </c>
      <c r="BN58" s="1083" t="str">
        <f t="shared" si="95"/>
        <v/>
      </c>
      <c r="BO58" s="1083" t="str">
        <f t="shared" si="95"/>
        <v/>
      </c>
      <c r="BP58" s="1083" t="str">
        <f t="shared" si="95"/>
        <v/>
      </c>
      <c r="BQ58" s="1083" t="str">
        <f t="shared" si="95"/>
        <v/>
      </c>
      <c r="BR58" s="1083" t="str">
        <f t="shared" si="95"/>
        <v/>
      </c>
      <c r="BS58" s="1083" t="str">
        <f t="shared" si="95"/>
        <v/>
      </c>
      <c r="BT58" s="1083" t="str">
        <f t="shared" si="95"/>
        <v/>
      </c>
      <c r="BU58" s="1083" t="str">
        <f t="shared" si="95"/>
        <v/>
      </c>
      <c r="BV58" s="1083" t="str">
        <f t="shared" si="95"/>
        <v/>
      </c>
      <c r="BW58" s="1083" t="str">
        <f t="shared" si="95"/>
        <v/>
      </c>
      <c r="BX58" s="1083" t="str">
        <f t="shared" si="95"/>
        <v/>
      </c>
      <c r="BY58" s="1083" t="str">
        <f t="shared" si="95"/>
        <v/>
      </c>
      <c r="BZ58" s="1084" t="str">
        <f t="shared" si="95"/>
        <v/>
      </c>
      <c r="CB58" s="1082" t="s">
        <v>1233</v>
      </c>
      <c r="CC58" s="1083">
        <f>CC21</f>
        <v>0</v>
      </c>
      <c r="CD58" s="1083" t="str">
        <f t="shared" ref="CD58:CR58" si="96">CD21</f>
        <v/>
      </c>
      <c r="CE58" s="1083" t="str">
        <f t="shared" si="96"/>
        <v/>
      </c>
      <c r="CF58" s="1083" t="str">
        <f t="shared" si="96"/>
        <v/>
      </c>
      <c r="CG58" s="1083" t="str">
        <f t="shared" si="96"/>
        <v/>
      </c>
      <c r="CH58" s="1083" t="str">
        <f t="shared" si="96"/>
        <v/>
      </c>
      <c r="CI58" s="1083" t="str">
        <f t="shared" si="96"/>
        <v/>
      </c>
      <c r="CJ58" s="1083" t="str">
        <f t="shared" si="96"/>
        <v/>
      </c>
      <c r="CK58" s="1083" t="str">
        <f t="shared" si="96"/>
        <v/>
      </c>
      <c r="CL58" s="1083" t="str">
        <f t="shared" si="96"/>
        <v/>
      </c>
      <c r="CM58" s="1083" t="str">
        <f t="shared" si="96"/>
        <v/>
      </c>
      <c r="CN58" s="1083" t="str">
        <f t="shared" si="96"/>
        <v/>
      </c>
      <c r="CO58" s="1083" t="str">
        <f t="shared" si="96"/>
        <v/>
      </c>
      <c r="CP58" s="1083" t="str">
        <f t="shared" si="96"/>
        <v/>
      </c>
      <c r="CQ58" s="1083" t="str">
        <f t="shared" si="96"/>
        <v/>
      </c>
      <c r="CR58" s="1084" t="str">
        <f t="shared" si="96"/>
        <v/>
      </c>
    </row>
    <row r="59" spans="1:115" ht="17.25" hidden="1" customHeight="1" outlineLevel="1" thickBot="1" x14ac:dyDescent="0.3">
      <c r="A59" s="1557"/>
      <c r="B59" s="1530" t="str">
        <f>IF(Language="English", 'Language Look Ups'!$O$15,IF(Language="Francais", 'Language Look Ups'!$S$15, 'Language Look Ups'!Q$15))</f>
        <v>Produits injectables</v>
      </c>
      <c r="C59" s="885" t="str">
        <f>IF(Language="English", 'Language Look Ups'!$P$15,IF(Language="Francais", 'Language Look Ups'!$T$15, 'Language Look Ups'!$R$15))</f>
        <v>Depo Provera (DMPA)</v>
      </c>
      <c r="D59" s="886"/>
      <c r="E59" s="886"/>
      <c r="F59" s="887"/>
      <c r="G59" s="883" t="str">
        <f t="shared" ref="G59:V73" si="97">IF(G32="", "", IF(OR(G32&gt;$AD59, G32&lt;$AE59), G$21&amp;",", ""))</f>
        <v/>
      </c>
      <c r="H59" s="883" t="str">
        <f t="shared" si="97"/>
        <v/>
      </c>
      <c r="I59" s="883" t="str">
        <f t="shared" si="97"/>
        <v/>
      </c>
      <c r="J59" s="883" t="str">
        <f t="shared" si="97"/>
        <v/>
      </c>
      <c r="K59" s="883" t="str">
        <f t="shared" si="97"/>
        <v/>
      </c>
      <c r="L59" s="883" t="str">
        <f t="shared" si="97"/>
        <v/>
      </c>
      <c r="M59" s="883" t="str">
        <f t="shared" si="97"/>
        <v/>
      </c>
      <c r="N59" s="883" t="str">
        <f t="shared" si="97"/>
        <v/>
      </c>
      <c r="O59" s="883" t="str">
        <f t="shared" si="97"/>
        <v/>
      </c>
      <c r="P59" s="883" t="str">
        <f t="shared" si="97"/>
        <v/>
      </c>
      <c r="Q59" s="883" t="str">
        <f t="shared" si="97"/>
        <v/>
      </c>
      <c r="R59" s="883" t="str">
        <f t="shared" si="97"/>
        <v/>
      </c>
      <c r="S59" s="883" t="str">
        <f t="shared" si="97"/>
        <v/>
      </c>
      <c r="T59" s="883" t="str">
        <f t="shared" si="97"/>
        <v/>
      </c>
      <c r="U59" s="883" t="str">
        <f t="shared" si="97"/>
        <v/>
      </c>
      <c r="V59" s="883" t="str">
        <f t="shared" si="97"/>
        <v/>
      </c>
      <c r="W59" s="884">
        <f t="shared" si="89"/>
        <v>0</v>
      </c>
      <c r="X59">
        <v>16</v>
      </c>
      <c r="Y59" t="str">
        <f>IF(W59&gt;0, HLOOKUP("OUTLIER", $G59:$V$75, X59, 0), "")</f>
        <v/>
      </c>
      <c r="AA59" s="148" t="str">
        <f t="shared" si="90"/>
        <v/>
      </c>
      <c r="AB59" s="856" t="e">
        <f t="shared" si="91"/>
        <v>#DIV/0!</v>
      </c>
      <c r="AC59" s="857" t="e">
        <f t="shared" si="92"/>
        <v>#DIV/0!</v>
      </c>
      <c r="AD59" s="856" t="e">
        <f t="shared" si="93"/>
        <v>#DIV/0!</v>
      </c>
      <c r="AE59" s="856" t="e">
        <f t="shared" si="94"/>
        <v>#DIV/0!</v>
      </c>
      <c r="BJ59" s="915" t="str">
        <f>'5. MethodMix Set Up'!$G$12</f>
        <v>Stérilisation (f)</v>
      </c>
      <c r="BK59" s="2">
        <f>SUM(BK23)</f>
        <v>0</v>
      </c>
      <c r="BL59" s="2">
        <f t="shared" ref="BL59:BZ60" si="98">SUM(BL23)</f>
        <v>0</v>
      </c>
      <c r="BM59" s="2">
        <f t="shared" si="98"/>
        <v>0</v>
      </c>
      <c r="BN59" s="2">
        <f t="shared" si="98"/>
        <v>0</v>
      </c>
      <c r="BO59" s="2">
        <f t="shared" si="98"/>
        <v>0</v>
      </c>
      <c r="BP59" s="2">
        <f t="shared" si="98"/>
        <v>0</v>
      </c>
      <c r="BQ59" s="2">
        <f t="shared" si="98"/>
        <v>0</v>
      </c>
      <c r="BR59" s="2">
        <f t="shared" si="98"/>
        <v>0</v>
      </c>
      <c r="BS59" s="2">
        <f t="shared" si="98"/>
        <v>0</v>
      </c>
      <c r="BT59" s="2">
        <f t="shared" si="98"/>
        <v>0</v>
      </c>
      <c r="BU59" s="2">
        <f t="shared" si="98"/>
        <v>0</v>
      </c>
      <c r="BV59" s="2">
        <f t="shared" si="98"/>
        <v>0</v>
      </c>
      <c r="BW59" s="2">
        <f t="shared" si="98"/>
        <v>0</v>
      </c>
      <c r="BX59" s="2">
        <f t="shared" si="98"/>
        <v>0</v>
      </c>
      <c r="BY59" s="2">
        <f t="shared" si="98"/>
        <v>0</v>
      </c>
      <c r="BZ59" s="2">
        <f t="shared" si="98"/>
        <v>0</v>
      </c>
      <c r="CB59" s="915" t="str">
        <f>'5. MethodMix Set Up'!$G$12</f>
        <v>Stérilisation (f)</v>
      </c>
      <c r="CC59" s="2">
        <f>SUM(CC23)</f>
        <v>0</v>
      </c>
      <c r="CD59" s="2">
        <f t="shared" ref="CD59:CR60" si="99">SUM(CD23)</f>
        <v>0</v>
      </c>
      <c r="CE59" s="2">
        <f t="shared" si="99"/>
        <v>0</v>
      </c>
      <c r="CF59" s="2">
        <f t="shared" si="99"/>
        <v>0</v>
      </c>
      <c r="CG59" s="2">
        <f t="shared" si="99"/>
        <v>0</v>
      </c>
      <c r="CH59" s="2">
        <f t="shared" si="99"/>
        <v>0</v>
      </c>
      <c r="CI59" s="2">
        <f t="shared" si="99"/>
        <v>0</v>
      </c>
      <c r="CJ59" s="2">
        <f t="shared" si="99"/>
        <v>0</v>
      </c>
      <c r="CK59" s="2">
        <f t="shared" si="99"/>
        <v>0</v>
      </c>
      <c r="CL59" s="2">
        <f t="shared" si="99"/>
        <v>0</v>
      </c>
      <c r="CM59" s="2">
        <f t="shared" si="99"/>
        <v>0</v>
      </c>
      <c r="CN59" s="2">
        <f t="shared" si="99"/>
        <v>0</v>
      </c>
      <c r="CO59" s="2">
        <f t="shared" si="99"/>
        <v>0</v>
      </c>
      <c r="CP59" s="2">
        <f t="shared" si="99"/>
        <v>0</v>
      </c>
      <c r="CQ59" s="2">
        <f t="shared" si="99"/>
        <v>0</v>
      </c>
      <c r="CR59" s="2">
        <f t="shared" si="99"/>
        <v>0</v>
      </c>
    </row>
    <row r="60" spans="1:115" ht="17.25" hidden="1" customHeight="1" outlineLevel="1" thickBot="1" x14ac:dyDescent="0.3">
      <c r="A60" s="1557"/>
      <c r="B60" s="1531"/>
      <c r="C60" s="891" t="str">
        <f>IF(Language="English", 'Language Look Ups'!$P$16,IF(Language="Francais", 'Language Look Ups'!$T$16, 'Language Look Ups'!$R$16))</f>
        <v>Noristerat (NET-En)</v>
      </c>
      <c r="D60" s="892"/>
      <c r="E60" s="892"/>
      <c r="F60" s="893"/>
      <c r="G60" s="883" t="str">
        <f t="shared" si="97"/>
        <v/>
      </c>
      <c r="H60" s="883" t="str">
        <f t="shared" si="97"/>
        <v/>
      </c>
      <c r="I60" s="883" t="str">
        <f t="shared" si="97"/>
        <v/>
      </c>
      <c r="J60" s="883" t="str">
        <f t="shared" si="97"/>
        <v/>
      </c>
      <c r="K60" s="883" t="str">
        <f t="shared" si="97"/>
        <v/>
      </c>
      <c r="L60" s="883" t="str">
        <f t="shared" si="97"/>
        <v/>
      </c>
      <c r="M60" s="883" t="str">
        <f t="shared" si="97"/>
        <v/>
      </c>
      <c r="N60" s="883" t="str">
        <f t="shared" si="97"/>
        <v/>
      </c>
      <c r="O60" s="883" t="str">
        <f t="shared" si="97"/>
        <v/>
      </c>
      <c r="P60" s="883" t="str">
        <f t="shared" si="97"/>
        <v/>
      </c>
      <c r="Q60" s="883" t="str">
        <f t="shared" si="97"/>
        <v/>
      </c>
      <c r="R60" s="883" t="str">
        <f t="shared" si="97"/>
        <v/>
      </c>
      <c r="S60" s="883" t="str">
        <f t="shared" si="97"/>
        <v/>
      </c>
      <c r="T60" s="883" t="str">
        <f t="shared" si="97"/>
        <v/>
      </c>
      <c r="U60" s="883" t="str">
        <f t="shared" si="97"/>
        <v/>
      </c>
      <c r="V60" s="883" t="str">
        <f t="shared" si="97"/>
        <v/>
      </c>
      <c r="W60" s="884">
        <f t="shared" si="89"/>
        <v>0</v>
      </c>
      <c r="X60">
        <v>15</v>
      </c>
      <c r="Y60" t="str">
        <f>IF(W60&gt;0, HLOOKUP("OUTLIER", $G60:$V$75, X60, 0), "")</f>
        <v/>
      </c>
      <c r="AA60" s="148" t="str">
        <f t="shared" si="90"/>
        <v/>
      </c>
      <c r="AB60" s="856" t="e">
        <f t="shared" si="91"/>
        <v>#DIV/0!</v>
      </c>
      <c r="AC60" s="857" t="e">
        <f t="shared" si="92"/>
        <v>#DIV/0!</v>
      </c>
      <c r="AD60" s="856" t="e">
        <f t="shared" si="93"/>
        <v>#DIV/0!</v>
      </c>
      <c r="AE60" s="856" t="e">
        <f t="shared" si="94"/>
        <v>#DIV/0!</v>
      </c>
      <c r="BJ60" s="915" t="str">
        <f>'5. MethodMix Set Up'!$G$13</f>
        <v>Stérilisation (m)</v>
      </c>
      <c r="BK60" s="2">
        <f>SUM(BK24)</f>
        <v>0</v>
      </c>
      <c r="BL60" s="2">
        <f t="shared" si="98"/>
        <v>0</v>
      </c>
      <c r="BM60" s="2">
        <f t="shared" si="98"/>
        <v>0</v>
      </c>
      <c r="BN60" s="2">
        <f t="shared" si="98"/>
        <v>0</v>
      </c>
      <c r="BO60" s="2">
        <f t="shared" si="98"/>
        <v>0</v>
      </c>
      <c r="BP60" s="2">
        <f t="shared" si="98"/>
        <v>0</v>
      </c>
      <c r="BQ60" s="2">
        <f t="shared" si="98"/>
        <v>0</v>
      </c>
      <c r="BR60" s="2">
        <f t="shared" si="98"/>
        <v>0</v>
      </c>
      <c r="BS60" s="2">
        <f t="shared" si="98"/>
        <v>0</v>
      </c>
      <c r="BT60" s="2">
        <f t="shared" si="98"/>
        <v>0</v>
      </c>
      <c r="BU60" s="2">
        <f t="shared" si="98"/>
        <v>0</v>
      </c>
      <c r="BV60" s="2">
        <f t="shared" si="98"/>
        <v>0</v>
      </c>
      <c r="BW60" s="2">
        <f t="shared" si="98"/>
        <v>0</v>
      </c>
      <c r="BX60" s="2">
        <f t="shared" si="98"/>
        <v>0</v>
      </c>
      <c r="BY60" s="2">
        <f t="shared" si="98"/>
        <v>0</v>
      </c>
      <c r="BZ60" s="2">
        <f t="shared" si="98"/>
        <v>0</v>
      </c>
      <c r="CB60" s="915" t="str">
        <f>'5. MethodMix Set Up'!$G$13</f>
        <v>Stérilisation (m)</v>
      </c>
      <c r="CC60" s="2">
        <f>SUM(CC24)</f>
        <v>0</v>
      </c>
      <c r="CD60" s="2">
        <f t="shared" si="99"/>
        <v>0</v>
      </c>
      <c r="CE60" s="2">
        <f t="shared" si="99"/>
        <v>0</v>
      </c>
      <c r="CF60" s="2">
        <f t="shared" si="99"/>
        <v>0</v>
      </c>
      <c r="CG60" s="2">
        <f t="shared" si="99"/>
        <v>0</v>
      </c>
      <c r="CH60" s="2">
        <f t="shared" si="99"/>
        <v>0</v>
      </c>
      <c r="CI60" s="2">
        <f t="shared" si="99"/>
        <v>0</v>
      </c>
      <c r="CJ60" s="2">
        <f t="shared" si="99"/>
        <v>0</v>
      </c>
      <c r="CK60" s="2">
        <f t="shared" si="99"/>
        <v>0</v>
      </c>
      <c r="CL60" s="2">
        <f t="shared" si="99"/>
        <v>0</v>
      </c>
      <c r="CM60" s="2">
        <f t="shared" si="99"/>
        <v>0</v>
      </c>
      <c r="CN60" s="2">
        <f t="shared" si="99"/>
        <v>0</v>
      </c>
      <c r="CO60" s="2">
        <f t="shared" si="99"/>
        <v>0</v>
      </c>
      <c r="CP60" s="2">
        <f t="shared" si="99"/>
        <v>0</v>
      </c>
      <c r="CQ60" s="2">
        <f t="shared" si="99"/>
        <v>0</v>
      </c>
      <c r="CR60" s="2">
        <f t="shared" si="99"/>
        <v>0</v>
      </c>
    </row>
    <row r="61" spans="1:115" ht="17.25" hidden="1" customHeight="1" outlineLevel="1" thickBot="1" x14ac:dyDescent="0.3">
      <c r="A61" s="1557"/>
      <c r="B61" s="1531"/>
      <c r="C61" s="891" t="str">
        <f>IF(Language="English",'Language Look Ups'!$P$17,IF(Language="Francais",'Language Look Ups'!$T$17,'Language Look Ups'!$R$17))</f>
        <v>Lunelle</v>
      </c>
      <c r="D61" s="892"/>
      <c r="E61" s="892"/>
      <c r="F61" s="893"/>
      <c r="G61" s="883" t="str">
        <f t="shared" si="97"/>
        <v/>
      </c>
      <c r="H61" s="883" t="str">
        <f t="shared" si="97"/>
        <v/>
      </c>
      <c r="I61" s="883" t="str">
        <f t="shared" si="97"/>
        <v/>
      </c>
      <c r="J61" s="883" t="str">
        <f t="shared" si="97"/>
        <v/>
      </c>
      <c r="K61" s="883" t="str">
        <f t="shared" si="97"/>
        <v/>
      </c>
      <c r="L61" s="883" t="str">
        <f t="shared" si="97"/>
        <v/>
      </c>
      <c r="M61" s="883" t="str">
        <f t="shared" si="97"/>
        <v/>
      </c>
      <c r="N61" s="883" t="str">
        <f t="shared" si="97"/>
        <v/>
      </c>
      <c r="O61" s="883" t="str">
        <f t="shared" si="97"/>
        <v/>
      </c>
      <c r="P61" s="883" t="str">
        <f t="shared" si="97"/>
        <v/>
      </c>
      <c r="Q61" s="883" t="str">
        <f t="shared" si="97"/>
        <v/>
      </c>
      <c r="R61" s="883" t="str">
        <f t="shared" si="97"/>
        <v/>
      </c>
      <c r="S61" s="883" t="str">
        <f t="shared" si="97"/>
        <v/>
      </c>
      <c r="T61" s="883" t="str">
        <f t="shared" si="97"/>
        <v/>
      </c>
      <c r="U61" s="883" t="str">
        <f t="shared" si="97"/>
        <v/>
      </c>
      <c r="V61" s="883" t="str">
        <f t="shared" si="97"/>
        <v/>
      </c>
      <c r="W61" s="884">
        <f t="shared" si="89"/>
        <v>0</v>
      </c>
      <c r="X61">
        <v>14</v>
      </c>
      <c r="Y61" t="str">
        <f>IF(W61&gt;0, HLOOKUP("OUTLIER", $G61:$V$75, X61, 0), "")</f>
        <v/>
      </c>
      <c r="AA61" s="148" t="str">
        <f t="shared" si="90"/>
        <v/>
      </c>
      <c r="AB61" s="856" t="e">
        <f t="shared" si="91"/>
        <v>#DIV/0!</v>
      </c>
      <c r="AC61" s="857" t="e">
        <f t="shared" si="92"/>
        <v>#DIV/0!</v>
      </c>
      <c r="AD61" s="856" t="e">
        <f t="shared" si="93"/>
        <v>#DIV/0!</v>
      </c>
      <c r="AE61" s="856" t="e">
        <f t="shared" si="94"/>
        <v>#DIV/0!</v>
      </c>
      <c r="BJ61" s="915" t="str">
        <f>'5. MethodMix Set Up'!$G$14</f>
        <v>DIU</v>
      </c>
      <c r="BK61" s="2">
        <f t="shared" ref="BK61:BZ61" si="100">SUM(BK25:BK26)</f>
        <v>0</v>
      </c>
      <c r="BL61" s="2">
        <f t="shared" si="100"/>
        <v>0</v>
      </c>
      <c r="BM61" s="2">
        <f t="shared" si="100"/>
        <v>0</v>
      </c>
      <c r="BN61" s="2">
        <f t="shared" si="100"/>
        <v>0</v>
      </c>
      <c r="BO61" s="2">
        <f t="shared" si="100"/>
        <v>0</v>
      </c>
      <c r="BP61" s="2">
        <f t="shared" si="100"/>
        <v>0</v>
      </c>
      <c r="BQ61" s="2">
        <f t="shared" si="100"/>
        <v>0</v>
      </c>
      <c r="BR61" s="2">
        <f t="shared" si="100"/>
        <v>0</v>
      </c>
      <c r="BS61" s="2">
        <f t="shared" si="100"/>
        <v>0</v>
      </c>
      <c r="BT61" s="2">
        <f t="shared" si="100"/>
        <v>0</v>
      </c>
      <c r="BU61" s="2">
        <f t="shared" si="100"/>
        <v>0</v>
      </c>
      <c r="BV61" s="2">
        <f t="shared" si="100"/>
        <v>0</v>
      </c>
      <c r="BW61" s="2">
        <f t="shared" si="100"/>
        <v>0</v>
      </c>
      <c r="BX61" s="2">
        <f t="shared" si="100"/>
        <v>0</v>
      </c>
      <c r="BY61" s="2">
        <f t="shared" si="100"/>
        <v>0</v>
      </c>
      <c r="BZ61" s="729">
        <f t="shared" si="100"/>
        <v>0</v>
      </c>
      <c r="CB61" s="915" t="str">
        <f>'5. MethodMix Set Up'!$G$14</f>
        <v>DIU</v>
      </c>
      <c r="CC61" s="2">
        <f t="shared" ref="CC61:CR61" si="101">SUM(CC25:CC26)</f>
        <v>0</v>
      </c>
      <c r="CD61" s="2">
        <f t="shared" si="101"/>
        <v>0</v>
      </c>
      <c r="CE61" s="2">
        <f t="shared" si="101"/>
        <v>0</v>
      </c>
      <c r="CF61" s="2">
        <f t="shared" si="101"/>
        <v>0</v>
      </c>
      <c r="CG61" s="2">
        <f t="shared" si="101"/>
        <v>0</v>
      </c>
      <c r="CH61" s="2">
        <f t="shared" si="101"/>
        <v>0</v>
      </c>
      <c r="CI61" s="2">
        <f t="shared" si="101"/>
        <v>0</v>
      </c>
      <c r="CJ61" s="2">
        <f t="shared" si="101"/>
        <v>0</v>
      </c>
      <c r="CK61" s="2">
        <f t="shared" si="101"/>
        <v>0</v>
      </c>
      <c r="CL61" s="2">
        <f t="shared" si="101"/>
        <v>0</v>
      </c>
      <c r="CM61" s="2">
        <f t="shared" si="101"/>
        <v>0</v>
      </c>
      <c r="CN61" s="2">
        <f t="shared" si="101"/>
        <v>0</v>
      </c>
      <c r="CO61" s="2">
        <f t="shared" si="101"/>
        <v>0</v>
      </c>
      <c r="CP61" s="2">
        <f t="shared" si="101"/>
        <v>0</v>
      </c>
      <c r="CQ61" s="2">
        <f t="shared" si="101"/>
        <v>0</v>
      </c>
      <c r="CR61" s="729">
        <f t="shared" si="101"/>
        <v>0</v>
      </c>
    </row>
    <row r="62" spans="1:115" ht="17.25" hidden="1" customHeight="1" outlineLevel="1" thickBot="1" x14ac:dyDescent="0.3">
      <c r="A62" s="1557"/>
      <c r="B62" s="1531"/>
      <c r="C62" s="891" t="str">
        <f>IF(Language="English", 'Language Look Ups'!$P$18,IF(Language="Francais", 'Language Look Ups'!$T$18, 'Language Look Ups'!$R$18))</f>
        <v>Sayana Press</v>
      </c>
      <c r="D62" s="892"/>
      <c r="E62" s="892"/>
      <c r="F62" s="893"/>
      <c r="G62" s="883" t="str">
        <f t="shared" si="97"/>
        <v/>
      </c>
      <c r="H62" s="883" t="str">
        <f t="shared" si="97"/>
        <v/>
      </c>
      <c r="I62" s="883" t="str">
        <f t="shared" si="97"/>
        <v/>
      </c>
      <c r="J62" s="883" t="str">
        <f t="shared" si="97"/>
        <v/>
      </c>
      <c r="K62" s="883" t="str">
        <f t="shared" si="97"/>
        <v/>
      </c>
      <c r="L62" s="883" t="str">
        <f t="shared" si="97"/>
        <v/>
      </c>
      <c r="M62" s="883" t="str">
        <f t="shared" si="97"/>
        <v/>
      </c>
      <c r="N62" s="883" t="str">
        <f t="shared" si="97"/>
        <v/>
      </c>
      <c r="O62" s="883" t="str">
        <f t="shared" si="97"/>
        <v/>
      </c>
      <c r="P62" s="883" t="str">
        <f t="shared" si="97"/>
        <v/>
      </c>
      <c r="Q62" s="883" t="str">
        <f t="shared" si="97"/>
        <v/>
      </c>
      <c r="R62" s="883" t="str">
        <f t="shared" si="97"/>
        <v/>
      </c>
      <c r="S62" s="883" t="str">
        <f t="shared" si="97"/>
        <v/>
      </c>
      <c r="T62" s="883" t="str">
        <f t="shared" si="97"/>
        <v/>
      </c>
      <c r="U62" s="883" t="str">
        <f t="shared" si="97"/>
        <v/>
      </c>
      <c r="V62" s="883" t="str">
        <f t="shared" si="97"/>
        <v/>
      </c>
      <c r="W62" s="884">
        <f t="shared" si="89"/>
        <v>0</v>
      </c>
      <c r="X62">
        <v>13</v>
      </c>
      <c r="Y62" t="str">
        <f>IF(W62&gt;0, HLOOKUP("OUTLIER", $G62:$V$75, X62, 0), "")</f>
        <v/>
      </c>
      <c r="AA62" s="148" t="str">
        <f t="shared" si="90"/>
        <v/>
      </c>
      <c r="AB62" s="856" t="e">
        <f t="shared" si="91"/>
        <v>#DIV/0!</v>
      </c>
      <c r="AC62" s="857" t="e">
        <f t="shared" si="92"/>
        <v>#DIV/0!</v>
      </c>
      <c r="AD62" s="856" t="e">
        <f t="shared" si="93"/>
        <v>#DIV/0!</v>
      </c>
      <c r="AE62" s="856" t="e">
        <f t="shared" si="94"/>
        <v>#DIV/0!</v>
      </c>
      <c r="BJ62" s="915" t="str">
        <f>'5. MethodMix Set Up'!$G$15</f>
        <v>Implant</v>
      </c>
      <c r="BK62" s="2">
        <f t="shared" ref="BK62:BZ62" si="102">SUM(BK27:BK29)</f>
        <v>0</v>
      </c>
      <c r="BL62" s="2">
        <f t="shared" si="102"/>
        <v>0</v>
      </c>
      <c r="BM62" s="2">
        <f t="shared" si="102"/>
        <v>0</v>
      </c>
      <c r="BN62" s="2">
        <f t="shared" si="102"/>
        <v>0</v>
      </c>
      <c r="BO62" s="2">
        <f t="shared" si="102"/>
        <v>0</v>
      </c>
      <c r="BP62" s="2">
        <f t="shared" si="102"/>
        <v>0</v>
      </c>
      <c r="BQ62" s="2">
        <f t="shared" si="102"/>
        <v>0</v>
      </c>
      <c r="BR62" s="2">
        <f t="shared" si="102"/>
        <v>0</v>
      </c>
      <c r="BS62" s="2">
        <f t="shared" si="102"/>
        <v>0</v>
      </c>
      <c r="BT62" s="2">
        <f t="shared" si="102"/>
        <v>0</v>
      </c>
      <c r="BU62" s="2">
        <f t="shared" si="102"/>
        <v>0</v>
      </c>
      <c r="BV62" s="2">
        <f t="shared" si="102"/>
        <v>0</v>
      </c>
      <c r="BW62" s="2">
        <f t="shared" si="102"/>
        <v>0</v>
      </c>
      <c r="BX62" s="2">
        <f t="shared" si="102"/>
        <v>0</v>
      </c>
      <c r="BY62" s="2">
        <f t="shared" si="102"/>
        <v>0</v>
      </c>
      <c r="BZ62" s="729">
        <f t="shared" si="102"/>
        <v>0</v>
      </c>
      <c r="CB62" s="915" t="str">
        <f>'5. MethodMix Set Up'!$G$15</f>
        <v>Implant</v>
      </c>
      <c r="CC62" s="2">
        <f t="shared" ref="CC62:CR62" si="103">SUM(CC27:CC29)</f>
        <v>0</v>
      </c>
      <c r="CD62" s="2">
        <f t="shared" si="103"/>
        <v>0</v>
      </c>
      <c r="CE62" s="2">
        <f t="shared" si="103"/>
        <v>0</v>
      </c>
      <c r="CF62" s="2">
        <f t="shared" si="103"/>
        <v>0</v>
      </c>
      <c r="CG62" s="2">
        <f t="shared" si="103"/>
        <v>0</v>
      </c>
      <c r="CH62" s="2">
        <f t="shared" si="103"/>
        <v>0</v>
      </c>
      <c r="CI62" s="2">
        <f t="shared" si="103"/>
        <v>0</v>
      </c>
      <c r="CJ62" s="2">
        <f t="shared" si="103"/>
        <v>0</v>
      </c>
      <c r="CK62" s="2">
        <f t="shared" si="103"/>
        <v>0</v>
      </c>
      <c r="CL62" s="2">
        <f t="shared" si="103"/>
        <v>0</v>
      </c>
      <c r="CM62" s="2">
        <f t="shared" si="103"/>
        <v>0</v>
      </c>
      <c r="CN62" s="2">
        <f t="shared" si="103"/>
        <v>0</v>
      </c>
      <c r="CO62" s="2">
        <f t="shared" si="103"/>
        <v>0</v>
      </c>
      <c r="CP62" s="2">
        <f t="shared" si="103"/>
        <v>0</v>
      </c>
      <c r="CQ62" s="2">
        <f t="shared" si="103"/>
        <v>0</v>
      </c>
      <c r="CR62" s="729">
        <f t="shared" si="103"/>
        <v>0</v>
      </c>
    </row>
    <row r="63" spans="1:115" ht="17.25" hidden="1" customHeight="1" outlineLevel="1" thickBot="1" x14ac:dyDescent="0.3">
      <c r="A63" s="1557"/>
      <c r="B63" s="1532"/>
      <c r="C63" s="888" t="str">
        <f>IF(Language="English", 'Language Look Ups'!$P$19,IF(Language="Francais", 'Language Look Ups'!$T$19, 'Language Look Ups'!$R$19))</f>
        <v>Autre Injectable</v>
      </c>
      <c r="D63" s="889"/>
      <c r="E63" s="889"/>
      <c r="F63" s="890"/>
      <c r="G63" s="883" t="str">
        <f t="shared" si="97"/>
        <v/>
      </c>
      <c r="H63" s="883" t="str">
        <f t="shared" si="97"/>
        <v/>
      </c>
      <c r="I63" s="883" t="str">
        <f t="shared" si="97"/>
        <v/>
      </c>
      <c r="J63" s="883" t="str">
        <f t="shared" si="97"/>
        <v/>
      </c>
      <c r="K63" s="883" t="str">
        <f t="shared" si="97"/>
        <v/>
      </c>
      <c r="L63" s="883" t="str">
        <f t="shared" si="97"/>
        <v/>
      </c>
      <c r="M63" s="883" t="str">
        <f t="shared" si="97"/>
        <v/>
      </c>
      <c r="N63" s="883" t="str">
        <f t="shared" si="97"/>
        <v/>
      </c>
      <c r="O63" s="883" t="str">
        <f t="shared" si="97"/>
        <v/>
      </c>
      <c r="P63" s="883" t="str">
        <f t="shared" si="97"/>
        <v/>
      </c>
      <c r="Q63" s="883" t="str">
        <f t="shared" si="97"/>
        <v/>
      </c>
      <c r="R63" s="883" t="str">
        <f t="shared" si="97"/>
        <v/>
      </c>
      <c r="S63" s="883" t="str">
        <f t="shared" si="97"/>
        <v/>
      </c>
      <c r="T63" s="883" t="str">
        <f t="shared" si="97"/>
        <v/>
      </c>
      <c r="U63" s="883" t="str">
        <f t="shared" si="97"/>
        <v/>
      </c>
      <c r="V63" s="883" t="str">
        <f t="shared" si="97"/>
        <v/>
      </c>
      <c r="W63" s="884">
        <f t="shared" si="89"/>
        <v>0</v>
      </c>
      <c r="X63">
        <v>12</v>
      </c>
      <c r="Y63" t="str">
        <f>IF(W63&gt;0, HLOOKUP("OUTLIER", $G63:$V$75, X63, 0), "")</f>
        <v/>
      </c>
      <c r="AA63" s="148" t="str">
        <f t="shared" si="90"/>
        <v/>
      </c>
      <c r="AB63" s="856" t="e">
        <f t="shared" si="91"/>
        <v>#DIV/0!</v>
      </c>
      <c r="AC63" s="857" t="e">
        <f t="shared" si="92"/>
        <v>#DIV/0!</v>
      </c>
      <c r="AD63" s="856" t="e">
        <f t="shared" si="93"/>
        <v>#DIV/0!</v>
      </c>
      <c r="AE63" s="856" t="e">
        <f t="shared" si="94"/>
        <v>#DIV/0!</v>
      </c>
      <c r="BJ63" s="915" t="str">
        <f>'5. MethodMix Set Up'!$G$16</f>
        <v>Produits injectables</v>
      </c>
      <c r="BK63" s="2">
        <f t="shared" ref="BK63:BZ63" si="104">SUM(BK32:BK36)</f>
        <v>0</v>
      </c>
      <c r="BL63" s="2">
        <f t="shared" si="104"/>
        <v>0</v>
      </c>
      <c r="BM63" s="2">
        <f t="shared" si="104"/>
        <v>0</v>
      </c>
      <c r="BN63" s="2">
        <f t="shared" si="104"/>
        <v>0</v>
      </c>
      <c r="BO63" s="2">
        <f t="shared" si="104"/>
        <v>0</v>
      </c>
      <c r="BP63" s="2">
        <f t="shared" si="104"/>
        <v>0</v>
      </c>
      <c r="BQ63" s="2">
        <f t="shared" si="104"/>
        <v>0</v>
      </c>
      <c r="BR63" s="2">
        <f t="shared" si="104"/>
        <v>0</v>
      </c>
      <c r="BS63" s="2">
        <f t="shared" si="104"/>
        <v>0</v>
      </c>
      <c r="BT63" s="2">
        <f t="shared" si="104"/>
        <v>0</v>
      </c>
      <c r="BU63" s="2">
        <f t="shared" si="104"/>
        <v>0</v>
      </c>
      <c r="BV63" s="2">
        <f t="shared" si="104"/>
        <v>0</v>
      </c>
      <c r="BW63" s="2">
        <f t="shared" si="104"/>
        <v>0</v>
      </c>
      <c r="BX63" s="2">
        <f t="shared" si="104"/>
        <v>0</v>
      </c>
      <c r="BY63" s="2">
        <f t="shared" si="104"/>
        <v>0</v>
      </c>
      <c r="BZ63" s="729">
        <f t="shared" si="104"/>
        <v>0</v>
      </c>
      <c r="CB63" s="915" t="str">
        <f>'5. MethodMix Set Up'!$G$16</f>
        <v>Produits injectables</v>
      </c>
      <c r="CC63" s="2">
        <f t="shared" ref="CC63:CR63" si="105">SUM(CC32:CC36)</f>
        <v>0</v>
      </c>
      <c r="CD63" s="2">
        <f t="shared" si="105"/>
        <v>0</v>
      </c>
      <c r="CE63" s="2">
        <f t="shared" si="105"/>
        <v>0</v>
      </c>
      <c r="CF63" s="2">
        <f t="shared" si="105"/>
        <v>0</v>
      </c>
      <c r="CG63" s="2">
        <f t="shared" si="105"/>
        <v>0</v>
      </c>
      <c r="CH63" s="2">
        <f t="shared" si="105"/>
        <v>0</v>
      </c>
      <c r="CI63" s="2">
        <f t="shared" si="105"/>
        <v>0</v>
      </c>
      <c r="CJ63" s="2">
        <f t="shared" si="105"/>
        <v>0</v>
      </c>
      <c r="CK63" s="2">
        <f t="shared" si="105"/>
        <v>0</v>
      </c>
      <c r="CL63" s="2">
        <f t="shared" si="105"/>
        <v>0</v>
      </c>
      <c r="CM63" s="2">
        <f t="shared" si="105"/>
        <v>0</v>
      </c>
      <c r="CN63" s="2">
        <f t="shared" si="105"/>
        <v>0</v>
      </c>
      <c r="CO63" s="2">
        <f t="shared" si="105"/>
        <v>0</v>
      </c>
      <c r="CP63" s="2">
        <f t="shared" si="105"/>
        <v>0</v>
      </c>
      <c r="CQ63" s="2">
        <f t="shared" si="105"/>
        <v>0</v>
      </c>
      <c r="CR63" s="729">
        <f t="shared" si="105"/>
        <v>0</v>
      </c>
    </row>
    <row r="64" spans="1:115" ht="17.25" hidden="1" customHeight="1" outlineLevel="1" thickBot="1" x14ac:dyDescent="0.3">
      <c r="A64" s="1557"/>
      <c r="B64" s="1527" t="str">
        <f>IF(Language="English", 'Language Look Ups'!$O$20,IF(Language="Francais", 'Language Look Ups'!$S$20, 'Language Look Ups'!Q$20))</f>
        <v>Pilule</v>
      </c>
      <c r="C64" s="885" t="str">
        <f>IF(Language="English", 'Language Look Ups'!$P$20,IF(Language="Francais", 'Language Look Ups'!$T$20, 'Language Look Ups'!$R$20))</f>
        <v>Oraux combinés (COC)</v>
      </c>
      <c r="D64" s="886"/>
      <c r="E64" s="886"/>
      <c r="F64" s="887"/>
      <c r="G64" s="883" t="str">
        <f t="shared" si="97"/>
        <v/>
      </c>
      <c r="H64" s="883" t="str">
        <f t="shared" si="97"/>
        <v/>
      </c>
      <c r="I64" s="883" t="str">
        <f t="shared" si="97"/>
        <v/>
      </c>
      <c r="J64" s="883" t="str">
        <f t="shared" si="97"/>
        <v/>
      </c>
      <c r="K64" s="883" t="str">
        <f t="shared" si="97"/>
        <v/>
      </c>
      <c r="L64" s="883" t="str">
        <f t="shared" si="97"/>
        <v/>
      </c>
      <c r="M64" s="883" t="str">
        <f t="shared" si="97"/>
        <v/>
      </c>
      <c r="N64" s="883" t="str">
        <f t="shared" si="97"/>
        <v/>
      </c>
      <c r="O64" s="883" t="str">
        <f t="shared" si="97"/>
        <v/>
      </c>
      <c r="P64" s="883" t="str">
        <f t="shared" si="97"/>
        <v/>
      </c>
      <c r="Q64" s="883" t="str">
        <f t="shared" si="97"/>
        <v/>
      </c>
      <c r="R64" s="883" t="str">
        <f t="shared" si="97"/>
        <v/>
      </c>
      <c r="S64" s="883" t="str">
        <f t="shared" si="97"/>
        <v/>
      </c>
      <c r="T64" s="883" t="str">
        <f t="shared" si="97"/>
        <v/>
      </c>
      <c r="U64" s="883" t="str">
        <f t="shared" si="97"/>
        <v/>
      </c>
      <c r="V64" s="883" t="str">
        <f t="shared" si="97"/>
        <v/>
      </c>
      <c r="W64" s="884">
        <f t="shared" si="89"/>
        <v>0</v>
      </c>
      <c r="X64">
        <v>11</v>
      </c>
      <c r="Y64" t="str">
        <f>IF(W64&gt;0, HLOOKUP("OUTLIER", $G64:$V$75, X64, 0), "")</f>
        <v/>
      </c>
      <c r="AA64" s="148" t="str">
        <f t="shared" si="90"/>
        <v/>
      </c>
      <c r="AB64" s="856" t="e">
        <f t="shared" si="91"/>
        <v>#DIV/0!</v>
      </c>
      <c r="AC64" s="857" t="e">
        <f t="shared" si="92"/>
        <v>#DIV/0!</v>
      </c>
      <c r="AD64" s="856" t="e">
        <f t="shared" si="93"/>
        <v>#DIV/0!</v>
      </c>
      <c r="AE64" s="856" t="e">
        <f t="shared" si="94"/>
        <v>#DIV/0!</v>
      </c>
      <c r="BJ64" s="915" t="str">
        <f>'5. MethodMix Set Up'!$G$17</f>
        <v>Pilule</v>
      </c>
      <c r="BK64" s="2">
        <f t="shared" ref="BK64:BZ64" si="106">SUM(BK37:BK39)</f>
        <v>0</v>
      </c>
      <c r="BL64" s="2">
        <f t="shared" si="106"/>
        <v>0</v>
      </c>
      <c r="BM64" s="2">
        <f t="shared" si="106"/>
        <v>0</v>
      </c>
      <c r="BN64" s="2">
        <f t="shared" si="106"/>
        <v>0</v>
      </c>
      <c r="BO64" s="2">
        <f t="shared" si="106"/>
        <v>0</v>
      </c>
      <c r="BP64" s="2">
        <f t="shared" si="106"/>
        <v>0</v>
      </c>
      <c r="BQ64" s="2">
        <f t="shared" si="106"/>
        <v>0</v>
      </c>
      <c r="BR64" s="2">
        <f t="shared" si="106"/>
        <v>0</v>
      </c>
      <c r="BS64" s="2">
        <f t="shared" si="106"/>
        <v>0</v>
      </c>
      <c r="BT64" s="2">
        <f t="shared" si="106"/>
        <v>0</v>
      </c>
      <c r="BU64" s="2">
        <f t="shared" si="106"/>
        <v>0</v>
      </c>
      <c r="BV64" s="2">
        <f t="shared" si="106"/>
        <v>0</v>
      </c>
      <c r="BW64" s="2">
        <f t="shared" si="106"/>
        <v>0</v>
      </c>
      <c r="BX64" s="2">
        <f t="shared" si="106"/>
        <v>0</v>
      </c>
      <c r="BY64" s="2">
        <f t="shared" si="106"/>
        <v>0</v>
      </c>
      <c r="BZ64" s="729">
        <f t="shared" si="106"/>
        <v>0</v>
      </c>
      <c r="CB64" s="915" t="str">
        <f>'5. MethodMix Set Up'!$G$17</f>
        <v>Pilule</v>
      </c>
      <c r="CC64" s="2">
        <f t="shared" ref="CC64:CR64" si="107">SUM(CC37:CC39)</f>
        <v>0</v>
      </c>
      <c r="CD64" s="2">
        <f t="shared" si="107"/>
        <v>0</v>
      </c>
      <c r="CE64" s="2">
        <f t="shared" si="107"/>
        <v>0</v>
      </c>
      <c r="CF64" s="2">
        <f t="shared" si="107"/>
        <v>0</v>
      </c>
      <c r="CG64" s="2">
        <f t="shared" si="107"/>
        <v>0</v>
      </c>
      <c r="CH64" s="2">
        <f t="shared" si="107"/>
        <v>0</v>
      </c>
      <c r="CI64" s="2">
        <f t="shared" si="107"/>
        <v>0</v>
      </c>
      <c r="CJ64" s="2">
        <f t="shared" si="107"/>
        <v>0</v>
      </c>
      <c r="CK64" s="2">
        <f t="shared" si="107"/>
        <v>0</v>
      </c>
      <c r="CL64" s="2">
        <f t="shared" si="107"/>
        <v>0</v>
      </c>
      <c r="CM64" s="2">
        <f t="shared" si="107"/>
        <v>0</v>
      </c>
      <c r="CN64" s="2">
        <f t="shared" si="107"/>
        <v>0</v>
      </c>
      <c r="CO64" s="2">
        <f t="shared" si="107"/>
        <v>0</v>
      </c>
      <c r="CP64" s="2">
        <f t="shared" si="107"/>
        <v>0</v>
      </c>
      <c r="CQ64" s="2">
        <f t="shared" si="107"/>
        <v>0</v>
      </c>
      <c r="CR64" s="729">
        <f t="shared" si="107"/>
        <v>0</v>
      </c>
    </row>
    <row r="65" spans="1:115" ht="17.25" hidden="1" customHeight="1" outlineLevel="1" thickBot="1" x14ac:dyDescent="0.3">
      <c r="A65" s="1557"/>
      <c r="B65" s="1529"/>
      <c r="C65" s="891" t="str">
        <f>IF(Language="English", 'Language Look Ups'!$P$21,IF(Language="Francais", 'Language Look Ups'!$T$21, 'Language Look Ups'!$R$21))</f>
        <v>Progestatifs seul (POP)</v>
      </c>
      <c r="D65" s="892"/>
      <c r="E65" s="892"/>
      <c r="F65" s="893"/>
      <c r="G65" s="883" t="str">
        <f t="shared" si="97"/>
        <v/>
      </c>
      <c r="H65" s="883" t="str">
        <f t="shared" si="97"/>
        <v/>
      </c>
      <c r="I65" s="883" t="str">
        <f t="shared" si="97"/>
        <v/>
      </c>
      <c r="J65" s="883" t="str">
        <f t="shared" si="97"/>
        <v/>
      </c>
      <c r="K65" s="883" t="str">
        <f t="shared" si="97"/>
        <v/>
      </c>
      <c r="L65" s="883" t="str">
        <f t="shared" si="97"/>
        <v/>
      </c>
      <c r="M65" s="883" t="str">
        <f t="shared" si="97"/>
        <v/>
      </c>
      <c r="N65" s="883" t="str">
        <f t="shared" si="97"/>
        <v/>
      </c>
      <c r="O65" s="883" t="str">
        <f t="shared" si="97"/>
        <v/>
      </c>
      <c r="P65" s="883" t="str">
        <f t="shared" si="97"/>
        <v/>
      </c>
      <c r="Q65" s="883" t="str">
        <f t="shared" si="97"/>
        <v/>
      </c>
      <c r="R65" s="883" t="str">
        <f t="shared" si="97"/>
        <v/>
      </c>
      <c r="S65" s="883" t="str">
        <f t="shared" si="97"/>
        <v/>
      </c>
      <c r="T65" s="883" t="str">
        <f t="shared" si="97"/>
        <v/>
      </c>
      <c r="U65" s="883" t="str">
        <f t="shared" si="97"/>
        <v/>
      </c>
      <c r="V65" s="883" t="str">
        <f t="shared" si="97"/>
        <v/>
      </c>
      <c r="W65" s="884">
        <f t="shared" si="89"/>
        <v>0</v>
      </c>
      <c r="X65">
        <v>10</v>
      </c>
      <c r="Y65" t="str">
        <f>IF(W65&gt;0, HLOOKUP("OUTLIER", $G65:$V$75, X65, 0), "")</f>
        <v/>
      </c>
      <c r="AA65" s="148" t="str">
        <f t="shared" si="90"/>
        <v/>
      </c>
      <c r="AB65" s="856" t="e">
        <f t="shared" si="91"/>
        <v>#DIV/0!</v>
      </c>
      <c r="AC65" s="857" t="e">
        <f t="shared" si="92"/>
        <v>#DIV/0!</v>
      </c>
      <c r="AD65" s="856" t="e">
        <f t="shared" si="93"/>
        <v>#DIV/0!</v>
      </c>
      <c r="AE65" s="856" t="e">
        <f t="shared" si="94"/>
        <v>#DIV/0!</v>
      </c>
      <c r="BJ65" s="915" t="str">
        <f>'5. MethodMix Set Up'!$G$18</f>
        <v>Préservatifs (m+f)</v>
      </c>
      <c r="BK65" s="2">
        <f t="shared" ref="BK65:BZ65" si="108">SUM(BK40:BK41)</f>
        <v>0</v>
      </c>
      <c r="BL65" s="2">
        <f t="shared" si="108"/>
        <v>0</v>
      </c>
      <c r="BM65" s="2">
        <f t="shared" si="108"/>
        <v>0</v>
      </c>
      <c r="BN65" s="2">
        <f t="shared" si="108"/>
        <v>0</v>
      </c>
      <c r="BO65" s="2">
        <f t="shared" si="108"/>
        <v>0</v>
      </c>
      <c r="BP65" s="2">
        <f t="shared" si="108"/>
        <v>0</v>
      </c>
      <c r="BQ65" s="2">
        <f t="shared" si="108"/>
        <v>0</v>
      </c>
      <c r="BR65" s="2">
        <f t="shared" si="108"/>
        <v>0</v>
      </c>
      <c r="BS65" s="2">
        <f t="shared" si="108"/>
        <v>0</v>
      </c>
      <c r="BT65" s="2">
        <f t="shared" si="108"/>
        <v>0</v>
      </c>
      <c r="BU65" s="2">
        <f t="shared" si="108"/>
        <v>0</v>
      </c>
      <c r="BV65" s="2">
        <f t="shared" si="108"/>
        <v>0</v>
      </c>
      <c r="BW65" s="2">
        <f t="shared" si="108"/>
        <v>0</v>
      </c>
      <c r="BX65" s="2">
        <f t="shared" si="108"/>
        <v>0</v>
      </c>
      <c r="BY65" s="2">
        <f t="shared" si="108"/>
        <v>0</v>
      </c>
      <c r="BZ65" s="729">
        <f t="shared" si="108"/>
        <v>0</v>
      </c>
      <c r="CB65" s="915" t="str">
        <f>'5. MethodMix Set Up'!$G$18</f>
        <v>Préservatifs (m+f)</v>
      </c>
      <c r="CC65" s="2">
        <f t="shared" ref="CC65:CR65" si="109">SUM(CC40:CC41)</f>
        <v>0</v>
      </c>
      <c r="CD65" s="2">
        <f t="shared" si="109"/>
        <v>0</v>
      </c>
      <c r="CE65" s="2">
        <f t="shared" si="109"/>
        <v>0</v>
      </c>
      <c r="CF65" s="2">
        <f t="shared" si="109"/>
        <v>0</v>
      </c>
      <c r="CG65" s="2">
        <f t="shared" si="109"/>
        <v>0</v>
      </c>
      <c r="CH65" s="2">
        <f t="shared" si="109"/>
        <v>0</v>
      </c>
      <c r="CI65" s="2">
        <f t="shared" si="109"/>
        <v>0</v>
      </c>
      <c r="CJ65" s="2">
        <f t="shared" si="109"/>
        <v>0</v>
      </c>
      <c r="CK65" s="2">
        <f t="shared" si="109"/>
        <v>0</v>
      </c>
      <c r="CL65" s="2">
        <f t="shared" si="109"/>
        <v>0</v>
      </c>
      <c r="CM65" s="2">
        <f t="shared" si="109"/>
        <v>0</v>
      </c>
      <c r="CN65" s="2">
        <f t="shared" si="109"/>
        <v>0</v>
      </c>
      <c r="CO65" s="2">
        <f t="shared" si="109"/>
        <v>0</v>
      </c>
      <c r="CP65" s="2">
        <f t="shared" si="109"/>
        <v>0</v>
      </c>
      <c r="CQ65" s="2">
        <f t="shared" si="109"/>
        <v>0</v>
      </c>
      <c r="CR65" s="729">
        <f t="shared" si="109"/>
        <v>0</v>
      </c>
    </row>
    <row r="66" spans="1:115" ht="17.25" hidden="1" customHeight="1" outlineLevel="1" thickBot="1" x14ac:dyDescent="0.3">
      <c r="A66" s="1557"/>
      <c r="B66" s="1528"/>
      <c r="C66" s="888" t="str">
        <f>IF(Language="English", 'Language Look Ups'!$P$22,IF(Language="Francais", 'Language Look Ups'!$T$22, 'Language Look Ups'!$R$22))</f>
        <v>Autre pilule</v>
      </c>
      <c r="D66" s="889"/>
      <c r="E66" s="889"/>
      <c r="F66" s="890"/>
      <c r="G66" s="883" t="str">
        <f t="shared" si="97"/>
        <v/>
      </c>
      <c r="H66" s="883" t="str">
        <f t="shared" si="97"/>
        <v/>
      </c>
      <c r="I66" s="883" t="str">
        <f t="shared" si="97"/>
        <v/>
      </c>
      <c r="J66" s="883" t="str">
        <f t="shared" si="97"/>
        <v/>
      </c>
      <c r="K66" s="883" t="str">
        <f t="shared" si="97"/>
        <v/>
      </c>
      <c r="L66" s="883" t="str">
        <f t="shared" si="97"/>
        <v/>
      </c>
      <c r="M66" s="883" t="str">
        <f t="shared" si="97"/>
        <v/>
      </c>
      <c r="N66" s="883" t="str">
        <f t="shared" si="97"/>
        <v/>
      </c>
      <c r="O66" s="883" t="str">
        <f t="shared" si="97"/>
        <v/>
      </c>
      <c r="P66" s="883" t="str">
        <f t="shared" si="97"/>
        <v/>
      </c>
      <c r="Q66" s="883" t="str">
        <f t="shared" si="97"/>
        <v/>
      </c>
      <c r="R66" s="883" t="str">
        <f t="shared" si="97"/>
        <v/>
      </c>
      <c r="S66" s="883" t="str">
        <f t="shared" si="97"/>
        <v/>
      </c>
      <c r="T66" s="883" t="str">
        <f t="shared" si="97"/>
        <v/>
      </c>
      <c r="U66" s="883" t="str">
        <f t="shared" si="97"/>
        <v/>
      </c>
      <c r="V66" s="883" t="str">
        <f t="shared" si="97"/>
        <v/>
      </c>
      <c r="W66" s="884">
        <f t="shared" si="89"/>
        <v>0</v>
      </c>
      <c r="X66">
        <v>9</v>
      </c>
      <c r="Y66" t="str">
        <f>IF(W66&gt;0, HLOOKUP("OUTLIER", $G66:$V$75, X66, 0), "")</f>
        <v/>
      </c>
      <c r="AA66" s="148" t="str">
        <f t="shared" si="90"/>
        <v/>
      </c>
      <c r="AB66" s="856" t="e">
        <f t="shared" si="91"/>
        <v>#DIV/0!</v>
      </c>
      <c r="AC66" s="857" t="e">
        <f t="shared" si="92"/>
        <v>#DIV/0!</v>
      </c>
      <c r="AD66" s="856" t="e">
        <f t="shared" si="93"/>
        <v>#DIV/0!</v>
      </c>
      <c r="AE66" s="856" t="e">
        <f t="shared" si="94"/>
        <v>#DIV/0!</v>
      </c>
      <c r="BJ66" s="915" t="str">
        <f>'5. MethodMix Set Up'!$G$19</f>
        <v>MAMA</v>
      </c>
      <c r="BK66" s="2">
        <f>SUM(BK42)</f>
        <v>0</v>
      </c>
      <c r="BL66" s="2">
        <f t="shared" ref="BL66:BZ66" si="110">SUM(BL42)</f>
        <v>0</v>
      </c>
      <c r="BM66" s="2">
        <f t="shared" si="110"/>
        <v>0</v>
      </c>
      <c r="BN66" s="2">
        <f t="shared" si="110"/>
        <v>0</v>
      </c>
      <c r="BO66" s="2">
        <f t="shared" si="110"/>
        <v>0</v>
      </c>
      <c r="BP66" s="2">
        <f t="shared" si="110"/>
        <v>0</v>
      </c>
      <c r="BQ66" s="2">
        <f t="shared" si="110"/>
        <v>0</v>
      </c>
      <c r="BR66" s="2">
        <f t="shared" si="110"/>
        <v>0</v>
      </c>
      <c r="BS66" s="2">
        <f t="shared" si="110"/>
        <v>0</v>
      </c>
      <c r="BT66" s="2">
        <f t="shared" si="110"/>
        <v>0</v>
      </c>
      <c r="BU66" s="2">
        <f t="shared" si="110"/>
        <v>0</v>
      </c>
      <c r="BV66" s="2">
        <f t="shared" si="110"/>
        <v>0</v>
      </c>
      <c r="BW66" s="2">
        <f t="shared" si="110"/>
        <v>0</v>
      </c>
      <c r="BX66" s="2">
        <f t="shared" si="110"/>
        <v>0</v>
      </c>
      <c r="BY66" s="2">
        <f t="shared" si="110"/>
        <v>0</v>
      </c>
      <c r="BZ66" s="2">
        <f t="shared" si="110"/>
        <v>0</v>
      </c>
      <c r="CB66" s="915" t="str">
        <f>'5. MethodMix Set Up'!$G$19</f>
        <v>MAMA</v>
      </c>
      <c r="CC66" s="2">
        <f>SUM(CC42)</f>
        <v>0</v>
      </c>
      <c r="CD66" s="2">
        <f t="shared" ref="CD66:CR66" si="111">SUM(CD42)</f>
        <v>0</v>
      </c>
      <c r="CE66" s="2">
        <f t="shared" si="111"/>
        <v>0</v>
      </c>
      <c r="CF66" s="2">
        <f t="shared" si="111"/>
        <v>0</v>
      </c>
      <c r="CG66" s="2">
        <f t="shared" si="111"/>
        <v>0</v>
      </c>
      <c r="CH66" s="2">
        <f t="shared" si="111"/>
        <v>0</v>
      </c>
      <c r="CI66" s="2">
        <f t="shared" si="111"/>
        <v>0</v>
      </c>
      <c r="CJ66" s="2">
        <f t="shared" si="111"/>
        <v>0</v>
      </c>
      <c r="CK66" s="2">
        <f t="shared" si="111"/>
        <v>0</v>
      </c>
      <c r="CL66" s="2">
        <f t="shared" si="111"/>
        <v>0</v>
      </c>
      <c r="CM66" s="2">
        <f t="shared" si="111"/>
        <v>0</v>
      </c>
      <c r="CN66" s="2">
        <f t="shared" si="111"/>
        <v>0</v>
      </c>
      <c r="CO66" s="2">
        <f t="shared" si="111"/>
        <v>0</v>
      </c>
      <c r="CP66" s="2">
        <f t="shared" si="111"/>
        <v>0</v>
      </c>
      <c r="CQ66" s="2">
        <f t="shared" si="111"/>
        <v>0</v>
      </c>
      <c r="CR66" s="2">
        <f t="shared" si="111"/>
        <v>0</v>
      </c>
    </row>
    <row r="67" spans="1:115" ht="17.25" hidden="1" customHeight="1" outlineLevel="1" thickBot="1" x14ac:dyDescent="0.3">
      <c r="A67" s="1557"/>
      <c r="B67" s="1527" t="str">
        <f>IF(Language="English", 'Language Look Ups'!$O$23,IF(Language="Francais", 'Language Look Ups'!$S$23, 'Language Look Ups'!Q$23))</f>
        <v>Préservatifs</v>
      </c>
      <c r="C67" s="885" t="str">
        <f>IF(Language="English", 'Language Look Ups'!$P$23,IF(Language="Francais", 'Language Look Ups'!$T$23, 'Language Look Ups'!$R$23))</f>
        <v>Préservatifs masculin</v>
      </c>
      <c r="D67" s="886"/>
      <c r="E67" s="886"/>
      <c r="F67" s="887"/>
      <c r="G67" s="883" t="str">
        <f t="shared" si="97"/>
        <v/>
      </c>
      <c r="H67" s="883" t="str">
        <f t="shared" si="97"/>
        <v/>
      </c>
      <c r="I67" s="883" t="str">
        <f t="shared" si="97"/>
        <v/>
      </c>
      <c r="J67" s="883" t="str">
        <f t="shared" si="97"/>
        <v/>
      </c>
      <c r="K67" s="883" t="str">
        <f t="shared" si="97"/>
        <v/>
      </c>
      <c r="L67" s="883" t="str">
        <f t="shared" si="97"/>
        <v/>
      </c>
      <c r="M67" s="883" t="str">
        <f t="shared" si="97"/>
        <v/>
      </c>
      <c r="N67" s="883" t="str">
        <f t="shared" si="97"/>
        <v/>
      </c>
      <c r="O67" s="883" t="str">
        <f t="shared" si="97"/>
        <v/>
      </c>
      <c r="P67" s="883" t="str">
        <f t="shared" si="97"/>
        <v/>
      </c>
      <c r="Q67" s="883" t="str">
        <f t="shared" si="97"/>
        <v/>
      </c>
      <c r="R67" s="883" t="str">
        <f t="shared" si="97"/>
        <v/>
      </c>
      <c r="S67" s="883" t="str">
        <f t="shared" si="97"/>
        <v/>
      </c>
      <c r="T67" s="883" t="str">
        <f t="shared" si="97"/>
        <v/>
      </c>
      <c r="U67" s="883" t="str">
        <f t="shared" si="97"/>
        <v/>
      </c>
      <c r="V67" s="883" t="str">
        <f t="shared" si="97"/>
        <v/>
      </c>
      <c r="W67" s="884">
        <f t="shared" si="89"/>
        <v>0</v>
      </c>
      <c r="X67">
        <v>8</v>
      </c>
      <c r="Y67" t="str">
        <f>IF(W67&gt;0, HLOOKUP("OUTLIER", $G67:$V$75, X67, 0), "")</f>
        <v/>
      </c>
      <c r="AA67" s="148" t="str">
        <f t="shared" si="90"/>
        <v/>
      </c>
      <c r="AB67" s="856" t="e">
        <f t="shared" si="91"/>
        <v>#DIV/0!</v>
      </c>
      <c r="AC67" s="857" t="e">
        <f t="shared" si="92"/>
        <v>#DIV/0!</v>
      </c>
      <c r="AD67" s="856" t="e">
        <f t="shared" si="93"/>
        <v>#DIV/0!</v>
      </c>
      <c r="AE67" s="856" t="e">
        <f t="shared" si="94"/>
        <v>#DIV/0!</v>
      </c>
      <c r="BJ67" s="915" t="str">
        <f>IF(Language="English", 'Language Look Ups'!$O$29,IF(Language="Francais", 'Language Look Ups'!$S$29, 'Language Look Ups'!CO$29))</f>
        <v>Contraception d'urgence</v>
      </c>
      <c r="BK67" s="732">
        <f>SUM(BK46)</f>
        <v>0</v>
      </c>
      <c r="BL67" s="732">
        <f t="shared" ref="BL67:BZ67" si="112">SUM(BL46)</f>
        <v>0</v>
      </c>
      <c r="BM67" s="732">
        <f t="shared" si="112"/>
        <v>0</v>
      </c>
      <c r="BN67" s="732">
        <f t="shared" si="112"/>
        <v>0</v>
      </c>
      <c r="BO67" s="732">
        <f t="shared" si="112"/>
        <v>0</v>
      </c>
      <c r="BP67" s="732">
        <f t="shared" si="112"/>
        <v>0</v>
      </c>
      <c r="BQ67" s="732">
        <f t="shared" si="112"/>
        <v>0</v>
      </c>
      <c r="BR67" s="732">
        <f t="shared" si="112"/>
        <v>0</v>
      </c>
      <c r="BS67" s="732">
        <f t="shared" si="112"/>
        <v>0</v>
      </c>
      <c r="BT67" s="732">
        <f t="shared" si="112"/>
        <v>0</v>
      </c>
      <c r="BU67" s="732">
        <f t="shared" si="112"/>
        <v>0</v>
      </c>
      <c r="BV67" s="732">
        <f t="shared" si="112"/>
        <v>0</v>
      </c>
      <c r="BW67" s="732">
        <f t="shared" si="112"/>
        <v>0</v>
      </c>
      <c r="BX67" s="732">
        <f t="shared" si="112"/>
        <v>0</v>
      </c>
      <c r="BY67" s="732">
        <f t="shared" si="112"/>
        <v>0</v>
      </c>
      <c r="BZ67" s="732">
        <f t="shared" si="112"/>
        <v>0</v>
      </c>
      <c r="CB67" s="915" t="str">
        <f>IF(Language="English", 'Language Look Ups'!$O$29,IF(Language="Francais", 'Language Look Ups'!$S$29, 'Language Look Ups'!DG$29))</f>
        <v>Contraception d'urgence</v>
      </c>
      <c r="CC67" s="732">
        <f>SUM(CC46)</f>
        <v>0</v>
      </c>
      <c r="CD67" s="732">
        <f t="shared" ref="CD67:CR67" si="113">SUM(CD46)</f>
        <v>0</v>
      </c>
      <c r="CE67" s="732">
        <f t="shared" si="113"/>
        <v>0</v>
      </c>
      <c r="CF67" s="732">
        <f t="shared" si="113"/>
        <v>0</v>
      </c>
      <c r="CG67" s="732">
        <f t="shared" si="113"/>
        <v>0</v>
      </c>
      <c r="CH67" s="732">
        <f t="shared" si="113"/>
        <v>0</v>
      </c>
      <c r="CI67" s="732">
        <f t="shared" si="113"/>
        <v>0</v>
      </c>
      <c r="CJ67" s="732">
        <f t="shared" si="113"/>
        <v>0</v>
      </c>
      <c r="CK67" s="732">
        <f t="shared" si="113"/>
        <v>0</v>
      </c>
      <c r="CL67" s="732">
        <f t="shared" si="113"/>
        <v>0</v>
      </c>
      <c r="CM67" s="732">
        <f t="shared" si="113"/>
        <v>0</v>
      </c>
      <c r="CN67" s="732">
        <f t="shared" si="113"/>
        <v>0</v>
      </c>
      <c r="CO67" s="732">
        <f t="shared" si="113"/>
        <v>0</v>
      </c>
      <c r="CP67" s="732">
        <f t="shared" si="113"/>
        <v>0</v>
      </c>
      <c r="CQ67" s="732">
        <f t="shared" si="113"/>
        <v>0</v>
      </c>
      <c r="CR67" s="732">
        <f t="shared" si="113"/>
        <v>0</v>
      </c>
    </row>
    <row r="68" spans="1:115" ht="17.25" hidden="1" customHeight="1" outlineLevel="1" thickBot="1" x14ac:dyDescent="0.3">
      <c r="A68" s="1557"/>
      <c r="B68" s="1528"/>
      <c r="C68" s="888" t="str">
        <f>IF(Language="English", 'Language Look Ups'!$P$24,IF(Language="Francais", 'Language Look Ups'!$T$24, 'Language Look Ups'!$R$24))</f>
        <v>Préservatifs feminin</v>
      </c>
      <c r="D68" s="889"/>
      <c r="E68" s="889"/>
      <c r="F68" s="890"/>
      <c r="G68" s="883" t="str">
        <f t="shared" si="97"/>
        <v/>
      </c>
      <c r="H68" s="883" t="str">
        <f t="shared" si="97"/>
        <v/>
      </c>
      <c r="I68" s="883" t="str">
        <f t="shared" si="97"/>
        <v/>
      </c>
      <c r="J68" s="883" t="str">
        <f t="shared" si="97"/>
        <v/>
      </c>
      <c r="K68" s="883" t="str">
        <f t="shared" si="97"/>
        <v/>
      </c>
      <c r="L68" s="883" t="str">
        <f t="shared" si="97"/>
        <v/>
      </c>
      <c r="M68" s="883" t="str">
        <f t="shared" si="97"/>
        <v/>
      </c>
      <c r="N68" s="883" t="str">
        <f t="shared" si="97"/>
        <v/>
      </c>
      <c r="O68" s="883" t="str">
        <f t="shared" si="97"/>
        <v/>
      </c>
      <c r="P68" s="883" t="str">
        <f t="shared" si="97"/>
        <v/>
      </c>
      <c r="Q68" s="883" t="str">
        <f t="shared" si="97"/>
        <v/>
      </c>
      <c r="R68" s="883" t="str">
        <f t="shared" si="97"/>
        <v/>
      </c>
      <c r="S68" s="883" t="str">
        <f t="shared" si="97"/>
        <v/>
      </c>
      <c r="T68" s="883" t="str">
        <f t="shared" si="97"/>
        <v/>
      </c>
      <c r="U68" s="883" t="str">
        <f t="shared" si="97"/>
        <v/>
      </c>
      <c r="V68" s="883" t="str">
        <f t="shared" si="97"/>
        <v/>
      </c>
      <c r="W68" s="884">
        <f t="shared" si="89"/>
        <v>0</v>
      </c>
      <c r="X68">
        <v>7</v>
      </c>
      <c r="Y68" t="str">
        <f>IF(W68&gt;0, HLOOKUP("OUTLIER", $G68:$V$75, X68, 0), "")</f>
        <v/>
      </c>
      <c r="AA68" s="148" t="str">
        <f t="shared" si="90"/>
        <v/>
      </c>
      <c r="AB68" s="856" t="e">
        <f t="shared" si="91"/>
        <v>#DIV/0!</v>
      </c>
      <c r="AC68" s="857" t="e">
        <f t="shared" si="92"/>
        <v>#DIV/0!</v>
      </c>
      <c r="AD68" s="856" t="e">
        <f t="shared" si="93"/>
        <v>#DIV/0!</v>
      </c>
      <c r="AE68" s="856" t="e">
        <f t="shared" si="94"/>
        <v>#DIV/0!</v>
      </c>
      <c r="BJ68" s="915" t="str">
        <f>'5. MethodMix Set Up'!$G$20</f>
        <v>Autres méthodes modernes</v>
      </c>
      <c r="BK68" s="2">
        <f>SUM(BK43:BK45)</f>
        <v>0</v>
      </c>
      <c r="BL68" s="2">
        <f t="shared" ref="BL68:BZ68" si="114">SUM(BL43:BL45)</f>
        <v>0</v>
      </c>
      <c r="BM68" s="2">
        <f t="shared" si="114"/>
        <v>0</v>
      </c>
      <c r="BN68" s="2">
        <f t="shared" si="114"/>
        <v>0</v>
      </c>
      <c r="BO68" s="2">
        <f t="shared" si="114"/>
        <v>0</v>
      </c>
      <c r="BP68" s="2">
        <f t="shared" si="114"/>
        <v>0</v>
      </c>
      <c r="BQ68" s="2">
        <f t="shared" si="114"/>
        <v>0</v>
      </c>
      <c r="BR68" s="2">
        <f t="shared" si="114"/>
        <v>0</v>
      </c>
      <c r="BS68" s="2">
        <f t="shared" si="114"/>
        <v>0</v>
      </c>
      <c r="BT68" s="2">
        <f t="shared" si="114"/>
        <v>0</v>
      </c>
      <c r="BU68" s="2">
        <f t="shared" si="114"/>
        <v>0</v>
      </c>
      <c r="BV68" s="2">
        <f t="shared" si="114"/>
        <v>0</v>
      </c>
      <c r="BW68" s="2">
        <f t="shared" si="114"/>
        <v>0</v>
      </c>
      <c r="BX68" s="2">
        <f t="shared" si="114"/>
        <v>0</v>
      </c>
      <c r="BY68" s="2">
        <f t="shared" si="114"/>
        <v>0</v>
      </c>
      <c r="BZ68" s="2">
        <f t="shared" si="114"/>
        <v>0</v>
      </c>
      <c r="CB68" s="915" t="str">
        <f>'5. MethodMix Set Up'!$G$20</f>
        <v>Autres méthodes modernes</v>
      </c>
      <c r="CC68" s="2">
        <f>SUM(CC43:CC45)</f>
        <v>0</v>
      </c>
      <c r="CD68" s="2">
        <f t="shared" ref="CD68:CR68" si="115">SUM(CD43:CD45)</f>
        <v>0</v>
      </c>
      <c r="CE68" s="2">
        <f t="shared" si="115"/>
        <v>0</v>
      </c>
      <c r="CF68" s="2">
        <f t="shared" si="115"/>
        <v>0</v>
      </c>
      <c r="CG68" s="2">
        <f t="shared" si="115"/>
        <v>0</v>
      </c>
      <c r="CH68" s="2">
        <f t="shared" si="115"/>
        <v>0</v>
      </c>
      <c r="CI68" s="2">
        <f t="shared" si="115"/>
        <v>0</v>
      </c>
      <c r="CJ68" s="2">
        <f t="shared" si="115"/>
        <v>0</v>
      </c>
      <c r="CK68" s="2">
        <f t="shared" si="115"/>
        <v>0</v>
      </c>
      <c r="CL68" s="2">
        <f t="shared" si="115"/>
        <v>0</v>
      </c>
      <c r="CM68" s="2">
        <f t="shared" si="115"/>
        <v>0</v>
      </c>
      <c r="CN68" s="2">
        <f t="shared" si="115"/>
        <v>0</v>
      </c>
      <c r="CO68" s="2">
        <f t="shared" si="115"/>
        <v>0</v>
      </c>
      <c r="CP68" s="2">
        <f t="shared" si="115"/>
        <v>0</v>
      </c>
      <c r="CQ68" s="2">
        <f t="shared" si="115"/>
        <v>0</v>
      </c>
      <c r="CR68" s="2">
        <f t="shared" si="115"/>
        <v>0</v>
      </c>
    </row>
    <row r="69" spans="1:115" ht="17.25" hidden="1" customHeight="1" outlineLevel="1" thickBot="1" x14ac:dyDescent="0.3">
      <c r="A69" s="1557"/>
      <c r="B69" s="1527" t="str">
        <f>IF(Language="English", 'Language Look Ups'!$O$25,IF(Language="Francais", 'Language Look Ups'!$S$25, 'Language Look Ups'!Q$25))</f>
        <v>Autres Méthodes Modernes</v>
      </c>
      <c r="C69" s="885" t="str">
        <f>IF(Language="English", 'Language Look Ups'!$P$25,IF(Language="Francais", 'Language Look Ups'!$T$25, 'Language Look Ups'!$R$25))</f>
        <v>MAMA</v>
      </c>
      <c r="D69" s="886"/>
      <c r="E69" s="886"/>
      <c r="F69" s="887"/>
      <c r="G69" s="883" t="str">
        <f t="shared" si="97"/>
        <v/>
      </c>
      <c r="H69" s="883" t="str">
        <f t="shared" si="97"/>
        <v/>
      </c>
      <c r="I69" s="883" t="str">
        <f t="shared" si="97"/>
        <v/>
      </c>
      <c r="J69" s="883" t="str">
        <f t="shared" si="97"/>
        <v/>
      </c>
      <c r="K69" s="883" t="str">
        <f t="shared" si="97"/>
        <v/>
      </c>
      <c r="L69" s="883" t="str">
        <f t="shared" si="97"/>
        <v/>
      </c>
      <c r="M69" s="883" t="str">
        <f t="shared" si="97"/>
        <v/>
      </c>
      <c r="N69" s="883" t="str">
        <f t="shared" si="97"/>
        <v/>
      </c>
      <c r="O69" s="883" t="str">
        <f t="shared" si="97"/>
        <v/>
      </c>
      <c r="P69" s="883" t="str">
        <f t="shared" si="97"/>
        <v/>
      </c>
      <c r="Q69" s="883" t="str">
        <f t="shared" si="97"/>
        <v/>
      </c>
      <c r="R69" s="883" t="str">
        <f t="shared" si="97"/>
        <v/>
      </c>
      <c r="S69" s="883" t="str">
        <f t="shared" si="97"/>
        <v/>
      </c>
      <c r="T69" s="883" t="str">
        <f t="shared" si="97"/>
        <v/>
      </c>
      <c r="U69" s="883" t="str">
        <f t="shared" si="97"/>
        <v/>
      </c>
      <c r="V69" s="883" t="str">
        <f t="shared" si="97"/>
        <v/>
      </c>
      <c r="W69" s="884">
        <f t="shared" si="89"/>
        <v>0</v>
      </c>
      <c r="X69">
        <v>6</v>
      </c>
      <c r="Y69" t="str">
        <f>IF(W69&gt;0, HLOOKUP("OUTLIER", $G69:$V$75, X69, 0), "")</f>
        <v/>
      </c>
      <c r="AA69" s="148" t="str">
        <f t="shared" si="90"/>
        <v/>
      </c>
      <c r="AB69" s="856" t="e">
        <f t="shared" si="91"/>
        <v>#DIV/0!</v>
      </c>
      <c r="AC69" s="857" t="e">
        <f t="shared" si="92"/>
        <v>#DIV/0!</v>
      </c>
      <c r="AD69" s="856" t="e">
        <f t="shared" si="93"/>
        <v>#DIV/0!</v>
      </c>
      <c r="AE69" s="856" t="e">
        <f t="shared" si="94"/>
        <v>#DIV/0!</v>
      </c>
    </row>
    <row r="70" spans="1:115" ht="17.25" hidden="1" customHeight="1" outlineLevel="1" thickBot="1" x14ac:dyDescent="0.3">
      <c r="A70" s="1557"/>
      <c r="B70" s="1529"/>
      <c r="C70" s="891" t="str">
        <f>IF(Language="English", 'Language Look Ups'!$P$26,IF(Language="Francais", 'Language Look Ups'!$T$26, 'Language Look Ups'!$R$26))</f>
        <v>MJF (Jours fixes)</v>
      </c>
      <c r="D70" s="892"/>
      <c r="E70" s="892"/>
      <c r="F70" s="893"/>
      <c r="G70" s="883" t="str">
        <f t="shared" si="97"/>
        <v/>
      </c>
      <c r="H70" s="883" t="str">
        <f t="shared" si="97"/>
        <v/>
      </c>
      <c r="I70" s="883" t="str">
        <f t="shared" si="97"/>
        <v/>
      </c>
      <c r="J70" s="883" t="str">
        <f t="shared" si="97"/>
        <v/>
      </c>
      <c r="K70" s="883" t="str">
        <f t="shared" si="97"/>
        <v/>
      </c>
      <c r="L70" s="883" t="str">
        <f t="shared" si="97"/>
        <v/>
      </c>
      <c r="M70" s="883" t="str">
        <f t="shared" si="97"/>
        <v/>
      </c>
      <c r="N70" s="883" t="str">
        <f t="shared" si="97"/>
        <v/>
      </c>
      <c r="O70" s="883" t="str">
        <f t="shared" si="97"/>
        <v/>
      </c>
      <c r="P70" s="883" t="str">
        <f t="shared" si="97"/>
        <v/>
      </c>
      <c r="Q70" s="883" t="str">
        <f t="shared" si="97"/>
        <v/>
      </c>
      <c r="R70" s="883" t="str">
        <f t="shared" si="97"/>
        <v/>
      </c>
      <c r="S70" s="883" t="str">
        <f t="shared" si="97"/>
        <v/>
      </c>
      <c r="T70" s="883" t="str">
        <f t="shared" si="97"/>
        <v/>
      </c>
      <c r="U70" s="883" t="str">
        <f t="shared" si="97"/>
        <v/>
      </c>
      <c r="V70" s="883" t="str">
        <f t="shared" si="97"/>
        <v/>
      </c>
      <c r="W70" s="884">
        <f t="shared" si="89"/>
        <v>0</v>
      </c>
      <c r="X70">
        <v>5</v>
      </c>
      <c r="Y70" t="str">
        <f>IF(W70&gt;0, HLOOKUP("OUTLIER", $G70:$V$75, X70, 0), "")</f>
        <v/>
      </c>
      <c r="AA70" s="148" t="str">
        <f t="shared" si="90"/>
        <v/>
      </c>
      <c r="AB70" s="856" t="e">
        <f t="shared" si="91"/>
        <v>#DIV/0!</v>
      </c>
      <c r="AC70" s="857" t="e">
        <f t="shared" si="92"/>
        <v>#DIV/0!</v>
      </c>
      <c r="AD70" s="856" t="e">
        <f t="shared" si="93"/>
        <v>#DIV/0!</v>
      </c>
      <c r="AE70" s="856" t="e">
        <f t="shared" si="94"/>
        <v>#DIV/0!</v>
      </c>
      <c r="BJ70" s="867"/>
    </row>
    <row r="71" spans="1:115" ht="17.25" hidden="1" customHeight="1" outlineLevel="1" thickBot="1" x14ac:dyDescent="0.3">
      <c r="A71" s="1557"/>
      <c r="B71" s="1529"/>
      <c r="C71" s="891" t="str">
        <f>IF(Language="English", 'Language Look Ups'!$P$27,IF(Language="Francais", 'Language Look Ups'!$T$27, 'Language Look Ups'!$R$27))</f>
        <v>Barrière vaginale</v>
      </c>
      <c r="D71" s="892"/>
      <c r="E71" s="892"/>
      <c r="F71" s="893"/>
      <c r="G71" s="883" t="str">
        <f t="shared" si="97"/>
        <v/>
      </c>
      <c r="H71" s="883" t="str">
        <f t="shared" si="97"/>
        <v/>
      </c>
      <c r="I71" s="883" t="str">
        <f t="shared" si="97"/>
        <v/>
      </c>
      <c r="J71" s="883" t="str">
        <f t="shared" si="97"/>
        <v/>
      </c>
      <c r="K71" s="883" t="str">
        <f t="shared" si="97"/>
        <v/>
      </c>
      <c r="L71" s="883" t="str">
        <f t="shared" si="97"/>
        <v/>
      </c>
      <c r="M71" s="883" t="str">
        <f t="shared" si="97"/>
        <v/>
      </c>
      <c r="N71" s="883" t="str">
        <f t="shared" si="97"/>
        <v/>
      </c>
      <c r="O71" s="883" t="str">
        <f t="shared" si="97"/>
        <v/>
      </c>
      <c r="P71" s="883" t="str">
        <f t="shared" si="97"/>
        <v/>
      </c>
      <c r="Q71" s="883" t="str">
        <f t="shared" si="97"/>
        <v/>
      </c>
      <c r="R71" s="883" t="str">
        <f t="shared" si="97"/>
        <v/>
      </c>
      <c r="S71" s="883" t="str">
        <f t="shared" si="97"/>
        <v/>
      </c>
      <c r="T71" s="883" t="str">
        <f t="shared" si="97"/>
        <v/>
      </c>
      <c r="U71" s="883" t="str">
        <f t="shared" si="97"/>
        <v/>
      </c>
      <c r="V71" s="883" t="str">
        <f t="shared" si="97"/>
        <v/>
      </c>
      <c r="W71" s="884">
        <f t="shared" si="89"/>
        <v>0</v>
      </c>
      <c r="X71">
        <v>4</v>
      </c>
      <c r="Y71" t="str">
        <f>IF(W71&gt;0, HLOOKUP("OUTLIER", $G71:$V$75, X71, 0), "")</f>
        <v/>
      </c>
      <c r="AA71" s="148" t="str">
        <f t="shared" si="90"/>
        <v/>
      </c>
      <c r="AB71" s="856" t="e">
        <f t="shared" si="91"/>
        <v>#DIV/0!</v>
      </c>
      <c r="AC71" s="857" t="e">
        <f t="shared" si="92"/>
        <v>#DIV/0!</v>
      </c>
      <c r="AD71" s="856" t="e">
        <f t="shared" si="93"/>
        <v>#DIV/0!</v>
      </c>
      <c r="AE71" s="856" t="e">
        <f t="shared" si="94"/>
        <v>#DIV/0!</v>
      </c>
      <c r="BJ71" s="867"/>
    </row>
    <row r="72" spans="1:115" ht="17.25" hidden="1" customHeight="1" outlineLevel="1" thickBot="1" x14ac:dyDescent="0.3">
      <c r="A72" s="1557"/>
      <c r="B72" s="1528"/>
      <c r="C72" s="888" t="str">
        <f>IF(Language="English", 'Language Look Ups'!$P$28,IF(Language="Francais", 'Language Look Ups'!$T$28, 'Language Look Ups'!$R$28))</f>
        <v>Spermicides</v>
      </c>
      <c r="D72" s="889"/>
      <c r="E72" s="889"/>
      <c r="F72" s="890"/>
      <c r="G72" s="883" t="str">
        <f t="shared" si="97"/>
        <v/>
      </c>
      <c r="H72" s="883" t="str">
        <f t="shared" si="97"/>
        <v/>
      </c>
      <c r="I72" s="883" t="str">
        <f t="shared" si="97"/>
        <v/>
      </c>
      <c r="J72" s="883" t="str">
        <f t="shared" si="97"/>
        <v/>
      </c>
      <c r="K72" s="883" t="str">
        <f t="shared" si="97"/>
        <v/>
      </c>
      <c r="L72" s="883" t="str">
        <f t="shared" si="97"/>
        <v/>
      </c>
      <c r="M72" s="883" t="str">
        <f t="shared" si="97"/>
        <v/>
      </c>
      <c r="N72" s="883" t="str">
        <f t="shared" si="97"/>
        <v/>
      </c>
      <c r="O72" s="883" t="str">
        <f t="shared" si="97"/>
        <v/>
      </c>
      <c r="P72" s="883" t="str">
        <f t="shared" si="97"/>
        <v/>
      </c>
      <c r="Q72" s="883" t="str">
        <f t="shared" si="97"/>
        <v/>
      </c>
      <c r="R72" s="883" t="str">
        <f t="shared" si="97"/>
        <v/>
      </c>
      <c r="S72" s="883" t="str">
        <f t="shared" si="97"/>
        <v/>
      </c>
      <c r="T72" s="883" t="str">
        <f t="shared" si="97"/>
        <v/>
      </c>
      <c r="U72" s="883" t="str">
        <f t="shared" si="97"/>
        <v/>
      </c>
      <c r="V72" s="883" t="str">
        <f t="shared" si="97"/>
        <v/>
      </c>
      <c r="W72" s="884">
        <f t="shared" si="89"/>
        <v>0</v>
      </c>
      <c r="X72">
        <v>3</v>
      </c>
      <c r="Y72" t="str">
        <f>IF(W72&gt;0, HLOOKUP("OUTLIER", $G72:$V$75, X72, 0), "")</f>
        <v/>
      </c>
      <c r="AA72" s="148" t="str">
        <f t="shared" si="90"/>
        <v/>
      </c>
      <c r="AB72" s="856" t="e">
        <f t="shared" si="91"/>
        <v>#DIV/0!</v>
      </c>
      <c r="AC72" s="857" t="e">
        <f t="shared" si="92"/>
        <v>#DIV/0!</v>
      </c>
      <c r="AD72" s="856" t="e">
        <f t="shared" si="93"/>
        <v>#DIV/0!</v>
      </c>
      <c r="AE72" s="856" t="e">
        <f t="shared" si="94"/>
        <v>#DIV/0!</v>
      </c>
      <c r="BJ72" s="866"/>
    </row>
    <row r="73" spans="1:115" ht="34.9" hidden="1" customHeight="1" outlineLevel="1" thickBot="1" x14ac:dyDescent="0.3">
      <c r="A73" s="1557"/>
      <c r="B73" s="894" t="str">
        <f>IF(Language="English", 'Language Look Ups'!$O$29,IF(Language="Francais", 'Language Look Ups'!$S$29, 'Language Look Ups'!Q$29))</f>
        <v>Contraception d'urgence</v>
      </c>
      <c r="C73" s="895" t="str">
        <f>IF(Language="English", 'Language Look Ups'!$P$29,IF(Language="Francais", 'Language Look Ups'!$T$29, 'Language Look Ups'!$R$29))</f>
        <v>CU</v>
      </c>
      <c r="D73" s="896"/>
      <c r="E73" s="896"/>
      <c r="F73" s="897"/>
      <c r="G73" s="883" t="str">
        <f t="shared" si="97"/>
        <v/>
      </c>
      <c r="H73" s="883" t="str">
        <f t="shared" si="97"/>
        <v/>
      </c>
      <c r="I73" s="883" t="str">
        <f t="shared" si="97"/>
        <v/>
      </c>
      <c r="J73" s="883" t="str">
        <f t="shared" si="97"/>
        <v/>
      </c>
      <c r="K73" s="883" t="str">
        <f t="shared" si="97"/>
        <v/>
      </c>
      <c r="L73" s="883" t="str">
        <f t="shared" si="97"/>
        <v/>
      </c>
      <c r="M73" s="883" t="str">
        <f t="shared" si="97"/>
        <v/>
      </c>
      <c r="N73" s="883" t="str">
        <f t="shared" si="97"/>
        <v/>
      </c>
      <c r="O73" s="883" t="str">
        <f t="shared" si="97"/>
        <v/>
      </c>
      <c r="P73" s="883" t="str">
        <f t="shared" si="97"/>
        <v/>
      </c>
      <c r="Q73" s="883" t="str">
        <f t="shared" si="97"/>
        <v/>
      </c>
      <c r="R73" s="883" t="str">
        <f t="shared" si="97"/>
        <v/>
      </c>
      <c r="S73" s="883" t="str">
        <f t="shared" si="97"/>
        <v/>
      </c>
      <c r="T73" s="883" t="str">
        <f t="shared" si="97"/>
        <v/>
      </c>
      <c r="U73" s="883" t="str">
        <f t="shared" si="97"/>
        <v/>
      </c>
      <c r="V73" s="883" t="str">
        <f t="shared" si="97"/>
        <v/>
      </c>
      <c r="W73" s="884">
        <f t="shared" si="89"/>
        <v>0</v>
      </c>
      <c r="X73">
        <v>2</v>
      </c>
      <c r="Y73" t="str">
        <f>IF(W73&gt;0, HLOOKUP("OUTLIER", $G73:$V$75, X73, 0), "")</f>
        <v/>
      </c>
      <c r="AA73" s="148" t="str">
        <f t="shared" si="90"/>
        <v/>
      </c>
      <c r="AB73" s="856" t="e">
        <f t="shared" si="91"/>
        <v>#DIV/0!</v>
      </c>
      <c r="AC73" s="857" t="e">
        <f t="shared" si="92"/>
        <v>#DIV/0!</v>
      </c>
      <c r="AD73" s="856" t="e">
        <f t="shared" si="93"/>
        <v>#DIV/0!</v>
      </c>
      <c r="AE73" s="856" t="e">
        <f t="shared" si="94"/>
        <v>#DIV/0!</v>
      </c>
    </row>
    <row r="74" spans="1:115" ht="20.45" hidden="1" customHeight="1" outlineLevel="1" x14ac:dyDescent="0.25">
      <c r="A74" s="1557"/>
      <c r="B74" s="898"/>
      <c r="C74" s="899"/>
      <c r="D74" s="900"/>
      <c r="E74" s="900"/>
      <c r="F74" s="901"/>
      <c r="G74" s="883"/>
      <c r="H74" s="883"/>
      <c r="I74" s="883"/>
      <c r="J74" s="883"/>
      <c r="K74" s="883"/>
      <c r="L74" s="883"/>
      <c r="M74" s="883"/>
      <c r="N74" s="883"/>
      <c r="O74" s="883"/>
      <c r="P74" s="883"/>
      <c r="Q74" s="883"/>
      <c r="R74" s="883"/>
      <c r="S74" s="883"/>
      <c r="T74" s="883"/>
      <c r="U74" s="883"/>
      <c r="V74" s="883"/>
      <c r="W74" s="902"/>
      <c r="AA74" s="148" t="str">
        <f t="shared" si="90"/>
        <v/>
      </c>
      <c r="AB74" s="856">
        <f t="shared" si="91"/>
        <v>0</v>
      </c>
      <c r="AC74" s="857" t="e">
        <f t="shared" si="92"/>
        <v>#DIV/0!</v>
      </c>
      <c r="AD74" s="856" t="e">
        <f t="shared" si="93"/>
        <v>#DIV/0!</v>
      </c>
      <c r="AE74" s="856" t="e">
        <f t="shared" si="94"/>
        <v>#DIV/0!</v>
      </c>
    </row>
    <row r="75" spans="1:115" ht="12.75" hidden="1" customHeight="1" outlineLevel="1" thickBot="1" x14ac:dyDescent="0.3">
      <c r="A75" s="1557"/>
      <c r="G75" s="426">
        <f>'3. ServiceStats Set Up'!$C$19</f>
        <v>0</v>
      </c>
      <c r="H75" s="427" t="str">
        <f>IFERROR(IF(G75+1&lt;='3. ServiceStats Set Up'!$C$20, 'Commodities (Clients) Input'!G75+1, ""), "")</f>
        <v/>
      </c>
      <c r="I75" s="427" t="str">
        <f>IFERROR(IF(H75+1&lt;='3. ServiceStats Set Up'!$C$20, 'Commodities (Clients) Input'!H75+1, ""), "")</f>
        <v/>
      </c>
      <c r="J75" s="427" t="str">
        <f>IFERROR(IF(I75+1&lt;='3. ServiceStats Set Up'!$C$20, 'Commodities (Clients) Input'!I75+1, ""), "")</f>
        <v/>
      </c>
      <c r="K75" s="427" t="str">
        <f>IFERROR(IF(J75+1&lt;='3. ServiceStats Set Up'!$C$20, 'Commodities (Clients) Input'!J75+1, ""), "")</f>
        <v/>
      </c>
      <c r="L75" s="427" t="str">
        <f>IFERROR(IF(K75+1&lt;='3. ServiceStats Set Up'!$C$20, 'Commodities (Clients) Input'!K75+1, ""), "")</f>
        <v/>
      </c>
      <c r="M75" s="427" t="str">
        <f>IFERROR(IF(L75+1&lt;='3. ServiceStats Set Up'!$C$20, 'Commodities (Clients) Input'!L75+1, ""), "")</f>
        <v/>
      </c>
      <c r="N75" s="427" t="str">
        <f>IFERROR(IF(M75+1&lt;='3. ServiceStats Set Up'!$C$20, 'Commodities (Clients) Input'!M75+1, ""), "")</f>
        <v/>
      </c>
      <c r="O75" s="427" t="str">
        <f>IFERROR(IF(N75+1&lt;='3. ServiceStats Set Up'!$C$20, 'Commodities (Clients) Input'!N75+1, ""), "")</f>
        <v/>
      </c>
      <c r="P75" s="427" t="str">
        <f>IFERROR(IF(O75+1&lt;='3. ServiceStats Set Up'!$C$20, 'Commodities (Clients) Input'!O75+1, ""), "")</f>
        <v/>
      </c>
      <c r="Q75" s="427" t="str">
        <f>IFERROR(IF(P75+1&lt;='3. ServiceStats Set Up'!$C$20, 'Commodities (Clients) Input'!P75+1, ""), "")</f>
        <v/>
      </c>
      <c r="R75" s="427" t="str">
        <f>IFERROR(IF(Q75+1&lt;='3. ServiceStats Set Up'!$C$20, 'Commodities (Clients) Input'!Q75+1, ""), "")</f>
        <v/>
      </c>
      <c r="S75" s="427" t="str">
        <f>IFERROR(IF(R75+1&lt;='3. ServiceStats Set Up'!$C$20, 'Commodities (Clients) Input'!R75+1, ""), "")</f>
        <v/>
      </c>
      <c r="T75" s="427" t="str">
        <f>IFERROR(IF(S75+1&lt;='3. ServiceStats Set Up'!$C$20, 'Commodities (Clients) Input'!S75+1, ""), "")</f>
        <v/>
      </c>
      <c r="U75" s="427" t="str">
        <f>IFERROR(IF(T75+1&lt;='3. ServiceStats Set Up'!$C$20, 'Commodities (Clients) Input'!T75+1, ""), "")</f>
        <v/>
      </c>
      <c r="V75" s="427" t="str">
        <f>IFERROR(IF(U75+1&lt;='3. ServiceStats Set Up'!$C$20, 'Commodities (Clients) Input'!U75+1, ""), "")</f>
        <v/>
      </c>
    </row>
    <row r="76" spans="1:115" s="1" customFormat="1" ht="42" hidden="1" customHeight="1" outlineLevel="1" thickBot="1" x14ac:dyDescent="0.3">
      <c r="A76" s="1557"/>
      <c r="B76" s="1509" t="s">
        <v>1217</v>
      </c>
      <c r="C76" s="1510"/>
      <c r="D76" s="1510"/>
      <c r="E76" s="1510"/>
      <c r="F76" s="1510"/>
      <c r="G76" s="1510"/>
      <c r="H76" s="1510"/>
      <c r="I76" s="1510"/>
      <c r="J76" s="1510"/>
      <c r="K76" s="1510"/>
      <c r="L76" s="1510"/>
      <c r="M76" s="1510"/>
      <c r="N76" s="1510"/>
      <c r="O76" s="1510"/>
      <c r="P76" s="1510"/>
      <c r="Q76" s="1510"/>
      <c r="R76" s="1510"/>
      <c r="S76" s="1510"/>
      <c r="T76" s="1510"/>
      <c r="U76" s="1510"/>
      <c r="V76" s="1511"/>
      <c r="W76"/>
      <c r="X76"/>
      <c r="Y76"/>
      <c r="Z76"/>
      <c r="AA76"/>
      <c r="AB76" s="156" t="s">
        <v>310</v>
      </c>
      <c r="AC76" s="157" t="s">
        <v>312</v>
      </c>
      <c r="AD76" s="43" t="s">
        <v>1195</v>
      </c>
      <c r="AE76" s="44" t="s">
        <v>1196</v>
      </c>
      <c r="AF76" s="43" t="s">
        <v>1197</v>
      </c>
      <c r="AG76" s="44" t="s">
        <v>1198</v>
      </c>
      <c r="AH76" s="43"/>
      <c r="AI76" s="44"/>
      <c r="AJ76" s="44"/>
      <c r="AK76" s="44"/>
      <c r="AL76" s="44"/>
      <c r="AM76" s="44"/>
      <c r="AN76" s="44"/>
      <c r="AO76" s="44"/>
      <c r="AP76" s="44"/>
      <c r="AQ76" s="45"/>
      <c r="AS76"/>
      <c r="AT76"/>
      <c r="AU76"/>
      <c r="AV76"/>
      <c r="AW76"/>
      <c r="AX76"/>
      <c r="AY76"/>
      <c r="AZ76"/>
      <c r="BA76" s="184"/>
      <c r="BB76" s="184"/>
      <c r="BC76" s="184"/>
      <c r="BD76"/>
      <c r="BE76"/>
      <c r="BF76"/>
      <c r="BG76"/>
      <c r="BH76"/>
      <c r="BI76" s="181"/>
      <c r="DK76"/>
    </row>
    <row r="77" spans="1:115" ht="17.25" hidden="1" customHeight="1" outlineLevel="1" x14ac:dyDescent="0.25">
      <c r="A77" s="1557"/>
      <c r="B77" s="1494" t="s">
        <v>1</v>
      </c>
      <c r="C77" s="885" t="str">
        <f>IF(Language="English", 'Language Look Ups'!$P$6,IF(Language="Francais", 'Language Look Ups'!$T$6, 'Language Look Ups'!$R$6))</f>
        <v>Ligature des trompes</v>
      </c>
      <c r="D77" s="886"/>
      <c r="E77" s="886"/>
      <c r="F77" s="887"/>
      <c r="G77" s="883"/>
      <c r="H77" s="903" t="str">
        <f t="shared" ref="H77:V83" si="116">IF(H$21="", "", IFERROR((H23-G23)/G23, ""))</f>
        <v/>
      </c>
      <c r="I77" s="903" t="str">
        <f t="shared" si="116"/>
        <v/>
      </c>
      <c r="J77" s="903" t="str">
        <f t="shared" si="116"/>
        <v/>
      </c>
      <c r="K77" s="903" t="str">
        <f>IF(K$21="", "", IFERROR((K23-J23)/J23, ""))</f>
        <v/>
      </c>
      <c r="L77" s="903" t="str">
        <f>IF(L$21="", "", IFERROR((L23-K23)/K23, ""))</f>
        <v/>
      </c>
      <c r="M77" s="903" t="str">
        <f t="shared" si="116"/>
        <v/>
      </c>
      <c r="N77" s="903" t="str">
        <f t="shared" ref="N77:P81" si="117">IF(N$21="", "", IFERROR((N23-M23)/M23, ""))</f>
        <v/>
      </c>
      <c r="O77" s="903" t="str">
        <f t="shared" si="117"/>
        <v/>
      </c>
      <c r="P77" s="903" t="str">
        <f t="shared" si="117"/>
        <v/>
      </c>
      <c r="Q77" s="903" t="str">
        <f t="shared" si="116"/>
        <v/>
      </c>
      <c r="R77" s="903" t="str">
        <f t="shared" si="116"/>
        <v/>
      </c>
      <c r="S77" s="903" t="str">
        <f t="shared" si="116"/>
        <v/>
      </c>
      <c r="T77" s="903" t="str">
        <f t="shared" si="116"/>
        <v/>
      </c>
      <c r="U77" s="903" t="str">
        <f t="shared" si="116"/>
        <v/>
      </c>
      <c r="V77" s="903" t="str">
        <f t="shared" si="116"/>
        <v/>
      </c>
      <c r="AA77" s="148"/>
      <c r="AB77" s="161">
        <f>COUNTIF(H77:V77, "&lt;-.25")</f>
        <v>0</v>
      </c>
      <c r="AC77" s="162">
        <f>COUNTIF(H77:V77, "&gt;150%")</f>
        <v>0</v>
      </c>
      <c r="AD77" s="2" t="e">
        <f t="shared" ref="AD77:AD101" si="118">AVERAGE(G23:V23)</f>
        <v>#DIV/0!</v>
      </c>
      <c r="AE77" s="2" t="e">
        <f t="shared" ref="AE77:AE101" si="119">_xlfn.STDEV.S(G23:V23)*2</f>
        <v>#DIV/0!</v>
      </c>
      <c r="AF77">
        <f>COUNTIF(G23:V23,"&gt;"&amp;AD77+AE77)</f>
        <v>0</v>
      </c>
      <c r="AG77">
        <f>COUNTIF(H23:W23,"&gt;"&amp;AD77-AE77)</f>
        <v>0</v>
      </c>
    </row>
    <row r="78" spans="1:115" ht="17.25" hidden="1" customHeight="1" outlineLevel="1" thickBot="1" x14ac:dyDescent="0.3">
      <c r="A78" s="1557"/>
      <c r="B78" s="1495"/>
      <c r="C78" s="888" t="str">
        <f>IF(Language="English",'Language Look Ups'!$P$7,IF(Language="Francais",'Language Look Ups'!$T$7,'Language Look Ups'!$R$7))</f>
        <v>Vasectomie</v>
      </c>
      <c r="D78" s="889"/>
      <c r="E78" s="889"/>
      <c r="F78" s="890"/>
      <c r="G78" s="904"/>
      <c r="H78" s="905" t="str">
        <f t="shared" si="116"/>
        <v/>
      </c>
      <c r="I78" s="905" t="str">
        <f t="shared" si="116"/>
        <v/>
      </c>
      <c r="J78" s="905" t="str">
        <f t="shared" si="116"/>
        <v/>
      </c>
      <c r="K78" s="905" t="str">
        <f t="shared" si="116"/>
        <v/>
      </c>
      <c r="L78" s="905" t="str">
        <f t="shared" si="116"/>
        <v/>
      </c>
      <c r="M78" s="905" t="str">
        <f t="shared" si="116"/>
        <v/>
      </c>
      <c r="N78" s="905" t="str">
        <f t="shared" si="117"/>
        <v/>
      </c>
      <c r="O78" s="905" t="str">
        <f t="shared" si="117"/>
        <v/>
      </c>
      <c r="P78" s="905" t="str">
        <f t="shared" si="117"/>
        <v/>
      </c>
      <c r="Q78" s="905" t="str">
        <f t="shared" si="116"/>
        <v/>
      </c>
      <c r="R78" s="905" t="str">
        <f t="shared" si="116"/>
        <v/>
      </c>
      <c r="S78" s="905" t="str">
        <f t="shared" si="116"/>
        <v/>
      </c>
      <c r="T78" s="905" t="str">
        <f t="shared" si="116"/>
        <v/>
      </c>
      <c r="U78" s="905" t="str">
        <f t="shared" si="116"/>
        <v/>
      </c>
      <c r="V78" s="905" t="str">
        <f t="shared" si="116"/>
        <v/>
      </c>
      <c r="AA78" s="149">
        <f>COUNTIF(AB78:AC78, "&gt;0")</f>
        <v>0</v>
      </c>
      <c r="AB78" s="163">
        <f t="shared" ref="AB78:AB100" si="120">COUNTIF(H78:V78, "&lt;-.25")</f>
        <v>0</v>
      </c>
      <c r="AC78" s="164">
        <f t="shared" ref="AC78:AC83" si="121">COUNTIF(H78:V78, "&gt;150%")</f>
        <v>0</v>
      </c>
      <c r="AD78" s="2" t="e">
        <f t="shared" si="118"/>
        <v>#DIV/0!</v>
      </c>
      <c r="AE78" s="2" t="e">
        <f t="shared" si="119"/>
        <v>#DIV/0!</v>
      </c>
      <c r="AF78">
        <f t="shared" ref="AF78:AF101" si="122">COUNTIF(G24:V24,"&gt;"&amp;AE78)</f>
        <v>0</v>
      </c>
    </row>
    <row r="79" spans="1:115" ht="17.25" hidden="1" customHeight="1" outlineLevel="1" x14ac:dyDescent="0.25">
      <c r="A79" s="1557"/>
      <c r="B79" s="1494" t="s">
        <v>5</v>
      </c>
      <c r="C79" s="885" t="str">
        <f>IF(Language="English", 'Language Look Ups'!$P$8,IF(Language="Francais", 'Language Look Ups'!$T$8, 'Language Look Ups'!$R$8))</f>
        <v>Copper- T 380-A DIU</v>
      </c>
      <c r="D79" s="886"/>
      <c r="E79" s="886"/>
      <c r="F79" s="887"/>
      <c r="G79" s="883"/>
      <c r="H79" s="903" t="str">
        <f t="shared" si="116"/>
        <v/>
      </c>
      <c r="I79" s="903" t="str">
        <f t="shared" si="116"/>
        <v/>
      </c>
      <c r="J79" s="903" t="str">
        <f t="shared" si="116"/>
        <v/>
      </c>
      <c r="K79" s="903" t="str">
        <f t="shared" ref="K79:M83" si="123">IF(K$21="", "", IFERROR((K25-J25)/J25, ""))</f>
        <v/>
      </c>
      <c r="L79" s="903" t="str">
        <f t="shared" si="123"/>
        <v/>
      </c>
      <c r="M79" s="903" t="str">
        <f t="shared" si="123"/>
        <v/>
      </c>
      <c r="N79" s="903" t="str">
        <f t="shared" si="117"/>
        <v/>
      </c>
      <c r="O79" s="903" t="str">
        <f t="shared" si="117"/>
        <v/>
      </c>
      <c r="P79" s="903" t="str">
        <f t="shared" si="117"/>
        <v/>
      </c>
      <c r="Q79" s="903" t="str">
        <f t="shared" si="116"/>
        <v/>
      </c>
      <c r="R79" s="903" t="str">
        <f t="shared" si="116"/>
        <v/>
      </c>
      <c r="S79" s="903" t="str">
        <f t="shared" si="116"/>
        <v/>
      </c>
      <c r="T79" s="903" t="str">
        <f t="shared" si="116"/>
        <v/>
      </c>
      <c r="U79" s="903" t="str">
        <f t="shared" si="116"/>
        <v/>
      </c>
      <c r="V79" s="903" t="str">
        <f t="shared" si="116"/>
        <v/>
      </c>
      <c r="AA79" s="148"/>
      <c r="AB79" s="161">
        <f t="shared" si="120"/>
        <v>0</v>
      </c>
      <c r="AC79" s="162">
        <f t="shared" si="121"/>
        <v>0</v>
      </c>
      <c r="AD79" s="2" t="e">
        <f t="shared" si="118"/>
        <v>#DIV/0!</v>
      </c>
      <c r="AE79" s="2" t="e">
        <f t="shared" si="119"/>
        <v>#DIV/0!</v>
      </c>
      <c r="AF79">
        <f t="shared" si="122"/>
        <v>0</v>
      </c>
    </row>
    <row r="80" spans="1:115" ht="17.25" hidden="1" customHeight="1" outlineLevel="1" thickBot="1" x14ac:dyDescent="0.3">
      <c r="A80" s="1557"/>
      <c r="B80" s="1495"/>
      <c r="C80" s="888" t="str">
        <f>IF(Language="English", 'Language Look Ups'!$P$9,IF(Language="Francais", 'Language Look Ups'!$T$9, 'Language Look Ups'!$R$9))</f>
        <v>DIU Hormonal (LNG-IUS)</v>
      </c>
      <c r="D80" s="889"/>
      <c r="E80" s="889"/>
      <c r="F80" s="890"/>
      <c r="G80" s="904"/>
      <c r="H80" s="905" t="str">
        <f t="shared" si="116"/>
        <v/>
      </c>
      <c r="I80" s="905" t="str">
        <f t="shared" si="116"/>
        <v/>
      </c>
      <c r="J80" s="905" t="str">
        <f t="shared" si="116"/>
        <v/>
      </c>
      <c r="K80" s="905" t="str">
        <f t="shared" si="123"/>
        <v/>
      </c>
      <c r="L80" s="905" t="str">
        <f t="shared" si="123"/>
        <v/>
      </c>
      <c r="M80" s="905" t="str">
        <f t="shared" si="123"/>
        <v/>
      </c>
      <c r="N80" s="905" t="str">
        <f t="shared" si="117"/>
        <v/>
      </c>
      <c r="O80" s="905" t="str">
        <f t="shared" si="117"/>
        <v/>
      </c>
      <c r="P80" s="905" t="str">
        <f t="shared" si="117"/>
        <v/>
      </c>
      <c r="Q80" s="905" t="str">
        <f t="shared" si="116"/>
        <v/>
      </c>
      <c r="R80" s="905" t="str">
        <f t="shared" si="116"/>
        <v/>
      </c>
      <c r="S80" s="905" t="str">
        <f t="shared" si="116"/>
        <v/>
      </c>
      <c r="T80" s="905" t="str">
        <f t="shared" si="116"/>
        <v/>
      </c>
      <c r="U80" s="905" t="str">
        <f t="shared" si="116"/>
        <v/>
      </c>
      <c r="V80" s="905" t="str">
        <f t="shared" si="116"/>
        <v/>
      </c>
      <c r="AA80" s="149"/>
      <c r="AB80" s="163">
        <f t="shared" si="120"/>
        <v>0</v>
      </c>
      <c r="AC80" s="164">
        <f t="shared" si="121"/>
        <v>0</v>
      </c>
      <c r="AD80" s="2" t="e">
        <f t="shared" si="118"/>
        <v>#DIV/0!</v>
      </c>
      <c r="AE80" s="2" t="e">
        <f t="shared" si="119"/>
        <v>#DIV/0!</v>
      </c>
      <c r="AF80">
        <f t="shared" si="122"/>
        <v>0</v>
      </c>
    </row>
    <row r="81" spans="1:32" ht="17.25" hidden="1" customHeight="1" outlineLevel="1" x14ac:dyDescent="0.25">
      <c r="A81" s="1557"/>
      <c r="B81" s="1494" t="s">
        <v>3</v>
      </c>
      <c r="C81" s="885" t="str">
        <f>IF(Language="English", 'Language Look Ups'!$P$10,IF(Language="Francais", 'Language Look Ups'!$T$10, 'Language Look Ups'!$R$10))</f>
        <v>Implant de 3 ans (Implanon, Levoplant)</v>
      </c>
      <c r="D81" s="886"/>
      <c r="E81" s="886"/>
      <c r="F81" s="887"/>
      <c r="G81" s="883"/>
      <c r="H81" s="903" t="str">
        <f t="shared" si="116"/>
        <v/>
      </c>
      <c r="I81" s="903" t="str">
        <f t="shared" si="116"/>
        <v/>
      </c>
      <c r="J81" s="903" t="str">
        <f t="shared" si="116"/>
        <v/>
      </c>
      <c r="K81" s="903" t="str">
        <f t="shared" si="123"/>
        <v/>
      </c>
      <c r="L81" s="903" t="str">
        <f t="shared" si="123"/>
        <v/>
      </c>
      <c r="M81" s="903" t="str">
        <f t="shared" si="123"/>
        <v/>
      </c>
      <c r="N81" s="903" t="str">
        <f t="shared" si="117"/>
        <v/>
      </c>
      <c r="O81" s="903" t="str">
        <f t="shared" si="117"/>
        <v/>
      </c>
      <c r="P81" s="903" t="str">
        <f t="shared" si="117"/>
        <v/>
      </c>
      <c r="Q81" s="903" t="str">
        <f t="shared" si="116"/>
        <v/>
      </c>
      <c r="R81" s="903" t="str">
        <f t="shared" si="116"/>
        <v/>
      </c>
      <c r="S81" s="903" t="str">
        <f t="shared" si="116"/>
        <v/>
      </c>
      <c r="T81" s="903" t="str">
        <f t="shared" si="116"/>
        <v/>
      </c>
      <c r="U81" s="903" t="str">
        <f t="shared" si="116"/>
        <v/>
      </c>
      <c r="V81" s="903" t="str">
        <f t="shared" si="116"/>
        <v/>
      </c>
      <c r="AA81" s="148"/>
      <c r="AB81" s="161">
        <f t="shared" si="120"/>
        <v>0</v>
      </c>
      <c r="AC81" s="162">
        <f t="shared" si="121"/>
        <v>0</v>
      </c>
      <c r="AD81" s="2" t="e">
        <f t="shared" si="118"/>
        <v>#DIV/0!</v>
      </c>
      <c r="AE81" s="2" t="e">
        <f t="shared" si="119"/>
        <v>#DIV/0!</v>
      </c>
      <c r="AF81">
        <f t="shared" si="122"/>
        <v>0</v>
      </c>
    </row>
    <row r="82" spans="1:32" ht="17.25" hidden="1" customHeight="1" outlineLevel="1" x14ac:dyDescent="0.25">
      <c r="A82" s="1557"/>
      <c r="B82" s="1496"/>
      <c r="C82" s="891" t="str">
        <f>IF(Language="English", 'Language Look Ups'!$P$11,IF(Language="Francais", 'Language Look Ups'!$T$11, 'Language Look Ups'!$R$11))</f>
        <v>Implant de 4 ans (Sino-Implant)</v>
      </c>
      <c r="D82" s="892"/>
      <c r="E82" s="892"/>
      <c r="F82" s="893"/>
      <c r="G82" s="906"/>
      <c r="H82" s="907" t="str">
        <f t="shared" si="116"/>
        <v/>
      </c>
      <c r="I82" s="907" t="str">
        <f t="shared" si="116"/>
        <v/>
      </c>
      <c r="J82" s="907" t="str">
        <f t="shared" si="116"/>
        <v/>
      </c>
      <c r="K82" s="907" t="str">
        <f t="shared" si="123"/>
        <v/>
      </c>
      <c r="L82" s="907" t="str">
        <f t="shared" si="123"/>
        <v/>
      </c>
      <c r="M82" s="907" t="str">
        <f t="shared" si="123"/>
        <v/>
      </c>
      <c r="N82" s="907" t="str">
        <f>IF(N$21="", "", IFERROR((N28-M28)/M28, ""))</f>
        <v/>
      </c>
      <c r="O82" s="907" t="str">
        <f t="shared" si="116"/>
        <v/>
      </c>
      <c r="P82" s="907" t="str">
        <f t="shared" si="116"/>
        <v/>
      </c>
      <c r="Q82" s="907" t="str">
        <f t="shared" si="116"/>
        <v/>
      </c>
      <c r="R82" s="907" t="str">
        <f t="shared" si="116"/>
        <v/>
      </c>
      <c r="S82" s="907" t="str">
        <f t="shared" si="116"/>
        <v/>
      </c>
      <c r="T82" s="907" t="str">
        <f t="shared" si="116"/>
        <v/>
      </c>
      <c r="U82" s="907" t="str">
        <f t="shared" si="116"/>
        <v/>
      </c>
      <c r="V82" s="907" t="str">
        <f t="shared" si="116"/>
        <v/>
      </c>
      <c r="AB82" s="153">
        <f t="shared" si="120"/>
        <v>0</v>
      </c>
      <c r="AC82" s="154">
        <f t="shared" si="121"/>
        <v>0</v>
      </c>
      <c r="AD82" s="2" t="e">
        <f t="shared" si="118"/>
        <v>#DIV/0!</v>
      </c>
      <c r="AE82" s="2" t="e">
        <f t="shared" si="119"/>
        <v>#DIV/0!</v>
      </c>
      <c r="AF82">
        <f t="shared" si="122"/>
        <v>0</v>
      </c>
    </row>
    <row r="83" spans="1:32" ht="17.25" hidden="1" customHeight="1" outlineLevel="1" thickBot="1" x14ac:dyDescent="0.3">
      <c r="A83" s="1557"/>
      <c r="B83" s="1495"/>
      <c r="C83" s="888" t="str">
        <f>IF(Language="English", 'Language Look Ups'!$P$12,IF(Language="Francais", 'Language Look Ups'!$T$12, 'Language Look Ups'!$R$12))</f>
        <v>Implant de 5 ans (Jadelle)</v>
      </c>
      <c r="D83" s="889"/>
      <c r="E83" s="889"/>
      <c r="F83" s="890"/>
      <c r="G83" s="904"/>
      <c r="H83" s="905" t="str">
        <f t="shared" si="116"/>
        <v/>
      </c>
      <c r="I83" s="905" t="str">
        <f t="shared" si="116"/>
        <v/>
      </c>
      <c r="J83" s="905" t="str">
        <f t="shared" si="116"/>
        <v/>
      </c>
      <c r="K83" s="905" t="str">
        <f t="shared" si="123"/>
        <v/>
      </c>
      <c r="L83" s="905" t="str">
        <f t="shared" si="123"/>
        <v/>
      </c>
      <c r="M83" s="905" t="str">
        <f t="shared" si="123"/>
        <v/>
      </c>
      <c r="N83" s="905" t="str">
        <f>IF(N$21="", "", IFERROR((N29-M29)/M29, ""))</f>
        <v/>
      </c>
      <c r="O83" s="905" t="str">
        <f t="shared" si="116"/>
        <v/>
      </c>
      <c r="P83" s="905" t="str">
        <f t="shared" si="116"/>
        <v/>
      </c>
      <c r="Q83" s="905" t="str">
        <f t="shared" si="116"/>
        <v/>
      </c>
      <c r="R83" s="905" t="str">
        <f t="shared" si="116"/>
        <v/>
      </c>
      <c r="S83" s="905" t="str">
        <f t="shared" si="116"/>
        <v/>
      </c>
      <c r="T83" s="905" t="str">
        <f t="shared" si="116"/>
        <v/>
      </c>
      <c r="U83" s="905" t="str">
        <f t="shared" si="116"/>
        <v/>
      </c>
      <c r="V83" s="905" t="str">
        <f t="shared" si="116"/>
        <v/>
      </c>
      <c r="AA83" s="149"/>
      <c r="AB83" s="163">
        <f t="shared" si="120"/>
        <v>0</v>
      </c>
      <c r="AC83" s="164">
        <f t="shared" si="121"/>
        <v>0</v>
      </c>
      <c r="AD83" s="2" t="e">
        <f t="shared" si="118"/>
        <v>#DIV/0!</v>
      </c>
      <c r="AE83" s="2" t="e">
        <f t="shared" si="119"/>
        <v>#DIV/0!</v>
      </c>
      <c r="AF83">
        <f t="shared" si="122"/>
        <v>0</v>
      </c>
    </row>
    <row r="84" spans="1:32" ht="6" hidden="1" customHeight="1" outlineLevel="1" x14ac:dyDescent="0.25">
      <c r="A84" s="1557"/>
      <c r="C84" s="279"/>
      <c r="AB84" s="153"/>
      <c r="AC84" s="154"/>
      <c r="AD84" s="2" t="e">
        <f t="shared" si="118"/>
        <v>#DIV/0!</v>
      </c>
      <c r="AE84" s="2" t="e">
        <f t="shared" si="119"/>
        <v>#DIV/0!</v>
      </c>
      <c r="AF84">
        <f t="shared" si="122"/>
        <v>0</v>
      </c>
    </row>
    <row r="85" spans="1:32" ht="21.75" hidden="1" customHeight="1" outlineLevel="1" thickBot="1" x14ac:dyDescent="0.3">
      <c r="A85" s="1557"/>
      <c r="B85" s="104" t="s">
        <v>95</v>
      </c>
      <c r="C85" s="104"/>
      <c r="D85" s="51"/>
      <c r="E85" s="50"/>
      <c r="F85" s="42"/>
      <c r="G85" s="158"/>
      <c r="H85" s="159"/>
      <c r="I85" s="158"/>
      <c r="J85" s="159"/>
      <c r="K85" s="158"/>
      <c r="L85" s="159"/>
      <c r="M85" s="158"/>
      <c r="N85" s="159"/>
      <c r="O85" s="158"/>
      <c r="P85" s="159"/>
      <c r="Q85" s="158"/>
      <c r="R85" s="159"/>
      <c r="S85" s="158"/>
      <c r="T85" s="159"/>
      <c r="U85" s="158"/>
      <c r="V85" s="160"/>
      <c r="AB85" s="153"/>
      <c r="AC85" s="154"/>
      <c r="AD85" s="2" t="e">
        <f t="shared" si="118"/>
        <v>#DIV/0!</v>
      </c>
      <c r="AE85" s="2" t="e">
        <f t="shared" si="119"/>
        <v>#DIV/0!</v>
      </c>
      <c r="AF85">
        <f t="shared" si="122"/>
        <v>0</v>
      </c>
    </row>
    <row r="86" spans="1:32" ht="17.25" hidden="1" customHeight="1" outlineLevel="1" x14ac:dyDescent="0.25">
      <c r="A86" s="1557"/>
      <c r="B86" s="1494" t="s">
        <v>2</v>
      </c>
      <c r="C86" s="885" t="str">
        <f>IF(Language="English", 'Language Look Ups'!$P$15,IF(Language="Francais", 'Language Look Ups'!$T$15, 'Language Look Ups'!$R$15))</f>
        <v>Depo Provera (DMPA)</v>
      </c>
      <c r="D86" s="886"/>
      <c r="E86" s="886"/>
      <c r="F86" s="887"/>
      <c r="G86" s="908"/>
      <c r="H86" s="903" t="str">
        <f t="shared" ref="H86:V101" si="124">IF(H$21="", "", IFERROR((H32-G32)/G32, ""))</f>
        <v/>
      </c>
      <c r="I86" s="903" t="str">
        <f t="shared" si="124"/>
        <v/>
      </c>
      <c r="J86" s="903" t="str">
        <f t="shared" si="124"/>
        <v/>
      </c>
      <c r="K86" s="903" t="str">
        <f t="shared" si="124"/>
        <v/>
      </c>
      <c r="L86" s="903" t="str">
        <f t="shared" si="124"/>
        <v/>
      </c>
      <c r="M86" s="903" t="str">
        <f t="shared" si="124"/>
        <v/>
      </c>
      <c r="N86" s="903" t="str">
        <f t="shared" si="124"/>
        <v/>
      </c>
      <c r="O86" s="903" t="str">
        <f t="shared" si="124"/>
        <v/>
      </c>
      <c r="P86" s="903" t="str">
        <f t="shared" si="124"/>
        <v/>
      </c>
      <c r="Q86" s="903" t="str">
        <f t="shared" si="124"/>
        <v/>
      </c>
      <c r="R86" s="903" t="str">
        <f t="shared" si="124"/>
        <v/>
      </c>
      <c r="S86" s="903" t="str">
        <f t="shared" si="124"/>
        <v/>
      </c>
      <c r="T86" s="903" t="str">
        <f t="shared" si="124"/>
        <v/>
      </c>
      <c r="U86" s="903" t="str">
        <f t="shared" si="124"/>
        <v/>
      </c>
      <c r="V86" s="903" t="str">
        <f t="shared" si="124"/>
        <v/>
      </c>
      <c r="AA86" s="148"/>
      <c r="AB86" s="161">
        <f t="shared" si="120"/>
        <v>0</v>
      </c>
      <c r="AC86" s="162">
        <f>COUNTIF(H86:V86, "&gt;150%")</f>
        <v>0</v>
      </c>
      <c r="AD86" s="2" t="e">
        <f t="shared" si="118"/>
        <v>#DIV/0!</v>
      </c>
      <c r="AE86" s="2" t="e">
        <f t="shared" si="119"/>
        <v>#DIV/0!</v>
      </c>
      <c r="AF86">
        <f t="shared" si="122"/>
        <v>0</v>
      </c>
    </row>
    <row r="87" spans="1:32" ht="17.25" hidden="1" customHeight="1" outlineLevel="1" x14ac:dyDescent="0.25">
      <c r="A87" s="1557"/>
      <c r="B87" s="1496"/>
      <c r="C87" s="891" t="str">
        <f>IF(Language="English", 'Language Look Ups'!$P$16,IF(Language="Francais", 'Language Look Ups'!$T$16, 'Language Look Ups'!$R$16))</f>
        <v>Noristerat (NET-En)</v>
      </c>
      <c r="D87" s="892"/>
      <c r="E87" s="892"/>
      <c r="F87" s="893"/>
      <c r="G87" s="909"/>
      <c r="H87" s="907" t="str">
        <f t="shared" si="124"/>
        <v/>
      </c>
      <c r="I87" s="907" t="str">
        <f t="shared" si="124"/>
        <v/>
      </c>
      <c r="J87" s="907" t="str">
        <f t="shared" si="124"/>
        <v/>
      </c>
      <c r="K87" s="907" t="str">
        <f t="shared" si="124"/>
        <v/>
      </c>
      <c r="L87" s="907" t="str">
        <f t="shared" si="124"/>
        <v/>
      </c>
      <c r="M87" s="907" t="str">
        <f t="shared" si="124"/>
        <v/>
      </c>
      <c r="N87" s="907" t="str">
        <f t="shared" si="124"/>
        <v/>
      </c>
      <c r="O87" s="907" t="str">
        <f t="shared" si="124"/>
        <v/>
      </c>
      <c r="P87" s="907" t="str">
        <f t="shared" si="124"/>
        <v/>
      </c>
      <c r="Q87" s="907" t="str">
        <f t="shared" si="124"/>
        <v/>
      </c>
      <c r="R87" s="907" t="str">
        <f t="shared" si="124"/>
        <v/>
      </c>
      <c r="S87" s="907" t="str">
        <f t="shared" si="124"/>
        <v/>
      </c>
      <c r="T87" s="907" t="str">
        <f t="shared" si="124"/>
        <v/>
      </c>
      <c r="U87" s="907" t="str">
        <f t="shared" si="124"/>
        <v/>
      </c>
      <c r="V87" s="907" t="str">
        <f t="shared" si="124"/>
        <v/>
      </c>
      <c r="AB87" s="153">
        <f t="shared" si="120"/>
        <v>0</v>
      </c>
      <c r="AC87" s="154">
        <f t="shared" ref="AC87:AC100" si="125">COUNTIF(H87:V87, "&gt;150%")</f>
        <v>0</v>
      </c>
      <c r="AD87" s="2" t="e">
        <f t="shared" si="118"/>
        <v>#DIV/0!</v>
      </c>
      <c r="AE87" s="2" t="e">
        <f t="shared" si="119"/>
        <v>#DIV/0!</v>
      </c>
      <c r="AF87">
        <f t="shared" si="122"/>
        <v>0</v>
      </c>
    </row>
    <row r="88" spans="1:32" ht="17.25" hidden="1" customHeight="1" outlineLevel="1" x14ac:dyDescent="0.25">
      <c r="A88" s="1557"/>
      <c r="B88" s="1496"/>
      <c r="C88" s="891" t="str">
        <f>IF(Language="English",'Language Look Ups'!$P$17,IF(Language="Francais",'Language Look Ups'!$T$17,'Language Look Ups'!$R$17))</f>
        <v>Lunelle</v>
      </c>
      <c r="D88" s="892"/>
      <c r="E88" s="892"/>
      <c r="F88" s="893"/>
      <c r="G88" s="909"/>
      <c r="H88" s="907" t="str">
        <f t="shared" si="124"/>
        <v/>
      </c>
      <c r="I88" s="907" t="str">
        <f t="shared" si="124"/>
        <v/>
      </c>
      <c r="J88" s="907" t="str">
        <f t="shared" si="124"/>
        <v/>
      </c>
      <c r="K88" s="907" t="str">
        <f t="shared" si="124"/>
        <v/>
      </c>
      <c r="L88" s="907" t="str">
        <f t="shared" si="124"/>
        <v/>
      </c>
      <c r="M88" s="907" t="str">
        <f t="shared" si="124"/>
        <v/>
      </c>
      <c r="N88" s="907" t="str">
        <f t="shared" si="124"/>
        <v/>
      </c>
      <c r="O88" s="907" t="str">
        <f t="shared" si="124"/>
        <v/>
      </c>
      <c r="P88" s="907" t="str">
        <f t="shared" si="124"/>
        <v/>
      </c>
      <c r="Q88" s="907" t="str">
        <f t="shared" si="124"/>
        <v/>
      </c>
      <c r="R88" s="907" t="str">
        <f t="shared" si="124"/>
        <v/>
      </c>
      <c r="S88" s="907" t="str">
        <f t="shared" si="124"/>
        <v/>
      </c>
      <c r="T88" s="907" t="str">
        <f t="shared" si="124"/>
        <v/>
      </c>
      <c r="U88" s="907" t="str">
        <f t="shared" si="124"/>
        <v/>
      </c>
      <c r="V88" s="907" t="str">
        <f t="shared" si="124"/>
        <v/>
      </c>
      <c r="AB88" s="153">
        <f t="shared" si="120"/>
        <v>0</v>
      </c>
      <c r="AC88" s="154">
        <f t="shared" si="125"/>
        <v>0</v>
      </c>
      <c r="AD88" s="2" t="e">
        <f t="shared" si="118"/>
        <v>#DIV/0!</v>
      </c>
      <c r="AE88" s="2" t="e">
        <f t="shared" si="119"/>
        <v>#DIV/0!</v>
      </c>
      <c r="AF88">
        <f t="shared" si="122"/>
        <v>0</v>
      </c>
    </row>
    <row r="89" spans="1:32" ht="17.25" hidden="1" customHeight="1" outlineLevel="1" x14ac:dyDescent="0.25">
      <c r="A89" s="1557"/>
      <c r="B89" s="1496"/>
      <c r="C89" s="891" t="str">
        <f>IF(Language="English", 'Language Look Ups'!$P$18,IF(Language="Francais", 'Language Look Ups'!$T$18, 'Language Look Ups'!$R$18))</f>
        <v>Sayana Press</v>
      </c>
      <c r="D89" s="892"/>
      <c r="E89" s="892"/>
      <c r="F89" s="893"/>
      <c r="G89" s="909"/>
      <c r="H89" s="907" t="str">
        <f t="shared" si="124"/>
        <v/>
      </c>
      <c r="I89" s="907" t="str">
        <f t="shared" si="124"/>
        <v/>
      </c>
      <c r="J89" s="907" t="str">
        <f t="shared" si="124"/>
        <v/>
      </c>
      <c r="K89" s="907" t="str">
        <f t="shared" si="124"/>
        <v/>
      </c>
      <c r="L89" s="907" t="str">
        <f t="shared" si="124"/>
        <v/>
      </c>
      <c r="M89" s="907" t="str">
        <f t="shared" si="124"/>
        <v/>
      </c>
      <c r="N89" s="907" t="str">
        <f t="shared" si="124"/>
        <v/>
      </c>
      <c r="O89" s="907" t="str">
        <f t="shared" si="124"/>
        <v/>
      </c>
      <c r="P89" s="907" t="str">
        <f t="shared" si="124"/>
        <v/>
      </c>
      <c r="Q89" s="907" t="str">
        <f t="shared" si="124"/>
        <v/>
      </c>
      <c r="R89" s="907" t="str">
        <f t="shared" si="124"/>
        <v/>
      </c>
      <c r="S89" s="907" t="str">
        <f t="shared" si="124"/>
        <v/>
      </c>
      <c r="T89" s="907" t="str">
        <f t="shared" si="124"/>
        <v/>
      </c>
      <c r="U89" s="907" t="str">
        <f t="shared" si="124"/>
        <v/>
      </c>
      <c r="V89" s="907" t="str">
        <f t="shared" si="124"/>
        <v/>
      </c>
      <c r="AB89" s="153">
        <f t="shared" si="120"/>
        <v>0</v>
      </c>
      <c r="AC89" s="154">
        <f t="shared" si="125"/>
        <v>0</v>
      </c>
      <c r="AD89" s="2" t="e">
        <f t="shared" si="118"/>
        <v>#DIV/0!</v>
      </c>
      <c r="AE89" s="2" t="e">
        <f t="shared" si="119"/>
        <v>#DIV/0!</v>
      </c>
      <c r="AF89">
        <f t="shared" si="122"/>
        <v>0</v>
      </c>
    </row>
    <row r="90" spans="1:32" ht="17.25" hidden="1" customHeight="1" outlineLevel="1" thickBot="1" x14ac:dyDescent="0.3">
      <c r="A90" s="1557"/>
      <c r="B90" s="1495"/>
      <c r="C90" s="888" t="str">
        <f>IF(Language="English", 'Language Look Ups'!$P$19,IF(Language="Francais", 'Language Look Ups'!$T$19, 'Language Look Ups'!$R$19))</f>
        <v>Autre Injectable</v>
      </c>
      <c r="D90" s="889"/>
      <c r="E90" s="889"/>
      <c r="F90" s="890"/>
      <c r="G90" s="910"/>
      <c r="H90" s="905" t="str">
        <f t="shared" si="124"/>
        <v/>
      </c>
      <c r="I90" s="905" t="str">
        <f t="shared" si="124"/>
        <v/>
      </c>
      <c r="J90" s="905" t="str">
        <f t="shared" si="124"/>
        <v/>
      </c>
      <c r="K90" s="905" t="str">
        <f t="shared" si="124"/>
        <v/>
      </c>
      <c r="L90" s="905" t="str">
        <f t="shared" si="124"/>
        <v/>
      </c>
      <c r="M90" s="905" t="str">
        <f t="shared" si="124"/>
        <v/>
      </c>
      <c r="N90" s="905" t="str">
        <f t="shared" si="124"/>
        <v/>
      </c>
      <c r="O90" s="905" t="str">
        <f t="shared" si="124"/>
        <v/>
      </c>
      <c r="P90" s="905" t="str">
        <f t="shared" si="124"/>
        <v/>
      </c>
      <c r="Q90" s="905" t="str">
        <f t="shared" si="124"/>
        <v/>
      </c>
      <c r="R90" s="905" t="str">
        <f t="shared" si="124"/>
        <v/>
      </c>
      <c r="S90" s="905" t="str">
        <f t="shared" si="124"/>
        <v/>
      </c>
      <c r="T90" s="905" t="str">
        <f t="shared" si="124"/>
        <v/>
      </c>
      <c r="U90" s="905" t="str">
        <f t="shared" si="124"/>
        <v/>
      </c>
      <c r="V90" s="905" t="str">
        <f t="shared" si="124"/>
        <v/>
      </c>
      <c r="AA90" s="149"/>
      <c r="AB90" s="163">
        <f t="shared" si="120"/>
        <v>0</v>
      </c>
      <c r="AC90" s="164">
        <f t="shared" si="125"/>
        <v>0</v>
      </c>
      <c r="AD90" s="2" t="e">
        <f t="shared" si="118"/>
        <v>#DIV/0!</v>
      </c>
      <c r="AE90" s="2" t="e">
        <f t="shared" si="119"/>
        <v>#DIV/0!</v>
      </c>
      <c r="AF90">
        <f t="shared" si="122"/>
        <v>0</v>
      </c>
    </row>
    <row r="91" spans="1:32" ht="17.25" hidden="1" customHeight="1" outlineLevel="1" x14ac:dyDescent="0.25">
      <c r="A91" s="1557"/>
      <c r="B91" s="1494" t="s">
        <v>4</v>
      </c>
      <c r="C91" s="885" t="str">
        <f>IF(Language="English", 'Language Look Ups'!$P$20,IF(Language="Francais", 'Language Look Ups'!$T$20, 'Language Look Ups'!$R$20))</f>
        <v>Oraux combinés (COC)</v>
      </c>
      <c r="D91" s="886"/>
      <c r="E91" s="886"/>
      <c r="F91" s="887"/>
      <c r="G91" s="908"/>
      <c r="H91" s="903" t="str">
        <f t="shared" si="124"/>
        <v/>
      </c>
      <c r="I91" s="903" t="str">
        <f t="shared" si="124"/>
        <v/>
      </c>
      <c r="J91" s="903" t="str">
        <f t="shared" si="124"/>
        <v/>
      </c>
      <c r="K91" s="903" t="str">
        <f t="shared" si="124"/>
        <v/>
      </c>
      <c r="L91" s="903" t="str">
        <f t="shared" si="124"/>
        <v/>
      </c>
      <c r="M91" s="903" t="str">
        <f t="shared" si="124"/>
        <v/>
      </c>
      <c r="N91" s="903" t="str">
        <f t="shared" si="124"/>
        <v/>
      </c>
      <c r="O91" s="903" t="str">
        <f t="shared" si="124"/>
        <v/>
      </c>
      <c r="P91" s="903" t="str">
        <f t="shared" si="124"/>
        <v/>
      </c>
      <c r="Q91" s="903" t="str">
        <f t="shared" si="124"/>
        <v/>
      </c>
      <c r="R91" s="903" t="str">
        <f t="shared" si="124"/>
        <v/>
      </c>
      <c r="S91" s="903" t="str">
        <f t="shared" si="124"/>
        <v/>
      </c>
      <c r="T91" s="903" t="str">
        <f t="shared" si="124"/>
        <v/>
      </c>
      <c r="U91" s="903" t="str">
        <f t="shared" si="124"/>
        <v/>
      </c>
      <c r="V91" s="903" t="str">
        <f t="shared" si="124"/>
        <v/>
      </c>
      <c r="AA91" s="148"/>
      <c r="AB91" s="161">
        <f t="shared" si="120"/>
        <v>0</v>
      </c>
      <c r="AC91" s="162">
        <f t="shared" si="125"/>
        <v>0</v>
      </c>
      <c r="AD91" s="2" t="e">
        <f t="shared" si="118"/>
        <v>#DIV/0!</v>
      </c>
      <c r="AE91" s="2" t="e">
        <f t="shared" si="119"/>
        <v>#DIV/0!</v>
      </c>
      <c r="AF91">
        <f t="shared" si="122"/>
        <v>0</v>
      </c>
    </row>
    <row r="92" spans="1:32" ht="17.25" hidden="1" customHeight="1" outlineLevel="1" x14ac:dyDescent="0.25">
      <c r="A92" s="1557"/>
      <c r="B92" s="1496"/>
      <c r="C92" s="891" t="str">
        <f>IF(Language="English", 'Language Look Ups'!$P$21,IF(Language="Francais", 'Language Look Ups'!$T$21, 'Language Look Ups'!$R$21))</f>
        <v>Progestatifs seul (POP)</v>
      </c>
      <c r="D92" s="892"/>
      <c r="E92" s="892"/>
      <c r="F92" s="893"/>
      <c r="G92" s="909"/>
      <c r="H92" s="907" t="str">
        <f t="shared" si="124"/>
        <v/>
      </c>
      <c r="I92" s="907" t="str">
        <f t="shared" si="124"/>
        <v/>
      </c>
      <c r="J92" s="907" t="str">
        <f t="shared" si="124"/>
        <v/>
      </c>
      <c r="K92" s="907" t="str">
        <f t="shared" si="124"/>
        <v/>
      </c>
      <c r="L92" s="907" t="str">
        <f t="shared" si="124"/>
        <v/>
      </c>
      <c r="M92" s="907" t="str">
        <f t="shared" si="124"/>
        <v/>
      </c>
      <c r="N92" s="907" t="str">
        <f t="shared" si="124"/>
        <v/>
      </c>
      <c r="O92" s="907" t="str">
        <f t="shared" si="124"/>
        <v/>
      </c>
      <c r="P92" s="907" t="str">
        <f t="shared" si="124"/>
        <v/>
      </c>
      <c r="Q92" s="907" t="str">
        <f t="shared" si="124"/>
        <v/>
      </c>
      <c r="R92" s="907" t="str">
        <f t="shared" si="124"/>
        <v/>
      </c>
      <c r="S92" s="907" t="str">
        <f t="shared" si="124"/>
        <v/>
      </c>
      <c r="T92" s="907" t="str">
        <f t="shared" si="124"/>
        <v/>
      </c>
      <c r="U92" s="907" t="str">
        <f t="shared" si="124"/>
        <v/>
      </c>
      <c r="V92" s="907" t="str">
        <f t="shared" si="124"/>
        <v/>
      </c>
      <c r="AB92" s="153">
        <f t="shared" si="120"/>
        <v>0</v>
      </c>
      <c r="AC92" s="154">
        <f t="shared" si="125"/>
        <v>0</v>
      </c>
      <c r="AD92" s="2" t="e">
        <f t="shared" si="118"/>
        <v>#DIV/0!</v>
      </c>
      <c r="AE92" s="2" t="e">
        <f t="shared" si="119"/>
        <v>#DIV/0!</v>
      </c>
      <c r="AF92">
        <f t="shared" si="122"/>
        <v>0</v>
      </c>
    </row>
    <row r="93" spans="1:32" ht="17.25" hidden="1" customHeight="1" outlineLevel="1" thickBot="1" x14ac:dyDescent="0.3">
      <c r="A93" s="1557"/>
      <c r="B93" s="1495"/>
      <c r="C93" s="888" t="str">
        <f>IF(Language="English", 'Language Look Ups'!$P$22,IF(Language="Francais", 'Language Look Ups'!$T$22, 'Language Look Ups'!$R$22))</f>
        <v>Autre pilule</v>
      </c>
      <c r="D93" s="889"/>
      <c r="E93" s="889"/>
      <c r="F93" s="890"/>
      <c r="G93" s="910"/>
      <c r="H93" s="905" t="str">
        <f t="shared" si="124"/>
        <v/>
      </c>
      <c r="I93" s="905" t="str">
        <f t="shared" si="124"/>
        <v/>
      </c>
      <c r="J93" s="905" t="str">
        <f t="shared" si="124"/>
        <v/>
      </c>
      <c r="K93" s="905" t="str">
        <f t="shared" si="124"/>
        <v/>
      </c>
      <c r="L93" s="905" t="str">
        <f t="shared" si="124"/>
        <v/>
      </c>
      <c r="M93" s="905" t="str">
        <f t="shared" si="124"/>
        <v/>
      </c>
      <c r="N93" s="905" t="str">
        <f t="shared" si="124"/>
        <v/>
      </c>
      <c r="O93" s="905" t="str">
        <f t="shared" si="124"/>
        <v/>
      </c>
      <c r="P93" s="905" t="str">
        <f t="shared" si="124"/>
        <v/>
      </c>
      <c r="Q93" s="905" t="str">
        <f t="shared" si="124"/>
        <v/>
      </c>
      <c r="R93" s="905" t="str">
        <f t="shared" si="124"/>
        <v/>
      </c>
      <c r="S93" s="905" t="str">
        <f t="shared" si="124"/>
        <v/>
      </c>
      <c r="T93" s="905" t="str">
        <f t="shared" si="124"/>
        <v/>
      </c>
      <c r="U93" s="905" t="str">
        <f t="shared" si="124"/>
        <v/>
      </c>
      <c r="V93" s="905" t="str">
        <f t="shared" si="124"/>
        <v/>
      </c>
      <c r="AA93" s="149"/>
      <c r="AB93" s="163">
        <f t="shared" si="120"/>
        <v>0</v>
      </c>
      <c r="AC93" s="164">
        <f t="shared" si="125"/>
        <v>0</v>
      </c>
      <c r="AD93" s="2" t="e">
        <f t="shared" si="118"/>
        <v>#DIV/0!</v>
      </c>
      <c r="AE93" s="2" t="e">
        <f t="shared" si="119"/>
        <v>#DIV/0!</v>
      </c>
      <c r="AF93">
        <f t="shared" si="122"/>
        <v>0</v>
      </c>
    </row>
    <row r="94" spans="1:32" ht="17.25" hidden="1" customHeight="1" outlineLevel="1" x14ac:dyDescent="0.25">
      <c r="A94" s="1557"/>
      <c r="B94" s="1494" t="s">
        <v>0</v>
      </c>
      <c r="C94" s="885" t="str">
        <f>IF(Language="English", 'Language Look Ups'!$P$23,IF(Language="Francais", 'Language Look Ups'!$T$23, 'Language Look Ups'!$R$23))</f>
        <v>Préservatifs masculin</v>
      </c>
      <c r="D94" s="886"/>
      <c r="E94" s="886"/>
      <c r="F94" s="887"/>
      <c r="G94" s="908"/>
      <c r="H94" s="903" t="str">
        <f t="shared" si="124"/>
        <v/>
      </c>
      <c r="I94" s="903" t="str">
        <f t="shared" si="124"/>
        <v/>
      </c>
      <c r="J94" s="903" t="str">
        <f t="shared" si="124"/>
        <v/>
      </c>
      <c r="K94" s="903" t="str">
        <f t="shared" si="124"/>
        <v/>
      </c>
      <c r="L94" s="903" t="str">
        <f t="shared" si="124"/>
        <v/>
      </c>
      <c r="M94" s="903" t="str">
        <f t="shared" si="124"/>
        <v/>
      </c>
      <c r="N94" s="903" t="str">
        <f t="shared" si="124"/>
        <v/>
      </c>
      <c r="O94" s="903" t="str">
        <f t="shared" si="124"/>
        <v/>
      </c>
      <c r="P94" s="903" t="str">
        <f t="shared" si="124"/>
        <v/>
      </c>
      <c r="Q94" s="903" t="str">
        <f t="shared" si="124"/>
        <v/>
      </c>
      <c r="R94" s="903" t="str">
        <f t="shared" si="124"/>
        <v/>
      </c>
      <c r="S94" s="903" t="str">
        <f t="shared" si="124"/>
        <v/>
      </c>
      <c r="T94" s="903" t="str">
        <f t="shared" si="124"/>
        <v/>
      </c>
      <c r="U94" s="903" t="str">
        <f t="shared" si="124"/>
        <v/>
      </c>
      <c r="V94" s="903" t="str">
        <f t="shared" si="124"/>
        <v/>
      </c>
      <c r="AA94" s="148"/>
      <c r="AB94" s="161">
        <f t="shared" si="120"/>
        <v>0</v>
      </c>
      <c r="AC94" s="162">
        <f t="shared" si="125"/>
        <v>0</v>
      </c>
      <c r="AD94" s="2" t="e">
        <f t="shared" si="118"/>
        <v>#DIV/0!</v>
      </c>
      <c r="AE94" s="2" t="e">
        <f t="shared" si="119"/>
        <v>#DIV/0!</v>
      </c>
      <c r="AF94">
        <f t="shared" si="122"/>
        <v>0</v>
      </c>
    </row>
    <row r="95" spans="1:32" ht="17.25" hidden="1" customHeight="1" outlineLevel="1" thickBot="1" x14ac:dyDescent="0.3">
      <c r="A95" s="1557"/>
      <c r="B95" s="1495"/>
      <c r="C95" s="888" t="str">
        <f>IF(Language="English", 'Language Look Ups'!$P$24,IF(Language="Francais", 'Language Look Ups'!$T$24, 'Language Look Ups'!$R$24))</f>
        <v>Préservatifs feminin</v>
      </c>
      <c r="D95" s="889"/>
      <c r="E95" s="889"/>
      <c r="F95" s="890"/>
      <c r="G95" s="910"/>
      <c r="H95" s="905" t="str">
        <f t="shared" si="124"/>
        <v/>
      </c>
      <c r="I95" s="905" t="str">
        <f t="shared" si="124"/>
        <v/>
      </c>
      <c r="J95" s="905" t="str">
        <f t="shared" si="124"/>
        <v/>
      </c>
      <c r="K95" s="905" t="str">
        <f t="shared" si="124"/>
        <v/>
      </c>
      <c r="L95" s="905" t="str">
        <f t="shared" si="124"/>
        <v/>
      </c>
      <c r="M95" s="905" t="str">
        <f t="shared" si="124"/>
        <v/>
      </c>
      <c r="N95" s="905" t="str">
        <f t="shared" si="124"/>
        <v/>
      </c>
      <c r="O95" s="905" t="str">
        <f t="shared" si="124"/>
        <v/>
      </c>
      <c r="P95" s="905" t="str">
        <f t="shared" si="124"/>
        <v/>
      </c>
      <c r="Q95" s="905" t="str">
        <f t="shared" si="124"/>
        <v/>
      </c>
      <c r="R95" s="905" t="str">
        <f t="shared" si="124"/>
        <v/>
      </c>
      <c r="S95" s="905" t="str">
        <f t="shared" si="124"/>
        <v/>
      </c>
      <c r="T95" s="905" t="str">
        <f t="shared" si="124"/>
        <v/>
      </c>
      <c r="U95" s="905" t="str">
        <f t="shared" si="124"/>
        <v/>
      </c>
      <c r="V95" s="905" t="str">
        <f t="shared" si="124"/>
        <v/>
      </c>
      <c r="AA95" s="149"/>
      <c r="AB95" s="163">
        <f t="shared" si="120"/>
        <v>0</v>
      </c>
      <c r="AC95" s="164">
        <f t="shared" si="125"/>
        <v>0</v>
      </c>
      <c r="AD95" s="2" t="e">
        <f t="shared" si="118"/>
        <v>#DIV/0!</v>
      </c>
      <c r="AE95" s="2" t="e">
        <f t="shared" si="119"/>
        <v>#DIV/0!</v>
      </c>
      <c r="AF95">
        <f t="shared" si="122"/>
        <v>0</v>
      </c>
    </row>
    <row r="96" spans="1:32" ht="17.25" hidden="1" customHeight="1" outlineLevel="1" x14ac:dyDescent="0.25">
      <c r="A96" s="1557"/>
      <c r="B96" s="1494" t="s">
        <v>93</v>
      </c>
      <c r="C96" s="885" t="str">
        <f>IF(Language="English", 'Language Look Ups'!$P$25,IF(Language="Francais", 'Language Look Ups'!$T$25, 'Language Look Ups'!$R$25))</f>
        <v>MAMA</v>
      </c>
      <c r="D96" s="886"/>
      <c r="E96" s="886"/>
      <c r="F96" s="887"/>
      <c r="G96" s="908"/>
      <c r="H96" s="903" t="str">
        <f t="shared" si="124"/>
        <v/>
      </c>
      <c r="I96" s="903" t="str">
        <f t="shared" si="124"/>
        <v/>
      </c>
      <c r="J96" s="903" t="str">
        <f t="shared" si="124"/>
        <v/>
      </c>
      <c r="K96" s="903" t="str">
        <f t="shared" si="124"/>
        <v/>
      </c>
      <c r="L96" s="903" t="str">
        <f t="shared" si="124"/>
        <v/>
      </c>
      <c r="M96" s="903" t="str">
        <f t="shared" si="124"/>
        <v/>
      </c>
      <c r="N96" s="903" t="str">
        <f t="shared" si="124"/>
        <v/>
      </c>
      <c r="O96" s="903" t="str">
        <f t="shared" si="124"/>
        <v/>
      </c>
      <c r="P96" s="903" t="str">
        <f t="shared" si="124"/>
        <v/>
      </c>
      <c r="Q96" s="903" t="str">
        <f t="shared" si="124"/>
        <v/>
      </c>
      <c r="R96" s="903" t="str">
        <f t="shared" si="124"/>
        <v/>
      </c>
      <c r="S96" s="903" t="str">
        <f t="shared" si="124"/>
        <v/>
      </c>
      <c r="T96" s="903" t="str">
        <f t="shared" si="124"/>
        <v/>
      </c>
      <c r="U96" s="903" t="str">
        <f t="shared" si="124"/>
        <v/>
      </c>
      <c r="V96" s="903" t="str">
        <f t="shared" si="124"/>
        <v/>
      </c>
      <c r="AA96" s="148"/>
      <c r="AB96" s="161">
        <f t="shared" si="120"/>
        <v>0</v>
      </c>
      <c r="AC96" s="162">
        <f t="shared" si="125"/>
        <v>0</v>
      </c>
      <c r="AD96" s="2" t="e">
        <f t="shared" si="118"/>
        <v>#DIV/0!</v>
      </c>
      <c r="AE96" s="2" t="e">
        <f t="shared" si="119"/>
        <v>#DIV/0!</v>
      </c>
      <c r="AF96">
        <f t="shared" si="122"/>
        <v>0</v>
      </c>
    </row>
    <row r="97" spans="1:61" ht="17.25" hidden="1" customHeight="1" outlineLevel="1" x14ac:dyDescent="0.25">
      <c r="A97" s="1557"/>
      <c r="B97" s="1496"/>
      <c r="C97" s="891" t="str">
        <f>IF(Language="English", 'Language Look Ups'!$P$26,IF(Language="Francais", 'Language Look Ups'!$T$26, 'Language Look Ups'!$R$26))</f>
        <v>MJF (Jours fixes)</v>
      </c>
      <c r="D97" s="892"/>
      <c r="E97" s="892"/>
      <c r="F97" s="893"/>
      <c r="G97" s="909"/>
      <c r="H97" s="907" t="str">
        <f t="shared" si="124"/>
        <v/>
      </c>
      <c r="I97" s="907" t="str">
        <f t="shared" si="124"/>
        <v/>
      </c>
      <c r="J97" s="907" t="str">
        <f t="shared" si="124"/>
        <v/>
      </c>
      <c r="K97" s="907" t="str">
        <f t="shared" si="124"/>
        <v/>
      </c>
      <c r="L97" s="907" t="str">
        <f t="shared" si="124"/>
        <v/>
      </c>
      <c r="M97" s="907" t="str">
        <f t="shared" si="124"/>
        <v/>
      </c>
      <c r="N97" s="907" t="str">
        <f t="shared" si="124"/>
        <v/>
      </c>
      <c r="O97" s="907" t="str">
        <f t="shared" si="124"/>
        <v/>
      </c>
      <c r="P97" s="907" t="str">
        <f t="shared" si="124"/>
        <v/>
      </c>
      <c r="Q97" s="907" t="str">
        <f t="shared" si="124"/>
        <v/>
      </c>
      <c r="R97" s="907" t="str">
        <f t="shared" si="124"/>
        <v/>
      </c>
      <c r="S97" s="907" t="str">
        <f t="shared" si="124"/>
        <v/>
      </c>
      <c r="T97" s="907" t="str">
        <f t="shared" si="124"/>
        <v/>
      </c>
      <c r="U97" s="907" t="str">
        <f t="shared" si="124"/>
        <v/>
      </c>
      <c r="V97" s="907" t="str">
        <f t="shared" si="124"/>
        <v/>
      </c>
      <c r="AB97" s="153">
        <f t="shared" si="120"/>
        <v>0</v>
      </c>
      <c r="AC97" s="154">
        <f t="shared" si="125"/>
        <v>0</v>
      </c>
      <c r="AD97" s="2" t="e">
        <f t="shared" si="118"/>
        <v>#DIV/0!</v>
      </c>
      <c r="AE97" s="2" t="e">
        <f t="shared" si="119"/>
        <v>#DIV/0!</v>
      </c>
      <c r="AF97">
        <f t="shared" si="122"/>
        <v>0</v>
      </c>
    </row>
    <row r="98" spans="1:61" ht="17.25" hidden="1" customHeight="1" outlineLevel="1" x14ac:dyDescent="0.25">
      <c r="A98" s="1557"/>
      <c r="B98" s="1496"/>
      <c r="C98" s="891" t="str">
        <f>IF(Language="English", 'Language Look Ups'!$P$27,IF(Language="Francais", 'Language Look Ups'!$T$27, 'Language Look Ups'!$R$27))</f>
        <v>Barrière vaginale</v>
      </c>
      <c r="D98" s="892"/>
      <c r="E98" s="892"/>
      <c r="F98" s="893"/>
      <c r="G98" s="909"/>
      <c r="H98" s="907" t="str">
        <f t="shared" si="124"/>
        <v/>
      </c>
      <c r="I98" s="907" t="str">
        <f t="shared" si="124"/>
        <v/>
      </c>
      <c r="J98" s="907" t="str">
        <f t="shared" si="124"/>
        <v/>
      </c>
      <c r="K98" s="907" t="str">
        <f t="shared" si="124"/>
        <v/>
      </c>
      <c r="L98" s="907" t="str">
        <f t="shared" si="124"/>
        <v/>
      </c>
      <c r="M98" s="907" t="str">
        <f t="shared" si="124"/>
        <v/>
      </c>
      <c r="N98" s="907" t="str">
        <f t="shared" si="124"/>
        <v/>
      </c>
      <c r="O98" s="907" t="str">
        <f t="shared" si="124"/>
        <v/>
      </c>
      <c r="P98" s="907" t="str">
        <f t="shared" si="124"/>
        <v/>
      </c>
      <c r="Q98" s="907" t="str">
        <f t="shared" si="124"/>
        <v/>
      </c>
      <c r="R98" s="907" t="str">
        <f t="shared" si="124"/>
        <v/>
      </c>
      <c r="S98" s="907" t="str">
        <f t="shared" si="124"/>
        <v/>
      </c>
      <c r="T98" s="907" t="str">
        <f t="shared" si="124"/>
        <v/>
      </c>
      <c r="U98" s="907" t="str">
        <f t="shared" si="124"/>
        <v/>
      </c>
      <c r="V98" s="907" t="str">
        <f t="shared" si="124"/>
        <v/>
      </c>
      <c r="AB98" s="153">
        <f t="shared" si="120"/>
        <v>0</v>
      </c>
      <c r="AC98" s="154">
        <f t="shared" si="125"/>
        <v>0</v>
      </c>
      <c r="AD98" s="2" t="e">
        <f t="shared" si="118"/>
        <v>#DIV/0!</v>
      </c>
      <c r="AE98" s="2" t="e">
        <f t="shared" si="119"/>
        <v>#DIV/0!</v>
      </c>
      <c r="AF98">
        <f t="shared" si="122"/>
        <v>0</v>
      </c>
    </row>
    <row r="99" spans="1:61" ht="17.25" hidden="1" customHeight="1" outlineLevel="1" thickBot="1" x14ac:dyDescent="0.3">
      <c r="A99" s="1557"/>
      <c r="B99" s="1495"/>
      <c r="C99" s="888" t="str">
        <f>IF(Language="English", 'Language Look Ups'!$P$28,IF(Language="Francais", 'Language Look Ups'!$T$28, 'Language Look Ups'!$R$28))</f>
        <v>Spermicides</v>
      </c>
      <c r="D99" s="889"/>
      <c r="E99" s="889"/>
      <c r="F99" s="890"/>
      <c r="G99" s="910"/>
      <c r="H99" s="905" t="str">
        <f t="shared" si="124"/>
        <v/>
      </c>
      <c r="I99" s="905" t="str">
        <f t="shared" si="124"/>
        <v/>
      </c>
      <c r="J99" s="905" t="str">
        <f t="shared" si="124"/>
        <v/>
      </c>
      <c r="K99" s="905" t="str">
        <f t="shared" si="124"/>
        <v/>
      </c>
      <c r="L99" s="905" t="str">
        <f t="shared" si="124"/>
        <v/>
      </c>
      <c r="M99" s="905" t="str">
        <f t="shared" si="124"/>
        <v/>
      </c>
      <c r="N99" s="905" t="str">
        <f t="shared" si="124"/>
        <v/>
      </c>
      <c r="O99" s="905" t="str">
        <f t="shared" si="124"/>
        <v/>
      </c>
      <c r="P99" s="905" t="str">
        <f t="shared" si="124"/>
        <v/>
      </c>
      <c r="Q99" s="905" t="str">
        <f t="shared" si="124"/>
        <v/>
      </c>
      <c r="R99" s="905" t="str">
        <f t="shared" si="124"/>
        <v/>
      </c>
      <c r="S99" s="905" t="str">
        <f t="shared" si="124"/>
        <v/>
      </c>
      <c r="T99" s="905" t="str">
        <f t="shared" si="124"/>
        <v/>
      </c>
      <c r="U99" s="905" t="str">
        <f t="shared" si="124"/>
        <v/>
      </c>
      <c r="V99" s="905" t="str">
        <f t="shared" si="124"/>
        <v/>
      </c>
      <c r="AA99" s="149"/>
      <c r="AB99" s="163">
        <f t="shared" si="120"/>
        <v>0</v>
      </c>
      <c r="AC99" s="164">
        <f t="shared" si="125"/>
        <v>0</v>
      </c>
      <c r="AD99" s="2" t="e">
        <f t="shared" si="118"/>
        <v>#DIV/0!</v>
      </c>
      <c r="AE99" s="2" t="e">
        <f t="shared" si="119"/>
        <v>#DIV/0!</v>
      </c>
      <c r="AF99">
        <f t="shared" si="122"/>
        <v>0</v>
      </c>
    </row>
    <row r="100" spans="1:61" ht="36" hidden="1" customHeight="1" outlineLevel="1" thickBot="1" x14ac:dyDescent="0.3">
      <c r="A100" s="1557"/>
      <c r="B100" s="911" t="s">
        <v>7</v>
      </c>
      <c r="C100" s="895" t="str">
        <f>IF(Language="English", 'Language Look Ups'!$P$29,IF(Language="Francais", 'Language Look Ups'!$T$29, 'Language Look Ups'!$R$29))</f>
        <v>CU</v>
      </c>
      <c r="D100" s="896"/>
      <c r="E100" s="896"/>
      <c r="F100" s="897"/>
      <c r="G100" s="912"/>
      <c r="H100" s="913" t="str">
        <f t="shared" si="124"/>
        <v/>
      </c>
      <c r="I100" s="913" t="str">
        <f t="shared" si="124"/>
        <v/>
      </c>
      <c r="J100" s="913" t="str">
        <f t="shared" si="124"/>
        <v/>
      </c>
      <c r="K100" s="913" t="str">
        <f t="shared" si="124"/>
        <v/>
      </c>
      <c r="L100" s="913" t="str">
        <f t="shared" si="124"/>
        <v/>
      </c>
      <c r="M100" s="913" t="str">
        <f t="shared" si="124"/>
        <v/>
      </c>
      <c r="N100" s="913" t="str">
        <f t="shared" si="124"/>
        <v/>
      </c>
      <c r="O100" s="913" t="str">
        <f t="shared" si="124"/>
        <v/>
      </c>
      <c r="P100" s="913" t="str">
        <f t="shared" si="124"/>
        <v/>
      </c>
      <c r="Q100" s="913" t="str">
        <f t="shared" si="124"/>
        <v/>
      </c>
      <c r="R100" s="913" t="str">
        <f t="shared" si="124"/>
        <v/>
      </c>
      <c r="S100" s="913" t="str">
        <f t="shared" si="124"/>
        <v/>
      </c>
      <c r="T100" s="913" t="str">
        <f t="shared" si="124"/>
        <v/>
      </c>
      <c r="U100" s="913" t="str">
        <f t="shared" si="124"/>
        <v/>
      </c>
      <c r="V100" s="913" t="str">
        <f t="shared" si="124"/>
        <v/>
      </c>
      <c r="AA100" s="151"/>
      <c r="AB100" s="165">
        <f t="shared" si="120"/>
        <v>0</v>
      </c>
      <c r="AC100" s="166">
        <f t="shared" si="125"/>
        <v>0</v>
      </c>
      <c r="AD100" s="2" t="e">
        <f t="shared" si="118"/>
        <v>#DIV/0!</v>
      </c>
      <c r="AE100" s="2" t="e">
        <f t="shared" si="119"/>
        <v>#DIV/0!</v>
      </c>
      <c r="AF100">
        <f t="shared" si="122"/>
        <v>0</v>
      </c>
    </row>
    <row r="101" spans="1:61" ht="12.75" hidden="1" customHeight="1" outlineLevel="1" thickBot="1" x14ac:dyDescent="0.3">
      <c r="A101" s="1557"/>
      <c r="B101" s="914"/>
      <c r="C101" s="914"/>
      <c r="D101" s="914"/>
      <c r="E101" s="914"/>
      <c r="F101" s="914"/>
      <c r="G101" s="912"/>
      <c r="H101" s="913" t="str">
        <f t="shared" si="124"/>
        <v/>
      </c>
      <c r="I101" s="913" t="str">
        <f t="shared" si="124"/>
        <v/>
      </c>
      <c r="J101" s="913" t="str">
        <f t="shared" si="124"/>
        <v/>
      </c>
      <c r="K101" s="913" t="str">
        <f t="shared" si="124"/>
        <v/>
      </c>
      <c r="L101" s="913" t="str">
        <f t="shared" si="124"/>
        <v/>
      </c>
      <c r="M101" s="913" t="str">
        <f t="shared" si="124"/>
        <v/>
      </c>
      <c r="N101" s="913" t="str">
        <f t="shared" si="124"/>
        <v/>
      </c>
      <c r="O101" s="913" t="str">
        <f t="shared" si="124"/>
        <v/>
      </c>
      <c r="P101" s="913" t="str">
        <f t="shared" si="124"/>
        <v/>
      </c>
      <c r="Q101" s="913" t="str">
        <f t="shared" si="124"/>
        <v/>
      </c>
      <c r="R101" s="913" t="str">
        <f t="shared" si="124"/>
        <v/>
      </c>
      <c r="S101" s="913" t="str">
        <f t="shared" si="124"/>
        <v/>
      </c>
      <c r="T101" s="913" t="str">
        <f t="shared" si="124"/>
        <v/>
      </c>
      <c r="U101" s="913" t="str">
        <f t="shared" si="124"/>
        <v/>
      </c>
      <c r="V101" s="913" t="str">
        <f t="shared" si="124"/>
        <v/>
      </c>
      <c r="AB101" s="165">
        <f>COUNTIF(H101:V101, "&lt;-.25")</f>
        <v>0</v>
      </c>
      <c r="AC101" s="166">
        <f>COUNTIF(H101:V101, "&gt;150%")</f>
        <v>0</v>
      </c>
      <c r="AD101" s="2">
        <f t="shared" si="118"/>
        <v>0</v>
      </c>
      <c r="AE101" s="2" t="e">
        <f t="shared" si="119"/>
        <v>#DIV/0!</v>
      </c>
      <c r="AF101">
        <f t="shared" si="122"/>
        <v>0</v>
      </c>
    </row>
    <row r="102" spans="1:61" ht="12.75" customHeight="1" collapsed="1" x14ac:dyDescent="0.25"/>
    <row r="103" spans="1:61" ht="23.25" customHeight="1" thickBot="1" x14ac:dyDescent="0.45">
      <c r="B103" s="243" t="str">
        <f>IF(Language="Francais", BC103, BA103)</f>
        <v>ÉTAPE 3 of 3. EXAMINER VOS DONNÉES</v>
      </c>
      <c r="C103" s="232"/>
      <c r="D103" s="232"/>
      <c r="E103" s="232"/>
      <c r="F103" s="232"/>
      <c r="G103" s="232"/>
      <c r="H103" s="232"/>
      <c r="I103" s="232"/>
      <c r="J103" s="232"/>
      <c r="K103" s="232"/>
      <c r="L103" s="232"/>
      <c r="M103" s="232"/>
      <c r="N103" s="232"/>
      <c r="O103" s="232"/>
      <c r="P103" s="232"/>
      <c r="Q103" s="232"/>
      <c r="R103" s="232"/>
      <c r="S103" s="232"/>
      <c r="T103" s="232"/>
      <c r="U103" s="232"/>
      <c r="V103" s="232"/>
      <c r="BA103" s="184" t="s">
        <v>1074</v>
      </c>
      <c r="BC103" s="184" t="s">
        <v>1075</v>
      </c>
    </row>
    <row r="104" spans="1:61" ht="17.25" customHeight="1" x14ac:dyDescent="0.25">
      <c r="B104" t="str">
        <f>IF(Language="Francais", BC104, BA104)</f>
        <v xml:space="preserve">Examinez les graphiques ci-dessous illustrant les données que vous avez saisies ci-dessus. Veillez aux anomalies qui pourraient indiquer des erreurs. Une fois que vous avez validé les données, cliquez sur la flèche pour réviser vos résultats. </v>
      </c>
      <c r="BA104" t="s">
        <v>113</v>
      </c>
      <c r="BC104" t="s">
        <v>823</v>
      </c>
    </row>
    <row r="105" spans="1:61" ht="9.75" customHeight="1" thickBot="1" x14ac:dyDescent="0.3"/>
    <row r="106" spans="1:61" s="41" customFormat="1" ht="18.75" customHeight="1" x14ac:dyDescent="0.25">
      <c r="B106" s="1524" t="str">
        <f>B23</f>
        <v>Stérilisation</v>
      </c>
      <c r="C106" s="1525"/>
      <c r="D106" s="1526"/>
      <c r="G106" s="1504" t="str">
        <f>B25</f>
        <v>DIU</v>
      </c>
      <c r="H106" s="1505"/>
      <c r="I106" s="1505"/>
      <c r="J106" s="1505"/>
      <c r="K106" s="1506"/>
      <c r="M106" s="1504" t="str">
        <f>B27</f>
        <v>Implant</v>
      </c>
      <c r="N106" s="1505"/>
      <c r="O106" s="1505"/>
      <c r="P106" s="1505"/>
      <c r="Q106" s="1506"/>
      <c r="W106"/>
      <c r="X106"/>
      <c r="Y106"/>
      <c r="Z106"/>
      <c r="AA106"/>
      <c r="AS106"/>
      <c r="AT106"/>
      <c r="AU106"/>
      <c r="AV106"/>
      <c r="AW106"/>
      <c r="AX106"/>
      <c r="AY106"/>
      <c r="AZ106"/>
      <c r="BA106" s="184"/>
      <c r="BB106" s="184"/>
      <c r="BC106" s="184"/>
      <c r="BD106"/>
      <c r="BE106"/>
      <c r="BF106"/>
      <c r="BG106"/>
      <c r="BH106"/>
      <c r="BI106" s="182"/>
    </row>
    <row r="107" spans="1:61" x14ac:dyDescent="0.25">
      <c r="B107" s="105"/>
      <c r="D107" s="106"/>
      <c r="G107" s="142"/>
      <c r="K107" s="143"/>
      <c r="M107" s="142"/>
      <c r="Q107" s="143"/>
    </row>
    <row r="108" spans="1:61" x14ac:dyDescent="0.25">
      <c r="B108" s="105"/>
      <c r="D108" s="106"/>
      <c r="G108" s="142"/>
      <c r="K108" s="143"/>
      <c r="M108" s="142"/>
      <c r="Q108" s="143"/>
    </row>
    <row r="109" spans="1:61" x14ac:dyDescent="0.25">
      <c r="B109" s="105"/>
      <c r="D109" s="106"/>
      <c r="G109" s="142"/>
      <c r="K109" s="143"/>
      <c r="M109" s="142"/>
      <c r="Q109" s="143"/>
    </row>
    <row r="110" spans="1:61" x14ac:dyDescent="0.25">
      <c r="B110" s="105"/>
      <c r="C110" s="18"/>
      <c r="D110" s="107"/>
      <c r="E110" s="18"/>
      <c r="F110" s="18"/>
      <c r="G110" s="144"/>
      <c r="H110" s="18"/>
      <c r="I110" s="18"/>
      <c r="J110" s="18"/>
      <c r="K110" s="145"/>
      <c r="L110" s="18"/>
      <c r="M110" s="144"/>
      <c r="N110" s="18"/>
      <c r="O110" s="18"/>
      <c r="P110" s="18"/>
      <c r="Q110" s="145"/>
      <c r="S110" s="18"/>
      <c r="T110" s="18"/>
      <c r="U110" s="18"/>
      <c r="V110" s="18"/>
      <c r="AB110" s="18"/>
      <c r="AC110" s="18"/>
      <c r="AD110" s="18"/>
      <c r="AE110" s="18"/>
      <c r="AF110" s="18"/>
      <c r="AG110" s="18"/>
      <c r="AH110" s="18"/>
      <c r="AI110" s="18"/>
      <c r="AJ110" s="18" t="str">
        <f>IF(AJ20="", "", "x")</f>
        <v/>
      </c>
      <c r="AK110" s="18" t="str">
        <f>IF(AJ20="", "", "x")</f>
        <v/>
      </c>
      <c r="AL110" s="18" t="str">
        <f>IF(AL20="", "", "x")</f>
        <v/>
      </c>
      <c r="AM110" s="18" t="str">
        <f>IF(AL20="", "", "x")</f>
        <v/>
      </c>
      <c r="AN110" s="18" t="str">
        <f>IF(AN20="", "", "x")</f>
        <v/>
      </c>
      <c r="AO110" s="18" t="str">
        <f>IF(AN20="", "", "x")</f>
        <v/>
      </c>
      <c r="AP110" s="18" t="str">
        <f>IF(AP20="", "", "x")</f>
        <v/>
      </c>
      <c r="AQ110" s="18" t="str">
        <f>IF(AP20="", "", "x")</f>
        <v/>
      </c>
    </row>
    <row r="111" spans="1:61" x14ac:dyDescent="0.25">
      <c r="B111" s="105"/>
      <c r="D111" s="106"/>
      <c r="G111" s="142"/>
      <c r="K111" s="143"/>
      <c r="M111" s="142"/>
      <c r="Q111" s="143"/>
    </row>
    <row r="112" spans="1:61" x14ac:dyDescent="0.25">
      <c r="B112" s="105"/>
      <c r="D112" s="106"/>
      <c r="G112" s="142"/>
      <c r="K112" s="143"/>
      <c r="M112" s="142"/>
      <c r="Q112" s="143"/>
    </row>
    <row r="113" spans="1:17" x14ac:dyDescent="0.25">
      <c r="B113" s="105"/>
      <c r="D113" s="106"/>
      <c r="G113" s="142"/>
      <c r="K113" s="143"/>
      <c r="M113" s="142"/>
      <c r="Q113" s="143"/>
    </row>
    <row r="114" spans="1:17" x14ac:dyDescent="0.25">
      <c r="B114" s="108"/>
      <c r="D114" s="106"/>
      <c r="G114" s="142"/>
      <c r="K114" s="143"/>
      <c r="M114" s="142"/>
      <c r="Q114" s="143"/>
    </row>
    <row r="115" spans="1:17" x14ac:dyDescent="0.25">
      <c r="B115" s="105"/>
      <c r="D115" s="106"/>
      <c r="G115" s="142"/>
      <c r="K115" s="143"/>
      <c r="M115" s="142"/>
      <c r="Q115" s="143"/>
    </row>
    <row r="116" spans="1:17" x14ac:dyDescent="0.25">
      <c r="B116" s="105"/>
      <c r="D116" s="106"/>
      <c r="G116" s="142"/>
      <c r="J116" s="1"/>
      <c r="K116" s="143"/>
      <c r="M116" s="142"/>
      <c r="Q116" s="143"/>
    </row>
    <row r="117" spans="1:17" x14ac:dyDescent="0.25">
      <c r="B117" s="109"/>
      <c r="D117" s="106"/>
      <c r="G117" s="142"/>
      <c r="K117" s="143"/>
      <c r="M117" s="142"/>
      <c r="Q117" s="143"/>
    </row>
    <row r="118" spans="1:17" x14ac:dyDescent="0.25">
      <c r="B118" s="105"/>
      <c r="D118" s="106"/>
      <c r="G118" s="142"/>
      <c r="K118" s="143"/>
      <c r="M118" s="142"/>
      <c r="Q118" s="143"/>
    </row>
    <row r="119" spans="1:17" ht="15.75" thickBot="1" x14ac:dyDescent="0.3">
      <c r="B119" s="110"/>
      <c r="C119" s="111"/>
      <c r="D119" s="112"/>
      <c r="G119" s="135"/>
      <c r="H119" s="136"/>
      <c r="I119" s="136"/>
      <c r="J119" s="136"/>
      <c r="K119" s="137"/>
      <c r="M119" s="135"/>
      <c r="N119" s="136"/>
      <c r="O119" s="136"/>
      <c r="P119" s="136"/>
      <c r="Q119" s="137"/>
    </row>
    <row r="120" spans="1:17" ht="15.75" thickBot="1" x14ac:dyDescent="0.3">
      <c r="B120" s="155"/>
      <c r="C120" s="1608" t="str">
        <f>IF(AND(B122="", B123="", B121=""), "", "Please explain / S'il vous plaît, expliquez")</f>
        <v/>
      </c>
      <c r="D120" s="1608"/>
      <c r="E120" s="878"/>
      <c r="F120" s="878"/>
      <c r="G120" s="878"/>
      <c r="H120" s="878"/>
      <c r="I120" s="1620" t="str">
        <f>IF(AND(G122="", G123="", G121=""), "", "Please explain / S'il vous plaît, expliquez")</f>
        <v/>
      </c>
      <c r="J120" s="1620"/>
      <c r="K120" s="1620"/>
      <c r="L120" s="878"/>
      <c r="M120" s="878"/>
      <c r="N120" s="878"/>
      <c r="O120" s="1620" t="str">
        <f>IF(AND(M122="", M123="", M121=""), "", "Please explain / S'il vous plaît, expliquez")</f>
        <v/>
      </c>
      <c r="P120" s="1620"/>
      <c r="Q120" s="1620"/>
    </row>
    <row r="121" spans="1:17" ht="26.45" customHeight="1" thickBot="1" x14ac:dyDescent="0.3">
      <c r="B121" s="953" t="str">
        <f>IF(C121=" ", "", 'Language Look Ups'!$B$37)</f>
        <v/>
      </c>
      <c r="C121" s="1560" t="str">
        <f>AA50&amp;" "&amp;AA51</f>
        <v xml:space="preserve"> </v>
      </c>
      <c r="D121" s="1561"/>
      <c r="G121" s="1552" t="str">
        <f>IF(I121=" ", "",  'Language Look Ups'!$B$37)</f>
        <v/>
      </c>
      <c r="H121" s="1553"/>
      <c r="I121" s="1554" t="str">
        <f>AA52&amp;" "&amp;AA53</f>
        <v xml:space="preserve"> </v>
      </c>
      <c r="J121" s="1555"/>
      <c r="K121" s="1556"/>
      <c r="M121" s="1552" t="str">
        <f>IF(O121="  ", "",  'Language Look Ups'!$B$37)</f>
        <v/>
      </c>
      <c r="N121" s="1553"/>
      <c r="O121" s="1558" t="str">
        <f>AA54&amp;" "&amp;AA55&amp;" "&amp;AA56</f>
        <v xml:space="preserve">  </v>
      </c>
      <c r="P121" s="1558"/>
      <c r="Q121" s="1559"/>
    </row>
    <row r="122" spans="1:17" ht="31.5" customHeight="1" x14ac:dyDescent="0.25">
      <c r="B122" s="228" t="str">
        <f>IF(OR($AB$77&gt;0, $AB$78&gt;0), 'Language Look Ups'!B38, "")</f>
        <v/>
      </c>
      <c r="C122" s="1626"/>
      <c r="D122" s="1627"/>
      <c r="G122" s="1623" t="str">
        <f>IF(OR($AB$79&gt;0, $AB$80&gt;0), 'Language Look Ups'!B38, "")</f>
        <v/>
      </c>
      <c r="H122" s="1623"/>
      <c r="I122" s="1626"/>
      <c r="J122" s="1628"/>
      <c r="K122" s="1627"/>
      <c r="M122" s="1623" t="str">
        <f>IF(OR($AB$81&gt;0, $AB$82&gt;0, $AB$83&gt;0), 'Language Look Ups'!B38, "")</f>
        <v/>
      </c>
      <c r="N122" s="1623"/>
      <c r="O122" s="1626"/>
      <c r="P122" s="1628"/>
      <c r="Q122" s="1627"/>
    </row>
    <row r="123" spans="1:17" ht="31.5" customHeight="1" x14ac:dyDescent="0.25">
      <c r="A123" s="22"/>
      <c r="B123" s="186" t="str">
        <f>IF(OR($AC$78&gt;0,$AC$77&gt;0), 'Language Look Ups'!B39,  "")</f>
        <v/>
      </c>
      <c r="C123" s="1613"/>
      <c r="D123" s="1614"/>
      <c r="G123" s="1625" t="str">
        <f>IF(OR($AC$79&gt;0,$AC$80&gt;0), 'Language Look Ups'!B39,  "")</f>
        <v/>
      </c>
      <c r="H123" s="1625"/>
      <c r="I123" s="1613"/>
      <c r="J123" s="1616"/>
      <c r="K123" s="1614"/>
      <c r="M123" s="1625" t="str">
        <f>IF(OR($AC$81&gt;0,$AC$82&gt;0,$AC$83&gt;0), 'Language Look Ups'!B39,  "")</f>
        <v/>
      </c>
      <c r="N123" s="1625"/>
      <c r="O123" s="1613"/>
      <c r="P123" s="1616"/>
      <c r="Q123" s="1614"/>
    </row>
    <row r="124" spans="1:17" ht="5.25" customHeight="1" thickBot="1" x14ac:dyDescent="0.3">
      <c r="A124" s="22"/>
      <c r="G124" s="32"/>
      <c r="H124" s="32"/>
      <c r="I124" s="32"/>
      <c r="J124" s="32"/>
      <c r="M124" s="32"/>
      <c r="N124" s="32"/>
      <c r="O124" s="32"/>
      <c r="P124" s="32"/>
    </row>
    <row r="125" spans="1:17" ht="18.75" x14ac:dyDescent="0.25">
      <c r="B125" s="1524" t="str">
        <f>B32</f>
        <v>Produits injectables</v>
      </c>
      <c r="C125" s="1525"/>
      <c r="D125" s="1526"/>
      <c r="E125" s="41"/>
      <c r="F125" s="41"/>
      <c r="G125" s="1504" t="str">
        <f>B37</f>
        <v>Pilule</v>
      </c>
      <c r="H125" s="1505"/>
      <c r="I125" s="1505"/>
      <c r="J125" s="1505"/>
      <c r="K125" s="1506"/>
      <c r="L125" s="41"/>
      <c r="M125" s="1504" t="str">
        <f>B40</f>
        <v>Préservatifs</v>
      </c>
      <c r="N125" s="1505"/>
      <c r="O125" s="1505"/>
      <c r="P125" s="1505"/>
      <c r="Q125" s="1506"/>
    </row>
    <row r="126" spans="1:17" x14ac:dyDescent="0.25">
      <c r="B126" s="105"/>
      <c r="D126" s="106"/>
      <c r="G126" s="142"/>
      <c r="K126" s="143"/>
      <c r="M126" s="142"/>
      <c r="Q126" s="143"/>
    </row>
    <row r="127" spans="1:17" x14ac:dyDescent="0.25">
      <c r="B127" s="105"/>
      <c r="D127" s="106"/>
      <c r="G127" s="142"/>
      <c r="K127" s="143"/>
      <c r="M127" s="142"/>
      <c r="Q127" s="143"/>
    </row>
    <row r="128" spans="1:17" x14ac:dyDescent="0.25">
      <c r="B128" s="105"/>
      <c r="D128" s="106"/>
      <c r="G128" s="142"/>
      <c r="K128" s="143"/>
      <c r="M128" s="142"/>
      <c r="Q128" s="143"/>
    </row>
    <row r="129" spans="1:55" x14ac:dyDescent="0.25">
      <c r="B129" s="105"/>
      <c r="C129" s="18"/>
      <c r="D129" s="107"/>
      <c r="G129" s="142"/>
      <c r="K129" s="143"/>
      <c r="M129" s="142"/>
      <c r="Q129" s="143"/>
    </row>
    <row r="130" spans="1:55" x14ac:dyDescent="0.25">
      <c r="B130" s="105"/>
      <c r="D130" s="106"/>
      <c r="G130" s="142"/>
      <c r="K130" s="143"/>
      <c r="M130" s="142"/>
      <c r="Q130" s="143"/>
    </row>
    <row r="131" spans="1:55" x14ac:dyDescent="0.25">
      <c r="B131" s="105"/>
      <c r="D131" s="106"/>
      <c r="G131" s="142"/>
      <c r="K131" s="143"/>
      <c r="M131" s="142"/>
      <c r="Q131" s="143"/>
    </row>
    <row r="132" spans="1:55" x14ac:dyDescent="0.25">
      <c r="B132" s="105"/>
      <c r="D132" s="106"/>
      <c r="G132" s="142"/>
      <c r="K132" s="146"/>
      <c r="M132" s="142"/>
      <c r="Q132" s="143"/>
    </row>
    <row r="133" spans="1:55" x14ac:dyDescent="0.25">
      <c r="B133" s="108"/>
      <c r="D133" s="106"/>
      <c r="G133" s="142"/>
      <c r="K133" s="143"/>
      <c r="M133" s="142"/>
      <c r="Q133" s="143"/>
    </row>
    <row r="134" spans="1:55" x14ac:dyDescent="0.25">
      <c r="B134" s="105"/>
      <c r="D134" s="106"/>
      <c r="G134" s="142"/>
      <c r="K134" s="143"/>
      <c r="M134" s="142"/>
      <c r="Q134" s="143"/>
    </row>
    <row r="135" spans="1:55" x14ac:dyDescent="0.25">
      <c r="B135" s="105"/>
      <c r="D135" s="106"/>
      <c r="G135" s="142"/>
      <c r="K135" s="143"/>
      <c r="M135" s="142"/>
      <c r="Q135" s="143"/>
    </row>
    <row r="136" spans="1:55" x14ac:dyDescent="0.25">
      <c r="B136" s="109"/>
      <c r="D136" s="106"/>
      <c r="G136" s="142"/>
      <c r="K136" s="143"/>
      <c r="M136" s="142"/>
      <c r="Q136" s="143"/>
    </row>
    <row r="137" spans="1:55" x14ac:dyDescent="0.25">
      <c r="B137" s="105"/>
      <c r="D137" s="106"/>
      <c r="G137" s="142"/>
      <c r="K137" s="143"/>
      <c r="M137" s="142"/>
      <c r="Q137" s="143"/>
    </row>
    <row r="138" spans="1:55" ht="15.75" thickBot="1" x14ac:dyDescent="0.3">
      <c r="B138" s="110"/>
      <c r="C138" s="111"/>
      <c r="D138" s="112"/>
      <c r="G138" s="135"/>
      <c r="H138" s="136"/>
      <c r="I138" s="136"/>
      <c r="J138" s="136"/>
      <c r="K138" s="137"/>
      <c r="M138" s="135"/>
      <c r="N138" s="136"/>
      <c r="O138" s="136"/>
      <c r="P138" s="136"/>
      <c r="Q138" s="137"/>
    </row>
    <row r="139" spans="1:55" ht="15.75" thickBot="1" x14ac:dyDescent="0.3">
      <c r="B139" s="155"/>
      <c r="C139" s="1608" t="str">
        <f>IF(AND(B141="", B142="", B140=""), "", "Please explain / S'il vous plaît, expliquez")</f>
        <v/>
      </c>
      <c r="D139" s="1608"/>
      <c r="E139" s="878"/>
      <c r="F139" s="878"/>
      <c r="G139" s="878"/>
      <c r="H139" s="878"/>
      <c r="I139" s="1620" t="str">
        <f>IF(AND(G141="", G142="", G140=""), "", "Please explain / S'il vous plaît, expliquez")</f>
        <v/>
      </c>
      <c r="J139" s="1620"/>
      <c r="K139" s="1620"/>
      <c r="L139" s="878"/>
      <c r="M139" s="878"/>
      <c r="N139" s="878"/>
      <c r="O139" s="1620" t="str">
        <f>IF(AND(M141="", M142="", M140=""), "", "Please explain / S'il vous plaît, expliquez")</f>
        <v/>
      </c>
      <c r="P139" s="1620"/>
      <c r="Q139" s="1620"/>
    </row>
    <row r="140" spans="1:55" ht="26.45" customHeight="1" thickBot="1" x14ac:dyDescent="0.3">
      <c r="B140" s="953" t="str">
        <f>IF(C140="    ", "",  'Language Look Ups'!$B$37)</f>
        <v/>
      </c>
      <c r="C140" s="1560" t="str">
        <f>AA59&amp;" "&amp;AA60&amp;" "&amp;AA61&amp;" "&amp;AA62&amp;" "&amp;AA63</f>
        <v xml:space="preserve">    </v>
      </c>
      <c r="D140" s="1561"/>
      <c r="G140" s="1552" t="str">
        <f>IF(I140="  ", "",  'Language Look Ups'!$B$37)</f>
        <v/>
      </c>
      <c r="H140" s="1553"/>
      <c r="I140" s="1554" t="str">
        <f>AA64&amp;" "&amp;AA65&amp;" "&amp;AA66</f>
        <v xml:space="preserve">  </v>
      </c>
      <c r="J140" s="1555"/>
      <c r="K140" s="1556"/>
      <c r="M140" s="1552" t="str">
        <f>IF(O140=" ", "",  'Language Look Ups'!$B$37)</f>
        <v/>
      </c>
      <c r="N140" s="1553"/>
      <c r="O140" s="1558" t="str">
        <f>AA67&amp;" "&amp;AA68</f>
        <v xml:space="preserve"> </v>
      </c>
      <c r="P140" s="1558"/>
      <c r="Q140" s="1559"/>
    </row>
    <row r="141" spans="1:55" ht="31.5" customHeight="1" x14ac:dyDescent="0.25">
      <c r="B141" s="228" t="str">
        <f>IF(OR($AB$86&gt;0, $AB$87&gt;0, $AB$88&gt;0, $AB$89&gt;0, $AB$90&gt;0), 'Language Look Ups'!B38, "")</f>
        <v/>
      </c>
      <c r="C141" s="1626"/>
      <c r="D141" s="1627"/>
      <c r="G141" s="1623" t="str">
        <f>IF(OR($AB$91&gt;0, $AB$92&gt;0, $AB$93&gt;0), 'Language Look Ups'!B38, "")</f>
        <v/>
      </c>
      <c r="H141" s="1623"/>
      <c r="I141" s="1626"/>
      <c r="J141" s="1628"/>
      <c r="K141" s="1627"/>
      <c r="M141" s="1623" t="str">
        <f>IF(OR($AB$94&gt;0, $AB$95&gt;0), 'Language Look Ups'!B38, "")</f>
        <v/>
      </c>
      <c r="N141" s="1623"/>
      <c r="O141" s="1626"/>
      <c r="P141" s="1628"/>
      <c r="Q141" s="1627"/>
      <c r="BA141"/>
      <c r="BB141"/>
      <c r="BC141"/>
    </row>
    <row r="142" spans="1:55" ht="31.5" customHeight="1" x14ac:dyDescent="0.25">
      <c r="A142" s="22"/>
      <c r="B142" s="186" t="str">
        <f>IF(OR($AC$86&gt;0, $AC$87&gt;0, $AC$88&gt;0, $AC$89&gt;0, $AC$90&gt;0), 'Language Look Ups'!B39,  "")</f>
        <v/>
      </c>
      <c r="C142" s="1613"/>
      <c r="D142" s="1614"/>
      <c r="G142" s="1625" t="str">
        <f>IF(OR($AC$91&gt;0,$AC$92&gt;0,$AC$93&gt;0), 'Language Look Ups'!B39,  "")</f>
        <v/>
      </c>
      <c r="H142" s="1625"/>
      <c r="I142" s="1613"/>
      <c r="J142" s="1616"/>
      <c r="K142" s="1614"/>
      <c r="M142" s="1625" t="str">
        <f>IF(OR($AC$94&gt;0,$AC$95&gt;0), 'Language Look Ups'!B39,  "")</f>
        <v/>
      </c>
      <c r="N142" s="1625"/>
      <c r="O142" s="1613"/>
      <c r="P142" s="1616"/>
      <c r="Q142" s="1614"/>
      <c r="BA142"/>
      <c r="BB142"/>
      <c r="BC142"/>
    </row>
    <row r="143" spans="1:55" ht="11.25" customHeight="1" thickBot="1" x14ac:dyDescent="0.3"/>
    <row r="144" spans="1:55" ht="18.75" x14ac:dyDescent="0.25">
      <c r="B144" s="1504" t="str">
        <f>B42</f>
        <v>Autres Méthodes Modernes</v>
      </c>
      <c r="C144" s="1505"/>
      <c r="D144" s="1506"/>
      <c r="G144" s="1504" t="str">
        <f>B46</f>
        <v>Contraception d'urgence</v>
      </c>
      <c r="H144" s="1505"/>
      <c r="I144" s="1505"/>
      <c r="J144" s="1505"/>
      <c r="K144" s="1506"/>
      <c r="M144" s="1504" t="str">
        <f>B47</f>
        <v>Utilisatrices de PF</v>
      </c>
      <c r="N144" s="1505"/>
      <c r="O144" s="1505"/>
      <c r="P144" s="1505"/>
      <c r="Q144" s="1506"/>
    </row>
    <row r="145" spans="2:55" x14ac:dyDescent="0.25">
      <c r="B145" s="142"/>
      <c r="D145" s="143"/>
      <c r="G145" s="142"/>
      <c r="K145" s="143"/>
      <c r="M145" s="142"/>
      <c r="Q145" s="143"/>
    </row>
    <row r="146" spans="2:55" x14ac:dyDescent="0.25">
      <c r="B146" s="142"/>
      <c r="D146" s="143"/>
      <c r="G146" s="142"/>
      <c r="K146" s="143"/>
      <c r="M146" s="142"/>
      <c r="Q146" s="143"/>
    </row>
    <row r="147" spans="2:55" ht="18" customHeight="1" x14ac:dyDescent="0.25">
      <c r="B147" s="142"/>
      <c r="D147" s="143"/>
      <c r="G147" s="142"/>
      <c r="K147" s="143"/>
      <c r="M147" s="142"/>
      <c r="Q147" s="143"/>
    </row>
    <row r="148" spans="2:55" ht="18" customHeight="1" x14ac:dyDescent="0.25">
      <c r="B148" s="142"/>
      <c r="D148" s="143"/>
      <c r="G148" s="142"/>
      <c r="K148" s="143"/>
      <c r="M148" s="142"/>
      <c r="Q148" s="143"/>
      <c r="S148" s="1624" t="str">
        <f>IF(Language="English", BA148, BC148)</f>
        <v>Si les données semblent bonnes, 
continuez la révision.</v>
      </c>
      <c r="T148" s="1624"/>
      <c r="U148" s="1624"/>
      <c r="V148" s="187"/>
      <c r="AA148" s="187"/>
      <c r="BA148" s="368" t="s">
        <v>115</v>
      </c>
      <c r="BC148" s="368" t="s">
        <v>824</v>
      </c>
    </row>
    <row r="149" spans="2:55" ht="18" customHeight="1" x14ac:dyDescent="0.25">
      <c r="B149" s="142"/>
      <c r="D149" s="143"/>
      <c r="G149" s="142"/>
      <c r="K149" s="143"/>
      <c r="M149" s="142"/>
      <c r="Q149" s="143"/>
      <c r="S149" s="1624"/>
      <c r="T149" s="1624"/>
      <c r="U149" s="1624"/>
      <c r="V149" s="187"/>
      <c r="AA149" s="187"/>
    </row>
    <row r="150" spans="2:55" ht="15" customHeight="1" x14ac:dyDescent="0.25">
      <c r="B150" s="142"/>
      <c r="D150" s="143"/>
      <c r="G150" s="142"/>
      <c r="K150" s="143"/>
      <c r="M150" s="142"/>
      <c r="Q150" s="143"/>
      <c r="S150" s="1624"/>
      <c r="T150" s="1624"/>
      <c r="U150" s="1624"/>
      <c r="V150" s="187"/>
      <c r="AA150" s="187"/>
    </row>
    <row r="151" spans="2:55" ht="15" customHeight="1" x14ac:dyDescent="0.25">
      <c r="B151" s="142"/>
      <c r="D151" s="143"/>
      <c r="G151" s="142"/>
      <c r="K151" s="143"/>
      <c r="M151" s="142"/>
      <c r="Q151" s="143"/>
    </row>
    <row r="152" spans="2:55" x14ac:dyDescent="0.25">
      <c r="B152" s="142"/>
      <c r="D152" s="143"/>
      <c r="G152" s="142"/>
      <c r="K152" s="143"/>
      <c r="M152" s="142"/>
      <c r="Q152" s="143"/>
    </row>
    <row r="153" spans="2:55" x14ac:dyDescent="0.25">
      <c r="B153" s="142"/>
      <c r="D153" s="143"/>
      <c r="G153" s="142"/>
      <c r="K153" s="143"/>
      <c r="M153" s="142"/>
      <c r="Q153" s="143"/>
    </row>
    <row r="154" spans="2:55" x14ac:dyDescent="0.25">
      <c r="B154" s="142"/>
      <c r="D154" s="143"/>
      <c r="G154" s="142"/>
      <c r="K154" s="143"/>
      <c r="M154" s="142"/>
      <c r="Q154" s="143"/>
    </row>
    <row r="155" spans="2:55" x14ac:dyDescent="0.25">
      <c r="B155" s="142"/>
      <c r="D155" s="143"/>
      <c r="G155" s="142"/>
      <c r="K155" s="143"/>
      <c r="M155" s="142"/>
      <c r="Q155" s="143"/>
    </row>
    <row r="156" spans="2:55" x14ac:dyDescent="0.25">
      <c r="B156" s="142"/>
      <c r="D156" s="143"/>
      <c r="G156" s="142"/>
      <c r="K156" s="143"/>
      <c r="M156" s="142"/>
      <c r="Q156" s="143"/>
    </row>
    <row r="157" spans="2:55" ht="15.75" thickBot="1" x14ac:dyDescent="0.3">
      <c r="B157" s="135"/>
      <c r="C157" s="136"/>
      <c r="D157" s="137"/>
      <c r="G157" s="135"/>
      <c r="H157" s="136"/>
      <c r="I157" s="136"/>
      <c r="J157" s="136"/>
      <c r="K157" s="137"/>
      <c r="M157" s="135"/>
      <c r="N157" s="136"/>
      <c r="O157" s="136"/>
      <c r="P157" s="136"/>
      <c r="Q157" s="137"/>
    </row>
    <row r="158" spans="2:55" ht="15.75" thickBot="1" x14ac:dyDescent="0.3">
      <c r="B158" s="155"/>
      <c r="C158" s="1608" t="str">
        <f>IF(AND(B160="", B161="", B159=""), "", "Please explain / S'il vous plaît, expliquez")</f>
        <v/>
      </c>
      <c r="D158" s="1608"/>
      <c r="E158" s="878"/>
      <c r="F158" s="878"/>
      <c r="G158" s="878"/>
      <c r="H158" s="878"/>
      <c r="I158" s="1620" t="str">
        <f>IF(AND(G160="", G161="", G159=""), "", "Please explain / S'il vous plaît, expliquez")</f>
        <v/>
      </c>
      <c r="J158" s="1620"/>
      <c r="K158" s="1620"/>
      <c r="L158" s="878"/>
      <c r="M158" s="878"/>
      <c r="N158" s="878"/>
      <c r="O158" s="1620" t="str">
        <f>IF(AND(M160="", M161="", M159=""), "", "Please explain / S'il vous plaît, expliquez")</f>
        <v/>
      </c>
      <c r="P158" s="1620"/>
      <c r="Q158" s="1620"/>
    </row>
    <row r="159" spans="2:55" ht="26.45" customHeight="1" thickBot="1" x14ac:dyDescent="0.3">
      <c r="B159" s="953" t="str">
        <f>IF(C159="   ", "",  'Language Look Ups'!$B$37)</f>
        <v/>
      </c>
      <c r="C159" s="1560" t="str">
        <f>AA69&amp;" "&amp;AA70&amp;" "&amp;AA71&amp;" "&amp;AA72</f>
        <v xml:space="preserve">   </v>
      </c>
      <c r="D159" s="1561"/>
      <c r="G159" s="1552" t="str">
        <f>IF(I159="", "",  'Language Look Ups'!$B$37)</f>
        <v/>
      </c>
      <c r="H159" s="1553"/>
      <c r="I159" s="1554" t="str">
        <f>AA73</f>
        <v/>
      </c>
      <c r="J159" s="1555"/>
      <c r="K159" s="1556"/>
      <c r="M159" s="1552" t="str">
        <f>IF(O159=" ", "",  'Language Look Ups'!$B$37)</f>
        <v/>
      </c>
      <c r="N159" s="1553"/>
      <c r="O159" s="1558" t="str">
        <f>AA74&amp;" "</f>
        <v xml:space="preserve"> </v>
      </c>
      <c r="P159" s="1558"/>
      <c r="Q159" s="1559"/>
    </row>
    <row r="160" spans="2:55" ht="31.5" customHeight="1" x14ac:dyDescent="0.25">
      <c r="B160" s="228" t="str">
        <f>IF(OR($AB$96&gt;0, $AB$97&gt;0, $AB$98&gt;0,  $AB$99&gt;0), 'Language Look Ups'!B38, "")</f>
        <v/>
      </c>
      <c r="C160" s="1626"/>
      <c r="D160" s="1627"/>
      <c r="G160" s="1623" t="str">
        <f>IF(OR($AB$100&gt;0), 'Language Look Ups'!B38, "")</f>
        <v/>
      </c>
      <c r="H160" s="1623"/>
      <c r="I160" s="1626"/>
      <c r="J160" s="1628"/>
      <c r="K160" s="1627"/>
      <c r="M160" s="1623" t="str">
        <f>IF( $AB$101&gt;0, 'Language Look Ups'!B38, "")</f>
        <v/>
      </c>
      <c r="N160" s="1623"/>
      <c r="O160" s="1626"/>
      <c r="P160" s="1628"/>
      <c r="Q160" s="1627"/>
      <c r="BA160"/>
      <c r="BB160"/>
      <c r="BC160"/>
    </row>
    <row r="161" spans="2:61" ht="33.75" customHeight="1" x14ac:dyDescent="0.25">
      <c r="B161" s="186" t="str">
        <f>IF(OR($AC$96&gt;0, $AC$97&gt;0, $AC$98&gt;0, $AC$99&gt;0), 'Language Look Ups'!B39,  "")</f>
        <v/>
      </c>
      <c r="C161" s="1613"/>
      <c r="D161" s="1614"/>
      <c r="G161" s="1625" t="str">
        <f>IF(OR($AC$100&gt;0), 'Language Look Ups'!B39,  "")</f>
        <v/>
      </c>
      <c r="H161" s="1625"/>
      <c r="I161" s="1613"/>
      <c r="J161" s="1616"/>
      <c r="K161" s="1614"/>
      <c r="M161" s="1625" t="str">
        <f>IF($AC$101&gt;0, 'Language Look Ups'!B39,  "")</f>
        <v/>
      </c>
      <c r="N161" s="1625"/>
      <c r="O161" s="1613"/>
      <c r="P161" s="1616"/>
      <c r="Q161" s="1614"/>
      <c r="BA161"/>
      <c r="BB161"/>
      <c r="BC161"/>
    </row>
    <row r="162" spans="2:61" ht="12" customHeight="1" x14ac:dyDescent="0.25">
      <c r="B162" s="952"/>
      <c r="C162" s="952"/>
      <c r="D162" s="952"/>
      <c r="E162" s="952"/>
      <c r="F162" s="952"/>
      <c r="G162" s="880"/>
      <c r="O162" s="879"/>
      <c r="P162" s="879"/>
      <c r="Q162" s="879"/>
      <c r="BA162"/>
      <c r="BB162"/>
      <c r="BC162"/>
    </row>
    <row r="163" spans="2:61" ht="16.149999999999999" customHeight="1" x14ac:dyDescent="0.25">
      <c r="B163" s="952" t="str">
        <f>IF(Language="Francais", BC163, BA163)</f>
        <v>*Valeurs aberrantes = valeurs de plus que 2 écart types de la moyenne</v>
      </c>
      <c r="C163" s="951"/>
      <c r="D163" s="951"/>
      <c r="E163" s="951"/>
      <c r="F163" s="951"/>
      <c r="BA163" s="184" t="s">
        <v>1208</v>
      </c>
      <c r="BC163" s="184" t="s">
        <v>1209</v>
      </c>
    </row>
    <row r="164" spans="2:61" x14ac:dyDescent="0.25">
      <c r="B164" s="226" t="str">
        <f>IF(Language="Francais", BC164, BA164)</f>
        <v>*Déclin = supérieur à 25% de déclin sur un an</v>
      </c>
      <c r="C164" s="226"/>
      <c r="D164" s="226"/>
      <c r="E164" s="226"/>
      <c r="F164" s="226"/>
      <c r="BA164" s="184" t="s">
        <v>1206</v>
      </c>
      <c r="BC164" s="184" t="s">
        <v>818</v>
      </c>
    </row>
    <row r="165" spans="2:61" x14ac:dyDescent="0.25">
      <c r="B165" s="227" t="str">
        <f>IF(Language="Francais", BC165, BA165)</f>
        <v>**Croissance spectaculaire = supérieure à 150% de croissance sur un an.</v>
      </c>
      <c r="C165" s="227"/>
      <c r="D165" s="227"/>
      <c r="E165" s="227"/>
      <c r="F165" s="227"/>
      <c r="BA165" s="184" t="s">
        <v>1207</v>
      </c>
      <c r="BC165" s="184" t="s">
        <v>819</v>
      </c>
    </row>
    <row r="169" spans="2:61" x14ac:dyDescent="0.25">
      <c r="G169" s="1604" t="str">
        <f>IF(Language="English", BA148, BC148)</f>
        <v>Si les données semblent bonnes, 
continuez la révision.</v>
      </c>
      <c r="H169" s="1604"/>
      <c r="I169" s="1604"/>
      <c r="J169" s="1604"/>
    </row>
    <row r="170" spans="2:61" x14ac:dyDescent="0.25">
      <c r="G170" s="1604"/>
      <c r="H170" s="1604"/>
      <c r="I170" s="1604"/>
      <c r="J170" s="1604"/>
    </row>
    <row r="171" spans="2:61" x14ac:dyDescent="0.25">
      <c r="G171" s="1604"/>
      <c r="H171" s="1604"/>
      <c r="I171" s="1604"/>
      <c r="J171" s="1604"/>
    </row>
    <row r="172" spans="2:61" x14ac:dyDescent="0.25">
      <c r="G172" s="1604"/>
      <c r="H172" s="1604"/>
      <c r="I172" s="1604"/>
      <c r="J172" s="1604"/>
      <c r="BH172" s="180"/>
      <c r="BI172"/>
    </row>
    <row r="173" spans="2:61" x14ac:dyDescent="0.25">
      <c r="BH173" s="180"/>
      <c r="BI173"/>
    </row>
    <row r="174" spans="2:61" x14ac:dyDescent="0.25">
      <c r="BH174" s="180"/>
      <c r="BI174"/>
    </row>
    <row r="175" spans="2:61" x14ac:dyDescent="0.25">
      <c r="BH175" s="180"/>
      <c r="BI175"/>
    </row>
    <row r="176" spans="2:61" x14ac:dyDescent="0.25">
      <c r="BH176" s="180"/>
      <c r="BI176"/>
    </row>
    <row r="177" spans="2:61" hidden="1" x14ac:dyDescent="0.25">
      <c r="B177" s="1497" t="str">
        <f>B21</f>
        <v>METHOD</v>
      </c>
      <c r="C177" s="1498"/>
      <c r="D177" s="918" t="str">
        <f t="shared" ref="D177:V177" si="126">D21</f>
        <v>CYP FACTOR</v>
      </c>
      <c r="E177" s="918">
        <f t="shared" si="126"/>
        <v>0</v>
      </c>
      <c r="F177" s="918" t="str">
        <f t="shared" si="126"/>
        <v>UNITS</v>
      </c>
      <c r="G177" s="918">
        <f t="shared" si="126"/>
        <v>0</v>
      </c>
      <c r="H177" s="918" t="str">
        <f t="shared" si="126"/>
        <v/>
      </c>
      <c r="I177" s="918" t="str">
        <f t="shared" si="126"/>
        <v/>
      </c>
      <c r="J177" s="918" t="str">
        <f t="shared" si="126"/>
        <v/>
      </c>
      <c r="K177" s="918" t="str">
        <f t="shared" si="126"/>
        <v/>
      </c>
      <c r="L177" s="918" t="str">
        <f t="shared" si="126"/>
        <v/>
      </c>
      <c r="M177" s="918" t="str">
        <f t="shared" si="126"/>
        <v/>
      </c>
      <c r="N177" s="918" t="str">
        <f t="shared" si="126"/>
        <v/>
      </c>
      <c r="O177" s="918" t="str">
        <f t="shared" si="126"/>
        <v/>
      </c>
      <c r="P177" s="918" t="str">
        <f t="shared" si="126"/>
        <v/>
      </c>
      <c r="Q177" s="918" t="str">
        <f t="shared" si="126"/>
        <v/>
      </c>
      <c r="R177" s="918" t="str">
        <f t="shared" si="126"/>
        <v/>
      </c>
      <c r="S177" s="918" t="str">
        <f t="shared" si="126"/>
        <v/>
      </c>
      <c r="T177" s="918" t="str">
        <f t="shared" si="126"/>
        <v/>
      </c>
      <c r="U177" s="918" t="str">
        <f t="shared" si="126"/>
        <v/>
      </c>
      <c r="V177" s="919" t="str">
        <f t="shared" si="126"/>
        <v/>
      </c>
      <c r="BH177" s="180"/>
      <c r="BI177"/>
    </row>
    <row r="178" spans="2:61" hidden="1" x14ac:dyDescent="0.25">
      <c r="B178" s="920"/>
      <c r="C178" s="921" t="e">
        <f>#REF!</f>
        <v>#REF!</v>
      </c>
      <c r="D178" s="921"/>
      <c r="E178" s="921"/>
      <c r="F178" s="921"/>
      <c r="G178" s="922" t="str">
        <f t="shared" ref="G178:V178" si="127">IF(G23="", "", G23)</f>
        <v/>
      </c>
      <c r="H178" s="922" t="str">
        <f t="shared" si="127"/>
        <v/>
      </c>
      <c r="I178" s="922" t="str">
        <f t="shared" si="127"/>
        <v/>
      </c>
      <c r="J178" s="922" t="str">
        <f t="shared" si="127"/>
        <v/>
      </c>
      <c r="K178" s="922" t="str">
        <f t="shared" si="127"/>
        <v/>
      </c>
      <c r="L178" s="922" t="str">
        <f t="shared" si="127"/>
        <v/>
      </c>
      <c r="M178" s="922" t="str">
        <f t="shared" si="127"/>
        <v/>
      </c>
      <c r="N178" s="922" t="str">
        <f t="shared" si="127"/>
        <v/>
      </c>
      <c r="O178" s="922" t="str">
        <f t="shared" si="127"/>
        <v/>
      </c>
      <c r="P178" s="922" t="str">
        <f t="shared" si="127"/>
        <v/>
      </c>
      <c r="Q178" s="922" t="str">
        <f t="shared" si="127"/>
        <v/>
      </c>
      <c r="R178" s="922" t="str">
        <f t="shared" si="127"/>
        <v/>
      </c>
      <c r="S178" s="922" t="str">
        <f t="shared" si="127"/>
        <v/>
      </c>
      <c r="T178" s="922" t="str">
        <f t="shared" si="127"/>
        <v/>
      </c>
      <c r="U178" s="922" t="str">
        <f t="shared" si="127"/>
        <v/>
      </c>
      <c r="V178" s="923" t="str">
        <f t="shared" si="127"/>
        <v/>
      </c>
      <c r="BH178" s="180"/>
      <c r="BI178"/>
    </row>
    <row r="179" spans="2:61" hidden="1" x14ac:dyDescent="0.25">
      <c r="B179" s="920"/>
      <c r="C179" s="921" t="e">
        <f>#REF!</f>
        <v>#REF!</v>
      </c>
      <c r="D179" s="921"/>
      <c r="E179" s="921"/>
      <c r="F179" s="921"/>
      <c r="G179" s="922" t="str">
        <f t="shared" ref="G179:V179" si="128">IF(G24="", "", G24)</f>
        <v/>
      </c>
      <c r="H179" s="922" t="str">
        <f t="shared" si="128"/>
        <v/>
      </c>
      <c r="I179" s="922" t="str">
        <f t="shared" si="128"/>
        <v/>
      </c>
      <c r="J179" s="922" t="str">
        <f t="shared" si="128"/>
        <v/>
      </c>
      <c r="K179" s="922" t="str">
        <f t="shared" si="128"/>
        <v/>
      </c>
      <c r="L179" s="922" t="str">
        <f t="shared" si="128"/>
        <v/>
      </c>
      <c r="M179" s="922" t="str">
        <f t="shared" si="128"/>
        <v/>
      </c>
      <c r="N179" s="922" t="str">
        <f t="shared" si="128"/>
        <v/>
      </c>
      <c r="O179" s="922" t="str">
        <f t="shared" si="128"/>
        <v/>
      </c>
      <c r="P179" s="922" t="str">
        <f t="shared" si="128"/>
        <v/>
      </c>
      <c r="Q179" s="922" t="str">
        <f t="shared" si="128"/>
        <v/>
      </c>
      <c r="R179" s="922" t="str">
        <f t="shared" si="128"/>
        <v/>
      </c>
      <c r="S179" s="922" t="str">
        <f t="shared" si="128"/>
        <v/>
      </c>
      <c r="T179" s="922" t="str">
        <f t="shared" si="128"/>
        <v/>
      </c>
      <c r="U179" s="922" t="str">
        <f t="shared" si="128"/>
        <v/>
      </c>
      <c r="V179" s="923" t="str">
        <f t="shared" si="128"/>
        <v/>
      </c>
      <c r="BH179" s="180"/>
      <c r="BI179"/>
    </row>
    <row r="180" spans="2:61" hidden="1" x14ac:dyDescent="0.25">
      <c r="B180" s="920"/>
      <c r="C180" s="921" t="e">
        <f>#REF!</f>
        <v>#REF!</v>
      </c>
      <c r="D180" s="921"/>
      <c r="E180" s="921"/>
      <c r="F180" s="921"/>
      <c r="G180" s="922" t="str">
        <f t="shared" ref="G180:V180" si="129">IF(SUM(G25:G26)=0, "", SUM(G25:G26))</f>
        <v/>
      </c>
      <c r="H180" s="922" t="str">
        <f t="shared" si="129"/>
        <v/>
      </c>
      <c r="I180" s="922" t="str">
        <f t="shared" si="129"/>
        <v/>
      </c>
      <c r="J180" s="922" t="str">
        <f t="shared" si="129"/>
        <v/>
      </c>
      <c r="K180" s="922" t="str">
        <f t="shared" si="129"/>
        <v/>
      </c>
      <c r="L180" s="922" t="str">
        <f t="shared" si="129"/>
        <v/>
      </c>
      <c r="M180" s="922" t="str">
        <f t="shared" si="129"/>
        <v/>
      </c>
      <c r="N180" s="922" t="str">
        <f t="shared" si="129"/>
        <v/>
      </c>
      <c r="O180" s="922" t="str">
        <f t="shared" si="129"/>
        <v/>
      </c>
      <c r="P180" s="922" t="str">
        <f t="shared" si="129"/>
        <v/>
      </c>
      <c r="Q180" s="922" t="str">
        <f t="shared" si="129"/>
        <v/>
      </c>
      <c r="R180" s="922" t="str">
        <f t="shared" si="129"/>
        <v/>
      </c>
      <c r="S180" s="922" t="str">
        <f t="shared" si="129"/>
        <v/>
      </c>
      <c r="T180" s="922" t="str">
        <f t="shared" si="129"/>
        <v/>
      </c>
      <c r="U180" s="922" t="str">
        <f t="shared" si="129"/>
        <v/>
      </c>
      <c r="V180" s="923" t="str">
        <f t="shared" si="129"/>
        <v/>
      </c>
    </row>
    <row r="181" spans="2:61" hidden="1" x14ac:dyDescent="0.25">
      <c r="B181" s="920"/>
      <c r="C181" s="921" t="e">
        <f>#REF!</f>
        <v>#REF!</v>
      </c>
      <c r="D181" s="921"/>
      <c r="E181" s="921"/>
      <c r="F181" s="921"/>
      <c r="G181" s="922" t="str">
        <f t="shared" ref="G181:V181" si="130">IF(SUM(G27:G29)=0, "", SUM(G27:G29))</f>
        <v/>
      </c>
      <c r="H181" s="922" t="str">
        <f t="shared" si="130"/>
        <v/>
      </c>
      <c r="I181" s="922" t="str">
        <f t="shared" si="130"/>
        <v/>
      </c>
      <c r="J181" s="922" t="str">
        <f t="shared" si="130"/>
        <v/>
      </c>
      <c r="K181" s="922" t="str">
        <f t="shared" si="130"/>
        <v/>
      </c>
      <c r="L181" s="922" t="str">
        <f t="shared" si="130"/>
        <v/>
      </c>
      <c r="M181" s="922" t="str">
        <f t="shared" si="130"/>
        <v/>
      </c>
      <c r="N181" s="922" t="str">
        <f t="shared" si="130"/>
        <v/>
      </c>
      <c r="O181" s="922" t="str">
        <f t="shared" si="130"/>
        <v/>
      </c>
      <c r="P181" s="922" t="str">
        <f t="shared" si="130"/>
        <v/>
      </c>
      <c r="Q181" s="922" t="str">
        <f t="shared" si="130"/>
        <v/>
      </c>
      <c r="R181" s="922" t="str">
        <f t="shared" si="130"/>
        <v/>
      </c>
      <c r="S181" s="922" t="str">
        <f t="shared" si="130"/>
        <v/>
      </c>
      <c r="T181" s="922" t="str">
        <f t="shared" si="130"/>
        <v/>
      </c>
      <c r="U181" s="922" t="str">
        <f t="shared" si="130"/>
        <v/>
      </c>
      <c r="V181" s="923" t="str">
        <f t="shared" si="130"/>
        <v/>
      </c>
    </row>
    <row r="182" spans="2:61" hidden="1" x14ac:dyDescent="0.25">
      <c r="B182" s="920"/>
      <c r="C182" s="921" t="e">
        <f>#REF!</f>
        <v>#REF!</v>
      </c>
      <c r="D182" s="921"/>
      <c r="E182" s="921"/>
      <c r="F182" s="921"/>
      <c r="G182" s="922" t="str">
        <f t="shared" ref="G182:V182" si="131">IF(SUM(G32:G36)=0, "", SUM(G32:G36))</f>
        <v/>
      </c>
      <c r="H182" s="922" t="str">
        <f t="shared" si="131"/>
        <v/>
      </c>
      <c r="I182" s="922" t="str">
        <f t="shared" si="131"/>
        <v/>
      </c>
      <c r="J182" s="922" t="str">
        <f t="shared" si="131"/>
        <v/>
      </c>
      <c r="K182" s="922" t="str">
        <f t="shared" si="131"/>
        <v/>
      </c>
      <c r="L182" s="922" t="str">
        <f t="shared" si="131"/>
        <v/>
      </c>
      <c r="M182" s="922" t="str">
        <f t="shared" si="131"/>
        <v/>
      </c>
      <c r="N182" s="922" t="str">
        <f t="shared" si="131"/>
        <v/>
      </c>
      <c r="O182" s="922" t="str">
        <f t="shared" si="131"/>
        <v/>
      </c>
      <c r="P182" s="922" t="str">
        <f t="shared" si="131"/>
        <v/>
      </c>
      <c r="Q182" s="922" t="str">
        <f t="shared" si="131"/>
        <v/>
      </c>
      <c r="R182" s="922" t="str">
        <f t="shared" si="131"/>
        <v/>
      </c>
      <c r="S182" s="922" t="str">
        <f t="shared" si="131"/>
        <v/>
      </c>
      <c r="T182" s="922" t="str">
        <f t="shared" si="131"/>
        <v/>
      </c>
      <c r="U182" s="922" t="str">
        <f t="shared" si="131"/>
        <v/>
      </c>
      <c r="V182" s="923" t="str">
        <f t="shared" si="131"/>
        <v/>
      </c>
    </row>
    <row r="183" spans="2:61" hidden="1" x14ac:dyDescent="0.25">
      <c r="B183" s="920"/>
      <c r="C183" s="921" t="e">
        <f>#REF!</f>
        <v>#REF!</v>
      </c>
      <c r="D183" s="921"/>
      <c r="E183" s="921"/>
      <c r="F183" s="921"/>
      <c r="G183" s="922" t="str">
        <f t="shared" ref="G183:V183" si="132">IF(SUM(G37:G39)=0,"", SUM(G37:G39))</f>
        <v/>
      </c>
      <c r="H183" s="922" t="str">
        <f t="shared" si="132"/>
        <v/>
      </c>
      <c r="I183" s="922" t="str">
        <f t="shared" si="132"/>
        <v/>
      </c>
      <c r="J183" s="922" t="str">
        <f t="shared" si="132"/>
        <v/>
      </c>
      <c r="K183" s="922" t="str">
        <f t="shared" si="132"/>
        <v/>
      </c>
      <c r="L183" s="922" t="str">
        <f t="shared" si="132"/>
        <v/>
      </c>
      <c r="M183" s="922" t="str">
        <f t="shared" si="132"/>
        <v/>
      </c>
      <c r="N183" s="922" t="str">
        <f t="shared" si="132"/>
        <v/>
      </c>
      <c r="O183" s="922" t="str">
        <f t="shared" si="132"/>
        <v/>
      </c>
      <c r="P183" s="922" t="str">
        <f t="shared" si="132"/>
        <v/>
      </c>
      <c r="Q183" s="922" t="str">
        <f t="shared" si="132"/>
        <v/>
      </c>
      <c r="R183" s="922" t="str">
        <f t="shared" si="132"/>
        <v/>
      </c>
      <c r="S183" s="922" t="str">
        <f t="shared" si="132"/>
        <v/>
      </c>
      <c r="T183" s="922" t="str">
        <f t="shared" si="132"/>
        <v/>
      </c>
      <c r="U183" s="922" t="str">
        <f t="shared" si="132"/>
        <v/>
      </c>
      <c r="V183" s="923" t="str">
        <f t="shared" si="132"/>
        <v/>
      </c>
    </row>
    <row r="184" spans="2:61" ht="15.75" hidden="1" thickBot="1" x14ac:dyDescent="0.3">
      <c r="B184" s="924"/>
      <c r="C184" s="925" t="e">
        <f>#REF!</f>
        <v>#REF!</v>
      </c>
      <c r="D184" s="925"/>
      <c r="E184" s="925"/>
      <c r="F184" s="925"/>
      <c r="G184" s="925" t="str">
        <f t="shared" ref="G184:V184" si="133">IF(SUM(G40:G41)=0,"", SUM(G40:G41))</f>
        <v/>
      </c>
      <c r="H184" s="925" t="str">
        <f t="shared" si="133"/>
        <v/>
      </c>
      <c r="I184" s="925" t="str">
        <f t="shared" si="133"/>
        <v/>
      </c>
      <c r="J184" s="925" t="str">
        <f t="shared" si="133"/>
        <v/>
      </c>
      <c r="K184" s="925" t="str">
        <f t="shared" si="133"/>
        <v/>
      </c>
      <c r="L184" s="925" t="str">
        <f t="shared" si="133"/>
        <v/>
      </c>
      <c r="M184" s="925" t="str">
        <f t="shared" si="133"/>
        <v/>
      </c>
      <c r="N184" s="925" t="str">
        <f t="shared" si="133"/>
        <v/>
      </c>
      <c r="O184" s="925" t="str">
        <f t="shared" si="133"/>
        <v/>
      </c>
      <c r="P184" s="925" t="str">
        <f t="shared" si="133"/>
        <v/>
      </c>
      <c r="Q184" s="925" t="str">
        <f t="shared" si="133"/>
        <v/>
      </c>
      <c r="R184" s="925" t="str">
        <f t="shared" si="133"/>
        <v/>
      </c>
      <c r="S184" s="925" t="str">
        <f t="shared" si="133"/>
        <v/>
      </c>
      <c r="T184" s="925" t="str">
        <f t="shared" si="133"/>
        <v/>
      </c>
      <c r="U184" s="925" t="str">
        <f t="shared" si="133"/>
        <v/>
      </c>
      <c r="V184" s="926" t="str">
        <f t="shared" si="133"/>
        <v/>
      </c>
    </row>
  </sheetData>
  <mergeCells count="94">
    <mergeCell ref="G169:J172"/>
    <mergeCell ref="C122:D123"/>
    <mergeCell ref="I122:K123"/>
    <mergeCell ref="O122:Q123"/>
    <mergeCell ref="C141:D142"/>
    <mergeCell ref="C160:D161"/>
    <mergeCell ref="I141:K142"/>
    <mergeCell ref="I160:K161"/>
    <mergeCell ref="O141:Q142"/>
    <mergeCell ref="O160:Q161"/>
    <mergeCell ref="I158:K158"/>
    <mergeCell ref="O158:Q158"/>
    <mergeCell ref="I139:K139"/>
    <mergeCell ref="O139:Q139"/>
    <mergeCell ref="I120:K120"/>
    <mergeCell ref="O120:Q120"/>
    <mergeCell ref="C159:D159"/>
    <mergeCell ref="G159:H159"/>
    <mergeCell ref="I159:K159"/>
    <mergeCell ref="M159:N159"/>
    <mergeCell ref="O159:Q159"/>
    <mergeCell ref="C140:D140"/>
    <mergeCell ref="G140:H140"/>
    <mergeCell ref="I140:K140"/>
    <mergeCell ref="M140:N140"/>
    <mergeCell ref="O140:Q140"/>
    <mergeCell ref="C139:D139"/>
    <mergeCell ref="C120:D120"/>
    <mergeCell ref="C121:D121"/>
    <mergeCell ref="M122:N122"/>
    <mergeCell ref="A49:A101"/>
    <mergeCell ref="B49:V49"/>
    <mergeCell ref="B76:V76"/>
    <mergeCell ref="B50:B51"/>
    <mergeCell ref="B52:B53"/>
    <mergeCell ref="B54:B56"/>
    <mergeCell ref="B59:B63"/>
    <mergeCell ref="B64:B66"/>
    <mergeCell ref="B81:B83"/>
    <mergeCell ref="P5:R5"/>
    <mergeCell ref="G161:H161"/>
    <mergeCell ref="M161:N161"/>
    <mergeCell ref="G160:H160"/>
    <mergeCell ref="M160:N160"/>
    <mergeCell ref="G142:H142"/>
    <mergeCell ref="M142:N142"/>
    <mergeCell ref="G141:H141"/>
    <mergeCell ref="M141:N141"/>
    <mergeCell ref="G106:K106"/>
    <mergeCell ref="G123:H123"/>
    <mergeCell ref="M123:N123"/>
    <mergeCell ref="G121:H121"/>
    <mergeCell ref="I121:K121"/>
    <mergeCell ref="M121:N121"/>
    <mergeCell ref="G122:H122"/>
    <mergeCell ref="S148:U150"/>
    <mergeCell ref="C158:D158"/>
    <mergeCell ref="B144:D144"/>
    <mergeCell ref="G144:K144"/>
    <mergeCell ref="M144:Q144"/>
    <mergeCell ref="O121:Q121"/>
    <mergeCell ref="M125:Q125"/>
    <mergeCell ref="M106:Q106"/>
    <mergeCell ref="AA16:AR16"/>
    <mergeCell ref="AA17:AR17"/>
    <mergeCell ref="AB18:AR18"/>
    <mergeCell ref="B21:C21"/>
    <mergeCell ref="B23:B24"/>
    <mergeCell ref="B25:B26"/>
    <mergeCell ref="B27:B29"/>
    <mergeCell ref="B32:B36"/>
    <mergeCell ref="B37:B39"/>
    <mergeCell ref="B40:B41"/>
    <mergeCell ref="B42:B45"/>
    <mergeCell ref="B77:B78"/>
    <mergeCell ref="B79:B80"/>
    <mergeCell ref="B67:B68"/>
    <mergeCell ref="B69:B72"/>
    <mergeCell ref="BK20:BZ20"/>
    <mergeCell ref="CC20:CR20"/>
    <mergeCell ref="B177:C177"/>
    <mergeCell ref="B2:V2"/>
    <mergeCell ref="B10:B14"/>
    <mergeCell ref="C10:F10"/>
    <mergeCell ref="C12:V12"/>
    <mergeCell ref="C13:V13"/>
    <mergeCell ref="C14:V14"/>
    <mergeCell ref="B86:B90"/>
    <mergeCell ref="B91:B93"/>
    <mergeCell ref="B94:B95"/>
    <mergeCell ref="B96:B99"/>
    <mergeCell ref="B106:D106"/>
    <mergeCell ref="B125:D125"/>
    <mergeCell ref="G125:K125"/>
  </mergeCells>
  <conditionalFormatting sqref="B122">
    <cfRule type="cellIs" dxfId="87" priority="130" operator="equal">
      <formula>""</formula>
    </cfRule>
  </conditionalFormatting>
  <conditionalFormatting sqref="B123">
    <cfRule type="cellIs" dxfId="86" priority="129" operator="equal">
      <formula>""</formula>
    </cfRule>
  </conditionalFormatting>
  <conditionalFormatting sqref="G122">
    <cfRule type="cellIs" dxfId="85" priority="128" operator="equal">
      <formula>""</formula>
    </cfRule>
  </conditionalFormatting>
  <conditionalFormatting sqref="G123">
    <cfRule type="cellIs" dxfId="84" priority="127" operator="equal">
      <formula>""</formula>
    </cfRule>
  </conditionalFormatting>
  <conditionalFormatting sqref="C13:V13">
    <cfRule type="cellIs" dxfId="83" priority="124" operator="equal">
      <formula>"You have at least 3 years of data with reporting rates greater than 60%, please discuss with Track20 Team Member."</formula>
    </cfRule>
    <cfRule type="cellIs" dxfId="82" priority="125" operator="equal">
      <formula>"Reporting Rates are generally below 60%, so this data may not be useable in FPET. This may be an opportunity to address data quality."</formula>
    </cfRule>
    <cfRule type="cellIs" dxfId="81" priority="126" operator="equal">
      <formula>"You have at least 3 years of data with reporting rates greater than 80%."</formula>
    </cfRule>
  </conditionalFormatting>
  <conditionalFormatting sqref="M122">
    <cfRule type="cellIs" dxfId="80" priority="69" operator="equal">
      <formula>""</formula>
    </cfRule>
  </conditionalFormatting>
  <conditionalFormatting sqref="M123">
    <cfRule type="cellIs" dxfId="79" priority="68" operator="equal">
      <formula>""</formula>
    </cfRule>
  </conditionalFormatting>
  <conditionalFormatting sqref="G141">
    <cfRule type="cellIs" dxfId="78" priority="67" operator="equal">
      <formula>""</formula>
    </cfRule>
  </conditionalFormatting>
  <conditionalFormatting sqref="G142">
    <cfRule type="cellIs" dxfId="77" priority="66" operator="equal">
      <formula>""</formula>
    </cfRule>
  </conditionalFormatting>
  <conditionalFormatting sqref="M141">
    <cfRule type="cellIs" dxfId="76" priority="65" operator="equal">
      <formula>""</formula>
    </cfRule>
  </conditionalFormatting>
  <conditionalFormatting sqref="M142">
    <cfRule type="cellIs" dxfId="75" priority="64" operator="equal">
      <formula>""</formula>
    </cfRule>
  </conditionalFormatting>
  <conditionalFormatting sqref="G160">
    <cfRule type="cellIs" dxfId="74" priority="63" operator="equal">
      <formula>""</formula>
    </cfRule>
  </conditionalFormatting>
  <conditionalFormatting sqref="G161">
    <cfRule type="cellIs" dxfId="73" priority="62" operator="equal">
      <formula>""</formula>
    </cfRule>
  </conditionalFormatting>
  <conditionalFormatting sqref="M160">
    <cfRule type="cellIs" dxfId="72" priority="61" operator="equal">
      <formula>""</formula>
    </cfRule>
  </conditionalFormatting>
  <conditionalFormatting sqref="M161">
    <cfRule type="cellIs" dxfId="71" priority="60" operator="equal">
      <formula>""</formula>
    </cfRule>
  </conditionalFormatting>
  <conditionalFormatting sqref="B141">
    <cfRule type="cellIs" dxfId="70" priority="59" operator="equal">
      <formula>""</formula>
    </cfRule>
  </conditionalFormatting>
  <conditionalFormatting sqref="B142">
    <cfRule type="cellIs" dxfId="69" priority="58" operator="equal">
      <formula>""</formula>
    </cfRule>
  </conditionalFormatting>
  <conditionalFormatting sqref="B160">
    <cfRule type="cellIs" dxfId="68" priority="57" operator="equal">
      <formula>""</formula>
    </cfRule>
  </conditionalFormatting>
  <conditionalFormatting sqref="B161">
    <cfRule type="cellIs" dxfId="67" priority="56" operator="equal">
      <formula>""</formula>
    </cfRule>
  </conditionalFormatting>
  <conditionalFormatting sqref="G162">
    <cfRule type="cellIs" dxfId="66" priority="37" operator="equal">
      <formula>""</formula>
    </cfRule>
  </conditionalFormatting>
  <conditionalFormatting sqref="M121">
    <cfRule type="expression" dxfId="65" priority="24">
      <formula>M121=""</formula>
    </cfRule>
  </conditionalFormatting>
  <conditionalFormatting sqref="G121">
    <cfRule type="expression" dxfId="64" priority="25">
      <formula>G121=""</formula>
    </cfRule>
  </conditionalFormatting>
  <conditionalFormatting sqref="B121">
    <cfRule type="expression" dxfId="63" priority="23">
      <formula>B121=""</formula>
    </cfRule>
  </conditionalFormatting>
  <conditionalFormatting sqref="M140">
    <cfRule type="expression" dxfId="62" priority="21">
      <formula>M140=""</formula>
    </cfRule>
  </conditionalFormatting>
  <conditionalFormatting sqref="G140">
    <cfRule type="expression" dxfId="61" priority="22">
      <formula>G140=""</formula>
    </cfRule>
  </conditionalFormatting>
  <conditionalFormatting sqref="B140">
    <cfRule type="expression" dxfId="60" priority="20">
      <formula>B140=""</formula>
    </cfRule>
  </conditionalFormatting>
  <conditionalFormatting sqref="M159">
    <cfRule type="expression" dxfId="59" priority="18">
      <formula>M159=""</formula>
    </cfRule>
  </conditionalFormatting>
  <conditionalFormatting sqref="G159">
    <cfRule type="expression" dxfId="58" priority="19">
      <formula>G159=""</formula>
    </cfRule>
  </conditionalFormatting>
  <conditionalFormatting sqref="B159">
    <cfRule type="expression" dxfId="57" priority="17">
      <formula>B159=""</formula>
    </cfRule>
  </conditionalFormatting>
  <conditionalFormatting sqref="B162:B163 C162:F162">
    <cfRule type="expression" dxfId="56" priority="16">
      <formula>B162=""</formula>
    </cfRule>
  </conditionalFormatting>
  <conditionalFormatting sqref="N10:V10">
    <cfRule type="cellIs" dxfId="55" priority="12" operator="equal">
      <formula>""</formula>
    </cfRule>
    <cfRule type="cellIs" dxfId="54" priority="13" operator="greaterThanOrEqual">
      <formula>0.8</formula>
    </cfRule>
    <cfRule type="cellIs" dxfId="53" priority="14" operator="between">
      <formula>0.599</formula>
      <formula>0.7999</formula>
    </cfRule>
    <cfRule type="cellIs" dxfId="52" priority="15" operator="lessThan">
      <formula>0.5999</formula>
    </cfRule>
  </conditionalFormatting>
  <conditionalFormatting sqref="N10:V10">
    <cfRule type="expression" dxfId="51" priority="11">
      <formula>N$9=""</formula>
    </cfRule>
  </conditionalFormatting>
  <conditionalFormatting sqref="M10:V10">
    <cfRule type="expression" dxfId="50" priority="6">
      <formula>M9=""</formula>
    </cfRule>
    <cfRule type="cellIs" dxfId="49" priority="7" operator="equal">
      <formula>""</formula>
    </cfRule>
    <cfRule type="cellIs" dxfId="48" priority="8" operator="greaterThanOrEqual">
      <formula>0.8</formula>
    </cfRule>
    <cfRule type="cellIs" dxfId="47" priority="9" operator="between">
      <formula>0.599</formula>
      <formula>0.7999</formula>
    </cfRule>
    <cfRule type="cellIs" dxfId="46" priority="10" operator="lessThan">
      <formula>0.5999</formula>
    </cfRule>
  </conditionalFormatting>
  <conditionalFormatting sqref="G10:L10">
    <cfRule type="expression" dxfId="45" priority="1">
      <formula>G9=""</formula>
    </cfRule>
    <cfRule type="cellIs" dxfId="44" priority="2" operator="equal">
      <formula>""</formula>
    </cfRule>
    <cfRule type="cellIs" dxfId="43" priority="3" operator="greaterThanOrEqual">
      <formula>0.8</formula>
    </cfRule>
    <cfRule type="cellIs" dxfId="42" priority="4" operator="between">
      <formula>0.599</formula>
      <formula>0.7999</formula>
    </cfRule>
    <cfRule type="cellIs" dxfId="41" priority="5" operator="lessThan">
      <formula>0.5999</formula>
    </cfRule>
  </conditionalFormatting>
  <hyperlinks>
    <hyperlink ref="S148:U150" location="'Users Output'!A1" tooltip="Review Output" display="'Users Output'!A1" xr:uid="{00000000-0004-0000-1100-000000000000}"/>
    <hyperlink ref="P5:R5" location="'&quot;EMU&quot; Output'!A1" tooltip="Click to Review Final Results" display="'&quot;EMU&quot; Output'!A1" xr:uid="{00000000-0004-0000-1100-000001000000}"/>
    <hyperlink ref="G169:I172" location="'Commodities (Facility) Output'!A1" display="'Commodities (Facility) Output'!A1" xr:uid="{AAEAC933-DDA5-4131-A6DE-6F246411BAC3}"/>
    <hyperlink ref="G169:J172" location="'Users Output'!A1" display="'Users Output'!A1" xr:uid="{96895663-9910-4E98-AE8A-13A6EA13B471}"/>
  </hyperlinks>
  <pageMargins left="0.7" right="0.7" top="0.75" bottom="0.75" header="0.3" footer="0.3"/>
  <pageSetup orientation="portrait"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tabColor theme="3"/>
    <pageSetUpPr autoPageBreaks="0"/>
  </sheetPr>
  <dimension ref="A1:AP153"/>
  <sheetViews>
    <sheetView showGridLines="0" zoomScale="70" zoomScaleNormal="70" workbookViewId="0">
      <selection activeCell="O76" sqref="O76"/>
    </sheetView>
  </sheetViews>
  <sheetFormatPr defaultRowHeight="15" outlineLevelRow="1" x14ac:dyDescent="0.25"/>
  <cols>
    <col min="1" max="1" width="6.7109375" customWidth="1"/>
    <col min="2" max="2" width="21.42578125" customWidth="1"/>
    <col min="3" max="3" width="34.140625" style="20" customWidth="1"/>
    <col min="4" max="19" width="11" customWidth="1"/>
    <col min="20" max="20" width="2" customWidth="1"/>
    <col min="21" max="21" width="17.140625" customWidth="1"/>
    <col min="22" max="22" width="15.42578125" customWidth="1"/>
    <col min="23" max="23" width="5.28515625" style="489" customWidth="1"/>
    <col min="24" max="32" width="11" hidden="1" customWidth="1"/>
    <col min="33" max="38" width="11" customWidth="1"/>
    <col min="39" max="52" width="8.85546875" customWidth="1"/>
  </cols>
  <sheetData>
    <row r="1" spans="2:32" ht="34.5" customHeight="1" x14ac:dyDescent="0.25">
      <c r="B1" s="1512" t="str">
        <f>IF(Language="English", AD2, AF2)</f>
        <v>Résultat : Examinez les Utilisatrices PF et l'EUM calculés à partir des données des utlisateurs</v>
      </c>
      <c r="C1" s="1512"/>
      <c r="D1" s="1512"/>
      <c r="E1" s="1512"/>
      <c r="F1" s="1512"/>
      <c r="G1" s="1512"/>
      <c r="H1" s="1512"/>
      <c r="I1" s="1512"/>
      <c r="J1" s="1512"/>
      <c r="K1" s="1512"/>
      <c r="L1" s="1512"/>
      <c r="M1" s="1512"/>
      <c r="N1" s="1512"/>
      <c r="O1" s="1512"/>
      <c r="P1" s="1512"/>
      <c r="Q1" s="1512"/>
      <c r="R1" s="1512"/>
      <c r="S1" s="1512"/>
      <c r="T1" s="1512"/>
      <c r="U1" s="1512"/>
      <c r="V1" s="1512"/>
      <c r="AD1" s="445" t="s">
        <v>628</v>
      </c>
      <c r="AE1" s="449" t="s">
        <v>656</v>
      </c>
      <c r="AF1" s="447" t="s">
        <v>740</v>
      </c>
    </row>
    <row r="2" spans="2:32" ht="28.5" x14ac:dyDescent="0.45">
      <c r="B2" s="272" t="str">
        <f>IF('2. Pop_Prev Set Up'!$W$2="Yes", '2. Pop_Prev Set Up'!$W$1&amp;" : "&amp;'2. Pop_Prev Set Up'!$W$3, '2. Pop_Prev Set Up'!$W$1&amp;" : "&amp;"National")</f>
        <v>0 : National</v>
      </c>
      <c r="C2"/>
      <c r="AD2" s="471" t="s">
        <v>575</v>
      </c>
      <c r="AE2" s="471"/>
      <c r="AF2" s="471" t="s">
        <v>2426</v>
      </c>
    </row>
    <row r="3" spans="2:32" ht="35.25" customHeight="1" x14ac:dyDescent="0.3">
      <c r="B3" s="1562" t="str">
        <f>IF(Language="English", AD3, AF3)</f>
        <v>Sur la base de vos données, nous avons calculé les utilisatrices modernes par méthode, combinaison de méthodes modernes, et l'utilisation moderne estimée (EMU) qui en résulte, calculées en tant qu'utilisatrices / femmes en âge de procréer. Passez en revue les résultats dans les graphiques et les tableaux ci-dessous.</v>
      </c>
      <c r="C3" s="1562"/>
      <c r="D3" s="1562"/>
      <c r="E3" s="1562"/>
      <c r="F3" s="1562"/>
      <c r="G3" s="1562"/>
      <c r="H3" s="1562"/>
      <c r="I3" s="1562"/>
      <c r="J3" s="1562"/>
      <c r="K3" s="1562"/>
      <c r="L3" s="1562"/>
      <c r="M3" s="1562"/>
      <c r="N3" s="1562"/>
      <c r="O3" s="1562"/>
      <c r="P3" s="1562"/>
      <c r="Q3" s="1562"/>
      <c r="R3" s="1562"/>
      <c r="S3" s="1562"/>
      <c r="T3" s="1562"/>
      <c r="U3" s="1562"/>
      <c r="AD3" s="445" t="s">
        <v>1058</v>
      </c>
      <c r="AE3" s="449"/>
      <c r="AF3" s="447" t="s">
        <v>2434</v>
      </c>
    </row>
    <row r="4" spans="2:32" ht="18.75" hidden="1" x14ac:dyDescent="0.3">
      <c r="B4" s="742" t="str">
        <f>IF(AND(COUNT($D$124:$S$124)&gt;COUNT(D125:S125), Language="English"), "One Year of Users/EMU Not Calculated : Check Reporting Rates on Input Tab", IF(AND(COUNT($D$124:$S$124)&gt;COUNT($D$125:$S$125), Language="Francais"), "Un an d'utilisatrices / EMU non calculé : Vérifier les taux de complétude sur l'onglet d'entrée", ""))</f>
        <v>Un an d'utilisatrices / EMU non calculé : Vérifier les taux de complétude sur l'onglet d'entrée</v>
      </c>
      <c r="AD4" s="445"/>
      <c r="AE4" s="449"/>
      <c r="AF4" s="447"/>
    </row>
    <row r="5" spans="2:32" ht="15.75" hidden="1" outlineLevel="1" thickBot="1" x14ac:dyDescent="0.3">
      <c r="B5" t="s">
        <v>1056</v>
      </c>
      <c r="AD5" s="445"/>
      <c r="AE5" s="449"/>
      <c r="AF5" s="447"/>
    </row>
    <row r="6" spans="2:32" ht="18.75" hidden="1" customHeight="1" outlineLevel="1" x14ac:dyDescent="0.25">
      <c r="C6" s="725" t="str">
        <f>IF(Language="English", AD6, AF6)</f>
        <v>Utilisatrices par méthode 
(statistiques de service)</v>
      </c>
      <c r="D6" s="726">
        <f t="shared" ref="D6:S6" si="0">D124</f>
        <v>0</v>
      </c>
      <c r="E6" s="726" t="str">
        <f t="shared" si="0"/>
        <v/>
      </c>
      <c r="F6" s="726" t="str">
        <f t="shared" si="0"/>
        <v/>
      </c>
      <c r="G6" s="726" t="str">
        <f t="shared" si="0"/>
        <v/>
      </c>
      <c r="H6" s="726" t="str">
        <f t="shared" si="0"/>
        <v/>
      </c>
      <c r="I6" s="726" t="str">
        <f t="shared" si="0"/>
        <v/>
      </c>
      <c r="J6" s="726" t="str">
        <f t="shared" si="0"/>
        <v/>
      </c>
      <c r="K6" s="726" t="str">
        <f t="shared" si="0"/>
        <v/>
      </c>
      <c r="L6" s="726" t="str">
        <f t="shared" si="0"/>
        <v/>
      </c>
      <c r="M6" s="726" t="str">
        <f t="shared" si="0"/>
        <v/>
      </c>
      <c r="N6" s="726" t="str">
        <f t="shared" si="0"/>
        <v/>
      </c>
      <c r="O6" s="726" t="str">
        <f t="shared" si="0"/>
        <v/>
      </c>
      <c r="P6" s="726" t="str">
        <f t="shared" si="0"/>
        <v/>
      </c>
      <c r="Q6" s="726" t="str">
        <f t="shared" si="0"/>
        <v/>
      </c>
      <c r="R6" s="726" t="str">
        <f t="shared" si="0"/>
        <v/>
      </c>
      <c r="S6" s="727" t="str">
        <f t="shared" si="0"/>
        <v/>
      </c>
      <c r="AD6" s="654" t="s">
        <v>996</v>
      </c>
      <c r="AE6" s="449"/>
      <c r="AF6" s="655" t="s">
        <v>2415</v>
      </c>
    </row>
    <row r="7" spans="2:32" hidden="1" outlineLevel="1" x14ac:dyDescent="0.25">
      <c r="C7" s="728" t="str">
        <f>C45</f>
        <v>Stérilisation (f)</v>
      </c>
      <c r="D7" s="2" t="e">
        <f t="shared" ref="D7:S7" si="1">IF(D$124="", NA(),IF(D$152="", NA(), D126))</f>
        <v>#N/A</v>
      </c>
      <c r="E7" s="2" t="e">
        <f t="shared" si="1"/>
        <v>#N/A</v>
      </c>
      <c r="F7" s="2" t="e">
        <f t="shared" si="1"/>
        <v>#N/A</v>
      </c>
      <c r="G7" s="2" t="e">
        <f t="shared" si="1"/>
        <v>#N/A</v>
      </c>
      <c r="H7" s="2" t="e">
        <f t="shared" si="1"/>
        <v>#N/A</v>
      </c>
      <c r="I7" s="2" t="e">
        <f t="shared" si="1"/>
        <v>#N/A</v>
      </c>
      <c r="J7" s="2" t="e">
        <f t="shared" si="1"/>
        <v>#N/A</v>
      </c>
      <c r="K7" s="2" t="e">
        <f t="shared" si="1"/>
        <v>#N/A</v>
      </c>
      <c r="L7" s="2" t="e">
        <f t="shared" si="1"/>
        <v>#N/A</v>
      </c>
      <c r="M7" s="2" t="e">
        <f t="shared" si="1"/>
        <v>#N/A</v>
      </c>
      <c r="N7" s="2" t="e">
        <f t="shared" si="1"/>
        <v>#N/A</v>
      </c>
      <c r="O7" s="2" t="e">
        <f t="shared" si="1"/>
        <v>#N/A</v>
      </c>
      <c r="P7" s="2" t="e">
        <f t="shared" si="1"/>
        <v>#N/A</v>
      </c>
      <c r="Q7" s="2" t="e">
        <f t="shared" si="1"/>
        <v>#N/A</v>
      </c>
      <c r="R7" s="2" t="e">
        <f t="shared" si="1"/>
        <v>#N/A</v>
      </c>
      <c r="S7" s="729" t="e">
        <f t="shared" si="1"/>
        <v>#N/A</v>
      </c>
      <c r="AD7" s="445"/>
      <c r="AE7" s="449"/>
      <c r="AF7" s="447"/>
    </row>
    <row r="8" spans="2:32" hidden="1" outlineLevel="1" x14ac:dyDescent="0.25">
      <c r="C8" s="728" t="str">
        <f t="shared" ref="C8:C15" si="2">C46</f>
        <v>Stérilisation (m)</v>
      </c>
      <c r="D8" s="2" t="e">
        <f t="shared" ref="D8:S8" si="3">IF(D$124="", NA(),IF(D$152="", NA(), D127))</f>
        <v>#N/A</v>
      </c>
      <c r="E8" s="2" t="e">
        <f t="shared" si="3"/>
        <v>#N/A</v>
      </c>
      <c r="F8" s="2" t="e">
        <f t="shared" si="3"/>
        <v>#N/A</v>
      </c>
      <c r="G8" s="2" t="e">
        <f t="shared" si="3"/>
        <v>#N/A</v>
      </c>
      <c r="H8" s="2" t="e">
        <f t="shared" si="3"/>
        <v>#N/A</v>
      </c>
      <c r="I8" s="2" t="e">
        <f t="shared" si="3"/>
        <v>#N/A</v>
      </c>
      <c r="J8" s="2" t="e">
        <f t="shared" si="3"/>
        <v>#N/A</v>
      </c>
      <c r="K8" s="2" t="e">
        <f t="shared" si="3"/>
        <v>#N/A</v>
      </c>
      <c r="L8" s="2" t="e">
        <f t="shared" si="3"/>
        <v>#N/A</v>
      </c>
      <c r="M8" s="2" t="e">
        <f t="shared" si="3"/>
        <v>#N/A</v>
      </c>
      <c r="N8" s="2" t="e">
        <f t="shared" si="3"/>
        <v>#N/A</v>
      </c>
      <c r="O8" s="2" t="e">
        <f t="shared" si="3"/>
        <v>#N/A</v>
      </c>
      <c r="P8" s="2" t="e">
        <f t="shared" si="3"/>
        <v>#N/A</v>
      </c>
      <c r="Q8" s="2" t="e">
        <f t="shared" si="3"/>
        <v>#N/A</v>
      </c>
      <c r="R8" s="2" t="e">
        <f t="shared" si="3"/>
        <v>#N/A</v>
      </c>
      <c r="S8" s="729" t="e">
        <f t="shared" si="3"/>
        <v>#N/A</v>
      </c>
      <c r="AD8" s="445"/>
      <c r="AE8" s="449"/>
      <c r="AF8" s="447"/>
    </row>
    <row r="9" spans="2:32" hidden="1" outlineLevel="1" x14ac:dyDescent="0.25">
      <c r="C9" s="728" t="str">
        <f t="shared" si="2"/>
        <v>DIU</v>
      </c>
      <c r="D9" s="2" t="e">
        <f t="shared" ref="D9:S9" si="4">IF(D$124="", NA(), IF(D$152="", NA(), SUM(D128:D129)))</f>
        <v>#N/A</v>
      </c>
      <c r="E9" s="2" t="e">
        <f t="shared" si="4"/>
        <v>#N/A</v>
      </c>
      <c r="F9" s="2" t="e">
        <f t="shared" si="4"/>
        <v>#N/A</v>
      </c>
      <c r="G9" s="2" t="e">
        <f t="shared" si="4"/>
        <v>#N/A</v>
      </c>
      <c r="H9" s="2" t="e">
        <f t="shared" si="4"/>
        <v>#N/A</v>
      </c>
      <c r="I9" s="2" t="e">
        <f t="shared" si="4"/>
        <v>#N/A</v>
      </c>
      <c r="J9" s="2" t="e">
        <f t="shared" si="4"/>
        <v>#N/A</v>
      </c>
      <c r="K9" s="2" t="e">
        <f t="shared" si="4"/>
        <v>#N/A</v>
      </c>
      <c r="L9" s="2" t="e">
        <f t="shared" si="4"/>
        <v>#N/A</v>
      </c>
      <c r="M9" s="2" t="e">
        <f t="shared" si="4"/>
        <v>#N/A</v>
      </c>
      <c r="N9" s="2" t="e">
        <f t="shared" si="4"/>
        <v>#N/A</v>
      </c>
      <c r="O9" s="2" t="e">
        <f t="shared" si="4"/>
        <v>#N/A</v>
      </c>
      <c r="P9" s="2" t="e">
        <f t="shared" si="4"/>
        <v>#N/A</v>
      </c>
      <c r="Q9" s="2" t="e">
        <f t="shared" si="4"/>
        <v>#N/A</v>
      </c>
      <c r="R9" s="2" t="e">
        <f t="shared" si="4"/>
        <v>#N/A</v>
      </c>
      <c r="S9" s="729" t="e">
        <f t="shared" si="4"/>
        <v>#N/A</v>
      </c>
      <c r="AD9" s="445"/>
      <c r="AE9" s="449"/>
      <c r="AF9" s="447"/>
    </row>
    <row r="10" spans="2:32" hidden="1" outlineLevel="1" x14ac:dyDescent="0.25">
      <c r="C10" s="728" t="str">
        <f t="shared" si="2"/>
        <v>Implant</v>
      </c>
      <c r="D10" s="2" t="e">
        <f t="shared" ref="D10:S10" si="5">IF(D$124="", NA(), IF(D$152="", NA(), SUM(D130:D132)))</f>
        <v>#N/A</v>
      </c>
      <c r="E10" s="2" t="e">
        <f t="shared" si="5"/>
        <v>#N/A</v>
      </c>
      <c r="F10" s="2" t="e">
        <f t="shared" si="5"/>
        <v>#N/A</v>
      </c>
      <c r="G10" s="2" t="e">
        <f t="shared" si="5"/>
        <v>#N/A</v>
      </c>
      <c r="H10" s="2" t="e">
        <f t="shared" si="5"/>
        <v>#N/A</v>
      </c>
      <c r="I10" s="2" t="e">
        <f t="shared" si="5"/>
        <v>#N/A</v>
      </c>
      <c r="J10" s="2" t="e">
        <f t="shared" si="5"/>
        <v>#N/A</v>
      </c>
      <c r="K10" s="2" t="e">
        <f t="shared" si="5"/>
        <v>#N/A</v>
      </c>
      <c r="L10" s="2" t="e">
        <f t="shared" si="5"/>
        <v>#N/A</v>
      </c>
      <c r="M10" s="2" t="e">
        <f t="shared" si="5"/>
        <v>#N/A</v>
      </c>
      <c r="N10" s="2" t="e">
        <f t="shared" si="5"/>
        <v>#N/A</v>
      </c>
      <c r="O10" s="2" t="e">
        <f t="shared" si="5"/>
        <v>#N/A</v>
      </c>
      <c r="P10" s="2" t="e">
        <f t="shared" si="5"/>
        <v>#N/A</v>
      </c>
      <c r="Q10" s="2" t="e">
        <f t="shared" si="5"/>
        <v>#N/A</v>
      </c>
      <c r="R10" s="2" t="e">
        <f t="shared" si="5"/>
        <v>#N/A</v>
      </c>
      <c r="S10" s="729" t="e">
        <f t="shared" si="5"/>
        <v>#N/A</v>
      </c>
      <c r="AD10" s="445"/>
      <c r="AE10" s="449"/>
      <c r="AF10" s="447"/>
    </row>
    <row r="11" spans="2:32" hidden="1" outlineLevel="1" x14ac:dyDescent="0.25">
      <c r="C11" s="728" t="str">
        <f t="shared" si="2"/>
        <v>Produits injectables</v>
      </c>
      <c r="D11" s="2" t="e">
        <f t="shared" ref="D11:S11" si="6">IF(D124="",NA(),IF(D152="",NA(),SUM(D135:D139)))</f>
        <v>#N/A</v>
      </c>
      <c r="E11" s="2" t="e">
        <f t="shared" si="6"/>
        <v>#N/A</v>
      </c>
      <c r="F11" s="2" t="e">
        <f t="shared" si="6"/>
        <v>#N/A</v>
      </c>
      <c r="G11" s="2" t="e">
        <f t="shared" si="6"/>
        <v>#N/A</v>
      </c>
      <c r="H11" s="2" t="e">
        <f t="shared" si="6"/>
        <v>#N/A</v>
      </c>
      <c r="I11" s="2" t="e">
        <f t="shared" si="6"/>
        <v>#N/A</v>
      </c>
      <c r="J11" s="2" t="e">
        <f t="shared" si="6"/>
        <v>#N/A</v>
      </c>
      <c r="K11" s="2" t="e">
        <f t="shared" si="6"/>
        <v>#N/A</v>
      </c>
      <c r="L11" s="2" t="e">
        <f t="shared" si="6"/>
        <v>#N/A</v>
      </c>
      <c r="M11" s="2" t="e">
        <f t="shared" si="6"/>
        <v>#N/A</v>
      </c>
      <c r="N11" s="2" t="e">
        <f t="shared" si="6"/>
        <v>#N/A</v>
      </c>
      <c r="O11" s="2" t="e">
        <f t="shared" si="6"/>
        <v>#N/A</v>
      </c>
      <c r="P11" s="2" t="e">
        <f t="shared" si="6"/>
        <v>#N/A</v>
      </c>
      <c r="Q11" s="2" t="e">
        <f t="shared" si="6"/>
        <v>#N/A</v>
      </c>
      <c r="R11" s="2" t="e">
        <f t="shared" si="6"/>
        <v>#N/A</v>
      </c>
      <c r="S11" s="729" t="e">
        <f t="shared" si="6"/>
        <v>#N/A</v>
      </c>
      <c r="AD11" s="445"/>
      <c r="AE11" s="449"/>
      <c r="AF11" s="447"/>
    </row>
    <row r="12" spans="2:32" hidden="1" outlineLevel="1" x14ac:dyDescent="0.25">
      <c r="C12" s="728" t="str">
        <f t="shared" si="2"/>
        <v>Pilule</v>
      </c>
      <c r="D12" s="2" t="e">
        <f t="shared" ref="D12:S12" si="7">IF(D124="", NA(), IF(D152="", NA(), SUM(D140:D142)))</f>
        <v>#N/A</v>
      </c>
      <c r="E12" s="2" t="e">
        <f t="shared" si="7"/>
        <v>#N/A</v>
      </c>
      <c r="F12" s="2" t="e">
        <f t="shared" si="7"/>
        <v>#N/A</v>
      </c>
      <c r="G12" s="2" t="e">
        <f t="shared" si="7"/>
        <v>#N/A</v>
      </c>
      <c r="H12" s="2" t="e">
        <f t="shared" si="7"/>
        <v>#N/A</v>
      </c>
      <c r="I12" s="2" t="e">
        <f t="shared" si="7"/>
        <v>#N/A</v>
      </c>
      <c r="J12" s="2" t="e">
        <f t="shared" si="7"/>
        <v>#N/A</v>
      </c>
      <c r="K12" s="2" t="e">
        <f t="shared" si="7"/>
        <v>#N/A</v>
      </c>
      <c r="L12" s="2" t="e">
        <f t="shared" si="7"/>
        <v>#N/A</v>
      </c>
      <c r="M12" s="2" t="e">
        <f t="shared" si="7"/>
        <v>#N/A</v>
      </c>
      <c r="N12" s="2" t="e">
        <f t="shared" si="7"/>
        <v>#N/A</v>
      </c>
      <c r="O12" s="2" t="e">
        <f t="shared" si="7"/>
        <v>#N/A</v>
      </c>
      <c r="P12" s="2" t="e">
        <f t="shared" si="7"/>
        <v>#N/A</v>
      </c>
      <c r="Q12" s="2" t="e">
        <f t="shared" si="7"/>
        <v>#N/A</v>
      </c>
      <c r="R12" s="2" t="e">
        <f t="shared" si="7"/>
        <v>#N/A</v>
      </c>
      <c r="S12" s="729" t="e">
        <f t="shared" si="7"/>
        <v>#N/A</v>
      </c>
      <c r="AD12" s="445"/>
      <c r="AE12" s="449"/>
      <c r="AF12" s="447"/>
    </row>
    <row r="13" spans="2:32" hidden="1" outlineLevel="1" x14ac:dyDescent="0.25">
      <c r="C13" s="728" t="str">
        <f t="shared" si="2"/>
        <v>Préservatifs (m+f)</v>
      </c>
      <c r="D13" s="2" t="e">
        <f t="shared" ref="D13:S13" si="8">IF(D124="", NA(), IF(D152="", NA(), SUM(D143:D144)))</f>
        <v>#N/A</v>
      </c>
      <c r="E13" s="2" t="e">
        <f t="shared" si="8"/>
        <v>#N/A</v>
      </c>
      <c r="F13" s="2" t="e">
        <f t="shared" si="8"/>
        <v>#N/A</v>
      </c>
      <c r="G13" s="2" t="e">
        <f t="shared" si="8"/>
        <v>#N/A</v>
      </c>
      <c r="H13" s="2" t="e">
        <f t="shared" si="8"/>
        <v>#N/A</v>
      </c>
      <c r="I13" s="2" t="e">
        <f t="shared" si="8"/>
        <v>#N/A</v>
      </c>
      <c r="J13" s="2" t="e">
        <f t="shared" si="8"/>
        <v>#N/A</v>
      </c>
      <c r="K13" s="2" t="e">
        <f t="shared" si="8"/>
        <v>#N/A</v>
      </c>
      <c r="L13" s="2" t="e">
        <f t="shared" si="8"/>
        <v>#N/A</v>
      </c>
      <c r="M13" s="2" t="e">
        <f t="shared" si="8"/>
        <v>#N/A</v>
      </c>
      <c r="N13" s="2" t="e">
        <f t="shared" si="8"/>
        <v>#N/A</v>
      </c>
      <c r="O13" s="2" t="e">
        <f t="shared" si="8"/>
        <v>#N/A</v>
      </c>
      <c r="P13" s="2" t="e">
        <f t="shared" si="8"/>
        <v>#N/A</v>
      </c>
      <c r="Q13" s="2" t="e">
        <f t="shared" si="8"/>
        <v>#N/A</v>
      </c>
      <c r="R13" s="2" t="e">
        <f t="shared" si="8"/>
        <v>#N/A</v>
      </c>
      <c r="S13" s="729" t="e">
        <f t="shared" si="8"/>
        <v>#N/A</v>
      </c>
      <c r="AD13" s="445"/>
      <c r="AE13" s="449"/>
      <c r="AF13" s="447"/>
    </row>
    <row r="14" spans="2:32" hidden="1" outlineLevel="1" x14ac:dyDescent="0.25">
      <c r="C14" s="728" t="str">
        <f t="shared" si="2"/>
        <v>MAMA</v>
      </c>
      <c r="D14" s="2" t="e">
        <f t="shared" ref="D14:S14" si="9">IF(D124="", NA(), IF(D152="", NA(), D145))</f>
        <v>#N/A</v>
      </c>
      <c r="E14" s="2" t="e">
        <f t="shared" si="9"/>
        <v>#N/A</v>
      </c>
      <c r="F14" s="2" t="e">
        <f t="shared" si="9"/>
        <v>#N/A</v>
      </c>
      <c r="G14" s="2" t="e">
        <f t="shared" si="9"/>
        <v>#N/A</v>
      </c>
      <c r="H14" s="2" t="e">
        <f t="shared" si="9"/>
        <v>#N/A</v>
      </c>
      <c r="I14" s="2" t="e">
        <f t="shared" si="9"/>
        <v>#N/A</v>
      </c>
      <c r="J14" s="2" t="e">
        <f t="shared" si="9"/>
        <v>#N/A</v>
      </c>
      <c r="K14" s="2" t="e">
        <f t="shared" si="9"/>
        <v>#N/A</v>
      </c>
      <c r="L14" s="2" t="e">
        <f t="shared" si="9"/>
        <v>#N/A</v>
      </c>
      <c r="M14" s="2" t="e">
        <f t="shared" si="9"/>
        <v>#N/A</v>
      </c>
      <c r="N14" s="2" t="e">
        <f t="shared" si="9"/>
        <v>#N/A</v>
      </c>
      <c r="O14" s="2" t="e">
        <f t="shared" si="9"/>
        <v>#N/A</v>
      </c>
      <c r="P14" s="2" t="e">
        <f t="shared" si="9"/>
        <v>#N/A</v>
      </c>
      <c r="Q14" s="2" t="e">
        <f t="shared" si="9"/>
        <v>#N/A</v>
      </c>
      <c r="R14" s="2" t="e">
        <f t="shared" si="9"/>
        <v>#N/A</v>
      </c>
      <c r="S14" s="729" t="e">
        <f t="shared" si="9"/>
        <v>#N/A</v>
      </c>
      <c r="AD14" s="445"/>
      <c r="AE14" s="449"/>
      <c r="AF14" s="447"/>
    </row>
    <row r="15" spans="2:32" hidden="1" outlineLevel="1" x14ac:dyDescent="0.25">
      <c r="C15" s="728" t="str">
        <f t="shared" si="2"/>
        <v>Autres méthodes modernes</v>
      </c>
      <c r="D15" s="138" t="e">
        <f t="shared" ref="D15:S15" si="10">IF(D152="", NA(), SUM(D146:D149))</f>
        <v>#N/A</v>
      </c>
      <c r="E15" s="138" t="e">
        <f t="shared" si="10"/>
        <v>#N/A</v>
      </c>
      <c r="F15" s="138" t="e">
        <f t="shared" si="10"/>
        <v>#N/A</v>
      </c>
      <c r="G15" s="138" t="e">
        <f t="shared" si="10"/>
        <v>#N/A</v>
      </c>
      <c r="H15" s="138" t="e">
        <f t="shared" si="10"/>
        <v>#N/A</v>
      </c>
      <c r="I15" s="138" t="e">
        <f t="shared" si="10"/>
        <v>#N/A</v>
      </c>
      <c r="J15" s="138" t="e">
        <f t="shared" si="10"/>
        <v>#N/A</v>
      </c>
      <c r="K15" s="138" t="e">
        <f t="shared" si="10"/>
        <v>#N/A</v>
      </c>
      <c r="L15" s="138" t="e">
        <f t="shared" si="10"/>
        <v>#N/A</v>
      </c>
      <c r="M15" s="138" t="e">
        <f t="shared" si="10"/>
        <v>#N/A</v>
      </c>
      <c r="N15" s="138" t="e">
        <f t="shared" si="10"/>
        <v>#N/A</v>
      </c>
      <c r="O15" s="138" t="e">
        <f t="shared" si="10"/>
        <v>#N/A</v>
      </c>
      <c r="P15" s="138" t="e">
        <f t="shared" si="10"/>
        <v>#N/A</v>
      </c>
      <c r="Q15" s="138" t="e">
        <f t="shared" si="10"/>
        <v>#N/A</v>
      </c>
      <c r="R15" s="138" t="e">
        <f t="shared" si="10"/>
        <v>#N/A</v>
      </c>
      <c r="S15" s="730" t="e">
        <f t="shared" si="10"/>
        <v>#N/A</v>
      </c>
      <c r="AD15" s="445"/>
      <c r="AE15" s="449"/>
      <c r="AF15" s="447"/>
    </row>
    <row r="16" spans="2:32" ht="15.75" hidden="1" outlineLevel="1" thickBot="1" x14ac:dyDescent="0.3">
      <c r="C16" s="731" t="s">
        <v>313</v>
      </c>
      <c r="D16" s="732" t="e">
        <f>SUM(D7:D15)</f>
        <v>#N/A</v>
      </c>
      <c r="E16" s="732" t="e">
        <f t="shared" ref="E16:S16" si="11">SUM(E7:E15)</f>
        <v>#N/A</v>
      </c>
      <c r="F16" s="732" t="e">
        <f t="shared" si="11"/>
        <v>#N/A</v>
      </c>
      <c r="G16" s="732" t="e">
        <f t="shared" si="11"/>
        <v>#N/A</v>
      </c>
      <c r="H16" s="732" t="e">
        <f t="shared" si="11"/>
        <v>#N/A</v>
      </c>
      <c r="I16" s="732" t="e">
        <f t="shared" si="11"/>
        <v>#N/A</v>
      </c>
      <c r="J16" s="732" t="e">
        <f t="shared" si="11"/>
        <v>#N/A</v>
      </c>
      <c r="K16" s="732" t="e">
        <f t="shared" si="11"/>
        <v>#N/A</v>
      </c>
      <c r="L16" s="732" t="e">
        <f t="shared" si="11"/>
        <v>#N/A</v>
      </c>
      <c r="M16" s="732" t="e">
        <f t="shared" si="11"/>
        <v>#N/A</v>
      </c>
      <c r="N16" s="732" t="e">
        <f t="shared" si="11"/>
        <v>#N/A</v>
      </c>
      <c r="O16" s="732" t="e">
        <f t="shared" si="11"/>
        <v>#N/A</v>
      </c>
      <c r="P16" s="732" t="e">
        <f t="shared" si="11"/>
        <v>#N/A</v>
      </c>
      <c r="Q16" s="732" t="e">
        <f t="shared" si="11"/>
        <v>#N/A</v>
      </c>
      <c r="R16" s="732" t="e">
        <f t="shared" si="11"/>
        <v>#N/A</v>
      </c>
      <c r="S16" s="733" t="e">
        <f t="shared" si="11"/>
        <v>#N/A</v>
      </c>
      <c r="AD16" s="445"/>
      <c r="AE16" s="449"/>
      <c r="AF16" s="447"/>
    </row>
    <row r="17" spans="3:35" ht="15.75" hidden="1" outlineLevel="1" thickBot="1" x14ac:dyDescent="0.3">
      <c r="D17" s="2"/>
      <c r="E17" s="2"/>
      <c r="F17" s="2"/>
      <c r="G17" s="2"/>
      <c r="H17" s="2"/>
      <c r="I17" s="2"/>
      <c r="J17" s="2"/>
      <c r="K17" s="2"/>
      <c r="L17" s="2"/>
      <c r="M17" s="2"/>
      <c r="N17" s="2"/>
      <c r="O17" s="2"/>
      <c r="P17" s="2"/>
      <c r="Q17" s="2"/>
      <c r="R17" s="2"/>
      <c r="S17" s="2"/>
      <c r="U17" s="2"/>
      <c r="V17" s="2"/>
      <c r="W17" s="807"/>
      <c r="X17" s="2"/>
      <c r="Y17" s="2"/>
      <c r="Z17" s="2"/>
      <c r="AA17" s="2"/>
      <c r="AB17" s="2"/>
      <c r="AC17" s="2"/>
      <c r="AD17" s="445"/>
      <c r="AE17" s="449"/>
      <c r="AF17" s="447"/>
    </row>
    <row r="18" spans="3:35" ht="18.75" hidden="1" customHeight="1" outlineLevel="1" x14ac:dyDescent="0.25">
      <c r="C18" s="725" t="str">
        <f>IF(Language="English", AD18, AF18)</f>
        <v>Utilisatrices par méthode 
(enquête)</v>
      </c>
      <c r="D18" s="726">
        <f>D6</f>
        <v>0</v>
      </c>
      <c r="E18" s="726" t="str">
        <f t="shared" ref="E18:S18" si="12">E6</f>
        <v/>
      </c>
      <c r="F18" s="726" t="str">
        <f t="shared" si="12"/>
        <v/>
      </c>
      <c r="G18" s="726" t="str">
        <f t="shared" si="12"/>
        <v/>
      </c>
      <c r="H18" s="726" t="str">
        <f t="shared" si="12"/>
        <v/>
      </c>
      <c r="I18" s="726" t="str">
        <f t="shared" si="12"/>
        <v/>
      </c>
      <c r="J18" s="726" t="str">
        <f t="shared" si="12"/>
        <v/>
      </c>
      <c r="K18" s="726" t="str">
        <f t="shared" si="12"/>
        <v/>
      </c>
      <c r="L18" s="726" t="str">
        <f t="shared" si="12"/>
        <v/>
      </c>
      <c r="M18" s="726" t="str">
        <f t="shared" si="12"/>
        <v/>
      </c>
      <c r="N18" s="726" t="str">
        <f t="shared" si="12"/>
        <v/>
      </c>
      <c r="O18" s="726" t="str">
        <f t="shared" si="12"/>
        <v/>
      </c>
      <c r="P18" s="726" t="str">
        <f t="shared" si="12"/>
        <v/>
      </c>
      <c r="Q18" s="726" t="str">
        <f t="shared" si="12"/>
        <v/>
      </c>
      <c r="R18" s="726" t="str">
        <f t="shared" si="12"/>
        <v/>
      </c>
      <c r="S18" s="727" t="str">
        <f t="shared" si="12"/>
        <v/>
      </c>
      <c r="U18" s="2"/>
      <c r="V18" s="2"/>
      <c r="W18" s="807"/>
      <c r="X18" s="2"/>
      <c r="Y18" s="2"/>
      <c r="Z18" s="2"/>
      <c r="AA18" s="2"/>
      <c r="AB18" s="2"/>
      <c r="AC18" s="2"/>
      <c r="AD18" s="445" t="s">
        <v>997</v>
      </c>
      <c r="AE18" s="449"/>
      <c r="AF18" s="655" t="s">
        <v>2416</v>
      </c>
    </row>
    <row r="19" spans="3:35" hidden="1" outlineLevel="1" x14ac:dyDescent="0.25">
      <c r="C19" s="728" t="str">
        <f>C7</f>
        <v>Stérilisation (f)</v>
      </c>
      <c r="D19" s="2" t="e">
        <f>VLOOKUP($C19, '5. MethodMix Set Up'!$S$34:$AI$43, MATCH(D$18, '5. MethodMix Set Up'!$S$34:$AI$34, 0), FALSE)</f>
        <v>#N/A</v>
      </c>
      <c r="E19" s="2" t="e">
        <f>VLOOKUP($C19, '5. MethodMix Set Up'!$S$34:$AI$43, MATCH(E$18, '5. MethodMix Set Up'!$S$34:$AI$34, 0), FALSE)</f>
        <v>#VALUE!</v>
      </c>
      <c r="F19" s="2" t="e">
        <f>VLOOKUP($C19, '5. MethodMix Set Up'!$S$34:$AI$43, MATCH(F$18, '5. MethodMix Set Up'!$S$34:$AI$34, 0), FALSE)</f>
        <v>#VALUE!</v>
      </c>
      <c r="G19" s="2" t="e">
        <f>VLOOKUP($C19, '5. MethodMix Set Up'!$S$34:$AI$43, MATCH(G$18, '5. MethodMix Set Up'!$S$34:$AI$34, 0), FALSE)</f>
        <v>#VALUE!</v>
      </c>
      <c r="H19" s="2" t="e">
        <f>VLOOKUP($C19, '5. MethodMix Set Up'!$S$34:$AI$43, MATCH(H$18, '5. MethodMix Set Up'!$S$34:$AI$34, 0), FALSE)</f>
        <v>#VALUE!</v>
      </c>
      <c r="I19" s="2" t="e">
        <f>VLOOKUP($C19, '5. MethodMix Set Up'!$S$34:$AI$43, MATCH(I$18, '5. MethodMix Set Up'!$S$34:$AI$34, 0), FALSE)</f>
        <v>#VALUE!</v>
      </c>
      <c r="J19" s="2" t="e">
        <f>VLOOKUP($C19, '5. MethodMix Set Up'!$S$34:$AI$43, MATCH(J$18, '5. MethodMix Set Up'!$S$34:$AI$34, 0), FALSE)</f>
        <v>#VALUE!</v>
      </c>
      <c r="K19" s="2" t="e">
        <f>VLOOKUP($C19, '5. MethodMix Set Up'!$S$34:$AI$43, MATCH(K$18, '5. MethodMix Set Up'!$S$34:$AI$34, 0), FALSE)</f>
        <v>#VALUE!</v>
      </c>
      <c r="L19" s="2" t="e">
        <f>VLOOKUP($C19, '5. MethodMix Set Up'!$S$34:$AI$43, MATCH(L$18, '5. MethodMix Set Up'!$S$34:$AI$34, 0), FALSE)</f>
        <v>#VALUE!</v>
      </c>
      <c r="M19" s="2" t="e">
        <f>VLOOKUP($C19, '5. MethodMix Set Up'!$S$34:$AI$43, MATCH(M$18, '5. MethodMix Set Up'!$S$34:$AI$34, 0), FALSE)</f>
        <v>#VALUE!</v>
      </c>
      <c r="N19" s="2" t="e">
        <f>VLOOKUP($C19, '5. MethodMix Set Up'!$S$34:$AI$43, MATCH(N$18, '5. MethodMix Set Up'!$S$34:$AI$34, 0), FALSE)</f>
        <v>#VALUE!</v>
      </c>
      <c r="O19" s="2" t="e">
        <f>VLOOKUP($C19, '5. MethodMix Set Up'!$S$34:$AI$43, MATCH(O$18, '5. MethodMix Set Up'!$S$34:$AI$34, 0), FALSE)</f>
        <v>#VALUE!</v>
      </c>
      <c r="P19" s="2" t="e">
        <f>VLOOKUP($C19, '5. MethodMix Set Up'!$S$34:$AI$43, MATCH(P$18, '5. MethodMix Set Up'!$S$34:$AI$34, 0), FALSE)</f>
        <v>#VALUE!</v>
      </c>
      <c r="Q19" s="2" t="e">
        <f>VLOOKUP($C19, '5. MethodMix Set Up'!$S$34:$AI$43, MATCH(Q$18, '5. MethodMix Set Up'!$S$34:$AI$34, 0), FALSE)</f>
        <v>#VALUE!</v>
      </c>
      <c r="R19" s="2" t="e">
        <f>VLOOKUP($C19, '5. MethodMix Set Up'!$S$34:$AI$43, MATCH(R$18, '5. MethodMix Set Up'!$S$34:$AI$34, 0), FALSE)</f>
        <v>#VALUE!</v>
      </c>
      <c r="S19" s="2" t="e">
        <f>VLOOKUP($C19, '5. MethodMix Set Up'!$S$34:$AI$43, MATCH(S$18, '5. MethodMix Set Up'!$S$34:$AI$34, 0), FALSE)</f>
        <v>#VALUE!</v>
      </c>
      <c r="U19" s="2"/>
      <c r="V19" s="2"/>
      <c r="W19" s="807"/>
      <c r="X19" s="2"/>
      <c r="Y19" s="2"/>
      <c r="Z19" s="2"/>
      <c r="AA19" s="2"/>
      <c r="AB19" s="2"/>
      <c r="AC19" s="2"/>
      <c r="AD19" s="445"/>
      <c r="AE19" s="449"/>
      <c r="AF19" s="447"/>
    </row>
    <row r="20" spans="3:35" hidden="1" outlineLevel="1" x14ac:dyDescent="0.25">
      <c r="C20" s="728" t="str">
        <f t="shared" ref="C20:C26" si="13">C8</f>
        <v>Stérilisation (m)</v>
      </c>
      <c r="D20" s="2" t="e">
        <f>VLOOKUP($C20, '5. MethodMix Set Up'!$S$34:$AI$43, MATCH(D$18, '5. MethodMix Set Up'!$S$34:$AI$34, 0), FALSE)</f>
        <v>#N/A</v>
      </c>
      <c r="E20" s="2" t="e">
        <f>VLOOKUP($C20, '5. MethodMix Set Up'!$S$34:$AI$43, MATCH(E$18, '5. MethodMix Set Up'!$S$34:$AI$34, 0), FALSE)</f>
        <v>#VALUE!</v>
      </c>
      <c r="F20" s="2" t="e">
        <f>VLOOKUP($C20, '5. MethodMix Set Up'!$S$34:$AI$43, MATCH(F$18, '5. MethodMix Set Up'!$S$34:$AI$34, 0), FALSE)</f>
        <v>#VALUE!</v>
      </c>
      <c r="G20" s="2" t="e">
        <f>VLOOKUP($C20, '5. MethodMix Set Up'!$S$34:$AI$43, MATCH(G$18, '5. MethodMix Set Up'!$S$34:$AI$34, 0), FALSE)</f>
        <v>#VALUE!</v>
      </c>
      <c r="H20" s="2" t="e">
        <f>VLOOKUP($C20, '5. MethodMix Set Up'!$S$34:$AI$43, MATCH(H$18, '5. MethodMix Set Up'!$S$34:$AI$34, 0), FALSE)</f>
        <v>#VALUE!</v>
      </c>
      <c r="I20" s="2" t="e">
        <f>VLOOKUP($C20, '5. MethodMix Set Up'!$S$34:$AI$43, MATCH(I$18, '5. MethodMix Set Up'!$S$34:$AI$34, 0), FALSE)</f>
        <v>#VALUE!</v>
      </c>
      <c r="J20" s="2" t="e">
        <f>VLOOKUP($C20, '5. MethodMix Set Up'!$S$34:$AI$43, MATCH(J$18, '5. MethodMix Set Up'!$S$34:$AI$34, 0), FALSE)</f>
        <v>#VALUE!</v>
      </c>
      <c r="K20" s="2" t="e">
        <f>VLOOKUP($C20, '5. MethodMix Set Up'!$S$34:$AI$43, MATCH(K$18, '5. MethodMix Set Up'!$S$34:$AI$34, 0), FALSE)</f>
        <v>#VALUE!</v>
      </c>
      <c r="L20" s="2" t="e">
        <f>VLOOKUP($C20, '5. MethodMix Set Up'!$S$34:$AI$43, MATCH(L$18, '5. MethodMix Set Up'!$S$34:$AI$34, 0), FALSE)</f>
        <v>#VALUE!</v>
      </c>
      <c r="M20" s="2" t="e">
        <f>VLOOKUP($C20, '5. MethodMix Set Up'!$S$34:$AI$43, MATCH(M$18, '5. MethodMix Set Up'!$S$34:$AI$34, 0), FALSE)</f>
        <v>#VALUE!</v>
      </c>
      <c r="N20" s="2" t="e">
        <f>VLOOKUP($C20, '5. MethodMix Set Up'!$S$34:$AI$43, MATCH(N$18, '5. MethodMix Set Up'!$S$34:$AI$34, 0), FALSE)</f>
        <v>#VALUE!</v>
      </c>
      <c r="O20" s="2" t="e">
        <f>VLOOKUP($C20, '5. MethodMix Set Up'!$S$34:$AI$43, MATCH(O$18, '5. MethodMix Set Up'!$S$34:$AI$34, 0), FALSE)</f>
        <v>#VALUE!</v>
      </c>
      <c r="P20" s="2" t="e">
        <f>VLOOKUP($C20, '5. MethodMix Set Up'!$S$34:$AI$43, MATCH(P$18, '5. MethodMix Set Up'!$S$34:$AI$34, 0), FALSE)</f>
        <v>#VALUE!</v>
      </c>
      <c r="Q20" s="2" t="e">
        <f>VLOOKUP($C20, '5. MethodMix Set Up'!$S$34:$AI$43, MATCH(Q$18, '5. MethodMix Set Up'!$S$34:$AI$34, 0), FALSE)</f>
        <v>#VALUE!</v>
      </c>
      <c r="R20" s="2" t="e">
        <f>VLOOKUP($C20, '5. MethodMix Set Up'!$S$34:$AI$43, MATCH(R$18, '5. MethodMix Set Up'!$S$34:$AI$34, 0), FALSE)</f>
        <v>#VALUE!</v>
      </c>
      <c r="S20" s="2" t="e">
        <f>VLOOKUP($C20, '5. MethodMix Set Up'!$S$34:$AI$43, MATCH(S$18, '5. MethodMix Set Up'!$S$34:$AI$34, 0), FALSE)</f>
        <v>#VALUE!</v>
      </c>
      <c r="U20" s="2"/>
      <c r="V20" s="2"/>
      <c r="W20" s="807"/>
      <c r="X20" s="2"/>
      <c r="Y20" s="2"/>
      <c r="Z20" s="2"/>
      <c r="AA20" s="2"/>
      <c r="AB20" s="2"/>
      <c r="AC20" s="2"/>
      <c r="AD20" s="445"/>
      <c r="AE20" s="449"/>
      <c r="AF20" s="447"/>
    </row>
    <row r="21" spans="3:35" hidden="1" outlineLevel="1" x14ac:dyDescent="0.25">
      <c r="C21" s="728" t="str">
        <f t="shared" si="13"/>
        <v>DIU</v>
      </c>
      <c r="D21" s="2" t="e">
        <f>VLOOKUP($C21, '5. MethodMix Set Up'!$S$34:$AI$43, MATCH(D$18, '5. MethodMix Set Up'!$S$34:$AI$34, 0), FALSE)</f>
        <v>#N/A</v>
      </c>
      <c r="E21" s="2" t="e">
        <f>VLOOKUP($C21, '5. MethodMix Set Up'!$S$34:$AI$43, MATCH(E$18, '5. MethodMix Set Up'!$S$34:$AI$34, 0), FALSE)</f>
        <v>#VALUE!</v>
      </c>
      <c r="F21" s="2" t="e">
        <f>VLOOKUP($C21, '5. MethodMix Set Up'!$S$34:$AI$43, MATCH(F$18, '5. MethodMix Set Up'!$S$34:$AI$34, 0), FALSE)</f>
        <v>#VALUE!</v>
      </c>
      <c r="G21" s="2" t="e">
        <f>VLOOKUP($C21, '5. MethodMix Set Up'!$S$34:$AI$43, MATCH(G$18, '5. MethodMix Set Up'!$S$34:$AI$34, 0), FALSE)</f>
        <v>#VALUE!</v>
      </c>
      <c r="H21" s="2" t="e">
        <f>VLOOKUP($C21, '5. MethodMix Set Up'!$S$34:$AI$43, MATCH(H$18, '5. MethodMix Set Up'!$S$34:$AI$34, 0), FALSE)</f>
        <v>#VALUE!</v>
      </c>
      <c r="I21" s="2" t="e">
        <f>VLOOKUP($C21, '5. MethodMix Set Up'!$S$34:$AI$43, MATCH(I$18, '5. MethodMix Set Up'!$S$34:$AI$34, 0), FALSE)</f>
        <v>#VALUE!</v>
      </c>
      <c r="J21" s="2" t="e">
        <f>VLOOKUP($C21, '5. MethodMix Set Up'!$S$34:$AI$43, MATCH(J$18, '5. MethodMix Set Up'!$S$34:$AI$34, 0), FALSE)</f>
        <v>#VALUE!</v>
      </c>
      <c r="K21" s="2" t="e">
        <f>VLOOKUP($C21, '5. MethodMix Set Up'!$S$34:$AI$43, MATCH(K$18, '5. MethodMix Set Up'!$S$34:$AI$34, 0), FALSE)</f>
        <v>#VALUE!</v>
      </c>
      <c r="L21" s="2" t="e">
        <f>VLOOKUP($C21, '5. MethodMix Set Up'!$S$34:$AI$43, MATCH(L$18, '5. MethodMix Set Up'!$S$34:$AI$34, 0), FALSE)</f>
        <v>#VALUE!</v>
      </c>
      <c r="M21" s="2" t="e">
        <f>VLOOKUP($C21, '5. MethodMix Set Up'!$S$34:$AI$43, MATCH(M$18, '5. MethodMix Set Up'!$S$34:$AI$34, 0), FALSE)</f>
        <v>#VALUE!</v>
      </c>
      <c r="N21" s="2" t="e">
        <f>VLOOKUP($C21, '5. MethodMix Set Up'!$S$34:$AI$43, MATCH(N$18, '5. MethodMix Set Up'!$S$34:$AI$34, 0), FALSE)</f>
        <v>#VALUE!</v>
      </c>
      <c r="O21" s="2" t="e">
        <f>VLOOKUP($C21, '5. MethodMix Set Up'!$S$34:$AI$43, MATCH(O$18, '5. MethodMix Set Up'!$S$34:$AI$34, 0), FALSE)</f>
        <v>#VALUE!</v>
      </c>
      <c r="P21" s="2" t="e">
        <f>VLOOKUP($C21, '5. MethodMix Set Up'!$S$34:$AI$43, MATCH(P$18, '5. MethodMix Set Up'!$S$34:$AI$34, 0), FALSE)</f>
        <v>#VALUE!</v>
      </c>
      <c r="Q21" s="2" t="e">
        <f>VLOOKUP($C21, '5. MethodMix Set Up'!$S$34:$AI$43, MATCH(Q$18, '5. MethodMix Set Up'!$S$34:$AI$34, 0), FALSE)</f>
        <v>#VALUE!</v>
      </c>
      <c r="R21" s="2" t="e">
        <f>VLOOKUP($C21, '5. MethodMix Set Up'!$S$34:$AI$43, MATCH(R$18, '5. MethodMix Set Up'!$S$34:$AI$34, 0), FALSE)</f>
        <v>#VALUE!</v>
      </c>
      <c r="S21" s="2" t="e">
        <f>VLOOKUP($C21, '5. MethodMix Set Up'!$S$34:$AI$43, MATCH(S$18, '5. MethodMix Set Up'!$S$34:$AI$34, 0), FALSE)</f>
        <v>#VALUE!</v>
      </c>
      <c r="U21" s="2"/>
      <c r="V21" s="2"/>
      <c r="W21" s="807"/>
      <c r="X21" s="2"/>
      <c r="Y21" s="2"/>
      <c r="Z21" s="2"/>
      <c r="AA21" s="2"/>
      <c r="AB21" s="2"/>
      <c r="AC21" s="2"/>
      <c r="AD21" s="445"/>
      <c r="AE21" s="449"/>
      <c r="AF21" s="447"/>
    </row>
    <row r="22" spans="3:35" hidden="1" outlineLevel="1" x14ac:dyDescent="0.25">
      <c r="C22" s="728" t="str">
        <f t="shared" si="13"/>
        <v>Implant</v>
      </c>
      <c r="D22" s="2" t="e">
        <f>VLOOKUP($C22, '5. MethodMix Set Up'!$S$34:$AI$43, MATCH(D$18, '5. MethodMix Set Up'!$S$34:$AI$34, 0), FALSE)</f>
        <v>#N/A</v>
      </c>
      <c r="E22" s="2" t="e">
        <f>VLOOKUP($C22, '5. MethodMix Set Up'!$S$34:$AI$43, MATCH(E$18, '5. MethodMix Set Up'!$S$34:$AI$34, 0), FALSE)</f>
        <v>#VALUE!</v>
      </c>
      <c r="F22" s="2" t="e">
        <f>VLOOKUP($C22, '5. MethodMix Set Up'!$S$34:$AI$43, MATCH(F$18, '5. MethodMix Set Up'!$S$34:$AI$34, 0), FALSE)</f>
        <v>#VALUE!</v>
      </c>
      <c r="G22" s="2" t="e">
        <f>VLOOKUP($C22, '5. MethodMix Set Up'!$S$34:$AI$43, MATCH(G$18, '5. MethodMix Set Up'!$S$34:$AI$34, 0), FALSE)</f>
        <v>#VALUE!</v>
      </c>
      <c r="H22" s="2" t="e">
        <f>VLOOKUP($C22, '5. MethodMix Set Up'!$S$34:$AI$43, MATCH(H$18, '5. MethodMix Set Up'!$S$34:$AI$34, 0), FALSE)</f>
        <v>#VALUE!</v>
      </c>
      <c r="I22" s="2" t="e">
        <f>VLOOKUP($C22, '5. MethodMix Set Up'!$S$34:$AI$43, MATCH(I$18, '5. MethodMix Set Up'!$S$34:$AI$34, 0), FALSE)</f>
        <v>#VALUE!</v>
      </c>
      <c r="J22" s="2" t="e">
        <f>VLOOKUP($C22, '5. MethodMix Set Up'!$S$34:$AI$43, MATCH(J$18, '5. MethodMix Set Up'!$S$34:$AI$34, 0), FALSE)</f>
        <v>#VALUE!</v>
      </c>
      <c r="K22" s="2" t="e">
        <f>VLOOKUP($C22, '5. MethodMix Set Up'!$S$34:$AI$43, MATCH(K$18, '5. MethodMix Set Up'!$S$34:$AI$34, 0), FALSE)</f>
        <v>#VALUE!</v>
      </c>
      <c r="L22" s="2" t="e">
        <f>VLOOKUP($C22, '5. MethodMix Set Up'!$S$34:$AI$43, MATCH(L$18, '5. MethodMix Set Up'!$S$34:$AI$34, 0), FALSE)</f>
        <v>#VALUE!</v>
      </c>
      <c r="M22" s="2" t="e">
        <f>VLOOKUP($C22, '5. MethodMix Set Up'!$S$34:$AI$43, MATCH(M$18, '5. MethodMix Set Up'!$S$34:$AI$34, 0), FALSE)</f>
        <v>#VALUE!</v>
      </c>
      <c r="N22" s="2" t="e">
        <f>VLOOKUP($C22, '5. MethodMix Set Up'!$S$34:$AI$43, MATCH(N$18, '5. MethodMix Set Up'!$S$34:$AI$34, 0), FALSE)</f>
        <v>#VALUE!</v>
      </c>
      <c r="O22" s="2" t="e">
        <f>VLOOKUP($C22, '5. MethodMix Set Up'!$S$34:$AI$43, MATCH(O$18, '5. MethodMix Set Up'!$S$34:$AI$34, 0), FALSE)</f>
        <v>#VALUE!</v>
      </c>
      <c r="P22" s="2" t="e">
        <f>VLOOKUP($C22, '5. MethodMix Set Up'!$S$34:$AI$43, MATCH(P$18, '5. MethodMix Set Up'!$S$34:$AI$34, 0), FALSE)</f>
        <v>#VALUE!</v>
      </c>
      <c r="Q22" s="2" t="e">
        <f>VLOOKUP($C22, '5. MethodMix Set Up'!$S$34:$AI$43, MATCH(Q$18, '5. MethodMix Set Up'!$S$34:$AI$34, 0), FALSE)</f>
        <v>#VALUE!</v>
      </c>
      <c r="R22" s="2" t="e">
        <f>VLOOKUP($C22, '5. MethodMix Set Up'!$S$34:$AI$43, MATCH(R$18, '5. MethodMix Set Up'!$S$34:$AI$34, 0), FALSE)</f>
        <v>#VALUE!</v>
      </c>
      <c r="S22" s="2" t="e">
        <f>VLOOKUP($C22, '5. MethodMix Set Up'!$S$34:$AI$43, MATCH(S$18, '5. MethodMix Set Up'!$S$34:$AI$34, 0), FALSE)</f>
        <v>#VALUE!</v>
      </c>
      <c r="U22" s="2"/>
      <c r="V22" s="2"/>
      <c r="W22" s="807"/>
      <c r="X22" s="2"/>
      <c r="Y22" s="2"/>
      <c r="Z22" s="2"/>
      <c r="AA22" s="2"/>
      <c r="AB22" s="2"/>
      <c r="AC22" s="2"/>
      <c r="AD22" s="445"/>
      <c r="AE22" s="449"/>
      <c r="AF22" s="447"/>
    </row>
    <row r="23" spans="3:35" hidden="1" outlineLevel="1" x14ac:dyDescent="0.25">
      <c r="C23" s="728" t="str">
        <f t="shared" si="13"/>
        <v>Produits injectables</v>
      </c>
      <c r="D23" s="2" t="e">
        <f>VLOOKUP($C23, '5. MethodMix Set Up'!$S$34:$AI$43, MATCH(D$18, '5. MethodMix Set Up'!$S$34:$AI$34, 0), FALSE)</f>
        <v>#N/A</v>
      </c>
      <c r="E23" s="2" t="e">
        <f>VLOOKUP($C23, '5. MethodMix Set Up'!$S$34:$AI$43, MATCH(E$18, '5. MethodMix Set Up'!$S$34:$AI$34, 0), FALSE)</f>
        <v>#VALUE!</v>
      </c>
      <c r="F23" s="2" t="e">
        <f>VLOOKUP($C23, '5. MethodMix Set Up'!$S$34:$AI$43, MATCH(F$18, '5. MethodMix Set Up'!$S$34:$AI$34, 0), FALSE)</f>
        <v>#VALUE!</v>
      </c>
      <c r="G23" s="2" t="e">
        <f>VLOOKUP($C23, '5. MethodMix Set Up'!$S$34:$AI$43, MATCH(G$18, '5. MethodMix Set Up'!$S$34:$AI$34, 0), FALSE)</f>
        <v>#VALUE!</v>
      </c>
      <c r="H23" s="2" t="e">
        <f>VLOOKUP($C23, '5. MethodMix Set Up'!$S$34:$AI$43, MATCH(H$18, '5. MethodMix Set Up'!$S$34:$AI$34, 0), FALSE)</f>
        <v>#VALUE!</v>
      </c>
      <c r="I23" s="2" t="e">
        <f>VLOOKUP($C23, '5. MethodMix Set Up'!$S$34:$AI$43, MATCH(I$18, '5. MethodMix Set Up'!$S$34:$AI$34, 0), FALSE)</f>
        <v>#VALUE!</v>
      </c>
      <c r="J23" s="2" t="e">
        <f>VLOOKUP($C23, '5. MethodMix Set Up'!$S$34:$AI$43, MATCH(J$18, '5. MethodMix Set Up'!$S$34:$AI$34, 0), FALSE)</f>
        <v>#VALUE!</v>
      </c>
      <c r="K23" s="2" t="e">
        <f>VLOOKUP($C23, '5. MethodMix Set Up'!$S$34:$AI$43, MATCH(K$18, '5. MethodMix Set Up'!$S$34:$AI$34, 0), FALSE)</f>
        <v>#VALUE!</v>
      </c>
      <c r="L23" s="2" t="e">
        <f>VLOOKUP($C23, '5. MethodMix Set Up'!$S$34:$AI$43, MATCH(L$18, '5. MethodMix Set Up'!$S$34:$AI$34, 0), FALSE)</f>
        <v>#VALUE!</v>
      </c>
      <c r="M23" s="2" t="e">
        <f>VLOOKUP($C23, '5. MethodMix Set Up'!$S$34:$AI$43, MATCH(M$18, '5. MethodMix Set Up'!$S$34:$AI$34, 0), FALSE)</f>
        <v>#VALUE!</v>
      </c>
      <c r="N23" s="2" t="e">
        <f>VLOOKUP($C23, '5. MethodMix Set Up'!$S$34:$AI$43, MATCH(N$18, '5. MethodMix Set Up'!$S$34:$AI$34, 0), FALSE)</f>
        <v>#VALUE!</v>
      </c>
      <c r="O23" s="2" t="e">
        <f>VLOOKUP($C23, '5. MethodMix Set Up'!$S$34:$AI$43, MATCH(O$18, '5. MethodMix Set Up'!$S$34:$AI$34, 0), FALSE)</f>
        <v>#VALUE!</v>
      </c>
      <c r="P23" s="2" t="e">
        <f>VLOOKUP($C23, '5. MethodMix Set Up'!$S$34:$AI$43, MATCH(P$18, '5. MethodMix Set Up'!$S$34:$AI$34, 0), FALSE)</f>
        <v>#VALUE!</v>
      </c>
      <c r="Q23" s="2" t="e">
        <f>VLOOKUP($C23, '5. MethodMix Set Up'!$S$34:$AI$43, MATCH(Q$18, '5. MethodMix Set Up'!$S$34:$AI$34, 0), FALSE)</f>
        <v>#VALUE!</v>
      </c>
      <c r="R23" s="2" t="e">
        <f>VLOOKUP($C23, '5. MethodMix Set Up'!$S$34:$AI$43, MATCH(R$18, '5. MethodMix Set Up'!$S$34:$AI$34, 0), FALSE)</f>
        <v>#VALUE!</v>
      </c>
      <c r="S23" s="2" t="e">
        <f>VLOOKUP($C23, '5. MethodMix Set Up'!$S$34:$AI$43, MATCH(S$18, '5. MethodMix Set Up'!$S$34:$AI$34, 0), FALSE)</f>
        <v>#VALUE!</v>
      </c>
      <c r="U23" s="2"/>
      <c r="V23" s="2"/>
      <c r="W23" s="807"/>
      <c r="X23" s="2"/>
      <c r="Y23" s="2"/>
      <c r="Z23" s="2"/>
      <c r="AA23" s="2"/>
      <c r="AB23" s="2"/>
      <c r="AC23" s="2"/>
      <c r="AD23" s="445"/>
      <c r="AE23" s="449"/>
      <c r="AF23" s="447"/>
    </row>
    <row r="24" spans="3:35" hidden="1" outlineLevel="1" x14ac:dyDescent="0.25">
      <c r="C24" s="728" t="str">
        <f t="shared" si="13"/>
        <v>Pilule</v>
      </c>
      <c r="D24" s="2" t="e">
        <f>VLOOKUP($C24, '5. MethodMix Set Up'!$S$34:$AI$43, MATCH(D$18, '5. MethodMix Set Up'!$S$34:$AI$34, 0), FALSE)</f>
        <v>#N/A</v>
      </c>
      <c r="E24" s="2" t="e">
        <f>VLOOKUP($C24, '5. MethodMix Set Up'!$S$34:$AI$43, MATCH(E$18, '5. MethodMix Set Up'!$S$34:$AI$34, 0), FALSE)</f>
        <v>#VALUE!</v>
      </c>
      <c r="F24" s="2" t="e">
        <f>VLOOKUP($C24, '5. MethodMix Set Up'!$S$34:$AI$43, MATCH(F$18, '5. MethodMix Set Up'!$S$34:$AI$34, 0), FALSE)</f>
        <v>#VALUE!</v>
      </c>
      <c r="G24" s="2" t="e">
        <f>VLOOKUP($C24, '5. MethodMix Set Up'!$S$34:$AI$43, MATCH(G$18, '5. MethodMix Set Up'!$S$34:$AI$34, 0), FALSE)</f>
        <v>#VALUE!</v>
      </c>
      <c r="H24" s="2" t="e">
        <f>VLOOKUP($C24, '5. MethodMix Set Up'!$S$34:$AI$43, MATCH(H$18, '5. MethodMix Set Up'!$S$34:$AI$34, 0), FALSE)</f>
        <v>#VALUE!</v>
      </c>
      <c r="I24" s="2" t="e">
        <f>VLOOKUP($C24, '5. MethodMix Set Up'!$S$34:$AI$43, MATCH(I$18, '5. MethodMix Set Up'!$S$34:$AI$34, 0), FALSE)</f>
        <v>#VALUE!</v>
      </c>
      <c r="J24" s="2" t="e">
        <f>VLOOKUP($C24, '5. MethodMix Set Up'!$S$34:$AI$43, MATCH(J$18, '5. MethodMix Set Up'!$S$34:$AI$34, 0), FALSE)</f>
        <v>#VALUE!</v>
      </c>
      <c r="K24" s="2" t="e">
        <f>VLOOKUP($C24, '5. MethodMix Set Up'!$S$34:$AI$43, MATCH(K$18, '5. MethodMix Set Up'!$S$34:$AI$34, 0), FALSE)</f>
        <v>#VALUE!</v>
      </c>
      <c r="L24" s="2" t="e">
        <f>VLOOKUP($C24, '5. MethodMix Set Up'!$S$34:$AI$43, MATCH(L$18, '5. MethodMix Set Up'!$S$34:$AI$34, 0), FALSE)</f>
        <v>#VALUE!</v>
      </c>
      <c r="M24" s="2" t="e">
        <f>VLOOKUP($C24, '5. MethodMix Set Up'!$S$34:$AI$43, MATCH(M$18, '5. MethodMix Set Up'!$S$34:$AI$34, 0), FALSE)</f>
        <v>#VALUE!</v>
      </c>
      <c r="N24" s="2" t="e">
        <f>VLOOKUP($C24, '5. MethodMix Set Up'!$S$34:$AI$43, MATCH(N$18, '5. MethodMix Set Up'!$S$34:$AI$34, 0), FALSE)</f>
        <v>#VALUE!</v>
      </c>
      <c r="O24" s="2" t="e">
        <f>VLOOKUP($C24, '5. MethodMix Set Up'!$S$34:$AI$43, MATCH(O$18, '5. MethodMix Set Up'!$S$34:$AI$34, 0), FALSE)</f>
        <v>#VALUE!</v>
      </c>
      <c r="P24" s="2" t="e">
        <f>VLOOKUP($C24, '5. MethodMix Set Up'!$S$34:$AI$43, MATCH(P$18, '5. MethodMix Set Up'!$S$34:$AI$34, 0), FALSE)</f>
        <v>#VALUE!</v>
      </c>
      <c r="Q24" s="2" t="e">
        <f>VLOOKUP($C24, '5. MethodMix Set Up'!$S$34:$AI$43, MATCH(Q$18, '5. MethodMix Set Up'!$S$34:$AI$34, 0), FALSE)</f>
        <v>#VALUE!</v>
      </c>
      <c r="R24" s="2" t="e">
        <f>VLOOKUP($C24, '5. MethodMix Set Up'!$S$34:$AI$43, MATCH(R$18, '5. MethodMix Set Up'!$S$34:$AI$34, 0), FALSE)</f>
        <v>#VALUE!</v>
      </c>
      <c r="S24" s="2" t="e">
        <f>VLOOKUP($C24, '5. MethodMix Set Up'!$S$34:$AI$43, MATCH(S$18, '5. MethodMix Set Up'!$S$34:$AI$34, 0), FALSE)</f>
        <v>#VALUE!</v>
      </c>
      <c r="U24" s="2"/>
      <c r="V24" s="2"/>
      <c r="W24" s="807"/>
      <c r="X24" s="2"/>
      <c r="Y24" s="2"/>
      <c r="Z24" s="2"/>
      <c r="AA24" s="2"/>
      <c r="AB24" s="2"/>
      <c r="AC24" s="2"/>
      <c r="AD24" s="445"/>
      <c r="AE24" s="449"/>
      <c r="AF24" s="447"/>
    </row>
    <row r="25" spans="3:35" hidden="1" outlineLevel="1" x14ac:dyDescent="0.25">
      <c r="C25" s="728" t="str">
        <f t="shared" si="13"/>
        <v>Préservatifs (m+f)</v>
      </c>
      <c r="D25" s="2" t="e">
        <f>VLOOKUP($C25, '5. MethodMix Set Up'!$S$34:$AI$43, MATCH(D$18, '5. MethodMix Set Up'!$S$34:$AI$34, 0), FALSE)</f>
        <v>#N/A</v>
      </c>
      <c r="E25" s="2" t="e">
        <f>VLOOKUP($C25, '5. MethodMix Set Up'!$S$34:$AI$43, MATCH(E$18, '5. MethodMix Set Up'!$S$34:$AI$34, 0), FALSE)</f>
        <v>#VALUE!</v>
      </c>
      <c r="F25" s="2" t="e">
        <f>VLOOKUP($C25, '5. MethodMix Set Up'!$S$34:$AI$43, MATCH(F$18, '5. MethodMix Set Up'!$S$34:$AI$34, 0), FALSE)</f>
        <v>#VALUE!</v>
      </c>
      <c r="G25" s="2" t="e">
        <f>VLOOKUP($C25, '5. MethodMix Set Up'!$S$34:$AI$43, MATCH(G$18, '5. MethodMix Set Up'!$S$34:$AI$34, 0), FALSE)</f>
        <v>#VALUE!</v>
      </c>
      <c r="H25" s="2" t="e">
        <f>VLOOKUP($C25, '5. MethodMix Set Up'!$S$34:$AI$43, MATCH(H$18, '5. MethodMix Set Up'!$S$34:$AI$34, 0), FALSE)</f>
        <v>#VALUE!</v>
      </c>
      <c r="I25" s="2" t="e">
        <f>VLOOKUP($C25, '5. MethodMix Set Up'!$S$34:$AI$43, MATCH(I$18, '5. MethodMix Set Up'!$S$34:$AI$34, 0), FALSE)</f>
        <v>#VALUE!</v>
      </c>
      <c r="J25" s="2" t="e">
        <f>VLOOKUP($C25, '5. MethodMix Set Up'!$S$34:$AI$43, MATCH(J$18, '5. MethodMix Set Up'!$S$34:$AI$34, 0), FALSE)</f>
        <v>#VALUE!</v>
      </c>
      <c r="K25" s="2" t="e">
        <f>VLOOKUP($C25, '5. MethodMix Set Up'!$S$34:$AI$43, MATCH(K$18, '5. MethodMix Set Up'!$S$34:$AI$34, 0), FALSE)</f>
        <v>#VALUE!</v>
      </c>
      <c r="L25" s="2" t="e">
        <f>VLOOKUP($C25, '5. MethodMix Set Up'!$S$34:$AI$43, MATCH(L$18, '5. MethodMix Set Up'!$S$34:$AI$34, 0), FALSE)</f>
        <v>#VALUE!</v>
      </c>
      <c r="M25" s="2" t="e">
        <f>VLOOKUP($C25, '5. MethodMix Set Up'!$S$34:$AI$43, MATCH(M$18, '5. MethodMix Set Up'!$S$34:$AI$34, 0), FALSE)</f>
        <v>#VALUE!</v>
      </c>
      <c r="N25" s="2" t="e">
        <f>VLOOKUP($C25, '5. MethodMix Set Up'!$S$34:$AI$43, MATCH(N$18, '5. MethodMix Set Up'!$S$34:$AI$34, 0), FALSE)</f>
        <v>#VALUE!</v>
      </c>
      <c r="O25" s="2" t="e">
        <f>VLOOKUP($C25, '5. MethodMix Set Up'!$S$34:$AI$43, MATCH(O$18, '5. MethodMix Set Up'!$S$34:$AI$34, 0), FALSE)</f>
        <v>#VALUE!</v>
      </c>
      <c r="P25" s="2" t="e">
        <f>VLOOKUP($C25, '5. MethodMix Set Up'!$S$34:$AI$43, MATCH(P$18, '5. MethodMix Set Up'!$S$34:$AI$34, 0), FALSE)</f>
        <v>#VALUE!</v>
      </c>
      <c r="Q25" s="2" t="e">
        <f>VLOOKUP($C25, '5. MethodMix Set Up'!$S$34:$AI$43, MATCH(Q$18, '5. MethodMix Set Up'!$S$34:$AI$34, 0), FALSE)</f>
        <v>#VALUE!</v>
      </c>
      <c r="R25" s="2" t="e">
        <f>VLOOKUP($C25, '5. MethodMix Set Up'!$S$34:$AI$43, MATCH(R$18, '5. MethodMix Set Up'!$S$34:$AI$34, 0), FALSE)</f>
        <v>#VALUE!</v>
      </c>
      <c r="S25" s="2" t="e">
        <f>VLOOKUP($C25, '5. MethodMix Set Up'!$S$34:$AI$43, MATCH(S$18, '5. MethodMix Set Up'!$S$34:$AI$34, 0), FALSE)</f>
        <v>#VALUE!</v>
      </c>
      <c r="U25" s="2"/>
      <c r="V25" s="2"/>
      <c r="W25" s="807"/>
      <c r="X25" s="2"/>
      <c r="Y25" s="2"/>
      <c r="Z25" s="2"/>
      <c r="AA25" s="2"/>
      <c r="AB25" s="2"/>
      <c r="AC25" s="2"/>
      <c r="AD25" s="445"/>
      <c r="AE25" s="449"/>
      <c r="AF25" s="447"/>
    </row>
    <row r="26" spans="3:35" hidden="1" outlineLevel="1" x14ac:dyDescent="0.25">
      <c r="C26" s="728" t="str">
        <f t="shared" si="13"/>
        <v>MAMA</v>
      </c>
      <c r="D26" s="2" t="e">
        <f>VLOOKUP($C26, '5. MethodMix Set Up'!$S$34:$AI$43, MATCH(D$18, '5. MethodMix Set Up'!$S$34:$AI$34, 0), FALSE)</f>
        <v>#N/A</v>
      </c>
      <c r="E26" s="2" t="e">
        <f>VLOOKUP($C26, '5. MethodMix Set Up'!$S$34:$AI$43, MATCH(E$18, '5. MethodMix Set Up'!$S$34:$AI$34, 0), FALSE)</f>
        <v>#VALUE!</v>
      </c>
      <c r="F26" s="2" t="e">
        <f>VLOOKUP($C26, '5. MethodMix Set Up'!$S$34:$AI$43, MATCH(F$18, '5. MethodMix Set Up'!$S$34:$AI$34, 0), FALSE)</f>
        <v>#VALUE!</v>
      </c>
      <c r="G26" s="2" t="e">
        <f>VLOOKUP($C26, '5. MethodMix Set Up'!$S$34:$AI$43, MATCH(G$18, '5. MethodMix Set Up'!$S$34:$AI$34, 0), FALSE)</f>
        <v>#VALUE!</v>
      </c>
      <c r="H26" s="2" t="e">
        <f>VLOOKUP($C26, '5. MethodMix Set Up'!$S$34:$AI$43, MATCH(H$18, '5. MethodMix Set Up'!$S$34:$AI$34, 0), FALSE)</f>
        <v>#VALUE!</v>
      </c>
      <c r="I26" s="2" t="e">
        <f>VLOOKUP($C26, '5. MethodMix Set Up'!$S$34:$AI$43, MATCH(I$18, '5. MethodMix Set Up'!$S$34:$AI$34, 0), FALSE)</f>
        <v>#VALUE!</v>
      </c>
      <c r="J26" s="2" t="e">
        <f>VLOOKUP($C26, '5. MethodMix Set Up'!$S$34:$AI$43, MATCH(J$18, '5. MethodMix Set Up'!$S$34:$AI$34, 0), FALSE)</f>
        <v>#VALUE!</v>
      </c>
      <c r="K26" s="2" t="e">
        <f>VLOOKUP($C26, '5. MethodMix Set Up'!$S$34:$AI$43, MATCH(K$18, '5. MethodMix Set Up'!$S$34:$AI$34, 0), FALSE)</f>
        <v>#VALUE!</v>
      </c>
      <c r="L26" s="2" t="e">
        <f>VLOOKUP($C26, '5. MethodMix Set Up'!$S$34:$AI$43, MATCH(L$18, '5. MethodMix Set Up'!$S$34:$AI$34, 0), FALSE)</f>
        <v>#VALUE!</v>
      </c>
      <c r="M26" s="2" t="e">
        <f>VLOOKUP($C26, '5. MethodMix Set Up'!$S$34:$AI$43, MATCH(M$18, '5. MethodMix Set Up'!$S$34:$AI$34, 0), FALSE)</f>
        <v>#VALUE!</v>
      </c>
      <c r="N26" s="2" t="e">
        <f>VLOOKUP($C26, '5. MethodMix Set Up'!$S$34:$AI$43, MATCH(N$18, '5. MethodMix Set Up'!$S$34:$AI$34, 0), FALSE)</f>
        <v>#VALUE!</v>
      </c>
      <c r="O26" s="2" t="e">
        <f>VLOOKUP($C26, '5. MethodMix Set Up'!$S$34:$AI$43, MATCH(O$18, '5. MethodMix Set Up'!$S$34:$AI$34, 0), FALSE)</f>
        <v>#VALUE!</v>
      </c>
      <c r="P26" s="2" t="e">
        <f>VLOOKUP($C26, '5. MethodMix Set Up'!$S$34:$AI$43, MATCH(P$18, '5. MethodMix Set Up'!$S$34:$AI$34, 0), FALSE)</f>
        <v>#VALUE!</v>
      </c>
      <c r="Q26" s="2" t="e">
        <f>VLOOKUP($C26, '5. MethodMix Set Up'!$S$34:$AI$43, MATCH(Q$18, '5. MethodMix Set Up'!$S$34:$AI$34, 0), FALSE)</f>
        <v>#VALUE!</v>
      </c>
      <c r="R26" s="2" t="e">
        <f>VLOOKUP($C26, '5. MethodMix Set Up'!$S$34:$AI$43, MATCH(R$18, '5. MethodMix Set Up'!$S$34:$AI$34, 0), FALSE)</f>
        <v>#VALUE!</v>
      </c>
      <c r="S26" s="2" t="e">
        <f>VLOOKUP($C26, '5. MethodMix Set Up'!$S$34:$AI$43, MATCH(S$18, '5. MethodMix Set Up'!$S$34:$AI$34, 0), FALSE)</f>
        <v>#VALUE!</v>
      </c>
      <c r="U26" s="2"/>
      <c r="V26" s="2"/>
      <c r="W26" s="807"/>
      <c r="X26" s="2"/>
      <c r="Y26" s="2"/>
      <c r="Z26" s="2"/>
      <c r="AA26" s="2"/>
      <c r="AB26" s="2"/>
      <c r="AC26" s="2"/>
      <c r="AD26" s="445"/>
      <c r="AE26" s="449"/>
      <c r="AF26" s="447"/>
    </row>
    <row r="27" spans="3:35" hidden="1" outlineLevel="1" x14ac:dyDescent="0.25">
      <c r="C27" s="728" t="str">
        <f>C15</f>
        <v>Autres méthodes modernes</v>
      </c>
      <c r="D27" s="2" t="e">
        <f>VLOOKUP($C27, '5. MethodMix Set Up'!$S$34:$AI$43, MATCH(D$18, '5. MethodMix Set Up'!$S$34:$AI$34, 0), FALSE)</f>
        <v>#N/A</v>
      </c>
      <c r="E27" s="2" t="e">
        <f>VLOOKUP($C27, '5. MethodMix Set Up'!$S$34:$AI$43, MATCH(E$18, '5. MethodMix Set Up'!$S$34:$AI$34, 0), FALSE)</f>
        <v>#VALUE!</v>
      </c>
      <c r="F27" s="2" t="e">
        <f>VLOOKUP($C27, '5. MethodMix Set Up'!$S$34:$AI$43, MATCH(F$18, '5. MethodMix Set Up'!$S$34:$AI$34, 0), FALSE)</f>
        <v>#VALUE!</v>
      </c>
      <c r="G27" s="2" t="e">
        <f>VLOOKUP($C27, '5. MethodMix Set Up'!$S$34:$AI$43, MATCH(G$18, '5. MethodMix Set Up'!$S$34:$AI$34, 0), FALSE)</f>
        <v>#VALUE!</v>
      </c>
      <c r="H27" s="2" t="e">
        <f>VLOOKUP($C27, '5. MethodMix Set Up'!$S$34:$AI$43, MATCH(H$18, '5. MethodMix Set Up'!$S$34:$AI$34, 0), FALSE)</f>
        <v>#VALUE!</v>
      </c>
      <c r="I27" s="2" t="e">
        <f>VLOOKUP($C27, '5. MethodMix Set Up'!$S$34:$AI$43, MATCH(I$18, '5. MethodMix Set Up'!$S$34:$AI$34, 0), FALSE)</f>
        <v>#VALUE!</v>
      </c>
      <c r="J27" s="2" t="e">
        <f>VLOOKUP($C27, '5. MethodMix Set Up'!$S$34:$AI$43, MATCH(J$18, '5. MethodMix Set Up'!$S$34:$AI$34, 0), FALSE)</f>
        <v>#VALUE!</v>
      </c>
      <c r="K27" s="2" t="e">
        <f>VLOOKUP($C27, '5. MethodMix Set Up'!$S$34:$AI$43, MATCH(K$18, '5. MethodMix Set Up'!$S$34:$AI$34, 0), FALSE)</f>
        <v>#VALUE!</v>
      </c>
      <c r="L27" s="2" t="e">
        <f>VLOOKUP($C27, '5. MethodMix Set Up'!$S$34:$AI$43, MATCH(L$18, '5. MethodMix Set Up'!$S$34:$AI$34, 0), FALSE)</f>
        <v>#VALUE!</v>
      </c>
      <c r="M27" s="2" t="e">
        <f>VLOOKUP($C27, '5. MethodMix Set Up'!$S$34:$AI$43, MATCH(M$18, '5. MethodMix Set Up'!$S$34:$AI$34, 0), FALSE)</f>
        <v>#VALUE!</v>
      </c>
      <c r="N27" s="2" t="e">
        <f>VLOOKUP($C27, '5. MethodMix Set Up'!$S$34:$AI$43, MATCH(N$18, '5. MethodMix Set Up'!$S$34:$AI$34, 0), FALSE)</f>
        <v>#VALUE!</v>
      </c>
      <c r="O27" s="2" t="e">
        <f>VLOOKUP($C27, '5. MethodMix Set Up'!$S$34:$AI$43, MATCH(O$18, '5. MethodMix Set Up'!$S$34:$AI$34, 0), FALSE)</f>
        <v>#VALUE!</v>
      </c>
      <c r="P27" s="2" t="e">
        <f>VLOOKUP($C27, '5. MethodMix Set Up'!$S$34:$AI$43, MATCH(P$18, '5. MethodMix Set Up'!$S$34:$AI$34, 0), FALSE)</f>
        <v>#VALUE!</v>
      </c>
      <c r="Q27" s="2" t="e">
        <f>VLOOKUP($C27, '5. MethodMix Set Up'!$S$34:$AI$43, MATCH(Q$18, '5. MethodMix Set Up'!$S$34:$AI$34, 0), FALSE)</f>
        <v>#VALUE!</v>
      </c>
      <c r="R27" s="2" t="e">
        <f>VLOOKUP($C27, '5. MethodMix Set Up'!$S$34:$AI$43, MATCH(R$18, '5. MethodMix Set Up'!$S$34:$AI$34, 0), FALSE)</f>
        <v>#VALUE!</v>
      </c>
      <c r="S27" s="2" t="e">
        <f>VLOOKUP($C27, '5. MethodMix Set Up'!$S$34:$AI$43, MATCH(S$18, '5. MethodMix Set Up'!$S$34:$AI$34, 0), FALSE)</f>
        <v>#VALUE!</v>
      </c>
      <c r="U27" s="2"/>
      <c r="V27" s="2"/>
      <c r="W27" s="807"/>
      <c r="X27" s="2"/>
      <c r="Y27" s="2"/>
      <c r="Z27" s="2"/>
      <c r="AA27" s="2"/>
      <c r="AB27" s="2"/>
      <c r="AC27" s="2"/>
      <c r="AD27" s="445"/>
      <c r="AE27" s="449"/>
      <c r="AF27" s="447"/>
    </row>
    <row r="28" spans="3:35" ht="15.75" hidden="1" outlineLevel="1" thickBot="1" x14ac:dyDescent="0.3">
      <c r="C28" s="731" t="str">
        <f>C16</f>
        <v>Total</v>
      </c>
      <c r="D28" s="732" t="e">
        <f t="shared" ref="D28:S28" si="14">SUM(D19:D27)</f>
        <v>#N/A</v>
      </c>
      <c r="E28" s="732" t="e">
        <f t="shared" si="14"/>
        <v>#VALUE!</v>
      </c>
      <c r="F28" s="732" t="e">
        <f t="shared" si="14"/>
        <v>#VALUE!</v>
      </c>
      <c r="G28" s="732" t="e">
        <f t="shared" si="14"/>
        <v>#VALUE!</v>
      </c>
      <c r="H28" s="732" t="e">
        <f t="shared" si="14"/>
        <v>#VALUE!</v>
      </c>
      <c r="I28" s="732" t="e">
        <f t="shared" si="14"/>
        <v>#VALUE!</v>
      </c>
      <c r="J28" s="732" t="e">
        <f t="shared" si="14"/>
        <v>#VALUE!</v>
      </c>
      <c r="K28" s="732" t="e">
        <f t="shared" si="14"/>
        <v>#VALUE!</v>
      </c>
      <c r="L28" s="732" t="e">
        <f t="shared" si="14"/>
        <v>#VALUE!</v>
      </c>
      <c r="M28" s="732" t="e">
        <f t="shared" si="14"/>
        <v>#VALUE!</v>
      </c>
      <c r="N28" s="732" t="e">
        <f t="shared" si="14"/>
        <v>#VALUE!</v>
      </c>
      <c r="O28" s="732" t="e">
        <f t="shared" si="14"/>
        <v>#VALUE!</v>
      </c>
      <c r="P28" s="732" t="e">
        <f t="shared" si="14"/>
        <v>#VALUE!</v>
      </c>
      <c r="Q28" s="732" t="e">
        <f t="shared" si="14"/>
        <v>#VALUE!</v>
      </c>
      <c r="R28" s="732" t="e">
        <f t="shared" si="14"/>
        <v>#VALUE!</v>
      </c>
      <c r="S28" s="733" t="e">
        <f t="shared" si="14"/>
        <v>#VALUE!</v>
      </c>
      <c r="U28" s="2"/>
      <c r="V28" s="2"/>
      <c r="W28" s="807"/>
      <c r="X28" s="2"/>
      <c r="Y28" s="2"/>
      <c r="Z28" s="2"/>
      <c r="AA28" s="2"/>
      <c r="AB28" s="2"/>
      <c r="AC28" s="2"/>
      <c r="AD28" s="445"/>
      <c r="AE28" s="449"/>
      <c r="AF28" s="447"/>
    </row>
    <row r="29" spans="3:35" hidden="1" outlineLevel="1" x14ac:dyDescent="0.25">
      <c r="C29"/>
      <c r="D29" s="2"/>
      <c r="E29" s="2"/>
      <c r="F29" s="2"/>
      <c r="G29" s="2"/>
      <c r="H29" s="2"/>
      <c r="I29" s="2"/>
      <c r="J29" s="2"/>
      <c r="K29" s="2"/>
      <c r="L29" s="2"/>
      <c r="M29" s="2"/>
      <c r="N29" s="2"/>
      <c r="O29" s="2"/>
      <c r="P29" s="2"/>
      <c r="Q29" s="2"/>
      <c r="R29" s="2"/>
      <c r="S29" s="2"/>
      <c r="T29" s="2"/>
      <c r="U29" s="2"/>
      <c r="V29" s="2"/>
      <c r="W29" s="807"/>
      <c r="X29" s="2"/>
      <c r="Y29" s="2"/>
      <c r="Z29" s="2"/>
      <c r="AA29" s="2"/>
      <c r="AB29" s="2"/>
      <c r="AC29" s="2"/>
      <c r="AD29" s="445"/>
      <c r="AE29" s="449"/>
      <c r="AF29" s="447"/>
    </row>
    <row r="30" spans="3:35" ht="15.75" hidden="1" outlineLevel="1" thickBot="1" x14ac:dyDescent="0.3">
      <c r="C30"/>
      <c r="D30" s="2"/>
      <c r="E30" s="2"/>
      <c r="F30" s="2"/>
      <c r="G30" s="2"/>
      <c r="H30" s="2"/>
      <c r="I30" s="2"/>
      <c r="J30" s="2"/>
      <c r="K30" s="2"/>
      <c r="L30" s="2"/>
      <c r="M30" s="2"/>
      <c r="N30" s="2"/>
      <c r="O30" s="2"/>
      <c r="P30" s="2"/>
      <c r="Q30" s="2"/>
      <c r="R30" s="2"/>
      <c r="S30" s="2"/>
      <c r="T30" s="2"/>
      <c r="U30" s="2"/>
      <c r="V30" s="2"/>
      <c r="W30" s="807"/>
      <c r="X30" s="2"/>
      <c r="Y30" s="2"/>
      <c r="Z30" s="2"/>
      <c r="AA30" s="2"/>
      <c r="AB30" s="2"/>
      <c r="AC30" s="2"/>
      <c r="AD30" s="445"/>
      <c r="AE30" s="449"/>
      <c r="AF30" s="447"/>
    </row>
    <row r="31" spans="3:35" ht="60" hidden="1" customHeight="1" outlineLevel="1" x14ac:dyDescent="0.25">
      <c r="C31" s="734"/>
      <c r="D31" s="735">
        <f>D124</f>
        <v>0</v>
      </c>
      <c r="E31" s="735" t="str">
        <f t="shared" ref="E31:S31" si="15">E124</f>
        <v/>
      </c>
      <c r="F31" s="735" t="str">
        <f t="shared" si="15"/>
        <v/>
      </c>
      <c r="G31" s="735" t="str">
        <f t="shared" si="15"/>
        <v/>
      </c>
      <c r="H31" s="735" t="str">
        <f t="shared" si="15"/>
        <v/>
      </c>
      <c r="I31" s="735" t="str">
        <f t="shared" si="15"/>
        <v/>
      </c>
      <c r="J31" s="735" t="str">
        <f t="shared" si="15"/>
        <v/>
      </c>
      <c r="K31" s="735" t="str">
        <f t="shared" si="15"/>
        <v/>
      </c>
      <c r="L31" s="735" t="str">
        <f t="shared" si="15"/>
        <v/>
      </c>
      <c r="M31" s="735" t="str">
        <f t="shared" si="15"/>
        <v/>
      </c>
      <c r="N31" s="735" t="str">
        <f t="shared" si="15"/>
        <v/>
      </c>
      <c r="O31" s="735" t="str">
        <f t="shared" si="15"/>
        <v/>
      </c>
      <c r="P31" s="735" t="str">
        <f t="shared" si="15"/>
        <v/>
      </c>
      <c r="Q31" s="735" t="str">
        <f t="shared" si="15"/>
        <v/>
      </c>
      <c r="R31" s="735" t="str">
        <f t="shared" si="15"/>
        <v/>
      </c>
      <c r="S31" s="735" t="str">
        <f t="shared" si="15"/>
        <v/>
      </c>
      <c r="U31" s="119" t="s">
        <v>1257</v>
      </c>
      <c r="V31" s="2"/>
      <c r="W31" s="807"/>
      <c r="X31" s="2"/>
      <c r="Y31" s="2"/>
      <c r="Z31" s="2"/>
      <c r="AA31" s="2"/>
      <c r="AB31" s="2"/>
      <c r="AC31" s="2"/>
      <c r="AD31" s="445"/>
      <c r="AE31" s="449"/>
      <c r="AF31" s="447"/>
      <c r="AG31" s="2"/>
      <c r="AH31" s="2"/>
      <c r="AI31" s="2"/>
    </row>
    <row r="32" spans="3:35" ht="15" hidden="1" customHeight="1" outlineLevel="1" x14ac:dyDescent="0.25">
      <c r="C32" s="736" t="str">
        <f xml:space="preserve"> "Pop :"&amp;'3. ServiceStats Set Up'!$C$8</f>
        <v>Pop :All Women</v>
      </c>
      <c r="D32" s="599" t="e">
        <f>VLOOKUP(D$31, '2. Pop_Prev Set Up'!$T$11:$U$28, 2, FALSE)</f>
        <v>#N/A</v>
      </c>
      <c r="E32" s="599" t="str">
        <f>VLOOKUP(E$31, '2. Pop_Prev Set Up'!$T$11:$U$28, 2, FALSE)</f>
        <v/>
      </c>
      <c r="F32" s="599" t="str">
        <f>VLOOKUP(F$31, '2. Pop_Prev Set Up'!$T$11:$U$28, 2, FALSE)</f>
        <v/>
      </c>
      <c r="G32" s="599" t="str">
        <f>VLOOKUP(G$31, '2. Pop_Prev Set Up'!$T$11:$U$28, 2, FALSE)</f>
        <v/>
      </c>
      <c r="H32" s="599" t="str">
        <f>VLOOKUP(H$31, '2. Pop_Prev Set Up'!$T$11:$U$28, 2, FALSE)</f>
        <v/>
      </c>
      <c r="I32" s="599" t="str">
        <f>VLOOKUP(I$31, '2. Pop_Prev Set Up'!$T$11:$U$28, 2, FALSE)</f>
        <v/>
      </c>
      <c r="J32" s="599" t="str">
        <f>VLOOKUP(J$31, '2. Pop_Prev Set Up'!$T$11:$U$28, 2, FALSE)</f>
        <v/>
      </c>
      <c r="K32" s="599" t="str">
        <f>VLOOKUP(K$31, '2. Pop_Prev Set Up'!$T$11:$U$28, 2, FALSE)</f>
        <v/>
      </c>
      <c r="L32" s="599" t="str">
        <f>VLOOKUP(L$31, '2. Pop_Prev Set Up'!$T$11:$U$28, 2, FALSE)</f>
        <v/>
      </c>
      <c r="M32" s="599" t="str">
        <f>VLOOKUP(M$31, '2. Pop_Prev Set Up'!$T$11:$U$28, 2, FALSE)</f>
        <v/>
      </c>
      <c r="N32" s="599" t="str">
        <f>VLOOKUP(N$31, '2. Pop_Prev Set Up'!$T$11:$U$28, 2, FALSE)</f>
        <v/>
      </c>
      <c r="O32" s="599" t="str">
        <f>VLOOKUP(O$31, '2. Pop_Prev Set Up'!$T$11:$U$28, 2, FALSE)</f>
        <v/>
      </c>
      <c r="P32" s="599" t="str">
        <f>VLOOKUP(P$31, '2. Pop_Prev Set Up'!$T$11:$U$28, 2, FALSE)</f>
        <v/>
      </c>
      <c r="Q32" s="599" t="str">
        <f>VLOOKUP(Q$31, '2. Pop_Prev Set Up'!$T$11:$U$28, 2, FALSE)</f>
        <v/>
      </c>
      <c r="R32" s="599" t="str">
        <f>VLOOKUP(R$31, '2. Pop_Prev Set Up'!$T$11:$U$28, 2, FALSE)</f>
        <v/>
      </c>
      <c r="S32" s="599" t="str">
        <f>VLOOKUP(S$31, '2. Pop_Prev Set Up'!$T$11:$U$28, 2, FALSE)</f>
        <v/>
      </c>
      <c r="V32" s="2"/>
      <c r="W32" s="807"/>
      <c r="X32" s="2"/>
      <c r="Y32" s="2"/>
      <c r="Z32" s="2"/>
      <c r="AA32" s="2"/>
      <c r="AB32" s="2"/>
      <c r="AC32" s="2"/>
      <c r="AD32" s="445"/>
      <c r="AE32" s="449"/>
      <c r="AF32" s="447"/>
      <c r="AG32" s="2"/>
      <c r="AH32" s="2"/>
      <c r="AI32" s="2"/>
    </row>
    <row r="33" spans="1:35" ht="15" hidden="1" customHeight="1" outlineLevel="1" x14ac:dyDescent="0.25">
      <c r="A33" s="237"/>
      <c r="B33" t="s">
        <v>1012</v>
      </c>
      <c r="C33" s="736" t="str">
        <f>IF(Language="English", AD45, AF45)</f>
        <v>EUM: Produits inc. Préservatifs</v>
      </c>
      <c r="D33" s="942" t="e">
        <f>IFERROR(IF(D31="", "",D151/D32), NA())</f>
        <v>#N/A</v>
      </c>
      <c r="E33" s="942" t="str">
        <f>IFERROR(IF(E31="", "",E151/E32), NA())</f>
        <v/>
      </c>
      <c r="F33" s="942" t="str">
        <f t="shared" ref="F33:S33" si="16">IFERROR(IF(F31="", "",F151/F32), NA())</f>
        <v/>
      </c>
      <c r="G33" s="942" t="str">
        <f t="shared" si="16"/>
        <v/>
      </c>
      <c r="H33" s="942" t="str">
        <f t="shared" si="16"/>
        <v/>
      </c>
      <c r="I33" s="942" t="str">
        <f t="shared" si="16"/>
        <v/>
      </c>
      <c r="J33" s="942" t="str">
        <f t="shared" si="16"/>
        <v/>
      </c>
      <c r="K33" s="942" t="str">
        <f t="shared" si="16"/>
        <v/>
      </c>
      <c r="L33" s="942" t="str">
        <f t="shared" si="16"/>
        <v/>
      </c>
      <c r="M33" s="942" t="str">
        <f t="shared" si="16"/>
        <v/>
      </c>
      <c r="N33" s="942" t="str">
        <f t="shared" si="16"/>
        <v/>
      </c>
      <c r="O33" s="942" t="str">
        <f t="shared" si="16"/>
        <v/>
      </c>
      <c r="P33" s="942" t="str">
        <f t="shared" si="16"/>
        <v/>
      </c>
      <c r="Q33" s="942" t="str">
        <f t="shared" si="16"/>
        <v/>
      </c>
      <c r="R33" s="942" t="str">
        <f t="shared" si="16"/>
        <v/>
      </c>
      <c r="S33" s="942" t="str">
        <f t="shared" si="16"/>
        <v/>
      </c>
      <c r="U33" s="968"/>
      <c r="V33" s="2"/>
      <c r="W33" s="807"/>
      <c r="X33" s="2"/>
      <c r="Y33" s="2"/>
      <c r="Z33" s="2"/>
      <c r="AA33" s="2"/>
      <c r="AB33" s="2"/>
      <c r="AC33" s="2"/>
      <c r="AD33" s="445"/>
      <c r="AE33" s="449"/>
      <c r="AF33" s="447"/>
      <c r="AG33" s="2"/>
      <c r="AH33" s="2"/>
      <c r="AI33" s="2"/>
    </row>
    <row r="34" spans="1:35" ht="15" hidden="1" customHeight="1" outlineLevel="1" x14ac:dyDescent="0.25">
      <c r="A34" s="237"/>
      <c r="B34" t="s">
        <v>1010</v>
      </c>
      <c r="C34" s="736" t="str">
        <f>IF(Language="English", AD46, AF46)</f>
        <v>EUM: Produits ex. Préservatifs</v>
      </c>
      <c r="D34" s="942" t="e">
        <f>IFERROR(IF(D31="", "", D152/D32), NA())</f>
        <v>#N/A</v>
      </c>
      <c r="E34" s="942" t="str">
        <f>IFERROR(IF(E31="", "", E152/E32), NA())</f>
        <v/>
      </c>
      <c r="F34" s="942" t="str">
        <f t="shared" ref="F34:S34" si="17">IFERROR(IF(F31="", "", F152/F32), NA())</f>
        <v/>
      </c>
      <c r="G34" s="942" t="str">
        <f t="shared" si="17"/>
        <v/>
      </c>
      <c r="H34" s="942" t="str">
        <f t="shared" si="17"/>
        <v/>
      </c>
      <c r="I34" s="942" t="str">
        <f t="shared" si="17"/>
        <v/>
      </c>
      <c r="J34" s="942" t="str">
        <f t="shared" si="17"/>
        <v/>
      </c>
      <c r="K34" s="942" t="str">
        <f t="shared" si="17"/>
        <v/>
      </c>
      <c r="L34" s="942" t="str">
        <f t="shared" si="17"/>
        <v/>
      </c>
      <c r="M34" s="942" t="str">
        <f t="shared" si="17"/>
        <v/>
      </c>
      <c r="N34" s="942" t="str">
        <f t="shared" si="17"/>
        <v/>
      </c>
      <c r="O34" s="942" t="str">
        <f t="shared" si="17"/>
        <v/>
      </c>
      <c r="P34" s="942" t="str">
        <f t="shared" si="17"/>
        <v/>
      </c>
      <c r="Q34" s="942" t="str">
        <f t="shared" si="17"/>
        <v/>
      </c>
      <c r="R34" s="942" t="str">
        <f t="shared" si="17"/>
        <v/>
      </c>
      <c r="S34" s="942" t="str">
        <f t="shared" si="17"/>
        <v/>
      </c>
      <c r="U34" s="968"/>
      <c r="V34" s="2"/>
      <c r="W34" s="807"/>
      <c r="X34" s="2"/>
      <c r="Y34" s="2"/>
      <c r="Z34" s="2"/>
      <c r="AA34" s="2"/>
      <c r="AB34" s="2"/>
      <c r="AC34" s="2"/>
      <c r="AD34" s="445"/>
      <c r="AE34" s="449"/>
      <c r="AF34" s="447"/>
      <c r="AG34" s="2"/>
      <c r="AH34" s="2"/>
      <c r="AI34" s="2"/>
    </row>
    <row r="35" spans="1:35" ht="15" hidden="1" customHeight="1" outlineLevel="1" x14ac:dyDescent="0.25">
      <c r="A35" s="237"/>
      <c r="B35" s="237" t="s">
        <v>1068</v>
      </c>
      <c r="C35" s="736" t="str">
        <f>IF('3. ServiceStats Set Up'!$T$8="MW", '2. Pop_Prev Set Up'!$V$10, '2. Pop_Prev Set Up'!$W$10)</f>
        <v>TPCm (TF): DHS</v>
      </c>
      <c r="D35" s="942" t="e">
        <f>VLOOKUP(D$31, '2. Pop_Prev Set Up'!$T$11:$AE$28, MATCH($C35, '2. Pop_Prev Set Up'!$T$10:$AE$10, 0), FALSE)</f>
        <v>#N/A</v>
      </c>
      <c r="E35" s="942" t="e">
        <f>VLOOKUP(E$31, '2. Pop_Prev Set Up'!$T$11:$AE$28, MATCH($C35, '2. Pop_Prev Set Up'!$T$10:$AE$10, 0), FALSE)</f>
        <v>#N/A</v>
      </c>
      <c r="F35" s="942" t="e">
        <f>VLOOKUP(F$31, '2. Pop_Prev Set Up'!$T$11:$AE$28, MATCH($C35, '2. Pop_Prev Set Up'!$T$10:$AE$10, 0), FALSE)</f>
        <v>#N/A</v>
      </c>
      <c r="G35" s="942" t="e">
        <f>VLOOKUP(G$31, '2. Pop_Prev Set Up'!$T$11:$AE$28, MATCH($C35, '2. Pop_Prev Set Up'!$T$10:$AE$10, 0), FALSE)</f>
        <v>#N/A</v>
      </c>
      <c r="H35" s="942" t="e">
        <f>VLOOKUP(H$31, '2. Pop_Prev Set Up'!$T$11:$AE$28, MATCH($C35, '2. Pop_Prev Set Up'!$T$10:$AE$10, 0), FALSE)</f>
        <v>#N/A</v>
      </c>
      <c r="I35" s="942" t="e">
        <f>VLOOKUP(I$31, '2. Pop_Prev Set Up'!$T$11:$AE$28, MATCH($C35, '2. Pop_Prev Set Up'!$T$10:$AE$10, 0), FALSE)</f>
        <v>#N/A</v>
      </c>
      <c r="J35" s="942" t="e">
        <f>VLOOKUP(J$31, '2. Pop_Prev Set Up'!$T$11:$AE$28, MATCH($C35, '2. Pop_Prev Set Up'!$T$10:$AE$10, 0), FALSE)</f>
        <v>#N/A</v>
      </c>
      <c r="K35" s="942" t="e">
        <f>VLOOKUP(K$31, '2. Pop_Prev Set Up'!$T$11:$AE$28, MATCH($C35, '2. Pop_Prev Set Up'!$T$10:$AE$10, 0), FALSE)</f>
        <v>#N/A</v>
      </c>
      <c r="L35" s="942" t="e">
        <f>VLOOKUP(L$31, '2. Pop_Prev Set Up'!$T$11:$AE$28, MATCH($C35, '2. Pop_Prev Set Up'!$T$10:$AE$10, 0), FALSE)</f>
        <v>#N/A</v>
      </c>
      <c r="M35" s="942" t="e">
        <f>VLOOKUP(M$31, '2. Pop_Prev Set Up'!$T$11:$AE$28, MATCH($C35, '2. Pop_Prev Set Up'!$T$10:$AE$10, 0), FALSE)</f>
        <v>#N/A</v>
      </c>
      <c r="N35" s="942" t="e">
        <f>VLOOKUP(N$31, '2. Pop_Prev Set Up'!$T$11:$AE$28, MATCH($C35, '2. Pop_Prev Set Up'!$T$10:$AE$10, 0), FALSE)</f>
        <v>#N/A</v>
      </c>
      <c r="O35" s="942" t="e">
        <f>VLOOKUP(O$31, '2. Pop_Prev Set Up'!$T$11:$AE$28, MATCH($C35, '2. Pop_Prev Set Up'!$T$10:$AE$10, 0), FALSE)</f>
        <v>#N/A</v>
      </c>
      <c r="P35" s="942" t="e">
        <f>VLOOKUP(P$31, '2. Pop_Prev Set Up'!$T$11:$AE$28, MATCH($C35, '2. Pop_Prev Set Up'!$T$10:$AE$10, 0), FALSE)</f>
        <v>#N/A</v>
      </c>
      <c r="Q35" s="942" t="e">
        <f>VLOOKUP(Q$31, '2. Pop_Prev Set Up'!$T$11:$AE$28, MATCH($C35, '2. Pop_Prev Set Up'!$T$10:$AE$10, 0), FALSE)</f>
        <v>#N/A</v>
      </c>
      <c r="R35" s="942" t="e">
        <f>VLOOKUP(R$31, '2. Pop_Prev Set Up'!$T$11:$AE$28, MATCH($C35, '2. Pop_Prev Set Up'!$T$10:$AE$10, 0), FALSE)</f>
        <v>#N/A</v>
      </c>
      <c r="S35" s="942" t="e">
        <f>VLOOKUP(S$31, '2. Pop_Prev Set Up'!$T$11:$AE$28, MATCH($C35, '2. Pop_Prev Set Up'!$T$10:$AE$10, 0), FALSE)</f>
        <v>#N/A</v>
      </c>
      <c r="U35" s="968"/>
      <c r="V35" s="2"/>
      <c r="W35" s="807"/>
      <c r="X35" s="2"/>
      <c r="Y35" s="2"/>
      <c r="Z35" s="2"/>
      <c r="AA35" s="2"/>
      <c r="AB35" s="2"/>
      <c r="AC35" s="2"/>
      <c r="AD35" s="445"/>
      <c r="AE35" s="449"/>
      <c r="AF35" s="447"/>
      <c r="AG35" s="2"/>
      <c r="AH35" s="2"/>
      <c r="AI35" s="2"/>
    </row>
    <row r="36" spans="1:35" ht="15" hidden="1" customHeight="1" outlineLevel="1" x14ac:dyDescent="0.25">
      <c r="A36" s="237"/>
      <c r="B36" s="237" t="s">
        <v>565</v>
      </c>
      <c r="C36" s="736" t="str">
        <f>C35</f>
        <v>TPCm (TF): DHS</v>
      </c>
      <c r="D36" s="942" t="str">
        <f t="shared" ref="D36:S36" si="18">IFERROR(D35, "")</f>
        <v/>
      </c>
      <c r="E36" s="942" t="str">
        <f t="shared" si="18"/>
        <v/>
      </c>
      <c r="F36" s="942" t="str">
        <f t="shared" si="18"/>
        <v/>
      </c>
      <c r="G36" s="942" t="str">
        <f t="shared" si="18"/>
        <v/>
      </c>
      <c r="H36" s="942" t="str">
        <f t="shared" si="18"/>
        <v/>
      </c>
      <c r="I36" s="942" t="str">
        <f t="shared" si="18"/>
        <v/>
      </c>
      <c r="J36" s="942" t="str">
        <f t="shared" si="18"/>
        <v/>
      </c>
      <c r="K36" s="942" t="str">
        <f t="shared" si="18"/>
        <v/>
      </c>
      <c r="L36" s="942" t="str">
        <f t="shared" si="18"/>
        <v/>
      </c>
      <c r="M36" s="942" t="str">
        <f t="shared" si="18"/>
        <v/>
      </c>
      <c r="N36" s="942" t="str">
        <f t="shared" si="18"/>
        <v/>
      </c>
      <c r="O36" s="942" t="str">
        <f t="shared" si="18"/>
        <v/>
      </c>
      <c r="P36" s="942" t="str">
        <f t="shared" si="18"/>
        <v/>
      </c>
      <c r="Q36" s="942" t="str">
        <f t="shared" si="18"/>
        <v/>
      </c>
      <c r="R36" s="942" t="str">
        <f t="shared" si="18"/>
        <v/>
      </c>
      <c r="S36" s="942" t="str">
        <f t="shared" si="18"/>
        <v/>
      </c>
      <c r="U36" s="968" t="e">
        <f>IFERROR((MAX($D$36:$R$36)-MIN($D$36:$R$36))/ (HLOOKUP(MAX($D$36:$R$36), $D$36:$R$41, 6, FALSE) - HLOOKUP(MIN($D$36:$R$36), $D$36:$R$41, 6, FALSE)), NA())</f>
        <v>#N/A</v>
      </c>
      <c r="V36" s="2"/>
      <c r="W36" s="807"/>
      <c r="X36" s="2"/>
      <c r="Y36" s="2"/>
      <c r="Z36" s="2"/>
      <c r="AA36" s="2"/>
      <c r="AB36" s="2"/>
      <c r="AC36" s="2"/>
      <c r="AD36" s="445"/>
      <c r="AE36" s="449"/>
      <c r="AF36" s="447"/>
      <c r="AG36" s="2"/>
      <c r="AH36" s="2"/>
      <c r="AI36" s="2"/>
    </row>
    <row r="37" spans="1:35" ht="15" hidden="1" customHeight="1" outlineLevel="1" x14ac:dyDescent="0.25">
      <c r="A37" s="238"/>
      <c r="B37" s="237" t="s">
        <v>565</v>
      </c>
      <c r="C37" s="736" t="str">
        <f>IF('3. ServiceStats Set Up'!$T$8="MW",'2. Pop_Prev Set Up'!$AD$10,'2. Pop_Prev Set Up'!$AE$10)</f>
        <v>TPCm (TF): FPET Global Run (2022)</v>
      </c>
      <c r="D37" s="942"/>
      <c r="E37" s="942" t="str">
        <f>IFERROR(E38-D38, "")</f>
        <v/>
      </c>
      <c r="F37" s="942" t="str">
        <f t="shared" ref="F37:S37" si="19">IFERROR(F38-E38, "")</f>
        <v/>
      </c>
      <c r="G37" s="942" t="str">
        <f t="shared" si="19"/>
        <v/>
      </c>
      <c r="H37" s="942" t="str">
        <f t="shared" si="19"/>
        <v/>
      </c>
      <c r="I37" s="942" t="str">
        <f t="shared" si="19"/>
        <v/>
      </c>
      <c r="J37" s="942" t="str">
        <f t="shared" si="19"/>
        <v/>
      </c>
      <c r="K37" s="942" t="str">
        <f t="shared" si="19"/>
        <v/>
      </c>
      <c r="L37" s="942" t="str">
        <f t="shared" si="19"/>
        <v/>
      </c>
      <c r="M37" s="942" t="str">
        <f t="shared" si="19"/>
        <v/>
      </c>
      <c r="N37" s="942" t="str">
        <f t="shared" si="19"/>
        <v/>
      </c>
      <c r="O37" s="942" t="str">
        <f t="shared" si="19"/>
        <v/>
      </c>
      <c r="P37" s="942" t="str">
        <f t="shared" si="19"/>
        <v/>
      </c>
      <c r="Q37" s="942" t="str">
        <f t="shared" si="19"/>
        <v/>
      </c>
      <c r="R37" s="942" t="str">
        <f t="shared" si="19"/>
        <v/>
      </c>
      <c r="S37" s="942" t="str">
        <f t="shared" si="19"/>
        <v/>
      </c>
      <c r="U37" s="968" t="e">
        <f>AVERAGE(D37:R37)</f>
        <v>#DIV/0!</v>
      </c>
      <c r="V37" s="2"/>
      <c r="W37" s="807"/>
      <c r="X37" s="2"/>
      <c r="Y37" s="2"/>
      <c r="Z37" s="2"/>
      <c r="AA37" s="2"/>
      <c r="AB37" s="2"/>
      <c r="AC37" s="2"/>
      <c r="AD37" s="445" t="s">
        <v>1246</v>
      </c>
      <c r="AE37" s="449"/>
      <c r="AF37" s="655" t="s">
        <v>2417</v>
      </c>
      <c r="AG37" s="2"/>
      <c r="AH37" s="2"/>
      <c r="AI37" s="2"/>
    </row>
    <row r="38" spans="1:35" ht="15" hidden="1" customHeight="1" outlineLevel="1" x14ac:dyDescent="0.25">
      <c r="A38" s="237"/>
      <c r="B38" s="237" t="s">
        <v>1068</v>
      </c>
      <c r="C38" s="736" t="str">
        <f>C37</f>
        <v>TPCm (TF): FPET Global Run (2022)</v>
      </c>
      <c r="D38" s="942" t="e">
        <f>VLOOKUP(D$31, '2. Pop_Prev Set Up'!$T$11:$AE$28, MATCH($C38, '2. Pop_Prev Set Up'!$T$10:$AE$10, 0), FALSE)</f>
        <v>#N/A</v>
      </c>
      <c r="E38" s="942" t="str">
        <f>VLOOKUP(E$31, '2. Pop_Prev Set Up'!$T$11:$AE$28, MATCH($C38, '2. Pop_Prev Set Up'!$T$10:$AE$10, 0), FALSE)</f>
        <v/>
      </c>
      <c r="F38" s="942" t="str">
        <f>VLOOKUP(F$31, '2. Pop_Prev Set Up'!$T$11:$AE$28, MATCH($C38, '2. Pop_Prev Set Up'!$T$10:$AE$10, 0), FALSE)</f>
        <v/>
      </c>
      <c r="G38" s="942" t="str">
        <f>VLOOKUP(G$31, '2. Pop_Prev Set Up'!$T$11:$AE$28, MATCH($C38, '2. Pop_Prev Set Up'!$T$10:$AE$10, 0), FALSE)</f>
        <v/>
      </c>
      <c r="H38" s="942" t="str">
        <f>VLOOKUP(H$31, '2. Pop_Prev Set Up'!$T$11:$AE$28, MATCH($C38, '2. Pop_Prev Set Up'!$T$10:$AE$10, 0), FALSE)</f>
        <v/>
      </c>
      <c r="I38" s="942" t="str">
        <f>VLOOKUP(I$31, '2. Pop_Prev Set Up'!$T$11:$AE$28, MATCH($C38, '2. Pop_Prev Set Up'!$T$10:$AE$10, 0), FALSE)</f>
        <v/>
      </c>
      <c r="J38" s="942" t="str">
        <f>VLOOKUP(J$31, '2. Pop_Prev Set Up'!$T$11:$AE$28, MATCH($C38, '2. Pop_Prev Set Up'!$T$10:$AE$10, 0), FALSE)</f>
        <v/>
      </c>
      <c r="K38" s="942" t="str">
        <f>VLOOKUP(K$31, '2. Pop_Prev Set Up'!$T$11:$AE$28, MATCH($C38, '2. Pop_Prev Set Up'!$T$10:$AE$10, 0), FALSE)</f>
        <v/>
      </c>
      <c r="L38" s="942" t="str">
        <f>VLOOKUP(L$31, '2. Pop_Prev Set Up'!$T$11:$AE$28, MATCH($C38, '2. Pop_Prev Set Up'!$T$10:$AE$10, 0), FALSE)</f>
        <v/>
      </c>
      <c r="M38" s="942" t="str">
        <f>VLOOKUP(M$31, '2. Pop_Prev Set Up'!$T$11:$AE$28, MATCH($C38, '2. Pop_Prev Set Up'!$T$10:$AE$10, 0), FALSE)</f>
        <v/>
      </c>
      <c r="N38" s="942" t="str">
        <f>VLOOKUP(N$31, '2. Pop_Prev Set Up'!$T$11:$AE$28, MATCH($C38, '2. Pop_Prev Set Up'!$T$10:$AE$10, 0), FALSE)</f>
        <v/>
      </c>
      <c r="O38" s="942" t="str">
        <f>VLOOKUP(O$31, '2. Pop_Prev Set Up'!$T$11:$AE$28, MATCH($C38, '2. Pop_Prev Set Up'!$T$10:$AE$10, 0), FALSE)</f>
        <v/>
      </c>
      <c r="P38" s="942" t="str">
        <f>VLOOKUP(P$31, '2. Pop_Prev Set Up'!$T$11:$AE$28, MATCH($C38, '2. Pop_Prev Set Up'!$T$10:$AE$10, 0), FALSE)</f>
        <v/>
      </c>
      <c r="Q38" s="942" t="str">
        <f>VLOOKUP(Q$31, '2. Pop_Prev Set Up'!$T$11:$AE$28, MATCH($C38, '2. Pop_Prev Set Up'!$T$10:$AE$10, 0), FALSE)</f>
        <v/>
      </c>
      <c r="R38" s="942" t="str">
        <f>VLOOKUP(R$31, '2. Pop_Prev Set Up'!$T$11:$AE$28, MATCH($C38, '2. Pop_Prev Set Up'!$T$10:$AE$10, 0), FALSE)</f>
        <v/>
      </c>
      <c r="S38" s="942" t="str">
        <f>VLOOKUP(S$31, '2. Pop_Prev Set Up'!$T$11:$AE$28, MATCH($C38, '2. Pop_Prev Set Up'!$T$10:$AE$10, 0), FALSE)</f>
        <v/>
      </c>
      <c r="U38" s="968"/>
      <c r="V38" s="2"/>
      <c r="W38" s="807"/>
      <c r="X38" s="2"/>
      <c r="Y38" s="2"/>
      <c r="Z38" s="2"/>
      <c r="AA38" s="2"/>
      <c r="AB38" s="2"/>
      <c r="AC38" s="2"/>
      <c r="AD38" s="445" t="s">
        <v>1245</v>
      </c>
      <c r="AE38" s="449"/>
      <c r="AF38" s="655" t="s">
        <v>2418</v>
      </c>
      <c r="AG38" s="2"/>
      <c r="AH38" s="2"/>
      <c r="AI38" s="2"/>
    </row>
    <row r="39" spans="1:35" ht="15" hidden="1" customHeight="1" outlineLevel="1" x14ac:dyDescent="0.25">
      <c r="A39" s="238"/>
      <c r="B39" s="237" t="s">
        <v>565</v>
      </c>
      <c r="C39" s="736" t="str">
        <f>IF(Language="English", AD50, AF50)</f>
        <v>EUM: Produits inc. Préservatifs</v>
      </c>
      <c r="D39" s="942"/>
      <c r="E39" s="942" t="str">
        <f>IFERROR(E33-D33, "")</f>
        <v/>
      </c>
      <c r="F39" s="942" t="str">
        <f t="shared" ref="F39:S40" si="20">IFERROR(F33-E33, "")</f>
        <v/>
      </c>
      <c r="G39" s="942" t="str">
        <f t="shared" si="20"/>
        <v/>
      </c>
      <c r="H39" s="942" t="str">
        <f t="shared" si="20"/>
        <v/>
      </c>
      <c r="I39" s="942" t="str">
        <f t="shared" si="20"/>
        <v/>
      </c>
      <c r="J39" s="942" t="str">
        <f t="shared" si="20"/>
        <v/>
      </c>
      <c r="K39" s="942" t="str">
        <f t="shared" si="20"/>
        <v/>
      </c>
      <c r="L39" s="942" t="str">
        <f t="shared" si="20"/>
        <v/>
      </c>
      <c r="M39" s="942" t="str">
        <f t="shared" si="20"/>
        <v/>
      </c>
      <c r="N39" s="942" t="str">
        <f t="shared" si="20"/>
        <v/>
      </c>
      <c r="O39" s="942" t="str">
        <f t="shared" si="20"/>
        <v/>
      </c>
      <c r="P39" s="942" t="str">
        <f t="shared" si="20"/>
        <v/>
      </c>
      <c r="Q39" s="942" t="str">
        <f t="shared" si="20"/>
        <v/>
      </c>
      <c r="R39" s="942" t="str">
        <f t="shared" si="20"/>
        <v/>
      </c>
      <c r="S39" s="942" t="str">
        <f t="shared" si="20"/>
        <v/>
      </c>
      <c r="U39" s="968" t="e">
        <f>AVERAGE(D39:R39)</f>
        <v>#DIV/0!</v>
      </c>
      <c r="V39" s="2"/>
      <c r="W39" s="807"/>
      <c r="X39" s="2"/>
      <c r="Y39" s="2"/>
      <c r="Z39" s="2"/>
      <c r="AA39" s="2"/>
      <c r="AB39" s="2"/>
      <c r="AC39" s="2"/>
      <c r="AD39" s="654" t="s">
        <v>2001</v>
      </c>
      <c r="AE39" s="449"/>
      <c r="AF39" s="655" t="s">
        <v>2419</v>
      </c>
      <c r="AG39" s="2"/>
      <c r="AH39" s="2"/>
      <c r="AI39" s="2"/>
    </row>
    <row r="40" spans="1:35" ht="15.75" hidden="1" customHeight="1" outlineLevel="1" thickBot="1" x14ac:dyDescent="0.3">
      <c r="A40" s="238"/>
      <c r="B40" s="237" t="s">
        <v>565</v>
      </c>
      <c r="C40" s="737" t="str">
        <f>IF(Language="English", AD51, AF51)</f>
        <v>EUM: Produits ex. Préservatifs</v>
      </c>
      <c r="D40" s="944"/>
      <c r="E40" s="942" t="str">
        <f>IFERROR(E34-D34, "")</f>
        <v/>
      </c>
      <c r="F40" s="942" t="str">
        <f t="shared" si="20"/>
        <v/>
      </c>
      <c r="G40" s="942" t="str">
        <f t="shared" si="20"/>
        <v/>
      </c>
      <c r="H40" s="942" t="str">
        <f t="shared" si="20"/>
        <v/>
      </c>
      <c r="I40" s="942" t="str">
        <f t="shared" si="20"/>
        <v/>
      </c>
      <c r="J40" s="942" t="str">
        <f t="shared" si="20"/>
        <v/>
      </c>
      <c r="K40" s="942" t="str">
        <f t="shared" si="20"/>
        <v/>
      </c>
      <c r="L40" s="942" t="str">
        <f t="shared" si="20"/>
        <v/>
      </c>
      <c r="M40" s="942" t="str">
        <f t="shared" si="20"/>
        <v/>
      </c>
      <c r="N40" s="942" t="str">
        <f t="shared" si="20"/>
        <v/>
      </c>
      <c r="O40" s="942" t="str">
        <f t="shared" si="20"/>
        <v/>
      </c>
      <c r="P40" s="942" t="str">
        <f t="shared" si="20"/>
        <v/>
      </c>
      <c r="Q40" s="942" t="str">
        <f t="shared" si="20"/>
        <v/>
      </c>
      <c r="R40" s="942" t="str">
        <f t="shared" si="20"/>
        <v/>
      </c>
      <c r="S40" s="942" t="str">
        <f t="shared" si="20"/>
        <v/>
      </c>
      <c r="U40" s="968" t="e">
        <f>AVERAGE(D40:R40)</f>
        <v>#DIV/0!</v>
      </c>
      <c r="V40" s="2"/>
      <c r="W40" s="807"/>
      <c r="X40" s="2"/>
      <c r="Y40" s="2"/>
      <c r="Z40" s="2"/>
      <c r="AA40" s="2"/>
      <c r="AB40" s="2"/>
      <c r="AC40" s="2"/>
      <c r="AD40" s="445" t="s">
        <v>1247</v>
      </c>
      <c r="AE40" s="449"/>
      <c r="AF40" s="447" t="s">
        <v>2420</v>
      </c>
      <c r="AG40" s="2"/>
      <c r="AH40" s="2"/>
      <c r="AI40" s="2"/>
    </row>
    <row r="41" spans="1:35" ht="15" hidden="1" customHeight="1" outlineLevel="1" x14ac:dyDescent="0.25">
      <c r="C41"/>
      <c r="D41" s="2">
        <f>D31</f>
        <v>0</v>
      </c>
      <c r="E41" s="2" t="str">
        <f t="shared" ref="E41:S41" si="21">E31</f>
        <v/>
      </c>
      <c r="F41" s="2" t="str">
        <f t="shared" si="21"/>
        <v/>
      </c>
      <c r="G41" s="2" t="str">
        <f t="shared" si="21"/>
        <v/>
      </c>
      <c r="H41" s="2" t="str">
        <f t="shared" si="21"/>
        <v/>
      </c>
      <c r="I41" s="2" t="str">
        <f t="shared" si="21"/>
        <v/>
      </c>
      <c r="J41" s="2" t="str">
        <f t="shared" si="21"/>
        <v/>
      </c>
      <c r="K41" s="2" t="str">
        <f t="shared" si="21"/>
        <v/>
      </c>
      <c r="L41" s="2" t="str">
        <f t="shared" si="21"/>
        <v/>
      </c>
      <c r="M41" s="2" t="str">
        <f t="shared" si="21"/>
        <v/>
      </c>
      <c r="N41" s="2" t="str">
        <f t="shared" si="21"/>
        <v/>
      </c>
      <c r="O41" s="2" t="str">
        <f t="shared" si="21"/>
        <v/>
      </c>
      <c r="P41" s="2" t="str">
        <f t="shared" si="21"/>
        <v/>
      </c>
      <c r="Q41" s="2" t="str">
        <f t="shared" si="21"/>
        <v/>
      </c>
      <c r="R41" s="2" t="str">
        <f t="shared" si="21"/>
        <v/>
      </c>
      <c r="S41" s="2" t="str">
        <f t="shared" si="21"/>
        <v/>
      </c>
      <c r="U41" s="2"/>
      <c r="V41" s="2"/>
      <c r="W41" s="807"/>
      <c r="X41" s="2"/>
      <c r="Y41" s="2"/>
      <c r="Z41" s="2"/>
      <c r="AA41" s="2"/>
      <c r="AB41" s="2"/>
      <c r="AC41" s="2"/>
      <c r="AD41" s="445" t="s">
        <v>1248</v>
      </c>
      <c r="AE41" s="449"/>
      <c r="AF41" s="447" t="s">
        <v>2421</v>
      </c>
      <c r="AG41" s="2"/>
      <c r="AH41" s="2"/>
      <c r="AI41" s="2"/>
    </row>
    <row r="42" spans="1:35" ht="15.75" hidden="1" outlineLevel="1" thickBot="1" x14ac:dyDescent="0.3">
      <c r="C42"/>
      <c r="D42" s="2"/>
      <c r="E42" s="2"/>
      <c r="F42" s="2"/>
      <c r="G42" s="2"/>
      <c r="H42" s="2"/>
      <c r="I42" s="2"/>
      <c r="J42" s="2"/>
      <c r="K42" s="2"/>
      <c r="L42" s="2"/>
      <c r="M42" s="2"/>
      <c r="N42" s="2"/>
      <c r="O42" s="2"/>
      <c r="P42" s="2"/>
      <c r="Q42" s="2"/>
      <c r="R42" s="2"/>
      <c r="S42" s="2"/>
      <c r="T42" s="2"/>
      <c r="U42" s="2"/>
      <c r="V42" s="2"/>
      <c r="W42" s="807"/>
      <c r="X42" s="2"/>
      <c r="Y42" s="2"/>
      <c r="Z42" s="2"/>
      <c r="AA42" s="2"/>
      <c r="AB42" s="2"/>
      <c r="AC42" s="2"/>
      <c r="AD42" s="445" t="s">
        <v>2002</v>
      </c>
      <c r="AE42" s="449"/>
      <c r="AF42" s="447" t="s">
        <v>2422</v>
      </c>
    </row>
    <row r="43" spans="1:35" ht="75" hidden="1" outlineLevel="1" x14ac:dyDescent="0.25">
      <c r="C43" s="743"/>
      <c r="D43" s="744" t="str">
        <f>'Language Look Ups'!B20&amp;" : "&amp;D44</f>
        <v>Mélange Estimée de Méthodes Modernes : 2021</v>
      </c>
      <c r="E43" s="744" t="e">
        <f>'5. MethodMix Set Up'!I7 &amp;" : "&amp;E44</f>
        <v>#N/A</v>
      </c>
      <c r="F43" s="744" t="str">
        <f>C6&amp;" : "&amp;F44</f>
        <v>Utilisatrices par méthode 
(statistiques de service) : 2021</v>
      </c>
      <c r="G43" s="745" t="str">
        <f>C18&amp;" : "&amp;G44</f>
        <v>Utilisatrices par méthode 
(enquête) : 2021</v>
      </c>
      <c r="M43">
        <f>$O$65</f>
        <v>2021</v>
      </c>
      <c r="N43">
        <f>$O$65</f>
        <v>2021</v>
      </c>
      <c r="O43">
        <f>$O$65</f>
        <v>2021</v>
      </c>
      <c r="AD43" s="654" t="s">
        <v>1244</v>
      </c>
      <c r="AE43" s="449"/>
      <c r="AF43" s="655" t="s">
        <v>2423</v>
      </c>
    </row>
    <row r="44" spans="1:35" ht="90" hidden="1" outlineLevel="1" x14ac:dyDescent="0.25">
      <c r="C44" s="662"/>
      <c r="D44" s="746">
        <f>$O$76</f>
        <v>2021</v>
      </c>
      <c r="E44" s="746" t="e">
        <f>'5. MethodMix Set Up'!I9&amp;" ("&amp;'5. MethodMix Set Up'!I10&amp;")"</f>
        <v>#N/A</v>
      </c>
      <c r="F44" s="746">
        <f>$O$76</f>
        <v>2021</v>
      </c>
      <c r="G44" s="747">
        <f>$O$76</f>
        <v>2021</v>
      </c>
      <c r="M44" s="141" t="str">
        <f>IF(Language="English", AD37, AF37)&amp;" : "&amp;M43</f>
        <v>Utilisatrices par méthode 
(statistiques de service - non ajustées) : 2021</v>
      </c>
      <c r="N44" s="141" t="str">
        <f>IF(Language="English", AD38, AF38)&amp;" : "&amp;N43</f>
        <v>Utilisatrices par méthode 
(statistiques de service - ajustées) : 2021</v>
      </c>
      <c r="O44" s="141" t="str">
        <f>IF(Language="English", AD39, AF39)&amp;" : "&amp;O43</f>
        <v>Utilisatrices par méthode 
(enquête / FPET) : 2021</v>
      </c>
      <c r="AD44" s="445"/>
      <c r="AE44" s="449"/>
      <c r="AF44" s="447"/>
    </row>
    <row r="45" spans="1:35" ht="18" hidden="1" customHeight="1" outlineLevel="1" x14ac:dyDescent="0.25">
      <c r="C45" s="662" t="str">
        <f>'5. MethodMix Set Up'!G12</f>
        <v>Stérilisation (f)</v>
      </c>
      <c r="D45" s="748" t="e">
        <f>IF(HLOOKUP($D$44, $C$6:$S$15, 2, FALSE)=0, NA(), HLOOKUP($D$44, $C$6:$S$15, 2, FALSE)/HLOOKUP($D$44, $C$6:$S$16, 11, FALSE))</f>
        <v>#N/A</v>
      </c>
      <c r="E45" s="748" t="str">
        <f>IF('5. MethodMix Set Up'!I12=0, NA(), '5. MethodMix Set Up'!I12)</f>
        <v/>
      </c>
      <c r="F45" s="712" t="e">
        <f t="shared" ref="F45:F53" si="22">MROUND(VLOOKUP($C45, $C$7:$T$16, MATCH(F$44, $C$6:$T$6, 0), FALSE),100)</f>
        <v>#N/A</v>
      </c>
      <c r="G45" s="326" t="e">
        <f t="shared" ref="G45:G53" si="23">MROUND(VLOOKUP($C45, $C$18:$T$27, MATCH(G$44, $C$18:$T$18, 0), FALSE),100)</f>
        <v>#N/A</v>
      </c>
      <c r="L45" s="915" t="str">
        <f>'5. MethodMix Set Up'!$G$12</f>
        <v>Stérilisation (f)</v>
      </c>
      <c r="M45" s="964" t="e">
        <f>VLOOKUP($L45, 'Users Input'!$BJ$59:$BZ$70, MATCH($M$43, 'Users Input'!$BJ$58:$BZ$58, 0), FALSE)</f>
        <v>#N/A</v>
      </c>
      <c r="N45" s="964" t="e">
        <f>VLOOKUP($L45,'Users Input'!$CB$58:$CR$70, MATCH($M$43, 'Users Input'!$CB$58:$CR$58, 0), FALSE)</f>
        <v>#N/A</v>
      </c>
      <c r="O45" s="964">
        <f t="shared" ref="O45" si="24">IFERROR(VLOOKUP(L45, $C$19:$S$27, MATCH(M$43, $C$18:$S$18,0), FALSE), 0)</f>
        <v>0</v>
      </c>
      <c r="AD45" s="445" t="s">
        <v>561</v>
      </c>
      <c r="AE45" s="449"/>
      <c r="AF45" s="447" t="s">
        <v>831</v>
      </c>
    </row>
    <row r="46" spans="1:35" hidden="1" outlineLevel="1" x14ac:dyDescent="0.25">
      <c r="C46" s="662" t="str">
        <f>'5. MethodMix Set Up'!G13</f>
        <v>Stérilisation (m)</v>
      </c>
      <c r="D46" s="748" t="e">
        <f>IF(HLOOKUP($D$44, $C$6:$S$15, 3, FALSE)=0, NA(), HLOOKUP($D$44, $C$6:$S$15, 3, FALSE)/HLOOKUP($D$44, $C$6:$S$16, 11, FALSE))</f>
        <v>#N/A</v>
      </c>
      <c r="E46" s="748" t="str">
        <f>IF('5. MethodMix Set Up'!I13=0, NA(), '5. MethodMix Set Up'!I13)</f>
        <v/>
      </c>
      <c r="F46" s="712" t="e">
        <f t="shared" si="22"/>
        <v>#N/A</v>
      </c>
      <c r="G46" s="326" t="e">
        <f t="shared" si="23"/>
        <v>#N/A</v>
      </c>
      <c r="L46" s="915" t="str">
        <f>'5. MethodMix Set Up'!$G$13</f>
        <v>Stérilisation (m)</v>
      </c>
      <c r="M46" s="964" t="e">
        <f>VLOOKUP($L46, 'Users Input'!$BJ$59:$BZ$70, MATCH($M$43, 'Users Input'!$BJ$58:$BZ$58, 0), FALSE)</f>
        <v>#N/A</v>
      </c>
      <c r="N46" s="964" t="e">
        <f>VLOOKUP($L46,'Users Input'!$CB$58:$CR$70, MATCH($M$43, 'Users Input'!$CB$58:$CR$58, 0), FALSE)</f>
        <v>#N/A</v>
      </c>
      <c r="O46" s="964">
        <f t="shared" ref="O46:O54" si="25">IFERROR(VLOOKUP(L46, $C$19:$S$27, MATCH(M$43, $C$18:$S$18,0), FALSE), 0)</f>
        <v>0</v>
      </c>
      <c r="AD46" s="445" t="s">
        <v>320</v>
      </c>
      <c r="AE46" s="449"/>
      <c r="AF46" s="447" t="s">
        <v>832</v>
      </c>
    </row>
    <row r="47" spans="1:35" hidden="1" outlineLevel="1" x14ac:dyDescent="0.25">
      <c r="C47" s="662" t="str">
        <f>'5. MethodMix Set Up'!G14</f>
        <v>DIU</v>
      </c>
      <c r="D47" s="748" t="e">
        <f>IF(HLOOKUP($D$44, $C$6:$T$15, 4, FALSE)=0, NA(), HLOOKUP($D$44, $C$6:$T$15, 4, FALSE)/HLOOKUP($D$44, $C$6:$S$16, 11, FALSE))</f>
        <v>#N/A</v>
      </c>
      <c r="E47" s="748" t="str">
        <f>IF('5. MethodMix Set Up'!I14=0, NA(), '5. MethodMix Set Up'!I14)</f>
        <v/>
      </c>
      <c r="F47" s="712" t="e">
        <f t="shared" si="22"/>
        <v>#N/A</v>
      </c>
      <c r="G47" s="326" t="e">
        <f t="shared" si="23"/>
        <v>#N/A</v>
      </c>
      <c r="L47" s="915" t="str">
        <f>'5. MethodMix Set Up'!$G$14</f>
        <v>DIU</v>
      </c>
      <c r="M47" s="964" t="e">
        <f>VLOOKUP($L47, 'Users Input'!$BJ$59:$BZ$70, MATCH($M$43, 'Users Input'!$BJ$58:$BZ$58, 0), FALSE)</f>
        <v>#N/A</v>
      </c>
      <c r="N47" s="964" t="e">
        <f>VLOOKUP($L47,'Users Input'!$CB$58:$CR$70, MATCH($M$43, 'Users Input'!$CB$58:$CR$58, 0), FALSE)</f>
        <v>#N/A</v>
      </c>
      <c r="O47" s="964">
        <f t="shared" si="25"/>
        <v>0</v>
      </c>
      <c r="AD47" s="445"/>
      <c r="AE47" s="449"/>
      <c r="AF47" s="447"/>
    </row>
    <row r="48" spans="1:35" hidden="1" outlineLevel="1" x14ac:dyDescent="0.25">
      <c r="C48" s="662" t="str">
        <f>'5. MethodMix Set Up'!G15</f>
        <v>Implant</v>
      </c>
      <c r="D48" s="748" t="e">
        <f>IF(HLOOKUP($D$44, $C$6:$T$15, 5, FALSE)=0, NA(), HLOOKUP($D$44, $C$6:$T$15, 5, FALSE)/HLOOKUP($D$44, $C$6:$S$16, 11, FALSE))</f>
        <v>#N/A</v>
      </c>
      <c r="E48" s="748" t="str">
        <f>IF('5. MethodMix Set Up'!I15=0, NA(), '5. MethodMix Set Up'!I15)</f>
        <v/>
      </c>
      <c r="F48" s="712" t="e">
        <f t="shared" si="22"/>
        <v>#N/A</v>
      </c>
      <c r="G48" s="326" t="e">
        <f t="shared" si="23"/>
        <v>#N/A</v>
      </c>
      <c r="L48" s="915" t="str">
        <f>'5. MethodMix Set Up'!$G$15</f>
        <v>Implant</v>
      </c>
      <c r="M48" s="964" t="e">
        <f>VLOOKUP($L48, 'Users Input'!$BJ$59:$BZ$70, MATCH($M$43, 'Users Input'!$BJ$58:$BZ$58, 0), FALSE)</f>
        <v>#N/A</v>
      </c>
      <c r="N48" s="964" t="e">
        <f>VLOOKUP($L48,'Users Input'!$CB$58:$CR$70, MATCH($M$43, 'Users Input'!$CB$58:$CR$58, 0), FALSE)</f>
        <v>#N/A</v>
      </c>
      <c r="O48" s="964">
        <f t="shared" si="25"/>
        <v>0</v>
      </c>
      <c r="AD48" s="445"/>
      <c r="AE48" s="449"/>
      <c r="AF48" s="447"/>
    </row>
    <row r="49" spans="2:42" hidden="1" outlineLevel="1" x14ac:dyDescent="0.25">
      <c r="C49" s="662" t="str">
        <f>'5. MethodMix Set Up'!G16</f>
        <v>Produits injectables</v>
      </c>
      <c r="D49" s="748" t="e">
        <f>IF(HLOOKUP($D$44, $C$6:$T$15, 6, FALSE)=0, NA(), HLOOKUP($D$44, $C$6:$T$15, 6, FALSE)/HLOOKUP($D$44, $C$6:$S$16, 11, FALSE))</f>
        <v>#N/A</v>
      </c>
      <c r="E49" s="748" t="str">
        <f>IF('5. MethodMix Set Up'!I16=0, NA(), '5. MethodMix Set Up'!I16)</f>
        <v/>
      </c>
      <c r="F49" s="712" t="e">
        <f t="shared" si="22"/>
        <v>#N/A</v>
      </c>
      <c r="G49" s="326" t="e">
        <f t="shared" si="23"/>
        <v>#N/A</v>
      </c>
      <c r="L49" s="915" t="str">
        <f>'5. MethodMix Set Up'!$G$16</f>
        <v>Produits injectables</v>
      </c>
      <c r="M49" s="964" t="e">
        <f>VLOOKUP($L49, 'Users Input'!$BJ$59:$BZ$70, MATCH($M$43, 'Users Input'!$BJ$58:$BZ$58, 0), FALSE)</f>
        <v>#N/A</v>
      </c>
      <c r="N49" s="964" t="e">
        <f>VLOOKUP($L49,'Users Input'!$CB$58:$CR$70, MATCH($M$43, 'Users Input'!$CB$58:$CR$58, 0), FALSE)</f>
        <v>#N/A</v>
      </c>
      <c r="O49" s="964">
        <f t="shared" si="25"/>
        <v>0</v>
      </c>
      <c r="AD49" s="445"/>
      <c r="AE49" s="449"/>
      <c r="AF49" s="447"/>
    </row>
    <row r="50" spans="2:42" hidden="1" outlineLevel="1" x14ac:dyDescent="0.25">
      <c r="C50" s="662" t="str">
        <f>'5. MethodMix Set Up'!G17</f>
        <v>Pilule</v>
      </c>
      <c r="D50" s="748" t="e">
        <f>IF(HLOOKUP($D$44, $C$6:$T$15, 7, FALSE)=0, NA(), HLOOKUP($D$44, $C$6:$T$15, 7, FALSE)/HLOOKUP($D$44, $C$6:$S$16, 11, FALSE))</f>
        <v>#N/A</v>
      </c>
      <c r="E50" s="748" t="str">
        <f>IF('5. MethodMix Set Up'!I17=0, NA(), '5. MethodMix Set Up'!I17)</f>
        <v/>
      </c>
      <c r="F50" s="712" t="e">
        <f t="shared" si="22"/>
        <v>#N/A</v>
      </c>
      <c r="G50" s="326" t="e">
        <f t="shared" si="23"/>
        <v>#N/A</v>
      </c>
      <c r="L50" s="915" t="str">
        <f>'5. MethodMix Set Up'!$G$17</f>
        <v>Pilule</v>
      </c>
      <c r="M50" s="964" t="e">
        <f>VLOOKUP($L50, 'Users Input'!$BJ$59:$BZ$70, MATCH($M$43, 'Users Input'!$BJ$58:$BZ$58, 0), FALSE)</f>
        <v>#N/A</v>
      </c>
      <c r="N50" s="964" t="e">
        <f>VLOOKUP($L50,'Users Input'!$CB$58:$CR$70, MATCH($M$43, 'Users Input'!$CB$58:$CR$58, 0), FALSE)</f>
        <v>#N/A</v>
      </c>
      <c r="O50" s="964">
        <f t="shared" si="25"/>
        <v>0</v>
      </c>
      <c r="AD50" s="445" t="s">
        <v>561</v>
      </c>
      <c r="AE50" s="449"/>
      <c r="AF50" s="447" t="s">
        <v>831</v>
      </c>
    </row>
    <row r="51" spans="2:42" hidden="1" outlineLevel="1" x14ac:dyDescent="0.25">
      <c r="C51" s="662" t="str">
        <f>'5. MethodMix Set Up'!G18</f>
        <v>Préservatifs (m+f)</v>
      </c>
      <c r="D51" s="748" t="e">
        <f>IF(HLOOKUP($D$44, $C$6:$T$15, 8, FALSE)=0, NA(), HLOOKUP($D$44, $C$6:$T$15, 8, FALSE)/HLOOKUP($D$44, $C$6:$S$16, 11, FALSE))</f>
        <v>#N/A</v>
      </c>
      <c r="E51" s="748" t="str">
        <f>IF('5. MethodMix Set Up'!I18=0, NA(), '5. MethodMix Set Up'!I18)</f>
        <v/>
      </c>
      <c r="F51" s="712" t="e">
        <f t="shared" si="22"/>
        <v>#N/A</v>
      </c>
      <c r="G51" s="326" t="e">
        <f t="shared" si="23"/>
        <v>#N/A</v>
      </c>
      <c r="L51" s="915" t="str">
        <f>'5. MethodMix Set Up'!$G$18</f>
        <v>Préservatifs (m+f)</v>
      </c>
      <c r="M51" s="964" t="e">
        <f>VLOOKUP($L51, 'Users Input'!$BJ$59:$BZ$70, MATCH($M$43, 'Users Input'!$BJ$58:$BZ$58, 0), FALSE)</f>
        <v>#N/A</v>
      </c>
      <c r="N51" s="964" t="e">
        <f>VLOOKUP($L51,'Users Input'!$CB$58:$CR$70, MATCH($M$43, 'Users Input'!$CB$58:$CR$58, 0), FALSE)</f>
        <v>#N/A</v>
      </c>
      <c r="O51" s="964">
        <f t="shared" si="25"/>
        <v>0</v>
      </c>
      <c r="AD51" s="445" t="s">
        <v>320</v>
      </c>
      <c r="AE51" s="449"/>
      <c r="AF51" s="447" t="s">
        <v>832</v>
      </c>
    </row>
    <row r="52" spans="2:42" hidden="1" outlineLevel="1" x14ac:dyDescent="0.25">
      <c r="C52" s="662" t="str">
        <f>'5. MethodMix Set Up'!G19</f>
        <v>MAMA</v>
      </c>
      <c r="D52" s="748" t="e">
        <f>IF(HLOOKUP($D$44, $C$6:$T$15, 9, FALSE)=0, NA(), HLOOKUP($D$44, $C$6:$T$15, 9, FALSE)/HLOOKUP($D$44, $C$6:$S$16, 11, FALSE))</f>
        <v>#N/A</v>
      </c>
      <c r="E52" s="748" t="str">
        <f>IF('5. MethodMix Set Up'!I19=0, NA(), '5. MethodMix Set Up'!I19)</f>
        <v/>
      </c>
      <c r="F52" s="712" t="e">
        <f t="shared" si="22"/>
        <v>#N/A</v>
      </c>
      <c r="G52" s="326" t="e">
        <f t="shared" si="23"/>
        <v>#N/A</v>
      </c>
      <c r="L52" s="915" t="str">
        <f>'5. MethodMix Set Up'!$G$19</f>
        <v>MAMA</v>
      </c>
      <c r="M52" s="964" t="e">
        <f>VLOOKUP($L52, 'Users Input'!$BJ$59:$BZ$70, MATCH($M$43, 'Users Input'!$BJ$58:$BZ$58, 0), FALSE)</f>
        <v>#N/A</v>
      </c>
      <c r="N52" s="964" t="e">
        <f>VLOOKUP($L52,'Users Input'!$CB$58:$CR$70, MATCH($M$43, 'Users Input'!$CB$58:$CR$58, 0), FALSE)</f>
        <v>#N/A</v>
      </c>
      <c r="O52" s="964">
        <f t="shared" si="25"/>
        <v>0</v>
      </c>
      <c r="AD52" s="445"/>
      <c r="AE52" s="449"/>
      <c r="AF52" s="447"/>
    </row>
    <row r="53" spans="2:42" ht="15.75" hidden="1" outlineLevel="1" thickBot="1" x14ac:dyDescent="0.3">
      <c r="C53" s="749" t="str">
        <f>'5. MethodMix Set Up'!G20</f>
        <v>Autres méthodes modernes</v>
      </c>
      <c r="D53" s="750" t="e">
        <f>IF(HLOOKUP($D$44, $C$6:$T$15, 10, FALSE)=0, NA(), HLOOKUP($D$44, $C$6:$T$15, 10, FALSE)/HLOOKUP($D$44, $C$6:$S$16, 11, FALSE))</f>
        <v>#N/A</v>
      </c>
      <c r="E53" s="750" t="str">
        <f>IF('5. MethodMix Set Up'!I20=0, NA(), '5. MethodMix Set Up'!I20)</f>
        <v/>
      </c>
      <c r="F53" s="751" t="e">
        <f t="shared" si="22"/>
        <v>#N/A</v>
      </c>
      <c r="G53" s="752" t="e">
        <f t="shared" si="23"/>
        <v>#N/A</v>
      </c>
      <c r="L53" s="915" t="str">
        <f>IF(Language="English", 'Language Look Ups'!$O$29,IF(Language="Francais", 'Language Look Ups'!$S$29, 'Language Look Ups'!AQ$29))</f>
        <v>Contraception d'urgence</v>
      </c>
      <c r="M53" s="964" t="e">
        <f>VLOOKUP($L53, 'Users Input'!$BJ$59:$BZ$70, MATCH($M$43, 'Users Input'!$BJ$58:$BZ$58, 0), FALSE)</f>
        <v>#N/A</v>
      </c>
      <c r="N53" s="964" t="e">
        <f>VLOOKUP($L53,'Users Input'!$CB$58:$CR$70, MATCH($M$43, 'Users Input'!$CB$58:$CR$58, 0), FALSE)</f>
        <v>#N/A</v>
      </c>
      <c r="O53" s="964">
        <f t="shared" si="25"/>
        <v>0</v>
      </c>
      <c r="AD53" s="445"/>
      <c r="AE53" s="449"/>
      <c r="AF53" s="447"/>
    </row>
    <row r="54" spans="2:42" hidden="1" outlineLevel="1" x14ac:dyDescent="0.25">
      <c r="D54" s="663"/>
      <c r="E54" s="663"/>
      <c r="F54" s="2"/>
      <c r="G54" s="2"/>
      <c r="L54" s="915" t="str">
        <f>'5. MethodMix Set Up'!$G$20</f>
        <v>Autres méthodes modernes</v>
      </c>
      <c r="M54" s="964" t="e">
        <f>VLOOKUP($L54, 'Users Input'!$BJ$59:$BZ$70, MATCH($M$43, 'Users Input'!$BJ$58:$BZ$58, 0), FALSE)</f>
        <v>#N/A</v>
      </c>
      <c r="N54" s="964" t="e">
        <f>VLOOKUP($L54,'Users Input'!$CB$58:$CR$70, MATCH($M$43, 'Users Input'!$CB$58:$CR$58, 0), FALSE)</f>
        <v>#N/A</v>
      </c>
      <c r="O54" s="964">
        <f t="shared" si="25"/>
        <v>0</v>
      </c>
      <c r="AD54" s="445"/>
      <c r="AE54" s="449"/>
      <c r="AF54" s="447"/>
    </row>
    <row r="55" spans="2:42" ht="15.75" hidden="1" outlineLevel="1" thickBot="1" x14ac:dyDescent="0.3">
      <c r="D55" s="663"/>
      <c r="E55" s="663"/>
      <c r="F55" s="2"/>
      <c r="G55" s="2"/>
      <c r="AD55" s="445"/>
      <c r="AE55" s="449"/>
      <c r="AF55" s="447"/>
    </row>
    <row r="56" spans="2:42" hidden="1" outlineLevel="1" x14ac:dyDescent="0.25">
      <c r="C56" s="734"/>
      <c r="D56" s="735">
        <f>D6</f>
        <v>0</v>
      </c>
      <c r="E56" s="735" t="str">
        <f t="shared" ref="E56:S56" si="26">E6</f>
        <v/>
      </c>
      <c r="F56" s="735" t="str">
        <f t="shared" si="26"/>
        <v/>
      </c>
      <c r="G56" s="735" t="str">
        <f t="shared" si="26"/>
        <v/>
      </c>
      <c r="H56" s="735" t="str">
        <f t="shared" si="26"/>
        <v/>
      </c>
      <c r="I56" s="735" t="str">
        <f t="shared" si="26"/>
        <v/>
      </c>
      <c r="J56" s="735" t="str">
        <f t="shared" si="26"/>
        <v/>
      </c>
      <c r="K56" s="735" t="str">
        <f t="shared" si="26"/>
        <v/>
      </c>
      <c r="L56" s="735" t="str">
        <f t="shared" si="26"/>
        <v/>
      </c>
      <c r="M56" s="735" t="str">
        <f t="shared" si="26"/>
        <v/>
      </c>
      <c r="N56" s="735" t="str">
        <f t="shared" si="26"/>
        <v/>
      </c>
      <c r="O56" s="735" t="str">
        <f t="shared" si="26"/>
        <v/>
      </c>
      <c r="P56" s="735" t="str">
        <f t="shared" si="26"/>
        <v/>
      </c>
      <c r="Q56" s="735" t="str">
        <f t="shared" si="26"/>
        <v/>
      </c>
      <c r="R56" s="735" t="str">
        <f t="shared" si="26"/>
        <v/>
      </c>
      <c r="S56" s="735" t="str">
        <f t="shared" si="26"/>
        <v/>
      </c>
      <c r="AD56" s="445"/>
      <c r="AE56" s="449"/>
      <c r="AF56" s="447"/>
      <c r="AG56" s="238"/>
      <c r="AH56" s="238"/>
      <c r="AI56" s="238"/>
      <c r="AJ56" s="238"/>
      <c r="AK56" s="238"/>
      <c r="AL56" s="238"/>
      <c r="AM56" s="238"/>
      <c r="AN56" s="238"/>
      <c r="AO56" s="238"/>
      <c r="AP56" s="238"/>
    </row>
    <row r="57" spans="2:42" hidden="1" outlineLevel="1" x14ac:dyDescent="0.25">
      <c r="C57" s="20" t="str">
        <f>IF(Language="English", AD40, AF40)</f>
        <v>Utilisatrices (statistiques de service - non ajustées)</v>
      </c>
      <c r="D57" s="966" t="e">
        <f>'Users Input'!BK48</f>
        <v>#N/A</v>
      </c>
      <c r="E57" s="966" t="e">
        <f>'Users Input'!BL48</f>
        <v>#N/A</v>
      </c>
      <c r="F57" s="966" t="e">
        <f>'Users Input'!BM48</f>
        <v>#N/A</v>
      </c>
      <c r="G57" s="966" t="e">
        <f>'Users Input'!BN48</f>
        <v>#N/A</v>
      </c>
      <c r="H57" s="966" t="e">
        <f>'Users Input'!BO48</f>
        <v>#N/A</v>
      </c>
      <c r="I57" s="966" t="e">
        <f>'Users Input'!BP48</f>
        <v>#N/A</v>
      </c>
      <c r="J57" s="966" t="e">
        <f>'Users Input'!BQ48</f>
        <v>#N/A</v>
      </c>
      <c r="K57" s="966" t="e">
        <f>'Users Input'!BR48</f>
        <v>#N/A</v>
      </c>
      <c r="L57" s="966" t="e">
        <f>'Users Input'!BS48</f>
        <v>#N/A</v>
      </c>
      <c r="M57" s="966" t="e">
        <f>'Users Input'!BT48</f>
        <v>#N/A</v>
      </c>
      <c r="N57" s="966" t="e">
        <f>'Users Input'!BU48</f>
        <v>#N/A</v>
      </c>
      <c r="O57" s="966" t="e">
        <f>'Users Input'!BV48</f>
        <v>#N/A</v>
      </c>
      <c r="P57" s="966" t="e">
        <f>'Users Input'!BW48</f>
        <v>#N/A</v>
      </c>
      <c r="Q57" s="966" t="e">
        <f>'Users Input'!BX48</f>
        <v>#N/A</v>
      </c>
      <c r="R57" s="966" t="e">
        <f>'Users Input'!BY48</f>
        <v>#N/A</v>
      </c>
      <c r="S57" s="966" t="e">
        <f>'Users Input'!BZ48</f>
        <v>#N/A</v>
      </c>
      <c r="AD57" s="445"/>
      <c r="AE57" s="449"/>
      <c r="AF57" s="447"/>
      <c r="AG57" s="238"/>
      <c r="AH57" s="238"/>
      <c r="AI57" s="238"/>
      <c r="AJ57" s="238"/>
      <c r="AK57" s="238"/>
      <c r="AL57" s="238"/>
      <c r="AM57" s="238"/>
      <c r="AN57" s="238"/>
      <c r="AO57" s="238"/>
      <c r="AP57" s="238"/>
    </row>
    <row r="58" spans="2:42" hidden="1" outlineLevel="1" x14ac:dyDescent="0.25">
      <c r="C58" s="20" t="str">
        <f>IF(Language="English", AD41, AF41)</f>
        <v>Utilisatrices (statistiques de service - ajustées)</v>
      </c>
      <c r="D58" s="966" t="e">
        <f>D16</f>
        <v>#N/A</v>
      </c>
      <c r="E58" s="966" t="e">
        <f t="shared" ref="E58:S58" si="27">E16</f>
        <v>#N/A</v>
      </c>
      <c r="F58" s="966" t="e">
        <f t="shared" si="27"/>
        <v>#N/A</v>
      </c>
      <c r="G58" s="966" t="e">
        <f t="shared" si="27"/>
        <v>#N/A</v>
      </c>
      <c r="H58" s="966" t="e">
        <f t="shared" si="27"/>
        <v>#N/A</v>
      </c>
      <c r="I58" s="966" t="e">
        <f t="shared" si="27"/>
        <v>#N/A</v>
      </c>
      <c r="J58" s="966" t="e">
        <f t="shared" si="27"/>
        <v>#N/A</v>
      </c>
      <c r="K58" s="966" t="e">
        <f t="shared" si="27"/>
        <v>#N/A</v>
      </c>
      <c r="L58" s="966" t="e">
        <f t="shared" si="27"/>
        <v>#N/A</v>
      </c>
      <c r="M58" s="966" t="e">
        <f t="shared" si="27"/>
        <v>#N/A</v>
      </c>
      <c r="N58" s="966" t="e">
        <f t="shared" si="27"/>
        <v>#N/A</v>
      </c>
      <c r="O58" s="966" t="e">
        <f t="shared" si="27"/>
        <v>#N/A</v>
      </c>
      <c r="P58" s="966" t="e">
        <f t="shared" si="27"/>
        <v>#N/A</v>
      </c>
      <c r="Q58" s="966" t="e">
        <f t="shared" si="27"/>
        <v>#N/A</v>
      </c>
      <c r="R58" s="966" t="e">
        <f t="shared" si="27"/>
        <v>#N/A</v>
      </c>
      <c r="S58" s="966" t="e">
        <f t="shared" si="27"/>
        <v>#N/A</v>
      </c>
      <c r="AD58" s="445"/>
      <c r="AE58" s="449"/>
      <c r="AF58" s="447"/>
    </row>
    <row r="59" spans="2:42" hidden="1" outlineLevel="1" x14ac:dyDescent="0.25">
      <c r="C59" s="20" t="str">
        <f>IF(Language="English", AD42, AF42)</f>
        <v>Utilisatrices (enquête / FPET)</v>
      </c>
      <c r="D59" s="966" t="e">
        <f>D28</f>
        <v>#N/A</v>
      </c>
      <c r="E59" s="966" t="e">
        <f t="shared" ref="E59:S59" si="28">E28</f>
        <v>#VALUE!</v>
      </c>
      <c r="F59" s="966" t="e">
        <f t="shared" si="28"/>
        <v>#VALUE!</v>
      </c>
      <c r="G59" s="966" t="e">
        <f t="shared" si="28"/>
        <v>#VALUE!</v>
      </c>
      <c r="H59" s="966" t="e">
        <f t="shared" si="28"/>
        <v>#VALUE!</v>
      </c>
      <c r="I59" s="966" t="e">
        <f t="shared" si="28"/>
        <v>#VALUE!</v>
      </c>
      <c r="J59" s="966" t="e">
        <f t="shared" si="28"/>
        <v>#VALUE!</v>
      </c>
      <c r="K59" s="966" t="e">
        <f t="shared" si="28"/>
        <v>#VALUE!</v>
      </c>
      <c r="L59" s="966" t="e">
        <f t="shared" si="28"/>
        <v>#VALUE!</v>
      </c>
      <c r="M59" s="966" t="e">
        <f t="shared" si="28"/>
        <v>#VALUE!</v>
      </c>
      <c r="N59" s="966" t="e">
        <f t="shared" si="28"/>
        <v>#VALUE!</v>
      </c>
      <c r="O59" s="966" t="e">
        <f t="shared" si="28"/>
        <v>#VALUE!</v>
      </c>
      <c r="P59" s="966" t="e">
        <f t="shared" si="28"/>
        <v>#VALUE!</v>
      </c>
      <c r="Q59" s="966" t="e">
        <f t="shared" si="28"/>
        <v>#VALUE!</v>
      </c>
      <c r="R59" s="966" t="e">
        <f t="shared" si="28"/>
        <v>#VALUE!</v>
      </c>
      <c r="S59" s="966" t="e">
        <f t="shared" si="28"/>
        <v>#VALUE!</v>
      </c>
      <c r="AD59" s="445" t="s">
        <v>1249</v>
      </c>
      <c r="AE59" s="449"/>
      <c r="AF59" s="447" t="s">
        <v>1256</v>
      </c>
    </row>
    <row r="60" spans="2:42" hidden="1" outlineLevel="1" x14ac:dyDescent="0.25">
      <c r="D60" s="646"/>
      <c r="E60" s="152"/>
      <c r="G60" s="152"/>
      <c r="AD60" s="445" t="s">
        <v>1250</v>
      </c>
      <c r="AE60" s="449"/>
      <c r="AF60" s="447" t="s">
        <v>825</v>
      </c>
    </row>
    <row r="61" spans="2:42" collapsed="1" x14ac:dyDescent="0.25">
      <c r="D61" s="646"/>
      <c r="E61" s="152"/>
      <c r="G61" s="152"/>
      <c r="AD61" s="445" t="s">
        <v>1249</v>
      </c>
      <c r="AE61" s="449"/>
      <c r="AF61" s="447" t="s">
        <v>1306</v>
      </c>
    </row>
    <row r="62" spans="2:42" ht="24.75" customHeight="1" thickBot="1" x14ac:dyDescent="0.45">
      <c r="B62" s="785" t="str">
        <f>IF(Language="English", AD61, AF61)</f>
        <v>ÉTAPE 1 de 3. Examinez les graphiques ci-dessous montrant l'impact de l'ajustement du secteur privé.</v>
      </c>
      <c r="C62" s="786"/>
      <c r="D62" s="786"/>
      <c r="E62" s="786"/>
      <c r="F62" s="786"/>
      <c r="G62" s="786"/>
      <c r="H62" s="786"/>
      <c r="I62" s="786"/>
      <c r="J62" s="786"/>
      <c r="K62" s="786"/>
      <c r="L62" s="786"/>
      <c r="M62" s="786"/>
      <c r="N62" s="786"/>
      <c r="O62" s="786"/>
      <c r="P62" s="786"/>
      <c r="Q62" s="786"/>
      <c r="R62" s="786"/>
      <c r="S62" s="786"/>
      <c r="T62" s="787"/>
      <c r="U62" s="787"/>
      <c r="V62" s="787"/>
      <c r="AD62" s="445" t="s">
        <v>1250</v>
      </c>
      <c r="AE62" s="449" t="s">
        <v>1307</v>
      </c>
      <c r="AF62" s="447" t="s">
        <v>1307</v>
      </c>
    </row>
    <row r="63" spans="2:42" ht="45" customHeight="1" thickBot="1" x14ac:dyDescent="0.3">
      <c r="B63" s="1601" t="str">
        <f>IF(Language="English", AD62, AF62)</f>
        <v>Ces graphiques ont été conçus pour aider à illustrer l'impact de l'ajustement du secteur privé, qui vise à aider à rendre compte des services fournis par les secteurs qui ne sont pas inclus dans vos données. Veuillez examiner l'impact du facteur d'ajustement. Si vous souhaitez apporter des modifications au facteur d'ajustement, veuillez revenir à l'étape 4. FPSource Set Up</v>
      </c>
      <c r="C63" s="1601"/>
      <c r="D63" s="1601"/>
      <c r="E63" s="1601"/>
      <c r="F63" s="1601"/>
      <c r="G63" s="1601"/>
      <c r="H63" s="1601"/>
      <c r="I63" s="1601"/>
      <c r="J63" s="1601"/>
      <c r="K63" s="1601"/>
      <c r="L63" s="1601"/>
      <c r="M63" s="1601"/>
      <c r="N63" s="1601"/>
      <c r="O63" s="1601"/>
      <c r="P63" s="1601"/>
      <c r="Q63" s="1601"/>
      <c r="R63" s="1601"/>
      <c r="S63" s="1601"/>
      <c r="T63" s="1601"/>
      <c r="U63" s="1601"/>
      <c r="AD63" s="445" t="s">
        <v>2003</v>
      </c>
      <c r="AE63" s="449"/>
      <c r="AF63" s="447" t="s">
        <v>2004</v>
      </c>
    </row>
    <row r="64" spans="2:42" ht="49.15" customHeight="1" thickBot="1" x14ac:dyDescent="0.3">
      <c r="B64" s="1570" t="str">
        <f>IF(Language="English", AD63, AF63)</f>
        <v>1. Tendances totales des utilisatrices, les estimations de l'FPET vs. les estimations des statistiques de service (ajustées et non ajustées)</v>
      </c>
      <c r="C64" s="1571"/>
      <c r="D64" s="1571"/>
      <c r="E64" s="1571"/>
      <c r="F64" s="1571"/>
      <c r="G64" s="1571"/>
      <c r="H64" s="1571"/>
      <c r="I64" s="1572"/>
      <c r="K64" s="1570" t="str">
        <f>IF(Language="English", AD64,AF64)</f>
        <v>2. Comparaison du nombre total estimé d'utilisatrices de PF, Enquête / FPET vs statistiques de service (ajustées et non ajustées)</v>
      </c>
      <c r="L64" s="1571"/>
      <c r="M64" s="1571"/>
      <c r="N64" s="1571"/>
      <c r="O64" s="1571"/>
      <c r="P64" s="1571"/>
      <c r="Q64" s="1571"/>
      <c r="R64" s="1571"/>
      <c r="S64" s="1571"/>
      <c r="T64" s="1571"/>
      <c r="U64" s="1572"/>
      <c r="AD64" s="445" t="s">
        <v>2005</v>
      </c>
      <c r="AE64" s="449"/>
      <c r="AF64" s="447" t="s">
        <v>2006</v>
      </c>
    </row>
    <row r="65" spans="1:32" ht="26.25" customHeight="1" thickBot="1" x14ac:dyDescent="0.3">
      <c r="B65" s="649"/>
      <c r="C65" s="650"/>
      <c r="D65" s="650"/>
      <c r="E65" s="650"/>
      <c r="F65" s="650"/>
      <c r="G65" s="650"/>
      <c r="H65" s="650"/>
      <c r="I65" s="651"/>
      <c r="K65" s="1567" t="str">
        <f>K76</f>
        <v>Select Year for Comparison</v>
      </c>
      <c r="L65" s="1568"/>
      <c r="M65" s="1568"/>
      <c r="N65" s="1569"/>
      <c r="O65" s="652">
        <v>2021</v>
      </c>
      <c r="U65" s="143"/>
      <c r="AD65" s="967" t="s">
        <v>2007</v>
      </c>
      <c r="AE65" s="473"/>
      <c r="AF65" s="474" t="s">
        <v>2008</v>
      </c>
    </row>
    <row r="66" spans="1:32" ht="249.95" customHeight="1" thickBot="1" x14ac:dyDescent="0.3">
      <c r="B66" s="1573"/>
      <c r="C66" s="1574"/>
      <c r="D66" s="1574"/>
      <c r="E66" s="1574"/>
      <c r="F66" s="1574"/>
      <c r="G66" s="1574"/>
      <c r="H66" s="1574"/>
      <c r="I66" s="1575"/>
      <c r="K66" s="135"/>
      <c r="L66" s="136"/>
      <c r="M66" s="136"/>
      <c r="N66" s="136"/>
      <c r="O66" s="136"/>
      <c r="P66" s="136"/>
      <c r="Q66" s="136"/>
      <c r="R66" s="136"/>
      <c r="S66" s="136"/>
      <c r="T66" s="136"/>
      <c r="U66" s="137"/>
      <c r="AD66" s="445"/>
      <c r="AE66" s="449"/>
      <c r="AF66" s="447"/>
    </row>
    <row r="67" spans="1:32" s="41" customFormat="1" ht="41.45" customHeight="1" x14ac:dyDescent="0.25">
      <c r="B67" s="1576" t="str">
        <f>IF(Language="English", AD65,AF65)</f>
        <v>Examinez le graphique ci-dessus pour examiner la cohérence entre les tendances des enquêtes (FPET) chez les utilisatrices et les statistiques de service ajustées et non ajustées. Veuillez commenter ci-dessous et expliquer les tendances ci-dessus.</v>
      </c>
      <c r="C67" s="1577"/>
      <c r="D67" s="1577"/>
      <c r="E67" s="1577"/>
      <c r="F67" s="1577"/>
      <c r="G67" s="1577"/>
      <c r="H67" s="1577"/>
      <c r="I67" s="1578"/>
      <c r="K67" s="1576" t="str">
        <f>IF(Language="English", AD67, AF67)</f>
        <v>Comparez les graphiques et recherchez les grandes différences entre l'éventail des méthodes de l'enquête et l'éventail des méthodes produite à partir de vos données statistiques sur les services (ajustées vs non ajustées). Veuillez expliquer tout écart important dans l'éventail des méthodes.</v>
      </c>
      <c r="L67" s="1577"/>
      <c r="M67" s="1577"/>
      <c r="N67" s="1577"/>
      <c r="O67" s="1577"/>
      <c r="P67" s="1577"/>
      <c r="Q67" s="1577"/>
      <c r="R67" s="1577"/>
      <c r="S67" s="1577"/>
      <c r="T67" s="1577"/>
      <c r="U67" s="1578"/>
      <c r="W67" s="587"/>
      <c r="AD67" s="445" t="s">
        <v>1251</v>
      </c>
      <c r="AE67" s="449"/>
      <c r="AF67" s="447" t="s">
        <v>1305</v>
      </c>
    </row>
    <row r="68" spans="1:32" ht="54" customHeight="1" thickBot="1" x14ac:dyDescent="0.3">
      <c r="B68" s="1563"/>
      <c r="C68" s="1564"/>
      <c r="D68" s="1564"/>
      <c r="E68" s="1564"/>
      <c r="F68" s="1564"/>
      <c r="G68" s="1564"/>
      <c r="H68" s="1564"/>
      <c r="I68" s="1565"/>
      <c r="K68" s="1563"/>
      <c r="L68" s="1564"/>
      <c r="M68" s="1564"/>
      <c r="N68" s="1564"/>
      <c r="O68" s="1564"/>
      <c r="P68" s="1564"/>
      <c r="Q68" s="1564"/>
      <c r="R68" s="1564"/>
      <c r="S68" s="1564"/>
      <c r="T68" s="1564"/>
      <c r="U68" s="1565"/>
      <c r="AD68" s="445"/>
      <c r="AE68" s="449"/>
      <c r="AF68" s="447"/>
    </row>
    <row r="69" spans="1:32" ht="32.450000000000003" customHeight="1" x14ac:dyDescent="0.25">
      <c r="B69" s="975"/>
      <c r="C69" s="975"/>
      <c r="D69" s="975"/>
      <c r="E69" s="975"/>
      <c r="F69" s="975"/>
      <c r="G69" s="975"/>
      <c r="H69" s="975"/>
      <c r="I69" s="975"/>
      <c r="K69" s="1603" t="str">
        <f>IF('4. FPSource Set Up'!I85='4. FPSource Set Up'!AB86, "Note - condoms in the 'adjusted' values above and the graphs/values below have NOT been adjusted. This is in line with Track20 recommendations. ", "Note - condoms in the 'adjusted' values above and the graphs/values below have been adjusted. Consider the impact and whether the condom adjustment should be removed. ")</f>
        <v xml:space="preserve">Note - condoms in the 'adjusted' values above and the graphs/values below have NOT been adjusted. This is in line with Track20 recommendations. </v>
      </c>
      <c r="L69" s="1603"/>
      <c r="M69" s="1603"/>
      <c r="N69" s="1603"/>
      <c r="O69" s="1603"/>
      <c r="P69" s="1603"/>
      <c r="Q69" s="1603"/>
      <c r="R69" s="1603"/>
      <c r="S69" s="1603"/>
      <c r="T69" s="1603"/>
      <c r="U69" s="1603"/>
      <c r="AD69" s="184"/>
      <c r="AE69" s="184"/>
      <c r="AF69" s="184"/>
    </row>
    <row r="70" spans="1:32" ht="19.899999999999999" customHeight="1" x14ac:dyDescent="0.25">
      <c r="B70" s="975"/>
      <c r="C70" s="1602" t="s">
        <v>1290</v>
      </c>
      <c r="D70" s="1602"/>
      <c r="E70" s="1602"/>
      <c r="F70" s="1602"/>
      <c r="G70" s="1602"/>
      <c r="H70" s="1602"/>
      <c r="I70" s="1602"/>
      <c r="K70" s="975"/>
      <c r="L70" s="975"/>
      <c r="M70" s="975"/>
      <c r="N70" s="975"/>
      <c r="O70" s="975"/>
      <c r="P70" s="975"/>
      <c r="Q70" s="975"/>
      <c r="R70" s="975"/>
      <c r="S70" s="975"/>
      <c r="T70" s="975"/>
      <c r="U70" s="975"/>
      <c r="AD70" s="184"/>
      <c r="AE70" s="184"/>
      <c r="AF70" s="184"/>
    </row>
    <row r="71" spans="1:32" ht="14.45" customHeight="1" x14ac:dyDescent="0.25">
      <c r="B71" s="975"/>
      <c r="C71" s="975"/>
      <c r="D71" s="975"/>
      <c r="E71" s="975"/>
      <c r="F71" s="975"/>
      <c r="G71" s="975"/>
      <c r="H71" s="975"/>
      <c r="I71" s="975"/>
      <c r="K71" s="975"/>
      <c r="L71" s="975"/>
      <c r="M71" s="975"/>
      <c r="N71" s="975"/>
      <c r="O71" s="975"/>
      <c r="P71" s="975"/>
      <c r="Q71" s="975"/>
      <c r="R71" s="975"/>
      <c r="S71" s="975"/>
      <c r="T71" s="975"/>
      <c r="U71" s="975"/>
      <c r="AD71" s="184"/>
      <c r="AE71" s="184"/>
      <c r="AF71" s="184"/>
    </row>
    <row r="72" spans="1:32" ht="19.149999999999999" customHeight="1" thickBot="1" x14ac:dyDescent="0.45">
      <c r="B72" s="960"/>
      <c r="C72" s="961"/>
      <c r="D72" s="961"/>
      <c r="E72" s="961"/>
      <c r="F72" s="961"/>
      <c r="G72" s="961"/>
      <c r="H72" s="961"/>
      <c r="I72" s="961"/>
      <c r="J72" s="961"/>
      <c r="K72" s="961"/>
      <c r="L72" s="961"/>
      <c r="M72" s="961"/>
      <c r="N72" s="961"/>
      <c r="O72" s="961"/>
      <c r="P72" s="961"/>
      <c r="Q72" s="961"/>
      <c r="R72" s="961"/>
      <c r="S72" s="961"/>
      <c r="T72" s="962"/>
      <c r="U72" s="962"/>
      <c r="V72" s="962"/>
      <c r="AD72" s="184"/>
      <c r="AE72" s="184"/>
      <c r="AF72" s="184"/>
    </row>
    <row r="73" spans="1:32" ht="24.75" customHeight="1" thickBot="1" x14ac:dyDescent="0.45">
      <c r="B73" s="785" t="str">
        <f>IF(Language="English", AD73, AF73)</f>
        <v>ÉTAPE 2 de 3. Examiner et commenter les graphiques ci-dessous.</v>
      </c>
      <c r="C73" s="786"/>
      <c r="D73" s="786"/>
      <c r="E73" s="786"/>
      <c r="F73" s="786"/>
      <c r="G73" s="786"/>
      <c r="H73" s="786"/>
      <c r="I73" s="786"/>
      <c r="J73" s="786"/>
      <c r="K73" s="786"/>
      <c r="L73" s="786"/>
      <c r="M73" s="786"/>
      <c r="N73" s="786"/>
      <c r="O73" s="786"/>
      <c r="P73" s="786"/>
      <c r="Q73" s="786"/>
      <c r="R73" s="786"/>
      <c r="S73" s="786"/>
      <c r="T73" s="787"/>
      <c r="U73" s="787"/>
      <c r="V73" s="787"/>
      <c r="AD73" s="445" t="s">
        <v>1252</v>
      </c>
      <c r="AE73" s="449"/>
      <c r="AF73" s="447" t="s">
        <v>1255</v>
      </c>
    </row>
    <row r="74" spans="1:32" ht="27.75" customHeight="1" thickBot="1" x14ac:dyDescent="0.3">
      <c r="B74" s="240" t="str">
        <f>IF(Language="English", AD74, AF74)</f>
        <v>Ces graphiques ont été conçus pour aider à identifier les problèmes éventuels liés aux données des statistiques des services et analyser si ce type de données peut être utilisé dans FPET.</v>
      </c>
      <c r="AD74" s="445" t="s">
        <v>695</v>
      </c>
      <c r="AE74" s="449"/>
      <c r="AF74" s="447" t="s">
        <v>825</v>
      </c>
    </row>
    <row r="75" spans="1:32" ht="41.25" customHeight="1" thickBot="1" x14ac:dyDescent="0.3">
      <c r="B75" s="1582" t="str">
        <f>IF(Language="English", AD75, AF75)</f>
        <v>1. Tendances des utilisatrices par Méthode</v>
      </c>
      <c r="C75" s="1583"/>
      <c r="D75" s="1583"/>
      <c r="E75" s="1583"/>
      <c r="F75" s="1583"/>
      <c r="G75" s="1583"/>
      <c r="H75" s="1583"/>
      <c r="I75" s="1584"/>
      <c r="K75" s="1570" t="str">
        <f>IF(Language="English", AD77,AF77)</f>
        <v>2. Comparaison du nombre total estimé d'utilisatrices de PF : Statistiques des services et enquêtes</v>
      </c>
      <c r="L75" s="1571"/>
      <c r="M75" s="1571"/>
      <c r="N75" s="1571"/>
      <c r="O75" s="1571"/>
      <c r="P75" s="1571"/>
      <c r="Q75" s="1571"/>
      <c r="R75" s="1571"/>
      <c r="S75" s="1571"/>
      <c r="T75" s="1571"/>
      <c r="U75" s="1572"/>
      <c r="AD75" s="445" t="s">
        <v>319</v>
      </c>
      <c r="AE75" s="449"/>
      <c r="AF75" s="447" t="s">
        <v>2431</v>
      </c>
    </row>
    <row r="76" spans="1:32" ht="26.25" customHeight="1" thickBot="1" x14ac:dyDescent="0.3">
      <c r="B76" s="649"/>
      <c r="C76" s="650"/>
      <c r="D76" s="650"/>
      <c r="E76" s="650"/>
      <c r="F76" s="650"/>
      <c r="G76" s="650"/>
      <c r="H76" s="650"/>
      <c r="I76" s="651"/>
      <c r="K76" s="1567" t="s">
        <v>993</v>
      </c>
      <c r="L76" s="1568"/>
      <c r="M76" s="1568"/>
      <c r="N76" s="1569"/>
      <c r="O76" s="652">
        <v>2021</v>
      </c>
      <c r="P76" s="660"/>
      <c r="Q76" s="660"/>
      <c r="R76" s="660"/>
      <c r="S76" s="660"/>
      <c r="T76" s="660"/>
      <c r="U76" s="661"/>
      <c r="AD76" s="445"/>
      <c r="AE76" s="449"/>
      <c r="AF76" s="447"/>
    </row>
    <row r="77" spans="1:32" ht="249.95" customHeight="1" thickBot="1" x14ac:dyDescent="0.3">
      <c r="B77" s="1573"/>
      <c r="C77" s="1574"/>
      <c r="D77" s="1574"/>
      <c r="E77" s="1574"/>
      <c r="F77" s="1574"/>
      <c r="G77" s="1574"/>
      <c r="H77" s="1574"/>
      <c r="I77" s="1575"/>
      <c r="K77" s="135"/>
      <c r="L77" s="136"/>
      <c r="M77" s="136"/>
      <c r="N77" s="136"/>
      <c r="O77" s="136"/>
      <c r="P77" s="136"/>
      <c r="Q77" s="136"/>
      <c r="R77" s="136"/>
      <c r="S77" s="136"/>
      <c r="T77" s="136"/>
      <c r="U77" s="137"/>
      <c r="AD77" s="445" t="s">
        <v>1014</v>
      </c>
      <c r="AE77" s="449"/>
      <c r="AF77" s="447" t="s">
        <v>2432</v>
      </c>
    </row>
    <row r="78" spans="1:32" ht="48" customHeight="1" x14ac:dyDescent="0.25">
      <c r="A78" s="41"/>
      <c r="B78" s="1576" t="str">
        <f>IF(Language="English", AD78,AF78)</f>
        <v>Examinez le graphique ci-dessus pour les cas particuliers, les changements inattendus dans les tendances des méthodes ou les changements rapides dans les méthodes particulières.  Veuillez commenter ci-dessous et expliquez les tendances ci-dessus.</v>
      </c>
      <c r="C78" s="1577"/>
      <c r="D78" s="1577"/>
      <c r="E78" s="1577"/>
      <c r="F78" s="1577"/>
      <c r="G78" s="1577"/>
      <c r="H78" s="1577"/>
      <c r="I78" s="1578"/>
      <c r="J78" s="41"/>
      <c r="K78" s="1576" t="str">
        <f>IF(Language="English", AD79, AF79)</f>
        <v>Comparez les deux graphiques et recherchez de grandes divergences entre la méthode utilisée à partir de l'enquête et la méthode utilisée produite à partir de vos données des statistiques de services. Veuillez expliquer toutes les irrégularités importantes dans la méthode utilisée.</v>
      </c>
      <c r="L78" s="1577"/>
      <c r="M78" s="1577"/>
      <c r="N78" s="1577"/>
      <c r="O78" s="1577"/>
      <c r="P78" s="1577"/>
      <c r="Q78" s="1577"/>
      <c r="R78" s="1577"/>
      <c r="S78" s="1577"/>
      <c r="T78" s="1577"/>
      <c r="U78" s="1578"/>
      <c r="AD78" s="472" t="s">
        <v>283</v>
      </c>
      <c r="AE78" s="473"/>
      <c r="AF78" s="474" t="s">
        <v>826</v>
      </c>
    </row>
    <row r="79" spans="1:32" ht="54" customHeight="1" thickBot="1" x14ac:dyDescent="0.3">
      <c r="B79" s="1563"/>
      <c r="C79" s="1564"/>
      <c r="D79" s="1564"/>
      <c r="E79" s="1564"/>
      <c r="F79" s="1564"/>
      <c r="G79" s="1564"/>
      <c r="H79" s="1564"/>
      <c r="I79" s="1565"/>
      <c r="K79" s="1563"/>
      <c r="L79" s="1564"/>
      <c r="M79" s="1564"/>
      <c r="N79" s="1564"/>
      <c r="O79" s="1564"/>
      <c r="P79" s="1564"/>
      <c r="Q79" s="1564"/>
      <c r="R79" s="1564"/>
      <c r="S79" s="1564"/>
      <c r="T79" s="1564"/>
      <c r="U79" s="1565"/>
      <c r="AD79" s="445" t="s">
        <v>321</v>
      </c>
      <c r="AE79" s="449"/>
      <c r="AF79" s="447" t="s">
        <v>827</v>
      </c>
    </row>
    <row r="80" spans="1:32" ht="15.75" thickBot="1" x14ac:dyDescent="0.3"/>
    <row r="81" spans="1:32" ht="39" customHeight="1" x14ac:dyDescent="0.25">
      <c r="A81" s="119"/>
      <c r="B81" s="1570" t="str">
        <f>IF(Language="English", AD81, AF81)</f>
        <v>3. Comparez l'estimation des utilisatrices modernes par méthode: Statistiques de Service v. Enquête (2021)</v>
      </c>
      <c r="C81" s="1571"/>
      <c r="D81" s="1571"/>
      <c r="E81" s="1571"/>
      <c r="F81" s="1571"/>
      <c r="G81" s="1571"/>
      <c r="H81" s="1571"/>
      <c r="I81" s="1572"/>
      <c r="J81" s="119"/>
      <c r="K81" s="1570" t="str">
        <f>IF(Language="English", AD83,AF83)</f>
        <v>4. Comparer la méthode utilisée : Statistiques des services et enquêtes (2021)</v>
      </c>
      <c r="L81" s="1571"/>
      <c r="M81" s="1571"/>
      <c r="N81" s="1571"/>
      <c r="O81" s="1571"/>
      <c r="P81" s="1571"/>
      <c r="Q81" s="1571"/>
      <c r="R81" s="1571"/>
      <c r="S81" s="1571"/>
      <c r="T81" s="1571"/>
      <c r="U81" s="1572"/>
      <c r="AD81" s="445" t="str">
        <f>"3. Comparing Estimate of Modern Users by Method :  Service Statistics v. Survey ("&amp;$O$76&amp;")"</f>
        <v>3. Comparing Estimate of Modern Users by Method :  Service Statistics v. Survey (2021)</v>
      </c>
      <c r="AE81" s="449"/>
      <c r="AF81" s="447" t="str">
        <f>"3. Comparez l'estimation des utilisatrices modernes par méthode: Statistiques de Service v. Enquête ("&amp;$O$76&amp;")"</f>
        <v>3. Comparez l'estimation des utilisatrices modernes par méthode: Statistiques de Service v. Enquête (2021)</v>
      </c>
    </row>
    <row r="82" spans="1:32" ht="249.95" customHeight="1" thickBot="1" x14ac:dyDescent="0.3">
      <c r="B82" s="1573"/>
      <c r="C82" s="1574"/>
      <c r="D82" s="1574"/>
      <c r="E82" s="1574"/>
      <c r="F82" s="1574"/>
      <c r="G82" s="1574"/>
      <c r="H82" s="1574"/>
      <c r="I82" s="1575"/>
      <c r="K82" s="135"/>
      <c r="L82" s="136"/>
      <c r="M82" s="136"/>
      <c r="N82" s="136"/>
      <c r="O82" s="136"/>
      <c r="P82" s="136"/>
      <c r="Q82" s="136"/>
      <c r="R82" s="136"/>
      <c r="S82" s="136"/>
      <c r="T82" s="136"/>
      <c r="U82" s="137"/>
      <c r="AD82" s="445" t="s">
        <v>1110</v>
      </c>
      <c r="AE82" s="449"/>
      <c r="AF82" s="447" t="s">
        <v>2433</v>
      </c>
    </row>
    <row r="83" spans="1:32" ht="48" customHeight="1" x14ac:dyDescent="0.25">
      <c r="B83" s="1576" t="str">
        <f>IF(Language="English", AD81, AF81)</f>
        <v>3. Comparez l'estimation des utilisatrices modernes par méthode: Statistiques de Service v. Enquête (2021)</v>
      </c>
      <c r="C83" s="1577"/>
      <c r="D83" s="1577"/>
      <c r="E83" s="1577"/>
      <c r="F83" s="1577"/>
      <c r="G83" s="1577"/>
      <c r="H83" s="1577"/>
      <c r="I83" s="1578"/>
      <c r="J83" s="41"/>
      <c r="K83" s="1576" t="str">
        <f>IF(Language="English", AD84, AF84)</f>
        <v>Examinez le graphique ci-dessus pour les cas particuliers, les changements inattendus dans les tendances des méthodes ou les changements rapides dans les méthodes particulières.  Veuillez commenter ci-dessous et expliquez les tendances ci-dessus.</v>
      </c>
      <c r="L83" s="1577"/>
      <c r="M83" s="1577"/>
      <c r="N83" s="1577"/>
      <c r="O83" s="1577"/>
      <c r="P83" s="1577"/>
      <c r="Q83" s="1577"/>
      <c r="R83" s="1577"/>
      <c r="S83" s="1577"/>
      <c r="T83" s="1577"/>
      <c r="U83" s="1578"/>
      <c r="AD83" s="445" t="str">
        <f>"4. Comparing Method Mix: Service Statistics and Surveys ("&amp;$O$76&amp;")"</f>
        <v>4. Comparing Method Mix: Service Statistics and Surveys (2021)</v>
      </c>
      <c r="AE83" s="449"/>
      <c r="AF83" s="447" t="str">
        <f>"4. Comparer la méthode utilisée : Statistiques des services et enquêtes ("&amp;$O$76&amp;")"</f>
        <v>4. Comparer la méthode utilisée : Statistiques des services et enquêtes (2021)</v>
      </c>
    </row>
    <row r="84" spans="1:32" ht="54" customHeight="1" thickBot="1" x14ac:dyDescent="0.3">
      <c r="A84" s="41"/>
      <c r="B84" s="1563"/>
      <c r="C84" s="1564"/>
      <c r="D84" s="1564"/>
      <c r="E84" s="1564"/>
      <c r="F84" s="1564"/>
      <c r="G84" s="1564"/>
      <c r="H84" s="1564"/>
      <c r="I84" s="1565"/>
      <c r="K84" s="1563"/>
      <c r="L84" s="1564"/>
      <c r="M84" s="1564"/>
      <c r="N84" s="1564"/>
      <c r="O84" s="1564"/>
      <c r="P84" s="1564"/>
      <c r="Q84" s="1564"/>
      <c r="R84" s="1564"/>
      <c r="S84" s="1564"/>
      <c r="T84" s="1564"/>
      <c r="U84" s="1565"/>
      <c r="AD84" s="472" t="s">
        <v>283</v>
      </c>
      <c r="AE84" s="473"/>
      <c r="AF84" s="474" t="s">
        <v>826</v>
      </c>
    </row>
    <row r="85" spans="1:32" ht="15.75" thickBot="1" x14ac:dyDescent="0.3">
      <c r="AD85" s="445" t="s">
        <v>321</v>
      </c>
      <c r="AE85" s="449"/>
      <c r="AF85" s="447" t="s">
        <v>827</v>
      </c>
    </row>
    <row r="86" spans="1:32" ht="26.25" customHeight="1" x14ac:dyDescent="0.25">
      <c r="B86" s="1582" t="str">
        <f>IF(Language="English", AD87, AF87)</f>
        <v>5. Comparez les tendances des utilisatrices : EUM, FPET, et Enquêtes</v>
      </c>
      <c r="C86" s="1583"/>
      <c r="D86" s="1583"/>
      <c r="E86" s="1583"/>
      <c r="F86" s="1583"/>
      <c r="G86" s="1583"/>
      <c r="H86" s="1583"/>
      <c r="I86" s="1584"/>
      <c r="K86" s="1570" t="str">
        <f>IF(Language="English", AD88, AF88)</f>
        <v>6. Comparez les pentes : EUM, FPET, et Enquêtes</v>
      </c>
      <c r="L86" s="1571"/>
      <c r="M86" s="1571"/>
      <c r="N86" s="1571"/>
      <c r="O86" s="1571"/>
      <c r="P86" s="1571"/>
      <c r="Q86" s="1571"/>
      <c r="R86" s="1571"/>
      <c r="S86" s="1571"/>
      <c r="T86" s="1571"/>
      <c r="U86" s="1572"/>
      <c r="AD86" s="445"/>
      <c r="AE86" s="449"/>
      <c r="AF86" s="447"/>
    </row>
    <row r="87" spans="1:32" ht="288" customHeight="1" thickBot="1" x14ac:dyDescent="0.3">
      <c r="B87" s="1573"/>
      <c r="C87" s="1574"/>
      <c r="D87" s="1574"/>
      <c r="E87" s="1574"/>
      <c r="F87" s="1574"/>
      <c r="G87" s="1574"/>
      <c r="H87" s="1574"/>
      <c r="I87" s="1575"/>
      <c r="K87" s="1573"/>
      <c r="L87" s="1574"/>
      <c r="M87" s="1574"/>
      <c r="N87" s="1574"/>
      <c r="O87" s="1574"/>
      <c r="P87" s="1574"/>
      <c r="Q87" s="1574"/>
      <c r="R87" s="1574"/>
      <c r="S87" s="1574"/>
      <c r="T87" s="1574"/>
      <c r="U87" s="1575"/>
      <c r="AD87" s="445" t="s">
        <v>994</v>
      </c>
      <c r="AE87" s="449"/>
      <c r="AF87" s="447" t="s">
        <v>2435</v>
      </c>
    </row>
    <row r="88" spans="1:32" ht="51" customHeight="1" x14ac:dyDescent="0.25">
      <c r="B88" s="1576" t="str">
        <f>IF(Language="English", AD89,AF89)</f>
        <v>Comparez l'EUM calculée à partir des vos données sur les produits au TPCM à partir du FPET et des enquêtes? Les pentes sont-elles identiques? Utiliseriez-vous ces données dans FPET? Veuillez commentez ci-dessous.</v>
      </c>
      <c r="C88" s="1577"/>
      <c r="D88" s="1577"/>
      <c r="E88" s="1577"/>
      <c r="F88" s="1577"/>
      <c r="G88" s="1577"/>
      <c r="H88" s="1577"/>
      <c r="I88" s="1578"/>
      <c r="J88" s="41"/>
      <c r="K88" s="1576" t="str">
        <f>IF(Language="English", AD90,AF90)</f>
        <v>Comparez les augmentations annuelles moyennes en points de % du TPCM / EUM entre les tendances. Les pentes sont-elles similaires? La pente de l'EUM est-elle réalisable compte tenu de ce que vous savez sur le rythme de croissance de la prévalence?</v>
      </c>
      <c r="L88" s="1577"/>
      <c r="M88" s="1577"/>
      <c r="N88" s="1577"/>
      <c r="O88" s="1577"/>
      <c r="P88" s="1577"/>
      <c r="Q88" s="1577"/>
      <c r="R88" s="1577"/>
      <c r="S88" s="1577"/>
      <c r="T88" s="1577"/>
      <c r="U88" s="1578"/>
      <c r="AD88" s="445" t="s">
        <v>1258</v>
      </c>
      <c r="AE88" s="449"/>
      <c r="AF88" s="447" t="s">
        <v>995</v>
      </c>
    </row>
    <row r="89" spans="1:32" ht="54" customHeight="1" thickBot="1" x14ac:dyDescent="0.3">
      <c r="B89" s="1563"/>
      <c r="C89" s="1564"/>
      <c r="D89" s="1564"/>
      <c r="E89" s="1564"/>
      <c r="F89" s="1564"/>
      <c r="G89" s="1564"/>
      <c r="H89" s="1564"/>
      <c r="I89" s="1565"/>
      <c r="K89" s="1563"/>
      <c r="L89" s="1564"/>
      <c r="M89" s="1564"/>
      <c r="N89" s="1564"/>
      <c r="O89" s="1564"/>
      <c r="P89" s="1564"/>
      <c r="Q89" s="1564"/>
      <c r="R89" s="1564"/>
      <c r="S89" s="1564"/>
      <c r="T89" s="1564"/>
      <c r="U89" s="1565"/>
      <c r="AD89" s="445" t="s">
        <v>1259</v>
      </c>
      <c r="AE89" s="449"/>
      <c r="AF89" s="447" t="s">
        <v>828</v>
      </c>
    </row>
    <row r="90" spans="1:32" ht="27.75" customHeight="1" x14ac:dyDescent="0.25">
      <c r="B90" s="240" t="str">
        <f>IF(Language="English", AD91, AF91)</f>
        <v>*Note : Les années avec des taux de complétude faibles (&lt;60%) ont été exclues dans les graphiques ci-dessus</v>
      </c>
      <c r="L90" s="1398"/>
      <c r="M90" s="1398"/>
      <c r="N90" s="1398"/>
      <c r="O90" s="1398"/>
      <c r="P90" s="1398"/>
      <c r="Q90" s="1398"/>
      <c r="R90" s="1398"/>
      <c r="S90" s="1398"/>
      <c r="T90" s="1398"/>
      <c r="U90" s="1398"/>
      <c r="V90" s="1398"/>
      <c r="AD90" s="445" t="s">
        <v>1260</v>
      </c>
      <c r="AE90" s="449"/>
      <c r="AF90" s="447" t="s">
        <v>829</v>
      </c>
    </row>
    <row r="91" spans="1:32" ht="10.5" customHeight="1" x14ac:dyDescent="0.25">
      <c r="B91" s="239"/>
      <c r="L91" s="32"/>
      <c r="M91" s="32"/>
      <c r="N91" s="32"/>
      <c r="O91" s="32"/>
      <c r="P91" s="32"/>
      <c r="Q91" s="32"/>
      <c r="R91" s="32"/>
      <c r="S91" s="32"/>
      <c r="T91" s="32"/>
      <c r="U91" s="32"/>
      <c r="V91" s="32"/>
      <c r="AD91" s="445" t="s">
        <v>576</v>
      </c>
      <c r="AE91" s="449"/>
      <c r="AF91" s="447" t="s">
        <v>1133</v>
      </c>
    </row>
    <row r="92" spans="1:32" ht="10.5" customHeight="1" x14ac:dyDescent="0.25">
      <c r="AD92" s="445" t="s">
        <v>326</v>
      </c>
      <c r="AE92" s="449"/>
      <c r="AF92" s="447" t="s">
        <v>833</v>
      </c>
    </row>
    <row r="93" spans="1:32" ht="10.5" customHeight="1" x14ac:dyDescent="0.25">
      <c r="A93" s="216"/>
      <c r="AD93" s="445" t="s">
        <v>327</v>
      </c>
      <c r="AE93" s="451"/>
      <c r="AF93" s="447" t="s">
        <v>834</v>
      </c>
    </row>
    <row r="94" spans="1:32" ht="10.5" customHeight="1" x14ac:dyDescent="0.25">
      <c r="A94" s="216"/>
      <c r="AC94" t="str">
        <f>IF(Language="English", AD94, AF94)</f>
        <v xml:space="preserve">Augmentation annuelle moyenne en points de % du TPCM / EUM </v>
      </c>
      <c r="AD94" s="445" t="s">
        <v>841</v>
      </c>
      <c r="AE94" s="451"/>
      <c r="AF94" s="447" t="s">
        <v>840</v>
      </c>
    </row>
    <row r="95" spans="1:32" ht="10.5" customHeight="1" x14ac:dyDescent="0.25">
      <c r="AD95" s="445" t="s">
        <v>842</v>
      </c>
      <c r="AE95" s="451"/>
      <c r="AF95" s="447" t="s">
        <v>843</v>
      </c>
    </row>
    <row r="96" spans="1:32" ht="10.5" customHeight="1" x14ac:dyDescent="0.25">
      <c r="C96"/>
      <c r="AD96" s="445"/>
      <c r="AE96" s="451"/>
      <c r="AF96" s="447"/>
    </row>
    <row r="97" spans="2:33" ht="24" customHeight="1" thickBot="1" x14ac:dyDescent="0.45">
      <c r="B97" s="785" t="str">
        <f>IF(Language="English", AD97, AF97)</f>
        <v>ÉTAPE 3 de 3. Choisissez d'inclure ou d'exclure les préservatifs de la valeur finale de EMU.</v>
      </c>
      <c r="C97" s="786"/>
      <c r="D97" s="786"/>
      <c r="E97" s="786"/>
      <c r="F97" s="786"/>
      <c r="G97" s="786"/>
      <c r="H97" s="786"/>
      <c r="I97" s="786"/>
      <c r="J97" s="786"/>
      <c r="K97" s="786"/>
      <c r="L97" s="786"/>
      <c r="M97" s="786"/>
      <c r="N97" s="786"/>
      <c r="O97" s="786"/>
      <c r="P97" s="786"/>
      <c r="Q97" s="786"/>
      <c r="R97" s="786"/>
      <c r="S97" s="786"/>
      <c r="T97" s="787"/>
      <c r="U97" s="787"/>
      <c r="V97" s="787"/>
      <c r="AD97" s="445" t="s">
        <v>1253</v>
      </c>
      <c r="AE97" s="451"/>
      <c r="AF97" s="447" t="s">
        <v>1254</v>
      </c>
    </row>
    <row r="98" spans="2:33" ht="15.75" thickBot="1" x14ac:dyDescent="0.3">
      <c r="B98" s="1398"/>
      <c r="C98" s="1398"/>
      <c r="D98" s="1398"/>
      <c r="E98" s="1398"/>
      <c r="F98" s="1398"/>
      <c r="G98" s="1398"/>
      <c r="H98" s="1398"/>
      <c r="I98" s="1398"/>
      <c r="J98" s="1398"/>
      <c r="K98" s="1398"/>
      <c r="L98" s="1398"/>
      <c r="M98" s="1398"/>
      <c r="N98" s="1398"/>
      <c r="O98" s="1398"/>
      <c r="P98" s="1398"/>
      <c r="Q98" s="1398"/>
      <c r="R98" s="1398"/>
      <c r="S98" s="1398"/>
      <c r="AC98" t="str">
        <f>IF(Language="English", AD98, AF98)</f>
        <v>Inclure des Préservatifs</v>
      </c>
      <c r="AD98" s="445" t="s">
        <v>1012</v>
      </c>
      <c r="AE98" s="451" t="s">
        <v>1012</v>
      </c>
      <c r="AF98" s="447" t="s">
        <v>1013</v>
      </c>
      <c r="AG98" t="s">
        <v>1012</v>
      </c>
    </row>
    <row r="99" spans="2:33" ht="19.5" thickBot="1" x14ac:dyDescent="0.35">
      <c r="C99" s="659" t="s">
        <v>1010</v>
      </c>
      <c r="D99" s="219" t="str">
        <f>VLOOKUP(C100, $B$33:$C$34, 2, FALSE)</f>
        <v>EUM: Produits ex. Préservatifs</v>
      </c>
      <c r="E99" s="220"/>
      <c r="F99" s="220"/>
      <c r="G99" s="220"/>
      <c r="H99" s="220"/>
      <c r="I99" s="220"/>
      <c r="J99" s="220"/>
      <c r="K99" s="220"/>
      <c r="L99" s="220"/>
      <c r="M99" s="220"/>
      <c r="N99" s="220"/>
      <c r="O99" s="220"/>
      <c r="P99" s="220"/>
      <c r="Q99" s="220"/>
      <c r="R99" s="220"/>
      <c r="S99" s="221"/>
      <c r="AC99" t="str">
        <f>IF(Language="English", AD99, AF99)</f>
        <v>Exclure les Préservatifs</v>
      </c>
      <c r="AD99" s="445" t="s">
        <v>1010</v>
      </c>
      <c r="AE99" s="451" t="s">
        <v>1010</v>
      </c>
      <c r="AF99" s="447" t="s">
        <v>1011</v>
      </c>
      <c r="AG99" t="s">
        <v>1010</v>
      </c>
    </row>
    <row r="100" spans="2:33" ht="15.75" thickBot="1" x14ac:dyDescent="0.3">
      <c r="C100" s="713" t="str">
        <f>IFERROR(VLOOKUP(C99,$AD$98:$AG$99,4,FALSE),VLOOKUP(C99,$AF$98:$AG$99,2,FALSE))</f>
        <v>Exclude Condoms</v>
      </c>
      <c r="D100" s="222">
        <f t="shared" ref="D100:S100" si="29">D31</f>
        <v>0</v>
      </c>
      <c r="E100" s="222" t="str">
        <f t="shared" si="29"/>
        <v/>
      </c>
      <c r="F100" s="222" t="str">
        <f t="shared" si="29"/>
        <v/>
      </c>
      <c r="G100" s="222" t="str">
        <f t="shared" si="29"/>
        <v/>
      </c>
      <c r="H100" s="222" t="str">
        <f t="shared" si="29"/>
        <v/>
      </c>
      <c r="I100" s="222" t="str">
        <f t="shared" si="29"/>
        <v/>
      </c>
      <c r="J100" s="222" t="str">
        <f t="shared" si="29"/>
        <v/>
      </c>
      <c r="K100" s="222" t="str">
        <f t="shared" si="29"/>
        <v/>
      </c>
      <c r="L100" s="222" t="str">
        <f t="shared" si="29"/>
        <v/>
      </c>
      <c r="M100" s="222" t="str">
        <f t="shared" si="29"/>
        <v/>
      </c>
      <c r="N100" s="222" t="str">
        <f t="shared" si="29"/>
        <v/>
      </c>
      <c r="O100" s="222" t="str">
        <f t="shared" si="29"/>
        <v/>
      </c>
      <c r="P100" s="222" t="str">
        <f t="shared" si="29"/>
        <v/>
      </c>
      <c r="Q100" s="222" t="str">
        <f t="shared" si="29"/>
        <v/>
      </c>
      <c r="R100" s="222" t="str">
        <f t="shared" si="29"/>
        <v/>
      </c>
      <c r="S100" s="222" t="str">
        <f t="shared" si="29"/>
        <v/>
      </c>
      <c r="AD100" s="445"/>
      <c r="AE100" s="451"/>
      <c r="AF100" s="447"/>
    </row>
    <row r="101" spans="2:33" ht="15.75" thickBot="1" x14ac:dyDescent="0.3">
      <c r="D101" s="714" t="str">
        <f>IFERROR(VLOOKUP($C$100, $B$33:$S$34, MATCH(D$100, $B$31:$S$31, 0), FALSE), "")</f>
        <v/>
      </c>
      <c r="E101" s="714" t="str">
        <f t="shared" ref="E101:S101" si="30">IFERROR(VLOOKUP($C$100, $B$33:$S$34, MATCH(E$100, $B$31:$S$31, 0), FALSE), "")</f>
        <v/>
      </c>
      <c r="F101" s="714" t="str">
        <f t="shared" si="30"/>
        <v/>
      </c>
      <c r="G101" s="714" t="str">
        <f t="shared" si="30"/>
        <v/>
      </c>
      <c r="H101" s="714" t="str">
        <f t="shared" si="30"/>
        <v/>
      </c>
      <c r="I101" s="714" t="str">
        <f t="shared" si="30"/>
        <v/>
      </c>
      <c r="J101" s="714" t="str">
        <f t="shared" si="30"/>
        <v/>
      </c>
      <c r="K101" s="714" t="str">
        <f t="shared" si="30"/>
        <v/>
      </c>
      <c r="L101" s="714" t="str">
        <f t="shared" si="30"/>
        <v/>
      </c>
      <c r="M101" s="714" t="str">
        <f t="shared" si="30"/>
        <v/>
      </c>
      <c r="N101" s="714" t="str">
        <f t="shared" si="30"/>
        <v/>
      </c>
      <c r="O101" s="714" t="str">
        <f t="shared" si="30"/>
        <v/>
      </c>
      <c r="P101" s="714" t="str">
        <f t="shared" si="30"/>
        <v/>
      </c>
      <c r="Q101" s="714" t="str">
        <f t="shared" si="30"/>
        <v/>
      </c>
      <c r="R101" s="714" t="str">
        <f t="shared" si="30"/>
        <v/>
      </c>
      <c r="S101" s="714" t="str">
        <f t="shared" si="30"/>
        <v/>
      </c>
      <c r="AD101" s="445"/>
      <c r="AE101" s="451"/>
      <c r="AF101" s="447"/>
    </row>
    <row r="105" spans="2:33" x14ac:dyDescent="0.25">
      <c r="C105" s="1593" t="str">
        <f>IF(Language="Francais", AF92, AD92)</f>
        <v>Retour à la Page de configuration</v>
      </c>
      <c r="D105" s="1593"/>
      <c r="E105" s="1593"/>
      <c r="F105" s="1593"/>
      <c r="G105" s="1593"/>
      <c r="H105" s="1593"/>
      <c r="L105" s="1592" t="str">
        <f>IF(Language="English", AD93, AF93)</f>
        <v>Allez à Examen final de l'EUM</v>
      </c>
      <c r="M105" s="1592"/>
      <c r="N105" s="1592"/>
      <c r="O105" s="1592"/>
      <c r="P105" s="1592"/>
      <c r="Q105" s="1592"/>
      <c r="R105" s="1592"/>
    </row>
    <row r="106" spans="2:33" x14ac:dyDescent="0.25">
      <c r="C106" s="1593"/>
      <c r="D106" s="1593"/>
      <c r="E106" s="1593"/>
      <c r="F106" s="1593"/>
      <c r="G106" s="1593"/>
      <c r="H106" s="1593"/>
      <c r="L106" s="1592"/>
      <c r="M106" s="1592"/>
      <c r="N106" s="1592"/>
      <c r="O106" s="1592"/>
      <c r="P106" s="1592"/>
      <c r="Q106" s="1592"/>
      <c r="R106" s="1592"/>
    </row>
    <row r="108" spans="2:33" ht="15.75" hidden="1" thickBot="1" x14ac:dyDescent="0.3"/>
    <row r="109" spans="2:33" hidden="1" x14ac:dyDescent="0.25">
      <c r="C109" s="317"/>
      <c r="D109" s="318">
        <f t="shared" ref="D109:S109" si="31">D124</f>
        <v>0</v>
      </c>
      <c r="E109" s="318" t="str">
        <f t="shared" si="31"/>
        <v/>
      </c>
      <c r="F109" s="318" t="str">
        <f t="shared" si="31"/>
        <v/>
      </c>
      <c r="G109" s="318" t="str">
        <f t="shared" si="31"/>
        <v/>
      </c>
      <c r="H109" s="318" t="str">
        <f t="shared" si="31"/>
        <v/>
      </c>
      <c r="I109" s="318" t="str">
        <f t="shared" si="31"/>
        <v/>
      </c>
      <c r="J109" s="318" t="str">
        <f t="shared" si="31"/>
        <v/>
      </c>
      <c r="K109" s="318" t="str">
        <f t="shared" si="31"/>
        <v/>
      </c>
      <c r="L109" s="318" t="str">
        <f t="shared" si="31"/>
        <v/>
      </c>
      <c r="M109" s="318" t="str">
        <f t="shared" si="31"/>
        <v/>
      </c>
      <c r="N109" s="318" t="str">
        <f t="shared" si="31"/>
        <v/>
      </c>
      <c r="O109" s="318" t="str">
        <f t="shared" si="31"/>
        <v/>
      </c>
      <c r="P109" s="318" t="str">
        <f t="shared" si="31"/>
        <v/>
      </c>
      <c r="Q109" s="318" t="str">
        <f t="shared" si="31"/>
        <v/>
      </c>
      <c r="R109" s="318" t="str">
        <f t="shared" si="31"/>
        <v/>
      </c>
      <c r="S109" s="319" t="str">
        <f t="shared" si="31"/>
        <v/>
      </c>
    </row>
    <row r="110" spans="2:33" hidden="1" x14ac:dyDescent="0.25">
      <c r="C110" s="320" t="s">
        <v>722</v>
      </c>
      <c r="D110" s="323" t="str">
        <f t="shared" ref="D110:S110" si="32">IF(D125="", "", D125)</f>
        <v/>
      </c>
      <c r="E110" s="323" t="str">
        <f t="shared" si="32"/>
        <v/>
      </c>
      <c r="F110" s="323" t="str">
        <f t="shared" si="32"/>
        <v/>
      </c>
      <c r="G110" s="323" t="str">
        <f t="shared" si="32"/>
        <v/>
      </c>
      <c r="H110" s="323" t="str">
        <f t="shared" si="32"/>
        <v/>
      </c>
      <c r="I110" s="323" t="str">
        <f t="shared" si="32"/>
        <v/>
      </c>
      <c r="J110" s="323" t="str">
        <f t="shared" si="32"/>
        <v/>
      </c>
      <c r="K110" s="323" t="str">
        <f t="shared" si="32"/>
        <v/>
      </c>
      <c r="L110" s="323" t="str">
        <f t="shared" si="32"/>
        <v/>
      </c>
      <c r="M110" s="323" t="str">
        <f t="shared" si="32"/>
        <v/>
      </c>
      <c r="N110" s="323" t="str">
        <f t="shared" si="32"/>
        <v/>
      </c>
      <c r="O110" s="323" t="str">
        <f t="shared" si="32"/>
        <v/>
      </c>
      <c r="P110" s="323" t="str">
        <f t="shared" si="32"/>
        <v/>
      </c>
      <c r="Q110" s="323" t="str">
        <f t="shared" si="32"/>
        <v/>
      </c>
      <c r="R110" s="323" t="str">
        <f t="shared" si="32"/>
        <v/>
      </c>
      <c r="S110" s="324" t="str">
        <f t="shared" si="32"/>
        <v/>
      </c>
    </row>
    <row r="111" spans="2:33" hidden="1" x14ac:dyDescent="0.25">
      <c r="C111" s="321" t="s">
        <v>1311</v>
      </c>
      <c r="D111" s="325" t="str">
        <f t="shared" ref="D111:S111" si="33">IF(D126=0,"", D126)</f>
        <v/>
      </c>
      <c r="E111" s="325" t="str">
        <f t="shared" si="33"/>
        <v/>
      </c>
      <c r="F111" s="325" t="str">
        <f t="shared" si="33"/>
        <v/>
      </c>
      <c r="G111" s="325" t="str">
        <f t="shared" si="33"/>
        <v/>
      </c>
      <c r="H111" s="325" t="str">
        <f t="shared" si="33"/>
        <v/>
      </c>
      <c r="I111" s="325" t="str">
        <f t="shared" si="33"/>
        <v/>
      </c>
      <c r="J111" s="325" t="str">
        <f t="shared" si="33"/>
        <v/>
      </c>
      <c r="K111" s="325" t="str">
        <f t="shared" si="33"/>
        <v/>
      </c>
      <c r="L111" s="325" t="str">
        <f t="shared" si="33"/>
        <v/>
      </c>
      <c r="M111" s="325" t="str">
        <f t="shared" si="33"/>
        <v/>
      </c>
      <c r="N111" s="325" t="str">
        <f t="shared" si="33"/>
        <v/>
      </c>
      <c r="O111" s="325" t="str">
        <f t="shared" si="33"/>
        <v/>
      </c>
      <c r="P111" s="325" t="str">
        <f t="shared" si="33"/>
        <v/>
      </c>
      <c r="Q111" s="325" t="str">
        <f t="shared" si="33"/>
        <v/>
      </c>
      <c r="R111" s="325" t="str">
        <f t="shared" si="33"/>
        <v/>
      </c>
      <c r="S111" s="326" t="str">
        <f t="shared" si="33"/>
        <v/>
      </c>
    </row>
    <row r="112" spans="2:33" hidden="1" x14ac:dyDescent="0.25">
      <c r="C112" s="321" t="s">
        <v>1312</v>
      </c>
      <c r="D112" s="325" t="str">
        <f t="shared" ref="D112:S112" si="34">IF(D127=0,"", D127)</f>
        <v/>
      </c>
      <c r="E112" s="325" t="str">
        <f t="shared" si="34"/>
        <v/>
      </c>
      <c r="F112" s="325" t="str">
        <f t="shared" si="34"/>
        <v/>
      </c>
      <c r="G112" s="325" t="str">
        <f t="shared" si="34"/>
        <v/>
      </c>
      <c r="H112" s="325" t="str">
        <f t="shared" si="34"/>
        <v/>
      </c>
      <c r="I112" s="325" t="str">
        <f t="shared" si="34"/>
        <v/>
      </c>
      <c r="J112" s="325" t="str">
        <f t="shared" si="34"/>
        <v/>
      </c>
      <c r="K112" s="325" t="str">
        <f t="shared" si="34"/>
        <v/>
      </c>
      <c r="L112" s="325" t="str">
        <f t="shared" si="34"/>
        <v/>
      </c>
      <c r="M112" s="325" t="str">
        <f t="shared" si="34"/>
        <v/>
      </c>
      <c r="N112" s="325" t="str">
        <f t="shared" si="34"/>
        <v/>
      </c>
      <c r="O112" s="325" t="str">
        <f t="shared" si="34"/>
        <v/>
      </c>
      <c r="P112" s="325" t="str">
        <f t="shared" si="34"/>
        <v/>
      </c>
      <c r="Q112" s="325" t="str">
        <f t="shared" si="34"/>
        <v/>
      </c>
      <c r="R112" s="325" t="str">
        <f t="shared" si="34"/>
        <v/>
      </c>
      <c r="S112" s="326" t="str">
        <f t="shared" si="34"/>
        <v/>
      </c>
    </row>
    <row r="113" spans="1:35" hidden="1" x14ac:dyDescent="0.25">
      <c r="C113" s="321" t="s">
        <v>5</v>
      </c>
      <c r="D113" s="325" t="str">
        <f t="shared" ref="D113:S113" si="35">IF(SUM(D128:D129)=0, "", SUM(D128:D129))</f>
        <v/>
      </c>
      <c r="E113" s="325" t="str">
        <f t="shared" si="35"/>
        <v/>
      </c>
      <c r="F113" s="325" t="str">
        <f t="shared" si="35"/>
        <v/>
      </c>
      <c r="G113" s="325" t="str">
        <f t="shared" si="35"/>
        <v/>
      </c>
      <c r="H113" s="325" t="str">
        <f t="shared" si="35"/>
        <v/>
      </c>
      <c r="I113" s="325" t="str">
        <f t="shared" si="35"/>
        <v/>
      </c>
      <c r="J113" s="325" t="str">
        <f t="shared" si="35"/>
        <v/>
      </c>
      <c r="K113" s="325" t="str">
        <f t="shared" si="35"/>
        <v/>
      </c>
      <c r="L113" s="325" t="str">
        <f t="shared" si="35"/>
        <v/>
      </c>
      <c r="M113" s="325" t="str">
        <f t="shared" si="35"/>
        <v/>
      </c>
      <c r="N113" s="325" t="str">
        <f t="shared" si="35"/>
        <v/>
      </c>
      <c r="O113" s="325" t="str">
        <f t="shared" si="35"/>
        <v/>
      </c>
      <c r="P113" s="325" t="str">
        <f t="shared" si="35"/>
        <v/>
      </c>
      <c r="Q113" s="325" t="str">
        <f t="shared" si="35"/>
        <v/>
      </c>
      <c r="R113" s="325" t="str">
        <f t="shared" si="35"/>
        <v/>
      </c>
      <c r="S113" s="326" t="str">
        <f t="shared" si="35"/>
        <v/>
      </c>
    </row>
    <row r="114" spans="1:35" hidden="1" x14ac:dyDescent="0.25">
      <c r="C114" s="321" t="s">
        <v>3</v>
      </c>
      <c r="D114" s="325" t="str">
        <f t="shared" ref="D114:S114" si="36">IF(SUM(D130:D132)=0,"",SUM(D130:D132))</f>
        <v/>
      </c>
      <c r="E114" s="325" t="str">
        <f t="shared" si="36"/>
        <v/>
      </c>
      <c r="F114" s="325" t="str">
        <f t="shared" si="36"/>
        <v/>
      </c>
      <c r="G114" s="325" t="str">
        <f t="shared" si="36"/>
        <v/>
      </c>
      <c r="H114" s="325" t="str">
        <f t="shared" si="36"/>
        <v/>
      </c>
      <c r="I114" s="325" t="str">
        <f t="shared" si="36"/>
        <v/>
      </c>
      <c r="J114" s="325" t="str">
        <f t="shared" si="36"/>
        <v/>
      </c>
      <c r="K114" s="325" t="str">
        <f t="shared" si="36"/>
        <v/>
      </c>
      <c r="L114" s="325" t="str">
        <f t="shared" si="36"/>
        <v/>
      </c>
      <c r="M114" s="325" t="str">
        <f t="shared" si="36"/>
        <v/>
      </c>
      <c r="N114" s="325" t="str">
        <f t="shared" si="36"/>
        <v/>
      </c>
      <c r="O114" s="325" t="str">
        <f t="shared" si="36"/>
        <v/>
      </c>
      <c r="P114" s="325" t="str">
        <f t="shared" si="36"/>
        <v/>
      </c>
      <c r="Q114" s="325" t="str">
        <f t="shared" si="36"/>
        <v/>
      </c>
      <c r="R114" s="325" t="str">
        <f t="shared" si="36"/>
        <v/>
      </c>
      <c r="S114" s="326" t="str">
        <f t="shared" si="36"/>
        <v/>
      </c>
    </row>
    <row r="115" spans="1:35" hidden="1" x14ac:dyDescent="0.25">
      <c r="C115" s="329" t="s">
        <v>723</v>
      </c>
      <c r="D115" s="330" t="str">
        <f t="shared" ref="D115:S115" si="37">IF(D134="", "", D134)</f>
        <v/>
      </c>
      <c r="E115" s="330" t="str">
        <f t="shared" si="37"/>
        <v/>
      </c>
      <c r="F115" s="330" t="str">
        <f t="shared" si="37"/>
        <v/>
      </c>
      <c r="G115" s="330" t="str">
        <f t="shared" si="37"/>
        <v/>
      </c>
      <c r="H115" s="330" t="str">
        <f t="shared" si="37"/>
        <v/>
      </c>
      <c r="I115" s="330" t="str">
        <f t="shared" si="37"/>
        <v/>
      </c>
      <c r="J115" s="330" t="str">
        <f t="shared" si="37"/>
        <v/>
      </c>
      <c r="K115" s="330" t="str">
        <f t="shared" si="37"/>
        <v/>
      </c>
      <c r="L115" s="330" t="str">
        <f t="shared" si="37"/>
        <v/>
      </c>
      <c r="M115" s="330" t="str">
        <f t="shared" si="37"/>
        <v/>
      </c>
      <c r="N115" s="330" t="str">
        <f t="shared" si="37"/>
        <v/>
      </c>
      <c r="O115" s="330" t="str">
        <f t="shared" si="37"/>
        <v/>
      </c>
      <c r="P115" s="330" t="str">
        <f t="shared" si="37"/>
        <v/>
      </c>
      <c r="Q115" s="330" t="str">
        <f t="shared" si="37"/>
        <v/>
      </c>
      <c r="R115" s="330" t="str">
        <f t="shared" si="37"/>
        <v/>
      </c>
      <c r="S115" s="331" t="str">
        <f t="shared" si="37"/>
        <v/>
      </c>
    </row>
    <row r="116" spans="1:35" hidden="1" x14ac:dyDescent="0.25">
      <c r="C116" s="321" t="s">
        <v>2</v>
      </c>
      <c r="D116" s="325" t="str">
        <f t="shared" ref="D116:S116" si="38">IF(SUM(D135:D137)=0, "", SUM(D135:D137))</f>
        <v/>
      </c>
      <c r="E116" s="325" t="str">
        <f t="shared" si="38"/>
        <v/>
      </c>
      <c r="F116" s="325" t="str">
        <f t="shared" si="38"/>
        <v/>
      </c>
      <c r="G116" s="325" t="str">
        <f t="shared" si="38"/>
        <v/>
      </c>
      <c r="H116" s="325" t="str">
        <f t="shared" si="38"/>
        <v/>
      </c>
      <c r="I116" s="325" t="str">
        <f t="shared" si="38"/>
        <v/>
      </c>
      <c r="J116" s="325" t="str">
        <f t="shared" si="38"/>
        <v/>
      </c>
      <c r="K116" s="325" t="str">
        <f t="shared" si="38"/>
        <v/>
      </c>
      <c r="L116" s="325" t="str">
        <f t="shared" si="38"/>
        <v/>
      </c>
      <c r="M116" s="325" t="str">
        <f t="shared" si="38"/>
        <v/>
      </c>
      <c r="N116" s="325" t="str">
        <f t="shared" si="38"/>
        <v/>
      </c>
      <c r="O116" s="325" t="str">
        <f t="shared" si="38"/>
        <v/>
      </c>
      <c r="P116" s="325" t="str">
        <f t="shared" si="38"/>
        <v/>
      </c>
      <c r="Q116" s="325" t="str">
        <f t="shared" si="38"/>
        <v/>
      </c>
      <c r="R116" s="325" t="str">
        <f t="shared" si="38"/>
        <v/>
      </c>
      <c r="S116" s="326" t="str">
        <f t="shared" si="38"/>
        <v/>
      </c>
    </row>
    <row r="117" spans="1:35" hidden="1" x14ac:dyDescent="0.25">
      <c r="C117" s="321" t="s">
        <v>110</v>
      </c>
      <c r="D117" s="325" t="str">
        <f t="shared" ref="D117:S117" si="39">IF(SUM(D140:D142)=0,"", SUM(D140:D142))</f>
        <v/>
      </c>
      <c r="E117" s="325" t="str">
        <f t="shared" si="39"/>
        <v/>
      </c>
      <c r="F117" s="325" t="str">
        <f t="shared" si="39"/>
        <v/>
      </c>
      <c r="G117" s="325" t="str">
        <f t="shared" si="39"/>
        <v/>
      </c>
      <c r="H117" s="325" t="str">
        <f t="shared" si="39"/>
        <v/>
      </c>
      <c r="I117" s="325" t="str">
        <f t="shared" si="39"/>
        <v/>
      </c>
      <c r="J117" s="325" t="str">
        <f t="shared" si="39"/>
        <v/>
      </c>
      <c r="K117" s="325" t="str">
        <f t="shared" si="39"/>
        <v/>
      </c>
      <c r="L117" s="325" t="str">
        <f t="shared" si="39"/>
        <v/>
      </c>
      <c r="M117" s="325" t="str">
        <f t="shared" si="39"/>
        <v/>
      </c>
      <c r="N117" s="325" t="str">
        <f t="shared" si="39"/>
        <v/>
      </c>
      <c r="O117" s="325" t="str">
        <f t="shared" si="39"/>
        <v/>
      </c>
      <c r="P117" s="325" t="str">
        <f t="shared" si="39"/>
        <v/>
      </c>
      <c r="Q117" s="325" t="str">
        <f t="shared" si="39"/>
        <v/>
      </c>
      <c r="R117" s="325" t="str">
        <f t="shared" si="39"/>
        <v/>
      </c>
      <c r="S117" s="326" t="str">
        <f t="shared" si="39"/>
        <v/>
      </c>
    </row>
    <row r="118" spans="1:35" ht="15.75" hidden="1" thickBot="1" x14ac:dyDescent="0.3">
      <c r="C118" s="322" t="s">
        <v>111</v>
      </c>
      <c r="D118" s="327" t="str">
        <f t="shared" ref="D118:S118" si="40">IF(D143=0, "", D143)</f>
        <v/>
      </c>
      <c r="E118" s="327" t="str">
        <f t="shared" si="40"/>
        <v/>
      </c>
      <c r="F118" s="327" t="str">
        <f t="shared" si="40"/>
        <v/>
      </c>
      <c r="G118" s="327" t="str">
        <f t="shared" si="40"/>
        <v/>
      </c>
      <c r="H118" s="327" t="str">
        <f t="shared" si="40"/>
        <v/>
      </c>
      <c r="I118" s="327" t="str">
        <f t="shared" si="40"/>
        <v/>
      </c>
      <c r="J118" s="327" t="str">
        <f t="shared" si="40"/>
        <v/>
      </c>
      <c r="K118" s="327" t="str">
        <f t="shared" si="40"/>
        <v/>
      </c>
      <c r="L118" s="327" t="str">
        <f t="shared" si="40"/>
        <v/>
      </c>
      <c r="M118" s="327" t="str">
        <f t="shared" si="40"/>
        <v/>
      </c>
      <c r="N118" s="327" t="str">
        <f t="shared" si="40"/>
        <v/>
      </c>
      <c r="O118" s="327" t="str">
        <f t="shared" si="40"/>
        <v/>
      </c>
      <c r="P118" s="327" t="str">
        <f t="shared" si="40"/>
        <v/>
      </c>
      <c r="Q118" s="327" t="str">
        <f t="shared" si="40"/>
        <v/>
      </c>
      <c r="R118" s="327" t="str">
        <f t="shared" si="40"/>
        <v/>
      </c>
      <c r="S118" s="328" t="str">
        <f t="shared" si="40"/>
        <v/>
      </c>
    </row>
    <row r="119" spans="1:35" hidden="1" x14ac:dyDescent="0.25"/>
    <row r="120" spans="1:35" hidden="1" x14ac:dyDescent="0.25"/>
    <row r="121" spans="1:35" ht="38.25" customHeight="1" thickBot="1" x14ac:dyDescent="0.45">
      <c r="B121" s="243" t="str">
        <f>IF(Language="English", AD121,AF121 )</f>
        <v>ÉTAPE OPTIONNELLE : Examinez les nombres de vos utilisatrices, calculés à partir des données des produits distribués aux établissement que vous avez saisies sur la page précédente.</v>
      </c>
      <c r="C121" s="242"/>
      <c r="D121" s="242"/>
      <c r="E121" s="242"/>
      <c r="F121" s="242"/>
      <c r="G121" s="242"/>
      <c r="H121" s="242"/>
      <c r="I121" s="242"/>
      <c r="J121" s="242"/>
      <c r="K121" s="242"/>
      <c r="L121" s="242"/>
      <c r="M121" s="242"/>
      <c r="N121" s="242"/>
      <c r="O121" s="242"/>
      <c r="P121" s="242"/>
      <c r="Q121" s="242"/>
      <c r="R121" s="242"/>
      <c r="S121" s="242"/>
      <c r="T121" s="232"/>
      <c r="U121" s="232"/>
      <c r="V121" s="232"/>
      <c r="AD121" s="445" t="s">
        <v>1069</v>
      </c>
      <c r="AE121" s="449"/>
      <c r="AF121" s="447" t="s">
        <v>2438</v>
      </c>
    </row>
    <row r="122" spans="1:35" ht="42.75" customHeight="1" thickBot="1" x14ac:dyDescent="0.3">
      <c r="B122" s="236" t="str">
        <f>IF(Language="English", AD122,AF122 )</f>
        <v>Note : Si les taux de complétude étaient inférieurs à 60% pour une année donnée, ces valeurs ont été exclues ci-dessous et ne peuvent pas être utilisées pour produire l'EUM.</v>
      </c>
      <c r="C122" s="230"/>
      <c r="D122" s="230"/>
      <c r="E122" s="230"/>
      <c r="F122" s="230"/>
      <c r="G122" s="230"/>
      <c r="H122" s="230"/>
      <c r="I122" s="230"/>
      <c r="J122" s="230"/>
      <c r="K122" s="230"/>
      <c r="L122" s="230"/>
      <c r="M122" s="230"/>
      <c r="N122" s="230"/>
      <c r="O122" s="230"/>
      <c r="P122" s="230"/>
      <c r="Q122" s="230"/>
      <c r="R122" s="230"/>
      <c r="S122" s="230"/>
      <c r="AD122" s="445" t="s">
        <v>564</v>
      </c>
      <c r="AE122" s="449"/>
      <c r="AF122" s="447" t="s">
        <v>1134</v>
      </c>
    </row>
    <row r="123" spans="1:35" ht="18.75" x14ac:dyDescent="0.25">
      <c r="B123" s="1590" t="str">
        <f>IF(AND(COUNT($D$124:$S$124)&gt;COUNT(D125:S125), Language="English"), "One Year Not Calculated : Check Reporting Rates", IF(AND(COUNT($D$124:$S$124)&gt;COUNT($D$125:$S$125), Language="Francais"), "Un an non calculé : Vérifier les taux de complétude", ""))</f>
        <v>Un an non calculé : Vérifier les taux de complétude</v>
      </c>
      <c r="C123" s="1591"/>
      <c r="D123" s="1581" t="str">
        <f>IF(Language="English",'Language Look Ups'!O33, IF(Language="Francais", 'Language Look Ups'!S33, 'Language Look Ups'!Q33))</f>
        <v>Estimation des Utilisatrices Modernes: Ajusté pour le secteur privé</v>
      </c>
      <c r="E123" s="1533"/>
      <c r="F123" s="1533"/>
      <c r="G123" s="1533"/>
      <c r="H123" s="1533"/>
      <c r="I123" s="1533"/>
      <c r="J123" s="1533"/>
      <c r="K123" s="1533"/>
      <c r="L123" s="1533"/>
      <c r="M123" s="1533"/>
      <c r="N123" s="1533"/>
      <c r="O123" s="1533"/>
      <c r="P123" s="1533"/>
      <c r="Q123" s="1533"/>
      <c r="R123" s="1533"/>
      <c r="S123" s="1534"/>
      <c r="U123" s="1595" t="str">
        <f>'Language Look Ups'!B37</f>
        <v>Valeurs aberrantes*</v>
      </c>
      <c r="V123" s="1595" t="s">
        <v>1205</v>
      </c>
      <c r="X123" s="1596" t="s">
        <v>1195</v>
      </c>
      <c r="Y123" s="1597" t="s">
        <v>1196</v>
      </c>
      <c r="Z123" s="1599" t="s">
        <v>1199</v>
      </c>
      <c r="AA123" s="1600" t="s">
        <v>1200</v>
      </c>
      <c r="AD123" s="445"/>
      <c r="AE123" s="449"/>
      <c r="AF123" s="447"/>
    </row>
    <row r="124" spans="1:35" ht="15.75" thickBot="1" x14ac:dyDescent="0.3">
      <c r="B124" s="1590"/>
      <c r="C124" s="1591"/>
      <c r="D124" s="16">
        <f>'Users Input'!G21</f>
        <v>0</v>
      </c>
      <c r="E124" s="12" t="str">
        <f>'Users Input'!H21</f>
        <v/>
      </c>
      <c r="F124" s="12" t="str">
        <f>'Users Input'!I21</f>
        <v/>
      </c>
      <c r="G124" s="12" t="str">
        <f>'Users Input'!J21</f>
        <v/>
      </c>
      <c r="H124" s="12" t="str">
        <f>'Users Input'!K21</f>
        <v/>
      </c>
      <c r="I124" s="12" t="str">
        <f>'Users Input'!L21</f>
        <v/>
      </c>
      <c r="J124" s="12" t="str">
        <f>'Users Input'!M21</f>
        <v/>
      </c>
      <c r="K124" s="12" t="str">
        <f>'Users Input'!N21</f>
        <v/>
      </c>
      <c r="L124" s="12" t="str">
        <f>'Users Input'!O21</f>
        <v/>
      </c>
      <c r="M124" s="13" t="str">
        <f>'Users Input'!P21</f>
        <v/>
      </c>
      <c r="N124" s="13" t="str">
        <f>'Users Input'!Q21</f>
        <v/>
      </c>
      <c r="O124" s="13" t="str">
        <f>'Users Input'!R21</f>
        <v/>
      </c>
      <c r="P124" s="13" t="str">
        <f>'Users Input'!S21</f>
        <v/>
      </c>
      <c r="Q124" s="13" t="str">
        <f>'Users Input'!T21</f>
        <v/>
      </c>
      <c r="R124" s="13" t="str">
        <f>'Users Input'!U21</f>
        <v/>
      </c>
      <c r="S124" s="13" t="str">
        <f>'Users Input'!V21</f>
        <v/>
      </c>
      <c r="U124" s="1595"/>
      <c r="V124" s="1595"/>
      <c r="X124" s="1596"/>
      <c r="Y124" s="1597"/>
      <c r="Z124" s="1599"/>
      <c r="AA124" s="1600"/>
      <c r="AD124" s="445"/>
      <c r="AE124" s="449"/>
      <c r="AF124" s="447"/>
    </row>
    <row r="125" spans="1:35" ht="19.5" thickBot="1" x14ac:dyDescent="0.35">
      <c r="A125" s="188"/>
      <c r="B125" s="104" t="str">
        <f>'Users Input'!B22</f>
        <v>Méthodes à Long Terme et Permanentes</v>
      </c>
      <c r="C125" s="51"/>
      <c r="D125" s="929" t="str">
        <f>IF(D124="","",IF(SUM(D126:D132)=0,"",(SUM(D126:D132))))</f>
        <v/>
      </c>
      <c r="E125" s="929" t="str">
        <f t="shared" ref="E125:S125" si="41">IF(E124="","",IF(SUM(E126:E132)=0,"",(SUM(E126:E132))))</f>
        <v/>
      </c>
      <c r="F125" s="929" t="str">
        <f t="shared" si="41"/>
        <v/>
      </c>
      <c r="G125" s="929" t="str">
        <f t="shared" si="41"/>
        <v/>
      </c>
      <c r="H125" s="929" t="str">
        <f t="shared" si="41"/>
        <v/>
      </c>
      <c r="I125" s="929" t="str">
        <f t="shared" si="41"/>
        <v/>
      </c>
      <c r="J125" s="929" t="str">
        <f t="shared" si="41"/>
        <v/>
      </c>
      <c r="K125" s="929" t="str">
        <f t="shared" si="41"/>
        <v/>
      </c>
      <c r="L125" s="929" t="str">
        <f t="shared" si="41"/>
        <v/>
      </c>
      <c r="M125" s="929" t="str">
        <f t="shared" si="41"/>
        <v/>
      </c>
      <c r="N125" s="929" t="str">
        <f t="shared" si="41"/>
        <v/>
      </c>
      <c r="O125" s="929" t="str">
        <f t="shared" si="41"/>
        <v/>
      </c>
      <c r="P125" s="929" t="str">
        <f t="shared" si="41"/>
        <v/>
      </c>
      <c r="Q125" s="929" t="str">
        <f t="shared" si="41"/>
        <v/>
      </c>
      <c r="R125" s="929" t="str">
        <f t="shared" si="41"/>
        <v/>
      </c>
      <c r="S125" s="929" t="str">
        <f t="shared" si="41"/>
        <v/>
      </c>
      <c r="T125" s="188"/>
      <c r="U125" s="927"/>
      <c r="V125" s="927"/>
      <c r="W125" s="809"/>
      <c r="X125" s="1596"/>
      <c r="Y125" s="1598"/>
      <c r="Z125" s="1599"/>
      <c r="AA125" s="1600"/>
      <c r="AB125" s="188"/>
      <c r="AC125" s="188"/>
      <c r="AD125" s="446"/>
      <c r="AE125" s="450"/>
      <c r="AF125" s="448"/>
      <c r="AG125" s="188"/>
      <c r="AH125" s="188"/>
      <c r="AI125" s="188"/>
    </row>
    <row r="126" spans="1:35" ht="15.75" thickBot="1" x14ac:dyDescent="0.3">
      <c r="B126" s="1579" t="str">
        <f>'Users Input'!B23</f>
        <v>Stérilisation</v>
      </c>
      <c r="C126" s="274" t="str">
        <f>'Users Input'!C23</f>
        <v>Ligature des trompes</v>
      </c>
      <c r="D126" s="197" t="str">
        <f>IF(D$124="", "", VLOOKUP($C126, 'Users Input'!$CB$23:$CR$46, MATCH('Users Output'!D$124, 'Users Input'!$CB$21:$CR$21, 0), FALSE))</f>
        <v/>
      </c>
      <c r="E126" s="198" t="str">
        <f>IF(E$124="", "", VLOOKUP($C126, 'Users Input'!$CB$23:$CR$46, MATCH('Users Output'!E$124, 'Users Input'!$CB$21:$CR$21, 0), FALSE))</f>
        <v/>
      </c>
      <c r="F126" s="198" t="str">
        <f>IF(F$124="", "", VLOOKUP($C126, 'Users Input'!$CB$23:$CR$46, MATCH('Users Output'!F$124, 'Users Input'!$CB$21:$CR$21, 0), FALSE))</f>
        <v/>
      </c>
      <c r="G126" s="198" t="str">
        <f>IF(G$124="", "", VLOOKUP($C126, 'Users Input'!$CB$23:$CR$46, MATCH('Users Output'!G$124, 'Users Input'!$CB$21:$CR$21, 0), FALSE))</f>
        <v/>
      </c>
      <c r="H126" s="198" t="str">
        <f>IF(H$124="", "", VLOOKUP($C126, 'Users Input'!$CB$23:$CR$46, MATCH('Users Output'!H$124, 'Users Input'!$CB$21:$CR$21, 0), FALSE))</f>
        <v/>
      </c>
      <c r="I126" s="198" t="str">
        <f>IF(I$124="", "", VLOOKUP($C126, 'Users Input'!$CB$23:$CR$46, MATCH('Users Output'!I$124, 'Users Input'!$CB$21:$CR$21, 0), FALSE))</f>
        <v/>
      </c>
      <c r="J126" s="198" t="str">
        <f>IF(J$124="", "", VLOOKUP($C126, 'Users Input'!$CB$23:$CR$46, MATCH('Users Output'!J$124, 'Users Input'!$CB$21:$CR$21, 0), FALSE))</f>
        <v/>
      </c>
      <c r="K126" s="198" t="str">
        <f>IF(K$124="", "", VLOOKUP($C126, 'Users Input'!$CB$23:$CR$46, MATCH('Users Output'!K$124, 'Users Input'!$CB$21:$CR$21, 0), FALSE))</f>
        <v/>
      </c>
      <c r="L126" s="198" t="str">
        <f>IF(L$124="", "", VLOOKUP($C126, 'Users Input'!$CB$23:$CR$46, MATCH('Users Output'!L$124, 'Users Input'!$CB$21:$CR$21, 0), FALSE))</f>
        <v/>
      </c>
      <c r="M126" s="199" t="str">
        <f>IF(M$124="", "", VLOOKUP($C126, 'Users Input'!$CB$23:$CR$46, MATCH('Users Output'!M$124, 'Users Input'!$CB$21:$CR$21, 0), FALSE))</f>
        <v/>
      </c>
      <c r="N126" s="199" t="str">
        <f>IF(N$124="", "", VLOOKUP($C126, 'Users Input'!$CB$23:$CR$46, MATCH('Users Output'!N$124, 'Users Input'!$CB$21:$CR$21, 0), FALSE))</f>
        <v/>
      </c>
      <c r="O126" s="199" t="str">
        <f>IF(O$124="", "", VLOOKUP($C126, 'Users Input'!$CB$23:$CR$46, MATCH('Users Output'!O$124, 'Users Input'!$CB$21:$CR$21, 0), FALSE))</f>
        <v/>
      </c>
      <c r="P126" s="199" t="str">
        <f>IF(P$124="", "", VLOOKUP($C126, 'Users Input'!$CB$23:$CR$46, MATCH('Users Output'!P$124, 'Users Input'!$CB$21:$CR$21, 0), FALSE))</f>
        <v/>
      </c>
      <c r="Q126" s="199" t="str">
        <f>IF(Q$124="", "", VLOOKUP($C126, 'Users Input'!$CB$23:$CR$46, MATCH('Users Output'!Q$124, 'Users Input'!$CB$21:$CR$21, 0), FALSE))</f>
        <v/>
      </c>
      <c r="R126" s="199" t="str">
        <f>IF(R$124="", "", VLOOKUP($C126, 'Users Input'!$CB$23:$CR$46, MATCH('Users Output'!R$124, 'Users Input'!$CB$21:$CR$21, 0), FALSE))</f>
        <v/>
      </c>
      <c r="S126" s="200" t="str">
        <f>IF(S$124="", "", VLOOKUP($C126, 'Users Input'!$CB$23:$CR$46, MATCH('Users Output'!S$124, 'Users Input'!$CB$21:$CR$21, 0), FALSE))</f>
        <v/>
      </c>
      <c r="U126" s="928" t="str">
        <f>IF(COUNTIF($D126:$S126, "&gt;"&amp;Z126)+COUNTIF($D126:$S126, "&lt;"&amp;AA126)&gt;0, $U$123, "")</f>
        <v/>
      </c>
      <c r="V126" s="877" t="str">
        <f t="shared" ref="V126:V132" si="42">IFERROR(IF(U126="", "", "("&amp;TEXT(AA126, "0,000")&amp;" - "&amp;TEXT(Z126, "0,000")&amp;")"), "")</f>
        <v/>
      </c>
      <c r="X126" s="856" t="e">
        <f>AVERAGE($D126:$S126)</f>
        <v>#DIV/0!</v>
      </c>
      <c r="Y126" s="857" t="e">
        <f>STDEV($D126:$S126)*2</f>
        <v>#DIV/0!</v>
      </c>
      <c r="Z126" s="856" t="e">
        <f>X126+Y126</f>
        <v>#DIV/0!</v>
      </c>
      <c r="AA126" s="856" t="e">
        <f>X126-Y126</f>
        <v>#DIV/0!</v>
      </c>
      <c r="AD126" s="445"/>
      <c r="AE126" s="449"/>
      <c r="AF126" s="447"/>
    </row>
    <row r="127" spans="1:35" ht="15.75" thickBot="1" x14ac:dyDescent="0.3">
      <c r="B127" s="1580"/>
      <c r="C127" s="275" t="str">
        <f>'Users Input'!C24</f>
        <v>Vasectomie</v>
      </c>
      <c r="D127" s="91" t="str">
        <f>IF(D$124="", "", VLOOKUP($C127, 'Users Input'!$CB$23:$CR$46, MATCH('Users Output'!D$124, 'Users Input'!$CB$21:$CR$21, 0), FALSE))</f>
        <v/>
      </c>
      <c r="E127" s="92" t="str">
        <f>IF(E$124="", "", VLOOKUP($C127, 'Users Input'!$CB$23:$CR$46, MATCH('Users Output'!E$124, 'Users Input'!$CB$21:$CR$21, 0), FALSE))</f>
        <v/>
      </c>
      <c r="F127" s="92" t="str">
        <f>IF(F$124="", "", VLOOKUP($C127, 'Users Input'!$CB$23:$CR$46, MATCH('Users Output'!F$124, 'Users Input'!$CB$21:$CR$21, 0), FALSE))</f>
        <v/>
      </c>
      <c r="G127" s="92" t="str">
        <f>IF(G$124="", "", VLOOKUP($C127, 'Users Input'!$CB$23:$CR$46, MATCH('Users Output'!G$124, 'Users Input'!$CB$21:$CR$21, 0), FALSE))</f>
        <v/>
      </c>
      <c r="H127" s="92" t="str">
        <f>IF(H$124="", "", VLOOKUP($C127, 'Users Input'!$CB$23:$CR$46, MATCH('Users Output'!H$124, 'Users Input'!$CB$21:$CR$21, 0), FALSE))</f>
        <v/>
      </c>
      <c r="I127" s="92" t="str">
        <f>IF(I$124="", "", VLOOKUP($C127, 'Users Input'!$CB$23:$CR$46, MATCH('Users Output'!I$124, 'Users Input'!$CB$21:$CR$21, 0), FALSE))</f>
        <v/>
      </c>
      <c r="J127" s="92" t="str">
        <f>IF(J$124="", "", VLOOKUP($C127, 'Users Input'!$CB$23:$CR$46, MATCH('Users Output'!J$124, 'Users Input'!$CB$21:$CR$21, 0), FALSE))</f>
        <v/>
      </c>
      <c r="K127" s="92" t="str">
        <f>IF(K$124="", "", VLOOKUP($C127, 'Users Input'!$CB$23:$CR$46, MATCH('Users Output'!K$124, 'Users Input'!$CB$21:$CR$21, 0), FALSE))</f>
        <v/>
      </c>
      <c r="L127" s="92" t="str">
        <f>IF(L$124="", "", VLOOKUP($C127, 'Users Input'!$CB$23:$CR$46, MATCH('Users Output'!L$124, 'Users Input'!$CB$21:$CR$21, 0), FALSE))</f>
        <v/>
      </c>
      <c r="M127" s="93" t="str">
        <f>IF(M$124="", "", VLOOKUP($C127, 'Users Input'!$CB$23:$CR$46, MATCH('Users Output'!M$124, 'Users Input'!$CB$21:$CR$21, 0), FALSE))</f>
        <v/>
      </c>
      <c r="N127" s="93" t="str">
        <f>IF(N$124="", "", VLOOKUP($C127, 'Users Input'!$CB$23:$CR$46, MATCH('Users Output'!N$124, 'Users Input'!$CB$21:$CR$21, 0), FALSE))</f>
        <v/>
      </c>
      <c r="O127" s="93" t="str">
        <f>IF(O$124="", "", VLOOKUP($C127, 'Users Input'!$CB$23:$CR$46, MATCH('Users Output'!O$124, 'Users Input'!$CB$21:$CR$21, 0), FALSE))</f>
        <v/>
      </c>
      <c r="P127" s="93" t="str">
        <f>IF(P$124="", "", VLOOKUP($C127, 'Users Input'!$CB$23:$CR$46, MATCH('Users Output'!P$124, 'Users Input'!$CB$21:$CR$21, 0), FALSE))</f>
        <v/>
      </c>
      <c r="Q127" s="93" t="str">
        <f>IF(Q$124="", "", VLOOKUP($C127, 'Users Input'!$CB$23:$CR$46, MATCH('Users Output'!Q$124, 'Users Input'!$CB$21:$CR$21, 0), FALSE))</f>
        <v/>
      </c>
      <c r="R127" s="93" t="str">
        <f>IF(R$124="", "", VLOOKUP($C127, 'Users Input'!$CB$23:$CR$46, MATCH('Users Output'!R$124, 'Users Input'!$CB$21:$CR$21, 0), FALSE))</f>
        <v/>
      </c>
      <c r="S127" s="94" t="str">
        <f>IF(S$124="", "", VLOOKUP($C127, 'Users Input'!$CB$23:$CR$46, MATCH('Users Output'!S$124, 'Users Input'!$CB$21:$CR$21, 0), FALSE))</f>
        <v/>
      </c>
      <c r="U127" s="928" t="str">
        <f t="shared" ref="U127:U132" si="43">IF(COUNTIF($D127:$S127, "&gt;"&amp;Z127)+COUNTIF($D127:$S127, "&lt;"&amp;AA127)&gt;0, $U$123, "")</f>
        <v/>
      </c>
      <c r="V127" s="877" t="str">
        <f t="shared" si="42"/>
        <v/>
      </c>
      <c r="X127" s="856" t="e">
        <f t="shared" ref="X127:X132" si="44">AVERAGE($D127:$S127)</f>
        <v>#DIV/0!</v>
      </c>
      <c r="Y127" s="857" t="e">
        <f t="shared" ref="Y127:Y132" si="45">STDEV($D127:$S127)*2</f>
        <v>#DIV/0!</v>
      </c>
      <c r="Z127" s="856" t="e">
        <f t="shared" ref="Z127:Z132" si="46">X127+Y127</f>
        <v>#DIV/0!</v>
      </c>
      <c r="AA127" s="856" t="e">
        <f t="shared" ref="AA127:AA132" si="47">X127-Y127</f>
        <v>#DIV/0!</v>
      </c>
      <c r="AD127" s="445"/>
      <c r="AE127" s="449"/>
      <c r="AF127" s="447"/>
    </row>
    <row r="128" spans="1:35" ht="15.75" thickBot="1" x14ac:dyDescent="0.3">
      <c r="B128" s="1579" t="str">
        <f>'Users Input'!B25</f>
        <v>DIU</v>
      </c>
      <c r="C128" s="274" t="str">
        <f>'Users Input'!C25</f>
        <v>Copper- T 380-A DIU</v>
      </c>
      <c r="D128" s="95" t="str">
        <f>IF(D$124="", "", VLOOKUP($C128, 'Users Input'!$CB$23:$CR$46, MATCH('Users Output'!D$124, 'Users Input'!$CB$21:$CR$21, 0), FALSE))</f>
        <v/>
      </c>
      <c r="E128" s="201" t="str">
        <f>IF(E$124="", "", VLOOKUP($C128, 'Users Input'!$CB$23:$CR$46, MATCH('Users Output'!E$124, 'Users Input'!$CB$21:$CR$21, 0), FALSE))</f>
        <v/>
      </c>
      <c r="F128" s="201" t="str">
        <f>IF(F$124="", "", VLOOKUP($C128, 'Users Input'!$CB$23:$CR$46, MATCH('Users Output'!F$124, 'Users Input'!$CB$21:$CR$21, 0), FALSE))</f>
        <v/>
      </c>
      <c r="G128" s="201" t="str">
        <f>IF(G$124="", "", VLOOKUP($C128, 'Users Input'!$CB$23:$CR$46, MATCH('Users Output'!G$124, 'Users Input'!$CB$21:$CR$21, 0), FALSE))</f>
        <v/>
      </c>
      <c r="H128" s="201" t="str">
        <f>IF(H$124="", "", VLOOKUP($C128, 'Users Input'!$CB$23:$CR$46, MATCH('Users Output'!H$124, 'Users Input'!$CB$21:$CR$21, 0), FALSE))</f>
        <v/>
      </c>
      <c r="I128" s="201" t="str">
        <f>IF(I$124="", "", VLOOKUP($C128, 'Users Input'!$CB$23:$CR$46, MATCH('Users Output'!I$124, 'Users Input'!$CB$21:$CR$21, 0), FALSE))</f>
        <v/>
      </c>
      <c r="J128" s="201" t="str">
        <f>IF(J$124="", "", VLOOKUP($C128, 'Users Input'!$CB$23:$CR$46, MATCH('Users Output'!J$124, 'Users Input'!$CB$21:$CR$21, 0), FALSE))</f>
        <v/>
      </c>
      <c r="K128" s="201" t="str">
        <f>IF(K$124="", "", VLOOKUP($C128, 'Users Input'!$CB$23:$CR$46, MATCH('Users Output'!K$124, 'Users Input'!$CB$21:$CR$21, 0), FALSE))</f>
        <v/>
      </c>
      <c r="L128" s="201" t="str">
        <f>IF(L$124="", "", VLOOKUP($C128, 'Users Input'!$CB$23:$CR$46, MATCH('Users Output'!L$124, 'Users Input'!$CB$21:$CR$21, 0), FALSE))</f>
        <v/>
      </c>
      <c r="M128" s="96" t="str">
        <f>IF(M$124="", "", VLOOKUP($C128, 'Users Input'!$CB$23:$CR$46, MATCH('Users Output'!M$124, 'Users Input'!$CB$21:$CR$21, 0), FALSE))</f>
        <v/>
      </c>
      <c r="N128" s="96" t="str">
        <f>IF(N$124="", "", VLOOKUP($C128, 'Users Input'!$CB$23:$CR$46, MATCH('Users Output'!N$124, 'Users Input'!$CB$21:$CR$21, 0), FALSE))</f>
        <v/>
      </c>
      <c r="O128" s="96" t="str">
        <f>IF(O$124="", "", VLOOKUP($C128, 'Users Input'!$CB$23:$CR$46, MATCH('Users Output'!O$124, 'Users Input'!$CB$21:$CR$21, 0), FALSE))</f>
        <v/>
      </c>
      <c r="P128" s="96" t="str">
        <f>IF(P$124="", "", VLOOKUP($C128, 'Users Input'!$CB$23:$CR$46, MATCH('Users Output'!P$124, 'Users Input'!$CB$21:$CR$21, 0), FALSE))</f>
        <v/>
      </c>
      <c r="Q128" s="96" t="str">
        <f>IF(Q$124="", "", VLOOKUP($C128, 'Users Input'!$CB$23:$CR$46, MATCH('Users Output'!Q$124, 'Users Input'!$CB$21:$CR$21, 0), FALSE))</f>
        <v/>
      </c>
      <c r="R128" s="96" t="str">
        <f>IF(R$124="", "", VLOOKUP($C128, 'Users Input'!$CB$23:$CR$46, MATCH('Users Output'!R$124, 'Users Input'!$CB$21:$CR$21, 0), FALSE))</f>
        <v/>
      </c>
      <c r="S128" s="97" t="str">
        <f>IF(S$124="", "", VLOOKUP($C128, 'Users Input'!$CB$23:$CR$46, MATCH('Users Output'!S$124, 'Users Input'!$CB$21:$CR$21, 0), FALSE))</f>
        <v/>
      </c>
      <c r="U128" s="928" t="str">
        <f t="shared" si="43"/>
        <v/>
      </c>
      <c r="V128" s="877" t="str">
        <f t="shared" si="42"/>
        <v/>
      </c>
      <c r="X128" s="856" t="e">
        <f t="shared" si="44"/>
        <v>#DIV/0!</v>
      </c>
      <c r="Y128" s="857" t="e">
        <f t="shared" si="45"/>
        <v>#DIV/0!</v>
      </c>
      <c r="Z128" s="856" t="e">
        <f t="shared" si="46"/>
        <v>#DIV/0!</v>
      </c>
      <c r="AA128" s="856" t="e">
        <f t="shared" si="47"/>
        <v>#DIV/0!</v>
      </c>
      <c r="AD128" s="445"/>
      <c r="AE128" s="449"/>
      <c r="AF128" s="447"/>
    </row>
    <row r="129" spans="1:35" ht="15.75" thickBot="1" x14ac:dyDescent="0.3">
      <c r="B129" s="1580"/>
      <c r="C129" s="275" t="str">
        <f>'Users Input'!C26</f>
        <v>DIU Hormonal (LNG-IUS)</v>
      </c>
      <c r="D129" s="91" t="str">
        <f>IF(D$124="", "", VLOOKUP($C129, 'Users Input'!$CB$23:$CR$46, MATCH('Users Output'!D$124, 'Users Input'!$CB$21:$CR$21, 0), FALSE))</f>
        <v/>
      </c>
      <c r="E129" s="92" t="str">
        <f>IF(E$124="", "", VLOOKUP($C129, 'Users Input'!$CB$23:$CR$46, MATCH('Users Output'!E$124, 'Users Input'!$CB$21:$CR$21, 0), FALSE))</f>
        <v/>
      </c>
      <c r="F129" s="92" t="str">
        <f>IF(F$124="", "", VLOOKUP($C129, 'Users Input'!$CB$23:$CR$46, MATCH('Users Output'!F$124, 'Users Input'!$CB$21:$CR$21, 0), FALSE))</f>
        <v/>
      </c>
      <c r="G129" s="92" t="str">
        <f>IF(G$124="", "", VLOOKUP($C129, 'Users Input'!$CB$23:$CR$46, MATCH('Users Output'!G$124, 'Users Input'!$CB$21:$CR$21, 0), FALSE))</f>
        <v/>
      </c>
      <c r="H129" s="92" t="str">
        <f>IF(H$124="", "", VLOOKUP($C129, 'Users Input'!$CB$23:$CR$46, MATCH('Users Output'!H$124, 'Users Input'!$CB$21:$CR$21, 0), FALSE))</f>
        <v/>
      </c>
      <c r="I129" s="92" t="str">
        <f>IF(I$124="", "", VLOOKUP($C129, 'Users Input'!$CB$23:$CR$46, MATCH('Users Output'!I$124, 'Users Input'!$CB$21:$CR$21, 0), FALSE))</f>
        <v/>
      </c>
      <c r="J129" s="92" t="str">
        <f>IF(J$124="", "", VLOOKUP($C129, 'Users Input'!$CB$23:$CR$46, MATCH('Users Output'!J$124, 'Users Input'!$CB$21:$CR$21, 0), FALSE))</f>
        <v/>
      </c>
      <c r="K129" s="92" t="str">
        <f>IF(K$124="", "", VLOOKUP($C129, 'Users Input'!$CB$23:$CR$46, MATCH('Users Output'!K$124, 'Users Input'!$CB$21:$CR$21, 0), FALSE))</f>
        <v/>
      </c>
      <c r="L129" s="92" t="str">
        <f>IF(L$124="", "", VLOOKUP($C129, 'Users Input'!$CB$23:$CR$46, MATCH('Users Output'!L$124, 'Users Input'!$CB$21:$CR$21, 0), FALSE))</f>
        <v/>
      </c>
      <c r="M129" s="93" t="str">
        <f>IF(M$124="", "", VLOOKUP($C129, 'Users Input'!$CB$23:$CR$46, MATCH('Users Output'!M$124, 'Users Input'!$CB$21:$CR$21, 0), FALSE))</f>
        <v/>
      </c>
      <c r="N129" s="93" t="str">
        <f>IF(N$124="", "", VLOOKUP($C129, 'Users Input'!$CB$23:$CR$46, MATCH('Users Output'!N$124, 'Users Input'!$CB$21:$CR$21, 0), FALSE))</f>
        <v/>
      </c>
      <c r="O129" s="93" t="str">
        <f>IF(O$124="", "", VLOOKUP($C129, 'Users Input'!$CB$23:$CR$46, MATCH('Users Output'!O$124, 'Users Input'!$CB$21:$CR$21, 0), FALSE))</f>
        <v/>
      </c>
      <c r="P129" s="93" t="str">
        <f>IF(P$124="", "", VLOOKUP($C129, 'Users Input'!$CB$23:$CR$46, MATCH('Users Output'!P$124, 'Users Input'!$CB$21:$CR$21, 0), FALSE))</f>
        <v/>
      </c>
      <c r="Q129" s="93" t="str">
        <f>IF(Q$124="", "", VLOOKUP($C129, 'Users Input'!$CB$23:$CR$46, MATCH('Users Output'!Q$124, 'Users Input'!$CB$21:$CR$21, 0), FALSE))</f>
        <v/>
      </c>
      <c r="R129" s="93" t="str">
        <f>IF(R$124="", "", VLOOKUP($C129, 'Users Input'!$CB$23:$CR$46, MATCH('Users Output'!R$124, 'Users Input'!$CB$21:$CR$21, 0), FALSE))</f>
        <v/>
      </c>
      <c r="S129" s="94" t="str">
        <f>IF(S$124="", "", VLOOKUP($C129, 'Users Input'!$CB$23:$CR$46, MATCH('Users Output'!S$124, 'Users Input'!$CB$21:$CR$21, 0), FALSE))</f>
        <v/>
      </c>
      <c r="U129" s="928" t="str">
        <f t="shared" si="43"/>
        <v/>
      </c>
      <c r="V129" s="877" t="str">
        <f t="shared" si="42"/>
        <v/>
      </c>
      <c r="X129" s="856" t="e">
        <f t="shared" si="44"/>
        <v>#DIV/0!</v>
      </c>
      <c r="Y129" s="857" t="e">
        <f t="shared" si="45"/>
        <v>#DIV/0!</v>
      </c>
      <c r="Z129" s="856" t="e">
        <f t="shared" si="46"/>
        <v>#DIV/0!</v>
      </c>
      <c r="AA129" s="856" t="e">
        <f t="shared" si="47"/>
        <v>#DIV/0!</v>
      </c>
      <c r="AD129" s="445"/>
      <c r="AE129" s="449"/>
      <c r="AF129" s="447"/>
    </row>
    <row r="130" spans="1:35" ht="15.75" thickBot="1" x14ac:dyDescent="0.3">
      <c r="B130" s="1579" t="str">
        <f>'Users Input'!B27</f>
        <v>Implant</v>
      </c>
      <c r="C130" s="274" t="str">
        <f>'Users Input'!C27</f>
        <v>Implant de 3 ans (Implanon, Levoplant)</v>
      </c>
      <c r="D130" s="87" t="str">
        <f>IF(D$124="", "", VLOOKUP($C130, 'Users Input'!$CB$23:$CR$46, MATCH('Users Output'!D$124, 'Users Input'!$CB$21:$CR$21, 0), FALSE))</f>
        <v/>
      </c>
      <c r="E130" s="88" t="str">
        <f>IF(E$124="", "", VLOOKUP($C130, 'Users Input'!$CB$23:$CR$46, MATCH('Users Output'!E$124, 'Users Input'!$CB$21:$CR$21, 0), FALSE))</f>
        <v/>
      </c>
      <c r="F130" s="88" t="str">
        <f>IF(F$124="", "", VLOOKUP($C130, 'Users Input'!$CB$23:$CR$46, MATCH('Users Output'!F$124, 'Users Input'!$CB$21:$CR$21, 0), FALSE))</f>
        <v/>
      </c>
      <c r="G130" s="88" t="str">
        <f>IF(G$124="", "", VLOOKUP($C130, 'Users Input'!$CB$23:$CR$46, MATCH('Users Output'!G$124, 'Users Input'!$CB$21:$CR$21, 0), FALSE))</f>
        <v/>
      </c>
      <c r="H130" s="88" t="str">
        <f>IF(H$124="", "", VLOOKUP($C130, 'Users Input'!$CB$23:$CR$46, MATCH('Users Output'!H$124, 'Users Input'!$CB$21:$CR$21, 0), FALSE))</f>
        <v/>
      </c>
      <c r="I130" s="88" t="str">
        <f>IF(I$124="", "", VLOOKUP($C130, 'Users Input'!$CB$23:$CR$46, MATCH('Users Output'!I$124, 'Users Input'!$CB$21:$CR$21, 0), FALSE))</f>
        <v/>
      </c>
      <c r="J130" s="88" t="str">
        <f>IF(J$124="", "", VLOOKUP($C130, 'Users Input'!$CB$23:$CR$46, MATCH('Users Output'!J$124, 'Users Input'!$CB$21:$CR$21, 0), FALSE))</f>
        <v/>
      </c>
      <c r="K130" s="88" t="str">
        <f>IF(K$124="", "", VLOOKUP($C130, 'Users Input'!$CB$23:$CR$46, MATCH('Users Output'!K$124, 'Users Input'!$CB$21:$CR$21, 0), FALSE))</f>
        <v/>
      </c>
      <c r="L130" s="88" t="str">
        <f>IF(L$124="", "", VLOOKUP($C130, 'Users Input'!$CB$23:$CR$46, MATCH('Users Output'!L$124, 'Users Input'!$CB$21:$CR$21, 0), FALSE))</f>
        <v/>
      </c>
      <c r="M130" s="89" t="str">
        <f>IF(M$124="", "", VLOOKUP($C130, 'Users Input'!$CB$23:$CR$46, MATCH('Users Output'!M$124, 'Users Input'!$CB$21:$CR$21, 0), FALSE))</f>
        <v/>
      </c>
      <c r="N130" s="89" t="str">
        <f>IF(N$124="", "", VLOOKUP($C130, 'Users Input'!$CB$23:$CR$46, MATCH('Users Output'!N$124, 'Users Input'!$CB$21:$CR$21, 0), FALSE))</f>
        <v/>
      </c>
      <c r="O130" s="89" t="str">
        <f>IF(O$124="", "", VLOOKUP($C130, 'Users Input'!$CB$23:$CR$46, MATCH('Users Output'!O$124, 'Users Input'!$CB$21:$CR$21, 0), FALSE))</f>
        <v/>
      </c>
      <c r="P130" s="89" t="str">
        <f>IF(P$124="", "", VLOOKUP($C130, 'Users Input'!$CB$23:$CR$46, MATCH('Users Output'!P$124, 'Users Input'!$CB$21:$CR$21, 0), FALSE))</f>
        <v/>
      </c>
      <c r="Q130" s="89" t="str">
        <f>IF(Q$124="", "", VLOOKUP($C130, 'Users Input'!$CB$23:$CR$46, MATCH('Users Output'!Q$124, 'Users Input'!$CB$21:$CR$21, 0), FALSE))</f>
        <v/>
      </c>
      <c r="R130" s="89" t="str">
        <f>IF(R$124="", "", VLOOKUP($C130, 'Users Input'!$CB$23:$CR$46, MATCH('Users Output'!R$124, 'Users Input'!$CB$21:$CR$21, 0), FALSE))</f>
        <v/>
      </c>
      <c r="S130" s="90" t="str">
        <f>IF(S$124="", "", VLOOKUP($C130, 'Users Input'!$CB$23:$CR$46, MATCH('Users Output'!S$124, 'Users Input'!$CB$21:$CR$21, 0), FALSE))</f>
        <v/>
      </c>
      <c r="U130" s="928" t="str">
        <f t="shared" si="43"/>
        <v/>
      </c>
      <c r="V130" s="877" t="str">
        <f t="shared" si="42"/>
        <v/>
      </c>
      <c r="X130" s="856" t="e">
        <f t="shared" si="44"/>
        <v>#DIV/0!</v>
      </c>
      <c r="Y130" s="857" t="e">
        <f t="shared" si="45"/>
        <v>#DIV/0!</v>
      </c>
      <c r="Z130" s="856" t="e">
        <f t="shared" si="46"/>
        <v>#DIV/0!</v>
      </c>
      <c r="AA130" s="856" t="e">
        <f t="shared" si="47"/>
        <v>#DIV/0!</v>
      </c>
      <c r="AD130" s="445"/>
      <c r="AE130" s="449"/>
      <c r="AF130" s="447"/>
    </row>
    <row r="131" spans="1:35" ht="15.75" thickBot="1" x14ac:dyDescent="0.3">
      <c r="B131" s="1515"/>
      <c r="C131" s="277" t="str">
        <f>'Users Input'!C28</f>
        <v>Implant de 4 ans (Sino-Implant)</v>
      </c>
      <c r="D131" s="79" t="str">
        <f>IF(D$124="", "", VLOOKUP($C131, 'Users Input'!$CB$23:$CR$46, MATCH('Users Output'!D$124, 'Users Input'!$CB$21:$CR$21, 0), FALSE))</f>
        <v/>
      </c>
      <c r="E131" s="80" t="str">
        <f>IF(E$124="", "", VLOOKUP($C131, 'Users Input'!$CB$23:$CR$46, MATCH('Users Output'!E$124, 'Users Input'!$CB$21:$CR$21, 0), FALSE))</f>
        <v/>
      </c>
      <c r="F131" s="80" t="str">
        <f>IF(F$124="", "", VLOOKUP($C131, 'Users Input'!$CB$23:$CR$46, MATCH('Users Output'!F$124, 'Users Input'!$CB$21:$CR$21, 0), FALSE))</f>
        <v/>
      </c>
      <c r="G131" s="80" t="str">
        <f>IF(G$124="", "", VLOOKUP($C131, 'Users Input'!$CB$23:$CR$46, MATCH('Users Output'!G$124, 'Users Input'!$CB$21:$CR$21, 0), FALSE))</f>
        <v/>
      </c>
      <c r="H131" s="80" t="str">
        <f>IF(H$124="", "", VLOOKUP($C131, 'Users Input'!$CB$23:$CR$46, MATCH('Users Output'!H$124, 'Users Input'!$CB$21:$CR$21, 0), FALSE))</f>
        <v/>
      </c>
      <c r="I131" s="80" t="str">
        <f>IF(I$124="", "", VLOOKUP($C131, 'Users Input'!$CB$23:$CR$46, MATCH('Users Output'!I$124, 'Users Input'!$CB$21:$CR$21, 0), FALSE))</f>
        <v/>
      </c>
      <c r="J131" s="80" t="str">
        <f>IF(J$124="", "", VLOOKUP($C131, 'Users Input'!$CB$23:$CR$46, MATCH('Users Output'!J$124, 'Users Input'!$CB$21:$CR$21, 0), FALSE))</f>
        <v/>
      </c>
      <c r="K131" s="80" t="str">
        <f>IF(K$124="", "", VLOOKUP($C131, 'Users Input'!$CB$23:$CR$46, MATCH('Users Output'!K$124, 'Users Input'!$CB$21:$CR$21, 0), FALSE))</f>
        <v/>
      </c>
      <c r="L131" s="80" t="str">
        <f>IF(L$124="", "", VLOOKUP($C131, 'Users Input'!$CB$23:$CR$46, MATCH('Users Output'!L$124, 'Users Input'!$CB$21:$CR$21, 0), FALSE))</f>
        <v/>
      </c>
      <c r="M131" s="81" t="str">
        <f>IF(M$124="", "", VLOOKUP($C131, 'Users Input'!$CB$23:$CR$46, MATCH('Users Output'!M$124, 'Users Input'!$CB$21:$CR$21, 0), FALSE))</f>
        <v/>
      </c>
      <c r="N131" s="81" t="str">
        <f>IF(N$124="", "", VLOOKUP($C131, 'Users Input'!$CB$23:$CR$46, MATCH('Users Output'!N$124, 'Users Input'!$CB$21:$CR$21, 0), FALSE))</f>
        <v/>
      </c>
      <c r="O131" s="81" t="str">
        <f>IF(O$124="", "", VLOOKUP($C131, 'Users Input'!$CB$23:$CR$46, MATCH('Users Output'!O$124, 'Users Input'!$CB$21:$CR$21, 0), FALSE))</f>
        <v/>
      </c>
      <c r="P131" s="81" t="str">
        <f>IF(P$124="", "", VLOOKUP($C131, 'Users Input'!$CB$23:$CR$46, MATCH('Users Output'!P$124, 'Users Input'!$CB$21:$CR$21, 0), FALSE))</f>
        <v/>
      </c>
      <c r="Q131" s="81" t="str">
        <f>IF(Q$124="", "", VLOOKUP($C131, 'Users Input'!$CB$23:$CR$46, MATCH('Users Output'!Q$124, 'Users Input'!$CB$21:$CR$21, 0), FALSE))</f>
        <v/>
      </c>
      <c r="R131" s="81" t="str">
        <f>IF(R$124="", "", VLOOKUP($C131, 'Users Input'!$CB$23:$CR$46, MATCH('Users Output'!R$124, 'Users Input'!$CB$21:$CR$21, 0), FALSE))</f>
        <v/>
      </c>
      <c r="S131" s="82" t="str">
        <f>IF(S$124="", "", VLOOKUP($C131, 'Users Input'!$CB$23:$CR$46, MATCH('Users Output'!S$124, 'Users Input'!$CB$21:$CR$21, 0), FALSE))</f>
        <v/>
      </c>
      <c r="U131" s="928" t="str">
        <f t="shared" si="43"/>
        <v/>
      </c>
      <c r="V131" s="877" t="str">
        <f t="shared" si="42"/>
        <v/>
      </c>
      <c r="X131" s="856" t="e">
        <f t="shared" si="44"/>
        <v>#DIV/0!</v>
      </c>
      <c r="Y131" s="857" t="e">
        <f t="shared" si="45"/>
        <v>#DIV/0!</v>
      </c>
      <c r="Z131" s="856" t="e">
        <f t="shared" si="46"/>
        <v>#DIV/0!</v>
      </c>
      <c r="AA131" s="856" t="e">
        <f t="shared" si="47"/>
        <v>#DIV/0!</v>
      </c>
      <c r="AD131" s="445"/>
      <c r="AE131" s="449"/>
      <c r="AF131" s="447"/>
    </row>
    <row r="132" spans="1:35" ht="15.75" thickBot="1" x14ac:dyDescent="0.3">
      <c r="B132" s="1580"/>
      <c r="C132" s="275" t="str">
        <f>'Users Input'!C29</f>
        <v>Implant de 5 ans (Jadelle)</v>
      </c>
      <c r="D132" s="83" t="str">
        <f>IF(D$124="", "", VLOOKUP($C132, 'Users Input'!$CB$23:$CR$46, MATCH('Users Output'!D$124, 'Users Input'!$CB$21:$CR$21, 0), FALSE))</f>
        <v/>
      </c>
      <c r="E132" s="84" t="str">
        <f>IF(E$124="", "", VLOOKUP($C132, 'Users Input'!$CB$23:$CR$46, MATCH('Users Output'!E$124, 'Users Input'!$CB$21:$CR$21, 0), FALSE))</f>
        <v/>
      </c>
      <c r="F132" s="84" t="str">
        <f>IF(F$124="", "", VLOOKUP($C132, 'Users Input'!$CB$23:$CR$46, MATCH('Users Output'!F$124, 'Users Input'!$CB$21:$CR$21, 0), FALSE))</f>
        <v/>
      </c>
      <c r="G132" s="84" t="str">
        <f>IF(G$124="", "", VLOOKUP($C132, 'Users Input'!$CB$23:$CR$46, MATCH('Users Output'!G$124, 'Users Input'!$CB$21:$CR$21, 0), FALSE))</f>
        <v/>
      </c>
      <c r="H132" s="84" t="str">
        <f>IF(H$124="", "", VLOOKUP($C132, 'Users Input'!$CB$23:$CR$46, MATCH('Users Output'!H$124, 'Users Input'!$CB$21:$CR$21, 0), FALSE))</f>
        <v/>
      </c>
      <c r="I132" s="84" t="str">
        <f>IF(I$124="", "", VLOOKUP($C132, 'Users Input'!$CB$23:$CR$46, MATCH('Users Output'!I$124, 'Users Input'!$CB$21:$CR$21, 0), FALSE))</f>
        <v/>
      </c>
      <c r="J132" s="84" t="str">
        <f>IF(J$124="", "", VLOOKUP($C132, 'Users Input'!$CB$23:$CR$46, MATCH('Users Output'!J$124, 'Users Input'!$CB$21:$CR$21, 0), FALSE))</f>
        <v/>
      </c>
      <c r="K132" s="84" t="str">
        <f>IF(K$124="", "", VLOOKUP($C132, 'Users Input'!$CB$23:$CR$46, MATCH('Users Output'!K$124, 'Users Input'!$CB$21:$CR$21, 0), FALSE))</f>
        <v/>
      </c>
      <c r="L132" s="84" t="str">
        <f>IF(L$124="", "", VLOOKUP($C132, 'Users Input'!$CB$23:$CR$46, MATCH('Users Output'!L$124, 'Users Input'!$CB$21:$CR$21, 0), FALSE))</f>
        <v/>
      </c>
      <c r="M132" s="85" t="str">
        <f>IF(M$124="", "", VLOOKUP($C132, 'Users Input'!$CB$23:$CR$46, MATCH('Users Output'!M$124, 'Users Input'!$CB$21:$CR$21, 0), FALSE))</f>
        <v/>
      </c>
      <c r="N132" s="85" t="str">
        <f>IF(N$124="", "", VLOOKUP($C132, 'Users Input'!$CB$23:$CR$46, MATCH('Users Output'!N$124, 'Users Input'!$CB$21:$CR$21, 0), FALSE))</f>
        <v/>
      </c>
      <c r="O132" s="85" t="str">
        <f>IF(O$124="", "", VLOOKUP($C132, 'Users Input'!$CB$23:$CR$46, MATCH('Users Output'!O$124, 'Users Input'!$CB$21:$CR$21, 0), FALSE))</f>
        <v/>
      </c>
      <c r="P132" s="85" t="str">
        <f>IF(P$124="", "", VLOOKUP($C132, 'Users Input'!$CB$23:$CR$46, MATCH('Users Output'!P$124, 'Users Input'!$CB$21:$CR$21, 0), FALSE))</f>
        <v/>
      </c>
      <c r="Q132" s="85" t="str">
        <f>IF(Q$124="", "", VLOOKUP($C132, 'Users Input'!$CB$23:$CR$46, MATCH('Users Output'!Q$124, 'Users Input'!$CB$21:$CR$21, 0), FALSE))</f>
        <v/>
      </c>
      <c r="R132" s="85" t="str">
        <f>IF(R$124="", "", VLOOKUP($C132, 'Users Input'!$CB$23:$CR$46, MATCH('Users Output'!R$124, 'Users Input'!$CB$21:$CR$21, 0), FALSE))</f>
        <v/>
      </c>
      <c r="S132" s="86" t="str">
        <f>IF(S$124="", "", VLOOKUP($C132, 'Users Input'!$CB$23:$CR$46, MATCH('Users Output'!S$124, 'Users Input'!$CB$21:$CR$21, 0), FALSE))</f>
        <v/>
      </c>
      <c r="U132" s="928" t="str">
        <f t="shared" si="43"/>
        <v/>
      </c>
      <c r="V132" s="877" t="str">
        <f t="shared" si="42"/>
        <v/>
      </c>
      <c r="X132" s="856" t="e">
        <f t="shared" si="44"/>
        <v>#DIV/0!</v>
      </c>
      <c r="Y132" s="857" t="e">
        <f t="shared" si="45"/>
        <v>#DIV/0!</v>
      </c>
      <c r="Z132" s="856" t="e">
        <f t="shared" si="46"/>
        <v>#DIV/0!</v>
      </c>
      <c r="AA132" s="856" t="e">
        <f t="shared" si="47"/>
        <v>#DIV/0!</v>
      </c>
      <c r="AD132" s="445"/>
      <c r="AE132" s="449"/>
      <c r="AF132" s="447"/>
    </row>
    <row r="133" spans="1:35" ht="11.25" customHeight="1" thickBot="1" x14ac:dyDescent="0.3">
      <c r="C133" s="279"/>
      <c r="U133" s="41"/>
      <c r="V133" s="41"/>
      <c r="AD133" s="445"/>
      <c r="AE133" s="449"/>
      <c r="AF133" s="447"/>
    </row>
    <row r="134" spans="1:35" ht="19.5" thickBot="1" x14ac:dyDescent="0.35">
      <c r="A134" s="188"/>
      <c r="B134" s="104" t="str">
        <f>'Users Input'!B31</f>
        <v>Méthodes à Court Terme</v>
      </c>
      <c r="C134" s="280"/>
      <c r="D134" s="929" t="str">
        <f>IF(D124="", "", IF( SUM(D135:D149)=0, "",  SUM(D135:D149)))</f>
        <v/>
      </c>
      <c r="E134" s="929" t="str">
        <f t="shared" ref="E134:S134" si="48">IF(E124="", "", IF( SUM(E135:E149)=0, "",  SUM(E135:E149)))</f>
        <v/>
      </c>
      <c r="F134" s="929" t="str">
        <f t="shared" si="48"/>
        <v/>
      </c>
      <c r="G134" s="929" t="str">
        <f t="shared" si="48"/>
        <v/>
      </c>
      <c r="H134" s="929" t="str">
        <f t="shared" si="48"/>
        <v/>
      </c>
      <c r="I134" s="929" t="str">
        <f t="shared" si="48"/>
        <v/>
      </c>
      <c r="J134" s="929" t="str">
        <f t="shared" si="48"/>
        <v/>
      </c>
      <c r="K134" s="929" t="str">
        <f t="shared" si="48"/>
        <v/>
      </c>
      <c r="L134" s="929" t="str">
        <f t="shared" si="48"/>
        <v/>
      </c>
      <c r="M134" s="929" t="str">
        <f t="shared" si="48"/>
        <v/>
      </c>
      <c r="N134" s="929" t="str">
        <f t="shared" si="48"/>
        <v/>
      </c>
      <c r="O134" s="929" t="str">
        <f t="shared" si="48"/>
        <v/>
      </c>
      <c r="P134" s="929" t="str">
        <f t="shared" si="48"/>
        <v/>
      </c>
      <c r="Q134" s="929" t="str">
        <f t="shared" si="48"/>
        <v/>
      </c>
      <c r="R134" s="929" t="str">
        <f t="shared" si="48"/>
        <v/>
      </c>
      <c r="S134" s="929" t="str">
        <f t="shared" si="48"/>
        <v/>
      </c>
      <c r="T134" s="188"/>
      <c r="U134" s="927"/>
      <c r="V134" s="927"/>
      <c r="W134" s="809"/>
      <c r="X134" s="188"/>
      <c r="Y134" s="188"/>
      <c r="Z134" s="188"/>
      <c r="AA134" s="188"/>
      <c r="AB134" s="188"/>
      <c r="AC134" s="188"/>
      <c r="AD134" s="446"/>
      <c r="AE134" s="450"/>
      <c r="AF134" s="448"/>
      <c r="AG134" s="188"/>
      <c r="AH134" s="188"/>
      <c r="AI134" s="188"/>
    </row>
    <row r="135" spans="1:35" ht="15.75" thickBot="1" x14ac:dyDescent="0.3">
      <c r="B135" s="1579" t="str">
        <f>'Users Input'!B32</f>
        <v>Produits injectables</v>
      </c>
      <c r="C135" s="274" t="str">
        <f>'Users Input'!C32</f>
        <v>Depo Provera (DMPA)</v>
      </c>
      <c r="D135" s="197" t="str">
        <f>IF(D$124="", "", VLOOKUP($C135, 'Users Input'!$CB$23:$CR$46, MATCH('Users Output'!D$124, 'Users Input'!$CB$21:$CR$21, 0), FALSE))</f>
        <v/>
      </c>
      <c r="E135" s="198" t="str">
        <f>IF(E$124="", "", VLOOKUP($C135, 'Users Input'!$CB$23:$CR$46, MATCH('Users Output'!E$124, 'Users Input'!$CB$21:$CR$21, 0), FALSE))</f>
        <v/>
      </c>
      <c r="F135" s="198" t="str">
        <f>IF(F$124="", "", VLOOKUP($C135, 'Users Input'!$CB$23:$CR$46, MATCH('Users Output'!F$124, 'Users Input'!$CB$21:$CR$21, 0), FALSE))</f>
        <v/>
      </c>
      <c r="G135" s="198" t="str">
        <f>IF(G$124="", "", VLOOKUP($C135, 'Users Input'!$CB$23:$CR$46, MATCH('Users Output'!G$124, 'Users Input'!$CB$21:$CR$21, 0), FALSE))</f>
        <v/>
      </c>
      <c r="H135" s="198" t="str">
        <f>IF(H$124="", "", VLOOKUP($C135, 'Users Input'!$CB$23:$CR$46, MATCH('Users Output'!H$124, 'Users Input'!$CB$21:$CR$21, 0), FALSE))</f>
        <v/>
      </c>
      <c r="I135" s="198" t="str">
        <f>IF(I$124="", "", VLOOKUP($C135, 'Users Input'!$CB$23:$CR$46, MATCH('Users Output'!I$124, 'Users Input'!$CB$21:$CR$21, 0), FALSE))</f>
        <v/>
      </c>
      <c r="J135" s="198" t="str">
        <f>IF(J$124="", "", VLOOKUP($C135, 'Users Input'!$CB$23:$CR$46, MATCH('Users Output'!J$124, 'Users Input'!$CB$21:$CR$21, 0), FALSE))</f>
        <v/>
      </c>
      <c r="K135" s="198" t="str">
        <f>IF(K$124="", "", VLOOKUP($C135, 'Users Input'!$CB$23:$CR$46, MATCH('Users Output'!K$124, 'Users Input'!$CB$21:$CR$21, 0), FALSE))</f>
        <v/>
      </c>
      <c r="L135" s="198" t="str">
        <f>IF(L$124="", "", VLOOKUP($C135, 'Users Input'!$CB$23:$CR$46, MATCH('Users Output'!L$124, 'Users Input'!$CB$21:$CR$21, 0), FALSE))</f>
        <v/>
      </c>
      <c r="M135" s="199" t="str">
        <f>IF(M$124="", "", VLOOKUP($C135, 'Users Input'!$CB$23:$CR$46, MATCH('Users Output'!M$124, 'Users Input'!$CB$21:$CR$21, 0), FALSE))</f>
        <v/>
      </c>
      <c r="N135" s="199" t="str">
        <f>IF(N$124="", "", VLOOKUP($C135, 'Users Input'!$CB$23:$CR$46, MATCH('Users Output'!N$124, 'Users Input'!$CB$21:$CR$21, 0), FALSE))</f>
        <v/>
      </c>
      <c r="O135" s="199" t="str">
        <f>IF(O$124="", "", VLOOKUP($C135, 'Users Input'!$CB$23:$CR$46, MATCH('Users Output'!O$124, 'Users Input'!$CB$21:$CR$21, 0), FALSE))</f>
        <v/>
      </c>
      <c r="P135" s="199" t="str">
        <f>IF(P$124="", "", VLOOKUP($C135, 'Users Input'!$CB$23:$CR$46, MATCH('Users Output'!P$124, 'Users Input'!$CB$21:$CR$21, 0), FALSE))</f>
        <v/>
      </c>
      <c r="Q135" s="199" t="str">
        <f>IF(Q$124="", "", VLOOKUP($C135, 'Users Input'!$CB$23:$CR$46, MATCH('Users Output'!Q$124, 'Users Input'!$CB$21:$CR$21, 0), FALSE))</f>
        <v/>
      </c>
      <c r="R135" s="199" t="str">
        <f>IF(R$124="", "", VLOOKUP($C135, 'Users Input'!$CB$23:$CR$46, MATCH('Users Output'!R$124, 'Users Input'!$CB$21:$CR$21, 0), FALSE))</f>
        <v/>
      </c>
      <c r="S135" s="200" t="str">
        <f>IF(S$124="", "", VLOOKUP($C135, 'Users Input'!$CB$23:$CR$46, MATCH('Users Output'!S$124, 'Users Input'!$CB$21:$CR$21, 0), FALSE))</f>
        <v/>
      </c>
      <c r="U135" s="928" t="str">
        <f>IF(COUNTIF($D135:$S135, "&gt;"&amp;Z135)+COUNTIF($D135:$S135, "&lt;"&amp;AA135)&gt;0, $U$123, "")</f>
        <v/>
      </c>
      <c r="V135" s="877" t="str">
        <f t="shared" ref="V135:V149" si="49">IFERROR(IF(U135="", "", "("&amp;TEXT(AA135, "0,000")&amp;" - "&amp;TEXT(Z135, "0,000")&amp;")"), "")</f>
        <v/>
      </c>
      <c r="X135" s="856" t="e">
        <f t="shared" ref="X135:X152" si="50">AVERAGE($D135:$S135)</f>
        <v>#DIV/0!</v>
      </c>
      <c r="Y135" s="857" t="e">
        <f t="shared" ref="Y135:Y152" si="51">STDEV($D135:$S135)*2</f>
        <v>#DIV/0!</v>
      </c>
      <c r="Z135" s="856" t="e">
        <f t="shared" ref="Z135:Z149" si="52">X135+Y135</f>
        <v>#DIV/0!</v>
      </c>
      <c r="AA135" s="856" t="e">
        <f t="shared" ref="AA135:AA149" si="53">X135-Y135</f>
        <v>#DIV/0!</v>
      </c>
      <c r="AD135" s="445"/>
      <c r="AE135" s="449"/>
      <c r="AF135" s="447"/>
    </row>
    <row r="136" spans="1:35" ht="15.75" thickBot="1" x14ac:dyDescent="0.3">
      <c r="B136" s="1515"/>
      <c r="C136" s="277" t="str">
        <f>'Users Input'!C33</f>
        <v>Noristerat (NET-En)</v>
      </c>
      <c r="D136" s="67" t="str">
        <f>IF(D$124="", "", VLOOKUP($C136, 'Users Input'!$CB$23:$CR$46, MATCH('Users Output'!D$124, 'Users Input'!$CB$21:$CR$21, 0), FALSE))</f>
        <v/>
      </c>
      <c r="E136" s="68" t="str">
        <f>IF(E$124="", "", VLOOKUP($C136, 'Users Input'!$CB$23:$CR$46, MATCH('Users Output'!E$124, 'Users Input'!$CB$21:$CR$21, 0), FALSE))</f>
        <v/>
      </c>
      <c r="F136" s="68" t="str">
        <f>IF(F$124="", "", VLOOKUP($C136, 'Users Input'!$CB$23:$CR$46, MATCH('Users Output'!F$124, 'Users Input'!$CB$21:$CR$21, 0), FALSE))</f>
        <v/>
      </c>
      <c r="G136" s="68" t="str">
        <f>IF(G$124="", "", VLOOKUP($C136, 'Users Input'!$CB$23:$CR$46, MATCH('Users Output'!G$124, 'Users Input'!$CB$21:$CR$21, 0), FALSE))</f>
        <v/>
      </c>
      <c r="H136" s="68" t="str">
        <f>IF(H$124="", "", VLOOKUP($C136, 'Users Input'!$CB$23:$CR$46, MATCH('Users Output'!H$124, 'Users Input'!$CB$21:$CR$21, 0), FALSE))</f>
        <v/>
      </c>
      <c r="I136" s="68" t="str">
        <f>IF(I$124="", "", VLOOKUP($C136, 'Users Input'!$CB$23:$CR$46, MATCH('Users Output'!I$124, 'Users Input'!$CB$21:$CR$21, 0), FALSE))</f>
        <v/>
      </c>
      <c r="J136" s="68" t="str">
        <f>IF(J$124="", "", VLOOKUP($C136, 'Users Input'!$CB$23:$CR$46, MATCH('Users Output'!J$124, 'Users Input'!$CB$21:$CR$21, 0), FALSE))</f>
        <v/>
      </c>
      <c r="K136" s="68" t="str">
        <f>IF(K$124="", "", VLOOKUP($C136, 'Users Input'!$CB$23:$CR$46, MATCH('Users Output'!K$124, 'Users Input'!$CB$21:$CR$21, 0), FALSE))</f>
        <v/>
      </c>
      <c r="L136" s="68" t="str">
        <f>IF(L$124="", "", VLOOKUP($C136, 'Users Input'!$CB$23:$CR$46, MATCH('Users Output'!L$124, 'Users Input'!$CB$21:$CR$21, 0), FALSE))</f>
        <v/>
      </c>
      <c r="M136" s="69" t="str">
        <f>IF(M$124="", "", VLOOKUP($C136, 'Users Input'!$CB$23:$CR$46, MATCH('Users Output'!M$124, 'Users Input'!$CB$21:$CR$21, 0), FALSE))</f>
        <v/>
      </c>
      <c r="N136" s="69" t="str">
        <f>IF(N$124="", "", VLOOKUP($C136, 'Users Input'!$CB$23:$CR$46, MATCH('Users Output'!N$124, 'Users Input'!$CB$21:$CR$21, 0), FALSE))</f>
        <v/>
      </c>
      <c r="O136" s="69" t="str">
        <f>IF(O$124="", "", VLOOKUP($C136, 'Users Input'!$CB$23:$CR$46, MATCH('Users Output'!O$124, 'Users Input'!$CB$21:$CR$21, 0), FALSE))</f>
        <v/>
      </c>
      <c r="P136" s="69" t="str">
        <f>IF(P$124="", "", VLOOKUP($C136, 'Users Input'!$CB$23:$CR$46, MATCH('Users Output'!P$124, 'Users Input'!$CB$21:$CR$21, 0), FALSE))</f>
        <v/>
      </c>
      <c r="Q136" s="69" t="str">
        <f>IF(Q$124="", "", VLOOKUP($C136, 'Users Input'!$CB$23:$CR$46, MATCH('Users Output'!Q$124, 'Users Input'!$CB$21:$CR$21, 0), FALSE))</f>
        <v/>
      </c>
      <c r="R136" s="69" t="str">
        <f>IF(R$124="", "", VLOOKUP($C136, 'Users Input'!$CB$23:$CR$46, MATCH('Users Output'!R$124, 'Users Input'!$CB$21:$CR$21, 0), FALSE))</f>
        <v/>
      </c>
      <c r="S136" s="70" t="str">
        <f>IF(S$124="", "", VLOOKUP($C136, 'Users Input'!$CB$23:$CR$46, MATCH('Users Output'!S$124, 'Users Input'!$CB$21:$CR$21, 0), FALSE))</f>
        <v/>
      </c>
      <c r="U136" s="928" t="str">
        <f t="shared" ref="U136:U152" si="54">IF(COUNTIF($D136:$S136, "&gt;"&amp;Z136)+COUNTIF($D136:$S136, "&lt;"&amp;AA136)&gt;0, $U$123, "")</f>
        <v/>
      </c>
      <c r="V136" s="877" t="str">
        <f t="shared" si="49"/>
        <v/>
      </c>
      <c r="X136" s="856" t="e">
        <f t="shared" si="50"/>
        <v>#DIV/0!</v>
      </c>
      <c r="Y136" s="857" t="e">
        <f t="shared" si="51"/>
        <v>#DIV/0!</v>
      </c>
      <c r="Z136" s="856" t="e">
        <f t="shared" si="52"/>
        <v>#DIV/0!</v>
      </c>
      <c r="AA136" s="856" t="e">
        <f t="shared" si="53"/>
        <v>#DIV/0!</v>
      </c>
      <c r="AD136" s="445"/>
      <c r="AE136" s="449"/>
      <c r="AF136" s="447"/>
    </row>
    <row r="137" spans="1:35" ht="15.75" thickBot="1" x14ac:dyDescent="0.3">
      <c r="B137" s="1515"/>
      <c r="C137" s="277" t="str">
        <f>'Users Input'!C34</f>
        <v>Lunelle</v>
      </c>
      <c r="D137" s="67" t="str">
        <f>IF(D$124="", "", VLOOKUP($C137, 'Users Input'!$CB$23:$CR$46, MATCH('Users Output'!D$124, 'Users Input'!$CB$21:$CR$21, 0), FALSE))</f>
        <v/>
      </c>
      <c r="E137" s="68" t="str">
        <f>IF(E$124="", "", VLOOKUP($C137, 'Users Input'!$CB$23:$CR$46, MATCH('Users Output'!E$124, 'Users Input'!$CB$21:$CR$21, 0), FALSE))</f>
        <v/>
      </c>
      <c r="F137" s="68" t="str">
        <f>IF(F$124="", "", VLOOKUP($C137, 'Users Input'!$CB$23:$CR$46, MATCH('Users Output'!F$124, 'Users Input'!$CB$21:$CR$21, 0), FALSE))</f>
        <v/>
      </c>
      <c r="G137" s="68" t="str">
        <f>IF(G$124="", "", VLOOKUP($C137, 'Users Input'!$CB$23:$CR$46, MATCH('Users Output'!G$124, 'Users Input'!$CB$21:$CR$21, 0), FALSE))</f>
        <v/>
      </c>
      <c r="H137" s="68" t="str">
        <f>IF(H$124="", "", VLOOKUP($C137, 'Users Input'!$CB$23:$CR$46, MATCH('Users Output'!H$124, 'Users Input'!$CB$21:$CR$21, 0), FALSE))</f>
        <v/>
      </c>
      <c r="I137" s="68" t="str">
        <f>IF(I$124="", "", VLOOKUP($C137, 'Users Input'!$CB$23:$CR$46, MATCH('Users Output'!I$124, 'Users Input'!$CB$21:$CR$21, 0), FALSE))</f>
        <v/>
      </c>
      <c r="J137" s="68" t="str">
        <f>IF(J$124="", "", VLOOKUP($C137, 'Users Input'!$CB$23:$CR$46, MATCH('Users Output'!J$124, 'Users Input'!$CB$21:$CR$21, 0), FALSE))</f>
        <v/>
      </c>
      <c r="K137" s="68" t="str">
        <f>IF(K$124="", "", VLOOKUP($C137, 'Users Input'!$CB$23:$CR$46, MATCH('Users Output'!K$124, 'Users Input'!$CB$21:$CR$21, 0), FALSE))</f>
        <v/>
      </c>
      <c r="L137" s="68" t="str">
        <f>IF(L$124="", "", VLOOKUP($C137, 'Users Input'!$CB$23:$CR$46, MATCH('Users Output'!L$124, 'Users Input'!$CB$21:$CR$21, 0), FALSE))</f>
        <v/>
      </c>
      <c r="M137" s="69" t="str">
        <f>IF(M$124="", "", VLOOKUP($C137, 'Users Input'!$CB$23:$CR$46, MATCH('Users Output'!M$124, 'Users Input'!$CB$21:$CR$21, 0), FALSE))</f>
        <v/>
      </c>
      <c r="N137" s="69" t="str">
        <f>IF(N$124="", "", VLOOKUP($C137, 'Users Input'!$CB$23:$CR$46, MATCH('Users Output'!N$124, 'Users Input'!$CB$21:$CR$21, 0), FALSE))</f>
        <v/>
      </c>
      <c r="O137" s="69" t="str">
        <f>IF(O$124="", "", VLOOKUP($C137, 'Users Input'!$CB$23:$CR$46, MATCH('Users Output'!O$124, 'Users Input'!$CB$21:$CR$21, 0), FALSE))</f>
        <v/>
      </c>
      <c r="P137" s="69" t="str">
        <f>IF(P$124="", "", VLOOKUP($C137, 'Users Input'!$CB$23:$CR$46, MATCH('Users Output'!P$124, 'Users Input'!$CB$21:$CR$21, 0), FALSE))</f>
        <v/>
      </c>
      <c r="Q137" s="69" t="str">
        <f>IF(Q$124="", "", VLOOKUP($C137, 'Users Input'!$CB$23:$CR$46, MATCH('Users Output'!Q$124, 'Users Input'!$CB$21:$CR$21, 0), FALSE))</f>
        <v/>
      </c>
      <c r="R137" s="69" t="str">
        <f>IF(R$124="", "", VLOOKUP($C137, 'Users Input'!$CB$23:$CR$46, MATCH('Users Output'!R$124, 'Users Input'!$CB$21:$CR$21, 0), FALSE))</f>
        <v/>
      </c>
      <c r="S137" s="70" t="str">
        <f>IF(S$124="", "", VLOOKUP($C137, 'Users Input'!$CB$23:$CR$46, MATCH('Users Output'!S$124, 'Users Input'!$CB$21:$CR$21, 0), FALSE))</f>
        <v/>
      </c>
      <c r="U137" s="928" t="str">
        <f t="shared" si="54"/>
        <v/>
      </c>
      <c r="V137" s="877" t="str">
        <f t="shared" si="49"/>
        <v/>
      </c>
      <c r="X137" s="856" t="e">
        <f t="shared" si="50"/>
        <v>#DIV/0!</v>
      </c>
      <c r="Y137" s="857" t="e">
        <f t="shared" si="51"/>
        <v>#DIV/0!</v>
      </c>
      <c r="Z137" s="856" t="e">
        <f t="shared" si="52"/>
        <v>#DIV/0!</v>
      </c>
      <c r="AA137" s="856" t="e">
        <f t="shared" si="53"/>
        <v>#DIV/0!</v>
      </c>
      <c r="AD137" s="445"/>
      <c r="AE137" s="449"/>
      <c r="AF137" s="447"/>
    </row>
    <row r="138" spans="1:35" ht="15.75" thickBot="1" x14ac:dyDescent="0.3">
      <c r="B138" s="1515"/>
      <c r="C138" s="277" t="str">
        <f>'Users Input'!C35</f>
        <v>Sayana Press</v>
      </c>
      <c r="D138" s="67" t="str">
        <f>IF(D$124="", "", VLOOKUP($C138, 'Users Input'!$CB$23:$CR$46, MATCH('Users Output'!D$124, 'Users Input'!$CB$21:$CR$21, 0), FALSE))</f>
        <v/>
      </c>
      <c r="E138" s="68" t="str">
        <f>IF(E$124="", "", VLOOKUP($C138, 'Users Input'!$CB$23:$CR$46, MATCH('Users Output'!E$124, 'Users Input'!$CB$21:$CR$21, 0), FALSE))</f>
        <v/>
      </c>
      <c r="F138" s="68" t="str">
        <f>IF(F$124="", "", VLOOKUP($C138, 'Users Input'!$CB$23:$CR$46, MATCH('Users Output'!F$124, 'Users Input'!$CB$21:$CR$21, 0), FALSE))</f>
        <v/>
      </c>
      <c r="G138" s="68" t="str">
        <f>IF(G$124="", "", VLOOKUP($C138, 'Users Input'!$CB$23:$CR$46, MATCH('Users Output'!G$124, 'Users Input'!$CB$21:$CR$21, 0), FALSE))</f>
        <v/>
      </c>
      <c r="H138" s="68" t="str">
        <f>IF(H$124="", "", VLOOKUP($C138, 'Users Input'!$CB$23:$CR$46, MATCH('Users Output'!H$124, 'Users Input'!$CB$21:$CR$21, 0), FALSE))</f>
        <v/>
      </c>
      <c r="I138" s="68" t="str">
        <f>IF(I$124="", "", VLOOKUP($C138, 'Users Input'!$CB$23:$CR$46, MATCH('Users Output'!I$124, 'Users Input'!$CB$21:$CR$21, 0), FALSE))</f>
        <v/>
      </c>
      <c r="J138" s="68" t="str">
        <f>IF(J$124="", "", VLOOKUP($C138, 'Users Input'!$CB$23:$CR$46, MATCH('Users Output'!J$124, 'Users Input'!$CB$21:$CR$21, 0), FALSE))</f>
        <v/>
      </c>
      <c r="K138" s="68" t="str">
        <f>IF(K$124="", "", VLOOKUP($C138, 'Users Input'!$CB$23:$CR$46, MATCH('Users Output'!K$124, 'Users Input'!$CB$21:$CR$21, 0), FALSE))</f>
        <v/>
      </c>
      <c r="L138" s="68" t="str">
        <f>IF(L$124="", "", VLOOKUP($C138, 'Users Input'!$CB$23:$CR$46, MATCH('Users Output'!L$124, 'Users Input'!$CB$21:$CR$21, 0), FALSE))</f>
        <v/>
      </c>
      <c r="M138" s="69" t="str">
        <f>IF(M$124="", "", VLOOKUP($C138, 'Users Input'!$CB$23:$CR$46, MATCH('Users Output'!M$124, 'Users Input'!$CB$21:$CR$21, 0), FALSE))</f>
        <v/>
      </c>
      <c r="N138" s="69" t="str">
        <f>IF(N$124="", "", VLOOKUP($C138, 'Users Input'!$CB$23:$CR$46, MATCH('Users Output'!N$124, 'Users Input'!$CB$21:$CR$21, 0), FALSE))</f>
        <v/>
      </c>
      <c r="O138" s="69" t="str">
        <f>IF(O$124="", "", VLOOKUP($C138, 'Users Input'!$CB$23:$CR$46, MATCH('Users Output'!O$124, 'Users Input'!$CB$21:$CR$21, 0), FALSE))</f>
        <v/>
      </c>
      <c r="P138" s="69" t="str">
        <f>IF(P$124="", "", VLOOKUP($C138, 'Users Input'!$CB$23:$CR$46, MATCH('Users Output'!P$124, 'Users Input'!$CB$21:$CR$21, 0), FALSE))</f>
        <v/>
      </c>
      <c r="Q138" s="69" t="str">
        <f>IF(Q$124="", "", VLOOKUP($C138, 'Users Input'!$CB$23:$CR$46, MATCH('Users Output'!Q$124, 'Users Input'!$CB$21:$CR$21, 0), FALSE))</f>
        <v/>
      </c>
      <c r="R138" s="69" t="str">
        <f>IF(R$124="", "", VLOOKUP($C138, 'Users Input'!$CB$23:$CR$46, MATCH('Users Output'!R$124, 'Users Input'!$CB$21:$CR$21, 0), FALSE))</f>
        <v/>
      </c>
      <c r="S138" s="70" t="str">
        <f>IF(S$124="", "", VLOOKUP($C138, 'Users Input'!$CB$23:$CR$46, MATCH('Users Output'!S$124, 'Users Input'!$CB$21:$CR$21, 0), FALSE))</f>
        <v/>
      </c>
      <c r="U138" s="928" t="str">
        <f t="shared" si="54"/>
        <v/>
      </c>
      <c r="V138" s="877" t="str">
        <f t="shared" si="49"/>
        <v/>
      </c>
      <c r="X138" s="856" t="e">
        <f t="shared" si="50"/>
        <v>#DIV/0!</v>
      </c>
      <c r="Y138" s="857" t="e">
        <f t="shared" si="51"/>
        <v>#DIV/0!</v>
      </c>
      <c r="Z138" s="856" t="e">
        <f t="shared" si="52"/>
        <v>#DIV/0!</v>
      </c>
      <c r="AA138" s="856" t="e">
        <f t="shared" si="53"/>
        <v>#DIV/0!</v>
      </c>
      <c r="AD138" s="445"/>
      <c r="AE138" s="449"/>
      <c r="AF138" s="447"/>
    </row>
    <row r="139" spans="1:35" ht="15.75" thickBot="1" x14ac:dyDescent="0.3">
      <c r="B139" s="1580"/>
      <c r="C139" s="275" t="str">
        <f>'Users Input'!C36</f>
        <v>Autre Injectable</v>
      </c>
      <c r="D139" s="71" t="str">
        <f>IF(D$124="", "", VLOOKUP($C139, 'Users Input'!$CB$23:$CR$46, MATCH('Users Output'!D$124, 'Users Input'!$CB$21:$CR$21, 0), FALSE))</f>
        <v/>
      </c>
      <c r="E139" s="72" t="str">
        <f>IF(E$124="", "", VLOOKUP($C139, 'Users Input'!$CB$23:$CR$46, MATCH('Users Output'!E$124, 'Users Input'!$CB$21:$CR$21, 0), FALSE))</f>
        <v/>
      </c>
      <c r="F139" s="72" t="str">
        <f>IF(F$124="", "", VLOOKUP($C139, 'Users Input'!$CB$23:$CR$46, MATCH('Users Output'!F$124, 'Users Input'!$CB$21:$CR$21, 0), FALSE))</f>
        <v/>
      </c>
      <c r="G139" s="72" t="str">
        <f>IF(G$124="", "", VLOOKUP($C139, 'Users Input'!$CB$23:$CR$46, MATCH('Users Output'!G$124, 'Users Input'!$CB$21:$CR$21, 0), FALSE))</f>
        <v/>
      </c>
      <c r="H139" s="72" t="str">
        <f>IF(H$124="", "", VLOOKUP($C139, 'Users Input'!$CB$23:$CR$46, MATCH('Users Output'!H$124, 'Users Input'!$CB$21:$CR$21, 0), FALSE))</f>
        <v/>
      </c>
      <c r="I139" s="72" t="str">
        <f>IF(I$124="", "", VLOOKUP($C139, 'Users Input'!$CB$23:$CR$46, MATCH('Users Output'!I$124, 'Users Input'!$CB$21:$CR$21, 0), FALSE))</f>
        <v/>
      </c>
      <c r="J139" s="72" t="str">
        <f>IF(J$124="", "", VLOOKUP($C139, 'Users Input'!$CB$23:$CR$46, MATCH('Users Output'!J$124, 'Users Input'!$CB$21:$CR$21, 0), FALSE))</f>
        <v/>
      </c>
      <c r="K139" s="72" t="str">
        <f>IF(K$124="", "", VLOOKUP($C139, 'Users Input'!$CB$23:$CR$46, MATCH('Users Output'!K$124, 'Users Input'!$CB$21:$CR$21, 0), FALSE))</f>
        <v/>
      </c>
      <c r="L139" s="72" t="str">
        <f>IF(L$124="", "", VLOOKUP($C139, 'Users Input'!$CB$23:$CR$46, MATCH('Users Output'!L$124, 'Users Input'!$CB$21:$CR$21, 0), FALSE))</f>
        <v/>
      </c>
      <c r="M139" s="73" t="str">
        <f>IF(M$124="", "", VLOOKUP($C139, 'Users Input'!$CB$23:$CR$46, MATCH('Users Output'!M$124, 'Users Input'!$CB$21:$CR$21, 0), FALSE))</f>
        <v/>
      </c>
      <c r="N139" s="73" t="str">
        <f>IF(N$124="", "", VLOOKUP($C139, 'Users Input'!$CB$23:$CR$46, MATCH('Users Output'!N$124, 'Users Input'!$CB$21:$CR$21, 0), FALSE))</f>
        <v/>
      </c>
      <c r="O139" s="73" t="str">
        <f>IF(O$124="", "", VLOOKUP($C139, 'Users Input'!$CB$23:$CR$46, MATCH('Users Output'!O$124, 'Users Input'!$CB$21:$CR$21, 0), FALSE))</f>
        <v/>
      </c>
      <c r="P139" s="73" t="str">
        <f>IF(P$124="", "", VLOOKUP($C139, 'Users Input'!$CB$23:$CR$46, MATCH('Users Output'!P$124, 'Users Input'!$CB$21:$CR$21, 0), FALSE))</f>
        <v/>
      </c>
      <c r="Q139" s="73" t="str">
        <f>IF(Q$124="", "", VLOOKUP($C139, 'Users Input'!$CB$23:$CR$46, MATCH('Users Output'!Q$124, 'Users Input'!$CB$21:$CR$21, 0), FALSE))</f>
        <v/>
      </c>
      <c r="R139" s="73" t="str">
        <f>IF(R$124="", "", VLOOKUP($C139, 'Users Input'!$CB$23:$CR$46, MATCH('Users Output'!R$124, 'Users Input'!$CB$21:$CR$21, 0), FALSE))</f>
        <v/>
      </c>
      <c r="S139" s="74" t="str">
        <f>IF(S$124="", "", VLOOKUP($C139, 'Users Input'!$CB$23:$CR$46, MATCH('Users Output'!S$124, 'Users Input'!$CB$21:$CR$21, 0), FALSE))</f>
        <v/>
      </c>
      <c r="U139" s="928" t="str">
        <f t="shared" si="54"/>
        <v/>
      </c>
      <c r="V139" s="877" t="str">
        <f t="shared" si="49"/>
        <v/>
      </c>
      <c r="X139" s="856" t="e">
        <f t="shared" si="50"/>
        <v>#DIV/0!</v>
      </c>
      <c r="Y139" s="857" t="e">
        <f t="shared" si="51"/>
        <v>#DIV/0!</v>
      </c>
      <c r="Z139" s="856" t="e">
        <f t="shared" si="52"/>
        <v>#DIV/0!</v>
      </c>
      <c r="AA139" s="856" t="e">
        <f t="shared" si="53"/>
        <v>#DIV/0!</v>
      </c>
      <c r="AD139" s="445"/>
      <c r="AE139" s="449"/>
      <c r="AF139" s="447"/>
    </row>
    <row r="140" spans="1:35" ht="15.75" thickBot="1" x14ac:dyDescent="0.3">
      <c r="B140" s="1579" t="str">
        <f>'Users Input'!B37</f>
        <v>Pilule</v>
      </c>
      <c r="C140" s="274" t="str">
        <f>'Users Input'!C37</f>
        <v>Oraux combinés (COC)</v>
      </c>
      <c r="D140" s="64" t="str">
        <f>IF(D$124="", "", VLOOKUP($C140, 'Users Input'!$CB$23:$CR$46, MATCH('Users Output'!D$124, 'Users Input'!$CB$21:$CR$21, 0), FALSE))</f>
        <v/>
      </c>
      <c r="E140" s="202" t="str">
        <f>IF(E$124="", "", VLOOKUP($C140, 'Users Input'!$CB$23:$CR$46, MATCH('Users Output'!E$124, 'Users Input'!$CB$21:$CR$21, 0), FALSE))</f>
        <v/>
      </c>
      <c r="F140" s="202" t="str">
        <f>IF(F$124="", "", VLOOKUP($C140, 'Users Input'!$CB$23:$CR$46, MATCH('Users Output'!F$124, 'Users Input'!$CB$21:$CR$21, 0), FALSE))</f>
        <v/>
      </c>
      <c r="G140" s="202" t="str">
        <f>IF(G$124="", "", VLOOKUP($C140, 'Users Input'!$CB$23:$CR$46, MATCH('Users Output'!G$124, 'Users Input'!$CB$21:$CR$21, 0), FALSE))</f>
        <v/>
      </c>
      <c r="H140" s="202" t="str">
        <f>IF(H$124="", "", VLOOKUP($C140, 'Users Input'!$CB$23:$CR$46, MATCH('Users Output'!H$124, 'Users Input'!$CB$21:$CR$21, 0), FALSE))</f>
        <v/>
      </c>
      <c r="I140" s="202" t="str">
        <f>IF(I$124="", "", VLOOKUP($C140, 'Users Input'!$CB$23:$CR$46, MATCH('Users Output'!I$124, 'Users Input'!$CB$21:$CR$21, 0), FALSE))</f>
        <v/>
      </c>
      <c r="J140" s="202" t="str">
        <f>IF(J$124="", "", VLOOKUP($C140, 'Users Input'!$CB$23:$CR$46, MATCH('Users Output'!J$124, 'Users Input'!$CB$21:$CR$21, 0), FALSE))</f>
        <v/>
      </c>
      <c r="K140" s="202" t="str">
        <f>IF(K$124="", "", VLOOKUP($C140, 'Users Input'!$CB$23:$CR$46, MATCH('Users Output'!K$124, 'Users Input'!$CB$21:$CR$21, 0), FALSE))</f>
        <v/>
      </c>
      <c r="L140" s="202" t="str">
        <f>IF(L$124="", "", VLOOKUP($C140, 'Users Input'!$CB$23:$CR$46, MATCH('Users Output'!L$124, 'Users Input'!$CB$21:$CR$21, 0), FALSE))</f>
        <v/>
      </c>
      <c r="M140" s="65" t="str">
        <f>IF(M$124="", "", VLOOKUP($C140, 'Users Input'!$CB$23:$CR$46, MATCH('Users Output'!M$124, 'Users Input'!$CB$21:$CR$21, 0), FALSE))</f>
        <v/>
      </c>
      <c r="N140" s="65" t="str">
        <f>IF(N$124="", "", VLOOKUP($C140, 'Users Input'!$CB$23:$CR$46, MATCH('Users Output'!N$124, 'Users Input'!$CB$21:$CR$21, 0), FALSE))</f>
        <v/>
      </c>
      <c r="O140" s="65" t="str">
        <f>IF(O$124="", "", VLOOKUP($C140, 'Users Input'!$CB$23:$CR$46, MATCH('Users Output'!O$124, 'Users Input'!$CB$21:$CR$21, 0), FALSE))</f>
        <v/>
      </c>
      <c r="P140" s="65" t="str">
        <f>IF(P$124="", "", VLOOKUP($C140, 'Users Input'!$CB$23:$CR$46, MATCH('Users Output'!P$124, 'Users Input'!$CB$21:$CR$21, 0), FALSE))</f>
        <v/>
      </c>
      <c r="Q140" s="65" t="str">
        <f>IF(Q$124="", "", VLOOKUP($C140, 'Users Input'!$CB$23:$CR$46, MATCH('Users Output'!Q$124, 'Users Input'!$CB$21:$CR$21, 0), FALSE))</f>
        <v/>
      </c>
      <c r="R140" s="65" t="str">
        <f>IF(R$124="", "", VLOOKUP($C140, 'Users Input'!$CB$23:$CR$46, MATCH('Users Output'!R$124, 'Users Input'!$CB$21:$CR$21, 0), FALSE))</f>
        <v/>
      </c>
      <c r="S140" s="66" t="str">
        <f>IF(S$124="", "", VLOOKUP($C140, 'Users Input'!$CB$23:$CR$46, MATCH('Users Output'!S$124, 'Users Input'!$CB$21:$CR$21, 0), FALSE))</f>
        <v/>
      </c>
      <c r="U140" s="928" t="str">
        <f t="shared" si="54"/>
        <v/>
      </c>
      <c r="V140" s="877" t="str">
        <f t="shared" si="49"/>
        <v/>
      </c>
      <c r="X140" s="856" t="e">
        <f t="shared" si="50"/>
        <v>#DIV/0!</v>
      </c>
      <c r="Y140" s="857" t="e">
        <f t="shared" si="51"/>
        <v>#DIV/0!</v>
      </c>
      <c r="Z140" s="856" t="e">
        <f t="shared" si="52"/>
        <v>#DIV/0!</v>
      </c>
      <c r="AA140" s="856" t="e">
        <f t="shared" si="53"/>
        <v>#DIV/0!</v>
      </c>
      <c r="AD140" s="445"/>
      <c r="AE140" s="449"/>
      <c r="AF140" s="447"/>
    </row>
    <row r="141" spans="1:35" ht="15.75" thickBot="1" x14ac:dyDescent="0.3">
      <c r="B141" s="1515"/>
      <c r="C141" s="277" t="str">
        <f>'Users Input'!C38</f>
        <v>Progestatifs seul (POP)</v>
      </c>
      <c r="D141" s="67" t="str">
        <f>IF(D$124="", "", VLOOKUP($C141, 'Users Input'!$CB$23:$CR$46, MATCH('Users Output'!D$124, 'Users Input'!$CB$21:$CR$21, 0), FALSE))</f>
        <v/>
      </c>
      <c r="E141" s="68" t="str">
        <f>IF(E$124="", "", VLOOKUP($C141, 'Users Input'!$CB$23:$CR$46, MATCH('Users Output'!E$124, 'Users Input'!$CB$21:$CR$21, 0), FALSE))</f>
        <v/>
      </c>
      <c r="F141" s="68" t="str">
        <f>IF(F$124="", "", VLOOKUP($C141, 'Users Input'!$CB$23:$CR$46, MATCH('Users Output'!F$124, 'Users Input'!$CB$21:$CR$21, 0), FALSE))</f>
        <v/>
      </c>
      <c r="G141" s="68" t="str">
        <f>IF(G$124="", "", VLOOKUP($C141, 'Users Input'!$CB$23:$CR$46, MATCH('Users Output'!G$124, 'Users Input'!$CB$21:$CR$21, 0), FALSE))</f>
        <v/>
      </c>
      <c r="H141" s="68" t="str">
        <f>IF(H$124="", "", VLOOKUP($C141, 'Users Input'!$CB$23:$CR$46, MATCH('Users Output'!H$124, 'Users Input'!$CB$21:$CR$21, 0), FALSE))</f>
        <v/>
      </c>
      <c r="I141" s="68" t="str">
        <f>IF(I$124="", "", VLOOKUP($C141, 'Users Input'!$CB$23:$CR$46, MATCH('Users Output'!I$124, 'Users Input'!$CB$21:$CR$21, 0), FALSE))</f>
        <v/>
      </c>
      <c r="J141" s="68" t="str">
        <f>IF(J$124="", "", VLOOKUP($C141, 'Users Input'!$CB$23:$CR$46, MATCH('Users Output'!J$124, 'Users Input'!$CB$21:$CR$21, 0), FALSE))</f>
        <v/>
      </c>
      <c r="K141" s="68" t="str">
        <f>IF(K$124="", "", VLOOKUP($C141, 'Users Input'!$CB$23:$CR$46, MATCH('Users Output'!K$124, 'Users Input'!$CB$21:$CR$21, 0), FALSE))</f>
        <v/>
      </c>
      <c r="L141" s="68" t="str">
        <f>IF(L$124="", "", VLOOKUP($C141, 'Users Input'!$CB$23:$CR$46, MATCH('Users Output'!L$124, 'Users Input'!$CB$21:$CR$21, 0), FALSE))</f>
        <v/>
      </c>
      <c r="M141" s="69" t="str">
        <f>IF(M$124="", "", VLOOKUP($C141, 'Users Input'!$CB$23:$CR$46, MATCH('Users Output'!M$124, 'Users Input'!$CB$21:$CR$21, 0), FALSE))</f>
        <v/>
      </c>
      <c r="N141" s="69" t="str">
        <f>IF(N$124="", "", VLOOKUP($C141, 'Users Input'!$CB$23:$CR$46, MATCH('Users Output'!N$124, 'Users Input'!$CB$21:$CR$21, 0), FALSE))</f>
        <v/>
      </c>
      <c r="O141" s="69" t="str">
        <f>IF(O$124="", "", VLOOKUP($C141, 'Users Input'!$CB$23:$CR$46, MATCH('Users Output'!O$124, 'Users Input'!$CB$21:$CR$21, 0), FALSE))</f>
        <v/>
      </c>
      <c r="P141" s="69" t="str">
        <f>IF(P$124="", "", VLOOKUP($C141, 'Users Input'!$CB$23:$CR$46, MATCH('Users Output'!P$124, 'Users Input'!$CB$21:$CR$21, 0), FALSE))</f>
        <v/>
      </c>
      <c r="Q141" s="69" t="str">
        <f>IF(Q$124="", "", VLOOKUP($C141, 'Users Input'!$CB$23:$CR$46, MATCH('Users Output'!Q$124, 'Users Input'!$CB$21:$CR$21, 0), FALSE))</f>
        <v/>
      </c>
      <c r="R141" s="69" t="str">
        <f>IF(R$124="", "", VLOOKUP($C141, 'Users Input'!$CB$23:$CR$46, MATCH('Users Output'!R$124, 'Users Input'!$CB$21:$CR$21, 0), FALSE))</f>
        <v/>
      </c>
      <c r="S141" s="70" t="str">
        <f>IF(S$124="", "", VLOOKUP($C141, 'Users Input'!$CB$23:$CR$46, MATCH('Users Output'!S$124, 'Users Input'!$CB$21:$CR$21, 0), FALSE))</f>
        <v/>
      </c>
      <c r="U141" s="928" t="str">
        <f t="shared" si="54"/>
        <v/>
      </c>
      <c r="V141" s="877" t="str">
        <f t="shared" si="49"/>
        <v/>
      </c>
      <c r="X141" s="856" t="e">
        <f t="shared" si="50"/>
        <v>#DIV/0!</v>
      </c>
      <c r="Y141" s="857" t="e">
        <f t="shared" si="51"/>
        <v>#DIV/0!</v>
      </c>
      <c r="Z141" s="856" t="e">
        <f t="shared" si="52"/>
        <v>#DIV/0!</v>
      </c>
      <c r="AA141" s="856" t="e">
        <f t="shared" si="53"/>
        <v>#DIV/0!</v>
      </c>
      <c r="AD141" s="445"/>
      <c r="AE141" s="449"/>
      <c r="AF141" s="447"/>
    </row>
    <row r="142" spans="1:35" ht="15.75" thickBot="1" x14ac:dyDescent="0.3">
      <c r="B142" s="1580"/>
      <c r="C142" s="275" t="str">
        <f>'Users Input'!C39</f>
        <v>Autre pilule</v>
      </c>
      <c r="D142" s="71" t="str">
        <f>IF(D$124="", "", VLOOKUP($C142, 'Users Input'!$CB$23:$CR$46, MATCH('Users Output'!D$124, 'Users Input'!$CB$21:$CR$21, 0), FALSE))</f>
        <v/>
      </c>
      <c r="E142" s="72" t="str">
        <f>IF(E$124="", "", VLOOKUP($C142, 'Users Input'!$CB$23:$CR$46, MATCH('Users Output'!E$124, 'Users Input'!$CB$21:$CR$21, 0), FALSE))</f>
        <v/>
      </c>
      <c r="F142" s="72" t="str">
        <f>IF(F$124="", "", VLOOKUP($C142, 'Users Input'!$CB$23:$CR$46, MATCH('Users Output'!F$124, 'Users Input'!$CB$21:$CR$21, 0), FALSE))</f>
        <v/>
      </c>
      <c r="G142" s="72" t="str">
        <f>IF(G$124="", "", VLOOKUP($C142, 'Users Input'!$CB$23:$CR$46, MATCH('Users Output'!G$124, 'Users Input'!$CB$21:$CR$21, 0), FALSE))</f>
        <v/>
      </c>
      <c r="H142" s="72" t="str">
        <f>IF(H$124="", "", VLOOKUP($C142, 'Users Input'!$CB$23:$CR$46, MATCH('Users Output'!H$124, 'Users Input'!$CB$21:$CR$21, 0), FALSE))</f>
        <v/>
      </c>
      <c r="I142" s="72" t="str">
        <f>IF(I$124="", "", VLOOKUP($C142, 'Users Input'!$CB$23:$CR$46, MATCH('Users Output'!I$124, 'Users Input'!$CB$21:$CR$21, 0), FALSE))</f>
        <v/>
      </c>
      <c r="J142" s="72" t="str">
        <f>IF(J$124="", "", VLOOKUP($C142, 'Users Input'!$CB$23:$CR$46, MATCH('Users Output'!J$124, 'Users Input'!$CB$21:$CR$21, 0), FALSE))</f>
        <v/>
      </c>
      <c r="K142" s="72" t="str">
        <f>IF(K$124="", "", VLOOKUP($C142, 'Users Input'!$CB$23:$CR$46, MATCH('Users Output'!K$124, 'Users Input'!$CB$21:$CR$21, 0), FALSE))</f>
        <v/>
      </c>
      <c r="L142" s="72" t="str">
        <f>IF(L$124="", "", VLOOKUP($C142, 'Users Input'!$CB$23:$CR$46, MATCH('Users Output'!L$124, 'Users Input'!$CB$21:$CR$21, 0), FALSE))</f>
        <v/>
      </c>
      <c r="M142" s="73" t="str">
        <f>IF(M$124="", "", VLOOKUP($C142, 'Users Input'!$CB$23:$CR$46, MATCH('Users Output'!M$124, 'Users Input'!$CB$21:$CR$21, 0), FALSE))</f>
        <v/>
      </c>
      <c r="N142" s="73" t="str">
        <f>IF(N$124="", "", VLOOKUP($C142, 'Users Input'!$CB$23:$CR$46, MATCH('Users Output'!N$124, 'Users Input'!$CB$21:$CR$21, 0), FALSE))</f>
        <v/>
      </c>
      <c r="O142" s="73" t="str">
        <f>IF(O$124="", "", VLOOKUP($C142, 'Users Input'!$CB$23:$CR$46, MATCH('Users Output'!O$124, 'Users Input'!$CB$21:$CR$21, 0), FALSE))</f>
        <v/>
      </c>
      <c r="P142" s="73" t="str">
        <f>IF(P$124="", "", VLOOKUP($C142, 'Users Input'!$CB$23:$CR$46, MATCH('Users Output'!P$124, 'Users Input'!$CB$21:$CR$21, 0), FALSE))</f>
        <v/>
      </c>
      <c r="Q142" s="73" t="str">
        <f>IF(Q$124="", "", VLOOKUP($C142, 'Users Input'!$CB$23:$CR$46, MATCH('Users Output'!Q$124, 'Users Input'!$CB$21:$CR$21, 0), FALSE))</f>
        <v/>
      </c>
      <c r="R142" s="73" t="str">
        <f>IF(R$124="", "", VLOOKUP($C142, 'Users Input'!$CB$23:$CR$46, MATCH('Users Output'!R$124, 'Users Input'!$CB$21:$CR$21, 0), FALSE))</f>
        <v/>
      </c>
      <c r="S142" s="74" t="str">
        <f>IF(S$124="", "", VLOOKUP($C142, 'Users Input'!$CB$23:$CR$46, MATCH('Users Output'!S$124, 'Users Input'!$CB$21:$CR$21, 0), FALSE))</f>
        <v/>
      </c>
      <c r="U142" s="928" t="str">
        <f t="shared" si="54"/>
        <v/>
      </c>
      <c r="V142" s="877" t="str">
        <f t="shared" si="49"/>
        <v/>
      </c>
      <c r="X142" s="856" t="e">
        <f t="shared" si="50"/>
        <v>#DIV/0!</v>
      </c>
      <c r="Y142" s="857" t="e">
        <f t="shared" si="51"/>
        <v>#DIV/0!</v>
      </c>
      <c r="Z142" s="856" t="e">
        <f t="shared" si="52"/>
        <v>#DIV/0!</v>
      </c>
      <c r="AA142" s="856" t="e">
        <f t="shared" si="53"/>
        <v>#DIV/0!</v>
      </c>
      <c r="AD142" s="445"/>
      <c r="AE142" s="449"/>
      <c r="AF142" s="447"/>
    </row>
    <row r="143" spans="1:35" ht="15.75" thickBot="1" x14ac:dyDescent="0.3">
      <c r="B143" s="1579" t="str">
        <f>'Users Input'!B40</f>
        <v>Préservatifs</v>
      </c>
      <c r="C143" s="274" t="str">
        <f>'Users Input'!C40</f>
        <v>Préservatifs masculin</v>
      </c>
      <c r="D143" s="75" t="str">
        <f>IF(D$124="", "", VLOOKUP($C143, 'Users Input'!$CB$23:$CR$46, MATCH('Users Output'!D$124, 'Users Input'!$CB$21:$CR$21, 0), FALSE))</f>
        <v/>
      </c>
      <c r="E143" s="76" t="str">
        <f>IF(E$124="", "", VLOOKUP($C143, 'Users Input'!$CB$23:$CR$46, MATCH('Users Output'!E$124, 'Users Input'!$CB$21:$CR$21, 0), FALSE))</f>
        <v/>
      </c>
      <c r="F143" s="76" t="str">
        <f>IF(F$124="", "", VLOOKUP($C143, 'Users Input'!$CB$23:$CR$46, MATCH('Users Output'!F$124, 'Users Input'!$CB$21:$CR$21, 0), FALSE))</f>
        <v/>
      </c>
      <c r="G143" s="76" t="str">
        <f>IF(G$124="", "", VLOOKUP($C143, 'Users Input'!$CB$23:$CR$46, MATCH('Users Output'!G$124, 'Users Input'!$CB$21:$CR$21, 0), FALSE))</f>
        <v/>
      </c>
      <c r="H143" s="76" t="str">
        <f>IF(H$124="", "", VLOOKUP($C143, 'Users Input'!$CB$23:$CR$46, MATCH('Users Output'!H$124, 'Users Input'!$CB$21:$CR$21, 0), FALSE))</f>
        <v/>
      </c>
      <c r="I143" s="76" t="str">
        <f>IF(I$124="", "", VLOOKUP($C143, 'Users Input'!$CB$23:$CR$46, MATCH('Users Output'!I$124, 'Users Input'!$CB$21:$CR$21, 0), FALSE))</f>
        <v/>
      </c>
      <c r="J143" s="76" t="str">
        <f>IF(J$124="", "", VLOOKUP($C143, 'Users Input'!$CB$23:$CR$46, MATCH('Users Output'!J$124, 'Users Input'!$CB$21:$CR$21, 0), FALSE))</f>
        <v/>
      </c>
      <c r="K143" s="76" t="str">
        <f>IF(K$124="", "", VLOOKUP($C143, 'Users Input'!$CB$23:$CR$46, MATCH('Users Output'!K$124, 'Users Input'!$CB$21:$CR$21, 0), FALSE))</f>
        <v/>
      </c>
      <c r="L143" s="76" t="str">
        <f>IF(L$124="", "", VLOOKUP($C143, 'Users Input'!$CB$23:$CR$46, MATCH('Users Output'!L$124, 'Users Input'!$CB$21:$CR$21, 0), FALSE))</f>
        <v/>
      </c>
      <c r="M143" s="77" t="str">
        <f>IF(M$124="", "", VLOOKUP($C143, 'Users Input'!$CB$23:$CR$46, MATCH('Users Output'!M$124, 'Users Input'!$CB$21:$CR$21, 0), FALSE))</f>
        <v/>
      </c>
      <c r="N143" s="77" t="str">
        <f>IF(N$124="", "", VLOOKUP($C143, 'Users Input'!$CB$23:$CR$46, MATCH('Users Output'!N$124, 'Users Input'!$CB$21:$CR$21, 0), FALSE))</f>
        <v/>
      </c>
      <c r="O143" s="77" t="str">
        <f>IF(O$124="", "", VLOOKUP($C143, 'Users Input'!$CB$23:$CR$46, MATCH('Users Output'!O$124, 'Users Input'!$CB$21:$CR$21, 0), FALSE))</f>
        <v/>
      </c>
      <c r="P143" s="77" t="str">
        <f>IF(P$124="", "", VLOOKUP($C143, 'Users Input'!$CB$23:$CR$46, MATCH('Users Output'!P$124, 'Users Input'!$CB$21:$CR$21, 0), FALSE))</f>
        <v/>
      </c>
      <c r="Q143" s="77" t="str">
        <f>IF(Q$124="", "", VLOOKUP($C143, 'Users Input'!$CB$23:$CR$46, MATCH('Users Output'!Q$124, 'Users Input'!$CB$21:$CR$21, 0), FALSE))</f>
        <v/>
      </c>
      <c r="R143" s="77" t="str">
        <f>IF(R$124="", "", VLOOKUP($C143, 'Users Input'!$CB$23:$CR$46, MATCH('Users Output'!R$124, 'Users Input'!$CB$21:$CR$21, 0), FALSE))</f>
        <v/>
      </c>
      <c r="S143" s="78" t="str">
        <f>IF(S$124="", "", VLOOKUP($C143, 'Users Input'!$CB$23:$CR$46, MATCH('Users Output'!S$124, 'Users Input'!$CB$21:$CR$21, 0), FALSE))</f>
        <v/>
      </c>
      <c r="U143" s="928" t="str">
        <f t="shared" si="54"/>
        <v/>
      </c>
      <c r="V143" s="877" t="str">
        <f t="shared" si="49"/>
        <v/>
      </c>
      <c r="X143" s="856" t="e">
        <f t="shared" si="50"/>
        <v>#DIV/0!</v>
      </c>
      <c r="Y143" s="857" t="e">
        <f t="shared" si="51"/>
        <v>#DIV/0!</v>
      </c>
      <c r="Z143" s="856" t="e">
        <f t="shared" si="52"/>
        <v>#DIV/0!</v>
      </c>
      <c r="AA143" s="856" t="e">
        <f t="shared" si="53"/>
        <v>#DIV/0!</v>
      </c>
      <c r="AD143" s="445"/>
      <c r="AE143" s="449"/>
      <c r="AF143" s="447"/>
    </row>
    <row r="144" spans="1:35" ht="15.75" thickBot="1" x14ac:dyDescent="0.3">
      <c r="B144" s="1580"/>
      <c r="C144" s="275" t="str">
        <f>'Users Input'!C41</f>
        <v>Préservatifs feminin</v>
      </c>
      <c r="D144" s="60" t="str">
        <f>IF(D$124="", "", VLOOKUP($C144, 'Users Input'!$CB$23:$CR$46, MATCH('Users Output'!D$124, 'Users Input'!$CB$21:$CR$21, 0), FALSE))</f>
        <v/>
      </c>
      <c r="E144" s="61" t="str">
        <f>IF(E$124="", "", VLOOKUP($C144, 'Users Input'!$CB$23:$CR$46, MATCH('Users Output'!E$124, 'Users Input'!$CB$21:$CR$21, 0), FALSE))</f>
        <v/>
      </c>
      <c r="F144" s="61" t="str">
        <f>IF(F$124="", "", VLOOKUP($C144, 'Users Input'!$CB$23:$CR$46, MATCH('Users Output'!F$124, 'Users Input'!$CB$21:$CR$21, 0), FALSE))</f>
        <v/>
      </c>
      <c r="G144" s="61" t="str">
        <f>IF(G$124="", "", VLOOKUP($C144, 'Users Input'!$CB$23:$CR$46, MATCH('Users Output'!G$124, 'Users Input'!$CB$21:$CR$21, 0), FALSE))</f>
        <v/>
      </c>
      <c r="H144" s="61" t="str">
        <f>IF(H$124="", "", VLOOKUP($C144, 'Users Input'!$CB$23:$CR$46, MATCH('Users Output'!H$124, 'Users Input'!$CB$21:$CR$21, 0), FALSE))</f>
        <v/>
      </c>
      <c r="I144" s="61" t="str">
        <f>IF(I$124="", "", VLOOKUP($C144, 'Users Input'!$CB$23:$CR$46, MATCH('Users Output'!I$124, 'Users Input'!$CB$21:$CR$21, 0), FALSE))</f>
        <v/>
      </c>
      <c r="J144" s="61" t="str">
        <f>IF(J$124="", "", VLOOKUP($C144, 'Users Input'!$CB$23:$CR$46, MATCH('Users Output'!J$124, 'Users Input'!$CB$21:$CR$21, 0), FALSE))</f>
        <v/>
      </c>
      <c r="K144" s="61" t="str">
        <f>IF(K$124="", "", VLOOKUP($C144, 'Users Input'!$CB$23:$CR$46, MATCH('Users Output'!K$124, 'Users Input'!$CB$21:$CR$21, 0), FALSE))</f>
        <v/>
      </c>
      <c r="L144" s="61" t="str">
        <f>IF(L$124="", "", VLOOKUP($C144, 'Users Input'!$CB$23:$CR$46, MATCH('Users Output'!L$124, 'Users Input'!$CB$21:$CR$21, 0), FALSE))</f>
        <v/>
      </c>
      <c r="M144" s="62" t="str">
        <f>IF(M$124="", "", VLOOKUP($C144, 'Users Input'!$CB$23:$CR$46, MATCH('Users Output'!M$124, 'Users Input'!$CB$21:$CR$21, 0), FALSE))</f>
        <v/>
      </c>
      <c r="N144" s="62" t="str">
        <f>IF(N$124="", "", VLOOKUP($C144, 'Users Input'!$CB$23:$CR$46, MATCH('Users Output'!N$124, 'Users Input'!$CB$21:$CR$21, 0), FALSE))</f>
        <v/>
      </c>
      <c r="O144" s="62" t="str">
        <f>IF(O$124="", "", VLOOKUP($C144, 'Users Input'!$CB$23:$CR$46, MATCH('Users Output'!O$124, 'Users Input'!$CB$21:$CR$21, 0), FALSE))</f>
        <v/>
      </c>
      <c r="P144" s="62" t="str">
        <f>IF(P$124="", "", VLOOKUP($C144, 'Users Input'!$CB$23:$CR$46, MATCH('Users Output'!P$124, 'Users Input'!$CB$21:$CR$21, 0), FALSE))</f>
        <v/>
      </c>
      <c r="Q144" s="62" t="str">
        <f>IF(Q$124="", "", VLOOKUP($C144, 'Users Input'!$CB$23:$CR$46, MATCH('Users Output'!Q$124, 'Users Input'!$CB$21:$CR$21, 0), FALSE))</f>
        <v/>
      </c>
      <c r="R144" s="62" t="str">
        <f>IF(R$124="", "", VLOOKUP($C144, 'Users Input'!$CB$23:$CR$46, MATCH('Users Output'!R$124, 'Users Input'!$CB$21:$CR$21, 0), FALSE))</f>
        <v/>
      </c>
      <c r="S144" s="63" t="str">
        <f>IF(S$124="", "", VLOOKUP($C144, 'Users Input'!$CB$23:$CR$46, MATCH('Users Output'!S$124, 'Users Input'!$CB$21:$CR$21, 0), FALSE))</f>
        <v/>
      </c>
      <c r="U144" s="928" t="str">
        <f t="shared" si="54"/>
        <v/>
      </c>
      <c r="V144" s="877" t="str">
        <f t="shared" si="49"/>
        <v/>
      </c>
      <c r="X144" s="856" t="e">
        <f t="shared" si="50"/>
        <v>#DIV/0!</v>
      </c>
      <c r="Y144" s="857" t="e">
        <f t="shared" si="51"/>
        <v>#DIV/0!</v>
      </c>
      <c r="Z144" s="856" t="e">
        <f t="shared" si="52"/>
        <v>#DIV/0!</v>
      </c>
      <c r="AA144" s="856" t="e">
        <f t="shared" si="53"/>
        <v>#DIV/0!</v>
      </c>
      <c r="AD144" s="445"/>
      <c r="AE144" s="449"/>
      <c r="AF144" s="447"/>
    </row>
    <row r="145" spans="1:35" ht="15.75" thickBot="1" x14ac:dyDescent="0.3">
      <c r="B145" s="1587" t="str">
        <f>'Users Input'!B42</f>
        <v>Autres Méthodes Modernes</v>
      </c>
      <c r="C145" s="274" t="str">
        <f>'Users Input'!C42</f>
        <v>MAMA</v>
      </c>
      <c r="D145" s="75" t="str">
        <f>IF(D$124="", "", VLOOKUP($C145, 'Users Input'!$CB$23:$CR$46, MATCH('Users Output'!D$124, 'Users Input'!$CB$21:$CR$21, 0), FALSE))</f>
        <v/>
      </c>
      <c r="E145" s="76" t="str">
        <f>IF(E$124="", "", VLOOKUP($C145, 'Users Input'!$CB$23:$CR$46, MATCH('Users Output'!E$124, 'Users Input'!$CB$21:$CR$21, 0), FALSE))</f>
        <v/>
      </c>
      <c r="F145" s="76" t="str">
        <f>IF(F$124="", "", VLOOKUP($C145, 'Users Input'!$CB$23:$CR$46, MATCH('Users Output'!F$124, 'Users Input'!$CB$21:$CR$21, 0), FALSE))</f>
        <v/>
      </c>
      <c r="G145" s="76" t="str">
        <f>IF(G$124="", "", VLOOKUP($C145, 'Users Input'!$CB$23:$CR$46, MATCH('Users Output'!G$124, 'Users Input'!$CB$21:$CR$21, 0), FALSE))</f>
        <v/>
      </c>
      <c r="H145" s="76" t="str">
        <f>IF(H$124="", "", VLOOKUP($C145, 'Users Input'!$CB$23:$CR$46, MATCH('Users Output'!H$124, 'Users Input'!$CB$21:$CR$21, 0), FALSE))</f>
        <v/>
      </c>
      <c r="I145" s="76" t="str">
        <f>IF(I$124="", "", VLOOKUP($C145, 'Users Input'!$CB$23:$CR$46, MATCH('Users Output'!I$124, 'Users Input'!$CB$21:$CR$21, 0), FALSE))</f>
        <v/>
      </c>
      <c r="J145" s="76" t="str">
        <f>IF(J$124="", "", VLOOKUP($C145, 'Users Input'!$CB$23:$CR$46, MATCH('Users Output'!J$124, 'Users Input'!$CB$21:$CR$21, 0), FALSE))</f>
        <v/>
      </c>
      <c r="K145" s="76" t="str">
        <f>IF(K$124="", "", VLOOKUP($C145, 'Users Input'!$CB$23:$CR$46, MATCH('Users Output'!K$124, 'Users Input'!$CB$21:$CR$21, 0), FALSE))</f>
        <v/>
      </c>
      <c r="L145" s="76" t="str">
        <f>IF(L$124="", "", VLOOKUP($C145, 'Users Input'!$CB$23:$CR$46, MATCH('Users Output'!L$124, 'Users Input'!$CB$21:$CR$21, 0), FALSE))</f>
        <v/>
      </c>
      <c r="M145" s="77" t="str">
        <f>IF(M$124="", "", VLOOKUP($C145, 'Users Input'!$CB$23:$CR$46, MATCH('Users Output'!M$124, 'Users Input'!$CB$21:$CR$21, 0), FALSE))</f>
        <v/>
      </c>
      <c r="N145" s="77" t="str">
        <f>IF(N$124="", "", VLOOKUP($C145, 'Users Input'!$CB$23:$CR$46, MATCH('Users Output'!N$124, 'Users Input'!$CB$21:$CR$21, 0), FALSE))</f>
        <v/>
      </c>
      <c r="O145" s="77" t="str">
        <f>IF(O$124="", "", VLOOKUP($C145, 'Users Input'!$CB$23:$CR$46, MATCH('Users Output'!O$124, 'Users Input'!$CB$21:$CR$21, 0), FALSE))</f>
        <v/>
      </c>
      <c r="P145" s="77" t="str">
        <f>IF(P$124="", "", VLOOKUP($C145, 'Users Input'!$CB$23:$CR$46, MATCH('Users Output'!P$124, 'Users Input'!$CB$21:$CR$21, 0), FALSE))</f>
        <v/>
      </c>
      <c r="Q145" s="77" t="str">
        <f>IF(Q$124="", "", VLOOKUP($C145, 'Users Input'!$CB$23:$CR$46, MATCH('Users Output'!Q$124, 'Users Input'!$CB$21:$CR$21, 0), FALSE))</f>
        <v/>
      </c>
      <c r="R145" s="77" t="str">
        <f>IF(R$124="", "", VLOOKUP($C145, 'Users Input'!$CB$23:$CR$46, MATCH('Users Output'!R$124, 'Users Input'!$CB$21:$CR$21, 0), FALSE))</f>
        <v/>
      </c>
      <c r="S145" s="78" t="str">
        <f>IF(S$124="", "", VLOOKUP($C145, 'Users Input'!$CB$23:$CR$46, MATCH('Users Output'!S$124, 'Users Input'!$CB$21:$CR$21, 0), FALSE))</f>
        <v/>
      </c>
      <c r="U145" s="928" t="str">
        <f t="shared" si="54"/>
        <v/>
      </c>
      <c r="V145" s="877" t="str">
        <f t="shared" si="49"/>
        <v/>
      </c>
      <c r="X145" s="856" t="e">
        <f t="shared" si="50"/>
        <v>#DIV/0!</v>
      </c>
      <c r="Y145" s="857" t="e">
        <f t="shared" si="51"/>
        <v>#DIV/0!</v>
      </c>
      <c r="Z145" s="856" t="e">
        <f t="shared" si="52"/>
        <v>#DIV/0!</v>
      </c>
      <c r="AA145" s="856" t="e">
        <f t="shared" si="53"/>
        <v>#DIV/0!</v>
      </c>
      <c r="AD145" s="445"/>
      <c r="AE145" s="449"/>
      <c r="AF145" s="447"/>
    </row>
    <row r="146" spans="1:35" ht="15.75" thickBot="1" x14ac:dyDescent="0.3">
      <c r="B146" s="1588"/>
      <c r="C146" s="277" t="str">
        <f>'Users Input'!C43</f>
        <v>MJF (Jours fixes)</v>
      </c>
      <c r="D146" s="56" t="str">
        <f>IF(D$124="", "", VLOOKUP($C146, 'Users Input'!$CB$23:$CR$46, MATCH('Users Output'!D$124, 'Users Input'!$CB$21:$CR$21, 0), FALSE))</f>
        <v/>
      </c>
      <c r="E146" s="57" t="str">
        <f>IF(E$124="", "", VLOOKUP($C146, 'Users Input'!$CB$23:$CR$46, MATCH('Users Output'!E$124, 'Users Input'!$CB$21:$CR$21, 0), FALSE))</f>
        <v/>
      </c>
      <c r="F146" s="57" t="str">
        <f>IF(F$124="", "", VLOOKUP($C146, 'Users Input'!$CB$23:$CR$46, MATCH('Users Output'!F$124, 'Users Input'!$CB$21:$CR$21, 0), FALSE))</f>
        <v/>
      </c>
      <c r="G146" s="57" t="str">
        <f>IF(G$124="", "", VLOOKUP($C146, 'Users Input'!$CB$23:$CR$46, MATCH('Users Output'!G$124, 'Users Input'!$CB$21:$CR$21, 0), FALSE))</f>
        <v/>
      </c>
      <c r="H146" s="57" t="str">
        <f>IF(H$124="", "", VLOOKUP($C146, 'Users Input'!$CB$23:$CR$46, MATCH('Users Output'!H$124, 'Users Input'!$CB$21:$CR$21, 0), FALSE))</f>
        <v/>
      </c>
      <c r="I146" s="57" t="str">
        <f>IF(I$124="", "", VLOOKUP($C146, 'Users Input'!$CB$23:$CR$46, MATCH('Users Output'!I$124, 'Users Input'!$CB$21:$CR$21, 0), FALSE))</f>
        <v/>
      </c>
      <c r="J146" s="57" t="str">
        <f>IF(J$124="", "", VLOOKUP($C146, 'Users Input'!$CB$23:$CR$46, MATCH('Users Output'!J$124, 'Users Input'!$CB$21:$CR$21, 0), FALSE))</f>
        <v/>
      </c>
      <c r="K146" s="57" t="str">
        <f>IF(K$124="", "", VLOOKUP($C146, 'Users Input'!$CB$23:$CR$46, MATCH('Users Output'!K$124, 'Users Input'!$CB$21:$CR$21, 0), FALSE))</f>
        <v/>
      </c>
      <c r="L146" s="57" t="str">
        <f>IF(L$124="", "", VLOOKUP($C146, 'Users Input'!$CB$23:$CR$46, MATCH('Users Output'!L$124, 'Users Input'!$CB$21:$CR$21, 0), FALSE))</f>
        <v/>
      </c>
      <c r="M146" s="58" t="str">
        <f>IF(M$124="", "", VLOOKUP($C146, 'Users Input'!$CB$23:$CR$46, MATCH('Users Output'!M$124, 'Users Input'!$CB$21:$CR$21, 0), FALSE))</f>
        <v/>
      </c>
      <c r="N146" s="58" t="str">
        <f>IF(N$124="", "", VLOOKUP($C146, 'Users Input'!$CB$23:$CR$46, MATCH('Users Output'!N$124, 'Users Input'!$CB$21:$CR$21, 0), FALSE))</f>
        <v/>
      </c>
      <c r="O146" s="58" t="str">
        <f>IF(O$124="", "", VLOOKUP($C146, 'Users Input'!$CB$23:$CR$46, MATCH('Users Output'!O$124, 'Users Input'!$CB$21:$CR$21, 0), FALSE))</f>
        <v/>
      </c>
      <c r="P146" s="58" t="str">
        <f>IF(P$124="", "", VLOOKUP($C146, 'Users Input'!$CB$23:$CR$46, MATCH('Users Output'!P$124, 'Users Input'!$CB$21:$CR$21, 0), FALSE))</f>
        <v/>
      </c>
      <c r="Q146" s="58" t="str">
        <f>IF(Q$124="", "", VLOOKUP($C146, 'Users Input'!$CB$23:$CR$46, MATCH('Users Output'!Q$124, 'Users Input'!$CB$21:$CR$21, 0), FALSE))</f>
        <v/>
      </c>
      <c r="R146" s="58" t="str">
        <f>IF(R$124="", "", VLOOKUP($C146, 'Users Input'!$CB$23:$CR$46, MATCH('Users Output'!R$124, 'Users Input'!$CB$21:$CR$21, 0), FALSE))</f>
        <v/>
      </c>
      <c r="S146" s="59" t="str">
        <f>IF(S$124="", "", VLOOKUP($C146, 'Users Input'!$CB$23:$CR$46, MATCH('Users Output'!S$124, 'Users Input'!$CB$21:$CR$21, 0), FALSE))</f>
        <v/>
      </c>
      <c r="U146" s="928" t="str">
        <f t="shared" si="54"/>
        <v/>
      </c>
      <c r="V146" s="877" t="str">
        <f t="shared" si="49"/>
        <v/>
      </c>
      <c r="X146" s="856" t="e">
        <f t="shared" si="50"/>
        <v>#DIV/0!</v>
      </c>
      <c r="Y146" s="857" t="e">
        <f t="shared" si="51"/>
        <v>#DIV/0!</v>
      </c>
      <c r="Z146" s="856" t="e">
        <f t="shared" si="52"/>
        <v>#DIV/0!</v>
      </c>
      <c r="AA146" s="856" t="e">
        <f t="shared" si="53"/>
        <v>#DIV/0!</v>
      </c>
      <c r="AD146" s="445"/>
      <c r="AE146" s="449"/>
      <c r="AF146" s="447"/>
    </row>
    <row r="147" spans="1:35" ht="15.75" thickBot="1" x14ac:dyDescent="0.3">
      <c r="B147" s="1588"/>
      <c r="C147" s="277" t="str">
        <f>'Users Input'!C44</f>
        <v>Barrière vaginale</v>
      </c>
      <c r="D147" s="56" t="str">
        <f>IF(D$124="", "", VLOOKUP($C147, 'Users Input'!$CB$23:$CR$46, MATCH('Users Output'!D$124, 'Users Input'!$CB$21:$CR$21, 0), FALSE))</f>
        <v/>
      </c>
      <c r="E147" s="57" t="str">
        <f>IF(E$124="", "", VLOOKUP($C147, 'Users Input'!$CB$23:$CR$46, MATCH('Users Output'!E$124, 'Users Input'!$CB$21:$CR$21, 0), FALSE))</f>
        <v/>
      </c>
      <c r="F147" s="57" t="str">
        <f>IF(F$124="", "", VLOOKUP($C147, 'Users Input'!$CB$23:$CR$46, MATCH('Users Output'!F$124, 'Users Input'!$CB$21:$CR$21, 0), FALSE))</f>
        <v/>
      </c>
      <c r="G147" s="57" t="str">
        <f>IF(G$124="", "", VLOOKUP($C147, 'Users Input'!$CB$23:$CR$46, MATCH('Users Output'!G$124, 'Users Input'!$CB$21:$CR$21, 0), FALSE))</f>
        <v/>
      </c>
      <c r="H147" s="57" t="str">
        <f>IF(H$124="", "", VLOOKUP($C147, 'Users Input'!$CB$23:$CR$46, MATCH('Users Output'!H$124, 'Users Input'!$CB$21:$CR$21, 0), FALSE))</f>
        <v/>
      </c>
      <c r="I147" s="57" t="str">
        <f>IF(I$124="", "", VLOOKUP($C147, 'Users Input'!$CB$23:$CR$46, MATCH('Users Output'!I$124, 'Users Input'!$CB$21:$CR$21, 0), FALSE))</f>
        <v/>
      </c>
      <c r="J147" s="57" t="str">
        <f>IF(J$124="", "", VLOOKUP($C147, 'Users Input'!$CB$23:$CR$46, MATCH('Users Output'!J$124, 'Users Input'!$CB$21:$CR$21, 0), FALSE))</f>
        <v/>
      </c>
      <c r="K147" s="57" t="str">
        <f>IF(K$124="", "", VLOOKUP($C147, 'Users Input'!$CB$23:$CR$46, MATCH('Users Output'!K$124, 'Users Input'!$CB$21:$CR$21, 0), FALSE))</f>
        <v/>
      </c>
      <c r="L147" s="57" t="str">
        <f>IF(L$124="", "", VLOOKUP($C147, 'Users Input'!$CB$23:$CR$46, MATCH('Users Output'!L$124, 'Users Input'!$CB$21:$CR$21, 0), FALSE))</f>
        <v/>
      </c>
      <c r="M147" s="58" t="str">
        <f>IF(M$124="", "", VLOOKUP($C147, 'Users Input'!$CB$23:$CR$46, MATCH('Users Output'!M$124, 'Users Input'!$CB$21:$CR$21, 0), FALSE))</f>
        <v/>
      </c>
      <c r="N147" s="58" t="str">
        <f>IF(N$124="", "", VLOOKUP($C147, 'Users Input'!$CB$23:$CR$46, MATCH('Users Output'!N$124, 'Users Input'!$CB$21:$CR$21, 0), FALSE))</f>
        <v/>
      </c>
      <c r="O147" s="58" t="str">
        <f>IF(O$124="", "", VLOOKUP($C147, 'Users Input'!$CB$23:$CR$46, MATCH('Users Output'!O$124, 'Users Input'!$CB$21:$CR$21, 0), FALSE))</f>
        <v/>
      </c>
      <c r="P147" s="58" t="str">
        <f>IF(P$124="", "", VLOOKUP($C147, 'Users Input'!$CB$23:$CR$46, MATCH('Users Output'!P$124, 'Users Input'!$CB$21:$CR$21, 0), FALSE))</f>
        <v/>
      </c>
      <c r="Q147" s="58" t="str">
        <f>IF(Q$124="", "", VLOOKUP($C147, 'Users Input'!$CB$23:$CR$46, MATCH('Users Output'!Q$124, 'Users Input'!$CB$21:$CR$21, 0), FALSE))</f>
        <v/>
      </c>
      <c r="R147" s="58" t="str">
        <f>IF(R$124="", "", VLOOKUP($C147, 'Users Input'!$CB$23:$CR$46, MATCH('Users Output'!R$124, 'Users Input'!$CB$21:$CR$21, 0), FALSE))</f>
        <v/>
      </c>
      <c r="S147" s="59" t="str">
        <f>IF(S$124="", "", VLOOKUP($C147, 'Users Input'!$CB$23:$CR$46, MATCH('Users Output'!S$124, 'Users Input'!$CB$21:$CR$21, 0), FALSE))</f>
        <v/>
      </c>
      <c r="U147" s="928" t="str">
        <f t="shared" si="54"/>
        <v/>
      </c>
      <c r="V147" s="877" t="str">
        <f t="shared" si="49"/>
        <v/>
      </c>
      <c r="X147" s="856" t="e">
        <f t="shared" si="50"/>
        <v>#DIV/0!</v>
      </c>
      <c r="Y147" s="857" t="e">
        <f t="shared" si="51"/>
        <v>#DIV/0!</v>
      </c>
      <c r="Z147" s="856" t="e">
        <f t="shared" si="52"/>
        <v>#DIV/0!</v>
      </c>
      <c r="AA147" s="856" t="e">
        <f t="shared" si="53"/>
        <v>#DIV/0!</v>
      </c>
      <c r="AD147" s="445"/>
      <c r="AE147" s="449"/>
      <c r="AF147" s="447"/>
    </row>
    <row r="148" spans="1:35" ht="15.75" thickBot="1" x14ac:dyDescent="0.3">
      <c r="B148" s="1589"/>
      <c r="C148" s="275" t="str">
        <f>'Users Input'!C45</f>
        <v>Spermicides</v>
      </c>
      <c r="D148" s="60" t="str">
        <f>IF(D$124="", "", VLOOKUP($C148, 'Users Input'!$CB$23:$CR$46, MATCH('Users Output'!D$124, 'Users Input'!$CB$21:$CR$21, 0), FALSE))</f>
        <v/>
      </c>
      <c r="E148" s="61" t="str">
        <f>IF(E$124="", "", VLOOKUP($C148, 'Users Input'!$CB$23:$CR$46, MATCH('Users Output'!E$124, 'Users Input'!$CB$21:$CR$21, 0), FALSE))</f>
        <v/>
      </c>
      <c r="F148" s="61" t="str">
        <f>IF(F$124="", "", VLOOKUP($C148, 'Users Input'!$CB$23:$CR$46, MATCH('Users Output'!F$124, 'Users Input'!$CB$21:$CR$21, 0), FALSE))</f>
        <v/>
      </c>
      <c r="G148" s="61" t="str">
        <f>IF(G$124="", "", VLOOKUP($C148, 'Users Input'!$CB$23:$CR$46, MATCH('Users Output'!G$124, 'Users Input'!$CB$21:$CR$21, 0), FALSE))</f>
        <v/>
      </c>
      <c r="H148" s="61" t="str">
        <f>IF(H$124="", "", VLOOKUP($C148, 'Users Input'!$CB$23:$CR$46, MATCH('Users Output'!H$124, 'Users Input'!$CB$21:$CR$21, 0), FALSE))</f>
        <v/>
      </c>
      <c r="I148" s="61" t="str">
        <f>IF(I$124="", "", VLOOKUP($C148, 'Users Input'!$CB$23:$CR$46, MATCH('Users Output'!I$124, 'Users Input'!$CB$21:$CR$21, 0), FALSE))</f>
        <v/>
      </c>
      <c r="J148" s="61" t="str">
        <f>IF(J$124="", "", VLOOKUP($C148, 'Users Input'!$CB$23:$CR$46, MATCH('Users Output'!J$124, 'Users Input'!$CB$21:$CR$21, 0), FALSE))</f>
        <v/>
      </c>
      <c r="K148" s="61" t="str">
        <f>IF(K$124="", "", VLOOKUP($C148, 'Users Input'!$CB$23:$CR$46, MATCH('Users Output'!K$124, 'Users Input'!$CB$21:$CR$21, 0), FALSE))</f>
        <v/>
      </c>
      <c r="L148" s="61" t="str">
        <f>IF(L$124="", "", VLOOKUP($C148, 'Users Input'!$CB$23:$CR$46, MATCH('Users Output'!L$124, 'Users Input'!$CB$21:$CR$21, 0), FALSE))</f>
        <v/>
      </c>
      <c r="M148" s="62" t="str">
        <f>IF(M$124="", "", VLOOKUP($C148, 'Users Input'!$CB$23:$CR$46, MATCH('Users Output'!M$124, 'Users Input'!$CB$21:$CR$21, 0), FALSE))</f>
        <v/>
      </c>
      <c r="N148" s="62" t="str">
        <f>IF(N$124="", "", VLOOKUP($C148, 'Users Input'!$CB$23:$CR$46, MATCH('Users Output'!N$124, 'Users Input'!$CB$21:$CR$21, 0), FALSE))</f>
        <v/>
      </c>
      <c r="O148" s="62" t="str">
        <f>IF(O$124="", "", VLOOKUP($C148, 'Users Input'!$CB$23:$CR$46, MATCH('Users Output'!O$124, 'Users Input'!$CB$21:$CR$21, 0), FALSE))</f>
        <v/>
      </c>
      <c r="P148" s="62" t="str">
        <f>IF(P$124="", "", VLOOKUP($C148, 'Users Input'!$CB$23:$CR$46, MATCH('Users Output'!P$124, 'Users Input'!$CB$21:$CR$21, 0), FALSE))</f>
        <v/>
      </c>
      <c r="Q148" s="62" t="str">
        <f>IF(Q$124="", "", VLOOKUP($C148, 'Users Input'!$CB$23:$CR$46, MATCH('Users Output'!Q$124, 'Users Input'!$CB$21:$CR$21, 0), FALSE))</f>
        <v/>
      </c>
      <c r="R148" s="62" t="str">
        <f>IF(R$124="", "", VLOOKUP($C148, 'Users Input'!$CB$23:$CR$46, MATCH('Users Output'!R$124, 'Users Input'!$CB$21:$CR$21, 0), FALSE))</f>
        <v/>
      </c>
      <c r="S148" s="63" t="str">
        <f>IF(S$124="", "", VLOOKUP($C148, 'Users Input'!$CB$23:$CR$46, MATCH('Users Output'!S$124, 'Users Input'!$CB$21:$CR$21, 0), FALSE))</f>
        <v/>
      </c>
      <c r="U148" s="928" t="str">
        <f t="shared" si="54"/>
        <v/>
      </c>
      <c r="V148" s="877" t="str">
        <f t="shared" si="49"/>
        <v/>
      </c>
      <c r="X148" s="856" t="e">
        <f t="shared" si="50"/>
        <v>#DIV/0!</v>
      </c>
      <c r="Y148" s="857" t="e">
        <f t="shared" si="51"/>
        <v>#DIV/0!</v>
      </c>
      <c r="Z148" s="856" t="e">
        <f t="shared" si="52"/>
        <v>#DIV/0!</v>
      </c>
      <c r="AA148" s="856" t="e">
        <f t="shared" si="53"/>
        <v>#DIV/0!</v>
      </c>
      <c r="AD148" s="445"/>
      <c r="AE148" s="449"/>
      <c r="AF148" s="447"/>
    </row>
    <row r="149" spans="1:35" ht="32.25" customHeight="1" thickBot="1" x14ac:dyDescent="0.3">
      <c r="B149" s="179" t="str">
        <f>'Users Input'!B46</f>
        <v>Contraception d'urgence</v>
      </c>
      <c r="C149" s="281" t="str">
        <f>'Users Input'!C46</f>
        <v>CU</v>
      </c>
      <c r="D149" s="52" t="str">
        <f>IF(D$124="", "", VLOOKUP($C149, 'Users Input'!$CB$23:$CR$46, MATCH('Users Output'!D$124, 'Users Input'!$CB$21:$CR$21, 0), FALSE))</f>
        <v/>
      </c>
      <c r="E149" s="53" t="str">
        <f>IF(E$124="", "", VLOOKUP($C149, 'Users Input'!$CB$23:$CR$46, MATCH('Users Output'!E$124, 'Users Input'!$CB$21:$CR$21, 0), FALSE))</f>
        <v/>
      </c>
      <c r="F149" s="53" t="str">
        <f>IF(F$124="", "", VLOOKUP($C149, 'Users Input'!$CB$23:$CR$46, MATCH('Users Output'!F$124, 'Users Input'!$CB$21:$CR$21, 0), FALSE))</f>
        <v/>
      </c>
      <c r="G149" s="53" t="str">
        <f>IF(G$124="", "", VLOOKUP($C149, 'Users Input'!$CB$23:$CR$46, MATCH('Users Output'!G$124, 'Users Input'!$CB$21:$CR$21, 0), FALSE))</f>
        <v/>
      </c>
      <c r="H149" s="53" t="str">
        <f>IF(H$124="", "", VLOOKUP($C149, 'Users Input'!$CB$23:$CR$46, MATCH('Users Output'!H$124, 'Users Input'!$CB$21:$CR$21, 0), FALSE))</f>
        <v/>
      </c>
      <c r="I149" s="53" t="str">
        <f>IF(I$124="", "", VLOOKUP($C149, 'Users Input'!$CB$23:$CR$46, MATCH('Users Output'!I$124, 'Users Input'!$CB$21:$CR$21, 0), FALSE))</f>
        <v/>
      </c>
      <c r="J149" s="53" t="str">
        <f>IF(J$124="", "", VLOOKUP($C149, 'Users Input'!$CB$23:$CR$46, MATCH('Users Output'!J$124, 'Users Input'!$CB$21:$CR$21, 0), FALSE))</f>
        <v/>
      </c>
      <c r="K149" s="53" t="str">
        <f>IF(K$124="", "", VLOOKUP($C149, 'Users Input'!$CB$23:$CR$46, MATCH('Users Output'!K$124, 'Users Input'!$CB$21:$CR$21, 0), FALSE))</f>
        <v/>
      </c>
      <c r="L149" s="53" t="str">
        <f>IF(L$124="", "", VLOOKUP($C149, 'Users Input'!$CB$23:$CR$46, MATCH('Users Output'!L$124, 'Users Input'!$CB$21:$CR$21, 0), FALSE))</f>
        <v/>
      </c>
      <c r="M149" s="54" t="str">
        <f>IF(M$124="", "", VLOOKUP($C149, 'Users Input'!$CB$23:$CR$46, MATCH('Users Output'!M$124, 'Users Input'!$CB$21:$CR$21, 0), FALSE))</f>
        <v/>
      </c>
      <c r="N149" s="54" t="str">
        <f>IF(N$124="", "", VLOOKUP($C149, 'Users Input'!$CB$23:$CR$46, MATCH('Users Output'!N$124, 'Users Input'!$CB$21:$CR$21, 0), FALSE))</f>
        <v/>
      </c>
      <c r="O149" s="54" t="str">
        <f>IF(O$124="", "", VLOOKUP($C149, 'Users Input'!$CB$23:$CR$46, MATCH('Users Output'!O$124, 'Users Input'!$CB$21:$CR$21, 0), FALSE))</f>
        <v/>
      </c>
      <c r="P149" s="54" t="str">
        <f>IF(P$124="", "", VLOOKUP($C149, 'Users Input'!$CB$23:$CR$46, MATCH('Users Output'!P$124, 'Users Input'!$CB$21:$CR$21, 0), FALSE))</f>
        <v/>
      </c>
      <c r="Q149" s="54" t="str">
        <f>IF(Q$124="", "", VLOOKUP($C149, 'Users Input'!$CB$23:$CR$46, MATCH('Users Output'!Q$124, 'Users Input'!$CB$21:$CR$21, 0), FALSE))</f>
        <v/>
      </c>
      <c r="R149" s="54" t="str">
        <f>IF(R$124="", "", VLOOKUP($C149, 'Users Input'!$CB$23:$CR$46, MATCH('Users Output'!R$124, 'Users Input'!$CB$21:$CR$21, 0), FALSE))</f>
        <v/>
      </c>
      <c r="S149" s="55" t="str">
        <f>IF(S$124="", "", VLOOKUP($C149, 'Users Input'!$CB$23:$CR$46, MATCH('Users Output'!S$124, 'Users Input'!$CB$21:$CR$21, 0), FALSE))</f>
        <v/>
      </c>
      <c r="U149" s="928" t="str">
        <f t="shared" si="54"/>
        <v/>
      </c>
      <c r="V149" s="877" t="str">
        <f t="shared" si="49"/>
        <v/>
      </c>
      <c r="X149" s="856" t="e">
        <f t="shared" si="50"/>
        <v>#DIV/0!</v>
      </c>
      <c r="Y149" s="857" t="e">
        <f t="shared" si="51"/>
        <v>#DIV/0!</v>
      </c>
      <c r="Z149" s="856" t="e">
        <f t="shared" si="52"/>
        <v>#DIV/0!</v>
      </c>
      <c r="AA149" s="856" t="e">
        <f t="shared" si="53"/>
        <v>#DIV/0!</v>
      </c>
      <c r="AD149" s="445"/>
      <c r="AE149" s="449"/>
      <c r="AF149" s="447"/>
    </row>
    <row r="150" spans="1:35" ht="11.25" customHeight="1" thickBot="1" x14ac:dyDescent="0.3">
      <c r="C150"/>
      <c r="U150" s="41"/>
      <c r="V150" s="41"/>
      <c r="AD150" s="445"/>
      <c r="AE150" s="449"/>
      <c r="AF150" s="447"/>
    </row>
    <row r="151" spans="1:35" ht="19.5" thickBot="1" x14ac:dyDescent="0.35">
      <c r="A151" s="188"/>
      <c r="B151" s="1585" t="str">
        <f>IF(Language="English",'Language Look Ups'!O31,IF(Language="Francais", 'Language Look Ups'!S31,'Language Look Ups'!Q31))</f>
        <v>Estimation des Utilisatrices Modernes</v>
      </c>
      <c r="C151" s="1585"/>
      <c r="D151" s="204" t="str">
        <f>IF(D124="", "", IF(SUM(D126:D132,D135:D149)=0, "", SUM(D126:D132,D135:D149)))</f>
        <v/>
      </c>
      <c r="E151" s="204" t="str">
        <f t="shared" ref="E151:S151" si="55">IF(E124="", "", IF(SUM(E126:E132,E135:E149)=0, "", SUM(E126:E132,E135:E149)))</f>
        <v/>
      </c>
      <c r="F151" s="204" t="str">
        <f t="shared" si="55"/>
        <v/>
      </c>
      <c r="G151" s="204" t="str">
        <f t="shared" si="55"/>
        <v/>
      </c>
      <c r="H151" s="204" t="str">
        <f t="shared" si="55"/>
        <v/>
      </c>
      <c r="I151" s="204" t="str">
        <f t="shared" si="55"/>
        <v/>
      </c>
      <c r="J151" s="204" t="str">
        <f t="shared" si="55"/>
        <v/>
      </c>
      <c r="K151" s="204" t="str">
        <f t="shared" si="55"/>
        <v/>
      </c>
      <c r="L151" s="204" t="str">
        <f t="shared" si="55"/>
        <v/>
      </c>
      <c r="M151" s="204" t="str">
        <f t="shared" si="55"/>
        <v/>
      </c>
      <c r="N151" s="204" t="str">
        <f t="shared" si="55"/>
        <v/>
      </c>
      <c r="O151" s="204" t="str">
        <f t="shared" si="55"/>
        <v/>
      </c>
      <c r="P151" s="204" t="str">
        <f t="shared" si="55"/>
        <v/>
      </c>
      <c r="Q151" s="204" t="str">
        <f t="shared" si="55"/>
        <v/>
      </c>
      <c r="R151" s="204" t="str">
        <f t="shared" si="55"/>
        <v/>
      </c>
      <c r="S151" s="204" t="str">
        <f t="shared" si="55"/>
        <v/>
      </c>
      <c r="T151" s="188"/>
      <c r="U151" s="928" t="str">
        <f t="shared" si="54"/>
        <v/>
      </c>
      <c r="V151" s="877" t="str">
        <f>IFERROR(IF(U151="", "", "("&amp;TEXT(AA151, "0,000")&amp;" - "&amp;TEXT(Z151, "0,000")&amp;")"), "")</f>
        <v/>
      </c>
      <c r="W151" s="809"/>
      <c r="X151" s="856" t="e">
        <f t="shared" si="50"/>
        <v>#DIV/0!</v>
      </c>
      <c r="Y151" s="857" t="e">
        <f t="shared" si="51"/>
        <v>#DIV/0!</v>
      </c>
      <c r="Z151" s="856" t="e">
        <f>X151+Y151</f>
        <v>#DIV/0!</v>
      </c>
      <c r="AA151" s="856" t="e">
        <f>X151-Y151</f>
        <v>#DIV/0!</v>
      </c>
      <c r="AB151" s="188"/>
      <c r="AC151" s="188"/>
      <c r="AD151" s="446"/>
      <c r="AE151" s="450"/>
      <c r="AF151" s="448"/>
      <c r="AG151" s="188"/>
      <c r="AH151" s="188"/>
      <c r="AI151" s="188"/>
    </row>
    <row r="152" spans="1:35" ht="36.75" customHeight="1" thickBot="1" x14ac:dyDescent="0.35">
      <c r="A152" s="188"/>
      <c r="B152" s="1586" t="str">
        <f>IF(Language="English",'Language Look Ups'!O32,IF(Language="Francais", 'Language Look Ups'!S32,'Language Look Ups'!Q32))</f>
        <v>Estimation des Utilisatrices Modernes , exclusion des Préservatifs**</v>
      </c>
      <c r="C152" s="1586"/>
      <c r="D152" s="203" t="str">
        <f>IFERROR(IF(D124="", "",D151-SUM(D143:D144)), "")</f>
        <v/>
      </c>
      <c r="E152" s="203" t="str">
        <f t="shared" ref="E152:S152" si="56">IFERROR(IF(E124="", "",E151-SUM(E143:E144)), "")</f>
        <v/>
      </c>
      <c r="F152" s="203" t="str">
        <f t="shared" si="56"/>
        <v/>
      </c>
      <c r="G152" s="203" t="str">
        <f t="shared" si="56"/>
        <v/>
      </c>
      <c r="H152" s="203" t="str">
        <f t="shared" si="56"/>
        <v/>
      </c>
      <c r="I152" s="203" t="str">
        <f t="shared" si="56"/>
        <v/>
      </c>
      <c r="J152" s="203" t="str">
        <f t="shared" si="56"/>
        <v/>
      </c>
      <c r="K152" s="203" t="str">
        <f t="shared" si="56"/>
        <v/>
      </c>
      <c r="L152" s="203" t="str">
        <f t="shared" si="56"/>
        <v/>
      </c>
      <c r="M152" s="203" t="str">
        <f t="shared" si="56"/>
        <v/>
      </c>
      <c r="N152" s="203" t="str">
        <f t="shared" si="56"/>
        <v/>
      </c>
      <c r="O152" s="203" t="str">
        <f t="shared" si="56"/>
        <v/>
      </c>
      <c r="P152" s="203" t="str">
        <f t="shared" si="56"/>
        <v/>
      </c>
      <c r="Q152" s="203" t="str">
        <f t="shared" si="56"/>
        <v/>
      </c>
      <c r="R152" s="203" t="str">
        <f t="shared" si="56"/>
        <v/>
      </c>
      <c r="S152" s="203" t="str">
        <f t="shared" si="56"/>
        <v/>
      </c>
      <c r="T152" s="188"/>
      <c r="U152" s="928" t="str">
        <f t="shared" si="54"/>
        <v/>
      </c>
      <c r="V152" s="877" t="str">
        <f>IF(U152="", "", "("&amp;TEXT(AA152, "0,000")&amp;" - "&amp;TEXT(Z152, "0,000")&amp;")")</f>
        <v/>
      </c>
      <c r="W152" s="809"/>
      <c r="X152" s="856" t="e">
        <f t="shared" si="50"/>
        <v>#DIV/0!</v>
      </c>
      <c r="Y152" s="857" t="e">
        <f t="shared" si="51"/>
        <v>#DIV/0!</v>
      </c>
      <c r="Z152" s="856" t="e">
        <f>X152+Y152</f>
        <v>#DIV/0!</v>
      </c>
      <c r="AA152" s="856" t="e">
        <f>X152-Y152</f>
        <v>#DIV/0!</v>
      </c>
      <c r="AB152" s="188"/>
      <c r="AC152" s="188"/>
      <c r="AD152" s="446"/>
      <c r="AE152" s="450"/>
      <c r="AF152" s="448"/>
      <c r="AG152" s="188"/>
      <c r="AH152" s="188"/>
      <c r="AI152" s="188"/>
    </row>
    <row r="153" spans="1:35" ht="32.25" customHeight="1" x14ac:dyDescent="0.25">
      <c r="B153" s="1566" t="str">
        <f>IF(Language="English", AD153,AF153 )</f>
        <v xml:space="preserve">**Pour calculer l'EUM, l'exclusion des préservatifs est recommandée pour éviter des problèmes éventuels avec les données sur les préservatifs liées à une utilisation d'une double méthode , les difficultés liées à l'estimation des utilisatrices à partir des données sur les préservatifs et parce que dans de nombreux pays, les préservatifs sont généralement accédés par le secteur privé.   </v>
      </c>
      <c r="C153" s="1566"/>
      <c r="D153" s="1566"/>
      <c r="E153" s="1566"/>
      <c r="F153" s="1566"/>
      <c r="G153" s="1566"/>
      <c r="H153" s="1566"/>
      <c r="I153" s="1566"/>
      <c r="J153" s="1566"/>
      <c r="K153" s="1566"/>
      <c r="L153" s="1566"/>
      <c r="M153" s="1566"/>
      <c r="N153" s="1566"/>
      <c r="O153" s="1566"/>
      <c r="P153" s="1566"/>
      <c r="Q153" s="1566"/>
      <c r="R153" s="1566"/>
      <c r="S153" s="1566"/>
      <c r="AD153" s="445" t="s">
        <v>584</v>
      </c>
      <c r="AE153" s="449"/>
      <c r="AF153" s="447" t="s">
        <v>2437</v>
      </c>
    </row>
  </sheetData>
  <mergeCells count="58">
    <mergeCell ref="X123:X125"/>
    <mergeCell ref="Y123:Y125"/>
    <mergeCell ref="Z123:Z125"/>
    <mergeCell ref="AA123:AA125"/>
    <mergeCell ref="B63:U63"/>
    <mergeCell ref="B64:I64"/>
    <mergeCell ref="K64:U64"/>
    <mergeCell ref="K65:N65"/>
    <mergeCell ref="B66:I66"/>
    <mergeCell ref="B67:I67"/>
    <mergeCell ref="K67:U67"/>
    <mergeCell ref="B68:I68"/>
    <mergeCell ref="K68:U68"/>
    <mergeCell ref="B153:S153"/>
    <mergeCell ref="C105:H106"/>
    <mergeCell ref="L105:R106"/>
    <mergeCell ref="B79:I79"/>
    <mergeCell ref="K79:U79"/>
    <mergeCell ref="B86:I86"/>
    <mergeCell ref="K86:U86"/>
    <mergeCell ref="B87:I87"/>
    <mergeCell ref="K87:U87"/>
    <mergeCell ref="B81:I81"/>
    <mergeCell ref="B88:I88"/>
    <mergeCell ref="K88:U88"/>
    <mergeCell ref="B89:I89"/>
    <mergeCell ref="K89:U89"/>
    <mergeCell ref="B98:S98"/>
    <mergeCell ref="K81:U81"/>
    <mergeCell ref="B152:C152"/>
    <mergeCell ref="B75:I75"/>
    <mergeCell ref="K75:U75"/>
    <mergeCell ref="B77:I77"/>
    <mergeCell ref="B78:I78"/>
    <mergeCell ref="K78:U78"/>
    <mergeCell ref="K76:N76"/>
    <mergeCell ref="B82:I82"/>
    <mergeCell ref="B83:I83"/>
    <mergeCell ref="K83:U83"/>
    <mergeCell ref="B84:I84"/>
    <mergeCell ref="K84:U84"/>
    <mergeCell ref="L90:V90"/>
    <mergeCell ref="B151:C151"/>
    <mergeCell ref="B135:B139"/>
    <mergeCell ref="B140:B142"/>
    <mergeCell ref="B143:B144"/>
    <mergeCell ref="B145:B148"/>
    <mergeCell ref="B123:C124"/>
    <mergeCell ref="B3:U3"/>
    <mergeCell ref="B1:V1"/>
    <mergeCell ref="D123:S123"/>
    <mergeCell ref="B126:B127"/>
    <mergeCell ref="B128:B129"/>
    <mergeCell ref="B130:B132"/>
    <mergeCell ref="U123:U124"/>
    <mergeCell ref="V123:V124"/>
    <mergeCell ref="C70:I70"/>
    <mergeCell ref="K69:U69"/>
  </mergeCells>
  <conditionalFormatting sqref="D126:S132">
    <cfRule type="containsBlanks" dxfId="40" priority="5">
      <formula>LEN(TRIM(D126))=0</formula>
    </cfRule>
    <cfRule type="cellIs" dxfId="39" priority="6" operator="greaterThan">
      <formula>$Z126</formula>
    </cfRule>
    <cfRule type="cellIs" dxfId="38" priority="7" operator="lessThan">
      <formula>$AA126</formula>
    </cfRule>
  </conditionalFormatting>
  <conditionalFormatting sqref="D135:S149">
    <cfRule type="containsBlanks" dxfId="37" priority="1">
      <formula>LEN(TRIM(D135))=0</formula>
    </cfRule>
    <cfRule type="cellIs" dxfId="36" priority="2" operator="greaterThan">
      <formula>$Z135</formula>
    </cfRule>
    <cfRule type="cellIs" dxfId="35" priority="3" operator="lessThan">
      <formula>$AA135</formula>
    </cfRule>
  </conditionalFormatting>
  <dataValidations count="2">
    <dataValidation type="list" allowBlank="1" showInputMessage="1" showErrorMessage="1" sqref="O76 O65" xr:uid="{04225EBD-3201-4D94-A848-549506B6BD4D}">
      <formula1>Year_U</formula1>
    </dataValidation>
    <dataValidation type="list" allowBlank="1" showInputMessage="1" showErrorMessage="1" sqref="C99" xr:uid="{32501466-47CB-40A8-9681-ECAE53F5E3BC}">
      <formula1>$AC$98:$AC$99</formula1>
    </dataValidation>
  </dataValidations>
  <hyperlinks>
    <hyperlink ref="C105:H106" location="'Set up'!A1" tooltip="Set Up" display="'Set up'!A1" xr:uid="{00000000-0004-0000-1200-000000000000}"/>
    <hyperlink ref="L105:R106" location="'&quot;EMU&quot; Output'!A1" tooltip="EMU Final Review" display="Go to Final EMU Review" xr:uid="{00000000-0004-0000-1200-000001000000}"/>
    <hyperlink ref="C70:F70" location="'4. FPSource Set Up'!A1" display="Return to FP Source Set Up to review Private Sector Adjustment" xr:uid="{1160A246-50A2-4A58-BA72-E7E3178B157D}"/>
    <hyperlink ref="C70:I70" location="'4. FPSource Set Up'!A1" tooltip="Return to Set-Up Step 4" display="Return to FP Source Set Up to review Private Sector Adjustment" xr:uid="{CB50C012-3FDB-406E-B08C-1A2141466042}"/>
  </hyperlinks>
  <pageMargins left="0.7" right="0.7" top="0.75" bottom="0.75" header="0.3" footer="0.3"/>
  <pageSetup orientation="portrait" r:id="rId1"/>
  <ignoredErrors>
    <ignoredError sqref="F50:F53 G16:S16" evalError="1"/>
  </ignoredErrors>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tabColor rgb="FF00B050"/>
    <pageSetUpPr autoPageBreaks="0"/>
  </sheetPr>
  <dimension ref="A1:BE187"/>
  <sheetViews>
    <sheetView showGridLines="0" zoomScale="80" zoomScaleNormal="80" zoomScaleSheetLayoutView="98" workbookViewId="0">
      <selection activeCell="C157" sqref="C157:D157"/>
    </sheetView>
  </sheetViews>
  <sheetFormatPr defaultRowHeight="15" x14ac:dyDescent="0.25"/>
  <cols>
    <col min="1" max="2" width="7" customWidth="1"/>
    <col min="3" max="6" width="10.42578125" customWidth="1"/>
    <col min="7" max="8" width="12.42578125" customWidth="1"/>
    <col min="9" max="10" width="10.42578125" customWidth="1"/>
    <col min="11" max="11" width="14.140625" customWidth="1"/>
    <col min="12" max="12" width="8.7109375" customWidth="1"/>
    <col min="13" max="13" width="15.85546875" customWidth="1"/>
    <col min="14" max="18" width="11.42578125" customWidth="1"/>
    <col min="19" max="19" width="12.42578125" customWidth="1"/>
    <col min="20" max="20" width="12.7109375" customWidth="1"/>
    <col min="21" max="22" width="11.42578125" customWidth="1"/>
    <col min="23" max="26" width="11.85546875" customWidth="1"/>
    <col min="27" max="27" width="9.140625" customWidth="1"/>
    <col min="28" max="34" width="11.7109375" customWidth="1"/>
    <col min="35" max="38" width="9.140625" customWidth="1"/>
    <col min="39" max="39" width="9.140625" style="447" hidden="1" customWidth="1"/>
    <col min="40" max="40" width="9.140625" style="449" hidden="1" customWidth="1"/>
    <col min="41" max="41" width="9.140625" style="481" hidden="1" customWidth="1"/>
    <col min="42" max="50" width="9.140625" customWidth="1"/>
    <col min="51" max="58" width="8.85546875" customWidth="1"/>
  </cols>
  <sheetData>
    <row r="1" spans="1:57" ht="34.5" customHeight="1" x14ac:dyDescent="0.25">
      <c r="B1" s="1649" t="s">
        <v>328</v>
      </c>
      <c r="C1" s="1649"/>
      <c r="D1" s="1649"/>
      <c r="E1" s="1649"/>
      <c r="F1" s="1649"/>
      <c r="G1" s="1649"/>
      <c r="H1" s="1649"/>
      <c r="I1" s="1649"/>
      <c r="J1" s="1649"/>
      <c r="K1" s="1649"/>
      <c r="L1" s="1649"/>
      <c r="M1" s="1649"/>
      <c r="N1" s="1649"/>
      <c r="O1" s="1649"/>
      <c r="P1" s="1649"/>
      <c r="Q1" s="1649"/>
      <c r="R1" s="1649">
        <f>COUNT(M10:M27)</f>
        <v>1</v>
      </c>
      <c r="S1" s="1649"/>
      <c r="T1" s="1649"/>
      <c r="U1" s="1649"/>
      <c r="V1" s="1649"/>
      <c r="W1" s="287"/>
      <c r="X1" s="287"/>
      <c r="AM1" s="447" t="s">
        <v>628</v>
      </c>
      <c r="AN1" s="449" t="s">
        <v>656</v>
      </c>
      <c r="AO1" s="481" t="s">
        <v>740</v>
      </c>
      <c r="BE1" s="180"/>
    </row>
    <row r="2" spans="1:57" ht="7.5" hidden="1" customHeight="1" x14ac:dyDescent="0.25">
      <c r="A2" s="19"/>
    </row>
    <row r="3" spans="1:57" ht="7.5" customHeight="1" x14ac:dyDescent="0.25"/>
    <row r="4" spans="1:57" ht="29.25" customHeight="1" x14ac:dyDescent="0.45">
      <c r="B4" s="375" t="str">
        <f>IF('2. Pop_Prev Set Up'!$W$2="Yes", '2. Pop_Prev Set Up'!$W$1&amp;" : "&amp;'2. Pop_Prev Set Up'!$W$3, '2. Pop_Prev Set Up'!$W$1&amp;" : "&amp;"National")</f>
        <v>0 : National</v>
      </c>
      <c r="C4" s="189"/>
      <c r="D4" s="189"/>
      <c r="E4" s="189"/>
      <c r="F4" s="189"/>
      <c r="G4" s="189"/>
      <c r="H4" s="189"/>
      <c r="I4" s="189"/>
      <c r="J4" s="189"/>
      <c r="K4" s="189"/>
      <c r="L4" s="189"/>
      <c r="M4" s="189"/>
      <c r="N4" s="189"/>
      <c r="O4" s="189"/>
      <c r="P4" s="189"/>
      <c r="Q4" s="189"/>
      <c r="R4" s="189"/>
      <c r="S4" s="189"/>
      <c r="T4" s="189"/>
      <c r="U4" s="189"/>
      <c r="V4" s="189"/>
      <c r="W4" s="189"/>
      <c r="X4" s="189"/>
      <c r="AM4" s="447" t="s">
        <v>328</v>
      </c>
      <c r="AO4" s="481" t="s">
        <v>1125</v>
      </c>
    </row>
    <row r="5" spans="1:57" ht="16.5" customHeight="1" x14ac:dyDescent="0.3">
      <c r="B5" s="376" t="str">
        <f>'3. ServiceStats Set Up'!B8&amp;" : "&amp; '3. ServiceStats Set Up'!C8</f>
        <v>Population : All Women</v>
      </c>
      <c r="C5" s="190"/>
      <c r="D5" s="190"/>
      <c r="E5" s="190"/>
      <c r="F5" s="190"/>
      <c r="G5" s="190"/>
      <c r="H5" s="190"/>
      <c r="I5" s="190"/>
      <c r="J5" s="190"/>
      <c r="K5" s="190"/>
      <c r="L5" s="190"/>
      <c r="M5" s="190"/>
      <c r="N5" s="190"/>
      <c r="O5" s="190"/>
      <c r="P5" s="190"/>
      <c r="Q5" s="190"/>
      <c r="R5" s="190"/>
      <c r="S5" s="190"/>
      <c r="T5" s="190"/>
      <c r="U5" s="190"/>
      <c r="V5" s="190"/>
      <c r="W5" s="190"/>
      <c r="X5" s="190"/>
    </row>
    <row r="6" spans="1:57" ht="9.75" hidden="1" customHeight="1" x14ac:dyDescent="0.25">
      <c r="B6" s="244"/>
      <c r="C6" s="244"/>
      <c r="D6" s="244"/>
      <c r="E6" s="244"/>
      <c r="F6" s="244"/>
      <c r="G6" s="244"/>
      <c r="H6" s="244"/>
      <c r="I6" s="244"/>
      <c r="J6" s="244"/>
      <c r="K6" s="244"/>
      <c r="L6" s="244"/>
      <c r="M6" s="244"/>
      <c r="N6" s="244"/>
      <c r="O6" s="244"/>
      <c r="P6" s="244"/>
      <c r="Q6" s="244"/>
      <c r="R6" s="244"/>
      <c r="S6" s="244"/>
      <c r="T6" s="244"/>
      <c r="U6" s="244"/>
    </row>
    <row r="7" spans="1:57" ht="46.15" customHeight="1" thickBot="1" x14ac:dyDescent="0.45">
      <c r="B7" s="1661" t="str">
        <f>IF(Language="English",AM8,IF(Language="Francais",AO8,AN7))</f>
        <v>Étape 1 de 3 : Examiner les graphiques ci-dessous en comparant l'EUM des Statistiques des services en prenant en compte les questions dans les cases en bleu à droite.</v>
      </c>
      <c r="C7" s="1661"/>
      <c r="D7" s="1661"/>
      <c r="E7" s="1661"/>
      <c r="F7" s="1661"/>
      <c r="G7" s="1661"/>
      <c r="H7" s="1661"/>
      <c r="I7" s="1661"/>
      <c r="J7" s="1661"/>
      <c r="K7" s="1661"/>
      <c r="L7" s="1661"/>
      <c r="M7" s="1661"/>
      <c r="N7" s="1661"/>
      <c r="O7" s="1661"/>
      <c r="P7" s="1661"/>
      <c r="Q7" s="1661"/>
      <c r="R7" s="1661"/>
      <c r="S7" s="1661"/>
      <c r="T7" s="1661"/>
      <c r="U7" s="1661"/>
      <c r="V7" s="1661"/>
      <c r="AM7" s="447" t="s">
        <v>707</v>
      </c>
      <c r="AN7" s="449" t="s">
        <v>708</v>
      </c>
      <c r="AO7" s="481" t="s">
        <v>851</v>
      </c>
    </row>
    <row r="8" spans="1:57" ht="10.5" customHeight="1" thickBot="1" x14ac:dyDescent="0.3">
      <c r="AB8" s="1398" t="s">
        <v>566</v>
      </c>
      <c r="AC8" s="1398"/>
      <c r="AD8" s="1398"/>
      <c r="AE8" s="1398"/>
      <c r="AF8" s="1398"/>
      <c r="AG8" s="1398"/>
      <c r="AH8" s="1398"/>
      <c r="AM8" s="447" t="s">
        <v>1119</v>
      </c>
      <c r="AO8" s="481" t="s">
        <v>1120</v>
      </c>
    </row>
    <row r="9" spans="1:57" ht="72.75" customHeight="1" x14ac:dyDescent="0.25">
      <c r="K9" s="238"/>
      <c r="L9" s="238"/>
      <c r="M9" s="761" t="s">
        <v>317</v>
      </c>
      <c r="N9" s="757" t="str">
        <f>IF('3. ServiceStats Set Up'!$T$8="MW", '2. Pop_Prev Set Up'!$V$10, '2. Pop_Prev Set Up'!$W$10)</f>
        <v>TPCm (TF): DHS</v>
      </c>
      <c r="O9" s="757" t="str">
        <f>IF('3. ServiceStats Set Up'!$T$8="MW", '2. Pop_Prev Set Up'!$X$10, '2. Pop_Prev Set Up'!$Y$10)</f>
        <v>TPCm (TF): MICS</v>
      </c>
      <c r="P9" s="757" t="str">
        <f>IF('3. ServiceStats Set Up'!$T$8="MW", '2. Pop_Prev Set Up'!$Z$10, '2. Pop_Prev Set Up'!$AA$10)</f>
        <v>TPCm (TF): PMA</v>
      </c>
      <c r="Q9" s="757" t="str">
        <f>IF('3. ServiceStats Set Up'!$T$8="MW", '2. Pop_Prev Set Up'!$AB$10, '2. Pop_Prev Set Up'!$AC$10)</f>
        <v/>
      </c>
      <c r="R9" s="757" t="str">
        <f>IF('3. ServiceStats Set Up'!$T$8="MW", '2. Pop_Prev Set Up'!$AD$10, '2. Pop_Prev Set Up'!$AE$10)</f>
        <v>TPCm (TF): FPET Global Run (2022)</v>
      </c>
      <c r="S9" s="757" t="str">
        <f>IF(Language="English", "EMU", "EUM")&amp;" : "&amp;'Language Look Ups'!$B$15</f>
        <v>EUM : Produits aux clients</v>
      </c>
      <c r="T9" s="757" t="str">
        <f>IF(Language="English", "EMU", "EUM")&amp;" : "&amp;'Language Look Ups'!$B$16</f>
        <v>EUM : Produits aux établissements</v>
      </c>
      <c r="U9" s="757" t="str">
        <f>IF(Language="English", "EMU", "EUM")&amp;" : "&amp;'Language Look Ups'!$B$17</f>
        <v>EUM : Visites</v>
      </c>
      <c r="V9" s="758" t="str">
        <f>IF(Language="English", "EMU", "EUM")&amp;" : "&amp;'Language Look Ups'!$B$18</f>
        <v>EUM : Utilisatrices de PF</v>
      </c>
      <c r="AB9" s="241" t="s">
        <v>551</v>
      </c>
      <c r="AC9" s="224" t="str">
        <f>IF('3. ServiceStats Set Up'!$T$8="MW", '2. Pop_Prev Set Up'!$V$10, '2. Pop_Prev Set Up'!$W$10)</f>
        <v>TPCm (TF): DHS</v>
      </c>
      <c r="AD9" s="224" t="str">
        <f>IF('3. ServiceStats Set Up'!$T$8="MW", '2. Pop_Prev Set Up'!$X$10, '2. Pop_Prev Set Up'!$Y$10)</f>
        <v>TPCm (TF): MICS</v>
      </c>
      <c r="AE9" s="224" t="str">
        <f>IF('3. ServiceStats Set Up'!$T$8="MW", '2. Pop_Prev Set Up'!$Z$10, '2. Pop_Prev Set Up'!$AA$10)</f>
        <v>TPCm (TF): PMA</v>
      </c>
      <c r="AF9" s="757" t="str">
        <f>IF('3. ServiceStats Set Up'!$T$8="MW", '2. Pop_Prev Set Up'!$AB$10, '2. Pop_Prev Set Up'!$AC$10)</f>
        <v/>
      </c>
      <c r="AG9" s="224" t="str">
        <f>IF('3. ServiceStats Set Up'!$T$8="MW", '2. Pop_Prev Set Up'!$AD$10, '2. Pop_Prev Set Up'!$AE$10)</f>
        <v>TPCm (TF): FPET Global Run (2022)</v>
      </c>
      <c r="AH9" s="217" t="s">
        <v>322</v>
      </c>
      <c r="AI9" s="217" t="s">
        <v>323</v>
      </c>
      <c r="AJ9" s="217" t="s">
        <v>324</v>
      </c>
      <c r="AK9" s="218" t="s">
        <v>325</v>
      </c>
      <c r="AL9" t="str">
        <f>IF(Language="English", AM9, AO9)</f>
        <v>Comparez EUM and TPCM</v>
      </c>
      <c r="AM9" s="447" t="s">
        <v>852</v>
      </c>
      <c r="AO9" s="481" t="s">
        <v>857</v>
      </c>
      <c r="AR9" s="241" t="s">
        <v>551</v>
      </c>
      <c r="AS9" s="224" t="str">
        <f>IF('3. ServiceStats Set Up'!$T$8="MW", '2. Pop_Prev Set Up'!$V$10, '2. Pop_Prev Set Up'!$W$10)</f>
        <v>TPCm (TF): DHS</v>
      </c>
      <c r="AT9" s="224" t="str">
        <f>IF('3. ServiceStats Set Up'!$T$8="MW", '2. Pop_Prev Set Up'!$X$10, '2. Pop_Prev Set Up'!$Y$10)</f>
        <v>TPCm (TF): MICS</v>
      </c>
      <c r="AU9" s="224" t="str">
        <f>IF('3. ServiceStats Set Up'!$T$8="MW", '2. Pop_Prev Set Up'!$Z$10, '2. Pop_Prev Set Up'!$AA$10)</f>
        <v>TPCm (TF): PMA</v>
      </c>
      <c r="AV9" s="757" t="str">
        <f>IF('3. ServiceStats Set Up'!$T$8="MW", '2. Pop_Prev Set Up'!$AB$10, '2. Pop_Prev Set Up'!$AC$10)</f>
        <v/>
      </c>
      <c r="AW9" s="224" t="str">
        <f>IF('3. ServiceStats Set Up'!$T$8="MW", '2. Pop_Prev Set Up'!$AD$10, '2. Pop_Prev Set Up'!$AE$10)</f>
        <v>TPCm (TF): FPET Global Run (2022)</v>
      </c>
      <c r="AX9" s="217" t="s">
        <v>322</v>
      </c>
      <c r="AY9" s="217" t="s">
        <v>323</v>
      </c>
      <c r="AZ9" s="217" t="s">
        <v>324</v>
      </c>
      <c r="BA9" s="218" t="s">
        <v>325</v>
      </c>
    </row>
    <row r="10" spans="1:57" x14ac:dyDescent="0.25">
      <c r="K10" s="238"/>
      <c r="L10" s="238"/>
      <c r="M10" s="762">
        <f>'2. Pop_Prev Set Up'!B11</f>
        <v>2006</v>
      </c>
      <c r="N10" s="192" t="str">
        <f>IFERROR(IF($M10="", "", VLOOKUP($M10,'2. Pop_Prev Set Up'!$T$11:$AE$28, MATCH('"EMU" Output'!N$9, '2. Pop_Prev Set Up'!$T$10:$AE$10, 0), FALSE)),"")</f>
        <v/>
      </c>
      <c r="O10" s="192" t="str">
        <f>IFERROR(IF($M10="", "", VLOOKUP($M10,'2. Pop_Prev Set Up'!$T$11:$AE$28, MATCH('"EMU" Output'!O$9, '2. Pop_Prev Set Up'!$T$10:$AE$10, 0), FALSE)),"")</f>
        <v/>
      </c>
      <c r="P10" s="192" t="str">
        <f>IFERROR(IF($M10="", "", VLOOKUP($M10,'2. Pop_Prev Set Up'!$T$11:$AE$28, MATCH('"EMU" Output'!P$9, '2. Pop_Prev Set Up'!$T$10:$AE$10, 0), FALSE)),"")</f>
        <v/>
      </c>
      <c r="Q10" s="192" t="str">
        <f>IFERROR(IF($M10="", "", VLOOKUP($M10,'2. Pop_Prev Set Up'!$T$11:$AE$28, MATCH('"EMU" Output'!Q$9, '2. Pop_Prev Set Up'!$T$10:$AE$10, 0), FALSE)),"")</f>
        <v/>
      </c>
      <c r="R10" s="192" t="str">
        <f>IFERROR(IF($M10="", "", VLOOKUP($M10,'2. Pop_Prev Set Up'!$T$11:$AE$28, MATCH('"EMU" Output'!R$9, '2. Pop_Prev Set Up'!$T$10:$AE$10, 0), FALSE)),"")</f>
        <v/>
      </c>
      <c r="S10" s="192" t="str">
        <f>IFERROR(HLOOKUP($M10, 'Commodities (Clients) Output'!$D$101:$S$102, 2, FALSE), "")</f>
        <v/>
      </c>
      <c r="T10" s="192" t="str">
        <f>IFERROR(HLOOKUP($M10, 'Commodities (Facility) Output'!$D$100:$S$101, 2, FALSE), "")</f>
        <v/>
      </c>
      <c r="U10" s="192" t="str">
        <f>IFERROR(HLOOKUP($M10, 'Visits Output'!$D$100:$S$101, 2, FALSE), "")</f>
        <v/>
      </c>
      <c r="V10" s="763" t="str">
        <f>IFERROR(HLOOKUP($M10, 'Users Output'!$D$100:$S$101, 2, FALSE), "")</f>
        <v/>
      </c>
      <c r="W10" s="969">
        <f>M10</f>
        <v>2006</v>
      </c>
      <c r="AB10" s="191">
        <f t="shared" ref="AB10:AB27" si="0">M10</f>
        <v>2006</v>
      </c>
      <c r="AC10" s="192" t="e">
        <f t="shared" ref="AC10:AK25" si="1">IF($M10="", "", IF(N10="", NA(), N10))</f>
        <v>#N/A</v>
      </c>
      <c r="AD10" s="192" t="e">
        <f t="shared" si="1"/>
        <v>#N/A</v>
      </c>
      <c r="AE10" s="192" t="e">
        <f t="shared" si="1"/>
        <v>#N/A</v>
      </c>
      <c r="AF10" s="192" t="e">
        <f>IF($M10="", "", IF(Q10="", NA(), Q10))</f>
        <v>#N/A</v>
      </c>
      <c r="AG10" s="192" t="e">
        <f t="shared" si="1"/>
        <v>#N/A</v>
      </c>
      <c r="AH10" s="192" t="e">
        <f t="shared" si="1"/>
        <v>#N/A</v>
      </c>
      <c r="AI10" s="192" t="e">
        <f t="shared" si="1"/>
        <v>#N/A</v>
      </c>
      <c r="AJ10" s="192" t="e">
        <f t="shared" si="1"/>
        <v>#N/A</v>
      </c>
      <c r="AK10" s="192" t="e">
        <f t="shared" si="1"/>
        <v>#N/A</v>
      </c>
      <c r="AL10" s="235" t="str">
        <f t="shared" ref="AL10:AL16" si="2">IFERROR(S10-S9, "")</f>
        <v/>
      </c>
      <c r="AR10" s="191" t="e">
        <f t="shared" ref="AR10:AR27" si="3">AC10</f>
        <v>#N/A</v>
      </c>
      <c r="AS10" s="192" t="str">
        <f t="shared" ref="AS10:AS27" si="4">IFERROR(AC10-AC9, "")</f>
        <v/>
      </c>
      <c r="AT10" s="192" t="str">
        <f t="shared" ref="AT10:AT27" si="5">IFERROR(AD10-AD9, "")</f>
        <v/>
      </c>
      <c r="AU10" s="192" t="str">
        <f t="shared" ref="AU10:AU27" si="6">IFERROR(AE10-AE9, "")</f>
        <v/>
      </c>
      <c r="AV10" s="192" t="str">
        <f t="shared" ref="AV10:AV27" si="7">IFERROR(AF10-AF9, "")</f>
        <v/>
      </c>
      <c r="AW10" s="192" t="str">
        <f t="shared" ref="AW10:AW27" si="8">IFERROR(AG10-AG9, "")</f>
        <v/>
      </c>
      <c r="AX10" s="192" t="str">
        <f t="shared" ref="AX10:AX27" si="9">IFERROR(AH10-AH9, "")</f>
        <v/>
      </c>
      <c r="AY10" s="192" t="str">
        <f t="shared" ref="AY10:AY27" si="10">IFERROR(AI10-AI9, "")</f>
        <v/>
      </c>
      <c r="AZ10" s="192" t="str">
        <f t="shared" ref="AZ10:AZ27" si="11">IFERROR(AJ10-AJ9, "")</f>
        <v/>
      </c>
      <c r="BA10" s="192" t="str">
        <f t="shared" ref="BA10:BA22" si="12">IFERROR(AK10-AK9, "")</f>
        <v/>
      </c>
    </row>
    <row r="11" spans="1:57" x14ac:dyDescent="0.25">
      <c r="K11" s="238"/>
      <c r="L11" s="238"/>
      <c r="M11" s="762" t="str">
        <f>IFERROR(IF(M10+1&lt;='1. Country_Language Set Up'!$C$12, M10+1, ""), "")</f>
        <v/>
      </c>
      <c r="N11" s="192" t="str">
        <f>IFERROR(IF($M11="", "", VLOOKUP($M11,'2. Pop_Prev Set Up'!$T$11:$AE$28, MATCH('"EMU" Output'!N$9, '2. Pop_Prev Set Up'!$T$10:$AE$10, 0), FALSE)),"")</f>
        <v/>
      </c>
      <c r="O11" s="192" t="str">
        <f>IFERROR(IF($M11="", "", VLOOKUP($M11,'2. Pop_Prev Set Up'!$T$11:$AE$28, MATCH('"EMU" Output'!O$9, '2. Pop_Prev Set Up'!$T$10:$AE$10, 0), FALSE)),"")</f>
        <v/>
      </c>
      <c r="P11" s="192" t="str">
        <f>IFERROR(IF($M11="", "", VLOOKUP($M11,'2. Pop_Prev Set Up'!$T$11:$AE$28, MATCH('"EMU" Output'!P$9, '2. Pop_Prev Set Up'!$T$10:$AE$10, 0), FALSE)),"")</f>
        <v/>
      </c>
      <c r="Q11" s="192" t="str">
        <f>IFERROR(IF($M11="", "", VLOOKUP($M11,'2. Pop_Prev Set Up'!$T$11:$AE$28, MATCH('"EMU" Output'!Q$9, '2. Pop_Prev Set Up'!$T$10:$AE$10, 0), FALSE)),"")</f>
        <v/>
      </c>
      <c r="R11" s="192" t="str">
        <f>IFERROR(IF($M11="", "", VLOOKUP($M11,'2. Pop_Prev Set Up'!$T$11:$AE$28, MATCH('"EMU" Output'!R$9, '2. Pop_Prev Set Up'!$T$10:$AE$10, 0), FALSE)),"")</f>
        <v/>
      </c>
      <c r="S11" s="192" t="str">
        <f>IFERROR(HLOOKUP(M11, 'Commodities (Clients) Output'!$D$101:$S$102, 2, FALSE), "")</f>
        <v/>
      </c>
      <c r="T11" s="192" t="str">
        <f>IFERROR(HLOOKUP($M11, 'Commodities (Facility) Output'!$D$100:$S$101, 2, FALSE), "")</f>
        <v/>
      </c>
      <c r="U11" s="192" t="str">
        <f>IFERROR(HLOOKUP($M11, 'Visits Output'!$D$100:$S$101, 2, FALSE), "")</f>
        <v/>
      </c>
      <c r="V11" s="763" t="str">
        <f>IFERROR(HLOOKUP($M11, 'Users Output'!$D$100:$S$101, 2, FALSE), "")</f>
        <v/>
      </c>
      <c r="W11" s="969">
        <f>IFERROR(IF(W10+1&lt;='3. ServiceStats Set Up'!$T$32, W10+1, ""), "")</f>
        <v>2007</v>
      </c>
      <c r="AB11" s="191" t="str">
        <f t="shared" si="0"/>
        <v/>
      </c>
      <c r="AC11" s="192" t="str">
        <f t="shared" si="1"/>
        <v/>
      </c>
      <c r="AD11" s="192" t="str">
        <f t="shared" si="1"/>
        <v/>
      </c>
      <c r="AE11" s="192" t="str">
        <f t="shared" si="1"/>
        <v/>
      </c>
      <c r="AF11" s="192" t="str">
        <f t="shared" ref="AF11:AF26" si="13">IF($M11="", "", IF(Q11="", NA(), Q11))</f>
        <v/>
      </c>
      <c r="AG11" s="192" t="str">
        <f t="shared" ref="AG11:AG26" si="14">IF($M11="", "", IF(R11="", NA(), R11))</f>
        <v/>
      </c>
      <c r="AH11" s="192" t="str">
        <f t="shared" ref="AH11:AH26" si="15">IF($M11="", "", IF(S11="", NA(), S11))</f>
        <v/>
      </c>
      <c r="AI11" s="192" t="str">
        <f t="shared" ref="AI11:AI26" si="16">IF($M11="", "", IF(T11="", NA(), T11))</f>
        <v/>
      </c>
      <c r="AJ11" s="192" t="str">
        <f t="shared" ref="AJ11:AJ26" si="17">IF($M11="", "", IF(U11="", NA(), U11))</f>
        <v/>
      </c>
      <c r="AK11" s="192" t="str">
        <f t="shared" ref="AK11:AK26" si="18">IF($M11="", "", IF(V11="", NA(), V11))</f>
        <v/>
      </c>
      <c r="AL11" s="235" t="str">
        <f t="shared" si="2"/>
        <v/>
      </c>
      <c r="AR11" s="191" t="str">
        <f t="shared" si="3"/>
        <v/>
      </c>
      <c r="AS11" s="970" t="str">
        <f t="shared" si="4"/>
        <v/>
      </c>
      <c r="AT11" s="970" t="str">
        <f t="shared" si="5"/>
        <v/>
      </c>
      <c r="AU11" s="970" t="str">
        <f t="shared" si="6"/>
        <v/>
      </c>
      <c r="AV11" s="970" t="str">
        <f t="shared" si="7"/>
        <v/>
      </c>
      <c r="AW11" s="970" t="str">
        <f t="shared" si="8"/>
        <v/>
      </c>
      <c r="AX11" s="970" t="str">
        <f t="shared" si="9"/>
        <v/>
      </c>
      <c r="AY11" s="970" t="str">
        <f t="shared" si="10"/>
        <v/>
      </c>
      <c r="AZ11" s="970" t="str">
        <f t="shared" si="11"/>
        <v/>
      </c>
      <c r="BA11" s="970" t="str">
        <f t="shared" si="12"/>
        <v/>
      </c>
    </row>
    <row r="12" spans="1:57" x14ac:dyDescent="0.25">
      <c r="K12" s="238"/>
      <c r="L12" s="238"/>
      <c r="M12" s="762" t="str">
        <f>IFERROR(IF(M11+1&lt;='1. Country_Language Set Up'!$C$12, M11+1, ""), "")</f>
        <v/>
      </c>
      <c r="N12" s="192" t="str">
        <f>IFERROR(IF($M12="", "", VLOOKUP($M12,'2. Pop_Prev Set Up'!$T$11:$AE$28, MATCH('"EMU" Output'!N$9, '2. Pop_Prev Set Up'!$T$10:$AE$10, 0), FALSE)),"")</f>
        <v/>
      </c>
      <c r="O12" s="192" t="str">
        <f>IFERROR(IF($M12="", "", VLOOKUP($M12,'2. Pop_Prev Set Up'!$T$11:$AE$28, MATCH('"EMU" Output'!O$9, '2. Pop_Prev Set Up'!$T$10:$AE$10, 0), FALSE)),"")</f>
        <v/>
      </c>
      <c r="P12" s="192" t="str">
        <f>IFERROR(IF($M12="", "", VLOOKUP($M12,'2. Pop_Prev Set Up'!$T$11:$AE$28, MATCH('"EMU" Output'!P$9, '2. Pop_Prev Set Up'!$T$10:$AE$10, 0), FALSE)),"")</f>
        <v/>
      </c>
      <c r="Q12" s="192" t="str">
        <f>IFERROR(IF($M12="", "", VLOOKUP($M12,'2. Pop_Prev Set Up'!$T$11:$AE$28, MATCH('"EMU" Output'!Q$9, '2. Pop_Prev Set Up'!$T$10:$AE$10, 0), FALSE)),"")</f>
        <v/>
      </c>
      <c r="R12" s="192" t="str">
        <f>IFERROR(IF($M12="", "", VLOOKUP($M12,'2. Pop_Prev Set Up'!$T$11:$AE$28, MATCH('"EMU" Output'!R$9, '2. Pop_Prev Set Up'!$T$10:$AE$10, 0), FALSE)),"")</f>
        <v/>
      </c>
      <c r="S12" s="192" t="str">
        <f>IFERROR(HLOOKUP(M12, 'Commodities (Clients) Output'!$D$101:$S$102, 2, FALSE), "")</f>
        <v/>
      </c>
      <c r="T12" s="192" t="str">
        <f>IFERROR(HLOOKUP($M12, 'Commodities (Facility) Output'!$D$100:$S$101, 2, FALSE), "")</f>
        <v/>
      </c>
      <c r="U12" s="192" t="str">
        <f>IFERROR(HLOOKUP($M12, 'Visits Output'!$D$100:$S$101, 2, FALSE), "")</f>
        <v/>
      </c>
      <c r="V12" s="763" t="str">
        <f>IFERROR(HLOOKUP($M12, 'Users Output'!$D$100:$S$101, 2, FALSE), "")</f>
        <v/>
      </c>
      <c r="W12" s="969">
        <f>IFERROR(IF(W11+1&lt;='3. ServiceStats Set Up'!$T$32, W11+1, ""), "")</f>
        <v>2008</v>
      </c>
      <c r="AB12" s="191" t="str">
        <f t="shared" si="0"/>
        <v/>
      </c>
      <c r="AC12" s="192" t="str">
        <f t="shared" si="1"/>
        <v/>
      </c>
      <c r="AD12" s="192" t="str">
        <f t="shared" si="1"/>
        <v/>
      </c>
      <c r="AE12" s="192" t="str">
        <f t="shared" si="1"/>
        <v/>
      </c>
      <c r="AF12" s="192" t="str">
        <f t="shared" si="13"/>
        <v/>
      </c>
      <c r="AG12" s="192" t="str">
        <f t="shared" si="14"/>
        <v/>
      </c>
      <c r="AH12" s="192" t="str">
        <f t="shared" si="15"/>
        <v/>
      </c>
      <c r="AI12" s="192" t="str">
        <f t="shared" si="16"/>
        <v/>
      </c>
      <c r="AJ12" s="192" t="str">
        <f t="shared" si="17"/>
        <v/>
      </c>
      <c r="AK12" s="192" t="str">
        <f t="shared" si="18"/>
        <v/>
      </c>
      <c r="AL12" s="235" t="str">
        <f t="shared" si="2"/>
        <v/>
      </c>
      <c r="AR12" s="191" t="str">
        <f t="shared" si="3"/>
        <v/>
      </c>
      <c r="AS12" s="970" t="str">
        <f t="shared" si="4"/>
        <v/>
      </c>
      <c r="AT12" s="970" t="str">
        <f t="shared" si="5"/>
        <v/>
      </c>
      <c r="AU12" s="970" t="str">
        <f t="shared" si="6"/>
        <v/>
      </c>
      <c r="AV12" s="970" t="str">
        <f t="shared" si="7"/>
        <v/>
      </c>
      <c r="AW12" s="970" t="str">
        <f t="shared" si="8"/>
        <v/>
      </c>
      <c r="AX12" s="970" t="str">
        <f t="shared" si="9"/>
        <v/>
      </c>
      <c r="AY12" s="970" t="str">
        <f t="shared" si="10"/>
        <v/>
      </c>
      <c r="AZ12" s="970" t="str">
        <f t="shared" si="11"/>
        <v/>
      </c>
      <c r="BA12" s="970" t="str">
        <f t="shared" si="12"/>
        <v/>
      </c>
    </row>
    <row r="13" spans="1:57" x14ac:dyDescent="0.25">
      <c r="K13" s="238"/>
      <c r="L13" s="238"/>
      <c r="M13" s="762" t="str">
        <f>IFERROR(IF(M12+1&lt;='1. Country_Language Set Up'!$C$12, M12+1, ""), "")</f>
        <v/>
      </c>
      <c r="N13" s="192" t="str">
        <f>IFERROR(IF($M13="", "", VLOOKUP($M13,'2. Pop_Prev Set Up'!$T$11:$AE$28, MATCH('"EMU" Output'!N$9, '2. Pop_Prev Set Up'!$T$10:$AE$10, 0), FALSE)),"")</f>
        <v/>
      </c>
      <c r="O13" s="192" t="str">
        <f>IFERROR(IF($M13="", "", VLOOKUP($M13,'2. Pop_Prev Set Up'!$T$11:$AE$28, MATCH('"EMU" Output'!O$9, '2. Pop_Prev Set Up'!$T$10:$AE$10, 0), FALSE)),"")</f>
        <v/>
      </c>
      <c r="P13" s="192" t="str">
        <f>IFERROR(IF($M13="", "", VLOOKUP($M13,'2. Pop_Prev Set Up'!$T$11:$AE$28, MATCH('"EMU" Output'!P$9, '2. Pop_Prev Set Up'!$T$10:$AE$10, 0), FALSE)),"")</f>
        <v/>
      </c>
      <c r="Q13" s="192" t="str">
        <f>IFERROR(IF($M13="", "", VLOOKUP($M13,'2. Pop_Prev Set Up'!$T$11:$AE$28, MATCH('"EMU" Output'!Q$9, '2. Pop_Prev Set Up'!$T$10:$AE$10, 0), FALSE)),"")</f>
        <v/>
      </c>
      <c r="R13" s="192" t="str">
        <f>IFERROR(IF($M13="", "", VLOOKUP($M13,'2. Pop_Prev Set Up'!$T$11:$AE$28, MATCH('"EMU" Output'!R$9, '2. Pop_Prev Set Up'!$T$10:$AE$10, 0), FALSE)),"")</f>
        <v/>
      </c>
      <c r="S13" s="192" t="str">
        <f>IFERROR(HLOOKUP(M13, 'Commodities (Clients) Output'!$D$101:$S$102, 2, FALSE), "")</f>
        <v/>
      </c>
      <c r="T13" s="192" t="str">
        <f>IFERROR(HLOOKUP($M13, 'Commodities (Facility) Output'!$D$100:$S$101, 2, FALSE), "")</f>
        <v/>
      </c>
      <c r="U13" s="192" t="str">
        <f>IFERROR(HLOOKUP($M13, 'Visits Output'!$D$100:$S$101, 2, FALSE), "")</f>
        <v/>
      </c>
      <c r="V13" s="763" t="str">
        <f>IFERROR(HLOOKUP($M13, 'Users Output'!$D$100:$S$101, 2, FALSE), "")</f>
        <v/>
      </c>
      <c r="W13" s="969">
        <f>IFERROR(IF(W12+1&lt;='3. ServiceStats Set Up'!$T$32, W12+1, ""), "")</f>
        <v>2009</v>
      </c>
      <c r="AB13" s="191" t="str">
        <f t="shared" si="0"/>
        <v/>
      </c>
      <c r="AC13" s="192" t="str">
        <f t="shared" si="1"/>
        <v/>
      </c>
      <c r="AD13" s="192" t="str">
        <f t="shared" si="1"/>
        <v/>
      </c>
      <c r="AE13" s="192" t="str">
        <f t="shared" si="1"/>
        <v/>
      </c>
      <c r="AF13" s="192" t="str">
        <f t="shared" si="13"/>
        <v/>
      </c>
      <c r="AG13" s="192" t="str">
        <f t="shared" si="14"/>
        <v/>
      </c>
      <c r="AH13" s="192" t="str">
        <f t="shared" si="15"/>
        <v/>
      </c>
      <c r="AI13" s="192" t="str">
        <f t="shared" si="16"/>
        <v/>
      </c>
      <c r="AJ13" s="192" t="str">
        <f t="shared" si="17"/>
        <v/>
      </c>
      <c r="AK13" s="192" t="str">
        <f t="shared" si="18"/>
        <v/>
      </c>
      <c r="AL13" s="235" t="str">
        <f t="shared" si="2"/>
        <v/>
      </c>
      <c r="AR13" s="191" t="str">
        <f t="shared" si="3"/>
        <v/>
      </c>
      <c r="AS13" s="970" t="str">
        <f t="shared" si="4"/>
        <v/>
      </c>
      <c r="AT13" s="970" t="str">
        <f t="shared" si="5"/>
        <v/>
      </c>
      <c r="AU13" s="970" t="str">
        <f t="shared" si="6"/>
        <v/>
      </c>
      <c r="AV13" s="970" t="str">
        <f t="shared" si="7"/>
        <v/>
      </c>
      <c r="AW13" s="970" t="str">
        <f t="shared" si="8"/>
        <v/>
      </c>
      <c r="AX13" s="970" t="str">
        <f t="shared" si="9"/>
        <v/>
      </c>
      <c r="AY13" s="970" t="str">
        <f t="shared" si="10"/>
        <v/>
      </c>
      <c r="AZ13" s="970" t="str">
        <f t="shared" si="11"/>
        <v/>
      </c>
      <c r="BA13" s="970" t="str">
        <f t="shared" si="12"/>
        <v/>
      </c>
    </row>
    <row r="14" spans="1:57" x14ac:dyDescent="0.25">
      <c r="K14" s="238"/>
      <c r="L14" s="238"/>
      <c r="M14" s="762" t="str">
        <f>IFERROR(IF(M13+1&lt;='1. Country_Language Set Up'!$C$12, M13+1, ""), "")</f>
        <v/>
      </c>
      <c r="N14" s="192" t="str">
        <f>IFERROR(IF($M14="", "", VLOOKUP($M14,'2. Pop_Prev Set Up'!$T$11:$AE$28, MATCH('"EMU" Output'!N$9, '2. Pop_Prev Set Up'!$T$10:$AE$10, 0), FALSE)),"")</f>
        <v/>
      </c>
      <c r="O14" s="192" t="str">
        <f>IFERROR(IF($M14="", "", VLOOKUP($M14,'2. Pop_Prev Set Up'!$T$11:$AE$28, MATCH('"EMU" Output'!O$9, '2. Pop_Prev Set Up'!$T$10:$AE$10, 0), FALSE)),"")</f>
        <v/>
      </c>
      <c r="P14" s="192" t="str">
        <f>IFERROR(IF($M14="", "", VLOOKUP($M14,'2. Pop_Prev Set Up'!$T$11:$AE$28, MATCH('"EMU" Output'!P$9, '2. Pop_Prev Set Up'!$T$10:$AE$10, 0), FALSE)),"")</f>
        <v/>
      </c>
      <c r="Q14" s="192" t="str">
        <f>IFERROR(IF($M14="", "", VLOOKUP($M14,'2. Pop_Prev Set Up'!$T$11:$AE$28, MATCH('"EMU" Output'!Q$9, '2. Pop_Prev Set Up'!$T$10:$AE$10, 0), FALSE)),"")</f>
        <v/>
      </c>
      <c r="R14" s="192" t="str">
        <f>IFERROR(IF($M14="", "", VLOOKUP($M14,'2. Pop_Prev Set Up'!$T$11:$AE$28, MATCH('"EMU" Output'!R$9, '2. Pop_Prev Set Up'!$T$10:$AE$10, 0), FALSE)),"")</f>
        <v/>
      </c>
      <c r="S14" s="192" t="str">
        <f>IFERROR(HLOOKUP(M14, 'Commodities (Clients) Output'!$D$101:$S$102, 2, FALSE), "")</f>
        <v/>
      </c>
      <c r="T14" s="192" t="str">
        <f>IFERROR(HLOOKUP($M14, 'Commodities (Facility) Output'!$D$100:$S$101, 2, FALSE), "")</f>
        <v/>
      </c>
      <c r="U14" s="192" t="str">
        <f>IFERROR(HLOOKUP($M14, 'Visits Output'!$D$100:$S$101, 2, FALSE), "")</f>
        <v/>
      </c>
      <c r="V14" s="763" t="str">
        <f>IFERROR(HLOOKUP($M14, 'Users Output'!$D$100:$S$101, 2, FALSE), "")</f>
        <v/>
      </c>
      <c r="W14" s="969">
        <f>IFERROR(IF(W13+1&lt;='3. ServiceStats Set Up'!$T$32, W13+1, ""), "")</f>
        <v>2010</v>
      </c>
      <c r="AB14" s="191" t="str">
        <f t="shared" si="0"/>
        <v/>
      </c>
      <c r="AC14" s="192" t="str">
        <f t="shared" si="1"/>
        <v/>
      </c>
      <c r="AD14" s="192" t="str">
        <f t="shared" si="1"/>
        <v/>
      </c>
      <c r="AE14" s="192" t="str">
        <f t="shared" si="1"/>
        <v/>
      </c>
      <c r="AF14" s="192" t="str">
        <f t="shared" si="13"/>
        <v/>
      </c>
      <c r="AG14" s="192" t="str">
        <f t="shared" si="14"/>
        <v/>
      </c>
      <c r="AH14" s="192" t="str">
        <f t="shared" si="15"/>
        <v/>
      </c>
      <c r="AI14" s="192" t="str">
        <f t="shared" si="16"/>
        <v/>
      </c>
      <c r="AJ14" s="192" t="str">
        <f t="shared" si="17"/>
        <v/>
      </c>
      <c r="AK14" s="192" t="str">
        <f t="shared" si="18"/>
        <v/>
      </c>
      <c r="AL14" s="235" t="str">
        <f t="shared" si="2"/>
        <v/>
      </c>
      <c r="AR14" s="191" t="str">
        <f t="shared" si="3"/>
        <v/>
      </c>
      <c r="AS14" s="970" t="str">
        <f t="shared" si="4"/>
        <v/>
      </c>
      <c r="AT14" s="970" t="str">
        <f t="shared" si="5"/>
        <v/>
      </c>
      <c r="AU14" s="970" t="str">
        <f t="shared" si="6"/>
        <v/>
      </c>
      <c r="AV14" s="970" t="str">
        <f t="shared" si="7"/>
        <v/>
      </c>
      <c r="AW14" s="970" t="str">
        <f t="shared" si="8"/>
        <v/>
      </c>
      <c r="AX14" s="970" t="str">
        <f t="shared" si="9"/>
        <v/>
      </c>
      <c r="AY14" s="970" t="str">
        <f t="shared" si="10"/>
        <v/>
      </c>
      <c r="AZ14" s="970" t="str">
        <f t="shared" si="11"/>
        <v/>
      </c>
      <c r="BA14" s="970" t="str">
        <f t="shared" si="12"/>
        <v/>
      </c>
    </row>
    <row r="15" spans="1:57" x14ac:dyDescent="0.25">
      <c r="K15" s="238"/>
      <c r="L15" s="238"/>
      <c r="M15" s="762" t="str">
        <f>IFERROR(IF(M14+1&lt;='1. Country_Language Set Up'!$C$12, M14+1, ""), "")</f>
        <v/>
      </c>
      <c r="N15" s="192" t="str">
        <f>IFERROR(IF($M15="", "", VLOOKUP($M15,'2. Pop_Prev Set Up'!$T$11:$AE$28, MATCH('"EMU" Output'!N$9, '2. Pop_Prev Set Up'!$T$10:$AE$10, 0), FALSE)),"")</f>
        <v/>
      </c>
      <c r="O15" s="192" t="str">
        <f>IFERROR(IF($M15="", "", VLOOKUP($M15,'2. Pop_Prev Set Up'!$T$11:$AE$28, MATCH('"EMU" Output'!O$9, '2. Pop_Prev Set Up'!$T$10:$AE$10, 0), FALSE)),"")</f>
        <v/>
      </c>
      <c r="P15" s="192" t="str">
        <f>IFERROR(IF($M15="", "", VLOOKUP($M15,'2. Pop_Prev Set Up'!$T$11:$AE$28, MATCH('"EMU" Output'!P$9, '2. Pop_Prev Set Up'!$T$10:$AE$10, 0), FALSE)),"")</f>
        <v/>
      </c>
      <c r="Q15" s="192" t="str">
        <f>IFERROR(IF($M15="", "", VLOOKUP($M15,'2. Pop_Prev Set Up'!$T$11:$AE$28, MATCH('"EMU" Output'!Q$9, '2. Pop_Prev Set Up'!$T$10:$AE$10, 0), FALSE)),"")</f>
        <v/>
      </c>
      <c r="R15" s="192" t="str">
        <f>IFERROR(IF($M15="", "", VLOOKUP($M15,'2. Pop_Prev Set Up'!$T$11:$AE$28, MATCH('"EMU" Output'!R$9, '2. Pop_Prev Set Up'!$T$10:$AE$10, 0), FALSE)),"")</f>
        <v/>
      </c>
      <c r="S15" s="192" t="str">
        <f>IFERROR(HLOOKUP(M15, 'Commodities (Clients) Output'!$D$101:$S$102, 2, FALSE), "")</f>
        <v/>
      </c>
      <c r="T15" s="192" t="str">
        <f>IFERROR(HLOOKUP($M15, 'Commodities (Facility) Output'!$D$100:$S$101, 2, FALSE), "")</f>
        <v/>
      </c>
      <c r="U15" s="192" t="str">
        <f>IFERROR(HLOOKUP($M15, 'Visits Output'!$D$100:$S$101, 2, FALSE), "")</f>
        <v/>
      </c>
      <c r="V15" s="763" t="str">
        <f>IFERROR(HLOOKUP($M15, 'Users Output'!$D$100:$S$101, 2, FALSE), "")</f>
        <v/>
      </c>
      <c r="W15" s="969">
        <f>IFERROR(IF(W14+1&lt;='3. ServiceStats Set Up'!$T$32, W14+1, ""), "")</f>
        <v>2011</v>
      </c>
      <c r="AB15" s="191" t="str">
        <f t="shared" si="0"/>
        <v/>
      </c>
      <c r="AC15" s="192" t="str">
        <f t="shared" si="1"/>
        <v/>
      </c>
      <c r="AD15" s="192" t="str">
        <f t="shared" si="1"/>
        <v/>
      </c>
      <c r="AE15" s="192" t="str">
        <f t="shared" si="1"/>
        <v/>
      </c>
      <c r="AF15" s="192" t="str">
        <f t="shared" si="13"/>
        <v/>
      </c>
      <c r="AG15" s="192" t="str">
        <f t="shared" si="14"/>
        <v/>
      </c>
      <c r="AH15" s="192" t="str">
        <f t="shared" si="15"/>
        <v/>
      </c>
      <c r="AI15" s="192" t="str">
        <f t="shared" si="16"/>
        <v/>
      </c>
      <c r="AJ15" s="192" t="str">
        <f t="shared" si="17"/>
        <v/>
      </c>
      <c r="AK15" s="192" t="str">
        <f t="shared" si="18"/>
        <v/>
      </c>
      <c r="AL15" s="235" t="str">
        <f t="shared" si="2"/>
        <v/>
      </c>
      <c r="AR15" s="191" t="str">
        <f t="shared" si="3"/>
        <v/>
      </c>
      <c r="AS15" s="970" t="str">
        <f t="shared" si="4"/>
        <v/>
      </c>
      <c r="AT15" s="970" t="str">
        <f t="shared" si="5"/>
        <v/>
      </c>
      <c r="AU15" s="970" t="str">
        <f t="shared" si="6"/>
        <v/>
      </c>
      <c r="AV15" s="970" t="str">
        <f t="shared" si="7"/>
        <v/>
      </c>
      <c r="AW15" s="970" t="str">
        <f t="shared" si="8"/>
        <v/>
      </c>
      <c r="AX15" s="970" t="str">
        <f t="shared" si="9"/>
        <v/>
      </c>
      <c r="AY15" s="970" t="str">
        <f t="shared" si="10"/>
        <v/>
      </c>
      <c r="AZ15" s="970" t="str">
        <f t="shared" si="11"/>
        <v/>
      </c>
      <c r="BA15" s="970" t="str">
        <f t="shared" si="12"/>
        <v/>
      </c>
    </row>
    <row r="16" spans="1:57" x14ac:dyDescent="0.25">
      <c r="K16" s="238"/>
      <c r="L16" s="238"/>
      <c r="M16" s="762" t="str">
        <f>IFERROR(IF(M15+1&lt;='1. Country_Language Set Up'!$C$12, M15+1, ""), "")</f>
        <v/>
      </c>
      <c r="N16" s="192" t="str">
        <f>IFERROR(IF($M16="", "", VLOOKUP($M16,'2. Pop_Prev Set Up'!$T$11:$AE$28, MATCH('"EMU" Output'!N$9, '2. Pop_Prev Set Up'!$T$10:$AE$10, 0), FALSE)),"")</f>
        <v/>
      </c>
      <c r="O16" s="192" t="str">
        <f>IFERROR(IF($M16="", "", VLOOKUP($M16,'2. Pop_Prev Set Up'!$T$11:$AE$28, MATCH('"EMU" Output'!O$9, '2. Pop_Prev Set Up'!$T$10:$AE$10, 0), FALSE)),"")</f>
        <v/>
      </c>
      <c r="P16" s="192" t="str">
        <f>IFERROR(IF($M16="", "", VLOOKUP($M16,'2. Pop_Prev Set Up'!$T$11:$AE$28, MATCH('"EMU" Output'!P$9, '2. Pop_Prev Set Up'!$T$10:$AE$10, 0), FALSE)),"")</f>
        <v/>
      </c>
      <c r="Q16" s="192" t="str">
        <f>IFERROR(IF($M16="", "", VLOOKUP($M16,'2. Pop_Prev Set Up'!$T$11:$AE$28, MATCH('"EMU" Output'!Q$9, '2. Pop_Prev Set Up'!$T$10:$AE$10, 0), FALSE)),"")</f>
        <v/>
      </c>
      <c r="R16" s="192" t="str">
        <f>IFERROR(IF($M16="", "", VLOOKUP($M16,'2. Pop_Prev Set Up'!$T$11:$AE$28, MATCH('"EMU" Output'!R$9, '2. Pop_Prev Set Up'!$T$10:$AE$10, 0), FALSE)),"")</f>
        <v/>
      </c>
      <c r="S16" s="192" t="str">
        <f>IFERROR(HLOOKUP(M16, 'Commodities (Clients) Output'!$D$101:$S$102, 2, FALSE), "")</f>
        <v/>
      </c>
      <c r="T16" s="192" t="str">
        <f>IFERROR(HLOOKUP($M16, 'Commodities (Facility) Output'!$D$100:$S$101, 2, FALSE), "")</f>
        <v/>
      </c>
      <c r="U16" s="192" t="str">
        <f>IFERROR(HLOOKUP($M16, 'Visits Output'!$D$100:$S$101, 2, FALSE), "")</f>
        <v/>
      </c>
      <c r="V16" s="763" t="str">
        <f>IFERROR(HLOOKUP($M16, 'Users Output'!$D$100:$S$101, 2, FALSE), "")</f>
        <v/>
      </c>
      <c r="W16" s="969">
        <f>IFERROR(IF(W15+1&lt;='3. ServiceStats Set Up'!$T$32, W15+1, ""), "")</f>
        <v>2012</v>
      </c>
      <c r="AB16" s="191" t="str">
        <f t="shared" si="0"/>
        <v/>
      </c>
      <c r="AC16" s="192" t="str">
        <f t="shared" si="1"/>
        <v/>
      </c>
      <c r="AD16" s="192" t="str">
        <f t="shared" si="1"/>
        <v/>
      </c>
      <c r="AE16" s="192" t="str">
        <f t="shared" si="1"/>
        <v/>
      </c>
      <c r="AF16" s="192" t="str">
        <f t="shared" si="13"/>
        <v/>
      </c>
      <c r="AG16" s="192" t="str">
        <f t="shared" si="14"/>
        <v/>
      </c>
      <c r="AH16" s="192" t="str">
        <f t="shared" si="15"/>
        <v/>
      </c>
      <c r="AI16" s="192" t="str">
        <f t="shared" si="16"/>
        <v/>
      </c>
      <c r="AJ16" s="192" t="str">
        <f t="shared" si="17"/>
        <v/>
      </c>
      <c r="AK16" s="192" t="str">
        <f t="shared" si="18"/>
        <v/>
      </c>
      <c r="AL16" s="235" t="str">
        <f t="shared" si="2"/>
        <v/>
      </c>
      <c r="AR16" s="191" t="str">
        <f t="shared" si="3"/>
        <v/>
      </c>
      <c r="AS16" s="970" t="str">
        <f t="shared" si="4"/>
        <v/>
      </c>
      <c r="AT16" s="970" t="str">
        <f t="shared" si="5"/>
        <v/>
      </c>
      <c r="AU16" s="970" t="str">
        <f t="shared" si="6"/>
        <v/>
      </c>
      <c r="AV16" s="970" t="str">
        <f t="shared" si="7"/>
        <v/>
      </c>
      <c r="AW16" s="970" t="str">
        <f t="shared" si="8"/>
        <v/>
      </c>
      <c r="AX16" s="970" t="str">
        <f t="shared" si="9"/>
        <v/>
      </c>
      <c r="AY16" s="970" t="str">
        <f t="shared" si="10"/>
        <v/>
      </c>
      <c r="AZ16" s="970" t="str">
        <f t="shared" si="11"/>
        <v/>
      </c>
      <c r="BA16" s="970" t="str">
        <f t="shared" si="12"/>
        <v/>
      </c>
    </row>
    <row r="17" spans="2:53" x14ac:dyDescent="0.25">
      <c r="K17" s="238"/>
      <c r="L17" s="238"/>
      <c r="M17" s="762" t="str">
        <f>IFERROR(IF(M16+1&lt;='1. Country_Language Set Up'!$C$12, M16+1, ""), "")</f>
        <v/>
      </c>
      <c r="N17" s="192" t="str">
        <f>IFERROR(IF($M17="", "", VLOOKUP($M17,'2. Pop_Prev Set Up'!$T$11:$AE$28, MATCH('"EMU" Output'!N$9, '2. Pop_Prev Set Up'!$T$10:$AE$10, 0), FALSE)),"")</f>
        <v/>
      </c>
      <c r="O17" s="192" t="str">
        <f>IFERROR(IF($M17="", "", VLOOKUP($M17,'2. Pop_Prev Set Up'!$T$11:$AE$28, MATCH('"EMU" Output'!O$9, '2. Pop_Prev Set Up'!$T$10:$AE$10, 0), FALSE)),"")</f>
        <v/>
      </c>
      <c r="P17" s="192" t="str">
        <f>IFERROR(IF($M17="", "", VLOOKUP($M17,'2. Pop_Prev Set Up'!$T$11:$AE$28, MATCH('"EMU" Output'!P$9, '2. Pop_Prev Set Up'!$T$10:$AE$10, 0), FALSE)),"")</f>
        <v/>
      </c>
      <c r="Q17" s="192" t="str">
        <f>IFERROR(IF($M17="", "", VLOOKUP($M17,'2. Pop_Prev Set Up'!$T$11:$AE$28, MATCH('"EMU" Output'!Q$9, '2. Pop_Prev Set Up'!$T$10:$AE$10, 0), FALSE)),"")</f>
        <v/>
      </c>
      <c r="R17" s="192" t="str">
        <f>IFERROR(IF($M17="", "", VLOOKUP($M17,'2. Pop_Prev Set Up'!$T$11:$AE$28, MATCH('"EMU" Output'!R$9, '2. Pop_Prev Set Up'!$T$10:$AE$10, 0), FALSE)),"")</f>
        <v/>
      </c>
      <c r="S17" s="192" t="str">
        <f>IFERROR(HLOOKUP(M17, 'Commodities (Clients) Output'!$D$101:$S$102, 2, FALSE), "")</f>
        <v/>
      </c>
      <c r="T17" s="192" t="str">
        <f>IFERROR(HLOOKUP($M17, 'Commodities (Facility) Output'!$D$100:$S$101, 2, FALSE), "")</f>
        <v/>
      </c>
      <c r="U17" s="192" t="str">
        <f>IFERROR(HLOOKUP($M17, 'Visits Output'!$D$100:$S$101, 2, FALSE), "")</f>
        <v/>
      </c>
      <c r="V17" s="763" t="str">
        <f>IFERROR(HLOOKUP($M17, 'Users Output'!$D$100:$S$101, 2, FALSE), "")</f>
        <v/>
      </c>
      <c r="W17" s="969">
        <f>IFERROR(IF(W16+1&lt;='3. ServiceStats Set Up'!$T$32, W16+1, ""), "")</f>
        <v>2013</v>
      </c>
      <c r="AB17" s="191" t="str">
        <f t="shared" si="0"/>
        <v/>
      </c>
      <c r="AC17" s="192" t="str">
        <f t="shared" si="1"/>
        <v/>
      </c>
      <c r="AD17" s="192" t="str">
        <f t="shared" si="1"/>
        <v/>
      </c>
      <c r="AE17" s="192" t="str">
        <f t="shared" si="1"/>
        <v/>
      </c>
      <c r="AF17" s="192" t="str">
        <f t="shared" si="13"/>
        <v/>
      </c>
      <c r="AG17" s="192" t="str">
        <f t="shared" si="14"/>
        <v/>
      </c>
      <c r="AH17" s="192" t="str">
        <f t="shared" si="15"/>
        <v/>
      </c>
      <c r="AI17" s="192" t="str">
        <f t="shared" si="16"/>
        <v/>
      </c>
      <c r="AJ17" s="192" t="str">
        <f t="shared" si="17"/>
        <v/>
      </c>
      <c r="AK17" s="192" t="str">
        <f t="shared" si="18"/>
        <v/>
      </c>
      <c r="AL17" s="235" t="str">
        <f>IFERROR(S17-S16, "")</f>
        <v/>
      </c>
      <c r="AR17" s="191" t="str">
        <f t="shared" si="3"/>
        <v/>
      </c>
      <c r="AS17" s="970" t="str">
        <f t="shared" si="4"/>
        <v/>
      </c>
      <c r="AT17" s="970" t="str">
        <f t="shared" si="5"/>
        <v/>
      </c>
      <c r="AU17" s="970" t="str">
        <f t="shared" si="6"/>
        <v/>
      </c>
      <c r="AV17" s="970" t="str">
        <f t="shared" si="7"/>
        <v/>
      </c>
      <c r="AW17" s="970" t="str">
        <f t="shared" si="8"/>
        <v/>
      </c>
      <c r="AX17" s="970" t="str">
        <f t="shared" si="9"/>
        <v/>
      </c>
      <c r="AY17" s="970" t="str">
        <f t="shared" si="10"/>
        <v/>
      </c>
      <c r="AZ17" s="970" t="str">
        <f t="shared" si="11"/>
        <v/>
      </c>
      <c r="BA17" s="970" t="str">
        <f t="shared" si="12"/>
        <v/>
      </c>
    </row>
    <row r="18" spans="2:53" x14ac:dyDescent="0.25">
      <c r="K18" s="238"/>
      <c r="L18" s="238"/>
      <c r="M18" s="762" t="str">
        <f>IFERROR(IF(M17+1&lt;='1. Country_Language Set Up'!$C$12, M17+1, ""), "")</f>
        <v/>
      </c>
      <c r="N18" s="192" t="str">
        <f>IFERROR(IF($M18="", "", VLOOKUP($M18,'2. Pop_Prev Set Up'!$T$11:$AE$28, MATCH('"EMU" Output'!N$9, '2. Pop_Prev Set Up'!$T$10:$AE$10, 0), FALSE)),"")</f>
        <v/>
      </c>
      <c r="O18" s="192" t="str">
        <f>IFERROR(IF($M18="", "", VLOOKUP($M18,'2. Pop_Prev Set Up'!$T$11:$AE$28, MATCH('"EMU" Output'!O$9, '2. Pop_Prev Set Up'!$T$10:$AE$10, 0), FALSE)),"")</f>
        <v/>
      </c>
      <c r="P18" s="192" t="str">
        <f>IFERROR(IF($M18="", "", VLOOKUP($M18,'2. Pop_Prev Set Up'!$T$11:$AE$28, MATCH('"EMU" Output'!P$9, '2. Pop_Prev Set Up'!$T$10:$AE$10, 0), FALSE)),"")</f>
        <v/>
      </c>
      <c r="Q18" s="192" t="str">
        <f>IFERROR(IF($M18="", "", VLOOKUP($M18,'2. Pop_Prev Set Up'!$T$11:$AE$28, MATCH('"EMU" Output'!Q$9, '2. Pop_Prev Set Up'!$T$10:$AE$10, 0), FALSE)),"")</f>
        <v/>
      </c>
      <c r="R18" s="192" t="str">
        <f>IFERROR(IF($M18="", "", VLOOKUP($M18,'2. Pop_Prev Set Up'!$T$11:$AE$28, MATCH('"EMU" Output'!R$9, '2. Pop_Prev Set Up'!$T$10:$AE$10, 0), FALSE)),"")</f>
        <v/>
      </c>
      <c r="S18" s="192" t="str">
        <f>IFERROR(HLOOKUP(M18, 'Commodities (Clients) Output'!$D$101:$S$102, 2, FALSE), "")</f>
        <v/>
      </c>
      <c r="T18" s="192" t="str">
        <f>IFERROR(HLOOKUP($M18, 'Commodities (Facility) Output'!$D$100:$S$101, 2, FALSE), "")</f>
        <v/>
      </c>
      <c r="U18" s="192" t="str">
        <f>IFERROR(HLOOKUP($M18, 'Visits Output'!$D$100:$S$101, 2, FALSE), "")</f>
        <v/>
      </c>
      <c r="V18" s="763" t="str">
        <f>IFERROR(HLOOKUP($M18, 'Users Output'!$D$100:$S$101, 2, FALSE), "")</f>
        <v/>
      </c>
      <c r="W18" s="969">
        <f>IFERROR(IF(W17+1&lt;='3. ServiceStats Set Up'!$T$32, W17+1, ""), "")</f>
        <v>2014</v>
      </c>
      <c r="AB18" s="191" t="str">
        <f t="shared" si="0"/>
        <v/>
      </c>
      <c r="AC18" s="192" t="str">
        <f t="shared" si="1"/>
        <v/>
      </c>
      <c r="AD18" s="192" t="str">
        <f t="shared" si="1"/>
        <v/>
      </c>
      <c r="AE18" s="192" t="str">
        <f t="shared" si="1"/>
        <v/>
      </c>
      <c r="AF18" s="192" t="str">
        <f t="shared" si="13"/>
        <v/>
      </c>
      <c r="AG18" s="192" t="str">
        <f t="shared" si="14"/>
        <v/>
      </c>
      <c r="AH18" s="192" t="str">
        <f t="shared" si="15"/>
        <v/>
      </c>
      <c r="AI18" s="192" t="str">
        <f t="shared" si="16"/>
        <v/>
      </c>
      <c r="AJ18" s="192" t="str">
        <f t="shared" si="17"/>
        <v/>
      </c>
      <c r="AK18" s="192" t="str">
        <f t="shared" si="18"/>
        <v/>
      </c>
      <c r="AL18" s="235"/>
      <c r="AR18" s="191" t="str">
        <f t="shared" si="3"/>
        <v/>
      </c>
      <c r="AS18" s="970" t="str">
        <f t="shared" si="4"/>
        <v/>
      </c>
      <c r="AT18" s="970" t="str">
        <f t="shared" si="5"/>
        <v/>
      </c>
      <c r="AU18" s="970" t="str">
        <f t="shared" si="6"/>
        <v/>
      </c>
      <c r="AV18" s="970" t="str">
        <f t="shared" si="7"/>
        <v/>
      </c>
      <c r="AW18" s="970" t="str">
        <f t="shared" si="8"/>
        <v/>
      </c>
      <c r="AX18" s="970" t="str">
        <f t="shared" si="9"/>
        <v/>
      </c>
      <c r="AY18" s="970" t="str">
        <f t="shared" si="10"/>
        <v/>
      </c>
      <c r="AZ18" s="970" t="str">
        <f t="shared" si="11"/>
        <v/>
      </c>
      <c r="BA18" s="970" t="str">
        <f t="shared" si="12"/>
        <v/>
      </c>
    </row>
    <row r="19" spans="2:53" x14ac:dyDescent="0.25">
      <c r="K19" s="238"/>
      <c r="L19" s="238"/>
      <c r="M19" s="762" t="str">
        <f>IFERROR(IF(M18+1&lt;='1. Country_Language Set Up'!$C$12, M18+1, ""), "")</f>
        <v/>
      </c>
      <c r="N19" s="192" t="str">
        <f>IFERROR(IF($M19="", "", VLOOKUP($M19,'2. Pop_Prev Set Up'!$T$11:$AE$28, MATCH('"EMU" Output'!N$9, '2. Pop_Prev Set Up'!$T$10:$AE$10, 0), FALSE)),"")</f>
        <v/>
      </c>
      <c r="O19" s="192" t="str">
        <f>IFERROR(IF($M19="", "", VLOOKUP($M19,'2. Pop_Prev Set Up'!$T$11:$AE$28, MATCH('"EMU" Output'!O$9, '2. Pop_Prev Set Up'!$T$10:$AE$10, 0), FALSE)),"")</f>
        <v/>
      </c>
      <c r="P19" s="192" t="str">
        <f>IFERROR(IF($M19="", "", VLOOKUP($M19,'2. Pop_Prev Set Up'!$T$11:$AE$28, MATCH('"EMU" Output'!P$9, '2. Pop_Prev Set Up'!$T$10:$AE$10, 0), FALSE)),"")</f>
        <v/>
      </c>
      <c r="Q19" s="192" t="str">
        <f>IFERROR(IF($M19="", "", VLOOKUP($M19,'2. Pop_Prev Set Up'!$T$11:$AE$28, MATCH('"EMU" Output'!Q$9, '2. Pop_Prev Set Up'!$T$10:$AE$10, 0), FALSE)),"")</f>
        <v/>
      </c>
      <c r="R19" s="192" t="str">
        <f>IFERROR(IF($M19="", "", VLOOKUP($M19,'2. Pop_Prev Set Up'!$T$11:$AE$28, MATCH('"EMU" Output'!R$9, '2. Pop_Prev Set Up'!$T$10:$AE$10, 0), FALSE)),"")</f>
        <v/>
      </c>
      <c r="S19" s="192" t="str">
        <f>IFERROR(HLOOKUP(M19, 'Commodities (Clients) Output'!$D$101:$S$102, 2, FALSE), "")</f>
        <v/>
      </c>
      <c r="T19" s="192" t="str">
        <f>IFERROR(HLOOKUP($M19, 'Commodities (Facility) Output'!$D$100:$S$101, 2, FALSE), "")</f>
        <v/>
      </c>
      <c r="U19" s="192" t="str">
        <f>IFERROR(HLOOKUP($M19, 'Visits Output'!$D$100:$S$101, 2, FALSE), "")</f>
        <v/>
      </c>
      <c r="V19" s="763" t="str">
        <f>IFERROR(HLOOKUP($M19, 'Users Output'!$D$100:$S$101, 2, FALSE), "")</f>
        <v/>
      </c>
      <c r="W19" s="969">
        <f>IFERROR(IF(W18+1&lt;='3. ServiceStats Set Up'!$T$32, W18+1, ""), "")</f>
        <v>2015</v>
      </c>
      <c r="AB19" s="191" t="str">
        <f t="shared" si="0"/>
        <v/>
      </c>
      <c r="AC19" s="192" t="str">
        <f t="shared" si="1"/>
        <v/>
      </c>
      <c r="AD19" s="192" t="str">
        <f t="shared" si="1"/>
        <v/>
      </c>
      <c r="AE19" s="192" t="str">
        <f t="shared" si="1"/>
        <v/>
      </c>
      <c r="AF19" s="192" t="str">
        <f t="shared" si="13"/>
        <v/>
      </c>
      <c r="AG19" s="192" t="str">
        <f t="shared" si="14"/>
        <v/>
      </c>
      <c r="AH19" s="192" t="str">
        <f t="shared" si="15"/>
        <v/>
      </c>
      <c r="AI19" s="192" t="str">
        <f t="shared" si="16"/>
        <v/>
      </c>
      <c r="AJ19" s="192" t="str">
        <f t="shared" si="17"/>
        <v/>
      </c>
      <c r="AK19" s="192" t="str">
        <f t="shared" si="18"/>
        <v/>
      </c>
      <c r="AL19" s="235"/>
      <c r="AR19" s="191" t="str">
        <f t="shared" si="3"/>
        <v/>
      </c>
      <c r="AS19" s="970" t="str">
        <f t="shared" si="4"/>
        <v/>
      </c>
      <c r="AT19" s="970" t="str">
        <f t="shared" si="5"/>
        <v/>
      </c>
      <c r="AU19" s="970" t="str">
        <f t="shared" si="6"/>
        <v/>
      </c>
      <c r="AV19" s="970" t="str">
        <f t="shared" si="7"/>
        <v/>
      </c>
      <c r="AW19" s="970" t="str">
        <f t="shared" si="8"/>
        <v/>
      </c>
      <c r="AX19" s="970" t="str">
        <f t="shared" si="9"/>
        <v/>
      </c>
      <c r="AY19" s="970" t="str">
        <f t="shared" si="10"/>
        <v/>
      </c>
      <c r="AZ19" s="970" t="str">
        <f t="shared" si="11"/>
        <v/>
      </c>
      <c r="BA19" s="970" t="str">
        <f t="shared" si="12"/>
        <v/>
      </c>
    </row>
    <row r="20" spans="2:53" x14ac:dyDescent="0.25">
      <c r="K20" s="238"/>
      <c r="L20" s="238"/>
      <c r="M20" s="762" t="str">
        <f>IFERROR(IF(M19+1&lt;='1. Country_Language Set Up'!$C$12, M19+1, ""), "")</f>
        <v/>
      </c>
      <c r="N20" s="192" t="str">
        <f>IFERROR(IF($M20="", "", VLOOKUP($M20,'2. Pop_Prev Set Up'!$T$11:$AE$28, MATCH('"EMU" Output'!N$9, '2. Pop_Prev Set Up'!$T$10:$AE$10, 0), FALSE)),"")</f>
        <v/>
      </c>
      <c r="O20" s="192" t="str">
        <f>IFERROR(IF($M20="", "", VLOOKUP($M20,'2. Pop_Prev Set Up'!$T$11:$AE$28, MATCH('"EMU" Output'!O$9, '2. Pop_Prev Set Up'!$T$10:$AE$10, 0), FALSE)),"")</f>
        <v/>
      </c>
      <c r="P20" s="192" t="str">
        <f>IFERROR(IF($M20="", "", VLOOKUP($M20,'2. Pop_Prev Set Up'!$T$11:$AE$28, MATCH('"EMU" Output'!P$9, '2. Pop_Prev Set Up'!$T$10:$AE$10, 0), FALSE)),"")</f>
        <v/>
      </c>
      <c r="Q20" s="192" t="str">
        <f>IFERROR(IF($M20="", "", VLOOKUP($M20,'2. Pop_Prev Set Up'!$T$11:$AE$28, MATCH('"EMU" Output'!Q$9, '2. Pop_Prev Set Up'!$T$10:$AE$10, 0), FALSE)),"")</f>
        <v/>
      </c>
      <c r="R20" s="192" t="str">
        <f>IFERROR(IF($M20="", "", VLOOKUP($M20,'2. Pop_Prev Set Up'!$T$11:$AE$28, MATCH('"EMU" Output'!R$9, '2. Pop_Prev Set Up'!$T$10:$AE$10, 0), FALSE)),"")</f>
        <v/>
      </c>
      <c r="S20" s="192" t="str">
        <f>IFERROR(HLOOKUP(M20, 'Commodities (Clients) Output'!$D$101:$S$102, 2, FALSE), "")</f>
        <v/>
      </c>
      <c r="T20" s="192" t="str">
        <f>IFERROR(HLOOKUP($M20, 'Commodities (Facility) Output'!$D$100:$S$101, 2, FALSE), "")</f>
        <v/>
      </c>
      <c r="U20" s="192" t="str">
        <f>IFERROR(HLOOKUP($M20, 'Visits Output'!$D$100:$S$101, 2, FALSE), "")</f>
        <v/>
      </c>
      <c r="V20" s="763" t="str">
        <f>IFERROR(HLOOKUP($M20, 'Users Output'!$D$100:$S$101, 2, FALSE), "")</f>
        <v/>
      </c>
      <c r="W20" s="969">
        <f>IFERROR(IF(W19+1&lt;='3. ServiceStats Set Up'!$T$32, W19+1, ""), "")</f>
        <v>2016</v>
      </c>
      <c r="AB20" s="191" t="str">
        <f t="shared" si="0"/>
        <v/>
      </c>
      <c r="AC20" s="192" t="str">
        <f t="shared" si="1"/>
        <v/>
      </c>
      <c r="AD20" s="192" t="str">
        <f t="shared" si="1"/>
        <v/>
      </c>
      <c r="AE20" s="192" t="str">
        <f t="shared" si="1"/>
        <v/>
      </c>
      <c r="AF20" s="192" t="str">
        <f t="shared" si="13"/>
        <v/>
      </c>
      <c r="AG20" s="192" t="str">
        <f t="shared" si="14"/>
        <v/>
      </c>
      <c r="AH20" s="192" t="str">
        <f t="shared" si="15"/>
        <v/>
      </c>
      <c r="AI20" s="192" t="str">
        <f t="shared" si="16"/>
        <v/>
      </c>
      <c r="AJ20" s="192" t="str">
        <f t="shared" si="17"/>
        <v/>
      </c>
      <c r="AK20" s="192" t="str">
        <f t="shared" si="18"/>
        <v/>
      </c>
      <c r="AL20" s="235"/>
      <c r="AR20" s="191" t="str">
        <f t="shared" si="3"/>
        <v/>
      </c>
      <c r="AS20" s="970" t="str">
        <f t="shared" si="4"/>
        <v/>
      </c>
      <c r="AT20" s="970" t="str">
        <f t="shared" si="5"/>
        <v/>
      </c>
      <c r="AU20" s="970" t="str">
        <f t="shared" si="6"/>
        <v/>
      </c>
      <c r="AV20" s="970" t="str">
        <f t="shared" si="7"/>
        <v/>
      </c>
      <c r="AW20" s="970" t="str">
        <f t="shared" si="8"/>
        <v/>
      </c>
      <c r="AX20" s="970" t="str">
        <f t="shared" si="9"/>
        <v/>
      </c>
      <c r="AY20" s="970" t="str">
        <f t="shared" si="10"/>
        <v/>
      </c>
      <c r="AZ20" s="970" t="str">
        <f t="shared" si="11"/>
        <v/>
      </c>
      <c r="BA20" s="970" t="str">
        <f t="shared" si="12"/>
        <v/>
      </c>
    </row>
    <row r="21" spans="2:53" x14ac:dyDescent="0.25">
      <c r="K21" s="238"/>
      <c r="L21" s="238"/>
      <c r="M21" s="762" t="str">
        <f>IFERROR(IF(M20+1&lt;='1. Country_Language Set Up'!$C$12, M20+1, ""), "")</f>
        <v/>
      </c>
      <c r="N21" s="192" t="str">
        <f>IFERROR(IF($M21="", "", VLOOKUP($M21,'2. Pop_Prev Set Up'!$T$11:$AE$28, MATCH('"EMU" Output'!N$9, '2. Pop_Prev Set Up'!$T$10:$AE$10, 0), FALSE)),"")</f>
        <v/>
      </c>
      <c r="O21" s="192" t="str">
        <f>IFERROR(IF($M21="", "", VLOOKUP($M21,'2. Pop_Prev Set Up'!$T$11:$AE$28, MATCH('"EMU" Output'!O$9, '2. Pop_Prev Set Up'!$T$10:$AE$10, 0), FALSE)),"")</f>
        <v/>
      </c>
      <c r="P21" s="192" t="str">
        <f>IFERROR(IF($M21="", "", VLOOKUP($M21,'2. Pop_Prev Set Up'!$T$11:$AE$28, MATCH('"EMU" Output'!P$9, '2. Pop_Prev Set Up'!$T$10:$AE$10, 0), FALSE)),"")</f>
        <v/>
      </c>
      <c r="Q21" s="192" t="str">
        <f>IFERROR(IF($M21="", "", VLOOKUP($M21,'2. Pop_Prev Set Up'!$T$11:$AE$28, MATCH('"EMU" Output'!Q$9, '2. Pop_Prev Set Up'!$T$10:$AE$10, 0), FALSE)),"")</f>
        <v/>
      </c>
      <c r="R21" s="192" t="str">
        <f>IFERROR(IF($M21="", "", VLOOKUP($M21,'2. Pop_Prev Set Up'!$T$11:$AE$28, MATCH('"EMU" Output'!R$9, '2. Pop_Prev Set Up'!$T$10:$AE$10, 0), FALSE)),"")</f>
        <v/>
      </c>
      <c r="S21" s="192" t="str">
        <f>IFERROR(HLOOKUP(M21, 'Commodities (Clients) Output'!$D$101:$S$102, 2, FALSE), "")</f>
        <v/>
      </c>
      <c r="T21" s="192" t="str">
        <f>IFERROR(HLOOKUP($M21, 'Commodities (Facility) Output'!$D$100:$S$101, 2, FALSE), "")</f>
        <v/>
      </c>
      <c r="U21" s="192" t="str">
        <f>IFERROR(HLOOKUP($M21, 'Visits Output'!$D$100:$S$101, 2, FALSE), "")</f>
        <v/>
      </c>
      <c r="V21" s="763" t="str">
        <f>IFERROR(HLOOKUP($M21, 'Users Output'!$D$100:$S$101, 2, FALSE), "")</f>
        <v/>
      </c>
      <c r="W21" s="969">
        <f>IFERROR(IF(W20+1&lt;='3. ServiceStats Set Up'!$T$32, W20+1, ""), "")</f>
        <v>2017</v>
      </c>
      <c r="AB21" s="191" t="str">
        <f t="shared" si="0"/>
        <v/>
      </c>
      <c r="AC21" s="192" t="str">
        <f t="shared" si="1"/>
        <v/>
      </c>
      <c r="AD21" s="192" t="str">
        <f t="shared" si="1"/>
        <v/>
      </c>
      <c r="AE21" s="192" t="str">
        <f t="shared" si="1"/>
        <v/>
      </c>
      <c r="AF21" s="192" t="str">
        <f t="shared" si="13"/>
        <v/>
      </c>
      <c r="AG21" s="192" t="str">
        <f t="shared" si="14"/>
        <v/>
      </c>
      <c r="AH21" s="192" t="str">
        <f t="shared" si="15"/>
        <v/>
      </c>
      <c r="AI21" s="192" t="str">
        <f t="shared" si="16"/>
        <v/>
      </c>
      <c r="AJ21" s="192" t="str">
        <f t="shared" si="17"/>
        <v/>
      </c>
      <c r="AK21" s="192" t="str">
        <f t="shared" si="18"/>
        <v/>
      </c>
      <c r="AL21" s="235"/>
      <c r="AR21" s="191" t="str">
        <f t="shared" si="3"/>
        <v/>
      </c>
      <c r="AS21" s="970" t="str">
        <f t="shared" si="4"/>
        <v/>
      </c>
      <c r="AT21" s="970" t="str">
        <f t="shared" si="5"/>
        <v/>
      </c>
      <c r="AU21" s="970" t="str">
        <f t="shared" si="6"/>
        <v/>
      </c>
      <c r="AV21" s="970" t="str">
        <f t="shared" si="7"/>
        <v/>
      </c>
      <c r="AW21" s="970" t="str">
        <f t="shared" si="8"/>
        <v/>
      </c>
      <c r="AX21" s="970" t="str">
        <f t="shared" si="9"/>
        <v/>
      </c>
      <c r="AY21" s="970" t="str">
        <f t="shared" si="10"/>
        <v/>
      </c>
      <c r="AZ21" s="970" t="str">
        <f t="shared" si="11"/>
        <v/>
      </c>
      <c r="BA21" s="970" t="str">
        <f t="shared" si="12"/>
        <v/>
      </c>
    </row>
    <row r="22" spans="2:53" ht="15.75" customHeight="1" x14ac:dyDescent="0.25">
      <c r="K22" s="238"/>
      <c r="L22" s="238"/>
      <c r="M22" s="762" t="str">
        <f>IFERROR(IF(M21+1&lt;='1. Country_Language Set Up'!$C$12, M21+1, ""), "")</f>
        <v/>
      </c>
      <c r="N22" s="192" t="str">
        <f>IFERROR(IF($M22="", "", VLOOKUP($M22,'2. Pop_Prev Set Up'!$T$11:$AE$28, MATCH('"EMU" Output'!N$9, '2. Pop_Prev Set Up'!$T$10:$AE$10, 0), FALSE)),"")</f>
        <v/>
      </c>
      <c r="O22" s="192" t="str">
        <f>IFERROR(IF($M22="", "", VLOOKUP($M22,'2. Pop_Prev Set Up'!$T$11:$AE$28, MATCH('"EMU" Output'!O$9, '2. Pop_Prev Set Up'!$T$10:$AE$10, 0), FALSE)),"")</f>
        <v/>
      </c>
      <c r="P22" s="192" t="str">
        <f>IFERROR(IF($M22="", "", VLOOKUP($M22,'2. Pop_Prev Set Up'!$T$11:$AE$28, MATCH('"EMU" Output'!P$9, '2. Pop_Prev Set Up'!$T$10:$AE$10, 0), FALSE)),"")</f>
        <v/>
      </c>
      <c r="Q22" s="192" t="str">
        <f>IFERROR(IF($M22="", "", VLOOKUP($M22,'2. Pop_Prev Set Up'!$T$11:$AE$28, MATCH('"EMU" Output'!Q$9, '2. Pop_Prev Set Up'!$T$10:$AE$10, 0), FALSE)),"")</f>
        <v/>
      </c>
      <c r="R22" s="192" t="str">
        <f>IFERROR(IF($M22="", "", VLOOKUP($M22,'2. Pop_Prev Set Up'!$T$11:$AE$28, MATCH('"EMU" Output'!R$9, '2. Pop_Prev Set Up'!$T$10:$AE$10, 0), FALSE)),"")</f>
        <v/>
      </c>
      <c r="S22" s="192" t="str">
        <f>IFERROR(HLOOKUP(M22, 'Commodities (Clients) Output'!$D$101:$S$102, 2, FALSE), "")</f>
        <v/>
      </c>
      <c r="T22" s="192" t="str">
        <f>IFERROR(HLOOKUP($M22, 'Commodities (Facility) Output'!$D$100:$S$101, 2, FALSE), "")</f>
        <v/>
      </c>
      <c r="U22" s="192" t="str">
        <f>IFERROR(HLOOKUP($M22, 'Visits Output'!$D$100:$S$101, 2, FALSE), "")</f>
        <v/>
      </c>
      <c r="V22" s="763" t="str">
        <f>IFERROR(HLOOKUP($M22, 'Users Output'!$D$100:$S$101, 2, FALSE), "")</f>
        <v/>
      </c>
      <c r="W22" s="969">
        <f>IFERROR(IF(W21+1&lt;='3. ServiceStats Set Up'!$T$32, W21+1, ""), "")</f>
        <v>2018</v>
      </c>
      <c r="AB22" s="191" t="str">
        <f t="shared" si="0"/>
        <v/>
      </c>
      <c r="AC22" s="192" t="str">
        <f t="shared" si="1"/>
        <v/>
      </c>
      <c r="AD22" s="192" t="str">
        <f t="shared" si="1"/>
        <v/>
      </c>
      <c r="AE22" s="192" t="str">
        <f t="shared" si="1"/>
        <v/>
      </c>
      <c r="AF22" s="192" t="str">
        <f t="shared" si="13"/>
        <v/>
      </c>
      <c r="AG22" s="192" t="str">
        <f t="shared" si="14"/>
        <v/>
      </c>
      <c r="AH22" s="192" t="str">
        <f t="shared" si="15"/>
        <v/>
      </c>
      <c r="AI22" s="192" t="str">
        <f t="shared" si="16"/>
        <v/>
      </c>
      <c r="AJ22" s="192" t="str">
        <f t="shared" si="17"/>
        <v/>
      </c>
      <c r="AK22" s="192" t="str">
        <f t="shared" si="18"/>
        <v/>
      </c>
      <c r="AL22" s="235"/>
      <c r="AR22" s="191" t="str">
        <f t="shared" si="3"/>
        <v/>
      </c>
      <c r="AS22" s="970" t="str">
        <f t="shared" si="4"/>
        <v/>
      </c>
      <c r="AT22" s="970" t="str">
        <f t="shared" si="5"/>
        <v/>
      </c>
      <c r="AU22" s="970" t="str">
        <f t="shared" si="6"/>
        <v/>
      </c>
      <c r="AV22" s="970" t="str">
        <f t="shared" si="7"/>
        <v/>
      </c>
      <c r="AW22" s="970" t="str">
        <f t="shared" si="8"/>
        <v/>
      </c>
      <c r="AX22" s="970" t="str">
        <f t="shared" si="9"/>
        <v/>
      </c>
      <c r="AY22" s="970" t="str">
        <f t="shared" si="10"/>
        <v/>
      </c>
      <c r="AZ22" s="970" t="str">
        <f t="shared" si="11"/>
        <v/>
      </c>
      <c r="BA22" s="970" t="str">
        <f t="shared" si="12"/>
        <v/>
      </c>
    </row>
    <row r="23" spans="2:53" x14ac:dyDescent="0.25">
      <c r="K23" s="238"/>
      <c r="L23" s="238"/>
      <c r="M23" s="762" t="str">
        <f>IFERROR(IF(M22+1&lt;='1. Country_Language Set Up'!$C$12, M22+1, ""), "")</f>
        <v/>
      </c>
      <c r="N23" s="192" t="str">
        <f>IFERROR(IF($M23="", "", VLOOKUP($M23,'2. Pop_Prev Set Up'!$T$11:$AE$28, MATCH('"EMU" Output'!N$9, '2. Pop_Prev Set Up'!$T$10:$AE$10, 0), FALSE)),"")</f>
        <v/>
      </c>
      <c r="O23" s="192" t="str">
        <f>IFERROR(IF($M23="", "", VLOOKUP($M23,'2. Pop_Prev Set Up'!$T$11:$AE$28, MATCH('"EMU" Output'!O$9, '2. Pop_Prev Set Up'!$T$10:$AE$10, 0), FALSE)),"")</f>
        <v/>
      </c>
      <c r="P23" s="192" t="str">
        <f>IFERROR(IF($M23="", "", VLOOKUP($M23,'2. Pop_Prev Set Up'!$T$11:$AE$28, MATCH('"EMU" Output'!P$9, '2. Pop_Prev Set Up'!$T$10:$AE$10, 0), FALSE)),"")</f>
        <v/>
      </c>
      <c r="Q23" s="192" t="str">
        <f>IFERROR(IF($M23="", "", VLOOKUP($M23,'2. Pop_Prev Set Up'!$T$11:$AE$28, MATCH('"EMU" Output'!Q$9, '2. Pop_Prev Set Up'!$T$10:$AE$10, 0), FALSE)),"")</f>
        <v/>
      </c>
      <c r="R23" s="192" t="str">
        <f>IFERROR(IF($M23="", "", VLOOKUP($M23,'2. Pop_Prev Set Up'!$T$11:$AE$28, MATCH('"EMU" Output'!R$9, '2. Pop_Prev Set Up'!$T$10:$AE$10, 0), FALSE)),"")</f>
        <v/>
      </c>
      <c r="S23" s="192" t="str">
        <f>IFERROR(HLOOKUP(M23, 'Commodities (Clients) Output'!$D$101:$S$102, 2, FALSE), "")</f>
        <v/>
      </c>
      <c r="T23" s="192" t="str">
        <f>IFERROR(HLOOKUP($M23, 'Commodities (Facility) Output'!$D$100:$S$101, 2, FALSE), "")</f>
        <v/>
      </c>
      <c r="U23" s="192" t="str">
        <f>IFERROR(HLOOKUP($M23, 'Visits Output'!$D$100:$S$101, 2, FALSE), "")</f>
        <v/>
      </c>
      <c r="V23" s="763" t="str">
        <f>IFERROR(HLOOKUP($M23, 'Users Output'!$D$100:$S$101, 2, FALSE), "")</f>
        <v/>
      </c>
      <c r="W23" s="969" t="str">
        <f>IFERROR(IF(W22+1&lt;='3. ServiceStats Set Up'!$T$32, W22+1, ""), "")</f>
        <v/>
      </c>
      <c r="AB23" s="191" t="str">
        <f t="shared" si="0"/>
        <v/>
      </c>
      <c r="AC23" s="192" t="str">
        <f t="shared" si="1"/>
        <v/>
      </c>
      <c r="AD23" s="192" t="str">
        <f>IF($M23="", "", IF(O23="", NA(), O23))</f>
        <v/>
      </c>
      <c r="AE23" s="192" t="str">
        <f t="shared" si="1"/>
        <v/>
      </c>
      <c r="AF23" s="192" t="str">
        <f t="shared" si="13"/>
        <v/>
      </c>
      <c r="AG23" s="192" t="str">
        <f t="shared" si="14"/>
        <v/>
      </c>
      <c r="AH23" s="192" t="str">
        <f t="shared" si="15"/>
        <v/>
      </c>
      <c r="AI23" s="192" t="str">
        <f t="shared" si="16"/>
        <v/>
      </c>
      <c r="AJ23" s="192" t="str">
        <f t="shared" si="17"/>
        <v/>
      </c>
      <c r="AK23" s="192" t="str">
        <f t="shared" si="18"/>
        <v/>
      </c>
      <c r="AL23" s="235"/>
      <c r="AR23" s="191" t="str">
        <f t="shared" si="3"/>
        <v/>
      </c>
      <c r="AS23" s="970" t="str">
        <f t="shared" si="4"/>
        <v/>
      </c>
      <c r="AT23" s="970" t="str">
        <f t="shared" si="5"/>
        <v/>
      </c>
      <c r="AU23" s="970" t="str">
        <f t="shared" si="6"/>
        <v/>
      </c>
      <c r="AV23" s="970" t="str">
        <f t="shared" si="7"/>
        <v/>
      </c>
      <c r="AW23" s="970" t="str">
        <f t="shared" si="8"/>
        <v/>
      </c>
      <c r="AX23" s="970" t="str">
        <f t="shared" si="9"/>
        <v/>
      </c>
      <c r="AY23" s="970" t="str">
        <f t="shared" si="10"/>
        <v/>
      </c>
      <c r="AZ23" s="970" t="str">
        <f t="shared" si="11"/>
        <v/>
      </c>
      <c r="BA23" s="970" t="str">
        <f>IFERROR(AK23-AK22, "")</f>
        <v/>
      </c>
    </row>
    <row r="24" spans="2:53" x14ac:dyDescent="0.25">
      <c r="K24" s="238"/>
      <c r="L24" s="238"/>
      <c r="M24" s="762" t="str">
        <f>IFERROR(IF(M23+1&lt;='1. Country_Language Set Up'!$C$12, M23+1, ""), "")</f>
        <v/>
      </c>
      <c r="N24" s="192" t="str">
        <f>IFERROR(IF($M24="", "", VLOOKUP($M24,'2. Pop_Prev Set Up'!$T$11:$AE$28, MATCH('"EMU" Output'!N$9, '2. Pop_Prev Set Up'!$T$10:$AE$10, 0), FALSE)),"")</f>
        <v/>
      </c>
      <c r="O24" s="192" t="str">
        <f>IFERROR(IF($M24="", "", VLOOKUP($M24,'2. Pop_Prev Set Up'!$T$11:$AE$28, MATCH('"EMU" Output'!O$9, '2. Pop_Prev Set Up'!$T$10:$AE$10, 0), FALSE)),"")</f>
        <v/>
      </c>
      <c r="P24" s="192" t="str">
        <f>IFERROR(IF($M24="", "", VLOOKUP($M24,'2. Pop_Prev Set Up'!$T$11:$AE$28, MATCH('"EMU" Output'!P$9, '2. Pop_Prev Set Up'!$T$10:$AE$10, 0), FALSE)),"")</f>
        <v/>
      </c>
      <c r="Q24" s="192" t="str">
        <f>IFERROR(IF($M24="", "", VLOOKUP($M24,'2. Pop_Prev Set Up'!$T$11:$AE$28, MATCH('"EMU" Output'!Q$9, '2. Pop_Prev Set Up'!$T$10:$AE$10, 0), FALSE)),"")</f>
        <v/>
      </c>
      <c r="R24" s="192" t="str">
        <f>IFERROR(IF($M24="", "", VLOOKUP($M24,'2. Pop_Prev Set Up'!$T$11:$AE$28, MATCH('"EMU" Output'!R$9, '2. Pop_Prev Set Up'!$T$10:$AE$10, 0), FALSE)),"")</f>
        <v/>
      </c>
      <c r="S24" s="192" t="str">
        <f>IFERROR(HLOOKUP(M24, 'Commodities (Clients) Output'!$D$101:$S$102, 2, FALSE), "")</f>
        <v/>
      </c>
      <c r="T24" s="192" t="str">
        <f>IFERROR(HLOOKUP($M24, 'Commodities (Facility) Output'!$D$100:$S$101, 2, FALSE), "")</f>
        <v/>
      </c>
      <c r="U24" s="192" t="str">
        <f>IFERROR(HLOOKUP($M24, 'Visits Output'!$D$100:$S$101, 2, FALSE), "")</f>
        <v/>
      </c>
      <c r="V24" s="763" t="str">
        <f>IFERROR(HLOOKUP($M24, 'Users Output'!$D$100:$S$101, 2, FALSE), "")</f>
        <v/>
      </c>
      <c r="W24" s="969" t="str">
        <f>IFERROR(IF(W23+1&lt;='3. ServiceStats Set Up'!$T$32, W23+1, ""), "")</f>
        <v/>
      </c>
      <c r="AB24" s="191" t="str">
        <f t="shared" si="0"/>
        <v/>
      </c>
      <c r="AC24" s="192" t="str">
        <f t="shared" si="1"/>
        <v/>
      </c>
      <c r="AD24" s="192" t="str">
        <f>IF($M24="", "", IF(O24="", NA(), O24))</f>
        <v/>
      </c>
      <c r="AE24" s="192" t="str">
        <f t="shared" si="1"/>
        <v/>
      </c>
      <c r="AF24" s="192" t="str">
        <f t="shared" si="13"/>
        <v/>
      </c>
      <c r="AG24" s="192" t="str">
        <f t="shared" si="14"/>
        <v/>
      </c>
      <c r="AH24" s="192" t="str">
        <f t="shared" si="15"/>
        <v/>
      </c>
      <c r="AI24" s="192" t="str">
        <f t="shared" si="16"/>
        <v/>
      </c>
      <c r="AJ24" s="192" t="str">
        <f t="shared" si="17"/>
        <v/>
      </c>
      <c r="AK24" s="192" t="str">
        <f t="shared" si="18"/>
        <v/>
      </c>
      <c r="AR24" s="191" t="str">
        <f t="shared" si="3"/>
        <v/>
      </c>
      <c r="AS24" s="970" t="str">
        <f t="shared" si="4"/>
        <v/>
      </c>
      <c r="AT24" s="970" t="str">
        <f t="shared" si="5"/>
        <v/>
      </c>
      <c r="AU24" s="970" t="str">
        <f t="shared" si="6"/>
        <v/>
      </c>
      <c r="AV24" s="970" t="str">
        <f t="shared" si="7"/>
        <v/>
      </c>
      <c r="AW24" s="970" t="str">
        <f t="shared" si="8"/>
        <v/>
      </c>
      <c r="AX24" s="970" t="str">
        <f t="shared" si="9"/>
        <v/>
      </c>
      <c r="AY24" s="970" t="str">
        <f t="shared" si="10"/>
        <v/>
      </c>
      <c r="AZ24" s="970" t="str">
        <f t="shared" si="11"/>
        <v/>
      </c>
      <c r="BA24" s="970" t="str">
        <f>IFERROR(AK24-AK23, "")</f>
        <v/>
      </c>
    </row>
    <row r="25" spans="2:53" x14ac:dyDescent="0.25">
      <c r="K25" s="238"/>
      <c r="L25" s="238"/>
      <c r="M25" s="762" t="str">
        <f>IFERROR(IF(M24+1&lt;='1. Country_Language Set Up'!$C$12, M24+1, ""), "")</f>
        <v/>
      </c>
      <c r="N25" s="192" t="str">
        <f>IFERROR(IF($M25="", "", VLOOKUP($M25,'2. Pop_Prev Set Up'!$T$11:$AE$28, MATCH('"EMU" Output'!N$9, '2. Pop_Prev Set Up'!$T$10:$AE$10, 0), FALSE)),"")</f>
        <v/>
      </c>
      <c r="O25" s="192" t="str">
        <f>IFERROR(IF($M25="", "", VLOOKUP($M25,'2. Pop_Prev Set Up'!$T$11:$AE$28, MATCH('"EMU" Output'!O$9, '2. Pop_Prev Set Up'!$T$10:$AE$10, 0), FALSE)),"")</f>
        <v/>
      </c>
      <c r="P25" s="192" t="str">
        <f>IFERROR(IF($M25="", "", VLOOKUP($M25,'2. Pop_Prev Set Up'!$T$11:$AE$28, MATCH('"EMU" Output'!P$9, '2. Pop_Prev Set Up'!$T$10:$AE$10, 0), FALSE)),"")</f>
        <v/>
      </c>
      <c r="Q25" s="192" t="str">
        <f>IFERROR(IF($M25="", "", VLOOKUP($M25,'2. Pop_Prev Set Up'!$T$11:$AE$28, MATCH('"EMU" Output'!Q$9, '2. Pop_Prev Set Up'!$T$10:$AE$10, 0), FALSE)),"")</f>
        <v/>
      </c>
      <c r="R25" s="192" t="str">
        <f>IFERROR(IF($M25="", "", VLOOKUP($M25,'2. Pop_Prev Set Up'!$T$11:$AE$28, MATCH('"EMU" Output'!R$9, '2. Pop_Prev Set Up'!$T$10:$AE$10, 0), FALSE)),"")</f>
        <v/>
      </c>
      <c r="S25" s="192" t="str">
        <f>IFERROR(HLOOKUP(M25, 'Commodities (Clients) Output'!$D$101:$S$102, 2, FALSE), "")</f>
        <v/>
      </c>
      <c r="T25" s="192" t="str">
        <f>IFERROR(HLOOKUP($M25, 'Commodities (Facility) Output'!$D$100:$S$101, 2, FALSE), "")</f>
        <v/>
      </c>
      <c r="U25" s="192" t="str">
        <f>IFERROR(HLOOKUP($M25, 'Visits Output'!$D$100:$S$101, 2, FALSE), "")</f>
        <v/>
      </c>
      <c r="V25" s="763" t="str">
        <f>IFERROR(HLOOKUP($M25, 'Users Output'!$D$100:$S$101, 2, FALSE), "")</f>
        <v/>
      </c>
      <c r="W25" s="969" t="str">
        <f>IFERROR(IF(W24+1&lt;='3. ServiceStats Set Up'!$T$32, W24+1, ""), "")</f>
        <v/>
      </c>
      <c r="AB25" s="191" t="str">
        <f t="shared" si="0"/>
        <v/>
      </c>
      <c r="AC25" s="192" t="str">
        <f t="shared" si="1"/>
        <v/>
      </c>
      <c r="AD25" s="192" t="str">
        <f>IF($M25="", "", IF(O25="", NA(), O25))</f>
        <v/>
      </c>
      <c r="AE25" s="192" t="str">
        <f t="shared" si="1"/>
        <v/>
      </c>
      <c r="AF25" s="192" t="str">
        <f t="shared" si="13"/>
        <v/>
      </c>
      <c r="AG25" s="192" t="str">
        <f t="shared" si="14"/>
        <v/>
      </c>
      <c r="AH25" s="192" t="str">
        <f t="shared" si="15"/>
        <v/>
      </c>
      <c r="AI25" s="192" t="str">
        <f t="shared" si="16"/>
        <v/>
      </c>
      <c r="AJ25" s="192" t="str">
        <f t="shared" si="17"/>
        <v/>
      </c>
      <c r="AK25" s="192" t="str">
        <f t="shared" si="18"/>
        <v/>
      </c>
      <c r="AR25" s="191" t="str">
        <f t="shared" si="3"/>
        <v/>
      </c>
      <c r="AS25" s="970" t="str">
        <f t="shared" si="4"/>
        <v/>
      </c>
      <c r="AT25" s="970" t="str">
        <f t="shared" si="5"/>
        <v/>
      </c>
      <c r="AU25" s="970" t="str">
        <f t="shared" si="6"/>
        <v/>
      </c>
      <c r="AV25" s="970" t="str">
        <f t="shared" si="7"/>
        <v/>
      </c>
      <c r="AW25" s="970" t="str">
        <f t="shared" si="8"/>
        <v/>
      </c>
      <c r="AX25" s="970" t="str">
        <f t="shared" si="9"/>
        <v/>
      </c>
      <c r="AY25" s="970" t="str">
        <f t="shared" si="10"/>
        <v/>
      </c>
      <c r="AZ25" s="970" t="str">
        <f t="shared" si="11"/>
        <v/>
      </c>
      <c r="BA25" s="970" t="str">
        <f>IFERROR(AK25-AK24, "")</f>
        <v/>
      </c>
    </row>
    <row r="26" spans="2:53" x14ac:dyDescent="0.25">
      <c r="K26" s="238"/>
      <c r="L26" s="238"/>
      <c r="M26" s="762" t="str">
        <f>IFERROR(IF(M25+1&lt;='1. Country_Language Set Up'!$C$12, M25+1, ""), "")</f>
        <v/>
      </c>
      <c r="N26" s="192" t="str">
        <f>IFERROR(IF($M26="", "", VLOOKUP($M26,'2. Pop_Prev Set Up'!$T$11:$AE$28, MATCH('"EMU" Output'!N$9, '2. Pop_Prev Set Up'!$T$10:$AE$10, 0), FALSE)),"")</f>
        <v/>
      </c>
      <c r="O26" s="192" t="str">
        <f>IFERROR(IF($M26="", "", VLOOKUP($M26,'2. Pop_Prev Set Up'!$T$11:$AE$28, MATCH('"EMU" Output'!O$9, '2. Pop_Prev Set Up'!$T$10:$AE$10, 0), FALSE)),"")</f>
        <v/>
      </c>
      <c r="P26" s="192" t="str">
        <f>IFERROR(IF($M26="", "", VLOOKUP($M26,'2. Pop_Prev Set Up'!$T$11:$AE$28, MATCH('"EMU" Output'!P$9, '2. Pop_Prev Set Up'!$T$10:$AE$10, 0), FALSE)),"")</f>
        <v/>
      </c>
      <c r="Q26" s="192" t="str">
        <f>IFERROR(IF($M26="", "", VLOOKUP($M26,'2. Pop_Prev Set Up'!$T$11:$AE$28, MATCH('"EMU" Output'!Q$9, '2. Pop_Prev Set Up'!$T$10:$AE$10, 0), FALSE)),"")</f>
        <v/>
      </c>
      <c r="R26" s="192" t="str">
        <f>IFERROR(IF($M26="", "", VLOOKUP($M26,'2. Pop_Prev Set Up'!$T$11:$AE$28, MATCH('"EMU" Output'!R$9, '2. Pop_Prev Set Up'!$T$10:$AE$10, 0), FALSE)),"")</f>
        <v/>
      </c>
      <c r="S26" s="192" t="str">
        <f>IFERROR(HLOOKUP(M26, 'Commodities (Clients) Output'!$D$101:$S$102, 2, FALSE), "")</f>
        <v/>
      </c>
      <c r="T26" s="192" t="str">
        <f>IFERROR(HLOOKUP($M26, 'Commodities (Facility) Output'!$D$100:$S$101, 2, FALSE), "")</f>
        <v/>
      </c>
      <c r="U26" s="192" t="str">
        <f>IFERROR(HLOOKUP($M26, 'Visits Output'!$D$100:$S$101, 2, FALSE), "")</f>
        <v/>
      </c>
      <c r="V26" s="763" t="str">
        <f>IFERROR(HLOOKUP($M26, 'Users Output'!$D$100:$S$101, 2, FALSE), "")</f>
        <v/>
      </c>
      <c r="W26" s="969" t="str">
        <f>IFERROR(IF(W25+1&lt;='3. ServiceStats Set Up'!$T$32, W25+1, ""), "")</f>
        <v/>
      </c>
      <c r="AB26" s="191" t="str">
        <f t="shared" si="0"/>
        <v/>
      </c>
      <c r="AC26" s="192" t="str">
        <f t="shared" ref="AC26" si="19">IF($M26="", "", IF(N26="", NA(), N26))</f>
        <v/>
      </c>
      <c r="AD26" s="192" t="str">
        <f>IF($M26="", "", IF(O26="", NA(), O26))</f>
        <v/>
      </c>
      <c r="AE26" s="192" t="str">
        <f t="shared" ref="AE26" si="20">IF($M26="", "", IF(P26="", NA(), P26))</f>
        <v/>
      </c>
      <c r="AF26" s="192" t="str">
        <f t="shared" si="13"/>
        <v/>
      </c>
      <c r="AG26" s="192" t="str">
        <f t="shared" si="14"/>
        <v/>
      </c>
      <c r="AH26" s="192" t="str">
        <f t="shared" si="15"/>
        <v/>
      </c>
      <c r="AI26" s="192" t="str">
        <f t="shared" si="16"/>
        <v/>
      </c>
      <c r="AJ26" s="192" t="str">
        <f t="shared" si="17"/>
        <v/>
      </c>
      <c r="AK26" s="192" t="str">
        <f t="shared" si="18"/>
        <v/>
      </c>
      <c r="AR26" s="191" t="str">
        <f t="shared" si="3"/>
        <v/>
      </c>
      <c r="AS26" s="970" t="str">
        <f t="shared" si="4"/>
        <v/>
      </c>
      <c r="AT26" s="970" t="str">
        <f t="shared" si="5"/>
        <v/>
      </c>
      <c r="AU26" s="970" t="str">
        <f t="shared" si="6"/>
        <v/>
      </c>
      <c r="AV26" s="970" t="str">
        <f t="shared" si="7"/>
        <v/>
      </c>
      <c r="AW26" s="970" t="str">
        <f t="shared" si="8"/>
        <v/>
      </c>
      <c r="AX26" s="970" t="str">
        <f t="shared" si="9"/>
        <v/>
      </c>
      <c r="AY26" s="970" t="str">
        <f t="shared" si="10"/>
        <v/>
      </c>
      <c r="AZ26" s="970" t="str">
        <f t="shared" si="11"/>
        <v/>
      </c>
      <c r="BA26" s="970" t="str">
        <f>IFERROR(AK26-AK25, "")</f>
        <v/>
      </c>
    </row>
    <row r="27" spans="2:53" ht="15.75" thickBot="1" x14ac:dyDescent="0.3">
      <c r="K27" s="238"/>
      <c r="L27" s="238"/>
      <c r="M27" s="764" t="str">
        <f>IFERROR(IF(M26+1&lt;='1. Country_Language Set Up'!$C$12, M26+1, ""), "")</f>
        <v/>
      </c>
      <c r="N27" s="765" t="str">
        <f>IFERROR(IF($M27="", "", VLOOKUP($M27,'2. Pop_Prev Set Up'!$T$11:$AE$28, MATCH('"EMU" Output'!N$9, '2. Pop_Prev Set Up'!$T$10:$AE$10, 0), FALSE)),"")</f>
        <v/>
      </c>
      <c r="O27" s="765" t="str">
        <f>IFERROR(IF($M27="", "", VLOOKUP($M27,'2. Pop_Prev Set Up'!$T$11:$AE$28, MATCH('"EMU" Output'!O$9, '2. Pop_Prev Set Up'!$T$10:$AE$10, 0), FALSE)),"")</f>
        <v/>
      </c>
      <c r="P27" s="765" t="str">
        <f>IFERROR(IF($M27="", "", VLOOKUP($M27,'2. Pop_Prev Set Up'!$T$11:$AE$28, MATCH('"EMU" Output'!P$9, '2. Pop_Prev Set Up'!$T$10:$AE$10, 0), FALSE)),"")</f>
        <v/>
      </c>
      <c r="Q27" s="765" t="str">
        <f>IFERROR(IF($M27="", "", VLOOKUP($M27,'2. Pop_Prev Set Up'!$T$11:$AE$28, MATCH('"EMU" Output'!Q$9, '2. Pop_Prev Set Up'!$T$10:$AE$10, 0), FALSE)),"")</f>
        <v/>
      </c>
      <c r="R27" s="765" t="str">
        <f>IFERROR(IF($M27="", "", VLOOKUP($M27,'2. Pop_Prev Set Up'!$T$11:$AE$28, MATCH('"EMU" Output'!R$9, '2. Pop_Prev Set Up'!$T$10:$AE$10, 0), FALSE)),"")</f>
        <v/>
      </c>
      <c r="S27" s="765" t="str">
        <f>IFERROR(HLOOKUP(M27, 'Commodities (Clients) Output'!$D$101:$S$102, 2, FALSE), "")</f>
        <v/>
      </c>
      <c r="T27" s="765" t="str">
        <f>IFERROR(HLOOKUP($M27, 'Commodities (Facility) Output'!$D$100:$S$101, 2, FALSE), "")</f>
        <v/>
      </c>
      <c r="U27" s="765" t="str">
        <f>IFERROR(HLOOKUP($M27, 'Visits Output'!$D$100:$S$101, 2, FALSE), "")</f>
        <v/>
      </c>
      <c r="V27" s="766" t="str">
        <f>IFERROR(HLOOKUP($M27, 'Users Output'!$D$100:$S$101, 2, FALSE), "")</f>
        <v/>
      </c>
      <c r="W27" s="969" t="str">
        <f>IFERROR(IF(W26+1&lt;='3. ServiceStats Set Up'!$T$32, W26+1, ""), "")</f>
        <v/>
      </c>
      <c r="AB27" s="191" t="str">
        <f t="shared" si="0"/>
        <v/>
      </c>
      <c r="AC27" s="192" t="str">
        <f>IF($M27="", "", IF(N27="", NA(), N27))</f>
        <v/>
      </c>
      <c r="AD27" s="192" t="str">
        <f>IF($M27="", "", IF(O27="", NA(), O27))</f>
        <v/>
      </c>
      <c r="AE27" s="192" t="str">
        <f t="shared" ref="AE27:AK27" si="21">IF($M27="", "", IF(P27="", NA(), P27))</f>
        <v/>
      </c>
      <c r="AF27" s="192" t="str">
        <f t="shared" si="21"/>
        <v/>
      </c>
      <c r="AG27" s="192" t="str">
        <f t="shared" si="21"/>
        <v/>
      </c>
      <c r="AH27" s="192" t="str">
        <f t="shared" si="21"/>
        <v/>
      </c>
      <c r="AI27" s="192" t="str">
        <f t="shared" si="21"/>
        <v/>
      </c>
      <c r="AJ27" s="192" t="str">
        <f t="shared" si="21"/>
        <v/>
      </c>
      <c r="AK27" s="192" t="str">
        <f t="shared" si="21"/>
        <v/>
      </c>
      <c r="AR27" s="191" t="str">
        <f t="shared" si="3"/>
        <v/>
      </c>
      <c r="AS27" s="970" t="str">
        <f t="shared" si="4"/>
        <v/>
      </c>
      <c r="AT27" s="970" t="str">
        <f t="shared" si="5"/>
        <v/>
      </c>
      <c r="AU27" s="970" t="str">
        <f t="shared" si="6"/>
        <v/>
      </c>
      <c r="AV27" s="970" t="str">
        <f t="shared" si="7"/>
        <v/>
      </c>
      <c r="AW27" s="970" t="str">
        <f t="shared" si="8"/>
        <v/>
      </c>
      <c r="AX27" s="970" t="str">
        <f t="shared" si="9"/>
        <v/>
      </c>
      <c r="AY27" s="970" t="str">
        <f t="shared" si="10"/>
        <v/>
      </c>
      <c r="AZ27" s="970" t="str">
        <f t="shared" si="11"/>
        <v/>
      </c>
      <c r="BA27" s="970" t="str">
        <f>IFERROR(AK27-AK26, "")</f>
        <v/>
      </c>
    </row>
    <row r="28" spans="2:53" ht="22.15" customHeight="1" x14ac:dyDescent="0.25">
      <c r="B28" s="306"/>
      <c r="C28" s="312"/>
      <c r="D28" s="312"/>
      <c r="E28" s="312"/>
      <c r="F28" s="312"/>
      <c r="G28" s="312"/>
      <c r="H28" s="312"/>
      <c r="I28" s="238"/>
      <c r="J28" s="238"/>
      <c r="K28" s="238"/>
      <c r="L28" s="238"/>
      <c r="M28" s="1660" t="str">
        <f>IF(SUM($S$29:$V$29)=0, "", IF(Language="English", AM29, AO29))</f>
        <v/>
      </c>
      <c r="N28" s="1660"/>
      <c r="O28" s="1660"/>
      <c r="P28" s="1660"/>
      <c r="Q28" s="1660"/>
      <c r="S28" s="1058" t="str">
        <f>IF(SUM(S$10:S$27)&gt;0, 'Commodities (Clients) Output'!$C$100, "")</f>
        <v/>
      </c>
      <c r="T28" s="1058" t="str">
        <f>IF(SUM(T$10:T$27)&gt;0, 'Commodities (Facility) Output'!$C$100, "")</f>
        <v/>
      </c>
      <c r="U28" s="1058" t="str">
        <f>IF(SUM(U$10:U$27)&gt;0, 'Visits Output'!$C$99, "")</f>
        <v/>
      </c>
      <c r="V28" s="1058" t="str">
        <f>IF(SUM(V$10:V$27)&gt;0, 'Users Output'!$C$99, "")</f>
        <v/>
      </c>
      <c r="AB28" s="306"/>
      <c r="AC28" s="312"/>
      <c r="AD28" s="312"/>
      <c r="AE28" s="312"/>
      <c r="AF28" s="312"/>
      <c r="AG28" s="312"/>
      <c r="AH28" s="312"/>
      <c r="AL28" s="235"/>
      <c r="AS28" s="971" t="e">
        <f>(MAX(N10:N27) - MIN(N10:N27))/ (VLOOKUP(MAX(N10:N27), $N$10:$W$27, 10, FALSE) - VLOOKUP(MIN(N10:N27), $N$10:$W$27, 10, FALSE))</f>
        <v>#N/A</v>
      </c>
      <c r="AT28" s="971" t="e">
        <f>(MAX(O10:O27) - MIN(O10:O27))/ (VLOOKUP(MAX(O10:O27), $O$10:$W$27, 9, FALSE) - VLOOKUP(MIN(O10:O27), $O$10:$W$27, 9, FALSE))</f>
        <v>#N/A</v>
      </c>
      <c r="AU28" s="822" t="e">
        <f>AVERAGE(AU10:AU27)</f>
        <v>#DIV/0!</v>
      </c>
      <c r="AV28" s="971" t="e">
        <f>(MAX(Q10:Q27) - MIN(Q10:Q27))/ (VLOOKUP(MAX(Q10:Q27), $Q$10:$W$27, 7, FALSE) - VLOOKUP(MIN(Q10:Q27), $Q$10:$W$27, 7, FALSE))</f>
        <v>#N/A</v>
      </c>
      <c r="AW28" s="822" t="e">
        <f>AVERAGE(AW10:AW27)</f>
        <v>#DIV/0!</v>
      </c>
      <c r="AX28" s="822" t="e">
        <f>AVERAGE(AX10:AX27)</f>
        <v>#DIV/0!</v>
      </c>
      <c r="AY28" s="822" t="e">
        <f>AVERAGE(AY10:AY27)</f>
        <v>#DIV/0!</v>
      </c>
      <c r="AZ28" s="822" t="e">
        <f>AVERAGE(AZ10:AZ27)</f>
        <v>#DIV/0!</v>
      </c>
      <c r="BA28" s="822" t="e">
        <f>AVERAGE(BA10:BA27)</f>
        <v>#DIV/0!</v>
      </c>
    </row>
    <row r="29" spans="2:53" hidden="1" x14ac:dyDescent="0.25">
      <c r="B29" s="306"/>
      <c r="C29" s="312"/>
      <c r="D29" s="312"/>
      <c r="E29" s="312"/>
      <c r="F29" s="312"/>
      <c r="G29" s="312"/>
      <c r="H29" s="312"/>
      <c r="I29" s="238"/>
      <c r="J29" s="238"/>
      <c r="K29" s="238"/>
      <c r="L29" s="238"/>
      <c r="M29" s="238"/>
      <c r="O29" s="956"/>
      <c r="P29" s="238"/>
      <c r="Q29" s="235"/>
      <c r="S29" s="235">
        <f>COUNTIF(S$10:S$27, "&gt;"&amp;S$30)+COUNTIF(S$10:S$27, "&lt;"&amp;S$31)</f>
        <v>0</v>
      </c>
      <c r="T29" s="235">
        <f>COUNTIF(T$10:T$27, "&gt;"&amp;T$30)+COUNTIF(T$10:T$27, "&lt;"&amp;T$31)</f>
        <v>0</v>
      </c>
      <c r="U29" s="235">
        <f>COUNTIF(U$10:U$27, "&gt;"&amp;U$30)+COUNTIF(U$10:U$27, "&lt;"&amp;U$31)</f>
        <v>0</v>
      </c>
      <c r="V29" s="235">
        <f>COUNTIF(V$10:V$27, "&gt;"&amp;V$30)+COUNTIF(V$10:V$27, "&lt;"&amp;V$31)</f>
        <v>0</v>
      </c>
      <c r="AB29" s="306"/>
      <c r="AC29" s="312"/>
      <c r="AD29" s="312"/>
      <c r="AE29" s="312"/>
      <c r="AF29" s="312"/>
      <c r="AG29" s="312"/>
      <c r="AH29" s="312"/>
      <c r="AM29" s="350" t="s">
        <v>1229</v>
      </c>
      <c r="AN29" s="350"/>
      <c r="AO29" s="350" t="s">
        <v>1211</v>
      </c>
    </row>
    <row r="30" spans="2:53" ht="30.75" hidden="1" customHeight="1" thickBot="1" x14ac:dyDescent="0.45">
      <c r="B30" s="243"/>
      <c r="C30" s="232"/>
      <c r="D30" s="232"/>
      <c r="E30" s="232"/>
      <c r="F30" s="232"/>
      <c r="G30" s="232"/>
      <c r="H30" s="232"/>
      <c r="I30" s="232"/>
      <c r="J30" s="232"/>
      <c r="K30" s="232"/>
      <c r="L30" s="232"/>
      <c r="M30" s="232" t="s">
        <v>1219</v>
      </c>
      <c r="N30" s="232"/>
      <c r="O30" s="232"/>
      <c r="P30" s="936"/>
      <c r="Q30" s="936"/>
      <c r="S30" s="935" t="e">
        <f>AVERAGE(S$10:S$27)+STDEV(S$10:S$27)*2</f>
        <v>#DIV/0!</v>
      </c>
      <c r="T30" s="935" t="e">
        <f>AVERAGE(T$10:T$27)+STDEV(T$10:T$27)*2</f>
        <v>#DIV/0!</v>
      </c>
      <c r="U30" s="954" t="e">
        <f>AVERAGE(U$10:U$27)+STDEV(U$10:U$27)*2</f>
        <v>#DIV/0!</v>
      </c>
      <c r="V30" s="935" t="e">
        <f>AVERAGE(V$10:V$27)+STDEV(V$10:V$27)*2</f>
        <v>#DIV/0!</v>
      </c>
      <c r="W30" s="954"/>
      <c r="AM30" s="447" t="s">
        <v>709</v>
      </c>
      <c r="AN30" s="449" t="s">
        <v>710</v>
      </c>
    </row>
    <row r="31" spans="2:53" ht="15.75" hidden="1" thickBot="1" x14ac:dyDescent="0.3">
      <c r="M31" t="s">
        <v>1220</v>
      </c>
      <c r="S31" s="935" t="e">
        <f>AVERAGE(S$10:S$27)-STDEV(S$10:S$27)*2</f>
        <v>#DIV/0!</v>
      </c>
      <c r="T31" s="935" t="e">
        <f>AVERAGE(T$10:T$27)-STDEV(T$10:T$27)*2</f>
        <v>#DIV/0!</v>
      </c>
      <c r="U31" s="935" t="e">
        <f>AVERAGE(U$10:U$27)-STDEV(U$10:U$27)*2</f>
        <v>#DIV/0!</v>
      </c>
      <c r="V31" s="935" t="e">
        <f>AVERAGE(V$10:V$27)-STDEV(V$10:V$27)*2</f>
        <v>#DIV/0!</v>
      </c>
      <c r="AL31" t="str">
        <f>IF(Language="English", AM31, AO31)</f>
        <v xml:space="preserve">Comparez les augmentations annuelles moyennes en points de % du TPCM / EUM </v>
      </c>
      <c r="AM31" s="447" t="s">
        <v>853</v>
      </c>
      <c r="AO31" s="481" t="s">
        <v>856</v>
      </c>
    </row>
    <row r="32" spans="2:53" ht="15.75" thickBot="1" x14ac:dyDescent="0.3"/>
    <row r="33" spans="1:41" ht="83.25" customHeight="1" x14ac:dyDescent="0.25">
      <c r="M33" s="756"/>
      <c r="N33" s="757" t="str">
        <f t="shared" ref="N33:V33" si="22">N9</f>
        <v>TPCm (TF): DHS</v>
      </c>
      <c r="O33" s="757" t="str">
        <f t="shared" si="22"/>
        <v>TPCm (TF): MICS</v>
      </c>
      <c r="P33" s="757" t="str">
        <f t="shared" si="22"/>
        <v>TPCm (TF): PMA</v>
      </c>
      <c r="Q33" s="757" t="str">
        <f t="shared" si="22"/>
        <v/>
      </c>
      <c r="R33" s="757" t="str">
        <f t="shared" si="22"/>
        <v>TPCm (TF): FPET Global Run (2022)</v>
      </c>
      <c r="S33" s="757" t="str">
        <f t="shared" si="22"/>
        <v>EUM : Produits aux clients</v>
      </c>
      <c r="T33" s="757" t="str">
        <f t="shared" si="22"/>
        <v>EUM : Produits aux établissements</v>
      </c>
      <c r="U33" s="757" t="str">
        <f t="shared" si="22"/>
        <v>EUM : Visites</v>
      </c>
      <c r="V33" s="758" t="str">
        <f t="shared" si="22"/>
        <v>EUM : Utilisatrices de PF</v>
      </c>
    </row>
    <row r="34" spans="1:41" ht="71.25" customHeight="1" thickBot="1" x14ac:dyDescent="0.3">
      <c r="M34" s="803" t="str">
        <f>IF(Language="English", AM34, AO34)</f>
        <v xml:space="preserve">Augmentation annuelle moyenne en points de % du TPCM / EUM </v>
      </c>
      <c r="N34" s="759" t="e">
        <f>AS28</f>
        <v>#N/A</v>
      </c>
      <c r="O34" s="759" t="e">
        <f t="shared" ref="O34:U34" si="23">AT28</f>
        <v>#N/A</v>
      </c>
      <c r="P34" s="759" t="e">
        <f t="shared" si="23"/>
        <v>#DIV/0!</v>
      </c>
      <c r="Q34" s="759" t="e">
        <f t="shared" si="23"/>
        <v>#N/A</v>
      </c>
      <c r="R34" s="759" t="e">
        <f t="shared" si="23"/>
        <v>#DIV/0!</v>
      </c>
      <c r="S34" s="759" t="e">
        <f t="shared" si="23"/>
        <v>#DIV/0!</v>
      </c>
      <c r="T34" s="759" t="e">
        <f t="shared" si="23"/>
        <v>#DIV/0!</v>
      </c>
      <c r="U34" s="759" t="e">
        <f t="shared" si="23"/>
        <v>#DIV/0!</v>
      </c>
      <c r="V34" s="760" t="e">
        <f>BA28</f>
        <v>#DIV/0!</v>
      </c>
      <c r="AM34" s="447" t="s">
        <v>329</v>
      </c>
      <c r="AO34" s="481" t="s">
        <v>840</v>
      </c>
    </row>
    <row r="35" spans="1:41" ht="44.45" customHeight="1" thickBot="1" x14ac:dyDescent="0.3">
      <c r="M35" s="957" t="str">
        <f>IF(Language="English", AM35, AO35)</f>
        <v xml:space="preserve">Pente de la ligne de meilleur ajustement </v>
      </c>
      <c r="N35" s="958" t="e">
        <f>IFERROR(SLOPE(N10:N27, $M$10:$M$27), NA())</f>
        <v>#N/A</v>
      </c>
      <c r="O35" s="958" t="e">
        <f t="shared" ref="O35:V35" si="24">IFERROR(SLOPE(O10:O27, $M$10:$M$27), NA())</f>
        <v>#N/A</v>
      </c>
      <c r="P35" s="958" t="e">
        <f t="shared" si="24"/>
        <v>#N/A</v>
      </c>
      <c r="Q35" s="958" t="e">
        <f t="shared" si="24"/>
        <v>#N/A</v>
      </c>
      <c r="R35" s="958" t="e">
        <f t="shared" si="24"/>
        <v>#N/A</v>
      </c>
      <c r="S35" s="958" t="e">
        <f t="shared" si="24"/>
        <v>#N/A</v>
      </c>
      <c r="T35" s="958" t="e">
        <f t="shared" si="24"/>
        <v>#N/A</v>
      </c>
      <c r="U35" s="958" t="e">
        <f t="shared" si="24"/>
        <v>#N/A</v>
      </c>
      <c r="V35" s="958" t="e">
        <f t="shared" si="24"/>
        <v>#N/A</v>
      </c>
      <c r="AM35" s="447" t="s">
        <v>1999</v>
      </c>
      <c r="AO35" s="481" t="s">
        <v>2000</v>
      </c>
    </row>
    <row r="36" spans="1:41" x14ac:dyDescent="0.25">
      <c r="M36" s="117" t="str">
        <f>IF(Language="English", AM36, AO36)</f>
        <v>Les pentes de TPCM sont calculés a partir de 2005 et peut être différent de les pentes quis sont dans les onglets de résultats.</v>
      </c>
      <c r="R36" s="822"/>
      <c r="S36" s="822"/>
      <c r="T36" s="822"/>
      <c r="U36" s="822"/>
      <c r="V36" s="822"/>
      <c r="AM36" s="447" t="s">
        <v>580</v>
      </c>
      <c r="AO36" s="481" t="s">
        <v>931</v>
      </c>
    </row>
    <row r="37" spans="1:41" s="10" customFormat="1" x14ac:dyDescent="0.25">
      <c r="B37" s="25"/>
      <c r="C37" s="25"/>
      <c r="D37" s="25"/>
      <c r="F37" s="25"/>
      <c r="R37" s="955"/>
      <c r="S37" s="955"/>
      <c r="T37" s="955"/>
      <c r="U37" s="955"/>
      <c r="V37" s="955"/>
      <c r="AM37" s="475"/>
      <c r="AN37" s="478"/>
      <c r="AO37" s="482"/>
    </row>
    <row r="38" spans="1:41" s="10" customFormat="1" x14ac:dyDescent="0.25">
      <c r="A38" s="26"/>
      <c r="B38" s="27"/>
      <c r="C38" s="27"/>
      <c r="D38" s="27"/>
      <c r="E38" s="27"/>
      <c r="F38" s="27"/>
      <c r="AM38" s="475"/>
      <c r="AN38" s="478"/>
      <c r="AO38" s="482"/>
    </row>
    <row r="39" spans="1:41" s="10" customFormat="1" x14ac:dyDescent="0.25">
      <c r="A39" s="26"/>
      <c r="B39" s="27"/>
      <c r="C39" s="27"/>
      <c r="D39" s="27"/>
      <c r="E39" s="27"/>
      <c r="F39" s="27"/>
      <c r="AM39" s="475"/>
      <c r="AN39" s="478"/>
      <c r="AO39" s="482"/>
    </row>
    <row r="40" spans="1:41" s="10" customFormat="1" x14ac:dyDescent="0.25">
      <c r="A40" s="26"/>
      <c r="B40" s="27"/>
      <c r="C40" s="27"/>
      <c r="D40" s="27"/>
      <c r="E40" s="27"/>
      <c r="F40" s="27"/>
      <c r="AM40" s="475"/>
      <c r="AN40" s="478"/>
      <c r="AO40" s="482"/>
    </row>
    <row r="41" spans="1:41" s="10" customFormat="1" x14ac:dyDescent="0.25">
      <c r="A41" s="26"/>
      <c r="B41" s="1657" t="str">
        <f>IF(Language="English", AM41, AO41)</f>
        <v>Sélectionnez l'année pour la comparaison</v>
      </c>
      <c r="C41" s="1658"/>
      <c r="D41" s="1658"/>
      <c r="E41" s="1658"/>
      <c r="F41" s="1659"/>
      <c r="G41" s="754">
        <v>2021</v>
      </c>
      <c r="AM41" s="475" t="s">
        <v>993</v>
      </c>
      <c r="AN41" s="478"/>
      <c r="AO41" s="482" t="s">
        <v>1082</v>
      </c>
    </row>
    <row r="42" spans="1:41" s="10" customFormat="1" ht="66" customHeight="1" x14ac:dyDescent="0.25">
      <c r="A42" s="26"/>
      <c r="B42" s="1655"/>
      <c r="C42" s="1655"/>
      <c r="E42" s="27"/>
      <c r="F42" s="27"/>
      <c r="M42" s="1666"/>
      <c r="N42" s="1666"/>
      <c r="O42" s="353" t="str">
        <f>IF(Language="English", "Users : Survey", "Utilisatrices : Enquete")</f>
        <v>Utilisatrices : Enquete</v>
      </c>
      <c r="P42" s="353" t="str">
        <f>IF(Language="English", "Users", "Utilisatrices")&amp;" : "&amp;'Language Look Ups'!$B$15</f>
        <v>Utilisatrices : Produits aux clients</v>
      </c>
      <c r="Q42" s="353" t="str">
        <f>IF(Language="English", "Users", "Utilisatrices")&amp;" : "&amp;'Language Look Ups'!$B$16</f>
        <v>Utilisatrices : Produits aux établissements</v>
      </c>
      <c r="R42" s="353" t="str">
        <f>IF(Language="English", "Users", "Utilisatrices")&amp;" : "&amp;'Language Look Ups'!$B$17</f>
        <v>Utilisatrices : Visites</v>
      </c>
      <c r="S42" s="353" t="str">
        <f>IF(Language="English", "Users", "Utilisatrices")&amp;" : "&amp;'Language Look Ups'!$B$18</f>
        <v>Utilisatrices : Utilisatrices de PF</v>
      </c>
      <c r="AL42" t="str">
        <f>IF(Language="English", AM42, AO42)</f>
        <v>Comparez le Mélange de Méthodes Modernes : 2021</v>
      </c>
      <c r="AM42" s="447" t="str">
        <f xml:space="preserve"> "Comparing Modern Users by Method : "&amp;$G$41</f>
        <v>Comparing Modern Users by Method : 2021</v>
      </c>
      <c r="AN42" s="449"/>
      <c r="AO42" s="481" t="str">
        <f>"Comparez le Mélange de Méthodes Modernes : "&amp;$G$41</f>
        <v>Comparez le Mélange de Méthodes Modernes : 2021</v>
      </c>
    </row>
    <row r="43" spans="1:41" s="10" customFormat="1" ht="17.25" customHeight="1" x14ac:dyDescent="0.25">
      <c r="A43" s="26"/>
      <c r="B43" s="27"/>
      <c r="C43" s="27"/>
      <c r="D43" s="27"/>
      <c r="E43" s="27"/>
      <c r="F43" s="27"/>
      <c r="L43" s="753"/>
      <c r="M43" s="1665" t="str">
        <f>'5. MethodMix Set Up'!G12</f>
        <v>Stérilisation (f)</v>
      </c>
      <c r="N43" s="1665"/>
      <c r="O43" s="804" t="str">
        <f>IFERROR(MROUND(VLOOKUP($M43, '5. MethodMix Set Up'!$S$34:$AI$43, MATCH('"EMU" Output'!$G$41, '5. MethodMix Set Up'!$S$34:$AI$34,0), FALSE), 100), "")</f>
        <v/>
      </c>
      <c r="P43" s="804" t="str">
        <f>IFERROR(MROUND(VLOOKUP($M43, 'Commodities (Clients) Output'!$C$7:$S$15, MATCH('"EMU" Output'!$G$41, 'Commodities (Clients) Output'!$C$6:$S$6, 0), FALSE),100), "")</f>
        <v/>
      </c>
      <c r="Q43" s="804" t="str">
        <f>IFERROR(MROUND(VLOOKUP($M43, 'Commodities (Facility) Output'!$C$7:$S$15, MATCH('"EMU" Output'!$G$41, 'Commodities (Facility) Output'!$C$6:$S$6, 0), FALSE),100), "")</f>
        <v/>
      </c>
      <c r="R43" s="804" t="str">
        <f>IFERROR(MROUND(VLOOKUP($M43, 'Visits Output'!$C$7:$S$15, MATCH('"EMU" Output'!$G$41, 'Visits Output'!$C$6:$S$6, 0), FALSE),100), "")</f>
        <v/>
      </c>
      <c r="S43" s="804" t="str">
        <f>IFERROR(MROUND(VLOOKUP($M43, 'Users Output'!$C$7:$S$15, MATCH('"EMU" Output'!$G$41, 'Users Output'!$C$6:$S$6, 0), FALSE),100), "")</f>
        <v/>
      </c>
      <c r="AM43" s="475"/>
      <c r="AN43" s="478"/>
      <c r="AO43" s="482"/>
    </row>
    <row r="44" spans="1:41" s="10" customFormat="1" ht="17.25" customHeight="1" x14ac:dyDescent="0.25">
      <c r="A44" s="26"/>
      <c r="B44" s="27"/>
      <c r="C44" s="27"/>
      <c r="D44" s="27"/>
      <c r="E44" s="27"/>
      <c r="F44" s="27"/>
      <c r="L44" s="753"/>
      <c r="M44" s="1665" t="str">
        <f>'5. MethodMix Set Up'!G13</f>
        <v>Stérilisation (m)</v>
      </c>
      <c r="N44" s="1665"/>
      <c r="O44" s="804" t="str">
        <f>IFERROR(MROUND(VLOOKUP($M44, '5. MethodMix Set Up'!$S$34:$AI$43, MATCH('"EMU" Output'!$G$41, '5. MethodMix Set Up'!$S$34:$AI$34,0), FALSE), 100), "")</f>
        <v/>
      </c>
      <c r="P44" s="804" t="str">
        <f>IFERROR(MROUND(VLOOKUP($M44, 'Commodities (Clients) Output'!$C$7:$S$15, MATCH('"EMU" Output'!$G$41, 'Commodities (Clients) Output'!$C$6:$S$6, 0), FALSE),100), "")</f>
        <v/>
      </c>
      <c r="Q44" s="804" t="str">
        <f>IFERROR(MROUND(VLOOKUP($M44, 'Commodities (Facility) Output'!$C$7:$S$15, MATCH('"EMU" Output'!$G$41, 'Commodities (Facility) Output'!$C$6:$S$6, 0), FALSE),100), "")</f>
        <v/>
      </c>
      <c r="R44" s="804" t="str">
        <f>IFERROR(MROUND(VLOOKUP($M44, 'Visits Output'!$C$7:$S$15, MATCH('"EMU" Output'!$G$41, 'Visits Output'!$C$6:$S$6, 0), FALSE),100), "")</f>
        <v/>
      </c>
      <c r="S44" s="804" t="str">
        <f>IFERROR(MROUND(VLOOKUP($M44, 'Users Output'!$C$7:$S$15, MATCH('"EMU" Output'!$G$41, 'Users Output'!$C$6:$S$6, 0), FALSE),100), "")</f>
        <v/>
      </c>
      <c r="AM44" s="475"/>
      <c r="AN44" s="478"/>
      <c r="AO44" s="482"/>
    </row>
    <row r="45" spans="1:41" s="10" customFormat="1" ht="17.25" customHeight="1" x14ac:dyDescent="0.25">
      <c r="A45" s="26"/>
      <c r="B45" s="27"/>
      <c r="C45" s="27"/>
      <c r="D45" s="27"/>
      <c r="E45" s="27"/>
      <c r="F45" s="27"/>
      <c r="L45" s="753"/>
      <c r="M45" s="1665" t="str">
        <f>'5. MethodMix Set Up'!G14</f>
        <v>DIU</v>
      </c>
      <c r="N45" s="1665"/>
      <c r="O45" s="804" t="str">
        <f>IFERROR(MROUND(VLOOKUP($M45, '5. MethodMix Set Up'!$S$34:$AI$43, MATCH('"EMU" Output'!$G$41, '5. MethodMix Set Up'!$S$34:$AI$34,0), FALSE), 100), "")</f>
        <v/>
      </c>
      <c r="P45" s="804" t="str">
        <f>IFERROR(MROUND(VLOOKUP($M45, 'Commodities (Clients) Output'!$C$7:$S$15, MATCH('"EMU" Output'!$G$41, 'Commodities (Clients) Output'!$C$6:$S$6, 0), FALSE),100), "")</f>
        <v/>
      </c>
      <c r="Q45" s="804" t="str">
        <f>IFERROR(MROUND(VLOOKUP($M45, 'Commodities (Facility) Output'!$C$7:$S$15, MATCH('"EMU" Output'!$G$41, 'Commodities (Facility) Output'!$C$6:$S$6, 0), FALSE),100), "")</f>
        <v/>
      </c>
      <c r="R45" s="804" t="str">
        <f>IFERROR(MROUND(VLOOKUP($M45, 'Visits Output'!$C$7:$S$15, MATCH('"EMU" Output'!$G$41, 'Visits Output'!$C$6:$S$6, 0), FALSE),100), "")</f>
        <v/>
      </c>
      <c r="S45" s="804" t="str">
        <f>IFERROR(MROUND(VLOOKUP($M45, 'Users Output'!$C$7:$S$15, MATCH('"EMU" Output'!$G$41, 'Users Output'!$C$6:$S$6, 0), FALSE),100), "")</f>
        <v/>
      </c>
      <c r="AM45" s="475"/>
      <c r="AN45" s="478"/>
      <c r="AO45" s="482"/>
    </row>
    <row r="46" spans="1:41" s="10" customFormat="1" ht="17.25" customHeight="1" x14ac:dyDescent="0.25">
      <c r="A46" s="26"/>
      <c r="B46" s="27"/>
      <c r="C46" s="27"/>
      <c r="D46" s="27"/>
      <c r="E46" s="27"/>
      <c r="F46" s="27"/>
      <c r="L46" s="753"/>
      <c r="M46" s="1665" t="str">
        <f>'5. MethodMix Set Up'!G15</f>
        <v>Implant</v>
      </c>
      <c r="N46" s="1665"/>
      <c r="O46" s="804" t="str">
        <f>IFERROR(MROUND(VLOOKUP($M46, '5. MethodMix Set Up'!$S$34:$AI$43, MATCH('"EMU" Output'!$G$41, '5. MethodMix Set Up'!$S$34:$AI$34,0), FALSE), 100), "")</f>
        <v/>
      </c>
      <c r="P46" s="804" t="str">
        <f>IFERROR(MROUND(VLOOKUP($M46, 'Commodities (Clients) Output'!$C$7:$S$15, MATCH('"EMU" Output'!$G$41, 'Commodities (Clients) Output'!$C$6:$S$6, 0), FALSE),100), "")</f>
        <v/>
      </c>
      <c r="Q46" s="804" t="str">
        <f>IFERROR(MROUND(VLOOKUP($M46, 'Commodities (Facility) Output'!$C$7:$S$15, MATCH('"EMU" Output'!$G$41, 'Commodities (Facility) Output'!$C$6:$S$6, 0), FALSE),100), "")</f>
        <v/>
      </c>
      <c r="R46" s="804" t="str">
        <f>IFERROR(MROUND(VLOOKUP($M46, 'Visits Output'!$C$7:$S$15, MATCH('"EMU" Output'!$G$41, 'Visits Output'!$C$6:$S$6, 0), FALSE),100), "")</f>
        <v/>
      </c>
      <c r="S46" s="804" t="str">
        <f>IFERROR(MROUND(VLOOKUP($M46, 'Users Output'!$C$7:$S$15, MATCH('"EMU" Output'!$G$41, 'Users Output'!$C$6:$S$6, 0), FALSE),100), "")</f>
        <v/>
      </c>
      <c r="AM46" s="475"/>
      <c r="AN46" s="478"/>
      <c r="AO46" s="482"/>
    </row>
    <row r="47" spans="1:41" s="10" customFormat="1" ht="17.25" customHeight="1" x14ac:dyDescent="0.25">
      <c r="A47" s="26"/>
      <c r="B47" s="27"/>
      <c r="C47" s="27"/>
      <c r="D47" s="27"/>
      <c r="E47" s="27"/>
      <c r="F47" s="27"/>
      <c r="L47" s="753"/>
      <c r="M47" s="1665" t="str">
        <f>'5. MethodMix Set Up'!G16</f>
        <v>Produits injectables</v>
      </c>
      <c r="N47" s="1665"/>
      <c r="O47" s="804" t="str">
        <f>IFERROR(MROUND(VLOOKUP($M47, '5. MethodMix Set Up'!$S$34:$AI$43, MATCH('"EMU" Output'!$G$41, '5. MethodMix Set Up'!$S$34:$AI$34,0), FALSE), 100), "")</f>
        <v/>
      </c>
      <c r="P47" s="804" t="str">
        <f>IFERROR(MROUND(VLOOKUP($M47, 'Commodities (Clients) Output'!$C$7:$S$15, MATCH('"EMU" Output'!$G$41, 'Commodities (Clients) Output'!$C$6:$S$6, 0), FALSE),100), "")</f>
        <v/>
      </c>
      <c r="Q47" s="804" t="str">
        <f>IFERROR(MROUND(VLOOKUP($M47, 'Commodities (Facility) Output'!$C$7:$S$15, MATCH('"EMU" Output'!$G$41, 'Commodities (Facility) Output'!$C$6:$S$6, 0), FALSE),100), "")</f>
        <v/>
      </c>
      <c r="R47" s="804" t="str">
        <f>IFERROR(MROUND(VLOOKUP($M47, 'Visits Output'!$C$7:$S$15, MATCH('"EMU" Output'!$G$41, 'Visits Output'!$C$6:$S$6, 0), FALSE),100), "")</f>
        <v/>
      </c>
      <c r="S47" s="804" t="str">
        <f>IFERROR(MROUND(VLOOKUP($M47, 'Users Output'!$C$7:$S$15, MATCH('"EMU" Output'!$G$41, 'Users Output'!$C$6:$S$6, 0), FALSE),100), "")</f>
        <v/>
      </c>
      <c r="AM47" s="475"/>
      <c r="AN47" s="478"/>
      <c r="AO47" s="482"/>
    </row>
    <row r="48" spans="1:41" s="10" customFormat="1" ht="17.25" customHeight="1" x14ac:dyDescent="0.25">
      <c r="A48" s="26"/>
      <c r="B48" s="27"/>
      <c r="C48" s="27"/>
      <c r="D48" s="27"/>
      <c r="E48" s="27"/>
      <c r="F48" s="27"/>
      <c r="L48" s="753"/>
      <c r="M48" s="1665" t="str">
        <f>'5. MethodMix Set Up'!G17</f>
        <v>Pilule</v>
      </c>
      <c r="N48" s="1665"/>
      <c r="O48" s="804" t="str">
        <f>IFERROR(MROUND(VLOOKUP($M48, '5. MethodMix Set Up'!$S$34:$AI$43, MATCH('"EMU" Output'!$G$41, '5. MethodMix Set Up'!$S$34:$AI$34,0), FALSE), 100), "")</f>
        <v/>
      </c>
      <c r="P48" s="804" t="str">
        <f>IFERROR(MROUND(VLOOKUP($M48, 'Commodities (Clients) Output'!$C$7:$S$15, MATCH('"EMU" Output'!$G$41, 'Commodities (Clients) Output'!$C$6:$S$6, 0), FALSE),100), "")</f>
        <v/>
      </c>
      <c r="Q48" s="804" t="str">
        <f>IFERROR(MROUND(VLOOKUP($M48, 'Commodities (Facility) Output'!$C$7:$S$15, MATCH('"EMU" Output'!$G$41, 'Commodities (Facility) Output'!$C$6:$S$6, 0), FALSE),100), "")</f>
        <v/>
      </c>
      <c r="R48" s="804" t="str">
        <f>IFERROR(MROUND(VLOOKUP($M48, 'Visits Output'!$C$7:$S$15, MATCH('"EMU" Output'!$G$41, 'Visits Output'!$C$6:$S$6, 0), FALSE),100), "")</f>
        <v/>
      </c>
      <c r="S48" s="804" t="str">
        <f>IFERROR(MROUND(VLOOKUP($M48, 'Users Output'!$C$7:$S$15, MATCH('"EMU" Output'!$G$41, 'Users Output'!$C$6:$S$6, 0), FALSE),100), "")</f>
        <v/>
      </c>
      <c r="AM48" s="475"/>
      <c r="AN48" s="478"/>
      <c r="AO48" s="482"/>
    </row>
    <row r="49" spans="1:41" s="10" customFormat="1" ht="17.25" customHeight="1" x14ac:dyDescent="0.25">
      <c r="A49" s="26"/>
      <c r="B49" s="27"/>
      <c r="C49" s="27"/>
      <c r="D49" s="27"/>
      <c r="E49" s="27"/>
      <c r="F49" s="27"/>
      <c r="L49" s="753"/>
      <c r="M49" s="1665" t="str">
        <f>'5. MethodMix Set Up'!G18</f>
        <v>Préservatifs (m+f)</v>
      </c>
      <c r="N49" s="1665"/>
      <c r="O49" s="804" t="str">
        <f>IFERROR(MROUND(VLOOKUP($M49, '5. MethodMix Set Up'!$S$34:$AI$43, MATCH('"EMU" Output'!$G$41, '5. MethodMix Set Up'!$S$34:$AI$34,0), FALSE), 100), "")</f>
        <v/>
      </c>
      <c r="P49" s="804" t="str">
        <f>IFERROR(MROUND(VLOOKUP($M49, 'Commodities (Clients) Output'!$C$7:$S$15, MATCH('"EMU" Output'!$G$41, 'Commodities (Clients) Output'!$C$6:$S$6, 0), FALSE),100), "")</f>
        <v/>
      </c>
      <c r="Q49" s="804" t="str">
        <f>IFERROR(MROUND(VLOOKUP($M49, 'Commodities (Facility) Output'!$C$7:$S$15, MATCH('"EMU" Output'!$G$41, 'Commodities (Facility) Output'!$C$6:$S$6, 0), FALSE),100), "")</f>
        <v/>
      </c>
      <c r="R49" s="804" t="str">
        <f>IFERROR(MROUND(VLOOKUP($M49, 'Visits Output'!$C$7:$S$15, MATCH('"EMU" Output'!$G$41, 'Visits Output'!$C$6:$S$6, 0), FALSE),100), "")</f>
        <v/>
      </c>
      <c r="S49" s="804" t="str">
        <f>IFERROR(MROUND(VLOOKUP($M49, 'Users Output'!$C$7:$S$15, MATCH('"EMU" Output'!$G$41, 'Users Output'!$C$6:$S$6, 0), FALSE),100), "")</f>
        <v/>
      </c>
      <c r="AM49" s="475"/>
      <c r="AN49" s="478"/>
      <c r="AO49" s="482"/>
    </row>
    <row r="50" spans="1:41" s="10" customFormat="1" ht="17.25" customHeight="1" x14ac:dyDescent="0.25">
      <c r="A50" s="26"/>
      <c r="B50" s="27"/>
      <c r="C50" s="27"/>
      <c r="D50" s="27"/>
      <c r="E50" s="27"/>
      <c r="F50" s="27"/>
      <c r="L50" s="753"/>
      <c r="M50" s="1665" t="str">
        <f>'5. MethodMix Set Up'!G19</f>
        <v>MAMA</v>
      </c>
      <c r="N50" s="1665"/>
      <c r="O50" s="804" t="str">
        <f>IFERROR(MROUND(VLOOKUP($M50, '5. MethodMix Set Up'!$S$34:$AI$43, MATCH('"EMU" Output'!$G$41, '5. MethodMix Set Up'!$S$34:$AI$34,0), FALSE), 100), "")</f>
        <v/>
      </c>
      <c r="P50" s="804" t="str">
        <f>IFERROR(MROUND(VLOOKUP($M50, 'Commodities (Clients) Output'!$C$7:$S$15, MATCH('"EMU" Output'!$G$41, 'Commodities (Clients) Output'!$C$6:$S$6, 0), FALSE),100), "")</f>
        <v/>
      </c>
      <c r="Q50" s="804" t="str">
        <f>IFERROR(MROUND(VLOOKUP($M50, 'Commodities (Facility) Output'!$C$7:$S$15, MATCH('"EMU" Output'!$G$41, 'Commodities (Facility) Output'!$C$6:$S$6, 0), FALSE),100), "")</f>
        <v/>
      </c>
      <c r="R50" s="804" t="str">
        <f>IFERROR(MROUND(VLOOKUP($M50, 'Visits Output'!$C$7:$S$15, MATCH('"EMU" Output'!$G$41, 'Visits Output'!$C$6:$S$6, 0), FALSE),100), "")</f>
        <v/>
      </c>
      <c r="S50" s="804" t="str">
        <f>IFERROR(MROUND(VLOOKUP($M50, 'Users Output'!$C$7:$S$15, MATCH('"EMU" Output'!$G$41, 'Users Output'!$C$6:$S$6, 0), FALSE),100), "")</f>
        <v/>
      </c>
      <c r="AM50" s="475"/>
      <c r="AN50" s="478"/>
      <c r="AO50" s="482"/>
    </row>
    <row r="51" spans="1:41" s="10" customFormat="1" ht="17.25" customHeight="1" x14ac:dyDescent="0.25">
      <c r="A51" s="26"/>
      <c r="B51" s="27"/>
      <c r="C51" s="27"/>
      <c r="D51" s="27"/>
      <c r="E51" s="27"/>
      <c r="F51" s="27"/>
      <c r="L51" s="753"/>
      <c r="M51" s="1665" t="str">
        <f>'5. MethodMix Set Up'!G20</f>
        <v>Autres méthodes modernes</v>
      </c>
      <c r="N51" s="1665"/>
      <c r="O51" s="804" t="str">
        <f>IFERROR(MROUND(VLOOKUP($M51, '5. MethodMix Set Up'!$S$34:$AI$43, MATCH('"EMU" Output'!$G$41, '5. MethodMix Set Up'!$S$34:$AI$34,0), FALSE), 100), "")</f>
        <v/>
      </c>
      <c r="P51" s="804" t="str">
        <f>IFERROR(MROUND(VLOOKUP($M51, 'Commodities (Clients) Output'!$C$7:$S$15, MATCH('"EMU" Output'!$G$41, 'Commodities (Clients) Output'!$C$6:$S$6, 0), FALSE),100), "")</f>
        <v/>
      </c>
      <c r="Q51" s="804" t="str">
        <f>IFERROR(MROUND(VLOOKUP($M51, 'Commodities (Facility) Output'!$C$7:$S$15, MATCH('"EMU" Output'!$G$41, 'Commodities (Facility) Output'!$C$6:$S$6, 0), FALSE),100), "")</f>
        <v/>
      </c>
      <c r="R51" s="804" t="str">
        <f>IFERROR(MROUND(VLOOKUP($M51, 'Visits Output'!$C$7:$S$15, MATCH('"EMU" Output'!$G$41, 'Visits Output'!$C$6:$S$6, 0), FALSE),100), "")</f>
        <v/>
      </c>
      <c r="S51" s="804" t="str">
        <f>IFERROR(MROUND(VLOOKUP($M51, 'Users Output'!$C$7:$S$15, MATCH('"EMU" Output'!$G$41, 'Users Output'!$C$6:$S$6, 0), FALSE),100), "")</f>
        <v/>
      </c>
      <c r="AM51" s="475"/>
      <c r="AN51" s="478"/>
      <c r="AO51" s="482"/>
    </row>
    <row r="52" spans="1:41" s="10" customFormat="1" x14ac:dyDescent="0.25">
      <c r="A52" s="26"/>
      <c r="B52" s="27"/>
      <c r="C52" s="27"/>
      <c r="D52" s="27"/>
      <c r="E52" s="27"/>
      <c r="F52" s="27"/>
      <c r="AM52" s="475"/>
      <c r="AN52" s="478"/>
      <c r="AO52" s="482"/>
    </row>
    <row r="53" spans="1:41" s="10" customFormat="1" x14ac:dyDescent="0.25">
      <c r="A53" s="26"/>
      <c r="B53" s="27"/>
      <c r="C53" s="27"/>
      <c r="D53" s="27"/>
      <c r="E53" s="27"/>
      <c r="F53" s="27"/>
      <c r="AM53" s="475"/>
      <c r="AN53" s="478"/>
      <c r="AO53" s="482"/>
    </row>
    <row r="54" spans="1:41" s="10" customFormat="1" x14ac:dyDescent="0.25">
      <c r="A54" s="26"/>
      <c r="B54" s="27"/>
      <c r="C54" s="27"/>
      <c r="D54" s="27"/>
      <c r="E54" s="27"/>
      <c r="F54" s="27"/>
      <c r="AM54" s="475"/>
      <c r="AN54" s="478"/>
      <c r="AO54" s="482"/>
    </row>
    <row r="55" spans="1:41" s="10" customFormat="1" ht="15.75" thickBot="1" x14ac:dyDescent="0.3">
      <c r="A55" s="26"/>
      <c r="B55" s="27"/>
      <c r="C55" s="27"/>
      <c r="D55" s="27"/>
      <c r="E55" s="27"/>
      <c r="F55" s="27"/>
      <c r="AM55" s="475"/>
      <c r="AN55" s="478"/>
      <c r="AO55" s="482"/>
    </row>
    <row r="56" spans="1:41" s="10" customFormat="1" ht="15.75" hidden="1" thickBot="1" x14ac:dyDescent="0.3">
      <c r="A56" s="26"/>
      <c r="B56" s="27" t="s">
        <v>568</v>
      </c>
      <c r="C56" s="27" t="str">
        <f>$S$33</f>
        <v>EUM : Produits aux clients</v>
      </c>
      <c r="D56" s="27" t="str">
        <f>$T$33</f>
        <v>EUM : Produits aux établissements</v>
      </c>
      <c r="E56" s="27" t="str">
        <f>$U$33</f>
        <v>EUM : Visites</v>
      </c>
      <c r="F56" s="27" t="str">
        <f>$V$33</f>
        <v>EUM : Utilisatrices de PF</v>
      </c>
      <c r="AM56" s="475"/>
      <c r="AN56" s="478"/>
      <c r="AO56" s="482"/>
    </row>
    <row r="57" spans="1:41" s="10" customFormat="1" ht="15.75" thickBot="1" x14ac:dyDescent="0.3">
      <c r="A57" s="26"/>
      <c r="B57" s="1653" t="str">
        <f>IF(Language="English", AM58, AO58)</f>
        <v>Taux de complétude</v>
      </c>
      <c r="C57" s="1653"/>
      <c r="D57" s="1653"/>
      <c r="E57" s="1653"/>
      <c r="F57" s="1653"/>
      <c r="AC57" s="529" t="s">
        <v>569</v>
      </c>
      <c r="AD57" s="530"/>
      <c r="AE57" s="531"/>
      <c r="AL57" t="str">
        <f>IF(Language="English", AM57, AO57)</f>
        <v>Comparez Taux de Declaration</v>
      </c>
      <c r="AM57" s="475" t="s">
        <v>854</v>
      </c>
      <c r="AN57" s="478"/>
      <c r="AO57" s="482" t="s">
        <v>855</v>
      </c>
    </row>
    <row r="58" spans="1:41" ht="75.599999999999994" customHeight="1" x14ac:dyDescent="0.25">
      <c r="B58" s="223"/>
      <c r="C58" s="224" t="str">
        <f>IF(Language="English", AM59, AO59)</f>
        <v>Taux de complétude : Produits aux clients</v>
      </c>
      <c r="D58" s="224" t="str">
        <f>IF(Language="English", AM60, AO60)</f>
        <v>Taux de complétude : Produits aux établissements</v>
      </c>
      <c r="E58" s="224" t="str">
        <f>IF(Language="English", AM61, AO61)</f>
        <v>Taux de complétude : Visites</v>
      </c>
      <c r="F58" s="225" t="str">
        <f>IF(Language="English", AM62, AO62)</f>
        <v>Taux de complétude : Utilisatrices</v>
      </c>
      <c r="AC58" s="246" t="s">
        <v>552</v>
      </c>
      <c r="AD58" s="10" t="s">
        <v>553</v>
      </c>
      <c r="AE58" s="247" t="s">
        <v>554</v>
      </c>
      <c r="AG58" s="254" t="s">
        <v>568</v>
      </c>
      <c r="AH58" s="255" t="str">
        <f>$S$33</f>
        <v>EUM : Produits aux clients</v>
      </c>
      <c r="AI58" s="255" t="str">
        <f>$T$33</f>
        <v>EUM : Produits aux établissements</v>
      </c>
      <c r="AJ58" s="255" t="str">
        <f>$U$33</f>
        <v>EUM : Visites</v>
      </c>
      <c r="AK58" s="256" t="str">
        <f>$V$33</f>
        <v>EUM : Utilisatrices de PF</v>
      </c>
      <c r="AM58" s="447" t="s">
        <v>85</v>
      </c>
      <c r="AO58" s="481" t="s">
        <v>1135</v>
      </c>
    </row>
    <row r="59" spans="1:41" x14ac:dyDescent="0.25">
      <c r="B59" s="191">
        <f>MAX('3. ServiceStats Set Up'!$T$33, 2005)</f>
        <v>2005</v>
      </c>
      <c r="C59" s="192" t="e">
        <f>IF($B59="", "", HLOOKUP($B59, 'Commodities (Clients) Input'!$G$9:$V$10, 2, FALSE))</f>
        <v>#N/A</v>
      </c>
      <c r="D59" s="192" t="e">
        <f>IF($B59="", "", HLOOKUP($B59, 'Commodities (Facility) Input'!$G$9:$V$10, 2, FALSE))</f>
        <v>#N/A</v>
      </c>
      <c r="E59" s="192" t="e">
        <f>IF($B59="", "", HLOOKUP($B59, 'Visits Input'!$G$9:$V$10, 2, FALSE))</f>
        <v>#N/A</v>
      </c>
      <c r="F59" s="192" t="e">
        <f>IF($B59="", "", HLOOKUP($B59, 'Users Input'!$G$9:$V$10, 2, FALSE))</f>
        <v>#N/A</v>
      </c>
      <c r="AC59" s="248">
        <f>IF($B59="", "", 60%)</f>
        <v>0.6</v>
      </c>
      <c r="AD59" s="249">
        <f>IF($B59="", "", 20%)</f>
        <v>0.2</v>
      </c>
      <c r="AE59" s="250">
        <f>IF($B59="", "", 20%)</f>
        <v>0.2</v>
      </c>
      <c r="AG59" s="257">
        <v>1</v>
      </c>
      <c r="AH59" s="258">
        <f>MAX('3. ServiceStats Set Up'!$C$19, 2005)</f>
        <v>2005</v>
      </c>
      <c r="AI59" s="258">
        <f>MAX('3. ServiceStats Set Up'!$K$19, 2005)</f>
        <v>2005</v>
      </c>
      <c r="AJ59" s="258">
        <f>MAX('3. ServiceStats Set Up'!$C$28, 2005)</f>
        <v>2005</v>
      </c>
      <c r="AK59" s="259">
        <f>MAX('3. ServiceStats Set Up'!$K$28, 2005)</f>
        <v>2005</v>
      </c>
      <c r="AM59" s="447" t="s">
        <v>555</v>
      </c>
      <c r="AO59" s="481" t="s">
        <v>1136</v>
      </c>
    </row>
    <row r="60" spans="1:41" x14ac:dyDescent="0.25">
      <c r="B60" s="191">
        <f>IFERROR(IF(B59+1&lt;='3. ServiceStats Set Up'!$T$32, B59+1, ""), "")</f>
        <v>2006</v>
      </c>
      <c r="C60" s="192" t="e">
        <f>IF($B60="", "", HLOOKUP($B60, 'Commodities (Clients) Input'!$G$9:$V$10, 2, FALSE))</f>
        <v>#N/A</v>
      </c>
      <c r="D60" s="192" t="e">
        <f>IF($B60="", "", HLOOKUP($B60, 'Commodities (Facility) Input'!$G$9:$V$10, 2, FALSE))</f>
        <v>#N/A</v>
      </c>
      <c r="E60" s="192" t="e">
        <f>IF($B60="", "", HLOOKUP($B60, 'Visits Input'!$G$9:$V$10, 2, FALSE))</f>
        <v>#N/A</v>
      </c>
      <c r="F60" s="192" t="e">
        <f>IF($B60="", "", HLOOKUP($B60, 'Users Input'!$G$9:$V$10, 2, FALSE))</f>
        <v>#N/A</v>
      </c>
      <c r="AC60" s="248">
        <f t="shared" ref="AC60:AC76" si="25">IF($B60="", "", 60%)</f>
        <v>0.6</v>
      </c>
      <c r="AD60" s="249">
        <f t="shared" ref="AD60:AE76" si="26">IF($B60="", "", 20%)</f>
        <v>0.2</v>
      </c>
      <c r="AE60" s="250">
        <f t="shared" si="26"/>
        <v>0.2</v>
      </c>
      <c r="AG60" s="257">
        <v>2</v>
      </c>
      <c r="AH60" s="258" t="str">
        <f>IFERROR(IF(AH59+1&lt;='3. ServiceStats Set Up'!$C$20, AH59+1, ""), "")</f>
        <v/>
      </c>
      <c r="AI60" s="258" t="str">
        <f>IFERROR(IF(AI59+1&lt;='3. ServiceStats Set Up'!$K$20, AI59+1, ""), "")</f>
        <v/>
      </c>
      <c r="AJ60" s="258" t="str">
        <f>IFERROR(IF(AJ59+1&lt;='3. ServiceStats Set Up'!$C$29, AJ59+1, ""), "")</f>
        <v/>
      </c>
      <c r="AK60" s="259" t="str">
        <f>IFERROR(IF(AK59+1&lt;='3. ServiceStats Set Up'!$K$29, AK59+1, ""), "")</f>
        <v/>
      </c>
      <c r="AM60" s="447" t="s">
        <v>556</v>
      </c>
      <c r="AO60" s="481" t="s">
        <v>1137</v>
      </c>
    </row>
    <row r="61" spans="1:41" x14ac:dyDescent="0.25">
      <c r="B61" s="191">
        <f>IFERROR(IF(B60+1&lt;='3. ServiceStats Set Up'!$T$32, B60+1, ""), "")</f>
        <v>2007</v>
      </c>
      <c r="C61" s="192" t="e">
        <f>IF($B61="", "", HLOOKUP($B61, 'Commodities (Clients) Input'!$G$9:$V$10, 2, FALSE))</f>
        <v>#N/A</v>
      </c>
      <c r="D61" s="192" t="e">
        <f>IF($B61="", "", HLOOKUP($B61, 'Commodities (Facility) Input'!$G$9:$V$10, 2, FALSE))</f>
        <v>#N/A</v>
      </c>
      <c r="E61" s="192" t="e">
        <f>IF($B61="", "", HLOOKUP($B61, 'Visits Input'!$G$9:$V$10, 2, FALSE))</f>
        <v>#N/A</v>
      </c>
      <c r="F61" s="192" t="e">
        <f>IF($B61="", "", HLOOKUP($B61, 'Users Input'!$G$9:$V$10, 2, FALSE))</f>
        <v>#N/A</v>
      </c>
      <c r="AC61" s="248">
        <f t="shared" si="25"/>
        <v>0.6</v>
      </c>
      <c r="AD61" s="249">
        <f t="shared" si="26"/>
        <v>0.2</v>
      </c>
      <c r="AE61" s="250">
        <f t="shared" si="26"/>
        <v>0.2</v>
      </c>
      <c r="AG61" s="257">
        <v>3</v>
      </c>
      <c r="AH61" s="258" t="str">
        <f>IFERROR(IF(AH60+1&lt;='3. ServiceStats Set Up'!$C$20, AH60+1, ""), "")</f>
        <v/>
      </c>
      <c r="AI61" s="258" t="str">
        <f>IFERROR(IF(AI60+1&lt;='3. ServiceStats Set Up'!$K$20, AI60+1, ""), "")</f>
        <v/>
      </c>
      <c r="AJ61" s="258" t="str">
        <f>IFERROR(IF(AJ60+1&lt;='3. ServiceStats Set Up'!$C$29, AJ60+1, ""), "")</f>
        <v/>
      </c>
      <c r="AK61" s="259" t="str">
        <f>IFERROR(IF(AK60+1&lt;='3. ServiceStats Set Up'!$K$29, AK60+1, ""), "")</f>
        <v/>
      </c>
      <c r="AM61" s="447" t="s">
        <v>557</v>
      </c>
      <c r="AO61" s="481" t="s">
        <v>1138</v>
      </c>
    </row>
    <row r="62" spans="1:41" x14ac:dyDescent="0.25">
      <c r="B62" s="191">
        <f>IFERROR(IF(B61+1&lt;='3. ServiceStats Set Up'!$T$32, B61+1, ""), "")</f>
        <v>2008</v>
      </c>
      <c r="C62" s="192" t="e">
        <f>IF($B62="", "", HLOOKUP($B62, 'Commodities (Clients) Input'!$G$9:$V$10, 2, FALSE))</f>
        <v>#N/A</v>
      </c>
      <c r="D62" s="192" t="e">
        <f>IF($B62="", "", HLOOKUP($B62, 'Commodities (Facility) Input'!$G$9:$V$10, 2, FALSE))</f>
        <v>#N/A</v>
      </c>
      <c r="E62" s="192" t="e">
        <f>IF($B62="", "", HLOOKUP($B62, 'Visits Input'!$G$9:$V$10, 2, FALSE))</f>
        <v>#N/A</v>
      </c>
      <c r="F62" s="192" t="e">
        <f>IF($B62="", "", HLOOKUP($B62, 'Users Input'!$G$9:$V$10, 2, FALSE))</f>
        <v>#N/A</v>
      </c>
      <c r="AC62" s="248">
        <f t="shared" si="25"/>
        <v>0.6</v>
      </c>
      <c r="AD62" s="249">
        <f t="shared" si="26"/>
        <v>0.2</v>
      </c>
      <c r="AE62" s="250">
        <f t="shared" si="26"/>
        <v>0.2</v>
      </c>
      <c r="AG62" s="257">
        <v>4</v>
      </c>
      <c r="AH62" s="258" t="str">
        <f>IFERROR(IF(AH61+1&lt;='3. ServiceStats Set Up'!$C$20, AH61+1, ""), "")</f>
        <v/>
      </c>
      <c r="AI62" s="258" t="str">
        <f>IFERROR(IF(AI61+1&lt;='3. ServiceStats Set Up'!$K$20, AI61+1, ""), "")</f>
        <v/>
      </c>
      <c r="AJ62" s="258" t="str">
        <f>IFERROR(IF(AJ61+1&lt;='3. ServiceStats Set Up'!$C$29, AJ61+1, ""), "")</f>
        <v/>
      </c>
      <c r="AK62" s="259" t="str">
        <f>IFERROR(IF(AK61+1&lt;='3. ServiceStats Set Up'!$K$29, AK61+1, ""), "")</f>
        <v/>
      </c>
      <c r="AM62" s="447" t="s">
        <v>558</v>
      </c>
      <c r="AO62" s="481" t="s">
        <v>2427</v>
      </c>
    </row>
    <row r="63" spans="1:41" x14ac:dyDescent="0.25">
      <c r="B63" s="191">
        <f>IFERROR(IF(B62+1&lt;='3. ServiceStats Set Up'!$T$32, B62+1, ""), "")</f>
        <v>2009</v>
      </c>
      <c r="C63" s="192" t="e">
        <f>IF($B63="", "", HLOOKUP($B63, 'Commodities (Clients) Input'!$G$9:$V$10, 2, FALSE))</f>
        <v>#N/A</v>
      </c>
      <c r="D63" s="192" t="e">
        <f>IF($B63="", "", HLOOKUP($B63, 'Commodities (Facility) Input'!$G$9:$V$10, 2, FALSE))</f>
        <v>#N/A</v>
      </c>
      <c r="E63" s="192" t="e">
        <f>IF($B63="", "", HLOOKUP($B63, 'Visits Input'!$G$9:$V$10, 2, FALSE))</f>
        <v>#N/A</v>
      </c>
      <c r="F63" s="192" t="e">
        <f>IF($B63="", "", HLOOKUP($B63, 'Users Input'!$G$9:$V$10, 2, FALSE))</f>
        <v>#N/A</v>
      </c>
      <c r="AC63" s="248">
        <f t="shared" si="25"/>
        <v>0.6</v>
      </c>
      <c r="AD63" s="249">
        <f t="shared" si="26"/>
        <v>0.2</v>
      </c>
      <c r="AE63" s="250">
        <f t="shared" si="26"/>
        <v>0.2</v>
      </c>
      <c r="AG63" s="257">
        <v>5</v>
      </c>
      <c r="AH63" s="258" t="str">
        <f>IFERROR(IF(AH62+1&lt;='3. ServiceStats Set Up'!$C$20, AH62+1, ""), "")</f>
        <v/>
      </c>
      <c r="AI63" s="258" t="str">
        <f>IFERROR(IF(AI62+1&lt;='3. ServiceStats Set Up'!$K$20, AI62+1, ""), "")</f>
        <v/>
      </c>
      <c r="AJ63" s="258" t="str">
        <f>IFERROR(IF(AJ62+1&lt;='3. ServiceStats Set Up'!$C$29, AJ62+1, ""), "")</f>
        <v/>
      </c>
      <c r="AK63" s="259" t="str">
        <f>IFERROR(IF(AK62+1&lt;='3. ServiceStats Set Up'!$K$29, AK62+1, ""), "")</f>
        <v/>
      </c>
    </row>
    <row r="64" spans="1:41" x14ac:dyDescent="0.25">
      <c r="B64" s="191">
        <f>IFERROR(IF(B63+1&lt;='3. ServiceStats Set Up'!$T$32, B63+1, ""), "")</f>
        <v>2010</v>
      </c>
      <c r="C64" s="192" t="e">
        <f>IF($B64="", "", HLOOKUP($B64, 'Commodities (Clients) Input'!$G$9:$V$10, 2, FALSE))</f>
        <v>#N/A</v>
      </c>
      <c r="D64" s="192" t="e">
        <f>IF($B64="", "", HLOOKUP($B64, 'Commodities (Facility) Input'!$G$9:$V$10, 2, FALSE))</f>
        <v>#N/A</v>
      </c>
      <c r="E64" s="192" t="e">
        <f>IF($B64="", "", HLOOKUP($B64, 'Visits Input'!$G$9:$V$10, 2, FALSE))</f>
        <v>#N/A</v>
      </c>
      <c r="F64" s="192" t="e">
        <f>IF($B64="", "", HLOOKUP($B64, 'Users Input'!$G$9:$V$10, 2, FALSE))</f>
        <v>#N/A</v>
      </c>
      <c r="AC64" s="248">
        <f t="shared" si="25"/>
        <v>0.6</v>
      </c>
      <c r="AD64" s="249">
        <f t="shared" si="26"/>
        <v>0.2</v>
      </c>
      <c r="AE64" s="250">
        <f t="shared" si="26"/>
        <v>0.2</v>
      </c>
      <c r="AG64" s="257">
        <v>6</v>
      </c>
      <c r="AH64" s="258" t="str">
        <f>IFERROR(IF(AH63+1&lt;='3. ServiceStats Set Up'!$C$20, AH63+1, ""), "")</f>
        <v/>
      </c>
      <c r="AI64" s="258" t="str">
        <f>IFERROR(IF(AI63+1&lt;='3. ServiceStats Set Up'!$K$20, AI63+1, ""), "")</f>
        <v/>
      </c>
      <c r="AJ64" s="258" t="str">
        <f>IFERROR(IF(AJ63+1&lt;='3. ServiceStats Set Up'!$C$29, AJ63+1, ""), "")</f>
        <v/>
      </c>
      <c r="AK64" s="259" t="str">
        <f>IFERROR(IF(AK63+1&lt;='3. ServiceStats Set Up'!$K$29, AK63+1, ""), "")</f>
        <v/>
      </c>
    </row>
    <row r="65" spans="1:41" x14ac:dyDescent="0.25">
      <c r="B65" s="191">
        <f>IFERROR(IF(B64+1&lt;='3. ServiceStats Set Up'!$T$32, B64+1, ""), "")</f>
        <v>2011</v>
      </c>
      <c r="C65" s="192" t="e">
        <f>IF($B65="", "", HLOOKUP($B65, 'Commodities (Clients) Input'!$G$9:$V$10, 2, FALSE))</f>
        <v>#N/A</v>
      </c>
      <c r="D65" s="192" t="e">
        <f>IF($B65="", "", HLOOKUP($B65, 'Commodities (Facility) Input'!$G$9:$V$10, 2, FALSE))</f>
        <v>#N/A</v>
      </c>
      <c r="E65" s="192" t="e">
        <f>IF($B65="", "", HLOOKUP($B65, 'Visits Input'!$G$9:$V$10, 2, FALSE))</f>
        <v>#N/A</v>
      </c>
      <c r="F65" s="192" t="e">
        <f>IF($B65="", "", HLOOKUP($B65, 'Users Input'!$G$9:$V$10, 2, FALSE))</f>
        <v>#N/A</v>
      </c>
      <c r="AC65" s="248">
        <f t="shared" si="25"/>
        <v>0.6</v>
      </c>
      <c r="AD65" s="249">
        <f t="shared" si="26"/>
        <v>0.2</v>
      </c>
      <c r="AE65" s="250">
        <f t="shared" si="26"/>
        <v>0.2</v>
      </c>
      <c r="AG65" s="257">
        <v>7</v>
      </c>
      <c r="AH65" s="258" t="str">
        <f>IFERROR(IF(AH64+1&lt;='3. ServiceStats Set Up'!$C$20, AH64+1, ""), "")</f>
        <v/>
      </c>
      <c r="AI65" s="258" t="str">
        <f>IFERROR(IF(AI64+1&lt;='3. ServiceStats Set Up'!$K$20, AI64+1, ""), "")</f>
        <v/>
      </c>
      <c r="AJ65" s="258" t="str">
        <f>IFERROR(IF(AJ64+1&lt;='3. ServiceStats Set Up'!$C$29, AJ64+1, ""), "")</f>
        <v/>
      </c>
      <c r="AK65" s="259" t="str">
        <f>IFERROR(IF(AK64+1&lt;='3. ServiceStats Set Up'!$K$29, AK64+1, ""), "")</f>
        <v/>
      </c>
    </row>
    <row r="66" spans="1:41" x14ac:dyDescent="0.25">
      <c r="B66" s="191">
        <f>IFERROR(IF(B65+1&lt;='3. ServiceStats Set Up'!$T$32, B65+1, ""), "")</f>
        <v>2012</v>
      </c>
      <c r="C66" s="192" t="e">
        <f>IF($B66="", "", HLOOKUP($B66, 'Commodities (Clients) Input'!$G$9:$V$10, 2, FALSE))</f>
        <v>#N/A</v>
      </c>
      <c r="D66" s="192" t="e">
        <f>IF($B66="", "", HLOOKUP($B66, 'Commodities (Facility) Input'!$G$9:$V$10, 2, FALSE))</f>
        <v>#N/A</v>
      </c>
      <c r="E66" s="192" t="e">
        <f>IF($B66="", "", HLOOKUP($B66, 'Visits Input'!$G$9:$V$10, 2, FALSE))</f>
        <v>#N/A</v>
      </c>
      <c r="F66" s="192" t="e">
        <f>IF($B66="", "", HLOOKUP($B66, 'Users Input'!$G$9:$V$10, 2, FALSE))</f>
        <v>#N/A</v>
      </c>
      <c r="AC66" s="248">
        <f t="shared" si="25"/>
        <v>0.6</v>
      </c>
      <c r="AD66" s="249">
        <f t="shared" si="26"/>
        <v>0.2</v>
      </c>
      <c r="AE66" s="250">
        <f t="shared" si="26"/>
        <v>0.2</v>
      </c>
      <c r="AG66" s="257">
        <v>8</v>
      </c>
      <c r="AH66" s="258" t="str">
        <f>IFERROR(IF(AH65+1&lt;='3. ServiceStats Set Up'!$C$20, AH65+1, ""), "")</f>
        <v/>
      </c>
      <c r="AI66" s="258" t="str">
        <f>IFERROR(IF(AI65+1&lt;='3. ServiceStats Set Up'!$K$20, AI65+1, ""), "")</f>
        <v/>
      </c>
      <c r="AJ66" s="258" t="str">
        <f>IFERROR(IF(AJ65+1&lt;='3. ServiceStats Set Up'!$C$29, AJ65+1, ""), "")</f>
        <v/>
      </c>
      <c r="AK66" s="259" t="str">
        <f>IFERROR(IF(AK65+1&lt;='3. ServiceStats Set Up'!$K$29, AK65+1, ""), "")</f>
        <v/>
      </c>
    </row>
    <row r="67" spans="1:41" x14ac:dyDescent="0.25">
      <c r="B67" s="191">
        <f>IFERROR(IF(B66+1&lt;='3. ServiceStats Set Up'!$T$32, B66+1, ""), "")</f>
        <v>2013</v>
      </c>
      <c r="C67" s="192" t="e">
        <f>IF($B67="", "", HLOOKUP($B67, 'Commodities (Clients) Input'!$G$9:$V$10, 2, FALSE))</f>
        <v>#N/A</v>
      </c>
      <c r="D67" s="192" t="e">
        <f>IF($B67="", "", HLOOKUP($B67, 'Commodities (Facility) Input'!$G$9:$V$10, 2, FALSE))</f>
        <v>#N/A</v>
      </c>
      <c r="E67" s="192" t="e">
        <f>IF($B67="", "", HLOOKUP($B67, 'Visits Input'!$G$9:$V$10, 2, FALSE))</f>
        <v>#N/A</v>
      </c>
      <c r="F67" s="192" t="e">
        <f>IF($B67="", "", HLOOKUP($B67, 'Users Input'!$G$9:$V$10, 2, FALSE))</f>
        <v>#N/A</v>
      </c>
      <c r="AC67" s="248">
        <f t="shared" si="25"/>
        <v>0.6</v>
      </c>
      <c r="AD67" s="249">
        <f t="shared" si="26"/>
        <v>0.2</v>
      </c>
      <c r="AE67" s="250">
        <f t="shared" si="26"/>
        <v>0.2</v>
      </c>
      <c r="AG67" s="257">
        <v>9</v>
      </c>
      <c r="AH67" s="258" t="str">
        <f>IFERROR(IF(AH66+1&lt;='3. ServiceStats Set Up'!$C$20, AH66+1, ""), "")</f>
        <v/>
      </c>
      <c r="AI67" s="258" t="str">
        <f>IFERROR(IF(AI66+1&lt;='3. ServiceStats Set Up'!$K$20, AI66+1, ""), "")</f>
        <v/>
      </c>
      <c r="AJ67" s="258" t="str">
        <f>IFERROR(IF(AJ66+1&lt;='3. ServiceStats Set Up'!$C$29, AJ66+1, ""), "")</f>
        <v/>
      </c>
      <c r="AK67" s="259" t="str">
        <f>IFERROR(IF(AK66+1&lt;='3. ServiceStats Set Up'!$K$29, AK66+1, ""), "")</f>
        <v/>
      </c>
    </row>
    <row r="68" spans="1:41" x14ac:dyDescent="0.25">
      <c r="B68" s="191">
        <f>IFERROR(IF(B67+1&lt;='3. ServiceStats Set Up'!$T$32, B67+1, ""), "")</f>
        <v>2014</v>
      </c>
      <c r="C68" s="192" t="e">
        <f>IF($B68="", "", HLOOKUP($B68, 'Commodities (Clients) Input'!$G$9:$V$10, 2, FALSE))</f>
        <v>#N/A</v>
      </c>
      <c r="D68" s="192" t="e">
        <f>IF($B68="", "", HLOOKUP($B68, 'Commodities (Facility) Input'!$G$9:$V$10, 2, FALSE))</f>
        <v>#N/A</v>
      </c>
      <c r="E68" s="192" t="e">
        <f>IF($B68="", "", HLOOKUP($B68, 'Visits Input'!$G$9:$V$10, 2, FALSE))</f>
        <v>#N/A</v>
      </c>
      <c r="F68" s="192" t="e">
        <f>IF($B68="", "", HLOOKUP($B68, 'Users Input'!$G$9:$V$10, 2, FALSE))</f>
        <v>#N/A</v>
      </c>
      <c r="AC68" s="248">
        <f>IF($B68="", "", 60%)</f>
        <v>0.6</v>
      </c>
      <c r="AD68" s="249">
        <f t="shared" si="26"/>
        <v>0.2</v>
      </c>
      <c r="AE68" s="250">
        <f t="shared" si="26"/>
        <v>0.2</v>
      </c>
      <c r="AG68" s="257">
        <v>10</v>
      </c>
      <c r="AH68" s="258" t="str">
        <f>IFERROR(IF(AH67+1&lt;='3. ServiceStats Set Up'!$C$20, AH67+1, ""), "")</f>
        <v/>
      </c>
      <c r="AI68" s="258" t="str">
        <f>IFERROR(IF(AI67+1&lt;='3. ServiceStats Set Up'!$K$20, AI67+1, ""), "")</f>
        <v/>
      </c>
      <c r="AJ68" s="258" t="str">
        <f>IFERROR(IF(AJ67+1&lt;='3. ServiceStats Set Up'!$C$29, AJ67+1, ""), "")</f>
        <v/>
      </c>
      <c r="AK68" s="259" t="str">
        <f>IFERROR(IF(AK67+1&lt;='3. ServiceStats Set Up'!$K$29, AK67+1, ""), "")</f>
        <v/>
      </c>
    </row>
    <row r="69" spans="1:41" ht="15.75" thickBot="1" x14ac:dyDescent="0.3">
      <c r="B69" s="191">
        <f>IFERROR(IF(B68+1&lt;='3. ServiceStats Set Up'!$T$32, B68+1, ""), "")</f>
        <v>2015</v>
      </c>
      <c r="C69" s="192" t="e">
        <f>IF($B69="", "", HLOOKUP($B69, 'Commodities (Clients) Input'!$G$9:$V$10, 2, FALSE))</f>
        <v>#N/A</v>
      </c>
      <c r="D69" s="192" t="e">
        <f>IF($B69="", "", HLOOKUP($B69, 'Commodities (Facility) Input'!$G$9:$V$10, 2, FALSE))</f>
        <v>#N/A</v>
      </c>
      <c r="E69" s="192" t="e">
        <f>IF($B69="", "", HLOOKUP($B69, 'Visits Input'!$G$9:$V$10, 2, FALSE))</f>
        <v>#N/A</v>
      </c>
      <c r="F69" s="192" t="e">
        <f>IF($B69="", "", HLOOKUP($B69, 'Users Input'!$G$9:$V$10, 2, FALSE))</f>
        <v>#N/A</v>
      </c>
      <c r="AC69" s="251">
        <f t="shared" si="25"/>
        <v>0.6</v>
      </c>
      <c r="AD69" s="252">
        <f t="shared" si="26"/>
        <v>0.2</v>
      </c>
      <c r="AE69" s="253">
        <f t="shared" si="26"/>
        <v>0.2</v>
      </c>
      <c r="AG69" s="257">
        <v>11</v>
      </c>
      <c r="AH69" s="258" t="str">
        <f>IFERROR(IF(AH68+1&lt;='3. ServiceStats Set Up'!$C$20, AH68+1, ""), "")</f>
        <v/>
      </c>
      <c r="AI69" s="258" t="str">
        <f>IFERROR(IF(AI68+1&lt;='3. ServiceStats Set Up'!$K$20, AI68+1, ""), "")</f>
        <v/>
      </c>
      <c r="AJ69" s="258" t="str">
        <f>IFERROR(IF(AJ68+1&lt;='3. ServiceStats Set Up'!$C$29, AJ68+1, ""), "")</f>
        <v/>
      </c>
      <c r="AK69" s="259" t="str">
        <f>IFERROR(IF(AK68+1&lt;='3. ServiceStats Set Up'!$K$29, AK68+1, ""), "")</f>
        <v/>
      </c>
    </row>
    <row r="70" spans="1:41" x14ac:dyDescent="0.25">
      <c r="B70" s="191">
        <f>IFERROR(IF(B69+1&lt;='3. ServiceStats Set Up'!$T$32, B69+1, ""), "")</f>
        <v>2016</v>
      </c>
      <c r="C70" s="192" t="e">
        <f>IF($B70="", "", HLOOKUP($B70, 'Commodities (Clients) Input'!$G$9:$V$10, 2, FALSE))</f>
        <v>#N/A</v>
      </c>
      <c r="D70" s="192" t="e">
        <f>IF($B70="", "", HLOOKUP($B70, 'Commodities (Facility) Input'!$G$9:$V$10, 2, FALSE))</f>
        <v>#N/A</v>
      </c>
      <c r="E70" s="192" t="e">
        <f>IF($B70="", "", HLOOKUP($B70, 'Visits Input'!$G$9:$V$10, 2, FALSE))</f>
        <v>#N/A</v>
      </c>
      <c r="F70" s="192" t="e">
        <f>IF($B70="", "", HLOOKUP($B70, 'Users Input'!$G$9:$V$10, 2, FALSE))</f>
        <v>#N/A</v>
      </c>
      <c r="AA70" s="27"/>
      <c r="AB70" s="27"/>
      <c r="AC70" s="27">
        <f t="shared" si="25"/>
        <v>0.6</v>
      </c>
      <c r="AD70" s="27">
        <f t="shared" si="26"/>
        <v>0.2</v>
      </c>
      <c r="AE70" s="27">
        <f t="shared" si="26"/>
        <v>0.2</v>
      </c>
      <c r="AG70" s="257">
        <v>12</v>
      </c>
      <c r="AH70" s="258" t="str">
        <f>IFERROR(IF(AH69+1&lt;='3. ServiceStats Set Up'!$C$20, AH69+1, ""), "")</f>
        <v/>
      </c>
      <c r="AI70" s="258" t="str">
        <f>IFERROR(IF(AI69+1&lt;='3. ServiceStats Set Up'!$K$20, AI69+1, ""), "")</f>
        <v/>
      </c>
      <c r="AJ70" s="258" t="str">
        <f>IFERROR(IF(AJ69+1&lt;='3. ServiceStats Set Up'!$C$29, AJ69+1, ""), "")</f>
        <v/>
      </c>
      <c r="AK70" s="259" t="str">
        <f>IFERROR(IF(AK69+1&lt;='3. ServiceStats Set Up'!$K$29, AK69+1, ""), "")</f>
        <v/>
      </c>
    </row>
    <row r="71" spans="1:41" ht="15.75" customHeight="1" x14ac:dyDescent="0.25">
      <c r="B71" s="191">
        <f>IFERROR(IF(B70+1&lt;='3. ServiceStats Set Up'!$T$32, B70+1, ""), "")</f>
        <v>2017</v>
      </c>
      <c r="C71" s="192" t="e">
        <f>IF($B71="", "", HLOOKUP($B71, 'Commodities (Clients) Input'!$G$9:$V$10, 2, FALSE))</f>
        <v>#N/A</v>
      </c>
      <c r="D71" s="192" t="e">
        <f>IF($B71="", "", HLOOKUP($B71, 'Commodities (Facility) Input'!$G$9:$V$10, 2, FALSE))</f>
        <v>#N/A</v>
      </c>
      <c r="E71" s="192" t="e">
        <f>IF($B71="", "", HLOOKUP($B71, 'Visits Input'!$G$9:$V$10, 2, FALSE))</f>
        <v>#N/A</v>
      </c>
      <c r="F71" s="192" t="e">
        <f>IF($B71="", "", HLOOKUP($B71, 'Users Input'!$G$9:$V$10, 2, FALSE))</f>
        <v>#N/A</v>
      </c>
      <c r="AA71" s="27"/>
      <c r="AB71" s="27"/>
      <c r="AC71" s="27">
        <f t="shared" si="25"/>
        <v>0.6</v>
      </c>
      <c r="AD71" s="27">
        <f t="shared" si="26"/>
        <v>0.2</v>
      </c>
      <c r="AE71" s="27">
        <f t="shared" si="26"/>
        <v>0.2</v>
      </c>
      <c r="AG71" s="257">
        <v>13</v>
      </c>
      <c r="AH71" s="258" t="str">
        <f>IFERROR(IF(AH70+1&lt;='3. ServiceStats Set Up'!$C$20, AH70+1, ""), "")</f>
        <v/>
      </c>
      <c r="AI71" s="258" t="str">
        <f>IFERROR(IF(AI70+1&lt;='3. ServiceStats Set Up'!$K$20, AI70+1, ""), "")</f>
        <v/>
      </c>
      <c r="AJ71" s="258" t="str">
        <f>IFERROR(IF(AJ70+1&lt;='3. ServiceStats Set Up'!$C$29, AJ70+1, ""), "")</f>
        <v/>
      </c>
      <c r="AK71" s="259" t="str">
        <f>IFERROR(IF(AK70+1&lt;='3. ServiceStats Set Up'!$K$29, AK70+1, ""), "")</f>
        <v/>
      </c>
    </row>
    <row r="72" spans="1:41" x14ac:dyDescent="0.25">
      <c r="B72" s="191">
        <f>IFERROR(IF(B71+1&lt;='3. ServiceStats Set Up'!$T$32, B71+1, ""), "")</f>
        <v>2018</v>
      </c>
      <c r="C72" s="192" t="e">
        <f>IF($B72="", "", HLOOKUP($B72, 'Commodities (Clients) Input'!$G$9:$V$10, 2, FALSE))</f>
        <v>#N/A</v>
      </c>
      <c r="D72" s="192" t="e">
        <f>IF($B72="", "", HLOOKUP($B72, 'Commodities (Facility) Input'!$G$9:$V$10, 2, FALSE))</f>
        <v>#N/A</v>
      </c>
      <c r="E72" s="192" t="e">
        <f>IF($B72="", "", HLOOKUP($B72, 'Visits Input'!$G$9:$V$10, 2, FALSE))</f>
        <v>#N/A</v>
      </c>
      <c r="F72" s="192" t="e">
        <f>IF($B72="", "", HLOOKUP($B72, 'Users Input'!$G$9:$V$10, 2, FALSE))</f>
        <v>#N/A</v>
      </c>
      <c r="AA72" s="27"/>
      <c r="AB72" s="27"/>
      <c r="AC72" s="27">
        <f t="shared" si="25"/>
        <v>0.6</v>
      </c>
      <c r="AD72" s="27">
        <f t="shared" si="26"/>
        <v>0.2</v>
      </c>
      <c r="AE72" s="27">
        <f t="shared" si="26"/>
        <v>0.2</v>
      </c>
      <c r="AG72" s="257">
        <v>14</v>
      </c>
      <c r="AH72" s="258" t="str">
        <f>IFERROR(IF(AH71+1&lt;='3. ServiceStats Set Up'!$C$20, AH71+1, ""), "")</f>
        <v/>
      </c>
      <c r="AI72" s="258" t="str">
        <f>IFERROR(IF(AI71+1&lt;='3. ServiceStats Set Up'!$K$20, AI71+1, ""), "")</f>
        <v/>
      </c>
      <c r="AJ72" s="258" t="str">
        <f>IFERROR(IF(AJ71+1&lt;='3. ServiceStats Set Up'!$C$29, AJ71+1, ""), "")</f>
        <v/>
      </c>
      <c r="AK72" s="259" t="str">
        <f>IFERROR(IF(AK71+1&lt;='3. ServiceStats Set Up'!$K$29, AK71+1, ""), "")</f>
        <v/>
      </c>
    </row>
    <row r="73" spans="1:41" x14ac:dyDescent="0.25">
      <c r="B73" s="191" t="str">
        <f>IFERROR(IF(B72+1&lt;='3. ServiceStats Set Up'!$T$32, B72+1, ""), "")</f>
        <v/>
      </c>
      <c r="C73" s="192" t="str">
        <f>IF($B73="", "", HLOOKUP($B73, 'Commodities (Clients) Input'!$G$9:$V$10, 2, FALSE))</f>
        <v/>
      </c>
      <c r="D73" s="192" t="str">
        <f>IF($B73="", "", HLOOKUP($B73, 'Commodities (Facility) Input'!$G$9:$V$10, 2, FALSE))</f>
        <v/>
      </c>
      <c r="E73" s="192" t="str">
        <f>IF($B73="", "", HLOOKUP($B73, 'Visits Input'!$G$9:$V$10, 2, FALSE))</f>
        <v/>
      </c>
      <c r="F73" s="192" t="str">
        <f>IF($B73="", "", HLOOKUP($B73, 'Users Input'!$G$9:$V$10, 2, FALSE))</f>
        <v/>
      </c>
      <c r="AA73" s="27"/>
      <c r="AB73" s="27"/>
      <c r="AC73" s="27" t="str">
        <f t="shared" si="25"/>
        <v/>
      </c>
      <c r="AD73" s="27" t="str">
        <f t="shared" si="26"/>
        <v/>
      </c>
      <c r="AE73" s="27" t="str">
        <f t="shared" si="26"/>
        <v/>
      </c>
      <c r="AG73" s="257">
        <v>15</v>
      </c>
      <c r="AH73" s="258" t="str">
        <f>IFERROR(IF(AH72+1&lt;='3. ServiceStats Set Up'!$C$20, AH72+1, ""), "")</f>
        <v/>
      </c>
      <c r="AI73" s="258" t="str">
        <f>IFERROR(IF(AI72+1&lt;='3. ServiceStats Set Up'!$K$20, AI72+1, ""), "")</f>
        <v/>
      </c>
      <c r="AJ73" s="258" t="str">
        <f>IFERROR(IF(AJ72+1&lt;='3. ServiceStats Set Up'!$C$29, AJ72+1, ""), "")</f>
        <v/>
      </c>
      <c r="AK73" s="259" t="str">
        <f>IFERROR(IF(AK72+1&lt;='3. ServiceStats Set Up'!$K$29, AK72+1, ""), "")</f>
        <v/>
      </c>
    </row>
    <row r="74" spans="1:41" x14ac:dyDescent="0.25">
      <c r="B74" s="191" t="str">
        <f>IFERROR(IF(B73+1&lt;='3. ServiceStats Set Up'!$T$32, B73+1, ""), "")</f>
        <v/>
      </c>
      <c r="C74" s="192" t="str">
        <f>IF($B74="", "", HLOOKUP($B74, 'Commodities (Clients) Input'!$G$9:$V$10, 2, FALSE))</f>
        <v/>
      </c>
      <c r="D74" s="192" t="str">
        <f>IF($B74="", "", HLOOKUP($B74, 'Commodities (Facility) Input'!$G$9:$V$10, 2, FALSE))</f>
        <v/>
      </c>
      <c r="E74" s="192" t="str">
        <f>IF($B74="", "", HLOOKUP($B74, 'Visits Input'!$G$9:$V$10, 2, FALSE))</f>
        <v/>
      </c>
      <c r="F74" s="192" t="str">
        <f>IF($B74="", "", HLOOKUP($B74, 'Users Input'!$G$9:$V$10, 2, FALSE))</f>
        <v/>
      </c>
      <c r="AA74" s="27"/>
      <c r="AB74" s="27"/>
      <c r="AC74" s="27" t="str">
        <f t="shared" si="25"/>
        <v/>
      </c>
      <c r="AD74" s="27" t="str">
        <f t="shared" si="26"/>
        <v/>
      </c>
      <c r="AE74" s="27" t="str">
        <f t="shared" si="26"/>
        <v/>
      </c>
      <c r="AG74" s="257">
        <v>16</v>
      </c>
      <c r="AH74" s="258" t="str">
        <f>IFERROR(IF(AH73+1&lt;='3. ServiceStats Set Up'!$C$20, AH73+1, ""), "")</f>
        <v/>
      </c>
      <c r="AI74" s="258" t="str">
        <f>IFERROR(IF(AI73+1&lt;='3. ServiceStats Set Up'!$K$20, AI73+1, ""), "")</f>
        <v/>
      </c>
      <c r="AJ74" s="258" t="str">
        <f>IFERROR(IF(AJ73+1&lt;='3. ServiceStats Set Up'!$C$29, AJ73+1, ""), "")</f>
        <v/>
      </c>
      <c r="AK74" s="259" t="str">
        <f>IFERROR(IF(AK73+1&lt;='3. ServiceStats Set Up'!$K$29, AK73+1, ""), "")</f>
        <v/>
      </c>
    </row>
    <row r="75" spans="1:41" x14ac:dyDescent="0.25">
      <c r="B75" s="191" t="str">
        <f>IFERROR(IF(B74+1&lt;='3. ServiceStats Set Up'!$T$32, B74+1, ""), "")</f>
        <v/>
      </c>
      <c r="C75" s="192" t="str">
        <f>IF($B75="", "", HLOOKUP($B75, 'Commodities (Clients) Input'!$G$9:$V$10, 2, FALSE))</f>
        <v/>
      </c>
      <c r="D75" s="192" t="str">
        <f>IF($B75="", "", HLOOKUP($B75, 'Commodities (Facility) Input'!$G$9:$V$10, 2, FALSE))</f>
        <v/>
      </c>
      <c r="E75" s="192" t="str">
        <f>IF($B75="", "", HLOOKUP($B75, 'Visits Input'!$G$9:$V$10, 2, FALSE))</f>
        <v/>
      </c>
      <c r="F75" s="192" t="str">
        <f>IF($B75="", "", HLOOKUP($B75, 'Users Input'!$G$9:$V$10, 2, FALSE))</f>
        <v/>
      </c>
      <c r="AA75" s="27"/>
      <c r="AB75" s="27"/>
      <c r="AC75" s="27" t="str">
        <f t="shared" si="25"/>
        <v/>
      </c>
      <c r="AD75" s="27" t="str">
        <f t="shared" si="26"/>
        <v/>
      </c>
      <c r="AE75" s="27" t="str">
        <f t="shared" si="26"/>
        <v/>
      </c>
      <c r="AG75" s="257">
        <v>17</v>
      </c>
      <c r="AH75" s="258" t="str">
        <f>IFERROR(IF(AH74+1&lt;='3. ServiceStats Set Up'!$C$20, AH74+1, ""), "")</f>
        <v/>
      </c>
      <c r="AI75" s="258" t="str">
        <f>IFERROR(IF(AI74+1&lt;='3. ServiceStats Set Up'!$K$20, AI74+1, ""), "")</f>
        <v/>
      </c>
      <c r="AJ75" s="258" t="str">
        <f>IFERROR(IF(AJ74+1&lt;='3. ServiceStats Set Up'!$C$29, AJ74+1, ""), "")</f>
        <v/>
      </c>
      <c r="AK75" s="259" t="str">
        <f>IFERROR(IF(AK74+1&lt;='3. ServiceStats Set Up'!$K$29, AK74+1, ""), "")</f>
        <v/>
      </c>
    </row>
    <row r="76" spans="1:41" ht="15.75" thickBot="1" x14ac:dyDescent="0.3">
      <c r="B76" s="191" t="str">
        <f>IFERROR(IF(B75+1&lt;='3. ServiceStats Set Up'!$T$32, B75+1, ""), "")</f>
        <v/>
      </c>
      <c r="C76" s="192" t="str">
        <f>IF($B76="", "", HLOOKUP($B76, 'Commodities (Clients) Input'!$G$9:$V$10, 2, FALSE))</f>
        <v/>
      </c>
      <c r="D76" s="192" t="str">
        <f>IF($B76="", "", HLOOKUP($B76, 'Commodities (Facility) Input'!$G$9:$V$10, 2, FALSE))</f>
        <v/>
      </c>
      <c r="E76" s="192" t="str">
        <f>IF($B76="", "", HLOOKUP($B76, 'Visits Input'!$G$9:$V$10, 2, FALSE))</f>
        <v/>
      </c>
      <c r="F76" s="192" t="str">
        <f>IF($B76="", "", HLOOKUP($B76, 'Users Input'!$G$9:$V$10, 2, FALSE))</f>
        <v/>
      </c>
      <c r="AA76" s="27"/>
      <c r="AB76" s="27"/>
      <c r="AC76" s="27" t="str">
        <f t="shared" si="25"/>
        <v/>
      </c>
      <c r="AD76" s="27" t="str">
        <f t="shared" si="26"/>
        <v/>
      </c>
      <c r="AE76" s="27" t="str">
        <f t="shared" si="26"/>
        <v/>
      </c>
      <c r="AG76" s="260">
        <v>18</v>
      </c>
      <c r="AH76" s="261" t="str">
        <f>IFERROR(IF(AH75+1&lt;='3. ServiceStats Set Up'!$C$20, AH75+1, ""), "")</f>
        <v/>
      </c>
      <c r="AI76" s="261" t="str">
        <f>IFERROR(IF(AI75+1&lt;='3. ServiceStats Set Up'!$K$20, AI75+1, ""), "")</f>
        <v/>
      </c>
      <c r="AJ76" s="261" t="str">
        <f>IFERROR(IF(AJ75+1&lt;='3. ServiceStats Set Up'!$C$29, AJ75+1, ""), "")</f>
        <v/>
      </c>
      <c r="AK76" s="262" t="str">
        <f>IFERROR(IF(AK75+1&lt;='3. ServiceStats Set Up'!$K$29, AK75+1, ""), "")</f>
        <v/>
      </c>
    </row>
    <row r="77" spans="1:41" s="10" customFormat="1" x14ac:dyDescent="0.25">
      <c r="A77" s="26"/>
      <c r="B77" s="27"/>
      <c r="C77" s="27"/>
      <c r="D77" s="27"/>
      <c r="E77" s="27"/>
      <c r="F77" s="27"/>
      <c r="AM77" s="475"/>
      <c r="AN77" s="478"/>
      <c r="AO77" s="482"/>
    </row>
    <row r="78" spans="1:41" s="10" customFormat="1" ht="30.75" customHeight="1" collapsed="1" thickBot="1" x14ac:dyDescent="0.45">
      <c r="A78" s="26"/>
      <c r="B78" s="243" t="str">
        <f t="shared" ref="B78:B85" si="27">IF(Language="English", AM78, AO78)</f>
        <v>Étape 2 of 3. Sur la base de l'examen des graphiques ci-dessus, répondez aux questions suivantes et sélectionnez les données pour FPET.</v>
      </c>
      <c r="C78" s="232"/>
      <c r="D78" s="232"/>
      <c r="E78" s="232"/>
      <c r="F78" s="232"/>
      <c r="G78" s="232"/>
      <c r="H78" s="232"/>
      <c r="I78" s="232"/>
      <c r="J78" s="232"/>
      <c r="K78" s="232"/>
      <c r="L78" s="232"/>
      <c r="M78" s="232"/>
      <c r="N78" s="232"/>
      <c r="O78" s="232"/>
      <c r="P78" s="232"/>
      <c r="Q78" s="232"/>
      <c r="R78" s="232"/>
      <c r="S78" s="232"/>
      <c r="T78" s="232"/>
      <c r="U78" s="232"/>
      <c r="V78" s="232"/>
      <c r="AM78" s="475" t="s">
        <v>1121</v>
      </c>
      <c r="AN78" s="478"/>
      <c r="AO78" s="482" t="s">
        <v>1122</v>
      </c>
    </row>
    <row r="79" spans="1:41" s="10" customFormat="1" ht="15.75" customHeight="1" x14ac:dyDescent="0.25">
      <c r="A79" s="26"/>
      <c r="B79" s="484" t="str">
        <f t="shared" si="27"/>
        <v>Seule une tendance de l'EUM peut être utilisée dans FPET - Utilisez les questions ci-dessous pour vous aider à décider si vos données sont adaptées et peuvent être utilisées dans FPET, et si oui, quelle tendance utiliser.</v>
      </c>
      <c r="C79" s="484"/>
      <c r="D79" s="484"/>
      <c r="E79" s="484"/>
      <c r="F79" s="484"/>
      <c r="G79" s="484"/>
      <c r="H79" s="484"/>
      <c r="I79" s="484"/>
      <c r="J79" s="484"/>
      <c r="K79" s="484"/>
      <c r="L79" s="484"/>
      <c r="M79" s="484"/>
      <c r="N79" s="484"/>
      <c r="O79" s="484"/>
      <c r="P79" s="484"/>
      <c r="Q79" s="484"/>
      <c r="R79" s="484"/>
      <c r="S79" s="484"/>
      <c r="T79" s="484"/>
      <c r="U79" s="484"/>
      <c r="AM79" s="475" t="s">
        <v>579</v>
      </c>
      <c r="AN79" s="478"/>
      <c r="AO79" s="482" t="s">
        <v>858</v>
      </c>
    </row>
    <row r="80" spans="1:41" s="10" customFormat="1" ht="18.75" x14ac:dyDescent="0.3">
      <c r="A80" s="26"/>
      <c r="B80" s="538" t="str">
        <f t="shared" si="27"/>
        <v>Choisissez un type de données</v>
      </c>
      <c r="C80" s="538"/>
      <c r="D80" s="538"/>
      <c r="E80" s="538"/>
      <c r="F80" s="538"/>
      <c r="G80" s="538"/>
      <c r="H80" s="538"/>
      <c r="I80" s="538"/>
      <c r="J80" s="538"/>
      <c r="K80" s="538"/>
      <c r="L80" s="539" t="str">
        <f>IF(Language="English", AM107, AO107)</f>
        <v>Expliquez le choix</v>
      </c>
      <c r="M80" s="539"/>
      <c r="N80" s="539"/>
      <c r="O80" s="539"/>
      <c r="P80" s="539"/>
      <c r="Q80" s="539"/>
      <c r="R80" s="539"/>
      <c r="S80" s="539"/>
      <c r="T80" s="539"/>
      <c r="U80" s="539"/>
      <c r="AM80" s="475" t="s">
        <v>567</v>
      </c>
      <c r="AN80" s="478"/>
      <c r="AO80" s="482" t="s">
        <v>859</v>
      </c>
    </row>
    <row r="81" spans="1:41" s="10" customFormat="1" ht="33.75" customHeight="1" x14ac:dyDescent="0.25">
      <c r="A81" s="26"/>
      <c r="B81" s="1656" t="str">
        <f t="shared" si="27"/>
        <v>1 : Quel type de données avait une tendance plus cohérente avec FPET et les Enquêtes ?</v>
      </c>
      <c r="C81" s="1656"/>
      <c r="D81" s="1656"/>
      <c r="E81" s="1656"/>
      <c r="F81" s="1656"/>
      <c r="G81" s="1656"/>
      <c r="H81" s="1650"/>
      <c r="I81" s="1650"/>
      <c r="J81" s="1650"/>
      <c r="K81" s="1650"/>
      <c r="L81" s="1654"/>
      <c r="M81" s="1654"/>
      <c r="N81" s="1654"/>
      <c r="O81" s="1654"/>
      <c r="P81" s="1654"/>
      <c r="Q81" s="1654"/>
      <c r="R81" s="1654"/>
      <c r="S81" s="1654"/>
      <c r="T81" s="1654"/>
      <c r="U81" s="1654"/>
      <c r="AA81" s="10" t="s">
        <v>88</v>
      </c>
      <c r="AM81" s="475" t="s">
        <v>560</v>
      </c>
      <c r="AN81" s="478"/>
      <c r="AO81" s="482" t="s">
        <v>861</v>
      </c>
    </row>
    <row r="82" spans="1:41" s="10" customFormat="1" ht="32.25" customHeight="1" x14ac:dyDescent="0.25">
      <c r="A82" s="26"/>
      <c r="B82" s="1656" t="str">
        <f t="shared" si="27"/>
        <v xml:space="preserve">2 : Quel type de données a un taux de croissance annuel plus cohérent avec FPET et les Enquêtes ? </v>
      </c>
      <c r="C82" s="1656"/>
      <c r="D82" s="1656"/>
      <c r="E82" s="1656"/>
      <c r="F82" s="1656"/>
      <c r="G82" s="1656"/>
      <c r="H82" s="1651"/>
      <c r="I82" s="1651"/>
      <c r="J82" s="1651"/>
      <c r="K82" s="1651"/>
      <c r="L82" s="1654"/>
      <c r="M82" s="1654"/>
      <c r="N82" s="1654"/>
      <c r="O82" s="1654"/>
      <c r="P82" s="1654"/>
      <c r="Q82" s="1654"/>
      <c r="R82" s="1654"/>
      <c r="S82" s="1654"/>
      <c r="T82" s="1654"/>
      <c r="U82" s="1654"/>
      <c r="AA82" s="10" t="s">
        <v>89</v>
      </c>
      <c r="AM82" s="475" t="s">
        <v>559</v>
      </c>
      <c r="AN82" s="478"/>
      <c r="AO82" s="482" t="s">
        <v>862</v>
      </c>
    </row>
    <row r="83" spans="1:41" s="10" customFormat="1" ht="32.25" customHeight="1" x14ac:dyDescent="0.25">
      <c r="A83" s="26"/>
      <c r="B83" s="1656" t="str">
        <f>IF(Language="English", AM83, AO83)</f>
        <v xml:space="preserve">3 : Quel type de données a un mélange de méthodes modernes plus cohérent avec les Enquêtes ? </v>
      </c>
      <c r="C83" s="1656"/>
      <c r="D83" s="1656"/>
      <c r="E83" s="1656"/>
      <c r="F83" s="1656"/>
      <c r="G83" s="1656"/>
      <c r="H83" s="1651"/>
      <c r="I83" s="1651"/>
      <c r="J83" s="1651"/>
      <c r="K83" s="1651"/>
      <c r="L83" s="859"/>
      <c r="M83" s="859"/>
      <c r="N83" s="859"/>
      <c r="O83" s="859"/>
      <c r="P83" s="859"/>
      <c r="Q83" s="859"/>
      <c r="R83" s="859"/>
      <c r="S83" s="859"/>
      <c r="T83" s="859"/>
      <c r="U83" s="859"/>
      <c r="AM83" s="475" t="s">
        <v>1279</v>
      </c>
      <c r="AN83" s="478"/>
      <c r="AO83" s="482" t="s">
        <v>1282</v>
      </c>
    </row>
    <row r="84" spans="1:41" s="10" customFormat="1" ht="36.75" customHeight="1" x14ac:dyDescent="0.25">
      <c r="A84" s="26"/>
      <c r="B84" s="1656" t="str">
        <f t="shared" si="27"/>
        <v>4 : Quel type de données a le taux de complétude le plus élevé et le plus cohérent ?</v>
      </c>
      <c r="C84" s="1656"/>
      <c r="D84" s="1656"/>
      <c r="E84" s="1656"/>
      <c r="F84" s="1656"/>
      <c r="G84" s="1656"/>
      <c r="H84" s="1651"/>
      <c r="I84" s="1651"/>
      <c r="J84" s="1651"/>
      <c r="K84" s="1651"/>
      <c r="L84" s="1654"/>
      <c r="M84" s="1654"/>
      <c r="N84" s="1654"/>
      <c r="O84" s="1654"/>
      <c r="P84" s="1654"/>
      <c r="Q84" s="1654"/>
      <c r="R84" s="1654"/>
      <c r="S84" s="1654"/>
      <c r="T84" s="1654"/>
      <c r="U84" s="1654"/>
      <c r="AM84" s="475" t="s">
        <v>1280</v>
      </c>
      <c r="AN84" s="478"/>
      <c r="AO84" s="482" t="s">
        <v>1283</v>
      </c>
    </row>
    <row r="85" spans="1:41" s="10" customFormat="1" ht="36" customHeight="1" x14ac:dyDescent="0.25">
      <c r="A85" s="26"/>
      <c r="B85" s="1652" t="str">
        <f t="shared" si="27"/>
        <v>5 : Sur la base de vos réponses ci-dessus, quelles données sont adaptées pour être utilisées dans FPET ?</v>
      </c>
      <c r="C85" s="1652"/>
      <c r="D85" s="1652"/>
      <c r="E85" s="1652"/>
      <c r="F85" s="1652"/>
      <c r="G85" s="1652"/>
      <c r="H85" s="1651"/>
      <c r="I85" s="1651"/>
      <c r="J85" s="1651"/>
      <c r="K85" s="1651"/>
      <c r="L85" s="1654"/>
      <c r="M85" s="1654"/>
      <c r="N85" s="1654"/>
      <c r="O85" s="1654"/>
      <c r="P85" s="1654"/>
      <c r="Q85" s="1654"/>
      <c r="R85" s="1654"/>
      <c r="S85" s="1654"/>
      <c r="T85" s="1654"/>
      <c r="U85" s="1654"/>
      <c r="AM85" s="475" t="s">
        <v>1281</v>
      </c>
      <c r="AN85" s="478"/>
      <c r="AO85" s="482" t="s">
        <v>1284</v>
      </c>
    </row>
    <row r="86" spans="1:41" s="10" customFormat="1" ht="24.75" customHeight="1" x14ac:dyDescent="0.25">
      <c r="A86" s="26"/>
      <c r="B86" s="1667" t="str">
        <f>IF(H85="None",  "If you answered none, please explain why:", "")</f>
        <v/>
      </c>
      <c r="C86" s="1667"/>
      <c r="D86" s="1667"/>
      <c r="E86" s="1667"/>
      <c r="F86" s="1667"/>
      <c r="G86" s="1667"/>
      <c r="H86"/>
      <c r="I86"/>
      <c r="J86"/>
      <c r="K86"/>
      <c r="L86"/>
      <c r="M86"/>
      <c r="N86"/>
      <c r="O86"/>
      <c r="P86"/>
      <c r="Q86"/>
      <c r="R86"/>
      <c r="S86"/>
      <c r="T86"/>
      <c r="U86"/>
      <c r="AM86" s="475"/>
      <c r="AN86" s="478"/>
      <c r="AO86" s="482"/>
    </row>
    <row r="87" spans="1:41" s="10" customFormat="1" ht="24.75" customHeight="1" thickBot="1" x14ac:dyDescent="0.45">
      <c r="A87" s="26"/>
      <c r="B87" s="243" t="str">
        <f>B108</f>
        <v>Étape 3 de 3. Examinez et exportez les données pour FPET</v>
      </c>
      <c r="C87" s="243"/>
      <c r="D87" s="243"/>
      <c r="E87" s="243"/>
      <c r="F87" s="243"/>
      <c r="G87" s="243"/>
      <c r="H87" s="243"/>
      <c r="I87" s="243"/>
      <c r="J87" s="243"/>
      <c r="K87" s="243"/>
      <c r="L87" s="243"/>
      <c r="M87" s="243"/>
      <c r="N87" s="243"/>
      <c r="O87" s="243"/>
      <c r="P87" s="243"/>
      <c r="Q87" s="243"/>
      <c r="R87" s="243"/>
      <c r="S87" s="243"/>
      <c r="T87" s="243"/>
      <c r="U87" s="243"/>
      <c r="AM87" s="475"/>
      <c r="AN87" s="478"/>
      <c r="AO87" s="482"/>
    </row>
    <row r="88" spans="1:41" s="10" customFormat="1" ht="31.5" customHeight="1" x14ac:dyDescent="0.25">
      <c r="A88" s="26"/>
      <c r="B88" s="1668" t="str">
        <f>B109</f>
        <v xml:space="preserve">Sur la base de votre sélection ci-dessus, le tableau ci-dessous se remplira avec l'EUM à partir du type de données fourni. Ces données peuvent être entrées dans votre fichier CSV source ou dans l'entrée de données FPET en ligne, qui peut alors être exécuté dans FPET à l'adresse  http://fpet.track20.org/ . </v>
      </c>
      <c r="C88" s="1668"/>
      <c r="D88" s="1668"/>
      <c r="E88" s="1668"/>
      <c r="F88" s="1668"/>
      <c r="G88" s="1668"/>
      <c r="H88" s="1668"/>
      <c r="I88" s="1668"/>
      <c r="J88" s="1668"/>
      <c r="K88" s="1668"/>
      <c r="L88" s="1668"/>
      <c r="M88" s="1668"/>
      <c r="N88" s="1668"/>
      <c r="O88" s="1668"/>
      <c r="P88" s="1668"/>
      <c r="Q88" s="1668"/>
      <c r="R88" s="1668"/>
      <c r="S88" s="1668"/>
      <c r="T88" s="1668"/>
      <c r="U88" s="1668"/>
      <c r="AM88" s="475"/>
      <c r="AN88" s="478"/>
      <c r="AO88" s="482"/>
    </row>
    <row r="89" spans="1:41" s="10" customFormat="1" ht="9" customHeight="1" x14ac:dyDescent="0.25">
      <c r="A89" s="26"/>
      <c r="B89"/>
      <c r="C89"/>
      <c r="D89"/>
      <c r="E89"/>
      <c r="F89"/>
      <c r="G89"/>
      <c r="H89"/>
      <c r="I89"/>
      <c r="J89"/>
      <c r="K89"/>
      <c r="L89"/>
      <c r="M89"/>
      <c r="N89"/>
      <c r="O89"/>
      <c r="P89"/>
      <c r="Q89"/>
      <c r="R89"/>
      <c r="S89"/>
      <c r="T89"/>
      <c r="U89"/>
      <c r="AM89" s="475"/>
      <c r="AN89" s="478"/>
      <c r="AO89" s="482"/>
    </row>
    <row r="90" spans="1:41" s="10" customFormat="1" ht="45.75" customHeight="1" x14ac:dyDescent="0.25">
      <c r="A90" s="26"/>
      <c r="C90" s="1663" t="s">
        <v>1112</v>
      </c>
      <c r="D90" s="1663"/>
      <c r="E90" s="1662" t="s">
        <v>1111</v>
      </c>
      <c r="F90" s="1662"/>
      <c r="G90" s="1663" t="s">
        <v>1113</v>
      </c>
      <c r="H90" s="1663"/>
      <c r="I90" s="1663"/>
      <c r="J90" s="1663"/>
      <c r="K90"/>
      <c r="L90"/>
      <c r="M90"/>
      <c r="N90"/>
      <c r="O90"/>
      <c r="P90"/>
      <c r="Q90"/>
      <c r="R90"/>
      <c r="S90"/>
      <c r="T90"/>
      <c r="U90"/>
      <c r="AM90" s="475"/>
      <c r="AN90" s="478"/>
      <c r="AO90" s="482"/>
    </row>
    <row r="91" spans="1:41" s="10" customFormat="1" ht="15" customHeight="1" x14ac:dyDescent="0.25">
      <c r="A91" s="26"/>
      <c r="B91" s="792">
        <v>1</v>
      </c>
      <c r="C91" s="1664" t="str">
        <f>IFERROR(IF(G112="", "", G112),"")</f>
        <v/>
      </c>
      <c r="D91" s="1664"/>
      <c r="E91" s="1670" t="str">
        <f t="shared" ref="E91" si="28">IFERROR(IF($C91="", "", HLOOKUP($H$85, $M$9:$V$27, MATCH($C91, $M$9:$M$27, 0), FALSE)), "")</f>
        <v/>
      </c>
      <c r="F91" s="1670"/>
      <c r="G91" s="1669" t="str">
        <f>IF(C91="", "", $H$85)</f>
        <v/>
      </c>
      <c r="H91" s="1664"/>
      <c r="I91" s="1664"/>
      <c r="J91" s="1664"/>
      <c r="K91"/>
      <c r="L91"/>
      <c r="M91"/>
      <c r="N91"/>
      <c r="O91"/>
      <c r="P91"/>
      <c r="Q91"/>
      <c r="R91"/>
      <c r="S91"/>
      <c r="T91"/>
      <c r="U91"/>
      <c r="AM91" s="475"/>
      <c r="AN91" s="478"/>
      <c r="AO91" s="482"/>
    </row>
    <row r="92" spans="1:41" s="10" customFormat="1" ht="15" customHeight="1" x14ac:dyDescent="0.25">
      <c r="A92" s="26"/>
      <c r="B92" s="792">
        <v>2</v>
      </c>
      <c r="C92" s="1664" t="str">
        <f t="shared" ref="C92:C106" si="29">IFERROR(IF(G113="", "", G113),"")</f>
        <v/>
      </c>
      <c r="D92" s="1664"/>
      <c r="E92" s="1670" t="str">
        <f t="shared" ref="E92:E106" si="30">IFERROR(IF($C92="", "", HLOOKUP($H$85, $M$9:$V$27, MATCH($C92, $M$9:$M$27, 0), FALSE)), "")</f>
        <v/>
      </c>
      <c r="F92" s="1670"/>
      <c r="G92" s="1669" t="str">
        <f t="shared" ref="G92:G105" si="31">IF(C92="", "", $H$85)</f>
        <v/>
      </c>
      <c r="H92" s="1664"/>
      <c r="I92" s="1664"/>
      <c r="J92" s="1664"/>
      <c r="K92"/>
      <c r="L92"/>
      <c r="M92"/>
      <c r="N92"/>
      <c r="O92"/>
      <c r="P92"/>
      <c r="Q92"/>
      <c r="R92"/>
      <c r="S92"/>
      <c r="T92"/>
      <c r="U92"/>
      <c r="AM92" s="475"/>
      <c r="AN92" s="478"/>
      <c r="AO92" s="482"/>
    </row>
    <row r="93" spans="1:41" s="10" customFormat="1" ht="15" customHeight="1" x14ac:dyDescent="0.25">
      <c r="A93" s="26"/>
      <c r="B93" s="792">
        <v>3</v>
      </c>
      <c r="C93" s="1664" t="str">
        <f t="shared" si="29"/>
        <v/>
      </c>
      <c r="D93" s="1664"/>
      <c r="E93" s="1670" t="str">
        <f t="shared" si="30"/>
        <v/>
      </c>
      <c r="F93" s="1670"/>
      <c r="G93" s="1669" t="str">
        <f t="shared" si="31"/>
        <v/>
      </c>
      <c r="H93" s="1664"/>
      <c r="I93" s="1664"/>
      <c r="J93" s="1664"/>
      <c r="K93"/>
      <c r="L93"/>
      <c r="M93"/>
      <c r="N93"/>
      <c r="O93"/>
      <c r="P93"/>
      <c r="Q93"/>
      <c r="R93"/>
      <c r="S93"/>
      <c r="T93"/>
      <c r="U93"/>
      <c r="AM93" s="475"/>
      <c r="AN93" s="478"/>
      <c r="AO93" s="482"/>
    </row>
    <row r="94" spans="1:41" s="10" customFormat="1" ht="15" customHeight="1" x14ac:dyDescent="0.25">
      <c r="A94" s="26"/>
      <c r="B94" s="792">
        <v>4</v>
      </c>
      <c r="C94" s="1664" t="str">
        <f t="shared" si="29"/>
        <v/>
      </c>
      <c r="D94" s="1664"/>
      <c r="E94" s="1670" t="str">
        <f t="shared" si="30"/>
        <v/>
      </c>
      <c r="F94" s="1670"/>
      <c r="G94" s="1669" t="str">
        <f t="shared" si="31"/>
        <v/>
      </c>
      <c r="H94" s="1664"/>
      <c r="I94" s="1664"/>
      <c r="J94" s="1664"/>
      <c r="K94"/>
      <c r="L94"/>
      <c r="M94"/>
      <c r="N94"/>
      <c r="O94"/>
      <c r="P94"/>
      <c r="Q94"/>
      <c r="R94"/>
      <c r="S94"/>
      <c r="T94"/>
      <c r="U94"/>
      <c r="AM94" s="475"/>
      <c r="AN94" s="478"/>
      <c r="AO94" s="482"/>
    </row>
    <row r="95" spans="1:41" s="10" customFormat="1" ht="15" customHeight="1" x14ac:dyDescent="0.25">
      <c r="A95" s="26"/>
      <c r="B95" s="792">
        <v>5</v>
      </c>
      <c r="C95" s="1664" t="str">
        <f t="shared" si="29"/>
        <v/>
      </c>
      <c r="D95" s="1664"/>
      <c r="E95" s="1670" t="str">
        <f t="shared" si="30"/>
        <v/>
      </c>
      <c r="F95" s="1670"/>
      <c r="G95" s="1669" t="str">
        <f t="shared" si="31"/>
        <v/>
      </c>
      <c r="H95" s="1664"/>
      <c r="I95" s="1664"/>
      <c r="J95" s="1664"/>
      <c r="K95"/>
      <c r="L95"/>
      <c r="M95"/>
      <c r="N95"/>
      <c r="O95"/>
      <c r="P95"/>
      <c r="Q95"/>
      <c r="R95"/>
      <c r="S95"/>
      <c r="T95"/>
      <c r="U95"/>
      <c r="AM95" s="475"/>
      <c r="AN95" s="478"/>
      <c r="AO95" s="482"/>
    </row>
    <row r="96" spans="1:41" s="10" customFormat="1" ht="15" customHeight="1" x14ac:dyDescent="0.25">
      <c r="A96" s="26"/>
      <c r="B96" s="792">
        <v>6</v>
      </c>
      <c r="C96" s="1664" t="str">
        <f t="shared" si="29"/>
        <v/>
      </c>
      <c r="D96" s="1664"/>
      <c r="E96" s="1670" t="str">
        <f t="shared" si="30"/>
        <v/>
      </c>
      <c r="F96" s="1670"/>
      <c r="G96" s="1669" t="str">
        <f t="shared" si="31"/>
        <v/>
      </c>
      <c r="H96" s="1664"/>
      <c r="I96" s="1664"/>
      <c r="J96" s="1664"/>
      <c r="K96"/>
      <c r="L96"/>
      <c r="M96"/>
      <c r="N96"/>
      <c r="O96"/>
      <c r="P96"/>
      <c r="Q96"/>
      <c r="R96"/>
      <c r="S96"/>
      <c r="T96"/>
      <c r="U96"/>
      <c r="AM96" s="475"/>
      <c r="AN96" s="478"/>
      <c r="AO96" s="482"/>
    </row>
    <row r="97" spans="1:41" s="10" customFormat="1" ht="15" customHeight="1" x14ac:dyDescent="0.25">
      <c r="A97" s="26"/>
      <c r="B97" s="792">
        <v>7</v>
      </c>
      <c r="C97" s="1664" t="str">
        <f t="shared" si="29"/>
        <v/>
      </c>
      <c r="D97" s="1664"/>
      <c r="E97" s="1670" t="str">
        <f t="shared" si="30"/>
        <v/>
      </c>
      <c r="F97" s="1670"/>
      <c r="G97" s="1669" t="str">
        <f t="shared" si="31"/>
        <v/>
      </c>
      <c r="H97" s="1664"/>
      <c r="I97" s="1664"/>
      <c r="J97" s="1664"/>
      <c r="K97"/>
      <c r="L97"/>
      <c r="M97"/>
      <c r="N97"/>
      <c r="O97"/>
      <c r="P97"/>
      <c r="Q97"/>
      <c r="R97"/>
      <c r="S97"/>
      <c r="T97"/>
      <c r="U97"/>
      <c r="AM97" s="475"/>
      <c r="AN97" s="478"/>
      <c r="AO97" s="482"/>
    </row>
    <row r="98" spans="1:41" s="10" customFormat="1" ht="15" customHeight="1" x14ac:dyDescent="0.25">
      <c r="A98" s="26"/>
      <c r="B98" s="792">
        <v>8</v>
      </c>
      <c r="C98" s="1664" t="str">
        <f t="shared" si="29"/>
        <v/>
      </c>
      <c r="D98" s="1664"/>
      <c r="E98" s="1670" t="str">
        <f t="shared" si="30"/>
        <v/>
      </c>
      <c r="F98" s="1670"/>
      <c r="G98" s="1669" t="str">
        <f t="shared" si="31"/>
        <v/>
      </c>
      <c r="H98" s="1664"/>
      <c r="I98" s="1664"/>
      <c r="J98" s="1664"/>
      <c r="K98"/>
      <c r="L98"/>
      <c r="M98"/>
      <c r="N98"/>
      <c r="O98"/>
      <c r="P98"/>
      <c r="Q98"/>
      <c r="R98"/>
      <c r="S98"/>
      <c r="T98"/>
      <c r="U98"/>
      <c r="AM98" s="475"/>
      <c r="AN98" s="478"/>
      <c r="AO98" s="482"/>
    </row>
    <row r="99" spans="1:41" s="10" customFormat="1" ht="15" customHeight="1" x14ac:dyDescent="0.25">
      <c r="A99" s="26"/>
      <c r="B99" s="792">
        <v>9</v>
      </c>
      <c r="C99" s="1664" t="str">
        <f t="shared" si="29"/>
        <v/>
      </c>
      <c r="D99" s="1664"/>
      <c r="E99" s="1670" t="str">
        <f t="shared" si="30"/>
        <v/>
      </c>
      <c r="F99" s="1670"/>
      <c r="G99" s="1669" t="str">
        <f t="shared" si="31"/>
        <v/>
      </c>
      <c r="H99" s="1664"/>
      <c r="I99" s="1664"/>
      <c r="J99" s="1664"/>
      <c r="K99"/>
      <c r="L99"/>
      <c r="M99"/>
      <c r="N99"/>
      <c r="O99"/>
      <c r="P99"/>
      <c r="Q99"/>
      <c r="R99"/>
      <c r="S99"/>
      <c r="T99"/>
      <c r="U99"/>
      <c r="AM99" s="475"/>
      <c r="AN99" s="478"/>
      <c r="AO99" s="482"/>
    </row>
    <row r="100" spans="1:41" s="10" customFormat="1" ht="15" customHeight="1" x14ac:dyDescent="0.25">
      <c r="A100" s="26"/>
      <c r="B100" s="792">
        <v>10</v>
      </c>
      <c r="C100" s="1664" t="str">
        <f t="shared" si="29"/>
        <v/>
      </c>
      <c r="D100" s="1664"/>
      <c r="E100" s="1670" t="str">
        <f t="shared" si="30"/>
        <v/>
      </c>
      <c r="F100" s="1670"/>
      <c r="G100" s="1669" t="str">
        <f t="shared" si="31"/>
        <v/>
      </c>
      <c r="H100" s="1664"/>
      <c r="I100" s="1664"/>
      <c r="J100" s="1664"/>
      <c r="K100"/>
      <c r="L100"/>
      <c r="M100"/>
      <c r="N100"/>
      <c r="O100"/>
      <c r="P100"/>
      <c r="Q100"/>
      <c r="R100"/>
      <c r="S100"/>
      <c r="T100"/>
      <c r="U100"/>
      <c r="AM100" s="475"/>
      <c r="AN100" s="478"/>
      <c r="AO100" s="482"/>
    </row>
    <row r="101" spans="1:41" s="10" customFormat="1" ht="15" customHeight="1" x14ac:dyDescent="0.25">
      <c r="A101" s="26"/>
      <c r="B101" s="792">
        <v>11</v>
      </c>
      <c r="C101" s="1664" t="str">
        <f t="shared" si="29"/>
        <v/>
      </c>
      <c r="D101" s="1664"/>
      <c r="E101" s="1670" t="str">
        <f t="shared" si="30"/>
        <v/>
      </c>
      <c r="F101" s="1670"/>
      <c r="G101" s="1669" t="str">
        <f t="shared" si="31"/>
        <v/>
      </c>
      <c r="H101" s="1664"/>
      <c r="I101" s="1664"/>
      <c r="J101" s="1664"/>
      <c r="K101"/>
      <c r="L101"/>
      <c r="M101"/>
      <c r="N101"/>
      <c r="O101"/>
      <c r="P101"/>
      <c r="Q101"/>
      <c r="R101"/>
      <c r="S101"/>
      <c r="T101"/>
      <c r="U101"/>
      <c r="AM101" s="475"/>
      <c r="AN101" s="478"/>
      <c r="AO101" s="482"/>
    </row>
    <row r="102" spans="1:41" s="10" customFormat="1" ht="15" customHeight="1" x14ac:dyDescent="0.25">
      <c r="A102" s="26"/>
      <c r="B102" s="792">
        <v>12</v>
      </c>
      <c r="C102" s="1664" t="str">
        <f t="shared" si="29"/>
        <v/>
      </c>
      <c r="D102" s="1664"/>
      <c r="E102" s="1670" t="str">
        <f t="shared" si="30"/>
        <v/>
      </c>
      <c r="F102" s="1670"/>
      <c r="G102" s="1669" t="str">
        <f t="shared" si="31"/>
        <v/>
      </c>
      <c r="H102" s="1664"/>
      <c r="I102" s="1664"/>
      <c r="J102" s="1664"/>
      <c r="K102"/>
      <c r="L102"/>
      <c r="M102"/>
      <c r="N102"/>
      <c r="O102"/>
      <c r="P102"/>
      <c r="Q102"/>
      <c r="R102"/>
      <c r="S102"/>
      <c r="T102"/>
      <c r="U102"/>
      <c r="AM102" s="475"/>
      <c r="AN102" s="478"/>
      <c r="AO102" s="482"/>
    </row>
    <row r="103" spans="1:41" s="10" customFormat="1" ht="15" customHeight="1" x14ac:dyDescent="0.25">
      <c r="A103" s="26"/>
      <c r="B103" s="792">
        <v>13</v>
      </c>
      <c r="C103" s="1664" t="str">
        <f t="shared" si="29"/>
        <v/>
      </c>
      <c r="D103" s="1664"/>
      <c r="E103" s="1670" t="str">
        <f t="shared" si="30"/>
        <v/>
      </c>
      <c r="F103" s="1670"/>
      <c r="G103" s="1669" t="str">
        <f t="shared" si="31"/>
        <v/>
      </c>
      <c r="H103" s="1664"/>
      <c r="I103" s="1664"/>
      <c r="J103" s="1664"/>
      <c r="K103"/>
      <c r="L103"/>
      <c r="M103"/>
      <c r="N103"/>
      <c r="O103"/>
      <c r="P103"/>
      <c r="Q103"/>
      <c r="R103"/>
      <c r="S103"/>
      <c r="T103"/>
      <c r="U103"/>
      <c r="AM103" s="475"/>
      <c r="AN103" s="478"/>
      <c r="AO103" s="482"/>
    </row>
    <row r="104" spans="1:41" s="10" customFormat="1" ht="15" customHeight="1" x14ac:dyDescent="0.25">
      <c r="A104" s="26"/>
      <c r="B104" s="792">
        <v>14</v>
      </c>
      <c r="C104" s="1664" t="str">
        <f t="shared" si="29"/>
        <v/>
      </c>
      <c r="D104" s="1664"/>
      <c r="E104" s="1670" t="str">
        <f t="shared" si="30"/>
        <v/>
      </c>
      <c r="F104" s="1670"/>
      <c r="G104" s="1669" t="str">
        <f t="shared" si="31"/>
        <v/>
      </c>
      <c r="H104" s="1664"/>
      <c r="I104" s="1664"/>
      <c r="J104" s="1664"/>
      <c r="K104"/>
      <c r="L104"/>
      <c r="M104"/>
      <c r="N104"/>
      <c r="O104"/>
      <c r="P104"/>
      <c r="Q104"/>
      <c r="R104"/>
      <c r="S104"/>
      <c r="T104"/>
      <c r="U104"/>
      <c r="AM104" s="475"/>
      <c r="AN104" s="478"/>
      <c r="AO104" s="482"/>
    </row>
    <row r="105" spans="1:41" s="10" customFormat="1" ht="15" customHeight="1" x14ac:dyDescent="0.25">
      <c r="A105" s="26"/>
      <c r="B105" s="792">
        <v>15</v>
      </c>
      <c r="C105" s="1664" t="str">
        <f t="shared" si="29"/>
        <v/>
      </c>
      <c r="D105" s="1664"/>
      <c r="E105" s="1670" t="str">
        <f t="shared" si="30"/>
        <v/>
      </c>
      <c r="F105" s="1670"/>
      <c r="G105" s="1669" t="str">
        <f t="shared" si="31"/>
        <v/>
      </c>
      <c r="H105" s="1664"/>
      <c r="I105" s="1664"/>
      <c r="J105" s="1664"/>
      <c r="K105"/>
      <c r="L105"/>
      <c r="M105"/>
      <c r="N105"/>
      <c r="O105"/>
      <c r="P105"/>
      <c r="Q105"/>
      <c r="R105"/>
      <c r="S105"/>
      <c r="T105"/>
      <c r="U105"/>
      <c r="AM105" s="475"/>
      <c r="AN105" s="478"/>
      <c r="AO105" s="482"/>
    </row>
    <row r="106" spans="1:41" s="10" customFormat="1" ht="15" customHeight="1" x14ac:dyDescent="0.25">
      <c r="A106" s="26"/>
      <c r="B106" s="792">
        <v>16</v>
      </c>
      <c r="C106" s="1664" t="str">
        <f t="shared" si="29"/>
        <v/>
      </c>
      <c r="D106" s="1664"/>
      <c r="E106" s="1670" t="str">
        <f t="shared" si="30"/>
        <v/>
      </c>
      <c r="F106" s="1670"/>
      <c r="G106" s="1669"/>
      <c r="H106" s="1664"/>
      <c r="I106" s="1664"/>
      <c r="J106" s="1664"/>
      <c r="K106"/>
      <c r="L106"/>
      <c r="M106"/>
      <c r="N106"/>
      <c r="O106"/>
      <c r="P106"/>
      <c r="Q106"/>
      <c r="R106"/>
      <c r="S106"/>
      <c r="T106"/>
      <c r="U106"/>
      <c r="AM106" s="475"/>
      <c r="AN106" s="478"/>
      <c r="AO106" s="482"/>
    </row>
    <row r="107" spans="1:41" s="10" customFormat="1" ht="15" customHeight="1" x14ac:dyDescent="0.25">
      <c r="A107" s="26"/>
      <c r="AM107" s="475" t="s">
        <v>863</v>
      </c>
      <c r="AN107" s="478"/>
      <c r="AO107" s="482" t="s">
        <v>860</v>
      </c>
    </row>
    <row r="108" spans="1:41" s="10" customFormat="1" ht="30.75" hidden="1" customHeight="1" thickBot="1" x14ac:dyDescent="0.45">
      <c r="A108" s="26"/>
      <c r="B108" s="243" t="str">
        <f>IF(Language="English", AM108, AO108)</f>
        <v>Étape 3 de 3. Examinez et exportez les données pour FPET</v>
      </c>
      <c r="C108" s="232"/>
      <c r="D108" s="232"/>
      <c r="E108" s="232"/>
      <c r="F108" s="232"/>
      <c r="G108" s="232"/>
      <c r="H108" s="232"/>
      <c r="I108" s="232"/>
      <c r="J108" s="232"/>
      <c r="K108" s="232"/>
      <c r="L108" s="232"/>
      <c r="M108" s="232"/>
      <c r="N108" s="232"/>
      <c r="O108" s="232"/>
      <c r="P108" s="232"/>
      <c r="Q108" s="232"/>
      <c r="R108" s="232"/>
      <c r="S108" s="232"/>
      <c r="T108" s="232"/>
      <c r="U108" s="232"/>
      <c r="V108" s="232"/>
      <c r="AM108" s="475" t="s">
        <v>1123</v>
      </c>
      <c r="AN108" s="478"/>
      <c r="AO108" s="482" t="s">
        <v>1124</v>
      </c>
    </row>
    <row r="109" spans="1:41" s="10" customFormat="1" ht="18.75" hidden="1" customHeight="1" x14ac:dyDescent="0.25">
      <c r="A109" s="26"/>
      <c r="B109" s="484" t="str">
        <f>IF(Language="English", AM109, AO109)</f>
        <v xml:space="preserve">Sur la base de votre sélection ci-dessus, le tableau ci-dessous se remplira avec l'EUM à partir du type de données fourni. Ces données peuvent être entrées dans votre fichier CSV source ou dans l'entrée de données FPET en ligne, qui peut alors être exécuté dans FPET à l'adresse  http://fpet.track20.org/ . </v>
      </c>
      <c r="C109" s="245"/>
      <c r="D109" s="245"/>
      <c r="E109" s="245"/>
      <c r="F109" s="245"/>
      <c r="G109" s="245"/>
      <c r="H109" s="245"/>
      <c r="I109" s="245"/>
      <c r="J109" s="245"/>
      <c r="K109" s="245"/>
      <c r="L109" s="245"/>
      <c r="M109" s="245"/>
      <c r="N109" s="245"/>
      <c r="O109" s="245"/>
      <c r="P109" s="245"/>
      <c r="Q109" s="245"/>
      <c r="R109" s="245"/>
      <c r="S109" s="245"/>
      <c r="T109" s="245"/>
      <c r="U109" s="245"/>
      <c r="V109" s="245"/>
      <c r="AM109" s="475" t="s">
        <v>868</v>
      </c>
      <c r="AN109" s="478"/>
      <c r="AO109" s="482" t="s">
        <v>869</v>
      </c>
    </row>
    <row r="110" spans="1:41" s="10" customFormat="1" ht="20.25" hidden="1" customHeight="1" x14ac:dyDescent="0.25">
      <c r="A110" s="26"/>
      <c r="B110" s="1630">
        <f>H85</f>
        <v>0</v>
      </c>
      <c r="C110" s="1631"/>
      <c r="D110" s="1631"/>
      <c r="E110" s="1631"/>
      <c r="F110" s="1631"/>
      <c r="G110" s="1631"/>
      <c r="H110" s="1631"/>
      <c r="I110" s="1631"/>
      <c r="J110" s="1631"/>
      <c r="K110" s="1631"/>
      <c r="L110" s="1631"/>
      <c r="M110" s="1631"/>
      <c r="N110" s="1631"/>
      <c r="O110" s="1632"/>
      <c r="P110" s="498"/>
      <c r="Q110" s="498"/>
      <c r="R110" s="498"/>
      <c r="S110" s="498"/>
      <c r="T110" s="498"/>
      <c r="U110" s="498"/>
      <c r="AM110" s="475"/>
      <c r="AN110" s="478"/>
      <c r="AO110" s="482"/>
    </row>
    <row r="111" spans="1:41" s="25" customFormat="1" ht="75" hidden="1" x14ac:dyDescent="0.25">
      <c r="B111" s="213" t="s">
        <v>330</v>
      </c>
      <c r="C111" s="213" t="s">
        <v>331</v>
      </c>
      <c r="D111" s="213" t="s">
        <v>10</v>
      </c>
      <c r="E111" s="213" t="s">
        <v>332</v>
      </c>
      <c r="F111" s="213" t="s">
        <v>333</v>
      </c>
      <c r="G111" s="213" t="s">
        <v>334</v>
      </c>
      <c r="H111" s="213" t="s">
        <v>335</v>
      </c>
      <c r="I111" s="213" t="s">
        <v>336</v>
      </c>
      <c r="J111" s="213" t="s">
        <v>337</v>
      </c>
      <c r="K111" s="213" t="s">
        <v>338</v>
      </c>
      <c r="L111" s="213" t="s">
        <v>339</v>
      </c>
      <c r="M111" s="213" t="s">
        <v>340</v>
      </c>
      <c r="N111" s="213" t="s">
        <v>341</v>
      </c>
      <c r="O111" s="213" t="s">
        <v>342</v>
      </c>
      <c r="P111" s="213" t="s">
        <v>343</v>
      </c>
      <c r="Q111" s="213" t="s">
        <v>344</v>
      </c>
      <c r="R111" s="213" t="s">
        <v>345</v>
      </c>
      <c r="S111" s="213" t="s">
        <v>346</v>
      </c>
      <c r="T111" s="214"/>
      <c r="U111" s="214"/>
      <c r="AM111" s="476"/>
      <c r="AN111" s="479"/>
      <c r="AO111" s="483"/>
    </row>
    <row r="112" spans="1:41" s="10" customFormat="1" hidden="1" x14ac:dyDescent="0.25">
      <c r="A112" s="26"/>
      <c r="B112" s="265" t="str">
        <f>IFERROR(IF(Subnational_YN="Yes", "", VLOOKUP($D112, 'Country Code'!$C$2:$E$205, 2, FALSE)), "")</f>
        <v/>
      </c>
      <c r="C112" s="291" t="str">
        <f>IFERROR(IF(Subnational_YN="Yes", "", VLOOKUP($D112, 'Country Code'!$C$2:$E$205, 3, FALSE)), "")</f>
        <v/>
      </c>
      <c r="D112" s="265" t="e">
        <f t="shared" ref="D112:D127" si="32">IF(G112="", "", Country_Selected)</f>
        <v>#N/A</v>
      </c>
      <c r="E112" s="265" t="str">
        <f>IF(Subnational_YN="Yes", '1. Country_Language Set Up'!$G$8, "")</f>
        <v/>
      </c>
      <c r="F112" s="266">
        <f t="shared" ref="F112:F127" si="33">IFERROR(IF(HLOOKUP($B$110, $B$56:$F$76, MATCH($G112, $B$56:$B$76, 0), FALSE)&lt;60%, 1, ""), 1)</f>
        <v>1</v>
      </c>
      <c r="G112" s="267" t="e">
        <f t="shared" ref="G112:G127" si="34">HLOOKUP($B$110, $AH$58:$AK$76, ROW(2:2), FALSE)</f>
        <v>#N/A</v>
      </c>
      <c r="H112" s="267" t="e">
        <f>G112</f>
        <v>#N/A</v>
      </c>
      <c r="I112" s="268" t="e">
        <f>IF(H112="", "", "15-49")</f>
        <v>#N/A</v>
      </c>
      <c r="J112" s="268" t="e">
        <f>IF(G112="", "", IF('3. ServiceStats Set Up'!$T$8="AW", "AL", "MW"))</f>
        <v>#N/A</v>
      </c>
      <c r="K112" s="268"/>
      <c r="L112" s="269" t="str">
        <f>IFERROR(IF(G112="", "", HLOOKUP($B$110, $M$9:$V$27, MATCH(G112, $M$9:$M$27, 0), FALSE)), "")</f>
        <v/>
      </c>
      <c r="M112" s="268"/>
      <c r="N112" s="268"/>
      <c r="O112" s="268"/>
      <c r="P112" s="268"/>
      <c r="Q112" s="268"/>
      <c r="R112" s="268" t="e">
        <f>IF(G112="", "", "Service statistics")</f>
        <v>#N/A</v>
      </c>
      <c r="S112" s="268" t="e">
        <f>IF(G112="", "", VLOOKUP($B$110, $AB$112:$AC$115, 2, FALSE))</f>
        <v>#N/A</v>
      </c>
      <c r="T112" s="268"/>
      <c r="U112" s="268"/>
      <c r="V112" s="215"/>
      <c r="W112" s="215"/>
      <c r="X112" s="215"/>
      <c r="Z112" s="10" t="e">
        <f>IF(G112="", "", 1)</f>
        <v>#N/A</v>
      </c>
      <c r="AB112" s="208" t="str">
        <f>S9</f>
        <v>EUM : Produits aux clients</v>
      </c>
      <c r="AC112" s="10" t="str">
        <f>IF('3. ServiceStats Set Up'!C18="", "Commodities to Clients", '3. ServiceStats Set Up'!C18&amp;" : Commodities to Clients")</f>
        <v>Commodities to Clients</v>
      </c>
      <c r="AM112" s="475"/>
      <c r="AN112" s="478"/>
      <c r="AO112" s="482"/>
    </row>
    <row r="113" spans="1:41" s="10" customFormat="1" hidden="1" x14ac:dyDescent="0.25">
      <c r="A113" s="26"/>
      <c r="B113" s="265" t="str">
        <f>IFERROR(IF(Subnational_YN="Yes", "", VLOOKUP($D113, 'Country Code'!$C$2:$E$205, 2, FALSE)), "")</f>
        <v/>
      </c>
      <c r="C113" s="291" t="str">
        <f>IFERROR(IF(Subnational_YN="Yes", "", VLOOKUP($D113, 'Country Code'!$C$2:$E$205, 3, FALSE)), "")</f>
        <v/>
      </c>
      <c r="D113" s="265" t="e">
        <f t="shared" si="32"/>
        <v>#N/A</v>
      </c>
      <c r="E113" s="265" t="str">
        <f>IF(Subnational_YN="Yes", '1. Country_Language Set Up'!$G$8, "")</f>
        <v/>
      </c>
      <c r="F113" s="266">
        <f t="shared" si="33"/>
        <v>1</v>
      </c>
      <c r="G113" s="267" t="e">
        <f t="shared" si="34"/>
        <v>#N/A</v>
      </c>
      <c r="H113" s="267" t="e">
        <f t="shared" ref="H113:H127" si="35">G113</f>
        <v>#N/A</v>
      </c>
      <c r="I113" s="268" t="e">
        <f t="shared" ref="I113:I127" si="36">IF(H113="", "", "15-49")</f>
        <v>#N/A</v>
      </c>
      <c r="J113" s="268" t="e">
        <f>IF(G113="", "", IF('3. ServiceStats Set Up'!$T$8="AW", "AL", "MW"))</f>
        <v>#N/A</v>
      </c>
      <c r="K113" s="268"/>
      <c r="L113" s="269" t="str">
        <f t="shared" ref="L113:L127" si="37">IFERROR(IF(G113="", "", HLOOKUP($B$110, $M$9:$V$27, MATCH(G113, $M$9:$M$27, 0), FALSE)*100), "")</f>
        <v/>
      </c>
      <c r="M113" s="268"/>
      <c r="N113" s="268"/>
      <c r="O113" s="268"/>
      <c r="P113" s="268"/>
      <c r="Q113" s="268"/>
      <c r="R113" s="268" t="e">
        <f t="shared" ref="R113:R127" si="38">IF(G113="", "", "Service statistics")</f>
        <v>#N/A</v>
      </c>
      <c r="S113" s="268" t="e">
        <f t="shared" ref="S113:S127" si="39">IF(G113="", "", VLOOKUP($B$110, $AB$112:$AC$115, 2, FALSE))</f>
        <v>#N/A</v>
      </c>
      <c r="T113" s="268"/>
      <c r="U113" s="268"/>
      <c r="V113" s="215"/>
      <c r="W113" s="215"/>
      <c r="X113" s="215"/>
      <c r="Z113" s="10" t="e">
        <f t="shared" ref="Z113:Z127" si="40">IF(G113="", "", 1)</f>
        <v>#N/A</v>
      </c>
      <c r="AB113" s="208" t="str">
        <f>T9</f>
        <v>EUM : Produits aux établissements</v>
      </c>
      <c r="AC113" s="10" t="str">
        <f>IF('3. ServiceStats Set Up'!K18="", "Commodities to Facilities", '3. ServiceStats Set Up'!K18&amp;" : Commodities to Facilities")</f>
        <v>Commodities to Facilities</v>
      </c>
      <c r="AM113" s="475"/>
      <c r="AN113" s="478"/>
      <c r="AO113" s="482"/>
    </row>
    <row r="114" spans="1:41" s="10" customFormat="1" hidden="1" x14ac:dyDescent="0.25">
      <c r="A114" s="26"/>
      <c r="B114" s="265" t="str">
        <f>IFERROR(IF(Subnational_YN="Yes", "", VLOOKUP($D114, 'Country Code'!$C$2:$E$205, 2, FALSE)), "")</f>
        <v/>
      </c>
      <c r="C114" s="291" t="str">
        <f>IFERROR(IF(Subnational_YN="Yes", "", VLOOKUP($D114, 'Country Code'!$C$2:$E$205, 3, FALSE)), "")</f>
        <v/>
      </c>
      <c r="D114" s="265" t="e">
        <f t="shared" si="32"/>
        <v>#N/A</v>
      </c>
      <c r="E114" s="265" t="str">
        <f>IF(Subnational_YN="Yes", '1. Country_Language Set Up'!$G$8, "")</f>
        <v/>
      </c>
      <c r="F114" s="266">
        <f t="shared" si="33"/>
        <v>1</v>
      </c>
      <c r="G114" s="267" t="e">
        <f t="shared" si="34"/>
        <v>#N/A</v>
      </c>
      <c r="H114" s="267" t="e">
        <f t="shared" si="35"/>
        <v>#N/A</v>
      </c>
      <c r="I114" s="268" t="e">
        <f t="shared" si="36"/>
        <v>#N/A</v>
      </c>
      <c r="J114" s="268" t="e">
        <f>IF(G114="", "", IF('3. ServiceStats Set Up'!$T$8="AW", "AL", "MW"))</f>
        <v>#N/A</v>
      </c>
      <c r="K114" s="268"/>
      <c r="L114" s="269" t="str">
        <f t="shared" si="37"/>
        <v/>
      </c>
      <c r="M114" s="268"/>
      <c r="N114" s="268"/>
      <c r="O114" s="268"/>
      <c r="P114" s="268"/>
      <c r="Q114" s="268"/>
      <c r="R114" s="268" t="e">
        <f t="shared" si="38"/>
        <v>#N/A</v>
      </c>
      <c r="S114" s="268" t="e">
        <f t="shared" si="39"/>
        <v>#N/A</v>
      </c>
      <c r="T114" s="268"/>
      <c r="U114" s="268"/>
      <c r="V114" s="215"/>
      <c r="W114" s="215"/>
      <c r="X114" s="215"/>
      <c r="Z114" s="10" t="e">
        <f t="shared" si="40"/>
        <v>#N/A</v>
      </c>
      <c r="AB114" s="208" t="str">
        <f>U9</f>
        <v>EUM : Visites</v>
      </c>
      <c r="AC114" s="10" t="str">
        <f>IF('3. ServiceStats Set Up'!C27="", "FP Visits", '3. ServiceStats Set Up'!C27&amp;" : FP Visits")</f>
        <v>FP Visits</v>
      </c>
      <c r="AM114" s="475"/>
      <c r="AN114" s="478"/>
      <c r="AO114" s="482"/>
    </row>
    <row r="115" spans="1:41" s="10" customFormat="1" hidden="1" x14ac:dyDescent="0.25">
      <c r="A115" s="26"/>
      <c r="B115" s="265" t="str">
        <f>IFERROR(IF(Subnational_YN="Yes", "", VLOOKUP($D115, 'Country Code'!$C$2:$E$205, 2, FALSE)), "")</f>
        <v/>
      </c>
      <c r="C115" s="291" t="str">
        <f>IFERROR(IF(Subnational_YN="Yes", "", VLOOKUP($D115, 'Country Code'!$C$2:$E$205, 3, FALSE)), "")</f>
        <v/>
      </c>
      <c r="D115" s="265" t="e">
        <f t="shared" si="32"/>
        <v>#N/A</v>
      </c>
      <c r="E115" s="265" t="str">
        <f>IF(Subnational_YN="Yes", '1. Country_Language Set Up'!$G$8, "")</f>
        <v/>
      </c>
      <c r="F115" s="266">
        <f t="shared" si="33"/>
        <v>1</v>
      </c>
      <c r="G115" s="267" t="e">
        <f t="shared" si="34"/>
        <v>#N/A</v>
      </c>
      <c r="H115" s="267" t="e">
        <f t="shared" si="35"/>
        <v>#N/A</v>
      </c>
      <c r="I115" s="268" t="e">
        <f t="shared" si="36"/>
        <v>#N/A</v>
      </c>
      <c r="J115" s="268" t="e">
        <f>IF(G115="", "", IF('3. ServiceStats Set Up'!$T$8="AW", "AL", "MW"))</f>
        <v>#N/A</v>
      </c>
      <c r="K115" s="268"/>
      <c r="L115" s="269" t="str">
        <f t="shared" si="37"/>
        <v/>
      </c>
      <c r="M115" s="268"/>
      <c r="N115" s="268"/>
      <c r="O115" s="268"/>
      <c r="P115" s="268"/>
      <c r="Q115" s="268"/>
      <c r="R115" s="268" t="e">
        <f t="shared" si="38"/>
        <v>#N/A</v>
      </c>
      <c r="S115" s="268" t="e">
        <f t="shared" si="39"/>
        <v>#N/A</v>
      </c>
      <c r="T115" s="268"/>
      <c r="U115" s="268"/>
      <c r="V115" s="215"/>
      <c r="W115" s="215"/>
      <c r="X115" s="215"/>
      <c r="Z115" s="10" t="e">
        <f t="shared" si="40"/>
        <v>#N/A</v>
      </c>
      <c r="AB115" s="209" t="str">
        <f>V9</f>
        <v>EUM : Utilisatrices de PF</v>
      </c>
      <c r="AC115" s="10" t="str">
        <f>IF('3. ServiceStats Set Up'!K27="", "FP Users", '3. ServiceStats Set Up'!K27&amp;" : FP Users")</f>
        <v>FP Users</v>
      </c>
      <c r="AM115" s="475"/>
      <c r="AN115" s="478"/>
      <c r="AO115" s="482"/>
    </row>
    <row r="116" spans="1:41" s="10" customFormat="1" hidden="1" x14ac:dyDescent="0.25">
      <c r="A116" s="26"/>
      <c r="B116" s="265" t="str">
        <f>IFERROR(IF(Subnational_YN="Yes", "", VLOOKUP($D116, 'Country Code'!$C$2:$E$205, 2, FALSE)), "")</f>
        <v/>
      </c>
      <c r="C116" s="291" t="str">
        <f>IFERROR(IF(Subnational_YN="Yes", "", VLOOKUP($D116, 'Country Code'!$C$2:$E$205, 3, FALSE)), "")</f>
        <v/>
      </c>
      <c r="D116" s="265" t="e">
        <f t="shared" si="32"/>
        <v>#N/A</v>
      </c>
      <c r="E116" s="265" t="str">
        <f>IF(Subnational_YN="Yes", '1. Country_Language Set Up'!$G$8, "")</f>
        <v/>
      </c>
      <c r="F116" s="266">
        <f t="shared" si="33"/>
        <v>1</v>
      </c>
      <c r="G116" s="267" t="e">
        <f t="shared" si="34"/>
        <v>#N/A</v>
      </c>
      <c r="H116" s="267" t="e">
        <f t="shared" si="35"/>
        <v>#N/A</v>
      </c>
      <c r="I116" s="268" t="e">
        <f t="shared" si="36"/>
        <v>#N/A</v>
      </c>
      <c r="J116" s="268" t="e">
        <f>IF(G116="", "", IF('3. ServiceStats Set Up'!$T$8="AW", "AL", "MW"))</f>
        <v>#N/A</v>
      </c>
      <c r="K116" s="268"/>
      <c r="L116" s="269" t="str">
        <f t="shared" si="37"/>
        <v/>
      </c>
      <c r="M116" s="268"/>
      <c r="N116" s="268"/>
      <c r="O116" s="268"/>
      <c r="P116" s="268"/>
      <c r="Q116" s="268"/>
      <c r="R116" s="268" t="e">
        <f t="shared" si="38"/>
        <v>#N/A</v>
      </c>
      <c r="S116" s="268" t="e">
        <f t="shared" si="39"/>
        <v>#N/A</v>
      </c>
      <c r="T116" s="268"/>
      <c r="U116" s="268"/>
      <c r="V116" s="215"/>
      <c r="W116" s="215"/>
      <c r="X116" s="215"/>
      <c r="Z116" s="10" t="e">
        <f t="shared" si="40"/>
        <v>#N/A</v>
      </c>
      <c r="AB116" s="210"/>
      <c r="AM116" s="475"/>
      <c r="AN116" s="478"/>
      <c r="AO116" s="482"/>
    </row>
    <row r="117" spans="1:41" s="10" customFormat="1" hidden="1" x14ac:dyDescent="0.25">
      <c r="A117" s="26"/>
      <c r="B117" s="265" t="str">
        <f>IFERROR(IF(Subnational_YN="Yes", "", VLOOKUP($D117, 'Country Code'!$C$2:$E$205, 2, FALSE)), "")</f>
        <v/>
      </c>
      <c r="C117" s="291" t="str">
        <f>IFERROR(IF(Subnational_YN="Yes", "", VLOOKUP($D117, 'Country Code'!$C$2:$E$205, 3, FALSE)), "")</f>
        <v/>
      </c>
      <c r="D117" s="265" t="e">
        <f t="shared" si="32"/>
        <v>#N/A</v>
      </c>
      <c r="E117" s="265" t="str">
        <f>IF(Subnational_YN="Yes", '1. Country_Language Set Up'!$G$8, "")</f>
        <v/>
      </c>
      <c r="F117" s="266">
        <f t="shared" si="33"/>
        <v>1</v>
      </c>
      <c r="G117" s="267" t="e">
        <f t="shared" si="34"/>
        <v>#N/A</v>
      </c>
      <c r="H117" s="267" t="e">
        <f t="shared" si="35"/>
        <v>#N/A</v>
      </c>
      <c r="I117" s="268" t="e">
        <f t="shared" si="36"/>
        <v>#N/A</v>
      </c>
      <c r="J117" s="268" t="e">
        <f>IF(G117="", "", IF('3. ServiceStats Set Up'!$T$8="AW", "AL", "MW"))</f>
        <v>#N/A</v>
      </c>
      <c r="K117" s="268"/>
      <c r="L117" s="269" t="str">
        <f t="shared" si="37"/>
        <v/>
      </c>
      <c r="M117" s="268"/>
      <c r="N117" s="268"/>
      <c r="O117" s="268"/>
      <c r="P117" s="268"/>
      <c r="Q117" s="268"/>
      <c r="R117" s="268" t="e">
        <f t="shared" si="38"/>
        <v>#N/A</v>
      </c>
      <c r="S117" s="268" t="e">
        <f t="shared" si="39"/>
        <v>#N/A</v>
      </c>
      <c r="T117" s="268"/>
      <c r="U117" s="268"/>
      <c r="V117" s="215"/>
      <c r="W117" s="215"/>
      <c r="X117" s="215"/>
      <c r="Z117" s="10" t="e">
        <f t="shared" si="40"/>
        <v>#N/A</v>
      </c>
      <c r="AM117" s="475"/>
      <c r="AN117" s="478"/>
      <c r="AO117" s="482"/>
    </row>
    <row r="118" spans="1:41" s="10" customFormat="1" hidden="1" x14ac:dyDescent="0.25">
      <c r="A118" s="26"/>
      <c r="B118" s="265" t="str">
        <f>IFERROR(IF(Subnational_YN="Yes", "", VLOOKUP($D118, 'Country Code'!$C$2:$E$205, 2, FALSE)), "")</f>
        <v/>
      </c>
      <c r="C118" s="291" t="str">
        <f>IFERROR(IF(Subnational_YN="Yes", "", VLOOKUP($D118, 'Country Code'!$C$2:$E$205, 3, FALSE)), "")</f>
        <v/>
      </c>
      <c r="D118" s="265" t="e">
        <f t="shared" si="32"/>
        <v>#N/A</v>
      </c>
      <c r="E118" s="265" t="str">
        <f>IF(Subnational_YN="Yes", '1. Country_Language Set Up'!$G$8, "")</f>
        <v/>
      </c>
      <c r="F118" s="266">
        <f t="shared" si="33"/>
        <v>1</v>
      </c>
      <c r="G118" s="267" t="e">
        <f t="shared" si="34"/>
        <v>#N/A</v>
      </c>
      <c r="H118" s="267" t="e">
        <f t="shared" si="35"/>
        <v>#N/A</v>
      </c>
      <c r="I118" s="268" t="e">
        <f t="shared" si="36"/>
        <v>#N/A</v>
      </c>
      <c r="J118" s="268" t="e">
        <f>IF(G118="", "", IF('3. ServiceStats Set Up'!$T$8="AW", "AL", "MW"))</f>
        <v>#N/A</v>
      </c>
      <c r="K118" s="268"/>
      <c r="L118" s="269" t="str">
        <f t="shared" si="37"/>
        <v/>
      </c>
      <c r="M118" s="268"/>
      <c r="N118" s="268"/>
      <c r="O118" s="268"/>
      <c r="P118" s="268"/>
      <c r="Q118" s="268"/>
      <c r="R118" s="268" t="e">
        <f t="shared" si="38"/>
        <v>#N/A</v>
      </c>
      <c r="S118" s="268" t="e">
        <f t="shared" si="39"/>
        <v>#N/A</v>
      </c>
      <c r="T118" s="268"/>
      <c r="U118" s="268"/>
      <c r="V118" s="215"/>
      <c r="W118" s="215"/>
      <c r="X118" s="215"/>
      <c r="Z118" s="10" t="e">
        <f t="shared" si="40"/>
        <v>#N/A</v>
      </c>
      <c r="AM118" s="475"/>
      <c r="AN118" s="478"/>
      <c r="AO118" s="482"/>
    </row>
    <row r="119" spans="1:41" hidden="1" x14ac:dyDescent="0.25">
      <c r="A119" s="24"/>
      <c r="B119" s="265" t="str">
        <f>IFERROR(IF(Subnational_YN="Yes", "", VLOOKUP($D119, 'Country Code'!$C$2:$E$205, 2, FALSE)), "")</f>
        <v/>
      </c>
      <c r="C119" s="291" t="str">
        <f>IFERROR(IF(Subnational_YN="Yes", "", VLOOKUP($D119, 'Country Code'!$C$2:$E$205, 3, FALSE)), "")</f>
        <v/>
      </c>
      <c r="D119" s="265" t="e">
        <f t="shared" si="32"/>
        <v>#N/A</v>
      </c>
      <c r="E119" s="265" t="str">
        <f>IF(Subnational_YN="Yes", '1. Country_Language Set Up'!$G$8, "")</f>
        <v/>
      </c>
      <c r="F119" s="266">
        <f t="shared" si="33"/>
        <v>1</v>
      </c>
      <c r="G119" s="267" t="e">
        <f t="shared" si="34"/>
        <v>#N/A</v>
      </c>
      <c r="H119" s="267" t="e">
        <f t="shared" si="35"/>
        <v>#N/A</v>
      </c>
      <c r="I119" s="268" t="e">
        <f t="shared" si="36"/>
        <v>#N/A</v>
      </c>
      <c r="J119" s="268" t="e">
        <f>IF(G119="", "", IF('3. ServiceStats Set Up'!$T$8="AW", "AL", "MW"))</f>
        <v>#N/A</v>
      </c>
      <c r="K119" s="268"/>
      <c r="L119" s="269" t="str">
        <f t="shared" si="37"/>
        <v/>
      </c>
      <c r="M119" s="268"/>
      <c r="N119" s="268"/>
      <c r="O119" s="268"/>
      <c r="P119" s="268"/>
      <c r="Q119" s="268"/>
      <c r="R119" s="268" t="e">
        <f t="shared" si="38"/>
        <v>#N/A</v>
      </c>
      <c r="S119" s="268" t="e">
        <f t="shared" si="39"/>
        <v>#N/A</v>
      </c>
      <c r="T119" s="268"/>
      <c r="U119" s="268"/>
      <c r="V119" s="215"/>
      <c r="W119" s="215"/>
      <c r="X119" s="215"/>
      <c r="Z119" s="10" t="e">
        <f t="shared" si="40"/>
        <v>#N/A</v>
      </c>
    </row>
    <row r="120" spans="1:41" hidden="1" x14ac:dyDescent="0.25">
      <c r="A120" s="24"/>
      <c r="B120" s="265" t="str">
        <f>IFERROR(IF(Subnational_YN="Yes", "", VLOOKUP($D120, 'Country Code'!$C$2:$E$205, 2, FALSE)), "")</f>
        <v/>
      </c>
      <c r="C120" s="291" t="str">
        <f>IFERROR(IF(Subnational_YN="Yes", "", VLOOKUP($D120, 'Country Code'!$C$2:$E$205, 3, FALSE)), "")</f>
        <v/>
      </c>
      <c r="D120" s="265" t="e">
        <f t="shared" si="32"/>
        <v>#N/A</v>
      </c>
      <c r="E120" s="265" t="str">
        <f>IF(Subnational_YN="Yes", '1. Country_Language Set Up'!$G$8, "")</f>
        <v/>
      </c>
      <c r="F120" s="266">
        <f t="shared" si="33"/>
        <v>1</v>
      </c>
      <c r="G120" s="267" t="e">
        <f t="shared" si="34"/>
        <v>#N/A</v>
      </c>
      <c r="H120" s="267" t="e">
        <f t="shared" si="35"/>
        <v>#N/A</v>
      </c>
      <c r="I120" s="268" t="e">
        <f t="shared" si="36"/>
        <v>#N/A</v>
      </c>
      <c r="J120" s="268" t="e">
        <f>IF(G120="", "", IF('3. ServiceStats Set Up'!$T$8="AW", "AL", "MW"))</f>
        <v>#N/A</v>
      </c>
      <c r="K120" s="268"/>
      <c r="L120" s="269" t="str">
        <f t="shared" si="37"/>
        <v/>
      </c>
      <c r="M120" s="268"/>
      <c r="N120" s="268"/>
      <c r="O120" s="268"/>
      <c r="P120" s="268"/>
      <c r="Q120" s="268"/>
      <c r="R120" s="268" t="e">
        <f t="shared" si="38"/>
        <v>#N/A</v>
      </c>
      <c r="S120" s="268" t="e">
        <f t="shared" si="39"/>
        <v>#N/A</v>
      </c>
      <c r="T120" s="268"/>
      <c r="U120" s="268"/>
      <c r="V120" s="215"/>
      <c r="W120" s="215"/>
      <c r="X120" s="215"/>
      <c r="Z120" s="10" t="e">
        <f t="shared" si="40"/>
        <v>#N/A</v>
      </c>
    </row>
    <row r="121" spans="1:41" hidden="1" x14ac:dyDescent="0.25">
      <c r="A121" s="24"/>
      <c r="B121" s="265" t="str">
        <f>IFERROR(IF(Subnational_YN="Yes", "", VLOOKUP($D121, 'Country Code'!$C$2:$E$205, 2, FALSE)), "")</f>
        <v/>
      </c>
      <c r="C121" s="291" t="str">
        <f>IFERROR(IF(Subnational_YN="Yes", "", VLOOKUP($D121, 'Country Code'!$C$2:$E$205, 3, FALSE)), "")</f>
        <v/>
      </c>
      <c r="D121" s="265" t="e">
        <f t="shared" si="32"/>
        <v>#N/A</v>
      </c>
      <c r="E121" s="265" t="str">
        <f>IF(Subnational_YN="Yes", '1. Country_Language Set Up'!$G$8, "")</f>
        <v/>
      </c>
      <c r="F121" s="266">
        <f t="shared" si="33"/>
        <v>1</v>
      </c>
      <c r="G121" s="267" t="e">
        <f t="shared" si="34"/>
        <v>#N/A</v>
      </c>
      <c r="H121" s="267" t="e">
        <f t="shared" si="35"/>
        <v>#N/A</v>
      </c>
      <c r="I121" s="268" t="e">
        <f t="shared" si="36"/>
        <v>#N/A</v>
      </c>
      <c r="J121" s="268" t="e">
        <f>IF(G121="", "", IF('3. ServiceStats Set Up'!$T$8="AW", "AL", "MW"))</f>
        <v>#N/A</v>
      </c>
      <c r="K121" s="268"/>
      <c r="L121" s="269" t="str">
        <f t="shared" si="37"/>
        <v/>
      </c>
      <c r="M121" s="268"/>
      <c r="N121" s="268"/>
      <c r="O121" s="268"/>
      <c r="P121" s="268"/>
      <c r="Q121" s="268"/>
      <c r="R121" s="268" t="e">
        <f t="shared" si="38"/>
        <v>#N/A</v>
      </c>
      <c r="S121" s="268" t="e">
        <f t="shared" si="39"/>
        <v>#N/A</v>
      </c>
      <c r="T121" s="268"/>
      <c r="U121" s="268"/>
      <c r="V121" s="215"/>
      <c r="W121" s="215"/>
      <c r="X121" s="215"/>
      <c r="Z121" s="10" t="e">
        <f t="shared" si="40"/>
        <v>#N/A</v>
      </c>
    </row>
    <row r="122" spans="1:41" hidden="1" x14ac:dyDescent="0.25">
      <c r="A122" s="24"/>
      <c r="B122" s="265" t="str">
        <f>IFERROR(IF(Subnational_YN="Yes", "", VLOOKUP($D122, 'Country Code'!$C$2:$E$205, 2, FALSE)), "")</f>
        <v/>
      </c>
      <c r="C122" s="291" t="str">
        <f>IFERROR(IF(Subnational_YN="Yes", "", VLOOKUP($D122, 'Country Code'!$C$2:$E$205, 3, FALSE)), "")</f>
        <v/>
      </c>
      <c r="D122" s="265" t="e">
        <f t="shared" si="32"/>
        <v>#N/A</v>
      </c>
      <c r="E122" s="265" t="str">
        <f>IF(Subnational_YN="Yes", '1. Country_Language Set Up'!$G$8, "")</f>
        <v/>
      </c>
      <c r="F122" s="266">
        <f t="shared" si="33"/>
        <v>1</v>
      </c>
      <c r="G122" s="267" t="e">
        <f t="shared" si="34"/>
        <v>#N/A</v>
      </c>
      <c r="H122" s="267" t="e">
        <f t="shared" si="35"/>
        <v>#N/A</v>
      </c>
      <c r="I122" s="268" t="e">
        <f t="shared" si="36"/>
        <v>#N/A</v>
      </c>
      <c r="J122" s="268" t="e">
        <f>IF(G122="", "", IF('3. ServiceStats Set Up'!$T$8="AW", "AL", "MW"))</f>
        <v>#N/A</v>
      </c>
      <c r="K122" s="268"/>
      <c r="L122" s="269" t="str">
        <f t="shared" si="37"/>
        <v/>
      </c>
      <c r="M122" s="268"/>
      <c r="N122" s="268"/>
      <c r="O122" s="268"/>
      <c r="P122" s="268"/>
      <c r="Q122" s="268"/>
      <c r="R122" s="268" t="e">
        <f t="shared" si="38"/>
        <v>#N/A</v>
      </c>
      <c r="S122" s="268" t="e">
        <f t="shared" si="39"/>
        <v>#N/A</v>
      </c>
      <c r="T122" s="268"/>
      <c r="U122" s="268"/>
      <c r="V122" s="215"/>
      <c r="W122" s="215"/>
      <c r="X122" s="215"/>
      <c r="Z122" s="10" t="e">
        <f t="shared" si="40"/>
        <v>#N/A</v>
      </c>
    </row>
    <row r="123" spans="1:41" hidden="1" x14ac:dyDescent="0.25">
      <c r="A123" s="24"/>
      <c r="B123" s="265" t="str">
        <f>IFERROR(IF(Subnational_YN="Yes", "", VLOOKUP($D123, 'Country Code'!$C$2:$E$205, 2, FALSE)), "")</f>
        <v/>
      </c>
      <c r="C123" s="291" t="str">
        <f>IFERROR(IF(Subnational_YN="Yes", "", VLOOKUP($D123, 'Country Code'!$C$2:$E$205, 3, FALSE)), "")</f>
        <v/>
      </c>
      <c r="D123" s="265" t="e">
        <f t="shared" si="32"/>
        <v>#N/A</v>
      </c>
      <c r="E123" s="265" t="str">
        <f>IF(Subnational_YN="Yes", '1. Country_Language Set Up'!$G$8, "")</f>
        <v/>
      </c>
      <c r="F123" s="266">
        <f t="shared" si="33"/>
        <v>1</v>
      </c>
      <c r="G123" s="267" t="e">
        <f t="shared" si="34"/>
        <v>#N/A</v>
      </c>
      <c r="H123" s="267" t="e">
        <f t="shared" si="35"/>
        <v>#N/A</v>
      </c>
      <c r="I123" s="268" t="e">
        <f t="shared" si="36"/>
        <v>#N/A</v>
      </c>
      <c r="J123" s="268" t="e">
        <f>IF(G123="", "", IF('3. ServiceStats Set Up'!$T$8="AW", "AL", "MW"))</f>
        <v>#N/A</v>
      </c>
      <c r="K123" s="268"/>
      <c r="L123" s="269" t="str">
        <f t="shared" si="37"/>
        <v/>
      </c>
      <c r="M123" s="268"/>
      <c r="N123" s="268"/>
      <c r="O123" s="268"/>
      <c r="P123" s="268"/>
      <c r="Q123" s="268"/>
      <c r="R123" s="268" t="e">
        <f t="shared" si="38"/>
        <v>#N/A</v>
      </c>
      <c r="S123" s="268" t="e">
        <f t="shared" si="39"/>
        <v>#N/A</v>
      </c>
      <c r="T123" s="268"/>
      <c r="U123" s="268"/>
      <c r="V123" s="215"/>
      <c r="W123" s="215"/>
      <c r="X123" s="215"/>
      <c r="Z123" s="10" t="e">
        <f t="shared" si="40"/>
        <v>#N/A</v>
      </c>
    </row>
    <row r="124" spans="1:41" hidden="1" x14ac:dyDescent="0.25">
      <c r="A124" s="24"/>
      <c r="B124" s="265" t="str">
        <f>IFERROR(IF(Subnational_YN="Yes", "", VLOOKUP($D124, 'Country Code'!$C$2:$E$205, 2, FALSE)), "")</f>
        <v/>
      </c>
      <c r="C124" s="291" t="str">
        <f>IFERROR(IF(Subnational_YN="Yes", "", VLOOKUP($D124, 'Country Code'!$C$2:$E$205, 3, FALSE)), "")</f>
        <v/>
      </c>
      <c r="D124" s="265" t="e">
        <f t="shared" si="32"/>
        <v>#N/A</v>
      </c>
      <c r="E124" s="265" t="str">
        <f>IF(Subnational_YN="Yes", '1. Country_Language Set Up'!$G$8, "")</f>
        <v/>
      </c>
      <c r="F124" s="266">
        <f t="shared" si="33"/>
        <v>1</v>
      </c>
      <c r="G124" s="267" t="e">
        <f t="shared" si="34"/>
        <v>#N/A</v>
      </c>
      <c r="H124" s="267" t="e">
        <f t="shared" si="35"/>
        <v>#N/A</v>
      </c>
      <c r="I124" s="268" t="e">
        <f t="shared" si="36"/>
        <v>#N/A</v>
      </c>
      <c r="J124" s="268" t="e">
        <f>IF(G124="", "", IF('3. ServiceStats Set Up'!$T$8="AW", "AL", "MW"))</f>
        <v>#N/A</v>
      </c>
      <c r="K124" s="268"/>
      <c r="L124" s="269" t="str">
        <f t="shared" si="37"/>
        <v/>
      </c>
      <c r="M124" s="268"/>
      <c r="N124" s="268"/>
      <c r="O124" s="268"/>
      <c r="P124" s="268"/>
      <c r="Q124" s="268"/>
      <c r="R124" s="268" t="e">
        <f t="shared" si="38"/>
        <v>#N/A</v>
      </c>
      <c r="S124" s="268" t="e">
        <f t="shared" si="39"/>
        <v>#N/A</v>
      </c>
      <c r="T124" s="268"/>
      <c r="U124" s="268"/>
      <c r="V124" s="215"/>
      <c r="W124" s="215"/>
      <c r="X124" s="215"/>
      <c r="Z124" s="10" t="e">
        <f t="shared" si="40"/>
        <v>#N/A</v>
      </c>
    </row>
    <row r="125" spans="1:41" hidden="1" x14ac:dyDescent="0.25">
      <c r="A125" s="24"/>
      <c r="B125" s="265" t="str">
        <f>IFERROR(IF(Subnational_YN="Yes", "", VLOOKUP($D125, 'Country Code'!$C$2:$E$205, 2, FALSE)), "")</f>
        <v/>
      </c>
      <c r="C125" s="291" t="str">
        <f>IFERROR(IF(Subnational_YN="Yes", "", VLOOKUP($D125, 'Country Code'!$C$2:$E$205, 3, FALSE)), "")</f>
        <v/>
      </c>
      <c r="D125" s="265" t="e">
        <f t="shared" si="32"/>
        <v>#N/A</v>
      </c>
      <c r="E125" s="265" t="str">
        <f>IF(Subnational_YN="Yes", '1. Country_Language Set Up'!$G$8, "")</f>
        <v/>
      </c>
      <c r="F125" s="266">
        <f t="shared" si="33"/>
        <v>1</v>
      </c>
      <c r="G125" s="267" t="e">
        <f t="shared" si="34"/>
        <v>#N/A</v>
      </c>
      <c r="H125" s="267" t="e">
        <f t="shared" si="35"/>
        <v>#N/A</v>
      </c>
      <c r="I125" s="268" t="e">
        <f t="shared" si="36"/>
        <v>#N/A</v>
      </c>
      <c r="J125" s="268" t="e">
        <f>IF(G125="", "", IF('3. ServiceStats Set Up'!$T$8="AW", "AL", "MW"))</f>
        <v>#N/A</v>
      </c>
      <c r="K125" s="268"/>
      <c r="L125" s="269" t="str">
        <f t="shared" si="37"/>
        <v/>
      </c>
      <c r="M125" s="268"/>
      <c r="N125" s="268"/>
      <c r="O125" s="268"/>
      <c r="P125" s="268"/>
      <c r="Q125" s="268"/>
      <c r="R125" s="268" t="e">
        <f t="shared" si="38"/>
        <v>#N/A</v>
      </c>
      <c r="S125" s="268" t="e">
        <f t="shared" si="39"/>
        <v>#N/A</v>
      </c>
      <c r="T125" s="268"/>
      <c r="U125" s="268"/>
      <c r="V125" s="215"/>
      <c r="W125" s="215"/>
      <c r="X125" s="215"/>
      <c r="Z125" s="10" t="e">
        <f t="shared" si="40"/>
        <v>#N/A</v>
      </c>
    </row>
    <row r="126" spans="1:41" hidden="1" x14ac:dyDescent="0.25">
      <c r="A126" s="24"/>
      <c r="B126" s="265" t="str">
        <f>IFERROR(IF(Subnational_YN="Yes", "", VLOOKUP($D126, 'Country Code'!$C$2:$E$205, 2, FALSE)), "")</f>
        <v/>
      </c>
      <c r="C126" s="291" t="str">
        <f>IFERROR(IF(Subnational_YN="Yes", "", VLOOKUP($D126, 'Country Code'!$C$2:$E$205, 3, FALSE)), "")</f>
        <v/>
      </c>
      <c r="D126" s="265" t="e">
        <f t="shared" si="32"/>
        <v>#N/A</v>
      </c>
      <c r="E126" s="265" t="str">
        <f>IF(Subnational_YN="Yes", '1. Country_Language Set Up'!$G$8, "")</f>
        <v/>
      </c>
      <c r="F126" s="266">
        <f t="shared" si="33"/>
        <v>1</v>
      </c>
      <c r="G126" s="267" t="e">
        <f t="shared" si="34"/>
        <v>#N/A</v>
      </c>
      <c r="H126" s="267" t="e">
        <f t="shared" si="35"/>
        <v>#N/A</v>
      </c>
      <c r="I126" s="268" t="e">
        <f t="shared" si="36"/>
        <v>#N/A</v>
      </c>
      <c r="J126" s="268" t="e">
        <f>IF(G126="", "", IF('3. ServiceStats Set Up'!$T$8="AW", "AL", "MW"))</f>
        <v>#N/A</v>
      </c>
      <c r="K126" s="268"/>
      <c r="L126" s="269" t="str">
        <f t="shared" si="37"/>
        <v/>
      </c>
      <c r="M126" s="268"/>
      <c r="N126" s="268"/>
      <c r="O126" s="268"/>
      <c r="P126" s="268"/>
      <c r="Q126" s="268"/>
      <c r="R126" s="268" t="e">
        <f t="shared" si="38"/>
        <v>#N/A</v>
      </c>
      <c r="S126" s="268" t="e">
        <f t="shared" si="39"/>
        <v>#N/A</v>
      </c>
      <c r="T126" s="268"/>
      <c r="U126" s="268"/>
      <c r="V126" s="215"/>
      <c r="W126" s="215"/>
      <c r="X126" s="215"/>
      <c r="Z126" s="10" t="e">
        <f t="shared" si="40"/>
        <v>#N/A</v>
      </c>
    </row>
    <row r="127" spans="1:41" hidden="1" x14ac:dyDescent="0.25">
      <c r="A127" s="24"/>
      <c r="B127" s="265" t="str">
        <f>IFERROR(IF(Subnational_YN="Yes", "", VLOOKUP($D127, 'Country Code'!$C$2:$E$205, 2, FALSE)), "")</f>
        <v/>
      </c>
      <c r="C127" s="291" t="str">
        <f>IFERROR(IF(Subnational_YN="Yes", "", VLOOKUP($D127, 'Country Code'!$C$2:$E$205, 3, FALSE)), "")</f>
        <v/>
      </c>
      <c r="D127" s="265" t="e">
        <f t="shared" si="32"/>
        <v>#N/A</v>
      </c>
      <c r="E127" s="265" t="str">
        <f>IF(Subnational_YN="Yes", '1. Country_Language Set Up'!$G$8, "")</f>
        <v/>
      </c>
      <c r="F127" s="266">
        <f t="shared" si="33"/>
        <v>1</v>
      </c>
      <c r="G127" s="267" t="e">
        <f t="shared" si="34"/>
        <v>#N/A</v>
      </c>
      <c r="H127" s="267" t="e">
        <f t="shared" si="35"/>
        <v>#N/A</v>
      </c>
      <c r="I127" s="268" t="e">
        <f t="shared" si="36"/>
        <v>#N/A</v>
      </c>
      <c r="J127" s="268" t="e">
        <f>IF(G127="", "", IF('3. ServiceStats Set Up'!$T$8="AW", "AL", "MW"))</f>
        <v>#N/A</v>
      </c>
      <c r="K127" s="268"/>
      <c r="L127" s="269" t="str">
        <f t="shared" si="37"/>
        <v/>
      </c>
      <c r="M127" s="268"/>
      <c r="N127" s="268"/>
      <c r="O127" s="268"/>
      <c r="P127" s="268"/>
      <c r="Q127" s="268"/>
      <c r="R127" s="268" t="e">
        <f t="shared" si="38"/>
        <v>#N/A</v>
      </c>
      <c r="S127" s="268" t="e">
        <f t="shared" si="39"/>
        <v>#N/A</v>
      </c>
      <c r="T127" s="268"/>
      <c r="U127" s="268"/>
      <c r="V127" s="215"/>
      <c r="W127" s="215"/>
      <c r="X127" s="215"/>
      <c r="Z127" s="10" t="e">
        <f t="shared" si="40"/>
        <v>#N/A</v>
      </c>
    </row>
    <row r="128" spans="1:41" hidden="1" x14ac:dyDescent="0.25">
      <c r="A128" s="205"/>
      <c r="B128" s="206"/>
      <c r="C128" s="206"/>
      <c r="D128" s="206"/>
      <c r="E128" s="206"/>
      <c r="F128" s="180"/>
      <c r="G128" s="207"/>
      <c r="H128" s="180"/>
      <c r="I128" s="180"/>
      <c r="J128" s="180"/>
      <c r="K128" s="180"/>
      <c r="L128" s="180"/>
      <c r="M128" s="180"/>
      <c r="N128" s="180"/>
      <c r="O128" s="180"/>
      <c r="P128" s="180"/>
      <c r="Q128" s="180"/>
      <c r="R128" s="180"/>
      <c r="S128" s="180"/>
      <c r="T128" s="180"/>
      <c r="U128" s="180"/>
      <c r="V128" s="180"/>
      <c r="W128" s="180"/>
      <c r="X128" s="180"/>
    </row>
    <row r="129" spans="1:41" ht="29.25" hidden="1" customHeight="1" x14ac:dyDescent="0.25">
      <c r="A129" s="24"/>
      <c r="B129" s="288"/>
      <c r="C129" s="23"/>
      <c r="D129" s="23"/>
      <c r="E129" s="23"/>
      <c r="G129" s="26"/>
    </row>
    <row r="130" spans="1:41" s="41" customFormat="1" ht="45" hidden="1" x14ac:dyDescent="0.25">
      <c r="A130" s="485"/>
      <c r="B130" s="1639" t="s">
        <v>864</v>
      </c>
      <c r="C130" s="1639"/>
      <c r="D130" s="1639"/>
      <c r="E130" s="1639"/>
      <c r="F130" s="1639"/>
      <c r="G130" s="1639"/>
      <c r="H130" s="1639"/>
      <c r="I130" s="353" t="s">
        <v>867</v>
      </c>
      <c r="J130" s="353" t="s">
        <v>866</v>
      </c>
      <c r="K130" s="353" t="s">
        <v>865</v>
      </c>
      <c r="L130" s="353" t="s">
        <v>345</v>
      </c>
      <c r="M130" s="1633" t="s">
        <v>346</v>
      </c>
      <c r="N130" s="1634"/>
      <c r="O130" s="1635"/>
      <c r="AM130" s="474"/>
      <c r="AN130" s="473"/>
      <c r="AO130" s="486"/>
    </row>
    <row r="131" spans="1:41" ht="17.25" hidden="1" customHeight="1" x14ac:dyDescent="0.25">
      <c r="B131" s="491" t="e">
        <f t="shared" ref="B131:B146" si="41">IF(D131="", "", 1)</f>
        <v>#N/A</v>
      </c>
      <c r="C131" s="492" t="e">
        <f>IF(D131="", "", "January")</f>
        <v>#N/A</v>
      </c>
      <c r="D131" s="493" t="e">
        <f>IF(G112="", "", G112)</f>
        <v>#N/A</v>
      </c>
      <c r="E131" s="497" t="e">
        <f>IF(D131="", "", "to")</f>
        <v>#N/A</v>
      </c>
      <c r="F131" s="491" t="e">
        <f>IF(D131="", "", 31)</f>
        <v>#N/A</v>
      </c>
      <c r="G131" s="494" t="e">
        <f t="shared" ref="G131:G146" si="42">IF(D131="", "", IF(Language="English", "December", "décembre"))</f>
        <v>#N/A</v>
      </c>
      <c r="H131" s="495" t="e">
        <f>IF(H112="", "", D131)</f>
        <v>#N/A</v>
      </c>
      <c r="I131" s="494" t="e">
        <f>IF(D131="","","15-49")</f>
        <v>#N/A</v>
      </c>
      <c r="J131" s="494" t="e">
        <f>IF(G112="", "", IF('3. ServiceStats Set Up'!$T$8="AW", "All Women (AL)", "Married women (MW)"))</f>
        <v>#N/A</v>
      </c>
      <c r="K131" s="496" t="str">
        <f>L112</f>
        <v/>
      </c>
      <c r="L131" s="494" t="e">
        <f>R112</f>
        <v>#N/A</v>
      </c>
      <c r="M131" s="1636" t="e">
        <f>S112</f>
        <v>#N/A</v>
      </c>
      <c r="N131" s="1637"/>
      <c r="O131" s="1638"/>
    </row>
    <row r="132" spans="1:41" ht="17.25" hidden="1" customHeight="1" x14ac:dyDescent="0.25">
      <c r="B132" s="491" t="e">
        <f t="shared" si="41"/>
        <v>#N/A</v>
      </c>
      <c r="C132" s="492" t="e">
        <f t="shared" ref="C132:C146" si="43">IF(D132="", "", "January")</f>
        <v>#N/A</v>
      </c>
      <c r="D132" s="493" t="e">
        <f>IF(G113="", "", G113)</f>
        <v>#N/A</v>
      </c>
      <c r="E132" s="497" t="e">
        <f t="shared" ref="E132:E146" si="44">IF(D132="", "", "to")</f>
        <v>#N/A</v>
      </c>
      <c r="F132" s="491" t="e">
        <f t="shared" ref="F132:F146" si="45">IF(D132="", "", 31)</f>
        <v>#N/A</v>
      </c>
      <c r="G132" s="494" t="e">
        <f t="shared" si="42"/>
        <v>#N/A</v>
      </c>
      <c r="H132" s="495" t="e">
        <f t="shared" ref="H132:H146" si="46">IF(H113="", "", D132)</f>
        <v>#N/A</v>
      </c>
      <c r="I132" s="494" t="e">
        <f t="shared" ref="I132:I146" si="47">IF(D132="","","15-49")</f>
        <v>#N/A</v>
      </c>
      <c r="J132" s="494" t="e">
        <f>IF(G113="", "", IF('3. ServiceStats Set Up'!$T$8="AW", "All Women (AL)", "Married women (MW)"))</f>
        <v>#N/A</v>
      </c>
      <c r="K132" s="496" t="str">
        <f t="shared" ref="K132:K146" si="48">L113</f>
        <v/>
      </c>
      <c r="L132" s="494" t="e">
        <f t="shared" ref="L132:L146" si="49">R113</f>
        <v>#N/A</v>
      </c>
      <c r="M132" s="1636" t="e">
        <f t="shared" ref="M132:M146" si="50">S113</f>
        <v>#N/A</v>
      </c>
      <c r="N132" s="1637"/>
      <c r="O132" s="1638"/>
    </row>
    <row r="133" spans="1:41" ht="17.25" hidden="1" customHeight="1" x14ac:dyDescent="0.25">
      <c r="B133" s="491" t="e">
        <f t="shared" si="41"/>
        <v>#N/A</v>
      </c>
      <c r="C133" s="492" t="e">
        <f t="shared" si="43"/>
        <v>#N/A</v>
      </c>
      <c r="D133" s="493" t="e">
        <f>IF(G114="", "", G114)</f>
        <v>#N/A</v>
      </c>
      <c r="E133" s="497" t="e">
        <f t="shared" si="44"/>
        <v>#N/A</v>
      </c>
      <c r="F133" s="491" t="e">
        <f t="shared" si="45"/>
        <v>#N/A</v>
      </c>
      <c r="G133" s="494" t="e">
        <f t="shared" si="42"/>
        <v>#N/A</v>
      </c>
      <c r="H133" s="495" t="e">
        <f t="shared" si="46"/>
        <v>#N/A</v>
      </c>
      <c r="I133" s="494" t="e">
        <f t="shared" si="47"/>
        <v>#N/A</v>
      </c>
      <c r="J133" s="494" t="e">
        <f>IF(G114="", "", IF('3. ServiceStats Set Up'!$T$8="AW", "All Women (AL)", "Married women (MW)"))</f>
        <v>#N/A</v>
      </c>
      <c r="K133" s="496" t="str">
        <f t="shared" si="48"/>
        <v/>
      </c>
      <c r="L133" s="494" t="e">
        <f t="shared" si="49"/>
        <v>#N/A</v>
      </c>
      <c r="M133" s="1636" t="e">
        <f t="shared" si="50"/>
        <v>#N/A</v>
      </c>
      <c r="N133" s="1637"/>
      <c r="O133" s="1638"/>
    </row>
    <row r="134" spans="1:41" ht="17.25" hidden="1" customHeight="1" x14ac:dyDescent="0.25">
      <c r="B134" s="491" t="e">
        <f t="shared" si="41"/>
        <v>#N/A</v>
      </c>
      <c r="C134" s="492" t="e">
        <f t="shared" si="43"/>
        <v>#N/A</v>
      </c>
      <c r="D134" s="493" t="e">
        <f t="shared" ref="D134:D146" si="51">IF(G115="", "", G115)</f>
        <v>#N/A</v>
      </c>
      <c r="E134" s="497" t="e">
        <f t="shared" si="44"/>
        <v>#N/A</v>
      </c>
      <c r="F134" s="491" t="e">
        <f t="shared" si="45"/>
        <v>#N/A</v>
      </c>
      <c r="G134" s="494" t="e">
        <f t="shared" si="42"/>
        <v>#N/A</v>
      </c>
      <c r="H134" s="495" t="e">
        <f t="shared" si="46"/>
        <v>#N/A</v>
      </c>
      <c r="I134" s="494" t="e">
        <f t="shared" si="47"/>
        <v>#N/A</v>
      </c>
      <c r="J134" s="494" t="e">
        <f>IF(G115="", "", IF('3. ServiceStats Set Up'!$T$8="AW", "All Women (AL)", "Married women (MW)"))</f>
        <v>#N/A</v>
      </c>
      <c r="K134" s="496" t="str">
        <f t="shared" si="48"/>
        <v/>
      </c>
      <c r="L134" s="494" t="e">
        <f t="shared" si="49"/>
        <v>#N/A</v>
      </c>
      <c r="M134" s="1636" t="e">
        <f t="shared" si="50"/>
        <v>#N/A</v>
      </c>
      <c r="N134" s="1637"/>
      <c r="O134" s="1638"/>
    </row>
    <row r="135" spans="1:41" ht="17.25" hidden="1" customHeight="1" x14ac:dyDescent="0.25">
      <c r="B135" s="491" t="e">
        <f t="shared" si="41"/>
        <v>#N/A</v>
      </c>
      <c r="C135" s="492" t="e">
        <f t="shared" si="43"/>
        <v>#N/A</v>
      </c>
      <c r="D135" s="493" t="e">
        <f t="shared" si="51"/>
        <v>#N/A</v>
      </c>
      <c r="E135" s="497" t="e">
        <f t="shared" si="44"/>
        <v>#N/A</v>
      </c>
      <c r="F135" s="491" t="e">
        <f t="shared" si="45"/>
        <v>#N/A</v>
      </c>
      <c r="G135" s="494" t="e">
        <f t="shared" si="42"/>
        <v>#N/A</v>
      </c>
      <c r="H135" s="495" t="e">
        <f t="shared" si="46"/>
        <v>#N/A</v>
      </c>
      <c r="I135" s="494" t="e">
        <f t="shared" si="47"/>
        <v>#N/A</v>
      </c>
      <c r="J135" s="494" t="e">
        <f>IF(G116="", "", IF('3. ServiceStats Set Up'!$T$8="AW", "All Women (AL)", "Married women (MW)"))</f>
        <v>#N/A</v>
      </c>
      <c r="K135" s="496" t="str">
        <f t="shared" si="48"/>
        <v/>
      </c>
      <c r="L135" s="494" t="e">
        <f t="shared" si="49"/>
        <v>#N/A</v>
      </c>
      <c r="M135" s="1636" t="e">
        <f t="shared" si="50"/>
        <v>#N/A</v>
      </c>
      <c r="N135" s="1637"/>
      <c r="O135" s="1638"/>
    </row>
    <row r="136" spans="1:41" ht="17.25" hidden="1" customHeight="1" x14ac:dyDescent="0.25">
      <c r="B136" s="491" t="e">
        <f t="shared" si="41"/>
        <v>#N/A</v>
      </c>
      <c r="C136" s="492" t="e">
        <f t="shared" si="43"/>
        <v>#N/A</v>
      </c>
      <c r="D136" s="493" t="e">
        <f t="shared" si="51"/>
        <v>#N/A</v>
      </c>
      <c r="E136" s="497" t="e">
        <f t="shared" si="44"/>
        <v>#N/A</v>
      </c>
      <c r="F136" s="491" t="e">
        <f t="shared" si="45"/>
        <v>#N/A</v>
      </c>
      <c r="G136" s="494" t="e">
        <f t="shared" si="42"/>
        <v>#N/A</v>
      </c>
      <c r="H136" s="495" t="e">
        <f t="shared" si="46"/>
        <v>#N/A</v>
      </c>
      <c r="I136" s="494" t="e">
        <f t="shared" si="47"/>
        <v>#N/A</v>
      </c>
      <c r="J136" s="494" t="e">
        <f>IF(G117="", "", IF('3. ServiceStats Set Up'!$T$8="AW", "All Women (AL)", "Married women (MW)"))</f>
        <v>#N/A</v>
      </c>
      <c r="K136" s="496" t="str">
        <f t="shared" si="48"/>
        <v/>
      </c>
      <c r="L136" s="494" t="e">
        <f t="shared" si="49"/>
        <v>#N/A</v>
      </c>
      <c r="M136" s="1636" t="e">
        <f t="shared" si="50"/>
        <v>#N/A</v>
      </c>
      <c r="N136" s="1637"/>
      <c r="O136" s="1638"/>
    </row>
    <row r="137" spans="1:41" ht="17.25" hidden="1" customHeight="1" x14ac:dyDescent="0.25">
      <c r="B137" s="491" t="e">
        <f t="shared" si="41"/>
        <v>#N/A</v>
      </c>
      <c r="C137" s="492" t="e">
        <f t="shared" si="43"/>
        <v>#N/A</v>
      </c>
      <c r="D137" s="493" t="e">
        <f t="shared" si="51"/>
        <v>#N/A</v>
      </c>
      <c r="E137" s="497" t="e">
        <f t="shared" si="44"/>
        <v>#N/A</v>
      </c>
      <c r="F137" s="491" t="e">
        <f t="shared" si="45"/>
        <v>#N/A</v>
      </c>
      <c r="G137" s="494" t="e">
        <f t="shared" si="42"/>
        <v>#N/A</v>
      </c>
      <c r="H137" s="495" t="e">
        <f t="shared" si="46"/>
        <v>#N/A</v>
      </c>
      <c r="I137" s="494" t="e">
        <f t="shared" si="47"/>
        <v>#N/A</v>
      </c>
      <c r="J137" s="494" t="e">
        <f>IF(G118="", "", IF('3. ServiceStats Set Up'!$T$8="AW", "All Women (AL)", "Married women (MW)"))</f>
        <v>#N/A</v>
      </c>
      <c r="K137" s="496" t="str">
        <f t="shared" si="48"/>
        <v/>
      </c>
      <c r="L137" s="494" t="e">
        <f t="shared" si="49"/>
        <v>#N/A</v>
      </c>
      <c r="M137" s="1636" t="e">
        <f t="shared" si="50"/>
        <v>#N/A</v>
      </c>
      <c r="N137" s="1637"/>
      <c r="O137" s="1638"/>
    </row>
    <row r="138" spans="1:41" ht="17.25" hidden="1" customHeight="1" x14ac:dyDescent="0.25">
      <c r="B138" s="491" t="e">
        <f t="shared" si="41"/>
        <v>#N/A</v>
      </c>
      <c r="C138" s="492" t="e">
        <f t="shared" si="43"/>
        <v>#N/A</v>
      </c>
      <c r="D138" s="493" t="e">
        <f t="shared" si="51"/>
        <v>#N/A</v>
      </c>
      <c r="E138" s="497" t="e">
        <f t="shared" si="44"/>
        <v>#N/A</v>
      </c>
      <c r="F138" s="491" t="e">
        <f t="shared" si="45"/>
        <v>#N/A</v>
      </c>
      <c r="G138" s="494" t="e">
        <f t="shared" si="42"/>
        <v>#N/A</v>
      </c>
      <c r="H138" s="495" t="e">
        <f t="shared" si="46"/>
        <v>#N/A</v>
      </c>
      <c r="I138" s="494" t="e">
        <f t="shared" si="47"/>
        <v>#N/A</v>
      </c>
      <c r="J138" s="494" t="e">
        <f>IF(G119="", "", IF('3. ServiceStats Set Up'!$T$8="AW", "All Women (AL)", "Married women (MW)"))</f>
        <v>#N/A</v>
      </c>
      <c r="K138" s="496" t="str">
        <f t="shared" si="48"/>
        <v/>
      </c>
      <c r="L138" s="494" t="e">
        <f t="shared" si="49"/>
        <v>#N/A</v>
      </c>
      <c r="M138" s="1636" t="e">
        <f t="shared" si="50"/>
        <v>#N/A</v>
      </c>
      <c r="N138" s="1637"/>
      <c r="O138" s="1638"/>
    </row>
    <row r="139" spans="1:41" ht="17.25" hidden="1" customHeight="1" x14ac:dyDescent="0.25">
      <c r="B139" s="491" t="e">
        <f t="shared" si="41"/>
        <v>#N/A</v>
      </c>
      <c r="C139" s="492" t="e">
        <f t="shared" si="43"/>
        <v>#N/A</v>
      </c>
      <c r="D139" s="493" t="e">
        <f t="shared" si="51"/>
        <v>#N/A</v>
      </c>
      <c r="E139" s="497" t="e">
        <f t="shared" si="44"/>
        <v>#N/A</v>
      </c>
      <c r="F139" s="491" t="e">
        <f t="shared" si="45"/>
        <v>#N/A</v>
      </c>
      <c r="G139" s="494" t="e">
        <f t="shared" si="42"/>
        <v>#N/A</v>
      </c>
      <c r="H139" s="495" t="e">
        <f t="shared" si="46"/>
        <v>#N/A</v>
      </c>
      <c r="I139" s="494" t="e">
        <f t="shared" si="47"/>
        <v>#N/A</v>
      </c>
      <c r="J139" s="494" t="e">
        <f>IF(G120="", "", IF('3. ServiceStats Set Up'!$T$8="AW", "All Women (AL)", "Married women (MW)"))</f>
        <v>#N/A</v>
      </c>
      <c r="K139" s="496" t="str">
        <f t="shared" si="48"/>
        <v/>
      </c>
      <c r="L139" s="494" t="e">
        <f t="shared" si="49"/>
        <v>#N/A</v>
      </c>
      <c r="M139" s="1636" t="e">
        <f t="shared" si="50"/>
        <v>#N/A</v>
      </c>
      <c r="N139" s="1637"/>
      <c r="O139" s="1638"/>
    </row>
    <row r="140" spans="1:41" ht="17.25" hidden="1" customHeight="1" x14ac:dyDescent="0.25">
      <c r="B140" s="491" t="e">
        <f t="shared" si="41"/>
        <v>#N/A</v>
      </c>
      <c r="C140" s="492" t="e">
        <f t="shared" si="43"/>
        <v>#N/A</v>
      </c>
      <c r="D140" s="493" t="e">
        <f t="shared" si="51"/>
        <v>#N/A</v>
      </c>
      <c r="E140" s="497" t="e">
        <f t="shared" si="44"/>
        <v>#N/A</v>
      </c>
      <c r="F140" s="491" t="e">
        <f t="shared" si="45"/>
        <v>#N/A</v>
      </c>
      <c r="G140" s="494" t="e">
        <f t="shared" si="42"/>
        <v>#N/A</v>
      </c>
      <c r="H140" s="495" t="e">
        <f t="shared" si="46"/>
        <v>#N/A</v>
      </c>
      <c r="I140" s="494" t="e">
        <f t="shared" si="47"/>
        <v>#N/A</v>
      </c>
      <c r="J140" s="494" t="e">
        <f>IF(G121="", "", IF('3. ServiceStats Set Up'!$T$8="AW", "All Women (AL)", "Married women (MW)"))</f>
        <v>#N/A</v>
      </c>
      <c r="K140" s="496" t="str">
        <f t="shared" si="48"/>
        <v/>
      </c>
      <c r="L140" s="494" t="e">
        <f t="shared" si="49"/>
        <v>#N/A</v>
      </c>
      <c r="M140" s="1636" t="e">
        <f t="shared" si="50"/>
        <v>#N/A</v>
      </c>
      <c r="N140" s="1637"/>
      <c r="O140" s="1638"/>
    </row>
    <row r="141" spans="1:41" ht="17.25" hidden="1" customHeight="1" x14ac:dyDescent="0.25">
      <c r="B141" s="491" t="e">
        <f t="shared" si="41"/>
        <v>#N/A</v>
      </c>
      <c r="C141" s="492" t="e">
        <f t="shared" si="43"/>
        <v>#N/A</v>
      </c>
      <c r="D141" s="493" t="e">
        <f t="shared" si="51"/>
        <v>#N/A</v>
      </c>
      <c r="E141" s="497" t="e">
        <f t="shared" si="44"/>
        <v>#N/A</v>
      </c>
      <c r="F141" s="491" t="e">
        <f t="shared" si="45"/>
        <v>#N/A</v>
      </c>
      <c r="G141" s="494" t="e">
        <f t="shared" si="42"/>
        <v>#N/A</v>
      </c>
      <c r="H141" s="495" t="e">
        <f t="shared" si="46"/>
        <v>#N/A</v>
      </c>
      <c r="I141" s="494" t="e">
        <f t="shared" si="47"/>
        <v>#N/A</v>
      </c>
      <c r="J141" s="494" t="e">
        <f>IF(G122="", "", IF('3. ServiceStats Set Up'!$T$8="AW", "All Women (AL)", "Married women (MW)"))</f>
        <v>#N/A</v>
      </c>
      <c r="K141" s="496" t="str">
        <f t="shared" si="48"/>
        <v/>
      </c>
      <c r="L141" s="494" t="e">
        <f t="shared" si="49"/>
        <v>#N/A</v>
      </c>
      <c r="M141" s="1636" t="e">
        <f t="shared" si="50"/>
        <v>#N/A</v>
      </c>
      <c r="N141" s="1637"/>
      <c r="O141" s="1638"/>
    </row>
    <row r="142" spans="1:41" ht="17.25" hidden="1" customHeight="1" x14ac:dyDescent="0.25">
      <c r="B142" s="491" t="e">
        <f t="shared" si="41"/>
        <v>#N/A</v>
      </c>
      <c r="C142" s="492" t="e">
        <f t="shared" si="43"/>
        <v>#N/A</v>
      </c>
      <c r="D142" s="493" t="e">
        <f t="shared" si="51"/>
        <v>#N/A</v>
      </c>
      <c r="E142" s="497" t="e">
        <f t="shared" si="44"/>
        <v>#N/A</v>
      </c>
      <c r="F142" s="491" t="e">
        <f t="shared" si="45"/>
        <v>#N/A</v>
      </c>
      <c r="G142" s="494" t="e">
        <f t="shared" si="42"/>
        <v>#N/A</v>
      </c>
      <c r="H142" s="495" t="e">
        <f t="shared" si="46"/>
        <v>#N/A</v>
      </c>
      <c r="I142" s="494" t="e">
        <f t="shared" si="47"/>
        <v>#N/A</v>
      </c>
      <c r="J142" s="494" t="e">
        <f>IF(G123="", "", IF('3. ServiceStats Set Up'!$T$8="AW", "All Women (AL)", "Married women (MW)"))</f>
        <v>#N/A</v>
      </c>
      <c r="K142" s="496" t="str">
        <f t="shared" si="48"/>
        <v/>
      </c>
      <c r="L142" s="494" t="e">
        <f t="shared" si="49"/>
        <v>#N/A</v>
      </c>
      <c r="M142" s="1636" t="e">
        <f t="shared" si="50"/>
        <v>#N/A</v>
      </c>
      <c r="N142" s="1637"/>
      <c r="O142" s="1638"/>
    </row>
    <row r="143" spans="1:41" ht="17.25" hidden="1" customHeight="1" x14ac:dyDescent="0.25">
      <c r="B143" s="491" t="e">
        <f t="shared" si="41"/>
        <v>#N/A</v>
      </c>
      <c r="C143" s="492" t="e">
        <f t="shared" si="43"/>
        <v>#N/A</v>
      </c>
      <c r="D143" s="493" t="e">
        <f t="shared" si="51"/>
        <v>#N/A</v>
      </c>
      <c r="E143" s="497" t="e">
        <f t="shared" si="44"/>
        <v>#N/A</v>
      </c>
      <c r="F143" s="491" t="e">
        <f t="shared" si="45"/>
        <v>#N/A</v>
      </c>
      <c r="G143" s="494" t="e">
        <f t="shared" si="42"/>
        <v>#N/A</v>
      </c>
      <c r="H143" s="495" t="e">
        <f t="shared" si="46"/>
        <v>#N/A</v>
      </c>
      <c r="I143" s="494" t="e">
        <f t="shared" si="47"/>
        <v>#N/A</v>
      </c>
      <c r="J143" s="494" t="e">
        <f>IF(G124="", "", IF('3. ServiceStats Set Up'!$T$8="AW", "All Women (AL)", "Married women (MW)"))</f>
        <v>#N/A</v>
      </c>
      <c r="K143" s="496" t="str">
        <f t="shared" si="48"/>
        <v/>
      </c>
      <c r="L143" s="494" t="e">
        <f t="shared" si="49"/>
        <v>#N/A</v>
      </c>
      <c r="M143" s="1636" t="e">
        <f t="shared" si="50"/>
        <v>#N/A</v>
      </c>
      <c r="N143" s="1637"/>
      <c r="O143" s="1638"/>
    </row>
    <row r="144" spans="1:41" ht="17.25" hidden="1" customHeight="1" x14ac:dyDescent="0.25">
      <c r="B144" s="491" t="e">
        <f t="shared" si="41"/>
        <v>#N/A</v>
      </c>
      <c r="C144" s="492" t="e">
        <f t="shared" si="43"/>
        <v>#N/A</v>
      </c>
      <c r="D144" s="493" t="e">
        <f t="shared" si="51"/>
        <v>#N/A</v>
      </c>
      <c r="E144" s="497" t="e">
        <f t="shared" si="44"/>
        <v>#N/A</v>
      </c>
      <c r="F144" s="491" t="e">
        <f t="shared" si="45"/>
        <v>#N/A</v>
      </c>
      <c r="G144" s="494" t="e">
        <f t="shared" si="42"/>
        <v>#N/A</v>
      </c>
      <c r="H144" s="495" t="e">
        <f t="shared" si="46"/>
        <v>#N/A</v>
      </c>
      <c r="I144" s="494" t="e">
        <f t="shared" si="47"/>
        <v>#N/A</v>
      </c>
      <c r="J144" s="494" t="e">
        <f>IF(G125="", "", IF('3. ServiceStats Set Up'!$T$8="AW", "All Women (AL)", "Married women (MW)"))</f>
        <v>#N/A</v>
      </c>
      <c r="K144" s="496" t="str">
        <f t="shared" si="48"/>
        <v/>
      </c>
      <c r="L144" s="494" t="e">
        <f t="shared" si="49"/>
        <v>#N/A</v>
      </c>
      <c r="M144" s="1636" t="e">
        <f t="shared" si="50"/>
        <v>#N/A</v>
      </c>
      <c r="N144" s="1637"/>
      <c r="O144" s="1638"/>
    </row>
    <row r="145" spans="1:41" ht="17.25" hidden="1" customHeight="1" x14ac:dyDescent="0.25">
      <c r="B145" s="491" t="e">
        <f t="shared" si="41"/>
        <v>#N/A</v>
      </c>
      <c r="C145" s="492" t="e">
        <f t="shared" si="43"/>
        <v>#N/A</v>
      </c>
      <c r="D145" s="493" t="e">
        <f t="shared" si="51"/>
        <v>#N/A</v>
      </c>
      <c r="E145" s="497" t="e">
        <f t="shared" si="44"/>
        <v>#N/A</v>
      </c>
      <c r="F145" s="491" t="e">
        <f t="shared" si="45"/>
        <v>#N/A</v>
      </c>
      <c r="G145" s="494" t="e">
        <f t="shared" si="42"/>
        <v>#N/A</v>
      </c>
      <c r="H145" s="495" t="e">
        <f t="shared" si="46"/>
        <v>#N/A</v>
      </c>
      <c r="I145" s="494" t="e">
        <f t="shared" si="47"/>
        <v>#N/A</v>
      </c>
      <c r="J145" s="494" t="e">
        <f>IF(G126="", "", IF('3. ServiceStats Set Up'!$T$8="AW", "All Women (AL)", "Married women (MW)"))</f>
        <v>#N/A</v>
      </c>
      <c r="K145" s="496" t="str">
        <f t="shared" si="48"/>
        <v/>
      </c>
      <c r="L145" s="494" t="e">
        <f t="shared" si="49"/>
        <v>#N/A</v>
      </c>
      <c r="M145" s="1636" t="e">
        <f t="shared" si="50"/>
        <v>#N/A</v>
      </c>
      <c r="N145" s="1637"/>
      <c r="O145" s="1638"/>
    </row>
    <row r="146" spans="1:41" ht="17.25" hidden="1" customHeight="1" x14ac:dyDescent="0.25">
      <c r="B146" s="491" t="e">
        <f t="shared" si="41"/>
        <v>#N/A</v>
      </c>
      <c r="C146" s="492" t="e">
        <f t="shared" si="43"/>
        <v>#N/A</v>
      </c>
      <c r="D146" s="493" t="e">
        <f t="shared" si="51"/>
        <v>#N/A</v>
      </c>
      <c r="E146" s="497" t="e">
        <f t="shared" si="44"/>
        <v>#N/A</v>
      </c>
      <c r="F146" s="491" t="e">
        <f t="shared" si="45"/>
        <v>#N/A</v>
      </c>
      <c r="G146" s="494" t="e">
        <f t="shared" si="42"/>
        <v>#N/A</v>
      </c>
      <c r="H146" s="495" t="e">
        <f t="shared" si="46"/>
        <v>#N/A</v>
      </c>
      <c r="I146" s="494" t="e">
        <f t="shared" si="47"/>
        <v>#N/A</v>
      </c>
      <c r="J146" s="494" t="e">
        <f>IF(G127="", "", IF('3. ServiceStats Set Up'!$T$8="AW", "All Women (AL)", "Married women (MW)"))</f>
        <v>#N/A</v>
      </c>
      <c r="K146" s="496" t="str">
        <f t="shared" si="48"/>
        <v/>
      </c>
      <c r="L146" s="494" t="e">
        <f t="shared" si="49"/>
        <v>#N/A</v>
      </c>
      <c r="M146" s="1636" t="e">
        <f t="shared" si="50"/>
        <v>#N/A</v>
      </c>
      <c r="N146" s="1637"/>
      <c r="O146" s="1638"/>
    </row>
    <row r="147" spans="1:41" hidden="1" x14ac:dyDescent="0.25"/>
    <row r="148" spans="1:41" hidden="1" x14ac:dyDescent="0.25">
      <c r="A148" s="24"/>
      <c r="B148" s="23"/>
      <c r="C148" s="23"/>
      <c r="D148" s="23"/>
      <c r="E148" s="23"/>
      <c r="H148" s="24" t="str">
        <f>IF(H129="", "", G148+1)</f>
        <v/>
      </c>
    </row>
    <row r="149" spans="1:41" s="489" customFormat="1" ht="8.25" hidden="1" customHeight="1" x14ac:dyDescent="0.25">
      <c r="A149" s="487"/>
      <c r="B149" s="488"/>
      <c r="C149" s="488"/>
      <c r="D149" s="488"/>
      <c r="E149" s="488"/>
      <c r="H149" s="487" t="str">
        <f>IF(H128="", "", G149+1)</f>
        <v/>
      </c>
      <c r="AM149" s="490"/>
      <c r="AN149" s="490"/>
      <c r="AO149" s="490"/>
    </row>
    <row r="150" spans="1:41" hidden="1" x14ac:dyDescent="0.25">
      <c r="A150" s="24"/>
      <c r="B150" s="23"/>
      <c r="C150" s="23"/>
      <c r="D150" s="23"/>
      <c r="E150" s="23"/>
    </row>
    <row r="151" spans="1:41" hidden="1" x14ac:dyDescent="0.25">
      <c r="A151" s="24"/>
      <c r="B151" s="23"/>
      <c r="C151" s="23"/>
      <c r="D151" s="23"/>
      <c r="E151" s="23"/>
    </row>
    <row r="152" spans="1:41" hidden="1" x14ac:dyDescent="0.25">
      <c r="A152" s="24"/>
      <c r="B152" s="23" t="s">
        <v>1015</v>
      </c>
      <c r="C152" s="23"/>
      <c r="D152" s="23"/>
      <c r="E152" s="23"/>
    </row>
    <row r="153" spans="1:41" hidden="1" x14ac:dyDescent="0.25">
      <c r="A153" s="24"/>
      <c r="B153" s="23"/>
      <c r="C153" s="23"/>
      <c r="D153" s="23"/>
      <c r="E153" s="23"/>
    </row>
    <row r="154" spans="1:41" hidden="1" x14ac:dyDescent="0.25">
      <c r="A154" s="24"/>
      <c r="B154" s="23"/>
      <c r="C154" s="23"/>
      <c r="D154" s="23"/>
      <c r="E154" s="23"/>
    </row>
    <row r="155" spans="1:41" ht="30.75" customHeight="1" thickBot="1" x14ac:dyDescent="0.45">
      <c r="B155" s="243" t="str">
        <f>IF(Language="English", AM155, AO155)</f>
        <v>Résultats: Tendances des utilisatrices par méthode</v>
      </c>
      <c r="C155" s="232"/>
      <c r="D155" s="232"/>
      <c r="E155" s="232"/>
      <c r="F155" s="232"/>
      <c r="G155" s="232"/>
      <c r="H155" s="232"/>
      <c r="I155" s="232"/>
      <c r="J155" s="232"/>
      <c r="K155" s="232"/>
      <c r="L155" s="232"/>
      <c r="M155" s="232"/>
      <c r="N155" s="232"/>
      <c r="O155" s="232"/>
      <c r="P155" s="232"/>
      <c r="Q155" s="232"/>
      <c r="R155" s="232"/>
      <c r="S155" s="232"/>
      <c r="T155" s="232"/>
      <c r="U155" s="232"/>
      <c r="V155" s="232"/>
      <c r="AM155" s="447" t="s">
        <v>721</v>
      </c>
      <c r="AO155" s="481" t="s">
        <v>2441</v>
      </c>
    </row>
    <row r="156" spans="1:41" x14ac:dyDescent="0.25">
      <c r="A156" s="24"/>
      <c r="B156" s="23"/>
      <c r="C156" s="23"/>
      <c r="D156" s="23"/>
      <c r="E156" s="23"/>
      <c r="AM156" s="477" t="e">
        <f>VLOOKUP(C157,$AL$157:$AM$165,2,FALSE)</f>
        <v>#N/A</v>
      </c>
    </row>
    <row r="157" spans="1:41" x14ac:dyDescent="0.25">
      <c r="A157" s="24"/>
      <c r="B157" s="755" t="str">
        <f>IF(Language="English", "Method", "Methode")</f>
        <v>Methode</v>
      </c>
      <c r="C157" s="1641" t="s">
        <v>110</v>
      </c>
      <c r="D157" s="1642"/>
      <c r="AL157" t="e">
        <f>#REF!</f>
        <v>#REF!</v>
      </c>
      <c r="AM157" s="447">
        <v>1</v>
      </c>
    </row>
    <row r="158" spans="1:41" x14ac:dyDescent="0.25">
      <c r="A158" s="24"/>
      <c r="B158" s="23"/>
      <c r="AL158" t="e">
        <f>#REF!</f>
        <v>#REF!</v>
      </c>
      <c r="AM158" s="447">
        <v>1</v>
      </c>
    </row>
    <row r="159" spans="1:41" x14ac:dyDescent="0.25">
      <c r="A159" s="24"/>
      <c r="B159" s="1647"/>
      <c r="C159" s="1647"/>
      <c r="D159" s="1648"/>
      <c r="E159" s="332">
        <f>'3. ServiceStats Set Up'!T33</f>
        <v>0</v>
      </c>
      <c r="F159" s="333">
        <f>IFERROR(IF(E159='3. ServiceStats Set Up'!$T$32,"",E159+1),"")</f>
        <v>1</v>
      </c>
      <c r="G159" s="333">
        <f>IFERROR(IF(F159='3. ServiceStats Set Up'!$T$32,"",F159+1),"")</f>
        <v>2</v>
      </c>
      <c r="H159" s="333">
        <f>IFERROR(IF(G159='3. ServiceStats Set Up'!$T$32,"",G159+1),"")</f>
        <v>3</v>
      </c>
      <c r="I159" s="333">
        <f>IFERROR(IF(H159='3. ServiceStats Set Up'!$T$32,"",H159+1),"")</f>
        <v>4</v>
      </c>
      <c r="J159" s="333">
        <f>IFERROR(IF(I159='3. ServiceStats Set Up'!$T$32,"",I159+1),"")</f>
        <v>5</v>
      </c>
      <c r="K159" s="333">
        <f>IFERROR(IF(J159='3. ServiceStats Set Up'!$T$32,"",J159+1),"")</f>
        <v>6</v>
      </c>
      <c r="L159" s="333">
        <f>IFERROR(IF(K159='3. ServiceStats Set Up'!$T$32,"",K159+1),"")</f>
        <v>7</v>
      </c>
      <c r="M159" s="333">
        <f>IFERROR(IF(L159='3. ServiceStats Set Up'!$T$32,"",L159+1),"")</f>
        <v>8</v>
      </c>
      <c r="N159" s="333">
        <f>IFERROR(IF(M159='3. ServiceStats Set Up'!$T$32,"",M159+1),"")</f>
        <v>9</v>
      </c>
      <c r="O159" s="333">
        <f>IFERROR(IF(N159='3. ServiceStats Set Up'!$T$32,"",N159+1),"")</f>
        <v>10</v>
      </c>
      <c r="P159" s="333">
        <f>IFERROR(IF(O159='3. ServiceStats Set Up'!$T$32,"",O159+1),"")</f>
        <v>11</v>
      </c>
      <c r="Q159" s="333">
        <f>IFERROR(IF(P159='3. ServiceStats Set Up'!$T$32,"",P159+1),"")</f>
        <v>12</v>
      </c>
      <c r="R159" s="333">
        <f>IFERROR(IF(Q159='3. ServiceStats Set Up'!$T$32,"",Q159+1),"")</f>
        <v>13</v>
      </c>
      <c r="S159" s="333">
        <f>IFERROR(IF(R159='3. ServiceStats Set Up'!$T$32,"",R159+1),"")</f>
        <v>14</v>
      </c>
      <c r="T159" s="333">
        <f>IFERROR(IF(S159='3. ServiceStats Set Up'!$T$32,"",S159+1),"")</f>
        <v>15</v>
      </c>
      <c r="U159">
        <f>IFERROR(IF(T159=2020, "", T159+1),"")</f>
        <v>16</v>
      </c>
      <c r="V159">
        <f>IFERROR(IF(U159=2020, "", U159+1),"")</f>
        <v>17</v>
      </c>
      <c r="AL159" t="e">
        <f>#REF!</f>
        <v>#REF!</v>
      </c>
      <c r="AM159" s="447">
        <v>2</v>
      </c>
      <c r="AN159" s="480"/>
    </row>
    <row r="160" spans="1:41" hidden="1" x14ac:dyDescent="0.25">
      <c r="A160" s="24"/>
      <c r="B160" s="1643" t="s">
        <v>691</v>
      </c>
      <c r="C160" s="1644"/>
      <c r="D160" s="1644"/>
      <c r="E160" s="334" t="e">
        <f>IF($AM$156=1,VLOOKUP($C$157,#REF!,MATCH('"EMU" Output'!E$159,#REF!,0),FALSE),VLOOKUP($C$157,#REF!,MATCH('"EMU" Output'!E$159,#REF!,0),FALSE))</f>
        <v>#N/A</v>
      </c>
      <c r="F160" s="334" t="e">
        <f>IF($AM$156=1,VLOOKUP($C$157,#REF!,MATCH('"EMU" Output'!F$159,#REF!,0),FALSE),VLOOKUP($C$157,#REF!,MATCH('"EMU" Output'!F$159,#REF!,0),FALSE))</f>
        <v>#N/A</v>
      </c>
      <c r="G160" s="334" t="e">
        <f>IF($AM$156=1,VLOOKUP($C$157,#REF!,MATCH('"EMU" Output'!G$159,#REF!,0),FALSE),VLOOKUP($C$157,#REF!,MATCH('"EMU" Output'!G$159,#REF!,0),FALSE))</f>
        <v>#N/A</v>
      </c>
      <c r="H160" s="334" t="e">
        <f>IF($AM$156=1,VLOOKUP($C$157,#REF!,MATCH('"EMU" Output'!H$159,#REF!,0),FALSE),VLOOKUP($C$157,#REF!,MATCH('"EMU" Output'!H$159,#REF!,0),FALSE))</f>
        <v>#N/A</v>
      </c>
      <c r="I160" s="334" t="e">
        <f>IF($AM$156=1,VLOOKUP($C$157,#REF!,MATCH('"EMU" Output'!I$159,#REF!,0),FALSE),VLOOKUP($C$157,#REF!,MATCH('"EMU" Output'!I$159,#REF!,0),FALSE))</f>
        <v>#N/A</v>
      </c>
      <c r="J160" s="334" t="e">
        <f>IF($AM$156=1,VLOOKUP($C$157,#REF!,MATCH('"EMU" Output'!J$159,#REF!,0),FALSE),VLOOKUP($C$157,#REF!,MATCH('"EMU" Output'!J$159,#REF!,0),FALSE))</f>
        <v>#N/A</v>
      </c>
      <c r="K160" s="334" t="e">
        <f>IF($AM$156=1,VLOOKUP($C$157,#REF!,MATCH('"EMU" Output'!K$159,#REF!,0),FALSE),VLOOKUP($C$157,#REF!,MATCH('"EMU" Output'!K$159,#REF!,0),FALSE))</f>
        <v>#N/A</v>
      </c>
      <c r="L160" s="334" t="e">
        <f>IF($AM$156=1,VLOOKUP($C$157,#REF!,MATCH('"EMU" Output'!L$159,#REF!,0),FALSE),VLOOKUP($C$157,#REF!,MATCH('"EMU" Output'!L$159,#REF!,0),FALSE))</f>
        <v>#N/A</v>
      </c>
      <c r="M160" s="334" t="e">
        <f>IF($AM$156=1,VLOOKUP($C$157,#REF!,MATCH('"EMU" Output'!M$159,#REF!,0),FALSE),VLOOKUP($C$157,#REF!,MATCH('"EMU" Output'!M$159,#REF!,0),FALSE))</f>
        <v>#N/A</v>
      </c>
      <c r="N160" s="334" t="e">
        <f>IF($AM$156=1,VLOOKUP($C$157,#REF!,MATCH('"EMU" Output'!N$159,#REF!,0),FALSE),VLOOKUP($C$157,#REF!,MATCH('"EMU" Output'!N$159,#REF!,0),FALSE))</f>
        <v>#N/A</v>
      </c>
      <c r="O160" s="334" t="e">
        <f>IF($AM$156=1,VLOOKUP($C$157,#REF!,MATCH('"EMU" Output'!O$159,#REF!,0),FALSE),VLOOKUP($C$157,#REF!,MATCH('"EMU" Output'!O$159,#REF!,0),FALSE))</f>
        <v>#N/A</v>
      </c>
      <c r="P160" s="334" t="e">
        <f>IF($AM$156=1,VLOOKUP($C$157,#REF!,MATCH('"EMU" Output'!P$159,#REF!,0),FALSE),VLOOKUP($C$157,#REF!,MATCH('"EMU" Output'!P$159,#REF!,0),FALSE))</f>
        <v>#N/A</v>
      </c>
      <c r="Q160" s="334" t="e">
        <f>IF($AM$156=1,VLOOKUP($C$157,#REF!,MATCH('"EMU" Output'!Q$159,#REF!,0),FALSE),VLOOKUP($C$157,#REF!,MATCH('"EMU" Output'!Q$159,#REF!,0),FALSE))</f>
        <v>#N/A</v>
      </c>
      <c r="R160" s="334" t="e">
        <f>IF($AM$156=1,VLOOKUP($C$157,#REF!,MATCH('"EMU" Output'!R$159,#REF!,0),FALSE),VLOOKUP($C$157,#REF!,MATCH('"EMU" Output'!R$159,#REF!,0),FALSE))</f>
        <v>#N/A</v>
      </c>
      <c r="S160" s="334" t="e">
        <f>IF($AM$156=1,VLOOKUP($C$157,#REF!,MATCH('"EMU" Output'!S$159,#REF!,0),FALSE),VLOOKUP($C$157,#REF!,MATCH('"EMU" Output'!S$159,#REF!,0),FALSE))</f>
        <v>#N/A</v>
      </c>
      <c r="T160" s="334" t="e">
        <f>IF($AM$156=1,VLOOKUP($C$157,#REF!,MATCH('"EMU" Output'!T$159,#REF!,0),FALSE),VLOOKUP($C$157,#REF!,MATCH('"EMU" Output'!T$159,#REF!,0),FALSE))</f>
        <v>#N/A</v>
      </c>
      <c r="U160" s="2" t="e">
        <f>IF($AM$156=1,VLOOKUP($C$157,#REF!,MATCH('"EMU" Output'!U$159,#REF!,0),FALSE),VLOOKUP($C$157,#REF!,MATCH('"EMU" Output'!U$159,#REF!,0),FALSE))</f>
        <v>#N/A</v>
      </c>
      <c r="V160" s="2" t="e">
        <f>IF($AM$156=1,VLOOKUP($C$157,#REF!,MATCH('"EMU" Output'!V$159,#REF!,0),FALSE),VLOOKUP($C$157,#REF!,MATCH('"EMU" Output'!V$159,#REF!,0),FALSE))</f>
        <v>#N/A</v>
      </c>
      <c r="AL160" t="e">
        <f>#REF!</f>
        <v>#REF!</v>
      </c>
      <c r="AM160" s="447">
        <v>2</v>
      </c>
    </row>
    <row r="161" spans="2:39" x14ac:dyDescent="0.25">
      <c r="B161" s="1645" t="str">
        <f>'Language Look Ups'!B15</f>
        <v>Produits aux clients</v>
      </c>
      <c r="C161" s="1646"/>
      <c r="D161" s="1646"/>
      <c r="E161" s="334" t="e">
        <f>IF(VLOOKUP($C$157,'Commodities (Clients) Output'!$C$112:$S$120,MATCH('"EMU" Output'!E$159,'Commodities (Clients) Output'!$C$111:$S$111,0),FALSE)="",NA(),VLOOKUP($C$157,'Commodities (Clients) Output'!$C$112:$S$120,MATCH('"EMU" Output'!E$159,'Commodities (Clients) Output'!$C$111:$S$111,0),FALSE))</f>
        <v>#N/A</v>
      </c>
      <c r="F161" s="334" t="e">
        <f>IF(VLOOKUP($C$157,'Commodities (Clients) Output'!$C$112:$S$120,MATCH('"EMU" Output'!F$159,'Commodities (Clients) Output'!$C$111:$S$111,0),FALSE)="",NA(),VLOOKUP($C$157,'Commodities (Clients) Output'!$C$112:$S$120,MATCH('"EMU" Output'!F$159,'Commodities (Clients) Output'!$C$111:$S$111,0),FALSE))</f>
        <v>#N/A</v>
      </c>
      <c r="G161" s="334" t="e">
        <f>IF(VLOOKUP($C$157,'Commodities (Clients) Output'!$C$112:$S$120,MATCH('"EMU" Output'!G$159,'Commodities (Clients) Output'!$C$111:$S$111,0),FALSE)="",NA(),VLOOKUP($C$157,'Commodities (Clients) Output'!$C$112:$S$120,MATCH('"EMU" Output'!G$159,'Commodities (Clients) Output'!$C$111:$S$111,0),FALSE))</f>
        <v>#N/A</v>
      </c>
      <c r="H161" s="334" t="e">
        <f>IF(VLOOKUP($C$157,'Commodities (Clients) Output'!$C$112:$S$120,MATCH('"EMU" Output'!H$159,'Commodities (Clients) Output'!$C$111:$S$111,0),FALSE)="",NA(),VLOOKUP($C$157,'Commodities (Clients) Output'!$C$112:$S$120,MATCH('"EMU" Output'!H$159,'Commodities (Clients) Output'!$C$111:$S$111,0),FALSE))</f>
        <v>#N/A</v>
      </c>
      <c r="I161" s="334" t="e">
        <f>IF(VLOOKUP($C$157,'Commodities (Clients) Output'!$C$112:$S$120,MATCH('"EMU" Output'!I$159,'Commodities (Clients) Output'!$C$111:$S$111,0),FALSE)="",NA(),VLOOKUP($C$157,'Commodities (Clients) Output'!$C$112:$S$120,MATCH('"EMU" Output'!I$159,'Commodities (Clients) Output'!$C$111:$S$111,0),FALSE))</f>
        <v>#N/A</v>
      </c>
      <c r="J161" s="334" t="e">
        <f>IF(VLOOKUP($C$157,'Commodities (Clients) Output'!$C$112:$S$120,MATCH('"EMU" Output'!J$159,'Commodities (Clients) Output'!$C$111:$S$111,0),FALSE)="",NA(),VLOOKUP($C$157,'Commodities (Clients) Output'!$C$112:$S$120,MATCH('"EMU" Output'!J$159,'Commodities (Clients) Output'!$C$111:$S$111,0),FALSE))</f>
        <v>#N/A</v>
      </c>
      <c r="K161" s="334" t="e">
        <f>IF(VLOOKUP($C$157,'Commodities (Clients) Output'!$C$112:$S$120,MATCH('"EMU" Output'!K$159,'Commodities (Clients) Output'!$C$111:$S$111,0),FALSE)="",NA(),VLOOKUP($C$157,'Commodities (Clients) Output'!$C$112:$S$120,MATCH('"EMU" Output'!K$159,'Commodities (Clients) Output'!$C$111:$S$111,0),FALSE))</f>
        <v>#N/A</v>
      </c>
      <c r="L161" s="334" t="e">
        <f>IF(VLOOKUP($C$157,'Commodities (Clients) Output'!$C$112:$S$120,MATCH('"EMU" Output'!L$159,'Commodities (Clients) Output'!$C$111:$S$111,0),FALSE)="",NA(),VLOOKUP($C$157,'Commodities (Clients) Output'!$C$112:$S$120,MATCH('"EMU" Output'!L$159,'Commodities (Clients) Output'!$C$111:$S$111,0),FALSE))</f>
        <v>#N/A</v>
      </c>
      <c r="M161" s="334" t="e">
        <f>IF(VLOOKUP($C$157,'Commodities (Clients) Output'!$C$112:$S$120,MATCH('"EMU" Output'!M$159,'Commodities (Clients) Output'!$C$111:$S$111,0),FALSE)="",NA(),VLOOKUP($C$157,'Commodities (Clients) Output'!$C$112:$S$120,MATCH('"EMU" Output'!M$159,'Commodities (Clients) Output'!$C$111:$S$111,0),FALSE))</f>
        <v>#N/A</v>
      </c>
      <c r="N161" s="334" t="e">
        <f>IF(VLOOKUP($C$157,'Commodities (Clients) Output'!$C$112:$S$120,MATCH('"EMU" Output'!N$159,'Commodities (Clients) Output'!$C$111:$S$111,0),FALSE)="",NA(),VLOOKUP($C$157,'Commodities (Clients) Output'!$C$112:$S$120,MATCH('"EMU" Output'!N$159,'Commodities (Clients) Output'!$C$111:$S$111,0),FALSE))</f>
        <v>#N/A</v>
      </c>
      <c r="O161" s="334" t="e">
        <f>IF(VLOOKUP($C$157,'Commodities (Clients) Output'!$C$112:$S$120,MATCH('"EMU" Output'!O$159,'Commodities (Clients) Output'!$C$111:$S$111,0),FALSE)="",NA(),VLOOKUP($C$157,'Commodities (Clients) Output'!$C$112:$S$120,MATCH('"EMU" Output'!O$159,'Commodities (Clients) Output'!$C$111:$S$111,0),FALSE))</f>
        <v>#N/A</v>
      </c>
      <c r="P161" s="334" t="e">
        <f>IF(VLOOKUP($C$157,'Commodities (Clients) Output'!$C$112:$S$120,MATCH('"EMU" Output'!P$159,'Commodities (Clients) Output'!$C$111:$S$111,0),FALSE)="",NA(),VLOOKUP($C$157,'Commodities (Clients) Output'!$C$112:$S$120,MATCH('"EMU" Output'!P$159,'Commodities (Clients) Output'!$C$111:$S$111,0),FALSE))</f>
        <v>#N/A</v>
      </c>
      <c r="Q161" s="334" t="e">
        <f>IF(VLOOKUP($C$157,'Commodities (Clients) Output'!$C$112:$S$120,MATCH('"EMU" Output'!Q$159,'Commodities (Clients) Output'!$C$111:$S$111,0),FALSE)="",NA(),VLOOKUP($C$157,'Commodities (Clients) Output'!$C$112:$S$120,MATCH('"EMU" Output'!Q$159,'Commodities (Clients) Output'!$C$111:$S$111,0),FALSE))</f>
        <v>#N/A</v>
      </c>
      <c r="R161" s="334" t="e">
        <f>IF(VLOOKUP($C$157,'Commodities (Clients) Output'!$C$112:$S$120,MATCH('"EMU" Output'!R$159,'Commodities (Clients) Output'!$C$111:$S$111,0),FALSE)="",NA(),VLOOKUP($C$157,'Commodities (Clients) Output'!$C$112:$S$120,MATCH('"EMU" Output'!R$159,'Commodities (Clients) Output'!$C$111:$S$111,0),FALSE))</f>
        <v>#N/A</v>
      </c>
      <c r="S161" s="334" t="e">
        <f>IF(VLOOKUP($C$157,'Commodities (Clients) Output'!$C$112:$S$120,MATCH('"EMU" Output'!S$159,'Commodities (Clients) Output'!$C$111:$S$111,0),FALSE)="",NA(),VLOOKUP($C$157,'Commodities (Clients) Output'!$C$112:$S$120,MATCH('"EMU" Output'!S$159,'Commodities (Clients) Output'!$C$111:$S$111,0),FALSE))</f>
        <v>#N/A</v>
      </c>
      <c r="T161" s="334" t="e">
        <f>IF(VLOOKUP($C$157,'Commodities (Clients) Output'!$C$112:$S$120,MATCH('"EMU" Output'!T$159,'Commodities (Clients) Output'!$C$111:$S$111,0),FALSE)="",NA(),VLOOKUP($C$157,'Commodities (Clients) Output'!$C$112:$S$120,MATCH('"EMU" Output'!T$159,'Commodities (Clients) Output'!$C$111:$S$111,0),FALSE))</f>
        <v>#N/A</v>
      </c>
      <c r="U161" s="2" t="e">
        <f>IF(VLOOKUP($C$157,'Commodities (Clients) Input'!$C$175:$V$176,MATCH('"EMU" Output'!U$159,'Commodities (Clients) Input'!$C$174:$V$174,0),FALSE)="",NA(),VLOOKUP($C$157,'Commodities (Clients) Input'!$C$175:$V$176,MATCH('"EMU" Output'!U$159,'Commodities (Clients) Input'!$C$174:$V$174,0),FALSE))</f>
        <v>#N/A</v>
      </c>
      <c r="V161" s="2" t="e">
        <f>IF(VLOOKUP($C$157,'Commodities (Clients) Input'!$C$175:$V$176,MATCH('"EMU" Output'!V$159,'Commodities (Clients) Input'!$C$174:$V$174,0),FALSE)="",NA(),VLOOKUP($C$157,'Commodities (Clients) Input'!$C$175:$V$176,MATCH('"EMU" Output'!V$159,'Commodities (Clients) Input'!$C$174:$V$174,0),FALSE))</f>
        <v>#N/A</v>
      </c>
      <c r="AL161" t="e">
        <f>#REF!</f>
        <v>#REF!</v>
      </c>
      <c r="AM161" s="447">
        <v>2</v>
      </c>
    </row>
    <row r="162" spans="2:39" x14ac:dyDescent="0.25">
      <c r="B162" s="1645" t="str">
        <f>'Language Look Ups'!B16</f>
        <v>Produits aux établissements</v>
      </c>
      <c r="C162" s="1646"/>
      <c r="D162" s="1646"/>
      <c r="E162" s="334" t="e">
        <f>IF(VLOOKUP($C$157,'Commodities (Facility) Output'!$C$111:$S$119,MATCH('"EMU" Output'!E$159,'Commodities (Facility) Output'!$C$110:$S$110,0),FALSE)="",NA(),VLOOKUP($C$157,'Commodities (Facility) Output'!$C$111:$S$119,MATCH('"EMU" Output'!E$159,'Commodities (Facility) Output'!$C$110:$S$110,0),FALSE))</f>
        <v>#N/A</v>
      </c>
      <c r="F162" s="334" t="e">
        <f>IF(VLOOKUP($C$157,'Commodities (Facility) Output'!$C$111:$S$119,MATCH('"EMU" Output'!F$159,'Commodities (Facility) Output'!$C$110:$S$110,0),FALSE)="",NA(),VLOOKUP($C$157,'Commodities (Facility) Output'!$C$111:$S$119,MATCH('"EMU" Output'!F$159,'Commodities (Facility) Output'!$C$110:$S$110,0),FALSE))</f>
        <v>#N/A</v>
      </c>
      <c r="G162" s="334" t="e">
        <f>IF(VLOOKUP($C$157,'Commodities (Facility) Output'!$C$111:$S$119,MATCH('"EMU" Output'!G$159,'Commodities (Facility) Output'!$C$110:$S$110,0),FALSE)="",NA(),VLOOKUP($C$157,'Commodities (Facility) Output'!$C$111:$S$119,MATCH('"EMU" Output'!G$159,'Commodities (Facility) Output'!$C$110:$S$110,0),FALSE))</f>
        <v>#N/A</v>
      </c>
      <c r="H162" s="334" t="e">
        <f>IF(VLOOKUP($C$157,'Commodities (Facility) Output'!$C$111:$S$119,MATCH('"EMU" Output'!H$159,'Commodities (Facility) Output'!$C$110:$S$110,0),FALSE)="",NA(),VLOOKUP($C$157,'Commodities (Facility) Output'!$C$111:$S$119,MATCH('"EMU" Output'!H$159,'Commodities (Facility) Output'!$C$110:$S$110,0),FALSE))</f>
        <v>#N/A</v>
      </c>
      <c r="I162" s="334" t="e">
        <f>IF(VLOOKUP($C$157,'Commodities (Facility) Output'!$C$111:$S$119,MATCH('"EMU" Output'!I$159,'Commodities (Facility) Output'!$C$110:$S$110,0),FALSE)="",NA(),VLOOKUP($C$157,'Commodities (Facility) Output'!$C$111:$S$119,MATCH('"EMU" Output'!I$159,'Commodities (Facility) Output'!$C$110:$S$110,0),FALSE))</f>
        <v>#N/A</v>
      </c>
      <c r="J162" s="334" t="e">
        <f>IF(VLOOKUP($C$157,'Commodities (Facility) Output'!$C$111:$S$119,MATCH('"EMU" Output'!J$159,'Commodities (Facility) Output'!$C$110:$S$110,0),FALSE)="",NA(),VLOOKUP($C$157,'Commodities (Facility) Output'!$C$111:$S$119,MATCH('"EMU" Output'!J$159,'Commodities (Facility) Output'!$C$110:$S$110,0),FALSE))</f>
        <v>#N/A</v>
      </c>
      <c r="K162" s="334" t="e">
        <f>IF(VLOOKUP($C$157,'Commodities (Facility) Output'!$C$111:$S$119,MATCH('"EMU" Output'!K$159,'Commodities (Facility) Output'!$C$110:$S$110,0),FALSE)="",NA(),VLOOKUP($C$157,'Commodities (Facility) Output'!$C$111:$S$119,MATCH('"EMU" Output'!K$159,'Commodities (Facility) Output'!$C$110:$S$110,0),FALSE))</f>
        <v>#N/A</v>
      </c>
      <c r="L162" s="334" t="e">
        <f>IF(VLOOKUP($C$157,'Commodities (Facility) Output'!$C$111:$S$119,MATCH('"EMU" Output'!L$159,'Commodities (Facility) Output'!$C$110:$S$110,0),FALSE)="",NA(),VLOOKUP($C$157,'Commodities (Facility) Output'!$C$111:$S$119,MATCH('"EMU" Output'!L$159,'Commodities (Facility) Output'!$C$110:$S$110,0),FALSE))</f>
        <v>#N/A</v>
      </c>
      <c r="M162" s="334" t="e">
        <f>IF(VLOOKUP($C$157,'Commodities (Facility) Output'!$C$111:$S$119,MATCH('"EMU" Output'!M$159,'Commodities (Facility) Output'!$C$110:$S$110,0),FALSE)="",NA(),VLOOKUP($C$157,'Commodities (Facility) Output'!$C$111:$S$119,MATCH('"EMU" Output'!M$159,'Commodities (Facility) Output'!$C$110:$S$110,0),FALSE))</f>
        <v>#N/A</v>
      </c>
      <c r="N162" s="334" t="e">
        <f>IF(VLOOKUP($C$157,'Commodities (Facility) Output'!$C$111:$S$119,MATCH('"EMU" Output'!N$159,'Commodities (Facility) Output'!$C$110:$S$110,0),FALSE)="",NA(),VLOOKUP($C$157,'Commodities (Facility) Output'!$C$111:$S$119,MATCH('"EMU" Output'!N$159,'Commodities (Facility) Output'!$C$110:$S$110,0),FALSE))</f>
        <v>#N/A</v>
      </c>
      <c r="O162" s="334" t="e">
        <f>IF(VLOOKUP($C$157,'Commodities (Facility) Output'!$C$111:$S$119,MATCH('"EMU" Output'!O$159,'Commodities (Facility) Output'!$C$110:$S$110,0),FALSE)="",NA(),VLOOKUP($C$157,'Commodities (Facility) Output'!$C$111:$S$119,MATCH('"EMU" Output'!O$159,'Commodities (Facility) Output'!$C$110:$S$110,0),FALSE))</f>
        <v>#N/A</v>
      </c>
      <c r="P162" s="334" t="e">
        <f>IF(VLOOKUP($C$157,'Commodities (Facility) Output'!$C$111:$S$119,MATCH('"EMU" Output'!P$159,'Commodities (Facility) Output'!$C$110:$S$110,0),FALSE)="",NA(),VLOOKUP($C$157,'Commodities (Facility) Output'!$C$111:$S$119,MATCH('"EMU" Output'!P$159,'Commodities (Facility) Output'!$C$110:$S$110,0),FALSE))</f>
        <v>#N/A</v>
      </c>
      <c r="Q162" s="334" t="e">
        <f>IF(VLOOKUP($C$157,'Commodities (Facility) Output'!$C$111:$S$119,MATCH('"EMU" Output'!Q$159,'Commodities (Facility) Output'!$C$110:$S$110,0),FALSE)="",NA(),VLOOKUP($C$157,'Commodities (Facility) Output'!$C$111:$S$119,MATCH('"EMU" Output'!Q$159,'Commodities (Facility) Output'!$C$110:$S$110,0),FALSE))</f>
        <v>#N/A</v>
      </c>
      <c r="R162" s="334" t="e">
        <f>IF(VLOOKUP($C$157,'Commodities (Facility) Output'!$C$111:$S$119,MATCH('"EMU" Output'!R$159,'Commodities (Facility) Output'!$C$110:$S$110,0),FALSE)="",NA(),VLOOKUP($C$157,'Commodities (Facility) Output'!$C$111:$S$119,MATCH('"EMU" Output'!R$159,'Commodities (Facility) Output'!$C$110:$S$110,0),FALSE))</f>
        <v>#N/A</v>
      </c>
      <c r="S162" s="334" t="e">
        <f>IF(VLOOKUP($C$157,'Commodities (Facility) Output'!$C$111:$S$119,MATCH('"EMU" Output'!S$159,'Commodities (Facility) Output'!$C$110:$S$110,0),FALSE)="",NA(),VLOOKUP($C$157,'Commodities (Facility) Output'!$C$111:$S$119,MATCH('"EMU" Output'!S$159,'Commodities (Facility) Output'!$C$110:$S$110,0),FALSE))</f>
        <v>#N/A</v>
      </c>
      <c r="T162" s="334" t="e">
        <f>IF(VLOOKUP($C$157,'Commodities (Facility) Output'!$C$111:$S$119,MATCH('"EMU" Output'!T$159,'Commodities (Facility) Output'!$C$110:$S$110,0),FALSE)="",NA(),VLOOKUP($C$157,'Commodities (Facility) Output'!$C$111:$S$119,MATCH('"EMU" Output'!T$159,'Commodities (Facility) Output'!$C$110:$S$110,0),FALSE))</f>
        <v>#N/A</v>
      </c>
      <c r="U162" s="2" t="e">
        <f>IF(VLOOKUP($C$157, 'Commodities (Facility) Input'!$C$178:$V$184, MATCH('"EMU" Output'!U$159, 'Commodities (Facility) Input'!$C$177:$V$177, 0), FALSE)="", NA(), VLOOKUP($C$157, 'Commodities (Facility) Input'!$C$178:$V$184, MATCH('"EMU" Output'!U$159, 'Commodities (Facility) Input'!$C$177:$V$177, 0), FALSE))</f>
        <v>#N/A</v>
      </c>
      <c r="V162" s="2" t="e">
        <f>IF(VLOOKUP($C$157, 'Commodities (Facility) Input'!$C$178:$V$184, MATCH('"EMU" Output'!V$159, 'Commodities (Facility) Input'!$C$177:$V$177, 0), FALSE)="", NA(), VLOOKUP($C$157, 'Commodities (Facility) Input'!$C$178:$V$184, MATCH('"EMU" Output'!V$159, 'Commodities (Facility) Input'!$C$177:$V$177, 0), FALSE))</f>
        <v>#N/A</v>
      </c>
      <c r="AL162" t="e">
        <f>#REF!</f>
        <v>#REF!</v>
      </c>
      <c r="AM162" s="447">
        <v>2</v>
      </c>
    </row>
    <row r="163" spans="2:39" x14ac:dyDescent="0.25">
      <c r="B163" s="1645" t="str">
        <f>'Language Look Ups'!B17</f>
        <v>Visites</v>
      </c>
      <c r="C163" s="1646"/>
      <c r="D163" s="1646"/>
      <c r="E163" s="334" t="e">
        <f>IF(VLOOKUP($C$157,'Visits Output'!$C$111:$S$119,MATCH('"EMU" Output'!E$159,'Visits Output'!$C$110:$S$110,0),FALSE)="",NA(),VLOOKUP($C$157,'Visits Output'!$C$111:$S$119,MATCH('"EMU" Output'!E$159,'Visits Output'!$C$110:$S$110,0),FALSE))</f>
        <v>#N/A</v>
      </c>
      <c r="F163" s="334" t="e">
        <f>IF(VLOOKUP($C$157,'Visits Output'!$C$111:$S$119,MATCH('"EMU" Output'!F$159,'Visits Output'!$C$110:$S$110,0),FALSE)="",NA(),VLOOKUP($C$157,'Visits Output'!$C$111:$S$119,MATCH('"EMU" Output'!F$159,'Visits Output'!$C$110:$S$110,0),FALSE))</f>
        <v>#N/A</v>
      </c>
      <c r="G163" s="334" t="e">
        <f>IF(VLOOKUP($C$157,'Visits Output'!$C$111:$S$119,MATCH('"EMU" Output'!G$159,'Visits Output'!$C$110:$S$110,0),FALSE)="",NA(),VLOOKUP($C$157,'Visits Output'!$C$111:$S$119,MATCH('"EMU" Output'!G$159,'Visits Output'!$C$110:$S$110,0),FALSE))</f>
        <v>#N/A</v>
      </c>
      <c r="H163" s="334" t="e">
        <f>IF(VLOOKUP($C$157,'Visits Output'!$C$111:$S$119,MATCH('"EMU" Output'!H$159,'Visits Output'!$C$110:$S$110,0),FALSE)="",NA(),VLOOKUP($C$157,'Visits Output'!$C$111:$S$119,MATCH('"EMU" Output'!H$159,'Visits Output'!$C$110:$S$110,0),FALSE))</f>
        <v>#N/A</v>
      </c>
      <c r="I163" s="334" t="e">
        <f>IF(VLOOKUP($C$157,'Visits Output'!$C$111:$S$119,MATCH('"EMU" Output'!I$159,'Visits Output'!$C$110:$S$110,0),FALSE)="",NA(),VLOOKUP($C$157,'Visits Output'!$C$111:$S$119,MATCH('"EMU" Output'!I$159,'Visits Output'!$C$110:$S$110,0),FALSE))</f>
        <v>#N/A</v>
      </c>
      <c r="J163" s="334" t="e">
        <f>IF(VLOOKUP($C$157,'Visits Output'!$C$111:$S$119,MATCH('"EMU" Output'!J$159,'Visits Output'!$C$110:$S$110,0),FALSE)="",NA(),VLOOKUP($C$157,'Visits Output'!$C$111:$S$119,MATCH('"EMU" Output'!J$159,'Visits Output'!$C$110:$S$110,0),FALSE))</f>
        <v>#N/A</v>
      </c>
      <c r="K163" s="334" t="e">
        <f>IF(VLOOKUP($C$157,'Visits Output'!$C$111:$S$119,MATCH('"EMU" Output'!K$159,'Visits Output'!$C$110:$S$110,0),FALSE)="",NA(),VLOOKUP($C$157,'Visits Output'!$C$111:$S$119,MATCH('"EMU" Output'!K$159,'Visits Output'!$C$110:$S$110,0),FALSE))</f>
        <v>#N/A</v>
      </c>
      <c r="L163" s="334" t="e">
        <f>IF(VLOOKUP($C$157,'Visits Output'!$C$111:$S$119,MATCH('"EMU" Output'!L$159,'Visits Output'!$C$110:$S$110,0),FALSE)="",NA(),VLOOKUP($C$157,'Visits Output'!$C$111:$S$119,MATCH('"EMU" Output'!L$159,'Visits Output'!$C$110:$S$110,0),FALSE))</f>
        <v>#N/A</v>
      </c>
      <c r="M163" s="334" t="e">
        <f>IF(VLOOKUP($C$157,'Visits Output'!$C$111:$S$119,MATCH('"EMU" Output'!M$159,'Visits Output'!$C$110:$S$110,0),FALSE)="",NA(),VLOOKUP($C$157,'Visits Output'!$C$111:$S$119,MATCH('"EMU" Output'!M$159,'Visits Output'!$C$110:$S$110,0),FALSE))</f>
        <v>#N/A</v>
      </c>
      <c r="N163" s="334" t="e">
        <f>IF(VLOOKUP($C$157,'Visits Output'!$C$111:$S$119,MATCH('"EMU" Output'!N$159,'Visits Output'!$C$110:$S$110,0),FALSE)="",NA(),VLOOKUP($C$157,'Visits Output'!$C$111:$S$119,MATCH('"EMU" Output'!N$159,'Visits Output'!$C$110:$S$110,0),FALSE))</f>
        <v>#N/A</v>
      </c>
      <c r="O163" s="334" t="e">
        <f>IF(VLOOKUP($C$157,'Visits Output'!$C$111:$S$119,MATCH('"EMU" Output'!O$159,'Visits Output'!$C$110:$S$110,0),FALSE)="",NA(),VLOOKUP($C$157,'Visits Output'!$C$111:$S$119,MATCH('"EMU" Output'!O$159,'Visits Output'!$C$110:$S$110,0),FALSE))</f>
        <v>#N/A</v>
      </c>
      <c r="P163" s="334" t="e">
        <f>IF(VLOOKUP($C$157,'Visits Output'!$C$111:$S$119,MATCH('"EMU" Output'!P$159,'Visits Output'!$C$110:$S$110,0),FALSE)="",NA(),VLOOKUP($C$157,'Visits Output'!$C$111:$S$119,MATCH('"EMU" Output'!P$159,'Visits Output'!$C$110:$S$110,0),FALSE))</f>
        <v>#N/A</v>
      </c>
      <c r="Q163" s="334" t="e">
        <f>IF(VLOOKUP($C$157,'Visits Output'!$C$111:$S$119,MATCH('"EMU" Output'!Q$159,'Visits Output'!$C$110:$S$110,0),FALSE)="",NA(),VLOOKUP($C$157,'Visits Output'!$C$111:$S$119,MATCH('"EMU" Output'!Q$159,'Visits Output'!$C$110:$S$110,0),FALSE))</f>
        <v>#N/A</v>
      </c>
      <c r="R163" s="334" t="e">
        <f>IF(VLOOKUP($C$157,'Visits Output'!$C$111:$S$119,MATCH('"EMU" Output'!R$159,'Visits Output'!$C$110:$S$110,0),FALSE)="",NA(),VLOOKUP($C$157,'Visits Output'!$C$111:$S$119,MATCH('"EMU" Output'!R$159,'Visits Output'!$C$110:$S$110,0),FALSE))</f>
        <v>#N/A</v>
      </c>
      <c r="S163" s="334" t="e">
        <f>IF(VLOOKUP($C$157,'Visits Output'!$C$111:$S$119,MATCH('"EMU" Output'!S$159,'Visits Output'!$C$110:$S$110,0),FALSE)="",NA(),VLOOKUP($C$157,'Visits Output'!$C$111:$S$119,MATCH('"EMU" Output'!S$159,'Visits Output'!$C$110:$S$110,0),FALSE))</f>
        <v>#N/A</v>
      </c>
      <c r="T163" s="334" t="e">
        <f>IF(VLOOKUP($C$157,'Visits Output'!$C$111:$S$119,MATCH('"EMU" Output'!T$159,'Visits Output'!$C$110:$S$110,0),FALSE)="",NA(),VLOOKUP($C$157,'Visits Output'!$C$111:$S$119,MATCH('"EMU" Output'!T$159,'Visits Output'!$C$110:$S$110,0),FALSE))</f>
        <v>#N/A</v>
      </c>
      <c r="U163" s="2"/>
      <c r="V163" s="2"/>
      <c r="AL163" t="e">
        <f>#REF!</f>
        <v>#REF!</v>
      </c>
    </row>
    <row r="164" spans="2:39" x14ac:dyDescent="0.25">
      <c r="B164" s="1645" t="str">
        <f>'Language Look Ups'!B18</f>
        <v>Utilisatrices de PF</v>
      </c>
      <c r="C164" s="1646"/>
      <c r="D164" s="1646"/>
      <c r="E164" s="334" t="e">
        <f>IF(VLOOKUP($C$157,'Users Output'!$C$110:$S$118,MATCH('"EMU" Output'!E$159,'Users Output'!$C$109:$S$109,0),FALSE)="",NA(),VLOOKUP($C$157,'Users Output'!$C$110:$S$118,MATCH('"EMU" Output'!E$159,'Users Output'!$C$109:$S$109,0),FALSE))</f>
        <v>#N/A</v>
      </c>
      <c r="F164" s="334" t="e">
        <f>IF(VLOOKUP($C$157,'Users Output'!$C$110:$S$118,MATCH('"EMU" Output'!F$159,'Users Output'!$C$109:$S$109,0),FALSE)="",NA(),VLOOKUP($C$157,'Users Output'!$C$110:$S$118,MATCH('"EMU" Output'!F$159,'Users Output'!$C$109:$S$109,0),FALSE))</f>
        <v>#N/A</v>
      </c>
      <c r="G164" s="334" t="e">
        <f>IF(VLOOKUP($C$157,'Users Output'!$C$110:$S$118,MATCH('"EMU" Output'!G$159,'Users Output'!$C$109:$S$109,0),FALSE)="",NA(),VLOOKUP($C$157,'Users Output'!$C$110:$S$118,MATCH('"EMU" Output'!G$159,'Users Output'!$C$109:$S$109,0),FALSE))</f>
        <v>#N/A</v>
      </c>
      <c r="H164" s="334" t="e">
        <f>IF(VLOOKUP($C$157,'Users Output'!$C$110:$S$118,MATCH('"EMU" Output'!H$159,'Users Output'!$C$109:$S$109,0),FALSE)="",NA(),VLOOKUP($C$157,'Users Output'!$C$110:$S$118,MATCH('"EMU" Output'!H$159,'Users Output'!$C$109:$S$109,0),FALSE))</f>
        <v>#N/A</v>
      </c>
      <c r="I164" s="334" t="e">
        <f>IF(VLOOKUP($C$157,'Users Output'!$C$110:$S$118,MATCH('"EMU" Output'!I$159,'Users Output'!$C$109:$S$109,0),FALSE)="",NA(),VLOOKUP($C$157,'Users Output'!$C$110:$S$118,MATCH('"EMU" Output'!I$159,'Users Output'!$C$109:$S$109,0),FALSE))</f>
        <v>#N/A</v>
      </c>
      <c r="J164" s="334" t="e">
        <f>IF(VLOOKUP($C$157,'Users Output'!$C$110:$S$118,MATCH('"EMU" Output'!J$159,'Users Output'!$C$109:$S$109,0),FALSE)="",NA(),VLOOKUP($C$157,'Users Output'!$C$110:$S$118,MATCH('"EMU" Output'!J$159,'Users Output'!$C$109:$S$109,0),FALSE))</f>
        <v>#N/A</v>
      </c>
      <c r="K164" s="334" t="e">
        <f>IF(VLOOKUP($C$157,'Users Output'!$C$110:$S$118,MATCH('"EMU" Output'!K$159,'Users Output'!$C$109:$S$109,0),FALSE)="",NA(),VLOOKUP($C$157,'Users Output'!$C$110:$S$118,MATCH('"EMU" Output'!K$159,'Users Output'!$C$109:$S$109,0),FALSE))</f>
        <v>#N/A</v>
      </c>
      <c r="L164" s="334" t="e">
        <f>IF(VLOOKUP($C$157,'Users Output'!$C$110:$S$118,MATCH('"EMU" Output'!L$159,'Users Output'!$C$109:$S$109,0),FALSE)="",NA(),VLOOKUP($C$157,'Users Output'!$C$110:$S$118,MATCH('"EMU" Output'!L$159,'Users Output'!$C$109:$S$109,0),FALSE))</f>
        <v>#N/A</v>
      </c>
      <c r="M164" s="334" t="e">
        <f>IF(VLOOKUP($C$157,'Users Output'!$C$110:$S$118,MATCH('"EMU" Output'!M$159,'Users Output'!$C$109:$S$109,0),FALSE)="",NA(),VLOOKUP($C$157,'Users Output'!$C$110:$S$118,MATCH('"EMU" Output'!M$159,'Users Output'!$C$109:$S$109,0),FALSE))</f>
        <v>#N/A</v>
      </c>
      <c r="N164" s="334" t="e">
        <f>IF(VLOOKUP($C$157,'Users Output'!$C$110:$S$118,MATCH('"EMU" Output'!N$159,'Users Output'!$C$109:$S$109,0),FALSE)="",NA(),VLOOKUP($C$157,'Users Output'!$C$110:$S$118,MATCH('"EMU" Output'!N$159,'Users Output'!$C$109:$S$109,0),FALSE))</f>
        <v>#N/A</v>
      </c>
      <c r="O164" s="334" t="e">
        <f>IF(VLOOKUP($C$157,'Users Output'!$C$110:$S$118,MATCH('"EMU" Output'!O$159,'Users Output'!$C$109:$S$109,0),FALSE)="",NA(),VLOOKUP($C$157,'Users Output'!$C$110:$S$118,MATCH('"EMU" Output'!O$159,'Users Output'!$C$109:$S$109,0),FALSE))</f>
        <v>#N/A</v>
      </c>
      <c r="P164" s="334" t="e">
        <f>IF(VLOOKUP($C$157,'Users Output'!$C$110:$S$118,MATCH('"EMU" Output'!P$159,'Users Output'!$C$109:$S$109,0),FALSE)="",NA(),VLOOKUP($C$157,'Users Output'!$C$110:$S$118,MATCH('"EMU" Output'!P$159,'Users Output'!$C$109:$S$109,0),FALSE))</f>
        <v>#N/A</v>
      </c>
      <c r="Q164" s="334" t="e">
        <f>IF(VLOOKUP($C$157,'Users Output'!$C$110:$S$118,MATCH('"EMU" Output'!Q$159,'Users Output'!$C$109:$S$109,0),FALSE)="",NA(),VLOOKUP($C$157,'Users Output'!$C$110:$S$118,MATCH('"EMU" Output'!Q$159,'Users Output'!$C$109:$S$109,0),FALSE))</f>
        <v>#N/A</v>
      </c>
      <c r="R164" s="334" t="e">
        <f>IF(VLOOKUP($C$157,'Users Output'!$C$110:$S$118,MATCH('"EMU" Output'!R$159,'Users Output'!$C$109:$S$109,0),FALSE)="",NA(),VLOOKUP($C$157,'Users Output'!$C$110:$S$118,MATCH('"EMU" Output'!R$159,'Users Output'!$C$109:$S$109,0),FALSE))</f>
        <v>#N/A</v>
      </c>
      <c r="S164" s="334" t="e">
        <f>IF(VLOOKUP($C$157,'Users Output'!$C$110:$S$118,MATCH('"EMU" Output'!S$159,'Users Output'!$C$109:$S$109,0),FALSE)="",NA(),VLOOKUP($C$157,'Users Output'!$C$110:$S$118,MATCH('"EMU" Output'!S$159,'Users Output'!$C$109:$S$109,0),FALSE))</f>
        <v>#N/A</v>
      </c>
      <c r="T164" s="334" t="e">
        <f>IF(VLOOKUP($C$157,'Users Output'!$C$110:$S$118,MATCH('"EMU" Output'!T$159,'Users Output'!$C$109:$S$109,0),FALSE)="",NA(),VLOOKUP($C$157,'Users Output'!$C$110:$S$118,MATCH('"EMU" Output'!T$159,'Users Output'!$C$109:$S$109,0),FALSE))</f>
        <v>#N/A</v>
      </c>
      <c r="U164" s="2"/>
      <c r="V164" s="2"/>
      <c r="AL164" t="e">
        <f>#REF!</f>
        <v>#REF!</v>
      </c>
    </row>
    <row r="165" spans="2:39" hidden="1" x14ac:dyDescent="0.25">
      <c r="B165" s="1640" t="s">
        <v>1055</v>
      </c>
      <c r="C165" s="1640"/>
      <c r="D165" s="1640"/>
      <c r="E165" s="334" t="e">
        <f>VLOOKUP($C$157, 'Commodities (Facility) Output'!$C$18:$S$28, MATCH('"EMU" Output'!E159, 'Commodities (Facility) Output'!$C$18:$T$18,0), FALSE)</f>
        <v>#N/A</v>
      </c>
      <c r="F165" s="334" t="e">
        <f>VLOOKUP($C$157, 'Commodities (Facility) Output'!$C$18:$S$28, MATCH('"EMU" Output'!F159, 'Commodities (Facility) Output'!$C$18:$T$18,0), FALSE)</f>
        <v>#N/A</v>
      </c>
      <c r="G165" s="334" t="e">
        <f>VLOOKUP($C$157, 'Commodities (Facility) Output'!$C$18:$S$28, MATCH('"EMU" Output'!G159, 'Commodities (Facility) Output'!$C$18:$T$18,0), FALSE)</f>
        <v>#N/A</v>
      </c>
      <c r="H165" s="334" t="e">
        <f>VLOOKUP($C$157, 'Commodities (Facility) Output'!$C$18:$S$28, MATCH('"EMU" Output'!H159, 'Commodities (Facility) Output'!$C$18:$T$18,0), FALSE)</f>
        <v>#N/A</v>
      </c>
      <c r="I165" s="334" t="e">
        <f>VLOOKUP($C$157, 'Commodities (Facility) Output'!$C$18:$S$28, MATCH('"EMU" Output'!I159, 'Commodities (Facility) Output'!$C$18:$T$18,0), FALSE)</f>
        <v>#N/A</v>
      </c>
      <c r="J165" s="334" t="e">
        <f>VLOOKUP($C$157, 'Commodities (Facility) Output'!$C$18:$S$28, MATCH('"EMU" Output'!J159, 'Commodities (Facility) Output'!$C$18:$T$18,0), FALSE)</f>
        <v>#N/A</v>
      </c>
      <c r="K165" s="334" t="e">
        <f>VLOOKUP($C$157, 'Commodities (Facility) Output'!$C$18:$S$28, MATCH('"EMU" Output'!K159, 'Commodities (Facility) Output'!$C$18:$T$18,0), FALSE)</f>
        <v>#N/A</v>
      </c>
      <c r="L165" s="334" t="e">
        <f>VLOOKUP($C$157, 'Commodities (Facility) Output'!$C$18:$S$28, MATCH('"EMU" Output'!L159, 'Commodities (Facility) Output'!$C$18:$T$18,0), FALSE)</f>
        <v>#N/A</v>
      </c>
      <c r="M165" s="334" t="e">
        <f>VLOOKUP($C$157, 'Commodities (Facility) Output'!$C$18:$S$28, MATCH('"EMU" Output'!M159, 'Commodities (Facility) Output'!$C$18:$T$18,0), FALSE)</f>
        <v>#N/A</v>
      </c>
      <c r="N165" s="334" t="e">
        <f>VLOOKUP($C$157, 'Commodities (Facility) Output'!$C$18:$S$28, MATCH('"EMU" Output'!N159, 'Commodities (Facility) Output'!$C$18:$T$18,0), FALSE)</f>
        <v>#N/A</v>
      </c>
      <c r="O165" s="334" t="e">
        <f>VLOOKUP($C$157, 'Commodities (Facility) Output'!$C$18:$S$28, MATCH('"EMU" Output'!O159, 'Commodities (Facility) Output'!$C$18:$T$18,0), FALSE)</f>
        <v>#N/A</v>
      </c>
      <c r="P165" s="334" t="e">
        <f>VLOOKUP($C$157, 'Commodities (Facility) Output'!$C$18:$S$28, MATCH('"EMU" Output'!P159, 'Commodities (Facility) Output'!$C$18:$T$18,0), FALSE)</f>
        <v>#N/A</v>
      </c>
      <c r="Q165" s="334" t="e">
        <f>VLOOKUP($C$157, 'Commodities (Facility) Output'!$C$18:$S$28, MATCH('"EMU" Output'!Q159, 'Commodities (Facility) Output'!$C$18:$T$18,0), FALSE)</f>
        <v>#N/A</v>
      </c>
      <c r="R165" s="334" t="e">
        <f>VLOOKUP($C$157, 'Commodities (Facility) Output'!$C$18:$S$28, MATCH('"EMU" Output'!R159, 'Commodities (Facility) Output'!$C$18:$T$18,0), FALSE)</f>
        <v>#N/A</v>
      </c>
      <c r="S165" s="334" t="e">
        <f>VLOOKUP($C$157, 'Commodities (Facility) Output'!$C$18:$S$28, MATCH('"EMU" Output'!S159, 'Commodities (Facility) Output'!$C$18:$T$18,0), FALSE)</f>
        <v>#N/A</v>
      </c>
      <c r="T165" s="334" t="e">
        <f>VLOOKUP($C$157, 'Commodities (Facility) Output'!$C$18:$S$28, MATCH('"EMU" Output'!T159, 'Commodities (Facility) Output'!$C$18:$T$18,0), FALSE)</f>
        <v>#N/A</v>
      </c>
      <c r="AL165" t="e">
        <f>#REF!</f>
        <v>#REF!</v>
      </c>
      <c r="AM165" s="447">
        <v>2</v>
      </c>
    </row>
    <row r="166" spans="2:39" x14ac:dyDescent="0.25">
      <c r="B166" s="1640"/>
      <c r="C166" s="1640"/>
      <c r="D166" s="1640"/>
    </row>
    <row r="187" spans="5:5" x14ac:dyDescent="0.25">
      <c r="E187">
        <f ca="1">OFFSET(E159, 0, 0, 1,COUNT($E$159:$T$159))</f>
        <v>0</v>
      </c>
    </row>
  </sheetData>
  <mergeCells count="112">
    <mergeCell ref="G106:J106"/>
    <mergeCell ref="C100:D100"/>
    <mergeCell ref="C101:D101"/>
    <mergeCell ref="C102:D102"/>
    <mergeCell ref="C103:D103"/>
    <mergeCell ref="C104:D104"/>
    <mergeCell ref="C105:D105"/>
    <mergeCell ref="C106:D106"/>
    <mergeCell ref="E105:F105"/>
    <mergeCell ref="E106:F106"/>
    <mergeCell ref="G100:J100"/>
    <mergeCell ref="G101:J101"/>
    <mergeCell ref="G102:J102"/>
    <mergeCell ref="G103:J103"/>
    <mergeCell ref="G104:J104"/>
    <mergeCell ref="E100:F100"/>
    <mergeCell ref="E101:F101"/>
    <mergeCell ref="E102:F102"/>
    <mergeCell ref="E103:F103"/>
    <mergeCell ref="E104:F104"/>
    <mergeCell ref="G92:J92"/>
    <mergeCell ref="G93:J93"/>
    <mergeCell ref="G94:J94"/>
    <mergeCell ref="G95:J95"/>
    <mergeCell ref="G96:J96"/>
    <mergeCell ref="G97:J97"/>
    <mergeCell ref="G98:J98"/>
    <mergeCell ref="G99:J99"/>
    <mergeCell ref="G105:J105"/>
    <mergeCell ref="C99:D99"/>
    <mergeCell ref="E91:F91"/>
    <mergeCell ref="E92:F92"/>
    <mergeCell ref="E93:F93"/>
    <mergeCell ref="E94:F94"/>
    <mergeCell ref="E95:F95"/>
    <mergeCell ref="E96:F96"/>
    <mergeCell ref="E97:F97"/>
    <mergeCell ref="E98:F98"/>
    <mergeCell ref="E99:F99"/>
    <mergeCell ref="C94:D94"/>
    <mergeCell ref="C95:D95"/>
    <mergeCell ref="C96:D96"/>
    <mergeCell ref="C97:D97"/>
    <mergeCell ref="C98:D98"/>
    <mergeCell ref="E90:F90"/>
    <mergeCell ref="G90:J90"/>
    <mergeCell ref="C91:D91"/>
    <mergeCell ref="C92:D92"/>
    <mergeCell ref="C93:D93"/>
    <mergeCell ref="AB8:AH8"/>
    <mergeCell ref="L81:U81"/>
    <mergeCell ref="L82:U82"/>
    <mergeCell ref="L84:U84"/>
    <mergeCell ref="H85:K85"/>
    <mergeCell ref="M43:N43"/>
    <mergeCell ref="M44:N44"/>
    <mergeCell ref="M45:N45"/>
    <mergeCell ref="M46:N46"/>
    <mergeCell ref="M47:N47"/>
    <mergeCell ref="M48:N48"/>
    <mergeCell ref="M49:N49"/>
    <mergeCell ref="M50:N50"/>
    <mergeCell ref="M51:N51"/>
    <mergeCell ref="M42:N42"/>
    <mergeCell ref="B86:G86"/>
    <mergeCell ref="B88:U88"/>
    <mergeCell ref="C90:D90"/>
    <mergeCell ref="G91:J91"/>
    <mergeCell ref="B1:V1"/>
    <mergeCell ref="H81:K81"/>
    <mergeCell ref="H82:K82"/>
    <mergeCell ref="H84:K84"/>
    <mergeCell ref="B85:G85"/>
    <mergeCell ref="B57:F57"/>
    <mergeCell ref="L85:U85"/>
    <mergeCell ref="B42:C42"/>
    <mergeCell ref="B81:G81"/>
    <mergeCell ref="B82:G82"/>
    <mergeCell ref="B84:G84"/>
    <mergeCell ref="B41:F41"/>
    <mergeCell ref="M28:Q28"/>
    <mergeCell ref="B7:V7"/>
    <mergeCell ref="B83:G83"/>
    <mergeCell ref="H83:K83"/>
    <mergeCell ref="M142:O142"/>
    <mergeCell ref="M143:O143"/>
    <mergeCell ref="B130:H130"/>
    <mergeCell ref="B166:D166"/>
    <mergeCell ref="C157:D157"/>
    <mergeCell ref="B160:D160"/>
    <mergeCell ref="B161:D161"/>
    <mergeCell ref="B162:D162"/>
    <mergeCell ref="B165:D165"/>
    <mergeCell ref="B163:D163"/>
    <mergeCell ref="B164:D164"/>
    <mergeCell ref="B159:D159"/>
    <mergeCell ref="M144:O144"/>
    <mergeCell ref="M145:O145"/>
    <mergeCell ref="M146:O146"/>
    <mergeCell ref="M134:O134"/>
    <mergeCell ref="B110:O110"/>
    <mergeCell ref="M130:O130"/>
    <mergeCell ref="M131:O131"/>
    <mergeCell ref="M132:O132"/>
    <mergeCell ref="M133:O133"/>
    <mergeCell ref="M140:O140"/>
    <mergeCell ref="M141:O141"/>
    <mergeCell ref="M135:O135"/>
    <mergeCell ref="M136:O136"/>
    <mergeCell ref="M137:O137"/>
    <mergeCell ref="M138:O138"/>
    <mergeCell ref="M139:O139"/>
  </mergeCells>
  <conditionalFormatting sqref="L113:L127 B112:U112 D131:D146 J113:J127 B113:E127">
    <cfRule type="expression" dxfId="34" priority="28">
      <formula>$Z112=1</formula>
    </cfRule>
  </conditionalFormatting>
  <conditionalFormatting sqref="C59:F76">
    <cfRule type="cellIs" dxfId="33" priority="21" operator="equal">
      <formula>""</formula>
    </cfRule>
    <cfRule type="cellIs" dxfId="32" priority="22" operator="greaterThanOrEqual">
      <formula>0.8</formula>
    </cfRule>
    <cfRule type="cellIs" dxfId="31" priority="23" operator="between">
      <formula>0.6</formula>
      <formula>0.8</formula>
    </cfRule>
    <cfRule type="cellIs" dxfId="30" priority="30" operator="lessThan">
      <formula>0.6</formula>
    </cfRule>
    <cfRule type="containsErrors" dxfId="29" priority="31">
      <formula>ISERROR(C59)</formula>
    </cfRule>
  </conditionalFormatting>
  <conditionalFormatting sqref="E159:V159">
    <cfRule type="notContainsBlanks" dxfId="28" priority="16">
      <formula>LEN(TRIM(E159))&gt;0</formula>
    </cfRule>
  </conditionalFormatting>
  <conditionalFormatting sqref="E160:Q164 U160:V164">
    <cfRule type="containsErrors" dxfId="27" priority="15">
      <formula>ISERROR(E160)</formula>
    </cfRule>
  </conditionalFormatting>
  <conditionalFormatting sqref="R160:T164">
    <cfRule type="containsErrors" dxfId="26" priority="11">
      <formula>ISERROR(R160)</formula>
    </cfRule>
  </conditionalFormatting>
  <conditionalFormatting sqref="E165:T165">
    <cfRule type="containsErrors" dxfId="25" priority="10">
      <formula>ISERROR(E165)</formula>
    </cfRule>
  </conditionalFormatting>
  <conditionalFormatting sqref="S10:V27">
    <cfRule type="containsBlanks" dxfId="24" priority="4">
      <formula>LEN(TRIM(S10))=0</formula>
    </cfRule>
    <cfRule type="cellIs" dxfId="23" priority="5" operator="lessThan">
      <formula>S$31</formula>
    </cfRule>
    <cfRule type="cellIs" dxfId="22" priority="6" operator="greaterThan">
      <formula>S$30</formula>
    </cfRule>
  </conditionalFormatting>
  <conditionalFormatting sqref="N35:V35">
    <cfRule type="containsErrors" dxfId="21" priority="3">
      <formula>ISERROR(N35)</formula>
    </cfRule>
  </conditionalFormatting>
  <conditionalFormatting sqref="N34:V35">
    <cfRule type="containsErrors" dxfId="20" priority="2">
      <formula>ISERROR(N34)</formula>
    </cfRule>
  </conditionalFormatting>
  <conditionalFormatting sqref="M28:Q28">
    <cfRule type="containsBlanks" dxfId="19" priority="1">
      <formula>LEN(TRIM(M28))=0</formula>
    </cfRule>
  </conditionalFormatting>
  <dataValidations count="2">
    <dataValidation type="list" allowBlank="1" showInputMessage="1" showErrorMessage="1" sqref="G41" xr:uid="{EF6C1DEA-164B-462E-B795-AAA14FF664FE}">
      <formula1>YEARS</formula1>
    </dataValidation>
    <dataValidation type="list" allowBlank="1" showInputMessage="1" showErrorMessage="1" sqref="H81:H85" xr:uid="{00000000-0002-0000-1300-000000000000}">
      <formula1>$S$9:$V$9</formula1>
    </dataValidation>
  </dataValidations>
  <pageMargins left="0.7" right="0.7" top="0.75" bottom="0.75" header="0.3" footer="0.3"/>
  <pageSetup orientation="portrait" r:id="rId1"/>
  <ignoredErrors>
    <ignoredError sqref="C59:E76 F59:F76" evalError="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300-000001000000}">
          <x14:formula1>
            <xm:f>'Commodities (Clients) Output'!$C$112:$C$120</xm:f>
          </x14:formula1>
          <xm:sqref>C157:D157</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tint="-0.499984740745262"/>
  </sheetPr>
  <dimension ref="A3:T64"/>
  <sheetViews>
    <sheetView showGridLines="0" zoomScale="70" zoomScaleNormal="70" workbookViewId="0">
      <selection activeCell="S30" sqref="S30"/>
    </sheetView>
  </sheetViews>
  <sheetFormatPr defaultRowHeight="15" x14ac:dyDescent="0.25"/>
  <cols>
    <col min="2" max="2" width="15.42578125" customWidth="1"/>
    <col min="3" max="3" width="14.7109375" customWidth="1"/>
    <col min="5" max="5" width="15" customWidth="1"/>
    <col min="6" max="7" width="18.42578125" customWidth="1"/>
    <col min="8" max="8" width="14.42578125" customWidth="1"/>
    <col min="15" max="15" width="23.5703125" customWidth="1"/>
    <col min="16" max="16" width="26.7109375" customWidth="1"/>
    <col min="17" max="17" width="20.5703125" customWidth="1"/>
    <col min="18" max="18" width="29.85546875" customWidth="1"/>
    <col min="19" max="20" width="22" customWidth="1"/>
  </cols>
  <sheetData>
    <row r="3" spans="2:20" x14ac:dyDescent="0.25">
      <c r="Q3" s="32"/>
    </row>
    <row r="4" spans="2:20" ht="19.5" thickBot="1" x14ac:dyDescent="0.35">
      <c r="O4" s="1674" t="s">
        <v>628</v>
      </c>
      <c r="P4" s="1674"/>
      <c r="Q4" s="1674" t="s">
        <v>656</v>
      </c>
      <c r="R4" s="1674"/>
      <c r="S4" s="1674" t="s">
        <v>740</v>
      </c>
      <c r="T4" s="1674"/>
    </row>
    <row r="5" spans="2:20" ht="30" x14ac:dyDescent="0.25">
      <c r="B5" t="s">
        <v>659</v>
      </c>
      <c r="C5" s="304" t="str">
        <f>IF(Language="English", C6, IF(Language="Francais", C8, C7))</f>
        <v>Oui</v>
      </c>
      <c r="D5" s="627" t="str">
        <f>IF(Language="English", D6, IF(Language="Francais", D8, D7))</f>
        <v>Non</v>
      </c>
      <c r="E5" s="305" t="str">
        <f>IF(Language="English", E6, IF(Language="Francais", E8, E7))</f>
        <v>en partie</v>
      </c>
      <c r="G5" s="304" t="str">
        <f>IF(Language="English", G6, IF(Language="Francais", G7,G8))</f>
        <v>Toutes les Femmes</v>
      </c>
      <c r="H5" s="305" t="str">
        <f>IF(Language="English", H6, IF(Language="Francais", H7,H8))</f>
        <v>Femmes Mariées</v>
      </c>
      <c r="L5" s="309" t="s">
        <v>6</v>
      </c>
      <c r="M5" s="98" t="s">
        <v>8</v>
      </c>
      <c r="N5" s="229" t="s">
        <v>84</v>
      </c>
      <c r="O5" s="104" t="s">
        <v>94</v>
      </c>
      <c r="P5" s="51"/>
      <c r="Q5" s="296" t="s">
        <v>655</v>
      </c>
      <c r="R5" s="287"/>
      <c r="S5" s="104" t="s">
        <v>775</v>
      </c>
      <c r="T5" s="51"/>
    </row>
    <row r="6" spans="2:20" x14ac:dyDescent="0.25">
      <c r="C6" s="257" t="s">
        <v>88</v>
      </c>
      <c r="D6" s="258" t="s">
        <v>89</v>
      </c>
      <c r="E6" s="301" t="s">
        <v>983</v>
      </c>
      <c r="G6" s="150" t="s">
        <v>282</v>
      </c>
      <c r="H6" s="301" t="s">
        <v>281</v>
      </c>
      <c r="O6" s="1676" t="s">
        <v>1</v>
      </c>
      <c r="P6" s="274" t="s">
        <v>97</v>
      </c>
      <c r="Q6" s="1671" t="s">
        <v>638</v>
      </c>
      <c r="R6" s="274" t="s">
        <v>639</v>
      </c>
      <c r="S6" s="1676" t="s">
        <v>776</v>
      </c>
      <c r="T6" s="363" t="s">
        <v>777</v>
      </c>
    </row>
    <row r="7" spans="2:20" x14ac:dyDescent="0.25">
      <c r="C7" s="257" t="s">
        <v>637</v>
      </c>
      <c r="D7" s="258" t="s">
        <v>89</v>
      </c>
      <c r="E7" s="301" t="s">
        <v>985</v>
      </c>
      <c r="G7" s="150" t="s">
        <v>724</v>
      </c>
      <c r="H7" s="301" t="s">
        <v>745</v>
      </c>
      <c r="O7" s="1580"/>
      <c r="P7" s="275" t="s">
        <v>96</v>
      </c>
      <c r="Q7" s="1673"/>
      <c r="R7" s="275" t="s">
        <v>640</v>
      </c>
      <c r="S7" s="1580"/>
      <c r="T7" s="275" t="s">
        <v>778</v>
      </c>
    </row>
    <row r="8" spans="2:20" ht="15.75" thickBot="1" x14ac:dyDescent="0.3">
      <c r="C8" s="628" t="s">
        <v>799</v>
      </c>
      <c r="D8" s="629" t="s">
        <v>979</v>
      </c>
      <c r="E8" s="630" t="s">
        <v>984</v>
      </c>
      <c r="G8" s="150" t="s">
        <v>636</v>
      </c>
      <c r="H8" s="301" t="s">
        <v>635</v>
      </c>
      <c r="O8" s="1676" t="s">
        <v>5</v>
      </c>
      <c r="P8" s="274" t="s">
        <v>114</v>
      </c>
      <c r="Q8" s="1671" t="s">
        <v>641</v>
      </c>
      <c r="R8" s="274" t="s">
        <v>642</v>
      </c>
      <c r="S8" s="1676" t="s">
        <v>641</v>
      </c>
      <c r="T8" s="363" t="s">
        <v>779</v>
      </c>
    </row>
    <row r="9" spans="2:20" ht="15.75" thickBot="1" x14ac:dyDescent="0.3">
      <c r="C9">
        <v>1</v>
      </c>
      <c r="D9">
        <v>0</v>
      </c>
      <c r="E9">
        <v>0.5</v>
      </c>
      <c r="G9" s="302" t="s">
        <v>124</v>
      </c>
      <c r="H9" s="303" t="s">
        <v>123</v>
      </c>
      <c r="O9" s="1580"/>
      <c r="P9" s="275" t="s">
        <v>2029</v>
      </c>
      <c r="Q9" s="1673"/>
      <c r="R9" s="275" t="s">
        <v>2029</v>
      </c>
      <c r="S9" s="1580"/>
      <c r="T9" s="275" t="s">
        <v>2030</v>
      </c>
    </row>
    <row r="10" spans="2:20" x14ac:dyDescent="0.25">
      <c r="O10" s="1676" t="s">
        <v>3</v>
      </c>
      <c r="P10" s="274" t="s">
        <v>2033</v>
      </c>
      <c r="Q10" s="1671" t="s">
        <v>643</v>
      </c>
      <c r="R10" s="274" t="s">
        <v>2033</v>
      </c>
      <c r="S10" s="1676" t="s">
        <v>3</v>
      </c>
      <c r="T10" s="363" t="s">
        <v>2034</v>
      </c>
    </row>
    <row r="11" spans="2:20" x14ac:dyDescent="0.25">
      <c r="N11" s="275" t="s">
        <v>2037</v>
      </c>
      <c r="O11" s="1515"/>
      <c r="P11" s="277" t="s">
        <v>2037</v>
      </c>
      <c r="Q11" s="1672"/>
      <c r="R11" s="277" t="s">
        <v>2037</v>
      </c>
      <c r="S11" s="1515"/>
      <c r="T11" s="277" t="s">
        <v>2038</v>
      </c>
    </row>
    <row r="12" spans="2:20" x14ac:dyDescent="0.25">
      <c r="O12" s="1580"/>
      <c r="P12" s="275" t="s">
        <v>2035</v>
      </c>
      <c r="Q12" s="1673"/>
      <c r="R12" s="275" t="s">
        <v>2035</v>
      </c>
      <c r="S12" s="1580"/>
      <c r="T12" s="275" t="s">
        <v>2036</v>
      </c>
    </row>
    <row r="13" spans="2:20" x14ac:dyDescent="0.25">
      <c r="P13" s="279"/>
      <c r="T13" s="279"/>
    </row>
    <row r="14" spans="2:20" ht="18.75" x14ac:dyDescent="0.25">
      <c r="B14" s="370" t="s">
        <v>659</v>
      </c>
      <c r="C14" s="371" t="s">
        <v>628</v>
      </c>
      <c r="D14" s="371" t="s">
        <v>656</v>
      </c>
      <c r="E14" s="371" t="s">
        <v>740</v>
      </c>
      <c r="O14" s="104" t="s">
        <v>95</v>
      </c>
      <c r="P14" s="280"/>
      <c r="Q14" s="296" t="s">
        <v>644</v>
      </c>
      <c r="R14" s="280"/>
      <c r="S14" s="104" t="s">
        <v>780</v>
      </c>
      <c r="T14" s="280"/>
    </row>
    <row r="15" spans="2:20" ht="15" customHeight="1" x14ac:dyDescent="0.25">
      <c r="B15" s="370" t="str">
        <f>IF(Language="English", C15,IF(Language="Francais", E15, D15))</f>
        <v>Produits aux clients</v>
      </c>
      <c r="C15" s="338" t="s">
        <v>692</v>
      </c>
      <c r="D15" s="338" t="s">
        <v>704</v>
      </c>
      <c r="E15" s="338" t="s">
        <v>932</v>
      </c>
      <c r="F15">
        <v>1</v>
      </c>
      <c r="G15" s="1139" t="s">
        <v>1991</v>
      </c>
      <c r="H15" t="s">
        <v>1996</v>
      </c>
      <c r="O15" s="1676" t="s">
        <v>2</v>
      </c>
      <c r="P15" s="274" t="s">
        <v>99</v>
      </c>
      <c r="Q15" s="1671" t="s">
        <v>645</v>
      </c>
      <c r="R15" s="274" t="s">
        <v>99</v>
      </c>
      <c r="S15" s="1675" t="s">
        <v>781</v>
      </c>
      <c r="T15" s="363" t="s">
        <v>99</v>
      </c>
    </row>
    <row r="16" spans="2:20" x14ac:dyDescent="0.25">
      <c r="B16" s="370" t="str">
        <f>IF(Language="English", C16,IF(Language="Francais", E16, D16))</f>
        <v>Produits aux établissements</v>
      </c>
      <c r="C16" s="338" t="s">
        <v>693</v>
      </c>
      <c r="D16" s="338" t="s">
        <v>705</v>
      </c>
      <c r="E16" s="338" t="s">
        <v>933</v>
      </c>
      <c r="F16">
        <v>2</v>
      </c>
      <c r="G16" s="1138" t="s">
        <v>1998</v>
      </c>
      <c r="H16" t="s">
        <v>1997</v>
      </c>
      <c r="O16" s="1515"/>
      <c r="P16" s="277" t="s">
        <v>98</v>
      </c>
      <c r="Q16" s="1672"/>
      <c r="R16" s="277" t="s">
        <v>98</v>
      </c>
      <c r="S16" s="1588"/>
      <c r="T16" s="277" t="s">
        <v>98</v>
      </c>
    </row>
    <row r="17" spans="1:20" x14ac:dyDescent="0.25">
      <c r="B17" s="370" t="str">
        <f>IF(Language="English", C17,IF(Language="Francais", E17, D17))</f>
        <v>Visites</v>
      </c>
      <c r="C17" s="338" t="s">
        <v>91</v>
      </c>
      <c r="D17" s="338" t="s">
        <v>681</v>
      </c>
      <c r="E17" s="338" t="s">
        <v>934</v>
      </c>
      <c r="F17">
        <v>3</v>
      </c>
      <c r="G17" s="1138" t="s">
        <v>1992</v>
      </c>
      <c r="H17" t="s">
        <v>1994</v>
      </c>
      <c r="O17" s="1515"/>
      <c r="P17" s="277" t="s">
        <v>100</v>
      </c>
      <c r="Q17" s="1672"/>
      <c r="R17" s="277" t="s">
        <v>100</v>
      </c>
      <c r="S17" s="1588"/>
      <c r="T17" s="277" t="s">
        <v>100</v>
      </c>
    </row>
    <row r="18" spans="1:20" x14ac:dyDescent="0.25">
      <c r="B18" s="370" t="str">
        <f>IF(Language="English", C18,IF(Language="Francais", E18, D18))</f>
        <v>Utilisatrices de PF</v>
      </c>
      <c r="C18" s="338" t="s">
        <v>92</v>
      </c>
      <c r="D18" s="338" t="s">
        <v>682</v>
      </c>
      <c r="E18" s="338" t="s">
        <v>2413</v>
      </c>
      <c r="F18">
        <v>4</v>
      </c>
      <c r="G18" s="1138" t="s">
        <v>1993</v>
      </c>
      <c r="H18" t="s">
        <v>1995</v>
      </c>
      <c r="O18" s="1515"/>
      <c r="P18" s="277" t="s">
        <v>101</v>
      </c>
      <c r="Q18" s="1672"/>
      <c r="R18" s="277" t="s">
        <v>101</v>
      </c>
      <c r="S18" s="1588"/>
      <c r="T18" s="277" t="s">
        <v>101</v>
      </c>
    </row>
    <row r="19" spans="1:20" x14ac:dyDescent="0.25">
      <c r="O19" s="1580"/>
      <c r="P19" s="275" t="s">
        <v>311</v>
      </c>
      <c r="Q19" s="1673"/>
      <c r="R19" s="275" t="s">
        <v>311</v>
      </c>
      <c r="S19" s="1589"/>
      <c r="T19" s="275" t="s">
        <v>782</v>
      </c>
    </row>
    <row r="20" spans="1:20" x14ac:dyDescent="0.25">
      <c r="B20" s="370" t="str">
        <f>IF(Language="English", C20,IF(Language="Francais", E20, D20))</f>
        <v>Mélange Estimée de Méthodes Modernes</v>
      </c>
      <c r="C20" s="338" t="s">
        <v>698</v>
      </c>
      <c r="D20" s="338" t="s">
        <v>699</v>
      </c>
      <c r="E20" s="338" t="s">
        <v>830</v>
      </c>
      <c r="O20" s="1676" t="s">
        <v>4</v>
      </c>
      <c r="P20" s="274" t="s">
        <v>1140</v>
      </c>
      <c r="Q20" s="1671" t="s">
        <v>646</v>
      </c>
      <c r="R20" s="274" t="s">
        <v>921</v>
      </c>
      <c r="S20" s="1676" t="s">
        <v>783</v>
      </c>
      <c r="T20" s="363" t="s">
        <v>1139</v>
      </c>
    </row>
    <row r="21" spans="1:20" x14ac:dyDescent="0.25">
      <c r="B21" s="370"/>
      <c r="O21" s="1515"/>
      <c r="P21" s="277" t="s">
        <v>1141</v>
      </c>
      <c r="Q21" s="1672"/>
      <c r="R21" s="277" t="s">
        <v>647</v>
      </c>
      <c r="S21" s="1515"/>
      <c r="T21" s="277" t="s">
        <v>1142</v>
      </c>
    </row>
    <row r="22" spans="1:20" x14ac:dyDescent="0.25">
      <c r="B22" s="370" t="str">
        <f>IF(Language="English", C22,IF(Language="Francais", E22, D22))</f>
        <v>Saisissez les taux de complétude</v>
      </c>
      <c r="C22" s="338" t="s">
        <v>85</v>
      </c>
      <c r="D22" s="338" t="s">
        <v>706</v>
      </c>
      <c r="E22" s="338" t="s">
        <v>1143</v>
      </c>
      <c r="O22" s="1580"/>
      <c r="P22" s="275" t="s">
        <v>920</v>
      </c>
      <c r="Q22" s="1673"/>
      <c r="R22" s="275" t="s">
        <v>922</v>
      </c>
      <c r="S22" s="1580"/>
      <c r="T22" s="275" t="s">
        <v>919</v>
      </c>
    </row>
    <row r="23" spans="1:20" x14ac:dyDescent="0.25">
      <c r="O23" s="1676" t="s">
        <v>0</v>
      </c>
      <c r="P23" s="274" t="s">
        <v>103</v>
      </c>
      <c r="Q23" s="1671" t="s">
        <v>648</v>
      </c>
      <c r="R23" s="274" t="s">
        <v>649</v>
      </c>
      <c r="S23" s="1676" t="s">
        <v>784</v>
      </c>
      <c r="T23" s="363" t="s">
        <v>785</v>
      </c>
    </row>
    <row r="24" spans="1:20" x14ac:dyDescent="0.25">
      <c r="O24" s="1580"/>
      <c r="P24" s="275" t="s">
        <v>1020</v>
      </c>
      <c r="Q24" s="1673"/>
      <c r="R24" s="275" t="s">
        <v>650</v>
      </c>
      <c r="S24" s="1580"/>
      <c r="T24" s="275" t="s">
        <v>786</v>
      </c>
    </row>
    <row r="25" spans="1:20" ht="14.45" customHeight="1" x14ac:dyDescent="0.25">
      <c r="B25" s="370" t="s">
        <v>659</v>
      </c>
      <c r="C25" s="350" t="s">
        <v>628</v>
      </c>
      <c r="D25" s="350" t="s">
        <v>656</v>
      </c>
      <c r="E25" s="350" t="s">
        <v>740</v>
      </c>
      <c r="O25" s="1675" t="s">
        <v>130</v>
      </c>
      <c r="P25" s="274" t="s">
        <v>104</v>
      </c>
      <c r="Q25" s="1671" t="s">
        <v>689</v>
      </c>
      <c r="R25" s="274" t="s">
        <v>651</v>
      </c>
      <c r="S25" s="1675" t="s">
        <v>918</v>
      </c>
      <c r="T25" s="363" t="s">
        <v>787</v>
      </c>
    </row>
    <row r="26" spans="1:20" x14ac:dyDescent="0.25">
      <c r="B26" s="370" t="str">
        <f>IF(Language="English",C26,IF(Language="Francais",E26,D26))</f>
        <v>Rapport de FM/TF</v>
      </c>
      <c r="C26" s="338" t="s">
        <v>738</v>
      </c>
      <c r="D26" s="338" t="s">
        <v>743</v>
      </c>
      <c r="E26" s="338" t="s">
        <v>742</v>
      </c>
      <c r="O26" s="1588"/>
      <c r="P26" s="277" t="s">
        <v>105</v>
      </c>
      <c r="Q26" s="1672"/>
      <c r="R26" s="277" t="s">
        <v>652</v>
      </c>
      <c r="S26" s="1588"/>
      <c r="T26" s="277" t="s">
        <v>788</v>
      </c>
    </row>
    <row r="27" spans="1:20" x14ac:dyDescent="0.25">
      <c r="B27" s="370" t="str">
        <f>IF(Language="English",C27,IF(Language="Francais",E27,D27))</f>
        <v>% Mariées</v>
      </c>
      <c r="C27" s="338" t="s">
        <v>739</v>
      </c>
      <c r="D27" s="338" t="s">
        <v>741</v>
      </c>
      <c r="E27" s="338" t="s">
        <v>744</v>
      </c>
      <c r="O27" s="1588"/>
      <c r="P27" s="277" t="s">
        <v>106</v>
      </c>
      <c r="Q27" s="1672"/>
      <c r="R27" s="277" t="s">
        <v>653</v>
      </c>
      <c r="S27" s="1588"/>
      <c r="T27" s="277" t="s">
        <v>789</v>
      </c>
    </row>
    <row r="28" spans="1:20" x14ac:dyDescent="0.25">
      <c r="O28" s="1589"/>
      <c r="P28" s="275" t="s">
        <v>107</v>
      </c>
      <c r="Q28" s="1673"/>
      <c r="R28" s="275" t="s">
        <v>654</v>
      </c>
      <c r="S28" s="1589"/>
      <c r="T28" s="275" t="s">
        <v>107</v>
      </c>
    </row>
    <row r="29" spans="1:20" ht="30" x14ac:dyDescent="0.25">
      <c r="B29" s="370" t="s">
        <v>659</v>
      </c>
      <c r="C29" s="350" t="s">
        <v>628</v>
      </c>
      <c r="D29" s="350" t="s">
        <v>656</v>
      </c>
      <c r="E29" s="350" t="s">
        <v>740</v>
      </c>
      <c r="F29" s="398" t="s">
        <v>801</v>
      </c>
      <c r="O29" s="311" t="s">
        <v>7</v>
      </c>
      <c r="P29" s="281" t="s">
        <v>108</v>
      </c>
      <c r="Q29" s="297" t="s">
        <v>657</v>
      </c>
      <c r="R29" s="298" t="s">
        <v>658</v>
      </c>
      <c r="S29" s="1140" t="s">
        <v>790</v>
      </c>
      <c r="T29" s="397" t="s">
        <v>791</v>
      </c>
    </row>
    <row r="30" spans="1:20" x14ac:dyDescent="0.25">
      <c r="A30" s="399">
        <v>1</v>
      </c>
      <c r="B30" s="370" t="str">
        <f>IF(Language="English", C30, IF(Language="Francais", E30, D30))</f>
        <v>Public Seulement</v>
      </c>
      <c r="C30" s="338" t="s">
        <v>746</v>
      </c>
      <c r="D30" s="338"/>
      <c r="E30" s="338" t="s">
        <v>750</v>
      </c>
      <c r="F30" s="399">
        <v>1</v>
      </c>
      <c r="O30" s="281" t="s">
        <v>109</v>
      </c>
      <c r="P30" s="281"/>
      <c r="Q30" s="281" t="s">
        <v>694</v>
      </c>
      <c r="R30" s="281"/>
      <c r="S30" s="281" t="s">
        <v>2466</v>
      </c>
      <c r="T30" s="281"/>
    </row>
    <row r="31" spans="1:20" x14ac:dyDescent="0.25">
      <c r="A31" s="399">
        <v>2</v>
      </c>
      <c r="B31" s="370" t="str">
        <f>IF(Language="English", C31, IF(Language="Francais", E31, D31))</f>
        <v>Public et certains privés</v>
      </c>
      <c r="C31" s="338" t="s">
        <v>747</v>
      </c>
      <c r="D31" s="338"/>
      <c r="E31" s="338" t="s">
        <v>751</v>
      </c>
      <c r="F31" s="399">
        <v>2</v>
      </c>
      <c r="O31" s="281" t="s">
        <v>318</v>
      </c>
      <c r="P31" s="281"/>
      <c r="Q31" s="281" t="s">
        <v>697</v>
      </c>
      <c r="R31" s="281"/>
      <c r="S31" s="281" t="s">
        <v>2442</v>
      </c>
      <c r="T31" s="281"/>
    </row>
    <row r="32" spans="1:20" ht="19.5" customHeight="1" x14ac:dyDescent="0.25">
      <c r="A32" s="399">
        <v>3</v>
      </c>
      <c r="B32" s="370" t="str">
        <f>IF(Language="English", C32, IF(Language="Francais", E32, D32))</f>
        <v>Tous publics et privés</v>
      </c>
      <c r="C32" s="338" t="s">
        <v>748</v>
      </c>
      <c r="D32" s="338"/>
      <c r="E32" s="338" t="s">
        <v>749</v>
      </c>
      <c r="F32" s="399">
        <v>3</v>
      </c>
      <c r="O32" s="281" t="s">
        <v>577</v>
      </c>
      <c r="P32" s="281"/>
      <c r="Q32" s="281" t="s">
        <v>696</v>
      </c>
      <c r="R32" s="281"/>
      <c r="S32" s="281" t="s">
        <v>2443</v>
      </c>
      <c r="T32" s="281"/>
    </row>
    <row r="33" spans="2:19" x14ac:dyDescent="0.25">
      <c r="O33" s="281" t="s">
        <v>844</v>
      </c>
      <c r="P33" s="281"/>
      <c r="Q33" s="281" t="s">
        <v>697</v>
      </c>
      <c r="R33" s="281"/>
      <c r="S33" s="281" t="s">
        <v>2444</v>
      </c>
    </row>
    <row r="34" spans="2:19" x14ac:dyDescent="0.25">
      <c r="F34" s="229"/>
    </row>
    <row r="36" spans="2:19" x14ac:dyDescent="0.25">
      <c r="B36" s="370" t="s">
        <v>659</v>
      </c>
      <c r="C36" s="350" t="s">
        <v>628</v>
      </c>
      <c r="D36" s="350" t="s">
        <v>656</v>
      </c>
      <c r="E36" s="350" t="s">
        <v>740</v>
      </c>
    </row>
    <row r="37" spans="2:19" x14ac:dyDescent="0.25">
      <c r="B37" s="370" t="str">
        <f>IF(Language="English", C37, IF(Language="Francais", E37, D37))</f>
        <v>Valeurs aberrantes*</v>
      </c>
      <c r="C37" s="350" t="s">
        <v>1210</v>
      </c>
      <c r="D37" s="350"/>
      <c r="E37" s="350" t="s">
        <v>1211</v>
      </c>
    </row>
    <row r="38" spans="2:19" x14ac:dyDescent="0.25">
      <c r="B38" s="370" t="str">
        <f>IF(Language="English", C38, IF(Language="Francais", E38, D38))</f>
        <v>Déclin visible dans la tendance**</v>
      </c>
      <c r="C38" s="338" t="s">
        <v>1212</v>
      </c>
      <c r="D38" s="338"/>
      <c r="E38" s="338" t="s">
        <v>1213</v>
      </c>
    </row>
    <row r="39" spans="2:19" x14ac:dyDescent="0.25">
      <c r="B39" s="370" t="str">
        <f>IF(Language="English", C39, IF(Language="Francais", E39, D39))</f>
        <v>Croissance spectaculaire visible dans la tendance***</v>
      </c>
      <c r="C39" s="338" t="s">
        <v>1214</v>
      </c>
      <c r="D39" s="338"/>
      <c r="E39" s="338" t="s">
        <v>1215</v>
      </c>
    </row>
    <row r="41" spans="2:19" x14ac:dyDescent="0.25">
      <c r="B41" s="370" t="s">
        <v>659</v>
      </c>
      <c r="C41" s="350" t="s">
        <v>628</v>
      </c>
      <c r="D41" s="350" t="s">
        <v>656</v>
      </c>
      <c r="E41" s="350" t="s">
        <v>740</v>
      </c>
    </row>
    <row r="42" spans="2:19" x14ac:dyDescent="0.25">
      <c r="B42" s="370" t="str">
        <f>IF(Language="English", C42, IF(Language="Francais", E42, D42))</f>
        <v>Les taux de complétude devraient être supérieurs à 80% pour utiliser les données dans FPET. Si les taux varient entre 60% et 80%, veuillez discuter avec un membre de l'équipe de Track20.</v>
      </c>
      <c r="C42" s="184" t="s">
        <v>116</v>
      </c>
      <c r="D42" s="184"/>
      <c r="E42" s="184" t="s">
        <v>1132</v>
      </c>
    </row>
    <row r="44" spans="2:19" x14ac:dyDescent="0.25">
      <c r="B44" s="370" t="s">
        <v>659</v>
      </c>
      <c r="C44" s="350" t="s">
        <v>628</v>
      </c>
      <c r="D44" s="350" t="s">
        <v>656</v>
      </c>
      <c r="E44" s="350" t="s">
        <v>740</v>
      </c>
    </row>
    <row r="45" spans="2:19" x14ac:dyDescent="0.25">
      <c r="B45" s="370" t="str">
        <f>IF(Language="English", C45, IF(Language="Francais", E45, D45))</f>
        <v>National</v>
      </c>
      <c r="C45" s="338" t="s">
        <v>947</v>
      </c>
      <c r="D45" s="338"/>
      <c r="E45" s="338" t="s">
        <v>947</v>
      </c>
    </row>
    <row r="46" spans="2:19" x14ac:dyDescent="0.25">
      <c r="B46" s="370" t="str">
        <f>IF(Language="English", C46, IF(Language="Francais", E46, D46))</f>
        <v>Sous-national</v>
      </c>
      <c r="C46" s="338" t="s">
        <v>948</v>
      </c>
      <c r="D46" s="338"/>
      <c r="E46" s="338" t="s">
        <v>949</v>
      </c>
    </row>
    <row r="49" spans="2:6" ht="15.75" thickBot="1" x14ac:dyDescent="0.3"/>
    <row r="50" spans="2:6" ht="15.75" thickBot="1" x14ac:dyDescent="0.3">
      <c r="B50" s="639" t="s">
        <v>963</v>
      </c>
    </row>
    <row r="51" spans="2:6" ht="15.75" thickBot="1" x14ac:dyDescent="0.3">
      <c r="B51" s="639" t="s">
        <v>947</v>
      </c>
    </row>
    <row r="52" spans="2:6" ht="15.75" thickBot="1" x14ac:dyDescent="0.3">
      <c r="B52" s="639" t="s">
        <v>93</v>
      </c>
    </row>
    <row r="53" spans="2:6" ht="15.75" thickBot="1" x14ac:dyDescent="0.3">
      <c r="B53" s="639" t="s">
        <v>1102</v>
      </c>
    </row>
    <row r="54" spans="2:6" x14ac:dyDescent="0.25">
      <c r="B54" s="639"/>
    </row>
    <row r="57" spans="2:6" x14ac:dyDescent="0.25">
      <c r="B57" s="370" t="str">
        <f>IF(Language="English", C57, D57)</f>
        <v>Nouveau</v>
      </c>
      <c r="C57" s="784" t="s">
        <v>1088</v>
      </c>
      <c r="D57" t="s">
        <v>1092</v>
      </c>
      <c r="E57">
        <v>1</v>
      </c>
      <c r="F57" t="s">
        <v>1096</v>
      </c>
    </row>
    <row r="58" spans="2:6" x14ac:dyDescent="0.25">
      <c r="B58" s="370" t="str">
        <f>IF(Language="English", C58, D58)</f>
        <v>Mise à l'échelle</v>
      </c>
      <c r="C58" s="784" t="s">
        <v>1089</v>
      </c>
      <c r="D58" t="s">
        <v>1093</v>
      </c>
      <c r="E58">
        <v>2</v>
      </c>
      <c r="F58" t="s">
        <v>1097</v>
      </c>
    </row>
    <row r="59" spans="2:6" x14ac:dyDescent="0.25">
      <c r="B59" s="370" t="str">
        <f>IF(Language="English", C59, D59)</f>
        <v>Statique (plat)</v>
      </c>
      <c r="C59" s="784" t="s">
        <v>1090</v>
      </c>
      <c r="D59" t="s">
        <v>1094</v>
      </c>
      <c r="E59">
        <v>3</v>
      </c>
    </row>
    <row r="60" spans="2:6" x14ac:dyDescent="0.25">
      <c r="B60" s="784"/>
      <c r="C60" s="784" t="s">
        <v>1091</v>
      </c>
      <c r="D60" t="s">
        <v>1095</v>
      </c>
      <c r="E60">
        <v>4</v>
      </c>
    </row>
    <row r="63" spans="2:6" x14ac:dyDescent="0.25">
      <c r="B63" s="370" t="str">
        <f>IF(Language="English", C63, D63)</f>
        <v>Récemment Introduites</v>
      </c>
      <c r="C63" s="1090" t="s">
        <v>1302</v>
      </c>
      <c r="D63" t="s">
        <v>1301</v>
      </c>
    </row>
    <row r="64" spans="2:6" x14ac:dyDescent="0.25">
      <c r="B64" s="370" t="str">
        <f>IF(Language="English", C64, D64)</f>
        <v>Mise à l'échelle</v>
      </c>
      <c r="C64" s="784" t="s">
        <v>1089</v>
      </c>
      <c r="D64" t="s">
        <v>1093</v>
      </c>
    </row>
  </sheetData>
  <mergeCells count="24">
    <mergeCell ref="S20:S22"/>
    <mergeCell ref="S23:S24"/>
    <mergeCell ref="S25:S28"/>
    <mergeCell ref="S4:T4"/>
    <mergeCell ref="S6:S7"/>
    <mergeCell ref="S8:S9"/>
    <mergeCell ref="S10:S12"/>
    <mergeCell ref="S15:S19"/>
    <mergeCell ref="Q25:Q28"/>
    <mergeCell ref="O4:P4"/>
    <mergeCell ref="Q4:R4"/>
    <mergeCell ref="O25:O28"/>
    <mergeCell ref="Q6:Q7"/>
    <mergeCell ref="Q8:Q9"/>
    <mergeCell ref="Q10:Q12"/>
    <mergeCell ref="Q15:Q19"/>
    <mergeCell ref="Q20:Q22"/>
    <mergeCell ref="Q23:Q24"/>
    <mergeCell ref="O6:O7"/>
    <mergeCell ref="O8:O9"/>
    <mergeCell ref="O10:O12"/>
    <mergeCell ref="O15:O19"/>
    <mergeCell ref="O20:O22"/>
    <mergeCell ref="O23:O24"/>
  </mergeCells>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EB3385-B24E-4A44-9130-A08AF3778B22}">
  <sheetPr codeName="Sheet35"/>
  <dimension ref="A1:ADC190"/>
  <sheetViews>
    <sheetView zoomScale="80" zoomScaleNormal="80" workbookViewId="0">
      <pane xSplit="2" ySplit="4" topLeftCell="ABX23" activePane="bottomRight" state="frozen"/>
      <selection pane="topRight" activeCell="C1" sqref="C1"/>
      <selection pane="bottomLeft" activeCell="A5" sqref="A5"/>
      <selection pane="bottomRight" activeCell="B33" sqref="A1:AC458"/>
    </sheetView>
  </sheetViews>
  <sheetFormatPr defaultColWidth="11.5703125" defaultRowHeight="15" x14ac:dyDescent="0.25"/>
  <cols>
    <col min="735" max="758" width="11.5703125" style="1137"/>
    <col min="759" max="759" width="28.28515625" style="1137" customWidth="1"/>
    <col min="760" max="775" width="11.5703125" style="1137"/>
  </cols>
  <sheetData>
    <row r="1" spans="1:783" x14ac:dyDescent="0.25">
      <c r="A1" t="s">
        <v>1328</v>
      </c>
      <c r="B1" t="s">
        <v>1329</v>
      </c>
      <c r="C1" t="s">
        <v>1330</v>
      </c>
      <c r="D1" t="s">
        <v>1331</v>
      </c>
      <c r="E1" t="s">
        <v>1332</v>
      </c>
      <c r="F1" t="s">
        <v>1333</v>
      </c>
      <c r="G1" t="s">
        <v>1334</v>
      </c>
      <c r="H1" t="s">
        <v>1335</v>
      </c>
      <c r="I1" t="s">
        <v>1336</v>
      </c>
      <c r="J1" t="s">
        <v>1337</v>
      </c>
      <c r="K1" t="s">
        <v>1338</v>
      </c>
      <c r="L1" t="s">
        <v>1339</v>
      </c>
      <c r="M1" t="s">
        <v>1340</v>
      </c>
      <c r="N1" t="s">
        <v>1341</v>
      </c>
      <c r="O1" t="s">
        <v>1342</v>
      </c>
      <c r="P1" t="s">
        <v>1343</v>
      </c>
      <c r="Q1" t="s">
        <v>1344</v>
      </c>
      <c r="R1" t="s">
        <v>1345</v>
      </c>
      <c r="S1" t="s">
        <v>1346</v>
      </c>
      <c r="T1" t="s">
        <v>1347</v>
      </c>
      <c r="U1" t="s">
        <v>1348</v>
      </c>
      <c r="V1" t="s">
        <v>1349</v>
      </c>
      <c r="W1" t="s">
        <v>1350</v>
      </c>
      <c r="X1" t="s">
        <v>1351</v>
      </c>
      <c r="Y1" t="s">
        <v>1352</v>
      </c>
      <c r="Z1" t="s">
        <v>1353</v>
      </c>
      <c r="AA1" t="s">
        <v>1354</v>
      </c>
      <c r="AB1" t="s">
        <v>1355</v>
      </c>
      <c r="AC1" t="s">
        <v>1356</v>
      </c>
      <c r="AD1" t="s">
        <v>1357</v>
      </c>
      <c r="AE1" t="s">
        <v>1358</v>
      </c>
      <c r="AF1" t="s">
        <v>1359</v>
      </c>
      <c r="AG1" t="s">
        <v>1360</v>
      </c>
      <c r="AH1" t="s">
        <v>1361</v>
      </c>
      <c r="AI1" t="s">
        <v>1362</v>
      </c>
      <c r="AJ1" t="s">
        <v>1363</v>
      </c>
      <c r="AK1" t="s">
        <v>1364</v>
      </c>
      <c r="AL1" t="s">
        <v>1365</v>
      </c>
      <c r="AM1" t="s">
        <v>1366</v>
      </c>
      <c r="AN1" t="s">
        <v>1367</v>
      </c>
      <c r="AO1" t="s">
        <v>1368</v>
      </c>
      <c r="AP1" t="s">
        <v>1369</v>
      </c>
      <c r="AQ1" t="s">
        <v>1370</v>
      </c>
      <c r="AR1" t="s">
        <v>1371</v>
      </c>
      <c r="AS1" t="s">
        <v>1372</v>
      </c>
      <c r="AT1" t="s">
        <v>1373</v>
      </c>
      <c r="AU1" t="s">
        <v>1374</v>
      </c>
      <c r="AV1" t="s">
        <v>1375</v>
      </c>
      <c r="AW1" t="s">
        <v>1376</v>
      </c>
      <c r="AX1" t="s">
        <v>1377</v>
      </c>
      <c r="AY1" t="s">
        <v>1378</v>
      </c>
      <c r="AZ1" t="s">
        <v>1379</v>
      </c>
      <c r="BA1" t="s">
        <v>1380</v>
      </c>
      <c r="BB1" t="s">
        <v>1381</v>
      </c>
      <c r="BC1" t="s">
        <v>1382</v>
      </c>
      <c r="BD1" t="s">
        <v>1383</v>
      </c>
      <c r="BE1" t="s">
        <v>1384</v>
      </c>
      <c r="BF1" t="s">
        <v>1385</v>
      </c>
      <c r="BG1" t="s">
        <v>1386</v>
      </c>
      <c r="BH1" t="s">
        <v>1387</v>
      </c>
      <c r="BI1" t="s">
        <v>1388</v>
      </c>
      <c r="BJ1" t="s">
        <v>1389</v>
      </c>
      <c r="BK1" t="s">
        <v>1390</v>
      </c>
      <c r="BL1" t="s">
        <v>1391</v>
      </c>
      <c r="BM1" t="s">
        <v>1392</v>
      </c>
      <c r="BN1" t="s">
        <v>1393</v>
      </c>
      <c r="BO1" t="s">
        <v>1394</v>
      </c>
      <c r="BP1" t="s">
        <v>1395</v>
      </c>
      <c r="BQ1" t="s">
        <v>1396</v>
      </c>
      <c r="BR1" t="s">
        <v>1397</v>
      </c>
      <c r="BS1" t="s">
        <v>1398</v>
      </c>
      <c r="BT1" t="s">
        <v>1399</v>
      </c>
      <c r="BU1" t="s">
        <v>1400</v>
      </c>
      <c r="BV1" t="s">
        <v>1401</v>
      </c>
      <c r="BW1" t="s">
        <v>1402</v>
      </c>
      <c r="BX1" t="s">
        <v>1403</v>
      </c>
      <c r="BY1" t="s">
        <v>1404</v>
      </c>
      <c r="BZ1" t="s">
        <v>1405</v>
      </c>
      <c r="CA1" t="s">
        <v>1406</v>
      </c>
      <c r="CB1" t="s">
        <v>1407</v>
      </c>
      <c r="CC1" t="s">
        <v>1408</v>
      </c>
      <c r="CD1" t="s">
        <v>1409</v>
      </c>
      <c r="CE1" t="s">
        <v>1410</v>
      </c>
      <c r="CF1" t="s">
        <v>1411</v>
      </c>
      <c r="CG1" t="s">
        <v>1412</v>
      </c>
      <c r="CH1" t="s">
        <v>1413</v>
      </c>
      <c r="CI1" t="s">
        <v>1414</v>
      </c>
      <c r="CJ1" t="s">
        <v>1415</v>
      </c>
      <c r="CK1" t="s">
        <v>1416</v>
      </c>
      <c r="CL1" t="s">
        <v>1417</v>
      </c>
      <c r="CM1" t="s">
        <v>1418</v>
      </c>
      <c r="CN1" t="s">
        <v>1419</v>
      </c>
      <c r="CO1" t="s">
        <v>1420</v>
      </c>
      <c r="CP1" t="s">
        <v>1421</v>
      </c>
      <c r="CQ1" t="s">
        <v>1422</v>
      </c>
      <c r="CR1" t="s">
        <v>1423</v>
      </c>
      <c r="CS1" t="s">
        <v>1424</v>
      </c>
      <c r="CT1" t="s">
        <v>1425</v>
      </c>
      <c r="CU1" t="s">
        <v>1426</v>
      </c>
      <c r="CV1" t="s">
        <v>1427</v>
      </c>
      <c r="CW1" t="s">
        <v>1428</v>
      </c>
      <c r="CX1" t="s">
        <v>1429</v>
      </c>
      <c r="CY1" t="s">
        <v>1430</v>
      </c>
      <c r="CZ1" t="s">
        <v>1431</v>
      </c>
      <c r="DA1" t="s">
        <v>1432</v>
      </c>
      <c r="DB1" t="s">
        <v>1433</v>
      </c>
      <c r="DC1" t="s">
        <v>1434</v>
      </c>
      <c r="DD1" t="s">
        <v>1435</v>
      </c>
      <c r="DE1" t="s">
        <v>1436</v>
      </c>
      <c r="DF1" t="s">
        <v>1437</v>
      </c>
      <c r="DG1" t="s">
        <v>1438</v>
      </c>
      <c r="DH1" t="s">
        <v>1439</v>
      </c>
      <c r="DI1" t="s">
        <v>1440</v>
      </c>
      <c r="DJ1" t="s">
        <v>1441</v>
      </c>
      <c r="DK1" t="s">
        <v>1442</v>
      </c>
      <c r="DL1" t="s">
        <v>1443</v>
      </c>
      <c r="DM1" t="s">
        <v>1444</v>
      </c>
      <c r="DN1" t="s">
        <v>1445</v>
      </c>
      <c r="DO1" t="s">
        <v>1446</v>
      </c>
      <c r="DP1" t="s">
        <v>1447</v>
      </c>
      <c r="DQ1" t="s">
        <v>1448</v>
      </c>
      <c r="DR1" t="s">
        <v>1449</v>
      </c>
      <c r="DS1" t="s">
        <v>1450</v>
      </c>
      <c r="DT1" t="s">
        <v>1451</v>
      </c>
      <c r="DU1" t="s">
        <v>1452</v>
      </c>
      <c r="DV1" t="s">
        <v>1453</v>
      </c>
      <c r="DW1" t="s">
        <v>1454</v>
      </c>
      <c r="DX1" t="s">
        <v>1455</v>
      </c>
      <c r="DY1" t="s">
        <v>1456</v>
      </c>
      <c r="DZ1" t="s">
        <v>1457</v>
      </c>
      <c r="EA1" t="s">
        <v>1458</v>
      </c>
      <c r="EB1" t="s">
        <v>1459</v>
      </c>
      <c r="EC1" t="s">
        <v>1460</v>
      </c>
      <c r="ED1" t="s">
        <v>1461</v>
      </c>
      <c r="EE1" t="s">
        <v>1462</v>
      </c>
      <c r="EF1" t="s">
        <v>1463</v>
      </c>
      <c r="EG1" t="s">
        <v>1464</v>
      </c>
      <c r="EH1" t="s">
        <v>1465</v>
      </c>
      <c r="EI1" t="s">
        <v>1466</v>
      </c>
      <c r="EJ1" t="s">
        <v>1467</v>
      </c>
      <c r="EK1" t="s">
        <v>1468</v>
      </c>
      <c r="EL1" t="s">
        <v>1469</v>
      </c>
      <c r="EM1" t="s">
        <v>1470</v>
      </c>
      <c r="EN1" t="s">
        <v>1471</v>
      </c>
      <c r="EO1" t="s">
        <v>1472</v>
      </c>
      <c r="EP1" t="s">
        <v>1473</v>
      </c>
      <c r="EQ1" t="s">
        <v>1474</v>
      </c>
      <c r="ER1" t="s">
        <v>1475</v>
      </c>
      <c r="ES1" t="s">
        <v>1476</v>
      </c>
      <c r="ET1" t="s">
        <v>1477</v>
      </c>
      <c r="EU1" t="s">
        <v>1478</v>
      </c>
      <c r="EV1" t="s">
        <v>1479</v>
      </c>
      <c r="EW1" t="s">
        <v>1480</v>
      </c>
      <c r="EX1" t="s">
        <v>1481</v>
      </c>
      <c r="EY1" t="s">
        <v>1482</v>
      </c>
      <c r="EZ1" t="s">
        <v>1483</v>
      </c>
      <c r="FA1" t="s">
        <v>1484</v>
      </c>
      <c r="FB1" t="s">
        <v>1485</v>
      </c>
      <c r="FC1" t="s">
        <v>1486</v>
      </c>
      <c r="FD1" t="s">
        <v>1487</v>
      </c>
      <c r="FE1" t="s">
        <v>1488</v>
      </c>
      <c r="FF1" t="s">
        <v>1489</v>
      </c>
      <c r="FG1" t="s">
        <v>1490</v>
      </c>
      <c r="FH1" t="s">
        <v>1491</v>
      </c>
      <c r="FI1" t="s">
        <v>1492</v>
      </c>
      <c r="FJ1" t="s">
        <v>1493</v>
      </c>
      <c r="FK1" t="s">
        <v>1494</v>
      </c>
      <c r="FL1" t="s">
        <v>1495</v>
      </c>
      <c r="FM1" t="s">
        <v>1496</v>
      </c>
      <c r="FN1" t="s">
        <v>1497</v>
      </c>
      <c r="FO1" t="s">
        <v>1498</v>
      </c>
      <c r="FP1" t="s">
        <v>1499</v>
      </c>
      <c r="FQ1" t="s">
        <v>1500</v>
      </c>
      <c r="FR1" t="s">
        <v>1501</v>
      </c>
      <c r="FS1" t="s">
        <v>1502</v>
      </c>
      <c r="FT1" t="s">
        <v>1503</v>
      </c>
      <c r="FU1" t="s">
        <v>1504</v>
      </c>
      <c r="FV1" t="s">
        <v>1505</v>
      </c>
      <c r="FW1" t="s">
        <v>1506</v>
      </c>
      <c r="FX1" t="s">
        <v>1507</v>
      </c>
      <c r="FY1" t="s">
        <v>1508</v>
      </c>
      <c r="FZ1" t="s">
        <v>1509</v>
      </c>
      <c r="GA1" t="s">
        <v>1510</v>
      </c>
      <c r="GB1" t="s">
        <v>1511</v>
      </c>
      <c r="GC1" t="s">
        <v>1512</v>
      </c>
      <c r="GD1" t="s">
        <v>1513</v>
      </c>
      <c r="GE1" t="s">
        <v>1514</v>
      </c>
      <c r="GF1" t="s">
        <v>1515</v>
      </c>
      <c r="GG1" t="s">
        <v>1516</v>
      </c>
      <c r="GH1" t="s">
        <v>1517</v>
      </c>
      <c r="GI1" t="s">
        <v>1518</v>
      </c>
      <c r="GJ1" t="s">
        <v>1519</v>
      </c>
      <c r="GK1" t="s">
        <v>1520</v>
      </c>
      <c r="GL1" t="s">
        <v>1521</v>
      </c>
      <c r="GM1" t="s">
        <v>1522</v>
      </c>
      <c r="GN1" t="s">
        <v>1523</v>
      </c>
      <c r="GO1" t="s">
        <v>1524</v>
      </c>
      <c r="GP1" t="s">
        <v>1525</v>
      </c>
      <c r="GQ1" t="s">
        <v>1526</v>
      </c>
      <c r="GR1" t="s">
        <v>1527</v>
      </c>
      <c r="GS1" t="s">
        <v>1528</v>
      </c>
      <c r="GT1" t="s">
        <v>1529</v>
      </c>
      <c r="GU1" t="s">
        <v>1530</v>
      </c>
      <c r="GV1" t="s">
        <v>1531</v>
      </c>
      <c r="GW1" t="s">
        <v>1532</v>
      </c>
      <c r="GX1" t="s">
        <v>1533</v>
      </c>
      <c r="GY1" t="s">
        <v>1534</v>
      </c>
      <c r="GZ1" t="s">
        <v>1535</v>
      </c>
      <c r="HA1" t="s">
        <v>1536</v>
      </c>
      <c r="HB1" t="s">
        <v>1537</v>
      </c>
      <c r="HC1" t="s">
        <v>1538</v>
      </c>
      <c r="HD1" t="s">
        <v>1539</v>
      </c>
      <c r="HE1" t="s">
        <v>1540</v>
      </c>
      <c r="HF1" t="s">
        <v>1541</v>
      </c>
      <c r="HG1" t="s">
        <v>1542</v>
      </c>
      <c r="HH1" t="s">
        <v>1543</v>
      </c>
      <c r="HI1" t="s">
        <v>1544</v>
      </c>
      <c r="HJ1" t="s">
        <v>1545</v>
      </c>
      <c r="HK1" t="s">
        <v>1546</v>
      </c>
      <c r="HL1" t="s">
        <v>1547</v>
      </c>
      <c r="HM1" t="s">
        <v>1548</v>
      </c>
      <c r="HN1" t="s">
        <v>1549</v>
      </c>
      <c r="HO1" t="s">
        <v>1550</v>
      </c>
      <c r="HP1" t="s">
        <v>1551</v>
      </c>
      <c r="HQ1" t="s">
        <v>1552</v>
      </c>
      <c r="HR1" t="s">
        <v>1553</v>
      </c>
      <c r="HS1" t="s">
        <v>1554</v>
      </c>
      <c r="HT1" t="s">
        <v>1555</v>
      </c>
      <c r="HU1" t="s">
        <v>1556</v>
      </c>
      <c r="HV1" t="s">
        <v>1557</v>
      </c>
      <c r="HW1" t="s">
        <v>1558</v>
      </c>
      <c r="HX1" t="s">
        <v>1559</v>
      </c>
      <c r="HY1" t="s">
        <v>1560</v>
      </c>
      <c r="HZ1" t="s">
        <v>1561</v>
      </c>
      <c r="IA1" t="s">
        <v>1562</v>
      </c>
      <c r="IB1" t="s">
        <v>1563</v>
      </c>
      <c r="IC1" t="s">
        <v>1564</v>
      </c>
      <c r="ID1" t="s">
        <v>1565</v>
      </c>
      <c r="IE1" t="s">
        <v>1566</v>
      </c>
      <c r="IF1" t="s">
        <v>1567</v>
      </c>
      <c r="IG1" t="s">
        <v>1568</v>
      </c>
      <c r="IH1" t="s">
        <v>1569</v>
      </c>
      <c r="II1" t="s">
        <v>1570</v>
      </c>
      <c r="IJ1" t="s">
        <v>1571</v>
      </c>
      <c r="IK1" t="s">
        <v>1572</v>
      </c>
      <c r="IL1" t="s">
        <v>1573</v>
      </c>
      <c r="IM1" t="s">
        <v>1574</v>
      </c>
      <c r="IN1" t="s">
        <v>1575</v>
      </c>
      <c r="IO1" t="s">
        <v>1576</v>
      </c>
      <c r="IP1" t="s">
        <v>1577</v>
      </c>
      <c r="IQ1" t="s">
        <v>1578</v>
      </c>
      <c r="IR1" t="s">
        <v>1579</v>
      </c>
      <c r="IS1" t="s">
        <v>1580</v>
      </c>
      <c r="IT1" t="s">
        <v>1581</v>
      </c>
      <c r="IU1" t="s">
        <v>1582</v>
      </c>
      <c r="IV1" t="s">
        <v>1583</v>
      </c>
      <c r="IW1" t="s">
        <v>1584</v>
      </c>
      <c r="IX1" t="s">
        <v>1585</v>
      </c>
      <c r="IY1" t="s">
        <v>1586</v>
      </c>
      <c r="IZ1" t="s">
        <v>1587</v>
      </c>
      <c r="JA1" t="s">
        <v>1588</v>
      </c>
      <c r="JB1" t="s">
        <v>1589</v>
      </c>
      <c r="JC1" t="s">
        <v>1590</v>
      </c>
      <c r="JD1" t="s">
        <v>1591</v>
      </c>
      <c r="JE1" t="s">
        <v>1592</v>
      </c>
      <c r="JF1" t="s">
        <v>1593</v>
      </c>
      <c r="JG1" t="s">
        <v>1594</v>
      </c>
      <c r="JH1" t="s">
        <v>1595</v>
      </c>
      <c r="JI1" t="s">
        <v>1596</v>
      </c>
      <c r="JJ1" t="s">
        <v>1597</v>
      </c>
      <c r="JK1" t="s">
        <v>1598</v>
      </c>
      <c r="JL1" t="s">
        <v>1599</v>
      </c>
      <c r="JM1" t="s">
        <v>1600</v>
      </c>
      <c r="JN1" t="s">
        <v>1601</v>
      </c>
      <c r="JO1" t="s">
        <v>1602</v>
      </c>
      <c r="JP1" t="s">
        <v>1603</v>
      </c>
      <c r="JQ1" t="s">
        <v>1604</v>
      </c>
      <c r="JR1" t="s">
        <v>1605</v>
      </c>
      <c r="JS1" t="s">
        <v>1606</v>
      </c>
      <c r="JT1" t="s">
        <v>1607</v>
      </c>
      <c r="JU1" t="s">
        <v>1608</v>
      </c>
      <c r="JV1" t="s">
        <v>1609</v>
      </c>
      <c r="JW1" t="s">
        <v>1610</v>
      </c>
      <c r="JX1" t="s">
        <v>1611</v>
      </c>
      <c r="JY1" t="s">
        <v>1612</v>
      </c>
      <c r="JZ1" t="s">
        <v>1613</v>
      </c>
      <c r="KA1" t="s">
        <v>1614</v>
      </c>
      <c r="KB1" t="s">
        <v>1615</v>
      </c>
      <c r="KC1" t="s">
        <v>1616</v>
      </c>
      <c r="KD1" t="s">
        <v>1617</v>
      </c>
      <c r="KE1" t="s">
        <v>1618</v>
      </c>
      <c r="KF1" t="s">
        <v>1619</v>
      </c>
      <c r="KG1" t="s">
        <v>1620</v>
      </c>
      <c r="KH1" t="s">
        <v>1621</v>
      </c>
      <c r="KI1" t="s">
        <v>1622</v>
      </c>
      <c r="KJ1" t="s">
        <v>1623</v>
      </c>
      <c r="KK1" t="s">
        <v>1624</v>
      </c>
      <c r="KL1" t="s">
        <v>1625</v>
      </c>
      <c r="KM1" t="s">
        <v>1626</v>
      </c>
      <c r="KN1" t="s">
        <v>1627</v>
      </c>
      <c r="KO1" t="s">
        <v>1628</v>
      </c>
      <c r="KP1" t="s">
        <v>1629</v>
      </c>
      <c r="KQ1" t="s">
        <v>1630</v>
      </c>
      <c r="KR1" t="s">
        <v>1631</v>
      </c>
      <c r="KS1" t="s">
        <v>1632</v>
      </c>
      <c r="KT1" t="s">
        <v>1633</v>
      </c>
      <c r="KU1" t="s">
        <v>1634</v>
      </c>
      <c r="KV1" t="s">
        <v>1635</v>
      </c>
      <c r="KW1" t="s">
        <v>1636</v>
      </c>
      <c r="KX1" t="s">
        <v>1637</v>
      </c>
      <c r="KY1" t="s">
        <v>1638</v>
      </c>
      <c r="KZ1" t="s">
        <v>1639</v>
      </c>
      <c r="LA1" t="s">
        <v>1640</v>
      </c>
      <c r="LB1" t="s">
        <v>1641</v>
      </c>
      <c r="LC1" t="s">
        <v>1642</v>
      </c>
      <c r="LD1" t="s">
        <v>1643</v>
      </c>
      <c r="LE1" t="s">
        <v>1644</v>
      </c>
      <c r="LF1" t="s">
        <v>1645</v>
      </c>
      <c r="LG1" t="s">
        <v>1646</v>
      </c>
      <c r="LH1" t="s">
        <v>1647</v>
      </c>
      <c r="LI1" t="s">
        <v>1648</v>
      </c>
      <c r="LJ1" t="s">
        <v>1649</v>
      </c>
      <c r="LK1" t="s">
        <v>1650</v>
      </c>
      <c r="LL1" t="s">
        <v>1651</v>
      </c>
      <c r="LM1" t="s">
        <v>1652</v>
      </c>
      <c r="LN1" t="s">
        <v>1653</v>
      </c>
      <c r="LO1" t="s">
        <v>1654</v>
      </c>
      <c r="LP1" t="s">
        <v>1655</v>
      </c>
      <c r="LQ1" t="s">
        <v>1656</v>
      </c>
      <c r="LR1" t="s">
        <v>1657</v>
      </c>
      <c r="LS1" t="s">
        <v>1658</v>
      </c>
      <c r="LT1" t="s">
        <v>1659</v>
      </c>
      <c r="LU1" t="s">
        <v>1660</v>
      </c>
      <c r="LV1" t="s">
        <v>1661</v>
      </c>
      <c r="LW1" t="s">
        <v>1662</v>
      </c>
      <c r="LX1" t="s">
        <v>1663</v>
      </c>
      <c r="LY1" t="s">
        <v>1664</v>
      </c>
      <c r="LZ1" t="s">
        <v>1665</v>
      </c>
      <c r="MA1" t="s">
        <v>1666</v>
      </c>
      <c r="MB1" t="s">
        <v>1667</v>
      </c>
      <c r="MC1" t="s">
        <v>1668</v>
      </c>
      <c r="MD1" t="s">
        <v>1669</v>
      </c>
      <c r="ME1" t="s">
        <v>1670</v>
      </c>
      <c r="MF1" t="s">
        <v>1671</v>
      </c>
      <c r="MG1" t="s">
        <v>1672</v>
      </c>
      <c r="MH1" t="s">
        <v>1673</v>
      </c>
      <c r="MI1" t="s">
        <v>1674</v>
      </c>
      <c r="MJ1" t="s">
        <v>1675</v>
      </c>
      <c r="MK1" t="s">
        <v>1676</v>
      </c>
      <c r="ML1" t="s">
        <v>1677</v>
      </c>
      <c r="MM1" t="s">
        <v>1678</v>
      </c>
      <c r="MN1" t="s">
        <v>1679</v>
      </c>
      <c r="MO1" t="s">
        <v>1680</v>
      </c>
      <c r="MP1" t="s">
        <v>1681</v>
      </c>
      <c r="MQ1" t="s">
        <v>1682</v>
      </c>
      <c r="MR1" t="s">
        <v>1683</v>
      </c>
      <c r="MS1" t="s">
        <v>1684</v>
      </c>
      <c r="MT1" t="s">
        <v>1685</v>
      </c>
      <c r="MU1" t="s">
        <v>1686</v>
      </c>
      <c r="MV1" t="s">
        <v>1687</v>
      </c>
      <c r="MW1" t="s">
        <v>1688</v>
      </c>
      <c r="MX1" t="s">
        <v>1689</v>
      </c>
      <c r="MY1" t="s">
        <v>1690</v>
      </c>
      <c r="MZ1" t="s">
        <v>1691</v>
      </c>
      <c r="NA1" t="s">
        <v>1692</v>
      </c>
      <c r="NB1" t="s">
        <v>1693</v>
      </c>
      <c r="NC1" t="s">
        <v>1694</v>
      </c>
      <c r="ND1" t="s">
        <v>1695</v>
      </c>
      <c r="NE1" t="s">
        <v>1696</v>
      </c>
      <c r="NF1" t="s">
        <v>1697</v>
      </c>
      <c r="NG1" t="s">
        <v>1698</v>
      </c>
      <c r="NH1" t="s">
        <v>1699</v>
      </c>
      <c r="NI1" t="s">
        <v>1700</v>
      </c>
      <c r="NJ1" t="s">
        <v>1701</v>
      </c>
      <c r="NK1" t="s">
        <v>1702</v>
      </c>
      <c r="NL1" t="s">
        <v>1703</v>
      </c>
      <c r="NM1" t="s">
        <v>1704</v>
      </c>
      <c r="NN1" t="s">
        <v>1705</v>
      </c>
      <c r="NO1" t="s">
        <v>1706</v>
      </c>
      <c r="NP1" t="s">
        <v>1707</v>
      </c>
      <c r="NQ1" t="s">
        <v>1708</v>
      </c>
      <c r="NR1" t="s">
        <v>1709</v>
      </c>
      <c r="NS1" t="s">
        <v>1710</v>
      </c>
      <c r="NT1" t="s">
        <v>1711</v>
      </c>
      <c r="NU1" t="s">
        <v>1712</v>
      </c>
      <c r="NV1" t="s">
        <v>1713</v>
      </c>
      <c r="NW1" t="s">
        <v>1714</v>
      </c>
      <c r="NX1" t="s">
        <v>1715</v>
      </c>
      <c r="NY1" t="s">
        <v>1716</v>
      </c>
      <c r="NZ1" t="s">
        <v>1717</v>
      </c>
      <c r="OA1" t="s">
        <v>1718</v>
      </c>
      <c r="OB1" t="s">
        <v>1719</v>
      </c>
      <c r="OC1" t="s">
        <v>1720</v>
      </c>
      <c r="OD1" t="s">
        <v>1721</v>
      </c>
      <c r="OE1" t="s">
        <v>1722</v>
      </c>
      <c r="OF1" t="s">
        <v>1723</v>
      </c>
      <c r="OG1" t="s">
        <v>1724</v>
      </c>
      <c r="OH1" t="s">
        <v>1725</v>
      </c>
      <c r="OI1" t="s">
        <v>1726</v>
      </c>
      <c r="OJ1" t="s">
        <v>1727</v>
      </c>
      <c r="OK1" t="s">
        <v>1728</v>
      </c>
      <c r="OL1" t="s">
        <v>1729</v>
      </c>
      <c r="OM1" t="s">
        <v>1730</v>
      </c>
      <c r="ON1" t="s">
        <v>1731</v>
      </c>
      <c r="OO1" t="s">
        <v>1732</v>
      </c>
      <c r="OP1" t="s">
        <v>1733</v>
      </c>
      <c r="OQ1" t="s">
        <v>1734</v>
      </c>
      <c r="OR1" t="s">
        <v>1735</v>
      </c>
      <c r="OS1" t="s">
        <v>1736</v>
      </c>
      <c r="OT1" t="s">
        <v>1737</v>
      </c>
      <c r="OU1" t="s">
        <v>1738</v>
      </c>
      <c r="OV1" t="s">
        <v>1739</v>
      </c>
      <c r="OW1" t="s">
        <v>1740</v>
      </c>
      <c r="OX1" t="s">
        <v>1741</v>
      </c>
      <c r="OY1" t="s">
        <v>1742</v>
      </c>
      <c r="OZ1" t="s">
        <v>1743</v>
      </c>
      <c r="PA1" t="s">
        <v>1744</v>
      </c>
      <c r="PB1" t="s">
        <v>1745</v>
      </c>
      <c r="PC1" t="s">
        <v>1746</v>
      </c>
      <c r="PD1" t="s">
        <v>1747</v>
      </c>
      <c r="PE1" t="s">
        <v>1748</v>
      </c>
      <c r="PF1" t="s">
        <v>1749</v>
      </c>
      <c r="PG1" t="s">
        <v>1750</v>
      </c>
      <c r="PH1" t="s">
        <v>1751</v>
      </c>
      <c r="PI1" t="s">
        <v>1752</v>
      </c>
      <c r="PJ1" t="s">
        <v>1753</v>
      </c>
      <c r="PK1" t="s">
        <v>1754</v>
      </c>
      <c r="PL1" t="s">
        <v>1755</v>
      </c>
      <c r="PM1" t="s">
        <v>1756</v>
      </c>
      <c r="PN1" t="s">
        <v>1757</v>
      </c>
      <c r="PO1" t="s">
        <v>1758</v>
      </c>
      <c r="PP1" t="s">
        <v>1759</v>
      </c>
      <c r="PQ1" t="s">
        <v>1760</v>
      </c>
      <c r="PR1" t="s">
        <v>1761</v>
      </c>
      <c r="PS1" t="s">
        <v>1762</v>
      </c>
      <c r="PT1" t="s">
        <v>1763</v>
      </c>
      <c r="PU1" t="s">
        <v>1764</v>
      </c>
      <c r="PV1" t="s">
        <v>1765</v>
      </c>
      <c r="PW1" t="s">
        <v>1766</v>
      </c>
      <c r="PX1" t="s">
        <v>1767</v>
      </c>
      <c r="PY1" t="s">
        <v>1768</v>
      </c>
      <c r="PZ1" t="s">
        <v>1769</v>
      </c>
      <c r="QA1" t="s">
        <v>1770</v>
      </c>
      <c r="QB1" t="s">
        <v>1771</v>
      </c>
      <c r="QC1" t="s">
        <v>1772</v>
      </c>
      <c r="QD1" t="s">
        <v>1773</v>
      </c>
      <c r="QE1" t="s">
        <v>1774</v>
      </c>
      <c r="QF1" t="s">
        <v>1775</v>
      </c>
      <c r="QG1" t="s">
        <v>1776</v>
      </c>
      <c r="QH1" t="s">
        <v>1777</v>
      </c>
      <c r="QI1" t="s">
        <v>1778</v>
      </c>
      <c r="QJ1" t="s">
        <v>1779</v>
      </c>
      <c r="QK1" t="s">
        <v>1780</v>
      </c>
      <c r="QL1" t="s">
        <v>1781</v>
      </c>
      <c r="QM1" t="s">
        <v>1782</v>
      </c>
      <c r="QN1" t="s">
        <v>1783</v>
      </c>
      <c r="QO1" t="s">
        <v>1784</v>
      </c>
      <c r="QP1" t="s">
        <v>1785</v>
      </c>
      <c r="QQ1" t="s">
        <v>1786</v>
      </c>
      <c r="QR1" t="s">
        <v>1787</v>
      </c>
      <c r="QS1" t="s">
        <v>1788</v>
      </c>
      <c r="QT1" t="s">
        <v>1789</v>
      </c>
      <c r="QU1" t="s">
        <v>1790</v>
      </c>
      <c r="QV1" t="s">
        <v>1791</v>
      </c>
      <c r="QW1" t="s">
        <v>1792</v>
      </c>
      <c r="QX1" t="s">
        <v>1793</v>
      </c>
      <c r="QY1" t="s">
        <v>1794</v>
      </c>
      <c r="QZ1" t="s">
        <v>1795</v>
      </c>
      <c r="RA1" t="s">
        <v>1796</v>
      </c>
      <c r="RB1" t="s">
        <v>1797</v>
      </c>
      <c r="RC1" t="s">
        <v>1798</v>
      </c>
      <c r="RD1" t="s">
        <v>2116</v>
      </c>
      <c r="RE1" t="s">
        <v>2117</v>
      </c>
      <c r="RF1" t="s">
        <v>2118</v>
      </c>
      <c r="RG1" t="s">
        <v>2119</v>
      </c>
      <c r="RH1" t="s">
        <v>2120</v>
      </c>
      <c r="RI1" t="s">
        <v>2121</v>
      </c>
      <c r="RJ1" t="s">
        <v>2122</v>
      </c>
      <c r="RK1" t="s">
        <v>2123</v>
      </c>
      <c r="RL1" t="s">
        <v>2124</v>
      </c>
      <c r="RM1" t="s">
        <v>2125</v>
      </c>
      <c r="RN1" t="s">
        <v>2126</v>
      </c>
      <c r="RO1" t="s">
        <v>2127</v>
      </c>
      <c r="RP1" t="s">
        <v>2128</v>
      </c>
      <c r="RQ1" t="s">
        <v>2129</v>
      </c>
      <c r="RR1" t="s">
        <v>2130</v>
      </c>
      <c r="RS1" t="s">
        <v>2131</v>
      </c>
      <c r="RT1" t="s">
        <v>2132</v>
      </c>
      <c r="RU1" t="s">
        <v>2133</v>
      </c>
      <c r="RV1" t="s">
        <v>2134</v>
      </c>
      <c r="RW1" t="s">
        <v>2135</v>
      </c>
      <c r="RX1" t="s">
        <v>2136</v>
      </c>
      <c r="RY1" t="s">
        <v>2137</v>
      </c>
      <c r="RZ1" t="s">
        <v>2138</v>
      </c>
      <c r="SA1" t="s">
        <v>2139</v>
      </c>
      <c r="SB1" t="s">
        <v>2140</v>
      </c>
      <c r="SC1" t="s">
        <v>2141</v>
      </c>
      <c r="SD1" t="s">
        <v>2142</v>
      </c>
      <c r="SE1" t="s">
        <v>2143</v>
      </c>
      <c r="SF1" t="s">
        <v>2144</v>
      </c>
      <c r="SG1" t="s">
        <v>2145</v>
      </c>
      <c r="SH1" t="s">
        <v>2146</v>
      </c>
      <c r="SI1" t="s">
        <v>2147</v>
      </c>
      <c r="SJ1" t="s">
        <v>2148</v>
      </c>
      <c r="SK1" t="s">
        <v>2149</v>
      </c>
      <c r="SL1" t="s">
        <v>2150</v>
      </c>
      <c r="SM1" t="s">
        <v>2151</v>
      </c>
      <c r="SN1" t="s">
        <v>2152</v>
      </c>
      <c r="SO1" t="s">
        <v>2153</v>
      </c>
      <c r="SP1" t="s">
        <v>2154</v>
      </c>
      <c r="SQ1" t="s">
        <v>2155</v>
      </c>
      <c r="SR1" t="s">
        <v>2156</v>
      </c>
      <c r="SS1" t="s">
        <v>2157</v>
      </c>
      <c r="ST1" t="s">
        <v>2158</v>
      </c>
      <c r="SU1" t="s">
        <v>2159</v>
      </c>
      <c r="SV1" t="s">
        <v>2160</v>
      </c>
      <c r="SW1" t="s">
        <v>2161</v>
      </c>
      <c r="SX1" t="s">
        <v>2162</v>
      </c>
      <c r="SY1" t="s">
        <v>2163</v>
      </c>
      <c r="SZ1" t="s">
        <v>2164</v>
      </c>
      <c r="TA1" t="s">
        <v>2165</v>
      </c>
      <c r="TB1" t="s">
        <v>2166</v>
      </c>
      <c r="TC1" t="s">
        <v>2167</v>
      </c>
      <c r="TD1" t="s">
        <v>2168</v>
      </c>
      <c r="TE1" t="s">
        <v>2169</v>
      </c>
      <c r="TF1" t="s">
        <v>2170</v>
      </c>
      <c r="TG1" t="s">
        <v>2171</v>
      </c>
      <c r="TH1" t="s">
        <v>2172</v>
      </c>
      <c r="TI1" t="s">
        <v>2173</v>
      </c>
      <c r="TJ1" t="s">
        <v>2174</v>
      </c>
      <c r="TK1" t="s">
        <v>2175</v>
      </c>
      <c r="TL1" t="s">
        <v>2176</v>
      </c>
      <c r="TM1" t="s">
        <v>2177</v>
      </c>
      <c r="TN1" t="s">
        <v>2178</v>
      </c>
      <c r="TO1" t="s">
        <v>2179</v>
      </c>
      <c r="TP1" t="s">
        <v>2180</v>
      </c>
      <c r="TQ1" t="s">
        <v>2181</v>
      </c>
      <c r="TR1" t="s">
        <v>2182</v>
      </c>
      <c r="TS1" t="s">
        <v>2183</v>
      </c>
      <c r="TT1" t="s">
        <v>2184</v>
      </c>
      <c r="TU1" t="s">
        <v>2185</v>
      </c>
      <c r="TV1" t="s">
        <v>2186</v>
      </c>
      <c r="TW1" t="s">
        <v>2187</v>
      </c>
      <c r="TX1" t="s">
        <v>2188</v>
      </c>
      <c r="TY1" t="s">
        <v>2189</v>
      </c>
      <c r="TZ1" t="s">
        <v>2190</v>
      </c>
      <c r="UA1" t="s">
        <v>2191</v>
      </c>
      <c r="UB1" t="s">
        <v>2192</v>
      </c>
      <c r="UC1" t="s">
        <v>2193</v>
      </c>
      <c r="UD1" t="s">
        <v>2194</v>
      </c>
      <c r="UE1" t="s">
        <v>2195</v>
      </c>
      <c r="UF1" t="s">
        <v>2196</v>
      </c>
      <c r="UG1" t="s">
        <v>2197</v>
      </c>
      <c r="UH1" t="s">
        <v>2198</v>
      </c>
      <c r="UI1" t="s">
        <v>2199</v>
      </c>
      <c r="UJ1" t="s">
        <v>2200</v>
      </c>
      <c r="UK1" t="s">
        <v>2201</v>
      </c>
      <c r="UL1" t="s">
        <v>2202</v>
      </c>
      <c r="UM1" t="s">
        <v>2203</v>
      </c>
      <c r="UN1" t="s">
        <v>2204</v>
      </c>
      <c r="UO1" t="s">
        <v>2205</v>
      </c>
      <c r="UP1" t="s">
        <v>2206</v>
      </c>
      <c r="UQ1" t="s">
        <v>2207</v>
      </c>
      <c r="UR1" t="s">
        <v>2208</v>
      </c>
      <c r="US1" t="s">
        <v>2209</v>
      </c>
      <c r="UT1" t="s">
        <v>2210</v>
      </c>
      <c r="UU1" t="s">
        <v>2211</v>
      </c>
      <c r="UV1" t="s">
        <v>2212</v>
      </c>
      <c r="UW1" t="s">
        <v>2213</v>
      </c>
      <c r="UX1" t="s">
        <v>2214</v>
      </c>
      <c r="UY1" t="s">
        <v>2215</v>
      </c>
      <c r="UZ1" t="s">
        <v>2216</v>
      </c>
      <c r="VA1" t="s">
        <v>2217</v>
      </c>
      <c r="VB1" t="s">
        <v>2218</v>
      </c>
      <c r="VC1" t="s">
        <v>2219</v>
      </c>
      <c r="VD1" t="s">
        <v>2220</v>
      </c>
      <c r="VE1" t="s">
        <v>2221</v>
      </c>
      <c r="VF1" t="s">
        <v>2222</v>
      </c>
      <c r="VG1" t="s">
        <v>2223</v>
      </c>
      <c r="VH1" t="s">
        <v>2224</v>
      </c>
      <c r="VI1" t="s">
        <v>2225</v>
      </c>
      <c r="VJ1" t="s">
        <v>2226</v>
      </c>
      <c r="VK1" t="s">
        <v>2227</v>
      </c>
      <c r="VL1" t="s">
        <v>2228</v>
      </c>
      <c r="VM1" t="s">
        <v>2229</v>
      </c>
      <c r="VN1" t="s">
        <v>2230</v>
      </c>
      <c r="VO1" t="s">
        <v>2231</v>
      </c>
      <c r="VP1" t="s">
        <v>2232</v>
      </c>
      <c r="VQ1" t="s">
        <v>2233</v>
      </c>
      <c r="VR1" t="s">
        <v>2234</v>
      </c>
      <c r="VS1" t="s">
        <v>2235</v>
      </c>
      <c r="VT1" t="s">
        <v>2236</v>
      </c>
      <c r="VU1" t="s">
        <v>2237</v>
      </c>
      <c r="VV1" t="s">
        <v>2238</v>
      </c>
      <c r="VW1" t="s">
        <v>2239</v>
      </c>
      <c r="VX1" t="s">
        <v>2240</v>
      </c>
      <c r="VY1" t="s">
        <v>2241</v>
      </c>
      <c r="VZ1" t="s">
        <v>2242</v>
      </c>
      <c r="WA1" t="s">
        <v>2243</v>
      </c>
      <c r="WB1" t="s">
        <v>2244</v>
      </c>
      <c r="WC1" t="s">
        <v>2245</v>
      </c>
      <c r="WD1" t="s">
        <v>2246</v>
      </c>
      <c r="WE1" t="s">
        <v>2247</v>
      </c>
      <c r="WF1" t="s">
        <v>2248</v>
      </c>
      <c r="WG1" t="s">
        <v>2249</v>
      </c>
      <c r="WH1" t="s">
        <v>2250</v>
      </c>
      <c r="WI1" t="s">
        <v>2251</v>
      </c>
      <c r="WJ1" t="s">
        <v>2252</v>
      </c>
      <c r="WK1" t="s">
        <v>2253</v>
      </c>
      <c r="WL1" t="s">
        <v>2254</v>
      </c>
      <c r="WM1" t="s">
        <v>2255</v>
      </c>
      <c r="WN1" t="s">
        <v>2256</v>
      </c>
      <c r="WO1" t="s">
        <v>2257</v>
      </c>
      <c r="WP1" t="s">
        <v>2258</v>
      </c>
      <c r="WQ1" t="s">
        <v>2259</v>
      </c>
      <c r="WR1" t="s">
        <v>2260</v>
      </c>
      <c r="WS1" t="s">
        <v>2261</v>
      </c>
      <c r="WT1" t="s">
        <v>2262</v>
      </c>
      <c r="WU1" t="s">
        <v>2263</v>
      </c>
      <c r="WV1" t="s">
        <v>2264</v>
      </c>
      <c r="WW1" t="s">
        <v>2265</v>
      </c>
      <c r="WX1" t="s">
        <v>2266</v>
      </c>
      <c r="WY1" t="s">
        <v>2267</v>
      </c>
      <c r="WZ1" t="s">
        <v>2268</v>
      </c>
      <c r="XA1" t="s">
        <v>2269</v>
      </c>
      <c r="XB1" t="s">
        <v>2270</v>
      </c>
      <c r="XC1" t="s">
        <v>2271</v>
      </c>
      <c r="XD1" t="s">
        <v>2272</v>
      </c>
      <c r="XE1" t="s">
        <v>2273</v>
      </c>
      <c r="XF1" t="s">
        <v>2274</v>
      </c>
      <c r="XG1" t="s">
        <v>2275</v>
      </c>
      <c r="XH1" t="s">
        <v>2276</v>
      </c>
      <c r="XI1" t="s">
        <v>2277</v>
      </c>
      <c r="XJ1" t="s">
        <v>2278</v>
      </c>
      <c r="XK1" t="s">
        <v>2279</v>
      </c>
      <c r="XL1" t="s">
        <v>2280</v>
      </c>
      <c r="XM1" t="s">
        <v>2281</v>
      </c>
      <c r="XN1" t="s">
        <v>2282</v>
      </c>
      <c r="XO1" t="s">
        <v>2283</v>
      </c>
      <c r="XP1" t="s">
        <v>2284</v>
      </c>
      <c r="XQ1" t="s">
        <v>2285</v>
      </c>
      <c r="XR1" t="s">
        <v>2286</v>
      </c>
      <c r="XS1" t="s">
        <v>2287</v>
      </c>
      <c r="XT1" t="s">
        <v>2288</v>
      </c>
      <c r="XU1" t="s">
        <v>2289</v>
      </c>
      <c r="XV1" t="s">
        <v>2290</v>
      </c>
      <c r="XW1" t="s">
        <v>2291</v>
      </c>
      <c r="XX1" t="s">
        <v>2292</v>
      </c>
      <c r="XY1" t="s">
        <v>2293</v>
      </c>
      <c r="XZ1" t="s">
        <v>2294</v>
      </c>
      <c r="YA1" t="s">
        <v>2295</v>
      </c>
      <c r="YB1" t="s">
        <v>2296</v>
      </c>
      <c r="YC1" t="s">
        <v>2297</v>
      </c>
      <c r="YD1" t="s">
        <v>2298</v>
      </c>
      <c r="YE1" t="s">
        <v>2299</v>
      </c>
      <c r="YF1" t="s">
        <v>2300</v>
      </c>
      <c r="YG1" t="s">
        <v>2301</v>
      </c>
      <c r="YH1" t="s">
        <v>2302</v>
      </c>
      <c r="YI1" t="s">
        <v>2303</v>
      </c>
      <c r="YJ1" t="s">
        <v>2304</v>
      </c>
      <c r="YK1" t="s">
        <v>2305</v>
      </c>
      <c r="YL1" t="s">
        <v>2306</v>
      </c>
      <c r="YM1" t="s">
        <v>2307</v>
      </c>
      <c r="YN1" t="s">
        <v>2308</v>
      </c>
      <c r="YO1" t="s">
        <v>2309</v>
      </c>
      <c r="YP1" t="s">
        <v>2310</v>
      </c>
      <c r="YQ1" t="s">
        <v>2311</v>
      </c>
      <c r="YR1" t="s">
        <v>2312</v>
      </c>
      <c r="YS1" t="s">
        <v>2313</v>
      </c>
      <c r="YT1" t="s">
        <v>2314</v>
      </c>
      <c r="YU1" t="s">
        <v>2315</v>
      </c>
      <c r="YV1" t="s">
        <v>2316</v>
      </c>
      <c r="YW1" t="s">
        <v>2317</v>
      </c>
      <c r="YX1" t="s">
        <v>2318</v>
      </c>
      <c r="YY1" t="s">
        <v>2319</v>
      </c>
      <c r="YZ1" t="s">
        <v>2320</v>
      </c>
      <c r="ZA1" t="s">
        <v>2321</v>
      </c>
      <c r="ZB1" t="s">
        <v>2322</v>
      </c>
      <c r="ZC1" t="s">
        <v>2323</v>
      </c>
      <c r="ZD1" t="s">
        <v>2324</v>
      </c>
      <c r="ZE1" t="s">
        <v>2325</v>
      </c>
      <c r="ZF1" t="s">
        <v>2326</v>
      </c>
      <c r="ZG1" t="s">
        <v>2327</v>
      </c>
      <c r="ZH1" t="s">
        <v>2328</v>
      </c>
      <c r="ZI1" t="s">
        <v>2329</v>
      </c>
      <c r="ZJ1" t="s">
        <v>2330</v>
      </c>
      <c r="ZK1" t="s">
        <v>2331</v>
      </c>
      <c r="ZL1" t="s">
        <v>2332</v>
      </c>
      <c r="ZM1" t="s">
        <v>2333</v>
      </c>
      <c r="ZN1" t="s">
        <v>2334</v>
      </c>
      <c r="ZO1" t="s">
        <v>2335</v>
      </c>
      <c r="ZP1" t="s">
        <v>2336</v>
      </c>
      <c r="ZQ1" t="s">
        <v>2337</v>
      </c>
      <c r="ZR1" t="s">
        <v>2338</v>
      </c>
      <c r="ZS1" t="s">
        <v>2339</v>
      </c>
      <c r="ZT1" t="s">
        <v>2340</v>
      </c>
      <c r="ZU1" t="s">
        <v>2341</v>
      </c>
      <c r="ZV1" t="s">
        <v>2342</v>
      </c>
      <c r="ZW1" t="s">
        <v>2343</v>
      </c>
      <c r="ZX1" t="s">
        <v>2344</v>
      </c>
      <c r="ZY1" t="s">
        <v>2345</v>
      </c>
      <c r="ZZ1" t="s">
        <v>2346</v>
      </c>
      <c r="AAA1" t="s">
        <v>2347</v>
      </c>
      <c r="AAB1" t="s">
        <v>2348</v>
      </c>
      <c r="AAC1" t="s">
        <v>2349</v>
      </c>
      <c r="AAD1" t="s">
        <v>2350</v>
      </c>
      <c r="AAE1" t="s">
        <v>2351</v>
      </c>
      <c r="AAF1" t="s">
        <v>2352</v>
      </c>
      <c r="AAG1" t="s">
        <v>2353</v>
      </c>
      <c r="AAH1" t="s">
        <v>2354</v>
      </c>
      <c r="AAI1" t="s">
        <v>2355</v>
      </c>
      <c r="AAJ1" t="s">
        <v>2356</v>
      </c>
      <c r="AAK1" t="s">
        <v>2357</v>
      </c>
      <c r="AAL1" t="s">
        <v>2358</v>
      </c>
      <c r="AAM1" t="s">
        <v>2359</v>
      </c>
      <c r="AAN1" t="s">
        <v>2360</v>
      </c>
      <c r="AAO1" t="s">
        <v>2361</v>
      </c>
      <c r="AAP1" t="s">
        <v>2362</v>
      </c>
      <c r="AAQ1" t="s">
        <v>2363</v>
      </c>
      <c r="AAR1" t="s">
        <v>2364</v>
      </c>
      <c r="AAS1" t="s">
        <v>2365</v>
      </c>
      <c r="AAT1" t="s">
        <v>2366</v>
      </c>
      <c r="AAU1" t="s">
        <v>2367</v>
      </c>
      <c r="AAV1" t="s">
        <v>2368</v>
      </c>
      <c r="AAW1" t="s">
        <v>2369</v>
      </c>
      <c r="AAX1" t="s">
        <v>2370</v>
      </c>
      <c r="AAY1" t="s">
        <v>2371</v>
      </c>
      <c r="AAZ1" t="s">
        <v>2372</v>
      </c>
      <c r="ABA1" t="s">
        <v>2373</v>
      </c>
      <c r="ABB1" t="s">
        <v>2374</v>
      </c>
      <c r="ABC1" t="s">
        <v>2375</v>
      </c>
      <c r="ABD1" t="s">
        <v>2376</v>
      </c>
      <c r="ABE1" t="s">
        <v>2377</v>
      </c>
      <c r="ACE1" s="1137" t="s">
        <v>1329</v>
      </c>
      <c r="ACF1" s="1137" t="s">
        <v>1990</v>
      </c>
    </row>
    <row r="2" spans="1:783" x14ac:dyDescent="0.25">
      <c r="C2">
        <v>1</v>
      </c>
      <c r="D2">
        <v>2</v>
      </c>
      <c r="E2">
        <v>3</v>
      </c>
      <c r="F2">
        <v>4</v>
      </c>
      <c r="G2">
        <v>5</v>
      </c>
      <c r="H2">
        <v>6</v>
      </c>
      <c r="I2">
        <v>7</v>
      </c>
      <c r="J2">
        <v>8</v>
      </c>
      <c r="K2">
        <v>9</v>
      </c>
      <c r="L2">
        <v>10</v>
      </c>
      <c r="M2">
        <v>11</v>
      </c>
      <c r="N2">
        <v>12</v>
      </c>
      <c r="O2">
        <v>13</v>
      </c>
      <c r="P2">
        <v>14</v>
      </c>
      <c r="Q2">
        <v>15</v>
      </c>
      <c r="R2">
        <v>16</v>
      </c>
      <c r="S2">
        <v>17</v>
      </c>
      <c r="T2">
        <v>18</v>
      </c>
      <c r="U2">
        <v>19</v>
      </c>
      <c r="V2">
        <v>20</v>
      </c>
      <c r="W2">
        <v>21</v>
      </c>
      <c r="X2">
        <v>22</v>
      </c>
      <c r="Y2">
        <v>23</v>
      </c>
      <c r="Z2">
        <v>24</v>
      </c>
      <c r="AA2">
        <v>25</v>
      </c>
      <c r="AB2">
        <v>26</v>
      </c>
      <c r="AC2">
        <v>27</v>
      </c>
      <c r="AD2">
        <v>28</v>
      </c>
      <c r="AE2">
        <v>29</v>
      </c>
      <c r="AF2">
        <v>30</v>
      </c>
      <c r="AG2">
        <v>31</v>
      </c>
      <c r="AH2">
        <v>1</v>
      </c>
      <c r="AI2">
        <v>2</v>
      </c>
      <c r="AJ2">
        <v>3</v>
      </c>
      <c r="AK2">
        <v>4</v>
      </c>
      <c r="AL2">
        <v>5</v>
      </c>
      <c r="AM2">
        <v>6</v>
      </c>
      <c r="AN2">
        <v>7</v>
      </c>
      <c r="AO2">
        <v>8</v>
      </c>
      <c r="AP2">
        <v>9</v>
      </c>
      <c r="AQ2">
        <v>10</v>
      </c>
      <c r="AR2">
        <v>11</v>
      </c>
      <c r="AS2">
        <v>12</v>
      </c>
      <c r="AT2">
        <v>13</v>
      </c>
      <c r="AU2">
        <v>14</v>
      </c>
      <c r="AV2">
        <v>15</v>
      </c>
      <c r="AW2">
        <v>16</v>
      </c>
      <c r="AX2">
        <v>17</v>
      </c>
      <c r="AY2">
        <v>18</v>
      </c>
      <c r="AZ2">
        <v>19</v>
      </c>
      <c r="BA2">
        <v>20</v>
      </c>
      <c r="BB2">
        <v>21</v>
      </c>
      <c r="BC2">
        <v>22</v>
      </c>
      <c r="BD2">
        <v>23</v>
      </c>
      <c r="BE2">
        <v>24</v>
      </c>
      <c r="BF2">
        <v>25</v>
      </c>
      <c r="BG2">
        <v>26</v>
      </c>
      <c r="BH2">
        <v>27</v>
      </c>
      <c r="BI2">
        <v>28</v>
      </c>
      <c r="BJ2">
        <v>29</v>
      </c>
      <c r="BK2">
        <v>1</v>
      </c>
      <c r="BL2">
        <v>2</v>
      </c>
      <c r="BM2">
        <v>3</v>
      </c>
      <c r="BN2">
        <v>4</v>
      </c>
      <c r="BO2">
        <v>5</v>
      </c>
      <c r="BP2">
        <v>6</v>
      </c>
      <c r="BQ2">
        <v>7</v>
      </c>
      <c r="BR2">
        <v>8</v>
      </c>
      <c r="BS2">
        <v>9</v>
      </c>
      <c r="BT2">
        <v>10</v>
      </c>
      <c r="BU2">
        <v>11</v>
      </c>
      <c r="BV2">
        <v>12</v>
      </c>
      <c r="BW2">
        <v>13</v>
      </c>
      <c r="BX2">
        <v>14</v>
      </c>
      <c r="BY2">
        <v>15</v>
      </c>
      <c r="BZ2">
        <v>16</v>
      </c>
      <c r="CA2">
        <v>17</v>
      </c>
      <c r="CB2">
        <v>18</v>
      </c>
      <c r="CC2">
        <v>19</v>
      </c>
      <c r="CD2">
        <v>20</v>
      </c>
      <c r="CE2">
        <v>21</v>
      </c>
      <c r="CF2">
        <v>22</v>
      </c>
      <c r="CG2">
        <v>23</v>
      </c>
      <c r="CH2">
        <v>24</v>
      </c>
      <c r="CI2">
        <v>25</v>
      </c>
      <c r="CJ2">
        <v>26</v>
      </c>
      <c r="CK2">
        <v>27</v>
      </c>
      <c r="CL2">
        <v>28</v>
      </c>
      <c r="CM2">
        <v>29</v>
      </c>
      <c r="CN2">
        <v>30</v>
      </c>
      <c r="CO2">
        <v>31</v>
      </c>
      <c r="CP2">
        <v>1</v>
      </c>
      <c r="CQ2">
        <v>2</v>
      </c>
      <c r="CR2">
        <v>3</v>
      </c>
      <c r="CS2">
        <v>4</v>
      </c>
      <c r="CT2">
        <v>5</v>
      </c>
      <c r="CU2">
        <v>6</v>
      </c>
      <c r="CV2">
        <v>7</v>
      </c>
      <c r="CW2">
        <v>8</v>
      </c>
      <c r="CX2">
        <v>9</v>
      </c>
      <c r="CY2">
        <v>10</v>
      </c>
      <c r="CZ2">
        <v>11</v>
      </c>
      <c r="DA2">
        <v>12</v>
      </c>
      <c r="DB2">
        <v>13</v>
      </c>
      <c r="DC2">
        <v>14</v>
      </c>
      <c r="DD2">
        <v>15</v>
      </c>
      <c r="DE2">
        <v>16</v>
      </c>
      <c r="DF2">
        <v>17</v>
      </c>
      <c r="DG2">
        <v>18</v>
      </c>
      <c r="DH2">
        <v>19</v>
      </c>
      <c r="DI2">
        <v>20</v>
      </c>
      <c r="DJ2">
        <v>21</v>
      </c>
      <c r="DK2">
        <v>22</v>
      </c>
      <c r="DL2">
        <v>23</v>
      </c>
      <c r="DM2">
        <v>24</v>
      </c>
      <c r="DN2">
        <v>25</v>
      </c>
      <c r="DO2">
        <v>26</v>
      </c>
      <c r="DP2">
        <v>27</v>
      </c>
      <c r="DQ2">
        <v>28</v>
      </c>
      <c r="DR2">
        <v>29</v>
      </c>
      <c r="DS2">
        <v>30</v>
      </c>
      <c r="DT2">
        <v>1</v>
      </c>
      <c r="DU2">
        <v>2</v>
      </c>
      <c r="DV2">
        <v>3</v>
      </c>
      <c r="DW2">
        <v>4</v>
      </c>
      <c r="DX2">
        <v>5</v>
      </c>
      <c r="DY2">
        <v>6</v>
      </c>
      <c r="DZ2">
        <v>7</v>
      </c>
      <c r="EA2">
        <v>8</v>
      </c>
      <c r="EB2">
        <v>9</v>
      </c>
      <c r="EC2">
        <v>10</v>
      </c>
      <c r="ED2">
        <v>11</v>
      </c>
      <c r="EE2">
        <v>12</v>
      </c>
      <c r="EF2">
        <v>13</v>
      </c>
      <c r="EG2">
        <v>14</v>
      </c>
      <c r="EH2">
        <v>15</v>
      </c>
      <c r="EI2">
        <v>16</v>
      </c>
      <c r="EJ2">
        <v>17</v>
      </c>
      <c r="EK2">
        <v>18</v>
      </c>
      <c r="EL2">
        <v>19</v>
      </c>
      <c r="EM2">
        <v>20</v>
      </c>
      <c r="EN2">
        <v>21</v>
      </c>
      <c r="EO2">
        <v>22</v>
      </c>
      <c r="EP2">
        <v>23</v>
      </c>
      <c r="EQ2">
        <v>24</v>
      </c>
      <c r="ER2">
        <v>25</v>
      </c>
      <c r="ES2">
        <v>26</v>
      </c>
      <c r="ET2">
        <v>27</v>
      </c>
      <c r="EU2">
        <v>28</v>
      </c>
      <c r="EV2">
        <v>29</v>
      </c>
      <c r="EW2">
        <v>30</v>
      </c>
      <c r="EX2">
        <v>31</v>
      </c>
      <c r="EY2">
        <v>1</v>
      </c>
      <c r="EZ2">
        <v>2</v>
      </c>
      <c r="FA2">
        <v>3</v>
      </c>
      <c r="FB2">
        <v>4</v>
      </c>
      <c r="FC2">
        <v>5</v>
      </c>
      <c r="FD2">
        <v>6</v>
      </c>
      <c r="FE2">
        <v>7</v>
      </c>
      <c r="FF2">
        <v>8</v>
      </c>
      <c r="FG2">
        <v>9</v>
      </c>
      <c r="FH2">
        <v>10</v>
      </c>
      <c r="FI2">
        <v>11</v>
      </c>
      <c r="FJ2">
        <v>12</v>
      </c>
      <c r="FK2">
        <v>13</v>
      </c>
      <c r="FL2">
        <v>14</v>
      </c>
      <c r="FM2">
        <v>15</v>
      </c>
      <c r="FN2">
        <v>16</v>
      </c>
      <c r="FO2">
        <v>17</v>
      </c>
      <c r="FP2">
        <v>18</v>
      </c>
      <c r="FQ2">
        <v>19</v>
      </c>
      <c r="FR2">
        <v>20</v>
      </c>
      <c r="FS2">
        <v>21</v>
      </c>
      <c r="FT2">
        <v>22</v>
      </c>
      <c r="FU2">
        <v>23</v>
      </c>
      <c r="FV2">
        <v>24</v>
      </c>
      <c r="FW2">
        <v>25</v>
      </c>
      <c r="FX2">
        <v>26</v>
      </c>
      <c r="FY2">
        <v>27</v>
      </c>
      <c r="FZ2">
        <v>28</v>
      </c>
      <c r="GA2">
        <v>29</v>
      </c>
      <c r="GB2">
        <v>30</v>
      </c>
      <c r="GC2">
        <v>1</v>
      </c>
      <c r="GD2">
        <v>2</v>
      </c>
      <c r="GE2">
        <v>3</v>
      </c>
      <c r="GF2">
        <v>4</v>
      </c>
      <c r="GG2">
        <v>5</v>
      </c>
      <c r="GH2">
        <v>6</v>
      </c>
      <c r="GI2">
        <v>7</v>
      </c>
      <c r="GJ2">
        <v>8</v>
      </c>
      <c r="GK2">
        <v>9</v>
      </c>
      <c r="GL2">
        <v>10</v>
      </c>
      <c r="GM2">
        <v>11</v>
      </c>
      <c r="GN2">
        <v>12</v>
      </c>
      <c r="GO2">
        <v>13</v>
      </c>
      <c r="GP2">
        <v>14</v>
      </c>
      <c r="GQ2">
        <v>15</v>
      </c>
      <c r="GR2">
        <v>16</v>
      </c>
      <c r="GS2">
        <v>17</v>
      </c>
      <c r="GT2">
        <v>18</v>
      </c>
      <c r="GU2">
        <v>19</v>
      </c>
      <c r="GV2">
        <v>20</v>
      </c>
      <c r="GW2">
        <v>21</v>
      </c>
      <c r="GX2">
        <v>22</v>
      </c>
      <c r="GY2">
        <v>23</v>
      </c>
      <c r="GZ2">
        <v>24</v>
      </c>
      <c r="HA2">
        <v>25</v>
      </c>
      <c r="HB2">
        <v>26</v>
      </c>
      <c r="HC2">
        <v>27</v>
      </c>
      <c r="HD2">
        <v>28</v>
      </c>
      <c r="HE2">
        <v>29</v>
      </c>
      <c r="HF2">
        <v>30</v>
      </c>
      <c r="HG2">
        <v>31</v>
      </c>
      <c r="HH2">
        <v>1</v>
      </c>
      <c r="HI2">
        <v>2</v>
      </c>
      <c r="HJ2">
        <v>3</v>
      </c>
      <c r="HK2">
        <v>4</v>
      </c>
      <c r="HL2">
        <v>5</v>
      </c>
      <c r="HM2">
        <v>6</v>
      </c>
      <c r="HN2">
        <v>7</v>
      </c>
      <c r="HO2">
        <v>8</v>
      </c>
      <c r="HP2">
        <v>9</v>
      </c>
      <c r="HQ2">
        <v>10</v>
      </c>
      <c r="HR2">
        <v>11</v>
      </c>
      <c r="HS2">
        <v>12</v>
      </c>
      <c r="HT2">
        <v>13</v>
      </c>
      <c r="HU2">
        <v>14</v>
      </c>
      <c r="HV2">
        <v>15</v>
      </c>
      <c r="HW2">
        <v>16</v>
      </c>
      <c r="HX2">
        <v>17</v>
      </c>
      <c r="HY2">
        <v>18</v>
      </c>
      <c r="HZ2">
        <v>19</v>
      </c>
      <c r="IA2">
        <v>20</v>
      </c>
      <c r="IB2">
        <v>21</v>
      </c>
      <c r="IC2">
        <v>22</v>
      </c>
      <c r="ID2">
        <v>23</v>
      </c>
      <c r="IE2">
        <v>24</v>
      </c>
      <c r="IF2">
        <v>25</v>
      </c>
      <c r="IG2">
        <v>26</v>
      </c>
      <c r="IH2">
        <v>27</v>
      </c>
      <c r="II2">
        <v>28</v>
      </c>
      <c r="IJ2">
        <v>29</v>
      </c>
      <c r="IK2">
        <v>30</v>
      </c>
      <c r="IL2">
        <v>31</v>
      </c>
      <c r="IM2">
        <v>1</v>
      </c>
      <c r="IN2">
        <v>2</v>
      </c>
      <c r="IO2">
        <v>3</v>
      </c>
      <c r="IP2">
        <v>4</v>
      </c>
      <c r="IQ2">
        <v>5</v>
      </c>
      <c r="IR2">
        <v>6</v>
      </c>
      <c r="IS2">
        <v>7</v>
      </c>
      <c r="IT2">
        <v>8</v>
      </c>
      <c r="IU2">
        <v>9</v>
      </c>
      <c r="IV2">
        <v>10</v>
      </c>
      <c r="IW2">
        <v>11</v>
      </c>
      <c r="IX2">
        <v>12</v>
      </c>
      <c r="IY2">
        <v>13</v>
      </c>
      <c r="IZ2">
        <v>14</v>
      </c>
      <c r="JA2">
        <v>15</v>
      </c>
      <c r="JB2">
        <v>16</v>
      </c>
      <c r="JC2">
        <v>17</v>
      </c>
      <c r="JD2">
        <v>18</v>
      </c>
      <c r="JE2">
        <v>19</v>
      </c>
      <c r="JF2">
        <v>20</v>
      </c>
      <c r="JG2">
        <v>21</v>
      </c>
      <c r="JH2">
        <v>22</v>
      </c>
      <c r="JI2">
        <v>23</v>
      </c>
      <c r="JJ2">
        <v>24</v>
      </c>
      <c r="JK2">
        <v>25</v>
      </c>
      <c r="JL2">
        <v>26</v>
      </c>
      <c r="JM2">
        <v>27</v>
      </c>
      <c r="JN2">
        <v>28</v>
      </c>
      <c r="JO2">
        <v>29</v>
      </c>
      <c r="JP2">
        <v>30</v>
      </c>
      <c r="JQ2">
        <v>1</v>
      </c>
      <c r="JR2">
        <v>2</v>
      </c>
      <c r="JS2">
        <v>3</v>
      </c>
      <c r="JT2">
        <v>4</v>
      </c>
      <c r="JU2">
        <v>5</v>
      </c>
      <c r="JV2">
        <v>6</v>
      </c>
      <c r="JW2">
        <v>7</v>
      </c>
      <c r="JX2">
        <v>8</v>
      </c>
      <c r="JY2">
        <v>9</v>
      </c>
      <c r="JZ2">
        <v>10</v>
      </c>
      <c r="KA2">
        <v>11</v>
      </c>
      <c r="KB2">
        <v>12</v>
      </c>
      <c r="KC2">
        <v>13</v>
      </c>
      <c r="KD2">
        <v>14</v>
      </c>
      <c r="KE2">
        <v>15</v>
      </c>
      <c r="KF2">
        <v>16</v>
      </c>
      <c r="KG2">
        <v>17</v>
      </c>
      <c r="KH2">
        <v>18</v>
      </c>
      <c r="KI2">
        <v>19</v>
      </c>
      <c r="KJ2">
        <v>20</v>
      </c>
      <c r="KK2">
        <v>21</v>
      </c>
      <c r="KL2">
        <v>22</v>
      </c>
      <c r="KM2">
        <v>23</v>
      </c>
      <c r="KN2">
        <v>24</v>
      </c>
      <c r="KO2">
        <v>25</v>
      </c>
      <c r="KP2">
        <v>26</v>
      </c>
      <c r="KQ2">
        <v>27</v>
      </c>
      <c r="KR2">
        <v>28</v>
      </c>
      <c r="KS2">
        <v>29</v>
      </c>
      <c r="KT2">
        <v>30</v>
      </c>
      <c r="KU2">
        <v>31</v>
      </c>
      <c r="KV2">
        <v>1</v>
      </c>
      <c r="KW2">
        <v>2</v>
      </c>
      <c r="KX2">
        <v>3</v>
      </c>
      <c r="KY2">
        <v>4</v>
      </c>
      <c r="KZ2">
        <v>5</v>
      </c>
      <c r="LA2">
        <v>6</v>
      </c>
      <c r="LB2">
        <v>7</v>
      </c>
      <c r="LC2">
        <v>8</v>
      </c>
      <c r="LD2">
        <v>9</v>
      </c>
      <c r="LE2">
        <v>10</v>
      </c>
      <c r="LF2">
        <v>11</v>
      </c>
      <c r="LG2">
        <v>12</v>
      </c>
      <c r="LH2">
        <v>13</v>
      </c>
      <c r="LI2">
        <v>14</v>
      </c>
      <c r="LJ2">
        <v>15</v>
      </c>
      <c r="LK2">
        <v>16</v>
      </c>
      <c r="LL2">
        <v>17</v>
      </c>
      <c r="LM2">
        <v>18</v>
      </c>
      <c r="LN2">
        <v>19</v>
      </c>
      <c r="LO2">
        <v>20</v>
      </c>
      <c r="LP2">
        <v>21</v>
      </c>
      <c r="LQ2">
        <v>22</v>
      </c>
      <c r="LR2">
        <v>23</v>
      </c>
      <c r="LS2">
        <v>24</v>
      </c>
      <c r="LT2">
        <v>25</v>
      </c>
      <c r="LU2">
        <v>26</v>
      </c>
      <c r="LV2">
        <v>27</v>
      </c>
      <c r="LW2">
        <v>28</v>
      </c>
      <c r="LX2">
        <v>29</v>
      </c>
      <c r="LY2">
        <v>30</v>
      </c>
      <c r="LZ2">
        <v>1</v>
      </c>
      <c r="MA2">
        <v>2</v>
      </c>
      <c r="MB2">
        <v>3</v>
      </c>
      <c r="MC2">
        <v>4</v>
      </c>
      <c r="MD2">
        <v>5</v>
      </c>
      <c r="ME2">
        <v>6</v>
      </c>
      <c r="MF2">
        <v>7</v>
      </c>
      <c r="MG2">
        <v>8</v>
      </c>
      <c r="MH2">
        <v>9</v>
      </c>
      <c r="MI2">
        <v>10</v>
      </c>
      <c r="MJ2">
        <v>11</v>
      </c>
      <c r="MK2">
        <v>12</v>
      </c>
      <c r="ML2">
        <v>13</v>
      </c>
      <c r="MM2">
        <v>14</v>
      </c>
      <c r="MN2">
        <v>15</v>
      </c>
      <c r="MO2">
        <v>16</v>
      </c>
      <c r="MP2">
        <v>17</v>
      </c>
      <c r="MQ2">
        <v>18</v>
      </c>
      <c r="MR2">
        <v>19</v>
      </c>
      <c r="MS2">
        <v>20</v>
      </c>
      <c r="MT2">
        <v>21</v>
      </c>
      <c r="MU2">
        <v>22</v>
      </c>
      <c r="MV2">
        <v>23</v>
      </c>
      <c r="MW2">
        <v>24</v>
      </c>
      <c r="MX2">
        <v>25</v>
      </c>
      <c r="MY2">
        <v>26</v>
      </c>
      <c r="MZ2">
        <v>27</v>
      </c>
      <c r="NA2">
        <v>28</v>
      </c>
      <c r="NB2">
        <v>29</v>
      </c>
      <c r="NC2">
        <v>30</v>
      </c>
      <c r="ND2">
        <v>31</v>
      </c>
      <c r="NE2">
        <v>1</v>
      </c>
      <c r="NF2">
        <v>2</v>
      </c>
      <c r="NG2">
        <v>3</v>
      </c>
      <c r="NH2">
        <v>4</v>
      </c>
      <c r="NI2">
        <v>5</v>
      </c>
      <c r="NJ2">
        <v>6</v>
      </c>
      <c r="NK2">
        <v>7</v>
      </c>
      <c r="NL2">
        <v>8</v>
      </c>
      <c r="NM2">
        <v>9</v>
      </c>
      <c r="NN2">
        <v>10</v>
      </c>
      <c r="NO2">
        <v>11</v>
      </c>
      <c r="NP2">
        <v>12</v>
      </c>
      <c r="NQ2">
        <v>13</v>
      </c>
      <c r="NR2">
        <v>14</v>
      </c>
      <c r="NS2">
        <v>15</v>
      </c>
      <c r="NT2">
        <v>16</v>
      </c>
      <c r="NU2">
        <v>17</v>
      </c>
      <c r="NV2">
        <v>18</v>
      </c>
      <c r="NW2">
        <v>19</v>
      </c>
      <c r="NX2">
        <v>20</v>
      </c>
      <c r="NY2">
        <v>21</v>
      </c>
      <c r="NZ2">
        <v>22</v>
      </c>
      <c r="OA2">
        <v>23</v>
      </c>
      <c r="OB2">
        <v>24</v>
      </c>
      <c r="OC2">
        <v>25</v>
      </c>
      <c r="OD2">
        <v>26</v>
      </c>
      <c r="OE2">
        <v>27</v>
      </c>
      <c r="OF2">
        <v>28</v>
      </c>
      <c r="OG2">
        <v>29</v>
      </c>
      <c r="OH2">
        <v>30</v>
      </c>
      <c r="OI2">
        <v>31</v>
      </c>
      <c r="OJ2">
        <v>1</v>
      </c>
      <c r="OK2">
        <v>2</v>
      </c>
      <c r="OL2">
        <v>3</v>
      </c>
      <c r="OM2">
        <v>4</v>
      </c>
      <c r="ON2">
        <v>5</v>
      </c>
      <c r="OO2">
        <v>6</v>
      </c>
      <c r="OP2">
        <v>7</v>
      </c>
      <c r="OQ2">
        <v>8</v>
      </c>
      <c r="OR2">
        <v>9</v>
      </c>
      <c r="OS2">
        <v>10</v>
      </c>
      <c r="OT2">
        <v>11</v>
      </c>
      <c r="OU2">
        <v>12</v>
      </c>
      <c r="OV2">
        <v>13</v>
      </c>
      <c r="OW2">
        <v>14</v>
      </c>
      <c r="OX2">
        <v>15</v>
      </c>
      <c r="OY2">
        <v>16</v>
      </c>
      <c r="OZ2">
        <v>17</v>
      </c>
      <c r="PA2">
        <v>18</v>
      </c>
      <c r="PB2">
        <v>19</v>
      </c>
      <c r="PC2">
        <v>20</v>
      </c>
      <c r="PD2">
        <v>21</v>
      </c>
      <c r="PE2">
        <v>22</v>
      </c>
      <c r="PF2">
        <v>23</v>
      </c>
      <c r="PG2">
        <v>24</v>
      </c>
      <c r="PH2">
        <v>25</v>
      </c>
      <c r="PI2">
        <v>26</v>
      </c>
      <c r="PJ2">
        <v>27</v>
      </c>
      <c r="PK2">
        <v>28</v>
      </c>
      <c r="PL2">
        <v>1</v>
      </c>
      <c r="PM2">
        <v>2</v>
      </c>
      <c r="PN2">
        <v>3</v>
      </c>
      <c r="PO2">
        <v>4</v>
      </c>
      <c r="PP2">
        <v>5</v>
      </c>
      <c r="PQ2">
        <v>6</v>
      </c>
      <c r="PR2">
        <v>7</v>
      </c>
      <c r="PS2">
        <v>8</v>
      </c>
      <c r="PT2">
        <v>9</v>
      </c>
      <c r="PU2">
        <v>10</v>
      </c>
      <c r="PV2">
        <v>11</v>
      </c>
      <c r="PW2">
        <v>12</v>
      </c>
      <c r="PX2">
        <v>13</v>
      </c>
      <c r="PY2">
        <v>14</v>
      </c>
      <c r="PZ2">
        <v>15</v>
      </c>
      <c r="QA2">
        <v>16</v>
      </c>
      <c r="QB2">
        <v>17</v>
      </c>
      <c r="QC2">
        <v>18</v>
      </c>
      <c r="QD2">
        <v>19</v>
      </c>
      <c r="QE2">
        <v>20</v>
      </c>
      <c r="QF2">
        <v>21</v>
      </c>
      <c r="QG2">
        <v>22</v>
      </c>
      <c r="QH2">
        <v>23</v>
      </c>
      <c r="QI2">
        <v>24</v>
      </c>
      <c r="QJ2">
        <v>25</v>
      </c>
      <c r="QK2">
        <v>26</v>
      </c>
      <c r="QL2">
        <v>27</v>
      </c>
      <c r="QM2">
        <v>28</v>
      </c>
      <c r="QN2">
        <v>29</v>
      </c>
      <c r="QO2">
        <v>30</v>
      </c>
      <c r="QP2">
        <v>31</v>
      </c>
      <c r="QQ2">
        <v>1</v>
      </c>
      <c r="QR2">
        <v>2</v>
      </c>
      <c r="QS2">
        <v>3</v>
      </c>
      <c r="QT2">
        <v>4</v>
      </c>
      <c r="QU2">
        <v>5</v>
      </c>
      <c r="QV2">
        <v>6</v>
      </c>
      <c r="QW2">
        <v>7</v>
      </c>
      <c r="QX2">
        <v>8</v>
      </c>
      <c r="QY2">
        <v>9</v>
      </c>
      <c r="QZ2">
        <v>10</v>
      </c>
      <c r="RA2">
        <v>11</v>
      </c>
      <c r="RB2">
        <v>12</v>
      </c>
      <c r="RC2">
        <v>13</v>
      </c>
      <c r="RD2">
        <v>14</v>
      </c>
      <c r="RE2">
        <v>15</v>
      </c>
      <c r="RF2">
        <v>16</v>
      </c>
      <c r="RG2">
        <v>17</v>
      </c>
      <c r="RH2">
        <v>18</v>
      </c>
      <c r="RI2">
        <v>19</v>
      </c>
      <c r="RJ2">
        <v>20</v>
      </c>
      <c r="RK2">
        <v>21</v>
      </c>
      <c r="RL2">
        <v>22</v>
      </c>
      <c r="RM2">
        <v>23</v>
      </c>
      <c r="RN2">
        <v>24</v>
      </c>
      <c r="RO2">
        <v>25</v>
      </c>
      <c r="RP2">
        <v>26</v>
      </c>
      <c r="RQ2">
        <v>27</v>
      </c>
      <c r="RR2">
        <v>28</v>
      </c>
      <c r="RS2">
        <v>29</v>
      </c>
      <c r="RT2">
        <v>30</v>
      </c>
      <c r="RU2">
        <v>1</v>
      </c>
      <c r="RV2">
        <v>2</v>
      </c>
      <c r="RW2">
        <v>3</v>
      </c>
      <c r="RX2">
        <v>4</v>
      </c>
      <c r="RY2">
        <v>5</v>
      </c>
      <c r="RZ2">
        <v>6</v>
      </c>
      <c r="SA2">
        <v>7</v>
      </c>
      <c r="SB2">
        <v>8</v>
      </c>
      <c r="SC2">
        <v>9</v>
      </c>
      <c r="SD2">
        <v>10</v>
      </c>
      <c r="SE2">
        <v>11</v>
      </c>
      <c r="SF2">
        <v>12</v>
      </c>
      <c r="SG2">
        <v>13</v>
      </c>
      <c r="SH2">
        <v>14</v>
      </c>
      <c r="SI2">
        <v>15</v>
      </c>
      <c r="SJ2">
        <v>16</v>
      </c>
      <c r="SK2">
        <v>17</v>
      </c>
      <c r="SL2">
        <v>18</v>
      </c>
      <c r="SM2">
        <v>19</v>
      </c>
      <c r="SN2">
        <v>20</v>
      </c>
      <c r="SO2">
        <v>21</v>
      </c>
      <c r="SP2">
        <v>22</v>
      </c>
      <c r="SQ2">
        <v>23</v>
      </c>
      <c r="SR2">
        <v>24</v>
      </c>
      <c r="SS2">
        <v>25</v>
      </c>
      <c r="ST2">
        <v>26</v>
      </c>
      <c r="SU2">
        <v>27</v>
      </c>
      <c r="SV2">
        <v>28</v>
      </c>
      <c r="SW2">
        <v>29</v>
      </c>
      <c r="SX2">
        <v>30</v>
      </c>
      <c r="SY2">
        <v>31</v>
      </c>
      <c r="SZ2">
        <v>1</v>
      </c>
      <c r="TA2">
        <v>2</v>
      </c>
      <c r="TB2">
        <v>3</v>
      </c>
      <c r="TC2">
        <v>4</v>
      </c>
      <c r="TD2">
        <v>5</v>
      </c>
      <c r="TE2">
        <v>6</v>
      </c>
      <c r="TF2">
        <v>7</v>
      </c>
      <c r="TG2">
        <v>8</v>
      </c>
      <c r="TH2">
        <v>9</v>
      </c>
      <c r="TI2">
        <v>10</v>
      </c>
      <c r="TJ2">
        <v>11</v>
      </c>
      <c r="TK2">
        <v>12</v>
      </c>
      <c r="TL2">
        <v>13</v>
      </c>
      <c r="TM2">
        <v>14</v>
      </c>
      <c r="TN2">
        <v>15</v>
      </c>
      <c r="TO2">
        <v>16</v>
      </c>
      <c r="TP2">
        <v>17</v>
      </c>
      <c r="TQ2">
        <v>18</v>
      </c>
      <c r="TR2">
        <v>19</v>
      </c>
      <c r="TS2">
        <v>20</v>
      </c>
      <c r="TT2">
        <v>21</v>
      </c>
      <c r="TU2">
        <v>22</v>
      </c>
      <c r="TV2">
        <v>23</v>
      </c>
      <c r="TW2">
        <v>24</v>
      </c>
      <c r="TX2">
        <v>25</v>
      </c>
      <c r="TY2">
        <v>26</v>
      </c>
      <c r="TZ2">
        <v>27</v>
      </c>
      <c r="UA2">
        <v>28</v>
      </c>
      <c r="UB2">
        <v>29</v>
      </c>
      <c r="UC2">
        <v>30</v>
      </c>
      <c r="UD2">
        <v>1</v>
      </c>
      <c r="UE2">
        <v>2</v>
      </c>
      <c r="UF2">
        <v>3</v>
      </c>
      <c r="UG2">
        <v>4</v>
      </c>
      <c r="UH2">
        <v>5</v>
      </c>
      <c r="UI2">
        <v>6</v>
      </c>
      <c r="UJ2">
        <v>7</v>
      </c>
      <c r="UK2">
        <v>8</v>
      </c>
      <c r="UL2">
        <v>9</v>
      </c>
      <c r="UM2">
        <v>10</v>
      </c>
      <c r="UN2">
        <v>11</v>
      </c>
      <c r="UO2">
        <v>12</v>
      </c>
      <c r="UP2">
        <v>13</v>
      </c>
      <c r="UQ2">
        <v>14</v>
      </c>
      <c r="UR2">
        <v>15</v>
      </c>
      <c r="US2">
        <v>16</v>
      </c>
      <c r="UT2">
        <v>17</v>
      </c>
      <c r="UU2">
        <v>18</v>
      </c>
      <c r="UV2">
        <v>19</v>
      </c>
      <c r="UW2">
        <v>20</v>
      </c>
      <c r="UX2">
        <v>21</v>
      </c>
      <c r="UY2">
        <v>22</v>
      </c>
      <c r="UZ2">
        <v>23</v>
      </c>
      <c r="VA2">
        <v>24</v>
      </c>
      <c r="VB2">
        <v>25</v>
      </c>
      <c r="VC2">
        <v>26</v>
      </c>
      <c r="VD2">
        <v>27</v>
      </c>
      <c r="VE2">
        <v>28</v>
      </c>
      <c r="VF2">
        <v>29</v>
      </c>
      <c r="VG2">
        <v>30</v>
      </c>
      <c r="VH2">
        <v>31</v>
      </c>
      <c r="VI2">
        <v>1</v>
      </c>
      <c r="VJ2">
        <v>2</v>
      </c>
      <c r="VK2">
        <v>3</v>
      </c>
      <c r="VL2">
        <v>4</v>
      </c>
      <c r="VM2">
        <v>5</v>
      </c>
      <c r="VN2">
        <v>6</v>
      </c>
      <c r="VO2">
        <v>7</v>
      </c>
      <c r="VP2">
        <v>8</v>
      </c>
      <c r="VQ2">
        <v>9</v>
      </c>
      <c r="VR2">
        <v>10</v>
      </c>
      <c r="VS2">
        <v>11</v>
      </c>
      <c r="VT2">
        <v>12</v>
      </c>
      <c r="VU2">
        <v>13</v>
      </c>
      <c r="VV2">
        <v>14</v>
      </c>
      <c r="VW2">
        <v>15</v>
      </c>
      <c r="VX2">
        <v>16</v>
      </c>
      <c r="VY2">
        <v>17</v>
      </c>
      <c r="VZ2">
        <v>18</v>
      </c>
      <c r="WA2">
        <v>19</v>
      </c>
      <c r="WB2">
        <v>20</v>
      </c>
      <c r="WC2">
        <v>21</v>
      </c>
      <c r="WD2">
        <v>22</v>
      </c>
      <c r="WE2">
        <v>23</v>
      </c>
      <c r="WF2">
        <v>24</v>
      </c>
      <c r="WG2">
        <v>25</v>
      </c>
      <c r="WH2">
        <v>26</v>
      </c>
      <c r="WI2">
        <v>27</v>
      </c>
      <c r="WJ2">
        <v>28</v>
      </c>
      <c r="WK2">
        <v>29</v>
      </c>
      <c r="WL2">
        <v>30</v>
      </c>
      <c r="WM2">
        <v>31</v>
      </c>
      <c r="WN2">
        <v>1</v>
      </c>
      <c r="WO2">
        <v>2</v>
      </c>
      <c r="WP2">
        <v>3</v>
      </c>
      <c r="WQ2">
        <v>4</v>
      </c>
      <c r="WR2">
        <v>5</v>
      </c>
      <c r="WS2">
        <v>6</v>
      </c>
      <c r="WT2">
        <v>7</v>
      </c>
      <c r="WU2">
        <v>8</v>
      </c>
      <c r="WV2">
        <v>9</v>
      </c>
      <c r="WW2">
        <v>10</v>
      </c>
      <c r="WX2">
        <v>11</v>
      </c>
      <c r="WY2">
        <v>12</v>
      </c>
      <c r="WZ2">
        <v>13</v>
      </c>
      <c r="XA2">
        <v>14</v>
      </c>
      <c r="XB2">
        <v>15</v>
      </c>
      <c r="XC2">
        <v>16</v>
      </c>
      <c r="XD2">
        <v>17</v>
      </c>
      <c r="XE2">
        <v>18</v>
      </c>
      <c r="XF2">
        <v>19</v>
      </c>
      <c r="XG2">
        <v>20</v>
      </c>
      <c r="XH2">
        <v>21</v>
      </c>
      <c r="XI2">
        <v>22</v>
      </c>
      <c r="XJ2">
        <v>23</v>
      </c>
      <c r="XK2">
        <v>24</v>
      </c>
      <c r="XL2">
        <v>25</v>
      </c>
      <c r="XM2">
        <v>26</v>
      </c>
      <c r="XN2">
        <v>27</v>
      </c>
      <c r="XO2">
        <v>28</v>
      </c>
      <c r="XP2">
        <v>29</v>
      </c>
      <c r="XQ2">
        <v>30</v>
      </c>
      <c r="XR2">
        <v>1</v>
      </c>
      <c r="XS2">
        <v>2</v>
      </c>
      <c r="XT2">
        <v>3</v>
      </c>
      <c r="XU2">
        <v>4</v>
      </c>
      <c r="XV2">
        <v>5</v>
      </c>
      <c r="XW2">
        <v>6</v>
      </c>
      <c r="XX2">
        <v>7</v>
      </c>
      <c r="XY2">
        <v>8</v>
      </c>
      <c r="XZ2">
        <v>9</v>
      </c>
      <c r="YA2">
        <v>10</v>
      </c>
      <c r="YB2">
        <v>11</v>
      </c>
      <c r="YC2">
        <v>12</v>
      </c>
      <c r="YD2">
        <v>13</v>
      </c>
      <c r="YE2">
        <v>14</v>
      </c>
      <c r="YF2">
        <v>15</v>
      </c>
      <c r="YG2">
        <v>16</v>
      </c>
      <c r="YH2">
        <v>17</v>
      </c>
      <c r="YI2">
        <v>18</v>
      </c>
      <c r="YJ2">
        <v>19</v>
      </c>
      <c r="YK2">
        <v>20</v>
      </c>
      <c r="YL2">
        <v>21</v>
      </c>
      <c r="YM2">
        <v>22</v>
      </c>
      <c r="YN2">
        <v>23</v>
      </c>
      <c r="YO2">
        <v>24</v>
      </c>
      <c r="YP2">
        <v>25</v>
      </c>
      <c r="YQ2">
        <v>26</v>
      </c>
      <c r="YR2">
        <v>27</v>
      </c>
      <c r="YS2">
        <v>28</v>
      </c>
      <c r="YT2">
        <v>29</v>
      </c>
      <c r="YU2">
        <v>30</v>
      </c>
      <c r="YV2">
        <v>31</v>
      </c>
      <c r="YW2">
        <v>1</v>
      </c>
      <c r="YX2">
        <v>2</v>
      </c>
      <c r="YY2">
        <v>3</v>
      </c>
      <c r="YZ2">
        <v>4</v>
      </c>
      <c r="ZA2">
        <v>5</v>
      </c>
      <c r="ZB2">
        <v>6</v>
      </c>
      <c r="ZC2">
        <v>7</v>
      </c>
      <c r="ZD2">
        <v>8</v>
      </c>
      <c r="ZE2">
        <v>9</v>
      </c>
      <c r="ZF2">
        <v>10</v>
      </c>
      <c r="ZG2">
        <v>11</v>
      </c>
      <c r="ZH2">
        <v>12</v>
      </c>
      <c r="ZI2">
        <v>13</v>
      </c>
      <c r="ZJ2">
        <v>14</v>
      </c>
      <c r="ZK2">
        <v>15</v>
      </c>
      <c r="ZL2">
        <v>16</v>
      </c>
      <c r="ZM2">
        <v>17</v>
      </c>
      <c r="ZN2">
        <v>18</v>
      </c>
      <c r="ZO2">
        <v>19</v>
      </c>
      <c r="ZP2">
        <v>20</v>
      </c>
      <c r="ZQ2">
        <v>21</v>
      </c>
      <c r="ZR2">
        <v>22</v>
      </c>
      <c r="ZS2">
        <v>23</v>
      </c>
      <c r="ZT2">
        <v>24</v>
      </c>
      <c r="ZU2">
        <v>25</v>
      </c>
      <c r="ZV2">
        <v>26</v>
      </c>
      <c r="ZW2">
        <v>27</v>
      </c>
      <c r="ZX2">
        <v>28</v>
      </c>
      <c r="ZY2">
        <v>29</v>
      </c>
      <c r="ZZ2">
        <v>30</v>
      </c>
      <c r="AAA2">
        <v>1</v>
      </c>
      <c r="AAB2">
        <v>2</v>
      </c>
      <c r="AAC2">
        <v>3</v>
      </c>
      <c r="AAD2">
        <v>4</v>
      </c>
      <c r="AAE2">
        <v>5</v>
      </c>
      <c r="AAF2">
        <v>6</v>
      </c>
      <c r="AAG2">
        <v>7</v>
      </c>
      <c r="AAH2">
        <v>8</v>
      </c>
      <c r="AAI2">
        <v>9</v>
      </c>
      <c r="AAJ2">
        <v>10</v>
      </c>
      <c r="AAK2">
        <v>11</v>
      </c>
      <c r="AAL2">
        <v>12</v>
      </c>
      <c r="AAM2">
        <v>13</v>
      </c>
      <c r="AAN2">
        <v>14</v>
      </c>
      <c r="AAO2">
        <v>15</v>
      </c>
      <c r="AAP2">
        <v>16</v>
      </c>
      <c r="AAQ2">
        <v>17</v>
      </c>
      <c r="AAR2">
        <v>18</v>
      </c>
      <c r="AAS2">
        <v>19</v>
      </c>
      <c r="AAT2">
        <v>20</v>
      </c>
      <c r="AAU2">
        <v>21</v>
      </c>
      <c r="AAV2">
        <v>22</v>
      </c>
      <c r="AAW2">
        <v>23</v>
      </c>
      <c r="AAX2">
        <v>24</v>
      </c>
      <c r="AAY2">
        <v>25</v>
      </c>
      <c r="AAZ2">
        <v>26</v>
      </c>
      <c r="ABA2">
        <v>27</v>
      </c>
      <c r="ABB2">
        <v>28</v>
      </c>
      <c r="ABC2">
        <v>29</v>
      </c>
      <c r="ABD2">
        <v>30</v>
      </c>
      <c r="ABE2">
        <v>31</v>
      </c>
      <c r="ABG2" s="1137" t="s">
        <v>1989</v>
      </c>
      <c r="ACF2" s="1137" t="str">
        <f>ACF3&amp;ACF4</f>
        <v>Jan2020</v>
      </c>
      <c r="ACG2" s="1137" t="str">
        <f t="shared" ref="ACG2:ADC2" si="0">ACG3&amp;ACG4</f>
        <v>Feb2020</v>
      </c>
      <c r="ACH2" s="1137" t="str">
        <f t="shared" si="0"/>
        <v>Mar2020</v>
      </c>
      <c r="ACI2" s="1137" t="str">
        <f t="shared" si="0"/>
        <v>Apr2020</v>
      </c>
      <c r="ACJ2" s="1137" t="str">
        <f t="shared" si="0"/>
        <v>May2020</v>
      </c>
      <c r="ACK2" s="1137" t="str">
        <f t="shared" si="0"/>
        <v>Jun2020</v>
      </c>
      <c r="ACL2" s="1137" t="str">
        <f t="shared" si="0"/>
        <v>Jul2020</v>
      </c>
      <c r="ACM2" s="1137" t="str">
        <f t="shared" si="0"/>
        <v>Aug2020</v>
      </c>
      <c r="ACN2" s="1137" t="str">
        <f t="shared" si="0"/>
        <v>Sep2020</v>
      </c>
      <c r="ACO2" s="1137" t="str">
        <f t="shared" si="0"/>
        <v>Oct2020</v>
      </c>
      <c r="ACP2" s="1137" t="str">
        <f t="shared" si="0"/>
        <v>Nov2020</v>
      </c>
      <c r="ACQ2" s="1137" t="str">
        <f t="shared" si="0"/>
        <v>Dec2020</v>
      </c>
      <c r="ACR2" s="1137" t="str">
        <f t="shared" si="0"/>
        <v>Jan2021</v>
      </c>
      <c r="ACS2" s="1137" t="str">
        <f t="shared" si="0"/>
        <v>Feb2021</v>
      </c>
      <c r="ACT2" s="1137" t="str">
        <f t="shared" si="0"/>
        <v>Mar2021</v>
      </c>
      <c r="ACU2" s="1137" t="str">
        <f t="shared" si="0"/>
        <v>Apr2021</v>
      </c>
      <c r="ACV2" s="1137" t="str">
        <f t="shared" si="0"/>
        <v>May2021</v>
      </c>
      <c r="ACW2" s="1137" t="str">
        <f t="shared" si="0"/>
        <v>Jun2021</v>
      </c>
      <c r="ACX2" s="1137" t="str">
        <f t="shared" si="0"/>
        <v>Jul2021</v>
      </c>
      <c r="ACY2" s="1137" t="str">
        <f t="shared" si="0"/>
        <v>Aug2021</v>
      </c>
      <c r="ACZ2" s="1137" t="str">
        <f t="shared" si="0"/>
        <v>Sep2021</v>
      </c>
      <c r="ADA2" s="1137" t="str">
        <f t="shared" si="0"/>
        <v>Oct2021</v>
      </c>
      <c r="ADB2" s="1137" t="str">
        <f t="shared" si="0"/>
        <v>Nov2021</v>
      </c>
      <c r="ADC2" s="1137" t="str">
        <f t="shared" si="0"/>
        <v>Dec2021</v>
      </c>
    </row>
    <row r="3" spans="1:783" x14ac:dyDescent="0.25">
      <c r="C3" t="s">
        <v>1313</v>
      </c>
      <c r="D3" t="s">
        <v>1313</v>
      </c>
      <c r="E3" t="s">
        <v>1313</v>
      </c>
      <c r="F3" t="s">
        <v>1313</v>
      </c>
      <c r="G3" t="s">
        <v>1313</v>
      </c>
      <c r="H3" t="s">
        <v>1313</v>
      </c>
      <c r="I3" t="s">
        <v>1313</v>
      </c>
      <c r="J3" t="s">
        <v>1313</v>
      </c>
      <c r="K3" t="s">
        <v>1313</v>
      </c>
      <c r="L3" t="s">
        <v>1313</v>
      </c>
      <c r="M3" t="s">
        <v>1313</v>
      </c>
      <c r="N3" t="s">
        <v>1313</v>
      </c>
      <c r="O3" t="s">
        <v>1313</v>
      </c>
      <c r="P3" t="s">
        <v>1313</v>
      </c>
      <c r="Q3" t="s">
        <v>1313</v>
      </c>
      <c r="R3" t="s">
        <v>1313</v>
      </c>
      <c r="S3" t="s">
        <v>1313</v>
      </c>
      <c r="T3" t="s">
        <v>1313</v>
      </c>
      <c r="U3" t="s">
        <v>1313</v>
      </c>
      <c r="V3" t="s">
        <v>1313</v>
      </c>
      <c r="W3" t="s">
        <v>1313</v>
      </c>
      <c r="X3" t="s">
        <v>1313</v>
      </c>
      <c r="Y3" t="s">
        <v>1313</v>
      </c>
      <c r="Z3" t="s">
        <v>1313</v>
      </c>
      <c r="AA3" t="s">
        <v>1313</v>
      </c>
      <c r="AB3" t="s">
        <v>1313</v>
      </c>
      <c r="AC3" t="s">
        <v>1313</v>
      </c>
      <c r="AD3" t="s">
        <v>1313</v>
      </c>
      <c r="AE3" t="s">
        <v>1313</v>
      </c>
      <c r="AF3" t="s">
        <v>1313</v>
      </c>
      <c r="AG3" t="s">
        <v>1313</v>
      </c>
      <c r="AH3" t="s">
        <v>1314</v>
      </c>
      <c r="AI3" t="s">
        <v>1314</v>
      </c>
      <c r="AJ3" t="s">
        <v>1314</v>
      </c>
      <c r="AK3" t="s">
        <v>1314</v>
      </c>
      <c r="AL3" t="s">
        <v>1314</v>
      </c>
      <c r="AM3" t="s">
        <v>1314</v>
      </c>
      <c r="AN3" t="s">
        <v>1314</v>
      </c>
      <c r="AO3" t="s">
        <v>1314</v>
      </c>
      <c r="AP3" t="s">
        <v>1314</v>
      </c>
      <c r="AQ3" t="s">
        <v>1314</v>
      </c>
      <c r="AR3" t="s">
        <v>1314</v>
      </c>
      <c r="AS3" t="s">
        <v>1314</v>
      </c>
      <c r="AT3" t="s">
        <v>1314</v>
      </c>
      <c r="AU3" t="s">
        <v>1314</v>
      </c>
      <c r="AV3" t="s">
        <v>1314</v>
      </c>
      <c r="AW3" t="s">
        <v>1314</v>
      </c>
      <c r="AX3" t="s">
        <v>1314</v>
      </c>
      <c r="AY3" t="s">
        <v>1314</v>
      </c>
      <c r="AZ3" t="s">
        <v>1314</v>
      </c>
      <c r="BA3" t="s">
        <v>1314</v>
      </c>
      <c r="BB3" t="s">
        <v>1314</v>
      </c>
      <c r="BC3" t="s">
        <v>1314</v>
      </c>
      <c r="BD3" t="s">
        <v>1314</v>
      </c>
      <c r="BE3" t="s">
        <v>1314</v>
      </c>
      <c r="BF3" t="s">
        <v>1314</v>
      </c>
      <c r="BG3" t="s">
        <v>1314</v>
      </c>
      <c r="BH3" t="s">
        <v>1314</v>
      </c>
      <c r="BI3" t="s">
        <v>1314</v>
      </c>
      <c r="BJ3" t="s">
        <v>1314</v>
      </c>
      <c r="BK3" t="s">
        <v>1315</v>
      </c>
      <c r="BL3" t="s">
        <v>1315</v>
      </c>
      <c r="BM3" t="s">
        <v>1315</v>
      </c>
      <c r="BN3" t="s">
        <v>1315</v>
      </c>
      <c r="BO3" t="s">
        <v>1315</v>
      </c>
      <c r="BP3" t="s">
        <v>1315</v>
      </c>
      <c r="BQ3" t="s">
        <v>1315</v>
      </c>
      <c r="BR3" t="s">
        <v>1315</v>
      </c>
      <c r="BS3" t="s">
        <v>1315</v>
      </c>
      <c r="BT3" t="s">
        <v>1315</v>
      </c>
      <c r="BU3" t="s">
        <v>1315</v>
      </c>
      <c r="BV3" t="s">
        <v>1315</v>
      </c>
      <c r="BW3" t="s">
        <v>1315</v>
      </c>
      <c r="BX3" t="s">
        <v>1315</v>
      </c>
      <c r="BY3" t="s">
        <v>1315</v>
      </c>
      <c r="BZ3" t="s">
        <v>1315</v>
      </c>
      <c r="CA3" t="s">
        <v>1315</v>
      </c>
      <c r="CB3" t="s">
        <v>1315</v>
      </c>
      <c r="CC3" t="s">
        <v>1315</v>
      </c>
      <c r="CD3" t="s">
        <v>1315</v>
      </c>
      <c r="CE3" t="s">
        <v>1315</v>
      </c>
      <c r="CF3" t="s">
        <v>1315</v>
      </c>
      <c r="CG3" t="s">
        <v>1315</v>
      </c>
      <c r="CH3" t="s">
        <v>1315</v>
      </c>
      <c r="CI3" t="s">
        <v>1315</v>
      </c>
      <c r="CJ3" t="s">
        <v>1315</v>
      </c>
      <c r="CK3" t="s">
        <v>1315</v>
      </c>
      <c r="CL3" t="s">
        <v>1315</v>
      </c>
      <c r="CM3" t="s">
        <v>1315</v>
      </c>
      <c r="CN3" t="s">
        <v>1315</v>
      </c>
      <c r="CO3" t="s">
        <v>1315</v>
      </c>
      <c r="CP3" t="s">
        <v>1316</v>
      </c>
      <c r="CQ3" t="s">
        <v>1316</v>
      </c>
      <c r="CR3" t="s">
        <v>1316</v>
      </c>
      <c r="CS3" t="s">
        <v>1316</v>
      </c>
      <c r="CT3" t="s">
        <v>1316</v>
      </c>
      <c r="CU3" t="s">
        <v>1316</v>
      </c>
      <c r="CV3" t="s">
        <v>1316</v>
      </c>
      <c r="CW3" t="s">
        <v>1316</v>
      </c>
      <c r="CX3" t="s">
        <v>1316</v>
      </c>
      <c r="CY3" t="s">
        <v>1316</v>
      </c>
      <c r="CZ3" t="s">
        <v>1316</v>
      </c>
      <c r="DA3" t="s">
        <v>1316</v>
      </c>
      <c r="DB3" t="s">
        <v>1316</v>
      </c>
      <c r="DC3" t="s">
        <v>1316</v>
      </c>
      <c r="DD3" t="s">
        <v>1316</v>
      </c>
      <c r="DE3" t="s">
        <v>1316</v>
      </c>
      <c r="DF3" t="s">
        <v>1316</v>
      </c>
      <c r="DG3" t="s">
        <v>1316</v>
      </c>
      <c r="DH3" t="s">
        <v>1316</v>
      </c>
      <c r="DI3" t="s">
        <v>1316</v>
      </c>
      <c r="DJ3" t="s">
        <v>1316</v>
      </c>
      <c r="DK3" t="s">
        <v>1316</v>
      </c>
      <c r="DL3" t="s">
        <v>1316</v>
      </c>
      <c r="DM3" t="s">
        <v>1316</v>
      </c>
      <c r="DN3" t="s">
        <v>1316</v>
      </c>
      <c r="DO3" t="s">
        <v>1316</v>
      </c>
      <c r="DP3" t="s">
        <v>1316</v>
      </c>
      <c r="DQ3" t="s">
        <v>1316</v>
      </c>
      <c r="DR3" t="s">
        <v>1316</v>
      </c>
      <c r="DS3" t="s">
        <v>1316</v>
      </c>
      <c r="DT3" t="s">
        <v>1317</v>
      </c>
      <c r="DU3" t="s">
        <v>1317</v>
      </c>
      <c r="DV3" t="s">
        <v>1317</v>
      </c>
      <c r="DW3" t="s">
        <v>1317</v>
      </c>
      <c r="DX3" t="s">
        <v>1317</v>
      </c>
      <c r="DY3" t="s">
        <v>1317</v>
      </c>
      <c r="DZ3" t="s">
        <v>1317</v>
      </c>
      <c r="EA3" t="s">
        <v>1317</v>
      </c>
      <c r="EB3" t="s">
        <v>1317</v>
      </c>
      <c r="EC3" t="s">
        <v>1317</v>
      </c>
      <c r="ED3" t="s">
        <v>1317</v>
      </c>
      <c r="EE3" t="s">
        <v>1317</v>
      </c>
      <c r="EF3" t="s">
        <v>1317</v>
      </c>
      <c r="EG3" t="s">
        <v>1317</v>
      </c>
      <c r="EH3" t="s">
        <v>1317</v>
      </c>
      <c r="EI3" t="s">
        <v>1317</v>
      </c>
      <c r="EJ3" t="s">
        <v>1317</v>
      </c>
      <c r="EK3" t="s">
        <v>1317</v>
      </c>
      <c r="EL3" t="s">
        <v>1317</v>
      </c>
      <c r="EM3" t="s">
        <v>1317</v>
      </c>
      <c r="EN3" t="s">
        <v>1317</v>
      </c>
      <c r="EO3" t="s">
        <v>1317</v>
      </c>
      <c r="EP3" t="s">
        <v>1317</v>
      </c>
      <c r="EQ3" t="s">
        <v>1317</v>
      </c>
      <c r="ER3" t="s">
        <v>1317</v>
      </c>
      <c r="ES3" t="s">
        <v>1317</v>
      </c>
      <c r="ET3" t="s">
        <v>1317</v>
      </c>
      <c r="EU3" t="s">
        <v>1317</v>
      </c>
      <c r="EV3" t="s">
        <v>1317</v>
      </c>
      <c r="EW3" t="s">
        <v>1317</v>
      </c>
      <c r="EX3" t="s">
        <v>1317</v>
      </c>
      <c r="EY3" t="s">
        <v>1318</v>
      </c>
      <c r="EZ3" t="s">
        <v>1318</v>
      </c>
      <c r="FA3" t="s">
        <v>1318</v>
      </c>
      <c r="FB3" t="s">
        <v>1318</v>
      </c>
      <c r="FC3" t="s">
        <v>1318</v>
      </c>
      <c r="FD3" t="s">
        <v>1318</v>
      </c>
      <c r="FE3" t="s">
        <v>1318</v>
      </c>
      <c r="FF3" t="s">
        <v>1318</v>
      </c>
      <c r="FG3" t="s">
        <v>1318</v>
      </c>
      <c r="FH3" t="s">
        <v>1318</v>
      </c>
      <c r="FI3" t="s">
        <v>1318</v>
      </c>
      <c r="FJ3" t="s">
        <v>1318</v>
      </c>
      <c r="FK3" t="s">
        <v>1318</v>
      </c>
      <c r="FL3" t="s">
        <v>1318</v>
      </c>
      <c r="FM3" t="s">
        <v>1318</v>
      </c>
      <c r="FN3" t="s">
        <v>1318</v>
      </c>
      <c r="FO3" t="s">
        <v>1318</v>
      </c>
      <c r="FP3" t="s">
        <v>1318</v>
      </c>
      <c r="FQ3" t="s">
        <v>1318</v>
      </c>
      <c r="FR3" t="s">
        <v>1318</v>
      </c>
      <c r="FS3" t="s">
        <v>1318</v>
      </c>
      <c r="FT3" t="s">
        <v>1318</v>
      </c>
      <c r="FU3" t="s">
        <v>1318</v>
      </c>
      <c r="FV3" t="s">
        <v>1318</v>
      </c>
      <c r="FW3" t="s">
        <v>1318</v>
      </c>
      <c r="FX3" t="s">
        <v>1318</v>
      </c>
      <c r="FY3" t="s">
        <v>1318</v>
      </c>
      <c r="FZ3" t="s">
        <v>1318</v>
      </c>
      <c r="GA3" t="s">
        <v>1318</v>
      </c>
      <c r="GB3" t="s">
        <v>1318</v>
      </c>
      <c r="GC3" t="s">
        <v>1319</v>
      </c>
      <c r="GD3" t="s">
        <v>1319</v>
      </c>
      <c r="GE3" t="s">
        <v>1319</v>
      </c>
      <c r="GF3" t="s">
        <v>1319</v>
      </c>
      <c r="GG3" t="s">
        <v>1319</v>
      </c>
      <c r="GH3" t="s">
        <v>1319</v>
      </c>
      <c r="GI3" t="s">
        <v>1319</v>
      </c>
      <c r="GJ3" t="s">
        <v>1319</v>
      </c>
      <c r="GK3" t="s">
        <v>1319</v>
      </c>
      <c r="GL3" t="s">
        <v>1319</v>
      </c>
      <c r="GM3" t="s">
        <v>1319</v>
      </c>
      <c r="GN3" t="s">
        <v>1319</v>
      </c>
      <c r="GO3" t="s">
        <v>1319</v>
      </c>
      <c r="GP3" t="s">
        <v>1319</v>
      </c>
      <c r="GQ3" t="s">
        <v>1319</v>
      </c>
      <c r="GR3" t="s">
        <v>1319</v>
      </c>
      <c r="GS3" t="s">
        <v>1319</v>
      </c>
      <c r="GT3" t="s">
        <v>1319</v>
      </c>
      <c r="GU3" t="s">
        <v>1319</v>
      </c>
      <c r="GV3" t="s">
        <v>1319</v>
      </c>
      <c r="GW3" t="s">
        <v>1319</v>
      </c>
      <c r="GX3" t="s">
        <v>1319</v>
      </c>
      <c r="GY3" t="s">
        <v>1319</v>
      </c>
      <c r="GZ3" t="s">
        <v>1319</v>
      </c>
      <c r="HA3" t="s">
        <v>1319</v>
      </c>
      <c r="HB3" t="s">
        <v>1319</v>
      </c>
      <c r="HC3" t="s">
        <v>1319</v>
      </c>
      <c r="HD3" t="s">
        <v>1319</v>
      </c>
      <c r="HE3" t="s">
        <v>1319</v>
      </c>
      <c r="HF3" t="s">
        <v>1319</v>
      </c>
      <c r="HG3" t="s">
        <v>1319</v>
      </c>
      <c r="HH3" t="s">
        <v>1320</v>
      </c>
      <c r="HI3" t="s">
        <v>1320</v>
      </c>
      <c r="HJ3" t="s">
        <v>1320</v>
      </c>
      <c r="HK3" t="s">
        <v>1320</v>
      </c>
      <c r="HL3" t="s">
        <v>1320</v>
      </c>
      <c r="HM3" t="s">
        <v>1320</v>
      </c>
      <c r="HN3" t="s">
        <v>1320</v>
      </c>
      <c r="HO3" t="s">
        <v>1320</v>
      </c>
      <c r="HP3" t="s">
        <v>1320</v>
      </c>
      <c r="HQ3" t="s">
        <v>1320</v>
      </c>
      <c r="HR3" t="s">
        <v>1320</v>
      </c>
      <c r="HS3" t="s">
        <v>1320</v>
      </c>
      <c r="HT3" t="s">
        <v>1320</v>
      </c>
      <c r="HU3" t="s">
        <v>1320</v>
      </c>
      <c r="HV3" t="s">
        <v>1320</v>
      </c>
      <c r="HW3" t="s">
        <v>1320</v>
      </c>
      <c r="HX3" t="s">
        <v>1320</v>
      </c>
      <c r="HY3" t="s">
        <v>1320</v>
      </c>
      <c r="HZ3" t="s">
        <v>1320</v>
      </c>
      <c r="IA3" t="s">
        <v>1320</v>
      </c>
      <c r="IB3" t="s">
        <v>1320</v>
      </c>
      <c r="IC3" t="s">
        <v>1320</v>
      </c>
      <c r="ID3" t="s">
        <v>1320</v>
      </c>
      <c r="IE3" t="s">
        <v>1320</v>
      </c>
      <c r="IF3" t="s">
        <v>1320</v>
      </c>
      <c r="IG3" t="s">
        <v>1320</v>
      </c>
      <c r="IH3" t="s">
        <v>1320</v>
      </c>
      <c r="II3" t="s">
        <v>1320</v>
      </c>
      <c r="IJ3" t="s">
        <v>1320</v>
      </c>
      <c r="IK3" t="s">
        <v>1320</v>
      </c>
      <c r="IL3" t="s">
        <v>1320</v>
      </c>
      <c r="IM3" t="s">
        <v>1321</v>
      </c>
      <c r="IN3" t="s">
        <v>1321</v>
      </c>
      <c r="IO3" t="s">
        <v>1321</v>
      </c>
      <c r="IP3" t="s">
        <v>1321</v>
      </c>
      <c r="IQ3" t="s">
        <v>1321</v>
      </c>
      <c r="IR3" t="s">
        <v>1321</v>
      </c>
      <c r="IS3" t="s">
        <v>1321</v>
      </c>
      <c r="IT3" t="s">
        <v>1321</v>
      </c>
      <c r="IU3" t="s">
        <v>1321</v>
      </c>
      <c r="IV3" t="s">
        <v>1321</v>
      </c>
      <c r="IW3" t="s">
        <v>1321</v>
      </c>
      <c r="IX3" t="s">
        <v>1321</v>
      </c>
      <c r="IY3" t="s">
        <v>1321</v>
      </c>
      <c r="IZ3" t="s">
        <v>1321</v>
      </c>
      <c r="JA3" t="s">
        <v>1321</v>
      </c>
      <c r="JB3" t="s">
        <v>1321</v>
      </c>
      <c r="JC3" t="s">
        <v>1321</v>
      </c>
      <c r="JD3" t="s">
        <v>1321</v>
      </c>
      <c r="JE3" t="s">
        <v>1321</v>
      </c>
      <c r="JF3" t="s">
        <v>1321</v>
      </c>
      <c r="JG3" t="s">
        <v>1321</v>
      </c>
      <c r="JH3" t="s">
        <v>1321</v>
      </c>
      <c r="JI3" t="s">
        <v>1321</v>
      </c>
      <c r="JJ3" t="s">
        <v>1321</v>
      </c>
      <c r="JK3" t="s">
        <v>1321</v>
      </c>
      <c r="JL3" t="s">
        <v>1321</v>
      </c>
      <c r="JM3" t="s">
        <v>1321</v>
      </c>
      <c r="JN3" t="s">
        <v>1321</v>
      </c>
      <c r="JO3" t="s">
        <v>1321</v>
      </c>
      <c r="JP3" t="s">
        <v>1321</v>
      </c>
      <c r="JQ3" t="s">
        <v>1322</v>
      </c>
      <c r="JR3" t="s">
        <v>1322</v>
      </c>
      <c r="JS3" t="s">
        <v>1322</v>
      </c>
      <c r="JT3" t="s">
        <v>1322</v>
      </c>
      <c r="JU3" t="s">
        <v>1322</v>
      </c>
      <c r="JV3" t="s">
        <v>1322</v>
      </c>
      <c r="JW3" t="s">
        <v>1322</v>
      </c>
      <c r="JX3" t="s">
        <v>1322</v>
      </c>
      <c r="JY3" t="s">
        <v>1322</v>
      </c>
      <c r="JZ3" t="s">
        <v>1322</v>
      </c>
      <c r="KA3" t="s">
        <v>1322</v>
      </c>
      <c r="KB3" t="s">
        <v>1322</v>
      </c>
      <c r="KC3" t="s">
        <v>1322</v>
      </c>
      <c r="KD3" t="s">
        <v>1322</v>
      </c>
      <c r="KE3" t="s">
        <v>1322</v>
      </c>
      <c r="KF3" t="s">
        <v>1322</v>
      </c>
      <c r="KG3" t="s">
        <v>1322</v>
      </c>
      <c r="KH3" t="s">
        <v>1322</v>
      </c>
      <c r="KI3" t="s">
        <v>1322</v>
      </c>
      <c r="KJ3" t="s">
        <v>1322</v>
      </c>
      <c r="KK3" t="s">
        <v>1322</v>
      </c>
      <c r="KL3" t="s">
        <v>1322</v>
      </c>
      <c r="KM3" t="s">
        <v>1322</v>
      </c>
      <c r="KN3" t="s">
        <v>1322</v>
      </c>
      <c r="KO3" t="s">
        <v>1322</v>
      </c>
      <c r="KP3" t="s">
        <v>1322</v>
      </c>
      <c r="KQ3" t="s">
        <v>1322</v>
      </c>
      <c r="KR3" t="s">
        <v>1322</v>
      </c>
      <c r="KS3" t="s">
        <v>1322</v>
      </c>
      <c r="KT3" t="s">
        <v>1322</v>
      </c>
      <c r="KU3" t="s">
        <v>1322</v>
      </c>
      <c r="KV3" t="s">
        <v>1323</v>
      </c>
      <c r="KW3" t="s">
        <v>1323</v>
      </c>
      <c r="KX3" t="s">
        <v>1323</v>
      </c>
      <c r="KY3" t="s">
        <v>1323</v>
      </c>
      <c r="KZ3" t="s">
        <v>1323</v>
      </c>
      <c r="LA3" t="s">
        <v>1323</v>
      </c>
      <c r="LB3" t="s">
        <v>1323</v>
      </c>
      <c r="LC3" t="s">
        <v>1323</v>
      </c>
      <c r="LD3" t="s">
        <v>1323</v>
      </c>
      <c r="LE3" t="s">
        <v>1323</v>
      </c>
      <c r="LF3" t="s">
        <v>1323</v>
      </c>
      <c r="LG3" t="s">
        <v>1323</v>
      </c>
      <c r="LH3" t="s">
        <v>1323</v>
      </c>
      <c r="LI3" t="s">
        <v>1323</v>
      </c>
      <c r="LJ3" t="s">
        <v>1323</v>
      </c>
      <c r="LK3" t="s">
        <v>1323</v>
      </c>
      <c r="LL3" t="s">
        <v>1323</v>
      </c>
      <c r="LM3" t="s">
        <v>1323</v>
      </c>
      <c r="LN3" t="s">
        <v>1323</v>
      </c>
      <c r="LO3" t="s">
        <v>1323</v>
      </c>
      <c r="LP3" t="s">
        <v>1323</v>
      </c>
      <c r="LQ3" t="s">
        <v>1323</v>
      </c>
      <c r="LR3" t="s">
        <v>1323</v>
      </c>
      <c r="LS3" t="s">
        <v>1323</v>
      </c>
      <c r="LT3" t="s">
        <v>1323</v>
      </c>
      <c r="LU3" t="s">
        <v>1323</v>
      </c>
      <c r="LV3" t="s">
        <v>1323</v>
      </c>
      <c r="LW3" t="s">
        <v>1323</v>
      </c>
      <c r="LX3" t="s">
        <v>1323</v>
      </c>
      <c r="LY3" t="s">
        <v>1323</v>
      </c>
      <c r="LZ3" t="s">
        <v>1324</v>
      </c>
      <c r="MA3" t="s">
        <v>1324</v>
      </c>
      <c r="MB3" t="s">
        <v>1324</v>
      </c>
      <c r="MC3" t="s">
        <v>1324</v>
      </c>
      <c r="MD3" t="s">
        <v>1324</v>
      </c>
      <c r="ME3" t="s">
        <v>1324</v>
      </c>
      <c r="MF3" t="s">
        <v>1324</v>
      </c>
      <c r="MG3" t="s">
        <v>1324</v>
      </c>
      <c r="MH3" t="s">
        <v>1324</v>
      </c>
      <c r="MI3" t="s">
        <v>1324</v>
      </c>
      <c r="MJ3" t="s">
        <v>1324</v>
      </c>
      <c r="MK3" t="s">
        <v>1324</v>
      </c>
      <c r="ML3" t="s">
        <v>1324</v>
      </c>
      <c r="MM3" t="s">
        <v>1324</v>
      </c>
      <c r="MN3" t="s">
        <v>1324</v>
      </c>
      <c r="MO3" t="s">
        <v>1324</v>
      </c>
      <c r="MP3" t="s">
        <v>1324</v>
      </c>
      <c r="MQ3" t="s">
        <v>1324</v>
      </c>
      <c r="MR3" t="s">
        <v>1324</v>
      </c>
      <c r="MS3" t="s">
        <v>1324</v>
      </c>
      <c r="MT3" t="s">
        <v>1324</v>
      </c>
      <c r="MU3" t="s">
        <v>1324</v>
      </c>
      <c r="MV3" t="s">
        <v>1324</v>
      </c>
      <c r="MW3" t="s">
        <v>1324</v>
      </c>
      <c r="MX3" t="s">
        <v>1324</v>
      </c>
      <c r="MY3" t="s">
        <v>1324</v>
      </c>
      <c r="MZ3" t="s">
        <v>1324</v>
      </c>
      <c r="NA3" t="s">
        <v>1324</v>
      </c>
      <c r="NB3" t="s">
        <v>1324</v>
      </c>
      <c r="NC3" t="s">
        <v>1324</v>
      </c>
      <c r="ND3" t="s">
        <v>1324</v>
      </c>
      <c r="NE3" t="s">
        <v>1313</v>
      </c>
      <c r="NF3" t="s">
        <v>1313</v>
      </c>
      <c r="NG3" t="s">
        <v>1313</v>
      </c>
      <c r="NH3" t="s">
        <v>1313</v>
      </c>
      <c r="NI3" t="s">
        <v>1313</v>
      </c>
      <c r="NJ3" t="s">
        <v>1313</v>
      </c>
      <c r="NK3" t="s">
        <v>1313</v>
      </c>
      <c r="NL3" t="s">
        <v>1313</v>
      </c>
      <c r="NM3" t="s">
        <v>1313</v>
      </c>
      <c r="NN3" t="s">
        <v>1313</v>
      </c>
      <c r="NO3" t="s">
        <v>1313</v>
      </c>
      <c r="NP3" t="s">
        <v>1313</v>
      </c>
      <c r="NQ3" t="s">
        <v>1313</v>
      </c>
      <c r="NR3" t="s">
        <v>1313</v>
      </c>
      <c r="NS3" t="s">
        <v>1313</v>
      </c>
      <c r="NT3" t="s">
        <v>1313</v>
      </c>
      <c r="NU3" t="s">
        <v>1313</v>
      </c>
      <c r="NV3" t="s">
        <v>1313</v>
      </c>
      <c r="NW3" t="s">
        <v>1313</v>
      </c>
      <c r="NX3" t="s">
        <v>1313</v>
      </c>
      <c r="NY3" t="s">
        <v>1313</v>
      </c>
      <c r="NZ3" t="s">
        <v>1313</v>
      </c>
      <c r="OA3" t="s">
        <v>1313</v>
      </c>
      <c r="OB3" t="s">
        <v>1313</v>
      </c>
      <c r="OC3" t="s">
        <v>1313</v>
      </c>
      <c r="OD3" t="s">
        <v>1313</v>
      </c>
      <c r="OE3" t="s">
        <v>1313</v>
      </c>
      <c r="OF3" t="s">
        <v>1313</v>
      </c>
      <c r="OG3" t="s">
        <v>1313</v>
      </c>
      <c r="OH3" t="s">
        <v>1313</v>
      </c>
      <c r="OI3" t="s">
        <v>1313</v>
      </c>
      <c r="OJ3" t="s">
        <v>1314</v>
      </c>
      <c r="OK3" t="s">
        <v>1314</v>
      </c>
      <c r="OL3" t="s">
        <v>1314</v>
      </c>
      <c r="OM3" t="s">
        <v>1314</v>
      </c>
      <c r="ON3" t="s">
        <v>1314</v>
      </c>
      <c r="OO3" t="s">
        <v>1314</v>
      </c>
      <c r="OP3" t="s">
        <v>1314</v>
      </c>
      <c r="OQ3" t="s">
        <v>1314</v>
      </c>
      <c r="OR3" t="s">
        <v>1314</v>
      </c>
      <c r="OS3" t="s">
        <v>1314</v>
      </c>
      <c r="OT3" t="s">
        <v>1314</v>
      </c>
      <c r="OU3" t="s">
        <v>1314</v>
      </c>
      <c r="OV3" t="s">
        <v>1314</v>
      </c>
      <c r="OW3" t="s">
        <v>1314</v>
      </c>
      <c r="OX3" t="s">
        <v>1314</v>
      </c>
      <c r="OY3" t="s">
        <v>1314</v>
      </c>
      <c r="OZ3" t="s">
        <v>1314</v>
      </c>
      <c r="PA3" t="s">
        <v>1314</v>
      </c>
      <c r="PB3" t="s">
        <v>1314</v>
      </c>
      <c r="PC3" t="s">
        <v>1314</v>
      </c>
      <c r="PD3" t="s">
        <v>1314</v>
      </c>
      <c r="PE3" t="s">
        <v>1314</v>
      </c>
      <c r="PF3" t="s">
        <v>1314</v>
      </c>
      <c r="PG3" t="s">
        <v>1314</v>
      </c>
      <c r="PH3" t="s">
        <v>1314</v>
      </c>
      <c r="PI3" t="s">
        <v>1314</v>
      </c>
      <c r="PJ3" t="s">
        <v>1314</v>
      </c>
      <c r="PK3" t="s">
        <v>1314</v>
      </c>
      <c r="PL3" t="s">
        <v>1315</v>
      </c>
      <c r="PM3" t="s">
        <v>1315</v>
      </c>
      <c r="PN3" t="s">
        <v>1315</v>
      </c>
      <c r="PO3" t="s">
        <v>1315</v>
      </c>
      <c r="PP3" t="s">
        <v>1315</v>
      </c>
      <c r="PQ3" t="s">
        <v>1315</v>
      </c>
      <c r="PR3" t="s">
        <v>1315</v>
      </c>
      <c r="PS3" t="s">
        <v>1315</v>
      </c>
      <c r="PT3" t="s">
        <v>1315</v>
      </c>
      <c r="PU3" t="s">
        <v>1315</v>
      </c>
      <c r="PV3" t="s">
        <v>1315</v>
      </c>
      <c r="PW3" t="s">
        <v>1315</v>
      </c>
      <c r="PX3" t="s">
        <v>1315</v>
      </c>
      <c r="PY3" t="s">
        <v>1315</v>
      </c>
      <c r="PZ3" t="s">
        <v>1315</v>
      </c>
      <c r="QA3" t="s">
        <v>1315</v>
      </c>
      <c r="QB3" t="s">
        <v>1315</v>
      </c>
      <c r="QC3" t="s">
        <v>1315</v>
      </c>
      <c r="QD3" t="s">
        <v>1315</v>
      </c>
      <c r="QE3" t="s">
        <v>1315</v>
      </c>
      <c r="QF3" t="s">
        <v>1315</v>
      </c>
      <c r="QG3" t="s">
        <v>1315</v>
      </c>
      <c r="QH3" t="s">
        <v>1315</v>
      </c>
      <c r="QI3" t="s">
        <v>1315</v>
      </c>
      <c r="QJ3" t="s">
        <v>1315</v>
      </c>
      <c r="QK3" t="s">
        <v>1315</v>
      </c>
      <c r="QL3" t="s">
        <v>1315</v>
      </c>
      <c r="QM3" t="s">
        <v>1315</v>
      </c>
      <c r="QN3" t="s">
        <v>1315</v>
      </c>
      <c r="QO3" t="s">
        <v>1315</v>
      </c>
      <c r="QP3" t="s">
        <v>1315</v>
      </c>
      <c r="QQ3" t="s">
        <v>1316</v>
      </c>
      <c r="QR3" t="s">
        <v>1316</v>
      </c>
      <c r="QS3" t="s">
        <v>1316</v>
      </c>
      <c r="QT3" t="s">
        <v>1316</v>
      </c>
      <c r="QU3" t="s">
        <v>1316</v>
      </c>
      <c r="QV3" t="s">
        <v>1316</v>
      </c>
      <c r="QW3" t="s">
        <v>1316</v>
      </c>
      <c r="QX3" t="s">
        <v>1316</v>
      </c>
      <c r="QY3" t="s">
        <v>1316</v>
      </c>
      <c r="QZ3" t="s">
        <v>1316</v>
      </c>
      <c r="RA3" t="s">
        <v>1316</v>
      </c>
      <c r="RB3" t="s">
        <v>1316</v>
      </c>
      <c r="RC3" t="s">
        <v>1316</v>
      </c>
      <c r="RD3" t="s">
        <v>1316</v>
      </c>
      <c r="RE3" t="s">
        <v>1316</v>
      </c>
      <c r="RF3" t="s">
        <v>1316</v>
      </c>
      <c r="RG3" t="s">
        <v>1316</v>
      </c>
      <c r="RH3" t="s">
        <v>1316</v>
      </c>
      <c r="RI3" t="s">
        <v>1316</v>
      </c>
      <c r="RJ3" t="s">
        <v>1316</v>
      </c>
      <c r="RK3" t="s">
        <v>1316</v>
      </c>
      <c r="RL3" t="s">
        <v>1316</v>
      </c>
      <c r="RM3" t="s">
        <v>1316</v>
      </c>
      <c r="RN3" t="s">
        <v>1316</v>
      </c>
      <c r="RO3" t="s">
        <v>1316</v>
      </c>
      <c r="RP3" t="s">
        <v>1316</v>
      </c>
      <c r="RQ3" t="s">
        <v>1316</v>
      </c>
      <c r="RR3" t="s">
        <v>1316</v>
      </c>
      <c r="RS3" t="s">
        <v>1316</v>
      </c>
      <c r="RT3" t="s">
        <v>1316</v>
      </c>
      <c r="RU3" t="s">
        <v>1317</v>
      </c>
      <c r="RV3" t="s">
        <v>1317</v>
      </c>
      <c r="RW3" t="s">
        <v>1317</v>
      </c>
      <c r="RX3" t="s">
        <v>1317</v>
      </c>
      <c r="RY3" t="s">
        <v>1317</v>
      </c>
      <c r="RZ3" t="s">
        <v>1317</v>
      </c>
      <c r="SA3" t="s">
        <v>1317</v>
      </c>
      <c r="SB3" t="s">
        <v>1317</v>
      </c>
      <c r="SC3" t="s">
        <v>1317</v>
      </c>
      <c r="SD3" t="s">
        <v>1317</v>
      </c>
      <c r="SE3" t="s">
        <v>1317</v>
      </c>
      <c r="SF3" t="s">
        <v>1317</v>
      </c>
      <c r="SG3" t="s">
        <v>1317</v>
      </c>
      <c r="SH3" t="s">
        <v>1317</v>
      </c>
      <c r="SI3" t="s">
        <v>1317</v>
      </c>
      <c r="SJ3" t="s">
        <v>1317</v>
      </c>
      <c r="SK3" t="s">
        <v>1317</v>
      </c>
      <c r="SL3" t="s">
        <v>1317</v>
      </c>
      <c r="SM3" t="s">
        <v>1317</v>
      </c>
      <c r="SN3" t="s">
        <v>1317</v>
      </c>
      <c r="SO3" t="s">
        <v>1317</v>
      </c>
      <c r="SP3" t="s">
        <v>1317</v>
      </c>
      <c r="SQ3" t="s">
        <v>1317</v>
      </c>
      <c r="SR3" t="s">
        <v>1317</v>
      </c>
      <c r="SS3" t="s">
        <v>1317</v>
      </c>
      <c r="ST3" t="s">
        <v>1317</v>
      </c>
      <c r="SU3" t="s">
        <v>1317</v>
      </c>
      <c r="SV3" t="s">
        <v>1317</v>
      </c>
      <c r="SW3" t="s">
        <v>1317</v>
      </c>
      <c r="SX3" t="s">
        <v>1317</v>
      </c>
      <c r="SY3" t="s">
        <v>1317</v>
      </c>
      <c r="SZ3" t="s">
        <v>1318</v>
      </c>
      <c r="TA3" t="s">
        <v>1318</v>
      </c>
      <c r="TB3" t="s">
        <v>1318</v>
      </c>
      <c r="TC3" t="s">
        <v>1318</v>
      </c>
      <c r="TD3" t="s">
        <v>1318</v>
      </c>
      <c r="TE3" t="s">
        <v>1318</v>
      </c>
      <c r="TF3" t="s">
        <v>1318</v>
      </c>
      <c r="TG3" t="s">
        <v>1318</v>
      </c>
      <c r="TH3" t="s">
        <v>1318</v>
      </c>
      <c r="TI3" t="s">
        <v>1318</v>
      </c>
      <c r="TJ3" t="s">
        <v>1318</v>
      </c>
      <c r="TK3" t="s">
        <v>1318</v>
      </c>
      <c r="TL3" t="s">
        <v>1318</v>
      </c>
      <c r="TM3" t="s">
        <v>1318</v>
      </c>
      <c r="TN3" t="s">
        <v>1318</v>
      </c>
      <c r="TO3" t="s">
        <v>1318</v>
      </c>
      <c r="TP3" t="s">
        <v>1318</v>
      </c>
      <c r="TQ3" t="s">
        <v>1318</v>
      </c>
      <c r="TR3" t="s">
        <v>1318</v>
      </c>
      <c r="TS3" t="s">
        <v>1318</v>
      </c>
      <c r="TT3" t="s">
        <v>1318</v>
      </c>
      <c r="TU3" t="s">
        <v>1318</v>
      </c>
      <c r="TV3" t="s">
        <v>1318</v>
      </c>
      <c r="TW3" t="s">
        <v>1318</v>
      </c>
      <c r="TX3" t="s">
        <v>1318</v>
      </c>
      <c r="TY3" t="s">
        <v>1318</v>
      </c>
      <c r="TZ3" t="s">
        <v>1318</v>
      </c>
      <c r="UA3" t="s">
        <v>1318</v>
      </c>
      <c r="UB3" t="s">
        <v>1318</v>
      </c>
      <c r="UC3" t="s">
        <v>1318</v>
      </c>
      <c r="UD3" t="s">
        <v>1319</v>
      </c>
      <c r="UE3" t="s">
        <v>1319</v>
      </c>
      <c r="UF3" t="s">
        <v>1319</v>
      </c>
      <c r="UG3" t="s">
        <v>1319</v>
      </c>
      <c r="UH3" t="s">
        <v>1319</v>
      </c>
      <c r="UI3" t="s">
        <v>1319</v>
      </c>
      <c r="UJ3" t="s">
        <v>1319</v>
      </c>
      <c r="UK3" t="s">
        <v>1319</v>
      </c>
      <c r="UL3" t="s">
        <v>1319</v>
      </c>
      <c r="UM3" t="s">
        <v>1319</v>
      </c>
      <c r="UN3" t="s">
        <v>1319</v>
      </c>
      <c r="UO3" t="s">
        <v>1319</v>
      </c>
      <c r="UP3" t="s">
        <v>1319</v>
      </c>
      <c r="UQ3" t="s">
        <v>1319</v>
      </c>
      <c r="UR3" t="s">
        <v>1319</v>
      </c>
      <c r="US3" t="s">
        <v>1319</v>
      </c>
      <c r="UT3" t="s">
        <v>1319</v>
      </c>
      <c r="UU3" t="s">
        <v>1319</v>
      </c>
      <c r="UV3" t="s">
        <v>1319</v>
      </c>
      <c r="UW3" t="s">
        <v>1319</v>
      </c>
      <c r="UX3" t="s">
        <v>1319</v>
      </c>
      <c r="UY3" t="s">
        <v>1319</v>
      </c>
      <c r="UZ3" t="s">
        <v>1319</v>
      </c>
      <c r="VA3" t="s">
        <v>1319</v>
      </c>
      <c r="VB3" t="s">
        <v>1319</v>
      </c>
      <c r="VC3" t="s">
        <v>1319</v>
      </c>
      <c r="VD3" t="s">
        <v>1319</v>
      </c>
      <c r="VE3" t="s">
        <v>1319</v>
      </c>
      <c r="VF3" t="s">
        <v>1319</v>
      </c>
      <c r="VG3" t="s">
        <v>1319</v>
      </c>
      <c r="VH3" t="s">
        <v>1319</v>
      </c>
      <c r="VI3" t="s">
        <v>1320</v>
      </c>
      <c r="VJ3" t="s">
        <v>1320</v>
      </c>
      <c r="VK3" t="s">
        <v>1320</v>
      </c>
      <c r="VL3" t="s">
        <v>1320</v>
      </c>
      <c r="VM3" t="s">
        <v>1320</v>
      </c>
      <c r="VN3" t="s">
        <v>1320</v>
      </c>
      <c r="VO3" t="s">
        <v>1320</v>
      </c>
      <c r="VP3" t="s">
        <v>1320</v>
      </c>
      <c r="VQ3" t="s">
        <v>1320</v>
      </c>
      <c r="VR3" t="s">
        <v>1320</v>
      </c>
      <c r="VS3" t="s">
        <v>1320</v>
      </c>
      <c r="VT3" t="s">
        <v>1320</v>
      </c>
      <c r="VU3" t="s">
        <v>1320</v>
      </c>
      <c r="VV3" t="s">
        <v>1320</v>
      </c>
      <c r="VW3" t="s">
        <v>1320</v>
      </c>
      <c r="VX3" t="s">
        <v>1320</v>
      </c>
      <c r="VY3" t="s">
        <v>1320</v>
      </c>
      <c r="VZ3" t="s">
        <v>1320</v>
      </c>
      <c r="WA3" t="s">
        <v>1320</v>
      </c>
      <c r="WB3" t="s">
        <v>1320</v>
      </c>
      <c r="WC3" t="s">
        <v>1320</v>
      </c>
      <c r="WD3" t="s">
        <v>1320</v>
      </c>
      <c r="WE3" t="s">
        <v>1320</v>
      </c>
      <c r="WF3" t="s">
        <v>1320</v>
      </c>
      <c r="WG3" t="s">
        <v>1320</v>
      </c>
      <c r="WH3" t="s">
        <v>1320</v>
      </c>
      <c r="WI3" t="s">
        <v>1320</v>
      </c>
      <c r="WJ3" t="s">
        <v>1320</v>
      </c>
      <c r="WK3" t="s">
        <v>1320</v>
      </c>
      <c r="WL3" t="s">
        <v>1320</v>
      </c>
      <c r="WM3" t="s">
        <v>1320</v>
      </c>
      <c r="WN3" t="s">
        <v>1321</v>
      </c>
      <c r="WO3" t="s">
        <v>1321</v>
      </c>
      <c r="WP3" t="s">
        <v>1321</v>
      </c>
      <c r="WQ3" t="s">
        <v>1321</v>
      </c>
      <c r="WR3" t="s">
        <v>1321</v>
      </c>
      <c r="WS3" t="s">
        <v>1321</v>
      </c>
      <c r="WT3" t="s">
        <v>1321</v>
      </c>
      <c r="WU3" t="s">
        <v>1321</v>
      </c>
      <c r="WV3" t="s">
        <v>1321</v>
      </c>
      <c r="WW3" t="s">
        <v>1321</v>
      </c>
      <c r="WX3" t="s">
        <v>1321</v>
      </c>
      <c r="WY3" t="s">
        <v>1321</v>
      </c>
      <c r="WZ3" t="s">
        <v>1321</v>
      </c>
      <c r="XA3" t="s">
        <v>1321</v>
      </c>
      <c r="XB3" t="s">
        <v>1321</v>
      </c>
      <c r="XC3" t="s">
        <v>1321</v>
      </c>
      <c r="XD3" t="s">
        <v>1321</v>
      </c>
      <c r="XE3" t="s">
        <v>1321</v>
      </c>
      <c r="XF3" t="s">
        <v>1321</v>
      </c>
      <c r="XG3" t="s">
        <v>1321</v>
      </c>
      <c r="XH3" t="s">
        <v>1321</v>
      </c>
      <c r="XI3" t="s">
        <v>1321</v>
      </c>
      <c r="XJ3" t="s">
        <v>1321</v>
      </c>
      <c r="XK3" t="s">
        <v>1321</v>
      </c>
      <c r="XL3" t="s">
        <v>1321</v>
      </c>
      <c r="XM3" t="s">
        <v>1321</v>
      </c>
      <c r="XN3" t="s">
        <v>1321</v>
      </c>
      <c r="XO3" t="s">
        <v>1321</v>
      </c>
      <c r="XP3" t="s">
        <v>1321</v>
      </c>
      <c r="XQ3" t="s">
        <v>1321</v>
      </c>
      <c r="XR3" t="s">
        <v>1322</v>
      </c>
      <c r="XS3" t="s">
        <v>1322</v>
      </c>
      <c r="XT3" t="s">
        <v>1322</v>
      </c>
      <c r="XU3" t="s">
        <v>1322</v>
      </c>
      <c r="XV3" t="s">
        <v>1322</v>
      </c>
      <c r="XW3" t="s">
        <v>1322</v>
      </c>
      <c r="XX3" t="s">
        <v>1322</v>
      </c>
      <c r="XY3" t="s">
        <v>1322</v>
      </c>
      <c r="XZ3" t="s">
        <v>1322</v>
      </c>
      <c r="YA3" t="s">
        <v>1322</v>
      </c>
      <c r="YB3" t="s">
        <v>1322</v>
      </c>
      <c r="YC3" t="s">
        <v>1322</v>
      </c>
      <c r="YD3" t="s">
        <v>1322</v>
      </c>
      <c r="YE3" t="s">
        <v>1322</v>
      </c>
      <c r="YF3" t="s">
        <v>1322</v>
      </c>
      <c r="YG3" t="s">
        <v>1322</v>
      </c>
      <c r="YH3" t="s">
        <v>1322</v>
      </c>
      <c r="YI3" t="s">
        <v>1322</v>
      </c>
      <c r="YJ3" t="s">
        <v>1322</v>
      </c>
      <c r="YK3" t="s">
        <v>1322</v>
      </c>
      <c r="YL3" t="s">
        <v>1322</v>
      </c>
      <c r="YM3" t="s">
        <v>1322</v>
      </c>
      <c r="YN3" t="s">
        <v>1322</v>
      </c>
      <c r="YO3" t="s">
        <v>1322</v>
      </c>
      <c r="YP3" t="s">
        <v>1322</v>
      </c>
      <c r="YQ3" t="s">
        <v>1322</v>
      </c>
      <c r="YR3" t="s">
        <v>1322</v>
      </c>
      <c r="YS3" t="s">
        <v>1322</v>
      </c>
      <c r="YT3" t="s">
        <v>1322</v>
      </c>
      <c r="YU3" t="s">
        <v>1322</v>
      </c>
      <c r="YV3" t="s">
        <v>1322</v>
      </c>
      <c r="YW3" t="s">
        <v>1323</v>
      </c>
      <c r="YX3" t="s">
        <v>1323</v>
      </c>
      <c r="YY3" t="s">
        <v>1323</v>
      </c>
      <c r="YZ3" t="s">
        <v>1323</v>
      </c>
      <c r="ZA3" t="s">
        <v>1323</v>
      </c>
      <c r="ZB3" t="s">
        <v>1323</v>
      </c>
      <c r="ZC3" t="s">
        <v>1323</v>
      </c>
      <c r="ZD3" t="s">
        <v>1323</v>
      </c>
      <c r="ZE3" t="s">
        <v>1323</v>
      </c>
      <c r="ZF3" t="s">
        <v>1323</v>
      </c>
      <c r="ZG3" t="s">
        <v>1323</v>
      </c>
      <c r="ZH3" t="s">
        <v>1323</v>
      </c>
      <c r="ZI3" t="s">
        <v>1323</v>
      </c>
      <c r="ZJ3" t="s">
        <v>1323</v>
      </c>
      <c r="ZK3" t="s">
        <v>1323</v>
      </c>
      <c r="ZL3" t="s">
        <v>1323</v>
      </c>
      <c r="ZM3" t="s">
        <v>1323</v>
      </c>
      <c r="ZN3" t="s">
        <v>1323</v>
      </c>
      <c r="ZO3" t="s">
        <v>1323</v>
      </c>
      <c r="ZP3" t="s">
        <v>1323</v>
      </c>
      <c r="ZQ3" t="s">
        <v>1323</v>
      </c>
      <c r="ZR3" t="s">
        <v>1323</v>
      </c>
      <c r="ZS3" t="s">
        <v>1323</v>
      </c>
      <c r="ZT3" t="s">
        <v>1323</v>
      </c>
      <c r="ZU3" t="s">
        <v>1323</v>
      </c>
      <c r="ZV3" t="s">
        <v>1323</v>
      </c>
      <c r="ZW3" t="s">
        <v>1323</v>
      </c>
      <c r="ZX3" t="s">
        <v>1323</v>
      </c>
      <c r="ZY3" t="s">
        <v>1323</v>
      </c>
      <c r="ZZ3" t="s">
        <v>1323</v>
      </c>
      <c r="AAA3" t="s">
        <v>1324</v>
      </c>
      <c r="AAB3" t="s">
        <v>1324</v>
      </c>
      <c r="AAC3" t="s">
        <v>1324</v>
      </c>
      <c r="AAD3" t="s">
        <v>1324</v>
      </c>
      <c r="AAE3" t="s">
        <v>1324</v>
      </c>
      <c r="AAF3" t="s">
        <v>1324</v>
      </c>
      <c r="AAG3" t="s">
        <v>1324</v>
      </c>
      <c r="AAH3" t="s">
        <v>1324</v>
      </c>
      <c r="AAI3" t="s">
        <v>1324</v>
      </c>
      <c r="AAJ3" t="s">
        <v>1324</v>
      </c>
      <c r="AAK3" t="s">
        <v>1324</v>
      </c>
      <c r="AAL3" t="s">
        <v>1324</v>
      </c>
      <c r="AAM3" t="s">
        <v>1324</v>
      </c>
      <c r="AAN3" t="s">
        <v>1324</v>
      </c>
      <c r="AAO3" t="s">
        <v>1324</v>
      </c>
      <c r="AAP3" t="s">
        <v>1324</v>
      </c>
      <c r="AAQ3" t="s">
        <v>1324</v>
      </c>
      <c r="AAR3" t="s">
        <v>1324</v>
      </c>
      <c r="AAS3" t="s">
        <v>1324</v>
      </c>
      <c r="AAT3" t="s">
        <v>1324</v>
      </c>
      <c r="AAU3" t="s">
        <v>1324</v>
      </c>
      <c r="AAV3" t="s">
        <v>1324</v>
      </c>
      <c r="AAW3" t="s">
        <v>1324</v>
      </c>
      <c r="AAX3" t="s">
        <v>1324</v>
      </c>
      <c r="AAY3" t="s">
        <v>1324</v>
      </c>
      <c r="AAZ3" t="s">
        <v>1324</v>
      </c>
      <c r="ABA3" t="s">
        <v>1324</v>
      </c>
      <c r="ABB3" t="s">
        <v>1324</v>
      </c>
      <c r="ABC3" t="s">
        <v>1324</v>
      </c>
      <c r="ABD3" t="s">
        <v>1324</v>
      </c>
      <c r="ABE3" t="s">
        <v>1324</v>
      </c>
      <c r="ABG3" s="1137" t="s">
        <v>1313</v>
      </c>
      <c r="ABH3" s="1137" t="s">
        <v>1314</v>
      </c>
      <c r="ABI3" s="1137" t="s">
        <v>1315</v>
      </c>
      <c r="ABJ3" s="1137" t="s">
        <v>1316</v>
      </c>
      <c r="ABK3" s="1137" t="s">
        <v>1317</v>
      </c>
      <c r="ABL3" s="1137" t="s">
        <v>1318</v>
      </c>
      <c r="ABM3" s="1137" t="s">
        <v>1319</v>
      </c>
      <c r="ABN3" s="1137" t="s">
        <v>1320</v>
      </c>
      <c r="ABO3" s="1137" t="s">
        <v>1321</v>
      </c>
      <c r="ABP3" s="1137" t="s">
        <v>1322</v>
      </c>
      <c r="ABQ3" s="1137" t="s">
        <v>1323</v>
      </c>
      <c r="ABR3" s="1137" t="s">
        <v>1324</v>
      </c>
      <c r="ABS3" s="1137" t="s">
        <v>1313</v>
      </c>
      <c r="ABT3" s="1137" t="s">
        <v>1314</v>
      </c>
      <c r="ABU3" s="1137" t="s">
        <v>1315</v>
      </c>
      <c r="ABV3" s="1137" t="s">
        <v>1316</v>
      </c>
      <c r="ABW3" s="1137" t="s">
        <v>1317</v>
      </c>
      <c r="ABX3" s="1137" t="s">
        <v>1318</v>
      </c>
      <c r="ABY3" s="1137" t="s">
        <v>1319</v>
      </c>
      <c r="ABZ3" s="1137" t="s">
        <v>1320</v>
      </c>
      <c r="ACA3" s="1137" t="s">
        <v>1321</v>
      </c>
      <c r="ACB3" s="1137" t="s">
        <v>1322</v>
      </c>
      <c r="ACC3" s="1137" t="s">
        <v>1323</v>
      </c>
      <c r="ACD3" s="1137" t="s">
        <v>1324</v>
      </c>
      <c r="ACF3" s="1137" t="s">
        <v>1313</v>
      </c>
      <c r="ACG3" s="1137" t="s">
        <v>1314</v>
      </c>
      <c r="ACH3" s="1137" t="s">
        <v>1315</v>
      </c>
      <c r="ACI3" s="1137" t="s">
        <v>1316</v>
      </c>
      <c r="ACJ3" s="1137" t="s">
        <v>1317</v>
      </c>
      <c r="ACK3" s="1137" t="s">
        <v>1318</v>
      </c>
      <c r="ACL3" s="1137" t="s">
        <v>1319</v>
      </c>
      <c r="ACM3" s="1137" t="s">
        <v>1320</v>
      </c>
      <c r="ACN3" s="1137" t="s">
        <v>1321</v>
      </c>
      <c r="ACO3" s="1137" t="s">
        <v>1322</v>
      </c>
      <c r="ACP3" s="1137" t="s">
        <v>1323</v>
      </c>
      <c r="ACQ3" s="1137" t="s">
        <v>1324</v>
      </c>
      <c r="ACR3" s="1137" t="s">
        <v>1313</v>
      </c>
      <c r="ACS3" s="1137" t="s">
        <v>1314</v>
      </c>
      <c r="ACT3" s="1137" t="s">
        <v>1315</v>
      </c>
      <c r="ACU3" s="1137" t="s">
        <v>1316</v>
      </c>
      <c r="ACV3" s="1137" t="s">
        <v>1317</v>
      </c>
      <c r="ACW3" s="1137" t="s">
        <v>1318</v>
      </c>
      <c r="ACX3" s="1137" t="s">
        <v>1319</v>
      </c>
      <c r="ACY3" s="1137" t="s">
        <v>1320</v>
      </c>
      <c r="ACZ3" s="1137" t="s">
        <v>1321</v>
      </c>
      <c r="ADA3" s="1137" t="s">
        <v>1322</v>
      </c>
      <c r="ADB3" s="1137" t="s">
        <v>1323</v>
      </c>
      <c r="ADC3" s="1137" t="s">
        <v>1324</v>
      </c>
    </row>
    <row r="4" spans="1:783" x14ac:dyDescent="0.25">
      <c r="C4">
        <v>2020</v>
      </c>
      <c r="D4">
        <v>2020</v>
      </c>
      <c r="E4">
        <v>2020</v>
      </c>
      <c r="F4">
        <v>2020</v>
      </c>
      <c r="G4">
        <v>2020</v>
      </c>
      <c r="H4">
        <v>2020</v>
      </c>
      <c r="I4">
        <v>2020</v>
      </c>
      <c r="J4">
        <v>2020</v>
      </c>
      <c r="K4">
        <v>2020</v>
      </c>
      <c r="L4">
        <v>2020</v>
      </c>
      <c r="M4">
        <v>2020</v>
      </c>
      <c r="N4">
        <v>2020</v>
      </c>
      <c r="O4">
        <v>2020</v>
      </c>
      <c r="P4">
        <v>2020</v>
      </c>
      <c r="Q4">
        <v>2020</v>
      </c>
      <c r="R4">
        <v>2020</v>
      </c>
      <c r="S4">
        <v>2020</v>
      </c>
      <c r="T4">
        <v>2020</v>
      </c>
      <c r="U4">
        <v>2020</v>
      </c>
      <c r="V4">
        <v>2020</v>
      </c>
      <c r="W4">
        <v>2020</v>
      </c>
      <c r="X4">
        <v>2020</v>
      </c>
      <c r="Y4">
        <v>2020</v>
      </c>
      <c r="Z4">
        <v>2020</v>
      </c>
      <c r="AA4">
        <v>2020</v>
      </c>
      <c r="AB4">
        <v>2020</v>
      </c>
      <c r="AC4">
        <v>2020</v>
      </c>
      <c r="AD4">
        <v>2020</v>
      </c>
      <c r="AE4">
        <v>2020</v>
      </c>
      <c r="AF4">
        <v>2020</v>
      </c>
      <c r="AG4">
        <v>2020</v>
      </c>
      <c r="AH4">
        <v>2020</v>
      </c>
      <c r="AI4">
        <v>2020</v>
      </c>
      <c r="AJ4">
        <v>2020</v>
      </c>
      <c r="AK4">
        <v>2020</v>
      </c>
      <c r="AL4">
        <v>2020</v>
      </c>
      <c r="AM4">
        <v>2020</v>
      </c>
      <c r="AN4">
        <v>2020</v>
      </c>
      <c r="AO4">
        <v>2020</v>
      </c>
      <c r="AP4">
        <v>2020</v>
      </c>
      <c r="AQ4">
        <v>2020</v>
      </c>
      <c r="AR4">
        <v>2020</v>
      </c>
      <c r="AS4">
        <v>2020</v>
      </c>
      <c r="AT4">
        <v>2020</v>
      </c>
      <c r="AU4">
        <v>2020</v>
      </c>
      <c r="AV4">
        <v>2020</v>
      </c>
      <c r="AW4">
        <v>2020</v>
      </c>
      <c r="AX4">
        <v>2020</v>
      </c>
      <c r="AY4">
        <v>2020</v>
      </c>
      <c r="AZ4">
        <v>2020</v>
      </c>
      <c r="BA4">
        <v>2020</v>
      </c>
      <c r="BB4">
        <v>2020</v>
      </c>
      <c r="BC4">
        <v>2020</v>
      </c>
      <c r="BD4">
        <v>2020</v>
      </c>
      <c r="BE4">
        <v>2020</v>
      </c>
      <c r="BF4">
        <v>2020</v>
      </c>
      <c r="BG4">
        <v>2020</v>
      </c>
      <c r="BH4">
        <v>2020</v>
      </c>
      <c r="BI4">
        <v>2020</v>
      </c>
      <c r="BJ4">
        <v>2020</v>
      </c>
      <c r="BK4">
        <v>2020</v>
      </c>
      <c r="BL4">
        <v>2020</v>
      </c>
      <c r="BM4">
        <v>2020</v>
      </c>
      <c r="BN4">
        <v>2020</v>
      </c>
      <c r="BO4">
        <v>2020</v>
      </c>
      <c r="BP4">
        <v>2020</v>
      </c>
      <c r="BQ4">
        <v>2020</v>
      </c>
      <c r="BR4">
        <v>2020</v>
      </c>
      <c r="BS4">
        <v>2020</v>
      </c>
      <c r="BT4">
        <v>2020</v>
      </c>
      <c r="BU4">
        <v>2020</v>
      </c>
      <c r="BV4">
        <v>2020</v>
      </c>
      <c r="BW4">
        <v>2020</v>
      </c>
      <c r="BX4">
        <v>2020</v>
      </c>
      <c r="BY4">
        <v>2020</v>
      </c>
      <c r="BZ4">
        <v>2020</v>
      </c>
      <c r="CA4">
        <v>2020</v>
      </c>
      <c r="CB4">
        <v>2020</v>
      </c>
      <c r="CC4">
        <v>2020</v>
      </c>
      <c r="CD4">
        <v>2020</v>
      </c>
      <c r="CE4">
        <v>2020</v>
      </c>
      <c r="CF4">
        <v>2020</v>
      </c>
      <c r="CG4">
        <v>2020</v>
      </c>
      <c r="CH4">
        <v>2020</v>
      </c>
      <c r="CI4">
        <v>2020</v>
      </c>
      <c r="CJ4">
        <v>2020</v>
      </c>
      <c r="CK4">
        <v>2020</v>
      </c>
      <c r="CL4">
        <v>2020</v>
      </c>
      <c r="CM4">
        <v>2020</v>
      </c>
      <c r="CN4">
        <v>2020</v>
      </c>
      <c r="CO4">
        <v>2020</v>
      </c>
      <c r="CP4">
        <v>2020</v>
      </c>
      <c r="CQ4">
        <v>2020</v>
      </c>
      <c r="CR4">
        <v>2020</v>
      </c>
      <c r="CS4">
        <v>2020</v>
      </c>
      <c r="CT4">
        <v>2020</v>
      </c>
      <c r="CU4">
        <v>2020</v>
      </c>
      <c r="CV4">
        <v>2020</v>
      </c>
      <c r="CW4">
        <v>2020</v>
      </c>
      <c r="CX4">
        <v>2020</v>
      </c>
      <c r="CY4">
        <v>2020</v>
      </c>
      <c r="CZ4">
        <v>2020</v>
      </c>
      <c r="DA4">
        <v>2020</v>
      </c>
      <c r="DB4">
        <v>2020</v>
      </c>
      <c r="DC4">
        <v>2020</v>
      </c>
      <c r="DD4">
        <v>2020</v>
      </c>
      <c r="DE4">
        <v>2020</v>
      </c>
      <c r="DF4">
        <v>2020</v>
      </c>
      <c r="DG4">
        <v>2020</v>
      </c>
      <c r="DH4">
        <v>2020</v>
      </c>
      <c r="DI4">
        <v>2020</v>
      </c>
      <c r="DJ4">
        <v>2020</v>
      </c>
      <c r="DK4">
        <v>2020</v>
      </c>
      <c r="DL4">
        <v>2020</v>
      </c>
      <c r="DM4">
        <v>2020</v>
      </c>
      <c r="DN4">
        <v>2020</v>
      </c>
      <c r="DO4">
        <v>2020</v>
      </c>
      <c r="DP4">
        <v>2020</v>
      </c>
      <c r="DQ4">
        <v>2020</v>
      </c>
      <c r="DR4">
        <v>2020</v>
      </c>
      <c r="DS4">
        <v>2020</v>
      </c>
      <c r="DT4">
        <v>2020</v>
      </c>
      <c r="DU4">
        <v>2020</v>
      </c>
      <c r="DV4">
        <v>2020</v>
      </c>
      <c r="DW4">
        <v>2020</v>
      </c>
      <c r="DX4">
        <v>2020</v>
      </c>
      <c r="DY4">
        <v>2020</v>
      </c>
      <c r="DZ4">
        <v>2020</v>
      </c>
      <c r="EA4">
        <v>2020</v>
      </c>
      <c r="EB4">
        <v>2020</v>
      </c>
      <c r="EC4">
        <v>2020</v>
      </c>
      <c r="ED4">
        <v>2020</v>
      </c>
      <c r="EE4">
        <v>2020</v>
      </c>
      <c r="EF4">
        <v>2020</v>
      </c>
      <c r="EG4">
        <v>2020</v>
      </c>
      <c r="EH4">
        <v>2020</v>
      </c>
      <c r="EI4">
        <v>2020</v>
      </c>
      <c r="EJ4">
        <v>2020</v>
      </c>
      <c r="EK4">
        <v>2020</v>
      </c>
      <c r="EL4">
        <v>2020</v>
      </c>
      <c r="EM4">
        <v>2020</v>
      </c>
      <c r="EN4">
        <v>2020</v>
      </c>
      <c r="EO4">
        <v>2020</v>
      </c>
      <c r="EP4">
        <v>2020</v>
      </c>
      <c r="EQ4">
        <v>2020</v>
      </c>
      <c r="ER4">
        <v>2020</v>
      </c>
      <c r="ES4">
        <v>2020</v>
      </c>
      <c r="ET4">
        <v>2020</v>
      </c>
      <c r="EU4">
        <v>2020</v>
      </c>
      <c r="EV4">
        <v>2020</v>
      </c>
      <c r="EW4">
        <v>2020</v>
      </c>
      <c r="EX4">
        <v>2020</v>
      </c>
      <c r="EY4">
        <v>2020</v>
      </c>
      <c r="EZ4">
        <v>2020</v>
      </c>
      <c r="FA4">
        <v>2020</v>
      </c>
      <c r="FB4">
        <v>2020</v>
      </c>
      <c r="FC4">
        <v>2020</v>
      </c>
      <c r="FD4">
        <v>2020</v>
      </c>
      <c r="FE4">
        <v>2020</v>
      </c>
      <c r="FF4">
        <v>2020</v>
      </c>
      <c r="FG4">
        <v>2020</v>
      </c>
      <c r="FH4">
        <v>2020</v>
      </c>
      <c r="FI4">
        <v>2020</v>
      </c>
      <c r="FJ4">
        <v>2020</v>
      </c>
      <c r="FK4">
        <v>2020</v>
      </c>
      <c r="FL4">
        <v>2020</v>
      </c>
      <c r="FM4">
        <v>2020</v>
      </c>
      <c r="FN4">
        <v>2020</v>
      </c>
      <c r="FO4">
        <v>2020</v>
      </c>
      <c r="FP4">
        <v>2020</v>
      </c>
      <c r="FQ4">
        <v>2020</v>
      </c>
      <c r="FR4">
        <v>2020</v>
      </c>
      <c r="FS4">
        <v>2020</v>
      </c>
      <c r="FT4">
        <v>2020</v>
      </c>
      <c r="FU4">
        <v>2020</v>
      </c>
      <c r="FV4">
        <v>2020</v>
      </c>
      <c r="FW4">
        <v>2020</v>
      </c>
      <c r="FX4">
        <v>2020</v>
      </c>
      <c r="FY4">
        <v>2020</v>
      </c>
      <c r="FZ4">
        <v>2020</v>
      </c>
      <c r="GA4">
        <v>2020</v>
      </c>
      <c r="GB4">
        <v>2020</v>
      </c>
      <c r="GC4">
        <v>2020</v>
      </c>
      <c r="GD4">
        <v>2020</v>
      </c>
      <c r="GE4">
        <v>2020</v>
      </c>
      <c r="GF4">
        <v>2020</v>
      </c>
      <c r="GG4">
        <v>2020</v>
      </c>
      <c r="GH4">
        <v>2020</v>
      </c>
      <c r="GI4">
        <v>2020</v>
      </c>
      <c r="GJ4">
        <v>2020</v>
      </c>
      <c r="GK4">
        <v>2020</v>
      </c>
      <c r="GL4">
        <v>2020</v>
      </c>
      <c r="GM4">
        <v>2020</v>
      </c>
      <c r="GN4">
        <v>2020</v>
      </c>
      <c r="GO4">
        <v>2020</v>
      </c>
      <c r="GP4">
        <v>2020</v>
      </c>
      <c r="GQ4">
        <v>2020</v>
      </c>
      <c r="GR4">
        <v>2020</v>
      </c>
      <c r="GS4">
        <v>2020</v>
      </c>
      <c r="GT4">
        <v>2020</v>
      </c>
      <c r="GU4">
        <v>2020</v>
      </c>
      <c r="GV4">
        <v>2020</v>
      </c>
      <c r="GW4">
        <v>2020</v>
      </c>
      <c r="GX4">
        <v>2020</v>
      </c>
      <c r="GY4">
        <v>2020</v>
      </c>
      <c r="GZ4">
        <v>2020</v>
      </c>
      <c r="HA4">
        <v>2020</v>
      </c>
      <c r="HB4">
        <v>2020</v>
      </c>
      <c r="HC4">
        <v>2020</v>
      </c>
      <c r="HD4">
        <v>2020</v>
      </c>
      <c r="HE4">
        <v>2020</v>
      </c>
      <c r="HF4">
        <v>2020</v>
      </c>
      <c r="HG4">
        <v>2020</v>
      </c>
      <c r="HH4">
        <v>2020</v>
      </c>
      <c r="HI4">
        <v>2020</v>
      </c>
      <c r="HJ4">
        <v>2020</v>
      </c>
      <c r="HK4">
        <v>2020</v>
      </c>
      <c r="HL4">
        <v>2020</v>
      </c>
      <c r="HM4">
        <v>2020</v>
      </c>
      <c r="HN4">
        <v>2020</v>
      </c>
      <c r="HO4">
        <v>2020</v>
      </c>
      <c r="HP4">
        <v>2020</v>
      </c>
      <c r="HQ4">
        <v>2020</v>
      </c>
      <c r="HR4">
        <v>2020</v>
      </c>
      <c r="HS4">
        <v>2020</v>
      </c>
      <c r="HT4">
        <v>2020</v>
      </c>
      <c r="HU4">
        <v>2020</v>
      </c>
      <c r="HV4">
        <v>2020</v>
      </c>
      <c r="HW4">
        <v>2020</v>
      </c>
      <c r="HX4">
        <v>2020</v>
      </c>
      <c r="HY4">
        <v>2020</v>
      </c>
      <c r="HZ4">
        <v>2020</v>
      </c>
      <c r="IA4">
        <v>2020</v>
      </c>
      <c r="IB4">
        <v>2020</v>
      </c>
      <c r="IC4">
        <v>2020</v>
      </c>
      <c r="ID4">
        <v>2020</v>
      </c>
      <c r="IE4">
        <v>2020</v>
      </c>
      <c r="IF4">
        <v>2020</v>
      </c>
      <c r="IG4">
        <v>2020</v>
      </c>
      <c r="IH4">
        <v>2020</v>
      </c>
      <c r="II4">
        <v>2020</v>
      </c>
      <c r="IJ4">
        <v>2020</v>
      </c>
      <c r="IK4">
        <v>2020</v>
      </c>
      <c r="IL4">
        <v>2020</v>
      </c>
      <c r="IM4">
        <v>2020</v>
      </c>
      <c r="IN4">
        <v>2020</v>
      </c>
      <c r="IO4">
        <v>2020</v>
      </c>
      <c r="IP4">
        <v>2020</v>
      </c>
      <c r="IQ4">
        <v>2020</v>
      </c>
      <c r="IR4">
        <v>2020</v>
      </c>
      <c r="IS4">
        <v>2020</v>
      </c>
      <c r="IT4">
        <v>2020</v>
      </c>
      <c r="IU4">
        <v>2020</v>
      </c>
      <c r="IV4">
        <v>2020</v>
      </c>
      <c r="IW4">
        <v>2020</v>
      </c>
      <c r="IX4">
        <v>2020</v>
      </c>
      <c r="IY4">
        <v>2020</v>
      </c>
      <c r="IZ4">
        <v>2020</v>
      </c>
      <c r="JA4">
        <v>2020</v>
      </c>
      <c r="JB4">
        <v>2020</v>
      </c>
      <c r="JC4">
        <v>2020</v>
      </c>
      <c r="JD4">
        <v>2020</v>
      </c>
      <c r="JE4">
        <v>2020</v>
      </c>
      <c r="JF4">
        <v>2020</v>
      </c>
      <c r="JG4">
        <v>2020</v>
      </c>
      <c r="JH4">
        <v>2020</v>
      </c>
      <c r="JI4">
        <v>2020</v>
      </c>
      <c r="JJ4">
        <v>2020</v>
      </c>
      <c r="JK4">
        <v>2020</v>
      </c>
      <c r="JL4">
        <v>2020</v>
      </c>
      <c r="JM4">
        <v>2020</v>
      </c>
      <c r="JN4">
        <v>2020</v>
      </c>
      <c r="JO4">
        <v>2020</v>
      </c>
      <c r="JP4">
        <v>2020</v>
      </c>
      <c r="JQ4">
        <v>2020</v>
      </c>
      <c r="JR4">
        <v>2020</v>
      </c>
      <c r="JS4">
        <v>2020</v>
      </c>
      <c r="JT4">
        <v>2020</v>
      </c>
      <c r="JU4">
        <v>2020</v>
      </c>
      <c r="JV4">
        <v>2020</v>
      </c>
      <c r="JW4">
        <v>2020</v>
      </c>
      <c r="JX4">
        <v>2020</v>
      </c>
      <c r="JY4">
        <v>2020</v>
      </c>
      <c r="JZ4">
        <v>2020</v>
      </c>
      <c r="KA4">
        <v>2020</v>
      </c>
      <c r="KB4">
        <v>2020</v>
      </c>
      <c r="KC4">
        <v>2020</v>
      </c>
      <c r="KD4">
        <v>2020</v>
      </c>
      <c r="KE4">
        <v>2020</v>
      </c>
      <c r="KF4">
        <v>2020</v>
      </c>
      <c r="KG4">
        <v>2020</v>
      </c>
      <c r="KH4">
        <v>2020</v>
      </c>
      <c r="KI4">
        <v>2020</v>
      </c>
      <c r="KJ4">
        <v>2020</v>
      </c>
      <c r="KK4">
        <v>2020</v>
      </c>
      <c r="KL4">
        <v>2020</v>
      </c>
      <c r="KM4">
        <v>2020</v>
      </c>
      <c r="KN4">
        <v>2020</v>
      </c>
      <c r="KO4">
        <v>2020</v>
      </c>
      <c r="KP4">
        <v>2020</v>
      </c>
      <c r="KQ4">
        <v>2020</v>
      </c>
      <c r="KR4">
        <v>2020</v>
      </c>
      <c r="KS4">
        <v>2020</v>
      </c>
      <c r="KT4">
        <v>2020</v>
      </c>
      <c r="KU4">
        <v>2020</v>
      </c>
      <c r="KV4">
        <v>2020</v>
      </c>
      <c r="KW4">
        <v>2020</v>
      </c>
      <c r="KX4">
        <v>2020</v>
      </c>
      <c r="KY4">
        <v>2020</v>
      </c>
      <c r="KZ4">
        <v>2020</v>
      </c>
      <c r="LA4">
        <v>2020</v>
      </c>
      <c r="LB4">
        <v>2020</v>
      </c>
      <c r="LC4">
        <v>2020</v>
      </c>
      <c r="LD4">
        <v>2020</v>
      </c>
      <c r="LE4">
        <v>2020</v>
      </c>
      <c r="LF4">
        <v>2020</v>
      </c>
      <c r="LG4">
        <v>2020</v>
      </c>
      <c r="LH4">
        <v>2020</v>
      </c>
      <c r="LI4">
        <v>2020</v>
      </c>
      <c r="LJ4">
        <v>2020</v>
      </c>
      <c r="LK4">
        <v>2020</v>
      </c>
      <c r="LL4">
        <v>2020</v>
      </c>
      <c r="LM4">
        <v>2020</v>
      </c>
      <c r="LN4">
        <v>2020</v>
      </c>
      <c r="LO4">
        <v>2020</v>
      </c>
      <c r="LP4">
        <v>2020</v>
      </c>
      <c r="LQ4">
        <v>2020</v>
      </c>
      <c r="LR4">
        <v>2020</v>
      </c>
      <c r="LS4">
        <v>2020</v>
      </c>
      <c r="LT4">
        <v>2020</v>
      </c>
      <c r="LU4">
        <v>2020</v>
      </c>
      <c r="LV4">
        <v>2020</v>
      </c>
      <c r="LW4">
        <v>2020</v>
      </c>
      <c r="LX4">
        <v>2020</v>
      </c>
      <c r="LY4">
        <v>2020</v>
      </c>
      <c r="LZ4">
        <v>2020</v>
      </c>
      <c r="MA4">
        <v>2020</v>
      </c>
      <c r="MB4">
        <v>2020</v>
      </c>
      <c r="MC4">
        <v>2020</v>
      </c>
      <c r="MD4">
        <v>2020</v>
      </c>
      <c r="ME4">
        <v>2020</v>
      </c>
      <c r="MF4">
        <v>2020</v>
      </c>
      <c r="MG4">
        <v>2020</v>
      </c>
      <c r="MH4">
        <v>2020</v>
      </c>
      <c r="MI4">
        <v>2020</v>
      </c>
      <c r="MJ4">
        <v>2020</v>
      </c>
      <c r="MK4">
        <v>2020</v>
      </c>
      <c r="ML4">
        <v>2020</v>
      </c>
      <c r="MM4">
        <v>2020</v>
      </c>
      <c r="MN4">
        <v>2020</v>
      </c>
      <c r="MO4">
        <v>2020</v>
      </c>
      <c r="MP4">
        <v>2020</v>
      </c>
      <c r="MQ4">
        <v>2020</v>
      </c>
      <c r="MR4">
        <v>2020</v>
      </c>
      <c r="MS4">
        <v>2020</v>
      </c>
      <c r="MT4">
        <v>2020</v>
      </c>
      <c r="MU4">
        <v>2020</v>
      </c>
      <c r="MV4">
        <v>2020</v>
      </c>
      <c r="MW4">
        <v>2020</v>
      </c>
      <c r="MX4">
        <v>2020</v>
      </c>
      <c r="MY4">
        <v>2020</v>
      </c>
      <c r="MZ4">
        <v>2020</v>
      </c>
      <c r="NA4">
        <v>2020</v>
      </c>
      <c r="NB4">
        <v>2020</v>
      </c>
      <c r="NC4">
        <v>2020</v>
      </c>
      <c r="ND4">
        <v>2020</v>
      </c>
      <c r="NE4">
        <v>2021</v>
      </c>
      <c r="NF4">
        <v>2021</v>
      </c>
      <c r="NG4">
        <v>2021</v>
      </c>
      <c r="NH4">
        <v>2021</v>
      </c>
      <c r="NI4">
        <v>2021</v>
      </c>
      <c r="NJ4">
        <v>2021</v>
      </c>
      <c r="NK4">
        <v>2021</v>
      </c>
      <c r="NL4">
        <v>2021</v>
      </c>
      <c r="NM4">
        <v>2021</v>
      </c>
      <c r="NN4">
        <v>2021</v>
      </c>
      <c r="NO4">
        <v>2021</v>
      </c>
      <c r="NP4">
        <v>2021</v>
      </c>
      <c r="NQ4">
        <v>2021</v>
      </c>
      <c r="NR4">
        <v>2021</v>
      </c>
      <c r="NS4">
        <v>2021</v>
      </c>
      <c r="NT4">
        <v>2021</v>
      </c>
      <c r="NU4">
        <v>2021</v>
      </c>
      <c r="NV4">
        <v>2021</v>
      </c>
      <c r="NW4">
        <v>2021</v>
      </c>
      <c r="NX4">
        <v>2021</v>
      </c>
      <c r="NY4">
        <v>2021</v>
      </c>
      <c r="NZ4">
        <v>2021</v>
      </c>
      <c r="OA4">
        <v>2021</v>
      </c>
      <c r="OB4">
        <v>2021</v>
      </c>
      <c r="OC4">
        <v>2021</v>
      </c>
      <c r="OD4">
        <v>2021</v>
      </c>
      <c r="OE4">
        <v>2021</v>
      </c>
      <c r="OF4">
        <v>2021</v>
      </c>
      <c r="OG4">
        <v>2021</v>
      </c>
      <c r="OH4">
        <v>2021</v>
      </c>
      <c r="OI4">
        <v>2021</v>
      </c>
      <c r="OJ4">
        <v>2021</v>
      </c>
      <c r="OK4">
        <v>2021</v>
      </c>
      <c r="OL4">
        <v>2021</v>
      </c>
      <c r="OM4">
        <v>2021</v>
      </c>
      <c r="ON4">
        <v>2021</v>
      </c>
      <c r="OO4">
        <v>2021</v>
      </c>
      <c r="OP4">
        <v>2021</v>
      </c>
      <c r="OQ4">
        <v>2021</v>
      </c>
      <c r="OR4">
        <v>2021</v>
      </c>
      <c r="OS4">
        <v>2021</v>
      </c>
      <c r="OT4">
        <v>2021</v>
      </c>
      <c r="OU4">
        <v>2021</v>
      </c>
      <c r="OV4">
        <v>2021</v>
      </c>
      <c r="OW4">
        <v>2021</v>
      </c>
      <c r="OX4">
        <v>2021</v>
      </c>
      <c r="OY4">
        <v>2021</v>
      </c>
      <c r="OZ4">
        <v>2021</v>
      </c>
      <c r="PA4">
        <v>2021</v>
      </c>
      <c r="PB4">
        <v>2021</v>
      </c>
      <c r="PC4">
        <v>2021</v>
      </c>
      <c r="PD4">
        <v>2021</v>
      </c>
      <c r="PE4">
        <v>2021</v>
      </c>
      <c r="PF4">
        <v>2021</v>
      </c>
      <c r="PG4">
        <v>2021</v>
      </c>
      <c r="PH4">
        <v>2021</v>
      </c>
      <c r="PI4">
        <v>2021</v>
      </c>
      <c r="PJ4">
        <v>2021</v>
      </c>
      <c r="PK4">
        <v>2021</v>
      </c>
      <c r="PL4">
        <v>2021</v>
      </c>
      <c r="PM4">
        <v>2021</v>
      </c>
      <c r="PN4">
        <v>2021</v>
      </c>
      <c r="PO4">
        <v>2021</v>
      </c>
      <c r="PP4">
        <v>2021</v>
      </c>
      <c r="PQ4">
        <v>2021</v>
      </c>
      <c r="PR4">
        <v>2021</v>
      </c>
      <c r="PS4">
        <v>2021</v>
      </c>
      <c r="PT4">
        <v>2021</v>
      </c>
      <c r="PU4">
        <v>2021</v>
      </c>
      <c r="PV4">
        <v>2021</v>
      </c>
      <c r="PW4">
        <v>2021</v>
      </c>
      <c r="PX4">
        <v>2021</v>
      </c>
      <c r="PY4">
        <v>2021</v>
      </c>
      <c r="PZ4">
        <v>2021</v>
      </c>
      <c r="QA4">
        <v>2021</v>
      </c>
      <c r="QB4">
        <v>2021</v>
      </c>
      <c r="QC4">
        <v>2021</v>
      </c>
      <c r="QD4">
        <v>2021</v>
      </c>
      <c r="QE4">
        <v>2021</v>
      </c>
      <c r="QF4">
        <v>2021</v>
      </c>
      <c r="QG4">
        <v>2021</v>
      </c>
      <c r="QH4">
        <v>2021</v>
      </c>
      <c r="QI4">
        <v>2021</v>
      </c>
      <c r="QJ4">
        <v>2021</v>
      </c>
      <c r="QK4">
        <v>2021</v>
      </c>
      <c r="QL4">
        <v>2021</v>
      </c>
      <c r="QM4">
        <v>2021</v>
      </c>
      <c r="QN4">
        <v>2021</v>
      </c>
      <c r="QO4">
        <v>2021</v>
      </c>
      <c r="QP4">
        <v>2021</v>
      </c>
      <c r="QQ4">
        <v>2021</v>
      </c>
      <c r="QR4">
        <v>2021</v>
      </c>
      <c r="QS4">
        <v>2021</v>
      </c>
      <c r="QT4">
        <v>2021</v>
      </c>
      <c r="QU4">
        <v>2021</v>
      </c>
      <c r="QV4">
        <v>2021</v>
      </c>
      <c r="QW4">
        <v>2021</v>
      </c>
      <c r="QX4">
        <v>2021</v>
      </c>
      <c r="QY4">
        <v>2021</v>
      </c>
      <c r="QZ4">
        <v>2021</v>
      </c>
      <c r="RA4">
        <v>2021</v>
      </c>
      <c r="RB4">
        <v>2021</v>
      </c>
      <c r="RC4">
        <v>2021</v>
      </c>
      <c r="RD4">
        <v>2021</v>
      </c>
      <c r="RE4">
        <v>2021</v>
      </c>
      <c r="RF4">
        <v>2021</v>
      </c>
      <c r="RG4">
        <v>2021</v>
      </c>
      <c r="RH4">
        <v>2021</v>
      </c>
      <c r="RI4">
        <v>2021</v>
      </c>
      <c r="RJ4">
        <v>2021</v>
      </c>
      <c r="RK4">
        <v>2021</v>
      </c>
      <c r="RL4">
        <v>2021</v>
      </c>
      <c r="RM4">
        <v>2021</v>
      </c>
      <c r="RN4">
        <v>2021</v>
      </c>
      <c r="RO4">
        <v>2021</v>
      </c>
      <c r="RP4">
        <v>2021</v>
      </c>
      <c r="RQ4">
        <v>2021</v>
      </c>
      <c r="RR4">
        <v>2021</v>
      </c>
      <c r="RS4">
        <v>2021</v>
      </c>
      <c r="RT4">
        <v>2021</v>
      </c>
      <c r="RU4">
        <v>2021</v>
      </c>
      <c r="RV4">
        <v>2021</v>
      </c>
      <c r="RW4">
        <v>2021</v>
      </c>
      <c r="RX4">
        <v>2021</v>
      </c>
      <c r="RY4">
        <v>2021</v>
      </c>
      <c r="RZ4">
        <v>2021</v>
      </c>
      <c r="SA4">
        <v>2021</v>
      </c>
      <c r="SB4">
        <v>2021</v>
      </c>
      <c r="SC4">
        <v>2021</v>
      </c>
      <c r="SD4">
        <v>2021</v>
      </c>
      <c r="SE4">
        <v>2021</v>
      </c>
      <c r="SF4">
        <v>2021</v>
      </c>
      <c r="SG4">
        <v>2021</v>
      </c>
      <c r="SH4">
        <v>2021</v>
      </c>
      <c r="SI4">
        <v>2021</v>
      </c>
      <c r="SJ4">
        <v>2021</v>
      </c>
      <c r="SK4">
        <v>2021</v>
      </c>
      <c r="SL4">
        <v>2021</v>
      </c>
      <c r="SM4">
        <v>2021</v>
      </c>
      <c r="SN4">
        <v>2021</v>
      </c>
      <c r="SO4">
        <v>2021</v>
      </c>
      <c r="SP4">
        <v>2021</v>
      </c>
      <c r="SQ4">
        <v>2021</v>
      </c>
      <c r="SR4">
        <v>2021</v>
      </c>
      <c r="SS4">
        <v>2021</v>
      </c>
      <c r="ST4">
        <v>2021</v>
      </c>
      <c r="SU4">
        <v>2021</v>
      </c>
      <c r="SV4">
        <v>2021</v>
      </c>
      <c r="SW4">
        <v>2021</v>
      </c>
      <c r="SX4">
        <v>2021</v>
      </c>
      <c r="SY4">
        <v>2021</v>
      </c>
      <c r="SZ4">
        <v>2021</v>
      </c>
      <c r="TA4">
        <v>2021</v>
      </c>
      <c r="TB4">
        <v>2021</v>
      </c>
      <c r="TC4">
        <v>2021</v>
      </c>
      <c r="TD4">
        <v>2021</v>
      </c>
      <c r="TE4">
        <v>2021</v>
      </c>
      <c r="TF4">
        <v>2021</v>
      </c>
      <c r="TG4">
        <v>2021</v>
      </c>
      <c r="TH4">
        <v>2021</v>
      </c>
      <c r="TI4">
        <v>2021</v>
      </c>
      <c r="TJ4">
        <v>2021</v>
      </c>
      <c r="TK4">
        <v>2021</v>
      </c>
      <c r="TL4">
        <v>2021</v>
      </c>
      <c r="TM4">
        <v>2021</v>
      </c>
      <c r="TN4">
        <v>2021</v>
      </c>
      <c r="TO4">
        <v>2021</v>
      </c>
      <c r="TP4">
        <v>2021</v>
      </c>
      <c r="TQ4">
        <v>2021</v>
      </c>
      <c r="TR4">
        <v>2021</v>
      </c>
      <c r="TS4">
        <v>2021</v>
      </c>
      <c r="TT4">
        <v>2021</v>
      </c>
      <c r="TU4">
        <v>2021</v>
      </c>
      <c r="TV4">
        <v>2021</v>
      </c>
      <c r="TW4">
        <v>2021</v>
      </c>
      <c r="TX4">
        <v>2021</v>
      </c>
      <c r="TY4">
        <v>2021</v>
      </c>
      <c r="TZ4">
        <v>2021</v>
      </c>
      <c r="UA4">
        <v>2021</v>
      </c>
      <c r="UB4">
        <v>2021</v>
      </c>
      <c r="UC4">
        <v>2021</v>
      </c>
      <c r="UD4">
        <v>2021</v>
      </c>
      <c r="UE4">
        <v>2021</v>
      </c>
      <c r="UF4">
        <v>2021</v>
      </c>
      <c r="UG4">
        <v>2021</v>
      </c>
      <c r="UH4">
        <v>2021</v>
      </c>
      <c r="UI4">
        <v>2021</v>
      </c>
      <c r="UJ4">
        <v>2021</v>
      </c>
      <c r="UK4">
        <v>2021</v>
      </c>
      <c r="UL4">
        <v>2021</v>
      </c>
      <c r="UM4">
        <v>2021</v>
      </c>
      <c r="UN4">
        <v>2021</v>
      </c>
      <c r="UO4">
        <v>2021</v>
      </c>
      <c r="UP4">
        <v>2021</v>
      </c>
      <c r="UQ4">
        <v>2021</v>
      </c>
      <c r="UR4">
        <v>2021</v>
      </c>
      <c r="US4">
        <v>2021</v>
      </c>
      <c r="UT4">
        <v>2021</v>
      </c>
      <c r="UU4">
        <v>2021</v>
      </c>
      <c r="UV4">
        <v>2021</v>
      </c>
      <c r="UW4">
        <v>2021</v>
      </c>
      <c r="UX4">
        <v>2021</v>
      </c>
      <c r="UY4">
        <v>2021</v>
      </c>
      <c r="UZ4">
        <v>2021</v>
      </c>
      <c r="VA4">
        <v>2021</v>
      </c>
      <c r="VB4">
        <v>2021</v>
      </c>
      <c r="VC4">
        <v>2021</v>
      </c>
      <c r="VD4">
        <v>2021</v>
      </c>
      <c r="VE4">
        <v>2021</v>
      </c>
      <c r="VF4">
        <v>2021</v>
      </c>
      <c r="VG4">
        <v>2021</v>
      </c>
      <c r="VH4">
        <v>2021</v>
      </c>
      <c r="VI4">
        <v>2021</v>
      </c>
      <c r="VJ4">
        <v>2021</v>
      </c>
      <c r="VK4">
        <v>2021</v>
      </c>
      <c r="VL4">
        <v>2021</v>
      </c>
      <c r="VM4">
        <v>2021</v>
      </c>
      <c r="VN4">
        <v>2021</v>
      </c>
      <c r="VO4">
        <v>2021</v>
      </c>
      <c r="VP4">
        <v>2021</v>
      </c>
      <c r="VQ4">
        <v>2021</v>
      </c>
      <c r="VR4">
        <v>2021</v>
      </c>
      <c r="VS4">
        <v>2021</v>
      </c>
      <c r="VT4">
        <v>2021</v>
      </c>
      <c r="VU4">
        <v>2021</v>
      </c>
      <c r="VV4">
        <v>2021</v>
      </c>
      <c r="VW4">
        <v>2021</v>
      </c>
      <c r="VX4">
        <v>2021</v>
      </c>
      <c r="VY4">
        <v>2021</v>
      </c>
      <c r="VZ4">
        <v>2021</v>
      </c>
      <c r="WA4">
        <v>2021</v>
      </c>
      <c r="WB4">
        <v>2021</v>
      </c>
      <c r="WC4">
        <v>2021</v>
      </c>
      <c r="WD4">
        <v>2021</v>
      </c>
      <c r="WE4">
        <v>2021</v>
      </c>
      <c r="WF4">
        <v>2021</v>
      </c>
      <c r="WG4">
        <v>2021</v>
      </c>
      <c r="WH4">
        <v>2021</v>
      </c>
      <c r="WI4">
        <v>2021</v>
      </c>
      <c r="WJ4">
        <v>2021</v>
      </c>
      <c r="WK4">
        <v>2021</v>
      </c>
      <c r="WL4">
        <v>2021</v>
      </c>
      <c r="WM4">
        <v>2021</v>
      </c>
      <c r="WN4">
        <v>2021</v>
      </c>
      <c r="WO4">
        <v>2021</v>
      </c>
      <c r="WP4">
        <v>2021</v>
      </c>
      <c r="WQ4">
        <v>2021</v>
      </c>
      <c r="WR4">
        <v>2021</v>
      </c>
      <c r="WS4">
        <v>2021</v>
      </c>
      <c r="WT4">
        <v>2021</v>
      </c>
      <c r="WU4">
        <v>2021</v>
      </c>
      <c r="WV4">
        <v>2021</v>
      </c>
      <c r="WW4">
        <v>2021</v>
      </c>
      <c r="WX4">
        <v>2021</v>
      </c>
      <c r="WY4">
        <v>2021</v>
      </c>
      <c r="WZ4">
        <v>2021</v>
      </c>
      <c r="XA4">
        <v>2021</v>
      </c>
      <c r="XB4">
        <v>2021</v>
      </c>
      <c r="XC4">
        <v>2021</v>
      </c>
      <c r="XD4">
        <v>2021</v>
      </c>
      <c r="XE4">
        <v>2021</v>
      </c>
      <c r="XF4">
        <v>2021</v>
      </c>
      <c r="XG4">
        <v>2021</v>
      </c>
      <c r="XH4">
        <v>2021</v>
      </c>
      <c r="XI4">
        <v>2021</v>
      </c>
      <c r="XJ4">
        <v>2021</v>
      </c>
      <c r="XK4">
        <v>2021</v>
      </c>
      <c r="XL4">
        <v>2021</v>
      </c>
      <c r="XM4">
        <v>2021</v>
      </c>
      <c r="XN4">
        <v>2021</v>
      </c>
      <c r="XO4">
        <v>2021</v>
      </c>
      <c r="XP4">
        <v>2021</v>
      </c>
      <c r="XQ4">
        <v>2021</v>
      </c>
      <c r="XR4">
        <v>2021</v>
      </c>
      <c r="XS4">
        <v>2021</v>
      </c>
      <c r="XT4">
        <v>2021</v>
      </c>
      <c r="XU4">
        <v>2021</v>
      </c>
      <c r="XV4">
        <v>2021</v>
      </c>
      <c r="XW4">
        <v>2021</v>
      </c>
      <c r="XX4">
        <v>2021</v>
      </c>
      <c r="XY4">
        <v>2021</v>
      </c>
      <c r="XZ4">
        <v>2021</v>
      </c>
      <c r="YA4">
        <v>2021</v>
      </c>
      <c r="YB4">
        <v>2021</v>
      </c>
      <c r="YC4">
        <v>2021</v>
      </c>
      <c r="YD4">
        <v>2021</v>
      </c>
      <c r="YE4">
        <v>2021</v>
      </c>
      <c r="YF4">
        <v>2021</v>
      </c>
      <c r="YG4">
        <v>2021</v>
      </c>
      <c r="YH4">
        <v>2021</v>
      </c>
      <c r="YI4">
        <v>2021</v>
      </c>
      <c r="YJ4">
        <v>2021</v>
      </c>
      <c r="YK4">
        <v>2021</v>
      </c>
      <c r="YL4">
        <v>2021</v>
      </c>
      <c r="YM4">
        <v>2021</v>
      </c>
      <c r="YN4">
        <v>2021</v>
      </c>
      <c r="YO4">
        <v>2021</v>
      </c>
      <c r="YP4">
        <v>2021</v>
      </c>
      <c r="YQ4">
        <v>2021</v>
      </c>
      <c r="YR4">
        <v>2021</v>
      </c>
      <c r="YS4">
        <v>2021</v>
      </c>
      <c r="YT4">
        <v>2021</v>
      </c>
      <c r="YU4">
        <v>2021</v>
      </c>
      <c r="YV4">
        <v>2021</v>
      </c>
      <c r="YW4">
        <v>2021</v>
      </c>
      <c r="YX4">
        <v>2021</v>
      </c>
      <c r="YY4">
        <v>2021</v>
      </c>
      <c r="YZ4">
        <v>2021</v>
      </c>
      <c r="ZA4">
        <v>2021</v>
      </c>
      <c r="ZB4">
        <v>2021</v>
      </c>
      <c r="ZC4">
        <v>2021</v>
      </c>
      <c r="ZD4">
        <v>2021</v>
      </c>
      <c r="ZE4">
        <v>2021</v>
      </c>
      <c r="ZF4">
        <v>2021</v>
      </c>
      <c r="ZG4">
        <v>2021</v>
      </c>
      <c r="ZH4">
        <v>2021</v>
      </c>
      <c r="ZI4">
        <v>2021</v>
      </c>
      <c r="ZJ4">
        <v>2021</v>
      </c>
      <c r="ZK4">
        <v>2021</v>
      </c>
      <c r="ZL4">
        <v>2021</v>
      </c>
      <c r="ZM4">
        <v>2021</v>
      </c>
      <c r="ZN4">
        <v>2021</v>
      </c>
      <c r="ZO4">
        <v>2021</v>
      </c>
      <c r="ZP4">
        <v>2021</v>
      </c>
      <c r="ZQ4">
        <v>2021</v>
      </c>
      <c r="ZR4">
        <v>2021</v>
      </c>
      <c r="ZS4">
        <v>2021</v>
      </c>
      <c r="ZT4">
        <v>2021</v>
      </c>
      <c r="ZU4">
        <v>2021</v>
      </c>
      <c r="ZV4">
        <v>2021</v>
      </c>
      <c r="ZW4">
        <v>2021</v>
      </c>
      <c r="ZX4">
        <v>2021</v>
      </c>
      <c r="ZY4">
        <v>2021</v>
      </c>
      <c r="ZZ4">
        <v>2021</v>
      </c>
      <c r="AAA4">
        <v>2021</v>
      </c>
      <c r="AAB4">
        <v>2021</v>
      </c>
      <c r="AAC4">
        <v>2021</v>
      </c>
      <c r="AAD4">
        <v>2021</v>
      </c>
      <c r="AAE4">
        <v>2021</v>
      </c>
      <c r="AAF4">
        <v>2021</v>
      </c>
      <c r="AAG4">
        <v>2021</v>
      </c>
      <c r="AAH4">
        <v>2021</v>
      </c>
      <c r="AAI4">
        <v>2021</v>
      </c>
      <c r="AAJ4">
        <v>2021</v>
      </c>
      <c r="AAK4">
        <v>2021</v>
      </c>
      <c r="AAL4">
        <v>2021</v>
      </c>
      <c r="AAM4">
        <v>2021</v>
      </c>
      <c r="AAN4">
        <v>2021</v>
      </c>
      <c r="AAO4">
        <v>2021</v>
      </c>
      <c r="AAP4">
        <v>2021</v>
      </c>
      <c r="AAQ4">
        <v>2021</v>
      </c>
      <c r="AAR4">
        <v>2021</v>
      </c>
      <c r="AAS4">
        <v>2021</v>
      </c>
      <c r="AAT4">
        <v>2021</v>
      </c>
      <c r="AAU4">
        <v>2021</v>
      </c>
      <c r="AAV4">
        <v>2021</v>
      </c>
      <c r="AAW4">
        <v>2021</v>
      </c>
      <c r="AAX4">
        <v>2021</v>
      </c>
      <c r="AAY4">
        <v>2021</v>
      </c>
      <c r="AAZ4">
        <v>2021</v>
      </c>
      <c r="ABA4">
        <v>2021</v>
      </c>
      <c r="ABB4">
        <v>2021</v>
      </c>
      <c r="ABC4">
        <v>2021</v>
      </c>
      <c r="ABD4">
        <v>2021</v>
      </c>
      <c r="ABE4">
        <v>2021</v>
      </c>
      <c r="ABG4" s="1137">
        <v>2020</v>
      </c>
      <c r="ABH4" s="1137">
        <v>2020</v>
      </c>
      <c r="ABI4" s="1137">
        <v>2020</v>
      </c>
      <c r="ABJ4" s="1137">
        <v>2020</v>
      </c>
      <c r="ABK4" s="1137">
        <v>2020</v>
      </c>
      <c r="ABL4" s="1137">
        <v>2020</v>
      </c>
      <c r="ABM4" s="1137">
        <v>2020</v>
      </c>
      <c r="ABN4" s="1137">
        <v>2020</v>
      </c>
      <c r="ABO4" s="1137">
        <v>2020</v>
      </c>
      <c r="ABP4" s="1137">
        <v>2020</v>
      </c>
      <c r="ABQ4" s="1137">
        <v>2020</v>
      </c>
      <c r="ABR4" s="1137">
        <v>2020</v>
      </c>
      <c r="ABS4" s="1137">
        <v>2021</v>
      </c>
      <c r="ABT4" s="1137">
        <v>2021</v>
      </c>
      <c r="ABU4" s="1137">
        <v>2021</v>
      </c>
      <c r="ABV4" s="1137">
        <v>2021</v>
      </c>
      <c r="ABW4" s="1137">
        <v>2021</v>
      </c>
      <c r="ABX4" s="1137">
        <v>2021</v>
      </c>
      <c r="ABY4" s="1137">
        <v>2021</v>
      </c>
      <c r="ABZ4" s="1137">
        <v>2021</v>
      </c>
      <c r="ACA4" s="1137">
        <v>2021</v>
      </c>
      <c r="ACB4" s="1137">
        <v>2021</v>
      </c>
      <c r="ACC4" s="1137">
        <v>2021</v>
      </c>
      <c r="ACD4" s="1137">
        <v>2021</v>
      </c>
      <c r="ACF4" s="1137">
        <v>2020</v>
      </c>
      <c r="ACG4" s="1137">
        <v>2020</v>
      </c>
      <c r="ACH4" s="1137">
        <v>2020</v>
      </c>
      <c r="ACI4" s="1137">
        <v>2020</v>
      </c>
      <c r="ACJ4" s="1137">
        <v>2020</v>
      </c>
      <c r="ACK4" s="1137">
        <v>2020</v>
      </c>
      <c r="ACL4" s="1137">
        <v>2020</v>
      </c>
      <c r="ACM4" s="1137">
        <v>2020</v>
      </c>
      <c r="ACN4" s="1137">
        <v>2020</v>
      </c>
      <c r="ACO4" s="1137">
        <v>2020</v>
      </c>
      <c r="ACP4" s="1137">
        <v>2020</v>
      </c>
      <c r="ACQ4" s="1137">
        <v>2020</v>
      </c>
      <c r="ACR4" s="1137">
        <v>2021</v>
      </c>
      <c r="ACS4" s="1137">
        <v>2021</v>
      </c>
      <c r="ACT4" s="1137">
        <v>2021</v>
      </c>
      <c r="ACU4" s="1137">
        <v>2021</v>
      </c>
      <c r="ACV4" s="1137">
        <v>2021</v>
      </c>
      <c r="ACW4" s="1137">
        <v>2021</v>
      </c>
      <c r="ACX4" s="1137">
        <v>2021</v>
      </c>
      <c r="ACY4" s="1137">
        <v>2021</v>
      </c>
      <c r="ACZ4" s="1137">
        <v>2021</v>
      </c>
      <c r="ADA4" s="1137">
        <v>2021</v>
      </c>
      <c r="ADB4" s="1137">
        <v>2021</v>
      </c>
      <c r="ADC4" s="1137">
        <v>2021</v>
      </c>
    </row>
    <row r="5" spans="1:783" x14ac:dyDescent="0.25">
      <c r="A5" t="s">
        <v>1799</v>
      </c>
      <c r="B5" t="s">
        <v>139</v>
      </c>
      <c r="C5">
        <v>0</v>
      </c>
      <c r="D5">
        <v>0</v>
      </c>
      <c r="E5">
        <v>0</v>
      </c>
      <c r="F5">
        <v>0</v>
      </c>
      <c r="G5">
        <v>0</v>
      </c>
      <c r="H5">
        <v>0</v>
      </c>
      <c r="I5">
        <v>0</v>
      </c>
      <c r="J5">
        <v>0</v>
      </c>
      <c r="K5">
        <v>0</v>
      </c>
      <c r="L5">
        <v>0</v>
      </c>
      <c r="M5">
        <v>0</v>
      </c>
      <c r="N5">
        <v>0</v>
      </c>
      <c r="O5">
        <v>0</v>
      </c>
      <c r="P5">
        <v>0</v>
      </c>
      <c r="Q5">
        <v>0</v>
      </c>
      <c r="R5">
        <v>0</v>
      </c>
      <c r="S5">
        <v>0</v>
      </c>
      <c r="T5">
        <v>0</v>
      </c>
      <c r="U5">
        <v>0</v>
      </c>
      <c r="V5">
        <v>0</v>
      </c>
      <c r="W5">
        <v>0</v>
      </c>
      <c r="X5">
        <v>0</v>
      </c>
      <c r="Y5">
        <v>0</v>
      </c>
      <c r="Z5">
        <v>0</v>
      </c>
      <c r="AA5">
        <v>0</v>
      </c>
      <c r="AB5">
        <v>0</v>
      </c>
      <c r="AC5">
        <v>0</v>
      </c>
      <c r="AD5">
        <v>0</v>
      </c>
      <c r="AE5">
        <v>0</v>
      </c>
      <c r="AF5">
        <v>0</v>
      </c>
      <c r="AG5">
        <v>0</v>
      </c>
      <c r="AH5">
        <v>0</v>
      </c>
      <c r="AI5">
        <v>0</v>
      </c>
      <c r="AJ5">
        <v>0</v>
      </c>
      <c r="AK5">
        <v>0</v>
      </c>
      <c r="AL5">
        <v>0</v>
      </c>
      <c r="AM5">
        <v>0</v>
      </c>
      <c r="AN5">
        <v>0</v>
      </c>
      <c r="AO5">
        <v>0</v>
      </c>
      <c r="AP5">
        <v>0</v>
      </c>
      <c r="AQ5">
        <v>0</v>
      </c>
      <c r="AR5">
        <v>0</v>
      </c>
      <c r="AS5">
        <v>0</v>
      </c>
      <c r="AT5">
        <v>0</v>
      </c>
      <c r="AU5">
        <v>0</v>
      </c>
      <c r="AV5">
        <v>0</v>
      </c>
      <c r="AW5">
        <v>0</v>
      </c>
      <c r="AX5">
        <v>0</v>
      </c>
      <c r="AY5">
        <v>0</v>
      </c>
      <c r="AZ5">
        <v>0</v>
      </c>
      <c r="BA5">
        <v>0</v>
      </c>
      <c r="BB5">
        <v>0</v>
      </c>
      <c r="BC5">
        <v>0</v>
      </c>
      <c r="BD5">
        <v>0</v>
      </c>
      <c r="BE5">
        <v>0</v>
      </c>
      <c r="BF5">
        <v>0</v>
      </c>
      <c r="BG5">
        <v>0</v>
      </c>
      <c r="BH5">
        <v>0</v>
      </c>
      <c r="BI5">
        <v>0</v>
      </c>
      <c r="BJ5">
        <v>0</v>
      </c>
      <c r="BK5">
        <v>0</v>
      </c>
      <c r="BL5">
        <v>0</v>
      </c>
      <c r="BM5">
        <v>0</v>
      </c>
      <c r="BN5">
        <v>0</v>
      </c>
      <c r="BO5">
        <v>0</v>
      </c>
      <c r="BP5">
        <v>0</v>
      </c>
      <c r="BQ5">
        <v>0</v>
      </c>
      <c r="BR5">
        <v>0</v>
      </c>
      <c r="BS5">
        <v>0</v>
      </c>
      <c r="BT5">
        <v>0</v>
      </c>
      <c r="BU5">
        <v>0</v>
      </c>
      <c r="BV5">
        <v>0</v>
      </c>
      <c r="BW5">
        <v>0</v>
      </c>
      <c r="BX5">
        <v>0</v>
      </c>
      <c r="BY5">
        <v>0</v>
      </c>
      <c r="BZ5">
        <v>0</v>
      </c>
      <c r="CA5">
        <v>0</v>
      </c>
      <c r="CB5">
        <v>0</v>
      </c>
      <c r="CC5">
        <v>0</v>
      </c>
      <c r="CD5">
        <v>0</v>
      </c>
      <c r="CE5">
        <v>0</v>
      </c>
      <c r="CF5">
        <v>0</v>
      </c>
      <c r="CG5">
        <v>0</v>
      </c>
      <c r="CH5">
        <v>0</v>
      </c>
      <c r="CI5">
        <v>0</v>
      </c>
      <c r="CJ5">
        <v>0</v>
      </c>
      <c r="CK5">
        <v>0</v>
      </c>
      <c r="CL5">
        <v>0</v>
      </c>
      <c r="CM5">
        <v>2</v>
      </c>
      <c r="CN5">
        <v>2</v>
      </c>
      <c r="CO5">
        <v>2</v>
      </c>
      <c r="CP5">
        <v>2</v>
      </c>
      <c r="CQ5">
        <v>2</v>
      </c>
      <c r="CR5">
        <v>2</v>
      </c>
      <c r="CS5">
        <v>2</v>
      </c>
      <c r="CT5">
        <v>2</v>
      </c>
      <c r="CU5">
        <v>2</v>
      </c>
      <c r="CV5">
        <v>2</v>
      </c>
      <c r="CW5">
        <v>2</v>
      </c>
      <c r="CX5">
        <v>2</v>
      </c>
      <c r="CY5">
        <v>2</v>
      </c>
      <c r="CZ5">
        <v>2</v>
      </c>
      <c r="DA5">
        <v>2</v>
      </c>
      <c r="DB5">
        <v>2</v>
      </c>
      <c r="DC5">
        <v>2</v>
      </c>
      <c r="DD5">
        <v>2</v>
      </c>
      <c r="DE5">
        <v>2</v>
      </c>
      <c r="DF5">
        <v>2</v>
      </c>
      <c r="DG5">
        <v>2</v>
      </c>
      <c r="DH5">
        <v>2</v>
      </c>
      <c r="DI5">
        <v>2</v>
      </c>
      <c r="DJ5">
        <v>2</v>
      </c>
      <c r="DK5">
        <v>2</v>
      </c>
      <c r="DL5">
        <v>2</v>
      </c>
      <c r="DM5">
        <v>2</v>
      </c>
      <c r="DN5">
        <v>2</v>
      </c>
      <c r="DO5">
        <v>2</v>
      </c>
      <c r="DP5">
        <v>2</v>
      </c>
      <c r="DQ5">
        <v>2</v>
      </c>
      <c r="DR5">
        <v>2</v>
      </c>
      <c r="DS5">
        <v>2</v>
      </c>
      <c r="DT5">
        <v>2</v>
      </c>
      <c r="DU5">
        <v>2</v>
      </c>
      <c r="DV5">
        <v>2</v>
      </c>
      <c r="DW5">
        <v>2</v>
      </c>
      <c r="DX5">
        <v>2</v>
      </c>
      <c r="DY5">
        <v>2</v>
      </c>
      <c r="DZ5">
        <v>2</v>
      </c>
      <c r="EA5">
        <v>2</v>
      </c>
      <c r="EB5">
        <v>2</v>
      </c>
      <c r="EC5">
        <v>2</v>
      </c>
      <c r="ED5">
        <v>2</v>
      </c>
      <c r="EE5">
        <v>2</v>
      </c>
      <c r="EF5">
        <v>2</v>
      </c>
      <c r="EG5">
        <v>2</v>
      </c>
      <c r="EH5">
        <v>2</v>
      </c>
      <c r="EI5">
        <v>2</v>
      </c>
      <c r="EJ5">
        <v>2</v>
      </c>
      <c r="EK5">
        <v>2</v>
      </c>
      <c r="EL5">
        <v>2</v>
      </c>
      <c r="EM5">
        <v>2</v>
      </c>
      <c r="EN5">
        <v>2</v>
      </c>
      <c r="EO5">
        <v>2</v>
      </c>
      <c r="EP5">
        <v>2</v>
      </c>
      <c r="EQ5">
        <v>2</v>
      </c>
      <c r="ER5">
        <v>2</v>
      </c>
      <c r="ES5">
        <v>2</v>
      </c>
      <c r="ET5">
        <v>2</v>
      </c>
      <c r="EU5">
        <v>2</v>
      </c>
      <c r="EV5">
        <v>2</v>
      </c>
      <c r="EW5">
        <v>2</v>
      </c>
      <c r="EX5">
        <v>1</v>
      </c>
      <c r="EY5">
        <v>1</v>
      </c>
      <c r="EZ5">
        <v>1</v>
      </c>
      <c r="FA5">
        <v>1</v>
      </c>
      <c r="FB5">
        <v>1</v>
      </c>
      <c r="FC5">
        <v>1</v>
      </c>
      <c r="FD5">
        <v>1</v>
      </c>
      <c r="FE5">
        <v>1</v>
      </c>
      <c r="FF5">
        <v>1</v>
      </c>
      <c r="FG5">
        <v>1</v>
      </c>
      <c r="FH5">
        <v>1</v>
      </c>
      <c r="FI5">
        <v>1</v>
      </c>
      <c r="FJ5">
        <v>1</v>
      </c>
      <c r="FK5">
        <v>1</v>
      </c>
      <c r="FL5">
        <v>1</v>
      </c>
      <c r="FM5">
        <v>1</v>
      </c>
      <c r="FN5">
        <v>1</v>
      </c>
      <c r="FO5">
        <v>1</v>
      </c>
      <c r="FP5">
        <v>1</v>
      </c>
      <c r="FQ5">
        <v>1</v>
      </c>
      <c r="FR5">
        <v>1</v>
      </c>
      <c r="FS5">
        <v>1</v>
      </c>
      <c r="FT5">
        <v>1</v>
      </c>
      <c r="FU5">
        <v>1</v>
      </c>
      <c r="FV5">
        <v>1</v>
      </c>
      <c r="FW5">
        <v>1</v>
      </c>
      <c r="FX5">
        <v>1</v>
      </c>
      <c r="FY5">
        <v>1</v>
      </c>
      <c r="FZ5">
        <v>1</v>
      </c>
      <c r="GA5">
        <v>1</v>
      </c>
      <c r="GB5">
        <v>1</v>
      </c>
      <c r="GC5">
        <v>1</v>
      </c>
      <c r="GD5">
        <v>1</v>
      </c>
      <c r="GE5">
        <v>1</v>
      </c>
      <c r="GF5">
        <v>1</v>
      </c>
      <c r="GG5">
        <v>1</v>
      </c>
      <c r="GH5">
        <v>1</v>
      </c>
      <c r="GI5">
        <v>1</v>
      </c>
      <c r="GJ5">
        <v>1</v>
      </c>
      <c r="GK5">
        <v>1</v>
      </c>
      <c r="GL5">
        <v>1</v>
      </c>
      <c r="GM5">
        <v>1</v>
      </c>
      <c r="GN5">
        <v>1</v>
      </c>
      <c r="GO5">
        <v>1</v>
      </c>
      <c r="GP5">
        <v>1</v>
      </c>
      <c r="GQ5">
        <v>1</v>
      </c>
      <c r="GR5">
        <v>1</v>
      </c>
      <c r="GS5">
        <v>1</v>
      </c>
      <c r="GT5">
        <v>1</v>
      </c>
      <c r="GU5">
        <v>1</v>
      </c>
      <c r="GV5">
        <v>1</v>
      </c>
      <c r="GW5">
        <v>1</v>
      </c>
      <c r="GX5">
        <v>1</v>
      </c>
      <c r="GY5">
        <v>1</v>
      </c>
      <c r="GZ5">
        <v>1</v>
      </c>
      <c r="HA5">
        <v>1</v>
      </c>
      <c r="HB5">
        <v>1</v>
      </c>
      <c r="HC5">
        <v>1</v>
      </c>
      <c r="HD5">
        <v>1</v>
      </c>
      <c r="HE5">
        <v>1</v>
      </c>
      <c r="HF5">
        <v>1</v>
      </c>
      <c r="HG5">
        <v>1</v>
      </c>
      <c r="HH5">
        <v>1</v>
      </c>
      <c r="HI5">
        <v>1</v>
      </c>
      <c r="HJ5">
        <v>1</v>
      </c>
      <c r="HK5">
        <v>1</v>
      </c>
      <c r="HL5">
        <v>1</v>
      </c>
      <c r="HM5">
        <v>1</v>
      </c>
      <c r="HN5">
        <v>1</v>
      </c>
      <c r="HO5">
        <v>1</v>
      </c>
      <c r="HP5">
        <v>1</v>
      </c>
      <c r="HQ5">
        <v>1</v>
      </c>
      <c r="HR5">
        <v>1</v>
      </c>
      <c r="HS5">
        <v>1</v>
      </c>
      <c r="HT5">
        <v>1</v>
      </c>
      <c r="HU5">
        <v>1</v>
      </c>
      <c r="HV5">
        <v>1</v>
      </c>
      <c r="HW5">
        <v>1</v>
      </c>
      <c r="HX5">
        <v>1</v>
      </c>
      <c r="HY5">
        <v>1</v>
      </c>
      <c r="HZ5">
        <v>1</v>
      </c>
      <c r="IA5">
        <v>1</v>
      </c>
      <c r="IB5">
        <v>1</v>
      </c>
      <c r="IC5">
        <v>1</v>
      </c>
      <c r="ID5">
        <v>1</v>
      </c>
      <c r="IE5">
        <v>1</v>
      </c>
      <c r="IF5">
        <v>1</v>
      </c>
      <c r="IG5">
        <v>1</v>
      </c>
      <c r="IH5">
        <v>1</v>
      </c>
      <c r="II5">
        <v>1</v>
      </c>
      <c r="IJ5">
        <v>1</v>
      </c>
      <c r="IK5">
        <v>1</v>
      </c>
      <c r="IL5">
        <v>1</v>
      </c>
      <c r="IM5">
        <v>1</v>
      </c>
      <c r="IN5">
        <v>1</v>
      </c>
      <c r="IO5">
        <v>1</v>
      </c>
      <c r="IP5">
        <v>1</v>
      </c>
      <c r="IQ5">
        <v>1</v>
      </c>
      <c r="IR5">
        <v>1</v>
      </c>
      <c r="IS5">
        <v>0</v>
      </c>
      <c r="IT5">
        <v>0</v>
      </c>
      <c r="IU5">
        <v>0</v>
      </c>
      <c r="IV5">
        <v>0</v>
      </c>
      <c r="IW5">
        <v>0</v>
      </c>
      <c r="IX5">
        <v>0</v>
      </c>
      <c r="IY5">
        <v>0</v>
      </c>
      <c r="IZ5">
        <v>0</v>
      </c>
      <c r="JA5">
        <v>0</v>
      </c>
      <c r="JB5">
        <v>0</v>
      </c>
      <c r="JC5">
        <v>0</v>
      </c>
      <c r="JD5">
        <v>0</v>
      </c>
      <c r="JE5">
        <v>0</v>
      </c>
      <c r="JF5">
        <v>0</v>
      </c>
      <c r="JG5">
        <v>0</v>
      </c>
      <c r="JH5">
        <v>0</v>
      </c>
      <c r="JI5">
        <v>0</v>
      </c>
      <c r="JJ5">
        <v>0</v>
      </c>
      <c r="JK5">
        <v>0</v>
      </c>
      <c r="JL5">
        <v>0</v>
      </c>
      <c r="JM5">
        <v>0</v>
      </c>
      <c r="JN5">
        <v>0</v>
      </c>
      <c r="JO5">
        <v>0</v>
      </c>
      <c r="JP5">
        <v>0</v>
      </c>
      <c r="JQ5">
        <v>0</v>
      </c>
      <c r="JR5">
        <v>0</v>
      </c>
      <c r="JS5">
        <v>0</v>
      </c>
      <c r="JT5">
        <v>0</v>
      </c>
      <c r="JU5">
        <v>0</v>
      </c>
      <c r="JV5">
        <v>0</v>
      </c>
      <c r="JW5">
        <v>0</v>
      </c>
      <c r="JX5">
        <v>0</v>
      </c>
      <c r="JY5">
        <v>0</v>
      </c>
      <c r="JZ5">
        <v>0</v>
      </c>
      <c r="KA5">
        <v>0</v>
      </c>
      <c r="KB5">
        <v>0</v>
      </c>
      <c r="KC5">
        <v>0</v>
      </c>
      <c r="KD5">
        <v>0</v>
      </c>
      <c r="KE5">
        <v>0</v>
      </c>
      <c r="KF5">
        <v>0</v>
      </c>
      <c r="KG5">
        <v>0</v>
      </c>
      <c r="KH5">
        <v>0</v>
      </c>
      <c r="KI5">
        <v>0</v>
      </c>
      <c r="KJ5">
        <v>0</v>
      </c>
      <c r="KK5">
        <v>0</v>
      </c>
      <c r="KL5">
        <v>0</v>
      </c>
      <c r="KM5">
        <v>0</v>
      </c>
      <c r="KN5">
        <v>0</v>
      </c>
      <c r="KO5">
        <v>0</v>
      </c>
      <c r="KP5">
        <v>0</v>
      </c>
      <c r="KQ5">
        <v>0</v>
      </c>
      <c r="KR5">
        <v>0</v>
      </c>
      <c r="KS5">
        <v>0</v>
      </c>
      <c r="KT5">
        <v>0</v>
      </c>
      <c r="KU5">
        <v>0</v>
      </c>
      <c r="KV5">
        <v>0</v>
      </c>
      <c r="KW5">
        <v>0</v>
      </c>
      <c r="KX5">
        <v>0</v>
      </c>
      <c r="KY5">
        <v>0</v>
      </c>
      <c r="KZ5">
        <v>0</v>
      </c>
      <c r="LA5">
        <v>0</v>
      </c>
      <c r="LB5">
        <v>0</v>
      </c>
      <c r="LC5">
        <v>0</v>
      </c>
      <c r="LD5">
        <v>0</v>
      </c>
      <c r="LE5">
        <v>0</v>
      </c>
      <c r="LF5">
        <v>0</v>
      </c>
      <c r="LG5">
        <v>0</v>
      </c>
      <c r="LH5">
        <v>0</v>
      </c>
      <c r="LI5">
        <v>0</v>
      </c>
      <c r="LJ5">
        <v>0</v>
      </c>
      <c r="LK5">
        <v>0</v>
      </c>
      <c r="LL5">
        <v>0</v>
      </c>
      <c r="LM5">
        <v>0</v>
      </c>
      <c r="LN5">
        <v>0</v>
      </c>
      <c r="LO5">
        <v>0</v>
      </c>
      <c r="LP5">
        <v>0</v>
      </c>
      <c r="LQ5">
        <v>0</v>
      </c>
      <c r="LR5">
        <v>0</v>
      </c>
      <c r="LS5">
        <v>0</v>
      </c>
      <c r="LT5">
        <v>0</v>
      </c>
      <c r="LU5">
        <v>0</v>
      </c>
      <c r="LV5">
        <v>0</v>
      </c>
      <c r="LW5">
        <v>0</v>
      </c>
      <c r="LX5">
        <v>0</v>
      </c>
      <c r="LY5">
        <v>0</v>
      </c>
      <c r="LZ5">
        <v>0</v>
      </c>
      <c r="MA5">
        <v>0</v>
      </c>
      <c r="MB5">
        <v>0</v>
      </c>
      <c r="MC5">
        <v>0</v>
      </c>
      <c r="MD5">
        <v>0</v>
      </c>
      <c r="ME5">
        <v>0</v>
      </c>
      <c r="MF5">
        <v>0</v>
      </c>
      <c r="MG5">
        <v>0</v>
      </c>
      <c r="MH5">
        <v>0</v>
      </c>
      <c r="MI5">
        <v>0</v>
      </c>
      <c r="MJ5">
        <v>0</v>
      </c>
      <c r="MK5">
        <v>0</v>
      </c>
      <c r="ML5">
        <v>0</v>
      </c>
      <c r="MM5">
        <v>0</v>
      </c>
      <c r="MN5">
        <v>0</v>
      </c>
      <c r="MO5">
        <v>0</v>
      </c>
      <c r="MP5">
        <v>0</v>
      </c>
      <c r="MQ5">
        <v>0</v>
      </c>
      <c r="MR5">
        <v>0</v>
      </c>
      <c r="MS5">
        <v>0</v>
      </c>
      <c r="MT5">
        <v>0</v>
      </c>
      <c r="MU5">
        <v>0</v>
      </c>
      <c r="MV5">
        <v>0</v>
      </c>
      <c r="MW5">
        <v>0</v>
      </c>
      <c r="MX5">
        <v>0</v>
      </c>
      <c r="MY5">
        <v>0</v>
      </c>
      <c r="MZ5">
        <v>0</v>
      </c>
      <c r="NA5">
        <v>0</v>
      </c>
      <c r="NB5">
        <v>0</v>
      </c>
      <c r="NC5">
        <v>0</v>
      </c>
      <c r="ND5">
        <v>0</v>
      </c>
      <c r="NE5">
        <v>0</v>
      </c>
      <c r="NF5">
        <v>0</v>
      </c>
      <c r="NG5">
        <v>0</v>
      </c>
      <c r="NH5">
        <v>0</v>
      </c>
      <c r="NI5">
        <v>0</v>
      </c>
      <c r="NJ5">
        <v>0</v>
      </c>
      <c r="NK5">
        <v>0</v>
      </c>
      <c r="NL5">
        <v>0</v>
      </c>
      <c r="NM5">
        <v>0</v>
      </c>
      <c r="NN5">
        <v>0</v>
      </c>
      <c r="NO5">
        <v>0</v>
      </c>
      <c r="NP5">
        <v>0</v>
      </c>
      <c r="NQ5">
        <v>0</v>
      </c>
      <c r="NR5">
        <v>0</v>
      </c>
      <c r="NS5">
        <v>0</v>
      </c>
      <c r="NT5">
        <v>0</v>
      </c>
      <c r="NU5">
        <v>0</v>
      </c>
      <c r="NV5">
        <v>0</v>
      </c>
      <c r="NW5">
        <v>0</v>
      </c>
      <c r="NX5">
        <v>0</v>
      </c>
      <c r="NY5">
        <v>0</v>
      </c>
      <c r="NZ5">
        <v>0</v>
      </c>
      <c r="OA5">
        <v>0</v>
      </c>
      <c r="OB5">
        <v>0</v>
      </c>
      <c r="OC5">
        <v>0</v>
      </c>
      <c r="OD5">
        <v>0</v>
      </c>
      <c r="OE5">
        <v>0</v>
      </c>
      <c r="OF5">
        <v>0</v>
      </c>
      <c r="OG5">
        <v>0</v>
      </c>
      <c r="OH5">
        <v>0</v>
      </c>
      <c r="OI5">
        <v>0</v>
      </c>
      <c r="OJ5">
        <v>0</v>
      </c>
      <c r="OK5">
        <v>0</v>
      </c>
      <c r="OL5">
        <v>0</v>
      </c>
      <c r="OM5">
        <v>0</v>
      </c>
      <c r="ON5">
        <v>0</v>
      </c>
      <c r="OO5">
        <v>0</v>
      </c>
      <c r="OP5">
        <v>0</v>
      </c>
      <c r="OQ5">
        <v>0</v>
      </c>
      <c r="OR5">
        <v>0</v>
      </c>
      <c r="OS5">
        <v>0</v>
      </c>
      <c r="OT5">
        <v>0</v>
      </c>
      <c r="OU5">
        <v>0</v>
      </c>
      <c r="OV5">
        <v>0</v>
      </c>
      <c r="OW5">
        <v>0</v>
      </c>
      <c r="OX5">
        <v>0</v>
      </c>
      <c r="OY5">
        <v>0</v>
      </c>
      <c r="OZ5">
        <v>0</v>
      </c>
      <c r="PA5">
        <v>0</v>
      </c>
      <c r="PB5">
        <v>0</v>
      </c>
      <c r="PC5">
        <v>0</v>
      </c>
      <c r="PD5">
        <v>0</v>
      </c>
      <c r="PE5">
        <v>0</v>
      </c>
      <c r="PF5">
        <v>0</v>
      </c>
      <c r="PG5">
        <v>0</v>
      </c>
      <c r="PH5">
        <v>0</v>
      </c>
      <c r="PI5">
        <v>0</v>
      </c>
      <c r="PJ5">
        <v>0</v>
      </c>
      <c r="PK5">
        <v>0</v>
      </c>
      <c r="PL5">
        <v>0</v>
      </c>
      <c r="PM5">
        <v>0</v>
      </c>
      <c r="PN5">
        <v>0</v>
      </c>
      <c r="PO5">
        <v>0</v>
      </c>
      <c r="PP5">
        <v>0</v>
      </c>
      <c r="PQ5">
        <v>0</v>
      </c>
      <c r="PR5">
        <v>0</v>
      </c>
      <c r="PS5">
        <v>0</v>
      </c>
      <c r="PT5">
        <v>0</v>
      </c>
      <c r="PU5">
        <v>0</v>
      </c>
      <c r="PV5">
        <v>0</v>
      </c>
      <c r="PW5">
        <v>0</v>
      </c>
      <c r="PX5">
        <v>0</v>
      </c>
      <c r="PY5">
        <v>0</v>
      </c>
      <c r="PZ5">
        <v>0</v>
      </c>
      <c r="QA5">
        <v>0</v>
      </c>
      <c r="QB5">
        <v>0</v>
      </c>
      <c r="QC5">
        <v>0</v>
      </c>
      <c r="QD5">
        <v>0</v>
      </c>
      <c r="QE5">
        <v>0</v>
      </c>
      <c r="QF5">
        <v>0</v>
      </c>
      <c r="QG5">
        <v>0</v>
      </c>
      <c r="QH5">
        <v>0</v>
      </c>
      <c r="QI5">
        <v>0</v>
      </c>
      <c r="QJ5">
        <v>0</v>
      </c>
      <c r="QK5">
        <v>0</v>
      </c>
      <c r="QL5">
        <v>0</v>
      </c>
      <c r="QM5">
        <v>0</v>
      </c>
      <c r="QN5">
        <v>0</v>
      </c>
      <c r="QO5">
        <v>0</v>
      </c>
      <c r="QP5">
        <v>0</v>
      </c>
      <c r="QQ5">
        <v>0</v>
      </c>
      <c r="QR5">
        <v>0</v>
      </c>
      <c r="QS5">
        <v>0</v>
      </c>
      <c r="QT5">
        <v>0</v>
      </c>
      <c r="QU5">
        <v>0</v>
      </c>
      <c r="QV5">
        <v>0</v>
      </c>
      <c r="QW5">
        <v>0</v>
      </c>
      <c r="QX5">
        <v>0</v>
      </c>
      <c r="QY5">
        <v>0</v>
      </c>
      <c r="QZ5">
        <v>0</v>
      </c>
      <c r="RA5">
        <v>0</v>
      </c>
      <c r="RB5">
        <v>0</v>
      </c>
      <c r="RC5">
        <v>0</v>
      </c>
      <c r="RD5">
        <v>0</v>
      </c>
      <c r="RE5">
        <v>0</v>
      </c>
      <c r="RF5">
        <v>0</v>
      </c>
      <c r="RG5">
        <v>0</v>
      </c>
      <c r="RH5">
        <v>0</v>
      </c>
      <c r="RI5">
        <v>0</v>
      </c>
      <c r="RJ5">
        <v>0</v>
      </c>
      <c r="RK5">
        <v>0</v>
      </c>
      <c r="RL5">
        <v>0</v>
      </c>
      <c r="RM5">
        <v>0</v>
      </c>
      <c r="RN5">
        <v>0</v>
      </c>
      <c r="RO5">
        <v>0</v>
      </c>
      <c r="RP5">
        <v>0</v>
      </c>
      <c r="RQ5">
        <v>0</v>
      </c>
      <c r="RR5">
        <v>0</v>
      </c>
      <c r="RS5">
        <v>0</v>
      </c>
      <c r="RT5">
        <v>0</v>
      </c>
      <c r="RU5">
        <v>0</v>
      </c>
      <c r="RV5">
        <v>0</v>
      </c>
      <c r="RW5">
        <v>0</v>
      </c>
      <c r="RX5">
        <v>0</v>
      </c>
      <c r="RY5">
        <v>0</v>
      </c>
      <c r="RZ5">
        <v>0</v>
      </c>
      <c r="SA5">
        <v>0</v>
      </c>
      <c r="SB5">
        <v>0</v>
      </c>
      <c r="SC5">
        <v>0</v>
      </c>
      <c r="SD5">
        <v>0</v>
      </c>
      <c r="SE5">
        <v>0</v>
      </c>
      <c r="SF5">
        <v>0</v>
      </c>
      <c r="SG5">
        <v>0</v>
      </c>
      <c r="SH5">
        <v>0</v>
      </c>
      <c r="SI5">
        <v>0</v>
      </c>
      <c r="SJ5">
        <v>0</v>
      </c>
      <c r="SK5">
        <v>0</v>
      </c>
      <c r="SL5">
        <v>0</v>
      </c>
      <c r="SM5">
        <v>0</v>
      </c>
      <c r="SN5">
        <v>0</v>
      </c>
      <c r="SO5">
        <v>0</v>
      </c>
      <c r="SP5">
        <v>0</v>
      </c>
      <c r="SQ5">
        <v>0</v>
      </c>
      <c r="SR5">
        <v>0</v>
      </c>
      <c r="SS5">
        <v>0</v>
      </c>
      <c r="ST5">
        <v>0</v>
      </c>
      <c r="SU5">
        <v>0</v>
      </c>
      <c r="SV5">
        <v>0</v>
      </c>
      <c r="SW5">
        <v>0</v>
      </c>
      <c r="SX5">
        <v>0</v>
      </c>
      <c r="SY5">
        <v>0</v>
      </c>
      <c r="SZ5">
        <v>0</v>
      </c>
      <c r="TA5">
        <v>0</v>
      </c>
      <c r="TB5">
        <v>0</v>
      </c>
      <c r="TC5">
        <v>0</v>
      </c>
      <c r="TD5">
        <v>0</v>
      </c>
      <c r="TE5">
        <v>0</v>
      </c>
      <c r="TF5">
        <v>0</v>
      </c>
      <c r="TG5">
        <v>0</v>
      </c>
      <c r="TH5">
        <v>0</v>
      </c>
      <c r="TI5">
        <v>0</v>
      </c>
      <c r="TJ5">
        <v>0</v>
      </c>
      <c r="TK5">
        <v>0</v>
      </c>
      <c r="TL5">
        <v>0</v>
      </c>
      <c r="TM5">
        <v>0</v>
      </c>
      <c r="TN5">
        <v>0</v>
      </c>
      <c r="TO5">
        <v>0</v>
      </c>
      <c r="TP5">
        <v>0</v>
      </c>
      <c r="TQ5">
        <v>0</v>
      </c>
      <c r="TR5">
        <v>0</v>
      </c>
      <c r="TS5">
        <v>0</v>
      </c>
      <c r="TT5">
        <v>0</v>
      </c>
      <c r="TU5">
        <v>0</v>
      </c>
      <c r="TV5">
        <v>0</v>
      </c>
      <c r="TW5">
        <v>0</v>
      </c>
      <c r="TX5">
        <v>0</v>
      </c>
      <c r="TY5">
        <v>0</v>
      </c>
      <c r="TZ5">
        <v>0</v>
      </c>
      <c r="UA5">
        <v>0</v>
      </c>
      <c r="UB5">
        <v>0</v>
      </c>
      <c r="UC5">
        <v>0</v>
      </c>
      <c r="UD5">
        <v>0</v>
      </c>
      <c r="UE5">
        <v>0</v>
      </c>
      <c r="UF5">
        <v>0</v>
      </c>
      <c r="UG5">
        <v>0</v>
      </c>
      <c r="UH5">
        <v>0</v>
      </c>
      <c r="UI5">
        <v>0</v>
      </c>
      <c r="UJ5">
        <v>0</v>
      </c>
      <c r="UK5">
        <v>0</v>
      </c>
      <c r="UL5">
        <v>0</v>
      </c>
      <c r="UM5">
        <v>0</v>
      </c>
      <c r="UN5">
        <v>0</v>
      </c>
      <c r="UO5">
        <v>0</v>
      </c>
      <c r="UP5">
        <v>0</v>
      </c>
      <c r="UQ5">
        <v>0</v>
      </c>
      <c r="UR5">
        <v>0</v>
      </c>
      <c r="US5">
        <v>0</v>
      </c>
      <c r="UT5">
        <v>0</v>
      </c>
      <c r="UU5">
        <v>0</v>
      </c>
      <c r="UV5">
        <v>0</v>
      </c>
      <c r="UW5">
        <v>0</v>
      </c>
      <c r="UX5">
        <v>0</v>
      </c>
      <c r="UY5">
        <v>0</v>
      </c>
      <c r="UZ5">
        <v>0</v>
      </c>
      <c r="VA5">
        <v>0</v>
      </c>
      <c r="VB5">
        <v>0</v>
      </c>
      <c r="VC5">
        <v>0</v>
      </c>
      <c r="VD5">
        <v>0</v>
      </c>
      <c r="VE5">
        <v>0</v>
      </c>
      <c r="VF5">
        <v>0</v>
      </c>
      <c r="VG5">
        <v>0</v>
      </c>
      <c r="VH5">
        <v>0</v>
      </c>
      <c r="VI5">
        <v>0</v>
      </c>
      <c r="VJ5">
        <v>0</v>
      </c>
      <c r="VK5">
        <v>0</v>
      </c>
      <c r="VL5">
        <v>0</v>
      </c>
      <c r="VM5">
        <v>0</v>
      </c>
      <c r="VN5">
        <v>0</v>
      </c>
      <c r="VO5">
        <v>0</v>
      </c>
      <c r="VP5">
        <v>0</v>
      </c>
      <c r="VQ5">
        <v>0</v>
      </c>
      <c r="VR5">
        <v>0</v>
      </c>
      <c r="VS5">
        <v>0</v>
      </c>
      <c r="VT5">
        <v>0</v>
      </c>
      <c r="VU5">
        <v>0</v>
      </c>
      <c r="VV5">
        <v>0</v>
      </c>
      <c r="VW5">
        <v>0</v>
      </c>
      <c r="VX5">
        <v>0</v>
      </c>
      <c r="VY5">
        <v>0</v>
      </c>
      <c r="VZ5">
        <v>0</v>
      </c>
      <c r="WA5">
        <v>0</v>
      </c>
      <c r="WB5">
        <v>0</v>
      </c>
      <c r="WC5">
        <v>0</v>
      </c>
      <c r="WD5">
        <v>0</v>
      </c>
      <c r="WE5">
        <v>0</v>
      </c>
      <c r="WF5">
        <v>0</v>
      </c>
      <c r="WG5">
        <v>0</v>
      </c>
      <c r="WH5">
        <v>0</v>
      </c>
      <c r="WI5">
        <v>0</v>
      </c>
      <c r="WJ5">
        <v>0</v>
      </c>
      <c r="WK5">
        <v>0</v>
      </c>
      <c r="WL5">
        <v>0</v>
      </c>
      <c r="WM5">
        <v>0</v>
      </c>
      <c r="WN5">
        <v>0</v>
      </c>
      <c r="WO5">
        <v>0</v>
      </c>
      <c r="WP5">
        <v>0</v>
      </c>
      <c r="WQ5">
        <v>0</v>
      </c>
      <c r="WR5">
        <v>0</v>
      </c>
      <c r="WS5">
        <v>0</v>
      </c>
      <c r="WT5">
        <v>0</v>
      </c>
      <c r="WU5">
        <v>0</v>
      </c>
      <c r="WV5">
        <v>0</v>
      </c>
      <c r="WW5">
        <v>0</v>
      </c>
      <c r="WX5">
        <v>0</v>
      </c>
      <c r="WY5">
        <v>0</v>
      </c>
      <c r="WZ5">
        <v>0</v>
      </c>
      <c r="XA5">
        <v>0</v>
      </c>
      <c r="XB5">
        <v>0</v>
      </c>
      <c r="XC5">
        <v>0</v>
      </c>
      <c r="XD5">
        <v>0</v>
      </c>
      <c r="XE5">
        <v>0</v>
      </c>
      <c r="XF5">
        <v>0</v>
      </c>
      <c r="XG5">
        <v>0</v>
      </c>
      <c r="XH5">
        <v>0</v>
      </c>
      <c r="XI5">
        <v>0</v>
      </c>
      <c r="XJ5">
        <v>0</v>
      </c>
      <c r="XK5">
        <v>0</v>
      </c>
      <c r="XL5">
        <v>0</v>
      </c>
      <c r="XM5">
        <v>0</v>
      </c>
      <c r="XN5">
        <v>0</v>
      </c>
      <c r="XO5">
        <v>0</v>
      </c>
      <c r="XP5">
        <v>0</v>
      </c>
      <c r="XQ5">
        <v>0</v>
      </c>
      <c r="XR5">
        <v>0</v>
      </c>
      <c r="XS5">
        <v>0</v>
      </c>
      <c r="XT5">
        <v>0</v>
      </c>
      <c r="XU5">
        <v>0</v>
      </c>
      <c r="XV5">
        <v>0</v>
      </c>
      <c r="XW5">
        <v>0</v>
      </c>
      <c r="XX5">
        <v>0</v>
      </c>
      <c r="XY5">
        <v>0</v>
      </c>
      <c r="XZ5">
        <v>0</v>
      </c>
      <c r="YA5">
        <v>0</v>
      </c>
      <c r="YB5">
        <v>0</v>
      </c>
      <c r="YC5">
        <v>0</v>
      </c>
      <c r="YD5">
        <v>0</v>
      </c>
      <c r="YE5">
        <v>0</v>
      </c>
      <c r="YF5">
        <v>0</v>
      </c>
      <c r="YG5">
        <v>0</v>
      </c>
      <c r="YH5">
        <v>0</v>
      </c>
      <c r="YI5">
        <v>0</v>
      </c>
      <c r="YJ5">
        <v>0</v>
      </c>
      <c r="YK5">
        <v>0</v>
      </c>
      <c r="YL5">
        <v>0</v>
      </c>
      <c r="YM5">
        <v>0</v>
      </c>
      <c r="YN5">
        <v>0</v>
      </c>
      <c r="YO5">
        <v>0</v>
      </c>
      <c r="YP5">
        <v>0</v>
      </c>
      <c r="YQ5">
        <v>0</v>
      </c>
      <c r="YR5">
        <v>0</v>
      </c>
      <c r="YS5">
        <v>0</v>
      </c>
      <c r="YT5">
        <v>0</v>
      </c>
      <c r="YU5">
        <v>0</v>
      </c>
      <c r="YV5">
        <v>0</v>
      </c>
      <c r="YW5">
        <v>0</v>
      </c>
      <c r="YX5">
        <v>0</v>
      </c>
      <c r="YY5">
        <v>0</v>
      </c>
      <c r="YZ5">
        <v>0</v>
      </c>
      <c r="ZA5">
        <v>0</v>
      </c>
      <c r="ZB5">
        <v>0</v>
      </c>
      <c r="ZC5">
        <v>0</v>
      </c>
      <c r="ZD5">
        <v>0</v>
      </c>
      <c r="ZE5">
        <v>0</v>
      </c>
      <c r="ZF5">
        <v>0</v>
      </c>
      <c r="ZG5">
        <v>0</v>
      </c>
      <c r="ZH5">
        <v>0</v>
      </c>
      <c r="ZI5">
        <v>0</v>
      </c>
      <c r="ZJ5">
        <v>0</v>
      </c>
      <c r="ZK5">
        <v>0</v>
      </c>
      <c r="ZL5">
        <v>0</v>
      </c>
      <c r="ZM5">
        <v>0</v>
      </c>
      <c r="ZN5">
        <v>0</v>
      </c>
      <c r="ZO5">
        <v>0</v>
      </c>
      <c r="ZP5">
        <v>0</v>
      </c>
      <c r="ZQ5">
        <v>0</v>
      </c>
      <c r="ZR5">
        <v>0</v>
      </c>
      <c r="ZS5">
        <v>0</v>
      </c>
      <c r="ZT5">
        <v>0</v>
      </c>
      <c r="ZU5">
        <v>0</v>
      </c>
      <c r="ZV5">
        <v>0</v>
      </c>
      <c r="ZW5">
        <v>0</v>
      </c>
      <c r="ZX5">
        <v>0</v>
      </c>
      <c r="ZY5">
        <v>0</v>
      </c>
      <c r="ZZ5">
        <v>0</v>
      </c>
      <c r="AAA5">
        <v>0</v>
      </c>
      <c r="AAB5">
        <v>0</v>
      </c>
      <c r="AAC5">
        <v>0</v>
      </c>
      <c r="AAD5">
        <v>0</v>
      </c>
      <c r="AAE5">
        <v>0</v>
      </c>
      <c r="AAF5">
        <v>0</v>
      </c>
      <c r="AAG5">
        <v>0</v>
      </c>
      <c r="AAH5">
        <v>0</v>
      </c>
      <c r="AAI5">
        <v>0</v>
      </c>
      <c r="AAJ5">
        <v>0</v>
      </c>
      <c r="AAK5">
        <v>0</v>
      </c>
      <c r="AAL5">
        <v>0</v>
      </c>
      <c r="AAM5">
        <v>0</v>
      </c>
      <c r="AAN5">
        <v>0</v>
      </c>
      <c r="AAO5">
        <v>0</v>
      </c>
      <c r="AAP5">
        <v>0</v>
      </c>
      <c r="AAQ5">
        <v>0</v>
      </c>
      <c r="AAR5">
        <v>0</v>
      </c>
      <c r="AAS5">
        <v>0</v>
      </c>
      <c r="AAT5">
        <v>0</v>
      </c>
      <c r="AAU5">
        <v>0</v>
      </c>
      <c r="AAV5">
        <v>0</v>
      </c>
      <c r="AAW5">
        <v>0</v>
      </c>
      <c r="AAX5">
        <v>0</v>
      </c>
      <c r="AAY5">
        <v>0</v>
      </c>
      <c r="AAZ5">
        <v>0</v>
      </c>
      <c r="ABA5">
        <v>0</v>
      </c>
      <c r="ABB5">
        <v>0</v>
      </c>
      <c r="ABC5">
        <v>0</v>
      </c>
      <c r="ABD5">
        <v>0</v>
      </c>
      <c r="ABE5">
        <v>0</v>
      </c>
      <c r="ABG5" s="1137">
        <f>COUNTIFS($C$3:$ABE$3, ABG$3, $C$4:$ABE$4, ABG$4, $C5:$ABE5, "&gt;0")</f>
        <v>0</v>
      </c>
      <c r="ABH5" s="1137">
        <f t="shared" ref="ABH5:ABW20" si="1">COUNTIFS($C$3:$ABE$3, ABH$3, $C$4:$ABE$4, ABH$4, $C5:$ABE5, "&gt;0")</f>
        <v>0</v>
      </c>
      <c r="ABI5" s="1137">
        <f t="shared" si="1"/>
        <v>3</v>
      </c>
      <c r="ABJ5" s="1137">
        <f t="shared" si="1"/>
        <v>30</v>
      </c>
      <c r="ABK5" s="1137">
        <f t="shared" si="1"/>
        <v>31</v>
      </c>
      <c r="ABL5" s="1137">
        <f t="shared" si="1"/>
        <v>30</v>
      </c>
      <c r="ABM5" s="1137">
        <f t="shared" si="1"/>
        <v>31</v>
      </c>
      <c r="ABN5" s="1137">
        <f t="shared" si="1"/>
        <v>31</v>
      </c>
      <c r="ABO5" s="1137">
        <f t="shared" si="1"/>
        <v>6</v>
      </c>
      <c r="ABP5" s="1137">
        <f t="shared" si="1"/>
        <v>0</v>
      </c>
      <c r="ABQ5" s="1137">
        <f t="shared" si="1"/>
        <v>0</v>
      </c>
      <c r="ABR5" s="1137">
        <f t="shared" si="1"/>
        <v>0</v>
      </c>
      <c r="ABS5" s="1137">
        <f t="shared" si="1"/>
        <v>0</v>
      </c>
      <c r="ABT5" s="1137">
        <f t="shared" si="1"/>
        <v>0</v>
      </c>
      <c r="ABU5" s="1137">
        <f t="shared" si="1"/>
        <v>0</v>
      </c>
      <c r="ABV5" s="1137">
        <f t="shared" si="1"/>
        <v>0</v>
      </c>
      <c r="ABW5" s="1137">
        <f t="shared" si="1"/>
        <v>0</v>
      </c>
      <c r="ABX5" s="1137">
        <f t="shared" ref="ABX5:ACD20" si="2">COUNTIFS($C$3:$ABE$3, ABX$3, $C$4:$ABE$4, ABX$4, $C5:$ABE5, "&gt;0")</f>
        <v>0</v>
      </c>
      <c r="ABY5" s="1137">
        <f t="shared" si="2"/>
        <v>0</v>
      </c>
      <c r="ABZ5" s="1137">
        <f t="shared" si="2"/>
        <v>0</v>
      </c>
      <c r="ACA5" s="1137">
        <f t="shared" si="2"/>
        <v>0</v>
      </c>
      <c r="ACB5" s="1137">
        <f t="shared" si="2"/>
        <v>0</v>
      </c>
      <c r="ACC5" s="1137">
        <f t="shared" si="2"/>
        <v>0</v>
      </c>
      <c r="ACD5" s="1137">
        <f t="shared" si="2"/>
        <v>0</v>
      </c>
      <c r="ACE5" s="1137" t="s">
        <v>139</v>
      </c>
      <c r="ACF5" s="1137">
        <f>IF(ABG5&gt;10, 1, 0)</f>
        <v>0</v>
      </c>
      <c r="ACG5" s="1137">
        <f t="shared" ref="ACG5:ACV20" si="3">IF(ABH5&gt;10, 1, 0)</f>
        <v>0</v>
      </c>
      <c r="ACH5" s="1137">
        <f t="shared" si="3"/>
        <v>0</v>
      </c>
      <c r="ACI5" s="1137">
        <f t="shared" si="3"/>
        <v>1</v>
      </c>
      <c r="ACJ5" s="1137">
        <f t="shared" si="3"/>
        <v>1</v>
      </c>
      <c r="ACK5" s="1137">
        <f t="shared" si="3"/>
        <v>1</v>
      </c>
      <c r="ACL5" s="1137">
        <f t="shared" si="3"/>
        <v>1</v>
      </c>
      <c r="ACM5" s="1137">
        <f t="shared" si="3"/>
        <v>1</v>
      </c>
      <c r="ACN5" s="1137">
        <f t="shared" si="3"/>
        <v>0</v>
      </c>
      <c r="ACO5" s="1137">
        <f t="shared" si="3"/>
        <v>0</v>
      </c>
      <c r="ACP5" s="1137">
        <f t="shared" si="3"/>
        <v>0</v>
      </c>
      <c r="ACQ5" s="1137">
        <f t="shared" si="3"/>
        <v>0</v>
      </c>
      <c r="ACR5" s="1137">
        <f t="shared" si="3"/>
        <v>0</v>
      </c>
      <c r="ACS5" s="1137">
        <f t="shared" si="3"/>
        <v>0</v>
      </c>
      <c r="ACT5" s="1137">
        <f t="shared" si="3"/>
        <v>0</v>
      </c>
      <c r="ACU5" s="1137">
        <f t="shared" si="3"/>
        <v>0</v>
      </c>
      <c r="ACV5" s="1137">
        <f t="shared" si="3"/>
        <v>0</v>
      </c>
      <c r="ACW5" s="1137">
        <f t="shared" ref="ACW5:ADC20" si="4">IF(ABX5&gt;10, 1, 0)</f>
        <v>0</v>
      </c>
      <c r="ACX5" s="1137">
        <f t="shared" si="4"/>
        <v>0</v>
      </c>
      <c r="ACY5" s="1137">
        <f t="shared" si="4"/>
        <v>0</v>
      </c>
      <c r="ACZ5" s="1137">
        <f t="shared" si="4"/>
        <v>0</v>
      </c>
      <c r="ADA5" s="1137">
        <f t="shared" si="4"/>
        <v>0</v>
      </c>
      <c r="ADB5" s="1137">
        <f t="shared" si="4"/>
        <v>0</v>
      </c>
      <c r="ADC5" s="1137">
        <f t="shared" si="4"/>
        <v>0</v>
      </c>
    </row>
    <row r="6" spans="1:783" x14ac:dyDescent="0.25">
      <c r="A6" t="s">
        <v>1800</v>
      </c>
      <c r="B6" t="s">
        <v>11</v>
      </c>
      <c r="C6">
        <v>0</v>
      </c>
      <c r="D6">
        <v>0</v>
      </c>
      <c r="E6">
        <v>0</v>
      </c>
      <c r="F6">
        <v>0</v>
      </c>
      <c r="G6">
        <v>0</v>
      </c>
      <c r="H6">
        <v>0</v>
      </c>
      <c r="I6">
        <v>0</v>
      </c>
      <c r="J6">
        <v>0</v>
      </c>
      <c r="K6">
        <v>0</v>
      </c>
      <c r="L6">
        <v>0</v>
      </c>
      <c r="M6">
        <v>0</v>
      </c>
      <c r="N6">
        <v>0</v>
      </c>
      <c r="O6">
        <v>0</v>
      </c>
      <c r="P6">
        <v>0</v>
      </c>
      <c r="Q6">
        <v>0</v>
      </c>
      <c r="R6">
        <v>0</v>
      </c>
      <c r="S6">
        <v>0</v>
      </c>
      <c r="T6">
        <v>0</v>
      </c>
      <c r="U6">
        <v>0</v>
      </c>
      <c r="V6">
        <v>0</v>
      </c>
      <c r="W6">
        <v>0</v>
      </c>
      <c r="X6">
        <v>0</v>
      </c>
      <c r="Y6">
        <v>0</v>
      </c>
      <c r="Z6">
        <v>0</v>
      </c>
      <c r="AA6">
        <v>0</v>
      </c>
      <c r="AB6">
        <v>0</v>
      </c>
      <c r="AC6">
        <v>0</v>
      </c>
      <c r="AD6">
        <v>0</v>
      </c>
      <c r="AE6">
        <v>0</v>
      </c>
      <c r="AF6">
        <v>0</v>
      </c>
      <c r="AG6">
        <v>0</v>
      </c>
      <c r="AH6">
        <v>0</v>
      </c>
      <c r="AI6">
        <v>0</v>
      </c>
      <c r="AJ6">
        <v>0</v>
      </c>
      <c r="AK6">
        <v>0</v>
      </c>
      <c r="AL6">
        <v>0</v>
      </c>
      <c r="AM6">
        <v>0</v>
      </c>
      <c r="AN6">
        <v>0</v>
      </c>
      <c r="AO6">
        <v>0</v>
      </c>
      <c r="AP6">
        <v>0</v>
      </c>
      <c r="AQ6">
        <v>0</v>
      </c>
      <c r="AR6">
        <v>0</v>
      </c>
      <c r="AS6">
        <v>0</v>
      </c>
      <c r="AT6">
        <v>0</v>
      </c>
      <c r="AU6">
        <v>0</v>
      </c>
      <c r="AV6">
        <v>0</v>
      </c>
      <c r="AW6">
        <v>0</v>
      </c>
      <c r="AX6">
        <v>0</v>
      </c>
      <c r="AY6">
        <v>0</v>
      </c>
      <c r="AZ6">
        <v>0</v>
      </c>
      <c r="BA6">
        <v>0</v>
      </c>
      <c r="BB6">
        <v>0</v>
      </c>
      <c r="BC6">
        <v>0</v>
      </c>
      <c r="BD6">
        <v>0</v>
      </c>
      <c r="BE6">
        <v>0</v>
      </c>
      <c r="BF6">
        <v>0</v>
      </c>
      <c r="BG6">
        <v>0</v>
      </c>
      <c r="BH6">
        <v>0</v>
      </c>
      <c r="BI6">
        <v>0</v>
      </c>
      <c r="BJ6">
        <v>0</v>
      </c>
      <c r="BK6">
        <v>0</v>
      </c>
      <c r="BL6">
        <v>0</v>
      </c>
      <c r="BM6">
        <v>0</v>
      </c>
      <c r="BN6">
        <v>0</v>
      </c>
      <c r="BO6">
        <v>0</v>
      </c>
      <c r="BP6">
        <v>0</v>
      </c>
      <c r="BQ6">
        <v>0</v>
      </c>
      <c r="BR6">
        <v>0</v>
      </c>
      <c r="BS6">
        <v>0</v>
      </c>
      <c r="BT6">
        <v>0</v>
      </c>
      <c r="BU6">
        <v>0</v>
      </c>
      <c r="BV6">
        <v>0</v>
      </c>
      <c r="BW6">
        <v>0</v>
      </c>
      <c r="BX6">
        <v>0</v>
      </c>
      <c r="BY6">
        <v>0</v>
      </c>
      <c r="BZ6">
        <v>0</v>
      </c>
      <c r="CA6">
        <v>0</v>
      </c>
      <c r="CB6">
        <v>0</v>
      </c>
      <c r="CC6">
        <v>0</v>
      </c>
      <c r="CD6">
        <v>0</v>
      </c>
      <c r="CE6">
        <v>0</v>
      </c>
      <c r="CF6">
        <v>0</v>
      </c>
      <c r="CG6">
        <v>0</v>
      </c>
      <c r="CH6">
        <v>0</v>
      </c>
      <c r="CI6">
        <v>1</v>
      </c>
      <c r="CJ6">
        <v>1</v>
      </c>
      <c r="CK6">
        <v>1</v>
      </c>
      <c r="CL6">
        <v>1</v>
      </c>
      <c r="CM6">
        <v>1</v>
      </c>
      <c r="CN6">
        <v>1</v>
      </c>
      <c r="CO6">
        <v>1</v>
      </c>
      <c r="CP6">
        <v>1</v>
      </c>
      <c r="CQ6">
        <v>1</v>
      </c>
      <c r="CR6">
        <v>1</v>
      </c>
      <c r="CS6">
        <v>1</v>
      </c>
      <c r="CT6">
        <v>1</v>
      </c>
      <c r="CU6">
        <v>1</v>
      </c>
      <c r="CV6">
        <v>1</v>
      </c>
      <c r="CW6">
        <v>1</v>
      </c>
      <c r="CX6">
        <v>1</v>
      </c>
      <c r="CY6">
        <v>1</v>
      </c>
      <c r="CZ6">
        <v>1</v>
      </c>
      <c r="DA6">
        <v>2</v>
      </c>
      <c r="DB6">
        <v>2</v>
      </c>
      <c r="DC6">
        <v>2</v>
      </c>
      <c r="DD6">
        <v>2</v>
      </c>
      <c r="DE6">
        <v>2</v>
      </c>
      <c r="DF6">
        <v>2</v>
      </c>
      <c r="DG6">
        <v>2</v>
      </c>
      <c r="DH6">
        <v>2</v>
      </c>
      <c r="DI6">
        <v>2</v>
      </c>
      <c r="DJ6">
        <v>2</v>
      </c>
      <c r="DK6">
        <v>2</v>
      </c>
      <c r="DL6">
        <v>2</v>
      </c>
      <c r="DM6">
        <v>2</v>
      </c>
      <c r="DN6">
        <v>2</v>
      </c>
      <c r="DO6">
        <v>2</v>
      </c>
      <c r="DP6">
        <v>2</v>
      </c>
      <c r="DQ6">
        <v>2</v>
      </c>
      <c r="DR6">
        <v>2</v>
      </c>
      <c r="DS6">
        <v>2</v>
      </c>
      <c r="DT6">
        <v>2</v>
      </c>
      <c r="DU6">
        <v>2</v>
      </c>
      <c r="DV6">
        <v>2</v>
      </c>
      <c r="DW6">
        <v>2</v>
      </c>
      <c r="DX6">
        <v>2</v>
      </c>
      <c r="DY6">
        <v>2</v>
      </c>
      <c r="DZ6">
        <v>2</v>
      </c>
      <c r="EA6">
        <v>2</v>
      </c>
      <c r="EB6">
        <v>2</v>
      </c>
      <c r="EC6">
        <v>2</v>
      </c>
      <c r="ED6">
        <v>2</v>
      </c>
      <c r="EE6">
        <v>2</v>
      </c>
      <c r="EF6">
        <v>2</v>
      </c>
      <c r="EG6">
        <v>2</v>
      </c>
      <c r="EH6">
        <v>2</v>
      </c>
      <c r="EI6">
        <v>2</v>
      </c>
      <c r="EJ6">
        <v>2</v>
      </c>
      <c r="EK6">
        <v>2</v>
      </c>
      <c r="EL6">
        <v>2</v>
      </c>
      <c r="EM6">
        <v>2</v>
      </c>
      <c r="EN6">
        <v>2</v>
      </c>
      <c r="EO6">
        <v>2</v>
      </c>
      <c r="EP6">
        <v>2</v>
      </c>
      <c r="EQ6">
        <v>2</v>
      </c>
      <c r="ER6">
        <v>2</v>
      </c>
      <c r="ES6">
        <v>2</v>
      </c>
      <c r="ET6">
        <v>2</v>
      </c>
      <c r="EU6">
        <v>2</v>
      </c>
      <c r="EV6">
        <v>2</v>
      </c>
      <c r="EW6">
        <v>2</v>
      </c>
      <c r="EX6">
        <v>2</v>
      </c>
      <c r="EY6">
        <v>2</v>
      </c>
      <c r="EZ6">
        <v>2</v>
      </c>
      <c r="FA6">
        <v>2</v>
      </c>
      <c r="FB6">
        <v>2</v>
      </c>
      <c r="FC6">
        <v>2</v>
      </c>
      <c r="FD6">
        <v>2</v>
      </c>
      <c r="FE6">
        <v>2</v>
      </c>
      <c r="FF6">
        <v>2</v>
      </c>
      <c r="FG6">
        <v>2</v>
      </c>
      <c r="FH6">
        <v>2</v>
      </c>
      <c r="FI6">
        <v>2</v>
      </c>
      <c r="FJ6">
        <v>2</v>
      </c>
      <c r="FK6">
        <v>2</v>
      </c>
      <c r="FL6">
        <v>2</v>
      </c>
      <c r="FM6">
        <v>2</v>
      </c>
      <c r="FN6">
        <v>2</v>
      </c>
      <c r="FO6">
        <v>2</v>
      </c>
      <c r="FP6">
        <v>2</v>
      </c>
      <c r="FQ6">
        <v>2</v>
      </c>
      <c r="FR6">
        <v>2</v>
      </c>
      <c r="FS6">
        <v>2</v>
      </c>
      <c r="FT6">
        <v>2</v>
      </c>
      <c r="FU6">
        <v>2</v>
      </c>
      <c r="FV6">
        <v>2</v>
      </c>
      <c r="FW6">
        <v>2</v>
      </c>
      <c r="FX6">
        <v>2</v>
      </c>
      <c r="FY6">
        <v>2</v>
      </c>
      <c r="FZ6">
        <v>2</v>
      </c>
      <c r="GA6">
        <v>2</v>
      </c>
      <c r="GB6">
        <v>2</v>
      </c>
      <c r="GC6">
        <v>2</v>
      </c>
      <c r="GD6">
        <v>2</v>
      </c>
      <c r="GE6">
        <v>2</v>
      </c>
      <c r="GF6">
        <v>2</v>
      </c>
      <c r="GG6">
        <v>2</v>
      </c>
      <c r="GH6">
        <v>2</v>
      </c>
      <c r="GI6">
        <v>2</v>
      </c>
      <c r="GJ6">
        <v>2</v>
      </c>
      <c r="GK6">
        <v>2</v>
      </c>
      <c r="GL6">
        <v>2</v>
      </c>
      <c r="GM6">
        <v>2</v>
      </c>
      <c r="GN6">
        <v>2</v>
      </c>
      <c r="GO6">
        <v>2</v>
      </c>
      <c r="GP6">
        <v>2</v>
      </c>
      <c r="GQ6">
        <v>2</v>
      </c>
      <c r="GR6">
        <v>2</v>
      </c>
      <c r="GS6">
        <v>2</v>
      </c>
      <c r="GT6">
        <v>2</v>
      </c>
      <c r="GU6">
        <v>2</v>
      </c>
      <c r="GV6">
        <v>2</v>
      </c>
      <c r="GW6">
        <v>2</v>
      </c>
      <c r="GX6">
        <v>2</v>
      </c>
      <c r="GY6">
        <v>2</v>
      </c>
      <c r="GZ6">
        <v>2</v>
      </c>
      <c r="HA6">
        <v>2</v>
      </c>
      <c r="HB6">
        <v>2</v>
      </c>
      <c r="HC6">
        <v>2</v>
      </c>
      <c r="HD6">
        <v>2</v>
      </c>
      <c r="HE6">
        <v>2</v>
      </c>
      <c r="HF6">
        <v>2</v>
      </c>
      <c r="HG6">
        <v>2</v>
      </c>
      <c r="HH6">
        <v>2</v>
      </c>
      <c r="HI6">
        <v>2</v>
      </c>
      <c r="HJ6">
        <v>2</v>
      </c>
      <c r="HK6">
        <v>2</v>
      </c>
      <c r="HL6">
        <v>2</v>
      </c>
      <c r="HM6">
        <v>2</v>
      </c>
      <c r="HN6">
        <v>2</v>
      </c>
      <c r="HO6">
        <v>2</v>
      </c>
      <c r="HP6">
        <v>2</v>
      </c>
      <c r="HQ6">
        <v>2</v>
      </c>
      <c r="HR6">
        <v>2</v>
      </c>
      <c r="HS6">
        <v>2</v>
      </c>
      <c r="HT6">
        <v>2</v>
      </c>
      <c r="HU6">
        <v>2</v>
      </c>
      <c r="HV6">
        <v>2</v>
      </c>
      <c r="HW6">
        <v>2</v>
      </c>
      <c r="HX6">
        <v>2</v>
      </c>
      <c r="HY6">
        <v>1</v>
      </c>
      <c r="HZ6">
        <v>1</v>
      </c>
      <c r="IA6">
        <v>1</v>
      </c>
      <c r="IB6">
        <v>1</v>
      </c>
      <c r="IC6">
        <v>1</v>
      </c>
      <c r="ID6">
        <v>1</v>
      </c>
      <c r="IE6">
        <v>1</v>
      </c>
      <c r="IF6">
        <v>1</v>
      </c>
      <c r="IG6">
        <v>0</v>
      </c>
      <c r="IH6">
        <v>0</v>
      </c>
      <c r="II6">
        <v>0</v>
      </c>
      <c r="IJ6">
        <v>0</v>
      </c>
      <c r="IK6">
        <v>0</v>
      </c>
      <c r="IL6">
        <v>0</v>
      </c>
      <c r="IM6">
        <v>0</v>
      </c>
      <c r="IN6">
        <v>0</v>
      </c>
      <c r="IO6">
        <v>0</v>
      </c>
      <c r="IP6">
        <v>0</v>
      </c>
      <c r="IQ6">
        <v>0</v>
      </c>
      <c r="IR6">
        <v>0</v>
      </c>
      <c r="IS6">
        <v>0</v>
      </c>
      <c r="IT6">
        <v>0</v>
      </c>
      <c r="IU6">
        <v>0</v>
      </c>
      <c r="IV6">
        <v>0</v>
      </c>
      <c r="IW6">
        <v>0</v>
      </c>
      <c r="IX6">
        <v>0</v>
      </c>
      <c r="IY6">
        <v>0</v>
      </c>
      <c r="IZ6">
        <v>0</v>
      </c>
      <c r="JA6">
        <v>0</v>
      </c>
      <c r="JB6">
        <v>0</v>
      </c>
      <c r="JC6">
        <v>0</v>
      </c>
      <c r="JD6">
        <v>0</v>
      </c>
      <c r="JE6">
        <v>0</v>
      </c>
      <c r="JF6">
        <v>0</v>
      </c>
      <c r="JG6">
        <v>0</v>
      </c>
      <c r="JH6">
        <v>0</v>
      </c>
      <c r="JI6">
        <v>0</v>
      </c>
      <c r="JJ6">
        <v>0</v>
      </c>
      <c r="JK6">
        <v>0</v>
      </c>
      <c r="JL6">
        <v>0</v>
      </c>
      <c r="JM6">
        <v>0</v>
      </c>
      <c r="JN6">
        <v>0</v>
      </c>
      <c r="JO6">
        <v>0</v>
      </c>
      <c r="JP6">
        <v>0</v>
      </c>
      <c r="JQ6">
        <v>0</v>
      </c>
      <c r="JR6">
        <v>0</v>
      </c>
      <c r="JS6">
        <v>0</v>
      </c>
      <c r="JT6">
        <v>0</v>
      </c>
      <c r="JU6">
        <v>0</v>
      </c>
      <c r="JV6">
        <v>0</v>
      </c>
      <c r="JW6">
        <v>0</v>
      </c>
      <c r="JX6">
        <v>0</v>
      </c>
      <c r="JY6">
        <v>0</v>
      </c>
      <c r="JZ6">
        <v>0</v>
      </c>
      <c r="KA6">
        <v>0</v>
      </c>
      <c r="KB6">
        <v>0</v>
      </c>
      <c r="KC6">
        <v>0</v>
      </c>
      <c r="KD6">
        <v>0</v>
      </c>
      <c r="KE6">
        <v>0</v>
      </c>
      <c r="KF6">
        <v>0</v>
      </c>
      <c r="KG6">
        <v>0</v>
      </c>
      <c r="KH6">
        <v>0</v>
      </c>
      <c r="KI6">
        <v>0</v>
      </c>
      <c r="KJ6">
        <v>0</v>
      </c>
      <c r="KK6">
        <v>0</v>
      </c>
      <c r="KL6">
        <v>0</v>
      </c>
      <c r="KM6">
        <v>0</v>
      </c>
      <c r="KN6">
        <v>0</v>
      </c>
      <c r="KO6">
        <v>0</v>
      </c>
      <c r="KP6">
        <v>0</v>
      </c>
      <c r="KQ6">
        <v>0</v>
      </c>
      <c r="KR6">
        <v>0</v>
      </c>
      <c r="KS6">
        <v>0</v>
      </c>
      <c r="KT6">
        <v>0</v>
      </c>
      <c r="KU6">
        <v>0</v>
      </c>
      <c r="KV6">
        <v>0</v>
      </c>
      <c r="KW6">
        <v>0</v>
      </c>
      <c r="KX6">
        <v>0</v>
      </c>
      <c r="KY6">
        <v>0</v>
      </c>
      <c r="KZ6">
        <v>0</v>
      </c>
      <c r="LA6">
        <v>0</v>
      </c>
      <c r="LB6">
        <v>0</v>
      </c>
      <c r="LC6">
        <v>0</v>
      </c>
      <c r="LD6">
        <v>0</v>
      </c>
      <c r="LE6">
        <v>0</v>
      </c>
      <c r="LF6">
        <v>0</v>
      </c>
      <c r="LG6">
        <v>0</v>
      </c>
      <c r="LH6">
        <v>0</v>
      </c>
      <c r="LI6">
        <v>0</v>
      </c>
      <c r="LJ6">
        <v>0</v>
      </c>
      <c r="LK6">
        <v>0</v>
      </c>
      <c r="LL6">
        <v>0</v>
      </c>
      <c r="LM6">
        <v>0</v>
      </c>
      <c r="LN6">
        <v>0</v>
      </c>
      <c r="LO6">
        <v>0</v>
      </c>
      <c r="LP6">
        <v>0</v>
      </c>
      <c r="LQ6">
        <v>0</v>
      </c>
      <c r="LR6">
        <v>0</v>
      </c>
      <c r="LS6">
        <v>0</v>
      </c>
      <c r="LT6">
        <v>0</v>
      </c>
      <c r="LU6">
        <v>0</v>
      </c>
      <c r="LV6">
        <v>0</v>
      </c>
      <c r="LW6">
        <v>0</v>
      </c>
      <c r="LX6">
        <v>0</v>
      </c>
      <c r="LY6">
        <v>0</v>
      </c>
      <c r="LZ6">
        <v>0</v>
      </c>
      <c r="MA6">
        <v>0</v>
      </c>
      <c r="MB6">
        <v>0</v>
      </c>
      <c r="MC6">
        <v>0</v>
      </c>
      <c r="MD6">
        <v>0</v>
      </c>
      <c r="ME6">
        <v>0</v>
      </c>
      <c r="MF6">
        <v>0</v>
      </c>
      <c r="MG6">
        <v>0</v>
      </c>
      <c r="MH6">
        <v>0</v>
      </c>
      <c r="MI6">
        <v>0</v>
      </c>
      <c r="MJ6">
        <v>0</v>
      </c>
      <c r="MK6">
        <v>0</v>
      </c>
      <c r="ML6">
        <v>0</v>
      </c>
      <c r="MM6">
        <v>0</v>
      </c>
      <c r="MN6">
        <v>0</v>
      </c>
      <c r="MO6">
        <v>0</v>
      </c>
      <c r="MP6">
        <v>0</v>
      </c>
      <c r="MQ6">
        <v>0</v>
      </c>
      <c r="MR6">
        <v>0</v>
      </c>
      <c r="MS6">
        <v>0</v>
      </c>
      <c r="MT6">
        <v>0</v>
      </c>
      <c r="MU6">
        <v>0</v>
      </c>
      <c r="MV6">
        <v>0</v>
      </c>
      <c r="MW6">
        <v>0</v>
      </c>
      <c r="MX6">
        <v>0</v>
      </c>
      <c r="MY6">
        <v>0</v>
      </c>
      <c r="MZ6">
        <v>0</v>
      </c>
      <c r="NA6">
        <v>0</v>
      </c>
      <c r="NB6">
        <v>0</v>
      </c>
      <c r="NC6">
        <v>0</v>
      </c>
      <c r="ND6">
        <v>0</v>
      </c>
      <c r="NE6">
        <v>0</v>
      </c>
      <c r="NF6">
        <v>0</v>
      </c>
      <c r="NG6">
        <v>0</v>
      </c>
      <c r="NH6">
        <v>0</v>
      </c>
      <c r="NI6">
        <v>0</v>
      </c>
      <c r="NJ6">
        <v>0</v>
      </c>
      <c r="NK6">
        <v>0</v>
      </c>
      <c r="NL6">
        <v>0</v>
      </c>
      <c r="NM6">
        <v>0</v>
      </c>
      <c r="NN6">
        <v>0</v>
      </c>
      <c r="NO6">
        <v>0</v>
      </c>
      <c r="NP6">
        <v>0</v>
      </c>
      <c r="NQ6">
        <v>0</v>
      </c>
      <c r="NR6">
        <v>0</v>
      </c>
      <c r="NS6">
        <v>0</v>
      </c>
      <c r="NT6">
        <v>0</v>
      </c>
      <c r="NU6">
        <v>0</v>
      </c>
      <c r="NV6">
        <v>0</v>
      </c>
      <c r="NW6">
        <v>0</v>
      </c>
      <c r="NX6">
        <v>0</v>
      </c>
      <c r="NY6">
        <v>0</v>
      </c>
      <c r="NZ6">
        <v>0</v>
      </c>
      <c r="OA6">
        <v>0</v>
      </c>
      <c r="OB6">
        <v>0</v>
      </c>
      <c r="OC6">
        <v>0</v>
      </c>
      <c r="OD6">
        <v>0</v>
      </c>
      <c r="OE6">
        <v>0</v>
      </c>
      <c r="OF6">
        <v>0</v>
      </c>
      <c r="OG6">
        <v>0</v>
      </c>
      <c r="OH6">
        <v>0</v>
      </c>
      <c r="OI6">
        <v>0</v>
      </c>
      <c r="OJ6">
        <v>0</v>
      </c>
      <c r="OK6">
        <v>0</v>
      </c>
      <c r="OL6">
        <v>0</v>
      </c>
      <c r="OM6">
        <v>0</v>
      </c>
      <c r="ON6">
        <v>0</v>
      </c>
      <c r="OO6">
        <v>0</v>
      </c>
      <c r="OP6">
        <v>0</v>
      </c>
      <c r="OQ6">
        <v>0</v>
      </c>
      <c r="OR6">
        <v>0</v>
      </c>
      <c r="OS6">
        <v>0</v>
      </c>
      <c r="OT6">
        <v>0</v>
      </c>
      <c r="OU6">
        <v>0</v>
      </c>
      <c r="OV6">
        <v>0</v>
      </c>
      <c r="OW6">
        <v>0</v>
      </c>
      <c r="OX6">
        <v>0</v>
      </c>
      <c r="OY6">
        <v>0</v>
      </c>
      <c r="OZ6">
        <v>0</v>
      </c>
      <c r="PA6">
        <v>0</v>
      </c>
      <c r="PB6">
        <v>0</v>
      </c>
      <c r="PC6">
        <v>0</v>
      </c>
      <c r="PD6">
        <v>0</v>
      </c>
      <c r="PE6">
        <v>0</v>
      </c>
      <c r="PF6">
        <v>0</v>
      </c>
      <c r="PG6">
        <v>0</v>
      </c>
      <c r="PH6">
        <v>0</v>
      </c>
      <c r="PI6">
        <v>0</v>
      </c>
      <c r="PJ6">
        <v>0</v>
      </c>
      <c r="PK6">
        <v>0</v>
      </c>
      <c r="PL6">
        <v>0</v>
      </c>
      <c r="PM6">
        <v>0</v>
      </c>
      <c r="PN6">
        <v>0</v>
      </c>
      <c r="PO6">
        <v>0</v>
      </c>
      <c r="PP6">
        <v>0</v>
      </c>
      <c r="PQ6">
        <v>0</v>
      </c>
      <c r="PR6">
        <v>0</v>
      </c>
      <c r="PS6">
        <v>0</v>
      </c>
      <c r="PT6">
        <v>0</v>
      </c>
      <c r="PU6">
        <v>0</v>
      </c>
      <c r="PV6">
        <v>0</v>
      </c>
      <c r="PW6">
        <v>0</v>
      </c>
      <c r="PX6">
        <v>0</v>
      </c>
      <c r="PY6">
        <v>0</v>
      </c>
      <c r="PZ6">
        <v>0</v>
      </c>
      <c r="QA6">
        <v>0</v>
      </c>
      <c r="QB6">
        <v>0</v>
      </c>
      <c r="QC6">
        <v>0</v>
      </c>
      <c r="QD6">
        <v>0</v>
      </c>
      <c r="QE6">
        <v>0</v>
      </c>
      <c r="QF6">
        <v>0</v>
      </c>
      <c r="QG6">
        <v>0</v>
      </c>
      <c r="QH6">
        <v>0</v>
      </c>
      <c r="QI6">
        <v>0</v>
      </c>
      <c r="QJ6">
        <v>0</v>
      </c>
      <c r="QK6">
        <v>0</v>
      </c>
      <c r="QL6">
        <v>0</v>
      </c>
      <c r="QM6">
        <v>0</v>
      </c>
      <c r="QN6">
        <v>0</v>
      </c>
      <c r="QO6">
        <v>0</v>
      </c>
      <c r="QP6">
        <v>0</v>
      </c>
      <c r="QQ6">
        <v>0</v>
      </c>
      <c r="QR6">
        <v>0</v>
      </c>
      <c r="QS6">
        <v>0</v>
      </c>
      <c r="QT6">
        <v>0</v>
      </c>
      <c r="QU6">
        <v>0</v>
      </c>
      <c r="QV6">
        <v>0</v>
      </c>
      <c r="QW6">
        <v>0</v>
      </c>
      <c r="QX6">
        <v>0</v>
      </c>
      <c r="QY6">
        <v>0</v>
      </c>
      <c r="QZ6">
        <v>0</v>
      </c>
      <c r="RA6">
        <v>0</v>
      </c>
      <c r="RB6">
        <v>0</v>
      </c>
      <c r="RC6">
        <v>0</v>
      </c>
      <c r="RD6">
        <v>0</v>
      </c>
      <c r="RE6">
        <v>0</v>
      </c>
      <c r="RF6">
        <v>0</v>
      </c>
      <c r="RG6">
        <v>0</v>
      </c>
      <c r="RH6">
        <v>0</v>
      </c>
      <c r="RI6">
        <v>0</v>
      </c>
      <c r="RJ6">
        <v>0</v>
      </c>
      <c r="RK6">
        <v>0</v>
      </c>
      <c r="RL6">
        <v>0</v>
      </c>
      <c r="RM6">
        <v>0</v>
      </c>
      <c r="RN6">
        <v>0</v>
      </c>
      <c r="RO6">
        <v>0</v>
      </c>
      <c r="RP6">
        <v>0</v>
      </c>
      <c r="RQ6">
        <v>0</v>
      </c>
      <c r="RR6">
        <v>0</v>
      </c>
      <c r="RS6">
        <v>0</v>
      </c>
      <c r="RT6">
        <v>0</v>
      </c>
      <c r="RU6">
        <v>0</v>
      </c>
      <c r="RV6">
        <v>0</v>
      </c>
      <c r="RW6">
        <v>0</v>
      </c>
      <c r="RX6">
        <v>0</v>
      </c>
      <c r="RY6">
        <v>0</v>
      </c>
      <c r="RZ6">
        <v>0</v>
      </c>
      <c r="SA6">
        <v>0</v>
      </c>
      <c r="SB6">
        <v>0</v>
      </c>
      <c r="SC6">
        <v>0</v>
      </c>
      <c r="SD6">
        <v>0</v>
      </c>
      <c r="SE6">
        <v>0</v>
      </c>
      <c r="SF6">
        <v>0</v>
      </c>
      <c r="SG6">
        <v>0</v>
      </c>
      <c r="SH6">
        <v>0</v>
      </c>
      <c r="SI6">
        <v>0</v>
      </c>
      <c r="SJ6">
        <v>0</v>
      </c>
      <c r="SK6">
        <v>0</v>
      </c>
      <c r="SL6">
        <v>0</v>
      </c>
      <c r="SM6">
        <v>0</v>
      </c>
      <c r="SN6">
        <v>0</v>
      </c>
      <c r="SO6">
        <v>0</v>
      </c>
      <c r="SP6">
        <v>0</v>
      </c>
      <c r="SQ6">
        <v>2</v>
      </c>
      <c r="SR6">
        <v>2</v>
      </c>
      <c r="SS6">
        <v>2</v>
      </c>
      <c r="ST6">
        <v>2</v>
      </c>
      <c r="SU6">
        <v>2</v>
      </c>
      <c r="SV6">
        <v>2</v>
      </c>
      <c r="SW6">
        <v>0</v>
      </c>
      <c r="SX6">
        <v>0</v>
      </c>
      <c r="SY6">
        <v>1</v>
      </c>
      <c r="SZ6">
        <v>1</v>
      </c>
      <c r="TA6">
        <v>1</v>
      </c>
      <c r="TB6">
        <v>1</v>
      </c>
      <c r="TC6">
        <v>1</v>
      </c>
      <c r="TD6">
        <v>1</v>
      </c>
      <c r="TE6">
        <v>1</v>
      </c>
      <c r="TF6">
        <v>1</v>
      </c>
      <c r="TG6">
        <v>1</v>
      </c>
      <c r="TH6">
        <v>1</v>
      </c>
      <c r="TI6">
        <v>1</v>
      </c>
      <c r="TJ6">
        <v>1</v>
      </c>
      <c r="TK6">
        <v>1</v>
      </c>
      <c r="TL6">
        <v>1</v>
      </c>
      <c r="TM6">
        <v>1</v>
      </c>
      <c r="TN6">
        <v>1</v>
      </c>
      <c r="TO6">
        <v>1</v>
      </c>
      <c r="TP6">
        <v>1</v>
      </c>
      <c r="TQ6">
        <v>1</v>
      </c>
      <c r="TR6">
        <v>1</v>
      </c>
      <c r="TS6">
        <v>1</v>
      </c>
      <c r="TT6">
        <v>1</v>
      </c>
      <c r="TU6">
        <v>1</v>
      </c>
      <c r="TV6">
        <v>1</v>
      </c>
      <c r="TW6">
        <v>1</v>
      </c>
      <c r="TX6">
        <v>1</v>
      </c>
      <c r="TY6">
        <v>1</v>
      </c>
      <c r="TZ6">
        <v>1</v>
      </c>
      <c r="UA6">
        <v>1</v>
      </c>
      <c r="UB6">
        <v>1</v>
      </c>
      <c r="UC6">
        <v>1</v>
      </c>
      <c r="UD6">
        <v>1</v>
      </c>
      <c r="UE6">
        <v>1</v>
      </c>
      <c r="UF6">
        <v>1</v>
      </c>
      <c r="UG6">
        <v>1</v>
      </c>
      <c r="UH6">
        <v>1</v>
      </c>
      <c r="UI6">
        <v>1</v>
      </c>
      <c r="UJ6">
        <v>1</v>
      </c>
      <c r="UK6">
        <v>1</v>
      </c>
      <c r="UL6">
        <v>1</v>
      </c>
      <c r="UM6">
        <v>1</v>
      </c>
      <c r="UN6">
        <v>1</v>
      </c>
      <c r="UO6">
        <v>1</v>
      </c>
      <c r="UP6">
        <v>1</v>
      </c>
      <c r="UQ6">
        <v>1</v>
      </c>
      <c r="UR6">
        <v>1</v>
      </c>
      <c r="US6">
        <v>1</v>
      </c>
      <c r="UT6">
        <v>1</v>
      </c>
      <c r="UU6">
        <v>1</v>
      </c>
      <c r="UV6">
        <v>1</v>
      </c>
      <c r="UW6">
        <v>1</v>
      </c>
      <c r="UX6">
        <v>1</v>
      </c>
      <c r="UY6">
        <v>1</v>
      </c>
      <c r="UZ6">
        <v>1</v>
      </c>
      <c r="VA6">
        <v>1</v>
      </c>
      <c r="VB6">
        <v>1</v>
      </c>
      <c r="VC6">
        <v>1</v>
      </c>
      <c r="VD6">
        <v>1</v>
      </c>
      <c r="VE6">
        <v>1</v>
      </c>
      <c r="VF6">
        <v>1</v>
      </c>
      <c r="VG6">
        <v>1</v>
      </c>
      <c r="VH6">
        <v>1</v>
      </c>
      <c r="VI6">
        <v>1</v>
      </c>
      <c r="VJ6">
        <v>1</v>
      </c>
      <c r="VK6">
        <v>1</v>
      </c>
      <c r="VL6">
        <v>1</v>
      </c>
      <c r="VM6">
        <v>1</v>
      </c>
      <c r="VN6">
        <v>1</v>
      </c>
      <c r="VO6">
        <v>1</v>
      </c>
      <c r="VP6">
        <v>1</v>
      </c>
      <c r="VQ6">
        <v>1</v>
      </c>
      <c r="VR6">
        <v>1</v>
      </c>
      <c r="VS6">
        <v>1</v>
      </c>
      <c r="VT6">
        <v>1</v>
      </c>
      <c r="VU6">
        <v>1</v>
      </c>
      <c r="VV6">
        <v>1</v>
      </c>
      <c r="VW6">
        <v>0</v>
      </c>
      <c r="VX6">
        <v>0</v>
      </c>
      <c r="VY6">
        <v>0</v>
      </c>
      <c r="VZ6">
        <v>0</v>
      </c>
      <c r="WA6">
        <v>0</v>
      </c>
      <c r="WB6">
        <v>0</v>
      </c>
      <c r="WC6">
        <v>0</v>
      </c>
      <c r="WD6">
        <v>0</v>
      </c>
      <c r="WE6">
        <v>0</v>
      </c>
      <c r="WF6">
        <v>0</v>
      </c>
      <c r="WG6">
        <v>0</v>
      </c>
      <c r="WH6">
        <v>0</v>
      </c>
      <c r="WI6">
        <v>0</v>
      </c>
      <c r="WJ6">
        <v>0</v>
      </c>
      <c r="WK6">
        <v>0</v>
      </c>
      <c r="WL6">
        <v>0</v>
      </c>
      <c r="WM6">
        <v>0</v>
      </c>
      <c r="WN6">
        <v>0</v>
      </c>
      <c r="WO6">
        <v>0</v>
      </c>
      <c r="WP6">
        <v>0</v>
      </c>
      <c r="WQ6">
        <v>0</v>
      </c>
      <c r="WR6">
        <v>0</v>
      </c>
      <c r="WS6">
        <v>0</v>
      </c>
      <c r="WT6">
        <v>0</v>
      </c>
      <c r="WU6">
        <v>0</v>
      </c>
      <c r="WV6">
        <v>0</v>
      </c>
      <c r="WW6">
        <v>0</v>
      </c>
      <c r="WX6">
        <v>0</v>
      </c>
      <c r="WY6">
        <v>0</v>
      </c>
      <c r="WZ6">
        <v>0</v>
      </c>
      <c r="XA6">
        <v>0</v>
      </c>
      <c r="XB6">
        <v>0</v>
      </c>
      <c r="XC6">
        <v>0</v>
      </c>
      <c r="XD6">
        <v>0</v>
      </c>
      <c r="XE6">
        <v>0</v>
      </c>
      <c r="XF6">
        <v>0</v>
      </c>
      <c r="XG6">
        <v>0</v>
      </c>
      <c r="XH6">
        <v>0</v>
      </c>
      <c r="XI6">
        <v>0</v>
      </c>
      <c r="XJ6">
        <v>0</v>
      </c>
      <c r="XK6">
        <v>0</v>
      </c>
      <c r="XL6">
        <v>0</v>
      </c>
      <c r="XM6">
        <v>0</v>
      </c>
      <c r="XN6">
        <v>0</v>
      </c>
      <c r="XO6">
        <v>0</v>
      </c>
      <c r="XP6">
        <v>0</v>
      </c>
      <c r="XQ6">
        <v>0</v>
      </c>
      <c r="XR6">
        <v>0</v>
      </c>
      <c r="XS6">
        <v>0</v>
      </c>
      <c r="XT6">
        <v>0</v>
      </c>
      <c r="XU6">
        <v>0</v>
      </c>
      <c r="XV6">
        <v>0</v>
      </c>
      <c r="XW6">
        <v>0</v>
      </c>
      <c r="XX6">
        <v>0</v>
      </c>
      <c r="XY6">
        <v>0</v>
      </c>
      <c r="XZ6">
        <v>0</v>
      </c>
      <c r="YA6">
        <v>0</v>
      </c>
      <c r="YB6">
        <v>0</v>
      </c>
      <c r="YC6">
        <v>0</v>
      </c>
      <c r="YD6">
        <v>0</v>
      </c>
      <c r="YE6">
        <v>0</v>
      </c>
      <c r="YF6">
        <v>0</v>
      </c>
      <c r="YG6">
        <v>0</v>
      </c>
      <c r="YH6">
        <v>0</v>
      </c>
      <c r="YI6">
        <v>0</v>
      </c>
      <c r="YJ6">
        <v>0</v>
      </c>
      <c r="YK6">
        <v>0</v>
      </c>
      <c r="YL6">
        <v>0</v>
      </c>
      <c r="YM6">
        <v>0</v>
      </c>
      <c r="YN6">
        <v>0</v>
      </c>
      <c r="YO6">
        <v>0</v>
      </c>
      <c r="YP6">
        <v>0</v>
      </c>
      <c r="YQ6">
        <v>0</v>
      </c>
      <c r="YR6">
        <v>0</v>
      </c>
      <c r="YS6">
        <v>0</v>
      </c>
      <c r="YT6">
        <v>0</v>
      </c>
      <c r="YU6">
        <v>0</v>
      </c>
      <c r="YV6">
        <v>0</v>
      </c>
      <c r="YW6">
        <v>0</v>
      </c>
      <c r="YX6">
        <v>0</v>
      </c>
      <c r="YY6">
        <v>0</v>
      </c>
      <c r="YZ6">
        <v>0</v>
      </c>
      <c r="ZA6">
        <v>0</v>
      </c>
      <c r="ZB6">
        <v>0</v>
      </c>
      <c r="ZC6">
        <v>0</v>
      </c>
      <c r="ZD6">
        <v>0</v>
      </c>
      <c r="ZE6">
        <v>0</v>
      </c>
      <c r="ZF6">
        <v>0</v>
      </c>
      <c r="ZG6">
        <v>0</v>
      </c>
      <c r="ZH6">
        <v>0</v>
      </c>
      <c r="ZI6">
        <v>0</v>
      </c>
      <c r="ZJ6">
        <v>0</v>
      </c>
      <c r="ZK6">
        <v>0</v>
      </c>
      <c r="ZL6">
        <v>0</v>
      </c>
      <c r="ZM6">
        <v>0</v>
      </c>
      <c r="ZN6">
        <v>0</v>
      </c>
      <c r="ZO6">
        <v>0</v>
      </c>
      <c r="ZP6">
        <v>0</v>
      </c>
      <c r="ZQ6">
        <v>0</v>
      </c>
      <c r="ZR6">
        <v>0</v>
      </c>
      <c r="ZS6">
        <v>0</v>
      </c>
      <c r="ZT6">
        <v>0</v>
      </c>
      <c r="ZU6">
        <v>0</v>
      </c>
      <c r="ZV6">
        <v>0</v>
      </c>
      <c r="ZW6">
        <v>0</v>
      </c>
      <c r="ZX6">
        <v>0</v>
      </c>
      <c r="ZY6">
        <v>0</v>
      </c>
      <c r="ZZ6">
        <v>0</v>
      </c>
      <c r="AAA6">
        <v>0</v>
      </c>
      <c r="AAB6">
        <v>0</v>
      </c>
      <c r="AAC6">
        <v>0</v>
      </c>
      <c r="AAD6">
        <v>0</v>
      </c>
      <c r="AAE6">
        <v>0</v>
      </c>
      <c r="AAF6">
        <v>0</v>
      </c>
      <c r="AAG6">
        <v>0</v>
      </c>
      <c r="AAH6">
        <v>0</v>
      </c>
      <c r="AAI6">
        <v>0</v>
      </c>
      <c r="AAJ6">
        <v>0</v>
      </c>
      <c r="AAK6">
        <v>0</v>
      </c>
      <c r="AAL6">
        <v>0</v>
      </c>
      <c r="AAM6">
        <v>0</v>
      </c>
      <c r="AAN6">
        <v>0</v>
      </c>
      <c r="AAO6">
        <v>0</v>
      </c>
      <c r="AAP6">
        <v>0</v>
      </c>
      <c r="AAQ6">
        <v>0</v>
      </c>
      <c r="AAR6">
        <v>0</v>
      </c>
      <c r="AAS6">
        <v>0</v>
      </c>
      <c r="AAT6">
        <v>0</v>
      </c>
      <c r="AAU6">
        <v>0</v>
      </c>
      <c r="AAV6">
        <v>0</v>
      </c>
      <c r="AAW6">
        <v>0</v>
      </c>
      <c r="AAX6">
        <v>0</v>
      </c>
      <c r="AAY6">
        <v>0</v>
      </c>
      <c r="AAZ6">
        <v>0</v>
      </c>
      <c r="ABA6">
        <v>0</v>
      </c>
      <c r="ABB6">
        <v>0</v>
      </c>
      <c r="ABC6">
        <v>0</v>
      </c>
      <c r="ABD6">
        <v>0</v>
      </c>
      <c r="ABE6">
        <v>0</v>
      </c>
      <c r="ABG6" s="1137">
        <f t="shared" ref="ABG6:ABV35" si="5">COUNTIFS($C$3:$ABE$3, ABG$3, $C$4:$ABE$4, ABG$4, $C6:$ABE6, "&gt;0")</f>
        <v>0</v>
      </c>
      <c r="ABH6" s="1137">
        <f t="shared" si="1"/>
        <v>0</v>
      </c>
      <c r="ABI6" s="1137">
        <f t="shared" si="1"/>
        <v>7</v>
      </c>
      <c r="ABJ6" s="1137">
        <f t="shared" si="1"/>
        <v>30</v>
      </c>
      <c r="ABK6" s="1137">
        <f t="shared" si="1"/>
        <v>31</v>
      </c>
      <c r="ABL6" s="1137">
        <f t="shared" si="1"/>
        <v>30</v>
      </c>
      <c r="ABM6" s="1137">
        <f t="shared" si="1"/>
        <v>31</v>
      </c>
      <c r="ABN6" s="1137">
        <f t="shared" si="1"/>
        <v>25</v>
      </c>
      <c r="ABO6" s="1137">
        <f t="shared" si="1"/>
        <v>0</v>
      </c>
      <c r="ABP6" s="1137">
        <f t="shared" si="1"/>
        <v>0</v>
      </c>
      <c r="ABQ6" s="1137">
        <f t="shared" si="1"/>
        <v>0</v>
      </c>
      <c r="ABR6" s="1137">
        <f t="shared" si="1"/>
        <v>0</v>
      </c>
      <c r="ABS6" s="1137">
        <f t="shared" si="1"/>
        <v>0</v>
      </c>
      <c r="ABT6" s="1137">
        <f t="shared" si="1"/>
        <v>0</v>
      </c>
      <c r="ABU6" s="1137">
        <f t="shared" si="1"/>
        <v>0</v>
      </c>
      <c r="ABV6" s="1137">
        <f t="shared" si="1"/>
        <v>0</v>
      </c>
      <c r="ABW6" s="1137">
        <f t="shared" si="1"/>
        <v>7</v>
      </c>
      <c r="ABX6" s="1137">
        <f t="shared" si="2"/>
        <v>30</v>
      </c>
      <c r="ABY6" s="1137">
        <f t="shared" si="2"/>
        <v>31</v>
      </c>
      <c r="ABZ6" s="1137">
        <f t="shared" si="2"/>
        <v>14</v>
      </c>
      <c r="ACA6" s="1137">
        <f t="shared" si="2"/>
        <v>0</v>
      </c>
      <c r="ACB6" s="1137">
        <f t="shared" si="2"/>
        <v>0</v>
      </c>
      <c r="ACC6" s="1137">
        <f t="shared" si="2"/>
        <v>0</v>
      </c>
      <c r="ACD6" s="1137">
        <f t="shared" si="2"/>
        <v>0</v>
      </c>
      <c r="ACE6" s="1137" t="s">
        <v>11</v>
      </c>
      <c r="ACF6" s="1137">
        <f t="shared" ref="ACF6:ACU35" si="6">IF(ABG6&gt;10, 1, 0)</f>
        <v>0</v>
      </c>
      <c r="ACG6" s="1137">
        <f t="shared" si="3"/>
        <v>0</v>
      </c>
      <c r="ACH6" s="1137">
        <f t="shared" si="3"/>
        <v>0</v>
      </c>
      <c r="ACI6" s="1137">
        <f t="shared" si="3"/>
        <v>1</v>
      </c>
      <c r="ACJ6" s="1137">
        <f t="shared" si="3"/>
        <v>1</v>
      </c>
      <c r="ACK6" s="1137">
        <f t="shared" si="3"/>
        <v>1</v>
      </c>
      <c r="ACL6" s="1137">
        <f t="shared" si="3"/>
        <v>1</v>
      </c>
      <c r="ACM6" s="1137">
        <f t="shared" si="3"/>
        <v>1</v>
      </c>
      <c r="ACN6" s="1137">
        <f t="shared" si="3"/>
        <v>0</v>
      </c>
      <c r="ACO6" s="1137">
        <f t="shared" si="3"/>
        <v>0</v>
      </c>
      <c r="ACP6" s="1137">
        <f t="shared" si="3"/>
        <v>0</v>
      </c>
      <c r="ACQ6" s="1137">
        <f t="shared" si="3"/>
        <v>0</v>
      </c>
      <c r="ACR6" s="1137">
        <f t="shared" si="3"/>
        <v>0</v>
      </c>
      <c r="ACS6" s="1137">
        <f t="shared" si="3"/>
        <v>0</v>
      </c>
      <c r="ACT6" s="1137">
        <f t="shared" si="3"/>
        <v>0</v>
      </c>
      <c r="ACU6" s="1137">
        <f t="shared" si="3"/>
        <v>0</v>
      </c>
      <c r="ACV6" s="1137">
        <f t="shared" si="3"/>
        <v>0</v>
      </c>
      <c r="ACW6" s="1137">
        <f t="shared" si="4"/>
        <v>1</v>
      </c>
      <c r="ACX6" s="1137">
        <f t="shared" si="4"/>
        <v>1</v>
      </c>
      <c r="ACY6" s="1137">
        <f t="shared" si="4"/>
        <v>1</v>
      </c>
      <c r="ACZ6" s="1137">
        <f t="shared" si="4"/>
        <v>0</v>
      </c>
      <c r="ADA6" s="1137">
        <f t="shared" si="4"/>
        <v>0</v>
      </c>
      <c r="ADB6" s="1137">
        <f t="shared" si="4"/>
        <v>0</v>
      </c>
      <c r="ADC6" s="1137">
        <f t="shared" si="4"/>
        <v>0</v>
      </c>
    </row>
    <row r="7" spans="1:783" x14ac:dyDescent="0.25">
      <c r="A7" t="s">
        <v>1801</v>
      </c>
      <c r="B7" t="s">
        <v>134</v>
      </c>
      <c r="C7">
        <v>0</v>
      </c>
      <c r="D7">
        <v>0</v>
      </c>
      <c r="E7">
        <v>0</v>
      </c>
      <c r="F7">
        <v>0</v>
      </c>
      <c r="G7">
        <v>0</v>
      </c>
      <c r="H7">
        <v>0</v>
      </c>
      <c r="I7">
        <v>0</v>
      </c>
      <c r="J7">
        <v>0</v>
      </c>
      <c r="K7">
        <v>0</v>
      </c>
      <c r="L7">
        <v>0</v>
      </c>
      <c r="M7">
        <v>0</v>
      </c>
      <c r="N7">
        <v>0</v>
      </c>
      <c r="O7">
        <v>0</v>
      </c>
      <c r="P7">
        <v>0</v>
      </c>
      <c r="Q7">
        <v>0</v>
      </c>
      <c r="R7">
        <v>0</v>
      </c>
      <c r="S7">
        <v>0</v>
      </c>
      <c r="T7">
        <v>0</v>
      </c>
      <c r="U7">
        <v>0</v>
      </c>
      <c r="V7">
        <v>0</v>
      </c>
      <c r="W7">
        <v>0</v>
      </c>
      <c r="X7">
        <v>0</v>
      </c>
      <c r="Y7">
        <v>0</v>
      </c>
      <c r="Z7">
        <v>0</v>
      </c>
      <c r="AA7">
        <v>0</v>
      </c>
      <c r="AB7">
        <v>0</v>
      </c>
      <c r="AC7">
        <v>0</v>
      </c>
      <c r="AD7">
        <v>0</v>
      </c>
      <c r="AE7">
        <v>0</v>
      </c>
      <c r="AF7">
        <v>0</v>
      </c>
      <c r="AG7">
        <v>0</v>
      </c>
      <c r="AH7">
        <v>0</v>
      </c>
      <c r="AI7">
        <v>0</v>
      </c>
      <c r="AJ7">
        <v>0</v>
      </c>
      <c r="AK7">
        <v>0</v>
      </c>
      <c r="AL7">
        <v>0</v>
      </c>
      <c r="AM7">
        <v>0</v>
      </c>
      <c r="AN7">
        <v>0</v>
      </c>
      <c r="AO7">
        <v>0</v>
      </c>
      <c r="AP7">
        <v>0</v>
      </c>
      <c r="AQ7">
        <v>0</v>
      </c>
      <c r="AR7">
        <v>0</v>
      </c>
      <c r="AS7">
        <v>0</v>
      </c>
      <c r="AT7">
        <v>0</v>
      </c>
      <c r="AU7">
        <v>0</v>
      </c>
      <c r="AV7">
        <v>0</v>
      </c>
      <c r="AW7">
        <v>0</v>
      </c>
      <c r="AX7">
        <v>0</v>
      </c>
      <c r="AY7">
        <v>0</v>
      </c>
      <c r="AZ7">
        <v>0</v>
      </c>
      <c r="BA7">
        <v>0</v>
      </c>
      <c r="BB7">
        <v>0</v>
      </c>
      <c r="BC7">
        <v>0</v>
      </c>
      <c r="BD7">
        <v>0</v>
      </c>
      <c r="BE7">
        <v>0</v>
      </c>
      <c r="BF7">
        <v>0</v>
      </c>
      <c r="BG7">
        <v>0</v>
      </c>
      <c r="BH7">
        <v>0</v>
      </c>
      <c r="BI7">
        <v>0</v>
      </c>
      <c r="BJ7">
        <v>0</v>
      </c>
      <c r="BK7">
        <v>0</v>
      </c>
      <c r="BL7">
        <v>0</v>
      </c>
      <c r="BM7">
        <v>0</v>
      </c>
      <c r="BN7">
        <v>0</v>
      </c>
      <c r="BO7">
        <v>0</v>
      </c>
      <c r="BP7">
        <v>0</v>
      </c>
      <c r="BQ7">
        <v>0</v>
      </c>
      <c r="BR7">
        <v>0</v>
      </c>
      <c r="BS7">
        <v>0</v>
      </c>
      <c r="BT7">
        <v>0</v>
      </c>
      <c r="BU7">
        <v>0</v>
      </c>
      <c r="BV7">
        <v>0</v>
      </c>
      <c r="BW7">
        <v>0</v>
      </c>
      <c r="BX7">
        <v>0</v>
      </c>
      <c r="BY7">
        <v>0</v>
      </c>
      <c r="BZ7">
        <v>0</v>
      </c>
      <c r="CA7">
        <v>0</v>
      </c>
      <c r="CB7">
        <v>0</v>
      </c>
      <c r="CC7">
        <v>0</v>
      </c>
      <c r="CD7">
        <v>0</v>
      </c>
      <c r="CE7">
        <v>0</v>
      </c>
      <c r="CF7">
        <v>0</v>
      </c>
      <c r="CG7">
        <v>0</v>
      </c>
      <c r="CH7">
        <v>0</v>
      </c>
      <c r="CI7">
        <v>0</v>
      </c>
      <c r="CJ7">
        <v>0</v>
      </c>
      <c r="CK7">
        <v>2</v>
      </c>
      <c r="CL7">
        <v>2</v>
      </c>
      <c r="CM7">
        <v>2</v>
      </c>
      <c r="CN7">
        <v>2</v>
      </c>
      <c r="CO7">
        <v>2</v>
      </c>
      <c r="CP7">
        <v>2</v>
      </c>
      <c r="CQ7">
        <v>2</v>
      </c>
      <c r="CR7">
        <v>2</v>
      </c>
      <c r="CS7">
        <v>2</v>
      </c>
      <c r="CT7">
        <v>2</v>
      </c>
      <c r="CU7">
        <v>2</v>
      </c>
      <c r="CV7">
        <v>2</v>
      </c>
      <c r="CW7">
        <v>2</v>
      </c>
      <c r="CX7">
        <v>2</v>
      </c>
      <c r="CY7">
        <v>2</v>
      </c>
      <c r="CZ7">
        <v>2</v>
      </c>
      <c r="DA7">
        <v>2</v>
      </c>
      <c r="DB7">
        <v>2</v>
      </c>
      <c r="DC7">
        <v>2</v>
      </c>
      <c r="DD7">
        <v>2</v>
      </c>
      <c r="DE7">
        <v>2</v>
      </c>
      <c r="DF7">
        <v>2</v>
      </c>
      <c r="DG7">
        <v>2</v>
      </c>
      <c r="DH7">
        <v>2</v>
      </c>
      <c r="DI7">
        <v>2</v>
      </c>
      <c r="DJ7">
        <v>2</v>
      </c>
      <c r="DK7">
        <v>2</v>
      </c>
      <c r="DL7">
        <v>2</v>
      </c>
      <c r="DM7">
        <v>2</v>
      </c>
      <c r="DN7">
        <v>2</v>
      </c>
      <c r="DO7">
        <v>2</v>
      </c>
      <c r="DP7">
        <v>2</v>
      </c>
      <c r="DQ7">
        <v>2</v>
      </c>
      <c r="DR7">
        <v>2</v>
      </c>
      <c r="DS7">
        <v>2</v>
      </c>
      <c r="DT7">
        <v>2</v>
      </c>
      <c r="DU7">
        <v>2</v>
      </c>
      <c r="DV7">
        <v>2</v>
      </c>
      <c r="DW7">
        <v>2</v>
      </c>
      <c r="DX7">
        <v>2</v>
      </c>
      <c r="DY7">
        <v>2</v>
      </c>
      <c r="DZ7">
        <v>2</v>
      </c>
      <c r="EA7">
        <v>2</v>
      </c>
      <c r="EB7">
        <v>2</v>
      </c>
      <c r="EC7">
        <v>2</v>
      </c>
      <c r="ED7">
        <v>2</v>
      </c>
      <c r="EE7">
        <v>2</v>
      </c>
      <c r="EF7">
        <v>2</v>
      </c>
      <c r="EG7">
        <v>2</v>
      </c>
      <c r="EH7">
        <v>2</v>
      </c>
      <c r="EI7">
        <v>2</v>
      </c>
      <c r="EJ7">
        <v>2</v>
      </c>
      <c r="EK7">
        <v>2</v>
      </c>
      <c r="EL7">
        <v>2</v>
      </c>
      <c r="EM7">
        <v>2</v>
      </c>
      <c r="EN7">
        <v>2</v>
      </c>
      <c r="EO7">
        <v>2</v>
      </c>
      <c r="EP7">
        <v>2</v>
      </c>
      <c r="EQ7">
        <v>2</v>
      </c>
      <c r="ER7">
        <v>2</v>
      </c>
      <c r="ES7">
        <v>2</v>
      </c>
      <c r="ET7">
        <v>2</v>
      </c>
      <c r="EU7">
        <v>2</v>
      </c>
      <c r="EV7">
        <v>2</v>
      </c>
      <c r="EW7">
        <v>2</v>
      </c>
      <c r="EX7">
        <v>2</v>
      </c>
      <c r="EY7">
        <v>2</v>
      </c>
      <c r="EZ7">
        <v>2</v>
      </c>
      <c r="FA7">
        <v>2</v>
      </c>
      <c r="FB7">
        <v>2</v>
      </c>
      <c r="FC7">
        <v>2</v>
      </c>
      <c r="FD7">
        <v>2</v>
      </c>
      <c r="FE7">
        <v>2</v>
      </c>
      <c r="FF7">
        <v>2</v>
      </c>
      <c r="FG7">
        <v>2</v>
      </c>
      <c r="FH7">
        <v>2</v>
      </c>
      <c r="FI7">
        <v>2</v>
      </c>
      <c r="FJ7">
        <v>2</v>
      </c>
      <c r="FK7">
        <v>2</v>
      </c>
      <c r="FL7">
        <v>2</v>
      </c>
      <c r="FM7">
        <v>2</v>
      </c>
      <c r="FN7">
        <v>2</v>
      </c>
      <c r="FO7">
        <v>2</v>
      </c>
      <c r="FP7">
        <v>2</v>
      </c>
      <c r="FQ7">
        <v>2</v>
      </c>
      <c r="FR7">
        <v>2</v>
      </c>
      <c r="FS7">
        <v>2</v>
      </c>
      <c r="FT7">
        <v>2</v>
      </c>
      <c r="FU7">
        <v>2</v>
      </c>
      <c r="FV7">
        <v>2</v>
      </c>
      <c r="FW7">
        <v>2</v>
      </c>
      <c r="FX7">
        <v>2</v>
      </c>
      <c r="FY7">
        <v>2</v>
      </c>
      <c r="FZ7">
        <v>2</v>
      </c>
      <c r="GA7">
        <v>2</v>
      </c>
      <c r="GB7">
        <v>2</v>
      </c>
      <c r="GC7">
        <v>2</v>
      </c>
      <c r="GD7">
        <v>2</v>
      </c>
      <c r="GE7">
        <v>2</v>
      </c>
      <c r="GF7">
        <v>2</v>
      </c>
      <c r="GG7">
        <v>2</v>
      </c>
      <c r="GH7">
        <v>2</v>
      </c>
      <c r="GI7">
        <v>2</v>
      </c>
      <c r="GJ7">
        <v>2</v>
      </c>
      <c r="GK7">
        <v>2</v>
      </c>
      <c r="GL7">
        <v>2</v>
      </c>
      <c r="GM7">
        <v>2</v>
      </c>
      <c r="GN7">
        <v>2</v>
      </c>
      <c r="GO7">
        <v>2</v>
      </c>
      <c r="GP7">
        <v>2</v>
      </c>
      <c r="GQ7">
        <v>2</v>
      </c>
      <c r="GR7">
        <v>2</v>
      </c>
      <c r="GS7">
        <v>2</v>
      </c>
      <c r="GT7">
        <v>2</v>
      </c>
      <c r="GU7">
        <v>2</v>
      </c>
      <c r="GV7">
        <v>2</v>
      </c>
      <c r="GW7">
        <v>2</v>
      </c>
      <c r="GX7">
        <v>2</v>
      </c>
      <c r="GY7">
        <v>2</v>
      </c>
      <c r="GZ7">
        <v>2</v>
      </c>
      <c r="HA7">
        <v>2</v>
      </c>
      <c r="HB7">
        <v>2</v>
      </c>
      <c r="HC7">
        <v>2</v>
      </c>
      <c r="HD7">
        <v>2</v>
      </c>
      <c r="HE7">
        <v>2</v>
      </c>
      <c r="HF7">
        <v>2</v>
      </c>
      <c r="HG7">
        <v>2</v>
      </c>
      <c r="HH7">
        <v>2</v>
      </c>
      <c r="HI7">
        <v>2</v>
      </c>
      <c r="HJ7">
        <v>2</v>
      </c>
      <c r="HK7">
        <v>2</v>
      </c>
      <c r="HL7">
        <v>2</v>
      </c>
      <c r="HM7">
        <v>2</v>
      </c>
      <c r="HN7">
        <v>2</v>
      </c>
      <c r="HO7">
        <v>2</v>
      </c>
      <c r="HP7">
        <v>2</v>
      </c>
      <c r="HQ7">
        <v>2</v>
      </c>
      <c r="HR7">
        <v>2</v>
      </c>
      <c r="HS7">
        <v>2</v>
      </c>
      <c r="HT7">
        <v>2</v>
      </c>
      <c r="HU7">
        <v>2</v>
      </c>
      <c r="HV7">
        <v>2</v>
      </c>
      <c r="HW7">
        <v>2</v>
      </c>
      <c r="HX7">
        <v>2</v>
      </c>
      <c r="HY7">
        <v>2</v>
      </c>
      <c r="HZ7">
        <v>2</v>
      </c>
      <c r="IA7">
        <v>2</v>
      </c>
      <c r="IB7">
        <v>2</v>
      </c>
      <c r="IC7">
        <v>2</v>
      </c>
      <c r="ID7">
        <v>2</v>
      </c>
      <c r="IE7">
        <v>2</v>
      </c>
      <c r="IF7">
        <v>2</v>
      </c>
      <c r="IG7">
        <v>2</v>
      </c>
      <c r="IH7">
        <v>2</v>
      </c>
      <c r="II7">
        <v>2</v>
      </c>
      <c r="IJ7">
        <v>2</v>
      </c>
      <c r="IK7">
        <v>2</v>
      </c>
      <c r="IL7">
        <v>2</v>
      </c>
      <c r="IM7">
        <v>2</v>
      </c>
      <c r="IN7">
        <v>2</v>
      </c>
      <c r="IO7">
        <v>2</v>
      </c>
      <c r="IP7">
        <v>2</v>
      </c>
      <c r="IQ7">
        <v>2</v>
      </c>
      <c r="IR7">
        <v>2</v>
      </c>
      <c r="IS7">
        <v>2</v>
      </c>
      <c r="IT7">
        <v>2</v>
      </c>
      <c r="IU7">
        <v>2</v>
      </c>
      <c r="IV7">
        <v>2</v>
      </c>
      <c r="IW7">
        <v>2</v>
      </c>
      <c r="IX7">
        <v>2</v>
      </c>
      <c r="IY7">
        <v>2</v>
      </c>
      <c r="IZ7">
        <v>2</v>
      </c>
      <c r="JA7">
        <v>2</v>
      </c>
      <c r="JB7">
        <v>2</v>
      </c>
      <c r="JC7">
        <v>2</v>
      </c>
      <c r="JD7">
        <v>2</v>
      </c>
      <c r="JE7">
        <v>2</v>
      </c>
      <c r="JF7">
        <v>2</v>
      </c>
      <c r="JG7">
        <v>2</v>
      </c>
      <c r="JH7">
        <v>2</v>
      </c>
      <c r="JI7">
        <v>2</v>
      </c>
      <c r="JJ7">
        <v>2</v>
      </c>
      <c r="JK7">
        <v>2</v>
      </c>
      <c r="JL7">
        <v>2</v>
      </c>
      <c r="JM7">
        <v>2</v>
      </c>
      <c r="JN7">
        <v>2</v>
      </c>
      <c r="JO7">
        <v>2</v>
      </c>
      <c r="JP7">
        <v>2</v>
      </c>
      <c r="JQ7">
        <v>2</v>
      </c>
      <c r="JR7">
        <v>2</v>
      </c>
      <c r="JS7">
        <v>2</v>
      </c>
      <c r="JT7">
        <v>2</v>
      </c>
      <c r="JU7">
        <v>2</v>
      </c>
      <c r="JV7">
        <v>2</v>
      </c>
      <c r="JW7">
        <v>2</v>
      </c>
      <c r="JX7">
        <v>2</v>
      </c>
      <c r="JY7">
        <v>2</v>
      </c>
      <c r="JZ7">
        <v>2</v>
      </c>
      <c r="KA7">
        <v>2</v>
      </c>
      <c r="KB7">
        <v>2</v>
      </c>
      <c r="KC7">
        <v>2</v>
      </c>
      <c r="KD7">
        <v>2</v>
      </c>
      <c r="KE7">
        <v>2</v>
      </c>
      <c r="KF7">
        <v>2</v>
      </c>
      <c r="KG7">
        <v>2</v>
      </c>
      <c r="KH7">
        <v>2</v>
      </c>
      <c r="KI7">
        <v>2</v>
      </c>
      <c r="KJ7">
        <v>2</v>
      </c>
      <c r="KK7">
        <v>2</v>
      </c>
      <c r="KL7">
        <v>2</v>
      </c>
      <c r="KM7">
        <v>2</v>
      </c>
      <c r="KN7">
        <v>2</v>
      </c>
      <c r="KO7">
        <v>2</v>
      </c>
      <c r="KP7">
        <v>2</v>
      </c>
      <c r="KQ7">
        <v>2</v>
      </c>
      <c r="KR7">
        <v>2</v>
      </c>
      <c r="KS7">
        <v>2</v>
      </c>
      <c r="KT7">
        <v>2</v>
      </c>
      <c r="KU7">
        <v>2</v>
      </c>
      <c r="KV7">
        <v>2</v>
      </c>
      <c r="KW7">
        <v>2</v>
      </c>
      <c r="KX7">
        <v>2</v>
      </c>
      <c r="KY7">
        <v>2</v>
      </c>
      <c r="KZ7">
        <v>2</v>
      </c>
      <c r="LA7">
        <v>2</v>
      </c>
      <c r="LB7">
        <v>2</v>
      </c>
      <c r="LC7">
        <v>2</v>
      </c>
      <c r="LD7">
        <v>2</v>
      </c>
      <c r="LE7">
        <v>2</v>
      </c>
      <c r="LF7">
        <v>2</v>
      </c>
      <c r="LG7">
        <v>2</v>
      </c>
      <c r="LH7">
        <v>2</v>
      </c>
      <c r="LI7">
        <v>2</v>
      </c>
      <c r="LJ7">
        <v>2</v>
      </c>
      <c r="LK7">
        <v>2</v>
      </c>
      <c r="LL7">
        <v>2</v>
      </c>
      <c r="LM7">
        <v>2</v>
      </c>
      <c r="LN7">
        <v>2</v>
      </c>
      <c r="LO7">
        <v>2</v>
      </c>
      <c r="LP7">
        <v>2</v>
      </c>
      <c r="LQ7">
        <v>2</v>
      </c>
      <c r="LR7">
        <v>1</v>
      </c>
      <c r="LS7">
        <v>1</v>
      </c>
      <c r="LT7">
        <v>1</v>
      </c>
      <c r="LU7">
        <v>1</v>
      </c>
      <c r="LV7">
        <v>1</v>
      </c>
      <c r="LW7">
        <v>1</v>
      </c>
      <c r="LX7">
        <v>1</v>
      </c>
      <c r="LY7">
        <v>1</v>
      </c>
      <c r="LZ7">
        <v>1</v>
      </c>
      <c r="MA7">
        <v>1</v>
      </c>
      <c r="MB7">
        <v>1</v>
      </c>
      <c r="MC7">
        <v>1</v>
      </c>
      <c r="MD7">
        <v>1</v>
      </c>
      <c r="ME7">
        <v>1</v>
      </c>
      <c r="MF7">
        <v>1</v>
      </c>
      <c r="MG7">
        <v>1</v>
      </c>
      <c r="MH7">
        <v>1</v>
      </c>
      <c r="MI7">
        <v>1</v>
      </c>
      <c r="MJ7">
        <v>1</v>
      </c>
      <c r="MK7">
        <v>1</v>
      </c>
      <c r="ML7">
        <v>1</v>
      </c>
      <c r="MM7">
        <v>1</v>
      </c>
      <c r="MN7">
        <v>1</v>
      </c>
      <c r="MO7">
        <v>1</v>
      </c>
      <c r="MP7">
        <v>1</v>
      </c>
      <c r="MQ7">
        <v>1</v>
      </c>
      <c r="MR7">
        <v>1</v>
      </c>
      <c r="MS7">
        <v>1</v>
      </c>
      <c r="MT7">
        <v>1</v>
      </c>
      <c r="MU7">
        <v>1</v>
      </c>
      <c r="MV7">
        <v>1</v>
      </c>
      <c r="MW7">
        <v>1</v>
      </c>
      <c r="MX7">
        <v>1</v>
      </c>
      <c r="MY7">
        <v>1</v>
      </c>
      <c r="MZ7">
        <v>1</v>
      </c>
      <c r="NA7">
        <v>1</v>
      </c>
      <c r="NB7">
        <v>1</v>
      </c>
      <c r="NC7">
        <v>1</v>
      </c>
      <c r="ND7">
        <v>1</v>
      </c>
      <c r="NE7">
        <v>1</v>
      </c>
      <c r="NF7">
        <v>1</v>
      </c>
      <c r="NG7">
        <v>1</v>
      </c>
      <c r="NH7">
        <v>1</v>
      </c>
      <c r="NI7">
        <v>1</v>
      </c>
      <c r="NJ7">
        <v>1</v>
      </c>
      <c r="NK7">
        <v>1</v>
      </c>
      <c r="NL7">
        <v>1</v>
      </c>
      <c r="NM7">
        <v>1</v>
      </c>
      <c r="NN7">
        <v>1</v>
      </c>
      <c r="NO7">
        <v>1</v>
      </c>
      <c r="NP7">
        <v>1</v>
      </c>
      <c r="NQ7">
        <v>1</v>
      </c>
      <c r="NR7">
        <v>1</v>
      </c>
      <c r="NS7">
        <v>1</v>
      </c>
      <c r="NT7">
        <v>1</v>
      </c>
      <c r="NU7">
        <v>1</v>
      </c>
      <c r="NV7">
        <v>1</v>
      </c>
      <c r="NW7">
        <v>1</v>
      </c>
      <c r="NX7">
        <v>1</v>
      </c>
      <c r="NY7">
        <v>1</v>
      </c>
      <c r="NZ7">
        <v>1</v>
      </c>
      <c r="OA7">
        <v>1</v>
      </c>
      <c r="OB7">
        <v>1</v>
      </c>
      <c r="OC7">
        <v>1</v>
      </c>
      <c r="OD7">
        <v>1</v>
      </c>
      <c r="OE7">
        <v>1</v>
      </c>
      <c r="OF7">
        <v>1</v>
      </c>
      <c r="OG7">
        <v>1</v>
      </c>
      <c r="OH7">
        <v>1</v>
      </c>
      <c r="OI7">
        <v>1</v>
      </c>
      <c r="OJ7">
        <v>1</v>
      </c>
      <c r="OK7">
        <v>1</v>
      </c>
      <c r="OL7">
        <v>1</v>
      </c>
      <c r="OM7">
        <v>1</v>
      </c>
      <c r="ON7">
        <v>1</v>
      </c>
      <c r="OO7">
        <v>1</v>
      </c>
      <c r="OP7">
        <v>1</v>
      </c>
      <c r="OQ7">
        <v>1</v>
      </c>
      <c r="OR7">
        <v>1</v>
      </c>
      <c r="OS7">
        <v>1</v>
      </c>
      <c r="OT7">
        <v>1</v>
      </c>
      <c r="OU7">
        <v>1</v>
      </c>
      <c r="OV7">
        <v>1</v>
      </c>
      <c r="OW7">
        <v>1</v>
      </c>
      <c r="OX7">
        <v>1</v>
      </c>
      <c r="OY7">
        <v>1</v>
      </c>
      <c r="OZ7">
        <v>1</v>
      </c>
      <c r="PA7">
        <v>1</v>
      </c>
      <c r="PB7">
        <v>1</v>
      </c>
      <c r="PC7">
        <v>1</v>
      </c>
      <c r="PD7">
        <v>1</v>
      </c>
      <c r="PE7">
        <v>1</v>
      </c>
      <c r="PF7">
        <v>1</v>
      </c>
      <c r="PG7">
        <v>1</v>
      </c>
      <c r="PH7">
        <v>1</v>
      </c>
      <c r="PI7">
        <v>1</v>
      </c>
      <c r="PJ7">
        <v>1</v>
      </c>
      <c r="PK7">
        <v>1</v>
      </c>
      <c r="PL7">
        <v>1</v>
      </c>
      <c r="PM7">
        <v>1</v>
      </c>
      <c r="PN7">
        <v>1</v>
      </c>
      <c r="PO7">
        <v>1</v>
      </c>
      <c r="PP7">
        <v>1</v>
      </c>
      <c r="PQ7">
        <v>1</v>
      </c>
      <c r="PR7">
        <v>1</v>
      </c>
      <c r="PS7">
        <v>1</v>
      </c>
      <c r="PT7">
        <v>1</v>
      </c>
      <c r="PU7">
        <v>1</v>
      </c>
      <c r="PV7">
        <v>1</v>
      </c>
      <c r="PW7">
        <v>1</v>
      </c>
      <c r="PX7">
        <v>1</v>
      </c>
      <c r="PY7">
        <v>1</v>
      </c>
      <c r="PZ7">
        <v>1</v>
      </c>
      <c r="QA7">
        <v>1</v>
      </c>
      <c r="QB7">
        <v>1</v>
      </c>
      <c r="QC7">
        <v>1</v>
      </c>
      <c r="QD7">
        <v>1</v>
      </c>
      <c r="QE7">
        <v>1</v>
      </c>
      <c r="QF7">
        <v>1</v>
      </c>
      <c r="QG7">
        <v>1</v>
      </c>
      <c r="QH7">
        <v>1</v>
      </c>
      <c r="QI7">
        <v>1</v>
      </c>
      <c r="QJ7">
        <v>1</v>
      </c>
      <c r="QK7">
        <v>1</v>
      </c>
      <c r="QL7">
        <v>1</v>
      </c>
      <c r="QM7">
        <v>1</v>
      </c>
      <c r="QN7">
        <v>1</v>
      </c>
      <c r="QO7">
        <v>1</v>
      </c>
      <c r="QP7">
        <v>1</v>
      </c>
      <c r="QQ7">
        <v>1</v>
      </c>
      <c r="QR7">
        <v>1</v>
      </c>
      <c r="QS7">
        <v>1</v>
      </c>
      <c r="QT7">
        <v>1</v>
      </c>
      <c r="QU7">
        <v>1</v>
      </c>
      <c r="QV7">
        <v>1</v>
      </c>
      <c r="QW7">
        <v>1</v>
      </c>
      <c r="QX7">
        <v>1</v>
      </c>
      <c r="QY7">
        <v>1</v>
      </c>
      <c r="QZ7">
        <v>1</v>
      </c>
      <c r="RA7">
        <v>2</v>
      </c>
      <c r="RB7">
        <v>2</v>
      </c>
      <c r="RC7">
        <v>2</v>
      </c>
      <c r="RD7">
        <v>2</v>
      </c>
      <c r="RE7">
        <v>2</v>
      </c>
      <c r="RF7">
        <v>2</v>
      </c>
      <c r="RG7">
        <v>2</v>
      </c>
      <c r="RH7">
        <v>2</v>
      </c>
      <c r="RI7">
        <v>2</v>
      </c>
      <c r="RJ7">
        <v>2</v>
      </c>
      <c r="RK7">
        <v>2</v>
      </c>
      <c r="RL7">
        <v>2</v>
      </c>
      <c r="RM7">
        <v>2</v>
      </c>
      <c r="RN7">
        <v>2</v>
      </c>
      <c r="RO7">
        <v>2</v>
      </c>
      <c r="RP7">
        <v>2</v>
      </c>
      <c r="RQ7">
        <v>2</v>
      </c>
      <c r="RR7">
        <v>2</v>
      </c>
      <c r="RS7">
        <v>2</v>
      </c>
      <c r="RT7">
        <v>2</v>
      </c>
      <c r="RU7">
        <v>2</v>
      </c>
      <c r="RV7">
        <v>2</v>
      </c>
      <c r="RW7">
        <v>2</v>
      </c>
      <c r="RX7">
        <v>2</v>
      </c>
      <c r="RY7">
        <v>2</v>
      </c>
      <c r="RZ7">
        <v>2</v>
      </c>
      <c r="SA7">
        <v>2</v>
      </c>
      <c r="SB7">
        <v>2</v>
      </c>
      <c r="SC7">
        <v>2</v>
      </c>
      <c r="SD7">
        <v>0</v>
      </c>
      <c r="SE7">
        <v>0</v>
      </c>
      <c r="SF7">
        <v>0</v>
      </c>
      <c r="SG7">
        <v>0</v>
      </c>
      <c r="SH7">
        <v>0</v>
      </c>
      <c r="SI7">
        <v>0</v>
      </c>
      <c r="SJ7">
        <v>0</v>
      </c>
      <c r="SK7">
        <v>0</v>
      </c>
      <c r="SL7">
        <v>0</v>
      </c>
      <c r="SM7">
        <v>0</v>
      </c>
      <c r="SN7">
        <v>0</v>
      </c>
      <c r="SO7">
        <v>0</v>
      </c>
      <c r="SP7">
        <v>0</v>
      </c>
      <c r="SQ7">
        <v>0</v>
      </c>
      <c r="SR7">
        <v>0</v>
      </c>
      <c r="SS7">
        <v>0</v>
      </c>
      <c r="ST7">
        <v>0</v>
      </c>
      <c r="SU7">
        <v>0</v>
      </c>
      <c r="SV7">
        <v>0</v>
      </c>
      <c r="SW7">
        <v>0</v>
      </c>
      <c r="SX7">
        <v>0</v>
      </c>
      <c r="SY7">
        <v>0</v>
      </c>
      <c r="SZ7">
        <v>0</v>
      </c>
      <c r="TA7">
        <v>0</v>
      </c>
      <c r="TB7">
        <v>0</v>
      </c>
      <c r="TC7">
        <v>0</v>
      </c>
      <c r="TD7">
        <v>0</v>
      </c>
      <c r="TE7">
        <v>0</v>
      </c>
      <c r="TF7">
        <v>0</v>
      </c>
      <c r="TG7">
        <v>0</v>
      </c>
      <c r="TH7">
        <v>0</v>
      </c>
      <c r="TI7">
        <v>0</v>
      </c>
      <c r="TJ7">
        <v>0</v>
      </c>
      <c r="TK7">
        <v>0</v>
      </c>
      <c r="TL7">
        <v>0</v>
      </c>
      <c r="TM7">
        <v>0</v>
      </c>
      <c r="TN7">
        <v>0</v>
      </c>
      <c r="TO7">
        <v>2</v>
      </c>
      <c r="TP7">
        <v>2</v>
      </c>
      <c r="TQ7">
        <v>2</v>
      </c>
      <c r="TR7">
        <v>2</v>
      </c>
      <c r="TS7">
        <v>2</v>
      </c>
      <c r="TT7">
        <v>2</v>
      </c>
      <c r="TU7">
        <v>2</v>
      </c>
      <c r="TV7">
        <v>2</v>
      </c>
      <c r="TW7">
        <v>2</v>
      </c>
      <c r="TX7">
        <v>2</v>
      </c>
      <c r="TY7">
        <v>2</v>
      </c>
      <c r="TZ7">
        <v>2</v>
      </c>
      <c r="UA7">
        <v>2</v>
      </c>
      <c r="UB7">
        <v>2</v>
      </c>
      <c r="UC7">
        <v>2</v>
      </c>
      <c r="UD7">
        <v>2</v>
      </c>
      <c r="UE7">
        <v>2</v>
      </c>
      <c r="UF7">
        <v>2</v>
      </c>
      <c r="UG7">
        <v>2</v>
      </c>
      <c r="UH7">
        <v>2</v>
      </c>
      <c r="UI7">
        <v>2</v>
      </c>
      <c r="UJ7">
        <v>2</v>
      </c>
      <c r="UK7">
        <v>2</v>
      </c>
      <c r="UL7">
        <v>2</v>
      </c>
      <c r="UM7">
        <v>2</v>
      </c>
      <c r="UN7">
        <v>2</v>
      </c>
      <c r="UO7">
        <v>2</v>
      </c>
      <c r="UP7">
        <v>2</v>
      </c>
      <c r="UQ7">
        <v>2</v>
      </c>
      <c r="UR7">
        <v>2</v>
      </c>
      <c r="US7">
        <v>2</v>
      </c>
      <c r="UT7">
        <v>2</v>
      </c>
      <c r="UU7">
        <v>2</v>
      </c>
      <c r="UV7">
        <v>2</v>
      </c>
      <c r="UW7">
        <v>2</v>
      </c>
      <c r="UX7">
        <v>2</v>
      </c>
      <c r="UY7">
        <v>2</v>
      </c>
      <c r="UZ7">
        <v>2</v>
      </c>
      <c r="VA7">
        <v>2</v>
      </c>
      <c r="VB7">
        <v>2</v>
      </c>
      <c r="VC7">
        <v>2</v>
      </c>
      <c r="VD7">
        <v>2</v>
      </c>
      <c r="VE7">
        <v>2</v>
      </c>
      <c r="VF7">
        <v>2</v>
      </c>
      <c r="VG7">
        <v>2</v>
      </c>
      <c r="VH7">
        <v>2</v>
      </c>
      <c r="VI7">
        <v>2</v>
      </c>
      <c r="VJ7">
        <v>2</v>
      </c>
      <c r="VK7">
        <v>2</v>
      </c>
      <c r="VL7">
        <v>2</v>
      </c>
      <c r="VM7">
        <v>2</v>
      </c>
      <c r="VN7">
        <v>2</v>
      </c>
      <c r="VO7">
        <v>2</v>
      </c>
      <c r="VP7">
        <v>2</v>
      </c>
      <c r="VQ7">
        <v>2</v>
      </c>
      <c r="VR7">
        <v>2</v>
      </c>
      <c r="VS7">
        <v>2</v>
      </c>
      <c r="VT7">
        <v>2</v>
      </c>
      <c r="VU7">
        <v>2</v>
      </c>
      <c r="VV7">
        <v>2</v>
      </c>
      <c r="VW7">
        <v>2</v>
      </c>
      <c r="VX7">
        <v>2</v>
      </c>
      <c r="VY7">
        <v>2</v>
      </c>
      <c r="VZ7">
        <v>2</v>
      </c>
      <c r="WA7">
        <v>2</v>
      </c>
      <c r="WB7">
        <v>2</v>
      </c>
      <c r="WC7">
        <v>2</v>
      </c>
      <c r="WD7">
        <v>2</v>
      </c>
      <c r="WE7">
        <v>2</v>
      </c>
      <c r="WF7">
        <v>2</v>
      </c>
      <c r="WG7">
        <v>2</v>
      </c>
      <c r="WH7">
        <v>2</v>
      </c>
      <c r="WI7">
        <v>2</v>
      </c>
      <c r="WJ7">
        <v>2</v>
      </c>
      <c r="WK7">
        <v>2</v>
      </c>
      <c r="WL7">
        <v>2</v>
      </c>
      <c r="WM7">
        <v>2</v>
      </c>
      <c r="WN7">
        <v>2</v>
      </c>
      <c r="WO7">
        <v>2</v>
      </c>
      <c r="WP7">
        <v>2</v>
      </c>
      <c r="WQ7">
        <v>2</v>
      </c>
      <c r="WR7">
        <v>2</v>
      </c>
      <c r="WS7">
        <v>2</v>
      </c>
      <c r="WT7">
        <v>2</v>
      </c>
      <c r="WU7">
        <v>2</v>
      </c>
      <c r="WV7">
        <v>2</v>
      </c>
      <c r="WW7">
        <v>2</v>
      </c>
      <c r="WX7">
        <v>2</v>
      </c>
      <c r="WY7">
        <v>2</v>
      </c>
      <c r="WZ7">
        <v>2</v>
      </c>
      <c r="XA7">
        <v>2</v>
      </c>
      <c r="XB7">
        <v>2</v>
      </c>
      <c r="XC7">
        <v>2</v>
      </c>
      <c r="XD7">
        <v>2</v>
      </c>
      <c r="XE7">
        <v>2</v>
      </c>
      <c r="XF7">
        <v>2</v>
      </c>
      <c r="XG7">
        <v>2</v>
      </c>
      <c r="XH7">
        <v>2</v>
      </c>
      <c r="XI7">
        <v>2</v>
      </c>
      <c r="XJ7">
        <v>2</v>
      </c>
      <c r="XK7">
        <v>2</v>
      </c>
      <c r="XL7">
        <v>2</v>
      </c>
      <c r="XM7">
        <v>2</v>
      </c>
      <c r="XN7">
        <v>2</v>
      </c>
      <c r="XO7">
        <v>2</v>
      </c>
      <c r="XP7">
        <v>2</v>
      </c>
      <c r="XQ7">
        <v>2</v>
      </c>
      <c r="XR7">
        <v>2</v>
      </c>
      <c r="XS7">
        <v>2</v>
      </c>
      <c r="XT7">
        <v>2</v>
      </c>
      <c r="XU7">
        <v>2</v>
      </c>
      <c r="XV7">
        <v>2</v>
      </c>
      <c r="XW7">
        <v>2</v>
      </c>
      <c r="XX7">
        <v>2</v>
      </c>
      <c r="XY7">
        <v>2</v>
      </c>
      <c r="XZ7">
        <v>2</v>
      </c>
      <c r="YA7">
        <v>2</v>
      </c>
      <c r="YB7">
        <v>2</v>
      </c>
      <c r="YC7">
        <v>2</v>
      </c>
      <c r="YD7">
        <v>2</v>
      </c>
      <c r="YE7">
        <v>2</v>
      </c>
      <c r="YF7">
        <v>2</v>
      </c>
      <c r="YG7">
        <v>2</v>
      </c>
      <c r="YH7">
        <v>2</v>
      </c>
      <c r="YI7">
        <v>2</v>
      </c>
      <c r="YJ7">
        <v>2</v>
      </c>
      <c r="YK7">
        <v>2</v>
      </c>
      <c r="YL7">
        <v>2</v>
      </c>
      <c r="YM7">
        <v>2</v>
      </c>
      <c r="YN7">
        <v>2</v>
      </c>
      <c r="YO7">
        <v>2</v>
      </c>
      <c r="YP7">
        <v>2</v>
      </c>
      <c r="YQ7">
        <v>2</v>
      </c>
      <c r="YR7">
        <v>2</v>
      </c>
      <c r="YS7">
        <v>2</v>
      </c>
      <c r="YT7">
        <v>2</v>
      </c>
      <c r="YU7">
        <v>2</v>
      </c>
      <c r="YV7">
        <v>2</v>
      </c>
      <c r="YW7">
        <v>2</v>
      </c>
      <c r="YX7">
        <v>2</v>
      </c>
      <c r="YY7">
        <v>2</v>
      </c>
      <c r="YZ7">
        <v>2</v>
      </c>
      <c r="ZA7">
        <v>2</v>
      </c>
      <c r="ZB7">
        <v>2</v>
      </c>
      <c r="ZC7">
        <v>2</v>
      </c>
      <c r="ZD7">
        <v>2</v>
      </c>
      <c r="ZE7">
        <v>2</v>
      </c>
      <c r="ZF7">
        <v>2</v>
      </c>
      <c r="ZG7">
        <v>2</v>
      </c>
      <c r="ZH7">
        <v>2</v>
      </c>
      <c r="ZI7">
        <v>2</v>
      </c>
      <c r="ZJ7">
        <v>2</v>
      </c>
      <c r="ZK7">
        <v>2</v>
      </c>
      <c r="ZL7">
        <v>2</v>
      </c>
      <c r="ZM7">
        <v>2</v>
      </c>
      <c r="ZN7">
        <v>2</v>
      </c>
      <c r="ZO7">
        <v>2</v>
      </c>
      <c r="ZP7">
        <v>2</v>
      </c>
      <c r="ZQ7">
        <v>2</v>
      </c>
      <c r="ZR7">
        <v>2</v>
      </c>
      <c r="ZS7">
        <v>2</v>
      </c>
      <c r="ZT7">
        <v>2</v>
      </c>
      <c r="ZU7">
        <v>2</v>
      </c>
      <c r="ZV7">
        <v>2</v>
      </c>
      <c r="ZW7">
        <v>2</v>
      </c>
      <c r="ZX7">
        <v>2</v>
      </c>
      <c r="ZY7">
        <v>2</v>
      </c>
      <c r="ZZ7">
        <v>2</v>
      </c>
      <c r="AAA7">
        <v>2</v>
      </c>
      <c r="AAB7">
        <v>2</v>
      </c>
      <c r="AAC7">
        <v>2</v>
      </c>
      <c r="AAD7">
        <v>2</v>
      </c>
      <c r="AAE7">
        <v>2</v>
      </c>
      <c r="AAF7">
        <v>2</v>
      </c>
      <c r="AAG7">
        <v>2</v>
      </c>
      <c r="AAH7">
        <v>2</v>
      </c>
      <c r="AAI7">
        <v>2</v>
      </c>
      <c r="AAJ7">
        <v>2</v>
      </c>
      <c r="AAK7">
        <v>2</v>
      </c>
      <c r="AAL7">
        <v>2</v>
      </c>
      <c r="AAM7">
        <v>2</v>
      </c>
      <c r="AAN7">
        <v>2</v>
      </c>
      <c r="AAO7">
        <v>2</v>
      </c>
      <c r="AAP7">
        <v>2</v>
      </c>
      <c r="AAQ7">
        <v>2</v>
      </c>
      <c r="AAR7">
        <v>2</v>
      </c>
      <c r="AAS7">
        <v>2</v>
      </c>
      <c r="AAT7">
        <v>2</v>
      </c>
      <c r="AAU7">
        <v>2</v>
      </c>
      <c r="AAV7">
        <v>2</v>
      </c>
      <c r="AAW7">
        <v>2</v>
      </c>
      <c r="AAX7">
        <v>2</v>
      </c>
      <c r="AAY7">
        <v>2</v>
      </c>
      <c r="AAZ7">
        <v>2</v>
      </c>
      <c r="ABA7">
        <v>2</v>
      </c>
      <c r="ABB7">
        <v>2</v>
      </c>
      <c r="ABC7">
        <v>2</v>
      </c>
      <c r="ABD7">
        <v>2</v>
      </c>
      <c r="ABE7">
        <v>2</v>
      </c>
      <c r="ABG7" s="1137">
        <f t="shared" si="5"/>
        <v>0</v>
      </c>
      <c r="ABH7" s="1137">
        <f t="shared" si="1"/>
        <v>0</v>
      </c>
      <c r="ABI7" s="1137">
        <f t="shared" si="1"/>
        <v>5</v>
      </c>
      <c r="ABJ7" s="1137">
        <f t="shared" si="1"/>
        <v>30</v>
      </c>
      <c r="ABK7" s="1137">
        <f t="shared" si="1"/>
        <v>31</v>
      </c>
      <c r="ABL7" s="1137">
        <f t="shared" si="1"/>
        <v>30</v>
      </c>
      <c r="ABM7" s="1137">
        <f t="shared" si="1"/>
        <v>31</v>
      </c>
      <c r="ABN7" s="1137">
        <f t="shared" si="1"/>
        <v>31</v>
      </c>
      <c r="ABO7" s="1137">
        <f t="shared" si="1"/>
        <v>30</v>
      </c>
      <c r="ABP7" s="1137">
        <f t="shared" si="1"/>
        <v>31</v>
      </c>
      <c r="ABQ7" s="1137">
        <f t="shared" si="1"/>
        <v>30</v>
      </c>
      <c r="ABR7" s="1137">
        <f t="shared" si="1"/>
        <v>31</v>
      </c>
      <c r="ABS7" s="1137">
        <f t="shared" si="1"/>
        <v>31</v>
      </c>
      <c r="ABT7" s="1137">
        <f t="shared" si="1"/>
        <v>28</v>
      </c>
      <c r="ABU7" s="1137">
        <f t="shared" si="1"/>
        <v>31</v>
      </c>
      <c r="ABV7" s="1137">
        <f t="shared" si="1"/>
        <v>30</v>
      </c>
      <c r="ABW7" s="1137">
        <f t="shared" si="1"/>
        <v>9</v>
      </c>
      <c r="ABX7" s="1137">
        <f t="shared" si="2"/>
        <v>15</v>
      </c>
      <c r="ABY7" s="1137">
        <f t="shared" si="2"/>
        <v>31</v>
      </c>
      <c r="ABZ7" s="1137">
        <f t="shared" si="2"/>
        <v>31</v>
      </c>
      <c r="ACA7" s="1137">
        <f t="shared" si="2"/>
        <v>30</v>
      </c>
      <c r="ACB7" s="1137">
        <f t="shared" si="2"/>
        <v>31</v>
      </c>
      <c r="ACC7" s="1137">
        <f t="shared" si="2"/>
        <v>30</v>
      </c>
      <c r="ACD7" s="1137">
        <f t="shared" si="2"/>
        <v>31</v>
      </c>
      <c r="ACE7" s="1137" t="s">
        <v>134</v>
      </c>
      <c r="ACF7" s="1137">
        <f t="shared" si="6"/>
        <v>0</v>
      </c>
      <c r="ACG7" s="1137">
        <f t="shared" si="3"/>
        <v>0</v>
      </c>
      <c r="ACH7" s="1137">
        <f t="shared" si="3"/>
        <v>0</v>
      </c>
      <c r="ACI7" s="1137">
        <f t="shared" si="3"/>
        <v>1</v>
      </c>
      <c r="ACJ7" s="1137">
        <f t="shared" si="3"/>
        <v>1</v>
      </c>
      <c r="ACK7" s="1137">
        <f t="shared" si="3"/>
        <v>1</v>
      </c>
      <c r="ACL7" s="1137">
        <f t="shared" si="3"/>
        <v>1</v>
      </c>
      <c r="ACM7" s="1137">
        <f t="shared" si="3"/>
        <v>1</v>
      </c>
      <c r="ACN7" s="1137">
        <f t="shared" si="3"/>
        <v>1</v>
      </c>
      <c r="ACO7" s="1137">
        <f t="shared" si="3"/>
        <v>1</v>
      </c>
      <c r="ACP7" s="1137">
        <f t="shared" si="3"/>
        <v>1</v>
      </c>
      <c r="ACQ7" s="1137">
        <f t="shared" si="3"/>
        <v>1</v>
      </c>
      <c r="ACR7" s="1137">
        <f t="shared" si="3"/>
        <v>1</v>
      </c>
      <c r="ACS7" s="1137">
        <f t="shared" si="3"/>
        <v>1</v>
      </c>
      <c r="ACT7" s="1137">
        <f t="shared" si="3"/>
        <v>1</v>
      </c>
      <c r="ACU7" s="1137">
        <f t="shared" si="3"/>
        <v>1</v>
      </c>
      <c r="ACV7" s="1137">
        <f t="shared" si="3"/>
        <v>0</v>
      </c>
      <c r="ACW7" s="1137">
        <f t="shared" si="4"/>
        <v>1</v>
      </c>
      <c r="ACX7" s="1137">
        <f t="shared" si="4"/>
        <v>1</v>
      </c>
      <c r="ACY7" s="1137">
        <f t="shared" si="4"/>
        <v>1</v>
      </c>
      <c r="ACZ7" s="1137">
        <f t="shared" si="4"/>
        <v>1</v>
      </c>
      <c r="ADA7" s="1137">
        <f t="shared" si="4"/>
        <v>1</v>
      </c>
      <c r="ADB7" s="1137">
        <f t="shared" si="4"/>
        <v>1</v>
      </c>
      <c r="ADC7" s="1137">
        <f t="shared" si="4"/>
        <v>1</v>
      </c>
    </row>
    <row r="8" spans="1:783" x14ac:dyDescent="0.25">
      <c r="A8" t="s">
        <v>1802</v>
      </c>
      <c r="B8" t="s">
        <v>131</v>
      </c>
      <c r="C8">
        <v>0</v>
      </c>
      <c r="D8">
        <v>0</v>
      </c>
      <c r="E8">
        <v>0</v>
      </c>
      <c r="F8">
        <v>0</v>
      </c>
      <c r="G8">
        <v>0</v>
      </c>
      <c r="H8">
        <v>0</v>
      </c>
      <c r="I8">
        <v>0</v>
      </c>
      <c r="J8">
        <v>0</v>
      </c>
      <c r="K8">
        <v>0</v>
      </c>
      <c r="L8">
        <v>0</v>
      </c>
      <c r="M8">
        <v>0</v>
      </c>
      <c r="N8">
        <v>0</v>
      </c>
      <c r="O8">
        <v>0</v>
      </c>
      <c r="P8">
        <v>0</v>
      </c>
      <c r="Q8">
        <v>0</v>
      </c>
      <c r="R8">
        <v>0</v>
      </c>
      <c r="S8">
        <v>0</v>
      </c>
      <c r="T8">
        <v>0</v>
      </c>
      <c r="U8">
        <v>0</v>
      </c>
      <c r="V8">
        <v>0</v>
      </c>
      <c r="W8">
        <v>0</v>
      </c>
      <c r="X8">
        <v>0</v>
      </c>
      <c r="Y8">
        <v>0</v>
      </c>
      <c r="Z8">
        <v>0</v>
      </c>
      <c r="AA8">
        <v>0</v>
      </c>
      <c r="AB8">
        <v>0</v>
      </c>
      <c r="AC8">
        <v>0</v>
      </c>
      <c r="AD8">
        <v>0</v>
      </c>
      <c r="AE8">
        <v>0</v>
      </c>
      <c r="AF8">
        <v>0</v>
      </c>
      <c r="AG8">
        <v>0</v>
      </c>
      <c r="AH8">
        <v>0</v>
      </c>
      <c r="AI8">
        <v>0</v>
      </c>
      <c r="AJ8">
        <v>0</v>
      </c>
      <c r="AK8">
        <v>0</v>
      </c>
      <c r="AL8">
        <v>0</v>
      </c>
      <c r="AM8">
        <v>0</v>
      </c>
      <c r="AN8">
        <v>0</v>
      </c>
      <c r="AO8">
        <v>0</v>
      </c>
      <c r="AP8">
        <v>0</v>
      </c>
      <c r="AQ8">
        <v>0</v>
      </c>
      <c r="AR8">
        <v>0</v>
      </c>
      <c r="AS8">
        <v>0</v>
      </c>
      <c r="AT8">
        <v>0</v>
      </c>
      <c r="AU8">
        <v>0</v>
      </c>
      <c r="AV8">
        <v>0</v>
      </c>
      <c r="AW8">
        <v>0</v>
      </c>
      <c r="AX8">
        <v>0</v>
      </c>
      <c r="AY8">
        <v>0</v>
      </c>
      <c r="AZ8">
        <v>0</v>
      </c>
      <c r="BA8">
        <v>0</v>
      </c>
      <c r="BB8">
        <v>0</v>
      </c>
      <c r="BC8">
        <v>0</v>
      </c>
      <c r="BD8">
        <v>0</v>
      </c>
      <c r="BE8">
        <v>0</v>
      </c>
      <c r="BF8">
        <v>0</v>
      </c>
      <c r="BG8">
        <v>0</v>
      </c>
      <c r="BH8">
        <v>0</v>
      </c>
      <c r="BI8">
        <v>0</v>
      </c>
      <c r="BJ8">
        <v>0</v>
      </c>
      <c r="BK8">
        <v>0</v>
      </c>
      <c r="BL8">
        <v>0</v>
      </c>
      <c r="BM8">
        <v>0</v>
      </c>
      <c r="BN8">
        <v>0</v>
      </c>
      <c r="BO8">
        <v>0</v>
      </c>
      <c r="BP8">
        <v>0</v>
      </c>
      <c r="BQ8">
        <v>0</v>
      </c>
      <c r="BR8">
        <v>0</v>
      </c>
      <c r="BS8">
        <v>0</v>
      </c>
      <c r="BT8">
        <v>0</v>
      </c>
      <c r="BU8">
        <v>0</v>
      </c>
      <c r="BV8">
        <v>0</v>
      </c>
      <c r="BW8">
        <v>2</v>
      </c>
      <c r="BX8">
        <v>2</v>
      </c>
      <c r="BY8">
        <v>2</v>
      </c>
      <c r="BZ8">
        <v>2</v>
      </c>
      <c r="CA8">
        <v>2</v>
      </c>
      <c r="CB8">
        <v>2</v>
      </c>
      <c r="CC8">
        <v>2</v>
      </c>
      <c r="CD8">
        <v>2</v>
      </c>
      <c r="CE8">
        <v>2</v>
      </c>
      <c r="CF8">
        <v>2</v>
      </c>
      <c r="CG8">
        <v>2</v>
      </c>
      <c r="CH8">
        <v>2</v>
      </c>
      <c r="CI8">
        <v>2</v>
      </c>
      <c r="CJ8">
        <v>2</v>
      </c>
      <c r="CK8">
        <v>2</v>
      </c>
      <c r="CL8">
        <v>2</v>
      </c>
      <c r="CM8">
        <v>2</v>
      </c>
      <c r="CN8">
        <v>2</v>
      </c>
      <c r="CO8">
        <v>2</v>
      </c>
      <c r="CP8">
        <v>2</v>
      </c>
      <c r="CQ8">
        <v>2</v>
      </c>
      <c r="CR8">
        <v>2</v>
      </c>
      <c r="CS8">
        <v>2</v>
      </c>
      <c r="CT8">
        <v>2</v>
      </c>
      <c r="CU8">
        <v>2</v>
      </c>
      <c r="CV8">
        <v>2</v>
      </c>
      <c r="CW8">
        <v>2</v>
      </c>
      <c r="CX8">
        <v>2</v>
      </c>
      <c r="CY8">
        <v>2</v>
      </c>
      <c r="CZ8">
        <v>2</v>
      </c>
      <c r="DA8">
        <v>2</v>
      </c>
      <c r="DB8">
        <v>2</v>
      </c>
      <c r="DC8">
        <v>2</v>
      </c>
      <c r="DD8">
        <v>2</v>
      </c>
      <c r="DE8">
        <v>2</v>
      </c>
      <c r="DF8">
        <v>2</v>
      </c>
      <c r="DG8">
        <v>2</v>
      </c>
      <c r="DH8">
        <v>2</v>
      </c>
      <c r="DI8">
        <v>2</v>
      </c>
      <c r="DJ8">
        <v>2</v>
      </c>
      <c r="DK8">
        <v>2</v>
      </c>
      <c r="DL8">
        <v>2</v>
      </c>
      <c r="DM8">
        <v>2</v>
      </c>
      <c r="DN8">
        <v>2</v>
      </c>
      <c r="DO8">
        <v>2</v>
      </c>
      <c r="DP8">
        <v>2</v>
      </c>
      <c r="DQ8">
        <v>2</v>
      </c>
      <c r="DR8">
        <v>2</v>
      </c>
      <c r="DS8">
        <v>2</v>
      </c>
      <c r="DT8">
        <v>2</v>
      </c>
      <c r="DU8">
        <v>2</v>
      </c>
      <c r="DV8">
        <v>2</v>
      </c>
      <c r="DW8">
        <v>2</v>
      </c>
      <c r="DX8">
        <v>2</v>
      </c>
      <c r="DY8">
        <v>2</v>
      </c>
      <c r="DZ8">
        <v>2</v>
      </c>
      <c r="EA8">
        <v>2</v>
      </c>
      <c r="EB8">
        <v>2</v>
      </c>
      <c r="EC8">
        <v>2</v>
      </c>
      <c r="ED8">
        <v>2</v>
      </c>
      <c r="EE8">
        <v>2</v>
      </c>
      <c r="EF8">
        <v>2</v>
      </c>
      <c r="EG8">
        <v>2</v>
      </c>
      <c r="EH8">
        <v>2</v>
      </c>
      <c r="EI8">
        <v>2</v>
      </c>
      <c r="EJ8">
        <v>2</v>
      </c>
      <c r="EK8">
        <v>2</v>
      </c>
      <c r="EL8">
        <v>2</v>
      </c>
      <c r="EM8">
        <v>2</v>
      </c>
      <c r="EN8">
        <v>2</v>
      </c>
      <c r="EO8">
        <v>2</v>
      </c>
      <c r="EP8">
        <v>2</v>
      </c>
      <c r="EQ8">
        <v>2</v>
      </c>
      <c r="ER8">
        <v>2</v>
      </c>
      <c r="ES8">
        <v>2</v>
      </c>
      <c r="ET8">
        <v>2</v>
      </c>
      <c r="EU8">
        <v>2</v>
      </c>
      <c r="EV8">
        <v>2</v>
      </c>
      <c r="EW8">
        <v>2</v>
      </c>
      <c r="EX8">
        <v>2</v>
      </c>
      <c r="EY8">
        <v>0</v>
      </c>
      <c r="EZ8">
        <v>0</v>
      </c>
      <c r="FA8">
        <v>0</v>
      </c>
      <c r="FB8">
        <v>0</v>
      </c>
      <c r="FC8">
        <v>0</v>
      </c>
      <c r="FD8">
        <v>0</v>
      </c>
      <c r="FE8">
        <v>0</v>
      </c>
      <c r="FF8">
        <v>0</v>
      </c>
      <c r="FG8">
        <v>0</v>
      </c>
      <c r="FH8">
        <v>0</v>
      </c>
      <c r="FI8">
        <v>0</v>
      </c>
      <c r="FJ8">
        <v>0</v>
      </c>
      <c r="FK8">
        <v>0</v>
      </c>
      <c r="FL8">
        <v>0</v>
      </c>
      <c r="FM8">
        <v>0</v>
      </c>
      <c r="FN8">
        <v>0</v>
      </c>
      <c r="FO8">
        <v>0</v>
      </c>
      <c r="FP8">
        <v>0</v>
      </c>
      <c r="FQ8">
        <v>0</v>
      </c>
      <c r="FR8">
        <v>0</v>
      </c>
      <c r="FS8">
        <v>0</v>
      </c>
      <c r="FT8">
        <v>0</v>
      </c>
      <c r="FU8">
        <v>0</v>
      </c>
      <c r="FV8">
        <v>0</v>
      </c>
      <c r="FW8">
        <v>0</v>
      </c>
      <c r="FX8">
        <v>0</v>
      </c>
      <c r="FY8">
        <v>0</v>
      </c>
      <c r="FZ8">
        <v>0</v>
      </c>
      <c r="GA8">
        <v>0</v>
      </c>
      <c r="GB8">
        <v>0</v>
      </c>
      <c r="GC8">
        <v>0</v>
      </c>
      <c r="GD8">
        <v>0</v>
      </c>
      <c r="GE8">
        <v>0</v>
      </c>
      <c r="GF8">
        <v>0</v>
      </c>
      <c r="GG8">
        <v>0</v>
      </c>
      <c r="GH8">
        <v>0</v>
      </c>
      <c r="GI8">
        <v>0</v>
      </c>
      <c r="GJ8">
        <v>0</v>
      </c>
      <c r="GK8">
        <v>0</v>
      </c>
      <c r="GL8">
        <v>0</v>
      </c>
      <c r="GM8">
        <v>0</v>
      </c>
      <c r="GN8">
        <v>0</v>
      </c>
      <c r="GO8">
        <v>0</v>
      </c>
      <c r="GP8">
        <v>0</v>
      </c>
      <c r="GQ8">
        <v>0</v>
      </c>
      <c r="GR8">
        <v>0</v>
      </c>
      <c r="GS8">
        <v>0</v>
      </c>
      <c r="GT8">
        <v>0</v>
      </c>
      <c r="GU8">
        <v>0</v>
      </c>
      <c r="GV8">
        <v>0</v>
      </c>
      <c r="GW8">
        <v>0</v>
      </c>
      <c r="GX8">
        <v>0</v>
      </c>
      <c r="GY8">
        <v>0</v>
      </c>
      <c r="GZ8">
        <v>0</v>
      </c>
      <c r="HA8">
        <v>0</v>
      </c>
      <c r="HB8">
        <v>0</v>
      </c>
      <c r="HC8">
        <v>0</v>
      </c>
      <c r="HD8">
        <v>0</v>
      </c>
      <c r="HE8">
        <v>0</v>
      </c>
      <c r="HF8">
        <v>0</v>
      </c>
      <c r="HG8">
        <v>0</v>
      </c>
      <c r="HH8">
        <v>0</v>
      </c>
      <c r="HI8">
        <v>0</v>
      </c>
      <c r="HJ8">
        <v>0</v>
      </c>
      <c r="HK8">
        <v>0</v>
      </c>
      <c r="HL8">
        <v>0</v>
      </c>
      <c r="HM8">
        <v>0</v>
      </c>
      <c r="HN8">
        <v>0</v>
      </c>
      <c r="HO8">
        <v>0</v>
      </c>
      <c r="HP8">
        <v>0</v>
      </c>
      <c r="HQ8">
        <v>0</v>
      </c>
      <c r="HR8">
        <v>0</v>
      </c>
      <c r="HS8">
        <v>0</v>
      </c>
      <c r="HT8">
        <v>0</v>
      </c>
      <c r="HU8">
        <v>0</v>
      </c>
      <c r="HV8">
        <v>0</v>
      </c>
      <c r="HW8">
        <v>0</v>
      </c>
      <c r="HX8">
        <v>0</v>
      </c>
      <c r="HY8">
        <v>0</v>
      </c>
      <c r="HZ8">
        <v>0</v>
      </c>
      <c r="IA8">
        <v>0</v>
      </c>
      <c r="IB8">
        <v>0</v>
      </c>
      <c r="IC8">
        <v>0</v>
      </c>
      <c r="ID8">
        <v>0</v>
      </c>
      <c r="IE8">
        <v>0</v>
      </c>
      <c r="IF8">
        <v>0</v>
      </c>
      <c r="IG8">
        <v>0</v>
      </c>
      <c r="IH8">
        <v>0</v>
      </c>
      <c r="II8">
        <v>0</v>
      </c>
      <c r="IJ8">
        <v>0</v>
      </c>
      <c r="IK8">
        <v>0</v>
      </c>
      <c r="IL8">
        <v>0</v>
      </c>
      <c r="IM8">
        <v>0</v>
      </c>
      <c r="IN8">
        <v>0</v>
      </c>
      <c r="IO8">
        <v>0</v>
      </c>
      <c r="IP8">
        <v>0</v>
      </c>
      <c r="IQ8">
        <v>0</v>
      </c>
      <c r="IR8">
        <v>0</v>
      </c>
      <c r="IS8">
        <v>0</v>
      </c>
      <c r="IT8">
        <v>0</v>
      </c>
      <c r="IU8">
        <v>0</v>
      </c>
      <c r="IV8">
        <v>0</v>
      </c>
      <c r="IW8">
        <v>0</v>
      </c>
      <c r="IX8">
        <v>0</v>
      </c>
      <c r="IY8">
        <v>0</v>
      </c>
      <c r="IZ8">
        <v>0</v>
      </c>
      <c r="JA8">
        <v>0</v>
      </c>
      <c r="JB8">
        <v>0</v>
      </c>
      <c r="JC8">
        <v>0</v>
      </c>
      <c r="JD8">
        <v>0</v>
      </c>
      <c r="JE8">
        <v>0</v>
      </c>
      <c r="JF8">
        <v>0</v>
      </c>
      <c r="JG8">
        <v>0</v>
      </c>
      <c r="JH8">
        <v>0</v>
      </c>
      <c r="JI8">
        <v>0</v>
      </c>
      <c r="JJ8">
        <v>0</v>
      </c>
      <c r="JK8">
        <v>0</v>
      </c>
      <c r="JL8">
        <v>0</v>
      </c>
      <c r="JM8">
        <v>0</v>
      </c>
      <c r="JN8">
        <v>0</v>
      </c>
      <c r="JO8">
        <v>0</v>
      </c>
      <c r="JP8">
        <v>0</v>
      </c>
      <c r="JQ8">
        <v>0</v>
      </c>
      <c r="JR8">
        <v>0</v>
      </c>
      <c r="JS8">
        <v>0</v>
      </c>
      <c r="JT8">
        <v>0</v>
      </c>
      <c r="JU8">
        <v>0</v>
      </c>
      <c r="JV8">
        <v>0</v>
      </c>
      <c r="JW8">
        <v>0</v>
      </c>
      <c r="JX8">
        <v>0</v>
      </c>
      <c r="JY8">
        <v>0</v>
      </c>
      <c r="JZ8">
        <v>0</v>
      </c>
      <c r="KA8">
        <v>0</v>
      </c>
      <c r="KB8">
        <v>0</v>
      </c>
      <c r="KC8">
        <v>0</v>
      </c>
      <c r="KD8">
        <v>0</v>
      </c>
      <c r="KE8">
        <v>0</v>
      </c>
      <c r="KF8">
        <v>0</v>
      </c>
      <c r="KG8">
        <v>0</v>
      </c>
      <c r="KH8">
        <v>0</v>
      </c>
      <c r="KI8">
        <v>0</v>
      </c>
      <c r="KJ8">
        <v>0</v>
      </c>
      <c r="KK8">
        <v>0</v>
      </c>
      <c r="KL8">
        <v>0</v>
      </c>
      <c r="KM8">
        <v>0</v>
      </c>
      <c r="KN8">
        <v>0</v>
      </c>
      <c r="KO8">
        <v>0</v>
      </c>
      <c r="KP8">
        <v>0</v>
      </c>
      <c r="KQ8">
        <v>0</v>
      </c>
      <c r="KR8">
        <v>0</v>
      </c>
      <c r="KS8">
        <v>0</v>
      </c>
      <c r="KT8">
        <v>0</v>
      </c>
      <c r="KU8">
        <v>0</v>
      </c>
      <c r="KV8">
        <v>0</v>
      </c>
      <c r="KW8">
        <v>0</v>
      </c>
      <c r="KX8">
        <v>0</v>
      </c>
      <c r="KY8">
        <v>0</v>
      </c>
      <c r="KZ8">
        <v>0</v>
      </c>
      <c r="LA8">
        <v>0</v>
      </c>
      <c r="LB8">
        <v>0</v>
      </c>
      <c r="LC8">
        <v>0</v>
      </c>
      <c r="LD8">
        <v>0</v>
      </c>
      <c r="LE8">
        <v>0</v>
      </c>
      <c r="LF8">
        <v>0</v>
      </c>
      <c r="LG8">
        <v>2</v>
      </c>
      <c r="LH8">
        <v>2</v>
      </c>
      <c r="LI8">
        <v>2</v>
      </c>
      <c r="LJ8">
        <v>2</v>
      </c>
      <c r="LK8">
        <v>2</v>
      </c>
      <c r="LL8">
        <v>2</v>
      </c>
      <c r="LM8">
        <v>2</v>
      </c>
      <c r="LN8">
        <v>2</v>
      </c>
      <c r="LO8">
        <v>2</v>
      </c>
      <c r="LP8">
        <v>2</v>
      </c>
      <c r="LQ8">
        <v>2</v>
      </c>
      <c r="LR8">
        <v>2</v>
      </c>
      <c r="LS8">
        <v>2</v>
      </c>
      <c r="LT8">
        <v>2</v>
      </c>
      <c r="LU8">
        <v>2</v>
      </c>
      <c r="LV8">
        <v>2</v>
      </c>
      <c r="LW8">
        <v>2</v>
      </c>
      <c r="LX8">
        <v>2</v>
      </c>
      <c r="LY8">
        <v>2</v>
      </c>
      <c r="LZ8">
        <v>2</v>
      </c>
      <c r="MA8">
        <v>2</v>
      </c>
      <c r="MB8">
        <v>2</v>
      </c>
      <c r="MC8">
        <v>2</v>
      </c>
      <c r="MD8">
        <v>2</v>
      </c>
      <c r="ME8">
        <v>2</v>
      </c>
      <c r="MF8">
        <v>2</v>
      </c>
      <c r="MG8">
        <v>2</v>
      </c>
      <c r="MH8">
        <v>2</v>
      </c>
      <c r="MI8">
        <v>2</v>
      </c>
      <c r="MJ8">
        <v>2</v>
      </c>
      <c r="MK8">
        <v>2</v>
      </c>
      <c r="ML8">
        <v>2</v>
      </c>
      <c r="MM8">
        <v>2</v>
      </c>
      <c r="MN8">
        <v>2</v>
      </c>
      <c r="MO8">
        <v>2</v>
      </c>
      <c r="MP8">
        <v>2</v>
      </c>
      <c r="MQ8">
        <v>2</v>
      </c>
      <c r="MR8">
        <v>2</v>
      </c>
      <c r="MS8">
        <v>0</v>
      </c>
      <c r="MT8">
        <v>0</v>
      </c>
      <c r="MU8">
        <v>0</v>
      </c>
      <c r="MV8">
        <v>0</v>
      </c>
      <c r="MW8">
        <v>0</v>
      </c>
      <c r="MX8">
        <v>0</v>
      </c>
      <c r="MY8">
        <v>0</v>
      </c>
      <c r="MZ8">
        <v>0</v>
      </c>
      <c r="NA8">
        <v>0</v>
      </c>
      <c r="NB8">
        <v>0</v>
      </c>
      <c r="NC8">
        <v>0</v>
      </c>
      <c r="ND8">
        <v>0</v>
      </c>
      <c r="NE8">
        <v>0</v>
      </c>
      <c r="NF8">
        <v>0</v>
      </c>
      <c r="NG8">
        <v>0</v>
      </c>
      <c r="NH8">
        <v>0</v>
      </c>
      <c r="NI8">
        <v>0</v>
      </c>
      <c r="NJ8">
        <v>0</v>
      </c>
      <c r="NK8">
        <v>0</v>
      </c>
      <c r="NL8">
        <v>0</v>
      </c>
      <c r="NM8">
        <v>0</v>
      </c>
      <c r="NN8">
        <v>0</v>
      </c>
      <c r="NO8">
        <v>0</v>
      </c>
      <c r="NP8">
        <v>0</v>
      </c>
      <c r="NQ8">
        <v>0</v>
      </c>
      <c r="NR8">
        <v>0</v>
      </c>
      <c r="NS8">
        <v>0</v>
      </c>
      <c r="NT8">
        <v>0</v>
      </c>
      <c r="NU8">
        <v>0</v>
      </c>
      <c r="NV8">
        <v>0</v>
      </c>
      <c r="NW8">
        <v>0</v>
      </c>
      <c r="NX8">
        <v>0</v>
      </c>
      <c r="NY8">
        <v>0</v>
      </c>
      <c r="NZ8">
        <v>0</v>
      </c>
      <c r="OA8">
        <v>0</v>
      </c>
      <c r="OB8">
        <v>0</v>
      </c>
      <c r="OC8">
        <v>0</v>
      </c>
      <c r="OD8">
        <v>0</v>
      </c>
      <c r="OE8">
        <v>0</v>
      </c>
      <c r="OF8">
        <v>0</v>
      </c>
      <c r="OG8">
        <v>0</v>
      </c>
      <c r="OH8">
        <v>0</v>
      </c>
      <c r="OI8">
        <v>0</v>
      </c>
      <c r="OJ8">
        <v>0</v>
      </c>
      <c r="OK8">
        <v>0</v>
      </c>
      <c r="OL8">
        <v>0</v>
      </c>
      <c r="OM8">
        <v>0</v>
      </c>
      <c r="ON8">
        <v>0</v>
      </c>
      <c r="OO8">
        <v>0</v>
      </c>
      <c r="OP8">
        <v>0</v>
      </c>
      <c r="OQ8">
        <v>0</v>
      </c>
      <c r="OR8">
        <v>0</v>
      </c>
      <c r="OS8">
        <v>0</v>
      </c>
      <c r="OT8">
        <v>0</v>
      </c>
      <c r="OU8">
        <v>0</v>
      </c>
      <c r="OV8">
        <v>0</v>
      </c>
      <c r="OW8">
        <v>0</v>
      </c>
      <c r="OX8">
        <v>0</v>
      </c>
      <c r="OY8">
        <v>0</v>
      </c>
      <c r="OZ8">
        <v>0</v>
      </c>
      <c r="PA8">
        <v>0</v>
      </c>
      <c r="PB8">
        <v>0</v>
      </c>
      <c r="PC8">
        <v>0</v>
      </c>
      <c r="PD8">
        <v>0</v>
      </c>
      <c r="PE8">
        <v>0</v>
      </c>
      <c r="PF8">
        <v>0</v>
      </c>
      <c r="PG8">
        <v>0</v>
      </c>
      <c r="PH8">
        <v>0</v>
      </c>
      <c r="PI8">
        <v>0</v>
      </c>
      <c r="PJ8">
        <v>0</v>
      </c>
      <c r="PK8">
        <v>0</v>
      </c>
      <c r="PL8">
        <v>0</v>
      </c>
      <c r="PM8">
        <v>0</v>
      </c>
      <c r="PN8">
        <v>0</v>
      </c>
      <c r="PO8">
        <v>0</v>
      </c>
      <c r="PP8">
        <v>0</v>
      </c>
      <c r="PQ8">
        <v>0</v>
      </c>
      <c r="PR8">
        <v>0</v>
      </c>
      <c r="PS8">
        <v>0</v>
      </c>
      <c r="PT8">
        <v>0</v>
      </c>
      <c r="PU8">
        <v>0</v>
      </c>
      <c r="PV8">
        <v>0</v>
      </c>
      <c r="PW8">
        <v>0</v>
      </c>
      <c r="PX8">
        <v>0</v>
      </c>
      <c r="PY8">
        <v>0</v>
      </c>
      <c r="PZ8">
        <v>0</v>
      </c>
      <c r="QA8">
        <v>0</v>
      </c>
      <c r="QB8">
        <v>0</v>
      </c>
      <c r="QC8">
        <v>0</v>
      </c>
      <c r="QD8">
        <v>0</v>
      </c>
      <c r="QE8">
        <v>0</v>
      </c>
      <c r="QF8">
        <v>0</v>
      </c>
      <c r="QG8">
        <v>0</v>
      </c>
      <c r="QH8">
        <v>0</v>
      </c>
      <c r="QI8">
        <v>0</v>
      </c>
      <c r="QJ8">
        <v>0</v>
      </c>
      <c r="QK8">
        <v>0</v>
      </c>
      <c r="QL8">
        <v>0</v>
      </c>
      <c r="QM8">
        <v>0</v>
      </c>
      <c r="QN8">
        <v>0</v>
      </c>
      <c r="QO8">
        <v>0</v>
      </c>
      <c r="QP8">
        <v>0</v>
      </c>
      <c r="QQ8">
        <v>0</v>
      </c>
      <c r="QR8">
        <v>0</v>
      </c>
      <c r="QS8">
        <v>0</v>
      </c>
      <c r="QT8">
        <v>0</v>
      </c>
      <c r="QU8">
        <v>0</v>
      </c>
      <c r="QV8">
        <v>0</v>
      </c>
      <c r="QW8">
        <v>0</v>
      </c>
      <c r="QX8">
        <v>0</v>
      </c>
      <c r="QY8">
        <v>0</v>
      </c>
      <c r="QZ8">
        <v>0</v>
      </c>
      <c r="RA8">
        <v>0</v>
      </c>
      <c r="RB8">
        <v>0</v>
      </c>
      <c r="RC8">
        <v>0</v>
      </c>
      <c r="RD8">
        <v>0</v>
      </c>
      <c r="RE8">
        <v>0</v>
      </c>
      <c r="RF8">
        <v>0</v>
      </c>
      <c r="RG8">
        <v>0</v>
      </c>
      <c r="RH8">
        <v>0</v>
      </c>
      <c r="RI8">
        <v>0</v>
      </c>
      <c r="RJ8">
        <v>0</v>
      </c>
      <c r="RK8">
        <v>0</v>
      </c>
      <c r="RL8">
        <v>0</v>
      </c>
      <c r="RM8">
        <v>0</v>
      </c>
      <c r="RN8">
        <v>0</v>
      </c>
      <c r="RO8">
        <v>0</v>
      </c>
      <c r="RP8">
        <v>0</v>
      </c>
      <c r="RQ8">
        <v>0</v>
      </c>
      <c r="RR8">
        <v>0</v>
      </c>
      <c r="RS8">
        <v>0</v>
      </c>
      <c r="RT8">
        <v>0</v>
      </c>
      <c r="RU8">
        <v>0</v>
      </c>
      <c r="RV8">
        <v>0</v>
      </c>
      <c r="RW8">
        <v>2</v>
      </c>
      <c r="RX8">
        <v>2</v>
      </c>
      <c r="RY8">
        <v>2</v>
      </c>
      <c r="RZ8">
        <v>2</v>
      </c>
      <c r="SA8">
        <v>2</v>
      </c>
      <c r="SB8">
        <v>2</v>
      </c>
      <c r="SC8">
        <v>2</v>
      </c>
      <c r="SD8">
        <v>2</v>
      </c>
      <c r="SE8">
        <v>2</v>
      </c>
      <c r="SF8">
        <v>2</v>
      </c>
      <c r="SG8">
        <v>2</v>
      </c>
      <c r="SH8">
        <v>2</v>
      </c>
      <c r="SI8">
        <v>2</v>
      </c>
      <c r="SJ8">
        <v>2</v>
      </c>
      <c r="SK8">
        <v>2</v>
      </c>
      <c r="SL8">
        <v>2</v>
      </c>
      <c r="SM8">
        <v>2</v>
      </c>
      <c r="SN8">
        <v>2</v>
      </c>
      <c r="SO8">
        <v>0</v>
      </c>
      <c r="SP8">
        <v>0</v>
      </c>
      <c r="SQ8">
        <v>0</v>
      </c>
      <c r="SR8">
        <v>0</v>
      </c>
      <c r="SS8">
        <v>0</v>
      </c>
      <c r="ST8">
        <v>0</v>
      </c>
      <c r="SU8">
        <v>0</v>
      </c>
      <c r="SV8">
        <v>0</v>
      </c>
      <c r="SW8">
        <v>0</v>
      </c>
      <c r="SX8">
        <v>0</v>
      </c>
      <c r="SY8">
        <v>0</v>
      </c>
      <c r="SZ8">
        <v>0</v>
      </c>
      <c r="TA8">
        <v>0</v>
      </c>
      <c r="TB8">
        <v>0</v>
      </c>
      <c r="TC8">
        <v>0</v>
      </c>
      <c r="TD8">
        <v>0</v>
      </c>
      <c r="TE8">
        <v>0</v>
      </c>
      <c r="TF8">
        <v>0</v>
      </c>
      <c r="TG8">
        <v>0</v>
      </c>
      <c r="TH8">
        <v>0</v>
      </c>
      <c r="TI8">
        <v>0</v>
      </c>
      <c r="TJ8">
        <v>0</v>
      </c>
      <c r="TK8">
        <v>0</v>
      </c>
      <c r="TL8">
        <v>0</v>
      </c>
      <c r="TM8">
        <v>0</v>
      </c>
      <c r="TN8">
        <v>0</v>
      </c>
      <c r="TO8">
        <v>0</v>
      </c>
      <c r="TP8">
        <v>0</v>
      </c>
      <c r="TQ8">
        <v>0</v>
      </c>
      <c r="TR8">
        <v>0</v>
      </c>
      <c r="TS8">
        <v>0</v>
      </c>
      <c r="TT8">
        <v>0</v>
      </c>
      <c r="TU8">
        <v>0</v>
      </c>
      <c r="TV8">
        <v>0</v>
      </c>
      <c r="TW8">
        <v>0</v>
      </c>
      <c r="TX8">
        <v>0</v>
      </c>
      <c r="TY8">
        <v>0</v>
      </c>
      <c r="TZ8">
        <v>0</v>
      </c>
      <c r="UA8">
        <v>0</v>
      </c>
      <c r="UB8">
        <v>0</v>
      </c>
      <c r="UC8">
        <v>0</v>
      </c>
      <c r="UD8">
        <v>0</v>
      </c>
      <c r="UE8">
        <v>0</v>
      </c>
      <c r="UF8">
        <v>0</v>
      </c>
      <c r="UG8">
        <v>0</v>
      </c>
      <c r="UH8">
        <v>0</v>
      </c>
      <c r="UI8">
        <v>0</v>
      </c>
      <c r="UJ8">
        <v>0</v>
      </c>
      <c r="UK8">
        <v>0</v>
      </c>
      <c r="UL8">
        <v>0</v>
      </c>
      <c r="UM8">
        <v>0</v>
      </c>
      <c r="UN8">
        <v>0</v>
      </c>
      <c r="UO8">
        <v>0</v>
      </c>
      <c r="UP8">
        <v>0</v>
      </c>
      <c r="UQ8">
        <v>0</v>
      </c>
      <c r="UR8">
        <v>0</v>
      </c>
      <c r="US8">
        <v>0</v>
      </c>
      <c r="UT8">
        <v>0</v>
      </c>
      <c r="UU8">
        <v>0</v>
      </c>
      <c r="UV8">
        <v>0</v>
      </c>
      <c r="UW8">
        <v>0</v>
      </c>
      <c r="UX8">
        <v>0</v>
      </c>
      <c r="UY8">
        <v>0</v>
      </c>
      <c r="UZ8">
        <v>0</v>
      </c>
      <c r="VA8">
        <v>0</v>
      </c>
      <c r="VB8">
        <v>0</v>
      </c>
      <c r="VC8">
        <v>0</v>
      </c>
      <c r="VD8">
        <v>0</v>
      </c>
      <c r="VE8">
        <v>0</v>
      </c>
      <c r="VF8">
        <v>0</v>
      </c>
      <c r="VG8">
        <v>0</v>
      </c>
      <c r="VH8">
        <v>0</v>
      </c>
      <c r="VI8">
        <v>0</v>
      </c>
      <c r="VJ8">
        <v>0</v>
      </c>
      <c r="VK8">
        <v>0</v>
      </c>
      <c r="VL8">
        <v>0</v>
      </c>
      <c r="VM8">
        <v>0</v>
      </c>
      <c r="VN8">
        <v>0</v>
      </c>
      <c r="VO8">
        <v>0</v>
      </c>
      <c r="VP8">
        <v>0</v>
      </c>
      <c r="VQ8">
        <v>0</v>
      </c>
      <c r="VR8">
        <v>0</v>
      </c>
      <c r="VS8">
        <v>0</v>
      </c>
      <c r="VT8">
        <v>0</v>
      </c>
      <c r="VU8">
        <v>0</v>
      </c>
      <c r="VV8">
        <v>0</v>
      </c>
      <c r="VW8">
        <v>0</v>
      </c>
      <c r="VX8">
        <v>0</v>
      </c>
      <c r="VY8">
        <v>0</v>
      </c>
      <c r="VZ8">
        <v>0</v>
      </c>
      <c r="WA8">
        <v>0</v>
      </c>
      <c r="WB8">
        <v>0</v>
      </c>
      <c r="WC8">
        <v>0</v>
      </c>
      <c r="WD8">
        <v>0</v>
      </c>
      <c r="WE8">
        <v>0</v>
      </c>
      <c r="WF8">
        <v>0</v>
      </c>
      <c r="WG8">
        <v>0</v>
      </c>
      <c r="WH8">
        <v>0</v>
      </c>
      <c r="WI8">
        <v>0</v>
      </c>
      <c r="WJ8">
        <v>0</v>
      </c>
      <c r="WK8">
        <v>0</v>
      </c>
      <c r="WL8">
        <v>0</v>
      </c>
      <c r="WM8">
        <v>0</v>
      </c>
      <c r="WN8">
        <v>0</v>
      </c>
      <c r="WO8">
        <v>0</v>
      </c>
      <c r="WP8">
        <v>0</v>
      </c>
      <c r="WQ8">
        <v>0</v>
      </c>
      <c r="WR8">
        <v>0</v>
      </c>
      <c r="WS8">
        <v>0</v>
      </c>
      <c r="WT8">
        <v>0</v>
      </c>
      <c r="WU8">
        <v>0</v>
      </c>
      <c r="WV8">
        <v>0</v>
      </c>
      <c r="WW8">
        <v>0</v>
      </c>
      <c r="WX8">
        <v>0</v>
      </c>
      <c r="WY8">
        <v>0</v>
      </c>
      <c r="WZ8">
        <v>0</v>
      </c>
      <c r="XA8">
        <v>0</v>
      </c>
      <c r="XB8">
        <v>0</v>
      </c>
      <c r="XC8">
        <v>0</v>
      </c>
      <c r="XD8">
        <v>0</v>
      </c>
      <c r="XE8">
        <v>0</v>
      </c>
      <c r="XF8">
        <v>0</v>
      </c>
      <c r="XG8">
        <v>0</v>
      </c>
      <c r="XH8">
        <v>0</v>
      </c>
      <c r="XI8">
        <v>0</v>
      </c>
      <c r="XJ8">
        <v>0</v>
      </c>
      <c r="XK8">
        <v>0</v>
      </c>
      <c r="XL8">
        <v>0</v>
      </c>
      <c r="XM8">
        <v>0</v>
      </c>
      <c r="XN8">
        <v>0</v>
      </c>
      <c r="XO8">
        <v>0</v>
      </c>
      <c r="XP8">
        <v>0</v>
      </c>
      <c r="XQ8">
        <v>0</v>
      </c>
      <c r="XR8">
        <v>0</v>
      </c>
      <c r="XS8">
        <v>0</v>
      </c>
      <c r="XT8">
        <v>0</v>
      </c>
      <c r="XU8">
        <v>0</v>
      </c>
      <c r="XV8">
        <v>0</v>
      </c>
      <c r="XW8">
        <v>0</v>
      </c>
      <c r="XX8">
        <v>0</v>
      </c>
      <c r="XY8">
        <v>0</v>
      </c>
      <c r="XZ8">
        <v>0</v>
      </c>
      <c r="YA8">
        <v>0</v>
      </c>
      <c r="YB8">
        <v>0</v>
      </c>
      <c r="YC8">
        <v>0</v>
      </c>
      <c r="YD8">
        <v>0</v>
      </c>
      <c r="YE8">
        <v>0</v>
      </c>
      <c r="YF8">
        <v>0</v>
      </c>
      <c r="YG8">
        <v>0</v>
      </c>
      <c r="YH8">
        <v>0</v>
      </c>
      <c r="YI8">
        <v>0</v>
      </c>
      <c r="YJ8">
        <v>0</v>
      </c>
      <c r="YK8">
        <v>0</v>
      </c>
      <c r="YL8">
        <v>0</v>
      </c>
      <c r="YM8">
        <v>0</v>
      </c>
      <c r="YN8">
        <v>0</v>
      </c>
      <c r="YO8">
        <v>0</v>
      </c>
      <c r="YP8">
        <v>0</v>
      </c>
      <c r="YQ8">
        <v>0</v>
      </c>
      <c r="YR8">
        <v>0</v>
      </c>
      <c r="YS8">
        <v>0</v>
      </c>
      <c r="YT8">
        <v>0</v>
      </c>
      <c r="YU8">
        <v>0</v>
      </c>
      <c r="YV8">
        <v>0</v>
      </c>
      <c r="YW8">
        <v>0</v>
      </c>
      <c r="YX8">
        <v>0</v>
      </c>
      <c r="YY8">
        <v>0</v>
      </c>
      <c r="YZ8">
        <v>0</v>
      </c>
      <c r="ZA8">
        <v>0</v>
      </c>
      <c r="ZB8">
        <v>0</v>
      </c>
      <c r="ZC8">
        <v>0</v>
      </c>
      <c r="ZD8">
        <v>0</v>
      </c>
      <c r="ZE8">
        <v>0</v>
      </c>
      <c r="ZF8">
        <v>0</v>
      </c>
      <c r="ZG8">
        <v>0</v>
      </c>
      <c r="ZH8">
        <v>0</v>
      </c>
      <c r="ZI8">
        <v>0</v>
      </c>
      <c r="ZJ8">
        <v>0</v>
      </c>
      <c r="ZK8">
        <v>0</v>
      </c>
      <c r="ZL8">
        <v>0</v>
      </c>
      <c r="ZM8">
        <v>0</v>
      </c>
      <c r="ZN8">
        <v>0</v>
      </c>
      <c r="ZO8">
        <v>0</v>
      </c>
      <c r="ZP8">
        <v>0</v>
      </c>
      <c r="ZQ8">
        <v>0</v>
      </c>
      <c r="ZR8">
        <v>0</v>
      </c>
      <c r="ZS8">
        <v>0</v>
      </c>
      <c r="ZT8">
        <v>0</v>
      </c>
      <c r="ZU8">
        <v>0</v>
      </c>
      <c r="ZV8">
        <v>0</v>
      </c>
      <c r="ZW8">
        <v>0</v>
      </c>
      <c r="ZX8">
        <v>0</v>
      </c>
      <c r="ZY8">
        <v>0</v>
      </c>
      <c r="ZZ8">
        <v>0</v>
      </c>
      <c r="AAA8">
        <v>0</v>
      </c>
      <c r="AAB8">
        <v>0</v>
      </c>
      <c r="AAC8">
        <v>0</v>
      </c>
      <c r="AAD8">
        <v>0</v>
      </c>
      <c r="AAE8">
        <v>0</v>
      </c>
      <c r="AAF8">
        <v>0</v>
      </c>
      <c r="AAG8">
        <v>0</v>
      </c>
      <c r="AAH8">
        <v>0</v>
      </c>
      <c r="AAI8">
        <v>0</v>
      </c>
      <c r="AAJ8">
        <v>0</v>
      </c>
      <c r="AAK8">
        <v>0</v>
      </c>
      <c r="AAL8">
        <v>0</v>
      </c>
      <c r="AAM8">
        <v>0</v>
      </c>
      <c r="AAN8">
        <v>0</v>
      </c>
      <c r="AAO8">
        <v>0</v>
      </c>
      <c r="AAP8">
        <v>0</v>
      </c>
      <c r="AAQ8">
        <v>0</v>
      </c>
      <c r="AAR8">
        <v>0</v>
      </c>
      <c r="AAS8">
        <v>0</v>
      </c>
      <c r="AAT8">
        <v>0</v>
      </c>
      <c r="AAU8">
        <v>0</v>
      </c>
      <c r="AAV8">
        <v>0</v>
      </c>
      <c r="AAW8">
        <v>0</v>
      </c>
      <c r="AAX8">
        <v>0</v>
      </c>
      <c r="AAY8">
        <v>0</v>
      </c>
      <c r="AAZ8">
        <v>0</v>
      </c>
      <c r="ABA8">
        <v>0</v>
      </c>
      <c r="ABB8">
        <v>0</v>
      </c>
      <c r="ABC8">
        <v>0</v>
      </c>
      <c r="ABD8">
        <v>0</v>
      </c>
      <c r="ABE8">
        <v>0</v>
      </c>
      <c r="ABG8" s="1137">
        <f t="shared" si="5"/>
        <v>0</v>
      </c>
      <c r="ABH8" s="1137">
        <f t="shared" si="1"/>
        <v>0</v>
      </c>
      <c r="ABI8" s="1137">
        <f t="shared" si="1"/>
        <v>19</v>
      </c>
      <c r="ABJ8" s="1137">
        <f t="shared" si="1"/>
        <v>30</v>
      </c>
      <c r="ABK8" s="1137">
        <f t="shared" si="1"/>
        <v>31</v>
      </c>
      <c r="ABL8" s="1137">
        <f t="shared" si="1"/>
        <v>0</v>
      </c>
      <c r="ABM8" s="1137">
        <f t="shared" si="1"/>
        <v>0</v>
      </c>
      <c r="ABN8" s="1137">
        <f t="shared" si="1"/>
        <v>0</v>
      </c>
      <c r="ABO8" s="1137">
        <f t="shared" si="1"/>
        <v>0</v>
      </c>
      <c r="ABP8" s="1137">
        <f t="shared" si="1"/>
        <v>0</v>
      </c>
      <c r="ABQ8" s="1137">
        <f t="shared" si="1"/>
        <v>19</v>
      </c>
      <c r="ABR8" s="1137">
        <f t="shared" si="1"/>
        <v>19</v>
      </c>
      <c r="ABS8" s="1137">
        <f t="shared" si="1"/>
        <v>0</v>
      </c>
      <c r="ABT8" s="1137">
        <f t="shared" si="1"/>
        <v>0</v>
      </c>
      <c r="ABU8" s="1137">
        <f t="shared" si="1"/>
        <v>0</v>
      </c>
      <c r="ABV8" s="1137">
        <f t="shared" si="1"/>
        <v>0</v>
      </c>
      <c r="ABW8" s="1137">
        <f t="shared" si="1"/>
        <v>18</v>
      </c>
      <c r="ABX8" s="1137">
        <f t="shared" si="2"/>
        <v>0</v>
      </c>
      <c r="ABY8" s="1137">
        <f t="shared" si="2"/>
        <v>0</v>
      </c>
      <c r="ABZ8" s="1137">
        <f t="shared" si="2"/>
        <v>0</v>
      </c>
      <c r="ACA8" s="1137">
        <f t="shared" si="2"/>
        <v>0</v>
      </c>
      <c r="ACB8" s="1137">
        <f t="shared" si="2"/>
        <v>0</v>
      </c>
      <c r="ACC8" s="1137">
        <f t="shared" si="2"/>
        <v>0</v>
      </c>
      <c r="ACD8" s="1137">
        <f t="shared" si="2"/>
        <v>0</v>
      </c>
      <c r="ACE8" s="1137" t="s">
        <v>131</v>
      </c>
      <c r="ACF8" s="1137">
        <f t="shared" si="6"/>
        <v>0</v>
      </c>
      <c r="ACG8" s="1137">
        <f t="shared" si="3"/>
        <v>0</v>
      </c>
      <c r="ACH8" s="1137">
        <f t="shared" si="3"/>
        <v>1</v>
      </c>
      <c r="ACI8" s="1137">
        <f t="shared" si="3"/>
        <v>1</v>
      </c>
      <c r="ACJ8" s="1137">
        <f t="shared" si="3"/>
        <v>1</v>
      </c>
      <c r="ACK8" s="1137">
        <f t="shared" si="3"/>
        <v>0</v>
      </c>
      <c r="ACL8" s="1137">
        <f t="shared" si="3"/>
        <v>0</v>
      </c>
      <c r="ACM8" s="1137">
        <f t="shared" si="3"/>
        <v>0</v>
      </c>
      <c r="ACN8" s="1137">
        <f t="shared" si="3"/>
        <v>0</v>
      </c>
      <c r="ACO8" s="1137">
        <f t="shared" si="3"/>
        <v>0</v>
      </c>
      <c r="ACP8" s="1137">
        <f t="shared" si="3"/>
        <v>1</v>
      </c>
      <c r="ACQ8" s="1137">
        <f t="shared" si="3"/>
        <v>1</v>
      </c>
      <c r="ACR8" s="1137">
        <f t="shared" si="3"/>
        <v>0</v>
      </c>
      <c r="ACS8" s="1137">
        <f t="shared" si="3"/>
        <v>0</v>
      </c>
      <c r="ACT8" s="1137">
        <f t="shared" si="3"/>
        <v>0</v>
      </c>
      <c r="ACU8" s="1137">
        <f t="shared" si="3"/>
        <v>0</v>
      </c>
      <c r="ACV8" s="1137">
        <f t="shared" si="3"/>
        <v>1</v>
      </c>
      <c r="ACW8" s="1137">
        <f t="shared" si="4"/>
        <v>0</v>
      </c>
      <c r="ACX8" s="1137">
        <f t="shared" si="4"/>
        <v>0</v>
      </c>
      <c r="ACY8" s="1137">
        <f t="shared" si="4"/>
        <v>0</v>
      </c>
      <c r="ACZ8" s="1137">
        <f t="shared" si="4"/>
        <v>0</v>
      </c>
      <c r="ADA8" s="1137">
        <f t="shared" si="4"/>
        <v>0</v>
      </c>
      <c r="ADB8" s="1137">
        <f t="shared" si="4"/>
        <v>0</v>
      </c>
      <c r="ADC8" s="1137">
        <f t="shared" si="4"/>
        <v>0</v>
      </c>
    </row>
    <row r="9" spans="1:783" x14ac:dyDescent="0.25">
      <c r="A9" t="s">
        <v>1803</v>
      </c>
      <c r="B9" t="s">
        <v>1804</v>
      </c>
      <c r="C9">
        <v>0</v>
      </c>
      <c r="D9">
        <v>0</v>
      </c>
      <c r="E9">
        <v>0</v>
      </c>
      <c r="F9">
        <v>0</v>
      </c>
      <c r="G9">
        <v>0</v>
      </c>
      <c r="H9">
        <v>0</v>
      </c>
      <c r="I9">
        <v>0</v>
      </c>
      <c r="J9">
        <v>0</v>
      </c>
      <c r="K9">
        <v>0</v>
      </c>
      <c r="L9">
        <v>0</v>
      </c>
      <c r="M9">
        <v>0</v>
      </c>
      <c r="N9">
        <v>0</v>
      </c>
      <c r="O9">
        <v>0</v>
      </c>
      <c r="P9">
        <v>0</v>
      </c>
      <c r="Q9">
        <v>0</v>
      </c>
      <c r="R9">
        <v>0</v>
      </c>
      <c r="S9">
        <v>0</v>
      </c>
      <c r="T9">
        <v>0</v>
      </c>
      <c r="U9">
        <v>0</v>
      </c>
      <c r="V9">
        <v>0</v>
      </c>
      <c r="W9">
        <v>0</v>
      </c>
      <c r="X9">
        <v>0</v>
      </c>
      <c r="Y9">
        <v>0</v>
      </c>
      <c r="Z9">
        <v>0</v>
      </c>
      <c r="AA9">
        <v>0</v>
      </c>
      <c r="AB9">
        <v>0</v>
      </c>
      <c r="AC9">
        <v>0</v>
      </c>
      <c r="AD9">
        <v>0</v>
      </c>
      <c r="AE9">
        <v>0</v>
      </c>
      <c r="AF9">
        <v>0</v>
      </c>
      <c r="AG9">
        <v>0</v>
      </c>
      <c r="AH9">
        <v>0</v>
      </c>
      <c r="AI9">
        <v>0</v>
      </c>
      <c r="AJ9">
        <v>0</v>
      </c>
      <c r="AK9">
        <v>0</v>
      </c>
      <c r="AL9">
        <v>0</v>
      </c>
      <c r="AM9">
        <v>0</v>
      </c>
      <c r="AN9">
        <v>0</v>
      </c>
      <c r="AO9">
        <v>0</v>
      </c>
      <c r="AP9">
        <v>0</v>
      </c>
      <c r="AQ9">
        <v>0</v>
      </c>
      <c r="AR9">
        <v>0</v>
      </c>
      <c r="AS9">
        <v>0</v>
      </c>
      <c r="AT9">
        <v>0</v>
      </c>
      <c r="AU9">
        <v>0</v>
      </c>
      <c r="AV9">
        <v>0</v>
      </c>
      <c r="AW9">
        <v>0</v>
      </c>
      <c r="AX9">
        <v>0</v>
      </c>
      <c r="AY9">
        <v>0</v>
      </c>
      <c r="AZ9">
        <v>0</v>
      </c>
      <c r="BA9">
        <v>0</v>
      </c>
      <c r="BB9">
        <v>0</v>
      </c>
      <c r="BC9">
        <v>0</v>
      </c>
      <c r="BD9">
        <v>0</v>
      </c>
      <c r="BE9">
        <v>0</v>
      </c>
      <c r="BF9">
        <v>0</v>
      </c>
      <c r="BG9">
        <v>0</v>
      </c>
      <c r="BH9">
        <v>0</v>
      </c>
      <c r="BI9">
        <v>0</v>
      </c>
      <c r="BJ9">
        <v>0</v>
      </c>
      <c r="BK9">
        <v>0</v>
      </c>
      <c r="BL9">
        <v>0</v>
      </c>
      <c r="BM9">
        <v>0</v>
      </c>
      <c r="BN9">
        <v>0</v>
      </c>
      <c r="BO9">
        <v>0</v>
      </c>
      <c r="BP9">
        <v>0</v>
      </c>
      <c r="BQ9">
        <v>0</v>
      </c>
      <c r="BR9">
        <v>0</v>
      </c>
      <c r="BS9">
        <v>0</v>
      </c>
      <c r="BT9">
        <v>0</v>
      </c>
      <c r="BU9">
        <v>0</v>
      </c>
      <c r="BV9">
        <v>0</v>
      </c>
      <c r="BW9">
        <v>0</v>
      </c>
      <c r="BX9">
        <v>0</v>
      </c>
      <c r="BY9">
        <v>0</v>
      </c>
      <c r="BZ9">
        <v>0</v>
      </c>
      <c r="CA9">
        <v>0</v>
      </c>
      <c r="CB9">
        <v>0</v>
      </c>
      <c r="CC9">
        <v>0</v>
      </c>
      <c r="CD9">
        <v>0</v>
      </c>
      <c r="CE9">
        <v>0</v>
      </c>
      <c r="CF9">
        <v>0</v>
      </c>
      <c r="CG9">
        <v>0</v>
      </c>
      <c r="CH9">
        <v>0</v>
      </c>
      <c r="CI9">
        <v>0</v>
      </c>
      <c r="CJ9">
        <v>0</v>
      </c>
      <c r="CK9">
        <v>0</v>
      </c>
      <c r="CL9">
        <v>0</v>
      </c>
      <c r="CM9">
        <v>0</v>
      </c>
      <c r="CN9">
        <v>0</v>
      </c>
      <c r="CO9">
        <v>0</v>
      </c>
      <c r="CP9">
        <v>0</v>
      </c>
      <c r="CQ9">
        <v>0</v>
      </c>
      <c r="CR9">
        <v>0</v>
      </c>
      <c r="CS9">
        <v>0</v>
      </c>
      <c r="CT9">
        <v>0</v>
      </c>
      <c r="CU9">
        <v>0</v>
      </c>
      <c r="CV9">
        <v>0</v>
      </c>
      <c r="CW9">
        <v>0</v>
      </c>
      <c r="CX9">
        <v>0</v>
      </c>
      <c r="CY9">
        <v>0</v>
      </c>
      <c r="CZ9">
        <v>0</v>
      </c>
      <c r="DA9">
        <v>0</v>
      </c>
      <c r="DB9">
        <v>0</v>
      </c>
      <c r="DC9">
        <v>0</v>
      </c>
      <c r="DD9">
        <v>0</v>
      </c>
      <c r="DE9">
        <v>0</v>
      </c>
      <c r="DF9">
        <v>0</v>
      </c>
      <c r="DG9">
        <v>0</v>
      </c>
      <c r="DH9">
        <v>0</v>
      </c>
      <c r="DI9">
        <v>0</v>
      </c>
      <c r="DJ9">
        <v>0</v>
      </c>
      <c r="DK9">
        <v>0</v>
      </c>
      <c r="DL9">
        <v>0</v>
      </c>
      <c r="DM9">
        <v>0</v>
      </c>
      <c r="DN9">
        <v>0</v>
      </c>
      <c r="DO9">
        <v>0</v>
      </c>
      <c r="DP9">
        <v>0</v>
      </c>
      <c r="DQ9">
        <v>0</v>
      </c>
      <c r="DR9">
        <v>0</v>
      </c>
      <c r="DS9">
        <v>0</v>
      </c>
      <c r="DT9">
        <v>0</v>
      </c>
      <c r="DU9">
        <v>0</v>
      </c>
      <c r="DV9">
        <v>0</v>
      </c>
      <c r="DW9">
        <v>0</v>
      </c>
      <c r="DX9">
        <v>0</v>
      </c>
      <c r="DY9">
        <v>0</v>
      </c>
      <c r="DZ9">
        <v>0</v>
      </c>
      <c r="EA9">
        <v>0</v>
      </c>
      <c r="EB9">
        <v>0</v>
      </c>
      <c r="EC9">
        <v>0</v>
      </c>
      <c r="ED9">
        <v>0</v>
      </c>
      <c r="EE9">
        <v>0</v>
      </c>
      <c r="EF9">
        <v>0</v>
      </c>
      <c r="EG9">
        <v>0</v>
      </c>
      <c r="EH9">
        <v>0</v>
      </c>
      <c r="EI9">
        <v>0</v>
      </c>
      <c r="EJ9">
        <v>0</v>
      </c>
      <c r="EK9">
        <v>0</v>
      </c>
      <c r="EL9">
        <v>0</v>
      </c>
      <c r="EM9">
        <v>0</v>
      </c>
      <c r="EN9">
        <v>0</v>
      </c>
      <c r="EO9">
        <v>0</v>
      </c>
      <c r="EP9">
        <v>0</v>
      </c>
      <c r="EQ9">
        <v>0</v>
      </c>
      <c r="ER9">
        <v>0</v>
      </c>
      <c r="ES9">
        <v>0</v>
      </c>
      <c r="ET9">
        <v>0</v>
      </c>
      <c r="EU9">
        <v>0</v>
      </c>
      <c r="EV9">
        <v>0</v>
      </c>
      <c r="EW9">
        <v>0</v>
      </c>
      <c r="EX9">
        <v>0</v>
      </c>
      <c r="EY9">
        <v>0</v>
      </c>
      <c r="EZ9">
        <v>0</v>
      </c>
      <c r="FA9">
        <v>0</v>
      </c>
      <c r="FB9">
        <v>0</v>
      </c>
      <c r="FC9">
        <v>0</v>
      </c>
      <c r="FD9">
        <v>0</v>
      </c>
      <c r="FE9">
        <v>0</v>
      </c>
      <c r="FF9">
        <v>0</v>
      </c>
      <c r="FG9">
        <v>0</v>
      </c>
      <c r="FH9">
        <v>0</v>
      </c>
      <c r="FI9">
        <v>0</v>
      </c>
      <c r="FJ9">
        <v>0</v>
      </c>
      <c r="FK9">
        <v>0</v>
      </c>
      <c r="FL9">
        <v>0</v>
      </c>
      <c r="FM9">
        <v>0</v>
      </c>
      <c r="FN9">
        <v>0</v>
      </c>
      <c r="FO9">
        <v>0</v>
      </c>
      <c r="FP9">
        <v>0</v>
      </c>
      <c r="FQ9">
        <v>0</v>
      </c>
      <c r="FR9">
        <v>0</v>
      </c>
      <c r="FS9">
        <v>0</v>
      </c>
      <c r="FT9">
        <v>0</v>
      </c>
      <c r="FU9">
        <v>0</v>
      </c>
      <c r="FV9">
        <v>0</v>
      </c>
      <c r="FW9">
        <v>0</v>
      </c>
      <c r="FX9">
        <v>0</v>
      </c>
      <c r="FY9">
        <v>0</v>
      </c>
      <c r="FZ9">
        <v>0</v>
      </c>
      <c r="GA9">
        <v>0</v>
      </c>
      <c r="GB9">
        <v>0</v>
      </c>
      <c r="GC9">
        <v>0</v>
      </c>
      <c r="GD9">
        <v>0</v>
      </c>
      <c r="GE9">
        <v>0</v>
      </c>
      <c r="GF9">
        <v>0</v>
      </c>
      <c r="GG9">
        <v>0</v>
      </c>
      <c r="GH9">
        <v>0</v>
      </c>
      <c r="GI9">
        <v>0</v>
      </c>
      <c r="GJ9">
        <v>0</v>
      </c>
      <c r="GK9">
        <v>0</v>
      </c>
      <c r="GL9">
        <v>0</v>
      </c>
      <c r="GM9">
        <v>0</v>
      </c>
      <c r="GN9">
        <v>0</v>
      </c>
      <c r="GO9">
        <v>0</v>
      </c>
      <c r="GP9">
        <v>0</v>
      </c>
      <c r="GQ9">
        <v>0</v>
      </c>
      <c r="GR9">
        <v>0</v>
      </c>
      <c r="GS9">
        <v>0</v>
      </c>
      <c r="GT9">
        <v>0</v>
      </c>
      <c r="GU9">
        <v>0</v>
      </c>
      <c r="GV9">
        <v>0</v>
      </c>
      <c r="GW9">
        <v>0</v>
      </c>
      <c r="GX9">
        <v>0</v>
      </c>
      <c r="GY9">
        <v>0</v>
      </c>
      <c r="GZ9">
        <v>0</v>
      </c>
      <c r="HA9">
        <v>0</v>
      </c>
      <c r="HB9">
        <v>0</v>
      </c>
      <c r="HC9">
        <v>0</v>
      </c>
      <c r="HD9">
        <v>0</v>
      </c>
      <c r="HE9">
        <v>0</v>
      </c>
      <c r="HF9">
        <v>0</v>
      </c>
      <c r="HG9">
        <v>0</v>
      </c>
      <c r="HH9">
        <v>0</v>
      </c>
      <c r="HI9">
        <v>0</v>
      </c>
      <c r="HJ9">
        <v>0</v>
      </c>
      <c r="HK9">
        <v>0</v>
      </c>
      <c r="HL9">
        <v>0</v>
      </c>
      <c r="HM9">
        <v>0</v>
      </c>
      <c r="HN9">
        <v>0</v>
      </c>
      <c r="HO9">
        <v>0</v>
      </c>
      <c r="HP9">
        <v>0</v>
      </c>
      <c r="HQ9">
        <v>0</v>
      </c>
      <c r="HR9">
        <v>0</v>
      </c>
      <c r="HS9">
        <v>0</v>
      </c>
      <c r="HT9">
        <v>0</v>
      </c>
      <c r="HU9">
        <v>0</v>
      </c>
      <c r="HV9">
        <v>0</v>
      </c>
      <c r="HW9">
        <v>0</v>
      </c>
      <c r="HX9">
        <v>0</v>
      </c>
      <c r="HY9">
        <v>0</v>
      </c>
      <c r="HZ9">
        <v>0</v>
      </c>
      <c r="IA9">
        <v>0</v>
      </c>
      <c r="IB9">
        <v>0</v>
      </c>
      <c r="IC9">
        <v>0</v>
      </c>
      <c r="ID9">
        <v>0</v>
      </c>
      <c r="IE9">
        <v>0</v>
      </c>
      <c r="IF9">
        <v>0</v>
      </c>
      <c r="IG9">
        <v>0</v>
      </c>
      <c r="IH9">
        <v>0</v>
      </c>
      <c r="II9">
        <v>0</v>
      </c>
      <c r="IJ9">
        <v>0</v>
      </c>
      <c r="IK9">
        <v>0</v>
      </c>
      <c r="IL9">
        <v>0</v>
      </c>
      <c r="IM9">
        <v>0</v>
      </c>
      <c r="IN9">
        <v>0</v>
      </c>
      <c r="IO9">
        <v>0</v>
      </c>
      <c r="IP9">
        <v>0</v>
      </c>
      <c r="IQ9">
        <v>0</v>
      </c>
      <c r="IR9">
        <v>0</v>
      </c>
      <c r="IS9">
        <v>0</v>
      </c>
      <c r="IT9">
        <v>0</v>
      </c>
      <c r="IU9">
        <v>0</v>
      </c>
      <c r="IV9">
        <v>0</v>
      </c>
      <c r="IW9">
        <v>0</v>
      </c>
      <c r="IX9">
        <v>0</v>
      </c>
      <c r="IY9">
        <v>0</v>
      </c>
      <c r="IZ9">
        <v>0</v>
      </c>
      <c r="JA9">
        <v>0</v>
      </c>
      <c r="JB9">
        <v>0</v>
      </c>
      <c r="JC9">
        <v>0</v>
      </c>
      <c r="JD9">
        <v>0</v>
      </c>
      <c r="JE9">
        <v>0</v>
      </c>
      <c r="JF9">
        <v>0</v>
      </c>
      <c r="JG9">
        <v>0</v>
      </c>
      <c r="JH9">
        <v>0</v>
      </c>
      <c r="JI9">
        <v>0</v>
      </c>
      <c r="JJ9">
        <v>0</v>
      </c>
      <c r="JK9">
        <v>0</v>
      </c>
      <c r="JL9">
        <v>0</v>
      </c>
      <c r="JM9">
        <v>0</v>
      </c>
      <c r="JN9">
        <v>0</v>
      </c>
      <c r="JO9">
        <v>0</v>
      </c>
      <c r="JP9">
        <v>0</v>
      </c>
      <c r="JQ9">
        <v>0</v>
      </c>
      <c r="JR9">
        <v>0</v>
      </c>
      <c r="JS9">
        <v>0</v>
      </c>
      <c r="JT9">
        <v>0</v>
      </c>
      <c r="JU9">
        <v>0</v>
      </c>
      <c r="JV9">
        <v>0</v>
      </c>
      <c r="JW9">
        <v>0</v>
      </c>
      <c r="JX9">
        <v>0</v>
      </c>
      <c r="JY9">
        <v>0</v>
      </c>
      <c r="JZ9">
        <v>0</v>
      </c>
      <c r="KA9">
        <v>0</v>
      </c>
      <c r="KB9">
        <v>0</v>
      </c>
      <c r="KC9">
        <v>0</v>
      </c>
      <c r="KD9">
        <v>0</v>
      </c>
      <c r="KE9">
        <v>0</v>
      </c>
      <c r="KF9">
        <v>0</v>
      </c>
      <c r="KG9">
        <v>0</v>
      </c>
      <c r="KH9">
        <v>0</v>
      </c>
      <c r="KI9">
        <v>0</v>
      </c>
      <c r="KJ9">
        <v>0</v>
      </c>
      <c r="KK9">
        <v>0</v>
      </c>
      <c r="KL9">
        <v>0</v>
      </c>
      <c r="KM9">
        <v>0</v>
      </c>
      <c r="KN9">
        <v>0</v>
      </c>
      <c r="KO9">
        <v>0</v>
      </c>
      <c r="KP9">
        <v>0</v>
      </c>
      <c r="KQ9">
        <v>0</v>
      </c>
      <c r="KR9">
        <v>0</v>
      </c>
      <c r="KS9">
        <v>0</v>
      </c>
      <c r="KT9">
        <v>0</v>
      </c>
      <c r="KU9">
        <v>0</v>
      </c>
      <c r="KV9">
        <v>0</v>
      </c>
      <c r="KW9">
        <v>0</v>
      </c>
      <c r="KX9">
        <v>0</v>
      </c>
      <c r="KY9">
        <v>0</v>
      </c>
      <c r="KZ9">
        <v>0</v>
      </c>
      <c r="LA9">
        <v>0</v>
      </c>
      <c r="LB9">
        <v>0</v>
      </c>
      <c r="LC9">
        <v>0</v>
      </c>
      <c r="LD9">
        <v>0</v>
      </c>
      <c r="LE9">
        <v>0</v>
      </c>
      <c r="LF9">
        <v>0</v>
      </c>
      <c r="LG9">
        <v>0</v>
      </c>
      <c r="LH9">
        <v>0</v>
      </c>
      <c r="LI9">
        <v>0</v>
      </c>
      <c r="LJ9">
        <v>0</v>
      </c>
      <c r="LK9">
        <v>0</v>
      </c>
      <c r="LL9">
        <v>0</v>
      </c>
      <c r="LM9">
        <v>0</v>
      </c>
      <c r="LN9">
        <v>0</v>
      </c>
      <c r="LO9">
        <v>0</v>
      </c>
      <c r="LP9">
        <v>0</v>
      </c>
      <c r="LQ9">
        <v>0</v>
      </c>
      <c r="LR9">
        <v>0</v>
      </c>
      <c r="LS9">
        <v>0</v>
      </c>
      <c r="LT9">
        <v>0</v>
      </c>
      <c r="LU9">
        <v>0</v>
      </c>
      <c r="LV9">
        <v>0</v>
      </c>
      <c r="LW9">
        <v>0</v>
      </c>
      <c r="LX9">
        <v>0</v>
      </c>
      <c r="LY9">
        <v>0</v>
      </c>
      <c r="LZ9">
        <v>0</v>
      </c>
      <c r="MA9">
        <v>0</v>
      </c>
      <c r="MB9">
        <v>0</v>
      </c>
      <c r="MC9">
        <v>0</v>
      </c>
      <c r="MD9">
        <v>0</v>
      </c>
      <c r="ME9">
        <v>0</v>
      </c>
      <c r="MF9">
        <v>0</v>
      </c>
      <c r="MG9">
        <v>0</v>
      </c>
      <c r="MH9">
        <v>0</v>
      </c>
      <c r="MI9">
        <v>0</v>
      </c>
      <c r="MJ9">
        <v>0</v>
      </c>
      <c r="MK9">
        <v>0</v>
      </c>
      <c r="ML9">
        <v>0</v>
      </c>
      <c r="MM9">
        <v>0</v>
      </c>
      <c r="MN9">
        <v>0</v>
      </c>
      <c r="MO9">
        <v>0</v>
      </c>
      <c r="MP9">
        <v>0</v>
      </c>
      <c r="MQ9">
        <v>0</v>
      </c>
      <c r="MR9">
        <v>0</v>
      </c>
      <c r="MS9">
        <v>0</v>
      </c>
      <c r="MT9">
        <v>0</v>
      </c>
      <c r="MU9">
        <v>0</v>
      </c>
      <c r="MV9">
        <v>0</v>
      </c>
      <c r="MW9">
        <v>0</v>
      </c>
      <c r="MX9">
        <v>0</v>
      </c>
      <c r="MY9">
        <v>0</v>
      </c>
      <c r="MZ9">
        <v>0</v>
      </c>
      <c r="NA9">
        <v>0</v>
      </c>
      <c r="NB9">
        <v>0</v>
      </c>
      <c r="NC9">
        <v>0</v>
      </c>
      <c r="ND9">
        <v>0</v>
      </c>
      <c r="NE9">
        <v>0</v>
      </c>
      <c r="NF9">
        <v>0</v>
      </c>
      <c r="NG9">
        <v>0</v>
      </c>
      <c r="NH9">
        <v>0</v>
      </c>
      <c r="NI9">
        <v>0</v>
      </c>
      <c r="NJ9">
        <v>0</v>
      </c>
      <c r="NK9">
        <v>0</v>
      </c>
      <c r="NL9">
        <v>0</v>
      </c>
      <c r="NM9">
        <v>0</v>
      </c>
      <c r="NN9">
        <v>0</v>
      </c>
      <c r="NO9">
        <v>0</v>
      </c>
      <c r="NP9">
        <v>0</v>
      </c>
      <c r="NQ9">
        <v>0</v>
      </c>
      <c r="NR9">
        <v>0</v>
      </c>
      <c r="NS9">
        <v>0</v>
      </c>
      <c r="NT9">
        <v>0</v>
      </c>
      <c r="NU9">
        <v>0</v>
      </c>
      <c r="NV9">
        <v>0</v>
      </c>
      <c r="NW9">
        <v>0</v>
      </c>
      <c r="NX9">
        <v>0</v>
      </c>
      <c r="NY9">
        <v>0</v>
      </c>
      <c r="NZ9">
        <v>0</v>
      </c>
      <c r="OA9">
        <v>0</v>
      </c>
      <c r="OB9">
        <v>0</v>
      </c>
      <c r="OC9">
        <v>0</v>
      </c>
      <c r="OD9">
        <v>0</v>
      </c>
      <c r="OE9">
        <v>0</v>
      </c>
      <c r="OF9">
        <v>0</v>
      </c>
      <c r="OG9">
        <v>0</v>
      </c>
      <c r="OH9">
        <v>0</v>
      </c>
      <c r="OI9">
        <v>0</v>
      </c>
      <c r="OJ9">
        <v>0</v>
      </c>
      <c r="OK9">
        <v>0</v>
      </c>
      <c r="OL9">
        <v>0</v>
      </c>
      <c r="OM9">
        <v>0</v>
      </c>
      <c r="ON9">
        <v>0</v>
      </c>
      <c r="OO9">
        <v>0</v>
      </c>
      <c r="OP9">
        <v>0</v>
      </c>
      <c r="OQ9">
        <v>0</v>
      </c>
      <c r="OR9">
        <v>0</v>
      </c>
      <c r="OS9">
        <v>0</v>
      </c>
      <c r="OT9">
        <v>0</v>
      </c>
      <c r="OU9">
        <v>0</v>
      </c>
      <c r="OV9">
        <v>0</v>
      </c>
      <c r="OW9">
        <v>0</v>
      </c>
      <c r="OX9">
        <v>0</v>
      </c>
      <c r="OY9">
        <v>0</v>
      </c>
      <c r="OZ9">
        <v>0</v>
      </c>
      <c r="PA9">
        <v>0</v>
      </c>
      <c r="PB9">
        <v>0</v>
      </c>
      <c r="PC9">
        <v>0</v>
      </c>
      <c r="PD9">
        <v>0</v>
      </c>
      <c r="PE9">
        <v>0</v>
      </c>
      <c r="PF9">
        <v>0</v>
      </c>
      <c r="PG9">
        <v>0</v>
      </c>
      <c r="PH9">
        <v>0</v>
      </c>
      <c r="PI9">
        <v>0</v>
      </c>
      <c r="PJ9">
        <v>0</v>
      </c>
      <c r="PK9">
        <v>0</v>
      </c>
      <c r="PL9">
        <v>0</v>
      </c>
      <c r="PM9">
        <v>0</v>
      </c>
      <c r="PN9">
        <v>0</v>
      </c>
      <c r="PO9">
        <v>0</v>
      </c>
      <c r="PP9">
        <v>0</v>
      </c>
      <c r="PQ9">
        <v>0</v>
      </c>
      <c r="PR9">
        <v>0</v>
      </c>
      <c r="PS9">
        <v>0</v>
      </c>
      <c r="PT9">
        <v>0</v>
      </c>
      <c r="PU9">
        <v>0</v>
      </c>
      <c r="PV9">
        <v>0</v>
      </c>
      <c r="PW9">
        <v>0</v>
      </c>
      <c r="PX9">
        <v>0</v>
      </c>
      <c r="PY9">
        <v>0</v>
      </c>
      <c r="PZ9">
        <v>0</v>
      </c>
      <c r="QA9">
        <v>0</v>
      </c>
      <c r="QB9">
        <v>0</v>
      </c>
      <c r="QC9">
        <v>0</v>
      </c>
      <c r="QD9">
        <v>0</v>
      </c>
      <c r="QE9">
        <v>0</v>
      </c>
      <c r="QF9">
        <v>0</v>
      </c>
      <c r="QG9">
        <v>0</v>
      </c>
      <c r="QH9">
        <v>0</v>
      </c>
      <c r="QI9">
        <v>0</v>
      </c>
      <c r="QJ9">
        <v>0</v>
      </c>
      <c r="QK9">
        <v>0</v>
      </c>
      <c r="QL9">
        <v>0</v>
      </c>
      <c r="QM9">
        <v>0</v>
      </c>
      <c r="QN9">
        <v>0</v>
      </c>
      <c r="QO9">
        <v>0</v>
      </c>
      <c r="QP9">
        <v>0</v>
      </c>
      <c r="QQ9">
        <v>0</v>
      </c>
      <c r="QR9">
        <v>0</v>
      </c>
      <c r="QS9">
        <v>0</v>
      </c>
      <c r="QT9">
        <v>0</v>
      </c>
      <c r="QU9">
        <v>0</v>
      </c>
      <c r="QV9">
        <v>0</v>
      </c>
      <c r="QW9">
        <v>0</v>
      </c>
      <c r="QX9">
        <v>0</v>
      </c>
      <c r="QY9">
        <v>0</v>
      </c>
      <c r="QZ9">
        <v>0</v>
      </c>
      <c r="RA9">
        <v>0</v>
      </c>
      <c r="RB9">
        <v>0</v>
      </c>
      <c r="RC9">
        <v>0</v>
      </c>
      <c r="RD9">
        <v>0</v>
      </c>
      <c r="RE9">
        <v>0</v>
      </c>
      <c r="RF9">
        <v>0</v>
      </c>
      <c r="RG9">
        <v>0</v>
      </c>
      <c r="RH9">
        <v>0</v>
      </c>
      <c r="RI9">
        <v>0</v>
      </c>
      <c r="RJ9">
        <v>0</v>
      </c>
      <c r="RK9">
        <v>0</v>
      </c>
      <c r="RL9">
        <v>0</v>
      </c>
      <c r="RM9">
        <v>0</v>
      </c>
      <c r="RN9">
        <v>0</v>
      </c>
      <c r="RO9">
        <v>0</v>
      </c>
      <c r="RP9">
        <v>0</v>
      </c>
      <c r="RQ9">
        <v>0</v>
      </c>
      <c r="RR9">
        <v>1</v>
      </c>
      <c r="RS9">
        <v>1</v>
      </c>
      <c r="RT9">
        <v>1</v>
      </c>
      <c r="RU9">
        <v>1</v>
      </c>
      <c r="RV9">
        <v>1</v>
      </c>
      <c r="RW9">
        <v>1</v>
      </c>
      <c r="RX9">
        <v>1</v>
      </c>
      <c r="RY9">
        <v>1</v>
      </c>
      <c r="RZ9">
        <v>1</v>
      </c>
      <c r="SA9">
        <v>1</v>
      </c>
      <c r="SB9">
        <v>1</v>
      </c>
      <c r="SC9">
        <v>1</v>
      </c>
      <c r="SD9">
        <v>1</v>
      </c>
      <c r="SE9">
        <v>0</v>
      </c>
      <c r="SF9">
        <v>0</v>
      </c>
      <c r="SG9">
        <v>0</v>
      </c>
      <c r="SH9">
        <v>0</v>
      </c>
      <c r="SI9">
        <v>0</v>
      </c>
      <c r="SJ9">
        <v>0</v>
      </c>
      <c r="SK9">
        <v>0</v>
      </c>
      <c r="SL9">
        <v>0</v>
      </c>
      <c r="SM9">
        <v>0</v>
      </c>
      <c r="SN9">
        <v>0</v>
      </c>
      <c r="SO9">
        <v>0</v>
      </c>
      <c r="SP9">
        <v>0</v>
      </c>
      <c r="SQ9">
        <v>0</v>
      </c>
      <c r="SR9">
        <v>0</v>
      </c>
      <c r="SS9">
        <v>0</v>
      </c>
      <c r="ST9">
        <v>0</v>
      </c>
      <c r="SU9">
        <v>0</v>
      </c>
      <c r="SV9">
        <v>0</v>
      </c>
      <c r="SW9">
        <v>0</v>
      </c>
      <c r="SX9">
        <v>0</v>
      </c>
      <c r="SY9">
        <v>0</v>
      </c>
      <c r="SZ9">
        <v>0</v>
      </c>
      <c r="TA9">
        <v>0</v>
      </c>
      <c r="TB9">
        <v>0</v>
      </c>
      <c r="TC9">
        <v>0</v>
      </c>
      <c r="TD9">
        <v>0</v>
      </c>
      <c r="TE9">
        <v>0</v>
      </c>
      <c r="TF9">
        <v>0</v>
      </c>
      <c r="TG9">
        <v>0</v>
      </c>
      <c r="TH9">
        <v>0</v>
      </c>
      <c r="TI9">
        <v>0</v>
      </c>
      <c r="TJ9">
        <v>0</v>
      </c>
      <c r="TK9">
        <v>0</v>
      </c>
      <c r="TL9">
        <v>0</v>
      </c>
      <c r="TM9">
        <v>0</v>
      </c>
      <c r="TN9">
        <v>0</v>
      </c>
      <c r="TO9">
        <v>0</v>
      </c>
      <c r="TP9">
        <v>0</v>
      </c>
      <c r="TQ9">
        <v>0</v>
      </c>
      <c r="TR9">
        <v>0</v>
      </c>
      <c r="TS9">
        <v>0</v>
      </c>
      <c r="TT9">
        <v>0</v>
      </c>
      <c r="TU9">
        <v>0</v>
      </c>
      <c r="TV9">
        <v>0</v>
      </c>
      <c r="TW9">
        <v>0</v>
      </c>
      <c r="TX9">
        <v>0</v>
      </c>
      <c r="TY9">
        <v>0</v>
      </c>
      <c r="TZ9">
        <v>0</v>
      </c>
      <c r="UA9">
        <v>0</v>
      </c>
      <c r="UB9">
        <v>0</v>
      </c>
      <c r="UC9">
        <v>0</v>
      </c>
      <c r="UD9">
        <v>0</v>
      </c>
      <c r="UE9">
        <v>0</v>
      </c>
      <c r="UF9">
        <v>0</v>
      </c>
      <c r="UG9">
        <v>0</v>
      </c>
      <c r="UH9">
        <v>0</v>
      </c>
      <c r="UI9">
        <v>0</v>
      </c>
      <c r="UJ9">
        <v>0</v>
      </c>
      <c r="UK9">
        <v>0</v>
      </c>
      <c r="UL9">
        <v>0</v>
      </c>
      <c r="UM9">
        <v>0</v>
      </c>
      <c r="UN9">
        <v>0</v>
      </c>
      <c r="UO9">
        <v>0</v>
      </c>
      <c r="UP9">
        <v>0</v>
      </c>
      <c r="UQ9">
        <v>0</v>
      </c>
      <c r="UR9">
        <v>0</v>
      </c>
      <c r="US9">
        <v>0</v>
      </c>
      <c r="UT9">
        <v>0</v>
      </c>
      <c r="UU9">
        <v>0</v>
      </c>
      <c r="UV9">
        <v>0</v>
      </c>
      <c r="UW9">
        <v>0</v>
      </c>
      <c r="UX9">
        <v>0</v>
      </c>
      <c r="UY9">
        <v>0</v>
      </c>
      <c r="UZ9">
        <v>0</v>
      </c>
      <c r="VA9">
        <v>0</v>
      </c>
      <c r="VB9">
        <v>0</v>
      </c>
      <c r="VC9">
        <v>0</v>
      </c>
      <c r="VD9">
        <v>0</v>
      </c>
      <c r="VE9">
        <v>0</v>
      </c>
      <c r="VF9">
        <v>0</v>
      </c>
      <c r="VG9">
        <v>0</v>
      </c>
      <c r="VH9">
        <v>0</v>
      </c>
      <c r="VI9">
        <v>0</v>
      </c>
      <c r="VJ9">
        <v>0</v>
      </c>
      <c r="VK9">
        <v>0</v>
      </c>
      <c r="VL9">
        <v>0</v>
      </c>
      <c r="VM9">
        <v>0</v>
      </c>
      <c r="VN9">
        <v>0</v>
      </c>
      <c r="VO9">
        <v>0</v>
      </c>
      <c r="VP9">
        <v>0</v>
      </c>
      <c r="VQ9">
        <v>0</v>
      </c>
      <c r="VR9">
        <v>0</v>
      </c>
      <c r="VS9">
        <v>0</v>
      </c>
      <c r="VT9">
        <v>0</v>
      </c>
      <c r="VU9">
        <v>0</v>
      </c>
      <c r="VV9">
        <v>0</v>
      </c>
      <c r="VW9">
        <v>0</v>
      </c>
      <c r="VX9">
        <v>0</v>
      </c>
      <c r="VY9">
        <v>0</v>
      </c>
      <c r="VZ9">
        <v>0</v>
      </c>
      <c r="WA9">
        <v>0</v>
      </c>
      <c r="WB9">
        <v>0</v>
      </c>
      <c r="WC9">
        <v>0</v>
      </c>
      <c r="WD9">
        <v>0</v>
      </c>
      <c r="WE9">
        <v>0</v>
      </c>
      <c r="WF9">
        <v>0</v>
      </c>
      <c r="WG9">
        <v>0</v>
      </c>
      <c r="WH9">
        <v>0</v>
      </c>
      <c r="WI9">
        <v>0</v>
      </c>
      <c r="WJ9">
        <v>0</v>
      </c>
      <c r="WK9">
        <v>0</v>
      </c>
      <c r="WL9">
        <v>0</v>
      </c>
      <c r="WM9">
        <v>0</v>
      </c>
      <c r="WN9">
        <v>0</v>
      </c>
      <c r="WO9">
        <v>0</v>
      </c>
      <c r="WP9">
        <v>0</v>
      </c>
      <c r="WQ9">
        <v>0</v>
      </c>
      <c r="WR9">
        <v>0</v>
      </c>
      <c r="WS9">
        <v>0</v>
      </c>
      <c r="WT9">
        <v>0</v>
      </c>
      <c r="WU9">
        <v>0</v>
      </c>
      <c r="WV9">
        <v>0</v>
      </c>
      <c r="WW9">
        <v>0</v>
      </c>
      <c r="WX9">
        <v>0</v>
      </c>
      <c r="WY9">
        <v>0</v>
      </c>
      <c r="WZ9">
        <v>0</v>
      </c>
      <c r="XA9">
        <v>0</v>
      </c>
      <c r="XB9">
        <v>0</v>
      </c>
      <c r="XC9">
        <v>0</v>
      </c>
      <c r="XD9">
        <v>0</v>
      </c>
      <c r="XE9">
        <v>0</v>
      </c>
      <c r="XF9">
        <v>0</v>
      </c>
      <c r="XG9">
        <v>0</v>
      </c>
      <c r="XH9">
        <v>0</v>
      </c>
      <c r="XI9">
        <v>0</v>
      </c>
      <c r="XJ9">
        <v>0</v>
      </c>
      <c r="XK9">
        <v>0</v>
      </c>
      <c r="XL9">
        <v>0</v>
      </c>
      <c r="XM9">
        <v>0</v>
      </c>
      <c r="XN9">
        <v>0</v>
      </c>
      <c r="XO9">
        <v>0</v>
      </c>
      <c r="XP9">
        <v>0</v>
      </c>
      <c r="XQ9">
        <v>0</v>
      </c>
      <c r="XR9">
        <v>0</v>
      </c>
      <c r="XS9">
        <v>0</v>
      </c>
      <c r="XT9">
        <v>0</v>
      </c>
      <c r="XU9">
        <v>0</v>
      </c>
      <c r="XV9">
        <v>0</v>
      </c>
      <c r="XW9">
        <v>0</v>
      </c>
      <c r="XX9">
        <v>0</v>
      </c>
      <c r="XY9">
        <v>0</v>
      </c>
      <c r="XZ9">
        <v>0</v>
      </c>
      <c r="YA9">
        <v>0</v>
      </c>
      <c r="YB9">
        <v>0</v>
      </c>
      <c r="YC9">
        <v>0</v>
      </c>
      <c r="YD9">
        <v>0</v>
      </c>
      <c r="YE9">
        <v>0</v>
      </c>
      <c r="YF9">
        <v>0</v>
      </c>
      <c r="YG9">
        <v>0</v>
      </c>
      <c r="YH9">
        <v>0</v>
      </c>
      <c r="YI9">
        <v>0</v>
      </c>
      <c r="YJ9">
        <v>0</v>
      </c>
      <c r="YK9">
        <v>0</v>
      </c>
      <c r="YL9">
        <v>0</v>
      </c>
      <c r="YM9">
        <v>0</v>
      </c>
      <c r="YN9">
        <v>0</v>
      </c>
      <c r="YO9">
        <v>0</v>
      </c>
      <c r="YP9">
        <v>0</v>
      </c>
      <c r="YQ9">
        <v>0</v>
      </c>
      <c r="YR9">
        <v>0</v>
      </c>
      <c r="YS9">
        <v>0</v>
      </c>
      <c r="YT9">
        <v>0</v>
      </c>
      <c r="YU9">
        <v>0</v>
      </c>
      <c r="YV9">
        <v>0</v>
      </c>
      <c r="YW9">
        <v>0</v>
      </c>
      <c r="YX9">
        <v>0</v>
      </c>
      <c r="YY9">
        <v>0</v>
      </c>
      <c r="YZ9">
        <v>0</v>
      </c>
      <c r="ZA9">
        <v>0</v>
      </c>
      <c r="ZB9">
        <v>0</v>
      </c>
      <c r="ZC9">
        <v>0</v>
      </c>
      <c r="ZD9">
        <v>0</v>
      </c>
      <c r="ZE9">
        <v>0</v>
      </c>
      <c r="ZF9">
        <v>0</v>
      </c>
      <c r="ZG9">
        <v>0</v>
      </c>
      <c r="ZH9">
        <v>0</v>
      </c>
      <c r="ZI9">
        <v>0</v>
      </c>
      <c r="ZJ9">
        <v>0</v>
      </c>
      <c r="ZK9">
        <v>0</v>
      </c>
      <c r="ZL9">
        <v>0</v>
      </c>
      <c r="ZM9">
        <v>0</v>
      </c>
      <c r="ZN9">
        <v>0</v>
      </c>
      <c r="ZO9">
        <v>0</v>
      </c>
      <c r="ZP9">
        <v>0</v>
      </c>
      <c r="ZQ9">
        <v>0</v>
      </c>
      <c r="ZR9">
        <v>0</v>
      </c>
      <c r="ZS9">
        <v>0</v>
      </c>
      <c r="ZT9">
        <v>0</v>
      </c>
      <c r="ZU9">
        <v>0</v>
      </c>
      <c r="ZV9">
        <v>0</v>
      </c>
      <c r="ZW9">
        <v>0</v>
      </c>
      <c r="ZX9">
        <v>0</v>
      </c>
      <c r="ZY9">
        <v>0</v>
      </c>
      <c r="ZZ9">
        <v>0</v>
      </c>
      <c r="AAA9">
        <v>0</v>
      </c>
      <c r="AAB9">
        <v>0</v>
      </c>
      <c r="AAC9">
        <v>0</v>
      </c>
      <c r="AAD9">
        <v>0</v>
      </c>
      <c r="AAE9">
        <v>0</v>
      </c>
      <c r="AAF9">
        <v>0</v>
      </c>
      <c r="AAG9">
        <v>1</v>
      </c>
      <c r="AAH9">
        <v>1</v>
      </c>
      <c r="AAI9">
        <v>1</v>
      </c>
      <c r="AAJ9">
        <v>1</v>
      </c>
      <c r="AAK9">
        <v>1</v>
      </c>
      <c r="AAL9">
        <v>1</v>
      </c>
      <c r="AAM9">
        <v>1</v>
      </c>
      <c r="AAN9">
        <v>1</v>
      </c>
      <c r="AAO9">
        <v>1</v>
      </c>
      <c r="AAP9">
        <v>1</v>
      </c>
      <c r="AAQ9">
        <v>1</v>
      </c>
      <c r="AAR9">
        <v>1</v>
      </c>
      <c r="AAS9">
        <v>1</v>
      </c>
      <c r="AAT9">
        <v>1</v>
      </c>
      <c r="AAU9">
        <v>1</v>
      </c>
      <c r="AAV9">
        <v>1</v>
      </c>
      <c r="AAW9">
        <v>1</v>
      </c>
      <c r="AAX9">
        <v>1</v>
      </c>
      <c r="AAY9">
        <v>1</v>
      </c>
      <c r="AAZ9">
        <v>1</v>
      </c>
      <c r="ABA9">
        <v>1</v>
      </c>
      <c r="ABB9">
        <v>1</v>
      </c>
      <c r="ABC9">
        <v>1</v>
      </c>
      <c r="ABD9">
        <v>1</v>
      </c>
      <c r="ABE9">
        <v>1</v>
      </c>
      <c r="ABG9" s="1137">
        <f t="shared" si="5"/>
        <v>0</v>
      </c>
      <c r="ABH9" s="1137">
        <f t="shared" si="1"/>
        <v>0</v>
      </c>
      <c r="ABI9" s="1137">
        <f t="shared" si="1"/>
        <v>0</v>
      </c>
      <c r="ABJ9" s="1137">
        <f t="shared" si="1"/>
        <v>0</v>
      </c>
      <c r="ABK9" s="1137">
        <f t="shared" si="1"/>
        <v>0</v>
      </c>
      <c r="ABL9" s="1137">
        <f t="shared" si="1"/>
        <v>0</v>
      </c>
      <c r="ABM9" s="1137">
        <f t="shared" si="1"/>
        <v>0</v>
      </c>
      <c r="ABN9" s="1137">
        <f t="shared" si="1"/>
        <v>0</v>
      </c>
      <c r="ABO9" s="1137">
        <f t="shared" si="1"/>
        <v>0</v>
      </c>
      <c r="ABP9" s="1137">
        <f t="shared" si="1"/>
        <v>0</v>
      </c>
      <c r="ABQ9" s="1137">
        <f t="shared" si="1"/>
        <v>0</v>
      </c>
      <c r="ABR9" s="1137">
        <f t="shared" si="1"/>
        <v>0</v>
      </c>
      <c r="ABS9" s="1137">
        <f t="shared" si="1"/>
        <v>0</v>
      </c>
      <c r="ABT9" s="1137">
        <f t="shared" si="1"/>
        <v>0</v>
      </c>
      <c r="ABU9" s="1137">
        <f t="shared" si="1"/>
        <v>0</v>
      </c>
      <c r="ABV9" s="1137">
        <f t="shared" si="1"/>
        <v>3</v>
      </c>
      <c r="ABW9" s="1137">
        <f t="shared" si="1"/>
        <v>10</v>
      </c>
      <c r="ABX9" s="1137">
        <f t="shared" si="2"/>
        <v>0</v>
      </c>
      <c r="ABY9" s="1137">
        <f t="shared" si="2"/>
        <v>0</v>
      </c>
      <c r="ABZ9" s="1137">
        <f t="shared" si="2"/>
        <v>0</v>
      </c>
      <c r="ACA9" s="1137">
        <f t="shared" si="2"/>
        <v>0</v>
      </c>
      <c r="ACB9" s="1137">
        <f t="shared" si="2"/>
        <v>0</v>
      </c>
      <c r="ACC9" s="1137">
        <f t="shared" si="2"/>
        <v>0</v>
      </c>
      <c r="ACD9" s="1137">
        <f t="shared" si="2"/>
        <v>25</v>
      </c>
      <c r="ACE9" s="1137" t="s">
        <v>1804</v>
      </c>
      <c r="ACF9" s="1137">
        <f t="shared" si="6"/>
        <v>0</v>
      </c>
      <c r="ACG9" s="1137">
        <f t="shared" si="3"/>
        <v>0</v>
      </c>
      <c r="ACH9" s="1137">
        <f t="shared" si="3"/>
        <v>0</v>
      </c>
      <c r="ACI9" s="1137">
        <f t="shared" si="3"/>
        <v>0</v>
      </c>
      <c r="ACJ9" s="1137">
        <f t="shared" si="3"/>
        <v>0</v>
      </c>
      <c r="ACK9" s="1137">
        <f t="shared" si="3"/>
        <v>0</v>
      </c>
      <c r="ACL9" s="1137">
        <f t="shared" si="3"/>
        <v>0</v>
      </c>
      <c r="ACM9" s="1137">
        <f t="shared" si="3"/>
        <v>0</v>
      </c>
      <c r="ACN9" s="1137">
        <f t="shared" si="3"/>
        <v>0</v>
      </c>
      <c r="ACO9" s="1137">
        <f t="shared" si="3"/>
        <v>0</v>
      </c>
      <c r="ACP9" s="1137">
        <f t="shared" si="3"/>
        <v>0</v>
      </c>
      <c r="ACQ9" s="1137">
        <f t="shared" si="3"/>
        <v>0</v>
      </c>
      <c r="ACR9" s="1137">
        <f t="shared" si="3"/>
        <v>0</v>
      </c>
      <c r="ACS9" s="1137">
        <f t="shared" si="3"/>
        <v>0</v>
      </c>
      <c r="ACT9" s="1137">
        <f t="shared" si="3"/>
        <v>0</v>
      </c>
      <c r="ACU9" s="1137">
        <f t="shared" si="3"/>
        <v>0</v>
      </c>
      <c r="ACV9" s="1137">
        <f t="shared" si="3"/>
        <v>0</v>
      </c>
      <c r="ACW9" s="1137">
        <f t="shared" si="4"/>
        <v>0</v>
      </c>
      <c r="ACX9" s="1137">
        <f t="shared" si="4"/>
        <v>0</v>
      </c>
      <c r="ACY9" s="1137">
        <f t="shared" si="4"/>
        <v>0</v>
      </c>
      <c r="ACZ9" s="1137">
        <f t="shared" si="4"/>
        <v>0</v>
      </c>
      <c r="ADA9" s="1137">
        <f t="shared" si="4"/>
        <v>0</v>
      </c>
      <c r="ADB9" s="1137">
        <f t="shared" si="4"/>
        <v>0</v>
      </c>
      <c r="ADC9" s="1137">
        <f t="shared" si="4"/>
        <v>1</v>
      </c>
    </row>
    <row r="10" spans="1:783" x14ac:dyDescent="0.25">
      <c r="A10" t="s">
        <v>1805</v>
      </c>
      <c r="B10" t="s">
        <v>273</v>
      </c>
      <c r="C10">
        <v>0</v>
      </c>
      <c r="D10">
        <v>0</v>
      </c>
      <c r="E10">
        <v>0</v>
      </c>
      <c r="F10">
        <v>0</v>
      </c>
      <c r="G10">
        <v>0</v>
      </c>
      <c r="H10">
        <v>0</v>
      </c>
      <c r="I10">
        <v>0</v>
      </c>
      <c r="J10">
        <v>0</v>
      </c>
      <c r="K10">
        <v>0</v>
      </c>
      <c r="L10">
        <v>0</v>
      </c>
      <c r="M10">
        <v>0</v>
      </c>
      <c r="N10">
        <v>0</v>
      </c>
      <c r="O10">
        <v>0</v>
      </c>
      <c r="P10">
        <v>0</v>
      </c>
      <c r="Q10">
        <v>0</v>
      </c>
      <c r="R10">
        <v>0</v>
      </c>
      <c r="S10">
        <v>0</v>
      </c>
      <c r="T10">
        <v>0</v>
      </c>
      <c r="U10">
        <v>0</v>
      </c>
      <c r="V10">
        <v>0</v>
      </c>
      <c r="W10">
        <v>0</v>
      </c>
      <c r="X10">
        <v>0</v>
      </c>
      <c r="Y10">
        <v>0</v>
      </c>
      <c r="Z10">
        <v>0</v>
      </c>
      <c r="AA10">
        <v>0</v>
      </c>
      <c r="AB10">
        <v>0</v>
      </c>
      <c r="AC10">
        <v>0</v>
      </c>
      <c r="AD10">
        <v>0</v>
      </c>
      <c r="AE10">
        <v>0</v>
      </c>
      <c r="AF10">
        <v>0</v>
      </c>
      <c r="AG10">
        <v>0</v>
      </c>
      <c r="AH10">
        <v>0</v>
      </c>
      <c r="AI10">
        <v>0</v>
      </c>
      <c r="AJ10">
        <v>0</v>
      </c>
      <c r="AK10">
        <v>0</v>
      </c>
      <c r="AL10">
        <v>0</v>
      </c>
      <c r="AM10">
        <v>0</v>
      </c>
      <c r="AN10">
        <v>0</v>
      </c>
      <c r="AO10">
        <v>0</v>
      </c>
      <c r="AP10">
        <v>0</v>
      </c>
      <c r="AQ10">
        <v>0</v>
      </c>
      <c r="AR10">
        <v>0</v>
      </c>
      <c r="AS10">
        <v>0</v>
      </c>
      <c r="AT10">
        <v>0</v>
      </c>
      <c r="AU10">
        <v>0</v>
      </c>
      <c r="AV10">
        <v>0</v>
      </c>
      <c r="AW10">
        <v>0</v>
      </c>
      <c r="AX10">
        <v>0</v>
      </c>
      <c r="AY10">
        <v>0</v>
      </c>
      <c r="AZ10">
        <v>0</v>
      </c>
      <c r="BA10">
        <v>0</v>
      </c>
      <c r="BB10">
        <v>0</v>
      </c>
      <c r="BC10">
        <v>0</v>
      </c>
      <c r="BD10">
        <v>0</v>
      </c>
      <c r="BE10">
        <v>0</v>
      </c>
      <c r="BF10">
        <v>0</v>
      </c>
      <c r="BG10">
        <v>0</v>
      </c>
      <c r="BH10">
        <v>0</v>
      </c>
      <c r="BI10">
        <v>0</v>
      </c>
      <c r="BJ10">
        <v>0</v>
      </c>
      <c r="BK10">
        <v>0</v>
      </c>
      <c r="BL10">
        <v>0</v>
      </c>
      <c r="BM10">
        <v>0</v>
      </c>
      <c r="BN10">
        <v>0</v>
      </c>
      <c r="BO10">
        <v>0</v>
      </c>
      <c r="BP10">
        <v>0</v>
      </c>
      <c r="BQ10">
        <v>0</v>
      </c>
      <c r="BR10">
        <v>0</v>
      </c>
      <c r="BS10">
        <v>0</v>
      </c>
      <c r="BT10">
        <v>0</v>
      </c>
      <c r="BU10">
        <v>0</v>
      </c>
      <c r="BV10">
        <v>0</v>
      </c>
      <c r="BW10">
        <v>0</v>
      </c>
      <c r="BX10">
        <v>0</v>
      </c>
      <c r="BY10">
        <v>0</v>
      </c>
      <c r="BZ10">
        <v>0</v>
      </c>
      <c r="CA10">
        <v>0</v>
      </c>
      <c r="CB10">
        <v>0</v>
      </c>
      <c r="CC10">
        <v>0</v>
      </c>
      <c r="CD10">
        <v>0</v>
      </c>
      <c r="CE10">
        <v>0</v>
      </c>
      <c r="CF10">
        <v>0</v>
      </c>
      <c r="CG10">
        <v>2</v>
      </c>
      <c r="CH10">
        <v>2</v>
      </c>
      <c r="CI10">
        <v>2</v>
      </c>
      <c r="CJ10">
        <v>2</v>
      </c>
      <c r="CK10">
        <v>2</v>
      </c>
      <c r="CL10">
        <v>2</v>
      </c>
      <c r="CM10">
        <v>2</v>
      </c>
      <c r="CN10">
        <v>2</v>
      </c>
      <c r="CO10">
        <v>2</v>
      </c>
      <c r="CP10">
        <v>2</v>
      </c>
      <c r="CQ10">
        <v>2</v>
      </c>
      <c r="CR10">
        <v>2</v>
      </c>
      <c r="CS10">
        <v>2</v>
      </c>
      <c r="CT10">
        <v>2</v>
      </c>
      <c r="CU10">
        <v>2</v>
      </c>
      <c r="CV10">
        <v>2</v>
      </c>
      <c r="CW10">
        <v>2</v>
      </c>
      <c r="CX10">
        <v>2</v>
      </c>
      <c r="CY10">
        <v>2</v>
      </c>
      <c r="CZ10">
        <v>2</v>
      </c>
      <c r="DA10">
        <v>2</v>
      </c>
      <c r="DB10">
        <v>2</v>
      </c>
      <c r="DC10">
        <v>2</v>
      </c>
      <c r="DD10">
        <v>2</v>
      </c>
      <c r="DE10">
        <v>2</v>
      </c>
      <c r="DF10">
        <v>2</v>
      </c>
      <c r="DG10">
        <v>2</v>
      </c>
      <c r="DH10">
        <v>2</v>
      </c>
      <c r="DI10">
        <v>2</v>
      </c>
      <c r="DJ10">
        <v>2</v>
      </c>
      <c r="DK10">
        <v>2</v>
      </c>
      <c r="DL10">
        <v>2</v>
      </c>
      <c r="DM10">
        <v>2</v>
      </c>
      <c r="DN10">
        <v>2</v>
      </c>
      <c r="DO10">
        <v>2</v>
      </c>
      <c r="DP10">
        <v>2</v>
      </c>
      <c r="DQ10">
        <v>2</v>
      </c>
      <c r="DR10">
        <v>1</v>
      </c>
      <c r="DS10">
        <v>1</v>
      </c>
      <c r="DT10">
        <v>1</v>
      </c>
      <c r="DU10">
        <v>1</v>
      </c>
      <c r="DV10">
        <v>1</v>
      </c>
      <c r="DW10">
        <v>1</v>
      </c>
      <c r="DX10">
        <v>1</v>
      </c>
      <c r="DY10">
        <v>1</v>
      </c>
      <c r="DZ10">
        <v>1</v>
      </c>
      <c r="EA10">
        <v>1</v>
      </c>
      <c r="EB10">
        <v>1</v>
      </c>
      <c r="EC10">
        <v>1</v>
      </c>
      <c r="ED10">
        <v>1</v>
      </c>
      <c r="EE10">
        <v>1</v>
      </c>
      <c r="EF10">
        <v>1</v>
      </c>
      <c r="EG10">
        <v>1</v>
      </c>
      <c r="EH10">
        <v>1</v>
      </c>
      <c r="EI10">
        <v>1</v>
      </c>
      <c r="EJ10">
        <v>1</v>
      </c>
      <c r="EK10">
        <v>1</v>
      </c>
      <c r="EL10">
        <v>1</v>
      </c>
      <c r="EM10">
        <v>1</v>
      </c>
      <c r="EN10">
        <v>1</v>
      </c>
      <c r="EO10">
        <v>1</v>
      </c>
      <c r="EP10">
        <v>1</v>
      </c>
      <c r="EQ10">
        <v>1</v>
      </c>
      <c r="ER10">
        <v>1</v>
      </c>
      <c r="ES10">
        <v>1</v>
      </c>
      <c r="ET10">
        <v>1</v>
      </c>
      <c r="EU10">
        <v>1</v>
      </c>
      <c r="EV10">
        <v>1</v>
      </c>
      <c r="EW10">
        <v>1</v>
      </c>
      <c r="EX10">
        <v>1</v>
      </c>
      <c r="EY10">
        <v>1</v>
      </c>
      <c r="EZ10">
        <v>1</v>
      </c>
      <c r="FA10">
        <v>1</v>
      </c>
      <c r="FB10">
        <v>1</v>
      </c>
      <c r="FC10">
        <v>1</v>
      </c>
      <c r="FD10">
        <v>1</v>
      </c>
      <c r="FE10">
        <v>1</v>
      </c>
      <c r="FF10">
        <v>1</v>
      </c>
      <c r="FG10">
        <v>1</v>
      </c>
      <c r="FH10">
        <v>1</v>
      </c>
      <c r="FI10">
        <v>1</v>
      </c>
      <c r="FJ10">
        <v>1</v>
      </c>
      <c r="FK10">
        <v>1</v>
      </c>
      <c r="FL10">
        <v>1</v>
      </c>
      <c r="FM10">
        <v>1</v>
      </c>
      <c r="FN10">
        <v>1</v>
      </c>
      <c r="FO10">
        <v>1</v>
      </c>
      <c r="FP10">
        <v>1</v>
      </c>
      <c r="FQ10">
        <v>1</v>
      </c>
      <c r="FR10">
        <v>1</v>
      </c>
      <c r="FS10">
        <v>1</v>
      </c>
      <c r="FT10">
        <v>1</v>
      </c>
      <c r="FU10">
        <v>1</v>
      </c>
      <c r="FV10">
        <v>1</v>
      </c>
      <c r="FW10">
        <v>1</v>
      </c>
      <c r="FX10">
        <v>1</v>
      </c>
      <c r="FY10">
        <v>1</v>
      </c>
      <c r="FZ10">
        <v>1</v>
      </c>
      <c r="GA10">
        <v>1</v>
      </c>
      <c r="GB10">
        <v>1</v>
      </c>
      <c r="GC10">
        <v>1</v>
      </c>
      <c r="GD10">
        <v>1</v>
      </c>
      <c r="GE10">
        <v>1</v>
      </c>
      <c r="GF10">
        <v>1</v>
      </c>
      <c r="GG10">
        <v>1</v>
      </c>
      <c r="GH10">
        <v>1</v>
      </c>
      <c r="GI10">
        <v>1</v>
      </c>
      <c r="GJ10">
        <v>1</v>
      </c>
      <c r="GK10">
        <v>1</v>
      </c>
      <c r="GL10">
        <v>1</v>
      </c>
      <c r="GM10">
        <v>1</v>
      </c>
      <c r="GN10">
        <v>1</v>
      </c>
      <c r="GO10">
        <v>1</v>
      </c>
      <c r="GP10">
        <v>1</v>
      </c>
      <c r="GQ10">
        <v>1</v>
      </c>
      <c r="GR10">
        <v>1</v>
      </c>
      <c r="GS10">
        <v>1</v>
      </c>
      <c r="GT10">
        <v>1</v>
      </c>
      <c r="GU10">
        <v>1</v>
      </c>
      <c r="GV10">
        <v>1</v>
      </c>
      <c r="GW10">
        <v>1</v>
      </c>
      <c r="GX10">
        <v>1</v>
      </c>
      <c r="GY10">
        <v>1</v>
      </c>
      <c r="GZ10">
        <v>1</v>
      </c>
      <c r="HA10">
        <v>1</v>
      </c>
      <c r="HB10">
        <v>1</v>
      </c>
      <c r="HC10">
        <v>1</v>
      </c>
      <c r="HD10">
        <v>1</v>
      </c>
      <c r="HE10">
        <v>1</v>
      </c>
      <c r="HF10">
        <v>1</v>
      </c>
      <c r="HG10">
        <v>1</v>
      </c>
      <c r="HH10">
        <v>1</v>
      </c>
      <c r="HI10">
        <v>1</v>
      </c>
      <c r="HJ10">
        <v>1</v>
      </c>
      <c r="HK10">
        <v>1</v>
      </c>
      <c r="HL10">
        <v>1</v>
      </c>
      <c r="HM10">
        <v>1</v>
      </c>
      <c r="HN10">
        <v>1</v>
      </c>
      <c r="HO10">
        <v>1</v>
      </c>
      <c r="HP10">
        <v>1</v>
      </c>
      <c r="HQ10">
        <v>1</v>
      </c>
      <c r="HR10">
        <v>1</v>
      </c>
      <c r="HS10">
        <v>1</v>
      </c>
      <c r="HT10">
        <v>1</v>
      </c>
      <c r="HU10">
        <v>1</v>
      </c>
      <c r="HV10">
        <v>1</v>
      </c>
      <c r="HW10">
        <v>1</v>
      </c>
      <c r="HX10">
        <v>1</v>
      </c>
      <c r="HY10">
        <v>1</v>
      </c>
      <c r="HZ10">
        <v>1</v>
      </c>
      <c r="IA10">
        <v>1</v>
      </c>
      <c r="IB10">
        <v>1</v>
      </c>
      <c r="IC10">
        <v>1</v>
      </c>
      <c r="ID10">
        <v>1</v>
      </c>
      <c r="IE10">
        <v>1</v>
      </c>
      <c r="IF10">
        <v>1</v>
      </c>
      <c r="IG10">
        <v>1</v>
      </c>
      <c r="IH10">
        <v>1</v>
      </c>
      <c r="II10">
        <v>1</v>
      </c>
      <c r="IJ10">
        <v>1</v>
      </c>
      <c r="IK10">
        <v>1</v>
      </c>
      <c r="IL10">
        <v>1</v>
      </c>
      <c r="IM10">
        <v>1</v>
      </c>
      <c r="IN10">
        <v>1</v>
      </c>
      <c r="IO10">
        <v>1</v>
      </c>
      <c r="IP10">
        <v>1</v>
      </c>
      <c r="IQ10">
        <v>1</v>
      </c>
      <c r="IR10">
        <v>1</v>
      </c>
      <c r="IS10">
        <v>1</v>
      </c>
      <c r="IT10">
        <v>1</v>
      </c>
      <c r="IU10">
        <v>1</v>
      </c>
      <c r="IV10">
        <v>1</v>
      </c>
      <c r="IW10">
        <v>1</v>
      </c>
      <c r="IX10">
        <v>1</v>
      </c>
      <c r="IY10">
        <v>1</v>
      </c>
      <c r="IZ10">
        <v>1</v>
      </c>
      <c r="JA10">
        <v>1</v>
      </c>
      <c r="JB10">
        <v>1</v>
      </c>
      <c r="JC10">
        <v>1</v>
      </c>
      <c r="JD10">
        <v>1</v>
      </c>
      <c r="JE10">
        <v>1</v>
      </c>
      <c r="JF10">
        <v>1</v>
      </c>
      <c r="JG10">
        <v>1</v>
      </c>
      <c r="JH10">
        <v>1</v>
      </c>
      <c r="JI10">
        <v>1</v>
      </c>
      <c r="JJ10">
        <v>1</v>
      </c>
      <c r="JK10">
        <v>1</v>
      </c>
      <c r="JL10">
        <v>1</v>
      </c>
      <c r="JM10">
        <v>1</v>
      </c>
      <c r="JN10">
        <v>1</v>
      </c>
      <c r="JO10">
        <v>1</v>
      </c>
      <c r="JP10">
        <v>1</v>
      </c>
      <c r="JQ10">
        <v>1</v>
      </c>
      <c r="JR10">
        <v>1</v>
      </c>
      <c r="JS10">
        <v>1</v>
      </c>
      <c r="JT10">
        <v>1</v>
      </c>
      <c r="JU10">
        <v>1</v>
      </c>
      <c r="JV10">
        <v>1</v>
      </c>
      <c r="JW10">
        <v>1</v>
      </c>
      <c r="JX10">
        <v>1</v>
      </c>
      <c r="JY10">
        <v>1</v>
      </c>
      <c r="JZ10">
        <v>1</v>
      </c>
      <c r="KA10">
        <v>1</v>
      </c>
      <c r="KB10">
        <v>1</v>
      </c>
      <c r="KC10">
        <v>1</v>
      </c>
      <c r="KD10">
        <v>1</v>
      </c>
      <c r="KE10">
        <v>1</v>
      </c>
      <c r="KF10">
        <v>1</v>
      </c>
      <c r="KG10">
        <v>1</v>
      </c>
      <c r="KH10">
        <v>1</v>
      </c>
      <c r="KI10">
        <v>1</v>
      </c>
      <c r="KJ10">
        <v>1</v>
      </c>
      <c r="KK10">
        <v>1</v>
      </c>
      <c r="KL10">
        <v>1</v>
      </c>
      <c r="KM10">
        <v>1</v>
      </c>
      <c r="KN10">
        <v>1</v>
      </c>
      <c r="KO10">
        <v>1</v>
      </c>
      <c r="KP10">
        <v>1</v>
      </c>
      <c r="KQ10">
        <v>1</v>
      </c>
      <c r="KR10">
        <v>1</v>
      </c>
      <c r="KS10">
        <v>1</v>
      </c>
      <c r="KT10">
        <v>1</v>
      </c>
      <c r="KU10">
        <v>1</v>
      </c>
      <c r="KV10">
        <v>1</v>
      </c>
      <c r="KW10">
        <v>1</v>
      </c>
      <c r="KX10">
        <v>1</v>
      </c>
      <c r="KY10">
        <v>1</v>
      </c>
      <c r="KZ10">
        <v>1</v>
      </c>
      <c r="LA10">
        <v>1</v>
      </c>
      <c r="LB10">
        <v>1</v>
      </c>
      <c r="LC10">
        <v>1</v>
      </c>
      <c r="LD10">
        <v>1</v>
      </c>
      <c r="LE10">
        <v>1</v>
      </c>
      <c r="LF10">
        <v>1</v>
      </c>
      <c r="LG10">
        <v>1</v>
      </c>
      <c r="LH10">
        <v>1</v>
      </c>
      <c r="LI10">
        <v>1</v>
      </c>
      <c r="LJ10">
        <v>1</v>
      </c>
      <c r="LK10">
        <v>1</v>
      </c>
      <c r="LL10">
        <v>1</v>
      </c>
      <c r="LM10">
        <v>1</v>
      </c>
      <c r="LN10">
        <v>1</v>
      </c>
      <c r="LO10">
        <v>1</v>
      </c>
      <c r="LP10">
        <v>1</v>
      </c>
      <c r="LQ10">
        <v>1</v>
      </c>
      <c r="LR10">
        <v>1</v>
      </c>
      <c r="LS10">
        <v>1</v>
      </c>
      <c r="LT10">
        <v>1</v>
      </c>
      <c r="LU10">
        <v>1</v>
      </c>
      <c r="LV10">
        <v>1</v>
      </c>
      <c r="LW10">
        <v>1</v>
      </c>
      <c r="LX10">
        <v>1</v>
      </c>
      <c r="LY10">
        <v>1</v>
      </c>
      <c r="LZ10">
        <v>1</v>
      </c>
      <c r="MA10">
        <v>1</v>
      </c>
      <c r="MB10">
        <v>1</v>
      </c>
      <c r="MC10">
        <v>1</v>
      </c>
      <c r="MD10">
        <v>1</v>
      </c>
      <c r="ME10">
        <v>1</v>
      </c>
      <c r="MF10">
        <v>1</v>
      </c>
      <c r="MG10">
        <v>1</v>
      </c>
      <c r="MH10">
        <v>1</v>
      </c>
      <c r="MI10">
        <v>1</v>
      </c>
      <c r="MJ10">
        <v>1</v>
      </c>
      <c r="MK10">
        <v>1</v>
      </c>
      <c r="ML10">
        <v>1</v>
      </c>
      <c r="MM10">
        <v>1</v>
      </c>
      <c r="MN10">
        <v>1</v>
      </c>
      <c r="MO10">
        <v>1</v>
      </c>
      <c r="MP10">
        <v>1</v>
      </c>
      <c r="MQ10">
        <v>1</v>
      </c>
      <c r="MR10">
        <v>1</v>
      </c>
      <c r="MS10">
        <v>1</v>
      </c>
      <c r="MT10">
        <v>1</v>
      </c>
      <c r="MU10">
        <v>1</v>
      </c>
      <c r="MV10">
        <v>1</v>
      </c>
      <c r="MW10">
        <v>1</v>
      </c>
      <c r="MX10">
        <v>1</v>
      </c>
      <c r="MY10">
        <v>1</v>
      </c>
      <c r="MZ10">
        <v>1</v>
      </c>
      <c r="NA10">
        <v>1</v>
      </c>
      <c r="NB10">
        <v>1</v>
      </c>
      <c r="NC10">
        <v>1</v>
      </c>
      <c r="ND10">
        <v>1</v>
      </c>
      <c r="NE10">
        <v>1</v>
      </c>
      <c r="NF10">
        <v>1</v>
      </c>
      <c r="NG10">
        <v>1</v>
      </c>
      <c r="NH10">
        <v>1</v>
      </c>
      <c r="NI10">
        <v>1</v>
      </c>
      <c r="NJ10">
        <v>1</v>
      </c>
      <c r="NK10">
        <v>1</v>
      </c>
      <c r="NL10">
        <v>1</v>
      </c>
      <c r="NM10">
        <v>1</v>
      </c>
      <c r="NN10">
        <v>1</v>
      </c>
      <c r="NO10">
        <v>1</v>
      </c>
      <c r="NP10">
        <v>1</v>
      </c>
      <c r="NQ10">
        <v>1</v>
      </c>
      <c r="NR10">
        <v>1</v>
      </c>
      <c r="NS10">
        <v>1</v>
      </c>
      <c r="NT10">
        <v>1</v>
      </c>
      <c r="NU10">
        <v>1</v>
      </c>
      <c r="NV10">
        <v>1</v>
      </c>
      <c r="NW10">
        <v>2</v>
      </c>
      <c r="NX10">
        <v>2</v>
      </c>
      <c r="NY10">
        <v>2</v>
      </c>
      <c r="NZ10">
        <v>2</v>
      </c>
      <c r="OA10">
        <v>2</v>
      </c>
      <c r="OB10">
        <v>2</v>
      </c>
      <c r="OC10">
        <v>2</v>
      </c>
      <c r="OD10">
        <v>2</v>
      </c>
      <c r="OE10">
        <v>2</v>
      </c>
      <c r="OF10">
        <v>2</v>
      </c>
      <c r="OG10">
        <v>2</v>
      </c>
      <c r="OH10">
        <v>2</v>
      </c>
      <c r="OI10">
        <v>2</v>
      </c>
      <c r="OJ10">
        <v>2</v>
      </c>
      <c r="OK10">
        <v>2</v>
      </c>
      <c r="OL10">
        <v>2</v>
      </c>
      <c r="OM10">
        <v>2</v>
      </c>
      <c r="ON10">
        <v>2</v>
      </c>
      <c r="OO10">
        <v>2</v>
      </c>
      <c r="OP10">
        <v>2</v>
      </c>
      <c r="OQ10">
        <v>2</v>
      </c>
      <c r="OR10">
        <v>2</v>
      </c>
      <c r="OS10">
        <v>2</v>
      </c>
      <c r="OT10">
        <v>2</v>
      </c>
      <c r="OU10">
        <v>2</v>
      </c>
      <c r="OV10">
        <v>2</v>
      </c>
      <c r="OW10">
        <v>2</v>
      </c>
      <c r="OX10">
        <v>2</v>
      </c>
      <c r="OY10">
        <v>2</v>
      </c>
      <c r="OZ10">
        <v>2</v>
      </c>
      <c r="PA10">
        <v>2</v>
      </c>
      <c r="PB10">
        <v>2</v>
      </c>
      <c r="PC10">
        <v>2</v>
      </c>
      <c r="PD10">
        <v>2</v>
      </c>
      <c r="PE10">
        <v>2</v>
      </c>
      <c r="PF10">
        <v>2</v>
      </c>
      <c r="PG10">
        <v>2</v>
      </c>
      <c r="PH10">
        <v>2</v>
      </c>
      <c r="PI10">
        <v>2</v>
      </c>
      <c r="PJ10">
        <v>2</v>
      </c>
      <c r="PK10">
        <v>2</v>
      </c>
      <c r="PL10">
        <v>2</v>
      </c>
      <c r="PM10">
        <v>2</v>
      </c>
      <c r="PN10">
        <v>2</v>
      </c>
      <c r="PO10">
        <v>2</v>
      </c>
      <c r="PP10">
        <v>2</v>
      </c>
      <c r="PQ10">
        <v>2</v>
      </c>
      <c r="PR10">
        <v>2</v>
      </c>
      <c r="PS10">
        <v>2</v>
      </c>
      <c r="PT10">
        <v>2</v>
      </c>
      <c r="PU10">
        <v>2</v>
      </c>
      <c r="PV10">
        <v>2</v>
      </c>
      <c r="PW10">
        <v>2</v>
      </c>
      <c r="PX10">
        <v>2</v>
      </c>
      <c r="PY10">
        <v>2</v>
      </c>
      <c r="PZ10">
        <v>2</v>
      </c>
      <c r="QA10">
        <v>2</v>
      </c>
      <c r="QB10">
        <v>2</v>
      </c>
      <c r="QC10">
        <v>2</v>
      </c>
      <c r="QD10">
        <v>2</v>
      </c>
      <c r="QE10">
        <v>2</v>
      </c>
      <c r="QF10">
        <v>2</v>
      </c>
      <c r="QG10">
        <v>2</v>
      </c>
      <c r="QH10">
        <v>2</v>
      </c>
      <c r="QI10">
        <v>2</v>
      </c>
      <c r="QJ10">
        <v>2</v>
      </c>
      <c r="QK10">
        <v>2</v>
      </c>
      <c r="QL10">
        <v>2</v>
      </c>
      <c r="QM10">
        <v>2</v>
      </c>
      <c r="QN10">
        <v>2</v>
      </c>
      <c r="QO10">
        <v>2</v>
      </c>
      <c r="QP10">
        <v>2</v>
      </c>
      <c r="QQ10">
        <v>2</v>
      </c>
      <c r="QR10">
        <v>2</v>
      </c>
      <c r="QS10">
        <v>2</v>
      </c>
      <c r="QT10">
        <v>2</v>
      </c>
      <c r="QU10">
        <v>2</v>
      </c>
      <c r="QV10">
        <v>2</v>
      </c>
      <c r="QW10">
        <v>2</v>
      </c>
      <c r="QX10">
        <v>2</v>
      </c>
      <c r="QY10">
        <v>2</v>
      </c>
      <c r="QZ10">
        <v>2</v>
      </c>
      <c r="RA10">
        <v>2</v>
      </c>
      <c r="RB10">
        <v>2</v>
      </c>
      <c r="RC10">
        <v>2</v>
      </c>
      <c r="RD10">
        <v>2</v>
      </c>
      <c r="RE10">
        <v>2</v>
      </c>
      <c r="RF10">
        <v>2</v>
      </c>
      <c r="RG10">
        <v>2</v>
      </c>
      <c r="RH10">
        <v>2</v>
      </c>
      <c r="RI10">
        <v>2</v>
      </c>
      <c r="RJ10">
        <v>2</v>
      </c>
      <c r="RK10">
        <v>2</v>
      </c>
      <c r="RL10">
        <v>2</v>
      </c>
      <c r="RM10">
        <v>2</v>
      </c>
      <c r="RN10">
        <v>2</v>
      </c>
      <c r="RO10">
        <v>2</v>
      </c>
      <c r="RP10">
        <v>2</v>
      </c>
      <c r="RQ10">
        <v>2</v>
      </c>
      <c r="RR10">
        <v>2</v>
      </c>
      <c r="RS10">
        <v>2</v>
      </c>
      <c r="RT10">
        <v>2</v>
      </c>
      <c r="RU10">
        <v>2</v>
      </c>
      <c r="RV10">
        <v>2</v>
      </c>
      <c r="RW10">
        <v>2</v>
      </c>
      <c r="RX10">
        <v>2</v>
      </c>
      <c r="RY10">
        <v>2</v>
      </c>
      <c r="RZ10">
        <v>2</v>
      </c>
      <c r="SA10">
        <v>2</v>
      </c>
      <c r="SB10">
        <v>2</v>
      </c>
      <c r="SC10">
        <v>2</v>
      </c>
      <c r="SD10">
        <v>2</v>
      </c>
      <c r="SE10">
        <v>2</v>
      </c>
      <c r="SF10">
        <v>2</v>
      </c>
      <c r="SG10">
        <v>2</v>
      </c>
      <c r="SH10">
        <v>2</v>
      </c>
      <c r="SI10">
        <v>2</v>
      </c>
      <c r="SJ10">
        <v>2</v>
      </c>
      <c r="SK10">
        <v>2</v>
      </c>
      <c r="SL10">
        <v>2</v>
      </c>
      <c r="SM10">
        <v>2</v>
      </c>
      <c r="SN10">
        <v>2</v>
      </c>
      <c r="SO10">
        <v>2</v>
      </c>
      <c r="SP10">
        <v>2</v>
      </c>
      <c r="SQ10">
        <v>2</v>
      </c>
      <c r="SR10">
        <v>2</v>
      </c>
      <c r="SS10">
        <v>2</v>
      </c>
      <c r="ST10">
        <v>2</v>
      </c>
      <c r="SU10">
        <v>2</v>
      </c>
      <c r="SV10">
        <v>2</v>
      </c>
      <c r="SW10">
        <v>2</v>
      </c>
      <c r="SX10">
        <v>2</v>
      </c>
      <c r="SY10">
        <v>2</v>
      </c>
      <c r="SZ10">
        <v>2</v>
      </c>
      <c r="TA10">
        <v>2</v>
      </c>
      <c r="TB10">
        <v>2</v>
      </c>
      <c r="TC10">
        <v>2</v>
      </c>
      <c r="TD10">
        <v>2</v>
      </c>
      <c r="TE10">
        <v>2</v>
      </c>
      <c r="TF10">
        <v>2</v>
      </c>
      <c r="TG10">
        <v>2</v>
      </c>
      <c r="TH10">
        <v>2</v>
      </c>
      <c r="TI10">
        <v>2</v>
      </c>
      <c r="TJ10">
        <v>2</v>
      </c>
      <c r="TK10">
        <v>2</v>
      </c>
      <c r="TL10">
        <v>2</v>
      </c>
      <c r="TM10">
        <v>2</v>
      </c>
      <c r="TN10">
        <v>2</v>
      </c>
      <c r="TO10">
        <v>2</v>
      </c>
      <c r="TP10">
        <v>2</v>
      </c>
      <c r="TQ10">
        <v>2</v>
      </c>
      <c r="TR10">
        <v>2</v>
      </c>
      <c r="TS10">
        <v>2</v>
      </c>
      <c r="TT10">
        <v>2</v>
      </c>
      <c r="TU10">
        <v>0</v>
      </c>
      <c r="TV10">
        <v>0</v>
      </c>
      <c r="TW10">
        <v>0</v>
      </c>
      <c r="TX10">
        <v>0</v>
      </c>
      <c r="TY10">
        <v>0</v>
      </c>
      <c r="TZ10">
        <v>0</v>
      </c>
      <c r="UA10">
        <v>0</v>
      </c>
      <c r="UB10">
        <v>0</v>
      </c>
      <c r="UC10">
        <v>2</v>
      </c>
      <c r="UD10">
        <v>2</v>
      </c>
      <c r="UE10">
        <v>2</v>
      </c>
      <c r="UF10">
        <v>2</v>
      </c>
      <c r="UG10">
        <v>2</v>
      </c>
      <c r="UH10">
        <v>2</v>
      </c>
      <c r="UI10">
        <v>2</v>
      </c>
      <c r="UJ10">
        <v>2</v>
      </c>
      <c r="UK10">
        <v>2</v>
      </c>
      <c r="UL10">
        <v>2</v>
      </c>
      <c r="UM10">
        <v>2</v>
      </c>
      <c r="UN10">
        <v>2</v>
      </c>
      <c r="UO10">
        <v>2</v>
      </c>
      <c r="UP10">
        <v>2</v>
      </c>
      <c r="UQ10">
        <v>2</v>
      </c>
      <c r="UR10">
        <v>2</v>
      </c>
      <c r="US10">
        <v>2</v>
      </c>
      <c r="UT10">
        <v>2</v>
      </c>
      <c r="UU10">
        <v>2</v>
      </c>
      <c r="UV10">
        <v>2</v>
      </c>
      <c r="UW10">
        <v>2</v>
      </c>
      <c r="UX10">
        <v>2</v>
      </c>
      <c r="UY10">
        <v>2</v>
      </c>
      <c r="UZ10">
        <v>2</v>
      </c>
      <c r="VA10">
        <v>2</v>
      </c>
      <c r="VB10">
        <v>2</v>
      </c>
      <c r="VC10">
        <v>2</v>
      </c>
      <c r="VD10">
        <v>2</v>
      </c>
      <c r="VE10">
        <v>2</v>
      </c>
      <c r="VF10">
        <v>2</v>
      </c>
      <c r="VG10">
        <v>2</v>
      </c>
      <c r="VH10">
        <v>2</v>
      </c>
      <c r="VI10">
        <v>2</v>
      </c>
      <c r="VJ10">
        <v>2</v>
      </c>
      <c r="VK10">
        <v>2</v>
      </c>
      <c r="VL10">
        <v>2</v>
      </c>
      <c r="VM10">
        <v>2</v>
      </c>
      <c r="VN10">
        <v>2</v>
      </c>
      <c r="VO10">
        <v>2</v>
      </c>
      <c r="VP10">
        <v>2</v>
      </c>
      <c r="VQ10">
        <v>2</v>
      </c>
      <c r="VR10">
        <v>2</v>
      </c>
      <c r="VS10">
        <v>2</v>
      </c>
      <c r="VT10">
        <v>2</v>
      </c>
      <c r="VU10">
        <v>2</v>
      </c>
      <c r="VV10">
        <v>2</v>
      </c>
      <c r="VW10">
        <v>2</v>
      </c>
      <c r="VX10">
        <v>2</v>
      </c>
      <c r="VY10">
        <v>2</v>
      </c>
      <c r="VZ10">
        <v>2</v>
      </c>
      <c r="WA10">
        <v>2</v>
      </c>
      <c r="WB10">
        <v>2</v>
      </c>
      <c r="WC10">
        <v>2</v>
      </c>
      <c r="WD10">
        <v>2</v>
      </c>
      <c r="WE10">
        <v>2</v>
      </c>
      <c r="WF10">
        <v>2</v>
      </c>
      <c r="WG10">
        <v>2</v>
      </c>
      <c r="WH10">
        <v>2</v>
      </c>
      <c r="WI10">
        <v>2</v>
      </c>
      <c r="WJ10">
        <v>2</v>
      </c>
      <c r="WK10">
        <v>2</v>
      </c>
      <c r="WL10">
        <v>2</v>
      </c>
      <c r="WM10">
        <v>2</v>
      </c>
      <c r="WN10">
        <v>2</v>
      </c>
      <c r="WO10">
        <v>2</v>
      </c>
      <c r="WP10">
        <v>0</v>
      </c>
      <c r="WQ10">
        <v>0</v>
      </c>
      <c r="WR10">
        <v>0</v>
      </c>
      <c r="WS10">
        <v>0</v>
      </c>
      <c r="WT10">
        <v>0</v>
      </c>
      <c r="WU10">
        <v>0</v>
      </c>
      <c r="WV10">
        <v>0</v>
      </c>
      <c r="WW10">
        <v>0</v>
      </c>
      <c r="WX10">
        <v>0</v>
      </c>
      <c r="WY10">
        <v>0</v>
      </c>
      <c r="WZ10">
        <v>0</v>
      </c>
      <c r="XA10">
        <v>0</v>
      </c>
      <c r="XB10">
        <v>0</v>
      </c>
      <c r="XC10">
        <v>0</v>
      </c>
      <c r="XD10">
        <v>0</v>
      </c>
      <c r="XE10">
        <v>0</v>
      </c>
      <c r="XF10">
        <v>0</v>
      </c>
      <c r="XG10">
        <v>0</v>
      </c>
      <c r="XH10">
        <v>0</v>
      </c>
      <c r="XI10">
        <v>0</v>
      </c>
      <c r="XJ10">
        <v>0</v>
      </c>
      <c r="XK10">
        <v>0</v>
      </c>
      <c r="XL10">
        <v>0</v>
      </c>
      <c r="XM10">
        <v>0</v>
      </c>
      <c r="XN10">
        <v>0</v>
      </c>
      <c r="XO10">
        <v>0</v>
      </c>
      <c r="XP10">
        <v>0</v>
      </c>
      <c r="XQ10">
        <v>0</v>
      </c>
      <c r="XR10">
        <v>0</v>
      </c>
      <c r="XS10">
        <v>0</v>
      </c>
      <c r="XT10">
        <v>0</v>
      </c>
      <c r="XU10">
        <v>0</v>
      </c>
      <c r="XV10">
        <v>0</v>
      </c>
      <c r="XW10">
        <v>0</v>
      </c>
      <c r="XX10">
        <v>0</v>
      </c>
      <c r="XY10">
        <v>0</v>
      </c>
      <c r="XZ10">
        <v>0</v>
      </c>
      <c r="YA10">
        <v>0</v>
      </c>
      <c r="YB10">
        <v>0</v>
      </c>
      <c r="YC10">
        <v>0</v>
      </c>
      <c r="YD10">
        <v>0</v>
      </c>
      <c r="YE10">
        <v>0</v>
      </c>
      <c r="YF10">
        <v>0</v>
      </c>
      <c r="YG10">
        <v>0</v>
      </c>
      <c r="YH10">
        <v>0</v>
      </c>
      <c r="YI10">
        <v>0</v>
      </c>
      <c r="YJ10">
        <v>2</v>
      </c>
      <c r="YK10">
        <v>2</v>
      </c>
      <c r="YL10">
        <v>2</v>
      </c>
      <c r="YM10">
        <v>2</v>
      </c>
      <c r="YN10">
        <v>2</v>
      </c>
      <c r="YO10">
        <v>2</v>
      </c>
      <c r="YP10">
        <v>2</v>
      </c>
      <c r="YQ10">
        <v>2</v>
      </c>
      <c r="YR10">
        <v>2</v>
      </c>
      <c r="YS10">
        <v>2</v>
      </c>
      <c r="YT10">
        <v>2</v>
      </c>
      <c r="YU10">
        <v>2</v>
      </c>
      <c r="YV10">
        <v>2</v>
      </c>
      <c r="YW10">
        <v>2</v>
      </c>
      <c r="YX10">
        <v>1</v>
      </c>
      <c r="YY10">
        <v>1</v>
      </c>
      <c r="YZ10">
        <v>1</v>
      </c>
      <c r="ZA10">
        <v>1</v>
      </c>
      <c r="ZB10">
        <v>1</v>
      </c>
      <c r="ZC10">
        <v>1</v>
      </c>
      <c r="ZD10">
        <v>1</v>
      </c>
      <c r="ZE10">
        <v>1</v>
      </c>
      <c r="ZF10">
        <v>1</v>
      </c>
      <c r="ZG10">
        <v>1</v>
      </c>
      <c r="ZH10">
        <v>1</v>
      </c>
      <c r="ZI10">
        <v>1</v>
      </c>
      <c r="ZJ10">
        <v>1</v>
      </c>
      <c r="ZK10">
        <v>1</v>
      </c>
      <c r="ZL10">
        <v>1</v>
      </c>
      <c r="ZM10">
        <v>1</v>
      </c>
      <c r="ZN10">
        <v>1</v>
      </c>
      <c r="ZO10">
        <v>1</v>
      </c>
      <c r="ZP10">
        <v>1</v>
      </c>
      <c r="ZQ10">
        <v>1</v>
      </c>
      <c r="ZR10">
        <v>1</v>
      </c>
      <c r="ZS10">
        <v>1</v>
      </c>
      <c r="ZT10">
        <v>1</v>
      </c>
      <c r="ZU10">
        <v>1</v>
      </c>
      <c r="ZV10">
        <v>1</v>
      </c>
      <c r="ZW10">
        <v>1</v>
      </c>
      <c r="ZX10">
        <v>1</v>
      </c>
      <c r="ZY10">
        <v>1</v>
      </c>
      <c r="ZZ10">
        <v>1</v>
      </c>
      <c r="AAA10">
        <v>1</v>
      </c>
      <c r="AAB10">
        <v>1</v>
      </c>
      <c r="AAC10">
        <v>1</v>
      </c>
      <c r="AAD10">
        <v>1</v>
      </c>
      <c r="AAE10">
        <v>1</v>
      </c>
      <c r="AAF10">
        <v>1</v>
      </c>
      <c r="AAG10">
        <v>1</v>
      </c>
      <c r="AAH10">
        <v>1</v>
      </c>
      <c r="AAI10">
        <v>1</v>
      </c>
      <c r="AAJ10">
        <v>1</v>
      </c>
      <c r="AAK10">
        <v>1</v>
      </c>
      <c r="AAL10">
        <v>1</v>
      </c>
      <c r="AAM10">
        <v>1</v>
      </c>
      <c r="AAN10">
        <v>1</v>
      </c>
      <c r="AAO10">
        <v>1</v>
      </c>
      <c r="AAP10">
        <v>1</v>
      </c>
      <c r="AAQ10">
        <v>1</v>
      </c>
      <c r="AAR10">
        <v>1</v>
      </c>
      <c r="AAS10">
        <v>1</v>
      </c>
      <c r="AAT10">
        <v>1</v>
      </c>
      <c r="AAU10">
        <v>2</v>
      </c>
      <c r="AAV10">
        <v>2</v>
      </c>
      <c r="AAW10">
        <v>2</v>
      </c>
      <c r="AAX10">
        <v>2</v>
      </c>
      <c r="AAY10">
        <v>2</v>
      </c>
      <c r="AAZ10">
        <v>2</v>
      </c>
      <c r="ABA10">
        <v>2</v>
      </c>
      <c r="ABB10">
        <v>2</v>
      </c>
      <c r="ABC10">
        <v>2</v>
      </c>
      <c r="ABD10">
        <v>2</v>
      </c>
      <c r="ABE10">
        <v>2</v>
      </c>
      <c r="ABG10" s="1137">
        <f t="shared" si="5"/>
        <v>0</v>
      </c>
      <c r="ABH10" s="1137">
        <f t="shared" si="1"/>
        <v>0</v>
      </c>
      <c r="ABI10" s="1137">
        <f t="shared" si="1"/>
        <v>9</v>
      </c>
      <c r="ABJ10" s="1137">
        <f t="shared" si="1"/>
        <v>30</v>
      </c>
      <c r="ABK10" s="1137">
        <f t="shared" si="1"/>
        <v>31</v>
      </c>
      <c r="ABL10" s="1137">
        <f t="shared" si="1"/>
        <v>30</v>
      </c>
      <c r="ABM10" s="1137">
        <f t="shared" si="1"/>
        <v>31</v>
      </c>
      <c r="ABN10" s="1137">
        <f t="shared" si="1"/>
        <v>31</v>
      </c>
      <c r="ABO10" s="1137">
        <f t="shared" si="1"/>
        <v>30</v>
      </c>
      <c r="ABP10" s="1137">
        <f t="shared" si="1"/>
        <v>31</v>
      </c>
      <c r="ABQ10" s="1137">
        <f t="shared" si="1"/>
        <v>30</v>
      </c>
      <c r="ABR10" s="1137">
        <f t="shared" si="1"/>
        <v>31</v>
      </c>
      <c r="ABS10" s="1137">
        <f t="shared" si="1"/>
        <v>31</v>
      </c>
      <c r="ABT10" s="1137">
        <f t="shared" si="1"/>
        <v>28</v>
      </c>
      <c r="ABU10" s="1137">
        <f t="shared" si="1"/>
        <v>31</v>
      </c>
      <c r="ABV10" s="1137">
        <f t="shared" si="1"/>
        <v>30</v>
      </c>
      <c r="ABW10" s="1137">
        <f t="shared" si="1"/>
        <v>31</v>
      </c>
      <c r="ABX10" s="1137">
        <f t="shared" si="2"/>
        <v>22</v>
      </c>
      <c r="ABY10" s="1137">
        <f t="shared" si="2"/>
        <v>31</v>
      </c>
      <c r="ABZ10" s="1137">
        <f t="shared" si="2"/>
        <v>31</v>
      </c>
      <c r="ACA10" s="1137">
        <f t="shared" si="2"/>
        <v>2</v>
      </c>
      <c r="ACB10" s="1137">
        <f t="shared" si="2"/>
        <v>13</v>
      </c>
      <c r="ACC10" s="1137">
        <f t="shared" si="2"/>
        <v>30</v>
      </c>
      <c r="ACD10" s="1137">
        <f t="shared" si="2"/>
        <v>31</v>
      </c>
      <c r="ACE10" s="1137" t="s">
        <v>273</v>
      </c>
      <c r="ACF10" s="1137">
        <f t="shared" si="6"/>
        <v>0</v>
      </c>
      <c r="ACG10" s="1137">
        <f t="shared" si="3"/>
        <v>0</v>
      </c>
      <c r="ACH10" s="1137">
        <f t="shared" si="3"/>
        <v>0</v>
      </c>
      <c r="ACI10" s="1137">
        <f t="shared" si="3"/>
        <v>1</v>
      </c>
      <c r="ACJ10" s="1137">
        <f t="shared" si="3"/>
        <v>1</v>
      </c>
      <c r="ACK10" s="1137">
        <f t="shared" si="3"/>
        <v>1</v>
      </c>
      <c r="ACL10" s="1137">
        <f t="shared" si="3"/>
        <v>1</v>
      </c>
      <c r="ACM10" s="1137">
        <f t="shared" si="3"/>
        <v>1</v>
      </c>
      <c r="ACN10" s="1137">
        <f t="shared" si="3"/>
        <v>1</v>
      </c>
      <c r="ACO10" s="1137">
        <f t="shared" si="3"/>
        <v>1</v>
      </c>
      <c r="ACP10" s="1137">
        <f t="shared" si="3"/>
        <v>1</v>
      </c>
      <c r="ACQ10" s="1137">
        <f t="shared" si="3"/>
        <v>1</v>
      </c>
      <c r="ACR10" s="1137">
        <f t="shared" si="3"/>
        <v>1</v>
      </c>
      <c r="ACS10" s="1137">
        <f t="shared" si="3"/>
        <v>1</v>
      </c>
      <c r="ACT10" s="1137">
        <f t="shared" si="3"/>
        <v>1</v>
      </c>
      <c r="ACU10" s="1137">
        <f t="shared" si="3"/>
        <v>1</v>
      </c>
      <c r="ACV10" s="1137">
        <f t="shared" si="3"/>
        <v>1</v>
      </c>
      <c r="ACW10" s="1137">
        <f t="shared" si="4"/>
        <v>1</v>
      </c>
      <c r="ACX10" s="1137">
        <f t="shared" si="4"/>
        <v>1</v>
      </c>
      <c r="ACY10" s="1137">
        <f t="shared" si="4"/>
        <v>1</v>
      </c>
      <c r="ACZ10" s="1137">
        <f t="shared" si="4"/>
        <v>0</v>
      </c>
      <c r="ADA10" s="1137">
        <f t="shared" si="4"/>
        <v>1</v>
      </c>
      <c r="ADB10" s="1137">
        <f t="shared" si="4"/>
        <v>1</v>
      </c>
      <c r="ADC10" s="1137">
        <f t="shared" si="4"/>
        <v>1</v>
      </c>
    </row>
    <row r="11" spans="1:783" x14ac:dyDescent="0.25">
      <c r="A11" t="s">
        <v>1806</v>
      </c>
      <c r="B11" t="s">
        <v>137</v>
      </c>
      <c r="C11">
        <v>0</v>
      </c>
      <c r="D11">
        <v>0</v>
      </c>
      <c r="E11">
        <v>0</v>
      </c>
      <c r="F11">
        <v>0</v>
      </c>
      <c r="G11">
        <v>0</v>
      </c>
      <c r="H11">
        <v>0</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0</v>
      </c>
      <c r="AE11">
        <v>0</v>
      </c>
      <c r="AF11">
        <v>0</v>
      </c>
      <c r="AG11">
        <v>0</v>
      </c>
      <c r="AH11">
        <v>0</v>
      </c>
      <c r="AI11">
        <v>0</v>
      </c>
      <c r="AJ11">
        <v>0</v>
      </c>
      <c r="AK11">
        <v>0</v>
      </c>
      <c r="AL11">
        <v>0</v>
      </c>
      <c r="AM11">
        <v>0</v>
      </c>
      <c r="AN11">
        <v>0</v>
      </c>
      <c r="AO11">
        <v>0</v>
      </c>
      <c r="AP11">
        <v>0</v>
      </c>
      <c r="AQ11">
        <v>0</v>
      </c>
      <c r="AR11">
        <v>0</v>
      </c>
      <c r="AS11">
        <v>0</v>
      </c>
      <c r="AT11">
        <v>0</v>
      </c>
      <c r="AU11">
        <v>0</v>
      </c>
      <c r="AV11">
        <v>0</v>
      </c>
      <c r="AW11">
        <v>0</v>
      </c>
      <c r="AX11">
        <v>0</v>
      </c>
      <c r="AY11">
        <v>0</v>
      </c>
      <c r="AZ11">
        <v>0</v>
      </c>
      <c r="BA11">
        <v>0</v>
      </c>
      <c r="BB11">
        <v>0</v>
      </c>
      <c r="BC11">
        <v>0</v>
      </c>
      <c r="BD11">
        <v>0</v>
      </c>
      <c r="BE11">
        <v>0</v>
      </c>
      <c r="BF11">
        <v>0</v>
      </c>
      <c r="BG11">
        <v>0</v>
      </c>
      <c r="BH11">
        <v>0</v>
      </c>
      <c r="BI11">
        <v>0</v>
      </c>
      <c r="BJ11">
        <v>0</v>
      </c>
      <c r="BK11">
        <v>0</v>
      </c>
      <c r="BL11">
        <v>0</v>
      </c>
      <c r="BM11">
        <v>0</v>
      </c>
      <c r="BN11">
        <v>0</v>
      </c>
      <c r="BO11">
        <v>0</v>
      </c>
      <c r="BP11">
        <v>0</v>
      </c>
      <c r="BQ11">
        <v>0</v>
      </c>
      <c r="BR11">
        <v>0</v>
      </c>
      <c r="BS11">
        <v>0</v>
      </c>
      <c r="BT11">
        <v>0</v>
      </c>
      <c r="BU11">
        <v>0</v>
      </c>
      <c r="BV11">
        <v>0</v>
      </c>
      <c r="BW11">
        <v>0</v>
      </c>
      <c r="BX11">
        <v>0</v>
      </c>
      <c r="BY11">
        <v>0</v>
      </c>
      <c r="BZ11">
        <v>0</v>
      </c>
      <c r="CA11">
        <v>0</v>
      </c>
      <c r="CB11">
        <v>0</v>
      </c>
      <c r="CC11">
        <v>0</v>
      </c>
      <c r="CD11">
        <v>2</v>
      </c>
      <c r="CE11">
        <v>2</v>
      </c>
      <c r="CF11">
        <v>2</v>
      </c>
      <c r="CG11">
        <v>2</v>
      </c>
      <c r="CH11">
        <v>2</v>
      </c>
      <c r="CI11">
        <v>2</v>
      </c>
      <c r="CJ11">
        <v>2</v>
      </c>
      <c r="CK11">
        <v>2</v>
      </c>
      <c r="CL11">
        <v>2</v>
      </c>
      <c r="CM11">
        <v>2</v>
      </c>
      <c r="CN11">
        <v>2</v>
      </c>
      <c r="CO11">
        <v>2</v>
      </c>
      <c r="CP11">
        <v>2</v>
      </c>
      <c r="CQ11">
        <v>2</v>
      </c>
      <c r="CR11">
        <v>2</v>
      </c>
      <c r="CS11">
        <v>2</v>
      </c>
      <c r="CT11">
        <v>2</v>
      </c>
      <c r="CU11">
        <v>2</v>
      </c>
      <c r="CV11">
        <v>2</v>
      </c>
      <c r="CW11">
        <v>2</v>
      </c>
      <c r="CX11">
        <v>2</v>
      </c>
      <c r="CY11">
        <v>2</v>
      </c>
      <c r="CZ11">
        <v>2</v>
      </c>
      <c r="DA11">
        <v>2</v>
      </c>
      <c r="DB11">
        <v>2</v>
      </c>
      <c r="DC11">
        <v>2</v>
      </c>
      <c r="DD11">
        <v>2</v>
      </c>
      <c r="DE11">
        <v>2</v>
      </c>
      <c r="DF11">
        <v>2</v>
      </c>
      <c r="DG11">
        <v>2</v>
      </c>
      <c r="DH11">
        <v>2</v>
      </c>
      <c r="DI11">
        <v>2</v>
      </c>
      <c r="DJ11">
        <v>2</v>
      </c>
      <c r="DK11">
        <v>2</v>
      </c>
      <c r="DL11">
        <v>2</v>
      </c>
      <c r="DM11">
        <v>2</v>
      </c>
      <c r="DN11">
        <v>2</v>
      </c>
      <c r="DO11">
        <v>2</v>
      </c>
      <c r="DP11">
        <v>1</v>
      </c>
      <c r="DQ11">
        <v>1</v>
      </c>
      <c r="DR11">
        <v>1</v>
      </c>
      <c r="DS11">
        <v>1</v>
      </c>
      <c r="DT11">
        <v>1</v>
      </c>
      <c r="DU11">
        <v>1</v>
      </c>
      <c r="DV11">
        <v>1</v>
      </c>
      <c r="DW11">
        <v>1</v>
      </c>
      <c r="DX11">
        <v>1</v>
      </c>
      <c r="DY11">
        <v>1</v>
      </c>
      <c r="DZ11">
        <v>1</v>
      </c>
      <c r="EA11">
        <v>1</v>
      </c>
      <c r="EB11">
        <v>1</v>
      </c>
      <c r="EC11">
        <v>1</v>
      </c>
      <c r="ED11">
        <v>2</v>
      </c>
      <c r="EE11">
        <v>2</v>
      </c>
      <c r="EF11">
        <v>2</v>
      </c>
      <c r="EG11">
        <v>2</v>
      </c>
      <c r="EH11">
        <v>2</v>
      </c>
      <c r="EI11">
        <v>2</v>
      </c>
      <c r="EJ11">
        <v>2</v>
      </c>
      <c r="EK11">
        <v>2</v>
      </c>
      <c r="EL11">
        <v>2</v>
      </c>
      <c r="EM11">
        <v>2</v>
      </c>
      <c r="EN11">
        <v>2</v>
      </c>
      <c r="EO11">
        <v>2</v>
      </c>
      <c r="EP11">
        <v>2</v>
      </c>
      <c r="EQ11">
        <v>2</v>
      </c>
      <c r="ER11">
        <v>2</v>
      </c>
      <c r="ES11">
        <v>2</v>
      </c>
      <c r="ET11">
        <v>2</v>
      </c>
      <c r="EU11">
        <v>2</v>
      </c>
      <c r="EV11">
        <v>2</v>
      </c>
      <c r="EW11">
        <v>2</v>
      </c>
      <c r="EX11">
        <v>2</v>
      </c>
      <c r="EY11">
        <v>2</v>
      </c>
      <c r="EZ11">
        <v>2</v>
      </c>
      <c r="FA11">
        <v>2</v>
      </c>
      <c r="FB11">
        <v>2</v>
      </c>
      <c r="FC11">
        <v>2</v>
      </c>
      <c r="FD11">
        <v>2</v>
      </c>
      <c r="FE11">
        <v>2</v>
      </c>
      <c r="FF11">
        <v>2</v>
      </c>
      <c r="FG11">
        <v>2</v>
      </c>
      <c r="FH11">
        <v>2</v>
      </c>
      <c r="FI11">
        <v>2</v>
      </c>
      <c r="FJ11">
        <v>2</v>
      </c>
      <c r="FK11">
        <v>2</v>
      </c>
      <c r="FL11">
        <v>2</v>
      </c>
      <c r="FM11">
        <v>2</v>
      </c>
      <c r="FN11">
        <v>2</v>
      </c>
      <c r="FO11">
        <v>2</v>
      </c>
      <c r="FP11">
        <v>2</v>
      </c>
      <c r="FQ11">
        <v>2</v>
      </c>
      <c r="FR11">
        <v>2</v>
      </c>
      <c r="FS11">
        <v>2</v>
      </c>
      <c r="FT11">
        <v>2</v>
      </c>
      <c r="FU11">
        <v>2</v>
      </c>
      <c r="FV11">
        <v>2</v>
      </c>
      <c r="FW11">
        <v>2</v>
      </c>
      <c r="FX11">
        <v>2</v>
      </c>
      <c r="FY11">
        <v>2</v>
      </c>
      <c r="FZ11">
        <v>2</v>
      </c>
      <c r="GA11">
        <v>2</v>
      </c>
      <c r="GB11">
        <v>2</v>
      </c>
      <c r="GC11">
        <v>2</v>
      </c>
      <c r="GD11">
        <v>2</v>
      </c>
      <c r="GE11">
        <v>2</v>
      </c>
      <c r="GF11">
        <v>2</v>
      </c>
      <c r="GG11">
        <v>2</v>
      </c>
      <c r="GH11">
        <v>2</v>
      </c>
      <c r="GI11">
        <v>2</v>
      </c>
      <c r="GJ11">
        <v>2</v>
      </c>
      <c r="GK11">
        <v>2</v>
      </c>
      <c r="GL11">
        <v>2</v>
      </c>
      <c r="GM11">
        <v>2</v>
      </c>
      <c r="GN11">
        <v>2</v>
      </c>
      <c r="GO11">
        <v>2</v>
      </c>
      <c r="GP11">
        <v>2</v>
      </c>
      <c r="GQ11">
        <v>2</v>
      </c>
      <c r="GR11">
        <v>2</v>
      </c>
      <c r="GS11">
        <v>2</v>
      </c>
      <c r="GT11">
        <v>2</v>
      </c>
      <c r="GU11">
        <v>2</v>
      </c>
      <c r="GV11">
        <v>2</v>
      </c>
      <c r="GW11">
        <v>2</v>
      </c>
      <c r="GX11">
        <v>2</v>
      </c>
      <c r="GY11">
        <v>2</v>
      </c>
      <c r="GZ11">
        <v>2</v>
      </c>
      <c r="HA11">
        <v>2</v>
      </c>
      <c r="HB11">
        <v>2</v>
      </c>
      <c r="HC11">
        <v>2</v>
      </c>
      <c r="HD11">
        <v>2</v>
      </c>
      <c r="HE11">
        <v>2</v>
      </c>
      <c r="HF11">
        <v>2</v>
      </c>
      <c r="HG11">
        <v>2</v>
      </c>
      <c r="HH11">
        <v>2</v>
      </c>
      <c r="HI11">
        <v>2</v>
      </c>
      <c r="HJ11">
        <v>2</v>
      </c>
      <c r="HK11">
        <v>2</v>
      </c>
      <c r="HL11">
        <v>2</v>
      </c>
      <c r="HM11">
        <v>2</v>
      </c>
      <c r="HN11">
        <v>2</v>
      </c>
      <c r="HO11">
        <v>2</v>
      </c>
      <c r="HP11">
        <v>2</v>
      </c>
      <c r="HQ11">
        <v>2</v>
      </c>
      <c r="HR11">
        <v>2</v>
      </c>
      <c r="HS11">
        <v>2</v>
      </c>
      <c r="HT11">
        <v>2</v>
      </c>
      <c r="HU11">
        <v>2</v>
      </c>
      <c r="HV11">
        <v>2</v>
      </c>
      <c r="HW11">
        <v>2</v>
      </c>
      <c r="HX11">
        <v>2</v>
      </c>
      <c r="HY11">
        <v>2</v>
      </c>
      <c r="HZ11">
        <v>2</v>
      </c>
      <c r="IA11">
        <v>2</v>
      </c>
      <c r="IB11">
        <v>2</v>
      </c>
      <c r="IC11">
        <v>2</v>
      </c>
      <c r="ID11">
        <v>2</v>
      </c>
      <c r="IE11">
        <v>2</v>
      </c>
      <c r="IF11">
        <v>2</v>
      </c>
      <c r="IG11">
        <v>2</v>
      </c>
      <c r="IH11">
        <v>2</v>
      </c>
      <c r="II11">
        <v>2</v>
      </c>
      <c r="IJ11">
        <v>2</v>
      </c>
      <c r="IK11">
        <v>2</v>
      </c>
      <c r="IL11">
        <v>2</v>
      </c>
      <c r="IM11">
        <v>2</v>
      </c>
      <c r="IN11">
        <v>2</v>
      </c>
      <c r="IO11">
        <v>2</v>
      </c>
      <c r="IP11">
        <v>2</v>
      </c>
      <c r="IQ11">
        <v>2</v>
      </c>
      <c r="IR11">
        <v>2</v>
      </c>
      <c r="IS11">
        <v>2</v>
      </c>
      <c r="IT11">
        <v>2</v>
      </c>
      <c r="IU11">
        <v>2</v>
      </c>
      <c r="IV11">
        <v>2</v>
      </c>
      <c r="IW11">
        <v>2</v>
      </c>
      <c r="IX11">
        <v>2</v>
      </c>
      <c r="IY11">
        <v>2</v>
      </c>
      <c r="IZ11">
        <v>2</v>
      </c>
      <c r="JA11">
        <v>2</v>
      </c>
      <c r="JB11">
        <v>2</v>
      </c>
      <c r="JC11">
        <v>2</v>
      </c>
      <c r="JD11">
        <v>2</v>
      </c>
      <c r="JE11">
        <v>2</v>
      </c>
      <c r="JF11">
        <v>2</v>
      </c>
      <c r="JG11">
        <v>2</v>
      </c>
      <c r="JH11">
        <v>2</v>
      </c>
      <c r="JI11">
        <v>2</v>
      </c>
      <c r="JJ11">
        <v>2</v>
      </c>
      <c r="JK11">
        <v>2</v>
      </c>
      <c r="JL11">
        <v>2</v>
      </c>
      <c r="JM11">
        <v>2</v>
      </c>
      <c r="JN11">
        <v>2</v>
      </c>
      <c r="JO11">
        <v>2</v>
      </c>
      <c r="JP11">
        <v>2</v>
      </c>
      <c r="JQ11">
        <v>2</v>
      </c>
      <c r="JR11">
        <v>2</v>
      </c>
      <c r="JS11">
        <v>2</v>
      </c>
      <c r="JT11">
        <v>2</v>
      </c>
      <c r="JU11">
        <v>2</v>
      </c>
      <c r="JV11">
        <v>2</v>
      </c>
      <c r="JW11">
        <v>2</v>
      </c>
      <c r="JX11">
        <v>2</v>
      </c>
      <c r="JY11">
        <v>2</v>
      </c>
      <c r="JZ11">
        <v>2</v>
      </c>
      <c r="KA11">
        <v>2</v>
      </c>
      <c r="KB11">
        <v>2</v>
      </c>
      <c r="KC11">
        <v>2</v>
      </c>
      <c r="KD11">
        <v>2</v>
      </c>
      <c r="KE11">
        <v>2</v>
      </c>
      <c r="KF11">
        <v>2</v>
      </c>
      <c r="KG11">
        <v>2</v>
      </c>
      <c r="KH11">
        <v>2</v>
      </c>
      <c r="KI11">
        <v>2</v>
      </c>
      <c r="KJ11">
        <v>2</v>
      </c>
      <c r="KK11">
        <v>2</v>
      </c>
      <c r="KL11">
        <v>2</v>
      </c>
      <c r="KM11">
        <v>2</v>
      </c>
      <c r="KN11">
        <v>2</v>
      </c>
      <c r="KO11">
        <v>2</v>
      </c>
      <c r="KP11">
        <v>2</v>
      </c>
      <c r="KQ11">
        <v>2</v>
      </c>
      <c r="KR11">
        <v>2</v>
      </c>
      <c r="KS11">
        <v>2</v>
      </c>
      <c r="KT11">
        <v>2</v>
      </c>
      <c r="KU11">
        <v>2</v>
      </c>
      <c r="KV11">
        <v>2</v>
      </c>
      <c r="KW11">
        <v>2</v>
      </c>
      <c r="KX11">
        <v>2</v>
      </c>
      <c r="KY11">
        <v>2</v>
      </c>
      <c r="KZ11">
        <v>2</v>
      </c>
      <c r="LA11">
        <v>2</v>
      </c>
      <c r="LB11">
        <v>2</v>
      </c>
      <c r="LC11">
        <v>2</v>
      </c>
      <c r="LD11">
        <v>2</v>
      </c>
      <c r="LE11">
        <v>2</v>
      </c>
      <c r="LF11">
        <v>2</v>
      </c>
      <c r="LG11">
        <v>2</v>
      </c>
      <c r="LH11">
        <v>2</v>
      </c>
      <c r="LI11">
        <v>2</v>
      </c>
      <c r="LJ11">
        <v>2</v>
      </c>
      <c r="LK11">
        <v>2</v>
      </c>
      <c r="LL11">
        <v>2</v>
      </c>
      <c r="LM11">
        <v>2</v>
      </c>
      <c r="LN11">
        <v>2</v>
      </c>
      <c r="LO11">
        <v>2</v>
      </c>
      <c r="LP11">
        <v>2</v>
      </c>
      <c r="LQ11">
        <v>2</v>
      </c>
      <c r="LR11">
        <v>2</v>
      </c>
      <c r="LS11">
        <v>2</v>
      </c>
      <c r="LT11">
        <v>2</v>
      </c>
      <c r="LU11">
        <v>2</v>
      </c>
      <c r="LV11">
        <v>2</v>
      </c>
      <c r="LW11">
        <v>2</v>
      </c>
      <c r="LX11">
        <v>2</v>
      </c>
      <c r="LY11">
        <v>2</v>
      </c>
      <c r="LZ11">
        <v>2</v>
      </c>
      <c r="MA11">
        <v>2</v>
      </c>
      <c r="MB11">
        <v>2</v>
      </c>
      <c r="MC11">
        <v>2</v>
      </c>
      <c r="MD11">
        <v>2</v>
      </c>
      <c r="ME11">
        <v>2</v>
      </c>
      <c r="MF11">
        <v>2</v>
      </c>
      <c r="MG11">
        <v>2</v>
      </c>
      <c r="MH11">
        <v>2</v>
      </c>
      <c r="MI11">
        <v>2</v>
      </c>
      <c r="MJ11">
        <v>2</v>
      </c>
      <c r="MK11">
        <v>2</v>
      </c>
      <c r="ML11">
        <v>2</v>
      </c>
      <c r="MM11">
        <v>2</v>
      </c>
      <c r="MN11">
        <v>2</v>
      </c>
      <c r="MO11">
        <v>2</v>
      </c>
      <c r="MP11">
        <v>2</v>
      </c>
      <c r="MQ11">
        <v>2</v>
      </c>
      <c r="MR11">
        <v>2</v>
      </c>
      <c r="MS11">
        <v>2</v>
      </c>
      <c r="MT11">
        <v>2</v>
      </c>
      <c r="MU11">
        <v>2</v>
      </c>
      <c r="MV11">
        <v>2</v>
      </c>
      <c r="MW11">
        <v>2</v>
      </c>
      <c r="MX11">
        <v>2</v>
      </c>
      <c r="MY11">
        <v>2</v>
      </c>
      <c r="MZ11">
        <v>2</v>
      </c>
      <c r="NA11">
        <v>2</v>
      </c>
      <c r="NB11">
        <v>2</v>
      </c>
      <c r="NC11">
        <v>2</v>
      </c>
      <c r="ND11">
        <v>2</v>
      </c>
      <c r="NE11">
        <v>2</v>
      </c>
      <c r="NF11">
        <v>2</v>
      </c>
      <c r="NG11">
        <v>2</v>
      </c>
      <c r="NH11">
        <v>2</v>
      </c>
      <c r="NI11">
        <v>2</v>
      </c>
      <c r="NJ11">
        <v>2</v>
      </c>
      <c r="NK11">
        <v>2</v>
      </c>
      <c r="NL11">
        <v>2</v>
      </c>
      <c r="NM11">
        <v>2</v>
      </c>
      <c r="NN11">
        <v>2</v>
      </c>
      <c r="NO11">
        <v>2</v>
      </c>
      <c r="NP11">
        <v>2</v>
      </c>
      <c r="NQ11">
        <v>2</v>
      </c>
      <c r="NR11">
        <v>2</v>
      </c>
      <c r="NS11">
        <v>2</v>
      </c>
      <c r="NT11">
        <v>2</v>
      </c>
      <c r="NU11">
        <v>2</v>
      </c>
      <c r="NV11">
        <v>2</v>
      </c>
      <c r="NW11">
        <v>2</v>
      </c>
      <c r="NX11">
        <v>2</v>
      </c>
      <c r="NY11">
        <v>2</v>
      </c>
      <c r="NZ11">
        <v>2</v>
      </c>
      <c r="OA11">
        <v>2</v>
      </c>
      <c r="OB11">
        <v>2</v>
      </c>
      <c r="OC11">
        <v>2</v>
      </c>
      <c r="OD11">
        <v>2</v>
      </c>
      <c r="OE11">
        <v>2</v>
      </c>
      <c r="OF11">
        <v>2</v>
      </c>
      <c r="OG11">
        <v>2</v>
      </c>
      <c r="OH11">
        <v>2</v>
      </c>
      <c r="OI11">
        <v>2</v>
      </c>
      <c r="OJ11">
        <v>2</v>
      </c>
      <c r="OK11">
        <v>2</v>
      </c>
      <c r="OL11">
        <v>2</v>
      </c>
      <c r="OM11">
        <v>2</v>
      </c>
      <c r="ON11">
        <v>2</v>
      </c>
      <c r="OO11">
        <v>2</v>
      </c>
      <c r="OP11">
        <v>2</v>
      </c>
      <c r="OQ11">
        <v>2</v>
      </c>
      <c r="OR11">
        <v>2</v>
      </c>
      <c r="OS11">
        <v>2</v>
      </c>
      <c r="OT11">
        <v>2</v>
      </c>
      <c r="OU11">
        <v>2</v>
      </c>
      <c r="OV11">
        <v>2</v>
      </c>
      <c r="OW11">
        <v>2</v>
      </c>
      <c r="OX11">
        <v>2</v>
      </c>
      <c r="OY11">
        <v>2</v>
      </c>
      <c r="OZ11">
        <v>2</v>
      </c>
      <c r="PA11">
        <v>2</v>
      </c>
      <c r="PB11">
        <v>2</v>
      </c>
      <c r="PC11">
        <v>2</v>
      </c>
      <c r="PD11">
        <v>2</v>
      </c>
      <c r="PE11">
        <v>2</v>
      </c>
      <c r="PF11">
        <v>2</v>
      </c>
      <c r="PG11">
        <v>2</v>
      </c>
      <c r="PH11">
        <v>2</v>
      </c>
      <c r="PI11">
        <v>2</v>
      </c>
      <c r="PJ11">
        <v>2</v>
      </c>
      <c r="PK11">
        <v>2</v>
      </c>
      <c r="PL11">
        <v>2</v>
      </c>
      <c r="PM11">
        <v>2</v>
      </c>
      <c r="PN11">
        <v>2</v>
      </c>
      <c r="PO11">
        <v>2</v>
      </c>
      <c r="PP11">
        <v>2</v>
      </c>
      <c r="PQ11">
        <v>2</v>
      </c>
      <c r="PR11">
        <v>2</v>
      </c>
      <c r="PS11">
        <v>2</v>
      </c>
      <c r="PT11">
        <v>2</v>
      </c>
      <c r="PU11">
        <v>2</v>
      </c>
      <c r="PV11">
        <v>2</v>
      </c>
      <c r="PW11">
        <v>2</v>
      </c>
      <c r="PX11">
        <v>2</v>
      </c>
      <c r="PY11">
        <v>2</v>
      </c>
      <c r="PZ11">
        <v>2</v>
      </c>
      <c r="QA11">
        <v>2</v>
      </c>
      <c r="QB11">
        <v>2</v>
      </c>
      <c r="QC11">
        <v>2</v>
      </c>
      <c r="QD11">
        <v>2</v>
      </c>
      <c r="QE11">
        <v>2</v>
      </c>
      <c r="QF11">
        <v>2</v>
      </c>
      <c r="QG11">
        <v>2</v>
      </c>
      <c r="QH11">
        <v>2</v>
      </c>
      <c r="QI11">
        <v>2</v>
      </c>
      <c r="QJ11">
        <v>2</v>
      </c>
      <c r="QK11">
        <v>2</v>
      </c>
      <c r="QL11">
        <v>2</v>
      </c>
      <c r="QM11">
        <v>2</v>
      </c>
      <c r="QN11">
        <v>2</v>
      </c>
      <c r="QO11">
        <v>2</v>
      </c>
      <c r="QP11">
        <v>2</v>
      </c>
      <c r="QQ11">
        <v>2</v>
      </c>
      <c r="QR11">
        <v>2</v>
      </c>
      <c r="QS11">
        <v>2</v>
      </c>
      <c r="QT11">
        <v>2</v>
      </c>
      <c r="QU11">
        <v>2</v>
      </c>
      <c r="QV11">
        <v>2</v>
      </c>
      <c r="QW11">
        <v>2</v>
      </c>
      <c r="QX11">
        <v>2</v>
      </c>
      <c r="QY11">
        <v>2</v>
      </c>
      <c r="QZ11">
        <v>2</v>
      </c>
      <c r="RA11">
        <v>2</v>
      </c>
      <c r="RB11">
        <v>2</v>
      </c>
      <c r="RC11">
        <v>2</v>
      </c>
      <c r="RD11">
        <v>2</v>
      </c>
      <c r="RE11">
        <v>2</v>
      </c>
      <c r="RF11">
        <v>2</v>
      </c>
      <c r="RG11">
        <v>2</v>
      </c>
      <c r="RH11">
        <v>2</v>
      </c>
      <c r="RI11">
        <v>2</v>
      </c>
      <c r="RJ11">
        <v>2</v>
      </c>
      <c r="RK11">
        <v>2</v>
      </c>
      <c r="RL11">
        <v>2</v>
      </c>
      <c r="RM11">
        <v>2</v>
      </c>
      <c r="RN11">
        <v>2</v>
      </c>
      <c r="RO11">
        <v>2</v>
      </c>
      <c r="RP11">
        <v>2</v>
      </c>
      <c r="RQ11">
        <v>2</v>
      </c>
      <c r="RR11">
        <v>2</v>
      </c>
      <c r="RS11">
        <v>2</v>
      </c>
      <c r="RT11">
        <v>2</v>
      </c>
      <c r="RU11">
        <v>2</v>
      </c>
      <c r="RV11">
        <v>2</v>
      </c>
      <c r="RW11">
        <v>2</v>
      </c>
      <c r="RX11">
        <v>2</v>
      </c>
      <c r="RY11">
        <v>2</v>
      </c>
      <c r="RZ11">
        <v>2</v>
      </c>
      <c r="SA11">
        <v>2</v>
      </c>
      <c r="SB11">
        <v>2</v>
      </c>
      <c r="SC11">
        <v>2</v>
      </c>
      <c r="SD11">
        <v>2</v>
      </c>
      <c r="SE11">
        <v>2</v>
      </c>
      <c r="SF11">
        <v>2</v>
      </c>
      <c r="SG11">
        <v>2</v>
      </c>
      <c r="SH11">
        <v>2</v>
      </c>
      <c r="SI11">
        <v>2</v>
      </c>
      <c r="SJ11">
        <v>2</v>
      </c>
      <c r="SK11">
        <v>2</v>
      </c>
      <c r="SL11">
        <v>2</v>
      </c>
      <c r="SM11">
        <v>2</v>
      </c>
      <c r="SN11">
        <v>2</v>
      </c>
      <c r="SO11">
        <v>2</v>
      </c>
      <c r="SP11">
        <v>2</v>
      </c>
      <c r="SQ11">
        <v>2</v>
      </c>
      <c r="SR11">
        <v>2</v>
      </c>
      <c r="SS11">
        <v>2</v>
      </c>
      <c r="ST11">
        <v>2</v>
      </c>
      <c r="SU11">
        <v>2</v>
      </c>
      <c r="SV11">
        <v>2</v>
      </c>
      <c r="SW11">
        <v>2</v>
      </c>
      <c r="SX11">
        <v>2</v>
      </c>
      <c r="SY11">
        <v>2</v>
      </c>
      <c r="SZ11">
        <v>2</v>
      </c>
      <c r="TA11">
        <v>2</v>
      </c>
      <c r="TB11">
        <v>2</v>
      </c>
      <c r="TC11">
        <v>2</v>
      </c>
      <c r="TD11">
        <v>2</v>
      </c>
      <c r="TE11">
        <v>2</v>
      </c>
      <c r="TF11">
        <v>2</v>
      </c>
      <c r="TG11">
        <v>2</v>
      </c>
      <c r="TH11">
        <v>2</v>
      </c>
      <c r="TI11">
        <v>2</v>
      </c>
      <c r="TJ11">
        <v>2</v>
      </c>
      <c r="TK11">
        <v>2</v>
      </c>
      <c r="TL11">
        <v>2</v>
      </c>
      <c r="TM11">
        <v>2</v>
      </c>
      <c r="TN11">
        <v>2</v>
      </c>
      <c r="TO11">
        <v>2</v>
      </c>
      <c r="TP11">
        <v>2</v>
      </c>
      <c r="TQ11">
        <v>2</v>
      </c>
      <c r="TR11">
        <v>2</v>
      </c>
      <c r="TS11">
        <v>2</v>
      </c>
      <c r="TT11">
        <v>2</v>
      </c>
      <c r="TU11">
        <v>2</v>
      </c>
      <c r="TV11">
        <v>2</v>
      </c>
      <c r="TW11">
        <v>2</v>
      </c>
      <c r="TX11">
        <v>2</v>
      </c>
      <c r="TY11">
        <v>2</v>
      </c>
      <c r="TZ11">
        <v>2</v>
      </c>
      <c r="UA11">
        <v>2</v>
      </c>
      <c r="UB11">
        <v>2</v>
      </c>
      <c r="UC11">
        <v>2</v>
      </c>
      <c r="UD11">
        <v>2</v>
      </c>
      <c r="UE11">
        <v>2</v>
      </c>
      <c r="UF11">
        <v>2</v>
      </c>
      <c r="UG11">
        <v>2</v>
      </c>
      <c r="UH11">
        <v>2</v>
      </c>
      <c r="UI11">
        <v>2</v>
      </c>
      <c r="UJ11">
        <v>2</v>
      </c>
      <c r="UK11">
        <v>2</v>
      </c>
      <c r="UL11">
        <v>2</v>
      </c>
      <c r="UM11">
        <v>2</v>
      </c>
      <c r="UN11">
        <v>2</v>
      </c>
      <c r="UO11">
        <v>2</v>
      </c>
      <c r="UP11">
        <v>2</v>
      </c>
      <c r="UQ11">
        <v>2</v>
      </c>
      <c r="UR11">
        <v>2</v>
      </c>
      <c r="US11">
        <v>2</v>
      </c>
      <c r="UT11">
        <v>2</v>
      </c>
      <c r="UU11">
        <v>2</v>
      </c>
      <c r="UV11">
        <v>2</v>
      </c>
      <c r="UW11">
        <v>2</v>
      </c>
      <c r="UX11">
        <v>2</v>
      </c>
      <c r="UY11">
        <v>2</v>
      </c>
      <c r="UZ11">
        <v>2</v>
      </c>
      <c r="VA11">
        <v>2</v>
      </c>
      <c r="VB11">
        <v>2</v>
      </c>
      <c r="VC11">
        <v>2</v>
      </c>
      <c r="VD11">
        <v>2</v>
      </c>
      <c r="VE11">
        <v>2</v>
      </c>
      <c r="VF11">
        <v>2</v>
      </c>
      <c r="VG11">
        <v>2</v>
      </c>
      <c r="VH11">
        <v>2</v>
      </c>
      <c r="VI11">
        <v>2</v>
      </c>
      <c r="VJ11">
        <v>2</v>
      </c>
      <c r="VK11">
        <v>2</v>
      </c>
      <c r="VL11">
        <v>2</v>
      </c>
      <c r="VM11">
        <v>2</v>
      </c>
      <c r="VN11">
        <v>2</v>
      </c>
      <c r="VO11">
        <v>2</v>
      </c>
      <c r="VP11">
        <v>2</v>
      </c>
      <c r="VQ11">
        <v>2</v>
      </c>
      <c r="VR11">
        <v>2</v>
      </c>
      <c r="VS11">
        <v>2</v>
      </c>
      <c r="VT11">
        <v>2</v>
      </c>
      <c r="VU11">
        <v>2</v>
      </c>
      <c r="VV11">
        <v>2</v>
      </c>
      <c r="VW11">
        <v>2</v>
      </c>
      <c r="VX11">
        <v>2</v>
      </c>
      <c r="VY11">
        <v>2</v>
      </c>
      <c r="VZ11">
        <v>2</v>
      </c>
      <c r="WA11">
        <v>2</v>
      </c>
      <c r="WB11">
        <v>2</v>
      </c>
      <c r="WC11">
        <v>2</v>
      </c>
      <c r="WD11">
        <v>2</v>
      </c>
      <c r="WE11">
        <v>2</v>
      </c>
      <c r="WF11">
        <v>2</v>
      </c>
      <c r="WG11">
        <v>2</v>
      </c>
      <c r="WH11">
        <v>2</v>
      </c>
      <c r="WI11">
        <v>2</v>
      </c>
      <c r="WJ11">
        <v>2</v>
      </c>
      <c r="WK11">
        <v>2</v>
      </c>
      <c r="WL11">
        <v>2</v>
      </c>
      <c r="WM11">
        <v>2</v>
      </c>
      <c r="WN11">
        <v>2</v>
      </c>
      <c r="WO11">
        <v>2</v>
      </c>
      <c r="WP11">
        <v>2</v>
      </c>
      <c r="WQ11">
        <v>2</v>
      </c>
      <c r="WR11">
        <v>2</v>
      </c>
      <c r="WS11">
        <v>2</v>
      </c>
      <c r="WT11">
        <v>2</v>
      </c>
      <c r="WU11">
        <v>2</v>
      </c>
      <c r="WV11">
        <v>2</v>
      </c>
      <c r="WW11">
        <v>2</v>
      </c>
      <c r="WX11">
        <v>2</v>
      </c>
      <c r="WY11">
        <v>2</v>
      </c>
      <c r="WZ11">
        <v>2</v>
      </c>
      <c r="XA11">
        <v>2</v>
      </c>
      <c r="XB11">
        <v>2</v>
      </c>
      <c r="XC11">
        <v>2</v>
      </c>
      <c r="XD11">
        <v>2</v>
      </c>
      <c r="XE11">
        <v>2</v>
      </c>
      <c r="XF11">
        <v>2</v>
      </c>
      <c r="XG11">
        <v>2</v>
      </c>
      <c r="XH11">
        <v>2</v>
      </c>
      <c r="XI11">
        <v>2</v>
      </c>
      <c r="XJ11">
        <v>2</v>
      </c>
      <c r="XK11">
        <v>2</v>
      </c>
      <c r="XL11">
        <v>2</v>
      </c>
      <c r="XM11">
        <v>2</v>
      </c>
      <c r="XN11">
        <v>2</v>
      </c>
      <c r="XO11">
        <v>2</v>
      </c>
      <c r="XP11">
        <v>2</v>
      </c>
      <c r="XQ11">
        <v>2</v>
      </c>
      <c r="XR11">
        <v>1</v>
      </c>
      <c r="XS11">
        <v>1</v>
      </c>
      <c r="XT11">
        <v>1</v>
      </c>
      <c r="XU11">
        <v>1</v>
      </c>
      <c r="XV11">
        <v>1</v>
      </c>
      <c r="XW11">
        <v>1</v>
      </c>
      <c r="XX11">
        <v>1</v>
      </c>
      <c r="XY11">
        <v>1</v>
      </c>
      <c r="XZ11">
        <v>1</v>
      </c>
      <c r="YA11">
        <v>1</v>
      </c>
      <c r="YB11">
        <v>1</v>
      </c>
      <c r="YC11">
        <v>1</v>
      </c>
      <c r="YD11">
        <v>1</v>
      </c>
      <c r="YE11">
        <v>1</v>
      </c>
      <c r="YF11">
        <v>1</v>
      </c>
      <c r="YG11">
        <v>1</v>
      </c>
      <c r="YH11">
        <v>1</v>
      </c>
      <c r="YI11">
        <v>1</v>
      </c>
      <c r="YJ11">
        <v>1</v>
      </c>
      <c r="YK11">
        <v>1</v>
      </c>
      <c r="YL11">
        <v>1</v>
      </c>
      <c r="YM11">
        <v>1</v>
      </c>
      <c r="YN11">
        <v>1</v>
      </c>
      <c r="YO11">
        <v>1</v>
      </c>
      <c r="YP11">
        <v>1</v>
      </c>
      <c r="YQ11">
        <v>1</v>
      </c>
      <c r="YR11">
        <v>1</v>
      </c>
      <c r="YS11">
        <v>1</v>
      </c>
      <c r="YT11">
        <v>1</v>
      </c>
      <c r="YU11">
        <v>1</v>
      </c>
      <c r="YV11">
        <v>1</v>
      </c>
      <c r="YW11">
        <v>1</v>
      </c>
      <c r="YX11">
        <v>1</v>
      </c>
      <c r="YY11">
        <v>1</v>
      </c>
      <c r="YZ11">
        <v>1</v>
      </c>
      <c r="ZA11">
        <v>1</v>
      </c>
      <c r="ZB11">
        <v>1</v>
      </c>
      <c r="ZC11">
        <v>1</v>
      </c>
      <c r="ZD11">
        <v>1</v>
      </c>
      <c r="ZE11">
        <v>1</v>
      </c>
      <c r="ZF11">
        <v>1</v>
      </c>
      <c r="ZG11">
        <v>1</v>
      </c>
      <c r="ZH11">
        <v>1</v>
      </c>
      <c r="ZI11">
        <v>1</v>
      </c>
      <c r="ZJ11">
        <v>1</v>
      </c>
      <c r="ZK11">
        <v>1</v>
      </c>
      <c r="ZL11">
        <v>1</v>
      </c>
      <c r="ZM11">
        <v>1</v>
      </c>
      <c r="ZN11">
        <v>1</v>
      </c>
      <c r="ZO11">
        <v>1</v>
      </c>
      <c r="ZP11">
        <v>1</v>
      </c>
      <c r="ZQ11">
        <v>1</v>
      </c>
      <c r="ZR11">
        <v>1</v>
      </c>
      <c r="ZS11">
        <v>1</v>
      </c>
      <c r="ZT11">
        <v>1</v>
      </c>
      <c r="ZU11">
        <v>1</v>
      </c>
      <c r="ZV11">
        <v>1</v>
      </c>
      <c r="ZW11">
        <v>1</v>
      </c>
      <c r="ZX11">
        <v>1</v>
      </c>
      <c r="ZY11">
        <v>1</v>
      </c>
      <c r="ZZ11">
        <v>1</v>
      </c>
      <c r="AAA11">
        <v>1</v>
      </c>
      <c r="AAB11">
        <v>1</v>
      </c>
      <c r="AAC11">
        <v>1</v>
      </c>
      <c r="AAD11">
        <v>1</v>
      </c>
      <c r="AAE11">
        <v>1</v>
      </c>
      <c r="AAF11">
        <v>1</v>
      </c>
      <c r="AAG11">
        <v>0</v>
      </c>
      <c r="AAH11">
        <v>0</v>
      </c>
      <c r="AAI11">
        <v>0</v>
      </c>
      <c r="AAJ11">
        <v>0</v>
      </c>
      <c r="AAK11">
        <v>0</v>
      </c>
      <c r="AAL11">
        <v>0</v>
      </c>
      <c r="AAM11">
        <v>0</v>
      </c>
      <c r="AAN11">
        <v>0</v>
      </c>
      <c r="AAO11">
        <v>0</v>
      </c>
      <c r="AAP11">
        <v>0</v>
      </c>
      <c r="AAQ11">
        <v>0</v>
      </c>
      <c r="AAR11">
        <v>0</v>
      </c>
      <c r="AAS11">
        <v>0</v>
      </c>
      <c r="AAT11">
        <v>0</v>
      </c>
      <c r="AAU11">
        <v>0</v>
      </c>
      <c r="AAV11">
        <v>0</v>
      </c>
      <c r="AAW11">
        <v>0</v>
      </c>
      <c r="AAX11">
        <v>0</v>
      </c>
      <c r="AAY11">
        <v>0</v>
      </c>
      <c r="AAZ11">
        <v>0</v>
      </c>
      <c r="ABA11">
        <v>0</v>
      </c>
      <c r="ABB11">
        <v>0</v>
      </c>
      <c r="ABC11">
        <v>0</v>
      </c>
      <c r="ABD11">
        <v>0</v>
      </c>
      <c r="ABE11">
        <v>0</v>
      </c>
      <c r="ABG11" s="1137">
        <f t="shared" si="5"/>
        <v>0</v>
      </c>
      <c r="ABH11" s="1137">
        <f t="shared" si="1"/>
        <v>0</v>
      </c>
      <c r="ABI11" s="1137">
        <f t="shared" si="1"/>
        <v>12</v>
      </c>
      <c r="ABJ11" s="1137">
        <f t="shared" si="1"/>
        <v>30</v>
      </c>
      <c r="ABK11" s="1137">
        <f t="shared" si="1"/>
        <v>31</v>
      </c>
      <c r="ABL11" s="1137">
        <f t="shared" si="1"/>
        <v>30</v>
      </c>
      <c r="ABM11" s="1137">
        <f t="shared" si="1"/>
        <v>31</v>
      </c>
      <c r="ABN11" s="1137">
        <f t="shared" si="1"/>
        <v>31</v>
      </c>
      <c r="ABO11" s="1137">
        <f t="shared" si="1"/>
        <v>30</v>
      </c>
      <c r="ABP11" s="1137">
        <f t="shared" si="1"/>
        <v>31</v>
      </c>
      <c r="ABQ11" s="1137">
        <f t="shared" si="1"/>
        <v>30</v>
      </c>
      <c r="ABR11" s="1137">
        <f t="shared" si="1"/>
        <v>31</v>
      </c>
      <c r="ABS11" s="1137">
        <f t="shared" si="1"/>
        <v>31</v>
      </c>
      <c r="ABT11" s="1137">
        <f t="shared" si="1"/>
        <v>28</v>
      </c>
      <c r="ABU11" s="1137">
        <f t="shared" si="1"/>
        <v>31</v>
      </c>
      <c r="ABV11" s="1137">
        <f t="shared" si="1"/>
        <v>30</v>
      </c>
      <c r="ABW11" s="1137">
        <f t="shared" si="1"/>
        <v>31</v>
      </c>
      <c r="ABX11" s="1137">
        <f t="shared" si="2"/>
        <v>30</v>
      </c>
      <c r="ABY11" s="1137">
        <f t="shared" si="2"/>
        <v>31</v>
      </c>
      <c r="ABZ11" s="1137">
        <f t="shared" si="2"/>
        <v>31</v>
      </c>
      <c r="ACA11" s="1137">
        <f t="shared" si="2"/>
        <v>30</v>
      </c>
      <c r="ACB11" s="1137">
        <f t="shared" si="2"/>
        <v>31</v>
      </c>
      <c r="ACC11" s="1137">
        <f t="shared" si="2"/>
        <v>30</v>
      </c>
      <c r="ACD11" s="1137">
        <f t="shared" si="2"/>
        <v>6</v>
      </c>
      <c r="ACE11" s="1137" t="s">
        <v>137</v>
      </c>
      <c r="ACF11" s="1137">
        <f t="shared" si="6"/>
        <v>0</v>
      </c>
      <c r="ACG11" s="1137">
        <f t="shared" si="3"/>
        <v>0</v>
      </c>
      <c r="ACH11" s="1137">
        <f t="shared" si="3"/>
        <v>1</v>
      </c>
      <c r="ACI11" s="1137">
        <f t="shared" si="3"/>
        <v>1</v>
      </c>
      <c r="ACJ11" s="1137">
        <f t="shared" si="3"/>
        <v>1</v>
      </c>
      <c r="ACK11" s="1137">
        <f t="shared" si="3"/>
        <v>1</v>
      </c>
      <c r="ACL11" s="1137">
        <f t="shared" si="3"/>
        <v>1</v>
      </c>
      <c r="ACM11" s="1137">
        <f t="shared" si="3"/>
        <v>1</v>
      </c>
      <c r="ACN11" s="1137">
        <f t="shared" si="3"/>
        <v>1</v>
      </c>
      <c r="ACO11" s="1137">
        <f t="shared" si="3"/>
        <v>1</v>
      </c>
      <c r="ACP11" s="1137">
        <f t="shared" si="3"/>
        <v>1</v>
      </c>
      <c r="ACQ11" s="1137">
        <f t="shared" si="3"/>
        <v>1</v>
      </c>
      <c r="ACR11" s="1137">
        <f t="shared" si="3"/>
        <v>1</v>
      </c>
      <c r="ACS11" s="1137">
        <f t="shared" si="3"/>
        <v>1</v>
      </c>
      <c r="ACT11" s="1137">
        <f t="shared" si="3"/>
        <v>1</v>
      </c>
      <c r="ACU11" s="1137">
        <f t="shared" si="3"/>
        <v>1</v>
      </c>
      <c r="ACV11" s="1137">
        <f t="shared" si="3"/>
        <v>1</v>
      </c>
      <c r="ACW11" s="1137">
        <f t="shared" si="4"/>
        <v>1</v>
      </c>
      <c r="ACX11" s="1137">
        <f t="shared" si="4"/>
        <v>1</v>
      </c>
      <c r="ACY11" s="1137">
        <f t="shared" si="4"/>
        <v>1</v>
      </c>
      <c r="ACZ11" s="1137">
        <f t="shared" si="4"/>
        <v>1</v>
      </c>
      <c r="ADA11" s="1137">
        <f t="shared" si="4"/>
        <v>1</v>
      </c>
      <c r="ADB11" s="1137">
        <f t="shared" si="4"/>
        <v>1</v>
      </c>
      <c r="ADC11" s="1137">
        <f t="shared" si="4"/>
        <v>0</v>
      </c>
    </row>
    <row r="12" spans="1:783" x14ac:dyDescent="0.25">
      <c r="A12" t="s">
        <v>1807</v>
      </c>
      <c r="B12" t="s">
        <v>140</v>
      </c>
      <c r="C12">
        <v>0</v>
      </c>
      <c r="D12">
        <v>0</v>
      </c>
      <c r="E12">
        <v>0</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0</v>
      </c>
      <c r="BC12">
        <v>0</v>
      </c>
      <c r="BD12">
        <v>0</v>
      </c>
      <c r="BE12">
        <v>0</v>
      </c>
      <c r="BF12">
        <v>0</v>
      </c>
      <c r="BG12">
        <v>0</v>
      </c>
      <c r="BH12">
        <v>0</v>
      </c>
      <c r="BI12">
        <v>0</v>
      </c>
      <c r="BJ12">
        <v>0</v>
      </c>
      <c r="BK12">
        <v>0</v>
      </c>
      <c r="BL12">
        <v>0</v>
      </c>
      <c r="BM12">
        <v>0</v>
      </c>
      <c r="BN12">
        <v>0</v>
      </c>
      <c r="BO12">
        <v>0</v>
      </c>
      <c r="BP12">
        <v>0</v>
      </c>
      <c r="BQ12">
        <v>0</v>
      </c>
      <c r="BR12">
        <v>0</v>
      </c>
      <c r="BS12">
        <v>0</v>
      </c>
      <c r="BT12">
        <v>0</v>
      </c>
      <c r="BU12">
        <v>0</v>
      </c>
      <c r="BV12">
        <v>0</v>
      </c>
      <c r="BW12">
        <v>0</v>
      </c>
      <c r="BX12">
        <v>0</v>
      </c>
      <c r="BY12">
        <v>0</v>
      </c>
      <c r="BZ12">
        <v>0</v>
      </c>
      <c r="CA12">
        <v>0</v>
      </c>
      <c r="CB12">
        <v>0</v>
      </c>
      <c r="CC12">
        <v>2</v>
      </c>
      <c r="CD12">
        <v>2</v>
      </c>
      <c r="CE12">
        <v>2</v>
      </c>
      <c r="CF12">
        <v>2</v>
      </c>
      <c r="CG12">
        <v>2</v>
      </c>
      <c r="CH12">
        <v>2</v>
      </c>
      <c r="CI12">
        <v>2</v>
      </c>
      <c r="CJ12">
        <v>2</v>
      </c>
      <c r="CK12">
        <v>2</v>
      </c>
      <c r="CL12">
        <v>2</v>
      </c>
      <c r="CM12">
        <v>2</v>
      </c>
      <c r="CN12">
        <v>2</v>
      </c>
      <c r="CO12">
        <v>2</v>
      </c>
      <c r="CP12">
        <v>2</v>
      </c>
      <c r="CQ12">
        <v>2</v>
      </c>
      <c r="CR12">
        <v>2</v>
      </c>
      <c r="CS12">
        <v>2</v>
      </c>
      <c r="CT12">
        <v>2</v>
      </c>
      <c r="CU12">
        <v>2</v>
      </c>
      <c r="CV12">
        <v>2</v>
      </c>
      <c r="CW12">
        <v>2</v>
      </c>
      <c r="CX12">
        <v>2</v>
      </c>
      <c r="CY12">
        <v>2</v>
      </c>
      <c r="CZ12">
        <v>2</v>
      </c>
      <c r="DA12">
        <v>2</v>
      </c>
      <c r="DB12">
        <v>2</v>
      </c>
      <c r="DC12">
        <v>2</v>
      </c>
      <c r="DD12">
        <v>2</v>
      </c>
      <c r="DE12">
        <v>2</v>
      </c>
      <c r="DF12">
        <v>2</v>
      </c>
      <c r="DG12">
        <v>2</v>
      </c>
      <c r="DH12">
        <v>2</v>
      </c>
      <c r="DI12">
        <v>2</v>
      </c>
      <c r="DJ12">
        <v>2</v>
      </c>
      <c r="DK12">
        <v>2</v>
      </c>
      <c r="DL12">
        <v>2</v>
      </c>
      <c r="DM12">
        <v>2</v>
      </c>
      <c r="DN12">
        <v>2</v>
      </c>
      <c r="DO12">
        <v>2</v>
      </c>
      <c r="DP12">
        <v>2</v>
      </c>
      <c r="DQ12">
        <v>2</v>
      </c>
      <c r="DR12">
        <v>2</v>
      </c>
      <c r="DS12">
        <v>2</v>
      </c>
      <c r="DT12">
        <v>2</v>
      </c>
      <c r="DU12">
        <v>2</v>
      </c>
      <c r="DV12">
        <v>2</v>
      </c>
      <c r="DW12">
        <v>2</v>
      </c>
      <c r="DX12">
        <v>2</v>
      </c>
      <c r="DY12">
        <v>2</v>
      </c>
      <c r="DZ12">
        <v>2</v>
      </c>
      <c r="EA12">
        <v>2</v>
      </c>
      <c r="EB12">
        <v>2</v>
      </c>
      <c r="EC12">
        <v>2</v>
      </c>
      <c r="ED12">
        <v>2</v>
      </c>
      <c r="EE12">
        <v>2</v>
      </c>
      <c r="EF12">
        <v>2</v>
      </c>
      <c r="EG12">
        <v>2</v>
      </c>
      <c r="EH12">
        <v>2</v>
      </c>
      <c r="EI12">
        <v>2</v>
      </c>
      <c r="EJ12">
        <v>2</v>
      </c>
      <c r="EK12">
        <v>2</v>
      </c>
      <c r="EL12">
        <v>2</v>
      </c>
      <c r="EM12">
        <v>2</v>
      </c>
      <c r="EN12">
        <v>2</v>
      </c>
      <c r="EO12">
        <v>2</v>
      </c>
      <c r="EP12">
        <v>2</v>
      </c>
      <c r="EQ12">
        <v>2</v>
      </c>
      <c r="ER12">
        <v>2</v>
      </c>
      <c r="ES12">
        <v>2</v>
      </c>
      <c r="ET12">
        <v>2</v>
      </c>
      <c r="EU12">
        <v>2</v>
      </c>
      <c r="EV12">
        <v>2</v>
      </c>
      <c r="EW12">
        <v>2</v>
      </c>
      <c r="EX12">
        <v>2</v>
      </c>
      <c r="EY12">
        <v>2</v>
      </c>
      <c r="EZ12">
        <v>2</v>
      </c>
      <c r="FA12">
        <v>2</v>
      </c>
      <c r="FB12">
        <v>2</v>
      </c>
      <c r="FC12">
        <v>2</v>
      </c>
      <c r="FD12">
        <v>2</v>
      </c>
      <c r="FE12">
        <v>2</v>
      </c>
      <c r="FF12">
        <v>2</v>
      </c>
      <c r="FG12">
        <v>2</v>
      </c>
      <c r="FH12">
        <v>2</v>
      </c>
      <c r="FI12">
        <v>2</v>
      </c>
      <c r="FJ12">
        <v>2</v>
      </c>
      <c r="FK12">
        <v>2</v>
      </c>
      <c r="FL12">
        <v>2</v>
      </c>
      <c r="FM12">
        <v>2</v>
      </c>
      <c r="FN12">
        <v>2</v>
      </c>
      <c r="FO12">
        <v>2</v>
      </c>
      <c r="FP12">
        <v>2</v>
      </c>
      <c r="FQ12">
        <v>2</v>
      </c>
      <c r="FR12">
        <v>2</v>
      </c>
      <c r="FS12">
        <v>2</v>
      </c>
      <c r="FT12">
        <v>2</v>
      </c>
      <c r="FU12">
        <v>2</v>
      </c>
      <c r="FV12">
        <v>2</v>
      </c>
      <c r="FW12">
        <v>2</v>
      </c>
      <c r="FX12">
        <v>2</v>
      </c>
      <c r="FY12">
        <v>2</v>
      </c>
      <c r="FZ12">
        <v>2</v>
      </c>
      <c r="GA12">
        <v>2</v>
      </c>
      <c r="GB12">
        <v>2</v>
      </c>
      <c r="GC12">
        <v>2</v>
      </c>
      <c r="GD12">
        <v>2</v>
      </c>
      <c r="GE12">
        <v>2</v>
      </c>
      <c r="GF12">
        <v>2</v>
      </c>
      <c r="GG12">
        <v>2</v>
      </c>
      <c r="GH12">
        <v>2</v>
      </c>
      <c r="GI12">
        <v>2</v>
      </c>
      <c r="GJ12">
        <v>2</v>
      </c>
      <c r="GK12">
        <v>2</v>
      </c>
      <c r="GL12">
        <v>2</v>
      </c>
      <c r="GM12">
        <v>2</v>
      </c>
      <c r="GN12">
        <v>2</v>
      </c>
      <c r="GO12">
        <v>2</v>
      </c>
      <c r="GP12">
        <v>2</v>
      </c>
      <c r="GQ12">
        <v>2</v>
      </c>
      <c r="GR12">
        <v>2</v>
      </c>
      <c r="GS12">
        <v>2</v>
      </c>
      <c r="GT12">
        <v>2</v>
      </c>
      <c r="GU12">
        <v>2</v>
      </c>
      <c r="GV12">
        <v>2</v>
      </c>
      <c r="GW12">
        <v>2</v>
      </c>
      <c r="GX12">
        <v>2</v>
      </c>
      <c r="GY12">
        <v>2</v>
      </c>
      <c r="GZ12">
        <v>2</v>
      </c>
      <c r="HA12">
        <v>2</v>
      </c>
      <c r="HB12">
        <v>2</v>
      </c>
      <c r="HC12">
        <v>2</v>
      </c>
      <c r="HD12">
        <v>2</v>
      </c>
      <c r="HE12">
        <v>2</v>
      </c>
      <c r="HF12">
        <v>2</v>
      </c>
      <c r="HG12">
        <v>2</v>
      </c>
      <c r="HH12">
        <v>2</v>
      </c>
      <c r="HI12">
        <v>2</v>
      </c>
      <c r="HJ12">
        <v>2</v>
      </c>
      <c r="HK12">
        <v>2</v>
      </c>
      <c r="HL12">
        <v>2</v>
      </c>
      <c r="HM12">
        <v>2</v>
      </c>
      <c r="HN12">
        <v>2</v>
      </c>
      <c r="HO12">
        <v>2</v>
      </c>
      <c r="HP12">
        <v>2</v>
      </c>
      <c r="HQ12">
        <v>2</v>
      </c>
      <c r="HR12">
        <v>2</v>
      </c>
      <c r="HS12">
        <v>2</v>
      </c>
      <c r="HT12">
        <v>2</v>
      </c>
      <c r="HU12">
        <v>2</v>
      </c>
      <c r="HV12">
        <v>2</v>
      </c>
      <c r="HW12">
        <v>2</v>
      </c>
      <c r="HX12">
        <v>2</v>
      </c>
      <c r="HY12">
        <v>2</v>
      </c>
      <c r="HZ12">
        <v>2</v>
      </c>
      <c r="IA12">
        <v>2</v>
      </c>
      <c r="IB12">
        <v>2</v>
      </c>
      <c r="IC12">
        <v>2</v>
      </c>
      <c r="ID12">
        <v>2</v>
      </c>
      <c r="IE12">
        <v>2</v>
      </c>
      <c r="IF12">
        <v>2</v>
      </c>
      <c r="IG12">
        <v>2</v>
      </c>
      <c r="IH12">
        <v>2</v>
      </c>
      <c r="II12">
        <v>2</v>
      </c>
      <c r="IJ12">
        <v>2</v>
      </c>
      <c r="IK12">
        <v>2</v>
      </c>
      <c r="IL12">
        <v>2</v>
      </c>
      <c r="IM12">
        <v>2</v>
      </c>
      <c r="IN12">
        <v>2</v>
      </c>
      <c r="IO12">
        <v>2</v>
      </c>
      <c r="IP12">
        <v>2</v>
      </c>
      <c r="IQ12">
        <v>2</v>
      </c>
      <c r="IR12">
        <v>2</v>
      </c>
      <c r="IS12">
        <v>2</v>
      </c>
      <c r="IT12">
        <v>2</v>
      </c>
      <c r="IU12">
        <v>2</v>
      </c>
      <c r="IV12">
        <v>2</v>
      </c>
      <c r="IW12">
        <v>2</v>
      </c>
      <c r="IX12">
        <v>2</v>
      </c>
      <c r="IY12">
        <v>2</v>
      </c>
      <c r="IZ12">
        <v>2</v>
      </c>
      <c r="JA12">
        <v>2</v>
      </c>
      <c r="JB12">
        <v>2</v>
      </c>
      <c r="JC12">
        <v>2</v>
      </c>
      <c r="JD12">
        <v>2</v>
      </c>
      <c r="JE12">
        <v>2</v>
      </c>
      <c r="JF12">
        <v>2</v>
      </c>
      <c r="JG12">
        <v>2</v>
      </c>
      <c r="JH12">
        <v>2</v>
      </c>
      <c r="JI12">
        <v>2</v>
      </c>
      <c r="JJ12">
        <v>2</v>
      </c>
      <c r="JK12">
        <v>2</v>
      </c>
      <c r="JL12">
        <v>2</v>
      </c>
      <c r="JM12">
        <v>2</v>
      </c>
      <c r="JN12">
        <v>2</v>
      </c>
      <c r="JO12">
        <v>2</v>
      </c>
      <c r="JP12">
        <v>2</v>
      </c>
      <c r="JQ12">
        <v>2</v>
      </c>
      <c r="JR12">
        <v>2</v>
      </c>
      <c r="JS12">
        <v>2</v>
      </c>
      <c r="JT12">
        <v>2</v>
      </c>
      <c r="JU12">
        <v>2</v>
      </c>
      <c r="JV12">
        <v>2</v>
      </c>
      <c r="JW12">
        <v>2</v>
      </c>
      <c r="JX12">
        <v>2</v>
      </c>
      <c r="JY12">
        <v>2</v>
      </c>
      <c r="JZ12">
        <v>2</v>
      </c>
      <c r="KA12">
        <v>2</v>
      </c>
      <c r="KB12">
        <v>2</v>
      </c>
      <c r="KC12">
        <v>2</v>
      </c>
      <c r="KD12">
        <v>2</v>
      </c>
      <c r="KE12">
        <v>2</v>
      </c>
      <c r="KF12">
        <v>2</v>
      </c>
      <c r="KG12">
        <v>2</v>
      </c>
      <c r="KH12">
        <v>2</v>
      </c>
      <c r="KI12">
        <v>2</v>
      </c>
      <c r="KJ12">
        <v>2</v>
      </c>
      <c r="KK12">
        <v>2</v>
      </c>
      <c r="KL12">
        <v>2</v>
      </c>
      <c r="KM12">
        <v>2</v>
      </c>
      <c r="KN12">
        <v>2</v>
      </c>
      <c r="KO12">
        <v>2</v>
      </c>
      <c r="KP12">
        <v>2</v>
      </c>
      <c r="KQ12">
        <v>2</v>
      </c>
      <c r="KR12">
        <v>2</v>
      </c>
      <c r="KS12">
        <v>2</v>
      </c>
      <c r="KT12">
        <v>2</v>
      </c>
      <c r="KU12">
        <v>2</v>
      </c>
      <c r="KV12">
        <v>2</v>
      </c>
      <c r="KW12">
        <v>2</v>
      </c>
      <c r="KX12">
        <v>2</v>
      </c>
      <c r="KY12">
        <v>2</v>
      </c>
      <c r="KZ12">
        <v>2</v>
      </c>
      <c r="LA12">
        <v>2</v>
      </c>
      <c r="LB12">
        <v>2</v>
      </c>
      <c r="LC12">
        <v>2</v>
      </c>
      <c r="LD12">
        <v>2</v>
      </c>
      <c r="LE12">
        <v>2</v>
      </c>
      <c r="LF12">
        <v>2</v>
      </c>
      <c r="LG12">
        <v>2</v>
      </c>
      <c r="LH12">
        <v>2</v>
      </c>
      <c r="LI12">
        <v>2</v>
      </c>
      <c r="LJ12">
        <v>2</v>
      </c>
      <c r="LK12">
        <v>2</v>
      </c>
      <c r="LL12">
        <v>2</v>
      </c>
      <c r="LM12">
        <v>2</v>
      </c>
      <c r="LN12">
        <v>2</v>
      </c>
      <c r="LO12">
        <v>2</v>
      </c>
      <c r="LP12">
        <v>2</v>
      </c>
      <c r="LQ12">
        <v>2</v>
      </c>
      <c r="LR12">
        <v>2</v>
      </c>
      <c r="LS12">
        <v>2</v>
      </c>
      <c r="LT12">
        <v>2</v>
      </c>
      <c r="LU12">
        <v>2</v>
      </c>
      <c r="LV12">
        <v>2</v>
      </c>
      <c r="LW12">
        <v>2</v>
      </c>
      <c r="LX12">
        <v>2</v>
      </c>
      <c r="LY12">
        <v>2</v>
      </c>
      <c r="LZ12">
        <v>2</v>
      </c>
      <c r="MA12">
        <v>2</v>
      </c>
      <c r="MB12">
        <v>2</v>
      </c>
      <c r="MC12">
        <v>2</v>
      </c>
      <c r="MD12">
        <v>2</v>
      </c>
      <c r="ME12">
        <v>2</v>
      </c>
      <c r="MF12">
        <v>2</v>
      </c>
      <c r="MG12">
        <v>2</v>
      </c>
      <c r="MH12">
        <v>2</v>
      </c>
      <c r="MI12">
        <v>2</v>
      </c>
      <c r="MJ12">
        <v>2</v>
      </c>
      <c r="MK12">
        <v>2</v>
      </c>
      <c r="ML12">
        <v>2</v>
      </c>
      <c r="MM12">
        <v>2</v>
      </c>
      <c r="MN12">
        <v>2</v>
      </c>
      <c r="MO12">
        <v>2</v>
      </c>
      <c r="MP12">
        <v>2</v>
      </c>
      <c r="MQ12">
        <v>2</v>
      </c>
      <c r="MR12">
        <v>2</v>
      </c>
      <c r="MS12">
        <v>2</v>
      </c>
      <c r="MT12">
        <v>2</v>
      </c>
      <c r="MU12">
        <v>2</v>
      </c>
      <c r="MV12">
        <v>2</v>
      </c>
      <c r="MW12">
        <v>2</v>
      </c>
      <c r="MX12">
        <v>2</v>
      </c>
      <c r="MY12">
        <v>2</v>
      </c>
      <c r="MZ12">
        <v>2</v>
      </c>
      <c r="NA12">
        <v>2</v>
      </c>
      <c r="NB12">
        <v>2</v>
      </c>
      <c r="NC12">
        <v>2</v>
      </c>
      <c r="ND12">
        <v>2</v>
      </c>
      <c r="NE12">
        <v>2</v>
      </c>
      <c r="NF12">
        <v>2</v>
      </c>
      <c r="NG12">
        <v>2</v>
      </c>
      <c r="NH12">
        <v>2</v>
      </c>
      <c r="NI12">
        <v>2</v>
      </c>
      <c r="NJ12">
        <v>2</v>
      </c>
      <c r="NK12">
        <v>2</v>
      </c>
      <c r="NL12">
        <v>2</v>
      </c>
      <c r="NM12">
        <v>2</v>
      </c>
      <c r="NN12">
        <v>2</v>
      </c>
      <c r="NO12">
        <v>2</v>
      </c>
      <c r="NP12">
        <v>2</v>
      </c>
      <c r="NQ12">
        <v>2</v>
      </c>
      <c r="NR12">
        <v>2</v>
      </c>
      <c r="NS12">
        <v>2</v>
      </c>
      <c r="NT12">
        <v>2</v>
      </c>
      <c r="NU12">
        <v>2</v>
      </c>
      <c r="NV12">
        <v>2</v>
      </c>
      <c r="NW12">
        <v>2</v>
      </c>
      <c r="NX12">
        <v>2</v>
      </c>
      <c r="NY12">
        <v>2</v>
      </c>
      <c r="NZ12">
        <v>2</v>
      </c>
      <c r="OA12">
        <v>2</v>
      </c>
      <c r="OB12">
        <v>2</v>
      </c>
      <c r="OC12">
        <v>2</v>
      </c>
      <c r="OD12">
        <v>2</v>
      </c>
      <c r="OE12">
        <v>2</v>
      </c>
      <c r="OF12">
        <v>2</v>
      </c>
      <c r="OG12">
        <v>2</v>
      </c>
      <c r="OH12">
        <v>2</v>
      </c>
      <c r="OI12">
        <v>2</v>
      </c>
      <c r="OJ12">
        <v>2</v>
      </c>
      <c r="OK12">
        <v>2</v>
      </c>
      <c r="OL12">
        <v>2</v>
      </c>
      <c r="OM12">
        <v>2</v>
      </c>
      <c r="ON12">
        <v>2</v>
      </c>
      <c r="OO12">
        <v>2</v>
      </c>
      <c r="OP12">
        <v>2</v>
      </c>
      <c r="OQ12">
        <v>2</v>
      </c>
      <c r="OR12">
        <v>2</v>
      </c>
      <c r="OS12">
        <v>2</v>
      </c>
      <c r="OT12">
        <v>2</v>
      </c>
      <c r="OU12">
        <v>2</v>
      </c>
      <c r="OV12">
        <v>2</v>
      </c>
      <c r="OW12">
        <v>2</v>
      </c>
      <c r="OX12">
        <v>2</v>
      </c>
      <c r="OY12">
        <v>2</v>
      </c>
      <c r="OZ12">
        <v>2</v>
      </c>
      <c r="PA12">
        <v>2</v>
      </c>
      <c r="PB12">
        <v>2</v>
      </c>
      <c r="PC12">
        <v>2</v>
      </c>
      <c r="PD12">
        <v>2</v>
      </c>
      <c r="PE12">
        <v>2</v>
      </c>
      <c r="PF12">
        <v>2</v>
      </c>
      <c r="PG12">
        <v>2</v>
      </c>
      <c r="PH12">
        <v>2</v>
      </c>
      <c r="PI12">
        <v>2</v>
      </c>
      <c r="PJ12">
        <v>2</v>
      </c>
      <c r="PK12">
        <v>2</v>
      </c>
      <c r="PL12">
        <v>2</v>
      </c>
      <c r="PM12">
        <v>2</v>
      </c>
      <c r="PN12">
        <v>2</v>
      </c>
      <c r="PO12">
        <v>2</v>
      </c>
      <c r="PP12">
        <v>2</v>
      </c>
      <c r="PQ12">
        <v>2</v>
      </c>
      <c r="PR12">
        <v>2</v>
      </c>
      <c r="PS12">
        <v>2</v>
      </c>
      <c r="PT12">
        <v>2</v>
      </c>
      <c r="PU12">
        <v>2</v>
      </c>
      <c r="PV12">
        <v>2</v>
      </c>
      <c r="PW12">
        <v>2</v>
      </c>
      <c r="PX12">
        <v>2</v>
      </c>
      <c r="PY12">
        <v>2</v>
      </c>
      <c r="PZ12">
        <v>1</v>
      </c>
      <c r="QA12">
        <v>1</v>
      </c>
      <c r="QB12">
        <v>1</v>
      </c>
      <c r="QC12">
        <v>1</v>
      </c>
      <c r="QD12">
        <v>1</v>
      </c>
      <c r="QE12">
        <v>1</v>
      </c>
      <c r="QF12">
        <v>1</v>
      </c>
      <c r="QG12">
        <v>1</v>
      </c>
      <c r="QH12">
        <v>1</v>
      </c>
      <c r="QI12">
        <v>1</v>
      </c>
      <c r="QJ12">
        <v>1</v>
      </c>
      <c r="QK12">
        <v>2</v>
      </c>
      <c r="QL12">
        <v>2</v>
      </c>
      <c r="QM12">
        <v>2</v>
      </c>
      <c r="QN12">
        <v>2</v>
      </c>
      <c r="QO12">
        <v>2</v>
      </c>
      <c r="QP12">
        <v>2</v>
      </c>
      <c r="QQ12">
        <v>2</v>
      </c>
      <c r="QR12">
        <v>2</v>
      </c>
      <c r="QS12">
        <v>2</v>
      </c>
      <c r="QT12">
        <v>2</v>
      </c>
      <c r="QU12">
        <v>2</v>
      </c>
      <c r="QV12">
        <v>2</v>
      </c>
      <c r="QW12">
        <v>2</v>
      </c>
      <c r="QX12">
        <v>2</v>
      </c>
      <c r="QY12">
        <v>2</v>
      </c>
      <c r="QZ12">
        <v>2</v>
      </c>
      <c r="RA12">
        <v>2</v>
      </c>
      <c r="RB12">
        <v>2</v>
      </c>
      <c r="RC12">
        <v>2</v>
      </c>
      <c r="RD12">
        <v>2</v>
      </c>
      <c r="RE12">
        <v>2</v>
      </c>
      <c r="RF12">
        <v>2</v>
      </c>
      <c r="RG12">
        <v>2</v>
      </c>
      <c r="RH12">
        <v>2</v>
      </c>
      <c r="RI12">
        <v>1</v>
      </c>
      <c r="RJ12">
        <v>1</v>
      </c>
      <c r="RK12">
        <v>1</v>
      </c>
      <c r="RL12">
        <v>1</v>
      </c>
      <c r="RM12">
        <v>1</v>
      </c>
      <c r="RN12">
        <v>2</v>
      </c>
      <c r="RO12">
        <v>2</v>
      </c>
      <c r="RP12">
        <v>2</v>
      </c>
      <c r="RQ12">
        <v>2</v>
      </c>
      <c r="RR12">
        <v>2</v>
      </c>
      <c r="RS12">
        <v>2</v>
      </c>
      <c r="RT12">
        <v>2</v>
      </c>
      <c r="RU12">
        <v>2</v>
      </c>
      <c r="RV12">
        <v>2</v>
      </c>
      <c r="RW12">
        <v>2</v>
      </c>
      <c r="RX12">
        <v>2</v>
      </c>
      <c r="RY12">
        <v>2</v>
      </c>
      <c r="RZ12">
        <v>2</v>
      </c>
      <c r="SA12">
        <v>2</v>
      </c>
      <c r="SB12">
        <v>2</v>
      </c>
      <c r="SC12">
        <v>2</v>
      </c>
      <c r="SD12">
        <v>2</v>
      </c>
      <c r="SE12">
        <v>1</v>
      </c>
      <c r="SF12">
        <v>1</v>
      </c>
      <c r="SG12">
        <v>1</v>
      </c>
      <c r="SH12">
        <v>1</v>
      </c>
      <c r="SI12">
        <v>1</v>
      </c>
      <c r="SJ12">
        <v>1</v>
      </c>
      <c r="SK12">
        <v>1</v>
      </c>
      <c r="SL12">
        <v>1</v>
      </c>
      <c r="SM12">
        <v>1</v>
      </c>
      <c r="SN12">
        <v>1</v>
      </c>
      <c r="SO12">
        <v>1</v>
      </c>
      <c r="SP12">
        <v>1</v>
      </c>
      <c r="SQ12">
        <v>1</v>
      </c>
      <c r="SR12">
        <v>1</v>
      </c>
      <c r="SS12">
        <v>1</v>
      </c>
      <c r="ST12">
        <v>2</v>
      </c>
      <c r="SU12">
        <v>2</v>
      </c>
      <c r="SV12">
        <v>2</v>
      </c>
      <c r="SW12">
        <v>2</v>
      </c>
      <c r="SX12">
        <v>2</v>
      </c>
      <c r="SY12">
        <v>2</v>
      </c>
      <c r="SZ12">
        <v>2</v>
      </c>
      <c r="TA12">
        <v>2</v>
      </c>
      <c r="TB12">
        <v>2</v>
      </c>
      <c r="TC12">
        <v>2</v>
      </c>
      <c r="TD12">
        <v>2</v>
      </c>
      <c r="TE12">
        <v>2</v>
      </c>
      <c r="TF12">
        <v>2</v>
      </c>
      <c r="TG12">
        <v>2</v>
      </c>
      <c r="TH12">
        <v>2</v>
      </c>
      <c r="TI12">
        <v>2</v>
      </c>
      <c r="TJ12">
        <v>2</v>
      </c>
      <c r="TK12">
        <v>2</v>
      </c>
      <c r="TL12">
        <v>2</v>
      </c>
      <c r="TM12">
        <v>2</v>
      </c>
      <c r="TN12">
        <v>2</v>
      </c>
      <c r="TO12">
        <v>2</v>
      </c>
      <c r="TP12">
        <v>2</v>
      </c>
      <c r="TQ12">
        <v>2</v>
      </c>
      <c r="TR12">
        <v>2</v>
      </c>
      <c r="TS12">
        <v>2</v>
      </c>
      <c r="TT12">
        <v>2</v>
      </c>
      <c r="TU12">
        <v>2</v>
      </c>
      <c r="TV12">
        <v>2</v>
      </c>
      <c r="TW12">
        <v>2</v>
      </c>
      <c r="TX12">
        <v>2</v>
      </c>
      <c r="TY12">
        <v>2</v>
      </c>
      <c r="TZ12">
        <v>2</v>
      </c>
      <c r="UA12">
        <v>2</v>
      </c>
      <c r="UB12">
        <v>2</v>
      </c>
      <c r="UC12">
        <v>2</v>
      </c>
      <c r="UD12">
        <v>2</v>
      </c>
      <c r="UE12">
        <v>2</v>
      </c>
      <c r="UF12">
        <v>2</v>
      </c>
      <c r="UG12">
        <v>2</v>
      </c>
      <c r="UH12">
        <v>2</v>
      </c>
      <c r="UI12">
        <v>2</v>
      </c>
      <c r="UJ12">
        <v>2</v>
      </c>
      <c r="UK12">
        <v>2</v>
      </c>
      <c r="UL12">
        <v>2</v>
      </c>
      <c r="UM12">
        <v>2</v>
      </c>
      <c r="UN12">
        <v>2</v>
      </c>
      <c r="UO12">
        <v>2</v>
      </c>
      <c r="UP12">
        <v>2</v>
      </c>
      <c r="UQ12">
        <v>2</v>
      </c>
      <c r="UR12">
        <v>2</v>
      </c>
      <c r="US12">
        <v>2</v>
      </c>
      <c r="UT12">
        <v>2</v>
      </c>
      <c r="UU12">
        <v>2</v>
      </c>
      <c r="UV12">
        <v>2</v>
      </c>
      <c r="UW12">
        <v>2</v>
      </c>
      <c r="UX12">
        <v>2</v>
      </c>
      <c r="UY12">
        <v>2</v>
      </c>
      <c r="UZ12">
        <v>2</v>
      </c>
      <c r="VA12">
        <v>2</v>
      </c>
      <c r="VB12">
        <v>2</v>
      </c>
      <c r="VC12">
        <v>2</v>
      </c>
      <c r="VD12">
        <v>2</v>
      </c>
      <c r="VE12">
        <v>2</v>
      </c>
      <c r="VF12">
        <v>2</v>
      </c>
      <c r="VG12">
        <v>2</v>
      </c>
      <c r="VH12">
        <v>2</v>
      </c>
      <c r="VI12">
        <v>2</v>
      </c>
      <c r="VJ12">
        <v>2</v>
      </c>
      <c r="VK12">
        <v>2</v>
      </c>
      <c r="VL12">
        <v>2</v>
      </c>
      <c r="VM12">
        <v>2</v>
      </c>
      <c r="VN12">
        <v>2</v>
      </c>
      <c r="VO12">
        <v>2</v>
      </c>
      <c r="VP12">
        <v>2</v>
      </c>
      <c r="VQ12">
        <v>2</v>
      </c>
      <c r="VR12">
        <v>2</v>
      </c>
      <c r="VS12">
        <v>2</v>
      </c>
      <c r="VT12">
        <v>2</v>
      </c>
      <c r="VU12">
        <v>2</v>
      </c>
      <c r="VV12">
        <v>2</v>
      </c>
      <c r="VW12">
        <v>2</v>
      </c>
      <c r="VX12">
        <v>2</v>
      </c>
      <c r="VY12">
        <v>2</v>
      </c>
      <c r="VZ12">
        <v>2</v>
      </c>
      <c r="WA12">
        <v>2</v>
      </c>
      <c r="WB12">
        <v>2</v>
      </c>
      <c r="WC12">
        <v>2</v>
      </c>
      <c r="WD12">
        <v>2</v>
      </c>
      <c r="WE12">
        <v>2</v>
      </c>
      <c r="WF12">
        <v>2</v>
      </c>
      <c r="WG12">
        <v>2</v>
      </c>
      <c r="WH12">
        <v>2</v>
      </c>
      <c r="WI12">
        <v>2</v>
      </c>
      <c r="WJ12">
        <v>2</v>
      </c>
      <c r="WK12">
        <v>2</v>
      </c>
      <c r="WL12">
        <v>2</v>
      </c>
      <c r="WM12">
        <v>2</v>
      </c>
      <c r="WN12">
        <v>2</v>
      </c>
      <c r="WO12">
        <v>2</v>
      </c>
      <c r="WP12">
        <v>2</v>
      </c>
      <c r="WQ12">
        <v>2</v>
      </c>
      <c r="WR12">
        <v>2</v>
      </c>
      <c r="WS12">
        <v>2</v>
      </c>
      <c r="WT12">
        <v>2</v>
      </c>
      <c r="WU12">
        <v>2</v>
      </c>
      <c r="WV12">
        <v>2</v>
      </c>
      <c r="WW12">
        <v>2</v>
      </c>
      <c r="WX12">
        <v>2</v>
      </c>
      <c r="WY12">
        <v>2</v>
      </c>
      <c r="WZ12">
        <v>2</v>
      </c>
      <c r="XA12">
        <v>2</v>
      </c>
      <c r="XB12">
        <v>2</v>
      </c>
      <c r="XC12">
        <v>2</v>
      </c>
      <c r="XD12">
        <v>2</v>
      </c>
      <c r="XE12">
        <v>2</v>
      </c>
      <c r="XF12">
        <v>2</v>
      </c>
      <c r="XG12">
        <v>2</v>
      </c>
      <c r="XH12">
        <v>2</v>
      </c>
      <c r="XI12">
        <v>2</v>
      </c>
      <c r="XJ12">
        <v>2</v>
      </c>
      <c r="XK12">
        <v>2</v>
      </c>
      <c r="XL12">
        <v>2</v>
      </c>
      <c r="XM12">
        <v>2</v>
      </c>
      <c r="XN12">
        <v>2</v>
      </c>
      <c r="XO12">
        <v>2</v>
      </c>
      <c r="XP12">
        <v>2</v>
      </c>
      <c r="XQ12">
        <v>2</v>
      </c>
      <c r="XR12">
        <v>2</v>
      </c>
      <c r="XS12">
        <v>2</v>
      </c>
      <c r="XT12">
        <v>2</v>
      </c>
      <c r="XU12">
        <v>2</v>
      </c>
      <c r="XV12">
        <v>2</v>
      </c>
      <c r="XW12">
        <v>2</v>
      </c>
      <c r="XX12">
        <v>2</v>
      </c>
      <c r="XY12">
        <v>2</v>
      </c>
      <c r="XZ12">
        <v>2</v>
      </c>
      <c r="YA12">
        <v>2</v>
      </c>
      <c r="YB12">
        <v>2</v>
      </c>
      <c r="YC12">
        <v>2</v>
      </c>
      <c r="YD12">
        <v>2</v>
      </c>
      <c r="YE12">
        <v>2</v>
      </c>
      <c r="YF12">
        <v>2</v>
      </c>
      <c r="YG12">
        <v>2</v>
      </c>
      <c r="YH12">
        <v>2</v>
      </c>
      <c r="YI12">
        <v>2</v>
      </c>
      <c r="YJ12">
        <v>2</v>
      </c>
      <c r="YK12">
        <v>2</v>
      </c>
      <c r="YL12">
        <v>2</v>
      </c>
      <c r="YM12">
        <v>2</v>
      </c>
      <c r="YN12">
        <v>2</v>
      </c>
      <c r="YO12">
        <v>2</v>
      </c>
      <c r="YP12">
        <v>2</v>
      </c>
      <c r="YQ12">
        <v>2</v>
      </c>
      <c r="YR12">
        <v>2</v>
      </c>
      <c r="YS12">
        <v>2</v>
      </c>
      <c r="YT12">
        <v>2</v>
      </c>
      <c r="YU12">
        <v>2</v>
      </c>
      <c r="YV12">
        <v>2</v>
      </c>
      <c r="YW12">
        <v>2</v>
      </c>
      <c r="YX12">
        <v>2</v>
      </c>
      <c r="YY12">
        <v>2</v>
      </c>
      <c r="YZ12">
        <v>2</v>
      </c>
      <c r="ZA12">
        <v>2</v>
      </c>
      <c r="ZB12">
        <v>2</v>
      </c>
      <c r="ZC12">
        <v>2</v>
      </c>
      <c r="ZD12">
        <v>2</v>
      </c>
      <c r="ZE12">
        <v>2</v>
      </c>
      <c r="ZF12">
        <v>2</v>
      </c>
      <c r="ZG12">
        <v>2</v>
      </c>
      <c r="ZH12">
        <v>2</v>
      </c>
      <c r="ZI12">
        <v>2</v>
      </c>
      <c r="ZJ12">
        <v>2</v>
      </c>
      <c r="ZK12">
        <v>2</v>
      </c>
      <c r="ZL12">
        <v>2</v>
      </c>
      <c r="ZM12">
        <v>2</v>
      </c>
      <c r="ZN12">
        <v>2</v>
      </c>
      <c r="ZO12">
        <v>2</v>
      </c>
      <c r="ZP12">
        <v>2</v>
      </c>
      <c r="ZQ12">
        <v>2</v>
      </c>
      <c r="ZR12">
        <v>2</v>
      </c>
      <c r="ZS12">
        <v>2</v>
      </c>
      <c r="ZT12">
        <v>2</v>
      </c>
      <c r="ZU12">
        <v>2</v>
      </c>
      <c r="ZV12">
        <v>2</v>
      </c>
      <c r="ZW12">
        <v>2</v>
      </c>
      <c r="ZX12">
        <v>2</v>
      </c>
      <c r="ZY12">
        <v>2</v>
      </c>
      <c r="ZZ12">
        <v>2</v>
      </c>
      <c r="AAA12">
        <v>2</v>
      </c>
      <c r="AAB12">
        <v>2</v>
      </c>
      <c r="AAC12">
        <v>2</v>
      </c>
      <c r="AAD12">
        <v>2</v>
      </c>
      <c r="AAE12">
        <v>2</v>
      </c>
      <c r="AAF12">
        <v>2</v>
      </c>
      <c r="AAG12">
        <v>2</v>
      </c>
      <c r="AAH12">
        <v>2</v>
      </c>
      <c r="AAI12">
        <v>2</v>
      </c>
      <c r="AAJ12">
        <v>2</v>
      </c>
      <c r="AAK12">
        <v>2</v>
      </c>
      <c r="AAL12">
        <v>2</v>
      </c>
      <c r="AAM12">
        <v>2</v>
      </c>
      <c r="AAN12">
        <v>2</v>
      </c>
      <c r="AAO12">
        <v>2</v>
      </c>
      <c r="AAP12">
        <v>2</v>
      </c>
      <c r="AAQ12">
        <v>2</v>
      </c>
      <c r="AAR12">
        <v>2</v>
      </c>
      <c r="AAS12">
        <v>2</v>
      </c>
      <c r="AAT12">
        <v>2</v>
      </c>
      <c r="AAU12">
        <v>2</v>
      </c>
      <c r="AAV12">
        <v>2</v>
      </c>
      <c r="AAW12">
        <v>2</v>
      </c>
      <c r="AAX12">
        <v>2</v>
      </c>
      <c r="AAY12">
        <v>2</v>
      </c>
      <c r="AAZ12">
        <v>2</v>
      </c>
      <c r="ABA12">
        <v>2</v>
      </c>
      <c r="ABB12">
        <v>2</v>
      </c>
      <c r="ABC12">
        <v>2</v>
      </c>
      <c r="ABD12">
        <v>2</v>
      </c>
      <c r="ABE12">
        <v>2</v>
      </c>
      <c r="ABG12" s="1137">
        <f t="shared" si="5"/>
        <v>0</v>
      </c>
      <c r="ABH12" s="1137">
        <f t="shared" si="1"/>
        <v>0</v>
      </c>
      <c r="ABI12" s="1137">
        <f t="shared" si="1"/>
        <v>13</v>
      </c>
      <c r="ABJ12" s="1137">
        <f t="shared" si="1"/>
        <v>30</v>
      </c>
      <c r="ABK12" s="1137">
        <f t="shared" si="1"/>
        <v>31</v>
      </c>
      <c r="ABL12" s="1137">
        <f t="shared" si="1"/>
        <v>30</v>
      </c>
      <c r="ABM12" s="1137">
        <f t="shared" si="1"/>
        <v>31</v>
      </c>
      <c r="ABN12" s="1137">
        <f t="shared" si="1"/>
        <v>31</v>
      </c>
      <c r="ABO12" s="1137">
        <f t="shared" si="1"/>
        <v>30</v>
      </c>
      <c r="ABP12" s="1137">
        <f t="shared" si="1"/>
        <v>31</v>
      </c>
      <c r="ABQ12" s="1137">
        <f t="shared" si="1"/>
        <v>30</v>
      </c>
      <c r="ABR12" s="1137">
        <f t="shared" si="1"/>
        <v>31</v>
      </c>
      <c r="ABS12" s="1137">
        <f t="shared" si="1"/>
        <v>31</v>
      </c>
      <c r="ABT12" s="1137">
        <f t="shared" si="1"/>
        <v>28</v>
      </c>
      <c r="ABU12" s="1137">
        <f t="shared" si="1"/>
        <v>31</v>
      </c>
      <c r="ABV12" s="1137">
        <f t="shared" si="1"/>
        <v>30</v>
      </c>
      <c r="ABW12" s="1137">
        <f t="shared" si="1"/>
        <v>31</v>
      </c>
      <c r="ABX12" s="1137">
        <f t="shared" si="2"/>
        <v>30</v>
      </c>
      <c r="ABY12" s="1137">
        <f t="shared" si="2"/>
        <v>31</v>
      </c>
      <c r="ABZ12" s="1137">
        <f t="shared" si="2"/>
        <v>31</v>
      </c>
      <c r="ACA12" s="1137">
        <f t="shared" si="2"/>
        <v>30</v>
      </c>
      <c r="ACB12" s="1137">
        <f t="shared" si="2"/>
        <v>31</v>
      </c>
      <c r="ACC12" s="1137">
        <f t="shared" si="2"/>
        <v>30</v>
      </c>
      <c r="ACD12" s="1137">
        <f t="shared" si="2"/>
        <v>31</v>
      </c>
      <c r="ACE12" s="1137" t="s">
        <v>140</v>
      </c>
      <c r="ACF12" s="1137">
        <f t="shared" si="6"/>
        <v>0</v>
      </c>
      <c r="ACG12" s="1137">
        <f t="shared" si="3"/>
        <v>0</v>
      </c>
      <c r="ACH12" s="1137">
        <f t="shared" si="3"/>
        <v>1</v>
      </c>
      <c r="ACI12" s="1137">
        <f t="shared" si="3"/>
        <v>1</v>
      </c>
      <c r="ACJ12" s="1137">
        <f t="shared" si="3"/>
        <v>1</v>
      </c>
      <c r="ACK12" s="1137">
        <f t="shared" si="3"/>
        <v>1</v>
      </c>
      <c r="ACL12" s="1137">
        <f t="shared" si="3"/>
        <v>1</v>
      </c>
      <c r="ACM12" s="1137">
        <f t="shared" si="3"/>
        <v>1</v>
      </c>
      <c r="ACN12" s="1137">
        <f t="shared" si="3"/>
        <v>1</v>
      </c>
      <c r="ACO12" s="1137">
        <f t="shared" si="3"/>
        <v>1</v>
      </c>
      <c r="ACP12" s="1137">
        <f t="shared" si="3"/>
        <v>1</v>
      </c>
      <c r="ACQ12" s="1137">
        <f t="shared" si="3"/>
        <v>1</v>
      </c>
      <c r="ACR12" s="1137">
        <f t="shared" si="3"/>
        <v>1</v>
      </c>
      <c r="ACS12" s="1137">
        <f t="shared" si="3"/>
        <v>1</v>
      </c>
      <c r="ACT12" s="1137">
        <f t="shared" si="3"/>
        <v>1</v>
      </c>
      <c r="ACU12" s="1137">
        <f t="shared" si="3"/>
        <v>1</v>
      </c>
      <c r="ACV12" s="1137">
        <f t="shared" si="3"/>
        <v>1</v>
      </c>
      <c r="ACW12" s="1137">
        <f t="shared" si="4"/>
        <v>1</v>
      </c>
      <c r="ACX12" s="1137">
        <f t="shared" si="4"/>
        <v>1</v>
      </c>
      <c r="ACY12" s="1137">
        <f t="shared" si="4"/>
        <v>1</v>
      </c>
      <c r="ACZ12" s="1137">
        <f t="shared" si="4"/>
        <v>1</v>
      </c>
      <c r="ADA12" s="1137">
        <f t="shared" si="4"/>
        <v>1</v>
      </c>
      <c r="ADB12" s="1137">
        <f t="shared" si="4"/>
        <v>1</v>
      </c>
      <c r="ADC12" s="1137">
        <f t="shared" si="4"/>
        <v>1</v>
      </c>
    </row>
    <row r="13" spans="1:783" x14ac:dyDescent="0.25">
      <c r="A13" t="s">
        <v>1808</v>
      </c>
      <c r="B13" t="s">
        <v>141</v>
      </c>
      <c r="C13">
        <v>0</v>
      </c>
      <c r="D13">
        <v>0</v>
      </c>
      <c r="E13">
        <v>0</v>
      </c>
      <c r="F13">
        <v>0</v>
      </c>
      <c r="G13">
        <v>0</v>
      </c>
      <c r="H13">
        <v>0</v>
      </c>
      <c r="I13">
        <v>0</v>
      </c>
      <c r="J13">
        <v>0</v>
      </c>
      <c r="K13">
        <v>0</v>
      </c>
      <c r="L13">
        <v>0</v>
      </c>
      <c r="M13">
        <v>0</v>
      </c>
      <c r="N13">
        <v>0</v>
      </c>
      <c r="O13">
        <v>0</v>
      </c>
      <c r="P13">
        <v>0</v>
      </c>
      <c r="Q13">
        <v>0</v>
      </c>
      <c r="R13">
        <v>0</v>
      </c>
      <c r="S13">
        <v>0</v>
      </c>
      <c r="T13">
        <v>0</v>
      </c>
      <c r="U13">
        <v>0</v>
      </c>
      <c r="V13">
        <v>0</v>
      </c>
      <c r="W13">
        <v>0</v>
      </c>
      <c r="X13">
        <v>0</v>
      </c>
      <c r="Y13">
        <v>0</v>
      </c>
      <c r="Z13">
        <v>0</v>
      </c>
      <c r="AA13">
        <v>0</v>
      </c>
      <c r="AB13">
        <v>0</v>
      </c>
      <c r="AC13">
        <v>0</v>
      </c>
      <c r="AD13">
        <v>0</v>
      </c>
      <c r="AE13">
        <v>0</v>
      </c>
      <c r="AF13">
        <v>0</v>
      </c>
      <c r="AG13">
        <v>0</v>
      </c>
      <c r="AH13">
        <v>0</v>
      </c>
      <c r="AI13">
        <v>0</v>
      </c>
      <c r="AJ13">
        <v>0</v>
      </c>
      <c r="AK13">
        <v>0</v>
      </c>
      <c r="AL13">
        <v>0</v>
      </c>
      <c r="AM13">
        <v>0</v>
      </c>
      <c r="AN13">
        <v>0</v>
      </c>
      <c r="AO13">
        <v>0</v>
      </c>
      <c r="AP13">
        <v>0</v>
      </c>
      <c r="AQ13">
        <v>0</v>
      </c>
      <c r="AR13">
        <v>0</v>
      </c>
      <c r="AS13">
        <v>0</v>
      </c>
      <c r="AT13">
        <v>0</v>
      </c>
      <c r="AU13">
        <v>0</v>
      </c>
      <c r="AV13">
        <v>0</v>
      </c>
      <c r="AW13">
        <v>0</v>
      </c>
      <c r="AX13">
        <v>0</v>
      </c>
      <c r="AY13">
        <v>0</v>
      </c>
      <c r="AZ13">
        <v>0</v>
      </c>
      <c r="BA13">
        <v>0</v>
      </c>
      <c r="BB13">
        <v>0</v>
      </c>
      <c r="BC13">
        <v>0</v>
      </c>
      <c r="BD13">
        <v>0</v>
      </c>
      <c r="BE13">
        <v>0</v>
      </c>
      <c r="BF13">
        <v>0</v>
      </c>
      <c r="BG13">
        <v>0</v>
      </c>
      <c r="BH13">
        <v>0</v>
      </c>
      <c r="BI13">
        <v>0</v>
      </c>
      <c r="BJ13">
        <v>0</v>
      </c>
      <c r="BK13">
        <v>0</v>
      </c>
      <c r="BL13">
        <v>0</v>
      </c>
      <c r="BM13">
        <v>0</v>
      </c>
      <c r="BN13">
        <v>0</v>
      </c>
      <c r="BO13">
        <v>0</v>
      </c>
      <c r="BP13">
        <v>0</v>
      </c>
      <c r="BQ13">
        <v>0</v>
      </c>
      <c r="BR13">
        <v>0</v>
      </c>
      <c r="BS13">
        <v>0</v>
      </c>
      <c r="BT13">
        <v>0</v>
      </c>
      <c r="BU13">
        <v>0</v>
      </c>
      <c r="BV13">
        <v>0</v>
      </c>
      <c r="BW13">
        <v>2</v>
      </c>
      <c r="BX13">
        <v>2</v>
      </c>
      <c r="BY13">
        <v>2</v>
      </c>
      <c r="BZ13">
        <v>2</v>
      </c>
      <c r="CA13">
        <v>2</v>
      </c>
      <c r="CB13">
        <v>2</v>
      </c>
      <c r="CC13">
        <v>2</v>
      </c>
      <c r="CD13">
        <v>2</v>
      </c>
      <c r="CE13">
        <v>2</v>
      </c>
      <c r="CF13">
        <v>2</v>
      </c>
      <c r="CG13">
        <v>2</v>
      </c>
      <c r="CH13">
        <v>2</v>
      </c>
      <c r="CI13">
        <v>2</v>
      </c>
      <c r="CJ13">
        <v>2</v>
      </c>
      <c r="CK13">
        <v>2</v>
      </c>
      <c r="CL13">
        <v>2</v>
      </c>
      <c r="CM13">
        <v>2</v>
      </c>
      <c r="CN13">
        <v>2</v>
      </c>
      <c r="CO13">
        <v>2</v>
      </c>
      <c r="CP13">
        <v>2</v>
      </c>
      <c r="CQ13">
        <v>2</v>
      </c>
      <c r="CR13">
        <v>2</v>
      </c>
      <c r="CS13">
        <v>2</v>
      </c>
      <c r="CT13">
        <v>2</v>
      </c>
      <c r="CU13">
        <v>2</v>
      </c>
      <c r="CV13">
        <v>2</v>
      </c>
      <c r="CW13">
        <v>2</v>
      </c>
      <c r="CX13">
        <v>2</v>
      </c>
      <c r="CY13">
        <v>2</v>
      </c>
      <c r="CZ13">
        <v>2</v>
      </c>
      <c r="DA13">
        <v>2</v>
      </c>
      <c r="DB13">
        <v>2</v>
      </c>
      <c r="DC13">
        <v>2</v>
      </c>
      <c r="DD13">
        <v>2</v>
      </c>
      <c r="DE13">
        <v>2</v>
      </c>
      <c r="DF13">
        <v>2</v>
      </c>
      <c r="DG13">
        <v>2</v>
      </c>
      <c r="DH13">
        <v>2</v>
      </c>
      <c r="DI13">
        <v>2</v>
      </c>
      <c r="DJ13">
        <v>2</v>
      </c>
      <c r="DK13">
        <v>2</v>
      </c>
      <c r="DL13">
        <v>1</v>
      </c>
      <c r="DM13">
        <v>1</v>
      </c>
      <c r="DN13">
        <v>1</v>
      </c>
      <c r="DO13">
        <v>1</v>
      </c>
      <c r="DP13">
        <v>1</v>
      </c>
      <c r="DQ13">
        <v>1</v>
      </c>
      <c r="DR13">
        <v>1</v>
      </c>
      <c r="DS13">
        <v>1</v>
      </c>
      <c r="DT13">
        <v>1</v>
      </c>
      <c r="DU13">
        <v>1</v>
      </c>
      <c r="DV13">
        <v>1</v>
      </c>
      <c r="DW13">
        <v>1</v>
      </c>
      <c r="DX13">
        <v>1</v>
      </c>
      <c r="DY13">
        <v>1</v>
      </c>
      <c r="DZ13">
        <v>1</v>
      </c>
      <c r="EA13">
        <v>1</v>
      </c>
      <c r="EB13">
        <v>1</v>
      </c>
      <c r="EC13">
        <v>1</v>
      </c>
      <c r="ED13">
        <v>1</v>
      </c>
      <c r="EE13">
        <v>1</v>
      </c>
      <c r="EF13">
        <v>1</v>
      </c>
      <c r="EG13">
        <v>1</v>
      </c>
      <c r="EH13">
        <v>1</v>
      </c>
      <c r="EI13">
        <v>1</v>
      </c>
      <c r="EJ13">
        <v>1</v>
      </c>
      <c r="EK13">
        <v>1</v>
      </c>
      <c r="EL13">
        <v>1</v>
      </c>
      <c r="EM13">
        <v>1</v>
      </c>
      <c r="EN13">
        <v>1</v>
      </c>
      <c r="EO13">
        <v>1</v>
      </c>
      <c r="EP13">
        <v>1</v>
      </c>
      <c r="EQ13">
        <v>1</v>
      </c>
      <c r="ER13">
        <v>1</v>
      </c>
      <c r="ES13">
        <v>1</v>
      </c>
      <c r="ET13">
        <v>1</v>
      </c>
      <c r="EU13">
        <v>1</v>
      </c>
      <c r="EV13">
        <v>0</v>
      </c>
      <c r="EW13">
        <v>0</v>
      </c>
      <c r="EX13">
        <v>0</v>
      </c>
      <c r="EY13">
        <v>0</v>
      </c>
      <c r="EZ13">
        <v>0</v>
      </c>
      <c r="FA13">
        <v>0</v>
      </c>
      <c r="FB13">
        <v>0</v>
      </c>
      <c r="FC13">
        <v>0</v>
      </c>
      <c r="FD13">
        <v>0</v>
      </c>
      <c r="FE13">
        <v>0</v>
      </c>
      <c r="FF13">
        <v>0</v>
      </c>
      <c r="FG13">
        <v>0</v>
      </c>
      <c r="FH13">
        <v>0</v>
      </c>
      <c r="FI13">
        <v>0</v>
      </c>
      <c r="FJ13">
        <v>0</v>
      </c>
      <c r="FK13">
        <v>0</v>
      </c>
      <c r="FL13">
        <v>0</v>
      </c>
      <c r="FM13">
        <v>0</v>
      </c>
      <c r="FN13">
        <v>0</v>
      </c>
      <c r="FO13">
        <v>0</v>
      </c>
      <c r="FP13">
        <v>0</v>
      </c>
      <c r="FQ13">
        <v>0</v>
      </c>
      <c r="FR13">
        <v>0</v>
      </c>
      <c r="FS13">
        <v>0</v>
      </c>
      <c r="FT13">
        <v>0</v>
      </c>
      <c r="FU13">
        <v>0</v>
      </c>
      <c r="FV13">
        <v>0</v>
      </c>
      <c r="FW13">
        <v>0</v>
      </c>
      <c r="FX13">
        <v>0</v>
      </c>
      <c r="FY13">
        <v>0</v>
      </c>
      <c r="FZ13">
        <v>0</v>
      </c>
      <c r="GA13">
        <v>0</v>
      </c>
      <c r="GB13">
        <v>0</v>
      </c>
      <c r="GC13">
        <v>0</v>
      </c>
      <c r="GD13">
        <v>0</v>
      </c>
      <c r="GE13">
        <v>0</v>
      </c>
      <c r="GF13">
        <v>0</v>
      </c>
      <c r="GG13">
        <v>0</v>
      </c>
      <c r="GH13">
        <v>0</v>
      </c>
      <c r="GI13">
        <v>0</v>
      </c>
      <c r="GJ13">
        <v>0</v>
      </c>
      <c r="GK13">
        <v>0</v>
      </c>
      <c r="GL13">
        <v>0</v>
      </c>
      <c r="GM13">
        <v>0</v>
      </c>
      <c r="GN13">
        <v>0</v>
      </c>
      <c r="GO13">
        <v>0</v>
      </c>
      <c r="GP13">
        <v>0</v>
      </c>
      <c r="GQ13">
        <v>0</v>
      </c>
      <c r="GR13">
        <v>0</v>
      </c>
      <c r="GS13">
        <v>0</v>
      </c>
      <c r="GT13">
        <v>0</v>
      </c>
      <c r="GU13">
        <v>0</v>
      </c>
      <c r="GV13">
        <v>0</v>
      </c>
      <c r="GW13">
        <v>0</v>
      </c>
      <c r="GX13">
        <v>0</v>
      </c>
      <c r="GY13">
        <v>0</v>
      </c>
      <c r="GZ13">
        <v>0</v>
      </c>
      <c r="HA13">
        <v>0</v>
      </c>
      <c r="HB13">
        <v>0</v>
      </c>
      <c r="HC13">
        <v>0</v>
      </c>
      <c r="HD13">
        <v>0</v>
      </c>
      <c r="HE13">
        <v>0</v>
      </c>
      <c r="HF13">
        <v>0</v>
      </c>
      <c r="HG13">
        <v>0</v>
      </c>
      <c r="HH13">
        <v>0</v>
      </c>
      <c r="HI13">
        <v>0</v>
      </c>
      <c r="HJ13">
        <v>0</v>
      </c>
      <c r="HK13">
        <v>0</v>
      </c>
      <c r="HL13">
        <v>0</v>
      </c>
      <c r="HM13">
        <v>0</v>
      </c>
      <c r="HN13">
        <v>0</v>
      </c>
      <c r="HO13">
        <v>0</v>
      </c>
      <c r="HP13">
        <v>0</v>
      </c>
      <c r="HQ13">
        <v>0</v>
      </c>
      <c r="HR13">
        <v>0</v>
      </c>
      <c r="HS13">
        <v>0</v>
      </c>
      <c r="HT13">
        <v>0</v>
      </c>
      <c r="HU13">
        <v>0</v>
      </c>
      <c r="HV13">
        <v>0</v>
      </c>
      <c r="HW13">
        <v>0</v>
      </c>
      <c r="HX13">
        <v>0</v>
      </c>
      <c r="HY13">
        <v>0</v>
      </c>
      <c r="HZ13">
        <v>0</v>
      </c>
      <c r="IA13">
        <v>0</v>
      </c>
      <c r="IB13">
        <v>0</v>
      </c>
      <c r="IC13">
        <v>0</v>
      </c>
      <c r="ID13">
        <v>0</v>
      </c>
      <c r="IE13">
        <v>0</v>
      </c>
      <c r="IF13">
        <v>0</v>
      </c>
      <c r="IG13">
        <v>0</v>
      </c>
      <c r="IH13">
        <v>0</v>
      </c>
      <c r="II13">
        <v>0</v>
      </c>
      <c r="IJ13">
        <v>0</v>
      </c>
      <c r="IK13">
        <v>0</v>
      </c>
      <c r="IL13">
        <v>0</v>
      </c>
      <c r="IM13">
        <v>0</v>
      </c>
      <c r="IN13">
        <v>0</v>
      </c>
      <c r="IO13">
        <v>0</v>
      </c>
      <c r="IP13">
        <v>0</v>
      </c>
      <c r="IQ13">
        <v>0</v>
      </c>
      <c r="IR13">
        <v>0</v>
      </c>
      <c r="IS13">
        <v>0</v>
      </c>
      <c r="IT13">
        <v>0</v>
      </c>
      <c r="IU13">
        <v>0</v>
      </c>
      <c r="IV13">
        <v>0</v>
      </c>
      <c r="IW13">
        <v>0</v>
      </c>
      <c r="IX13">
        <v>0</v>
      </c>
      <c r="IY13">
        <v>0</v>
      </c>
      <c r="IZ13">
        <v>0</v>
      </c>
      <c r="JA13">
        <v>0</v>
      </c>
      <c r="JB13">
        <v>0</v>
      </c>
      <c r="JC13">
        <v>0</v>
      </c>
      <c r="JD13">
        <v>0</v>
      </c>
      <c r="JE13">
        <v>0</v>
      </c>
      <c r="JF13">
        <v>0</v>
      </c>
      <c r="JG13">
        <v>0</v>
      </c>
      <c r="JH13">
        <v>0</v>
      </c>
      <c r="JI13">
        <v>0</v>
      </c>
      <c r="JJ13">
        <v>0</v>
      </c>
      <c r="JK13">
        <v>0</v>
      </c>
      <c r="JL13">
        <v>0</v>
      </c>
      <c r="JM13">
        <v>0</v>
      </c>
      <c r="JN13">
        <v>0</v>
      </c>
      <c r="JO13">
        <v>0</v>
      </c>
      <c r="JP13">
        <v>0</v>
      </c>
      <c r="JQ13">
        <v>0</v>
      </c>
      <c r="JR13">
        <v>0</v>
      </c>
      <c r="JS13">
        <v>0</v>
      </c>
      <c r="JT13">
        <v>0</v>
      </c>
      <c r="JU13">
        <v>0</v>
      </c>
      <c r="JV13">
        <v>0</v>
      </c>
      <c r="JW13">
        <v>0</v>
      </c>
      <c r="JX13">
        <v>0</v>
      </c>
      <c r="JY13">
        <v>0</v>
      </c>
      <c r="JZ13">
        <v>0</v>
      </c>
      <c r="KA13">
        <v>0</v>
      </c>
      <c r="KB13">
        <v>0</v>
      </c>
      <c r="KC13">
        <v>0</v>
      </c>
      <c r="KD13">
        <v>0</v>
      </c>
      <c r="KE13">
        <v>0</v>
      </c>
      <c r="KF13">
        <v>0</v>
      </c>
      <c r="KG13">
        <v>2</v>
      </c>
      <c r="KH13">
        <v>2</v>
      </c>
      <c r="KI13">
        <v>2</v>
      </c>
      <c r="KJ13">
        <v>2</v>
      </c>
      <c r="KK13">
        <v>2</v>
      </c>
      <c r="KL13">
        <v>2</v>
      </c>
      <c r="KM13">
        <v>2</v>
      </c>
      <c r="KN13">
        <v>2</v>
      </c>
      <c r="KO13">
        <v>2</v>
      </c>
      <c r="KP13">
        <v>2</v>
      </c>
      <c r="KQ13">
        <v>2</v>
      </c>
      <c r="KR13">
        <v>2</v>
      </c>
      <c r="KS13">
        <v>2</v>
      </c>
      <c r="KT13">
        <v>2</v>
      </c>
      <c r="KU13">
        <v>2</v>
      </c>
      <c r="KV13">
        <v>2</v>
      </c>
      <c r="KW13">
        <v>1</v>
      </c>
      <c r="KX13">
        <v>1</v>
      </c>
      <c r="KY13">
        <v>1</v>
      </c>
      <c r="KZ13">
        <v>1</v>
      </c>
      <c r="LA13">
        <v>1</v>
      </c>
      <c r="LB13">
        <v>1</v>
      </c>
      <c r="LC13">
        <v>1</v>
      </c>
      <c r="LD13">
        <v>1</v>
      </c>
      <c r="LE13">
        <v>1</v>
      </c>
      <c r="LF13">
        <v>1</v>
      </c>
      <c r="LG13">
        <v>1</v>
      </c>
      <c r="LH13">
        <v>1</v>
      </c>
      <c r="LI13">
        <v>1</v>
      </c>
      <c r="LJ13">
        <v>1</v>
      </c>
      <c r="LK13">
        <v>1</v>
      </c>
      <c r="LL13">
        <v>1</v>
      </c>
      <c r="LM13">
        <v>1</v>
      </c>
      <c r="LN13">
        <v>1</v>
      </c>
      <c r="LO13">
        <v>1</v>
      </c>
      <c r="LP13">
        <v>1</v>
      </c>
      <c r="LQ13">
        <v>1</v>
      </c>
      <c r="LR13">
        <v>1</v>
      </c>
      <c r="LS13">
        <v>1</v>
      </c>
      <c r="LT13">
        <v>1</v>
      </c>
      <c r="LU13">
        <v>1</v>
      </c>
      <c r="LV13">
        <v>1</v>
      </c>
      <c r="LW13">
        <v>1</v>
      </c>
      <c r="LX13">
        <v>1</v>
      </c>
      <c r="LY13">
        <v>1</v>
      </c>
      <c r="LZ13">
        <v>1</v>
      </c>
      <c r="MA13">
        <v>1</v>
      </c>
      <c r="MB13">
        <v>1</v>
      </c>
      <c r="MC13">
        <v>1</v>
      </c>
      <c r="MD13">
        <v>1</v>
      </c>
      <c r="ME13">
        <v>1</v>
      </c>
      <c r="MF13">
        <v>1</v>
      </c>
      <c r="MG13">
        <v>1</v>
      </c>
      <c r="MH13">
        <v>1</v>
      </c>
      <c r="MI13">
        <v>1</v>
      </c>
      <c r="MJ13">
        <v>1</v>
      </c>
      <c r="MK13">
        <v>1</v>
      </c>
      <c r="ML13">
        <v>1</v>
      </c>
      <c r="MM13">
        <v>1</v>
      </c>
      <c r="MN13">
        <v>1</v>
      </c>
      <c r="MO13">
        <v>1</v>
      </c>
      <c r="MP13">
        <v>1</v>
      </c>
      <c r="MQ13">
        <v>1</v>
      </c>
      <c r="MR13">
        <v>1</v>
      </c>
      <c r="MS13">
        <v>1</v>
      </c>
      <c r="MT13">
        <v>1</v>
      </c>
      <c r="MU13">
        <v>1</v>
      </c>
      <c r="MV13">
        <v>1</v>
      </c>
      <c r="MW13">
        <v>1</v>
      </c>
      <c r="MX13">
        <v>1</v>
      </c>
      <c r="MY13">
        <v>1</v>
      </c>
      <c r="MZ13">
        <v>1</v>
      </c>
      <c r="NA13">
        <v>1</v>
      </c>
      <c r="NB13">
        <v>1</v>
      </c>
      <c r="NC13">
        <v>1</v>
      </c>
      <c r="ND13">
        <v>1</v>
      </c>
      <c r="NE13">
        <v>1</v>
      </c>
      <c r="NF13">
        <v>1</v>
      </c>
      <c r="NG13">
        <v>1</v>
      </c>
      <c r="NH13">
        <v>1</v>
      </c>
      <c r="NI13">
        <v>1</v>
      </c>
      <c r="NJ13">
        <v>1</v>
      </c>
      <c r="NK13">
        <v>1</v>
      </c>
      <c r="NL13">
        <v>1</v>
      </c>
      <c r="NM13">
        <v>1</v>
      </c>
      <c r="NN13">
        <v>1</v>
      </c>
      <c r="NO13">
        <v>1</v>
      </c>
      <c r="NP13">
        <v>1</v>
      </c>
      <c r="NQ13">
        <v>1</v>
      </c>
      <c r="NR13">
        <v>1</v>
      </c>
      <c r="NS13">
        <v>1</v>
      </c>
      <c r="NT13">
        <v>1</v>
      </c>
      <c r="NU13">
        <v>1</v>
      </c>
      <c r="NV13">
        <v>1</v>
      </c>
      <c r="NW13">
        <v>1</v>
      </c>
      <c r="NX13">
        <v>1</v>
      </c>
      <c r="NY13">
        <v>1</v>
      </c>
      <c r="NZ13">
        <v>1</v>
      </c>
      <c r="OA13">
        <v>1</v>
      </c>
      <c r="OB13">
        <v>1</v>
      </c>
      <c r="OC13">
        <v>1</v>
      </c>
      <c r="OD13">
        <v>1</v>
      </c>
      <c r="OE13">
        <v>1</v>
      </c>
      <c r="OF13">
        <v>1</v>
      </c>
      <c r="OG13">
        <v>1</v>
      </c>
      <c r="OH13">
        <v>1</v>
      </c>
      <c r="OI13">
        <v>1</v>
      </c>
      <c r="OJ13">
        <v>1</v>
      </c>
      <c r="OK13">
        <v>1</v>
      </c>
      <c r="OL13">
        <v>1</v>
      </c>
      <c r="OM13">
        <v>1</v>
      </c>
      <c r="ON13">
        <v>1</v>
      </c>
      <c r="OO13">
        <v>1</v>
      </c>
      <c r="OP13">
        <v>1</v>
      </c>
      <c r="OQ13">
        <v>1</v>
      </c>
      <c r="OR13">
        <v>1</v>
      </c>
      <c r="OS13">
        <v>1</v>
      </c>
      <c r="OT13">
        <v>1</v>
      </c>
      <c r="OU13">
        <v>2</v>
      </c>
      <c r="OV13">
        <v>2</v>
      </c>
      <c r="OW13">
        <v>2</v>
      </c>
      <c r="OX13">
        <v>2</v>
      </c>
      <c r="OY13">
        <v>2</v>
      </c>
      <c r="OZ13">
        <v>2</v>
      </c>
      <c r="PA13">
        <v>2</v>
      </c>
      <c r="PB13">
        <v>2</v>
      </c>
      <c r="PC13">
        <v>2</v>
      </c>
      <c r="PD13">
        <v>2</v>
      </c>
      <c r="PE13">
        <v>2</v>
      </c>
      <c r="PF13">
        <v>2</v>
      </c>
      <c r="PG13">
        <v>2</v>
      </c>
      <c r="PH13">
        <v>2</v>
      </c>
      <c r="PI13">
        <v>2</v>
      </c>
      <c r="PJ13">
        <v>2</v>
      </c>
      <c r="PK13">
        <v>2</v>
      </c>
      <c r="PL13">
        <v>2</v>
      </c>
      <c r="PM13">
        <v>2</v>
      </c>
      <c r="PN13">
        <v>2</v>
      </c>
      <c r="PO13">
        <v>2</v>
      </c>
      <c r="PP13">
        <v>2</v>
      </c>
      <c r="PQ13">
        <v>2</v>
      </c>
      <c r="PR13">
        <v>2</v>
      </c>
      <c r="PS13">
        <v>2</v>
      </c>
      <c r="PT13">
        <v>2</v>
      </c>
      <c r="PU13">
        <v>2</v>
      </c>
      <c r="PV13">
        <v>2</v>
      </c>
      <c r="PW13">
        <v>2</v>
      </c>
      <c r="PX13">
        <v>2</v>
      </c>
      <c r="PY13">
        <v>2</v>
      </c>
      <c r="PZ13">
        <v>2</v>
      </c>
      <c r="QA13">
        <v>2</v>
      </c>
      <c r="QB13">
        <v>2</v>
      </c>
      <c r="QC13">
        <v>2</v>
      </c>
      <c r="QD13">
        <v>2</v>
      </c>
      <c r="QE13">
        <v>2</v>
      </c>
      <c r="QF13">
        <v>2</v>
      </c>
      <c r="QG13">
        <v>2</v>
      </c>
      <c r="QH13">
        <v>2</v>
      </c>
      <c r="QI13">
        <v>2</v>
      </c>
      <c r="QJ13">
        <v>2</v>
      </c>
      <c r="QK13">
        <v>2</v>
      </c>
      <c r="QL13">
        <v>2</v>
      </c>
      <c r="QM13">
        <v>2</v>
      </c>
      <c r="QN13">
        <v>2</v>
      </c>
      <c r="QO13">
        <v>2</v>
      </c>
      <c r="QP13">
        <v>2</v>
      </c>
      <c r="QQ13">
        <v>2</v>
      </c>
      <c r="QR13">
        <v>2</v>
      </c>
      <c r="QS13">
        <v>2</v>
      </c>
      <c r="QT13">
        <v>2</v>
      </c>
      <c r="QU13">
        <v>2</v>
      </c>
      <c r="QV13">
        <v>2</v>
      </c>
      <c r="QW13">
        <v>2</v>
      </c>
      <c r="QX13">
        <v>2</v>
      </c>
      <c r="QY13">
        <v>2</v>
      </c>
      <c r="QZ13">
        <v>2</v>
      </c>
      <c r="RA13">
        <v>2</v>
      </c>
      <c r="RB13">
        <v>2</v>
      </c>
      <c r="RC13">
        <v>2</v>
      </c>
      <c r="RD13">
        <v>2</v>
      </c>
      <c r="RE13">
        <v>2</v>
      </c>
      <c r="RF13">
        <v>2</v>
      </c>
      <c r="RG13">
        <v>2</v>
      </c>
      <c r="RH13">
        <v>2</v>
      </c>
      <c r="RI13">
        <v>2</v>
      </c>
      <c r="RJ13">
        <v>2</v>
      </c>
      <c r="RK13">
        <v>2</v>
      </c>
      <c r="RL13">
        <v>2</v>
      </c>
      <c r="RM13">
        <v>2</v>
      </c>
      <c r="RN13">
        <v>2</v>
      </c>
      <c r="RO13">
        <v>2</v>
      </c>
      <c r="RP13">
        <v>2</v>
      </c>
      <c r="RQ13">
        <v>2</v>
      </c>
      <c r="RR13">
        <v>2</v>
      </c>
      <c r="RS13">
        <v>2</v>
      </c>
      <c r="RT13">
        <v>2</v>
      </c>
      <c r="RU13">
        <v>2</v>
      </c>
      <c r="RV13">
        <v>2</v>
      </c>
      <c r="RW13">
        <v>2</v>
      </c>
      <c r="RX13">
        <v>2</v>
      </c>
      <c r="RY13">
        <v>2</v>
      </c>
      <c r="RZ13">
        <v>2</v>
      </c>
      <c r="SA13">
        <v>2</v>
      </c>
      <c r="SB13">
        <v>2</v>
      </c>
      <c r="SC13">
        <v>2</v>
      </c>
      <c r="SD13">
        <v>2</v>
      </c>
      <c r="SE13">
        <v>2</v>
      </c>
      <c r="SF13">
        <v>2</v>
      </c>
      <c r="SG13">
        <v>2</v>
      </c>
      <c r="SH13">
        <v>2</v>
      </c>
      <c r="SI13">
        <v>2</v>
      </c>
      <c r="SJ13">
        <v>2</v>
      </c>
      <c r="SK13">
        <v>2</v>
      </c>
      <c r="SL13">
        <v>2</v>
      </c>
      <c r="SM13">
        <v>2</v>
      </c>
      <c r="SN13">
        <v>2</v>
      </c>
      <c r="SO13">
        <v>2</v>
      </c>
      <c r="SP13">
        <v>2</v>
      </c>
      <c r="SQ13">
        <v>2</v>
      </c>
      <c r="SR13">
        <v>2</v>
      </c>
      <c r="SS13">
        <v>2</v>
      </c>
      <c r="ST13">
        <v>2</v>
      </c>
      <c r="SU13">
        <v>2</v>
      </c>
      <c r="SV13">
        <v>2</v>
      </c>
      <c r="SW13">
        <v>2</v>
      </c>
      <c r="SX13">
        <v>2</v>
      </c>
      <c r="SY13">
        <v>2</v>
      </c>
      <c r="SZ13">
        <v>2</v>
      </c>
      <c r="TA13">
        <v>2</v>
      </c>
      <c r="TB13">
        <v>2</v>
      </c>
      <c r="TC13">
        <v>2</v>
      </c>
      <c r="TD13">
        <v>2</v>
      </c>
      <c r="TE13">
        <v>2</v>
      </c>
      <c r="TF13">
        <v>2</v>
      </c>
      <c r="TG13">
        <v>2</v>
      </c>
      <c r="TH13">
        <v>2</v>
      </c>
      <c r="TI13">
        <v>0</v>
      </c>
      <c r="TJ13">
        <v>0</v>
      </c>
      <c r="TK13">
        <v>0</v>
      </c>
      <c r="TL13">
        <v>0</v>
      </c>
      <c r="TM13">
        <v>0</v>
      </c>
      <c r="TN13">
        <v>0</v>
      </c>
      <c r="TO13">
        <v>0</v>
      </c>
      <c r="TP13">
        <v>0</v>
      </c>
      <c r="TQ13">
        <v>0</v>
      </c>
      <c r="TR13">
        <v>0</v>
      </c>
      <c r="TS13">
        <v>0</v>
      </c>
      <c r="TT13">
        <v>0</v>
      </c>
      <c r="TU13">
        <v>0</v>
      </c>
      <c r="TV13">
        <v>0</v>
      </c>
      <c r="TW13">
        <v>0</v>
      </c>
      <c r="TX13">
        <v>0</v>
      </c>
      <c r="TY13">
        <v>0</v>
      </c>
      <c r="TZ13">
        <v>0</v>
      </c>
      <c r="UA13">
        <v>0</v>
      </c>
      <c r="UB13">
        <v>0</v>
      </c>
      <c r="UC13">
        <v>0</v>
      </c>
      <c r="UD13">
        <v>0</v>
      </c>
      <c r="UE13">
        <v>0</v>
      </c>
      <c r="UF13">
        <v>0</v>
      </c>
      <c r="UG13">
        <v>0</v>
      </c>
      <c r="UH13">
        <v>0</v>
      </c>
      <c r="UI13">
        <v>0</v>
      </c>
      <c r="UJ13">
        <v>0</v>
      </c>
      <c r="UK13">
        <v>0</v>
      </c>
      <c r="UL13">
        <v>0</v>
      </c>
      <c r="UM13">
        <v>0</v>
      </c>
      <c r="UN13">
        <v>0</v>
      </c>
      <c r="UO13">
        <v>0</v>
      </c>
      <c r="UP13">
        <v>0</v>
      </c>
      <c r="UQ13">
        <v>0</v>
      </c>
      <c r="UR13">
        <v>0</v>
      </c>
      <c r="US13">
        <v>0</v>
      </c>
      <c r="UT13">
        <v>0</v>
      </c>
      <c r="UU13">
        <v>0</v>
      </c>
      <c r="UV13">
        <v>0</v>
      </c>
      <c r="UW13">
        <v>0</v>
      </c>
      <c r="UX13">
        <v>0</v>
      </c>
      <c r="UY13">
        <v>0</v>
      </c>
      <c r="UZ13">
        <v>0</v>
      </c>
      <c r="VA13">
        <v>0</v>
      </c>
      <c r="VB13">
        <v>0</v>
      </c>
      <c r="VC13">
        <v>0</v>
      </c>
      <c r="VD13">
        <v>0</v>
      </c>
      <c r="VE13">
        <v>0</v>
      </c>
      <c r="VF13">
        <v>0</v>
      </c>
      <c r="VG13">
        <v>0</v>
      </c>
      <c r="VH13">
        <v>0</v>
      </c>
      <c r="VI13">
        <v>0</v>
      </c>
      <c r="VJ13">
        <v>0</v>
      </c>
      <c r="VK13">
        <v>0</v>
      </c>
      <c r="VL13">
        <v>0</v>
      </c>
      <c r="VM13">
        <v>0</v>
      </c>
      <c r="VN13">
        <v>0</v>
      </c>
      <c r="VO13">
        <v>0</v>
      </c>
      <c r="VP13">
        <v>0</v>
      </c>
      <c r="VQ13">
        <v>0</v>
      </c>
      <c r="VR13">
        <v>0</v>
      </c>
      <c r="VS13">
        <v>2</v>
      </c>
      <c r="VT13">
        <v>2</v>
      </c>
      <c r="VU13">
        <v>2</v>
      </c>
      <c r="VV13">
        <v>2</v>
      </c>
      <c r="VW13">
        <v>2</v>
      </c>
      <c r="VX13">
        <v>2</v>
      </c>
      <c r="VY13">
        <v>2</v>
      </c>
      <c r="VZ13">
        <v>2</v>
      </c>
      <c r="WA13">
        <v>2</v>
      </c>
      <c r="WB13">
        <v>2</v>
      </c>
      <c r="WC13">
        <v>2</v>
      </c>
      <c r="WD13">
        <v>2</v>
      </c>
      <c r="WE13">
        <v>2</v>
      </c>
      <c r="WF13">
        <v>2</v>
      </c>
      <c r="WG13">
        <v>2</v>
      </c>
      <c r="WH13">
        <v>2</v>
      </c>
      <c r="WI13">
        <v>2</v>
      </c>
      <c r="WJ13">
        <v>2</v>
      </c>
      <c r="WK13">
        <v>2</v>
      </c>
      <c r="WL13">
        <v>2</v>
      </c>
      <c r="WM13">
        <v>2</v>
      </c>
      <c r="WN13">
        <v>2</v>
      </c>
      <c r="WO13">
        <v>2</v>
      </c>
      <c r="WP13">
        <v>2</v>
      </c>
      <c r="WQ13">
        <v>2</v>
      </c>
      <c r="WR13">
        <v>2</v>
      </c>
      <c r="WS13">
        <v>2</v>
      </c>
      <c r="WT13">
        <v>2</v>
      </c>
      <c r="WU13">
        <v>2</v>
      </c>
      <c r="WV13">
        <v>0</v>
      </c>
      <c r="WW13">
        <v>0</v>
      </c>
      <c r="WX13">
        <v>0</v>
      </c>
      <c r="WY13">
        <v>0</v>
      </c>
      <c r="WZ13">
        <v>0</v>
      </c>
      <c r="XA13">
        <v>0</v>
      </c>
      <c r="XB13">
        <v>0</v>
      </c>
      <c r="XC13">
        <v>0</v>
      </c>
      <c r="XD13">
        <v>0</v>
      </c>
      <c r="XE13">
        <v>2</v>
      </c>
      <c r="XF13">
        <v>2</v>
      </c>
      <c r="XG13">
        <v>2</v>
      </c>
      <c r="XH13">
        <v>2</v>
      </c>
      <c r="XI13">
        <v>2</v>
      </c>
      <c r="XJ13">
        <v>2</v>
      </c>
      <c r="XK13">
        <v>2</v>
      </c>
      <c r="XL13">
        <v>2</v>
      </c>
      <c r="XM13">
        <v>2</v>
      </c>
      <c r="XN13">
        <v>2</v>
      </c>
      <c r="XO13">
        <v>2</v>
      </c>
      <c r="XP13">
        <v>0</v>
      </c>
      <c r="XQ13">
        <v>0</v>
      </c>
      <c r="XR13">
        <v>0</v>
      </c>
      <c r="XS13">
        <v>0</v>
      </c>
      <c r="XT13">
        <v>0</v>
      </c>
      <c r="XU13">
        <v>0</v>
      </c>
      <c r="XV13">
        <v>0</v>
      </c>
      <c r="XW13">
        <v>0</v>
      </c>
      <c r="XX13">
        <v>0</v>
      </c>
      <c r="XY13">
        <v>0</v>
      </c>
      <c r="XZ13">
        <v>0</v>
      </c>
      <c r="YA13">
        <v>0</v>
      </c>
      <c r="YB13">
        <v>0</v>
      </c>
      <c r="YC13">
        <v>0</v>
      </c>
      <c r="YD13">
        <v>0</v>
      </c>
      <c r="YE13">
        <v>0</v>
      </c>
      <c r="YF13">
        <v>0</v>
      </c>
      <c r="YG13">
        <v>0</v>
      </c>
      <c r="YH13">
        <v>0</v>
      </c>
      <c r="YI13">
        <v>2</v>
      </c>
      <c r="YJ13">
        <v>2</v>
      </c>
      <c r="YK13">
        <v>2</v>
      </c>
      <c r="YL13">
        <v>2</v>
      </c>
      <c r="YM13">
        <v>2</v>
      </c>
      <c r="YN13">
        <v>2</v>
      </c>
      <c r="YO13">
        <v>2</v>
      </c>
      <c r="YP13">
        <v>2</v>
      </c>
      <c r="YQ13">
        <v>2</v>
      </c>
      <c r="YR13">
        <v>2</v>
      </c>
      <c r="YS13">
        <v>2</v>
      </c>
      <c r="YT13">
        <v>2</v>
      </c>
      <c r="YU13">
        <v>2</v>
      </c>
      <c r="YV13">
        <v>2</v>
      </c>
      <c r="YW13">
        <v>2</v>
      </c>
      <c r="YX13">
        <v>2</v>
      </c>
      <c r="YY13">
        <v>2</v>
      </c>
      <c r="YZ13">
        <v>2</v>
      </c>
      <c r="ZA13">
        <v>2</v>
      </c>
      <c r="ZB13">
        <v>2</v>
      </c>
      <c r="ZC13">
        <v>2</v>
      </c>
      <c r="ZD13">
        <v>0</v>
      </c>
      <c r="ZE13">
        <v>0</v>
      </c>
      <c r="ZF13">
        <v>0</v>
      </c>
      <c r="ZG13">
        <v>0</v>
      </c>
      <c r="ZH13">
        <v>0</v>
      </c>
      <c r="ZI13">
        <v>0</v>
      </c>
      <c r="ZJ13">
        <v>0</v>
      </c>
      <c r="ZK13">
        <v>0</v>
      </c>
      <c r="ZL13">
        <v>0</v>
      </c>
      <c r="ZM13">
        <v>0</v>
      </c>
      <c r="ZN13">
        <v>0</v>
      </c>
      <c r="ZO13">
        <v>0</v>
      </c>
      <c r="ZP13">
        <v>0</v>
      </c>
      <c r="ZQ13">
        <v>0</v>
      </c>
      <c r="ZR13">
        <v>0</v>
      </c>
      <c r="ZS13">
        <v>0</v>
      </c>
      <c r="ZT13">
        <v>0</v>
      </c>
      <c r="ZU13">
        <v>0</v>
      </c>
      <c r="ZV13">
        <v>0</v>
      </c>
      <c r="ZW13">
        <v>0</v>
      </c>
      <c r="ZX13">
        <v>0</v>
      </c>
      <c r="ZY13">
        <v>0</v>
      </c>
      <c r="ZZ13">
        <v>0</v>
      </c>
      <c r="AAA13">
        <v>0</v>
      </c>
      <c r="AAB13">
        <v>0</v>
      </c>
      <c r="AAC13">
        <v>0</v>
      </c>
      <c r="AAD13">
        <v>0</v>
      </c>
      <c r="AAE13">
        <v>0</v>
      </c>
      <c r="AAF13">
        <v>0</v>
      </c>
      <c r="AAG13">
        <v>0</v>
      </c>
      <c r="AAH13">
        <v>0</v>
      </c>
      <c r="AAI13">
        <v>0</v>
      </c>
      <c r="AAJ13">
        <v>0</v>
      </c>
      <c r="AAK13">
        <v>0</v>
      </c>
      <c r="AAL13">
        <v>0</v>
      </c>
      <c r="AAM13">
        <v>0</v>
      </c>
      <c r="AAN13">
        <v>0</v>
      </c>
      <c r="AAO13">
        <v>0</v>
      </c>
      <c r="AAP13">
        <v>0</v>
      </c>
      <c r="AAQ13">
        <v>0</v>
      </c>
      <c r="AAR13">
        <v>0</v>
      </c>
      <c r="AAS13">
        <v>0</v>
      </c>
      <c r="AAT13">
        <v>0</v>
      </c>
      <c r="AAU13">
        <v>0</v>
      </c>
      <c r="AAV13">
        <v>0</v>
      </c>
      <c r="AAW13">
        <v>0</v>
      </c>
      <c r="AAX13">
        <v>0</v>
      </c>
      <c r="AAY13">
        <v>0</v>
      </c>
      <c r="AAZ13">
        <v>0</v>
      </c>
      <c r="ABA13">
        <v>0</v>
      </c>
      <c r="ABB13">
        <v>0</v>
      </c>
      <c r="ABC13">
        <v>0</v>
      </c>
      <c r="ABD13">
        <v>0</v>
      </c>
      <c r="ABE13">
        <v>0</v>
      </c>
      <c r="ABG13" s="1137">
        <f t="shared" si="5"/>
        <v>0</v>
      </c>
      <c r="ABH13" s="1137">
        <f t="shared" si="1"/>
        <v>0</v>
      </c>
      <c r="ABI13" s="1137">
        <f t="shared" si="1"/>
        <v>19</v>
      </c>
      <c r="ABJ13" s="1137">
        <f t="shared" si="1"/>
        <v>30</v>
      </c>
      <c r="ABK13" s="1137">
        <f t="shared" si="1"/>
        <v>28</v>
      </c>
      <c r="ABL13" s="1137">
        <f t="shared" si="1"/>
        <v>0</v>
      </c>
      <c r="ABM13" s="1137">
        <f t="shared" si="1"/>
        <v>0</v>
      </c>
      <c r="ABN13" s="1137">
        <f t="shared" si="1"/>
        <v>0</v>
      </c>
      <c r="ABO13" s="1137">
        <f t="shared" si="1"/>
        <v>0</v>
      </c>
      <c r="ABP13" s="1137">
        <f t="shared" si="1"/>
        <v>15</v>
      </c>
      <c r="ABQ13" s="1137">
        <f t="shared" si="1"/>
        <v>30</v>
      </c>
      <c r="ABR13" s="1137">
        <f t="shared" si="1"/>
        <v>31</v>
      </c>
      <c r="ABS13" s="1137">
        <f t="shared" si="1"/>
        <v>31</v>
      </c>
      <c r="ABT13" s="1137">
        <f t="shared" si="1"/>
        <v>28</v>
      </c>
      <c r="ABU13" s="1137">
        <f t="shared" si="1"/>
        <v>31</v>
      </c>
      <c r="ABV13" s="1137">
        <f t="shared" si="1"/>
        <v>30</v>
      </c>
      <c r="ABW13" s="1137">
        <f t="shared" si="1"/>
        <v>31</v>
      </c>
      <c r="ABX13" s="1137">
        <f t="shared" si="2"/>
        <v>9</v>
      </c>
      <c r="ABY13" s="1137">
        <f t="shared" si="2"/>
        <v>0</v>
      </c>
      <c r="ABZ13" s="1137">
        <f t="shared" si="2"/>
        <v>21</v>
      </c>
      <c r="ACA13" s="1137">
        <f t="shared" si="2"/>
        <v>19</v>
      </c>
      <c r="ACB13" s="1137">
        <f t="shared" si="2"/>
        <v>14</v>
      </c>
      <c r="ACC13" s="1137">
        <f t="shared" si="2"/>
        <v>7</v>
      </c>
      <c r="ACD13" s="1137">
        <f t="shared" si="2"/>
        <v>0</v>
      </c>
      <c r="ACE13" s="1137" t="s">
        <v>141</v>
      </c>
      <c r="ACF13" s="1137">
        <f t="shared" si="6"/>
        <v>0</v>
      </c>
      <c r="ACG13" s="1137">
        <f t="shared" si="3"/>
        <v>0</v>
      </c>
      <c r="ACH13" s="1137">
        <f t="shared" si="3"/>
        <v>1</v>
      </c>
      <c r="ACI13" s="1137">
        <f t="shared" si="3"/>
        <v>1</v>
      </c>
      <c r="ACJ13" s="1137">
        <f t="shared" si="3"/>
        <v>1</v>
      </c>
      <c r="ACK13" s="1137">
        <f t="shared" si="3"/>
        <v>0</v>
      </c>
      <c r="ACL13" s="1137">
        <f t="shared" si="3"/>
        <v>0</v>
      </c>
      <c r="ACM13" s="1137">
        <f t="shared" si="3"/>
        <v>0</v>
      </c>
      <c r="ACN13" s="1137">
        <f t="shared" si="3"/>
        <v>0</v>
      </c>
      <c r="ACO13" s="1137">
        <f t="shared" si="3"/>
        <v>1</v>
      </c>
      <c r="ACP13" s="1137">
        <f t="shared" si="3"/>
        <v>1</v>
      </c>
      <c r="ACQ13" s="1137">
        <f t="shared" si="3"/>
        <v>1</v>
      </c>
      <c r="ACR13" s="1137">
        <f t="shared" si="3"/>
        <v>1</v>
      </c>
      <c r="ACS13" s="1137">
        <f t="shared" si="3"/>
        <v>1</v>
      </c>
      <c r="ACT13" s="1137">
        <f t="shared" si="3"/>
        <v>1</v>
      </c>
      <c r="ACU13" s="1137">
        <f t="shared" si="3"/>
        <v>1</v>
      </c>
      <c r="ACV13" s="1137">
        <f t="shared" si="3"/>
        <v>1</v>
      </c>
      <c r="ACW13" s="1137">
        <f t="shared" si="4"/>
        <v>0</v>
      </c>
      <c r="ACX13" s="1137">
        <f t="shared" si="4"/>
        <v>0</v>
      </c>
      <c r="ACY13" s="1137">
        <f t="shared" si="4"/>
        <v>1</v>
      </c>
      <c r="ACZ13" s="1137">
        <f t="shared" si="4"/>
        <v>1</v>
      </c>
      <c r="ADA13" s="1137">
        <f t="shared" si="4"/>
        <v>1</v>
      </c>
      <c r="ADB13" s="1137">
        <f t="shared" si="4"/>
        <v>0</v>
      </c>
      <c r="ADC13" s="1137">
        <f t="shared" si="4"/>
        <v>0</v>
      </c>
    </row>
    <row r="14" spans="1:783" x14ac:dyDescent="0.25">
      <c r="A14" t="s">
        <v>1809</v>
      </c>
      <c r="B14" t="s">
        <v>142</v>
      </c>
      <c r="C14">
        <v>0</v>
      </c>
      <c r="D14">
        <v>0</v>
      </c>
      <c r="E14">
        <v>0</v>
      </c>
      <c r="F14">
        <v>0</v>
      </c>
      <c r="G14">
        <v>0</v>
      </c>
      <c r="H14">
        <v>0</v>
      </c>
      <c r="I14">
        <v>0</v>
      </c>
      <c r="J14">
        <v>0</v>
      </c>
      <c r="K14">
        <v>0</v>
      </c>
      <c r="L14">
        <v>0</v>
      </c>
      <c r="M14">
        <v>0</v>
      </c>
      <c r="N14">
        <v>0</v>
      </c>
      <c r="O14">
        <v>0</v>
      </c>
      <c r="P14">
        <v>0</v>
      </c>
      <c r="Q14">
        <v>0</v>
      </c>
      <c r="R14">
        <v>0</v>
      </c>
      <c r="S14">
        <v>0</v>
      </c>
      <c r="T14">
        <v>0</v>
      </c>
      <c r="U14">
        <v>0</v>
      </c>
      <c r="V14">
        <v>0</v>
      </c>
      <c r="W14">
        <v>0</v>
      </c>
      <c r="X14">
        <v>0</v>
      </c>
      <c r="Y14">
        <v>0</v>
      </c>
      <c r="Z14">
        <v>0</v>
      </c>
      <c r="AA14">
        <v>0</v>
      </c>
      <c r="AB14">
        <v>0</v>
      </c>
      <c r="AC14">
        <v>0</v>
      </c>
      <c r="AD14">
        <v>0</v>
      </c>
      <c r="AE14">
        <v>0</v>
      </c>
      <c r="AF14">
        <v>0</v>
      </c>
      <c r="AG14">
        <v>0</v>
      </c>
      <c r="AH14">
        <v>0</v>
      </c>
      <c r="AI14">
        <v>0</v>
      </c>
      <c r="AJ14">
        <v>0</v>
      </c>
      <c r="AK14">
        <v>0</v>
      </c>
      <c r="AL14">
        <v>0</v>
      </c>
      <c r="AM14">
        <v>0</v>
      </c>
      <c r="AN14">
        <v>0</v>
      </c>
      <c r="AO14">
        <v>0</v>
      </c>
      <c r="AP14">
        <v>0</v>
      </c>
      <c r="AQ14">
        <v>0</v>
      </c>
      <c r="AR14">
        <v>0</v>
      </c>
      <c r="AS14">
        <v>0</v>
      </c>
      <c r="AT14">
        <v>0</v>
      </c>
      <c r="AU14">
        <v>0</v>
      </c>
      <c r="AV14">
        <v>0</v>
      </c>
      <c r="AW14">
        <v>0</v>
      </c>
      <c r="AX14">
        <v>0</v>
      </c>
      <c r="AY14">
        <v>0</v>
      </c>
      <c r="AZ14">
        <v>0</v>
      </c>
      <c r="BA14">
        <v>0</v>
      </c>
      <c r="BB14">
        <v>0</v>
      </c>
      <c r="BC14">
        <v>0</v>
      </c>
      <c r="BD14">
        <v>0</v>
      </c>
      <c r="BE14">
        <v>0</v>
      </c>
      <c r="BF14">
        <v>0</v>
      </c>
      <c r="BG14">
        <v>0</v>
      </c>
      <c r="BH14">
        <v>0</v>
      </c>
      <c r="BI14">
        <v>0</v>
      </c>
      <c r="BJ14">
        <v>0</v>
      </c>
      <c r="BK14">
        <v>0</v>
      </c>
      <c r="BL14">
        <v>0</v>
      </c>
      <c r="BM14">
        <v>0</v>
      </c>
      <c r="BN14">
        <v>0</v>
      </c>
      <c r="BO14">
        <v>0</v>
      </c>
      <c r="BP14">
        <v>0</v>
      </c>
      <c r="BQ14">
        <v>0</v>
      </c>
      <c r="BR14">
        <v>0</v>
      </c>
      <c r="BS14">
        <v>0</v>
      </c>
      <c r="BT14">
        <v>0</v>
      </c>
      <c r="BU14">
        <v>0</v>
      </c>
      <c r="BV14">
        <v>0</v>
      </c>
      <c r="BW14">
        <v>0</v>
      </c>
      <c r="BX14">
        <v>0</v>
      </c>
      <c r="BY14">
        <v>0</v>
      </c>
      <c r="BZ14">
        <v>0</v>
      </c>
      <c r="CA14">
        <v>0</v>
      </c>
      <c r="CB14">
        <v>0</v>
      </c>
      <c r="CC14">
        <v>2</v>
      </c>
      <c r="CD14">
        <v>2</v>
      </c>
      <c r="CE14">
        <v>2</v>
      </c>
      <c r="CF14">
        <v>2</v>
      </c>
      <c r="CG14">
        <v>2</v>
      </c>
      <c r="CH14">
        <v>2</v>
      </c>
      <c r="CI14">
        <v>2</v>
      </c>
      <c r="CJ14">
        <v>2</v>
      </c>
      <c r="CK14">
        <v>2</v>
      </c>
      <c r="CL14">
        <v>2</v>
      </c>
      <c r="CM14">
        <v>2</v>
      </c>
      <c r="CN14">
        <v>2</v>
      </c>
      <c r="CO14">
        <v>2</v>
      </c>
      <c r="CP14">
        <v>2</v>
      </c>
      <c r="CQ14">
        <v>2</v>
      </c>
      <c r="CR14">
        <v>2</v>
      </c>
      <c r="CS14">
        <v>2</v>
      </c>
      <c r="CT14">
        <v>2</v>
      </c>
      <c r="CU14">
        <v>2</v>
      </c>
      <c r="CV14">
        <v>2</v>
      </c>
      <c r="CW14">
        <v>2</v>
      </c>
      <c r="CX14">
        <v>2</v>
      </c>
      <c r="CY14">
        <v>2</v>
      </c>
      <c r="CZ14">
        <v>2</v>
      </c>
      <c r="DA14">
        <v>2</v>
      </c>
      <c r="DB14">
        <v>2</v>
      </c>
      <c r="DC14">
        <v>2</v>
      </c>
      <c r="DD14">
        <v>2</v>
      </c>
      <c r="DE14">
        <v>2</v>
      </c>
      <c r="DF14">
        <v>2</v>
      </c>
      <c r="DG14">
        <v>2</v>
      </c>
      <c r="DH14">
        <v>2</v>
      </c>
      <c r="DI14">
        <v>2</v>
      </c>
      <c r="DJ14">
        <v>2</v>
      </c>
      <c r="DK14">
        <v>2</v>
      </c>
      <c r="DL14">
        <v>2</v>
      </c>
      <c r="DM14">
        <v>2</v>
      </c>
      <c r="DN14">
        <v>2</v>
      </c>
      <c r="DO14">
        <v>2</v>
      </c>
      <c r="DP14">
        <v>2</v>
      </c>
      <c r="DQ14">
        <v>2</v>
      </c>
      <c r="DR14">
        <v>2</v>
      </c>
      <c r="DS14">
        <v>2</v>
      </c>
      <c r="DT14">
        <v>2</v>
      </c>
      <c r="DU14">
        <v>2</v>
      </c>
      <c r="DV14">
        <v>2</v>
      </c>
      <c r="DW14">
        <v>2</v>
      </c>
      <c r="DX14">
        <v>2</v>
      </c>
      <c r="DY14">
        <v>2</v>
      </c>
      <c r="DZ14">
        <v>2</v>
      </c>
      <c r="EA14">
        <v>2</v>
      </c>
      <c r="EB14">
        <v>2</v>
      </c>
      <c r="EC14">
        <v>2</v>
      </c>
      <c r="ED14">
        <v>2</v>
      </c>
      <c r="EE14">
        <v>2</v>
      </c>
      <c r="EF14">
        <v>2</v>
      </c>
      <c r="EG14">
        <v>2</v>
      </c>
      <c r="EH14">
        <v>2</v>
      </c>
      <c r="EI14">
        <v>2</v>
      </c>
      <c r="EJ14">
        <v>2</v>
      </c>
      <c r="EK14">
        <v>2</v>
      </c>
      <c r="EL14">
        <v>2</v>
      </c>
      <c r="EM14">
        <v>2</v>
      </c>
      <c r="EN14">
        <v>2</v>
      </c>
      <c r="EO14">
        <v>2</v>
      </c>
      <c r="EP14">
        <v>2</v>
      </c>
      <c r="EQ14">
        <v>2</v>
      </c>
      <c r="ER14">
        <v>2</v>
      </c>
      <c r="ES14">
        <v>2</v>
      </c>
      <c r="ET14">
        <v>2</v>
      </c>
      <c r="EU14">
        <v>2</v>
      </c>
      <c r="EV14">
        <v>2</v>
      </c>
      <c r="EW14">
        <v>2</v>
      </c>
      <c r="EX14">
        <v>2</v>
      </c>
      <c r="EY14">
        <v>2</v>
      </c>
      <c r="EZ14">
        <v>2</v>
      </c>
      <c r="FA14">
        <v>2</v>
      </c>
      <c r="FB14">
        <v>2</v>
      </c>
      <c r="FC14">
        <v>2</v>
      </c>
      <c r="FD14">
        <v>2</v>
      </c>
      <c r="FE14">
        <v>2</v>
      </c>
      <c r="FF14">
        <v>2</v>
      </c>
      <c r="FG14">
        <v>2</v>
      </c>
      <c r="FH14">
        <v>2</v>
      </c>
      <c r="FI14">
        <v>2</v>
      </c>
      <c r="FJ14">
        <v>2</v>
      </c>
      <c r="FK14">
        <v>2</v>
      </c>
      <c r="FL14">
        <v>2</v>
      </c>
      <c r="FM14">
        <v>2</v>
      </c>
      <c r="FN14">
        <v>2</v>
      </c>
      <c r="FO14">
        <v>2</v>
      </c>
      <c r="FP14">
        <v>2</v>
      </c>
      <c r="FQ14">
        <v>2</v>
      </c>
      <c r="FR14">
        <v>2</v>
      </c>
      <c r="FS14">
        <v>2</v>
      </c>
      <c r="FT14">
        <v>2</v>
      </c>
      <c r="FU14">
        <v>2</v>
      </c>
      <c r="FV14">
        <v>2</v>
      </c>
      <c r="FW14">
        <v>2</v>
      </c>
      <c r="FX14">
        <v>2</v>
      </c>
      <c r="FY14">
        <v>2</v>
      </c>
      <c r="FZ14">
        <v>2</v>
      </c>
      <c r="GA14">
        <v>2</v>
      </c>
      <c r="GB14">
        <v>2</v>
      </c>
      <c r="GC14">
        <v>2</v>
      </c>
      <c r="GD14">
        <v>2</v>
      </c>
      <c r="GE14">
        <v>2</v>
      </c>
      <c r="GF14">
        <v>2</v>
      </c>
      <c r="GG14">
        <v>2</v>
      </c>
      <c r="GH14">
        <v>2</v>
      </c>
      <c r="GI14">
        <v>2</v>
      </c>
      <c r="GJ14">
        <v>2</v>
      </c>
      <c r="GK14">
        <v>2</v>
      </c>
      <c r="GL14">
        <v>2</v>
      </c>
      <c r="GM14">
        <v>2</v>
      </c>
      <c r="GN14">
        <v>2</v>
      </c>
      <c r="GO14">
        <v>2</v>
      </c>
      <c r="GP14">
        <v>2</v>
      </c>
      <c r="GQ14">
        <v>2</v>
      </c>
      <c r="GR14">
        <v>2</v>
      </c>
      <c r="GS14">
        <v>2</v>
      </c>
      <c r="GT14">
        <v>2</v>
      </c>
      <c r="GU14">
        <v>2</v>
      </c>
      <c r="GV14">
        <v>2</v>
      </c>
      <c r="GW14">
        <v>2</v>
      </c>
      <c r="GX14">
        <v>2</v>
      </c>
      <c r="GY14">
        <v>2</v>
      </c>
      <c r="GZ14">
        <v>2</v>
      </c>
      <c r="HA14">
        <v>2</v>
      </c>
      <c r="HB14">
        <v>2</v>
      </c>
      <c r="HC14">
        <v>2</v>
      </c>
      <c r="HD14">
        <v>2</v>
      </c>
      <c r="HE14">
        <v>2</v>
      </c>
      <c r="HF14">
        <v>2</v>
      </c>
      <c r="HG14">
        <v>2</v>
      </c>
      <c r="HH14">
        <v>2</v>
      </c>
      <c r="HI14">
        <v>2</v>
      </c>
      <c r="HJ14">
        <v>2</v>
      </c>
      <c r="HK14">
        <v>2</v>
      </c>
      <c r="HL14">
        <v>2</v>
      </c>
      <c r="HM14">
        <v>2</v>
      </c>
      <c r="HN14">
        <v>2</v>
      </c>
      <c r="HO14">
        <v>2</v>
      </c>
      <c r="HP14">
        <v>2</v>
      </c>
      <c r="HQ14">
        <v>2</v>
      </c>
      <c r="HR14">
        <v>2</v>
      </c>
      <c r="HS14">
        <v>2</v>
      </c>
      <c r="HT14">
        <v>2</v>
      </c>
      <c r="HU14">
        <v>2</v>
      </c>
      <c r="HV14">
        <v>2</v>
      </c>
      <c r="HW14">
        <v>2</v>
      </c>
      <c r="HX14">
        <v>2</v>
      </c>
      <c r="HY14">
        <v>2</v>
      </c>
      <c r="HZ14">
        <v>2</v>
      </c>
      <c r="IA14">
        <v>2</v>
      </c>
      <c r="IB14">
        <v>2</v>
      </c>
      <c r="IC14">
        <v>2</v>
      </c>
      <c r="ID14">
        <v>2</v>
      </c>
      <c r="IE14">
        <v>2</v>
      </c>
      <c r="IF14">
        <v>2</v>
      </c>
      <c r="IG14">
        <v>2</v>
      </c>
      <c r="IH14">
        <v>2</v>
      </c>
      <c r="II14">
        <v>2</v>
      </c>
      <c r="IJ14">
        <v>2</v>
      </c>
      <c r="IK14">
        <v>2</v>
      </c>
      <c r="IL14">
        <v>2</v>
      </c>
      <c r="IM14">
        <v>2</v>
      </c>
      <c r="IN14">
        <v>2</v>
      </c>
      <c r="IO14">
        <v>2</v>
      </c>
      <c r="IP14">
        <v>2</v>
      </c>
      <c r="IQ14">
        <v>2</v>
      </c>
      <c r="IR14">
        <v>2</v>
      </c>
      <c r="IS14">
        <v>2</v>
      </c>
      <c r="IT14">
        <v>2</v>
      </c>
      <c r="IU14">
        <v>2</v>
      </c>
      <c r="IV14">
        <v>2</v>
      </c>
      <c r="IW14">
        <v>2</v>
      </c>
      <c r="IX14">
        <v>2</v>
      </c>
      <c r="IY14">
        <v>2</v>
      </c>
      <c r="IZ14">
        <v>2</v>
      </c>
      <c r="JA14">
        <v>2</v>
      </c>
      <c r="JB14">
        <v>2</v>
      </c>
      <c r="JC14">
        <v>2</v>
      </c>
      <c r="JD14">
        <v>2</v>
      </c>
      <c r="JE14">
        <v>2</v>
      </c>
      <c r="JF14">
        <v>2</v>
      </c>
      <c r="JG14">
        <v>2</v>
      </c>
      <c r="JH14">
        <v>2</v>
      </c>
      <c r="JI14">
        <v>2</v>
      </c>
      <c r="JJ14">
        <v>2</v>
      </c>
      <c r="JK14">
        <v>2</v>
      </c>
      <c r="JL14">
        <v>2</v>
      </c>
      <c r="JM14">
        <v>2</v>
      </c>
      <c r="JN14">
        <v>2</v>
      </c>
      <c r="JO14">
        <v>2</v>
      </c>
      <c r="JP14">
        <v>2</v>
      </c>
      <c r="JQ14">
        <v>2</v>
      </c>
      <c r="JR14">
        <v>2</v>
      </c>
      <c r="JS14">
        <v>2</v>
      </c>
      <c r="JT14">
        <v>2</v>
      </c>
      <c r="JU14">
        <v>2</v>
      </c>
      <c r="JV14">
        <v>2</v>
      </c>
      <c r="JW14">
        <v>2</v>
      </c>
      <c r="JX14">
        <v>2</v>
      </c>
      <c r="JY14">
        <v>2</v>
      </c>
      <c r="JZ14">
        <v>2</v>
      </c>
      <c r="KA14">
        <v>2</v>
      </c>
      <c r="KB14">
        <v>2</v>
      </c>
      <c r="KC14">
        <v>2</v>
      </c>
      <c r="KD14">
        <v>2</v>
      </c>
      <c r="KE14">
        <v>2</v>
      </c>
      <c r="KF14">
        <v>2</v>
      </c>
      <c r="KG14">
        <v>2</v>
      </c>
      <c r="KH14">
        <v>2</v>
      </c>
      <c r="KI14">
        <v>2</v>
      </c>
      <c r="KJ14">
        <v>2</v>
      </c>
      <c r="KK14">
        <v>2</v>
      </c>
      <c r="KL14">
        <v>2</v>
      </c>
      <c r="KM14">
        <v>1</v>
      </c>
      <c r="KN14">
        <v>1</v>
      </c>
      <c r="KO14">
        <v>1</v>
      </c>
      <c r="KP14">
        <v>1</v>
      </c>
      <c r="KQ14">
        <v>1</v>
      </c>
      <c r="KR14">
        <v>1</v>
      </c>
      <c r="KS14">
        <v>1</v>
      </c>
      <c r="KT14">
        <v>1</v>
      </c>
      <c r="KU14">
        <v>1</v>
      </c>
      <c r="KV14">
        <v>1</v>
      </c>
      <c r="KW14">
        <v>1</v>
      </c>
      <c r="KX14">
        <v>1</v>
      </c>
      <c r="KY14">
        <v>1</v>
      </c>
      <c r="KZ14">
        <v>1</v>
      </c>
      <c r="LA14">
        <v>1</v>
      </c>
      <c r="LB14">
        <v>1</v>
      </c>
      <c r="LC14">
        <v>1</v>
      </c>
      <c r="LD14">
        <v>1</v>
      </c>
      <c r="LE14">
        <v>1</v>
      </c>
      <c r="LF14">
        <v>1</v>
      </c>
      <c r="LG14">
        <v>1</v>
      </c>
      <c r="LH14">
        <v>1</v>
      </c>
      <c r="LI14">
        <v>1</v>
      </c>
      <c r="LJ14">
        <v>1</v>
      </c>
      <c r="LK14">
        <v>1</v>
      </c>
      <c r="LL14">
        <v>1</v>
      </c>
      <c r="LM14">
        <v>1</v>
      </c>
      <c r="LN14">
        <v>1</v>
      </c>
      <c r="LO14">
        <v>1</v>
      </c>
      <c r="LP14">
        <v>1</v>
      </c>
      <c r="LQ14">
        <v>1</v>
      </c>
      <c r="LR14">
        <v>1</v>
      </c>
      <c r="LS14">
        <v>1</v>
      </c>
      <c r="LT14">
        <v>1</v>
      </c>
      <c r="LU14">
        <v>1</v>
      </c>
      <c r="LV14">
        <v>1</v>
      </c>
      <c r="LW14">
        <v>1</v>
      </c>
      <c r="LX14">
        <v>1</v>
      </c>
      <c r="LY14">
        <v>1</v>
      </c>
      <c r="LZ14">
        <v>1</v>
      </c>
      <c r="MA14">
        <v>1</v>
      </c>
      <c r="MB14">
        <v>1</v>
      </c>
      <c r="MC14">
        <v>1</v>
      </c>
      <c r="MD14">
        <v>2</v>
      </c>
      <c r="ME14">
        <v>2</v>
      </c>
      <c r="MF14">
        <v>2</v>
      </c>
      <c r="MG14">
        <v>2</v>
      </c>
      <c r="MH14">
        <v>2</v>
      </c>
      <c r="MI14">
        <v>2</v>
      </c>
      <c r="MJ14">
        <v>2</v>
      </c>
      <c r="MK14">
        <v>2</v>
      </c>
      <c r="ML14">
        <v>2</v>
      </c>
      <c r="MM14">
        <v>2</v>
      </c>
      <c r="MN14">
        <v>2</v>
      </c>
      <c r="MO14">
        <v>2</v>
      </c>
      <c r="MP14">
        <v>2</v>
      </c>
      <c r="MQ14">
        <v>2</v>
      </c>
      <c r="MR14">
        <v>2</v>
      </c>
      <c r="MS14">
        <v>2</v>
      </c>
      <c r="MT14">
        <v>2</v>
      </c>
      <c r="MU14">
        <v>2</v>
      </c>
      <c r="MV14">
        <v>2</v>
      </c>
      <c r="MW14">
        <v>2</v>
      </c>
      <c r="MX14">
        <v>2</v>
      </c>
      <c r="MY14">
        <v>2</v>
      </c>
      <c r="MZ14">
        <v>2</v>
      </c>
      <c r="NA14">
        <v>2</v>
      </c>
      <c r="NB14">
        <v>2</v>
      </c>
      <c r="NC14">
        <v>2</v>
      </c>
      <c r="ND14">
        <v>2</v>
      </c>
      <c r="NE14">
        <v>2</v>
      </c>
      <c r="NF14">
        <v>2</v>
      </c>
      <c r="NG14">
        <v>2</v>
      </c>
      <c r="NH14">
        <v>2</v>
      </c>
      <c r="NI14">
        <v>2</v>
      </c>
      <c r="NJ14">
        <v>2</v>
      </c>
      <c r="NK14">
        <v>2</v>
      </c>
      <c r="NL14">
        <v>2</v>
      </c>
      <c r="NM14">
        <v>2</v>
      </c>
      <c r="NN14">
        <v>2</v>
      </c>
      <c r="NO14">
        <v>2</v>
      </c>
      <c r="NP14">
        <v>2</v>
      </c>
      <c r="NQ14">
        <v>2</v>
      </c>
      <c r="NR14">
        <v>2</v>
      </c>
      <c r="NS14">
        <v>2</v>
      </c>
      <c r="NT14">
        <v>2</v>
      </c>
      <c r="NU14">
        <v>2</v>
      </c>
      <c r="NV14">
        <v>2</v>
      </c>
      <c r="NW14">
        <v>2</v>
      </c>
      <c r="NX14">
        <v>2</v>
      </c>
      <c r="NY14">
        <v>2</v>
      </c>
      <c r="NZ14">
        <v>2</v>
      </c>
      <c r="OA14">
        <v>2</v>
      </c>
      <c r="OB14">
        <v>2</v>
      </c>
      <c r="OC14">
        <v>0</v>
      </c>
      <c r="OD14">
        <v>0</v>
      </c>
      <c r="OE14">
        <v>0</v>
      </c>
      <c r="OF14">
        <v>0</v>
      </c>
      <c r="OG14">
        <v>0</v>
      </c>
      <c r="OH14">
        <v>0</v>
      </c>
      <c r="OI14">
        <v>0</v>
      </c>
      <c r="OJ14">
        <v>0</v>
      </c>
      <c r="OK14">
        <v>0</v>
      </c>
      <c r="OL14">
        <v>0</v>
      </c>
      <c r="OM14">
        <v>0</v>
      </c>
      <c r="ON14">
        <v>0</v>
      </c>
      <c r="OO14">
        <v>0</v>
      </c>
      <c r="OP14">
        <v>0</v>
      </c>
      <c r="OQ14">
        <v>0</v>
      </c>
      <c r="OR14">
        <v>0</v>
      </c>
      <c r="OS14">
        <v>0</v>
      </c>
      <c r="OT14">
        <v>0</v>
      </c>
      <c r="OU14">
        <v>0</v>
      </c>
      <c r="OV14">
        <v>0</v>
      </c>
      <c r="OW14">
        <v>0</v>
      </c>
      <c r="OX14">
        <v>0</v>
      </c>
      <c r="OY14">
        <v>0</v>
      </c>
      <c r="OZ14">
        <v>0</v>
      </c>
      <c r="PA14">
        <v>0</v>
      </c>
      <c r="PB14">
        <v>0</v>
      </c>
      <c r="PC14">
        <v>0</v>
      </c>
      <c r="PD14">
        <v>0</v>
      </c>
      <c r="PE14">
        <v>0</v>
      </c>
      <c r="PF14">
        <v>0</v>
      </c>
      <c r="PG14">
        <v>0</v>
      </c>
      <c r="PH14">
        <v>0</v>
      </c>
      <c r="PI14">
        <v>0</v>
      </c>
      <c r="PJ14">
        <v>0</v>
      </c>
      <c r="PK14">
        <v>0</v>
      </c>
      <c r="PL14">
        <v>0</v>
      </c>
      <c r="PM14">
        <v>0</v>
      </c>
      <c r="PN14">
        <v>0</v>
      </c>
      <c r="PO14">
        <v>0</v>
      </c>
      <c r="PP14">
        <v>0</v>
      </c>
      <c r="PQ14">
        <v>0</v>
      </c>
      <c r="PR14">
        <v>0</v>
      </c>
      <c r="PS14">
        <v>0</v>
      </c>
      <c r="PT14">
        <v>0</v>
      </c>
      <c r="PU14">
        <v>0</v>
      </c>
      <c r="PV14">
        <v>0</v>
      </c>
      <c r="PW14">
        <v>0</v>
      </c>
      <c r="PX14">
        <v>0</v>
      </c>
      <c r="PY14">
        <v>0</v>
      </c>
      <c r="PZ14">
        <v>0</v>
      </c>
      <c r="QA14">
        <v>0</v>
      </c>
      <c r="QB14">
        <v>0</v>
      </c>
      <c r="QC14">
        <v>0</v>
      </c>
      <c r="QD14">
        <v>0</v>
      </c>
      <c r="QE14">
        <v>0</v>
      </c>
      <c r="QF14">
        <v>0</v>
      </c>
      <c r="QG14">
        <v>0</v>
      </c>
      <c r="QH14">
        <v>0</v>
      </c>
      <c r="QI14">
        <v>0</v>
      </c>
      <c r="QJ14">
        <v>0</v>
      </c>
      <c r="QK14">
        <v>0</v>
      </c>
      <c r="QL14">
        <v>0</v>
      </c>
      <c r="QM14">
        <v>0</v>
      </c>
      <c r="QN14">
        <v>0</v>
      </c>
      <c r="QO14">
        <v>0</v>
      </c>
      <c r="QP14">
        <v>0</v>
      </c>
      <c r="QQ14">
        <v>0</v>
      </c>
      <c r="QR14">
        <v>0</v>
      </c>
      <c r="QS14">
        <v>0</v>
      </c>
      <c r="QT14">
        <v>0</v>
      </c>
      <c r="QU14">
        <v>0</v>
      </c>
      <c r="QV14">
        <v>0</v>
      </c>
      <c r="QW14">
        <v>0</v>
      </c>
      <c r="QX14">
        <v>0</v>
      </c>
      <c r="QY14">
        <v>0</v>
      </c>
      <c r="QZ14">
        <v>0</v>
      </c>
      <c r="RA14">
        <v>0</v>
      </c>
      <c r="RB14">
        <v>0</v>
      </c>
      <c r="RC14">
        <v>0</v>
      </c>
      <c r="RD14">
        <v>0</v>
      </c>
      <c r="RE14">
        <v>0</v>
      </c>
      <c r="RF14">
        <v>0</v>
      </c>
      <c r="RG14">
        <v>0</v>
      </c>
      <c r="RH14">
        <v>0</v>
      </c>
      <c r="RI14">
        <v>0</v>
      </c>
      <c r="RJ14">
        <v>0</v>
      </c>
      <c r="RK14">
        <v>0</v>
      </c>
      <c r="RL14">
        <v>0</v>
      </c>
      <c r="RM14">
        <v>0</v>
      </c>
      <c r="RN14">
        <v>0</v>
      </c>
      <c r="RO14">
        <v>0</v>
      </c>
      <c r="RP14">
        <v>0</v>
      </c>
      <c r="RQ14">
        <v>0</v>
      </c>
      <c r="RR14">
        <v>0</v>
      </c>
      <c r="RS14">
        <v>0</v>
      </c>
      <c r="RT14">
        <v>0</v>
      </c>
      <c r="RU14">
        <v>0</v>
      </c>
      <c r="RV14">
        <v>0</v>
      </c>
      <c r="RW14">
        <v>0</v>
      </c>
      <c r="RX14">
        <v>0</v>
      </c>
      <c r="RY14">
        <v>0</v>
      </c>
      <c r="RZ14">
        <v>0</v>
      </c>
      <c r="SA14">
        <v>0</v>
      </c>
      <c r="SB14">
        <v>0</v>
      </c>
      <c r="SC14">
        <v>0</v>
      </c>
      <c r="SD14">
        <v>0</v>
      </c>
      <c r="SE14">
        <v>0</v>
      </c>
      <c r="SF14">
        <v>0</v>
      </c>
      <c r="SG14">
        <v>0</v>
      </c>
      <c r="SH14">
        <v>0</v>
      </c>
      <c r="SI14">
        <v>0</v>
      </c>
      <c r="SJ14">
        <v>0</v>
      </c>
      <c r="SK14">
        <v>1</v>
      </c>
      <c r="SL14">
        <v>1</v>
      </c>
      <c r="SM14">
        <v>1</v>
      </c>
      <c r="SN14">
        <v>1</v>
      </c>
      <c r="SO14">
        <v>1</v>
      </c>
      <c r="SP14">
        <v>1</v>
      </c>
      <c r="SQ14">
        <v>1</v>
      </c>
      <c r="SR14">
        <v>1</v>
      </c>
      <c r="SS14">
        <v>1</v>
      </c>
      <c r="ST14">
        <v>1</v>
      </c>
      <c r="SU14">
        <v>1</v>
      </c>
      <c r="SV14">
        <v>1</v>
      </c>
      <c r="SW14">
        <v>1</v>
      </c>
      <c r="SX14">
        <v>1</v>
      </c>
      <c r="SY14">
        <v>1</v>
      </c>
      <c r="SZ14">
        <v>1</v>
      </c>
      <c r="TA14">
        <v>1</v>
      </c>
      <c r="TB14">
        <v>1</v>
      </c>
      <c r="TC14">
        <v>1</v>
      </c>
      <c r="TD14">
        <v>1</v>
      </c>
      <c r="TE14">
        <v>1</v>
      </c>
      <c r="TF14">
        <v>1</v>
      </c>
      <c r="TG14">
        <v>1</v>
      </c>
      <c r="TH14">
        <v>1</v>
      </c>
      <c r="TI14">
        <v>1</v>
      </c>
      <c r="TJ14">
        <v>1</v>
      </c>
      <c r="TK14">
        <v>1</v>
      </c>
      <c r="TL14">
        <v>1</v>
      </c>
      <c r="TM14">
        <v>1</v>
      </c>
      <c r="TN14">
        <v>1</v>
      </c>
      <c r="TO14">
        <v>1</v>
      </c>
      <c r="TP14">
        <v>1</v>
      </c>
      <c r="TQ14">
        <v>1</v>
      </c>
      <c r="TR14">
        <v>1</v>
      </c>
      <c r="TS14">
        <v>1</v>
      </c>
      <c r="TT14">
        <v>1</v>
      </c>
      <c r="TU14">
        <v>1</v>
      </c>
      <c r="TV14">
        <v>1</v>
      </c>
      <c r="TW14">
        <v>1</v>
      </c>
      <c r="TX14">
        <v>1</v>
      </c>
      <c r="TY14">
        <v>1</v>
      </c>
      <c r="TZ14">
        <v>1</v>
      </c>
      <c r="UA14">
        <v>1</v>
      </c>
      <c r="UB14">
        <v>0</v>
      </c>
      <c r="UC14">
        <v>0</v>
      </c>
      <c r="UD14">
        <v>0</v>
      </c>
      <c r="UE14">
        <v>0</v>
      </c>
      <c r="UF14">
        <v>0</v>
      </c>
      <c r="UG14">
        <v>0</v>
      </c>
      <c r="UH14">
        <v>0</v>
      </c>
      <c r="UI14">
        <v>0</v>
      </c>
      <c r="UJ14">
        <v>0</v>
      </c>
      <c r="UK14">
        <v>0</v>
      </c>
      <c r="UL14">
        <v>0</v>
      </c>
      <c r="UM14">
        <v>0</v>
      </c>
      <c r="UN14">
        <v>0</v>
      </c>
      <c r="UO14">
        <v>0</v>
      </c>
      <c r="UP14">
        <v>0</v>
      </c>
      <c r="UQ14">
        <v>0</v>
      </c>
      <c r="UR14">
        <v>0</v>
      </c>
      <c r="US14">
        <v>0</v>
      </c>
      <c r="UT14">
        <v>0</v>
      </c>
      <c r="UU14">
        <v>0</v>
      </c>
      <c r="UV14">
        <v>0</v>
      </c>
      <c r="UW14">
        <v>0</v>
      </c>
      <c r="UX14">
        <v>0</v>
      </c>
      <c r="UY14">
        <v>0</v>
      </c>
      <c r="UZ14">
        <v>0</v>
      </c>
      <c r="VA14">
        <v>0</v>
      </c>
      <c r="VB14">
        <v>0</v>
      </c>
      <c r="VC14">
        <v>0</v>
      </c>
      <c r="VD14">
        <v>0</v>
      </c>
      <c r="VE14">
        <v>0</v>
      </c>
      <c r="VF14">
        <v>0</v>
      </c>
      <c r="VG14">
        <v>0</v>
      </c>
      <c r="VH14">
        <v>0</v>
      </c>
      <c r="VI14">
        <v>0</v>
      </c>
      <c r="VJ14">
        <v>0</v>
      </c>
      <c r="VK14">
        <v>0</v>
      </c>
      <c r="VL14">
        <v>0</v>
      </c>
      <c r="VM14">
        <v>0</v>
      </c>
      <c r="VN14">
        <v>0</v>
      </c>
      <c r="VO14">
        <v>0</v>
      </c>
      <c r="VP14">
        <v>0</v>
      </c>
      <c r="VQ14">
        <v>0</v>
      </c>
      <c r="VR14">
        <v>0</v>
      </c>
      <c r="VS14">
        <v>0</v>
      </c>
      <c r="VT14">
        <v>0</v>
      </c>
      <c r="VU14">
        <v>0</v>
      </c>
      <c r="VV14">
        <v>0</v>
      </c>
      <c r="VW14">
        <v>0</v>
      </c>
      <c r="VX14">
        <v>0</v>
      </c>
      <c r="VY14">
        <v>0</v>
      </c>
      <c r="VZ14">
        <v>0</v>
      </c>
      <c r="WA14">
        <v>0</v>
      </c>
      <c r="WB14">
        <v>0</v>
      </c>
      <c r="WC14">
        <v>0</v>
      </c>
      <c r="WD14">
        <v>0</v>
      </c>
      <c r="WE14">
        <v>0</v>
      </c>
      <c r="WF14">
        <v>0</v>
      </c>
      <c r="WG14">
        <v>0</v>
      </c>
      <c r="WH14">
        <v>0</v>
      </c>
      <c r="WI14">
        <v>0</v>
      </c>
      <c r="WJ14">
        <v>0</v>
      </c>
      <c r="WK14">
        <v>0</v>
      </c>
      <c r="WL14">
        <v>0</v>
      </c>
      <c r="WM14">
        <v>0</v>
      </c>
      <c r="WN14">
        <v>0</v>
      </c>
      <c r="WO14">
        <v>0</v>
      </c>
      <c r="WP14">
        <v>0</v>
      </c>
      <c r="WQ14">
        <v>0</v>
      </c>
      <c r="WR14">
        <v>0</v>
      </c>
      <c r="WS14">
        <v>0</v>
      </c>
      <c r="WT14">
        <v>0</v>
      </c>
      <c r="WU14">
        <v>0</v>
      </c>
      <c r="WV14">
        <v>0</v>
      </c>
      <c r="WW14">
        <v>0</v>
      </c>
      <c r="WX14">
        <v>0</v>
      </c>
      <c r="WY14">
        <v>0</v>
      </c>
      <c r="WZ14">
        <v>0</v>
      </c>
      <c r="XA14">
        <v>0</v>
      </c>
      <c r="XB14">
        <v>0</v>
      </c>
      <c r="XC14">
        <v>0</v>
      </c>
      <c r="XD14">
        <v>0</v>
      </c>
      <c r="XE14">
        <v>0</v>
      </c>
      <c r="XF14">
        <v>0</v>
      </c>
      <c r="XG14">
        <v>0</v>
      </c>
      <c r="XH14">
        <v>0</v>
      </c>
      <c r="XI14">
        <v>0</v>
      </c>
      <c r="XJ14">
        <v>0</v>
      </c>
      <c r="XK14">
        <v>0</v>
      </c>
      <c r="XL14">
        <v>0</v>
      </c>
      <c r="XM14">
        <v>0</v>
      </c>
      <c r="XN14">
        <v>0</v>
      </c>
      <c r="XO14">
        <v>0</v>
      </c>
      <c r="XP14">
        <v>0</v>
      </c>
      <c r="XQ14">
        <v>0</v>
      </c>
      <c r="XR14">
        <v>2</v>
      </c>
      <c r="XS14">
        <v>2</v>
      </c>
      <c r="XT14">
        <v>2</v>
      </c>
      <c r="XU14">
        <v>2</v>
      </c>
      <c r="XV14">
        <v>2</v>
      </c>
      <c r="XW14">
        <v>2</v>
      </c>
      <c r="XX14">
        <v>2</v>
      </c>
      <c r="XY14">
        <v>2</v>
      </c>
      <c r="XZ14">
        <v>2</v>
      </c>
      <c r="YA14">
        <v>2</v>
      </c>
      <c r="YB14">
        <v>2</v>
      </c>
      <c r="YC14">
        <v>2</v>
      </c>
      <c r="YD14">
        <v>2</v>
      </c>
      <c r="YE14">
        <v>2</v>
      </c>
      <c r="YF14">
        <v>2</v>
      </c>
      <c r="YG14">
        <v>2</v>
      </c>
      <c r="YH14">
        <v>2</v>
      </c>
      <c r="YI14">
        <v>2</v>
      </c>
      <c r="YJ14">
        <v>0</v>
      </c>
      <c r="YK14">
        <v>0</v>
      </c>
      <c r="YL14">
        <v>0</v>
      </c>
      <c r="YM14">
        <v>0</v>
      </c>
      <c r="YN14">
        <v>0</v>
      </c>
      <c r="YO14">
        <v>0</v>
      </c>
      <c r="YP14">
        <v>0</v>
      </c>
      <c r="YQ14">
        <v>0</v>
      </c>
      <c r="YR14">
        <v>0</v>
      </c>
      <c r="YS14">
        <v>0</v>
      </c>
      <c r="YT14">
        <v>0</v>
      </c>
      <c r="YU14">
        <v>0</v>
      </c>
      <c r="YV14">
        <v>0</v>
      </c>
      <c r="YW14">
        <v>0</v>
      </c>
      <c r="YX14">
        <v>0</v>
      </c>
      <c r="YY14">
        <v>0</v>
      </c>
      <c r="YZ14">
        <v>0</v>
      </c>
      <c r="ZA14">
        <v>0</v>
      </c>
      <c r="ZB14">
        <v>0</v>
      </c>
      <c r="ZC14">
        <v>1</v>
      </c>
      <c r="ZD14">
        <v>1</v>
      </c>
      <c r="ZE14">
        <v>1</v>
      </c>
      <c r="ZF14">
        <v>1</v>
      </c>
      <c r="ZG14">
        <v>1</v>
      </c>
      <c r="ZH14">
        <v>1</v>
      </c>
      <c r="ZI14">
        <v>1</v>
      </c>
      <c r="ZJ14">
        <v>1</v>
      </c>
      <c r="ZK14">
        <v>1</v>
      </c>
      <c r="ZL14">
        <v>1</v>
      </c>
      <c r="ZM14">
        <v>1</v>
      </c>
      <c r="ZN14">
        <v>1</v>
      </c>
      <c r="ZO14">
        <v>1</v>
      </c>
      <c r="ZP14">
        <v>1</v>
      </c>
      <c r="ZQ14">
        <v>1</v>
      </c>
      <c r="ZR14">
        <v>1</v>
      </c>
      <c r="ZS14">
        <v>1</v>
      </c>
      <c r="ZT14">
        <v>1</v>
      </c>
      <c r="ZU14">
        <v>1</v>
      </c>
      <c r="ZV14">
        <v>1</v>
      </c>
      <c r="ZW14">
        <v>1</v>
      </c>
      <c r="ZX14">
        <v>1</v>
      </c>
      <c r="ZY14">
        <v>1</v>
      </c>
      <c r="ZZ14">
        <v>1</v>
      </c>
      <c r="AAA14">
        <v>0</v>
      </c>
      <c r="AAB14">
        <v>0</v>
      </c>
      <c r="AAC14">
        <v>0</v>
      </c>
      <c r="AAD14">
        <v>0</v>
      </c>
      <c r="AAE14">
        <v>0</v>
      </c>
      <c r="AAF14">
        <v>0</v>
      </c>
      <c r="AAG14">
        <v>0</v>
      </c>
      <c r="AAH14">
        <v>0</v>
      </c>
      <c r="AAI14">
        <v>0</v>
      </c>
      <c r="AAJ14">
        <v>0</v>
      </c>
      <c r="AAK14">
        <v>0</v>
      </c>
      <c r="AAL14">
        <v>0</v>
      </c>
      <c r="AAM14">
        <v>0</v>
      </c>
      <c r="AAN14">
        <v>0</v>
      </c>
      <c r="AAO14">
        <v>0</v>
      </c>
      <c r="AAP14">
        <v>0</v>
      </c>
      <c r="AAQ14">
        <v>0</v>
      </c>
      <c r="AAR14">
        <v>0</v>
      </c>
      <c r="AAS14">
        <v>0</v>
      </c>
      <c r="AAT14">
        <v>0</v>
      </c>
      <c r="AAU14">
        <v>0</v>
      </c>
      <c r="AAV14">
        <v>0</v>
      </c>
      <c r="AAW14">
        <v>0</v>
      </c>
      <c r="AAX14">
        <v>0</v>
      </c>
      <c r="AAY14">
        <v>0</v>
      </c>
      <c r="AAZ14">
        <v>0</v>
      </c>
      <c r="ABA14">
        <v>0</v>
      </c>
      <c r="ABB14">
        <v>0</v>
      </c>
      <c r="ABC14">
        <v>0</v>
      </c>
      <c r="ABD14">
        <v>0</v>
      </c>
      <c r="ABE14">
        <v>0</v>
      </c>
      <c r="ABG14" s="1137">
        <f t="shared" si="5"/>
        <v>0</v>
      </c>
      <c r="ABH14" s="1137">
        <f t="shared" si="1"/>
        <v>0</v>
      </c>
      <c r="ABI14" s="1137">
        <f t="shared" si="1"/>
        <v>13</v>
      </c>
      <c r="ABJ14" s="1137">
        <f t="shared" si="1"/>
        <v>30</v>
      </c>
      <c r="ABK14" s="1137">
        <f t="shared" si="1"/>
        <v>31</v>
      </c>
      <c r="ABL14" s="1137">
        <f t="shared" si="1"/>
        <v>30</v>
      </c>
      <c r="ABM14" s="1137">
        <f t="shared" si="1"/>
        <v>31</v>
      </c>
      <c r="ABN14" s="1137">
        <f t="shared" si="1"/>
        <v>31</v>
      </c>
      <c r="ABO14" s="1137">
        <f t="shared" si="1"/>
        <v>30</v>
      </c>
      <c r="ABP14" s="1137">
        <f t="shared" si="1"/>
        <v>31</v>
      </c>
      <c r="ABQ14" s="1137">
        <f t="shared" si="1"/>
        <v>30</v>
      </c>
      <c r="ABR14" s="1137">
        <f t="shared" si="1"/>
        <v>31</v>
      </c>
      <c r="ABS14" s="1137">
        <f t="shared" si="1"/>
        <v>24</v>
      </c>
      <c r="ABT14" s="1137">
        <f t="shared" si="1"/>
        <v>0</v>
      </c>
      <c r="ABU14" s="1137">
        <f t="shared" si="1"/>
        <v>0</v>
      </c>
      <c r="ABV14" s="1137">
        <f t="shared" si="1"/>
        <v>0</v>
      </c>
      <c r="ABW14" s="1137">
        <f t="shared" si="1"/>
        <v>15</v>
      </c>
      <c r="ABX14" s="1137">
        <f t="shared" si="2"/>
        <v>28</v>
      </c>
      <c r="ABY14" s="1137">
        <f t="shared" si="2"/>
        <v>0</v>
      </c>
      <c r="ABZ14" s="1137">
        <f t="shared" si="2"/>
        <v>0</v>
      </c>
      <c r="ACA14" s="1137">
        <f t="shared" si="2"/>
        <v>0</v>
      </c>
      <c r="ACB14" s="1137">
        <f t="shared" si="2"/>
        <v>18</v>
      </c>
      <c r="ACC14" s="1137">
        <f t="shared" si="2"/>
        <v>24</v>
      </c>
      <c r="ACD14" s="1137">
        <f t="shared" si="2"/>
        <v>0</v>
      </c>
      <c r="ACE14" s="1137" t="s">
        <v>142</v>
      </c>
      <c r="ACF14" s="1137">
        <f t="shared" si="6"/>
        <v>0</v>
      </c>
      <c r="ACG14" s="1137">
        <f t="shared" si="3"/>
        <v>0</v>
      </c>
      <c r="ACH14" s="1137">
        <f t="shared" si="3"/>
        <v>1</v>
      </c>
      <c r="ACI14" s="1137">
        <f t="shared" si="3"/>
        <v>1</v>
      </c>
      <c r="ACJ14" s="1137">
        <f t="shared" si="3"/>
        <v>1</v>
      </c>
      <c r="ACK14" s="1137">
        <f t="shared" si="3"/>
        <v>1</v>
      </c>
      <c r="ACL14" s="1137">
        <f t="shared" si="3"/>
        <v>1</v>
      </c>
      <c r="ACM14" s="1137">
        <f t="shared" si="3"/>
        <v>1</v>
      </c>
      <c r="ACN14" s="1137">
        <f t="shared" si="3"/>
        <v>1</v>
      </c>
      <c r="ACO14" s="1137">
        <f t="shared" si="3"/>
        <v>1</v>
      </c>
      <c r="ACP14" s="1137">
        <f t="shared" si="3"/>
        <v>1</v>
      </c>
      <c r="ACQ14" s="1137">
        <f t="shared" si="3"/>
        <v>1</v>
      </c>
      <c r="ACR14" s="1137">
        <f t="shared" si="3"/>
        <v>1</v>
      </c>
      <c r="ACS14" s="1137">
        <f t="shared" si="3"/>
        <v>0</v>
      </c>
      <c r="ACT14" s="1137">
        <f t="shared" si="3"/>
        <v>0</v>
      </c>
      <c r="ACU14" s="1137">
        <f t="shared" si="3"/>
        <v>0</v>
      </c>
      <c r="ACV14" s="1137">
        <f t="shared" si="3"/>
        <v>1</v>
      </c>
      <c r="ACW14" s="1137">
        <f t="shared" si="4"/>
        <v>1</v>
      </c>
      <c r="ACX14" s="1137">
        <f t="shared" si="4"/>
        <v>0</v>
      </c>
      <c r="ACY14" s="1137">
        <f t="shared" si="4"/>
        <v>0</v>
      </c>
      <c r="ACZ14" s="1137">
        <f t="shared" si="4"/>
        <v>0</v>
      </c>
      <c r="ADA14" s="1137">
        <f t="shared" si="4"/>
        <v>1</v>
      </c>
      <c r="ADB14" s="1137">
        <f t="shared" si="4"/>
        <v>1</v>
      </c>
      <c r="ADC14" s="1137">
        <f t="shared" si="4"/>
        <v>0</v>
      </c>
    </row>
    <row r="15" spans="1:783" x14ac:dyDescent="0.25">
      <c r="A15" t="s">
        <v>1810</v>
      </c>
      <c r="B15" t="s">
        <v>17</v>
      </c>
      <c r="C15">
        <v>0</v>
      </c>
      <c r="D15">
        <v>0</v>
      </c>
      <c r="E15">
        <v>0</v>
      </c>
      <c r="F15">
        <v>0</v>
      </c>
      <c r="G15">
        <v>0</v>
      </c>
      <c r="H15">
        <v>0</v>
      </c>
      <c r="I15">
        <v>0</v>
      </c>
      <c r="J15">
        <v>0</v>
      </c>
      <c r="K15">
        <v>0</v>
      </c>
      <c r="L15">
        <v>0</v>
      </c>
      <c r="M15">
        <v>0</v>
      </c>
      <c r="N15">
        <v>0</v>
      </c>
      <c r="O15">
        <v>0</v>
      </c>
      <c r="P15">
        <v>0</v>
      </c>
      <c r="Q15">
        <v>0</v>
      </c>
      <c r="R15">
        <v>0</v>
      </c>
      <c r="S15">
        <v>0</v>
      </c>
      <c r="T15">
        <v>0</v>
      </c>
      <c r="U15">
        <v>0</v>
      </c>
      <c r="V15">
        <v>0</v>
      </c>
      <c r="W15">
        <v>0</v>
      </c>
      <c r="X15">
        <v>0</v>
      </c>
      <c r="Y15">
        <v>0</v>
      </c>
      <c r="Z15">
        <v>0</v>
      </c>
      <c r="AA15">
        <v>0</v>
      </c>
      <c r="AB15">
        <v>0</v>
      </c>
      <c r="AC15">
        <v>0</v>
      </c>
      <c r="AD15">
        <v>0</v>
      </c>
      <c r="AE15">
        <v>0</v>
      </c>
      <c r="AF15">
        <v>0</v>
      </c>
      <c r="AG15">
        <v>0</v>
      </c>
      <c r="AH15">
        <v>0</v>
      </c>
      <c r="AI15">
        <v>0</v>
      </c>
      <c r="AJ15">
        <v>0</v>
      </c>
      <c r="AK15">
        <v>0</v>
      </c>
      <c r="AL15">
        <v>0</v>
      </c>
      <c r="AM15">
        <v>0</v>
      </c>
      <c r="AN15">
        <v>0</v>
      </c>
      <c r="AO15">
        <v>0</v>
      </c>
      <c r="AP15">
        <v>0</v>
      </c>
      <c r="AQ15">
        <v>0</v>
      </c>
      <c r="AR15">
        <v>0</v>
      </c>
      <c r="AS15">
        <v>0</v>
      </c>
      <c r="AT15">
        <v>0</v>
      </c>
      <c r="AU15">
        <v>0</v>
      </c>
      <c r="AV15">
        <v>0</v>
      </c>
      <c r="AW15">
        <v>0</v>
      </c>
      <c r="AX15">
        <v>0</v>
      </c>
      <c r="AY15">
        <v>0</v>
      </c>
      <c r="AZ15">
        <v>0</v>
      </c>
      <c r="BA15">
        <v>0</v>
      </c>
      <c r="BB15">
        <v>0</v>
      </c>
      <c r="BC15">
        <v>0</v>
      </c>
      <c r="BD15">
        <v>0</v>
      </c>
      <c r="BE15">
        <v>0</v>
      </c>
      <c r="BF15">
        <v>0</v>
      </c>
      <c r="BG15">
        <v>0</v>
      </c>
      <c r="BH15">
        <v>0</v>
      </c>
      <c r="BI15">
        <v>0</v>
      </c>
      <c r="BJ15">
        <v>0</v>
      </c>
      <c r="BK15">
        <v>0</v>
      </c>
      <c r="BL15">
        <v>0</v>
      </c>
      <c r="BM15">
        <v>0</v>
      </c>
      <c r="BN15">
        <v>0</v>
      </c>
      <c r="BO15">
        <v>0</v>
      </c>
      <c r="BP15">
        <v>0</v>
      </c>
      <c r="BQ15">
        <v>0</v>
      </c>
      <c r="BR15">
        <v>0</v>
      </c>
      <c r="BS15">
        <v>0</v>
      </c>
      <c r="BT15">
        <v>0</v>
      </c>
      <c r="BU15">
        <v>0</v>
      </c>
      <c r="BV15">
        <v>0</v>
      </c>
      <c r="BW15">
        <v>0</v>
      </c>
      <c r="BX15">
        <v>0</v>
      </c>
      <c r="BY15">
        <v>0</v>
      </c>
      <c r="BZ15">
        <v>0</v>
      </c>
      <c r="CA15">
        <v>0</v>
      </c>
      <c r="CB15">
        <v>0</v>
      </c>
      <c r="CC15">
        <v>0</v>
      </c>
      <c r="CD15">
        <v>0</v>
      </c>
      <c r="CE15">
        <v>0</v>
      </c>
      <c r="CF15">
        <v>0</v>
      </c>
      <c r="CG15">
        <v>0</v>
      </c>
      <c r="CH15">
        <v>0</v>
      </c>
      <c r="CI15">
        <v>0</v>
      </c>
      <c r="CJ15">
        <v>0</v>
      </c>
      <c r="CK15">
        <v>0</v>
      </c>
      <c r="CL15">
        <v>0</v>
      </c>
      <c r="CM15">
        <v>0</v>
      </c>
      <c r="CN15">
        <v>0</v>
      </c>
      <c r="CO15">
        <v>0</v>
      </c>
      <c r="CP15">
        <v>0</v>
      </c>
      <c r="CQ15">
        <v>0</v>
      </c>
      <c r="CR15">
        <v>0</v>
      </c>
      <c r="CS15">
        <v>0</v>
      </c>
      <c r="CT15">
        <v>0</v>
      </c>
      <c r="CU15">
        <v>0</v>
      </c>
      <c r="CV15">
        <v>0</v>
      </c>
      <c r="CW15">
        <v>0</v>
      </c>
      <c r="CX15">
        <v>0</v>
      </c>
      <c r="CY15">
        <v>0</v>
      </c>
      <c r="CZ15">
        <v>0</v>
      </c>
      <c r="DA15">
        <v>0</v>
      </c>
      <c r="DB15">
        <v>0</v>
      </c>
      <c r="DC15">
        <v>0</v>
      </c>
      <c r="DD15">
        <v>0</v>
      </c>
      <c r="DE15">
        <v>0</v>
      </c>
      <c r="DF15">
        <v>0</v>
      </c>
      <c r="DG15">
        <v>0</v>
      </c>
      <c r="DH15">
        <v>0</v>
      </c>
      <c r="DI15">
        <v>0</v>
      </c>
      <c r="DJ15">
        <v>0</v>
      </c>
      <c r="DK15">
        <v>0</v>
      </c>
      <c r="DL15">
        <v>0</v>
      </c>
      <c r="DM15">
        <v>0</v>
      </c>
      <c r="DN15">
        <v>0</v>
      </c>
      <c r="DO15">
        <v>0</v>
      </c>
      <c r="DP15">
        <v>0</v>
      </c>
      <c r="DQ15">
        <v>0</v>
      </c>
      <c r="DR15">
        <v>0</v>
      </c>
      <c r="DS15">
        <v>0</v>
      </c>
      <c r="DT15">
        <v>0</v>
      </c>
      <c r="DU15">
        <v>0</v>
      </c>
      <c r="DV15">
        <v>0</v>
      </c>
      <c r="DW15">
        <v>0</v>
      </c>
      <c r="DX15">
        <v>0</v>
      </c>
      <c r="DY15">
        <v>0</v>
      </c>
      <c r="DZ15">
        <v>0</v>
      </c>
      <c r="EA15">
        <v>0</v>
      </c>
      <c r="EB15">
        <v>0</v>
      </c>
      <c r="EC15">
        <v>0</v>
      </c>
      <c r="ED15">
        <v>0</v>
      </c>
      <c r="EE15">
        <v>0</v>
      </c>
      <c r="EF15">
        <v>0</v>
      </c>
      <c r="EG15">
        <v>0</v>
      </c>
      <c r="EH15">
        <v>0</v>
      </c>
      <c r="EI15">
        <v>0</v>
      </c>
      <c r="EJ15">
        <v>0</v>
      </c>
      <c r="EK15">
        <v>0</v>
      </c>
      <c r="EL15">
        <v>0</v>
      </c>
      <c r="EM15">
        <v>0</v>
      </c>
      <c r="EN15">
        <v>0</v>
      </c>
      <c r="EO15">
        <v>0</v>
      </c>
      <c r="EP15">
        <v>0</v>
      </c>
      <c r="EQ15">
        <v>0</v>
      </c>
      <c r="ER15">
        <v>0</v>
      </c>
      <c r="ES15">
        <v>0</v>
      </c>
      <c r="ET15">
        <v>0</v>
      </c>
      <c r="EU15">
        <v>0</v>
      </c>
      <c r="EV15">
        <v>0</v>
      </c>
      <c r="EW15">
        <v>0</v>
      </c>
      <c r="EX15">
        <v>0</v>
      </c>
      <c r="EY15">
        <v>0</v>
      </c>
      <c r="EZ15">
        <v>0</v>
      </c>
      <c r="FA15">
        <v>0</v>
      </c>
      <c r="FB15">
        <v>0</v>
      </c>
      <c r="FC15">
        <v>0</v>
      </c>
      <c r="FD15">
        <v>0</v>
      </c>
      <c r="FE15">
        <v>0</v>
      </c>
      <c r="FF15">
        <v>0</v>
      </c>
      <c r="FG15">
        <v>0</v>
      </c>
      <c r="FH15">
        <v>0</v>
      </c>
      <c r="FI15">
        <v>0</v>
      </c>
      <c r="FJ15">
        <v>0</v>
      </c>
      <c r="FK15">
        <v>0</v>
      </c>
      <c r="FL15">
        <v>0</v>
      </c>
      <c r="FM15">
        <v>0</v>
      </c>
      <c r="FN15">
        <v>0</v>
      </c>
      <c r="FO15">
        <v>0</v>
      </c>
      <c r="FP15">
        <v>0</v>
      </c>
      <c r="FQ15">
        <v>0</v>
      </c>
      <c r="FR15">
        <v>0</v>
      </c>
      <c r="FS15">
        <v>0</v>
      </c>
      <c r="FT15">
        <v>0</v>
      </c>
      <c r="FU15">
        <v>0</v>
      </c>
      <c r="FV15">
        <v>0</v>
      </c>
      <c r="FW15">
        <v>0</v>
      </c>
      <c r="FX15">
        <v>0</v>
      </c>
      <c r="FY15">
        <v>0</v>
      </c>
      <c r="FZ15">
        <v>0</v>
      </c>
      <c r="GA15">
        <v>0</v>
      </c>
      <c r="GB15">
        <v>0</v>
      </c>
      <c r="GC15">
        <v>0</v>
      </c>
      <c r="GD15">
        <v>0</v>
      </c>
      <c r="GE15">
        <v>0</v>
      </c>
      <c r="GF15">
        <v>0</v>
      </c>
      <c r="GG15">
        <v>0</v>
      </c>
      <c r="GH15">
        <v>0</v>
      </c>
      <c r="GI15">
        <v>0</v>
      </c>
      <c r="GJ15">
        <v>0</v>
      </c>
      <c r="GK15">
        <v>0</v>
      </c>
      <c r="GL15">
        <v>0</v>
      </c>
      <c r="GM15">
        <v>0</v>
      </c>
      <c r="GN15">
        <v>0</v>
      </c>
      <c r="GO15">
        <v>0</v>
      </c>
      <c r="GP15">
        <v>0</v>
      </c>
      <c r="GQ15">
        <v>0</v>
      </c>
      <c r="GR15">
        <v>0</v>
      </c>
      <c r="GS15">
        <v>0</v>
      </c>
      <c r="GT15">
        <v>0</v>
      </c>
      <c r="GU15">
        <v>0</v>
      </c>
      <c r="GV15">
        <v>0</v>
      </c>
      <c r="GW15">
        <v>0</v>
      </c>
      <c r="GX15">
        <v>0</v>
      </c>
      <c r="GY15">
        <v>0</v>
      </c>
      <c r="GZ15">
        <v>0</v>
      </c>
      <c r="HA15">
        <v>0</v>
      </c>
      <c r="HB15">
        <v>0</v>
      </c>
      <c r="HC15">
        <v>0</v>
      </c>
      <c r="HD15">
        <v>0</v>
      </c>
      <c r="HE15">
        <v>0</v>
      </c>
      <c r="HF15">
        <v>0</v>
      </c>
      <c r="HG15">
        <v>0</v>
      </c>
      <c r="HH15">
        <v>0</v>
      </c>
      <c r="HI15">
        <v>0</v>
      </c>
      <c r="HJ15">
        <v>0</v>
      </c>
      <c r="HK15">
        <v>0</v>
      </c>
      <c r="HL15">
        <v>0</v>
      </c>
      <c r="HM15">
        <v>0</v>
      </c>
      <c r="HN15">
        <v>0</v>
      </c>
      <c r="HO15">
        <v>0</v>
      </c>
      <c r="HP15">
        <v>0</v>
      </c>
      <c r="HQ15">
        <v>0</v>
      </c>
      <c r="HR15">
        <v>0</v>
      </c>
      <c r="HS15">
        <v>0</v>
      </c>
      <c r="HT15">
        <v>0</v>
      </c>
      <c r="HU15">
        <v>0</v>
      </c>
      <c r="HV15">
        <v>0</v>
      </c>
      <c r="HW15">
        <v>0</v>
      </c>
      <c r="HX15">
        <v>0</v>
      </c>
      <c r="HY15">
        <v>0</v>
      </c>
      <c r="HZ15">
        <v>0</v>
      </c>
      <c r="IA15">
        <v>0</v>
      </c>
      <c r="IB15">
        <v>0</v>
      </c>
      <c r="IC15">
        <v>0</v>
      </c>
      <c r="ID15">
        <v>0</v>
      </c>
      <c r="IE15">
        <v>0</v>
      </c>
      <c r="IF15">
        <v>0</v>
      </c>
      <c r="IG15">
        <v>0</v>
      </c>
      <c r="IH15">
        <v>0</v>
      </c>
      <c r="II15">
        <v>0</v>
      </c>
      <c r="IJ15">
        <v>0</v>
      </c>
      <c r="IK15">
        <v>0</v>
      </c>
      <c r="IL15">
        <v>0</v>
      </c>
      <c r="IM15">
        <v>0</v>
      </c>
      <c r="IN15">
        <v>0</v>
      </c>
      <c r="IO15">
        <v>0</v>
      </c>
      <c r="IP15">
        <v>0</v>
      </c>
      <c r="IQ15">
        <v>0</v>
      </c>
      <c r="IR15">
        <v>0</v>
      </c>
      <c r="IS15">
        <v>0</v>
      </c>
      <c r="IT15">
        <v>0</v>
      </c>
      <c r="IU15">
        <v>0</v>
      </c>
      <c r="IV15">
        <v>0</v>
      </c>
      <c r="IW15">
        <v>0</v>
      </c>
      <c r="IX15">
        <v>0</v>
      </c>
      <c r="IY15">
        <v>0</v>
      </c>
      <c r="IZ15">
        <v>0</v>
      </c>
      <c r="JA15">
        <v>0</v>
      </c>
      <c r="JB15">
        <v>0</v>
      </c>
      <c r="JC15">
        <v>0</v>
      </c>
      <c r="JD15">
        <v>0</v>
      </c>
      <c r="JE15">
        <v>0</v>
      </c>
      <c r="JF15">
        <v>0</v>
      </c>
      <c r="JG15">
        <v>0</v>
      </c>
      <c r="JH15">
        <v>0</v>
      </c>
      <c r="JI15">
        <v>0</v>
      </c>
      <c r="JJ15">
        <v>0</v>
      </c>
      <c r="JK15">
        <v>0</v>
      </c>
      <c r="JL15">
        <v>0</v>
      </c>
      <c r="JM15">
        <v>0</v>
      </c>
      <c r="JN15">
        <v>0</v>
      </c>
      <c r="JO15">
        <v>0</v>
      </c>
      <c r="JP15">
        <v>0</v>
      </c>
      <c r="JQ15">
        <v>0</v>
      </c>
      <c r="JR15">
        <v>0</v>
      </c>
      <c r="JS15">
        <v>0</v>
      </c>
      <c r="JT15">
        <v>0</v>
      </c>
      <c r="JU15">
        <v>0</v>
      </c>
      <c r="JV15">
        <v>0</v>
      </c>
      <c r="JW15">
        <v>0</v>
      </c>
      <c r="JX15">
        <v>0</v>
      </c>
      <c r="JY15">
        <v>0</v>
      </c>
      <c r="JZ15">
        <v>0</v>
      </c>
      <c r="KA15">
        <v>0</v>
      </c>
      <c r="KB15">
        <v>0</v>
      </c>
      <c r="KC15">
        <v>0</v>
      </c>
      <c r="KD15">
        <v>0</v>
      </c>
      <c r="KE15">
        <v>0</v>
      </c>
      <c r="KF15">
        <v>0</v>
      </c>
      <c r="KG15">
        <v>0</v>
      </c>
      <c r="KH15">
        <v>0</v>
      </c>
      <c r="KI15">
        <v>0</v>
      </c>
      <c r="KJ15">
        <v>0</v>
      </c>
      <c r="KK15">
        <v>0</v>
      </c>
      <c r="KL15">
        <v>0</v>
      </c>
      <c r="KM15">
        <v>0</v>
      </c>
      <c r="KN15">
        <v>0</v>
      </c>
      <c r="KO15">
        <v>0</v>
      </c>
      <c r="KP15">
        <v>0</v>
      </c>
      <c r="KQ15">
        <v>0</v>
      </c>
      <c r="KR15">
        <v>0</v>
      </c>
      <c r="KS15">
        <v>0</v>
      </c>
      <c r="KT15">
        <v>0</v>
      </c>
      <c r="KU15">
        <v>0</v>
      </c>
      <c r="KV15">
        <v>0</v>
      </c>
      <c r="KW15">
        <v>0</v>
      </c>
      <c r="KX15">
        <v>0</v>
      </c>
      <c r="KY15">
        <v>0</v>
      </c>
      <c r="KZ15">
        <v>0</v>
      </c>
      <c r="LA15">
        <v>0</v>
      </c>
      <c r="LB15">
        <v>0</v>
      </c>
      <c r="LC15">
        <v>0</v>
      </c>
      <c r="LD15">
        <v>0</v>
      </c>
      <c r="LE15">
        <v>0</v>
      </c>
      <c r="LF15">
        <v>0</v>
      </c>
      <c r="LG15">
        <v>0</v>
      </c>
      <c r="LH15">
        <v>0</v>
      </c>
      <c r="LI15">
        <v>0</v>
      </c>
      <c r="LJ15">
        <v>0</v>
      </c>
      <c r="LK15">
        <v>0</v>
      </c>
      <c r="LL15">
        <v>0</v>
      </c>
      <c r="LM15">
        <v>0</v>
      </c>
      <c r="LN15">
        <v>0</v>
      </c>
      <c r="LO15">
        <v>0</v>
      </c>
      <c r="LP15">
        <v>0</v>
      </c>
      <c r="LQ15">
        <v>0</v>
      </c>
      <c r="LR15">
        <v>0</v>
      </c>
      <c r="LS15">
        <v>0</v>
      </c>
      <c r="LT15">
        <v>0</v>
      </c>
      <c r="LU15">
        <v>0</v>
      </c>
      <c r="LV15">
        <v>0</v>
      </c>
      <c r="LW15">
        <v>0</v>
      </c>
      <c r="LX15">
        <v>0</v>
      </c>
      <c r="LY15">
        <v>0</v>
      </c>
      <c r="LZ15">
        <v>0</v>
      </c>
      <c r="MA15">
        <v>0</v>
      </c>
      <c r="MB15">
        <v>0</v>
      </c>
      <c r="MC15">
        <v>0</v>
      </c>
      <c r="MD15">
        <v>0</v>
      </c>
      <c r="ME15">
        <v>0</v>
      </c>
      <c r="MF15">
        <v>0</v>
      </c>
      <c r="MG15">
        <v>0</v>
      </c>
      <c r="MH15">
        <v>0</v>
      </c>
      <c r="MI15">
        <v>0</v>
      </c>
      <c r="MJ15">
        <v>0</v>
      </c>
      <c r="MK15">
        <v>0</v>
      </c>
      <c r="ML15">
        <v>0</v>
      </c>
      <c r="MM15">
        <v>0</v>
      </c>
      <c r="MN15">
        <v>0</v>
      </c>
      <c r="MO15">
        <v>0</v>
      </c>
      <c r="MP15">
        <v>0</v>
      </c>
      <c r="MQ15">
        <v>0</v>
      </c>
      <c r="MR15">
        <v>0</v>
      </c>
      <c r="MS15">
        <v>0</v>
      </c>
      <c r="MT15">
        <v>0</v>
      </c>
      <c r="MU15">
        <v>0</v>
      </c>
      <c r="MV15">
        <v>0</v>
      </c>
      <c r="MW15">
        <v>0</v>
      </c>
      <c r="MX15">
        <v>0</v>
      </c>
      <c r="MY15">
        <v>0</v>
      </c>
      <c r="MZ15">
        <v>0</v>
      </c>
      <c r="NA15">
        <v>0</v>
      </c>
      <c r="NB15">
        <v>0</v>
      </c>
      <c r="NC15">
        <v>0</v>
      </c>
      <c r="ND15">
        <v>0</v>
      </c>
      <c r="NE15">
        <v>0</v>
      </c>
      <c r="NF15">
        <v>0</v>
      </c>
      <c r="NG15">
        <v>0</v>
      </c>
      <c r="NH15">
        <v>0</v>
      </c>
      <c r="NI15">
        <v>0</v>
      </c>
      <c r="NJ15">
        <v>0</v>
      </c>
      <c r="NK15">
        <v>0</v>
      </c>
      <c r="NL15">
        <v>0</v>
      </c>
      <c r="NM15">
        <v>0</v>
      </c>
      <c r="NN15">
        <v>0</v>
      </c>
      <c r="NO15">
        <v>0</v>
      </c>
      <c r="NP15">
        <v>0</v>
      </c>
      <c r="NQ15">
        <v>0</v>
      </c>
      <c r="NR15">
        <v>0</v>
      </c>
      <c r="NS15">
        <v>0</v>
      </c>
      <c r="NT15">
        <v>0</v>
      </c>
      <c r="NU15">
        <v>0</v>
      </c>
      <c r="NV15">
        <v>0</v>
      </c>
      <c r="NW15">
        <v>0</v>
      </c>
      <c r="NX15">
        <v>0</v>
      </c>
      <c r="NY15">
        <v>0</v>
      </c>
      <c r="NZ15">
        <v>0</v>
      </c>
      <c r="OA15">
        <v>0</v>
      </c>
      <c r="OB15">
        <v>0</v>
      </c>
      <c r="OC15">
        <v>0</v>
      </c>
      <c r="OD15">
        <v>0</v>
      </c>
      <c r="OE15">
        <v>0</v>
      </c>
      <c r="OF15">
        <v>0</v>
      </c>
      <c r="OG15">
        <v>0</v>
      </c>
      <c r="OH15">
        <v>0</v>
      </c>
      <c r="OI15">
        <v>0</v>
      </c>
      <c r="OJ15">
        <v>0</v>
      </c>
      <c r="OK15">
        <v>0</v>
      </c>
      <c r="OL15">
        <v>0</v>
      </c>
      <c r="OM15">
        <v>0</v>
      </c>
      <c r="ON15">
        <v>0</v>
      </c>
      <c r="OO15">
        <v>0</v>
      </c>
      <c r="OP15">
        <v>0</v>
      </c>
      <c r="OQ15">
        <v>0</v>
      </c>
      <c r="OR15">
        <v>0</v>
      </c>
      <c r="OS15">
        <v>0</v>
      </c>
      <c r="OT15">
        <v>0</v>
      </c>
      <c r="OU15">
        <v>0</v>
      </c>
      <c r="OV15">
        <v>0</v>
      </c>
      <c r="OW15">
        <v>0</v>
      </c>
      <c r="OX15">
        <v>0</v>
      </c>
      <c r="OY15">
        <v>0</v>
      </c>
      <c r="OZ15">
        <v>0</v>
      </c>
      <c r="PA15">
        <v>0</v>
      </c>
      <c r="PB15">
        <v>0</v>
      </c>
      <c r="PC15">
        <v>0</v>
      </c>
      <c r="PD15">
        <v>0</v>
      </c>
      <c r="PE15">
        <v>0</v>
      </c>
      <c r="PF15">
        <v>0</v>
      </c>
      <c r="PG15">
        <v>0</v>
      </c>
      <c r="PH15">
        <v>0</v>
      </c>
      <c r="PI15">
        <v>0</v>
      </c>
      <c r="PJ15">
        <v>0</v>
      </c>
      <c r="PK15">
        <v>0</v>
      </c>
      <c r="PL15">
        <v>0</v>
      </c>
      <c r="PM15">
        <v>0</v>
      </c>
      <c r="PN15">
        <v>0</v>
      </c>
      <c r="PO15">
        <v>0</v>
      </c>
      <c r="PP15">
        <v>0</v>
      </c>
      <c r="PQ15">
        <v>0</v>
      </c>
      <c r="PR15">
        <v>0</v>
      </c>
      <c r="PS15">
        <v>0</v>
      </c>
      <c r="PT15">
        <v>0</v>
      </c>
      <c r="PU15">
        <v>0</v>
      </c>
      <c r="PV15">
        <v>0</v>
      </c>
      <c r="PW15">
        <v>0</v>
      </c>
      <c r="PX15">
        <v>0</v>
      </c>
      <c r="PY15">
        <v>0</v>
      </c>
      <c r="PZ15">
        <v>0</v>
      </c>
      <c r="QA15">
        <v>0</v>
      </c>
      <c r="QB15">
        <v>0</v>
      </c>
      <c r="QC15">
        <v>0</v>
      </c>
      <c r="QD15">
        <v>0</v>
      </c>
      <c r="QE15">
        <v>0</v>
      </c>
      <c r="QF15">
        <v>0</v>
      </c>
      <c r="QG15">
        <v>0</v>
      </c>
      <c r="QH15">
        <v>0</v>
      </c>
      <c r="QI15">
        <v>0</v>
      </c>
      <c r="QJ15">
        <v>0</v>
      </c>
      <c r="QK15">
        <v>0</v>
      </c>
      <c r="QL15">
        <v>0</v>
      </c>
      <c r="QM15">
        <v>0</v>
      </c>
      <c r="QN15">
        <v>0</v>
      </c>
      <c r="QO15">
        <v>0</v>
      </c>
      <c r="QP15">
        <v>0</v>
      </c>
      <c r="QQ15">
        <v>0</v>
      </c>
      <c r="QR15">
        <v>0</v>
      </c>
      <c r="QS15">
        <v>0</v>
      </c>
      <c r="QT15">
        <v>0</v>
      </c>
      <c r="QU15">
        <v>0</v>
      </c>
      <c r="QV15">
        <v>0</v>
      </c>
      <c r="QW15">
        <v>0</v>
      </c>
      <c r="QX15">
        <v>0</v>
      </c>
      <c r="QY15">
        <v>0</v>
      </c>
      <c r="QZ15">
        <v>0</v>
      </c>
      <c r="RA15">
        <v>0</v>
      </c>
      <c r="RB15">
        <v>0</v>
      </c>
      <c r="RC15">
        <v>0</v>
      </c>
      <c r="RD15">
        <v>0</v>
      </c>
      <c r="RE15">
        <v>0</v>
      </c>
      <c r="RF15">
        <v>0</v>
      </c>
      <c r="RG15">
        <v>0</v>
      </c>
      <c r="RH15">
        <v>0</v>
      </c>
      <c r="RI15">
        <v>0</v>
      </c>
      <c r="RJ15">
        <v>0</v>
      </c>
      <c r="RK15">
        <v>0</v>
      </c>
      <c r="RL15">
        <v>0</v>
      </c>
      <c r="RM15">
        <v>0</v>
      </c>
      <c r="RN15">
        <v>0</v>
      </c>
      <c r="RO15">
        <v>0</v>
      </c>
      <c r="RP15">
        <v>0</v>
      </c>
      <c r="RQ15">
        <v>0</v>
      </c>
      <c r="RR15">
        <v>0</v>
      </c>
      <c r="RS15">
        <v>0</v>
      </c>
      <c r="RT15">
        <v>0</v>
      </c>
      <c r="RU15">
        <v>0</v>
      </c>
      <c r="RV15">
        <v>0</v>
      </c>
      <c r="RW15">
        <v>0</v>
      </c>
      <c r="RX15">
        <v>0</v>
      </c>
      <c r="RY15">
        <v>0</v>
      </c>
      <c r="RZ15">
        <v>0</v>
      </c>
      <c r="SA15">
        <v>0</v>
      </c>
      <c r="SB15">
        <v>0</v>
      </c>
      <c r="SC15">
        <v>0</v>
      </c>
      <c r="SD15">
        <v>0</v>
      </c>
      <c r="SE15">
        <v>0</v>
      </c>
      <c r="SF15">
        <v>0</v>
      </c>
      <c r="SG15">
        <v>0</v>
      </c>
      <c r="SH15">
        <v>0</v>
      </c>
      <c r="SI15">
        <v>0</v>
      </c>
      <c r="SJ15">
        <v>0</v>
      </c>
      <c r="SK15">
        <v>0</v>
      </c>
      <c r="SL15">
        <v>0</v>
      </c>
      <c r="SM15">
        <v>0</v>
      </c>
      <c r="SN15">
        <v>0</v>
      </c>
      <c r="SO15">
        <v>0</v>
      </c>
      <c r="SP15">
        <v>0</v>
      </c>
      <c r="SQ15">
        <v>0</v>
      </c>
      <c r="SR15">
        <v>0</v>
      </c>
      <c r="SS15">
        <v>0</v>
      </c>
      <c r="ST15">
        <v>0</v>
      </c>
      <c r="SU15">
        <v>0</v>
      </c>
      <c r="SV15">
        <v>0</v>
      </c>
      <c r="SW15">
        <v>0</v>
      </c>
      <c r="SX15">
        <v>0</v>
      </c>
      <c r="SY15">
        <v>0</v>
      </c>
      <c r="SZ15">
        <v>0</v>
      </c>
      <c r="TA15">
        <v>0</v>
      </c>
      <c r="TB15">
        <v>0</v>
      </c>
      <c r="TC15">
        <v>0</v>
      </c>
      <c r="TD15">
        <v>0</v>
      </c>
      <c r="TE15">
        <v>0</v>
      </c>
      <c r="TF15">
        <v>0</v>
      </c>
      <c r="TG15">
        <v>0</v>
      </c>
      <c r="TH15">
        <v>0</v>
      </c>
      <c r="TI15">
        <v>0</v>
      </c>
      <c r="TJ15">
        <v>0</v>
      </c>
      <c r="TK15">
        <v>0</v>
      </c>
      <c r="TL15">
        <v>0</v>
      </c>
      <c r="TM15">
        <v>0</v>
      </c>
      <c r="TN15">
        <v>0</v>
      </c>
      <c r="TO15">
        <v>0</v>
      </c>
      <c r="TP15">
        <v>0</v>
      </c>
      <c r="TQ15">
        <v>0</v>
      </c>
      <c r="TR15">
        <v>0</v>
      </c>
      <c r="TS15">
        <v>0</v>
      </c>
      <c r="TT15">
        <v>0</v>
      </c>
      <c r="TU15">
        <v>0</v>
      </c>
      <c r="TV15">
        <v>0</v>
      </c>
      <c r="TW15">
        <v>0</v>
      </c>
      <c r="TX15">
        <v>0</v>
      </c>
      <c r="TY15">
        <v>0</v>
      </c>
      <c r="TZ15">
        <v>0</v>
      </c>
      <c r="UA15">
        <v>0</v>
      </c>
      <c r="UB15">
        <v>0</v>
      </c>
      <c r="UC15">
        <v>0</v>
      </c>
      <c r="UD15">
        <v>0</v>
      </c>
      <c r="UE15">
        <v>0</v>
      </c>
      <c r="UF15">
        <v>0</v>
      </c>
      <c r="UG15">
        <v>0</v>
      </c>
      <c r="UH15">
        <v>0</v>
      </c>
      <c r="UI15">
        <v>0</v>
      </c>
      <c r="UJ15">
        <v>0</v>
      </c>
      <c r="UK15">
        <v>0</v>
      </c>
      <c r="UL15">
        <v>0</v>
      </c>
      <c r="UM15">
        <v>0</v>
      </c>
      <c r="UN15">
        <v>0</v>
      </c>
      <c r="UO15">
        <v>0</v>
      </c>
      <c r="UP15">
        <v>0</v>
      </c>
      <c r="UQ15">
        <v>0</v>
      </c>
      <c r="UR15">
        <v>0</v>
      </c>
      <c r="US15">
        <v>0</v>
      </c>
      <c r="UT15">
        <v>0</v>
      </c>
      <c r="UU15">
        <v>0</v>
      </c>
      <c r="UV15">
        <v>0</v>
      </c>
      <c r="UW15">
        <v>0</v>
      </c>
      <c r="UX15">
        <v>0</v>
      </c>
      <c r="UY15">
        <v>0</v>
      </c>
      <c r="UZ15">
        <v>0</v>
      </c>
      <c r="VA15">
        <v>0</v>
      </c>
      <c r="VB15">
        <v>0</v>
      </c>
      <c r="VC15">
        <v>0</v>
      </c>
      <c r="VD15">
        <v>0</v>
      </c>
      <c r="VE15">
        <v>0</v>
      </c>
      <c r="VF15">
        <v>0</v>
      </c>
      <c r="VG15">
        <v>0</v>
      </c>
      <c r="VH15">
        <v>0</v>
      </c>
      <c r="VI15">
        <v>0</v>
      </c>
      <c r="VJ15">
        <v>0</v>
      </c>
      <c r="VK15">
        <v>0</v>
      </c>
      <c r="VL15">
        <v>0</v>
      </c>
      <c r="VM15">
        <v>0</v>
      </c>
      <c r="VN15">
        <v>0</v>
      </c>
      <c r="VO15">
        <v>0</v>
      </c>
      <c r="VP15">
        <v>0</v>
      </c>
      <c r="VQ15">
        <v>0</v>
      </c>
      <c r="VR15">
        <v>0</v>
      </c>
      <c r="VS15">
        <v>0</v>
      </c>
      <c r="VT15">
        <v>0</v>
      </c>
      <c r="VU15">
        <v>0</v>
      </c>
      <c r="VV15">
        <v>0</v>
      </c>
      <c r="VW15">
        <v>0</v>
      </c>
      <c r="VX15">
        <v>0</v>
      </c>
      <c r="VY15">
        <v>0</v>
      </c>
      <c r="VZ15">
        <v>0</v>
      </c>
      <c r="WA15">
        <v>0</v>
      </c>
      <c r="WB15">
        <v>0</v>
      </c>
      <c r="WC15">
        <v>0</v>
      </c>
      <c r="WD15">
        <v>0</v>
      </c>
      <c r="WE15">
        <v>0</v>
      </c>
      <c r="WF15">
        <v>0</v>
      </c>
      <c r="WG15">
        <v>0</v>
      </c>
      <c r="WH15">
        <v>0</v>
      </c>
      <c r="WI15">
        <v>0</v>
      </c>
      <c r="WJ15">
        <v>0</v>
      </c>
      <c r="WK15">
        <v>0</v>
      </c>
      <c r="WL15">
        <v>0</v>
      </c>
      <c r="WM15">
        <v>0</v>
      </c>
      <c r="WN15">
        <v>0</v>
      </c>
      <c r="WO15">
        <v>0</v>
      </c>
      <c r="WP15">
        <v>0</v>
      </c>
      <c r="WQ15">
        <v>0</v>
      </c>
      <c r="WR15">
        <v>0</v>
      </c>
      <c r="WS15">
        <v>0</v>
      </c>
      <c r="WT15">
        <v>0</v>
      </c>
      <c r="WU15">
        <v>0</v>
      </c>
      <c r="WV15">
        <v>0</v>
      </c>
      <c r="WW15">
        <v>0</v>
      </c>
      <c r="WX15">
        <v>0</v>
      </c>
      <c r="WY15">
        <v>0</v>
      </c>
      <c r="WZ15">
        <v>0</v>
      </c>
      <c r="XA15">
        <v>0</v>
      </c>
      <c r="XB15">
        <v>0</v>
      </c>
      <c r="XC15">
        <v>0</v>
      </c>
      <c r="XD15">
        <v>0</v>
      </c>
      <c r="XE15">
        <v>0</v>
      </c>
      <c r="XF15">
        <v>0</v>
      </c>
      <c r="XG15">
        <v>0</v>
      </c>
      <c r="XH15">
        <v>0</v>
      </c>
      <c r="XI15">
        <v>0</v>
      </c>
      <c r="XJ15">
        <v>0</v>
      </c>
      <c r="XK15">
        <v>0</v>
      </c>
      <c r="XL15">
        <v>0</v>
      </c>
      <c r="XM15">
        <v>0</v>
      </c>
      <c r="XN15">
        <v>0</v>
      </c>
      <c r="XO15">
        <v>0</v>
      </c>
      <c r="XP15">
        <v>0</v>
      </c>
      <c r="XQ15">
        <v>0</v>
      </c>
      <c r="XR15">
        <v>0</v>
      </c>
      <c r="XS15">
        <v>0</v>
      </c>
      <c r="XT15">
        <v>0</v>
      </c>
      <c r="XU15">
        <v>0</v>
      </c>
      <c r="XV15">
        <v>0</v>
      </c>
      <c r="XW15">
        <v>0</v>
      </c>
      <c r="XX15">
        <v>0</v>
      </c>
      <c r="XY15">
        <v>0</v>
      </c>
      <c r="XZ15">
        <v>0</v>
      </c>
      <c r="YA15">
        <v>0</v>
      </c>
      <c r="YB15">
        <v>0</v>
      </c>
      <c r="YC15">
        <v>0</v>
      </c>
      <c r="YD15">
        <v>0</v>
      </c>
      <c r="YE15">
        <v>0</v>
      </c>
      <c r="YF15">
        <v>0</v>
      </c>
      <c r="YG15">
        <v>0</v>
      </c>
      <c r="YH15">
        <v>0</v>
      </c>
      <c r="YI15">
        <v>0</v>
      </c>
      <c r="YJ15">
        <v>0</v>
      </c>
      <c r="YK15">
        <v>0</v>
      </c>
      <c r="YL15">
        <v>0</v>
      </c>
      <c r="YM15">
        <v>0</v>
      </c>
      <c r="YN15">
        <v>0</v>
      </c>
      <c r="YO15">
        <v>0</v>
      </c>
      <c r="YP15">
        <v>0</v>
      </c>
      <c r="YQ15">
        <v>0</v>
      </c>
      <c r="YR15">
        <v>0</v>
      </c>
      <c r="YS15">
        <v>0</v>
      </c>
      <c r="YT15">
        <v>0</v>
      </c>
      <c r="YU15">
        <v>0</v>
      </c>
      <c r="YV15">
        <v>0</v>
      </c>
      <c r="YW15">
        <v>0</v>
      </c>
      <c r="YX15">
        <v>0</v>
      </c>
      <c r="YY15">
        <v>0</v>
      </c>
      <c r="YZ15">
        <v>0</v>
      </c>
      <c r="ZA15">
        <v>0</v>
      </c>
      <c r="ZB15">
        <v>0</v>
      </c>
      <c r="ZC15">
        <v>0</v>
      </c>
      <c r="ZD15">
        <v>0</v>
      </c>
      <c r="ZE15">
        <v>0</v>
      </c>
      <c r="ZF15">
        <v>0</v>
      </c>
      <c r="ZG15">
        <v>0</v>
      </c>
      <c r="ZH15">
        <v>0</v>
      </c>
      <c r="ZI15">
        <v>0</v>
      </c>
      <c r="ZJ15">
        <v>0</v>
      </c>
      <c r="ZK15">
        <v>0</v>
      </c>
      <c r="ZL15">
        <v>0</v>
      </c>
      <c r="ZM15">
        <v>0</v>
      </c>
      <c r="ZN15">
        <v>0</v>
      </c>
      <c r="ZO15">
        <v>0</v>
      </c>
      <c r="ZP15">
        <v>0</v>
      </c>
      <c r="ZQ15">
        <v>0</v>
      </c>
      <c r="ZR15">
        <v>0</v>
      </c>
      <c r="ZS15">
        <v>0</v>
      </c>
      <c r="ZT15">
        <v>0</v>
      </c>
      <c r="ZU15">
        <v>0</v>
      </c>
      <c r="ZV15">
        <v>0</v>
      </c>
      <c r="ZW15">
        <v>0</v>
      </c>
      <c r="ZX15">
        <v>0</v>
      </c>
      <c r="ZY15">
        <v>0</v>
      </c>
      <c r="ZZ15">
        <v>0</v>
      </c>
      <c r="AAA15">
        <v>0</v>
      </c>
      <c r="AAB15">
        <v>0</v>
      </c>
      <c r="AAC15">
        <v>0</v>
      </c>
      <c r="AAD15">
        <v>0</v>
      </c>
      <c r="AAE15">
        <v>0</v>
      </c>
      <c r="AAF15">
        <v>0</v>
      </c>
      <c r="AAG15">
        <v>1</v>
      </c>
      <c r="AAH15">
        <v>1</v>
      </c>
      <c r="AAI15">
        <v>1</v>
      </c>
      <c r="AAJ15">
        <v>1</v>
      </c>
      <c r="AAK15">
        <v>1</v>
      </c>
      <c r="AAL15">
        <v>1</v>
      </c>
      <c r="AAM15">
        <v>1</v>
      </c>
      <c r="AAN15">
        <v>1</v>
      </c>
      <c r="AAO15">
        <v>1</v>
      </c>
      <c r="AAP15">
        <v>1</v>
      </c>
      <c r="AAQ15">
        <v>1</v>
      </c>
      <c r="AAR15">
        <v>1</v>
      </c>
      <c r="AAS15">
        <v>1</v>
      </c>
      <c r="AAT15">
        <v>1</v>
      </c>
      <c r="AAU15">
        <v>1</v>
      </c>
      <c r="AAV15">
        <v>1</v>
      </c>
      <c r="AAW15">
        <v>1</v>
      </c>
      <c r="AAX15">
        <v>1</v>
      </c>
      <c r="AAY15">
        <v>1</v>
      </c>
      <c r="AAZ15">
        <v>1</v>
      </c>
      <c r="ABA15">
        <v>1</v>
      </c>
      <c r="ABB15">
        <v>1</v>
      </c>
      <c r="ABC15">
        <v>1</v>
      </c>
      <c r="ABD15">
        <v>1</v>
      </c>
      <c r="ABE15">
        <v>1</v>
      </c>
      <c r="ABG15" s="1137">
        <f t="shared" si="5"/>
        <v>0</v>
      </c>
      <c r="ABH15" s="1137">
        <f t="shared" si="1"/>
        <v>0</v>
      </c>
      <c r="ABI15" s="1137">
        <f t="shared" si="1"/>
        <v>0</v>
      </c>
      <c r="ABJ15" s="1137">
        <f t="shared" si="1"/>
        <v>0</v>
      </c>
      <c r="ABK15" s="1137">
        <f t="shared" si="1"/>
        <v>0</v>
      </c>
      <c r="ABL15" s="1137">
        <f t="shared" si="1"/>
        <v>0</v>
      </c>
      <c r="ABM15" s="1137">
        <f t="shared" si="1"/>
        <v>0</v>
      </c>
      <c r="ABN15" s="1137">
        <f t="shared" si="1"/>
        <v>0</v>
      </c>
      <c r="ABO15" s="1137">
        <f t="shared" si="1"/>
        <v>0</v>
      </c>
      <c r="ABP15" s="1137">
        <f t="shared" si="1"/>
        <v>0</v>
      </c>
      <c r="ABQ15" s="1137">
        <f t="shared" si="1"/>
        <v>0</v>
      </c>
      <c r="ABR15" s="1137">
        <f t="shared" si="1"/>
        <v>0</v>
      </c>
      <c r="ABS15" s="1137">
        <f t="shared" si="1"/>
        <v>0</v>
      </c>
      <c r="ABT15" s="1137">
        <f t="shared" si="1"/>
        <v>0</v>
      </c>
      <c r="ABU15" s="1137">
        <f t="shared" si="1"/>
        <v>0</v>
      </c>
      <c r="ABV15" s="1137">
        <f t="shared" si="1"/>
        <v>0</v>
      </c>
      <c r="ABW15" s="1137">
        <f t="shared" si="1"/>
        <v>0</v>
      </c>
      <c r="ABX15" s="1137">
        <f t="shared" si="2"/>
        <v>0</v>
      </c>
      <c r="ABY15" s="1137">
        <f t="shared" si="2"/>
        <v>0</v>
      </c>
      <c r="ABZ15" s="1137">
        <f t="shared" si="2"/>
        <v>0</v>
      </c>
      <c r="ACA15" s="1137">
        <f t="shared" si="2"/>
        <v>0</v>
      </c>
      <c r="ACB15" s="1137">
        <f t="shared" si="2"/>
        <v>0</v>
      </c>
      <c r="ACC15" s="1137">
        <f t="shared" si="2"/>
        <v>0</v>
      </c>
      <c r="ACD15" s="1137">
        <f t="shared" si="2"/>
        <v>25</v>
      </c>
      <c r="ACE15" s="1137" t="s">
        <v>17</v>
      </c>
      <c r="ACF15" s="1137">
        <f t="shared" si="6"/>
        <v>0</v>
      </c>
      <c r="ACG15" s="1137">
        <f t="shared" si="3"/>
        <v>0</v>
      </c>
      <c r="ACH15" s="1137">
        <f t="shared" si="3"/>
        <v>0</v>
      </c>
      <c r="ACI15" s="1137">
        <f t="shared" si="3"/>
        <v>0</v>
      </c>
      <c r="ACJ15" s="1137">
        <f t="shared" si="3"/>
        <v>0</v>
      </c>
      <c r="ACK15" s="1137">
        <f t="shared" si="3"/>
        <v>0</v>
      </c>
      <c r="ACL15" s="1137">
        <f t="shared" si="3"/>
        <v>0</v>
      </c>
      <c r="ACM15" s="1137">
        <f t="shared" si="3"/>
        <v>0</v>
      </c>
      <c r="ACN15" s="1137">
        <f t="shared" si="3"/>
        <v>0</v>
      </c>
      <c r="ACO15" s="1137">
        <f t="shared" si="3"/>
        <v>0</v>
      </c>
      <c r="ACP15" s="1137">
        <f t="shared" si="3"/>
        <v>0</v>
      </c>
      <c r="ACQ15" s="1137">
        <f t="shared" si="3"/>
        <v>0</v>
      </c>
      <c r="ACR15" s="1137">
        <f t="shared" si="3"/>
        <v>0</v>
      </c>
      <c r="ACS15" s="1137">
        <f t="shared" si="3"/>
        <v>0</v>
      </c>
      <c r="ACT15" s="1137">
        <f t="shared" si="3"/>
        <v>0</v>
      </c>
      <c r="ACU15" s="1137">
        <f t="shared" si="3"/>
        <v>0</v>
      </c>
      <c r="ACV15" s="1137">
        <f t="shared" si="3"/>
        <v>0</v>
      </c>
      <c r="ACW15" s="1137">
        <f t="shared" si="4"/>
        <v>0</v>
      </c>
      <c r="ACX15" s="1137">
        <f t="shared" si="4"/>
        <v>0</v>
      </c>
      <c r="ACY15" s="1137">
        <f t="shared" si="4"/>
        <v>0</v>
      </c>
      <c r="ACZ15" s="1137">
        <f t="shared" si="4"/>
        <v>0</v>
      </c>
      <c r="ADA15" s="1137">
        <f t="shared" si="4"/>
        <v>0</v>
      </c>
      <c r="ADB15" s="1137">
        <f t="shared" si="4"/>
        <v>0</v>
      </c>
      <c r="ADC15" s="1137">
        <f t="shared" si="4"/>
        <v>1</v>
      </c>
    </row>
    <row r="16" spans="1:783" x14ac:dyDescent="0.25">
      <c r="A16" t="s">
        <v>1811</v>
      </c>
      <c r="B16" t="s">
        <v>147</v>
      </c>
      <c r="C16">
        <v>0</v>
      </c>
      <c r="D16">
        <v>0</v>
      </c>
      <c r="E16">
        <v>0</v>
      </c>
      <c r="F16">
        <v>0</v>
      </c>
      <c r="G16">
        <v>0</v>
      </c>
      <c r="H16">
        <v>0</v>
      </c>
      <c r="I16">
        <v>0</v>
      </c>
      <c r="J16">
        <v>0</v>
      </c>
      <c r="K16">
        <v>0</v>
      </c>
      <c r="L16">
        <v>0</v>
      </c>
      <c r="M16">
        <v>0</v>
      </c>
      <c r="N16">
        <v>0</v>
      </c>
      <c r="O16">
        <v>0</v>
      </c>
      <c r="P16">
        <v>0</v>
      </c>
      <c r="Q16">
        <v>0</v>
      </c>
      <c r="R16">
        <v>0</v>
      </c>
      <c r="S16">
        <v>0</v>
      </c>
      <c r="T16">
        <v>0</v>
      </c>
      <c r="U16">
        <v>0</v>
      </c>
      <c r="V16">
        <v>0</v>
      </c>
      <c r="W16">
        <v>0</v>
      </c>
      <c r="X16">
        <v>0</v>
      </c>
      <c r="Y16">
        <v>0</v>
      </c>
      <c r="Z16">
        <v>0</v>
      </c>
      <c r="AA16">
        <v>0</v>
      </c>
      <c r="AB16">
        <v>0</v>
      </c>
      <c r="AC16">
        <v>0</v>
      </c>
      <c r="AD16">
        <v>0</v>
      </c>
      <c r="AE16">
        <v>0</v>
      </c>
      <c r="AF16">
        <v>0</v>
      </c>
      <c r="AG16">
        <v>0</v>
      </c>
      <c r="AH16">
        <v>0</v>
      </c>
      <c r="AI16">
        <v>0</v>
      </c>
      <c r="AJ16">
        <v>0</v>
      </c>
      <c r="AK16">
        <v>0</v>
      </c>
      <c r="AL16">
        <v>0</v>
      </c>
      <c r="AM16">
        <v>0</v>
      </c>
      <c r="AN16">
        <v>0</v>
      </c>
      <c r="AO16">
        <v>0</v>
      </c>
      <c r="AP16">
        <v>0</v>
      </c>
      <c r="AQ16">
        <v>0</v>
      </c>
      <c r="AR16">
        <v>0</v>
      </c>
      <c r="AS16">
        <v>0</v>
      </c>
      <c r="AT16">
        <v>0</v>
      </c>
      <c r="AU16">
        <v>0</v>
      </c>
      <c r="AV16">
        <v>0</v>
      </c>
      <c r="AW16">
        <v>0</v>
      </c>
      <c r="AX16">
        <v>0</v>
      </c>
      <c r="AY16">
        <v>0</v>
      </c>
      <c r="AZ16">
        <v>0</v>
      </c>
      <c r="BA16">
        <v>0</v>
      </c>
      <c r="BB16">
        <v>0</v>
      </c>
      <c r="BC16">
        <v>0</v>
      </c>
      <c r="BD16">
        <v>0</v>
      </c>
      <c r="BE16">
        <v>0</v>
      </c>
      <c r="BF16">
        <v>0</v>
      </c>
      <c r="BG16">
        <v>0</v>
      </c>
      <c r="BH16">
        <v>0</v>
      </c>
      <c r="BI16">
        <v>0</v>
      </c>
      <c r="BJ16">
        <v>0</v>
      </c>
      <c r="BK16">
        <v>0</v>
      </c>
      <c r="BL16">
        <v>0</v>
      </c>
      <c r="BM16">
        <v>0</v>
      </c>
      <c r="BN16">
        <v>0</v>
      </c>
      <c r="BO16">
        <v>0</v>
      </c>
      <c r="BP16">
        <v>0</v>
      </c>
      <c r="BQ16">
        <v>0</v>
      </c>
      <c r="BR16">
        <v>0</v>
      </c>
      <c r="BS16">
        <v>0</v>
      </c>
      <c r="BT16">
        <v>0</v>
      </c>
      <c r="BU16">
        <v>0</v>
      </c>
      <c r="BV16">
        <v>0</v>
      </c>
      <c r="BW16">
        <v>0</v>
      </c>
      <c r="BX16">
        <v>2</v>
      </c>
      <c r="BY16">
        <v>2</v>
      </c>
      <c r="BZ16">
        <v>2</v>
      </c>
      <c r="CA16">
        <v>2</v>
      </c>
      <c r="CB16">
        <v>2</v>
      </c>
      <c r="CC16">
        <v>2</v>
      </c>
      <c r="CD16">
        <v>2</v>
      </c>
      <c r="CE16">
        <v>2</v>
      </c>
      <c r="CF16">
        <v>2</v>
      </c>
      <c r="CG16">
        <v>2</v>
      </c>
      <c r="CH16">
        <v>2</v>
      </c>
      <c r="CI16">
        <v>2</v>
      </c>
      <c r="CJ16">
        <v>2</v>
      </c>
      <c r="CK16">
        <v>2</v>
      </c>
      <c r="CL16">
        <v>2</v>
      </c>
      <c r="CM16">
        <v>2</v>
      </c>
      <c r="CN16">
        <v>2</v>
      </c>
      <c r="CO16">
        <v>2</v>
      </c>
      <c r="CP16">
        <v>2</v>
      </c>
      <c r="CQ16">
        <v>2</v>
      </c>
      <c r="CR16">
        <v>2</v>
      </c>
      <c r="CS16">
        <v>2</v>
      </c>
      <c r="CT16">
        <v>2</v>
      </c>
      <c r="CU16">
        <v>2</v>
      </c>
      <c r="CV16">
        <v>2</v>
      </c>
      <c r="CW16">
        <v>2</v>
      </c>
      <c r="CX16">
        <v>2</v>
      </c>
      <c r="CY16">
        <v>2</v>
      </c>
      <c r="CZ16">
        <v>2</v>
      </c>
      <c r="DA16">
        <v>2</v>
      </c>
      <c r="DB16">
        <v>2</v>
      </c>
      <c r="DC16">
        <v>2</v>
      </c>
      <c r="DD16">
        <v>2</v>
      </c>
      <c r="DE16">
        <v>2</v>
      </c>
      <c r="DF16">
        <v>2</v>
      </c>
      <c r="DG16">
        <v>2</v>
      </c>
      <c r="DH16">
        <v>2</v>
      </c>
      <c r="DI16">
        <v>2</v>
      </c>
      <c r="DJ16">
        <v>2</v>
      </c>
      <c r="DK16">
        <v>2</v>
      </c>
      <c r="DL16">
        <v>2</v>
      </c>
      <c r="DM16">
        <v>2</v>
      </c>
      <c r="DN16">
        <v>2</v>
      </c>
      <c r="DO16">
        <v>2</v>
      </c>
      <c r="DP16">
        <v>2</v>
      </c>
      <c r="DQ16">
        <v>2</v>
      </c>
      <c r="DR16">
        <v>2</v>
      </c>
      <c r="DS16">
        <v>2</v>
      </c>
      <c r="DT16">
        <v>2</v>
      </c>
      <c r="DU16">
        <v>2</v>
      </c>
      <c r="DV16">
        <v>2</v>
      </c>
      <c r="DW16">
        <v>2</v>
      </c>
      <c r="DX16">
        <v>2</v>
      </c>
      <c r="DY16">
        <v>2</v>
      </c>
      <c r="DZ16">
        <v>2</v>
      </c>
      <c r="EA16">
        <v>2</v>
      </c>
      <c r="EB16">
        <v>2</v>
      </c>
      <c r="EC16">
        <v>2</v>
      </c>
      <c r="ED16">
        <v>2</v>
      </c>
      <c r="EE16">
        <v>2</v>
      </c>
      <c r="EF16">
        <v>2</v>
      </c>
      <c r="EG16">
        <v>2</v>
      </c>
      <c r="EH16">
        <v>2</v>
      </c>
      <c r="EI16">
        <v>2</v>
      </c>
      <c r="EJ16">
        <v>2</v>
      </c>
      <c r="EK16">
        <v>2</v>
      </c>
      <c r="EL16">
        <v>2</v>
      </c>
      <c r="EM16">
        <v>2</v>
      </c>
      <c r="EN16">
        <v>2</v>
      </c>
      <c r="EO16">
        <v>2</v>
      </c>
      <c r="EP16">
        <v>2</v>
      </c>
      <c r="EQ16">
        <v>2</v>
      </c>
      <c r="ER16">
        <v>2</v>
      </c>
      <c r="ES16">
        <v>2</v>
      </c>
      <c r="ET16">
        <v>2</v>
      </c>
      <c r="EU16">
        <v>2</v>
      </c>
      <c r="EV16">
        <v>2</v>
      </c>
      <c r="EW16">
        <v>2</v>
      </c>
      <c r="EX16">
        <v>2</v>
      </c>
      <c r="EY16">
        <v>2</v>
      </c>
      <c r="EZ16">
        <v>2</v>
      </c>
      <c r="FA16">
        <v>2</v>
      </c>
      <c r="FB16">
        <v>2</v>
      </c>
      <c r="FC16">
        <v>2</v>
      </c>
      <c r="FD16">
        <v>2</v>
      </c>
      <c r="FE16">
        <v>2</v>
      </c>
      <c r="FF16">
        <v>0</v>
      </c>
      <c r="FG16">
        <v>0</v>
      </c>
      <c r="FH16">
        <v>0</v>
      </c>
      <c r="FI16">
        <v>0</v>
      </c>
      <c r="FJ16">
        <v>0</v>
      </c>
      <c r="FK16">
        <v>0</v>
      </c>
      <c r="FL16">
        <v>0</v>
      </c>
      <c r="FM16">
        <v>0</v>
      </c>
      <c r="FN16">
        <v>0</v>
      </c>
      <c r="FO16">
        <v>0</v>
      </c>
      <c r="FP16">
        <v>0</v>
      </c>
      <c r="FQ16">
        <v>0</v>
      </c>
      <c r="FR16">
        <v>0</v>
      </c>
      <c r="FS16">
        <v>0</v>
      </c>
      <c r="FT16">
        <v>0</v>
      </c>
      <c r="FU16">
        <v>0</v>
      </c>
      <c r="FV16">
        <v>0</v>
      </c>
      <c r="FW16">
        <v>0</v>
      </c>
      <c r="FX16">
        <v>0</v>
      </c>
      <c r="FY16">
        <v>0</v>
      </c>
      <c r="FZ16">
        <v>0</v>
      </c>
      <c r="GA16">
        <v>0</v>
      </c>
      <c r="GB16">
        <v>0</v>
      </c>
      <c r="GC16">
        <v>0</v>
      </c>
      <c r="GD16">
        <v>0</v>
      </c>
      <c r="GE16">
        <v>0</v>
      </c>
      <c r="GF16">
        <v>0</v>
      </c>
      <c r="GG16">
        <v>0</v>
      </c>
      <c r="GH16">
        <v>0</v>
      </c>
      <c r="GI16">
        <v>0</v>
      </c>
      <c r="GJ16">
        <v>0</v>
      </c>
      <c r="GK16">
        <v>0</v>
      </c>
      <c r="GL16">
        <v>0</v>
      </c>
      <c r="GM16">
        <v>0</v>
      </c>
      <c r="GN16">
        <v>0</v>
      </c>
      <c r="GO16">
        <v>0</v>
      </c>
      <c r="GP16">
        <v>0</v>
      </c>
      <c r="GQ16">
        <v>0</v>
      </c>
      <c r="GR16">
        <v>0</v>
      </c>
      <c r="GS16">
        <v>0</v>
      </c>
      <c r="GT16">
        <v>0</v>
      </c>
      <c r="GU16">
        <v>0</v>
      </c>
      <c r="GV16">
        <v>0</v>
      </c>
      <c r="GW16">
        <v>0</v>
      </c>
      <c r="GX16">
        <v>0</v>
      </c>
      <c r="GY16">
        <v>0</v>
      </c>
      <c r="GZ16">
        <v>0</v>
      </c>
      <c r="HA16">
        <v>0</v>
      </c>
      <c r="HB16">
        <v>0</v>
      </c>
      <c r="HC16">
        <v>0</v>
      </c>
      <c r="HD16">
        <v>1</v>
      </c>
      <c r="HE16">
        <v>1</v>
      </c>
      <c r="HF16">
        <v>1</v>
      </c>
      <c r="HG16">
        <v>1</v>
      </c>
      <c r="HH16">
        <v>1</v>
      </c>
      <c r="HI16">
        <v>1</v>
      </c>
      <c r="HJ16">
        <v>1</v>
      </c>
      <c r="HK16">
        <v>1</v>
      </c>
      <c r="HL16">
        <v>1</v>
      </c>
      <c r="HM16">
        <v>1</v>
      </c>
      <c r="HN16">
        <v>1</v>
      </c>
      <c r="HO16">
        <v>1</v>
      </c>
      <c r="HP16">
        <v>2</v>
      </c>
      <c r="HQ16">
        <v>2</v>
      </c>
      <c r="HR16">
        <v>2</v>
      </c>
      <c r="HS16">
        <v>0</v>
      </c>
      <c r="HT16">
        <v>0</v>
      </c>
      <c r="HU16">
        <v>0</v>
      </c>
      <c r="HV16">
        <v>0</v>
      </c>
      <c r="HW16">
        <v>0</v>
      </c>
      <c r="HX16">
        <v>0</v>
      </c>
      <c r="HY16">
        <v>0</v>
      </c>
      <c r="HZ16">
        <v>0</v>
      </c>
      <c r="IA16">
        <v>0</v>
      </c>
      <c r="IB16">
        <v>0</v>
      </c>
      <c r="IC16">
        <v>0</v>
      </c>
      <c r="ID16">
        <v>0</v>
      </c>
      <c r="IE16">
        <v>0</v>
      </c>
      <c r="IF16">
        <v>0</v>
      </c>
      <c r="IG16">
        <v>0</v>
      </c>
      <c r="IH16">
        <v>0</v>
      </c>
      <c r="II16">
        <v>0</v>
      </c>
      <c r="IJ16">
        <v>0</v>
      </c>
      <c r="IK16">
        <v>0</v>
      </c>
      <c r="IL16">
        <v>0</v>
      </c>
      <c r="IM16">
        <v>0</v>
      </c>
      <c r="IN16">
        <v>0</v>
      </c>
      <c r="IO16">
        <v>0</v>
      </c>
      <c r="IP16">
        <v>0</v>
      </c>
      <c r="IQ16">
        <v>0</v>
      </c>
      <c r="IR16">
        <v>0</v>
      </c>
      <c r="IS16">
        <v>0</v>
      </c>
      <c r="IT16">
        <v>0</v>
      </c>
      <c r="IU16">
        <v>0</v>
      </c>
      <c r="IV16">
        <v>0</v>
      </c>
      <c r="IW16">
        <v>0</v>
      </c>
      <c r="IX16">
        <v>0</v>
      </c>
      <c r="IY16">
        <v>0</v>
      </c>
      <c r="IZ16">
        <v>0</v>
      </c>
      <c r="JA16">
        <v>0</v>
      </c>
      <c r="JB16">
        <v>0</v>
      </c>
      <c r="JC16">
        <v>0</v>
      </c>
      <c r="JD16">
        <v>0</v>
      </c>
      <c r="JE16">
        <v>0</v>
      </c>
      <c r="JF16">
        <v>0</v>
      </c>
      <c r="JG16">
        <v>0</v>
      </c>
      <c r="JH16">
        <v>0</v>
      </c>
      <c r="JI16">
        <v>0</v>
      </c>
      <c r="JJ16">
        <v>0</v>
      </c>
      <c r="JK16">
        <v>0</v>
      </c>
      <c r="JL16">
        <v>0</v>
      </c>
      <c r="JM16">
        <v>0</v>
      </c>
      <c r="JN16">
        <v>0</v>
      </c>
      <c r="JO16">
        <v>0</v>
      </c>
      <c r="JP16">
        <v>0</v>
      </c>
      <c r="JQ16">
        <v>0</v>
      </c>
      <c r="JR16">
        <v>0</v>
      </c>
      <c r="JS16">
        <v>0</v>
      </c>
      <c r="JT16">
        <v>0</v>
      </c>
      <c r="JU16">
        <v>0</v>
      </c>
      <c r="JV16">
        <v>0</v>
      </c>
      <c r="JW16">
        <v>0</v>
      </c>
      <c r="JX16">
        <v>0</v>
      </c>
      <c r="JY16">
        <v>0</v>
      </c>
      <c r="JZ16">
        <v>0</v>
      </c>
      <c r="KA16">
        <v>0</v>
      </c>
      <c r="KB16">
        <v>0</v>
      </c>
      <c r="KC16">
        <v>0</v>
      </c>
      <c r="KD16">
        <v>0</v>
      </c>
      <c r="KE16">
        <v>0</v>
      </c>
      <c r="KF16">
        <v>0</v>
      </c>
      <c r="KG16">
        <v>0</v>
      </c>
      <c r="KH16">
        <v>0</v>
      </c>
      <c r="KI16">
        <v>0</v>
      </c>
      <c r="KJ16">
        <v>0</v>
      </c>
      <c r="KK16">
        <v>0</v>
      </c>
      <c r="KL16">
        <v>0</v>
      </c>
      <c r="KM16">
        <v>0</v>
      </c>
      <c r="KN16">
        <v>0</v>
      </c>
      <c r="KO16">
        <v>0</v>
      </c>
      <c r="KP16">
        <v>0</v>
      </c>
      <c r="KQ16">
        <v>0</v>
      </c>
      <c r="KR16">
        <v>0</v>
      </c>
      <c r="KS16">
        <v>0</v>
      </c>
      <c r="KT16">
        <v>0</v>
      </c>
      <c r="KU16">
        <v>0</v>
      </c>
      <c r="KV16">
        <v>0</v>
      </c>
      <c r="KW16">
        <v>0</v>
      </c>
      <c r="KX16">
        <v>0</v>
      </c>
      <c r="KY16">
        <v>0</v>
      </c>
      <c r="KZ16">
        <v>0</v>
      </c>
      <c r="LA16">
        <v>0</v>
      </c>
      <c r="LB16">
        <v>0</v>
      </c>
      <c r="LC16">
        <v>0</v>
      </c>
      <c r="LD16">
        <v>0</v>
      </c>
      <c r="LE16">
        <v>0</v>
      </c>
      <c r="LF16">
        <v>0</v>
      </c>
      <c r="LG16">
        <v>0</v>
      </c>
      <c r="LH16">
        <v>0</v>
      </c>
      <c r="LI16">
        <v>0</v>
      </c>
      <c r="LJ16">
        <v>0</v>
      </c>
      <c r="LK16">
        <v>0</v>
      </c>
      <c r="LL16">
        <v>0</v>
      </c>
      <c r="LM16">
        <v>0</v>
      </c>
      <c r="LN16">
        <v>0</v>
      </c>
      <c r="LO16">
        <v>0</v>
      </c>
      <c r="LP16">
        <v>0</v>
      </c>
      <c r="LQ16">
        <v>0</v>
      </c>
      <c r="LR16">
        <v>0</v>
      </c>
      <c r="LS16">
        <v>0</v>
      </c>
      <c r="LT16">
        <v>0</v>
      </c>
      <c r="LU16">
        <v>0</v>
      </c>
      <c r="LV16">
        <v>0</v>
      </c>
      <c r="LW16">
        <v>0</v>
      </c>
      <c r="LX16">
        <v>0</v>
      </c>
      <c r="LY16">
        <v>0</v>
      </c>
      <c r="LZ16">
        <v>0</v>
      </c>
      <c r="MA16">
        <v>0</v>
      </c>
      <c r="MB16">
        <v>0</v>
      </c>
      <c r="MC16">
        <v>0</v>
      </c>
      <c r="MD16">
        <v>0</v>
      </c>
      <c r="ME16">
        <v>0</v>
      </c>
      <c r="MF16">
        <v>0</v>
      </c>
      <c r="MG16">
        <v>0</v>
      </c>
      <c r="MH16">
        <v>0</v>
      </c>
      <c r="MI16">
        <v>0</v>
      </c>
      <c r="MJ16">
        <v>0</v>
      </c>
      <c r="MK16">
        <v>0</v>
      </c>
      <c r="ML16">
        <v>0</v>
      </c>
      <c r="MM16">
        <v>0</v>
      </c>
      <c r="MN16">
        <v>0</v>
      </c>
      <c r="MO16">
        <v>0</v>
      </c>
      <c r="MP16">
        <v>0</v>
      </c>
      <c r="MQ16">
        <v>0</v>
      </c>
      <c r="MR16">
        <v>0</v>
      </c>
      <c r="MS16">
        <v>0</v>
      </c>
      <c r="MT16">
        <v>0</v>
      </c>
      <c r="MU16">
        <v>0</v>
      </c>
      <c r="MV16">
        <v>0</v>
      </c>
      <c r="MW16">
        <v>0</v>
      </c>
      <c r="MX16">
        <v>0</v>
      </c>
      <c r="MY16">
        <v>0</v>
      </c>
      <c r="MZ16">
        <v>0</v>
      </c>
      <c r="NA16">
        <v>0</v>
      </c>
      <c r="NB16">
        <v>0</v>
      </c>
      <c r="NC16">
        <v>0</v>
      </c>
      <c r="ND16">
        <v>0</v>
      </c>
      <c r="NE16">
        <v>0</v>
      </c>
      <c r="NF16">
        <v>0</v>
      </c>
      <c r="NG16">
        <v>0</v>
      </c>
      <c r="NH16">
        <v>0</v>
      </c>
      <c r="NI16">
        <v>0</v>
      </c>
      <c r="NJ16">
        <v>0</v>
      </c>
      <c r="NK16">
        <v>0</v>
      </c>
      <c r="NL16">
        <v>0</v>
      </c>
      <c r="NM16">
        <v>0</v>
      </c>
      <c r="NN16">
        <v>0</v>
      </c>
      <c r="NO16">
        <v>0</v>
      </c>
      <c r="NP16">
        <v>0</v>
      </c>
      <c r="NQ16">
        <v>0</v>
      </c>
      <c r="NR16">
        <v>0</v>
      </c>
      <c r="NS16">
        <v>0</v>
      </c>
      <c r="NT16">
        <v>0</v>
      </c>
      <c r="NU16">
        <v>0</v>
      </c>
      <c r="NV16">
        <v>0</v>
      </c>
      <c r="NW16">
        <v>0</v>
      </c>
      <c r="NX16">
        <v>0</v>
      </c>
      <c r="NY16">
        <v>0</v>
      </c>
      <c r="NZ16">
        <v>0</v>
      </c>
      <c r="OA16">
        <v>0</v>
      </c>
      <c r="OB16">
        <v>0</v>
      </c>
      <c r="OC16">
        <v>0</v>
      </c>
      <c r="OD16">
        <v>0</v>
      </c>
      <c r="OE16">
        <v>0</v>
      </c>
      <c r="OF16">
        <v>0</v>
      </c>
      <c r="OG16">
        <v>0</v>
      </c>
      <c r="OH16">
        <v>0</v>
      </c>
      <c r="OI16">
        <v>0</v>
      </c>
      <c r="OJ16">
        <v>0</v>
      </c>
      <c r="OK16">
        <v>0</v>
      </c>
      <c r="OL16">
        <v>0</v>
      </c>
      <c r="OM16">
        <v>0</v>
      </c>
      <c r="ON16">
        <v>0</v>
      </c>
      <c r="OO16">
        <v>0</v>
      </c>
      <c r="OP16">
        <v>0</v>
      </c>
      <c r="OQ16">
        <v>0</v>
      </c>
      <c r="OR16">
        <v>0</v>
      </c>
      <c r="OS16">
        <v>0</v>
      </c>
      <c r="OT16">
        <v>0</v>
      </c>
      <c r="OU16">
        <v>0</v>
      </c>
      <c r="OV16">
        <v>0</v>
      </c>
      <c r="OW16">
        <v>0</v>
      </c>
      <c r="OX16">
        <v>0</v>
      </c>
      <c r="OY16">
        <v>0</v>
      </c>
      <c r="OZ16">
        <v>0</v>
      </c>
      <c r="PA16">
        <v>0</v>
      </c>
      <c r="PB16">
        <v>0</v>
      </c>
      <c r="PC16">
        <v>0</v>
      </c>
      <c r="PD16">
        <v>0</v>
      </c>
      <c r="PE16">
        <v>0</v>
      </c>
      <c r="PF16">
        <v>0</v>
      </c>
      <c r="PG16">
        <v>0</v>
      </c>
      <c r="PH16">
        <v>0</v>
      </c>
      <c r="PI16">
        <v>0</v>
      </c>
      <c r="PJ16">
        <v>0</v>
      </c>
      <c r="PK16">
        <v>0</v>
      </c>
      <c r="PL16">
        <v>0</v>
      </c>
      <c r="PM16">
        <v>0</v>
      </c>
      <c r="PN16">
        <v>0</v>
      </c>
      <c r="PO16">
        <v>0</v>
      </c>
      <c r="PP16">
        <v>0</v>
      </c>
      <c r="PQ16">
        <v>0</v>
      </c>
      <c r="PR16">
        <v>0</v>
      </c>
      <c r="PS16">
        <v>0</v>
      </c>
      <c r="PT16">
        <v>0</v>
      </c>
      <c r="PU16">
        <v>0</v>
      </c>
      <c r="PV16">
        <v>0</v>
      </c>
      <c r="PW16">
        <v>0</v>
      </c>
      <c r="PX16">
        <v>0</v>
      </c>
      <c r="PY16">
        <v>0</v>
      </c>
      <c r="PZ16">
        <v>0</v>
      </c>
      <c r="QA16">
        <v>0</v>
      </c>
      <c r="QB16">
        <v>0</v>
      </c>
      <c r="QC16">
        <v>0</v>
      </c>
      <c r="QD16">
        <v>0</v>
      </c>
      <c r="QE16">
        <v>0</v>
      </c>
      <c r="QF16">
        <v>0</v>
      </c>
      <c r="QG16">
        <v>0</v>
      </c>
      <c r="QH16">
        <v>0</v>
      </c>
      <c r="QI16">
        <v>0</v>
      </c>
      <c r="QJ16">
        <v>0</v>
      </c>
      <c r="QK16">
        <v>0</v>
      </c>
      <c r="QL16">
        <v>0</v>
      </c>
      <c r="QM16">
        <v>0</v>
      </c>
      <c r="QN16">
        <v>0</v>
      </c>
      <c r="QO16">
        <v>0</v>
      </c>
      <c r="QP16">
        <v>0</v>
      </c>
      <c r="QQ16">
        <v>0</v>
      </c>
      <c r="QR16">
        <v>0</v>
      </c>
      <c r="QS16">
        <v>0</v>
      </c>
      <c r="QT16">
        <v>0</v>
      </c>
      <c r="QU16">
        <v>0</v>
      </c>
      <c r="QV16">
        <v>0</v>
      </c>
      <c r="QW16">
        <v>0</v>
      </c>
      <c r="QX16">
        <v>0</v>
      </c>
      <c r="QY16">
        <v>0</v>
      </c>
      <c r="QZ16">
        <v>0</v>
      </c>
      <c r="RA16">
        <v>0</v>
      </c>
      <c r="RB16">
        <v>0</v>
      </c>
      <c r="RC16">
        <v>0</v>
      </c>
      <c r="RD16">
        <v>0</v>
      </c>
      <c r="RE16">
        <v>0</v>
      </c>
      <c r="RF16">
        <v>0</v>
      </c>
      <c r="RG16">
        <v>0</v>
      </c>
      <c r="RH16">
        <v>0</v>
      </c>
      <c r="RI16">
        <v>0</v>
      </c>
      <c r="RJ16">
        <v>0</v>
      </c>
      <c r="RK16">
        <v>0</v>
      </c>
      <c r="RL16">
        <v>0</v>
      </c>
      <c r="RM16">
        <v>0</v>
      </c>
      <c r="RN16">
        <v>0</v>
      </c>
      <c r="RO16">
        <v>0</v>
      </c>
      <c r="RP16">
        <v>0</v>
      </c>
      <c r="RQ16">
        <v>0</v>
      </c>
      <c r="RR16">
        <v>0</v>
      </c>
      <c r="RS16">
        <v>0</v>
      </c>
      <c r="RT16">
        <v>0</v>
      </c>
      <c r="RU16">
        <v>0</v>
      </c>
      <c r="RV16">
        <v>0</v>
      </c>
      <c r="RW16">
        <v>0</v>
      </c>
      <c r="RX16">
        <v>0</v>
      </c>
      <c r="RY16">
        <v>0</v>
      </c>
      <c r="RZ16">
        <v>0</v>
      </c>
      <c r="SA16">
        <v>0</v>
      </c>
      <c r="SB16">
        <v>0</v>
      </c>
      <c r="SC16">
        <v>0</v>
      </c>
      <c r="SD16">
        <v>0</v>
      </c>
      <c r="SE16">
        <v>0</v>
      </c>
      <c r="SF16">
        <v>0</v>
      </c>
      <c r="SG16">
        <v>0</v>
      </c>
      <c r="SH16">
        <v>0</v>
      </c>
      <c r="SI16">
        <v>0</v>
      </c>
      <c r="SJ16">
        <v>0</v>
      </c>
      <c r="SK16">
        <v>0</v>
      </c>
      <c r="SL16">
        <v>0</v>
      </c>
      <c r="SM16">
        <v>0</v>
      </c>
      <c r="SN16">
        <v>0</v>
      </c>
      <c r="SO16">
        <v>0</v>
      </c>
      <c r="SP16">
        <v>0</v>
      </c>
      <c r="SQ16">
        <v>0</v>
      </c>
      <c r="SR16">
        <v>0</v>
      </c>
      <c r="SS16">
        <v>0</v>
      </c>
      <c r="ST16">
        <v>0</v>
      </c>
      <c r="SU16">
        <v>0</v>
      </c>
      <c r="SV16">
        <v>0</v>
      </c>
      <c r="SW16">
        <v>0</v>
      </c>
      <c r="SX16">
        <v>0</v>
      </c>
      <c r="SY16">
        <v>0</v>
      </c>
      <c r="SZ16">
        <v>0</v>
      </c>
      <c r="TA16">
        <v>0</v>
      </c>
      <c r="TB16">
        <v>0</v>
      </c>
      <c r="TC16">
        <v>0</v>
      </c>
      <c r="TD16">
        <v>0</v>
      </c>
      <c r="TE16">
        <v>0</v>
      </c>
      <c r="TF16">
        <v>0</v>
      </c>
      <c r="TG16">
        <v>0</v>
      </c>
      <c r="TH16">
        <v>0</v>
      </c>
      <c r="TI16">
        <v>0</v>
      </c>
      <c r="TJ16">
        <v>0</v>
      </c>
      <c r="TK16">
        <v>0</v>
      </c>
      <c r="TL16">
        <v>0</v>
      </c>
      <c r="TM16">
        <v>0</v>
      </c>
      <c r="TN16">
        <v>0</v>
      </c>
      <c r="TO16">
        <v>0</v>
      </c>
      <c r="TP16">
        <v>0</v>
      </c>
      <c r="TQ16">
        <v>0</v>
      </c>
      <c r="TR16">
        <v>0</v>
      </c>
      <c r="TS16">
        <v>0</v>
      </c>
      <c r="TT16">
        <v>0</v>
      </c>
      <c r="TU16">
        <v>0</v>
      </c>
      <c r="TV16">
        <v>0</v>
      </c>
      <c r="TW16">
        <v>0</v>
      </c>
      <c r="TX16">
        <v>0</v>
      </c>
      <c r="TY16">
        <v>0</v>
      </c>
      <c r="TZ16">
        <v>0</v>
      </c>
      <c r="UA16">
        <v>0</v>
      </c>
      <c r="UB16">
        <v>0</v>
      </c>
      <c r="UC16">
        <v>0</v>
      </c>
      <c r="UD16">
        <v>0</v>
      </c>
      <c r="UE16">
        <v>0</v>
      </c>
      <c r="UF16">
        <v>0</v>
      </c>
      <c r="UG16">
        <v>0</v>
      </c>
      <c r="UH16">
        <v>0</v>
      </c>
      <c r="UI16">
        <v>0</v>
      </c>
      <c r="UJ16">
        <v>0</v>
      </c>
      <c r="UK16">
        <v>0</v>
      </c>
      <c r="UL16">
        <v>0</v>
      </c>
      <c r="UM16">
        <v>0</v>
      </c>
      <c r="UN16">
        <v>0</v>
      </c>
      <c r="UO16">
        <v>0</v>
      </c>
      <c r="UP16">
        <v>0</v>
      </c>
      <c r="UQ16">
        <v>0</v>
      </c>
      <c r="UR16">
        <v>0</v>
      </c>
      <c r="US16">
        <v>0</v>
      </c>
      <c r="UT16">
        <v>0</v>
      </c>
      <c r="UU16">
        <v>0</v>
      </c>
      <c r="UV16">
        <v>0</v>
      </c>
      <c r="UW16">
        <v>0</v>
      </c>
      <c r="UX16">
        <v>0</v>
      </c>
      <c r="UY16">
        <v>0</v>
      </c>
      <c r="UZ16">
        <v>0</v>
      </c>
      <c r="VA16">
        <v>0</v>
      </c>
      <c r="VB16">
        <v>0</v>
      </c>
      <c r="VC16">
        <v>0</v>
      </c>
      <c r="VD16">
        <v>0</v>
      </c>
      <c r="VE16">
        <v>0</v>
      </c>
      <c r="VF16">
        <v>0</v>
      </c>
      <c r="VG16">
        <v>0</v>
      </c>
      <c r="VH16">
        <v>0</v>
      </c>
      <c r="VI16">
        <v>0</v>
      </c>
      <c r="VJ16">
        <v>0</v>
      </c>
      <c r="VK16">
        <v>0</v>
      </c>
      <c r="VL16">
        <v>0</v>
      </c>
      <c r="VM16">
        <v>0</v>
      </c>
      <c r="VN16">
        <v>0</v>
      </c>
      <c r="VO16">
        <v>0</v>
      </c>
      <c r="VP16">
        <v>0</v>
      </c>
      <c r="VQ16">
        <v>0</v>
      </c>
      <c r="VR16">
        <v>0</v>
      </c>
      <c r="VS16">
        <v>0</v>
      </c>
      <c r="VT16">
        <v>0</v>
      </c>
      <c r="VU16">
        <v>0</v>
      </c>
      <c r="VV16">
        <v>0</v>
      </c>
      <c r="VW16">
        <v>0</v>
      </c>
      <c r="VX16">
        <v>0</v>
      </c>
      <c r="VY16">
        <v>0</v>
      </c>
      <c r="VZ16">
        <v>0</v>
      </c>
      <c r="WA16">
        <v>0</v>
      </c>
      <c r="WB16">
        <v>0</v>
      </c>
      <c r="WC16">
        <v>0</v>
      </c>
      <c r="WD16">
        <v>0</v>
      </c>
      <c r="WE16">
        <v>0</v>
      </c>
      <c r="WF16">
        <v>0</v>
      </c>
      <c r="WG16">
        <v>0</v>
      </c>
      <c r="WH16">
        <v>0</v>
      </c>
      <c r="WI16">
        <v>0</v>
      </c>
      <c r="WJ16">
        <v>0</v>
      </c>
      <c r="WK16">
        <v>0</v>
      </c>
      <c r="WL16">
        <v>0</v>
      </c>
      <c r="WM16">
        <v>0</v>
      </c>
      <c r="WN16">
        <v>0</v>
      </c>
      <c r="WO16">
        <v>0</v>
      </c>
      <c r="WP16">
        <v>0</v>
      </c>
      <c r="WQ16">
        <v>0</v>
      </c>
      <c r="WR16">
        <v>0</v>
      </c>
      <c r="WS16">
        <v>0</v>
      </c>
      <c r="WT16">
        <v>0</v>
      </c>
      <c r="WU16">
        <v>0</v>
      </c>
      <c r="WV16">
        <v>0</v>
      </c>
      <c r="WW16">
        <v>0</v>
      </c>
      <c r="WX16">
        <v>0</v>
      </c>
      <c r="WY16">
        <v>0</v>
      </c>
      <c r="WZ16">
        <v>0</v>
      </c>
      <c r="XA16">
        <v>0</v>
      </c>
      <c r="XB16">
        <v>0</v>
      </c>
      <c r="XC16">
        <v>0</v>
      </c>
      <c r="XD16">
        <v>0</v>
      </c>
      <c r="XE16">
        <v>0</v>
      </c>
      <c r="XF16">
        <v>0</v>
      </c>
      <c r="XG16">
        <v>0</v>
      </c>
      <c r="XH16">
        <v>0</v>
      </c>
      <c r="XI16">
        <v>0</v>
      </c>
      <c r="XJ16">
        <v>0</v>
      </c>
      <c r="XK16">
        <v>0</v>
      </c>
      <c r="XL16">
        <v>0</v>
      </c>
      <c r="XM16">
        <v>0</v>
      </c>
      <c r="XN16">
        <v>0</v>
      </c>
      <c r="XO16">
        <v>0</v>
      </c>
      <c r="XP16">
        <v>0</v>
      </c>
      <c r="XQ16">
        <v>0</v>
      </c>
      <c r="XR16">
        <v>0</v>
      </c>
      <c r="XS16">
        <v>0</v>
      </c>
      <c r="XT16">
        <v>0</v>
      </c>
      <c r="XU16">
        <v>0</v>
      </c>
      <c r="XV16">
        <v>0</v>
      </c>
      <c r="XW16">
        <v>0</v>
      </c>
      <c r="XX16">
        <v>0</v>
      </c>
      <c r="XY16">
        <v>0</v>
      </c>
      <c r="XZ16">
        <v>0</v>
      </c>
      <c r="YA16">
        <v>0</v>
      </c>
      <c r="YB16">
        <v>0</v>
      </c>
      <c r="YC16">
        <v>0</v>
      </c>
      <c r="YD16">
        <v>0</v>
      </c>
      <c r="YE16">
        <v>0</v>
      </c>
      <c r="YF16">
        <v>0</v>
      </c>
      <c r="YG16">
        <v>0</v>
      </c>
      <c r="YH16">
        <v>0</v>
      </c>
      <c r="YI16">
        <v>0</v>
      </c>
      <c r="YJ16">
        <v>0</v>
      </c>
      <c r="YK16">
        <v>0</v>
      </c>
      <c r="YL16">
        <v>0</v>
      </c>
      <c r="YM16">
        <v>0</v>
      </c>
      <c r="YN16">
        <v>0</v>
      </c>
      <c r="YO16">
        <v>0</v>
      </c>
      <c r="YP16">
        <v>0</v>
      </c>
      <c r="YQ16">
        <v>0</v>
      </c>
      <c r="YR16">
        <v>0</v>
      </c>
      <c r="YS16">
        <v>0</v>
      </c>
      <c r="YT16">
        <v>0</v>
      </c>
      <c r="YU16">
        <v>0</v>
      </c>
      <c r="YV16">
        <v>0</v>
      </c>
      <c r="YW16">
        <v>0</v>
      </c>
      <c r="YX16">
        <v>0</v>
      </c>
      <c r="YY16">
        <v>0</v>
      </c>
      <c r="YZ16">
        <v>0</v>
      </c>
      <c r="ZA16">
        <v>0</v>
      </c>
      <c r="ZB16">
        <v>0</v>
      </c>
      <c r="ZC16">
        <v>0</v>
      </c>
      <c r="ZD16">
        <v>0</v>
      </c>
      <c r="ZE16">
        <v>0</v>
      </c>
      <c r="ZF16">
        <v>0</v>
      </c>
      <c r="ZG16">
        <v>0</v>
      </c>
      <c r="ZH16">
        <v>0</v>
      </c>
      <c r="ZI16">
        <v>0</v>
      </c>
      <c r="ZJ16">
        <v>0</v>
      </c>
      <c r="ZK16">
        <v>0</v>
      </c>
      <c r="ZL16">
        <v>0</v>
      </c>
      <c r="ZM16">
        <v>0</v>
      </c>
      <c r="ZN16">
        <v>0</v>
      </c>
      <c r="ZO16">
        <v>0</v>
      </c>
      <c r="ZP16">
        <v>0</v>
      </c>
      <c r="ZQ16">
        <v>0</v>
      </c>
      <c r="ZR16">
        <v>0</v>
      </c>
      <c r="ZS16">
        <v>0</v>
      </c>
      <c r="ZT16">
        <v>0</v>
      </c>
      <c r="ZU16">
        <v>0</v>
      </c>
      <c r="ZV16">
        <v>0</v>
      </c>
      <c r="ZW16">
        <v>0</v>
      </c>
      <c r="ZX16">
        <v>0</v>
      </c>
      <c r="ZY16">
        <v>0</v>
      </c>
      <c r="ZZ16">
        <v>0</v>
      </c>
      <c r="AAA16">
        <v>0</v>
      </c>
      <c r="AAB16">
        <v>0</v>
      </c>
      <c r="AAC16">
        <v>0</v>
      </c>
      <c r="AAD16">
        <v>0</v>
      </c>
      <c r="AAE16">
        <v>0</v>
      </c>
      <c r="AAF16">
        <v>0</v>
      </c>
      <c r="AAG16">
        <v>0</v>
      </c>
      <c r="AAH16">
        <v>0</v>
      </c>
      <c r="AAI16">
        <v>0</v>
      </c>
      <c r="AAJ16">
        <v>0</v>
      </c>
      <c r="AAK16">
        <v>0</v>
      </c>
      <c r="AAL16">
        <v>0</v>
      </c>
      <c r="AAM16">
        <v>0</v>
      </c>
      <c r="AAN16">
        <v>0</v>
      </c>
      <c r="AAO16">
        <v>0</v>
      </c>
      <c r="AAP16">
        <v>0</v>
      </c>
      <c r="AAQ16">
        <v>0</v>
      </c>
      <c r="AAR16">
        <v>0</v>
      </c>
      <c r="AAS16">
        <v>0</v>
      </c>
      <c r="AAT16">
        <v>0</v>
      </c>
      <c r="AAU16">
        <v>0</v>
      </c>
      <c r="AAV16">
        <v>0</v>
      </c>
      <c r="AAW16">
        <v>0</v>
      </c>
      <c r="AAX16">
        <v>0</v>
      </c>
      <c r="AAY16">
        <v>0</v>
      </c>
      <c r="AAZ16">
        <v>0</v>
      </c>
      <c r="ABA16">
        <v>0</v>
      </c>
      <c r="ABB16">
        <v>0</v>
      </c>
      <c r="ABC16">
        <v>0</v>
      </c>
      <c r="ABD16">
        <v>0</v>
      </c>
      <c r="ABE16">
        <v>0</v>
      </c>
      <c r="ABG16" s="1137">
        <f t="shared" si="5"/>
        <v>0</v>
      </c>
      <c r="ABH16" s="1137">
        <f t="shared" si="1"/>
        <v>0</v>
      </c>
      <c r="ABI16" s="1137">
        <f t="shared" si="1"/>
        <v>18</v>
      </c>
      <c r="ABJ16" s="1137">
        <f t="shared" si="1"/>
        <v>30</v>
      </c>
      <c r="ABK16" s="1137">
        <f t="shared" si="1"/>
        <v>31</v>
      </c>
      <c r="ABL16" s="1137">
        <f t="shared" si="1"/>
        <v>7</v>
      </c>
      <c r="ABM16" s="1137">
        <f t="shared" si="1"/>
        <v>4</v>
      </c>
      <c r="ABN16" s="1137">
        <f t="shared" si="1"/>
        <v>11</v>
      </c>
      <c r="ABO16" s="1137">
        <f t="shared" si="1"/>
        <v>0</v>
      </c>
      <c r="ABP16" s="1137">
        <f t="shared" si="1"/>
        <v>0</v>
      </c>
      <c r="ABQ16" s="1137">
        <f t="shared" si="1"/>
        <v>0</v>
      </c>
      <c r="ABR16" s="1137">
        <f t="shared" si="1"/>
        <v>0</v>
      </c>
      <c r="ABS16" s="1137">
        <f t="shared" si="1"/>
        <v>0</v>
      </c>
      <c r="ABT16" s="1137">
        <f t="shared" si="1"/>
        <v>0</v>
      </c>
      <c r="ABU16" s="1137">
        <f t="shared" si="1"/>
        <v>0</v>
      </c>
      <c r="ABV16" s="1137">
        <f t="shared" si="1"/>
        <v>0</v>
      </c>
      <c r="ABW16" s="1137">
        <f t="shared" si="1"/>
        <v>0</v>
      </c>
      <c r="ABX16" s="1137">
        <f t="shared" si="2"/>
        <v>0</v>
      </c>
      <c r="ABY16" s="1137">
        <f t="shared" si="2"/>
        <v>0</v>
      </c>
      <c r="ABZ16" s="1137">
        <f t="shared" si="2"/>
        <v>0</v>
      </c>
      <c r="ACA16" s="1137">
        <f t="shared" si="2"/>
        <v>0</v>
      </c>
      <c r="ACB16" s="1137">
        <f t="shared" si="2"/>
        <v>0</v>
      </c>
      <c r="ACC16" s="1137">
        <f t="shared" si="2"/>
        <v>0</v>
      </c>
      <c r="ACD16" s="1137">
        <f t="shared" si="2"/>
        <v>0</v>
      </c>
      <c r="ACE16" s="1137" t="s">
        <v>147</v>
      </c>
      <c r="ACF16" s="1137">
        <f t="shared" si="6"/>
        <v>0</v>
      </c>
      <c r="ACG16" s="1137">
        <f t="shared" si="3"/>
        <v>0</v>
      </c>
      <c r="ACH16" s="1137">
        <f t="shared" si="3"/>
        <v>1</v>
      </c>
      <c r="ACI16" s="1137">
        <f t="shared" si="3"/>
        <v>1</v>
      </c>
      <c r="ACJ16" s="1137">
        <f t="shared" si="3"/>
        <v>1</v>
      </c>
      <c r="ACK16" s="1137">
        <f t="shared" si="3"/>
        <v>0</v>
      </c>
      <c r="ACL16" s="1137">
        <f t="shared" si="3"/>
        <v>0</v>
      </c>
      <c r="ACM16" s="1137">
        <f t="shared" si="3"/>
        <v>1</v>
      </c>
      <c r="ACN16" s="1137">
        <f t="shared" si="3"/>
        <v>0</v>
      </c>
      <c r="ACO16" s="1137">
        <f t="shared" si="3"/>
        <v>0</v>
      </c>
      <c r="ACP16" s="1137">
        <f t="shared" si="3"/>
        <v>0</v>
      </c>
      <c r="ACQ16" s="1137">
        <f t="shared" si="3"/>
        <v>0</v>
      </c>
      <c r="ACR16" s="1137">
        <f t="shared" si="3"/>
        <v>0</v>
      </c>
      <c r="ACS16" s="1137">
        <f t="shared" si="3"/>
        <v>0</v>
      </c>
      <c r="ACT16" s="1137">
        <f t="shared" si="3"/>
        <v>0</v>
      </c>
      <c r="ACU16" s="1137">
        <f t="shared" si="3"/>
        <v>0</v>
      </c>
      <c r="ACV16" s="1137">
        <f t="shared" si="3"/>
        <v>0</v>
      </c>
      <c r="ACW16" s="1137">
        <f t="shared" si="4"/>
        <v>0</v>
      </c>
      <c r="ACX16" s="1137">
        <f t="shared" si="4"/>
        <v>0</v>
      </c>
      <c r="ACY16" s="1137">
        <f t="shared" si="4"/>
        <v>0</v>
      </c>
      <c r="ACZ16" s="1137">
        <f t="shared" si="4"/>
        <v>0</v>
      </c>
      <c r="ADA16" s="1137">
        <f t="shared" si="4"/>
        <v>0</v>
      </c>
      <c r="ADB16" s="1137">
        <f t="shared" si="4"/>
        <v>0</v>
      </c>
      <c r="ADC16" s="1137">
        <f t="shared" si="4"/>
        <v>0</v>
      </c>
    </row>
    <row r="17" spans="1:783" x14ac:dyDescent="0.25">
      <c r="A17" t="s">
        <v>1812</v>
      </c>
      <c r="B17" t="s">
        <v>13</v>
      </c>
      <c r="C17">
        <v>0</v>
      </c>
      <c r="D17">
        <v>0</v>
      </c>
      <c r="E17">
        <v>0</v>
      </c>
      <c r="F17">
        <v>0</v>
      </c>
      <c r="G17">
        <v>0</v>
      </c>
      <c r="H17">
        <v>0</v>
      </c>
      <c r="I17">
        <v>0</v>
      </c>
      <c r="J17">
        <v>0</v>
      </c>
      <c r="K17">
        <v>0</v>
      </c>
      <c r="L17">
        <v>0</v>
      </c>
      <c r="M17">
        <v>0</v>
      </c>
      <c r="N17">
        <v>0</v>
      </c>
      <c r="O17">
        <v>0</v>
      </c>
      <c r="P17">
        <v>0</v>
      </c>
      <c r="Q17">
        <v>0</v>
      </c>
      <c r="R17">
        <v>0</v>
      </c>
      <c r="S17">
        <v>0</v>
      </c>
      <c r="T17">
        <v>0</v>
      </c>
      <c r="U17">
        <v>0</v>
      </c>
      <c r="V17">
        <v>0</v>
      </c>
      <c r="W17">
        <v>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c r="AZ17">
        <v>0</v>
      </c>
      <c r="BA17">
        <v>0</v>
      </c>
      <c r="BB17">
        <v>0</v>
      </c>
      <c r="BC17">
        <v>0</v>
      </c>
      <c r="BD17">
        <v>0</v>
      </c>
      <c r="BE17">
        <v>0</v>
      </c>
      <c r="BF17">
        <v>0</v>
      </c>
      <c r="BG17">
        <v>0</v>
      </c>
      <c r="BH17">
        <v>0</v>
      </c>
      <c r="BI17">
        <v>0</v>
      </c>
      <c r="BJ17">
        <v>0</v>
      </c>
      <c r="BK17">
        <v>0</v>
      </c>
      <c r="BL17">
        <v>0</v>
      </c>
      <c r="BM17">
        <v>0</v>
      </c>
      <c r="BN17">
        <v>0</v>
      </c>
      <c r="BO17">
        <v>0</v>
      </c>
      <c r="BP17">
        <v>0</v>
      </c>
      <c r="BQ17">
        <v>0</v>
      </c>
      <c r="BR17">
        <v>0</v>
      </c>
      <c r="BS17">
        <v>0</v>
      </c>
      <c r="BT17">
        <v>0</v>
      </c>
      <c r="BU17">
        <v>0</v>
      </c>
      <c r="BV17">
        <v>0</v>
      </c>
      <c r="BW17">
        <v>0</v>
      </c>
      <c r="BX17">
        <v>0</v>
      </c>
      <c r="BY17">
        <v>0</v>
      </c>
      <c r="BZ17">
        <v>0</v>
      </c>
      <c r="CA17">
        <v>0</v>
      </c>
      <c r="CB17">
        <v>0</v>
      </c>
      <c r="CC17">
        <v>0</v>
      </c>
      <c r="CD17">
        <v>0</v>
      </c>
      <c r="CE17">
        <v>0</v>
      </c>
      <c r="CF17">
        <v>0</v>
      </c>
      <c r="CG17">
        <v>0</v>
      </c>
      <c r="CH17">
        <v>0</v>
      </c>
      <c r="CI17">
        <v>0</v>
      </c>
      <c r="CJ17">
        <v>0</v>
      </c>
      <c r="CK17">
        <v>0</v>
      </c>
      <c r="CL17">
        <v>0</v>
      </c>
      <c r="CM17">
        <v>0</v>
      </c>
      <c r="CN17">
        <v>2</v>
      </c>
      <c r="CO17">
        <v>2</v>
      </c>
      <c r="CP17">
        <v>2</v>
      </c>
      <c r="CQ17">
        <v>2</v>
      </c>
      <c r="CR17">
        <v>2</v>
      </c>
      <c r="CS17">
        <v>2</v>
      </c>
      <c r="CT17">
        <v>2</v>
      </c>
      <c r="CU17">
        <v>2</v>
      </c>
      <c r="CV17">
        <v>2</v>
      </c>
      <c r="CW17">
        <v>2</v>
      </c>
      <c r="CX17">
        <v>2</v>
      </c>
      <c r="CY17">
        <v>2</v>
      </c>
      <c r="CZ17">
        <v>2</v>
      </c>
      <c r="DA17">
        <v>2</v>
      </c>
      <c r="DB17">
        <v>2</v>
      </c>
      <c r="DC17">
        <v>2</v>
      </c>
      <c r="DD17">
        <v>2</v>
      </c>
      <c r="DE17">
        <v>2</v>
      </c>
      <c r="DF17">
        <v>2</v>
      </c>
      <c r="DG17">
        <v>2</v>
      </c>
      <c r="DH17">
        <v>2</v>
      </c>
      <c r="DI17">
        <v>2</v>
      </c>
      <c r="DJ17">
        <v>2</v>
      </c>
      <c r="DK17">
        <v>2</v>
      </c>
      <c r="DL17">
        <v>2</v>
      </c>
      <c r="DM17">
        <v>2</v>
      </c>
      <c r="DN17">
        <v>2</v>
      </c>
      <c r="DO17">
        <v>2</v>
      </c>
      <c r="DP17">
        <v>2</v>
      </c>
      <c r="DQ17">
        <v>2</v>
      </c>
      <c r="DR17">
        <v>2</v>
      </c>
      <c r="DS17">
        <v>2</v>
      </c>
      <c r="DT17">
        <v>2</v>
      </c>
      <c r="DU17">
        <v>2</v>
      </c>
      <c r="DV17">
        <v>2</v>
      </c>
      <c r="DW17">
        <v>2</v>
      </c>
      <c r="DX17">
        <v>2</v>
      </c>
      <c r="DY17">
        <v>2</v>
      </c>
      <c r="DZ17">
        <v>2</v>
      </c>
      <c r="EA17">
        <v>2</v>
      </c>
      <c r="EB17">
        <v>2</v>
      </c>
      <c r="EC17">
        <v>2</v>
      </c>
      <c r="ED17">
        <v>0</v>
      </c>
      <c r="EE17">
        <v>0</v>
      </c>
      <c r="EF17">
        <v>0</v>
      </c>
      <c r="EG17">
        <v>0</v>
      </c>
      <c r="EH17">
        <v>0</v>
      </c>
      <c r="EI17">
        <v>0</v>
      </c>
      <c r="EJ17">
        <v>0</v>
      </c>
      <c r="EK17">
        <v>0</v>
      </c>
      <c r="EL17">
        <v>0</v>
      </c>
      <c r="EM17">
        <v>0</v>
      </c>
      <c r="EN17">
        <v>0</v>
      </c>
      <c r="EO17">
        <v>0</v>
      </c>
      <c r="EP17">
        <v>0</v>
      </c>
      <c r="EQ17">
        <v>0</v>
      </c>
      <c r="ER17">
        <v>0</v>
      </c>
      <c r="ES17">
        <v>0</v>
      </c>
      <c r="ET17">
        <v>0</v>
      </c>
      <c r="EU17">
        <v>0</v>
      </c>
      <c r="EV17">
        <v>0</v>
      </c>
      <c r="EW17">
        <v>0</v>
      </c>
      <c r="EX17">
        <v>0</v>
      </c>
      <c r="EY17">
        <v>0</v>
      </c>
      <c r="EZ17">
        <v>0</v>
      </c>
      <c r="FA17">
        <v>0</v>
      </c>
      <c r="FB17">
        <v>0</v>
      </c>
      <c r="FC17">
        <v>0</v>
      </c>
      <c r="FD17">
        <v>0</v>
      </c>
      <c r="FE17">
        <v>0</v>
      </c>
      <c r="FF17">
        <v>0</v>
      </c>
      <c r="FG17">
        <v>0</v>
      </c>
      <c r="FH17">
        <v>0</v>
      </c>
      <c r="FI17">
        <v>0</v>
      </c>
      <c r="FJ17">
        <v>0</v>
      </c>
      <c r="FK17">
        <v>0</v>
      </c>
      <c r="FL17">
        <v>0</v>
      </c>
      <c r="FM17">
        <v>0</v>
      </c>
      <c r="FN17">
        <v>0</v>
      </c>
      <c r="FO17">
        <v>0</v>
      </c>
      <c r="FP17">
        <v>0</v>
      </c>
      <c r="FQ17">
        <v>0</v>
      </c>
      <c r="FR17">
        <v>0</v>
      </c>
      <c r="FS17">
        <v>0</v>
      </c>
      <c r="FT17">
        <v>0</v>
      </c>
      <c r="FU17">
        <v>0</v>
      </c>
      <c r="FV17">
        <v>0</v>
      </c>
      <c r="FW17">
        <v>0</v>
      </c>
      <c r="FX17">
        <v>0</v>
      </c>
      <c r="FY17">
        <v>0</v>
      </c>
      <c r="FZ17">
        <v>0</v>
      </c>
      <c r="GA17">
        <v>0</v>
      </c>
      <c r="GB17">
        <v>0</v>
      </c>
      <c r="GC17">
        <v>0</v>
      </c>
      <c r="GD17">
        <v>0</v>
      </c>
      <c r="GE17">
        <v>0</v>
      </c>
      <c r="GF17">
        <v>0</v>
      </c>
      <c r="GG17">
        <v>0</v>
      </c>
      <c r="GH17">
        <v>0</v>
      </c>
      <c r="GI17">
        <v>0</v>
      </c>
      <c r="GJ17">
        <v>0</v>
      </c>
      <c r="GK17">
        <v>0</v>
      </c>
      <c r="GL17">
        <v>0</v>
      </c>
      <c r="GM17">
        <v>0</v>
      </c>
      <c r="GN17">
        <v>0</v>
      </c>
      <c r="GO17">
        <v>0</v>
      </c>
      <c r="GP17">
        <v>0</v>
      </c>
      <c r="GQ17">
        <v>0</v>
      </c>
      <c r="GR17">
        <v>0</v>
      </c>
      <c r="GS17">
        <v>0</v>
      </c>
      <c r="GT17">
        <v>0</v>
      </c>
      <c r="GU17">
        <v>0</v>
      </c>
      <c r="GV17">
        <v>0</v>
      </c>
      <c r="GW17">
        <v>0</v>
      </c>
      <c r="GX17">
        <v>0</v>
      </c>
      <c r="GY17">
        <v>0</v>
      </c>
      <c r="GZ17">
        <v>0</v>
      </c>
      <c r="HA17">
        <v>0</v>
      </c>
      <c r="HB17">
        <v>0</v>
      </c>
      <c r="HC17">
        <v>0</v>
      </c>
      <c r="HD17">
        <v>0</v>
      </c>
      <c r="HE17">
        <v>0</v>
      </c>
      <c r="HF17">
        <v>0</v>
      </c>
      <c r="HG17">
        <v>0</v>
      </c>
      <c r="HH17">
        <v>0</v>
      </c>
      <c r="HI17">
        <v>0</v>
      </c>
      <c r="HJ17">
        <v>0</v>
      </c>
      <c r="HK17">
        <v>0</v>
      </c>
      <c r="HL17">
        <v>0</v>
      </c>
      <c r="HM17">
        <v>0</v>
      </c>
      <c r="HN17">
        <v>0</v>
      </c>
      <c r="HO17">
        <v>0</v>
      </c>
      <c r="HP17">
        <v>0</v>
      </c>
      <c r="HQ17">
        <v>0</v>
      </c>
      <c r="HR17">
        <v>0</v>
      </c>
      <c r="HS17">
        <v>0</v>
      </c>
      <c r="HT17">
        <v>0</v>
      </c>
      <c r="HU17">
        <v>0</v>
      </c>
      <c r="HV17">
        <v>0</v>
      </c>
      <c r="HW17">
        <v>0</v>
      </c>
      <c r="HX17">
        <v>0</v>
      </c>
      <c r="HY17">
        <v>0</v>
      </c>
      <c r="HZ17">
        <v>0</v>
      </c>
      <c r="IA17">
        <v>0</v>
      </c>
      <c r="IB17">
        <v>0</v>
      </c>
      <c r="IC17">
        <v>0</v>
      </c>
      <c r="ID17">
        <v>0</v>
      </c>
      <c r="IE17">
        <v>0</v>
      </c>
      <c r="IF17">
        <v>0</v>
      </c>
      <c r="IG17">
        <v>0</v>
      </c>
      <c r="IH17">
        <v>0</v>
      </c>
      <c r="II17">
        <v>0</v>
      </c>
      <c r="IJ17">
        <v>0</v>
      </c>
      <c r="IK17">
        <v>0</v>
      </c>
      <c r="IL17">
        <v>0</v>
      </c>
      <c r="IM17">
        <v>0</v>
      </c>
      <c r="IN17">
        <v>0</v>
      </c>
      <c r="IO17">
        <v>0</v>
      </c>
      <c r="IP17">
        <v>0</v>
      </c>
      <c r="IQ17">
        <v>0</v>
      </c>
      <c r="IR17">
        <v>0</v>
      </c>
      <c r="IS17">
        <v>0</v>
      </c>
      <c r="IT17">
        <v>0</v>
      </c>
      <c r="IU17">
        <v>0</v>
      </c>
      <c r="IV17">
        <v>0</v>
      </c>
      <c r="IW17">
        <v>0</v>
      </c>
      <c r="IX17">
        <v>0</v>
      </c>
      <c r="IY17">
        <v>0</v>
      </c>
      <c r="IZ17">
        <v>0</v>
      </c>
      <c r="JA17">
        <v>1</v>
      </c>
      <c r="JB17">
        <v>1</v>
      </c>
      <c r="JC17">
        <v>1</v>
      </c>
      <c r="JD17">
        <v>1</v>
      </c>
      <c r="JE17">
        <v>1</v>
      </c>
      <c r="JF17">
        <v>1</v>
      </c>
      <c r="JG17">
        <v>1</v>
      </c>
      <c r="JH17">
        <v>1</v>
      </c>
      <c r="JI17">
        <v>1</v>
      </c>
      <c r="JJ17">
        <v>1</v>
      </c>
      <c r="JK17">
        <v>1</v>
      </c>
      <c r="JL17">
        <v>1</v>
      </c>
      <c r="JM17">
        <v>1</v>
      </c>
      <c r="JN17">
        <v>1</v>
      </c>
      <c r="JO17">
        <v>1</v>
      </c>
      <c r="JP17">
        <v>1</v>
      </c>
      <c r="JQ17">
        <v>1</v>
      </c>
      <c r="JR17">
        <v>1</v>
      </c>
      <c r="JS17">
        <v>1</v>
      </c>
      <c r="JT17">
        <v>1</v>
      </c>
      <c r="JU17">
        <v>1</v>
      </c>
      <c r="JV17">
        <v>1</v>
      </c>
      <c r="JW17">
        <v>1</v>
      </c>
      <c r="JX17">
        <v>1</v>
      </c>
      <c r="JY17">
        <v>1</v>
      </c>
      <c r="JZ17">
        <v>1</v>
      </c>
      <c r="KA17">
        <v>1</v>
      </c>
      <c r="KB17">
        <v>1</v>
      </c>
      <c r="KC17">
        <v>1</v>
      </c>
      <c r="KD17">
        <v>1</v>
      </c>
      <c r="KE17">
        <v>1</v>
      </c>
      <c r="KF17">
        <v>1</v>
      </c>
      <c r="KG17">
        <v>1</v>
      </c>
      <c r="KH17">
        <v>1</v>
      </c>
      <c r="KI17">
        <v>1</v>
      </c>
      <c r="KJ17">
        <v>1</v>
      </c>
      <c r="KK17">
        <v>1</v>
      </c>
      <c r="KL17">
        <v>1</v>
      </c>
      <c r="KM17">
        <v>1</v>
      </c>
      <c r="KN17">
        <v>1</v>
      </c>
      <c r="KO17">
        <v>1</v>
      </c>
      <c r="KP17">
        <v>1</v>
      </c>
      <c r="KQ17">
        <v>1</v>
      </c>
      <c r="KR17">
        <v>1</v>
      </c>
      <c r="KS17">
        <v>1</v>
      </c>
      <c r="KT17">
        <v>1</v>
      </c>
      <c r="KU17">
        <v>1</v>
      </c>
      <c r="KV17">
        <v>0</v>
      </c>
      <c r="KW17">
        <v>0</v>
      </c>
      <c r="KX17">
        <v>0</v>
      </c>
      <c r="KY17">
        <v>0</v>
      </c>
      <c r="KZ17">
        <v>0</v>
      </c>
      <c r="LA17">
        <v>0</v>
      </c>
      <c r="LB17">
        <v>0</v>
      </c>
      <c r="LC17">
        <v>0</v>
      </c>
      <c r="LD17">
        <v>0</v>
      </c>
      <c r="LE17">
        <v>0</v>
      </c>
      <c r="LF17">
        <v>0</v>
      </c>
      <c r="LG17">
        <v>0</v>
      </c>
      <c r="LH17">
        <v>0</v>
      </c>
      <c r="LI17">
        <v>0</v>
      </c>
      <c r="LJ17">
        <v>0</v>
      </c>
      <c r="LK17">
        <v>0</v>
      </c>
      <c r="LL17">
        <v>0</v>
      </c>
      <c r="LM17">
        <v>0</v>
      </c>
      <c r="LN17">
        <v>0</v>
      </c>
      <c r="LO17">
        <v>0</v>
      </c>
      <c r="LP17">
        <v>0</v>
      </c>
      <c r="LQ17">
        <v>0</v>
      </c>
      <c r="LR17">
        <v>0</v>
      </c>
      <c r="LS17">
        <v>0</v>
      </c>
      <c r="LT17">
        <v>0</v>
      </c>
      <c r="LU17">
        <v>0</v>
      </c>
      <c r="LV17">
        <v>0</v>
      </c>
      <c r="LW17">
        <v>0</v>
      </c>
      <c r="LX17">
        <v>0</v>
      </c>
      <c r="LY17">
        <v>0</v>
      </c>
      <c r="LZ17">
        <v>0</v>
      </c>
      <c r="MA17">
        <v>0</v>
      </c>
      <c r="MB17">
        <v>0</v>
      </c>
      <c r="MC17">
        <v>0</v>
      </c>
      <c r="MD17">
        <v>0</v>
      </c>
      <c r="ME17">
        <v>0</v>
      </c>
      <c r="MF17">
        <v>0</v>
      </c>
      <c r="MG17">
        <v>0</v>
      </c>
      <c r="MH17">
        <v>0</v>
      </c>
      <c r="MI17">
        <v>0</v>
      </c>
      <c r="MJ17">
        <v>0</v>
      </c>
      <c r="MK17">
        <v>0</v>
      </c>
      <c r="ML17">
        <v>0</v>
      </c>
      <c r="MM17">
        <v>0</v>
      </c>
      <c r="MN17">
        <v>0</v>
      </c>
      <c r="MO17">
        <v>0</v>
      </c>
      <c r="MP17">
        <v>0</v>
      </c>
      <c r="MQ17">
        <v>0</v>
      </c>
      <c r="MR17">
        <v>0</v>
      </c>
      <c r="MS17">
        <v>0</v>
      </c>
      <c r="MT17">
        <v>0</v>
      </c>
      <c r="MU17">
        <v>0</v>
      </c>
      <c r="MV17">
        <v>0</v>
      </c>
      <c r="MW17">
        <v>0</v>
      </c>
      <c r="MX17">
        <v>0</v>
      </c>
      <c r="MY17">
        <v>0</v>
      </c>
      <c r="MZ17">
        <v>0</v>
      </c>
      <c r="NA17">
        <v>0</v>
      </c>
      <c r="NB17">
        <v>0</v>
      </c>
      <c r="NC17">
        <v>0</v>
      </c>
      <c r="ND17">
        <v>0</v>
      </c>
      <c r="NE17">
        <v>0</v>
      </c>
      <c r="NF17">
        <v>0</v>
      </c>
      <c r="NG17">
        <v>0</v>
      </c>
      <c r="NH17">
        <v>0</v>
      </c>
      <c r="NI17">
        <v>0</v>
      </c>
      <c r="NJ17">
        <v>0</v>
      </c>
      <c r="NK17">
        <v>0</v>
      </c>
      <c r="NL17">
        <v>0</v>
      </c>
      <c r="NM17">
        <v>0</v>
      </c>
      <c r="NN17">
        <v>0</v>
      </c>
      <c r="NO17">
        <v>0</v>
      </c>
      <c r="NP17">
        <v>0</v>
      </c>
      <c r="NQ17">
        <v>0</v>
      </c>
      <c r="NR17">
        <v>0</v>
      </c>
      <c r="NS17">
        <v>0</v>
      </c>
      <c r="NT17">
        <v>0</v>
      </c>
      <c r="NU17">
        <v>0</v>
      </c>
      <c r="NV17">
        <v>0</v>
      </c>
      <c r="NW17">
        <v>0</v>
      </c>
      <c r="NX17">
        <v>0</v>
      </c>
      <c r="NY17">
        <v>0</v>
      </c>
      <c r="NZ17">
        <v>0</v>
      </c>
      <c r="OA17">
        <v>0</v>
      </c>
      <c r="OB17">
        <v>0</v>
      </c>
      <c r="OC17">
        <v>0</v>
      </c>
      <c r="OD17">
        <v>0</v>
      </c>
      <c r="OE17">
        <v>0</v>
      </c>
      <c r="OF17">
        <v>0</v>
      </c>
      <c r="OG17">
        <v>0</v>
      </c>
      <c r="OH17">
        <v>0</v>
      </c>
      <c r="OI17">
        <v>0</v>
      </c>
      <c r="OJ17">
        <v>0</v>
      </c>
      <c r="OK17">
        <v>0</v>
      </c>
      <c r="OL17">
        <v>0</v>
      </c>
      <c r="OM17">
        <v>0</v>
      </c>
      <c r="ON17">
        <v>0</v>
      </c>
      <c r="OO17">
        <v>0</v>
      </c>
      <c r="OP17">
        <v>0</v>
      </c>
      <c r="OQ17">
        <v>0</v>
      </c>
      <c r="OR17">
        <v>0</v>
      </c>
      <c r="OS17">
        <v>0</v>
      </c>
      <c r="OT17">
        <v>0</v>
      </c>
      <c r="OU17">
        <v>0</v>
      </c>
      <c r="OV17">
        <v>0</v>
      </c>
      <c r="OW17">
        <v>0</v>
      </c>
      <c r="OX17">
        <v>0</v>
      </c>
      <c r="OY17">
        <v>0</v>
      </c>
      <c r="OZ17">
        <v>0</v>
      </c>
      <c r="PA17">
        <v>0</v>
      </c>
      <c r="PB17">
        <v>0</v>
      </c>
      <c r="PC17">
        <v>0</v>
      </c>
      <c r="PD17">
        <v>0</v>
      </c>
      <c r="PE17">
        <v>0</v>
      </c>
      <c r="PF17">
        <v>0</v>
      </c>
      <c r="PG17">
        <v>0</v>
      </c>
      <c r="PH17">
        <v>0</v>
      </c>
      <c r="PI17">
        <v>0</v>
      </c>
      <c r="PJ17">
        <v>0</v>
      </c>
      <c r="PK17">
        <v>0</v>
      </c>
      <c r="PL17">
        <v>0</v>
      </c>
      <c r="PM17">
        <v>0</v>
      </c>
      <c r="PN17">
        <v>0</v>
      </c>
      <c r="PO17">
        <v>0</v>
      </c>
      <c r="PP17">
        <v>0</v>
      </c>
      <c r="PQ17">
        <v>0</v>
      </c>
      <c r="PR17">
        <v>0</v>
      </c>
      <c r="PS17">
        <v>0</v>
      </c>
      <c r="PT17">
        <v>0</v>
      </c>
      <c r="PU17">
        <v>0</v>
      </c>
      <c r="PV17">
        <v>0</v>
      </c>
      <c r="PW17">
        <v>0</v>
      </c>
      <c r="PX17">
        <v>0</v>
      </c>
      <c r="PY17">
        <v>0</v>
      </c>
      <c r="PZ17">
        <v>0</v>
      </c>
      <c r="QA17">
        <v>0</v>
      </c>
      <c r="QB17">
        <v>0</v>
      </c>
      <c r="QC17">
        <v>0</v>
      </c>
      <c r="QD17">
        <v>0</v>
      </c>
      <c r="QE17">
        <v>0</v>
      </c>
      <c r="QF17">
        <v>0</v>
      </c>
      <c r="QG17">
        <v>0</v>
      </c>
      <c r="QH17">
        <v>0</v>
      </c>
      <c r="QI17">
        <v>0</v>
      </c>
      <c r="QJ17">
        <v>0</v>
      </c>
      <c r="QK17">
        <v>0</v>
      </c>
      <c r="QL17">
        <v>0</v>
      </c>
      <c r="QM17">
        <v>0</v>
      </c>
      <c r="QN17">
        <v>0</v>
      </c>
      <c r="QO17">
        <v>0</v>
      </c>
      <c r="QP17">
        <v>0</v>
      </c>
      <c r="QQ17">
        <v>0</v>
      </c>
      <c r="QR17">
        <v>0</v>
      </c>
      <c r="QS17">
        <v>0</v>
      </c>
      <c r="QT17">
        <v>0</v>
      </c>
      <c r="QU17">
        <v>0</v>
      </c>
      <c r="QV17">
        <v>0</v>
      </c>
      <c r="QW17">
        <v>0</v>
      </c>
      <c r="QX17">
        <v>0</v>
      </c>
      <c r="QY17">
        <v>0</v>
      </c>
      <c r="QZ17">
        <v>0</v>
      </c>
      <c r="RA17">
        <v>0</v>
      </c>
      <c r="RB17">
        <v>0</v>
      </c>
      <c r="RC17">
        <v>0</v>
      </c>
      <c r="RD17">
        <v>0</v>
      </c>
      <c r="RE17">
        <v>0</v>
      </c>
      <c r="RF17">
        <v>0</v>
      </c>
      <c r="RG17">
        <v>0</v>
      </c>
      <c r="RH17">
        <v>0</v>
      </c>
      <c r="RI17">
        <v>0</v>
      </c>
      <c r="RJ17">
        <v>0</v>
      </c>
      <c r="RK17">
        <v>0</v>
      </c>
      <c r="RL17">
        <v>0</v>
      </c>
      <c r="RM17">
        <v>0</v>
      </c>
      <c r="RN17">
        <v>0</v>
      </c>
      <c r="RO17">
        <v>0</v>
      </c>
      <c r="RP17">
        <v>0</v>
      </c>
      <c r="RQ17">
        <v>0</v>
      </c>
      <c r="RR17">
        <v>0</v>
      </c>
      <c r="RS17">
        <v>0</v>
      </c>
      <c r="RT17">
        <v>0</v>
      </c>
      <c r="RU17">
        <v>0</v>
      </c>
      <c r="RV17">
        <v>0</v>
      </c>
      <c r="RW17">
        <v>0</v>
      </c>
      <c r="RX17">
        <v>0</v>
      </c>
      <c r="RY17">
        <v>0</v>
      </c>
      <c r="RZ17">
        <v>0</v>
      </c>
      <c r="SA17">
        <v>0</v>
      </c>
      <c r="SB17">
        <v>0</v>
      </c>
      <c r="SC17">
        <v>0</v>
      </c>
      <c r="SD17">
        <v>0</v>
      </c>
      <c r="SE17">
        <v>0</v>
      </c>
      <c r="SF17">
        <v>0</v>
      </c>
      <c r="SG17">
        <v>0</v>
      </c>
      <c r="SH17">
        <v>0</v>
      </c>
      <c r="SI17">
        <v>0</v>
      </c>
      <c r="SJ17">
        <v>0</v>
      </c>
      <c r="SK17">
        <v>0</v>
      </c>
      <c r="SL17">
        <v>0</v>
      </c>
      <c r="SM17">
        <v>0</v>
      </c>
      <c r="SN17">
        <v>0</v>
      </c>
      <c r="SO17">
        <v>0</v>
      </c>
      <c r="SP17">
        <v>0</v>
      </c>
      <c r="SQ17">
        <v>0</v>
      </c>
      <c r="SR17">
        <v>0</v>
      </c>
      <c r="SS17">
        <v>0</v>
      </c>
      <c r="ST17">
        <v>0</v>
      </c>
      <c r="SU17">
        <v>0</v>
      </c>
      <c r="SV17">
        <v>0</v>
      </c>
      <c r="SW17">
        <v>0</v>
      </c>
      <c r="SX17">
        <v>0</v>
      </c>
      <c r="SY17">
        <v>0</v>
      </c>
      <c r="SZ17">
        <v>0</v>
      </c>
      <c r="TA17">
        <v>0</v>
      </c>
      <c r="TB17">
        <v>0</v>
      </c>
      <c r="TC17">
        <v>0</v>
      </c>
      <c r="TD17">
        <v>0</v>
      </c>
      <c r="TE17">
        <v>0</v>
      </c>
      <c r="TF17">
        <v>0</v>
      </c>
      <c r="TG17">
        <v>0</v>
      </c>
      <c r="TH17">
        <v>0</v>
      </c>
      <c r="TI17">
        <v>0</v>
      </c>
      <c r="TJ17">
        <v>0</v>
      </c>
      <c r="TK17">
        <v>0</v>
      </c>
      <c r="TL17">
        <v>0</v>
      </c>
      <c r="TM17">
        <v>0</v>
      </c>
      <c r="TN17">
        <v>0</v>
      </c>
      <c r="TO17">
        <v>0</v>
      </c>
      <c r="TP17">
        <v>0</v>
      </c>
      <c r="TQ17">
        <v>0</v>
      </c>
      <c r="TR17">
        <v>0</v>
      </c>
      <c r="TS17">
        <v>0</v>
      </c>
      <c r="TT17">
        <v>0</v>
      </c>
      <c r="TU17">
        <v>0</v>
      </c>
      <c r="TV17">
        <v>0</v>
      </c>
      <c r="TW17">
        <v>0</v>
      </c>
      <c r="TX17">
        <v>0</v>
      </c>
      <c r="TY17">
        <v>0</v>
      </c>
      <c r="TZ17">
        <v>1</v>
      </c>
      <c r="UA17">
        <v>1</v>
      </c>
      <c r="UB17">
        <v>1</v>
      </c>
      <c r="UC17">
        <v>1</v>
      </c>
      <c r="UD17">
        <v>1</v>
      </c>
      <c r="UE17">
        <v>1</v>
      </c>
      <c r="UF17">
        <v>1</v>
      </c>
      <c r="UG17">
        <v>1</v>
      </c>
      <c r="UH17">
        <v>1</v>
      </c>
      <c r="UI17">
        <v>1</v>
      </c>
      <c r="UJ17">
        <v>1</v>
      </c>
      <c r="UK17">
        <v>1</v>
      </c>
      <c r="UL17">
        <v>1</v>
      </c>
      <c r="UM17">
        <v>1</v>
      </c>
      <c r="UN17">
        <v>1</v>
      </c>
      <c r="UO17">
        <v>1</v>
      </c>
      <c r="UP17">
        <v>1</v>
      </c>
      <c r="UQ17">
        <v>1</v>
      </c>
      <c r="UR17">
        <v>1</v>
      </c>
      <c r="US17">
        <v>1</v>
      </c>
      <c r="UT17">
        <v>1</v>
      </c>
      <c r="UU17">
        <v>1</v>
      </c>
      <c r="UV17">
        <v>1</v>
      </c>
      <c r="UW17">
        <v>1</v>
      </c>
      <c r="UX17">
        <v>1</v>
      </c>
      <c r="UY17">
        <v>1</v>
      </c>
      <c r="UZ17">
        <v>1</v>
      </c>
      <c r="VA17">
        <v>1</v>
      </c>
      <c r="VB17">
        <v>1</v>
      </c>
      <c r="VC17">
        <v>1</v>
      </c>
      <c r="VD17">
        <v>1</v>
      </c>
      <c r="VE17">
        <v>1</v>
      </c>
      <c r="VF17">
        <v>1</v>
      </c>
      <c r="VG17">
        <v>1</v>
      </c>
      <c r="VH17">
        <v>1</v>
      </c>
      <c r="VI17">
        <v>1</v>
      </c>
      <c r="VJ17">
        <v>1</v>
      </c>
      <c r="VK17">
        <v>1</v>
      </c>
      <c r="VL17">
        <v>1</v>
      </c>
      <c r="VM17">
        <v>1</v>
      </c>
      <c r="VN17">
        <v>1</v>
      </c>
      <c r="VO17">
        <v>1</v>
      </c>
      <c r="VP17">
        <v>1</v>
      </c>
      <c r="VQ17">
        <v>1</v>
      </c>
      <c r="VR17">
        <v>1</v>
      </c>
      <c r="VS17">
        <v>1</v>
      </c>
      <c r="VT17">
        <v>1</v>
      </c>
      <c r="VU17">
        <v>1</v>
      </c>
      <c r="VV17">
        <v>1</v>
      </c>
      <c r="VW17">
        <v>1</v>
      </c>
      <c r="VX17">
        <v>1</v>
      </c>
      <c r="VY17">
        <v>1</v>
      </c>
      <c r="VZ17">
        <v>1</v>
      </c>
      <c r="WA17">
        <v>1</v>
      </c>
      <c r="WB17">
        <v>1</v>
      </c>
      <c r="WC17">
        <v>1</v>
      </c>
      <c r="WD17">
        <v>1</v>
      </c>
      <c r="WE17">
        <v>1</v>
      </c>
      <c r="WF17">
        <v>1</v>
      </c>
      <c r="WG17">
        <v>1</v>
      </c>
      <c r="WH17">
        <v>1</v>
      </c>
      <c r="WI17">
        <v>1</v>
      </c>
      <c r="WJ17">
        <v>1</v>
      </c>
      <c r="WK17">
        <v>1</v>
      </c>
      <c r="WL17">
        <v>1</v>
      </c>
      <c r="WM17">
        <v>1</v>
      </c>
      <c r="WN17">
        <v>0</v>
      </c>
      <c r="WO17">
        <v>0</v>
      </c>
      <c r="WP17">
        <v>0</v>
      </c>
      <c r="WQ17">
        <v>0</v>
      </c>
      <c r="WR17">
        <v>0</v>
      </c>
      <c r="WS17">
        <v>0</v>
      </c>
      <c r="WT17">
        <v>0</v>
      </c>
      <c r="WU17">
        <v>0</v>
      </c>
      <c r="WV17">
        <v>0</v>
      </c>
      <c r="WW17">
        <v>0</v>
      </c>
      <c r="WX17">
        <v>0</v>
      </c>
      <c r="WY17">
        <v>0</v>
      </c>
      <c r="WZ17">
        <v>0</v>
      </c>
      <c r="XA17">
        <v>0</v>
      </c>
      <c r="XB17">
        <v>0</v>
      </c>
      <c r="XC17">
        <v>0</v>
      </c>
      <c r="XD17">
        <v>0</v>
      </c>
      <c r="XE17">
        <v>0</v>
      </c>
      <c r="XF17">
        <v>0</v>
      </c>
      <c r="XG17">
        <v>0</v>
      </c>
      <c r="XH17">
        <v>0</v>
      </c>
      <c r="XI17">
        <v>0</v>
      </c>
      <c r="XJ17">
        <v>0</v>
      </c>
      <c r="XK17">
        <v>0</v>
      </c>
      <c r="XL17">
        <v>0</v>
      </c>
      <c r="XM17">
        <v>0</v>
      </c>
      <c r="XN17">
        <v>0</v>
      </c>
      <c r="XO17">
        <v>0</v>
      </c>
      <c r="XP17">
        <v>0</v>
      </c>
      <c r="XQ17">
        <v>0</v>
      </c>
      <c r="XR17">
        <v>0</v>
      </c>
      <c r="XS17">
        <v>0</v>
      </c>
      <c r="XT17">
        <v>0</v>
      </c>
      <c r="XU17">
        <v>0</v>
      </c>
      <c r="XV17">
        <v>0</v>
      </c>
      <c r="XW17">
        <v>0</v>
      </c>
      <c r="XX17">
        <v>0</v>
      </c>
      <c r="XY17">
        <v>0</v>
      </c>
      <c r="XZ17">
        <v>0</v>
      </c>
      <c r="YA17">
        <v>0</v>
      </c>
      <c r="YB17">
        <v>0</v>
      </c>
      <c r="YC17">
        <v>0</v>
      </c>
      <c r="YD17">
        <v>0</v>
      </c>
      <c r="YE17">
        <v>0</v>
      </c>
      <c r="YF17">
        <v>0</v>
      </c>
      <c r="YG17">
        <v>0</v>
      </c>
      <c r="YH17">
        <v>0</v>
      </c>
      <c r="YI17">
        <v>0</v>
      </c>
      <c r="YJ17">
        <v>0</v>
      </c>
      <c r="YK17">
        <v>0</v>
      </c>
      <c r="YL17">
        <v>0</v>
      </c>
      <c r="YM17">
        <v>0</v>
      </c>
      <c r="YN17">
        <v>0</v>
      </c>
      <c r="YO17">
        <v>0</v>
      </c>
      <c r="YP17">
        <v>0</v>
      </c>
      <c r="YQ17">
        <v>0</v>
      </c>
      <c r="YR17">
        <v>0</v>
      </c>
      <c r="YS17">
        <v>0</v>
      </c>
      <c r="YT17">
        <v>0</v>
      </c>
      <c r="YU17">
        <v>0</v>
      </c>
      <c r="YV17">
        <v>0</v>
      </c>
      <c r="YW17">
        <v>0</v>
      </c>
      <c r="YX17">
        <v>0</v>
      </c>
      <c r="YY17">
        <v>0</v>
      </c>
      <c r="YZ17">
        <v>0</v>
      </c>
      <c r="ZA17">
        <v>0</v>
      </c>
      <c r="ZB17">
        <v>0</v>
      </c>
      <c r="ZC17">
        <v>0</v>
      </c>
      <c r="ZD17">
        <v>0</v>
      </c>
      <c r="ZE17">
        <v>0</v>
      </c>
      <c r="ZF17">
        <v>0</v>
      </c>
      <c r="ZG17">
        <v>0</v>
      </c>
      <c r="ZH17">
        <v>0</v>
      </c>
      <c r="ZI17">
        <v>0</v>
      </c>
      <c r="ZJ17">
        <v>0</v>
      </c>
      <c r="ZK17">
        <v>0</v>
      </c>
      <c r="ZL17">
        <v>0</v>
      </c>
      <c r="ZM17">
        <v>0</v>
      </c>
      <c r="ZN17">
        <v>0</v>
      </c>
      <c r="ZO17">
        <v>0</v>
      </c>
      <c r="ZP17">
        <v>0</v>
      </c>
      <c r="ZQ17">
        <v>0</v>
      </c>
      <c r="ZR17">
        <v>0</v>
      </c>
      <c r="ZS17">
        <v>0</v>
      </c>
      <c r="ZT17">
        <v>0</v>
      </c>
      <c r="ZU17">
        <v>0</v>
      </c>
      <c r="ZV17">
        <v>0</v>
      </c>
      <c r="ZW17">
        <v>0</v>
      </c>
      <c r="ZX17">
        <v>0</v>
      </c>
      <c r="ZY17">
        <v>0</v>
      </c>
      <c r="ZZ17">
        <v>0</v>
      </c>
      <c r="AAA17">
        <v>0</v>
      </c>
      <c r="AAB17">
        <v>0</v>
      </c>
      <c r="AAC17">
        <v>0</v>
      </c>
      <c r="AAD17">
        <v>0</v>
      </c>
      <c r="AAE17">
        <v>0</v>
      </c>
      <c r="AAF17">
        <v>0</v>
      </c>
      <c r="AAG17">
        <v>0</v>
      </c>
      <c r="AAH17">
        <v>0</v>
      </c>
      <c r="AAI17">
        <v>0</v>
      </c>
      <c r="AAJ17">
        <v>0</v>
      </c>
      <c r="AAK17">
        <v>0</v>
      </c>
      <c r="AAL17">
        <v>0</v>
      </c>
      <c r="AAM17">
        <v>0</v>
      </c>
      <c r="AAN17">
        <v>0</v>
      </c>
      <c r="AAO17">
        <v>0</v>
      </c>
      <c r="AAP17">
        <v>0</v>
      </c>
      <c r="AAQ17">
        <v>0</v>
      </c>
      <c r="AAR17">
        <v>0</v>
      </c>
      <c r="AAS17">
        <v>0</v>
      </c>
      <c r="AAT17">
        <v>0</v>
      </c>
      <c r="AAU17">
        <v>0</v>
      </c>
      <c r="AAV17">
        <v>0</v>
      </c>
      <c r="AAW17">
        <v>0</v>
      </c>
      <c r="AAX17">
        <v>0</v>
      </c>
      <c r="AAY17">
        <v>0</v>
      </c>
      <c r="AAZ17">
        <v>0</v>
      </c>
      <c r="ABA17">
        <v>0</v>
      </c>
      <c r="ABB17">
        <v>0</v>
      </c>
      <c r="ABC17">
        <v>0</v>
      </c>
      <c r="ABD17">
        <v>0</v>
      </c>
      <c r="ABE17">
        <v>0</v>
      </c>
      <c r="ABG17" s="1137">
        <f t="shared" si="5"/>
        <v>0</v>
      </c>
      <c r="ABH17" s="1137">
        <f t="shared" si="1"/>
        <v>0</v>
      </c>
      <c r="ABI17" s="1137">
        <f t="shared" si="1"/>
        <v>2</v>
      </c>
      <c r="ABJ17" s="1137">
        <f t="shared" si="1"/>
        <v>30</v>
      </c>
      <c r="ABK17" s="1137">
        <f t="shared" si="1"/>
        <v>10</v>
      </c>
      <c r="ABL17" s="1137">
        <f t="shared" si="1"/>
        <v>0</v>
      </c>
      <c r="ABM17" s="1137">
        <f t="shared" si="1"/>
        <v>0</v>
      </c>
      <c r="ABN17" s="1137">
        <f t="shared" si="1"/>
        <v>0</v>
      </c>
      <c r="ABO17" s="1137">
        <f t="shared" si="1"/>
        <v>16</v>
      </c>
      <c r="ABP17" s="1137">
        <f t="shared" si="1"/>
        <v>31</v>
      </c>
      <c r="ABQ17" s="1137">
        <f t="shared" si="1"/>
        <v>0</v>
      </c>
      <c r="ABR17" s="1137">
        <f t="shared" si="1"/>
        <v>0</v>
      </c>
      <c r="ABS17" s="1137">
        <f t="shared" si="1"/>
        <v>0</v>
      </c>
      <c r="ABT17" s="1137">
        <f t="shared" si="1"/>
        <v>0</v>
      </c>
      <c r="ABU17" s="1137">
        <f t="shared" si="1"/>
        <v>0</v>
      </c>
      <c r="ABV17" s="1137">
        <f t="shared" si="1"/>
        <v>0</v>
      </c>
      <c r="ABW17" s="1137">
        <f t="shared" si="1"/>
        <v>0</v>
      </c>
      <c r="ABX17" s="1137">
        <f t="shared" si="2"/>
        <v>4</v>
      </c>
      <c r="ABY17" s="1137">
        <f t="shared" si="2"/>
        <v>31</v>
      </c>
      <c r="ABZ17" s="1137">
        <f t="shared" si="2"/>
        <v>31</v>
      </c>
      <c r="ACA17" s="1137">
        <f t="shared" si="2"/>
        <v>0</v>
      </c>
      <c r="ACB17" s="1137">
        <f t="shared" si="2"/>
        <v>0</v>
      </c>
      <c r="ACC17" s="1137">
        <f t="shared" si="2"/>
        <v>0</v>
      </c>
      <c r="ACD17" s="1137">
        <f t="shared" si="2"/>
        <v>0</v>
      </c>
      <c r="ACE17" s="1137" t="s">
        <v>13</v>
      </c>
      <c r="ACF17" s="1137">
        <f t="shared" si="6"/>
        <v>0</v>
      </c>
      <c r="ACG17" s="1137">
        <f t="shared" si="3"/>
        <v>0</v>
      </c>
      <c r="ACH17" s="1137">
        <f t="shared" si="3"/>
        <v>0</v>
      </c>
      <c r="ACI17" s="1137">
        <f t="shared" si="3"/>
        <v>1</v>
      </c>
      <c r="ACJ17" s="1137">
        <f t="shared" si="3"/>
        <v>0</v>
      </c>
      <c r="ACK17" s="1137">
        <f t="shared" si="3"/>
        <v>0</v>
      </c>
      <c r="ACL17" s="1137">
        <f t="shared" si="3"/>
        <v>0</v>
      </c>
      <c r="ACM17" s="1137">
        <f t="shared" si="3"/>
        <v>0</v>
      </c>
      <c r="ACN17" s="1137">
        <f t="shared" si="3"/>
        <v>1</v>
      </c>
      <c r="ACO17" s="1137">
        <f t="shared" si="3"/>
        <v>1</v>
      </c>
      <c r="ACP17" s="1137">
        <f t="shared" si="3"/>
        <v>0</v>
      </c>
      <c r="ACQ17" s="1137">
        <f t="shared" si="3"/>
        <v>0</v>
      </c>
      <c r="ACR17" s="1137">
        <f t="shared" si="3"/>
        <v>0</v>
      </c>
      <c r="ACS17" s="1137">
        <f t="shared" si="3"/>
        <v>0</v>
      </c>
      <c r="ACT17" s="1137">
        <f t="shared" si="3"/>
        <v>0</v>
      </c>
      <c r="ACU17" s="1137">
        <f t="shared" si="3"/>
        <v>0</v>
      </c>
      <c r="ACV17" s="1137">
        <f t="shared" si="3"/>
        <v>0</v>
      </c>
      <c r="ACW17" s="1137">
        <f t="shared" si="4"/>
        <v>0</v>
      </c>
      <c r="ACX17" s="1137">
        <f t="shared" si="4"/>
        <v>1</v>
      </c>
      <c r="ACY17" s="1137">
        <f t="shared" si="4"/>
        <v>1</v>
      </c>
      <c r="ACZ17" s="1137">
        <f t="shared" si="4"/>
        <v>0</v>
      </c>
      <c r="ADA17" s="1137">
        <f t="shared" si="4"/>
        <v>0</v>
      </c>
      <c r="ADB17" s="1137">
        <f t="shared" si="4"/>
        <v>0</v>
      </c>
      <c r="ADC17" s="1137">
        <f t="shared" si="4"/>
        <v>0</v>
      </c>
    </row>
    <row r="18" spans="1:783" x14ac:dyDescent="0.25">
      <c r="A18" t="s">
        <v>1813</v>
      </c>
      <c r="B18" t="s">
        <v>16</v>
      </c>
      <c r="C18">
        <v>0</v>
      </c>
      <c r="D18">
        <v>0</v>
      </c>
      <c r="E18">
        <v>0</v>
      </c>
      <c r="F18">
        <v>0</v>
      </c>
      <c r="G18">
        <v>0</v>
      </c>
      <c r="H18">
        <v>0</v>
      </c>
      <c r="I18">
        <v>0</v>
      </c>
      <c r="J18">
        <v>0</v>
      </c>
      <c r="K18">
        <v>0</v>
      </c>
      <c r="L18">
        <v>0</v>
      </c>
      <c r="M18">
        <v>0</v>
      </c>
      <c r="N18">
        <v>0</v>
      </c>
      <c r="O18">
        <v>0</v>
      </c>
      <c r="P18">
        <v>0</v>
      </c>
      <c r="Q18">
        <v>0</v>
      </c>
      <c r="R18">
        <v>0</v>
      </c>
      <c r="S18">
        <v>0</v>
      </c>
      <c r="T18">
        <v>0</v>
      </c>
      <c r="U18">
        <v>0</v>
      </c>
      <c r="V18">
        <v>0</v>
      </c>
      <c r="W18">
        <v>0</v>
      </c>
      <c r="X18">
        <v>0</v>
      </c>
      <c r="Y18">
        <v>0</v>
      </c>
      <c r="Z18">
        <v>0</v>
      </c>
      <c r="AA18">
        <v>0</v>
      </c>
      <c r="AB18">
        <v>0</v>
      </c>
      <c r="AC18">
        <v>0</v>
      </c>
      <c r="AD18">
        <v>0</v>
      </c>
      <c r="AE18">
        <v>0</v>
      </c>
      <c r="AF18">
        <v>0</v>
      </c>
      <c r="AG18">
        <v>0</v>
      </c>
      <c r="AH18">
        <v>0</v>
      </c>
      <c r="AI18">
        <v>0</v>
      </c>
      <c r="AJ18">
        <v>0</v>
      </c>
      <c r="AK18">
        <v>0</v>
      </c>
      <c r="AL18">
        <v>0</v>
      </c>
      <c r="AM18">
        <v>0</v>
      </c>
      <c r="AN18">
        <v>0</v>
      </c>
      <c r="AO18">
        <v>0</v>
      </c>
      <c r="AP18">
        <v>0</v>
      </c>
      <c r="AQ18">
        <v>0</v>
      </c>
      <c r="AR18">
        <v>0</v>
      </c>
      <c r="AS18">
        <v>0</v>
      </c>
      <c r="AT18">
        <v>0</v>
      </c>
      <c r="AU18">
        <v>0</v>
      </c>
      <c r="AV18">
        <v>0</v>
      </c>
      <c r="AW18">
        <v>0</v>
      </c>
      <c r="AX18">
        <v>0</v>
      </c>
      <c r="AY18">
        <v>0</v>
      </c>
      <c r="AZ18">
        <v>0</v>
      </c>
      <c r="BA18">
        <v>0</v>
      </c>
      <c r="BB18">
        <v>0</v>
      </c>
      <c r="BC18">
        <v>0</v>
      </c>
      <c r="BD18">
        <v>0</v>
      </c>
      <c r="BE18">
        <v>0</v>
      </c>
      <c r="BF18">
        <v>0</v>
      </c>
      <c r="BG18">
        <v>0</v>
      </c>
      <c r="BH18">
        <v>0</v>
      </c>
      <c r="BI18">
        <v>0</v>
      </c>
      <c r="BJ18">
        <v>0</v>
      </c>
      <c r="BK18">
        <v>0</v>
      </c>
      <c r="BL18">
        <v>0</v>
      </c>
      <c r="BM18">
        <v>0</v>
      </c>
      <c r="BN18">
        <v>0</v>
      </c>
      <c r="BO18">
        <v>0</v>
      </c>
      <c r="BP18">
        <v>0</v>
      </c>
      <c r="BQ18">
        <v>0</v>
      </c>
      <c r="BR18">
        <v>0</v>
      </c>
      <c r="BS18">
        <v>0</v>
      </c>
      <c r="BT18">
        <v>0</v>
      </c>
      <c r="BU18">
        <v>0</v>
      </c>
      <c r="BV18">
        <v>0</v>
      </c>
      <c r="BW18">
        <v>0</v>
      </c>
      <c r="BX18">
        <v>0</v>
      </c>
      <c r="BY18">
        <v>0</v>
      </c>
      <c r="BZ18">
        <v>0</v>
      </c>
      <c r="CA18">
        <v>0</v>
      </c>
      <c r="CB18">
        <v>0</v>
      </c>
      <c r="CC18">
        <v>0</v>
      </c>
      <c r="CD18">
        <v>0</v>
      </c>
      <c r="CE18">
        <v>2</v>
      </c>
      <c r="CF18">
        <v>2</v>
      </c>
      <c r="CG18">
        <v>2</v>
      </c>
      <c r="CH18">
        <v>2</v>
      </c>
      <c r="CI18">
        <v>2</v>
      </c>
      <c r="CJ18">
        <v>2</v>
      </c>
      <c r="CK18">
        <v>2</v>
      </c>
      <c r="CL18">
        <v>2</v>
      </c>
      <c r="CM18">
        <v>2</v>
      </c>
      <c r="CN18">
        <v>2</v>
      </c>
      <c r="CO18">
        <v>2</v>
      </c>
      <c r="CP18">
        <v>2</v>
      </c>
      <c r="CQ18">
        <v>2</v>
      </c>
      <c r="CR18">
        <v>2</v>
      </c>
      <c r="CS18">
        <v>2</v>
      </c>
      <c r="CT18">
        <v>2</v>
      </c>
      <c r="CU18">
        <v>2</v>
      </c>
      <c r="CV18">
        <v>2</v>
      </c>
      <c r="CW18">
        <v>2</v>
      </c>
      <c r="CX18">
        <v>2</v>
      </c>
      <c r="CY18">
        <v>2</v>
      </c>
      <c r="CZ18">
        <v>2</v>
      </c>
      <c r="DA18">
        <v>2</v>
      </c>
      <c r="DB18">
        <v>2</v>
      </c>
      <c r="DC18">
        <v>2</v>
      </c>
      <c r="DD18">
        <v>2</v>
      </c>
      <c r="DE18">
        <v>2</v>
      </c>
      <c r="DF18">
        <v>2</v>
      </c>
      <c r="DG18">
        <v>2</v>
      </c>
      <c r="DH18">
        <v>2</v>
      </c>
      <c r="DI18">
        <v>2</v>
      </c>
      <c r="DJ18">
        <v>2</v>
      </c>
      <c r="DK18">
        <v>2</v>
      </c>
      <c r="DL18">
        <v>2</v>
      </c>
      <c r="DM18">
        <v>2</v>
      </c>
      <c r="DN18">
        <v>2</v>
      </c>
      <c r="DO18">
        <v>2</v>
      </c>
      <c r="DP18">
        <v>2</v>
      </c>
      <c r="DQ18">
        <v>2</v>
      </c>
      <c r="DR18">
        <v>2</v>
      </c>
      <c r="DS18">
        <v>2</v>
      </c>
      <c r="DT18">
        <v>2</v>
      </c>
      <c r="DU18">
        <v>2</v>
      </c>
      <c r="DV18">
        <v>2</v>
      </c>
      <c r="DW18">
        <v>2</v>
      </c>
      <c r="DX18">
        <v>0</v>
      </c>
      <c r="DY18">
        <v>0</v>
      </c>
      <c r="DZ18">
        <v>0</v>
      </c>
      <c r="EA18">
        <v>0</v>
      </c>
      <c r="EB18">
        <v>0</v>
      </c>
      <c r="EC18">
        <v>0</v>
      </c>
      <c r="ED18">
        <v>0</v>
      </c>
      <c r="EE18">
        <v>0</v>
      </c>
      <c r="EF18">
        <v>0</v>
      </c>
      <c r="EG18">
        <v>0</v>
      </c>
      <c r="EH18">
        <v>0</v>
      </c>
      <c r="EI18">
        <v>0</v>
      </c>
      <c r="EJ18">
        <v>0</v>
      </c>
      <c r="EK18">
        <v>0</v>
      </c>
      <c r="EL18">
        <v>0</v>
      </c>
      <c r="EM18">
        <v>0</v>
      </c>
      <c r="EN18">
        <v>0</v>
      </c>
      <c r="EO18">
        <v>0</v>
      </c>
      <c r="EP18">
        <v>0</v>
      </c>
      <c r="EQ18">
        <v>0</v>
      </c>
      <c r="ER18">
        <v>0</v>
      </c>
      <c r="ES18">
        <v>0</v>
      </c>
      <c r="ET18">
        <v>0</v>
      </c>
      <c r="EU18">
        <v>0</v>
      </c>
      <c r="EV18">
        <v>0</v>
      </c>
      <c r="EW18">
        <v>0</v>
      </c>
      <c r="EX18">
        <v>0</v>
      </c>
      <c r="EY18">
        <v>0</v>
      </c>
      <c r="EZ18">
        <v>0</v>
      </c>
      <c r="FA18">
        <v>0</v>
      </c>
      <c r="FB18">
        <v>0</v>
      </c>
      <c r="FC18">
        <v>0</v>
      </c>
      <c r="FD18">
        <v>0</v>
      </c>
      <c r="FE18">
        <v>0</v>
      </c>
      <c r="FF18">
        <v>0</v>
      </c>
      <c r="FG18">
        <v>0</v>
      </c>
      <c r="FH18">
        <v>0</v>
      </c>
      <c r="FI18">
        <v>0</v>
      </c>
      <c r="FJ18">
        <v>0</v>
      </c>
      <c r="FK18">
        <v>0</v>
      </c>
      <c r="FL18">
        <v>0</v>
      </c>
      <c r="FM18">
        <v>0</v>
      </c>
      <c r="FN18">
        <v>0</v>
      </c>
      <c r="FO18">
        <v>0</v>
      </c>
      <c r="FP18">
        <v>0</v>
      </c>
      <c r="FQ18">
        <v>0</v>
      </c>
      <c r="FR18">
        <v>0</v>
      </c>
      <c r="FS18">
        <v>0</v>
      </c>
      <c r="FT18">
        <v>0</v>
      </c>
      <c r="FU18">
        <v>0</v>
      </c>
      <c r="FV18">
        <v>0</v>
      </c>
      <c r="FW18">
        <v>0</v>
      </c>
      <c r="FX18">
        <v>0</v>
      </c>
      <c r="FY18">
        <v>0</v>
      </c>
      <c r="FZ18">
        <v>0</v>
      </c>
      <c r="GA18">
        <v>0</v>
      </c>
      <c r="GB18">
        <v>0</v>
      </c>
      <c r="GC18">
        <v>0</v>
      </c>
      <c r="GD18">
        <v>0</v>
      </c>
      <c r="GE18">
        <v>0</v>
      </c>
      <c r="GF18">
        <v>0</v>
      </c>
      <c r="GG18">
        <v>0</v>
      </c>
      <c r="GH18">
        <v>0</v>
      </c>
      <c r="GI18">
        <v>0</v>
      </c>
      <c r="GJ18">
        <v>0</v>
      </c>
      <c r="GK18">
        <v>0</v>
      </c>
      <c r="GL18">
        <v>0</v>
      </c>
      <c r="GM18">
        <v>0</v>
      </c>
      <c r="GN18">
        <v>0</v>
      </c>
      <c r="GO18">
        <v>0</v>
      </c>
      <c r="GP18">
        <v>0</v>
      </c>
      <c r="GQ18">
        <v>0</v>
      </c>
      <c r="GR18">
        <v>0</v>
      </c>
      <c r="GS18">
        <v>0</v>
      </c>
      <c r="GT18">
        <v>0</v>
      </c>
      <c r="GU18">
        <v>0</v>
      </c>
      <c r="GV18">
        <v>0</v>
      </c>
      <c r="GW18">
        <v>0</v>
      </c>
      <c r="GX18">
        <v>0</v>
      </c>
      <c r="GY18">
        <v>0</v>
      </c>
      <c r="GZ18">
        <v>0</v>
      </c>
      <c r="HA18">
        <v>0</v>
      </c>
      <c r="HB18">
        <v>0</v>
      </c>
      <c r="HC18">
        <v>0</v>
      </c>
      <c r="HD18">
        <v>0</v>
      </c>
      <c r="HE18">
        <v>0</v>
      </c>
      <c r="HF18">
        <v>0</v>
      </c>
      <c r="HG18">
        <v>2</v>
      </c>
      <c r="HH18">
        <v>2</v>
      </c>
      <c r="HI18">
        <v>2</v>
      </c>
      <c r="HJ18">
        <v>2</v>
      </c>
      <c r="HK18">
        <v>2</v>
      </c>
      <c r="HL18">
        <v>2</v>
      </c>
      <c r="HM18">
        <v>2</v>
      </c>
      <c r="HN18">
        <v>2</v>
      </c>
      <c r="HO18">
        <v>2</v>
      </c>
      <c r="HP18">
        <v>2</v>
      </c>
      <c r="HQ18">
        <v>2</v>
      </c>
      <c r="HR18">
        <v>2</v>
      </c>
      <c r="HS18">
        <v>2</v>
      </c>
      <c r="HT18">
        <v>2</v>
      </c>
      <c r="HU18">
        <v>2</v>
      </c>
      <c r="HV18">
        <v>2</v>
      </c>
      <c r="HW18">
        <v>2</v>
      </c>
      <c r="HX18">
        <v>2</v>
      </c>
      <c r="HY18">
        <v>2</v>
      </c>
      <c r="HZ18">
        <v>2</v>
      </c>
      <c r="IA18">
        <v>2</v>
      </c>
      <c r="IB18">
        <v>2</v>
      </c>
      <c r="IC18">
        <v>2</v>
      </c>
      <c r="ID18">
        <v>2</v>
      </c>
      <c r="IE18">
        <v>2</v>
      </c>
      <c r="IF18">
        <v>2</v>
      </c>
      <c r="IG18">
        <v>2</v>
      </c>
      <c r="IH18">
        <v>2</v>
      </c>
      <c r="II18">
        <v>2</v>
      </c>
      <c r="IJ18">
        <v>2</v>
      </c>
      <c r="IK18">
        <v>2</v>
      </c>
      <c r="IL18">
        <v>2</v>
      </c>
      <c r="IM18">
        <v>2</v>
      </c>
      <c r="IN18">
        <v>2</v>
      </c>
      <c r="IO18">
        <v>2</v>
      </c>
      <c r="IP18">
        <v>2</v>
      </c>
      <c r="IQ18">
        <v>2</v>
      </c>
      <c r="IR18">
        <v>2</v>
      </c>
      <c r="IS18">
        <v>2</v>
      </c>
      <c r="IT18">
        <v>2</v>
      </c>
      <c r="IU18">
        <v>2</v>
      </c>
      <c r="IV18">
        <v>0</v>
      </c>
      <c r="IW18">
        <v>0</v>
      </c>
      <c r="IX18">
        <v>0</v>
      </c>
      <c r="IY18">
        <v>0</v>
      </c>
      <c r="IZ18">
        <v>0</v>
      </c>
      <c r="JA18">
        <v>0</v>
      </c>
      <c r="JB18">
        <v>0</v>
      </c>
      <c r="JC18">
        <v>0</v>
      </c>
      <c r="JD18">
        <v>0</v>
      </c>
      <c r="JE18">
        <v>0</v>
      </c>
      <c r="JF18">
        <v>0</v>
      </c>
      <c r="JG18">
        <v>0</v>
      </c>
      <c r="JH18">
        <v>0</v>
      </c>
      <c r="JI18">
        <v>0</v>
      </c>
      <c r="JJ18">
        <v>0</v>
      </c>
      <c r="JK18">
        <v>0</v>
      </c>
      <c r="JL18">
        <v>0</v>
      </c>
      <c r="JM18">
        <v>0</v>
      </c>
      <c r="JN18">
        <v>0</v>
      </c>
      <c r="JO18">
        <v>0</v>
      </c>
      <c r="JP18">
        <v>0</v>
      </c>
      <c r="JQ18">
        <v>0</v>
      </c>
      <c r="JR18">
        <v>0</v>
      </c>
      <c r="JS18">
        <v>0</v>
      </c>
      <c r="JT18">
        <v>0</v>
      </c>
      <c r="JU18">
        <v>0</v>
      </c>
      <c r="JV18">
        <v>0</v>
      </c>
      <c r="JW18">
        <v>0</v>
      </c>
      <c r="JX18">
        <v>0</v>
      </c>
      <c r="JY18">
        <v>0</v>
      </c>
      <c r="JZ18">
        <v>0</v>
      </c>
      <c r="KA18">
        <v>0</v>
      </c>
      <c r="KB18">
        <v>0</v>
      </c>
      <c r="KC18">
        <v>0</v>
      </c>
      <c r="KD18">
        <v>0</v>
      </c>
      <c r="KE18">
        <v>0</v>
      </c>
      <c r="KF18">
        <v>0</v>
      </c>
      <c r="KG18">
        <v>0</v>
      </c>
      <c r="KH18">
        <v>0</v>
      </c>
      <c r="KI18">
        <v>0</v>
      </c>
      <c r="KJ18">
        <v>0</v>
      </c>
      <c r="KK18">
        <v>0</v>
      </c>
      <c r="KL18">
        <v>0</v>
      </c>
      <c r="KM18">
        <v>0</v>
      </c>
      <c r="KN18">
        <v>0</v>
      </c>
      <c r="KO18">
        <v>0</v>
      </c>
      <c r="KP18">
        <v>0</v>
      </c>
      <c r="KQ18">
        <v>0</v>
      </c>
      <c r="KR18">
        <v>0</v>
      </c>
      <c r="KS18">
        <v>0</v>
      </c>
      <c r="KT18">
        <v>0</v>
      </c>
      <c r="KU18">
        <v>0</v>
      </c>
      <c r="KV18">
        <v>0</v>
      </c>
      <c r="KW18">
        <v>0</v>
      </c>
      <c r="KX18">
        <v>0</v>
      </c>
      <c r="KY18">
        <v>0</v>
      </c>
      <c r="KZ18">
        <v>0</v>
      </c>
      <c r="LA18">
        <v>0</v>
      </c>
      <c r="LB18">
        <v>0</v>
      </c>
      <c r="LC18">
        <v>0</v>
      </c>
      <c r="LD18">
        <v>0</v>
      </c>
      <c r="LE18">
        <v>0</v>
      </c>
      <c r="LF18">
        <v>0</v>
      </c>
      <c r="LG18">
        <v>0</v>
      </c>
      <c r="LH18">
        <v>0</v>
      </c>
      <c r="LI18">
        <v>0</v>
      </c>
      <c r="LJ18">
        <v>0</v>
      </c>
      <c r="LK18">
        <v>0</v>
      </c>
      <c r="LL18">
        <v>0</v>
      </c>
      <c r="LM18">
        <v>0</v>
      </c>
      <c r="LN18">
        <v>0</v>
      </c>
      <c r="LO18">
        <v>0</v>
      </c>
      <c r="LP18">
        <v>0</v>
      </c>
      <c r="LQ18">
        <v>0</v>
      </c>
      <c r="LR18">
        <v>0</v>
      </c>
      <c r="LS18">
        <v>0</v>
      </c>
      <c r="LT18">
        <v>0</v>
      </c>
      <c r="LU18">
        <v>0</v>
      </c>
      <c r="LV18">
        <v>0</v>
      </c>
      <c r="LW18">
        <v>0</v>
      </c>
      <c r="LX18">
        <v>0</v>
      </c>
      <c r="LY18">
        <v>0</v>
      </c>
      <c r="LZ18">
        <v>0</v>
      </c>
      <c r="MA18">
        <v>0</v>
      </c>
      <c r="MB18">
        <v>0</v>
      </c>
      <c r="MC18">
        <v>0</v>
      </c>
      <c r="MD18">
        <v>0</v>
      </c>
      <c r="ME18">
        <v>0</v>
      </c>
      <c r="MF18">
        <v>0</v>
      </c>
      <c r="MG18">
        <v>0</v>
      </c>
      <c r="MH18">
        <v>0</v>
      </c>
      <c r="MI18">
        <v>0</v>
      </c>
      <c r="MJ18">
        <v>0</v>
      </c>
      <c r="MK18">
        <v>0</v>
      </c>
      <c r="ML18">
        <v>0</v>
      </c>
      <c r="MM18">
        <v>0</v>
      </c>
      <c r="MN18">
        <v>0</v>
      </c>
      <c r="MO18">
        <v>0</v>
      </c>
      <c r="MP18">
        <v>0</v>
      </c>
      <c r="MQ18">
        <v>0</v>
      </c>
      <c r="MR18">
        <v>0</v>
      </c>
      <c r="MS18">
        <v>0</v>
      </c>
      <c r="MT18">
        <v>0</v>
      </c>
      <c r="MU18">
        <v>0</v>
      </c>
      <c r="MV18">
        <v>0</v>
      </c>
      <c r="MW18">
        <v>0</v>
      </c>
      <c r="MX18">
        <v>0</v>
      </c>
      <c r="MY18">
        <v>0</v>
      </c>
      <c r="MZ18">
        <v>0</v>
      </c>
      <c r="NA18">
        <v>0</v>
      </c>
      <c r="NB18">
        <v>0</v>
      </c>
      <c r="NC18">
        <v>0</v>
      </c>
      <c r="ND18">
        <v>0</v>
      </c>
      <c r="NE18">
        <v>0</v>
      </c>
      <c r="NF18">
        <v>0</v>
      </c>
      <c r="NG18">
        <v>0</v>
      </c>
      <c r="NH18">
        <v>0</v>
      </c>
      <c r="NI18">
        <v>0</v>
      </c>
      <c r="NJ18">
        <v>0</v>
      </c>
      <c r="NK18">
        <v>0</v>
      </c>
      <c r="NL18">
        <v>0</v>
      </c>
      <c r="NM18">
        <v>0</v>
      </c>
      <c r="NN18">
        <v>0</v>
      </c>
      <c r="NO18">
        <v>0</v>
      </c>
      <c r="NP18">
        <v>0</v>
      </c>
      <c r="NQ18">
        <v>0</v>
      </c>
      <c r="NR18">
        <v>0</v>
      </c>
      <c r="NS18">
        <v>0</v>
      </c>
      <c r="NT18">
        <v>0</v>
      </c>
      <c r="NU18">
        <v>0</v>
      </c>
      <c r="NV18">
        <v>0</v>
      </c>
      <c r="NW18">
        <v>0</v>
      </c>
      <c r="NX18">
        <v>0</v>
      </c>
      <c r="NY18">
        <v>0</v>
      </c>
      <c r="NZ18">
        <v>0</v>
      </c>
      <c r="OA18">
        <v>0</v>
      </c>
      <c r="OB18">
        <v>0</v>
      </c>
      <c r="OC18">
        <v>0</v>
      </c>
      <c r="OD18">
        <v>0</v>
      </c>
      <c r="OE18">
        <v>0</v>
      </c>
      <c r="OF18">
        <v>0</v>
      </c>
      <c r="OG18">
        <v>0</v>
      </c>
      <c r="OH18">
        <v>0</v>
      </c>
      <c r="OI18">
        <v>0</v>
      </c>
      <c r="OJ18">
        <v>0</v>
      </c>
      <c r="OK18">
        <v>0</v>
      </c>
      <c r="OL18">
        <v>0</v>
      </c>
      <c r="OM18">
        <v>0</v>
      </c>
      <c r="ON18">
        <v>0</v>
      </c>
      <c r="OO18">
        <v>0</v>
      </c>
      <c r="OP18">
        <v>0</v>
      </c>
      <c r="OQ18">
        <v>0</v>
      </c>
      <c r="OR18">
        <v>0</v>
      </c>
      <c r="OS18">
        <v>0</v>
      </c>
      <c r="OT18">
        <v>0</v>
      </c>
      <c r="OU18">
        <v>0</v>
      </c>
      <c r="OV18">
        <v>0</v>
      </c>
      <c r="OW18">
        <v>0</v>
      </c>
      <c r="OX18">
        <v>0</v>
      </c>
      <c r="OY18">
        <v>0</v>
      </c>
      <c r="OZ18">
        <v>0</v>
      </c>
      <c r="PA18">
        <v>0</v>
      </c>
      <c r="PB18">
        <v>0</v>
      </c>
      <c r="PC18">
        <v>0</v>
      </c>
      <c r="PD18">
        <v>0</v>
      </c>
      <c r="PE18">
        <v>0</v>
      </c>
      <c r="PF18">
        <v>0</v>
      </c>
      <c r="PG18">
        <v>0</v>
      </c>
      <c r="PH18">
        <v>0</v>
      </c>
      <c r="PI18">
        <v>0</v>
      </c>
      <c r="PJ18">
        <v>0</v>
      </c>
      <c r="PK18">
        <v>0</v>
      </c>
      <c r="PL18">
        <v>0</v>
      </c>
      <c r="PM18">
        <v>0</v>
      </c>
      <c r="PN18">
        <v>0</v>
      </c>
      <c r="PO18">
        <v>0</v>
      </c>
      <c r="PP18">
        <v>0</v>
      </c>
      <c r="PQ18">
        <v>0</v>
      </c>
      <c r="PR18">
        <v>0</v>
      </c>
      <c r="PS18">
        <v>0</v>
      </c>
      <c r="PT18">
        <v>0</v>
      </c>
      <c r="PU18">
        <v>0</v>
      </c>
      <c r="PV18">
        <v>0</v>
      </c>
      <c r="PW18">
        <v>0</v>
      </c>
      <c r="PX18">
        <v>0</v>
      </c>
      <c r="PY18">
        <v>0</v>
      </c>
      <c r="PZ18">
        <v>2</v>
      </c>
      <c r="QA18">
        <v>2</v>
      </c>
      <c r="QB18">
        <v>2</v>
      </c>
      <c r="QC18">
        <v>2</v>
      </c>
      <c r="QD18">
        <v>2</v>
      </c>
      <c r="QE18">
        <v>2</v>
      </c>
      <c r="QF18">
        <v>2</v>
      </c>
      <c r="QG18">
        <v>2</v>
      </c>
      <c r="QH18">
        <v>2</v>
      </c>
      <c r="QI18">
        <v>2</v>
      </c>
      <c r="QJ18">
        <v>2</v>
      </c>
      <c r="QK18">
        <v>2</v>
      </c>
      <c r="QL18">
        <v>2</v>
      </c>
      <c r="QM18">
        <v>2</v>
      </c>
      <c r="QN18">
        <v>2</v>
      </c>
      <c r="QO18">
        <v>2</v>
      </c>
      <c r="QP18">
        <v>2</v>
      </c>
      <c r="QQ18">
        <v>2</v>
      </c>
      <c r="QR18">
        <v>2</v>
      </c>
      <c r="QS18">
        <v>2</v>
      </c>
      <c r="QT18">
        <v>2</v>
      </c>
      <c r="QU18">
        <v>2</v>
      </c>
      <c r="QV18">
        <v>2</v>
      </c>
      <c r="QW18">
        <v>2</v>
      </c>
      <c r="QX18">
        <v>2</v>
      </c>
      <c r="QY18">
        <v>2</v>
      </c>
      <c r="QZ18">
        <v>2</v>
      </c>
      <c r="RA18">
        <v>2</v>
      </c>
      <c r="RB18">
        <v>2</v>
      </c>
      <c r="RC18">
        <v>2</v>
      </c>
      <c r="RD18">
        <v>2</v>
      </c>
      <c r="RE18">
        <v>2</v>
      </c>
      <c r="RF18">
        <v>2</v>
      </c>
      <c r="RG18">
        <v>2</v>
      </c>
      <c r="RH18">
        <v>2</v>
      </c>
      <c r="RI18">
        <v>2</v>
      </c>
      <c r="RJ18">
        <v>2</v>
      </c>
      <c r="RK18">
        <v>2</v>
      </c>
      <c r="RL18">
        <v>2</v>
      </c>
      <c r="RM18">
        <v>2</v>
      </c>
      <c r="RN18">
        <v>2</v>
      </c>
      <c r="RO18">
        <v>2</v>
      </c>
      <c r="RP18">
        <v>0</v>
      </c>
      <c r="RQ18">
        <v>0</v>
      </c>
      <c r="RR18">
        <v>0</v>
      </c>
      <c r="RS18">
        <v>0</v>
      </c>
      <c r="RT18">
        <v>0</v>
      </c>
      <c r="RU18">
        <v>0</v>
      </c>
      <c r="RV18">
        <v>0</v>
      </c>
      <c r="RW18">
        <v>0</v>
      </c>
      <c r="RX18">
        <v>0</v>
      </c>
      <c r="RY18">
        <v>0</v>
      </c>
      <c r="RZ18">
        <v>0</v>
      </c>
      <c r="SA18">
        <v>0</v>
      </c>
      <c r="SB18">
        <v>0</v>
      </c>
      <c r="SC18">
        <v>0</v>
      </c>
      <c r="SD18">
        <v>0</v>
      </c>
      <c r="SE18">
        <v>0</v>
      </c>
      <c r="SF18">
        <v>0</v>
      </c>
      <c r="SG18">
        <v>0</v>
      </c>
      <c r="SH18">
        <v>0</v>
      </c>
      <c r="SI18">
        <v>0</v>
      </c>
      <c r="SJ18">
        <v>0</v>
      </c>
      <c r="SK18">
        <v>0</v>
      </c>
      <c r="SL18">
        <v>0</v>
      </c>
      <c r="SM18">
        <v>0</v>
      </c>
      <c r="SN18">
        <v>0</v>
      </c>
      <c r="SO18">
        <v>0</v>
      </c>
      <c r="SP18">
        <v>0</v>
      </c>
      <c r="SQ18">
        <v>0</v>
      </c>
      <c r="SR18">
        <v>0</v>
      </c>
      <c r="SS18">
        <v>0</v>
      </c>
      <c r="ST18">
        <v>0</v>
      </c>
      <c r="SU18">
        <v>0</v>
      </c>
      <c r="SV18">
        <v>0</v>
      </c>
      <c r="SW18">
        <v>0</v>
      </c>
      <c r="SX18">
        <v>2</v>
      </c>
      <c r="SY18">
        <v>2</v>
      </c>
      <c r="SZ18">
        <v>2</v>
      </c>
      <c r="TA18">
        <v>2</v>
      </c>
      <c r="TB18">
        <v>2</v>
      </c>
      <c r="TC18">
        <v>2</v>
      </c>
      <c r="TD18">
        <v>2</v>
      </c>
      <c r="TE18">
        <v>2</v>
      </c>
      <c r="TF18">
        <v>2</v>
      </c>
      <c r="TG18">
        <v>2</v>
      </c>
      <c r="TH18">
        <v>2</v>
      </c>
      <c r="TI18">
        <v>2</v>
      </c>
      <c r="TJ18">
        <v>2</v>
      </c>
      <c r="TK18">
        <v>2</v>
      </c>
      <c r="TL18">
        <v>2</v>
      </c>
      <c r="TM18">
        <v>2</v>
      </c>
      <c r="TN18">
        <v>2</v>
      </c>
      <c r="TO18">
        <v>2</v>
      </c>
      <c r="TP18">
        <v>2</v>
      </c>
      <c r="TQ18">
        <v>2</v>
      </c>
      <c r="TR18">
        <v>2</v>
      </c>
      <c r="TS18">
        <v>2</v>
      </c>
      <c r="TT18">
        <v>2</v>
      </c>
      <c r="TU18">
        <v>2</v>
      </c>
      <c r="TV18">
        <v>2</v>
      </c>
      <c r="TW18">
        <v>2</v>
      </c>
      <c r="TX18">
        <v>2</v>
      </c>
      <c r="TY18">
        <v>2</v>
      </c>
      <c r="TZ18">
        <v>2</v>
      </c>
      <c r="UA18">
        <v>2</v>
      </c>
      <c r="UB18">
        <v>2</v>
      </c>
      <c r="UC18">
        <v>2</v>
      </c>
      <c r="UD18">
        <v>2</v>
      </c>
      <c r="UE18">
        <v>2</v>
      </c>
      <c r="UF18">
        <v>2</v>
      </c>
      <c r="UG18">
        <v>2</v>
      </c>
      <c r="UH18">
        <v>2</v>
      </c>
      <c r="UI18">
        <v>2</v>
      </c>
      <c r="UJ18">
        <v>2</v>
      </c>
      <c r="UK18">
        <v>2</v>
      </c>
      <c r="UL18">
        <v>2</v>
      </c>
      <c r="UM18">
        <v>2</v>
      </c>
      <c r="UN18">
        <v>2</v>
      </c>
      <c r="UO18">
        <v>2</v>
      </c>
      <c r="UP18">
        <v>2</v>
      </c>
      <c r="UQ18">
        <v>2</v>
      </c>
      <c r="UR18">
        <v>2</v>
      </c>
      <c r="US18">
        <v>2</v>
      </c>
      <c r="UT18">
        <v>2</v>
      </c>
      <c r="UU18">
        <v>2</v>
      </c>
      <c r="UV18">
        <v>2</v>
      </c>
      <c r="UW18">
        <v>2</v>
      </c>
      <c r="UX18">
        <v>2</v>
      </c>
      <c r="UY18">
        <v>2</v>
      </c>
      <c r="UZ18">
        <v>2</v>
      </c>
      <c r="VA18">
        <v>2</v>
      </c>
      <c r="VB18">
        <v>2</v>
      </c>
      <c r="VC18">
        <v>2</v>
      </c>
      <c r="VD18">
        <v>2</v>
      </c>
      <c r="VE18">
        <v>2</v>
      </c>
      <c r="VF18">
        <v>2</v>
      </c>
      <c r="VG18">
        <v>2</v>
      </c>
      <c r="VH18">
        <v>2</v>
      </c>
      <c r="VI18">
        <v>2</v>
      </c>
      <c r="VJ18">
        <v>2</v>
      </c>
      <c r="VK18">
        <v>2</v>
      </c>
      <c r="VL18">
        <v>2</v>
      </c>
      <c r="VM18">
        <v>2</v>
      </c>
      <c r="VN18">
        <v>2</v>
      </c>
      <c r="VO18">
        <v>2</v>
      </c>
      <c r="VP18">
        <v>0</v>
      </c>
      <c r="VQ18">
        <v>0</v>
      </c>
      <c r="VR18">
        <v>0</v>
      </c>
      <c r="VS18">
        <v>0</v>
      </c>
      <c r="VT18">
        <v>0</v>
      </c>
      <c r="VU18">
        <v>0</v>
      </c>
      <c r="VV18">
        <v>0</v>
      </c>
      <c r="VW18">
        <v>0</v>
      </c>
      <c r="VX18">
        <v>0</v>
      </c>
      <c r="VY18">
        <v>0</v>
      </c>
      <c r="VZ18">
        <v>0</v>
      </c>
      <c r="WA18">
        <v>0</v>
      </c>
      <c r="WB18">
        <v>0</v>
      </c>
      <c r="WC18">
        <v>0</v>
      </c>
      <c r="WD18">
        <v>0</v>
      </c>
      <c r="WE18">
        <v>0</v>
      </c>
      <c r="WF18">
        <v>0</v>
      </c>
      <c r="WG18">
        <v>0</v>
      </c>
      <c r="WH18">
        <v>0</v>
      </c>
      <c r="WI18">
        <v>0</v>
      </c>
      <c r="WJ18">
        <v>0</v>
      </c>
      <c r="WK18">
        <v>0</v>
      </c>
      <c r="WL18">
        <v>0</v>
      </c>
      <c r="WM18">
        <v>0</v>
      </c>
      <c r="WN18">
        <v>0</v>
      </c>
      <c r="WO18">
        <v>0</v>
      </c>
      <c r="WP18">
        <v>0</v>
      </c>
      <c r="WQ18">
        <v>0</v>
      </c>
      <c r="WR18">
        <v>0</v>
      </c>
      <c r="WS18">
        <v>0</v>
      </c>
      <c r="WT18">
        <v>0</v>
      </c>
      <c r="WU18">
        <v>0</v>
      </c>
      <c r="WV18">
        <v>0</v>
      </c>
      <c r="WW18">
        <v>0</v>
      </c>
      <c r="WX18">
        <v>0</v>
      </c>
      <c r="WY18">
        <v>0</v>
      </c>
      <c r="WZ18">
        <v>0</v>
      </c>
      <c r="XA18">
        <v>0</v>
      </c>
      <c r="XB18">
        <v>0</v>
      </c>
      <c r="XC18">
        <v>0</v>
      </c>
      <c r="XD18">
        <v>0</v>
      </c>
      <c r="XE18">
        <v>0</v>
      </c>
      <c r="XF18">
        <v>0</v>
      </c>
      <c r="XG18">
        <v>0</v>
      </c>
      <c r="XH18">
        <v>0</v>
      </c>
      <c r="XI18">
        <v>0</v>
      </c>
      <c r="XJ18">
        <v>0</v>
      </c>
      <c r="XK18">
        <v>0</v>
      </c>
      <c r="XL18">
        <v>0</v>
      </c>
      <c r="XM18">
        <v>0</v>
      </c>
      <c r="XN18">
        <v>0</v>
      </c>
      <c r="XO18">
        <v>0</v>
      </c>
      <c r="XP18">
        <v>0</v>
      </c>
      <c r="XQ18">
        <v>0</v>
      </c>
      <c r="XR18">
        <v>0</v>
      </c>
      <c r="XS18">
        <v>0</v>
      </c>
      <c r="XT18">
        <v>0</v>
      </c>
      <c r="XU18">
        <v>0</v>
      </c>
      <c r="XV18">
        <v>0</v>
      </c>
      <c r="XW18">
        <v>0</v>
      </c>
      <c r="XX18">
        <v>0</v>
      </c>
      <c r="XY18">
        <v>0</v>
      </c>
      <c r="XZ18">
        <v>0</v>
      </c>
      <c r="YA18">
        <v>0</v>
      </c>
      <c r="YB18">
        <v>0</v>
      </c>
      <c r="YC18">
        <v>0</v>
      </c>
      <c r="YD18">
        <v>0</v>
      </c>
      <c r="YE18">
        <v>0</v>
      </c>
      <c r="YF18">
        <v>0</v>
      </c>
      <c r="YG18">
        <v>0</v>
      </c>
      <c r="YH18">
        <v>0</v>
      </c>
      <c r="YI18">
        <v>0</v>
      </c>
      <c r="YJ18">
        <v>0</v>
      </c>
      <c r="YK18">
        <v>0</v>
      </c>
      <c r="YL18">
        <v>0</v>
      </c>
      <c r="YM18">
        <v>0</v>
      </c>
      <c r="YN18">
        <v>0</v>
      </c>
      <c r="YO18">
        <v>0</v>
      </c>
      <c r="YP18">
        <v>0</v>
      </c>
      <c r="YQ18">
        <v>0</v>
      </c>
      <c r="YR18">
        <v>0</v>
      </c>
      <c r="YS18">
        <v>0</v>
      </c>
      <c r="YT18">
        <v>0</v>
      </c>
      <c r="YU18">
        <v>0</v>
      </c>
      <c r="YV18">
        <v>0</v>
      </c>
      <c r="YW18">
        <v>0</v>
      </c>
      <c r="YX18">
        <v>0</v>
      </c>
      <c r="YY18">
        <v>0</v>
      </c>
      <c r="YZ18">
        <v>0</v>
      </c>
      <c r="ZA18">
        <v>0</v>
      </c>
      <c r="ZB18">
        <v>0</v>
      </c>
      <c r="ZC18">
        <v>0</v>
      </c>
      <c r="ZD18">
        <v>0</v>
      </c>
      <c r="ZE18">
        <v>0</v>
      </c>
      <c r="ZF18">
        <v>0</v>
      </c>
      <c r="ZG18">
        <v>0</v>
      </c>
      <c r="ZH18">
        <v>0</v>
      </c>
      <c r="ZI18">
        <v>0</v>
      </c>
      <c r="ZJ18">
        <v>0</v>
      </c>
      <c r="ZK18">
        <v>0</v>
      </c>
      <c r="ZL18">
        <v>0</v>
      </c>
      <c r="ZM18">
        <v>0</v>
      </c>
      <c r="ZN18">
        <v>0</v>
      </c>
      <c r="ZO18">
        <v>0</v>
      </c>
      <c r="ZP18">
        <v>0</v>
      </c>
      <c r="ZQ18">
        <v>0</v>
      </c>
      <c r="ZR18">
        <v>0</v>
      </c>
      <c r="ZS18">
        <v>0</v>
      </c>
      <c r="ZT18">
        <v>0</v>
      </c>
      <c r="ZU18">
        <v>0</v>
      </c>
      <c r="ZV18">
        <v>0</v>
      </c>
      <c r="ZW18">
        <v>0</v>
      </c>
      <c r="ZX18">
        <v>0</v>
      </c>
      <c r="ZY18">
        <v>0</v>
      </c>
      <c r="ZZ18">
        <v>0</v>
      </c>
      <c r="AAA18">
        <v>0</v>
      </c>
      <c r="AAB18">
        <v>0</v>
      </c>
      <c r="AAC18">
        <v>0</v>
      </c>
      <c r="AAD18">
        <v>0</v>
      </c>
      <c r="AAE18">
        <v>0</v>
      </c>
      <c r="AAF18">
        <v>0</v>
      </c>
      <c r="AAG18">
        <v>0</v>
      </c>
      <c r="AAH18">
        <v>0</v>
      </c>
      <c r="AAI18">
        <v>0</v>
      </c>
      <c r="AAJ18">
        <v>0</v>
      </c>
      <c r="AAK18">
        <v>0</v>
      </c>
      <c r="AAL18">
        <v>0</v>
      </c>
      <c r="AAM18">
        <v>0</v>
      </c>
      <c r="AAN18">
        <v>0</v>
      </c>
      <c r="AAO18">
        <v>0</v>
      </c>
      <c r="AAP18">
        <v>0</v>
      </c>
      <c r="AAQ18">
        <v>0</v>
      </c>
      <c r="AAR18">
        <v>0</v>
      </c>
      <c r="AAS18">
        <v>0</v>
      </c>
      <c r="AAT18">
        <v>0</v>
      </c>
      <c r="AAU18">
        <v>0</v>
      </c>
      <c r="AAV18">
        <v>0</v>
      </c>
      <c r="AAW18">
        <v>0</v>
      </c>
      <c r="AAX18">
        <v>0</v>
      </c>
      <c r="AAY18">
        <v>0</v>
      </c>
      <c r="AAZ18">
        <v>0</v>
      </c>
      <c r="ABA18">
        <v>0</v>
      </c>
      <c r="ABB18">
        <v>0</v>
      </c>
      <c r="ABC18">
        <v>0</v>
      </c>
      <c r="ABD18">
        <v>0</v>
      </c>
      <c r="ABE18">
        <v>0</v>
      </c>
      <c r="ABG18" s="1137">
        <f t="shared" si="5"/>
        <v>0</v>
      </c>
      <c r="ABH18" s="1137">
        <f t="shared" si="1"/>
        <v>0</v>
      </c>
      <c r="ABI18" s="1137">
        <f t="shared" si="1"/>
        <v>11</v>
      </c>
      <c r="ABJ18" s="1137">
        <f t="shared" si="1"/>
        <v>30</v>
      </c>
      <c r="ABK18" s="1137">
        <f t="shared" si="1"/>
        <v>4</v>
      </c>
      <c r="ABL18" s="1137">
        <f t="shared" si="1"/>
        <v>0</v>
      </c>
      <c r="ABM18" s="1137">
        <f t="shared" si="1"/>
        <v>1</v>
      </c>
      <c r="ABN18" s="1137">
        <f t="shared" si="1"/>
        <v>31</v>
      </c>
      <c r="ABO18" s="1137">
        <f t="shared" si="1"/>
        <v>9</v>
      </c>
      <c r="ABP18" s="1137">
        <f t="shared" si="1"/>
        <v>0</v>
      </c>
      <c r="ABQ18" s="1137">
        <f t="shared" si="1"/>
        <v>0</v>
      </c>
      <c r="ABR18" s="1137">
        <f t="shared" si="1"/>
        <v>0</v>
      </c>
      <c r="ABS18" s="1137">
        <f t="shared" si="1"/>
        <v>0</v>
      </c>
      <c r="ABT18" s="1137">
        <f t="shared" si="1"/>
        <v>0</v>
      </c>
      <c r="ABU18" s="1137">
        <f t="shared" si="1"/>
        <v>17</v>
      </c>
      <c r="ABV18" s="1137">
        <f t="shared" si="1"/>
        <v>25</v>
      </c>
      <c r="ABW18" s="1137">
        <f t="shared" si="1"/>
        <v>2</v>
      </c>
      <c r="ABX18" s="1137">
        <f t="shared" si="2"/>
        <v>30</v>
      </c>
      <c r="ABY18" s="1137">
        <f t="shared" si="2"/>
        <v>31</v>
      </c>
      <c r="ABZ18" s="1137">
        <f t="shared" si="2"/>
        <v>7</v>
      </c>
      <c r="ACA18" s="1137">
        <f t="shared" si="2"/>
        <v>0</v>
      </c>
      <c r="ACB18" s="1137">
        <f t="shared" si="2"/>
        <v>0</v>
      </c>
      <c r="ACC18" s="1137">
        <f t="shared" si="2"/>
        <v>0</v>
      </c>
      <c r="ACD18" s="1137">
        <f t="shared" si="2"/>
        <v>0</v>
      </c>
      <c r="ACE18" s="1137" t="s">
        <v>16</v>
      </c>
      <c r="ACF18" s="1137">
        <f t="shared" si="6"/>
        <v>0</v>
      </c>
      <c r="ACG18" s="1137">
        <f t="shared" si="3"/>
        <v>0</v>
      </c>
      <c r="ACH18" s="1137">
        <f t="shared" si="3"/>
        <v>1</v>
      </c>
      <c r="ACI18" s="1137">
        <f t="shared" si="3"/>
        <v>1</v>
      </c>
      <c r="ACJ18" s="1137">
        <f t="shared" si="3"/>
        <v>0</v>
      </c>
      <c r="ACK18" s="1137">
        <f t="shared" si="3"/>
        <v>0</v>
      </c>
      <c r="ACL18" s="1137">
        <f t="shared" si="3"/>
        <v>0</v>
      </c>
      <c r="ACM18" s="1137">
        <f t="shared" si="3"/>
        <v>1</v>
      </c>
      <c r="ACN18" s="1137">
        <f t="shared" si="3"/>
        <v>0</v>
      </c>
      <c r="ACO18" s="1137">
        <f t="shared" si="3"/>
        <v>0</v>
      </c>
      <c r="ACP18" s="1137">
        <f t="shared" si="3"/>
        <v>0</v>
      </c>
      <c r="ACQ18" s="1137">
        <f t="shared" si="3"/>
        <v>0</v>
      </c>
      <c r="ACR18" s="1137">
        <f t="shared" si="3"/>
        <v>0</v>
      </c>
      <c r="ACS18" s="1137">
        <f t="shared" si="3"/>
        <v>0</v>
      </c>
      <c r="ACT18" s="1137">
        <f t="shared" si="3"/>
        <v>1</v>
      </c>
      <c r="ACU18" s="1137">
        <f t="shared" si="3"/>
        <v>1</v>
      </c>
      <c r="ACV18" s="1137">
        <f t="shared" si="3"/>
        <v>0</v>
      </c>
      <c r="ACW18" s="1137">
        <f t="shared" si="4"/>
        <v>1</v>
      </c>
      <c r="ACX18" s="1137">
        <f t="shared" si="4"/>
        <v>1</v>
      </c>
      <c r="ACY18" s="1137">
        <f t="shared" si="4"/>
        <v>0</v>
      </c>
      <c r="ACZ18" s="1137">
        <f t="shared" si="4"/>
        <v>0</v>
      </c>
      <c r="ADA18" s="1137">
        <f t="shared" si="4"/>
        <v>0</v>
      </c>
      <c r="ADB18" s="1137">
        <f t="shared" si="4"/>
        <v>0</v>
      </c>
      <c r="ADC18" s="1137">
        <f t="shared" si="4"/>
        <v>0</v>
      </c>
    </row>
    <row r="19" spans="1:783" x14ac:dyDescent="0.25">
      <c r="A19" t="s">
        <v>1814</v>
      </c>
      <c r="B19" t="s">
        <v>12</v>
      </c>
      <c r="C19">
        <v>0</v>
      </c>
      <c r="D19">
        <v>0</v>
      </c>
      <c r="E19">
        <v>0</v>
      </c>
      <c r="F19">
        <v>0</v>
      </c>
      <c r="G19">
        <v>0</v>
      </c>
      <c r="H19">
        <v>0</v>
      </c>
      <c r="I19">
        <v>0</v>
      </c>
      <c r="J19">
        <v>0</v>
      </c>
      <c r="K19">
        <v>0</v>
      </c>
      <c r="L19">
        <v>0</v>
      </c>
      <c r="M19">
        <v>0</v>
      </c>
      <c r="N19">
        <v>0</v>
      </c>
      <c r="O19">
        <v>0</v>
      </c>
      <c r="P19">
        <v>0</v>
      </c>
      <c r="Q19">
        <v>0</v>
      </c>
      <c r="R19">
        <v>0</v>
      </c>
      <c r="S19">
        <v>0</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v>0</v>
      </c>
      <c r="BD19">
        <v>0</v>
      </c>
      <c r="BE19">
        <v>0</v>
      </c>
      <c r="BF19">
        <v>0</v>
      </c>
      <c r="BG19">
        <v>0</v>
      </c>
      <c r="BH19">
        <v>0</v>
      </c>
      <c r="BI19">
        <v>0</v>
      </c>
      <c r="BJ19">
        <v>0</v>
      </c>
      <c r="BK19">
        <v>0</v>
      </c>
      <c r="BL19">
        <v>0</v>
      </c>
      <c r="BM19">
        <v>0</v>
      </c>
      <c r="BN19">
        <v>0</v>
      </c>
      <c r="BO19">
        <v>0</v>
      </c>
      <c r="BP19">
        <v>0</v>
      </c>
      <c r="BQ19">
        <v>0</v>
      </c>
      <c r="BR19">
        <v>0</v>
      </c>
      <c r="BS19">
        <v>0</v>
      </c>
      <c r="BT19">
        <v>0</v>
      </c>
      <c r="BU19">
        <v>0</v>
      </c>
      <c r="BV19">
        <v>0</v>
      </c>
      <c r="BW19">
        <v>0</v>
      </c>
      <c r="BX19">
        <v>0</v>
      </c>
      <c r="BY19">
        <v>0</v>
      </c>
      <c r="BZ19">
        <v>0</v>
      </c>
      <c r="CA19">
        <v>0</v>
      </c>
      <c r="CB19">
        <v>0</v>
      </c>
      <c r="CC19">
        <v>2</v>
      </c>
      <c r="CD19">
        <v>2</v>
      </c>
      <c r="CE19">
        <v>2</v>
      </c>
      <c r="CF19">
        <v>2</v>
      </c>
      <c r="CG19">
        <v>2</v>
      </c>
      <c r="CH19">
        <v>2</v>
      </c>
      <c r="CI19">
        <v>2</v>
      </c>
      <c r="CJ19">
        <v>2</v>
      </c>
      <c r="CK19">
        <v>2</v>
      </c>
      <c r="CL19">
        <v>2</v>
      </c>
      <c r="CM19">
        <v>2</v>
      </c>
      <c r="CN19">
        <v>2</v>
      </c>
      <c r="CO19">
        <v>2</v>
      </c>
      <c r="CP19">
        <v>2</v>
      </c>
      <c r="CQ19">
        <v>2</v>
      </c>
      <c r="CR19">
        <v>2</v>
      </c>
      <c r="CS19">
        <v>2</v>
      </c>
      <c r="CT19">
        <v>2</v>
      </c>
      <c r="CU19">
        <v>2</v>
      </c>
      <c r="CV19">
        <v>2</v>
      </c>
      <c r="CW19">
        <v>2</v>
      </c>
      <c r="CX19">
        <v>2</v>
      </c>
      <c r="CY19">
        <v>2</v>
      </c>
      <c r="CZ19">
        <v>2</v>
      </c>
      <c r="DA19">
        <v>2</v>
      </c>
      <c r="DB19">
        <v>2</v>
      </c>
      <c r="DC19">
        <v>2</v>
      </c>
      <c r="DD19">
        <v>2</v>
      </c>
      <c r="DE19">
        <v>2</v>
      </c>
      <c r="DF19">
        <v>2</v>
      </c>
      <c r="DG19">
        <v>2</v>
      </c>
      <c r="DH19">
        <v>2</v>
      </c>
      <c r="DI19">
        <v>2</v>
      </c>
      <c r="DJ19">
        <v>2</v>
      </c>
      <c r="DK19">
        <v>2</v>
      </c>
      <c r="DL19">
        <v>2</v>
      </c>
      <c r="DM19">
        <v>2</v>
      </c>
      <c r="DN19">
        <v>2</v>
      </c>
      <c r="DO19">
        <v>2</v>
      </c>
      <c r="DP19">
        <v>2</v>
      </c>
      <c r="DQ19">
        <v>2</v>
      </c>
      <c r="DR19">
        <v>2</v>
      </c>
      <c r="DS19">
        <v>2</v>
      </c>
      <c r="DT19">
        <v>2</v>
      </c>
      <c r="DU19">
        <v>2</v>
      </c>
      <c r="DV19">
        <v>2</v>
      </c>
      <c r="DW19">
        <v>2</v>
      </c>
      <c r="DX19">
        <v>2</v>
      </c>
      <c r="DY19">
        <v>2</v>
      </c>
      <c r="DZ19">
        <v>2</v>
      </c>
      <c r="EA19">
        <v>2</v>
      </c>
      <c r="EB19">
        <v>2</v>
      </c>
      <c r="EC19">
        <v>2</v>
      </c>
      <c r="ED19">
        <v>2</v>
      </c>
      <c r="EE19">
        <v>2</v>
      </c>
      <c r="EF19">
        <v>2</v>
      </c>
      <c r="EG19">
        <v>2</v>
      </c>
      <c r="EH19">
        <v>2</v>
      </c>
      <c r="EI19">
        <v>2</v>
      </c>
      <c r="EJ19">
        <v>2</v>
      </c>
      <c r="EK19">
        <v>2</v>
      </c>
      <c r="EL19">
        <v>2</v>
      </c>
      <c r="EM19">
        <v>2</v>
      </c>
      <c r="EN19">
        <v>2</v>
      </c>
      <c r="EO19">
        <v>2</v>
      </c>
      <c r="EP19">
        <v>2</v>
      </c>
      <c r="EQ19">
        <v>2</v>
      </c>
      <c r="ER19">
        <v>2</v>
      </c>
      <c r="ES19">
        <v>2</v>
      </c>
      <c r="ET19">
        <v>2</v>
      </c>
      <c r="EU19">
        <v>2</v>
      </c>
      <c r="EV19">
        <v>2</v>
      </c>
      <c r="EW19">
        <v>2</v>
      </c>
      <c r="EX19">
        <v>0</v>
      </c>
      <c r="EY19">
        <v>0</v>
      </c>
      <c r="EZ19">
        <v>0</v>
      </c>
      <c r="FA19">
        <v>0</v>
      </c>
      <c r="FB19">
        <v>0</v>
      </c>
      <c r="FC19">
        <v>0</v>
      </c>
      <c r="FD19">
        <v>0</v>
      </c>
      <c r="FE19">
        <v>0</v>
      </c>
      <c r="FF19">
        <v>0</v>
      </c>
      <c r="FG19">
        <v>0</v>
      </c>
      <c r="FH19">
        <v>0</v>
      </c>
      <c r="FI19">
        <v>0</v>
      </c>
      <c r="FJ19">
        <v>0</v>
      </c>
      <c r="FK19">
        <v>0</v>
      </c>
      <c r="FL19">
        <v>0</v>
      </c>
      <c r="FM19">
        <v>0</v>
      </c>
      <c r="FN19">
        <v>2</v>
      </c>
      <c r="FO19">
        <v>2</v>
      </c>
      <c r="FP19">
        <v>2</v>
      </c>
      <c r="FQ19">
        <v>2</v>
      </c>
      <c r="FR19">
        <v>2</v>
      </c>
      <c r="FS19">
        <v>2</v>
      </c>
      <c r="FT19">
        <v>2</v>
      </c>
      <c r="FU19">
        <v>2</v>
      </c>
      <c r="FV19">
        <v>2</v>
      </c>
      <c r="FW19">
        <v>2</v>
      </c>
      <c r="FX19">
        <v>2</v>
      </c>
      <c r="FY19">
        <v>2</v>
      </c>
      <c r="FZ19">
        <v>2</v>
      </c>
      <c r="GA19">
        <v>2</v>
      </c>
      <c r="GB19">
        <v>2</v>
      </c>
      <c r="GC19">
        <v>2</v>
      </c>
      <c r="GD19">
        <v>2</v>
      </c>
      <c r="GE19">
        <v>2</v>
      </c>
      <c r="GF19">
        <v>2</v>
      </c>
      <c r="GG19">
        <v>2</v>
      </c>
      <c r="GH19">
        <v>2</v>
      </c>
      <c r="GI19">
        <v>2</v>
      </c>
      <c r="GJ19">
        <v>2</v>
      </c>
      <c r="GK19">
        <v>2</v>
      </c>
      <c r="GL19">
        <v>2</v>
      </c>
      <c r="GM19">
        <v>2</v>
      </c>
      <c r="GN19">
        <v>2</v>
      </c>
      <c r="GO19">
        <v>2</v>
      </c>
      <c r="GP19">
        <v>2</v>
      </c>
      <c r="GQ19">
        <v>2</v>
      </c>
      <c r="GR19">
        <v>2</v>
      </c>
      <c r="GS19">
        <v>2</v>
      </c>
      <c r="GT19">
        <v>2</v>
      </c>
      <c r="GU19">
        <v>2</v>
      </c>
      <c r="GV19">
        <v>2</v>
      </c>
      <c r="GW19">
        <v>2</v>
      </c>
      <c r="GX19">
        <v>2</v>
      </c>
      <c r="GY19">
        <v>2</v>
      </c>
      <c r="GZ19">
        <v>2</v>
      </c>
      <c r="HA19">
        <v>2</v>
      </c>
      <c r="HB19">
        <v>2</v>
      </c>
      <c r="HC19">
        <v>2</v>
      </c>
      <c r="HD19">
        <v>2</v>
      </c>
      <c r="HE19">
        <v>2</v>
      </c>
      <c r="HF19">
        <v>2</v>
      </c>
      <c r="HG19">
        <v>2</v>
      </c>
      <c r="HH19">
        <v>2</v>
      </c>
      <c r="HI19">
        <v>2</v>
      </c>
      <c r="HJ19">
        <v>2</v>
      </c>
      <c r="HK19">
        <v>2</v>
      </c>
      <c r="HL19">
        <v>2</v>
      </c>
      <c r="HM19">
        <v>2</v>
      </c>
      <c r="HN19">
        <v>2</v>
      </c>
      <c r="HO19">
        <v>2</v>
      </c>
      <c r="HP19">
        <v>2</v>
      </c>
      <c r="HQ19">
        <v>2</v>
      </c>
      <c r="HR19">
        <v>2</v>
      </c>
      <c r="HS19">
        <v>2</v>
      </c>
      <c r="HT19">
        <v>2</v>
      </c>
      <c r="HU19">
        <v>2</v>
      </c>
      <c r="HV19">
        <v>2</v>
      </c>
      <c r="HW19">
        <v>2</v>
      </c>
      <c r="HX19">
        <v>2</v>
      </c>
      <c r="HY19">
        <v>2</v>
      </c>
      <c r="HZ19">
        <v>2</v>
      </c>
      <c r="IA19">
        <v>2</v>
      </c>
      <c r="IB19">
        <v>2</v>
      </c>
      <c r="IC19">
        <v>2</v>
      </c>
      <c r="ID19">
        <v>2</v>
      </c>
      <c r="IE19">
        <v>2</v>
      </c>
      <c r="IF19">
        <v>2</v>
      </c>
      <c r="IG19">
        <v>2</v>
      </c>
      <c r="IH19">
        <v>2</v>
      </c>
      <c r="II19">
        <v>2</v>
      </c>
      <c r="IJ19">
        <v>2</v>
      </c>
      <c r="IK19">
        <v>2</v>
      </c>
      <c r="IL19">
        <v>2</v>
      </c>
      <c r="IM19">
        <v>2</v>
      </c>
      <c r="IN19">
        <v>2</v>
      </c>
      <c r="IO19">
        <v>2</v>
      </c>
      <c r="IP19">
        <v>2</v>
      </c>
      <c r="IQ19">
        <v>2</v>
      </c>
      <c r="IR19">
        <v>2</v>
      </c>
      <c r="IS19">
        <v>2</v>
      </c>
      <c r="IT19">
        <v>2</v>
      </c>
      <c r="IU19">
        <v>2</v>
      </c>
      <c r="IV19">
        <v>2</v>
      </c>
      <c r="IW19">
        <v>2</v>
      </c>
      <c r="IX19">
        <v>2</v>
      </c>
      <c r="IY19">
        <v>2</v>
      </c>
      <c r="IZ19">
        <v>2</v>
      </c>
      <c r="JA19">
        <v>2</v>
      </c>
      <c r="JB19">
        <v>2</v>
      </c>
      <c r="JC19">
        <v>2</v>
      </c>
      <c r="JD19">
        <v>2</v>
      </c>
      <c r="JE19">
        <v>2</v>
      </c>
      <c r="JF19">
        <v>2</v>
      </c>
      <c r="JG19">
        <v>2</v>
      </c>
      <c r="JH19">
        <v>2</v>
      </c>
      <c r="JI19">
        <v>2</v>
      </c>
      <c r="JJ19">
        <v>2</v>
      </c>
      <c r="JK19">
        <v>2</v>
      </c>
      <c r="JL19">
        <v>2</v>
      </c>
      <c r="JM19">
        <v>2</v>
      </c>
      <c r="JN19">
        <v>2</v>
      </c>
      <c r="JO19">
        <v>2</v>
      </c>
      <c r="JP19">
        <v>2</v>
      </c>
      <c r="JQ19">
        <v>2</v>
      </c>
      <c r="JR19">
        <v>2</v>
      </c>
      <c r="JS19">
        <v>2</v>
      </c>
      <c r="JT19">
        <v>2</v>
      </c>
      <c r="JU19">
        <v>2</v>
      </c>
      <c r="JV19">
        <v>2</v>
      </c>
      <c r="JW19">
        <v>2</v>
      </c>
      <c r="JX19">
        <v>2</v>
      </c>
      <c r="JY19">
        <v>2</v>
      </c>
      <c r="JZ19">
        <v>2</v>
      </c>
      <c r="KA19">
        <v>2</v>
      </c>
      <c r="KB19">
        <v>2</v>
      </c>
      <c r="KC19">
        <v>2</v>
      </c>
      <c r="KD19">
        <v>2</v>
      </c>
      <c r="KE19">
        <v>2</v>
      </c>
      <c r="KF19">
        <v>2</v>
      </c>
      <c r="KG19">
        <v>2</v>
      </c>
      <c r="KH19">
        <v>2</v>
      </c>
      <c r="KI19">
        <v>2</v>
      </c>
      <c r="KJ19">
        <v>2</v>
      </c>
      <c r="KK19">
        <v>2</v>
      </c>
      <c r="KL19">
        <v>2</v>
      </c>
      <c r="KM19">
        <v>2</v>
      </c>
      <c r="KN19">
        <v>2</v>
      </c>
      <c r="KO19">
        <v>2</v>
      </c>
      <c r="KP19">
        <v>2</v>
      </c>
      <c r="KQ19">
        <v>2</v>
      </c>
      <c r="KR19">
        <v>2</v>
      </c>
      <c r="KS19">
        <v>2</v>
      </c>
      <c r="KT19">
        <v>2</v>
      </c>
      <c r="KU19">
        <v>2</v>
      </c>
      <c r="KV19">
        <v>2</v>
      </c>
      <c r="KW19">
        <v>2</v>
      </c>
      <c r="KX19">
        <v>2</v>
      </c>
      <c r="KY19">
        <v>2</v>
      </c>
      <c r="KZ19">
        <v>2</v>
      </c>
      <c r="LA19">
        <v>2</v>
      </c>
      <c r="LB19">
        <v>2</v>
      </c>
      <c r="LC19">
        <v>2</v>
      </c>
      <c r="LD19">
        <v>2</v>
      </c>
      <c r="LE19">
        <v>2</v>
      </c>
      <c r="LF19">
        <v>2</v>
      </c>
      <c r="LG19">
        <v>2</v>
      </c>
      <c r="LH19">
        <v>2</v>
      </c>
      <c r="LI19">
        <v>2</v>
      </c>
      <c r="LJ19">
        <v>2</v>
      </c>
      <c r="LK19">
        <v>2</v>
      </c>
      <c r="LL19">
        <v>2</v>
      </c>
      <c r="LM19">
        <v>2</v>
      </c>
      <c r="LN19">
        <v>2</v>
      </c>
      <c r="LO19">
        <v>2</v>
      </c>
      <c r="LP19">
        <v>2</v>
      </c>
      <c r="LQ19">
        <v>2</v>
      </c>
      <c r="LR19">
        <v>2</v>
      </c>
      <c r="LS19">
        <v>2</v>
      </c>
      <c r="LT19">
        <v>2</v>
      </c>
      <c r="LU19">
        <v>2</v>
      </c>
      <c r="LV19">
        <v>2</v>
      </c>
      <c r="LW19">
        <v>2</v>
      </c>
      <c r="LX19">
        <v>2</v>
      </c>
      <c r="LY19">
        <v>2</v>
      </c>
      <c r="LZ19">
        <v>2</v>
      </c>
      <c r="MA19">
        <v>2</v>
      </c>
      <c r="MB19">
        <v>2</v>
      </c>
      <c r="MC19">
        <v>2</v>
      </c>
      <c r="MD19">
        <v>2</v>
      </c>
      <c r="ME19">
        <v>2</v>
      </c>
      <c r="MF19">
        <v>2</v>
      </c>
      <c r="MG19">
        <v>2</v>
      </c>
      <c r="MH19">
        <v>2</v>
      </c>
      <c r="MI19">
        <v>2</v>
      </c>
      <c r="MJ19">
        <v>2</v>
      </c>
      <c r="MK19">
        <v>2</v>
      </c>
      <c r="ML19">
        <v>2</v>
      </c>
      <c r="MM19">
        <v>2</v>
      </c>
      <c r="MN19">
        <v>2</v>
      </c>
      <c r="MO19">
        <v>2</v>
      </c>
      <c r="MP19">
        <v>2</v>
      </c>
      <c r="MQ19">
        <v>2</v>
      </c>
      <c r="MR19">
        <v>2</v>
      </c>
      <c r="MS19">
        <v>2</v>
      </c>
      <c r="MT19">
        <v>2</v>
      </c>
      <c r="MU19">
        <v>2</v>
      </c>
      <c r="MV19">
        <v>2</v>
      </c>
      <c r="MW19">
        <v>2</v>
      </c>
      <c r="MX19">
        <v>2</v>
      </c>
      <c r="MY19">
        <v>2</v>
      </c>
      <c r="MZ19">
        <v>2</v>
      </c>
      <c r="NA19">
        <v>2</v>
      </c>
      <c r="NB19">
        <v>2</v>
      </c>
      <c r="NC19">
        <v>2</v>
      </c>
      <c r="ND19">
        <v>2</v>
      </c>
      <c r="NE19">
        <v>2</v>
      </c>
      <c r="NF19">
        <v>2</v>
      </c>
      <c r="NG19">
        <v>2</v>
      </c>
      <c r="NH19">
        <v>2</v>
      </c>
      <c r="NI19">
        <v>2</v>
      </c>
      <c r="NJ19">
        <v>2</v>
      </c>
      <c r="NK19">
        <v>2</v>
      </c>
      <c r="NL19">
        <v>2</v>
      </c>
      <c r="NM19">
        <v>2</v>
      </c>
      <c r="NN19">
        <v>2</v>
      </c>
      <c r="NO19">
        <v>2</v>
      </c>
      <c r="NP19">
        <v>2</v>
      </c>
      <c r="NQ19">
        <v>2</v>
      </c>
      <c r="NR19">
        <v>2</v>
      </c>
      <c r="NS19">
        <v>2</v>
      </c>
      <c r="NT19">
        <v>2</v>
      </c>
      <c r="NU19">
        <v>2</v>
      </c>
      <c r="NV19">
        <v>2</v>
      </c>
      <c r="NW19">
        <v>2</v>
      </c>
      <c r="NX19">
        <v>2</v>
      </c>
      <c r="NY19">
        <v>2</v>
      </c>
      <c r="NZ19">
        <v>2</v>
      </c>
      <c r="OA19">
        <v>2</v>
      </c>
      <c r="OB19">
        <v>2</v>
      </c>
      <c r="OC19">
        <v>2</v>
      </c>
      <c r="OD19">
        <v>2</v>
      </c>
      <c r="OE19">
        <v>2</v>
      </c>
      <c r="OF19">
        <v>2</v>
      </c>
      <c r="OG19">
        <v>2</v>
      </c>
      <c r="OH19">
        <v>2</v>
      </c>
      <c r="OI19">
        <v>2</v>
      </c>
      <c r="OJ19">
        <v>2</v>
      </c>
      <c r="OK19">
        <v>2</v>
      </c>
      <c r="OL19">
        <v>2</v>
      </c>
      <c r="OM19">
        <v>2</v>
      </c>
      <c r="ON19">
        <v>2</v>
      </c>
      <c r="OO19">
        <v>2</v>
      </c>
      <c r="OP19">
        <v>2</v>
      </c>
      <c r="OQ19">
        <v>2</v>
      </c>
      <c r="OR19">
        <v>2</v>
      </c>
      <c r="OS19">
        <v>2</v>
      </c>
      <c r="OT19">
        <v>2</v>
      </c>
      <c r="OU19">
        <v>2</v>
      </c>
      <c r="OV19">
        <v>2</v>
      </c>
      <c r="OW19">
        <v>2</v>
      </c>
      <c r="OX19">
        <v>2</v>
      </c>
      <c r="OY19">
        <v>2</v>
      </c>
      <c r="OZ19">
        <v>2</v>
      </c>
      <c r="PA19">
        <v>2</v>
      </c>
      <c r="PB19">
        <v>2</v>
      </c>
      <c r="PC19">
        <v>2</v>
      </c>
      <c r="PD19">
        <v>2</v>
      </c>
      <c r="PE19">
        <v>2</v>
      </c>
      <c r="PF19">
        <v>2</v>
      </c>
      <c r="PG19">
        <v>2</v>
      </c>
      <c r="PH19">
        <v>2</v>
      </c>
      <c r="PI19">
        <v>2</v>
      </c>
      <c r="PJ19">
        <v>2</v>
      </c>
      <c r="PK19">
        <v>2</v>
      </c>
      <c r="PL19">
        <v>2</v>
      </c>
      <c r="PM19">
        <v>2</v>
      </c>
      <c r="PN19">
        <v>2</v>
      </c>
      <c r="PO19">
        <v>2</v>
      </c>
      <c r="PP19">
        <v>2</v>
      </c>
      <c r="PQ19">
        <v>2</v>
      </c>
      <c r="PR19">
        <v>2</v>
      </c>
      <c r="PS19">
        <v>2</v>
      </c>
      <c r="PT19">
        <v>2</v>
      </c>
      <c r="PU19">
        <v>2</v>
      </c>
      <c r="PV19">
        <v>2</v>
      </c>
      <c r="PW19">
        <v>2</v>
      </c>
      <c r="PX19">
        <v>2</v>
      </c>
      <c r="PY19">
        <v>2</v>
      </c>
      <c r="PZ19">
        <v>2</v>
      </c>
      <c r="QA19">
        <v>2</v>
      </c>
      <c r="QB19">
        <v>2</v>
      </c>
      <c r="QC19">
        <v>2</v>
      </c>
      <c r="QD19">
        <v>2</v>
      </c>
      <c r="QE19">
        <v>2</v>
      </c>
      <c r="QF19">
        <v>2</v>
      </c>
      <c r="QG19">
        <v>2</v>
      </c>
      <c r="QH19">
        <v>2</v>
      </c>
      <c r="QI19">
        <v>2</v>
      </c>
      <c r="QJ19">
        <v>2</v>
      </c>
      <c r="QK19">
        <v>2</v>
      </c>
      <c r="QL19">
        <v>2</v>
      </c>
      <c r="QM19">
        <v>2</v>
      </c>
      <c r="QN19">
        <v>2</v>
      </c>
      <c r="QO19">
        <v>2</v>
      </c>
      <c r="QP19">
        <v>2</v>
      </c>
      <c r="QQ19">
        <v>2</v>
      </c>
      <c r="QR19">
        <v>2</v>
      </c>
      <c r="QS19">
        <v>2</v>
      </c>
      <c r="QT19">
        <v>2</v>
      </c>
      <c r="QU19">
        <v>2</v>
      </c>
      <c r="QV19">
        <v>2</v>
      </c>
      <c r="QW19">
        <v>2</v>
      </c>
      <c r="QX19">
        <v>2</v>
      </c>
      <c r="QY19">
        <v>2</v>
      </c>
      <c r="QZ19">
        <v>2</v>
      </c>
      <c r="RA19">
        <v>2</v>
      </c>
      <c r="RB19">
        <v>2</v>
      </c>
      <c r="RC19">
        <v>2</v>
      </c>
      <c r="RD19">
        <v>2</v>
      </c>
      <c r="RE19">
        <v>2</v>
      </c>
      <c r="RF19">
        <v>2</v>
      </c>
      <c r="RG19">
        <v>2</v>
      </c>
      <c r="RH19">
        <v>2</v>
      </c>
      <c r="RI19">
        <v>2</v>
      </c>
      <c r="RJ19">
        <v>2</v>
      </c>
      <c r="RK19">
        <v>2</v>
      </c>
      <c r="RL19">
        <v>2</v>
      </c>
      <c r="RM19">
        <v>2</v>
      </c>
      <c r="RN19">
        <v>2</v>
      </c>
      <c r="RO19">
        <v>2</v>
      </c>
      <c r="RP19">
        <v>2</v>
      </c>
      <c r="RQ19">
        <v>2</v>
      </c>
      <c r="RR19">
        <v>2</v>
      </c>
      <c r="RS19">
        <v>2</v>
      </c>
      <c r="RT19">
        <v>2</v>
      </c>
      <c r="RU19">
        <v>2</v>
      </c>
      <c r="RV19">
        <v>2</v>
      </c>
      <c r="RW19">
        <v>2</v>
      </c>
      <c r="RX19">
        <v>2</v>
      </c>
      <c r="RY19">
        <v>2</v>
      </c>
      <c r="RZ19">
        <v>2</v>
      </c>
      <c r="SA19">
        <v>2</v>
      </c>
      <c r="SB19">
        <v>2</v>
      </c>
      <c r="SC19">
        <v>2</v>
      </c>
      <c r="SD19">
        <v>2</v>
      </c>
      <c r="SE19">
        <v>2</v>
      </c>
      <c r="SF19">
        <v>2</v>
      </c>
      <c r="SG19">
        <v>2</v>
      </c>
      <c r="SH19">
        <v>2</v>
      </c>
      <c r="SI19">
        <v>2</v>
      </c>
      <c r="SJ19">
        <v>2</v>
      </c>
      <c r="SK19">
        <v>2</v>
      </c>
      <c r="SL19">
        <v>2</v>
      </c>
      <c r="SM19">
        <v>2</v>
      </c>
      <c r="SN19">
        <v>2</v>
      </c>
      <c r="SO19">
        <v>2</v>
      </c>
      <c r="SP19">
        <v>2</v>
      </c>
      <c r="SQ19">
        <v>2</v>
      </c>
      <c r="SR19">
        <v>0</v>
      </c>
      <c r="SS19">
        <v>0</v>
      </c>
      <c r="ST19">
        <v>0</v>
      </c>
      <c r="SU19">
        <v>0</v>
      </c>
      <c r="SV19">
        <v>0</v>
      </c>
      <c r="SW19">
        <v>0</v>
      </c>
      <c r="SX19">
        <v>0</v>
      </c>
      <c r="SY19">
        <v>1</v>
      </c>
      <c r="SZ19">
        <v>1</v>
      </c>
      <c r="TA19">
        <v>1</v>
      </c>
      <c r="TB19">
        <v>1</v>
      </c>
      <c r="TC19">
        <v>1</v>
      </c>
      <c r="TD19">
        <v>1</v>
      </c>
      <c r="TE19">
        <v>1</v>
      </c>
      <c r="TF19">
        <v>1</v>
      </c>
      <c r="TG19">
        <v>1</v>
      </c>
      <c r="TH19">
        <v>1</v>
      </c>
      <c r="TI19">
        <v>1</v>
      </c>
      <c r="TJ19">
        <v>1</v>
      </c>
      <c r="TK19">
        <v>1</v>
      </c>
      <c r="TL19">
        <v>1</v>
      </c>
      <c r="TM19">
        <v>1</v>
      </c>
      <c r="TN19">
        <v>1</v>
      </c>
      <c r="TO19">
        <v>1</v>
      </c>
      <c r="TP19">
        <v>2</v>
      </c>
      <c r="TQ19">
        <v>2</v>
      </c>
      <c r="TR19">
        <v>2</v>
      </c>
      <c r="TS19">
        <v>2</v>
      </c>
      <c r="TT19">
        <v>2</v>
      </c>
      <c r="TU19">
        <v>2</v>
      </c>
      <c r="TV19">
        <v>2</v>
      </c>
      <c r="TW19">
        <v>2</v>
      </c>
      <c r="TX19">
        <v>2</v>
      </c>
      <c r="TY19">
        <v>2</v>
      </c>
      <c r="TZ19">
        <v>2</v>
      </c>
      <c r="UA19">
        <v>2</v>
      </c>
      <c r="UB19">
        <v>2</v>
      </c>
      <c r="UC19">
        <v>2</v>
      </c>
      <c r="UD19">
        <v>2</v>
      </c>
      <c r="UE19">
        <v>2</v>
      </c>
      <c r="UF19">
        <v>2</v>
      </c>
      <c r="UG19">
        <v>2</v>
      </c>
      <c r="UH19">
        <v>2</v>
      </c>
      <c r="UI19">
        <v>2</v>
      </c>
      <c r="UJ19">
        <v>2</v>
      </c>
      <c r="UK19">
        <v>2</v>
      </c>
      <c r="UL19">
        <v>2</v>
      </c>
      <c r="UM19">
        <v>2</v>
      </c>
      <c r="UN19">
        <v>2</v>
      </c>
      <c r="UO19">
        <v>2</v>
      </c>
      <c r="UP19">
        <v>2</v>
      </c>
      <c r="UQ19">
        <v>2</v>
      </c>
      <c r="UR19">
        <v>0</v>
      </c>
      <c r="US19">
        <v>0</v>
      </c>
      <c r="UT19">
        <v>0</v>
      </c>
      <c r="UU19">
        <v>0</v>
      </c>
      <c r="UV19">
        <v>0</v>
      </c>
      <c r="UW19">
        <v>0</v>
      </c>
      <c r="UX19">
        <v>0</v>
      </c>
      <c r="UY19">
        <v>0</v>
      </c>
      <c r="UZ19">
        <v>2</v>
      </c>
      <c r="VA19">
        <v>2</v>
      </c>
      <c r="VB19">
        <v>2</v>
      </c>
      <c r="VC19">
        <v>2</v>
      </c>
      <c r="VD19">
        <v>2</v>
      </c>
      <c r="VE19">
        <v>2</v>
      </c>
      <c r="VF19">
        <v>2</v>
      </c>
      <c r="VG19">
        <v>2</v>
      </c>
      <c r="VH19">
        <v>2</v>
      </c>
      <c r="VI19">
        <v>2</v>
      </c>
      <c r="VJ19">
        <v>2</v>
      </c>
      <c r="VK19">
        <v>2</v>
      </c>
      <c r="VL19">
        <v>2</v>
      </c>
      <c r="VM19">
        <v>2</v>
      </c>
      <c r="VN19">
        <v>0</v>
      </c>
      <c r="VO19">
        <v>0</v>
      </c>
      <c r="VP19">
        <v>0</v>
      </c>
      <c r="VQ19">
        <v>0</v>
      </c>
      <c r="VR19">
        <v>0</v>
      </c>
      <c r="VS19">
        <v>0</v>
      </c>
      <c r="VT19">
        <v>0</v>
      </c>
      <c r="VU19">
        <v>0</v>
      </c>
      <c r="VV19">
        <v>0</v>
      </c>
      <c r="VW19">
        <v>0</v>
      </c>
      <c r="VX19">
        <v>0</v>
      </c>
      <c r="VY19">
        <v>0</v>
      </c>
      <c r="VZ19">
        <v>0</v>
      </c>
      <c r="WA19">
        <v>0</v>
      </c>
      <c r="WB19">
        <v>0</v>
      </c>
      <c r="WC19">
        <v>0</v>
      </c>
      <c r="WD19">
        <v>0</v>
      </c>
      <c r="WE19">
        <v>0</v>
      </c>
      <c r="WF19">
        <v>0</v>
      </c>
      <c r="WG19">
        <v>0</v>
      </c>
      <c r="WH19">
        <v>0</v>
      </c>
      <c r="WI19">
        <v>0</v>
      </c>
      <c r="WJ19">
        <v>0</v>
      </c>
      <c r="WK19">
        <v>0</v>
      </c>
      <c r="WL19">
        <v>0</v>
      </c>
      <c r="WM19">
        <v>0</v>
      </c>
      <c r="WN19">
        <v>0</v>
      </c>
      <c r="WO19">
        <v>0</v>
      </c>
      <c r="WP19">
        <v>0</v>
      </c>
      <c r="WQ19">
        <v>0</v>
      </c>
      <c r="WR19">
        <v>0</v>
      </c>
      <c r="WS19">
        <v>0</v>
      </c>
      <c r="WT19">
        <v>0</v>
      </c>
      <c r="WU19">
        <v>0</v>
      </c>
      <c r="WV19">
        <v>0</v>
      </c>
      <c r="WW19">
        <v>0</v>
      </c>
      <c r="WX19">
        <v>0</v>
      </c>
      <c r="WY19">
        <v>0</v>
      </c>
      <c r="WZ19">
        <v>0</v>
      </c>
      <c r="XA19">
        <v>0</v>
      </c>
      <c r="XB19">
        <v>0</v>
      </c>
      <c r="XC19">
        <v>0</v>
      </c>
      <c r="XD19">
        <v>0</v>
      </c>
      <c r="XE19">
        <v>0</v>
      </c>
      <c r="XF19">
        <v>0</v>
      </c>
      <c r="XG19">
        <v>0</v>
      </c>
      <c r="XH19">
        <v>0</v>
      </c>
      <c r="XI19">
        <v>0</v>
      </c>
      <c r="XJ19">
        <v>0</v>
      </c>
      <c r="XK19">
        <v>0</v>
      </c>
      <c r="XL19">
        <v>0</v>
      </c>
      <c r="XM19">
        <v>0</v>
      </c>
      <c r="XN19">
        <v>0</v>
      </c>
      <c r="XO19">
        <v>0</v>
      </c>
      <c r="XP19">
        <v>0</v>
      </c>
      <c r="XQ19">
        <v>0</v>
      </c>
      <c r="XR19">
        <v>0</v>
      </c>
      <c r="XS19">
        <v>0</v>
      </c>
      <c r="XT19">
        <v>0</v>
      </c>
      <c r="XU19">
        <v>0</v>
      </c>
      <c r="XV19">
        <v>0</v>
      </c>
      <c r="XW19">
        <v>0</v>
      </c>
      <c r="XX19">
        <v>0</v>
      </c>
      <c r="XY19">
        <v>0</v>
      </c>
      <c r="XZ19">
        <v>0</v>
      </c>
      <c r="YA19">
        <v>0</v>
      </c>
      <c r="YB19">
        <v>0</v>
      </c>
      <c r="YC19">
        <v>0</v>
      </c>
      <c r="YD19">
        <v>0</v>
      </c>
      <c r="YE19">
        <v>0</v>
      </c>
      <c r="YF19">
        <v>0</v>
      </c>
      <c r="YG19">
        <v>0</v>
      </c>
      <c r="YH19">
        <v>0</v>
      </c>
      <c r="YI19">
        <v>0</v>
      </c>
      <c r="YJ19">
        <v>0</v>
      </c>
      <c r="YK19">
        <v>0</v>
      </c>
      <c r="YL19">
        <v>0</v>
      </c>
      <c r="YM19">
        <v>0</v>
      </c>
      <c r="YN19">
        <v>0</v>
      </c>
      <c r="YO19">
        <v>0</v>
      </c>
      <c r="YP19">
        <v>0</v>
      </c>
      <c r="YQ19">
        <v>0</v>
      </c>
      <c r="YR19">
        <v>0</v>
      </c>
      <c r="YS19">
        <v>0</v>
      </c>
      <c r="YT19">
        <v>0</v>
      </c>
      <c r="YU19">
        <v>0</v>
      </c>
      <c r="YV19">
        <v>0</v>
      </c>
      <c r="YW19">
        <v>0</v>
      </c>
      <c r="YX19">
        <v>0</v>
      </c>
      <c r="YY19">
        <v>0</v>
      </c>
      <c r="YZ19">
        <v>0</v>
      </c>
      <c r="ZA19">
        <v>0</v>
      </c>
      <c r="ZB19">
        <v>0</v>
      </c>
      <c r="ZC19">
        <v>0</v>
      </c>
      <c r="ZD19">
        <v>0</v>
      </c>
      <c r="ZE19">
        <v>0</v>
      </c>
      <c r="ZF19">
        <v>0</v>
      </c>
      <c r="ZG19">
        <v>0</v>
      </c>
      <c r="ZH19">
        <v>0</v>
      </c>
      <c r="ZI19">
        <v>0</v>
      </c>
      <c r="ZJ19">
        <v>0</v>
      </c>
      <c r="ZK19">
        <v>0</v>
      </c>
      <c r="ZL19">
        <v>0</v>
      </c>
      <c r="ZM19">
        <v>0</v>
      </c>
      <c r="ZN19">
        <v>0</v>
      </c>
      <c r="ZO19">
        <v>0</v>
      </c>
      <c r="ZP19">
        <v>0</v>
      </c>
      <c r="ZQ19">
        <v>0</v>
      </c>
      <c r="ZR19">
        <v>0</v>
      </c>
      <c r="ZS19">
        <v>0</v>
      </c>
      <c r="ZT19">
        <v>0</v>
      </c>
      <c r="ZU19">
        <v>0</v>
      </c>
      <c r="ZV19">
        <v>0</v>
      </c>
      <c r="ZW19">
        <v>0</v>
      </c>
      <c r="ZX19">
        <v>0</v>
      </c>
      <c r="ZY19">
        <v>0</v>
      </c>
      <c r="ZZ19">
        <v>0</v>
      </c>
      <c r="AAA19">
        <v>0</v>
      </c>
      <c r="AAB19">
        <v>0</v>
      </c>
      <c r="AAC19">
        <v>0</v>
      </c>
      <c r="AAD19">
        <v>0</v>
      </c>
      <c r="AAE19">
        <v>0</v>
      </c>
      <c r="AAF19">
        <v>0</v>
      </c>
      <c r="AAG19">
        <v>0</v>
      </c>
      <c r="AAH19">
        <v>0</v>
      </c>
      <c r="AAI19">
        <v>0</v>
      </c>
      <c r="AAJ19">
        <v>0</v>
      </c>
      <c r="AAK19">
        <v>0</v>
      </c>
      <c r="AAL19">
        <v>0</v>
      </c>
      <c r="AAM19">
        <v>0</v>
      </c>
      <c r="AAN19">
        <v>0</v>
      </c>
      <c r="AAO19">
        <v>0</v>
      </c>
      <c r="AAP19">
        <v>0</v>
      </c>
      <c r="AAQ19">
        <v>0</v>
      </c>
      <c r="AAR19">
        <v>0</v>
      </c>
      <c r="AAS19">
        <v>0</v>
      </c>
      <c r="AAT19">
        <v>0</v>
      </c>
      <c r="AAU19">
        <v>0</v>
      </c>
      <c r="AAV19">
        <v>0</v>
      </c>
      <c r="AAW19">
        <v>0</v>
      </c>
      <c r="AAX19">
        <v>0</v>
      </c>
      <c r="AAY19">
        <v>0</v>
      </c>
      <c r="AAZ19">
        <v>0</v>
      </c>
      <c r="ABA19">
        <v>0</v>
      </c>
      <c r="ABB19">
        <v>0</v>
      </c>
      <c r="ABC19">
        <v>0</v>
      </c>
      <c r="ABD19">
        <v>0</v>
      </c>
      <c r="ABE19">
        <v>0</v>
      </c>
      <c r="ABG19" s="1137">
        <f t="shared" si="5"/>
        <v>0</v>
      </c>
      <c r="ABH19" s="1137">
        <f t="shared" si="1"/>
        <v>0</v>
      </c>
      <c r="ABI19" s="1137">
        <f t="shared" si="1"/>
        <v>13</v>
      </c>
      <c r="ABJ19" s="1137">
        <f t="shared" si="1"/>
        <v>30</v>
      </c>
      <c r="ABK19" s="1137">
        <f t="shared" si="1"/>
        <v>30</v>
      </c>
      <c r="ABL19" s="1137">
        <f t="shared" si="1"/>
        <v>15</v>
      </c>
      <c r="ABM19" s="1137">
        <f t="shared" si="1"/>
        <v>31</v>
      </c>
      <c r="ABN19" s="1137">
        <f t="shared" si="1"/>
        <v>31</v>
      </c>
      <c r="ABO19" s="1137">
        <f t="shared" si="1"/>
        <v>30</v>
      </c>
      <c r="ABP19" s="1137">
        <f t="shared" si="1"/>
        <v>31</v>
      </c>
      <c r="ABQ19" s="1137">
        <f t="shared" si="1"/>
        <v>30</v>
      </c>
      <c r="ABR19" s="1137">
        <f t="shared" si="1"/>
        <v>31</v>
      </c>
      <c r="ABS19" s="1137">
        <f t="shared" si="1"/>
        <v>31</v>
      </c>
      <c r="ABT19" s="1137">
        <f t="shared" si="1"/>
        <v>28</v>
      </c>
      <c r="ABU19" s="1137">
        <f t="shared" si="1"/>
        <v>31</v>
      </c>
      <c r="ABV19" s="1137">
        <f t="shared" si="1"/>
        <v>30</v>
      </c>
      <c r="ABW19" s="1137">
        <f t="shared" si="1"/>
        <v>24</v>
      </c>
      <c r="ABX19" s="1137">
        <f t="shared" si="2"/>
        <v>30</v>
      </c>
      <c r="ABY19" s="1137">
        <f t="shared" si="2"/>
        <v>23</v>
      </c>
      <c r="ABZ19" s="1137">
        <f t="shared" si="2"/>
        <v>5</v>
      </c>
      <c r="ACA19" s="1137">
        <f t="shared" si="2"/>
        <v>0</v>
      </c>
      <c r="ACB19" s="1137">
        <f t="shared" si="2"/>
        <v>0</v>
      </c>
      <c r="ACC19" s="1137">
        <f t="shared" si="2"/>
        <v>0</v>
      </c>
      <c r="ACD19" s="1137">
        <f t="shared" si="2"/>
        <v>0</v>
      </c>
      <c r="ACE19" s="1137" t="s">
        <v>12</v>
      </c>
      <c r="ACF19" s="1137">
        <f t="shared" si="6"/>
        <v>0</v>
      </c>
      <c r="ACG19" s="1137">
        <f t="shared" si="3"/>
        <v>0</v>
      </c>
      <c r="ACH19" s="1137">
        <f t="shared" si="3"/>
        <v>1</v>
      </c>
      <c r="ACI19" s="1137">
        <f t="shared" si="3"/>
        <v>1</v>
      </c>
      <c r="ACJ19" s="1137">
        <f t="shared" si="3"/>
        <v>1</v>
      </c>
      <c r="ACK19" s="1137">
        <f t="shared" si="3"/>
        <v>1</v>
      </c>
      <c r="ACL19" s="1137">
        <f t="shared" si="3"/>
        <v>1</v>
      </c>
      <c r="ACM19" s="1137">
        <f t="shared" si="3"/>
        <v>1</v>
      </c>
      <c r="ACN19" s="1137">
        <f t="shared" si="3"/>
        <v>1</v>
      </c>
      <c r="ACO19" s="1137">
        <f t="shared" si="3"/>
        <v>1</v>
      </c>
      <c r="ACP19" s="1137">
        <f t="shared" si="3"/>
        <v>1</v>
      </c>
      <c r="ACQ19" s="1137">
        <f t="shared" si="3"/>
        <v>1</v>
      </c>
      <c r="ACR19" s="1137">
        <f t="shared" si="3"/>
        <v>1</v>
      </c>
      <c r="ACS19" s="1137">
        <f t="shared" si="3"/>
        <v>1</v>
      </c>
      <c r="ACT19" s="1137">
        <f t="shared" si="3"/>
        <v>1</v>
      </c>
      <c r="ACU19" s="1137">
        <f t="shared" si="3"/>
        <v>1</v>
      </c>
      <c r="ACV19" s="1137">
        <f t="shared" si="3"/>
        <v>1</v>
      </c>
      <c r="ACW19" s="1137">
        <f t="shared" si="4"/>
        <v>1</v>
      </c>
      <c r="ACX19" s="1137">
        <f t="shared" si="4"/>
        <v>1</v>
      </c>
      <c r="ACY19" s="1137">
        <f t="shared" si="4"/>
        <v>0</v>
      </c>
      <c r="ACZ19" s="1137">
        <f t="shared" si="4"/>
        <v>0</v>
      </c>
      <c r="ADA19" s="1137">
        <f t="shared" si="4"/>
        <v>0</v>
      </c>
      <c r="ADB19" s="1137">
        <f t="shared" si="4"/>
        <v>0</v>
      </c>
      <c r="ADC19" s="1137">
        <f t="shared" si="4"/>
        <v>0</v>
      </c>
    </row>
    <row r="20" spans="1:783" x14ac:dyDescent="0.25">
      <c r="A20" t="s">
        <v>1815</v>
      </c>
      <c r="B20" t="s">
        <v>155</v>
      </c>
      <c r="C20">
        <v>0</v>
      </c>
      <c r="D20">
        <v>0</v>
      </c>
      <c r="E20">
        <v>0</v>
      </c>
      <c r="F20">
        <v>0</v>
      </c>
      <c r="G20">
        <v>0</v>
      </c>
      <c r="H20">
        <v>0</v>
      </c>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0</v>
      </c>
      <c r="AJ20">
        <v>0</v>
      </c>
      <c r="AK20">
        <v>0</v>
      </c>
      <c r="AL20">
        <v>0</v>
      </c>
      <c r="AM20">
        <v>0</v>
      </c>
      <c r="AN20">
        <v>0</v>
      </c>
      <c r="AO20">
        <v>0</v>
      </c>
      <c r="AP20">
        <v>0</v>
      </c>
      <c r="AQ20">
        <v>0</v>
      </c>
      <c r="AR20">
        <v>0</v>
      </c>
      <c r="AS20">
        <v>0</v>
      </c>
      <c r="AT20">
        <v>0</v>
      </c>
      <c r="AU20">
        <v>0</v>
      </c>
      <c r="AV20">
        <v>0</v>
      </c>
      <c r="AW20">
        <v>0</v>
      </c>
      <c r="AX20">
        <v>0</v>
      </c>
      <c r="AY20">
        <v>0</v>
      </c>
      <c r="AZ20">
        <v>0</v>
      </c>
      <c r="BA20">
        <v>0</v>
      </c>
      <c r="BB20">
        <v>0</v>
      </c>
      <c r="BC20">
        <v>0</v>
      </c>
      <c r="BD20">
        <v>0</v>
      </c>
      <c r="BE20">
        <v>0</v>
      </c>
      <c r="BF20">
        <v>0</v>
      </c>
      <c r="BG20">
        <v>0</v>
      </c>
      <c r="BH20">
        <v>0</v>
      </c>
      <c r="BI20">
        <v>0</v>
      </c>
      <c r="BJ20">
        <v>0</v>
      </c>
      <c r="BK20">
        <v>0</v>
      </c>
      <c r="BL20">
        <v>0</v>
      </c>
      <c r="BM20">
        <v>0</v>
      </c>
      <c r="BN20">
        <v>0</v>
      </c>
      <c r="BO20">
        <v>0</v>
      </c>
      <c r="BP20">
        <v>0</v>
      </c>
      <c r="BQ20">
        <v>0</v>
      </c>
      <c r="BR20">
        <v>0</v>
      </c>
      <c r="BS20">
        <v>0</v>
      </c>
      <c r="BT20">
        <v>0</v>
      </c>
      <c r="BU20">
        <v>0</v>
      </c>
      <c r="BV20">
        <v>0</v>
      </c>
      <c r="BW20">
        <v>0</v>
      </c>
      <c r="BX20">
        <v>0</v>
      </c>
      <c r="BY20">
        <v>0</v>
      </c>
      <c r="BZ20">
        <v>0</v>
      </c>
      <c r="CA20">
        <v>0</v>
      </c>
      <c r="CB20">
        <v>2</v>
      </c>
      <c r="CC20">
        <v>2</v>
      </c>
      <c r="CD20">
        <v>2</v>
      </c>
      <c r="CE20">
        <v>2</v>
      </c>
      <c r="CF20">
        <v>2</v>
      </c>
      <c r="CG20">
        <v>2</v>
      </c>
      <c r="CH20">
        <v>2</v>
      </c>
      <c r="CI20">
        <v>2</v>
      </c>
      <c r="CJ20">
        <v>2</v>
      </c>
      <c r="CK20">
        <v>2</v>
      </c>
      <c r="CL20">
        <v>2</v>
      </c>
      <c r="CM20">
        <v>2</v>
      </c>
      <c r="CN20">
        <v>2</v>
      </c>
      <c r="CO20">
        <v>2</v>
      </c>
      <c r="CP20">
        <v>2</v>
      </c>
      <c r="CQ20">
        <v>2</v>
      </c>
      <c r="CR20">
        <v>2</v>
      </c>
      <c r="CS20">
        <v>2</v>
      </c>
      <c r="CT20">
        <v>2</v>
      </c>
      <c r="CU20">
        <v>2</v>
      </c>
      <c r="CV20">
        <v>2</v>
      </c>
      <c r="CW20">
        <v>2</v>
      </c>
      <c r="CX20">
        <v>2</v>
      </c>
      <c r="CY20">
        <v>2</v>
      </c>
      <c r="CZ20">
        <v>2</v>
      </c>
      <c r="DA20">
        <v>2</v>
      </c>
      <c r="DB20">
        <v>2</v>
      </c>
      <c r="DC20">
        <v>2</v>
      </c>
      <c r="DD20">
        <v>2</v>
      </c>
      <c r="DE20">
        <v>2</v>
      </c>
      <c r="DF20">
        <v>2</v>
      </c>
      <c r="DG20">
        <v>2</v>
      </c>
      <c r="DH20">
        <v>2</v>
      </c>
      <c r="DI20">
        <v>2</v>
      </c>
      <c r="DJ20">
        <v>2</v>
      </c>
      <c r="DK20">
        <v>2</v>
      </c>
      <c r="DL20">
        <v>2</v>
      </c>
      <c r="DM20">
        <v>2</v>
      </c>
      <c r="DN20">
        <v>2</v>
      </c>
      <c r="DO20">
        <v>2</v>
      </c>
      <c r="DP20">
        <v>2</v>
      </c>
      <c r="DQ20">
        <v>2</v>
      </c>
      <c r="DR20">
        <v>2</v>
      </c>
      <c r="DS20">
        <v>2</v>
      </c>
      <c r="DT20">
        <v>2</v>
      </c>
      <c r="DU20">
        <v>2</v>
      </c>
      <c r="DV20">
        <v>2</v>
      </c>
      <c r="DW20">
        <v>2</v>
      </c>
      <c r="DX20">
        <v>2</v>
      </c>
      <c r="DY20">
        <v>0</v>
      </c>
      <c r="DZ20">
        <v>0</v>
      </c>
      <c r="EA20">
        <v>0</v>
      </c>
      <c r="EB20">
        <v>0</v>
      </c>
      <c r="EC20">
        <v>0</v>
      </c>
      <c r="ED20">
        <v>0</v>
      </c>
      <c r="EE20">
        <v>0</v>
      </c>
      <c r="EF20">
        <v>0</v>
      </c>
      <c r="EG20">
        <v>0</v>
      </c>
      <c r="EH20">
        <v>0</v>
      </c>
      <c r="EI20">
        <v>0</v>
      </c>
      <c r="EJ20">
        <v>0</v>
      </c>
      <c r="EK20">
        <v>0</v>
      </c>
      <c r="EL20">
        <v>0</v>
      </c>
      <c r="EM20">
        <v>0</v>
      </c>
      <c r="EN20">
        <v>0</v>
      </c>
      <c r="EO20">
        <v>0</v>
      </c>
      <c r="EP20">
        <v>0</v>
      </c>
      <c r="EQ20">
        <v>0</v>
      </c>
      <c r="ER20">
        <v>0</v>
      </c>
      <c r="ES20">
        <v>0</v>
      </c>
      <c r="ET20">
        <v>0</v>
      </c>
      <c r="EU20">
        <v>0</v>
      </c>
      <c r="EV20">
        <v>0</v>
      </c>
      <c r="EW20">
        <v>0</v>
      </c>
      <c r="EX20">
        <v>0</v>
      </c>
      <c r="EY20">
        <v>0</v>
      </c>
      <c r="EZ20">
        <v>0</v>
      </c>
      <c r="FA20">
        <v>0</v>
      </c>
      <c r="FB20">
        <v>0</v>
      </c>
      <c r="FC20">
        <v>0</v>
      </c>
      <c r="FD20">
        <v>0</v>
      </c>
      <c r="FE20">
        <v>0</v>
      </c>
      <c r="FF20">
        <v>0</v>
      </c>
      <c r="FG20">
        <v>0</v>
      </c>
      <c r="FH20">
        <v>0</v>
      </c>
      <c r="FI20">
        <v>0</v>
      </c>
      <c r="FJ20">
        <v>0</v>
      </c>
      <c r="FK20">
        <v>0</v>
      </c>
      <c r="FL20">
        <v>0</v>
      </c>
      <c r="FM20">
        <v>0</v>
      </c>
      <c r="FN20">
        <v>0</v>
      </c>
      <c r="FO20">
        <v>0</v>
      </c>
      <c r="FP20">
        <v>0</v>
      </c>
      <c r="FQ20">
        <v>0</v>
      </c>
      <c r="FR20">
        <v>0</v>
      </c>
      <c r="FS20">
        <v>0</v>
      </c>
      <c r="FT20">
        <v>0</v>
      </c>
      <c r="FU20">
        <v>0</v>
      </c>
      <c r="FV20">
        <v>0</v>
      </c>
      <c r="FW20">
        <v>0</v>
      </c>
      <c r="FX20">
        <v>0</v>
      </c>
      <c r="FY20">
        <v>0</v>
      </c>
      <c r="FZ20">
        <v>0</v>
      </c>
      <c r="GA20">
        <v>0</v>
      </c>
      <c r="GB20">
        <v>0</v>
      </c>
      <c r="GC20">
        <v>0</v>
      </c>
      <c r="GD20">
        <v>0</v>
      </c>
      <c r="GE20">
        <v>0</v>
      </c>
      <c r="GF20">
        <v>0</v>
      </c>
      <c r="GG20">
        <v>0</v>
      </c>
      <c r="GH20">
        <v>0</v>
      </c>
      <c r="GI20">
        <v>0</v>
      </c>
      <c r="GJ20">
        <v>0</v>
      </c>
      <c r="GK20">
        <v>0</v>
      </c>
      <c r="GL20">
        <v>0</v>
      </c>
      <c r="GM20">
        <v>0</v>
      </c>
      <c r="GN20">
        <v>0</v>
      </c>
      <c r="GO20">
        <v>0</v>
      </c>
      <c r="GP20">
        <v>0</v>
      </c>
      <c r="GQ20">
        <v>0</v>
      </c>
      <c r="GR20">
        <v>0</v>
      </c>
      <c r="GS20">
        <v>0</v>
      </c>
      <c r="GT20">
        <v>0</v>
      </c>
      <c r="GU20">
        <v>0</v>
      </c>
      <c r="GV20">
        <v>0</v>
      </c>
      <c r="GW20">
        <v>0</v>
      </c>
      <c r="GX20">
        <v>0</v>
      </c>
      <c r="GY20">
        <v>0</v>
      </c>
      <c r="GZ20">
        <v>0</v>
      </c>
      <c r="HA20">
        <v>0</v>
      </c>
      <c r="HB20">
        <v>0</v>
      </c>
      <c r="HC20">
        <v>0</v>
      </c>
      <c r="HD20">
        <v>0</v>
      </c>
      <c r="HE20">
        <v>0</v>
      </c>
      <c r="HF20">
        <v>0</v>
      </c>
      <c r="HG20">
        <v>0</v>
      </c>
      <c r="HH20">
        <v>0</v>
      </c>
      <c r="HI20">
        <v>0</v>
      </c>
      <c r="HJ20">
        <v>0</v>
      </c>
      <c r="HK20">
        <v>0</v>
      </c>
      <c r="HL20">
        <v>0</v>
      </c>
      <c r="HM20">
        <v>0</v>
      </c>
      <c r="HN20">
        <v>0</v>
      </c>
      <c r="HO20">
        <v>0</v>
      </c>
      <c r="HP20">
        <v>0</v>
      </c>
      <c r="HQ20">
        <v>0</v>
      </c>
      <c r="HR20">
        <v>0</v>
      </c>
      <c r="HS20">
        <v>0</v>
      </c>
      <c r="HT20">
        <v>0</v>
      </c>
      <c r="HU20">
        <v>0</v>
      </c>
      <c r="HV20">
        <v>0</v>
      </c>
      <c r="HW20">
        <v>0</v>
      </c>
      <c r="HX20">
        <v>0</v>
      </c>
      <c r="HY20">
        <v>0</v>
      </c>
      <c r="HZ20">
        <v>0</v>
      </c>
      <c r="IA20">
        <v>0</v>
      </c>
      <c r="IB20">
        <v>0</v>
      </c>
      <c r="IC20">
        <v>0</v>
      </c>
      <c r="ID20">
        <v>0</v>
      </c>
      <c r="IE20">
        <v>0</v>
      </c>
      <c r="IF20">
        <v>0</v>
      </c>
      <c r="IG20">
        <v>0</v>
      </c>
      <c r="IH20">
        <v>0</v>
      </c>
      <c r="II20">
        <v>0</v>
      </c>
      <c r="IJ20">
        <v>0</v>
      </c>
      <c r="IK20">
        <v>0</v>
      </c>
      <c r="IL20">
        <v>0</v>
      </c>
      <c r="IM20">
        <v>0</v>
      </c>
      <c r="IN20">
        <v>0</v>
      </c>
      <c r="IO20">
        <v>0</v>
      </c>
      <c r="IP20">
        <v>0</v>
      </c>
      <c r="IQ20">
        <v>0</v>
      </c>
      <c r="IR20">
        <v>0</v>
      </c>
      <c r="IS20">
        <v>0</v>
      </c>
      <c r="IT20">
        <v>0</v>
      </c>
      <c r="IU20">
        <v>0</v>
      </c>
      <c r="IV20">
        <v>0</v>
      </c>
      <c r="IW20">
        <v>0</v>
      </c>
      <c r="IX20">
        <v>0</v>
      </c>
      <c r="IY20">
        <v>0</v>
      </c>
      <c r="IZ20">
        <v>0</v>
      </c>
      <c r="JA20">
        <v>0</v>
      </c>
      <c r="JB20">
        <v>0</v>
      </c>
      <c r="JC20">
        <v>0</v>
      </c>
      <c r="JD20">
        <v>0</v>
      </c>
      <c r="JE20">
        <v>0</v>
      </c>
      <c r="JF20">
        <v>0</v>
      </c>
      <c r="JG20">
        <v>0</v>
      </c>
      <c r="JH20">
        <v>0</v>
      </c>
      <c r="JI20">
        <v>0</v>
      </c>
      <c r="JJ20">
        <v>0</v>
      </c>
      <c r="JK20">
        <v>0</v>
      </c>
      <c r="JL20">
        <v>0</v>
      </c>
      <c r="JM20">
        <v>0</v>
      </c>
      <c r="JN20">
        <v>0</v>
      </c>
      <c r="JO20">
        <v>0</v>
      </c>
      <c r="JP20">
        <v>0</v>
      </c>
      <c r="JQ20">
        <v>0</v>
      </c>
      <c r="JR20">
        <v>0</v>
      </c>
      <c r="JS20">
        <v>0</v>
      </c>
      <c r="JT20">
        <v>0</v>
      </c>
      <c r="JU20">
        <v>0</v>
      </c>
      <c r="JV20">
        <v>0</v>
      </c>
      <c r="JW20">
        <v>0</v>
      </c>
      <c r="JX20">
        <v>0</v>
      </c>
      <c r="JY20">
        <v>0</v>
      </c>
      <c r="JZ20">
        <v>0</v>
      </c>
      <c r="KA20">
        <v>0</v>
      </c>
      <c r="KB20">
        <v>0</v>
      </c>
      <c r="KC20">
        <v>0</v>
      </c>
      <c r="KD20">
        <v>0</v>
      </c>
      <c r="KE20">
        <v>0</v>
      </c>
      <c r="KF20">
        <v>0</v>
      </c>
      <c r="KG20">
        <v>0</v>
      </c>
      <c r="KH20">
        <v>0</v>
      </c>
      <c r="KI20">
        <v>0</v>
      </c>
      <c r="KJ20">
        <v>0</v>
      </c>
      <c r="KK20">
        <v>0</v>
      </c>
      <c r="KL20">
        <v>0</v>
      </c>
      <c r="KM20">
        <v>0</v>
      </c>
      <c r="KN20">
        <v>0</v>
      </c>
      <c r="KO20">
        <v>0</v>
      </c>
      <c r="KP20">
        <v>0</v>
      </c>
      <c r="KQ20">
        <v>0</v>
      </c>
      <c r="KR20">
        <v>0</v>
      </c>
      <c r="KS20">
        <v>0</v>
      </c>
      <c r="KT20">
        <v>0</v>
      </c>
      <c r="KU20">
        <v>0</v>
      </c>
      <c r="KV20">
        <v>0</v>
      </c>
      <c r="KW20">
        <v>0</v>
      </c>
      <c r="KX20">
        <v>0</v>
      </c>
      <c r="KY20">
        <v>0</v>
      </c>
      <c r="KZ20">
        <v>0</v>
      </c>
      <c r="LA20">
        <v>0</v>
      </c>
      <c r="LB20">
        <v>0</v>
      </c>
      <c r="LC20">
        <v>0</v>
      </c>
      <c r="LD20">
        <v>0</v>
      </c>
      <c r="LE20">
        <v>0</v>
      </c>
      <c r="LF20">
        <v>0</v>
      </c>
      <c r="LG20">
        <v>0</v>
      </c>
      <c r="LH20">
        <v>0</v>
      </c>
      <c r="LI20">
        <v>0</v>
      </c>
      <c r="LJ20">
        <v>0</v>
      </c>
      <c r="LK20">
        <v>0</v>
      </c>
      <c r="LL20">
        <v>0</v>
      </c>
      <c r="LM20">
        <v>0</v>
      </c>
      <c r="LN20">
        <v>0</v>
      </c>
      <c r="LO20">
        <v>0</v>
      </c>
      <c r="LP20">
        <v>0</v>
      </c>
      <c r="LQ20">
        <v>0</v>
      </c>
      <c r="LR20">
        <v>0</v>
      </c>
      <c r="LS20">
        <v>0</v>
      </c>
      <c r="LT20">
        <v>0</v>
      </c>
      <c r="LU20">
        <v>0</v>
      </c>
      <c r="LV20">
        <v>0</v>
      </c>
      <c r="LW20">
        <v>0</v>
      </c>
      <c r="LX20">
        <v>0</v>
      </c>
      <c r="LY20">
        <v>0</v>
      </c>
      <c r="LZ20">
        <v>0</v>
      </c>
      <c r="MA20">
        <v>0</v>
      </c>
      <c r="MB20">
        <v>0</v>
      </c>
      <c r="MC20">
        <v>0</v>
      </c>
      <c r="MD20">
        <v>0</v>
      </c>
      <c r="ME20">
        <v>0</v>
      </c>
      <c r="MF20">
        <v>0</v>
      </c>
      <c r="MG20">
        <v>0</v>
      </c>
      <c r="MH20">
        <v>0</v>
      </c>
      <c r="MI20">
        <v>0</v>
      </c>
      <c r="MJ20">
        <v>0</v>
      </c>
      <c r="MK20">
        <v>0</v>
      </c>
      <c r="ML20">
        <v>0</v>
      </c>
      <c r="MM20">
        <v>0</v>
      </c>
      <c r="MN20">
        <v>0</v>
      </c>
      <c r="MO20">
        <v>0</v>
      </c>
      <c r="MP20">
        <v>0</v>
      </c>
      <c r="MQ20">
        <v>0</v>
      </c>
      <c r="MR20">
        <v>0</v>
      </c>
      <c r="MS20">
        <v>0</v>
      </c>
      <c r="MT20">
        <v>0</v>
      </c>
      <c r="MU20">
        <v>0</v>
      </c>
      <c r="MV20">
        <v>0</v>
      </c>
      <c r="MW20">
        <v>0</v>
      </c>
      <c r="MX20">
        <v>0</v>
      </c>
      <c r="MY20">
        <v>0</v>
      </c>
      <c r="MZ20">
        <v>0</v>
      </c>
      <c r="NA20">
        <v>0</v>
      </c>
      <c r="NB20">
        <v>0</v>
      </c>
      <c r="NC20">
        <v>0</v>
      </c>
      <c r="ND20">
        <v>0</v>
      </c>
      <c r="NE20">
        <v>0</v>
      </c>
      <c r="NF20">
        <v>0</v>
      </c>
      <c r="NG20">
        <v>0</v>
      </c>
      <c r="NH20">
        <v>0</v>
      </c>
      <c r="NI20">
        <v>0</v>
      </c>
      <c r="NJ20">
        <v>0</v>
      </c>
      <c r="NK20">
        <v>0</v>
      </c>
      <c r="NL20">
        <v>0</v>
      </c>
      <c r="NM20">
        <v>0</v>
      </c>
      <c r="NN20">
        <v>0</v>
      </c>
      <c r="NO20">
        <v>0</v>
      </c>
      <c r="NP20">
        <v>0</v>
      </c>
      <c r="NQ20">
        <v>0</v>
      </c>
      <c r="NR20">
        <v>0</v>
      </c>
      <c r="NS20">
        <v>0</v>
      </c>
      <c r="NT20">
        <v>0</v>
      </c>
      <c r="NU20">
        <v>0</v>
      </c>
      <c r="NV20">
        <v>0</v>
      </c>
      <c r="NW20">
        <v>0</v>
      </c>
      <c r="NX20">
        <v>0</v>
      </c>
      <c r="NY20">
        <v>0</v>
      </c>
      <c r="NZ20">
        <v>0</v>
      </c>
      <c r="OA20">
        <v>0</v>
      </c>
      <c r="OB20">
        <v>0</v>
      </c>
      <c r="OC20">
        <v>0</v>
      </c>
      <c r="OD20">
        <v>0</v>
      </c>
      <c r="OE20">
        <v>0</v>
      </c>
      <c r="OF20">
        <v>0</v>
      </c>
      <c r="OG20">
        <v>0</v>
      </c>
      <c r="OH20">
        <v>0</v>
      </c>
      <c r="OI20">
        <v>0</v>
      </c>
      <c r="OJ20">
        <v>0</v>
      </c>
      <c r="OK20">
        <v>0</v>
      </c>
      <c r="OL20">
        <v>0</v>
      </c>
      <c r="OM20">
        <v>0</v>
      </c>
      <c r="ON20">
        <v>0</v>
      </c>
      <c r="OO20">
        <v>0</v>
      </c>
      <c r="OP20">
        <v>0</v>
      </c>
      <c r="OQ20">
        <v>0</v>
      </c>
      <c r="OR20">
        <v>0</v>
      </c>
      <c r="OS20">
        <v>0</v>
      </c>
      <c r="OT20">
        <v>0</v>
      </c>
      <c r="OU20">
        <v>0</v>
      </c>
      <c r="OV20">
        <v>0</v>
      </c>
      <c r="OW20">
        <v>0</v>
      </c>
      <c r="OX20">
        <v>0</v>
      </c>
      <c r="OY20">
        <v>0</v>
      </c>
      <c r="OZ20">
        <v>0</v>
      </c>
      <c r="PA20">
        <v>0</v>
      </c>
      <c r="PB20">
        <v>0</v>
      </c>
      <c r="PC20">
        <v>0</v>
      </c>
      <c r="PD20">
        <v>0</v>
      </c>
      <c r="PE20">
        <v>0</v>
      </c>
      <c r="PF20">
        <v>0</v>
      </c>
      <c r="PG20">
        <v>0</v>
      </c>
      <c r="PH20">
        <v>0</v>
      </c>
      <c r="PI20">
        <v>0</v>
      </c>
      <c r="PJ20">
        <v>0</v>
      </c>
      <c r="PK20">
        <v>0</v>
      </c>
      <c r="PL20">
        <v>0</v>
      </c>
      <c r="PM20">
        <v>0</v>
      </c>
      <c r="PN20">
        <v>0</v>
      </c>
      <c r="PO20">
        <v>0</v>
      </c>
      <c r="PP20">
        <v>0</v>
      </c>
      <c r="PQ20">
        <v>0</v>
      </c>
      <c r="PR20">
        <v>0</v>
      </c>
      <c r="PS20">
        <v>0</v>
      </c>
      <c r="PT20">
        <v>0</v>
      </c>
      <c r="PU20">
        <v>0</v>
      </c>
      <c r="PV20">
        <v>0</v>
      </c>
      <c r="PW20">
        <v>0</v>
      </c>
      <c r="PX20">
        <v>0</v>
      </c>
      <c r="PY20">
        <v>0</v>
      </c>
      <c r="PZ20">
        <v>0</v>
      </c>
      <c r="QA20">
        <v>0</v>
      </c>
      <c r="QB20">
        <v>0</v>
      </c>
      <c r="QC20">
        <v>0</v>
      </c>
      <c r="QD20">
        <v>0</v>
      </c>
      <c r="QE20">
        <v>0</v>
      </c>
      <c r="QF20">
        <v>0</v>
      </c>
      <c r="QG20">
        <v>0</v>
      </c>
      <c r="QH20">
        <v>0</v>
      </c>
      <c r="QI20">
        <v>0</v>
      </c>
      <c r="QJ20">
        <v>0</v>
      </c>
      <c r="QK20">
        <v>0</v>
      </c>
      <c r="QL20">
        <v>0</v>
      </c>
      <c r="QM20">
        <v>0</v>
      </c>
      <c r="QN20">
        <v>0</v>
      </c>
      <c r="QO20">
        <v>0</v>
      </c>
      <c r="QP20">
        <v>0</v>
      </c>
      <c r="QQ20">
        <v>0</v>
      </c>
      <c r="QR20">
        <v>0</v>
      </c>
      <c r="QS20">
        <v>0</v>
      </c>
      <c r="QT20">
        <v>0</v>
      </c>
      <c r="QU20">
        <v>0</v>
      </c>
      <c r="QV20">
        <v>0</v>
      </c>
      <c r="QW20">
        <v>0</v>
      </c>
      <c r="QX20">
        <v>0</v>
      </c>
      <c r="QY20">
        <v>0</v>
      </c>
      <c r="QZ20">
        <v>0</v>
      </c>
      <c r="RA20">
        <v>0</v>
      </c>
      <c r="RB20">
        <v>0</v>
      </c>
      <c r="RC20">
        <v>0</v>
      </c>
      <c r="RD20">
        <v>0</v>
      </c>
      <c r="RE20">
        <v>0</v>
      </c>
      <c r="RF20">
        <v>0</v>
      </c>
      <c r="RG20">
        <v>0</v>
      </c>
      <c r="RH20">
        <v>0</v>
      </c>
      <c r="RI20">
        <v>0</v>
      </c>
      <c r="RJ20">
        <v>0</v>
      </c>
      <c r="RK20">
        <v>0</v>
      </c>
      <c r="RL20">
        <v>0</v>
      </c>
      <c r="RM20">
        <v>0</v>
      </c>
      <c r="RN20">
        <v>0</v>
      </c>
      <c r="RO20">
        <v>0</v>
      </c>
      <c r="RP20">
        <v>0</v>
      </c>
      <c r="RQ20">
        <v>0</v>
      </c>
      <c r="RR20">
        <v>0</v>
      </c>
      <c r="RS20">
        <v>0</v>
      </c>
      <c r="RT20">
        <v>0</v>
      </c>
      <c r="RU20">
        <v>0</v>
      </c>
      <c r="RV20">
        <v>0</v>
      </c>
      <c r="RW20">
        <v>0</v>
      </c>
      <c r="RX20">
        <v>0</v>
      </c>
      <c r="RY20">
        <v>0</v>
      </c>
      <c r="RZ20">
        <v>0</v>
      </c>
      <c r="SA20">
        <v>0</v>
      </c>
      <c r="SB20">
        <v>0</v>
      </c>
      <c r="SC20">
        <v>0</v>
      </c>
      <c r="SD20">
        <v>0</v>
      </c>
      <c r="SE20">
        <v>0</v>
      </c>
      <c r="SF20">
        <v>0</v>
      </c>
      <c r="SG20">
        <v>0</v>
      </c>
      <c r="SH20">
        <v>0</v>
      </c>
      <c r="SI20">
        <v>0</v>
      </c>
      <c r="SJ20">
        <v>0</v>
      </c>
      <c r="SK20">
        <v>0</v>
      </c>
      <c r="SL20">
        <v>0</v>
      </c>
      <c r="SM20">
        <v>0</v>
      </c>
      <c r="SN20">
        <v>0</v>
      </c>
      <c r="SO20">
        <v>0</v>
      </c>
      <c r="SP20">
        <v>0</v>
      </c>
      <c r="SQ20">
        <v>0</v>
      </c>
      <c r="SR20">
        <v>0</v>
      </c>
      <c r="SS20">
        <v>0</v>
      </c>
      <c r="ST20">
        <v>0</v>
      </c>
      <c r="SU20">
        <v>0</v>
      </c>
      <c r="SV20">
        <v>0</v>
      </c>
      <c r="SW20">
        <v>0</v>
      </c>
      <c r="SX20">
        <v>0</v>
      </c>
      <c r="SY20">
        <v>0</v>
      </c>
      <c r="SZ20">
        <v>1</v>
      </c>
      <c r="TA20">
        <v>1</v>
      </c>
      <c r="TB20">
        <v>1</v>
      </c>
      <c r="TC20">
        <v>1</v>
      </c>
      <c r="TD20">
        <v>1</v>
      </c>
      <c r="TE20">
        <v>1</v>
      </c>
      <c r="TF20">
        <v>1</v>
      </c>
      <c r="TG20">
        <v>1</v>
      </c>
      <c r="TH20">
        <v>1</v>
      </c>
      <c r="TI20">
        <v>1</v>
      </c>
      <c r="TJ20">
        <v>1</v>
      </c>
      <c r="TK20">
        <v>1</v>
      </c>
      <c r="TL20">
        <v>1</v>
      </c>
      <c r="TM20">
        <v>1</v>
      </c>
      <c r="TN20">
        <v>1</v>
      </c>
      <c r="TO20">
        <v>1</v>
      </c>
      <c r="TP20">
        <v>1</v>
      </c>
      <c r="TQ20">
        <v>1</v>
      </c>
      <c r="TR20">
        <v>1</v>
      </c>
      <c r="TS20">
        <v>1</v>
      </c>
      <c r="TT20">
        <v>1</v>
      </c>
      <c r="TU20">
        <v>1</v>
      </c>
      <c r="TV20">
        <v>0</v>
      </c>
      <c r="TW20">
        <v>0</v>
      </c>
      <c r="TX20">
        <v>0</v>
      </c>
      <c r="TY20">
        <v>0</v>
      </c>
      <c r="TZ20">
        <v>0</v>
      </c>
      <c r="UA20">
        <v>0</v>
      </c>
      <c r="UB20">
        <v>0</v>
      </c>
      <c r="UC20">
        <v>0</v>
      </c>
      <c r="UD20">
        <v>0</v>
      </c>
      <c r="UE20">
        <v>0</v>
      </c>
      <c r="UF20">
        <v>0</v>
      </c>
      <c r="UG20">
        <v>0</v>
      </c>
      <c r="UH20">
        <v>0</v>
      </c>
      <c r="UI20">
        <v>0</v>
      </c>
      <c r="UJ20">
        <v>0</v>
      </c>
      <c r="UK20">
        <v>0</v>
      </c>
      <c r="UL20">
        <v>0</v>
      </c>
      <c r="UM20">
        <v>0</v>
      </c>
      <c r="UN20">
        <v>0</v>
      </c>
      <c r="UO20">
        <v>0</v>
      </c>
      <c r="UP20">
        <v>0</v>
      </c>
      <c r="UQ20">
        <v>0</v>
      </c>
      <c r="UR20">
        <v>0</v>
      </c>
      <c r="US20">
        <v>0</v>
      </c>
      <c r="UT20">
        <v>0</v>
      </c>
      <c r="UU20">
        <v>0</v>
      </c>
      <c r="UV20">
        <v>0</v>
      </c>
      <c r="UW20">
        <v>0</v>
      </c>
      <c r="UX20">
        <v>0</v>
      </c>
      <c r="UY20">
        <v>0</v>
      </c>
      <c r="UZ20">
        <v>0</v>
      </c>
      <c r="VA20">
        <v>0</v>
      </c>
      <c r="VB20">
        <v>0</v>
      </c>
      <c r="VC20">
        <v>0</v>
      </c>
      <c r="VD20">
        <v>0</v>
      </c>
      <c r="VE20">
        <v>0</v>
      </c>
      <c r="VF20">
        <v>0</v>
      </c>
      <c r="VG20">
        <v>0</v>
      </c>
      <c r="VH20">
        <v>0</v>
      </c>
      <c r="VI20">
        <v>0</v>
      </c>
      <c r="VJ20">
        <v>0</v>
      </c>
      <c r="VK20">
        <v>0</v>
      </c>
      <c r="VL20">
        <v>0</v>
      </c>
      <c r="VM20">
        <v>0</v>
      </c>
      <c r="VN20">
        <v>0</v>
      </c>
      <c r="VO20">
        <v>0</v>
      </c>
      <c r="VP20">
        <v>0</v>
      </c>
      <c r="VQ20">
        <v>0</v>
      </c>
      <c r="VR20">
        <v>0</v>
      </c>
      <c r="VS20">
        <v>0</v>
      </c>
      <c r="VT20">
        <v>0</v>
      </c>
      <c r="VU20">
        <v>0</v>
      </c>
      <c r="VV20">
        <v>0</v>
      </c>
      <c r="VW20">
        <v>0</v>
      </c>
      <c r="VX20">
        <v>0</v>
      </c>
      <c r="VY20">
        <v>0</v>
      </c>
      <c r="VZ20">
        <v>0</v>
      </c>
      <c r="WA20">
        <v>0</v>
      </c>
      <c r="WB20">
        <v>0</v>
      </c>
      <c r="WC20">
        <v>0</v>
      </c>
      <c r="WD20">
        <v>0</v>
      </c>
      <c r="WE20">
        <v>0</v>
      </c>
      <c r="WF20">
        <v>0</v>
      </c>
      <c r="WG20">
        <v>0</v>
      </c>
      <c r="WH20">
        <v>0</v>
      </c>
      <c r="WI20">
        <v>0</v>
      </c>
      <c r="WJ20">
        <v>0</v>
      </c>
      <c r="WK20">
        <v>0</v>
      </c>
      <c r="WL20">
        <v>0</v>
      </c>
      <c r="WM20">
        <v>0</v>
      </c>
      <c r="WN20">
        <v>0</v>
      </c>
      <c r="WO20">
        <v>0</v>
      </c>
      <c r="WP20">
        <v>0</v>
      </c>
      <c r="WQ20">
        <v>0</v>
      </c>
      <c r="WR20">
        <v>0</v>
      </c>
      <c r="WS20">
        <v>0</v>
      </c>
      <c r="WT20">
        <v>0</v>
      </c>
      <c r="WU20">
        <v>0</v>
      </c>
      <c r="WV20">
        <v>0</v>
      </c>
      <c r="WW20">
        <v>0</v>
      </c>
      <c r="WX20">
        <v>0</v>
      </c>
      <c r="WY20">
        <v>0</v>
      </c>
      <c r="WZ20">
        <v>0</v>
      </c>
      <c r="XA20">
        <v>0</v>
      </c>
      <c r="XB20">
        <v>0</v>
      </c>
      <c r="XC20">
        <v>0</v>
      </c>
      <c r="XD20">
        <v>0</v>
      </c>
      <c r="XE20">
        <v>0</v>
      </c>
      <c r="XF20">
        <v>0</v>
      </c>
      <c r="XG20">
        <v>0</v>
      </c>
      <c r="XH20">
        <v>0</v>
      </c>
      <c r="XI20">
        <v>0</v>
      </c>
      <c r="XJ20">
        <v>0</v>
      </c>
      <c r="XK20">
        <v>0</v>
      </c>
      <c r="XL20">
        <v>0</v>
      </c>
      <c r="XM20">
        <v>0</v>
      </c>
      <c r="XN20">
        <v>0</v>
      </c>
      <c r="XO20">
        <v>0</v>
      </c>
      <c r="XP20">
        <v>0</v>
      </c>
      <c r="XQ20">
        <v>0</v>
      </c>
      <c r="XR20">
        <v>0</v>
      </c>
      <c r="XS20">
        <v>0</v>
      </c>
      <c r="XT20">
        <v>0</v>
      </c>
      <c r="XU20">
        <v>0</v>
      </c>
      <c r="XV20">
        <v>0</v>
      </c>
      <c r="XW20">
        <v>0</v>
      </c>
      <c r="XX20">
        <v>0</v>
      </c>
      <c r="XY20">
        <v>0</v>
      </c>
      <c r="XZ20">
        <v>0</v>
      </c>
      <c r="YA20">
        <v>0</v>
      </c>
      <c r="YB20">
        <v>0</v>
      </c>
      <c r="YC20">
        <v>0</v>
      </c>
      <c r="YD20">
        <v>0</v>
      </c>
      <c r="YE20">
        <v>0</v>
      </c>
      <c r="YF20">
        <v>0</v>
      </c>
      <c r="YG20">
        <v>0</v>
      </c>
      <c r="YH20">
        <v>0</v>
      </c>
      <c r="YI20">
        <v>0</v>
      </c>
      <c r="YJ20">
        <v>0</v>
      </c>
      <c r="YK20">
        <v>0</v>
      </c>
      <c r="YL20">
        <v>0</v>
      </c>
      <c r="YM20">
        <v>0</v>
      </c>
      <c r="YN20">
        <v>0</v>
      </c>
      <c r="YO20">
        <v>0</v>
      </c>
      <c r="YP20">
        <v>0</v>
      </c>
      <c r="YQ20">
        <v>0</v>
      </c>
      <c r="YR20">
        <v>0</v>
      </c>
      <c r="YS20">
        <v>0</v>
      </c>
      <c r="YT20">
        <v>0</v>
      </c>
      <c r="YU20">
        <v>0</v>
      </c>
      <c r="YV20">
        <v>0</v>
      </c>
      <c r="YW20">
        <v>0</v>
      </c>
      <c r="YX20">
        <v>0</v>
      </c>
      <c r="YY20">
        <v>0</v>
      </c>
      <c r="YZ20">
        <v>0</v>
      </c>
      <c r="ZA20">
        <v>0</v>
      </c>
      <c r="ZB20">
        <v>0</v>
      </c>
      <c r="ZC20">
        <v>0</v>
      </c>
      <c r="ZD20">
        <v>0</v>
      </c>
      <c r="ZE20">
        <v>0</v>
      </c>
      <c r="ZF20">
        <v>0</v>
      </c>
      <c r="ZG20">
        <v>0</v>
      </c>
      <c r="ZH20">
        <v>0</v>
      </c>
      <c r="ZI20">
        <v>0</v>
      </c>
      <c r="ZJ20">
        <v>0</v>
      </c>
      <c r="ZK20">
        <v>0</v>
      </c>
      <c r="ZL20">
        <v>0</v>
      </c>
      <c r="ZM20">
        <v>0</v>
      </c>
      <c r="ZN20">
        <v>0</v>
      </c>
      <c r="ZO20">
        <v>0</v>
      </c>
      <c r="ZP20">
        <v>0</v>
      </c>
      <c r="ZQ20">
        <v>0</v>
      </c>
      <c r="ZR20">
        <v>0</v>
      </c>
      <c r="ZS20">
        <v>0</v>
      </c>
      <c r="ZT20">
        <v>0</v>
      </c>
      <c r="ZU20">
        <v>0</v>
      </c>
      <c r="ZV20">
        <v>0</v>
      </c>
      <c r="ZW20">
        <v>0</v>
      </c>
      <c r="ZX20">
        <v>0</v>
      </c>
      <c r="ZY20">
        <v>0</v>
      </c>
      <c r="ZZ20">
        <v>0</v>
      </c>
      <c r="AAA20">
        <v>0</v>
      </c>
      <c r="AAB20">
        <v>0</v>
      </c>
      <c r="AAC20">
        <v>0</v>
      </c>
      <c r="AAD20">
        <v>0</v>
      </c>
      <c r="AAE20">
        <v>0</v>
      </c>
      <c r="AAF20">
        <v>0</v>
      </c>
      <c r="AAG20">
        <v>0</v>
      </c>
      <c r="AAH20">
        <v>0</v>
      </c>
      <c r="AAI20">
        <v>0</v>
      </c>
      <c r="AAJ20">
        <v>0</v>
      </c>
      <c r="AAK20">
        <v>0</v>
      </c>
      <c r="AAL20">
        <v>0</v>
      </c>
      <c r="AAM20">
        <v>0</v>
      </c>
      <c r="AAN20">
        <v>0</v>
      </c>
      <c r="AAO20">
        <v>0</v>
      </c>
      <c r="AAP20">
        <v>0</v>
      </c>
      <c r="AAQ20">
        <v>0</v>
      </c>
      <c r="AAR20">
        <v>0</v>
      </c>
      <c r="AAS20">
        <v>0</v>
      </c>
      <c r="AAT20">
        <v>0</v>
      </c>
      <c r="AAU20">
        <v>0</v>
      </c>
      <c r="AAV20">
        <v>0</v>
      </c>
      <c r="AAW20">
        <v>0</v>
      </c>
      <c r="AAX20">
        <v>0</v>
      </c>
      <c r="AAY20">
        <v>0</v>
      </c>
      <c r="AAZ20">
        <v>0</v>
      </c>
      <c r="ABA20">
        <v>0</v>
      </c>
      <c r="ABB20">
        <v>0</v>
      </c>
      <c r="ABC20">
        <v>0</v>
      </c>
      <c r="ABD20">
        <v>0</v>
      </c>
      <c r="ABE20">
        <v>0</v>
      </c>
      <c r="ABG20" s="1137">
        <f t="shared" si="5"/>
        <v>0</v>
      </c>
      <c r="ABH20" s="1137">
        <f t="shared" si="1"/>
        <v>0</v>
      </c>
      <c r="ABI20" s="1137">
        <f t="shared" si="1"/>
        <v>14</v>
      </c>
      <c r="ABJ20" s="1137">
        <f t="shared" si="1"/>
        <v>30</v>
      </c>
      <c r="ABK20" s="1137">
        <f t="shared" si="1"/>
        <v>5</v>
      </c>
      <c r="ABL20" s="1137">
        <f t="shared" si="1"/>
        <v>0</v>
      </c>
      <c r="ABM20" s="1137">
        <f t="shared" si="1"/>
        <v>0</v>
      </c>
      <c r="ABN20" s="1137">
        <f t="shared" si="1"/>
        <v>0</v>
      </c>
      <c r="ABO20" s="1137">
        <f t="shared" si="1"/>
        <v>0</v>
      </c>
      <c r="ABP20" s="1137">
        <f t="shared" si="1"/>
        <v>0</v>
      </c>
      <c r="ABQ20" s="1137">
        <f t="shared" si="1"/>
        <v>0</v>
      </c>
      <c r="ABR20" s="1137">
        <f t="shared" si="1"/>
        <v>0</v>
      </c>
      <c r="ABS20" s="1137">
        <f t="shared" si="1"/>
        <v>0</v>
      </c>
      <c r="ABT20" s="1137">
        <f t="shared" si="1"/>
        <v>0</v>
      </c>
      <c r="ABU20" s="1137">
        <f t="shared" si="1"/>
        <v>0</v>
      </c>
      <c r="ABV20" s="1137">
        <f t="shared" si="1"/>
        <v>0</v>
      </c>
      <c r="ABW20" s="1137">
        <f t="shared" ref="ABW20:ACD52" si="7">COUNTIFS($C$3:$ABE$3, ABW$3, $C$4:$ABE$4, ABW$4, $C20:$ABE20, "&gt;0")</f>
        <v>0</v>
      </c>
      <c r="ABX20" s="1137">
        <f t="shared" si="2"/>
        <v>22</v>
      </c>
      <c r="ABY20" s="1137">
        <f t="shared" si="2"/>
        <v>0</v>
      </c>
      <c r="ABZ20" s="1137">
        <f t="shared" si="2"/>
        <v>0</v>
      </c>
      <c r="ACA20" s="1137">
        <f t="shared" si="2"/>
        <v>0</v>
      </c>
      <c r="ACB20" s="1137">
        <f t="shared" si="2"/>
        <v>0</v>
      </c>
      <c r="ACC20" s="1137">
        <f t="shared" si="2"/>
        <v>0</v>
      </c>
      <c r="ACD20" s="1137">
        <f t="shared" si="2"/>
        <v>0</v>
      </c>
      <c r="ACE20" s="1137" t="s">
        <v>155</v>
      </c>
      <c r="ACF20" s="1137">
        <f t="shared" si="6"/>
        <v>0</v>
      </c>
      <c r="ACG20" s="1137">
        <f t="shared" si="3"/>
        <v>0</v>
      </c>
      <c r="ACH20" s="1137">
        <f t="shared" si="3"/>
        <v>1</v>
      </c>
      <c r="ACI20" s="1137">
        <f t="shared" si="3"/>
        <v>1</v>
      </c>
      <c r="ACJ20" s="1137">
        <f t="shared" si="3"/>
        <v>0</v>
      </c>
      <c r="ACK20" s="1137">
        <f t="shared" si="3"/>
        <v>0</v>
      </c>
      <c r="ACL20" s="1137">
        <f t="shared" si="3"/>
        <v>0</v>
      </c>
      <c r="ACM20" s="1137">
        <f t="shared" si="3"/>
        <v>0</v>
      </c>
      <c r="ACN20" s="1137">
        <f t="shared" si="3"/>
        <v>0</v>
      </c>
      <c r="ACO20" s="1137">
        <f t="shared" si="3"/>
        <v>0</v>
      </c>
      <c r="ACP20" s="1137">
        <f t="shared" si="3"/>
        <v>0</v>
      </c>
      <c r="ACQ20" s="1137">
        <f t="shared" si="3"/>
        <v>0</v>
      </c>
      <c r="ACR20" s="1137">
        <f t="shared" si="3"/>
        <v>0</v>
      </c>
      <c r="ACS20" s="1137">
        <f t="shared" si="3"/>
        <v>0</v>
      </c>
      <c r="ACT20" s="1137">
        <f t="shared" si="3"/>
        <v>0</v>
      </c>
      <c r="ACU20" s="1137">
        <f t="shared" si="3"/>
        <v>0</v>
      </c>
      <c r="ACV20" s="1137">
        <f t="shared" ref="ACV20:ADC52" si="8">IF(ABW20&gt;10, 1, 0)</f>
        <v>0</v>
      </c>
      <c r="ACW20" s="1137">
        <f t="shared" si="4"/>
        <v>1</v>
      </c>
      <c r="ACX20" s="1137">
        <f t="shared" si="4"/>
        <v>0</v>
      </c>
      <c r="ACY20" s="1137">
        <f t="shared" si="4"/>
        <v>0</v>
      </c>
      <c r="ACZ20" s="1137">
        <f t="shared" si="4"/>
        <v>0</v>
      </c>
      <c r="ADA20" s="1137">
        <f t="shared" si="4"/>
        <v>0</v>
      </c>
      <c r="ADB20" s="1137">
        <f t="shared" si="4"/>
        <v>0</v>
      </c>
      <c r="ADC20" s="1137">
        <f t="shared" si="4"/>
        <v>0</v>
      </c>
    </row>
    <row r="21" spans="1:783" x14ac:dyDescent="0.25">
      <c r="A21" t="s">
        <v>1816</v>
      </c>
      <c r="B21" t="s">
        <v>144</v>
      </c>
      <c r="C21">
        <v>0</v>
      </c>
      <c r="D21">
        <v>0</v>
      </c>
      <c r="E21">
        <v>0</v>
      </c>
      <c r="F21">
        <v>0</v>
      </c>
      <c r="G21">
        <v>0</v>
      </c>
      <c r="H21">
        <v>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v>0</v>
      </c>
      <c r="AR21">
        <v>0</v>
      </c>
      <c r="AS21">
        <v>0</v>
      </c>
      <c r="AT21">
        <v>0</v>
      </c>
      <c r="AU21">
        <v>0</v>
      </c>
      <c r="AV21">
        <v>0</v>
      </c>
      <c r="AW21">
        <v>0</v>
      </c>
      <c r="AX21">
        <v>0</v>
      </c>
      <c r="AY21">
        <v>0</v>
      </c>
      <c r="AZ21">
        <v>0</v>
      </c>
      <c r="BA21">
        <v>0</v>
      </c>
      <c r="BB21">
        <v>0</v>
      </c>
      <c r="BC21">
        <v>0</v>
      </c>
      <c r="BD21">
        <v>0</v>
      </c>
      <c r="BE21">
        <v>0</v>
      </c>
      <c r="BF21">
        <v>0</v>
      </c>
      <c r="BG21">
        <v>0</v>
      </c>
      <c r="BH21">
        <v>0</v>
      </c>
      <c r="BI21">
        <v>0</v>
      </c>
      <c r="BJ21">
        <v>0</v>
      </c>
      <c r="BK21">
        <v>0</v>
      </c>
      <c r="BL21">
        <v>0</v>
      </c>
      <c r="BM21">
        <v>0</v>
      </c>
      <c r="BN21">
        <v>0</v>
      </c>
      <c r="BO21">
        <v>0</v>
      </c>
      <c r="BP21">
        <v>0</v>
      </c>
      <c r="BQ21">
        <v>0</v>
      </c>
      <c r="BR21">
        <v>0</v>
      </c>
      <c r="BS21">
        <v>0</v>
      </c>
      <c r="BT21">
        <v>0</v>
      </c>
      <c r="BU21">
        <v>0</v>
      </c>
      <c r="BV21">
        <v>0</v>
      </c>
      <c r="BW21">
        <v>0</v>
      </c>
      <c r="BX21">
        <v>0</v>
      </c>
      <c r="BY21">
        <v>0</v>
      </c>
      <c r="BZ21">
        <v>0</v>
      </c>
      <c r="CA21">
        <v>0</v>
      </c>
      <c r="CB21">
        <v>1</v>
      </c>
      <c r="CC21">
        <v>1</v>
      </c>
      <c r="CD21">
        <v>1</v>
      </c>
      <c r="CE21">
        <v>1</v>
      </c>
      <c r="CF21">
        <v>1</v>
      </c>
      <c r="CG21">
        <v>1</v>
      </c>
      <c r="CH21">
        <v>1</v>
      </c>
      <c r="CI21">
        <v>1</v>
      </c>
      <c r="CJ21">
        <v>1</v>
      </c>
      <c r="CK21">
        <v>1</v>
      </c>
      <c r="CL21">
        <v>1</v>
      </c>
      <c r="CM21">
        <v>1</v>
      </c>
      <c r="CN21">
        <v>1</v>
      </c>
      <c r="CO21">
        <v>1</v>
      </c>
      <c r="CP21">
        <v>1</v>
      </c>
      <c r="CQ21">
        <v>1</v>
      </c>
      <c r="CR21">
        <v>1</v>
      </c>
      <c r="CS21">
        <v>1</v>
      </c>
      <c r="CT21">
        <v>1</v>
      </c>
      <c r="CU21">
        <v>1</v>
      </c>
      <c r="CV21">
        <v>1</v>
      </c>
      <c r="CW21">
        <v>1</v>
      </c>
      <c r="CX21">
        <v>1</v>
      </c>
      <c r="CY21">
        <v>1</v>
      </c>
      <c r="CZ21">
        <v>1</v>
      </c>
      <c r="DA21">
        <v>1</v>
      </c>
      <c r="DB21">
        <v>1</v>
      </c>
      <c r="DC21">
        <v>1</v>
      </c>
      <c r="DD21">
        <v>1</v>
      </c>
      <c r="DE21">
        <v>1</v>
      </c>
      <c r="DF21">
        <v>1</v>
      </c>
      <c r="DG21">
        <v>1</v>
      </c>
      <c r="DH21">
        <v>1</v>
      </c>
      <c r="DI21">
        <v>1</v>
      </c>
      <c r="DJ21">
        <v>1</v>
      </c>
      <c r="DK21">
        <v>1</v>
      </c>
      <c r="DL21">
        <v>1</v>
      </c>
      <c r="DM21">
        <v>1</v>
      </c>
      <c r="DN21">
        <v>1</v>
      </c>
      <c r="DO21">
        <v>1</v>
      </c>
      <c r="DP21">
        <v>1</v>
      </c>
      <c r="DQ21">
        <v>1</v>
      </c>
      <c r="DR21">
        <v>1</v>
      </c>
      <c r="DS21">
        <v>1</v>
      </c>
      <c r="DT21">
        <v>1</v>
      </c>
      <c r="DU21">
        <v>1</v>
      </c>
      <c r="DV21">
        <v>1</v>
      </c>
      <c r="DW21">
        <v>1</v>
      </c>
      <c r="DX21">
        <v>1</v>
      </c>
      <c r="DY21">
        <v>1</v>
      </c>
      <c r="DZ21">
        <v>1</v>
      </c>
      <c r="EA21">
        <v>1</v>
      </c>
      <c r="EB21">
        <v>1</v>
      </c>
      <c r="EC21">
        <v>1</v>
      </c>
      <c r="ED21">
        <v>1</v>
      </c>
      <c r="EE21">
        <v>1</v>
      </c>
      <c r="EF21">
        <v>1</v>
      </c>
      <c r="EG21">
        <v>1</v>
      </c>
      <c r="EH21">
        <v>1</v>
      </c>
      <c r="EI21">
        <v>1</v>
      </c>
      <c r="EJ21">
        <v>1</v>
      </c>
      <c r="EK21">
        <v>1</v>
      </c>
      <c r="EL21">
        <v>1</v>
      </c>
      <c r="EM21">
        <v>1</v>
      </c>
      <c r="EN21">
        <v>1</v>
      </c>
      <c r="EO21">
        <v>1</v>
      </c>
      <c r="EP21">
        <v>1</v>
      </c>
      <c r="EQ21">
        <v>1</v>
      </c>
      <c r="ER21">
        <v>1</v>
      </c>
      <c r="ES21">
        <v>1</v>
      </c>
      <c r="ET21">
        <v>1</v>
      </c>
      <c r="EU21">
        <v>1</v>
      </c>
      <c r="EV21">
        <v>1</v>
      </c>
      <c r="EW21">
        <v>1</v>
      </c>
      <c r="EX21">
        <v>1</v>
      </c>
      <c r="EY21">
        <v>1</v>
      </c>
      <c r="EZ21">
        <v>1</v>
      </c>
      <c r="FA21">
        <v>1</v>
      </c>
      <c r="FB21">
        <v>1</v>
      </c>
      <c r="FC21">
        <v>1</v>
      </c>
      <c r="FD21">
        <v>1</v>
      </c>
      <c r="FE21">
        <v>1</v>
      </c>
      <c r="FF21">
        <v>1</v>
      </c>
      <c r="FG21">
        <v>1</v>
      </c>
      <c r="FH21">
        <v>1</v>
      </c>
      <c r="FI21">
        <v>1</v>
      </c>
      <c r="FJ21">
        <v>1</v>
      </c>
      <c r="FK21">
        <v>1</v>
      </c>
      <c r="FL21">
        <v>1</v>
      </c>
      <c r="FM21">
        <v>1</v>
      </c>
      <c r="FN21">
        <v>1</v>
      </c>
      <c r="FO21">
        <v>1</v>
      </c>
      <c r="FP21">
        <v>1</v>
      </c>
      <c r="FQ21">
        <v>1</v>
      </c>
      <c r="FR21">
        <v>1</v>
      </c>
      <c r="FS21">
        <v>1</v>
      </c>
      <c r="FT21">
        <v>1</v>
      </c>
      <c r="FU21">
        <v>1</v>
      </c>
      <c r="FV21">
        <v>1</v>
      </c>
      <c r="FW21">
        <v>1</v>
      </c>
      <c r="FX21">
        <v>1</v>
      </c>
      <c r="FY21">
        <v>1</v>
      </c>
      <c r="FZ21">
        <v>1</v>
      </c>
      <c r="GA21">
        <v>1</v>
      </c>
      <c r="GB21">
        <v>1</v>
      </c>
      <c r="GC21">
        <v>1</v>
      </c>
      <c r="GD21">
        <v>1</v>
      </c>
      <c r="GE21">
        <v>1</v>
      </c>
      <c r="GF21">
        <v>1</v>
      </c>
      <c r="GG21">
        <v>1</v>
      </c>
      <c r="GH21">
        <v>1</v>
      </c>
      <c r="GI21">
        <v>1</v>
      </c>
      <c r="GJ21">
        <v>1</v>
      </c>
      <c r="GK21">
        <v>1</v>
      </c>
      <c r="GL21">
        <v>1</v>
      </c>
      <c r="GM21">
        <v>1</v>
      </c>
      <c r="GN21">
        <v>1</v>
      </c>
      <c r="GO21">
        <v>1</v>
      </c>
      <c r="GP21">
        <v>1</v>
      </c>
      <c r="GQ21">
        <v>1</v>
      </c>
      <c r="GR21">
        <v>1</v>
      </c>
      <c r="GS21">
        <v>1</v>
      </c>
      <c r="GT21">
        <v>1</v>
      </c>
      <c r="GU21">
        <v>1</v>
      </c>
      <c r="GV21">
        <v>1</v>
      </c>
      <c r="GW21">
        <v>1</v>
      </c>
      <c r="GX21">
        <v>1</v>
      </c>
      <c r="GY21">
        <v>1</v>
      </c>
      <c r="GZ21">
        <v>1</v>
      </c>
      <c r="HA21">
        <v>1</v>
      </c>
      <c r="HB21">
        <v>1</v>
      </c>
      <c r="HC21">
        <v>1</v>
      </c>
      <c r="HD21">
        <v>1</v>
      </c>
      <c r="HE21">
        <v>1</v>
      </c>
      <c r="HF21">
        <v>1</v>
      </c>
      <c r="HG21">
        <v>1</v>
      </c>
      <c r="HH21">
        <v>1</v>
      </c>
      <c r="HI21">
        <v>1</v>
      </c>
      <c r="HJ21">
        <v>1</v>
      </c>
      <c r="HK21">
        <v>1</v>
      </c>
      <c r="HL21">
        <v>1</v>
      </c>
      <c r="HM21">
        <v>1</v>
      </c>
      <c r="HN21">
        <v>1</v>
      </c>
      <c r="HO21">
        <v>1</v>
      </c>
      <c r="HP21">
        <v>1</v>
      </c>
      <c r="HQ21">
        <v>1</v>
      </c>
      <c r="HR21">
        <v>1</v>
      </c>
      <c r="HS21">
        <v>1</v>
      </c>
      <c r="HT21">
        <v>1</v>
      </c>
      <c r="HU21">
        <v>1</v>
      </c>
      <c r="HV21">
        <v>1</v>
      </c>
      <c r="HW21">
        <v>1</v>
      </c>
      <c r="HX21">
        <v>1</v>
      </c>
      <c r="HY21">
        <v>1</v>
      </c>
      <c r="HZ21">
        <v>1</v>
      </c>
      <c r="IA21">
        <v>1</v>
      </c>
      <c r="IB21">
        <v>1</v>
      </c>
      <c r="IC21">
        <v>1</v>
      </c>
      <c r="ID21">
        <v>0</v>
      </c>
      <c r="IE21">
        <v>0</v>
      </c>
      <c r="IF21">
        <v>0</v>
      </c>
      <c r="IG21">
        <v>0</v>
      </c>
      <c r="IH21">
        <v>0</v>
      </c>
      <c r="II21">
        <v>0</v>
      </c>
      <c r="IJ21">
        <v>0</v>
      </c>
      <c r="IK21">
        <v>0</v>
      </c>
      <c r="IL21">
        <v>0</v>
      </c>
      <c r="IM21">
        <v>0</v>
      </c>
      <c r="IN21">
        <v>0</v>
      </c>
      <c r="IO21">
        <v>0</v>
      </c>
      <c r="IP21">
        <v>0</v>
      </c>
      <c r="IQ21">
        <v>0</v>
      </c>
      <c r="IR21">
        <v>0</v>
      </c>
      <c r="IS21">
        <v>0</v>
      </c>
      <c r="IT21">
        <v>0</v>
      </c>
      <c r="IU21">
        <v>0</v>
      </c>
      <c r="IV21">
        <v>0</v>
      </c>
      <c r="IW21">
        <v>0</v>
      </c>
      <c r="IX21">
        <v>0</v>
      </c>
      <c r="IY21">
        <v>0</v>
      </c>
      <c r="IZ21">
        <v>0</v>
      </c>
      <c r="JA21">
        <v>0</v>
      </c>
      <c r="JB21">
        <v>0</v>
      </c>
      <c r="JC21">
        <v>0</v>
      </c>
      <c r="JD21">
        <v>0</v>
      </c>
      <c r="JE21">
        <v>0</v>
      </c>
      <c r="JF21">
        <v>0</v>
      </c>
      <c r="JG21">
        <v>0</v>
      </c>
      <c r="JH21">
        <v>0</v>
      </c>
      <c r="JI21">
        <v>0</v>
      </c>
      <c r="JJ21">
        <v>0</v>
      </c>
      <c r="JK21">
        <v>0</v>
      </c>
      <c r="JL21">
        <v>0</v>
      </c>
      <c r="JM21">
        <v>0</v>
      </c>
      <c r="JN21">
        <v>0</v>
      </c>
      <c r="JO21">
        <v>0</v>
      </c>
      <c r="JP21">
        <v>0</v>
      </c>
      <c r="JQ21">
        <v>0</v>
      </c>
      <c r="JR21">
        <v>0</v>
      </c>
      <c r="JS21">
        <v>0</v>
      </c>
      <c r="JT21">
        <v>0</v>
      </c>
      <c r="JU21">
        <v>0</v>
      </c>
      <c r="JV21">
        <v>0</v>
      </c>
      <c r="JW21">
        <v>0</v>
      </c>
      <c r="JX21">
        <v>0</v>
      </c>
      <c r="JY21">
        <v>0</v>
      </c>
      <c r="JZ21">
        <v>0</v>
      </c>
      <c r="KA21">
        <v>0</v>
      </c>
      <c r="KB21">
        <v>0</v>
      </c>
      <c r="KC21">
        <v>0</v>
      </c>
      <c r="KD21">
        <v>0</v>
      </c>
      <c r="KE21">
        <v>0</v>
      </c>
      <c r="KF21">
        <v>0</v>
      </c>
      <c r="KG21">
        <v>0</v>
      </c>
      <c r="KH21">
        <v>0</v>
      </c>
      <c r="KI21">
        <v>0</v>
      </c>
      <c r="KJ21">
        <v>0</v>
      </c>
      <c r="KK21">
        <v>0</v>
      </c>
      <c r="KL21">
        <v>0</v>
      </c>
      <c r="KM21">
        <v>0</v>
      </c>
      <c r="KN21">
        <v>0</v>
      </c>
      <c r="KO21">
        <v>0</v>
      </c>
      <c r="KP21">
        <v>0</v>
      </c>
      <c r="KQ21">
        <v>0</v>
      </c>
      <c r="KR21">
        <v>0</v>
      </c>
      <c r="KS21">
        <v>0</v>
      </c>
      <c r="KT21">
        <v>0</v>
      </c>
      <c r="KU21">
        <v>0</v>
      </c>
      <c r="KV21">
        <v>0</v>
      </c>
      <c r="KW21">
        <v>0</v>
      </c>
      <c r="KX21">
        <v>0</v>
      </c>
      <c r="KY21">
        <v>0</v>
      </c>
      <c r="KZ21">
        <v>0</v>
      </c>
      <c r="LA21">
        <v>0</v>
      </c>
      <c r="LB21">
        <v>0</v>
      </c>
      <c r="LC21">
        <v>0</v>
      </c>
      <c r="LD21">
        <v>0</v>
      </c>
      <c r="LE21">
        <v>0</v>
      </c>
      <c r="LF21">
        <v>0</v>
      </c>
      <c r="LG21">
        <v>0</v>
      </c>
      <c r="LH21">
        <v>0</v>
      </c>
      <c r="LI21">
        <v>0</v>
      </c>
      <c r="LJ21">
        <v>0</v>
      </c>
      <c r="LK21">
        <v>0</v>
      </c>
      <c r="LL21">
        <v>0</v>
      </c>
      <c r="LM21">
        <v>0</v>
      </c>
      <c r="LN21">
        <v>0</v>
      </c>
      <c r="LO21">
        <v>0</v>
      </c>
      <c r="LP21">
        <v>0</v>
      </c>
      <c r="LQ21">
        <v>0</v>
      </c>
      <c r="LR21">
        <v>0</v>
      </c>
      <c r="LS21">
        <v>0</v>
      </c>
      <c r="LT21">
        <v>0</v>
      </c>
      <c r="LU21">
        <v>0</v>
      </c>
      <c r="LV21">
        <v>0</v>
      </c>
      <c r="LW21">
        <v>0</v>
      </c>
      <c r="LX21">
        <v>0</v>
      </c>
      <c r="LY21">
        <v>0</v>
      </c>
      <c r="LZ21">
        <v>0</v>
      </c>
      <c r="MA21">
        <v>0</v>
      </c>
      <c r="MB21">
        <v>0</v>
      </c>
      <c r="MC21">
        <v>0</v>
      </c>
      <c r="MD21">
        <v>0</v>
      </c>
      <c r="ME21">
        <v>0</v>
      </c>
      <c r="MF21">
        <v>0</v>
      </c>
      <c r="MG21">
        <v>0</v>
      </c>
      <c r="MH21">
        <v>0</v>
      </c>
      <c r="MI21">
        <v>0</v>
      </c>
      <c r="MJ21">
        <v>0</v>
      </c>
      <c r="MK21">
        <v>0</v>
      </c>
      <c r="ML21">
        <v>0</v>
      </c>
      <c r="MM21">
        <v>0</v>
      </c>
      <c r="MN21">
        <v>0</v>
      </c>
      <c r="MO21">
        <v>0</v>
      </c>
      <c r="MP21">
        <v>0</v>
      </c>
      <c r="MQ21">
        <v>0</v>
      </c>
      <c r="MR21">
        <v>0</v>
      </c>
      <c r="MS21">
        <v>0</v>
      </c>
      <c r="MT21">
        <v>0</v>
      </c>
      <c r="MU21">
        <v>0</v>
      </c>
      <c r="MV21">
        <v>0</v>
      </c>
      <c r="MW21">
        <v>0</v>
      </c>
      <c r="MX21">
        <v>0</v>
      </c>
      <c r="MY21">
        <v>0</v>
      </c>
      <c r="MZ21">
        <v>0</v>
      </c>
      <c r="NA21">
        <v>0</v>
      </c>
      <c r="NB21">
        <v>0</v>
      </c>
      <c r="NC21">
        <v>0</v>
      </c>
      <c r="ND21">
        <v>0</v>
      </c>
      <c r="NE21">
        <v>0</v>
      </c>
      <c r="NF21">
        <v>0</v>
      </c>
      <c r="NG21">
        <v>0</v>
      </c>
      <c r="NH21">
        <v>0</v>
      </c>
      <c r="NI21">
        <v>0</v>
      </c>
      <c r="NJ21">
        <v>0</v>
      </c>
      <c r="NK21">
        <v>0</v>
      </c>
      <c r="NL21">
        <v>0</v>
      </c>
      <c r="NM21">
        <v>0</v>
      </c>
      <c r="NN21">
        <v>0</v>
      </c>
      <c r="NO21">
        <v>0</v>
      </c>
      <c r="NP21">
        <v>0</v>
      </c>
      <c r="NQ21">
        <v>0</v>
      </c>
      <c r="NR21">
        <v>0</v>
      </c>
      <c r="NS21">
        <v>0</v>
      </c>
      <c r="NT21">
        <v>0</v>
      </c>
      <c r="NU21">
        <v>0</v>
      </c>
      <c r="NV21">
        <v>0</v>
      </c>
      <c r="NW21">
        <v>0</v>
      </c>
      <c r="NX21">
        <v>0</v>
      </c>
      <c r="NY21">
        <v>0</v>
      </c>
      <c r="NZ21">
        <v>0</v>
      </c>
      <c r="OA21">
        <v>0</v>
      </c>
      <c r="OB21">
        <v>0</v>
      </c>
      <c r="OC21">
        <v>0</v>
      </c>
      <c r="OD21">
        <v>0</v>
      </c>
      <c r="OE21">
        <v>0</v>
      </c>
      <c r="OF21">
        <v>0</v>
      </c>
      <c r="OG21">
        <v>0</v>
      </c>
      <c r="OH21">
        <v>0</v>
      </c>
      <c r="OI21">
        <v>0</v>
      </c>
      <c r="OJ21">
        <v>0</v>
      </c>
      <c r="OK21">
        <v>0</v>
      </c>
      <c r="OL21">
        <v>0</v>
      </c>
      <c r="OM21">
        <v>0</v>
      </c>
      <c r="ON21">
        <v>0</v>
      </c>
      <c r="OO21">
        <v>0</v>
      </c>
      <c r="OP21">
        <v>0</v>
      </c>
      <c r="OQ21">
        <v>0</v>
      </c>
      <c r="OR21">
        <v>0</v>
      </c>
      <c r="OS21">
        <v>0</v>
      </c>
      <c r="OT21">
        <v>0</v>
      </c>
      <c r="OU21">
        <v>0</v>
      </c>
      <c r="OV21">
        <v>0</v>
      </c>
      <c r="OW21">
        <v>0</v>
      </c>
      <c r="OX21">
        <v>0</v>
      </c>
      <c r="OY21">
        <v>0</v>
      </c>
      <c r="OZ21">
        <v>0</v>
      </c>
      <c r="PA21">
        <v>0</v>
      </c>
      <c r="PB21">
        <v>0</v>
      </c>
      <c r="PC21">
        <v>0</v>
      </c>
      <c r="PD21">
        <v>0</v>
      </c>
      <c r="PE21">
        <v>0</v>
      </c>
      <c r="PF21">
        <v>1</v>
      </c>
      <c r="PG21">
        <v>1</v>
      </c>
      <c r="PH21">
        <v>1</v>
      </c>
      <c r="PI21">
        <v>1</v>
      </c>
      <c r="PJ21">
        <v>1</v>
      </c>
      <c r="PK21">
        <v>1</v>
      </c>
      <c r="PL21">
        <v>1</v>
      </c>
      <c r="PM21">
        <v>1</v>
      </c>
      <c r="PN21">
        <v>1</v>
      </c>
      <c r="PO21">
        <v>1</v>
      </c>
      <c r="PP21">
        <v>1</v>
      </c>
      <c r="PQ21">
        <v>1</v>
      </c>
      <c r="PR21">
        <v>1</v>
      </c>
      <c r="PS21">
        <v>1</v>
      </c>
      <c r="PT21">
        <v>1</v>
      </c>
      <c r="PU21">
        <v>1</v>
      </c>
      <c r="PV21">
        <v>1</v>
      </c>
      <c r="PW21">
        <v>1</v>
      </c>
      <c r="PX21">
        <v>1</v>
      </c>
      <c r="PY21">
        <v>1</v>
      </c>
      <c r="PZ21">
        <v>1</v>
      </c>
      <c r="QA21">
        <v>1</v>
      </c>
      <c r="QB21">
        <v>1</v>
      </c>
      <c r="QC21">
        <v>1</v>
      </c>
      <c r="QD21">
        <v>1</v>
      </c>
      <c r="QE21">
        <v>1</v>
      </c>
      <c r="QF21">
        <v>1</v>
      </c>
      <c r="QG21">
        <v>1</v>
      </c>
      <c r="QH21">
        <v>1</v>
      </c>
      <c r="QI21">
        <v>1</v>
      </c>
      <c r="QJ21">
        <v>1</v>
      </c>
      <c r="QK21">
        <v>1</v>
      </c>
      <c r="QL21">
        <v>1</v>
      </c>
      <c r="QM21">
        <v>1</v>
      </c>
      <c r="QN21">
        <v>1</v>
      </c>
      <c r="QO21">
        <v>1</v>
      </c>
      <c r="QP21">
        <v>1</v>
      </c>
      <c r="QQ21">
        <v>1</v>
      </c>
      <c r="QR21">
        <v>1</v>
      </c>
      <c r="QS21">
        <v>1</v>
      </c>
      <c r="QT21">
        <v>1</v>
      </c>
      <c r="QU21">
        <v>1</v>
      </c>
      <c r="QV21">
        <v>1</v>
      </c>
      <c r="QW21">
        <v>1</v>
      </c>
      <c r="QX21">
        <v>1</v>
      </c>
      <c r="QY21">
        <v>1</v>
      </c>
      <c r="QZ21">
        <v>1</v>
      </c>
      <c r="RA21">
        <v>1</v>
      </c>
      <c r="RB21">
        <v>1</v>
      </c>
      <c r="RC21">
        <v>1</v>
      </c>
      <c r="RD21">
        <v>1</v>
      </c>
      <c r="RE21">
        <v>1</v>
      </c>
      <c r="RF21">
        <v>1</v>
      </c>
      <c r="RG21">
        <v>1</v>
      </c>
      <c r="RH21">
        <v>1</v>
      </c>
      <c r="RI21">
        <v>1</v>
      </c>
      <c r="RJ21">
        <v>1</v>
      </c>
      <c r="RK21">
        <v>1</v>
      </c>
      <c r="RL21">
        <v>1</v>
      </c>
      <c r="RM21">
        <v>1</v>
      </c>
      <c r="RN21">
        <v>1</v>
      </c>
      <c r="RO21">
        <v>1</v>
      </c>
      <c r="RP21">
        <v>1</v>
      </c>
      <c r="RQ21">
        <v>1</v>
      </c>
      <c r="RR21">
        <v>1</v>
      </c>
      <c r="RS21">
        <v>1</v>
      </c>
      <c r="RT21">
        <v>1</v>
      </c>
      <c r="RU21">
        <v>1</v>
      </c>
      <c r="RV21">
        <v>1</v>
      </c>
      <c r="RW21">
        <v>1</v>
      </c>
      <c r="RX21">
        <v>1</v>
      </c>
      <c r="RY21">
        <v>1</v>
      </c>
      <c r="RZ21">
        <v>1</v>
      </c>
      <c r="SA21">
        <v>1</v>
      </c>
      <c r="SB21">
        <v>1</v>
      </c>
      <c r="SC21">
        <v>1</v>
      </c>
      <c r="SD21">
        <v>1</v>
      </c>
      <c r="SE21">
        <v>1</v>
      </c>
      <c r="SF21">
        <v>1</v>
      </c>
      <c r="SG21">
        <v>1</v>
      </c>
      <c r="SH21">
        <v>1</v>
      </c>
      <c r="SI21">
        <v>1</v>
      </c>
      <c r="SJ21">
        <v>1</v>
      </c>
      <c r="SK21">
        <v>1</v>
      </c>
      <c r="SL21">
        <v>1</v>
      </c>
      <c r="SM21">
        <v>1</v>
      </c>
      <c r="SN21">
        <v>1</v>
      </c>
      <c r="SO21">
        <v>1</v>
      </c>
      <c r="SP21">
        <v>1</v>
      </c>
      <c r="SQ21">
        <v>1</v>
      </c>
      <c r="SR21">
        <v>1</v>
      </c>
      <c r="SS21">
        <v>1</v>
      </c>
      <c r="ST21">
        <v>1</v>
      </c>
      <c r="SU21">
        <v>1</v>
      </c>
      <c r="SV21">
        <v>1</v>
      </c>
      <c r="SW21">
        <v>1</v>
      </c>
      <c r="SX21">
        <v>1</v>
      </c>
      <c r="SY21">
        <v>1</v>
      </c>
      <c r="SZ21">
        <v>1</v>
      </c>
      <c r="TA21">
        <v>1</v>
      </c>
      <c r="TB21">
        <v>1</v>
      </c>
      <c r="TC21">
        <v>1</v>
      </c>
      <c r="TD21">
        <v>1</v>
      </c>
      <c r="TE21">
        <v>1</v>
      </c>
      <c r="TF21">
        <v>1</v>
      </c>
      <c r="TG21">
        <v>1</v>
      </c>
      <c r="TH21">
        <v>1</v>
      </c>
      <c r="TI21">
        <v>1</v>
      </c>
      <c r="TJ21">
        <v>1</v>
      </c>
      <c r="TK21">
        <v>1</v>
      </c>
      <c r="TL21">
        <v>1</v>
      </c>
      <c r="TM21">
        <v>1</v>
      </c>
      <c r="TN21">
        <v>1</v>
      </c>
      <c r="TO21">
        <v>1</v>
      </c>
      <c r="TP21">
        <v>1</v>
      </c>
      <c r="TQ21">
        <v>1</v>
      </c>
      <c r="TR21">
        <v>1</v>
      </c>
      <c r="TS21">
        <v>1</v>
      </c>
      <c r="TT21">
        <v>1</v>
      </c>
      <c r="TU21">
        <v>1</v>
      </c>
      <c r="TV21">
        <v>1</v>
      </c>
      <c r="TW21">
        <v>1</v>
      </c>
      <c r="TX21">
        <v>1</v>
      </c>
      <c r="TY21">
        <v>1</v>
      </c>
      <c r="TZ21">
        <v>1</v>
      </c>
      <c r="UA21">
        <v>1</v>
      </c>
      <c r="UB21">
        <v>1</v>
      </c>
      <c r="UC21">
        <v>1</v>
      </c>
      <c r="UD21">
        <v>1</v>
      </c>
      <c r="UE21">
        <v>1</v>
      </c>
      <c r="UF21">
        <v>1</v>
      </c>
      <c r="UG21">
        <v>1</v>
      </c>
      <c r="UH21">
        <v>1</v>
      </c>
      <c r="UI21">
        <v>1</v>
      </c>
      <c r="UJ21">
        <v>1</v>
      </c>
      <c r="UK21">
        <v>1</v>
      </c>
      <c r="UL21">
        <v>1</v>
      </c>
      <c r="UM21">
        <v>1</v>
      </c>
      <c r="UN21">
        <v>1</v>
      </c>
      <c r="UO21">
        <v>1</v>
      </c>
      <c r="UP21">
        <v>1</v>
      </c>
      <c r="UQ21">
        <v>1</v>
      </c>
      <c r="UR21">
        <v>0</v>
      </c>
      <c r="US21">
        <v>0</v>
      </c>
      <c r="UT21">
        <v>0</v>
      </c>
      <c r="UU21">
        <v>0</v>
      </c>
      <c r="UV21">
        <v>0</v>
      </c>
      <c r="UW21">
        <v>0</v>
      </c>
      <c r="UX21">
        <v>0</v>
      </c>
      <c r="UY21">
        <v>0</v>
      </c>
      <c r="UZ21">
        <v>0</v>
      </c>
      <c r="VA21">
        <v>0</v>
      </c>
      <c r="VB21">
        <v>0</v>
      </c>
      <c r="VC21">
        <v>0</v>
      </c>
      <c r="VD21">
        <v>0</v>
      </c>
      <c r="VE21">
        <v>0</v>
      </c>
      <c r="VF21">
        <v>0</v>
      </c>
      <c r="VG21">
        <v>0</v>
      </c>
      <c r="VH21">
        <v>0</v>
      </c>
      <c r="VI21">
        <v>0</v>
      </c>
      <c r="VJ21">
        <v>0</v>
      </c>
      <c r="VK21">
        <v>0</v>
      </c>
      <c r="VL21">
        <v>0</v>
      </c>
      <c r="VM21">
        <v>0</v>
      </c>
      <c r="VN21">
        <v>0</v>
      </c>
      <c r="VO21">
        <v>0</v>
      </c>
      <c r="VP21">
        <v>0</v>
      </c>
      <c r="VQ21">
        <v>0</v>
      </c>
      <c r="VR21">
        <v>0</v>
      </c>
      <c r="VS21">
        <v>0</v>
      </c>
      <c r="VT21">
        <v>0</v>
      </c>
      <c r="VU21">
        <v>0</v>
      </c>
      <c r="VV21">
        <v>0</v>
      </c>
      <c r="VW21">
        <v>0</v>
      </c>
      <c r="VX21">
        <v>0</v>
      </c>
      <c r="VY21">
        <v>0</v>
      </c>
      <c r="VZ21">
        <v>0</v>
      </c>
      <c r="WA21">
        <v>0</v>
      </c>
      <c r="WB21">
        <v>0</v>
      </c>
      <c r="WC21">
        <v>0</v>
      </c>
      <c r="WD21">
        <v>0</v>
      </c>
      <c r="WE21">
        <v>0</v>
      </c>
      <c r="WF21">
        <v>0</v>
      </c>
      <c r="WG21">
        <v>0</v>
      </c>
      <c r="WH21">
        <v>0</v>
      </c>
      <c r="WI21">
        <v>0</v>
      </c>
      <c r="WJ21">
        <v>0</v>
      </c>
      <c r="WK21">
        <v>0</v>
      </c>
      <c r="WL21">
        <v>0</v>
      </c>
      <c r="WM21">
        <v>0</v>
      </c>
      <c r="WN21">
        <v>0</v>
      </c>
      <c r="WO21">
        <v>0</v>
      </c>
      <c r="WP21">
        <v>0</v>
      </c>
      <c r="WQ21">
        <v>0</v>
      </c>
      <c r="WR21">
        <v>0</v>
      </c>
      <c r="WS21">
        <v>0</v>
      </c>
      <c r="WT21">
        <v>0</v>
      </c>
      <c r="WU21">
        <v>0</v>
      </c>
      <c r="WV21">
        <v>0</v>
      </c>
      <c r="WW21">
        <v>0</v>
      </c>
      <c r="WX21">
        <v>0</v>
      </c>
      <c r="WY21">
        <v>0</v>
      </c>
      <c r="WZ21">
        <v>0</v>
      </c>
      <c r="XA21">
        <v>0</v>
      </c>
      <c r="XB21">
        <v>0</v>
      </c>
      <c r="XC21">
        <v>0</v>
      </c>
      <c r="XD21">
        <v>0</v>
      </c>
      <c r="XE21">
        <v>0</v>
      </c>
      <c r="XF21">
        <v>0</v>
      </c>
      <c r="XG21">
        <v>0</v>
      </c>
      <c r="XH21">
        <v>0</v>
      </c>
      <c r="XI21">
        <v>0</v>
      </c>
      <c r="XJ21">
        <v>0</v>
      </c>
      <c r="XK21">
        <v>0</v>
      </c>
      <c r="XL21">
        <v>0</v>
      </c>
      <c r="XM21">
        <v>0</v>
      </c>
      <c r="XN21">
        <v>0</v>
      </c>
      <c r="XO21">
        <v>0</v>
      </c>
      <c r="XP21">
        <v>0</v>
      </c>
      <c r="XQ21">
        <v>0</v>
      </c>
      <c r="XR21">
        <v>0</v>
      </c>
      <c r="XS21">
        <v>0</v>
      </c>
      <c r="XT21">
        <v>0</v>
      </c>
      <c r="XU21">
        <v>0</v>
      </c>
      <c r="XV21">
        <v>0</v>
      </c>
      <c r="XW21">
        <v>0</v>
      </c>
      <c r="XX21">
        <v>0</v>
      </c>
      <c r="XY21">
        <v>0</v>
      </c>
      <c r="XZ21">
        <v>0</v>
      </c>
      <c r="YA21">
        <v>0</v>
      </c>
      <c r="YB21">
        <v>0</v>
      </c>
      <c r="YC21">
        <v>0</v>
      </c>
      <c r="YD21">
        <v>0</v>
      </c>
      <c r="YE21">
        <v>0</v>
      </c>
      <c r="YF21">
        <v>0</v>
      </c>
      <c r="YG21">
        <v>0</v>
      </c>
      <c r="YH21">
        <v>0</v>
      </c>
      <c r="YI21">
        <v>0</v>
      </c>
      <c r="YJ21">
        <v>0</v>
      </c>
      <c r="YK21">
        <v>0</v>
      </c>
      <c r="YL21">
        <v>0</v>
      </c>
      <c r="YM21">
        <v>0</v>
      </c>
      <c r="YN21">
        <v>0</v>
      </c>
      <c r="YO21">
        <v>0</v>
      </c>
      <c r="YP21">
        <v>0</v>
      </c>
      <c r="YQ21">
        <v>0</v>
      </c>
      <c r="YR21">
        <v>0</v>
      </c>
      <c r="YS21">
        <v>0</v>
      </c>
      <c r="YT21">
        <v>0</v>
      </c>
      <c r="YU21">
        <v>0</v>
      </c>
      <c r="YV21">
        <v>0</v>
      </c>
      <c r="YW21">
        <v>0</v>
      </c>
      <c r="YX21">
        <v>0</v>
      </c>
      <c r="YY21">
        <v>0</v>
      </c>
      <c r="YZ21">
        <v>0</v>
      </c>
      <c r="ZA21">
        <v>0</v>
      </c>
      <c r="ZB21">
        <v>0</v>
      </c>
      <c r="ZC21">
        <v>0</v>
      </c>
      <c r="ZD21">
        <v>0</v>
      </c>
      <c r="ZE21">
        <v>0</v>
      </c>
      <c r="ZF21">
        <v>0</v>
      </c>
      <c r="ZG21">
        <v>0</v>
      </c>
      <c r="ZH21">
        <v>0</v>
      </c>
      <c r="ZI21">
        <v>0</v>
      </c>
      <c r="ZJ21">
        <v>0</v>
      </c>
      <c r="ZK21">
        <v>0</v>
      </c>
      <c r="ZL21">
        <v>0</v>
      </c>
      <c r="ZM21">
        <v>0</v>
      </c>
      <c r="ZN21">
        <v>0</v>
      </c>
      <c r="ZO21">
        <v>0</v>
      </c>
      <c r="ZP21">
        <v>0</v>
      </c>
      <c r="ZQ21">
        <v>0</v>
      </c>
      <c r="ZR21">
        <v>0</v>
      </c>
      <c r="ZS21">
        <v>0</v>
      </c>
      <c r="ZT21">
        <v>0</v>
      </c>
      <c r="ZU21">
        <v>0</v>
      </c>
      <c r="ZV21">
        <v>0</v>
      </c>
      <c r="ZW21">
        <v>0</v>
      </c>
      <c r="ZX21">
        <v>0</v>
      </c>
      <c r="ZY21">
        <v>0</v>
      </c>
      <c r="ZZ21">
        <v>0</v>
      </c>
      <c r="AAA21">
        <v>0</v>
      </c>
      <c r="AAB21">
        <v>0</v>
      </c>
      <c r="AAC21">
        <v>0</v>
      </c>
      <c r="AAD21">
        <v>0</v>
      </c>
      <c r="AAE21">
        <v>0</v>
      </c>
      <c r="AAF21">
        <v>0</v>
      </c>
      <c r="AAG21">
        <v>0</v>
      </c>
      <c r="AAH21">
        <v>0</v>
      </c>
      <c r="AAI21">
        <v>0</v>
      </c>
      <c r="AAJ21">
        <v>0</v>
      </c>
      <c r="AAK21">
        <v>0</v>
      </c>
      <c r="AAL21">
        <v>0</v>
      </c>
      <c r="AAM21">
        <v>0</v>
      </c>
      <c r="AAN21">
        <v>0</v>
      </c>
      <c r="AAO21">
        <v>0</v>
      </c>
      <c r="AAP21">
        <v>0</v>
      </c>
      <c r="AAQ21">
        <v>0</v>
      </c>
      <c r="AAR21">
        <v>0</v>
      </c>
      <c r="AAS21">
        <v>0</v>
      </c>
      <c r="AAT21">
        <v>0</v>
      </c>
      <c r="AAU21">
        <v>0</v>
      </c>
      <c r="AAV21">
        <v>0</v>
      </c>
      <c r="AAW21">
        <v>0</v>
      </c>
      <c r="AAX21">
        <v>0</v>
      </c>
      <c r="AAY21">
        <v>0</v>
      </c>
      <c r="AAZ21">
        <v>0</v>
      </c>
      <c r="ABA21">
        <v>0</v>
      </c>
      <c r="ABB21">
        <v>0</v>
      </c>
      <c r="ABC21">
        <v>0</v>
      </c>
      <c r="ABD21">
        <v>0</v>
      </c>
      <c r="ABE21">
        <v>0</v>
      </c>
      <c r="ABG21" s="1137">
        <f t="shared" si="5"/>
        <v>0</v>
      </c>
      <c r="ABH21" s="1137">
        <f t="shared" si="5"/>
        <v>0</v>
      </c>
      <c r="ABI21" s="1137">
        <f t="shared" si="5"/>
        <v>14</v>
      </c>
      <c r="ABJ21" s="1137">
        <f t="shared" si="5"/>
        <v>30</v>
      </c>
      <c r="ABK21" s="1137">
        <f t="shared" si="5"/>
        <v>31</v>
      </c>
      <c r="ABL21" s="1137">
        <f t="shared" si="5"/>
        <v>30</v>
      </c>
      <c r="ABM21" s="1137">
        <f t="shared" si="5"/>
        <v>31</v>
      </c>
      <c r="ABN21" s="1137">
        <f t="shared" si="5"/>
        <v>22</v>
      </c>
      <c r="ABO21" s="1137">
        <f t="shared" si="5"/>
        <v>0</v>
      </c>
      <c r="ABP21" s="1137">
        <f t="shared" si="5"/>
        <v>0</v>
      </c>
      <c r="ABQ21" s="1137">
        <f t="shared" si="5"/>
        <v>0</v>
      </c>
      <c r="ABR21" s="1137">
        <f t="shared" si="5"/>
        <v>0</v>
      </c>
      <c r="ABS21" s="1137">
        <f t="shared" si="5"/>
        <v>0</v>
      </c>
      <c r="ABT21" s="1137">
        <f t="shared" si="5"/>
        <v>6</v>
      </c>
      <c r="ABU21" s="1137">
        <f t="shared" si="5"/>
        <v>31</v>
      </c>
      <c r="ABV21" s="1137">
        <f t="shared" si="5"/>
        <v>30</v>
      </c>
      <c r="ABW21" s="1137">
        <f t="shared" si="7"/>
        <v>31</v>
      </c>
      <c r="ABX21" s="1137">
        <f t="shared" si="7"/>
        <v>30</v>
      </c>
      <c r="ABY21" s="1137">
        <f t="shared" si="7"/>
        <v>14</v>
      </c>
      <c r="ABZ21" s="1137">
        <f t="shared" si="7"/>
        <v>0</v>
      </c>
      <c r="ACA21" s="1137">
        <f t="shared" si="7"/>
        <v>0</v>
      </c>
      <c r="ACB21" s="1137">
        <f t="shared" si="7"/>
        <v>0</v>
      </c>
      <c r="ACC21" s="1137">
        <f t="shared" si="7"/>
        <v>0</v>
      </c>
      <c r="ACD21" s="1137">
        <f t="shared" si="7"/>
        <v>0</v>
      </c>
      <c r="ACE21" s="1137" t="s">
        <v>144</v>
      </c>
      <c r="ACF21" s="1137">
        <f t="shared" si="6"/>
        <v>0</v>
      </c>
      <c r="ACG21" s="1137">
        <f t="shared" si="6"/>
        <v>0</v>
      </c>
      <c r="ACH21" s="1137">
        <f t="shared" si="6"/>
        <v>1</v>
      </c>
      <c r="ACI21" s="1137">
        <f t="shared" si="6"/>
        <v>1</v>
      </c>
      <c r="ACJ21" s="1137">
        <f t="shared" si="6"/>
        <v>1</v>
      </c>
      <c r="ACK21" s="1137">
        <f t="shared" si="6"/>
        <v>1</v>
      </c>
      <c r="ACL21" s="1137">
        <f t="shared" si="6"/>
        <v>1</v>
      </c>
      <c r="ACM21" s="1137">
        <f t="shared" si="6"/>
        <v>1</v>
      </c>
      <c r="ACN21" s="1137">
        <f t="shared" si="6"/>
        <v>0</v>
      </c>
      <c r="ACO21" s="1137">
        <f t="shared" si="6"/>
        <v>0</v>
      </c>
      <c r="ACP21" s="1137">
        <f t="shared" si="6"/>
        <v>0</v>
      </c>
      <c r="ACQ21" s="1137">
        <f t="shared" si="6"/>
        <v>0</v>
      </c>
      <c r="ACR21" s="1137">
        <f t="shared" si="6"/>
        <v>0</v>
      </c>
      <c r="ACS21" s="1137">
        <f t="shared" si="6"/>
        <v>0</v>
      </c>
      <c r="ACT21" s="1137">
        <f t="shared" si="6"/>
        <v>1</v>
      </c>
      <c r="ACU21" s="1137">
        <f t="shared" si="6"/>
        <v>1</v>
      </c>
      <c r="ACV21" s="1137">
        <f t="shared" si="8"/>
        <v>1</v>
      </c>
      <c r="ACW21" s="1137">
        <f t="shared" si="8"/>
        <v>1</v>
      </c>
      <c r="ACX21" s="1137">
        <f t="shared" si="8"/>
        <v>1</v>
      </c>
      <c r="ACY21" s="1137">
        <f t="shared" si="8"/>
        <v>0</v>
      </c>
      <c r="ACZ21" s="1137">
        <f t="shared" si="8"/>
        <v>0</v>
      </c>
      <c r="ADA21" s="1137">
        <f t="shared" si="8"/>
        <v>0</v>
      </c>
      <c r="ADB21" s="1137">
        <f t="shared" si="8"/>
        <v>0</v>
      </c>
      <c r="ADC21" s="1137">
        <f t="shared" si="8"/>
        <v>0</v>
      </c>
    </row>
    <row r="22" spans="1:783" x14ac:dyDescent="0.25">
      <c r="A22" t="s">
        <v>1817</v>
      </c>
      <c r="B22" t="s">
        <v>143</v>
      </c>
      <c r="C22">
        <v>0</v>
      </c>
      <c r="D22">
        <v>0</v>
      </c>
      <c r="E22">
        <v>0</v>
      </c>
      <c r="F22">
        <v>0</v>
      </c>
      <c r="G22">
        <v>0</v>
      </c>
      <c r="H22">
        <v>0</v>
      </c>
      <c r="I22">
        <v>0</v>
      </c>
      <c r="J22">
        <v>0</v>
      </c>
      <c r="K22">
        <v>0</v>
      </c>
      <c r="L22">
        <v>0</v>
      </c>
      <c r="M22">
        <v>0</v>
      </c>
      <c r="N22">
        <v>0</v>
      </c>
      <c r="O22">
        <v>0</v>
      </c>
      <c r="P22">
        <v>0</v>
      </c>
      <c r="Q22">
        <v>0</v>
      </c>
      <c r="R22">
        <v>0</v>
      </c>
      <c r="S22">
        <v>0</v>
      </c>
      <c r="T22">
        <v>0</v>
      </c>
      <c r="U22">
        <v>0</v>
      </c>
      <c r="V22">
        <v>0</v>
      </c>
      <c r="W22">
        <v>0</v>
      </c>
      <c r="X22">
        <v>0</v>
      </c>
      <c r="Y22">
        <v>0</v>
      </c>
      <c r="Z22">
        <v>0</v>
      </c>
      <c r="AA22">
        <v>0</v>
      </c>
      <c r="AB22">
        <v>0</v>
      </c>
      <c r="AC22">
        <v>0</v>
      </c>
      <c r="AD22">
        <v>0</v>
      </c>
      <c r="AE22">
        <v>0</v>
      </c>
      <c r="AF22">
        <v>0</v>
      </c>
      <c r="AG22">
        <v>0</v>
      </c>
      <c r="AH22">
        <v>0</v>
      </c>
      <c r="AI22">
        <v>0</v>
      </c>
      <c r="AJ22">
        <v>0</v>
      </c>
      <c r="AK22">
        <v>0</v>
      </c>
      <c r="AL22">
        <v>0</v>
      </c>
      <c r="AM22">
        <v>0</v>
      </c>
      <c r="AN22">
        <v>0</v>
      </c>
      <c r="AO22">
        <v>0</v>
      </c>
      <c r="AP22">
        <v>0</v>
      </c>
      <c r="AQ22">
        <v>0</v>
      </c>
      <c r="AR22">
        <v>0</v>
      </c>
      <c r="AS22">
        <v>0</v>
      </c>
      <c r="AT22">
        <v>0</v>
      </c>
      <c r="AU22">
        <v>0</v>
      </c>
      <c r="AV22">
        <v>0</v>
      </c>
      <c r="AW22">
        <v>0</v>
      </c>
      <c r="AX22">
        <v>0</v>
      </c>
      <c r="AY22">
        <v>0</v>
      </c>
      <c r="AZ22">
        <v>0</v>
      </c>
      <c r="BA22">
        <v>0</v>
      </c>
      <c r="BB22">
        <v>0</v>
      </c>
      <c r="BC22">
        <v>0</v>
      </c>
      <c r="BD22">
        <v>0</v>
      </c>
      <c r="BE22">
        <v>0</v>
      </c>
      <c r="BF22">
        <v>0</v>
      </c>
      <c r="BG22">
        <v>0</v>
      </c>
      <c r="BH22">
        <v>0</v>
      </c>
      <c r="BI22">
        <v>0</v>
      </c>
      <c r="BJ22">
        <v>0</v>
      </c>
      <c r="BK22">
        <v>0</v>
      </c>
      <c r="BL22">
        <v>0</v>
      </c>
      <c r="BM22">
        <v>0</v>
      </c>
      <c r="BN22">
        <v>0</v>
      </c>
      <c r="BO22">
        <v>0</v>
      </c>
      <c r="BP22">
        <v>0</v>
      </c>
      <c r="BQ22">
        <v>0</v>
      </c>
      <c r="BR22">
        <v>0</v>
      </c>
      <c r="BS22">
        <v>0</v>
      </c>
      <c r="BT22">
        <v>0</v>
      </c>
      <c r="BU22">
        <v>0</v>
      </c>
      <c r="BV22">
        <v>0</v>
      </c>
      <c r="BW22">
        <v>0</v>
      </c>
      <c r="BX22">
        <v>0</v>
      </c>
      <c r="BY22">
        <v>0</v>
      </c>
      <c r="BZ22">
        <v>0</v>
      </c>
      <c r="CA22">
        <v>0</v>
      </c>
      <c r="CB22">
        <v>0</v>
      </c>
      <c r="CC22">
        <v>0</v>
      </c>
      <c r="CD22">
        <v>0</v>
      </c>
      <c r="CE22">
        <v>0</v>
      </c>
      <c r="CF22">
        <v>0</v>
      </c>
      <c r="CG22">
        <v>0</v>
      </c>
      <c r="CH22">
        <v>2</v>
      </c>
      <c r="CI22">
        <v>2</v>
      </c>
      <c r="CJ22">
        <v>2</v>
      </c>
      <c r="CK22">
        <v>2</v>
      </c>
      <c r="CL22">
        <v>2</v>
      </c>
      <c r="CM22">
        <v>2</v>
      </c>
      <c r="CN22">
        <v>2</v>
      </c>
      <c r="CO22">
        <v>2</v>
      </c>
      <c r="CP22">
        <v>2</v>
      </c>
      <c r="CQ22">
        <v>2</v>
      </c>
      <c r="CR22">
        <v>2</v>
      </c>
      <c r="CS22">
        <v>2</v>
      </c>
      <c r="CT22">
        <v>2</v>
      </c>
      <c r="CU22">
        <v>2</v>
      </c>
      <c r="CV22">
        <v>2</v>
      </c>
      <c r="CW22">
        <v>2</v>
      </c>
      <c r="CX22">
        <v>2</v>
      </c>
      <c r="CY22">
        <v>2</v>
      </c>
      <c r="CZ22">
        <v>2</v>
      </c>
      <c r="DA22">
        <v>2</v>
      </c>
      <c r="DB22">
        <v>2</v>
      </c>
      <c r="DC22">
        <v>2</v>
      </c>
      <c r="DD22">
        <v>2</v>
      </c>
      <c r="DE22">
        <v>2</v>
      </c>
      <c r="DF22">
        <v>2</v>
      </c>
      <c r="DG22">
        <v>2</v>
      </c>
      <c r="DH22">
        <v>2</v>
      </c>
      <c r="DI22">
        <v>2</v>
      </c>
      <c r="DJ22">
        <v>2</v>
      </c>
      <c r="DK22">
        <v>2</v>
      </c>
      <c r="DL22">
        <v>2</v>
      </c>
      <c r="DM22">
        <v>2</v>
      </c>
      <c r="DN22">
        <v>2</v>
      </c>
      <c r="DO22">
        <v>2</v>
      </c>
      <c r="DP22">
        <v>2</v>
      </c>
      <c r="DQ22">
        <v>2</v>
      </c>
      <c r="DR22">
        <v>2</v>
      </c>
      <c r="DS22">
        <v>2</v>
      </c>
      <c r="DT22">
        <v>2</v>
      </c>
      <c r="DU22">
        <v>2</v>
      </c>
      <c r="DV22">
        <v>2</v>
      </c>
      <c r="DW22">
        <v>2</v>
      </c>
      <c r="DX22">
        <v>2</v>
      </c>
      <c r="DY22">
        <v>2</v>
      </c>
      <c r="DZ22">
        <v>2</v>
      </c>
      <c r="EA22">
        <v>2</v>
      </c>
      <c r="EB22">
        <v>2</v>
      </c>
      <c r="EC22">
        <v>2</v>
      </c>
      <c r="ED22">
        <v>2</v>
      </c>
      <c r="EE22">
        <v>2</v>
      </c>
      <c r="EF22">
        <v>2</v>
      </c>
      <c r="EG22">
        <v>2</v>
      </c>
      <c r="EH22">
        <v>2</v>
      </c>
      <c r="EI22">
        <v>2</v>
      </c>
      <c r="EJ22">
        <v>2</v>
      </c>
      <c r="EK22">
        <v>2</v>
      </c>
      <c r="EL22">
        <v>2</v>
      </c>
      <c r="EM22">
        <v>2</v>
      </c>
      <c r="EN22">
        <v>2</v>
      </c>
      <c r="EO22">
        <v>2</v>
      </c>
      <c r="EP22">
        <v>2</v>
      </c>
      <c r="EQ22">
        <v>2</v>
      </c>
      <c r="ER22">
        <v>2</v>
      </c>
      <c r="ES22">
        <v>2</v>
      </c>
      <c r="ET22">
        <v>2</v>
      </c>
      <c r="EU22">
        <v>2</v>
      </c>
      <c r="EV22">
        <v>2</v>
      </c>
      <c r="EW22">
        <v>2</v>
      </c>
      <c r="EX22">
        <v>2</v>
      </c>
      <c r="EY22">
        <v>0</v>
      </c>
      <c r="EZ22">
        <v>0</v>
      </c>
      <c r="FA22">
        <v>0</v>
      </c>
      <c r="FB22">
        <v>0</v>
      </c>
      <c r="FC22">
        <v>0</v>
      </c>
      <c r="FD22">
        <v>0</v>
      </c>
      <c r="FE22">
        <v>0</v>
      </c>
      <c r="FF22">
        <v>0</v>
      </c>
      <c r="FG22">
        <v>0</v>
      </c>
      <c r="FH22">
        <v>0</v>
      </c>
      <c r="FI22">
        <v>0</v>
      </c>
      <c r="FJ22">
        <v>0</v>
      </c>
      <c r="FK22">
        <v>0</v>
      </c>
      <c r="FL22">
        <v>0</v>
      </c>
      <c r="FM22">
        <v>0</v>
      </c>
      <c r="FN22">
        <v>0</v>
      </c>
      <c r="FO22">
        <v>0</v>
      </c>
      <c r="FP22">
        <v>0</v>
      </c>
      <c r="FQ22">
        <v>0</v>
      </c>
      <c r="FR22">
        <v>0</v>
      </c>
      <c r="FS22">
        <v>0</v>
      </c>
      <c r="FT22">
        <v>0</v>
      </c>
      <c r="FU22">
        <v>0</v>
      </c>
      <c r="FV22">
        <v>0</v>
      </c>
      <c r="FW22">
        <v>0</v>
      </c>
      <c r="FX22">
        <v>0</v>
      </c>
      <c r="FY22">
        <v>0</v>
      </c>
      <c r="FZ22">
        <v>0</v>
      </c>
      <c r="GA22">
        <v>0</v>
      </c>
      <c r="GB22">
        <v>0</v>
      </c>
      <c r="GC22">
        <v>0</v>
      </c>
      <c r="GD22">
        <v>0</v>
      </c>
      <c r="GE22">
        <v>0</v>
      </c>
      <c r="GF22">
        <v>0</v>
      </c>
      <c r="GG22">
        <v>0</v>
      </c>
      <c r="GH22">
        <v>0</v>
      </c>
      <c r="GI22">
        <v>0</v>
      </c>
      <c r="GJ22">
        <v>0</v>
      </c>
      <c r="GK22">
        <v>0</v>
      </c>
      <c r="GL22">
        <v>0</v>
      </c>
      <c r="GM22">
        <v>0</v>
      </c>
      <c r="GN22">
        <v>0</v>
      </c>
      <c r="GO22">
        <v>0</v>
      </c>
      <c r="GP22">
        <v>0</v>
      </c>
      <c r="GQ22">
        <v>0</v>
      </c>
      <c r="GR22">
        <v>0</v>
      </c>
      <c r="GS22">
        <v>0</v>
      </c>
      <c r="GT22">
        <v>0</v>
      </c>
      <c r="GU22">
        <v>0</v>
      </c>
      <c r="GV22">
        <v>2</v>
      </c>
      <c r="GW22">
        <v>2</v>
      </c>
      <c r="GX22">
        <v>2</v>
      </c>
      <c r="GY22">
        <v>2</v>
      </c>
      <c r="GZ22">
        <v>2</v>
      </c>
      <c r="HA22">
        <v>2</v>
      </c>
      <c r="HB22">
        <v>2</v>
      </c>
      <c r="HC22">
        <v>2</v>
      </c>
      <c r="HD22">
        <v>2</v>
      </c>
      <c r="HE22">
        <v>2</v>
      </c>
      <c r="HF22">
        <v>2</v>
      </c>
      <c r="HG22">
        <v>2</v>
      </c>
      <c r="HH22">
        <v>2</v>
      </c>
      <c r="HI22">
        <v>2</v>
      </c>
      <c r="HJ22">
        <v>2</v>
      </c>
      <c r="HK22">
        <v>2</v>
      </c>
      <c r="HL22">
        <v>2</v>
      </c>
      <c r="HM22">
        <v>2</v>
      </c>
      <c r="HN22">
        <v>2</v>
      </c>
      <c r="HO22">
        <v>2</v>
      </c>
      <c r="HP22">
        <v>2</v>
      </c>
      <c r="HQ22">
        <v>2</v>
      </c>
      <c r="HR22">
        <v>2</v>
      </c>
      <c r="HS22">
        <v>2</v>
      </c>
      <c r="HT22">
        <v>2</v>
      </c>
      <c r="HU22">
        <v>2</v>
      </c>
      <c r="HV22">
        <v>2</v>
      </c>
      <c r="HW22">
        <v>2</v>
      </c>
      <c r="HX22">
        <v>2</v>
      </c>
      <c r="HY22">
        <v>2</v>
      </c>
      <c r="HZ22">
        <v>2</v>
      </c>
      <c r="IA22">
        <v>2</v>
      </c>
      <c r="IB22">
        <v>2</v>
      </c>
      <c r="IC22">
        <v>2</v>
      </c>
      <c r="ID22">
        <v>2</v>
      </c>
      <c r="IE22">
        <v>2</v>
      </c>
      <c r="IF22">
        <v>2</v>
      </c>
      <c r="IG22">
        <v>2</v>
      </c>
      <c r="IH22">
        <v>2</v>
      </c>
      <c r="II22">
        <v>2</v>
      </c>
      <c r="IJ22">
        <v>2</v>
      </c>
      <c r="IK22">
        <v>2</v>
      </c>
      <c r="IL22">
        <v>2</v>
      </c>
      <c r="IM22">
        <v>2</v>
      </c>
      <c r="IN22">
        <v>2</v>
      </c>
      <c r="IO22">
        <v>2</v>
      </c>
      <c r="IP22">
        <v>2</v>
      </c>
      <c r="IQ22">
        <v>2</v>
      </c>
      <c r="IR22">
        <v>2</v>
      </c>
      <c r="IS22">
        <v>2</v>
      </c>
      <c r="IT22">
        <v>2</v>
      </c>
      <c r="IU22">
        <v>2</v>
      </c>
      <c r="IV22">
        <v>2</v>
      </c>
      <c r="IW22">
        <v>2</v>
      </c>
      <c r="IX22">
        <v>2</v>
      </c>
      <c r="IY22">
        <v>2</v>
      </c>
      <c r="IZ22">
        <v>2</v>
      </c>
      <c r="JA22">
        <v>2</v>
      </c>
      <c r="JB22">
        <v>2</v>
      </c>
      <c r="JC22">
        <v>2</v>
      </c>
      <c r="JD22">
        <v>2</v>
      </c>
      <c r="JE22">
        <v>2</v>
      </c>
      <c r="JF22">
        <v>2</v>
      </c>
      <c r="JG22">
        <v>2</v>
      </c>
      <c r="JH22">
        <v>2</v>
      </c>
      <c r="JI22">
        <v>2</v>
      </c>
      <c r="JJ22">
        <v>2</v>
      </c>
      <c r="JK22">
        <v>2</v>
      </c>
      <c r="JL22">
        <v>2</v>
      </c>
      <c r="JM22">
        <v>2</v>
      </c>
      <c r="JN22">
        <v>2</v>
      </c>
      <c r="JO22">
        <v>2</v>
      </c>
      <c r="JP22">
        <v>2</v>
      </c>
      <c r="JQ22">
        <v>2</v>
      </c>
      <c r="JR22">
        <v>2</v>
      </c>
      <c r="JS22">
        <v>2</v>
      </c>
      <c r="JT22">
        <v>2</v>
      </c>
      <c r="JU22">
        <v>2</v>
      </c>
      <c r="JV22">
        <v>2</v>
      </c>
      <c r="JW22">
        <v>2</v>
      </c>
      <c r="JX22">
        <v>2</v>
      </c>
      <c r="JY22">
        <v>2</v>
      </c>
      <c r="JZ22">
        <v>2</v>
      </c>
      <c r="KA22">
        <v>2</v>
      </c>
      <c r="KB22">
        <v>2</v>
      </c>
      <c r="KC22">
        <v>2</v>
      </c>
      <c r="KD22">
        <v>2</v>
      </c>
      <c r="KE22">
        <v>2</v>
      </c>
      <c r="KF22">
        <v>2</v>
      </c>
      <c r="KG22">
        <v>2</v>
      </c>
      <c r="KH22">
        <v>2</v>
      </c>
      <c r="KI22">
        <v>2</v>
      </c>
      <c r="KJ22">
        <v>2</v>
      </c>
      <c r="KK22">
        <v>2</v>
      </c>
      <c r="KL22">
        <v>2</v>
      </c>
      <c r="KM22">
        <v>2</v>
      </c>
      <c r="KN22">
        <v>2</v>
      </c>
      <c r="KO22">
        <v>2</v>
      </c>
      <c r="KP22">
        <v>2</v>
      </c>
      <c r="KQ22">
        <v>2</v>
      </c>
      <c r="KR22">
        <v>2</v>
      </c>
      <c r="KS22">
        <v>2</v>
      </c>
      <c r="KT22">
        <v>2</v>
      </c>
      <c r="KU22">
        <v>2</v>
      </c>
      <c r="KV22">
        <v>2</v>
      </c>
      <c r="KW22">
        <v>2</v>
      </c>
      <c r="KX22">
        <v>2</v>
      </c>
      <c r="KY22">
        <v>2</v>
      </c>
      <c r="KZ22">
        <v>2</v>
      </c>
      <c r="LA22">
        <v>2</v>
      </c>
      <c r="LB22">
        <v>2</v>
      </c>
      <c r="LC22">
        <v>2</v>
      </c>
      <c r="LD22">
        <v>2</v>
      </c>
      <c r="LE22">
        <v>2</v>
      </c>
      <c r="LF22">
        <v>2</v>
      </c>
      <c r="LG22">
        <v>2</v>
      </c>
      <c r="LH22">
        <v>2</v>
      </c>
      <c r="LI22">
        <v>2</v>
      </c>
      <c r="LJ22">
        <v>2</v>
      </c>
      <c r="LK22">
        <v>2</v>
      </c>
      <c r="LL22">
        <v>2</v>
      </c>
      <c r="LM22">
        <v>2</v>
      </c>
      <c r="LN22">
        <v>2</v>
      </c>
      <c r="LO22">
        <v>2</v>
      </c>
      <c r="LP22">
        <v>2</v>
      </c>
      <c r="LQ22">
        <v>2</v>
      </c>
      <c r="LR22">
        <v>2</v>
      </c>
      <c r="LS22">
        <v>2</v>
      </c>
      <c r="LT22">
        <v>2</v>
      </c>
      <c r="LU22">
        <v>2</v>
      </c>
      <c r="LV22">
        <v>2</v>
      </c>
      <c r="LW22">
        <v>2</v>
      </c>
      <c r="LX22">
        <v>2</v>
      </c>
      <c r="LY22">
        <v>2</v>
      </c>
      <c r="LZ22">
        <v>2</v>
      </c>
      <c r="MA22">
        <v>2</v>
      </c>
      <c r="MB22">
        <v>2</v>
      </c>
      <c r="MC22">
        <v>2</v>
      </c>
      <c r="MD22">
        <v>2</v>
      </c>
      <c r="ME22">
        <v>2</v>
      </c>
      <c r="MF22">
        <v>2</v>
      </c>
      <c r="MG22">
        <v>2</v>
      </c>
      <c r="MH22">
        <v>2</v>
      </c>
      <c r="MI22">
        <v>2</v>
      </c>
      <c r="MJ22">
        <v>2</v>
      </c>
      <c r="MK22">
        <v>2</v>
      </c>
      <c r="ML22">
        <v>2</v>
      </c>
      <c r="MM22">
        <v>2</v>
      </c>
      <c r="MN22">
        <v>2</v>
      </c>
      <c r="MO22">
        <v>2</v>
      </c>
      <c r="MP22">
        <v>2</v>
      </c>
      <c r="MQ22">
        <v>2</v>
      </c>
      <c r="MR22">
        <v>2</v>
      </c>
      <c r="MS22">
        <v>2</v>
      </c>
      <c r="MT22">
        <v>2</v>
      </c>
      <c r="MU22">
        <v>2</v>
      </c>
      <c r="MV22">
        <v>2</v>
      </c>
      <c r="MW22">
        <v>2</v>
      </c>
      <c r="MX22">
        <v>2</v>
      </c>
      <c r="MY22">
        <v>2</v>
      </c>
      <c r="MZ22">
        <v>2</v>
      </c>
      <c r="NA22">
        <v>2</v>
      </c>
      <c r="NB22">
        <v>2</v>
      </c>
      <c r="NC22">
        <v>2</v>
      </c>
      <c r="ND22">
        <v>2</v>
      </c>
      <c r="NE22">
        <v>2</v>
      </c>
      <c r="NF22">
        <v>2</v>
      </c>
      <c r="NG22">
        <v>2</v>
      </c>
      <c r="NH22">
        <v>2</v>
      </c>
      <c r="NI22">
        <v>2</v>
      </c>
      <c r="NJ22">
        <v>2</v>
      </c>
      <c r="NK22">
        <v>2</v>
      </c>
      <c r="NL22">
        <v>2</v>
      </c>
      <c r="NM22">
        <v>2</v>
      </c>
      <c r="NN22">
        <v>2</v>
      </c>
      <c r="NO22">
        <v>2</v>
      </c>
      <c r="NP22">
        <v>2</v>
      </c>
      <c r="NQ22">
        <v>2</v>
      </c>
      <c r="NR22">
        <v>2</v>
      </c>
      <c r="NS22">
        <v>2</v>
      </c>
      <c r="NT22">
        <v>2</v>
      </c>
      <c r="NU22">
        <v>2</v>
      </c>
      <c r="NV22">
        <v>2</v>
      </c>
      <c r="NW22">
        <v>2</v>
      </c>
      <c r="NX22">
        <v>2</v>
      </c>
      <c r="NY22">
        <v>2</v>
      </c>
      <c r="NZ22">
        <v>2</v>
      </c>
      <c r="OA22">
        <v>2</v>
      </c>
      <c r="OB22">
        <v>2</v>
      </c>
      <c r="OC22">
        <v>2</v>
      </c>
      <c r="OD22">
        <v>2</v>
      </c>
      <c r="OE22">
        <v>2</v>
      </c>
      <c r="OF22">
        <v>2</v>
      </c>
      <c r="OG22">
        <v>2</v>
      </c>
      <c r="OH22">
        <v>2</v>
      </c>
      <c r="OI22">
        <v>2</v>
      </c>
      <c r="OJ22">
        <v>2</v>
      </c>
      <c r="OK22">
        <v>2</v>
      </c>
      <c r="OL22">
        <v>2</v>
      </c>
      <c r="OM22">
        <v>2</v>
      </c>
      <c r="ON22">
        <v>2</v>
      </c>
      <c r="OO22">
        <v>2</v>
      </c>
      <c r="OP22">
        <v>2</v>
      </c>
      <c r="OQ22">
        <v>2</v>
      </c>
      <c r="OR22">
        <v>2</v>
      </c>
      <c r="OS22">
        <v>2</v>
      </c>
      <c r="OT22">
        <v>2</v>
      </c>
      <c r="OU22">
        <v>2</v>
      </c>
      <c r="OV22">
        <v>2</v>
      </c>
      <c r="OW22">
        <v>2</v>
      </c>
      <c r="OX22">
        <v>2</v>
      </c>
      <c r="OY22">
        <v>2</v>
      </c>
      <c r="OZ22">
        <v>2</v>
      </c>
      <c r="PA22">
        <v>2</v>
      </c>
      <c r="PB22">
        <v>2</v>
      </c>
      <c r="PC22">
        <v>2</v>
      </c>
      <c r="PD22">
        <v>2</v>
      </c>
      <c r="PE22">
        <v>2</v>
      </c>
      <c r="PF22">
        <v>2</v>
      </c>
      <c r="PG22">
        <v>2</v>
      </c>
      <c r="PH22">
        <v>2</v>
      </c>
      <c r="PI22">
        <v>2</v>
      </c>
      <c r="PJ22">
        <v>2</v>
      </c>
      <c r="PK22">
        <v>2</v>
      </c>
      <c r="PL22">
        <v>2</v>
      </c>
      <c r="PM22">
        <v>2</v>
      </c>
      <c r="PN22">
        <v>2</v>
      </c>
      <c r="PO22">
        <v>2</v>
      </c>
      <c r="PP22">
        <v>2</v>
      </c>
      <c r="PQ22">
        <v>2</v>
      </c>
      <c r="PR22">
        <v>2</v>
      </c>
      <c r="PS22">
        <v>2</v>
      </c>
      <c r="PT22">
        <v>2</v>
      </c>
      <c r="PU22">
        <v>2</v>
      </c>
      <c r="PV22">
        <v>2</v>
      </c>
      <c r="PW22">
        <v>2</v>
      </c>
      <c r="PX22">
        <v>2</v>
      </c>
      <c r="PY22">
        <v>2</v>
      </c>
      <c r="PZ22">
        <v>2</v>
      </c>
      <c r="QA22">
        <v>2</v>
      </c>
      <c r="QB22">
        <v>2</v>
      </c>
      <c r="QC22">
        <v>2</v>
      </c>
      <c r="QD22">
        <v>2</v>
      </c>
      <c r="QE22">
        <v>2</v>
      </c>
      <c r="QF22">
        <v>2</v>
      </c>
      <c r="QG22">
        <v>2</v>
      </c>
      <c r="QH22">
        <v>2</v>
      </c>
      <c r="QI22">
        <v>2</v>
      </c>
      <c r="QJ22">
        <v>2</v>
      </c>
      <c r="QK22">
        <v>2</v>
      </c>
      <c r="QL22">
        <v>2</v>
      </c>
      <c r="QM22">
        <v>2</v>
      </c>
      <c r="QN22">
        <v>2</v>
      </c>
      <c r="QO22">
        <v>2</v>
      </c>
      <c r="QP22">
        <v>2</v>
      </c>
      <c r="QQ22">
        <v>2</v>
      </c>
      <c r="QR22">
        <v>2</v>
      </c>
      <c r="QS22">
        <v>2</v>
      </c>
      <c r="QT22">
        <v>2</v>
      </c>
      <c r="QU22">
        <v>2</v>
      </c>
      <c r="QV22">
        <v>2</v>
      </c>
      <c r="QW22">
        <v>2</v>
      </c>
      <c r="QX22">
        <v>2</v>
      </c>
      <c r="QY22">
        <v>2</v>
      </c>
      <c r="QZ22">
        <v>2</v>
      </c>
      <c r="RA22">
        <v>2</v>
      </c>
      <c r="RB22">
        <v>2</v>
      </c>
      <c r="RC22">
        <v>2</v>
      </c>
      <c r="RD22">
        <v>1</v>
      </c>
      <c r="RE22">
        <v>1</v>
      </c>
      <c r="RF22">
        <v>1</v>
      </c>
      <c r="RG22">
        <v>1</v>
      </c>
      <c r="RH22">
        <v>1</v>
      </c>
      <c r="RI22">
        <v>1</v>
      </c>
      <c r="RJ22">
        <v>1</v>
      </c>
      <c r="RK22">
        <v>1</v>
      </c>
      <c r="RL22">
        <v>1</v>
      </c>
      <c r="RM22">
        <v>1</v>
      </c>
      <c r="RN22">
        <v>1</v>
      </c>
      <c r="RO22">
        <v>1</v>
      </c>
      <c r="RP22">
        <v>1</v>
      </c>
      <c r="RQ22">
        <v>1</v>
      </c>
      <c r="RR22">
        <v>1</v>
      </c>
      <c r="RS22">
        <v>1</v>
      </c>
      <c r="RT22">
        <v>1</v>
      </c>
      <c r="RU22">
        <v>1</v>
      </c>
      <c r="RV22">
        <v>1</v>
      </c>
      <c r="RW22">
        <v>1</v>
      </c>
      <c r="RX22">
        <v>1</v>
      </c>
      <c r="RY22">
        <v>1</v>
      </c>
      <c r="RZ22">
        <v>1</v>
      </c>
      <c r="SA22">
        <v>1</v>
      </c>
      <c r="SB22">
        <v>1</v>
      </c>
      <c r="SC22">
        <v>1</v>
      </c>
      <c r="SD22">
        <v>2</v>
      </c>
      <c r="SE22">
        <v>2</v>
      </c>
      <c r="SF22">
        <v>2</v>
      </c>
      <c r="SG22">
        <v>2</v>
      </c>
      <c r="SH22">
        <v>2</v>
      </c>
      <c r="SI22">
        <v>2</v>
      </c>
      <c r="SJ22">
        <v>2</v>
      </c>
      <c r="SK22">
        <v>2</v>
      </c>
      <c r="SL22">
        <v>2</v>
      </c>
      <c r="SM22">
        <v>2</v>
      </c>
      <c r="SN22">
        <v>2</v>
      </c>
      <c r="SO22">
        <v>2</v>
      </c>
      <c r="SP22">
        <v>2</v>
      </c>
      <c r="SQ22">
        <v>2</v>
      </c>
      <c r="SR22">
        <v>2</v>
      </c>
      <c r="SS22">
        <v>2</v>
      </c>
      <c r="ST22">
        <v>2</v>
      </c>
      <c r="SU22">
        <v>2</v>
      </c>
      <c r="SV22">
        <v>2</v>
      </c>
      <c r="SW22">
        <v>2</v>
      </c>
      <c r="SX22">
        <v>2</v>
      </c>
      <c r="SY22">
        <v>2</v>
      </c>
      <c r="SZ22">
        <v>2</v>
      </c>
      <c r="TA22">
        <v>2</v>
      </c>
      <c r="TB22">
        <v>2</v>
      </c>
      <c r="TC22">
        <v>2</v>
      </c>
      <c r="TD22">
        <v>2</v>
      </c>
      <c r="TE22">
        <v>2</v>
      </c>
      <c r="TF22">
        <v>2</v>
      </c>
      <c r="TG22">
        <v>2</v>
      </c>
      <c r="TH22">
        <v>2</v>
      </c>
      <c r="TI22">
        <v>2</v>
      </c>
      <c r="TJ22">
        <v>2</v>
      </c>
      <c r="TK22">
        <v>2</v>
      </c>
      <c r="TL22">
        <v>2</v>
      </c>
      <c r="TM22">
        <v>2</v>
      </c>
      <c r="TN22">
        <v>2</v>
      </c>
      <c r="TO22">
        <v>2</v>
      </c>
      <c r="TP22">
        <v>2</v>
      </c>
      <c r="TQ22">
        <v>2</v>
      </c>
      <c r="TR22">
        <v>2</v>
      </c>
      <c r="TS22">
        <v>2</v>
      </c>
      <c r="TT22">
        <v>2</v>
      </c>
      <c r="TU22">
        <v>2</v>
      </c>
      <c r="TV22">
        <v>2</v>
      </c>
      <c r="TW22">
        <v>2</v>
      </c>
      <c r="TX22">
        <v>2</v>
      </c>
      <c r="TY22">
        <v>2</v>
      </c>
      <c r="TZ22">
        <v>2</v>
      </c>
      <c r="UA22">
        <v>2</v>
      </c>
      <c r="UB22">
        <v>2</v>
      </c>
      <c r="UC22">
        <v>2</v>
      </c>
      <c r="UD22">
        <v>2</v>
      </c>
      <c r="UE22">
        <v>2</v>
      </c>
      <c r="UF22">
        <v>2</v>
      </c>
      <c r="UG22">
        <v>2</v>
      </c>
      <c r="UH22">
        <v>2</v>
      </c>
      <c r="UI22">
        <v>2</v>
      </c>
      <c r="UJ22">
        <v>2</v>
      </c>
      <c r="UK22">
        <v>2</v>
      </c>
      <c r="UL22">
        <v>2</v>
      </c>
      <c r="UM22">
        <v>2</v>
      </c>
      <c r="UN22">
        <v>2</v>
      </c>
      <c r="UO22">
        <v>2</v>
      </c>
      <c r="UP22">
        <v>2</v>
      </c>
      <c r="UQ22">
        <v>2</v>
      </c>
      <c r="UR22">
        <v>2</v>
      </c>
      <c r="US22">
        <v>2</v>
      </c>
      <c r="UT22">
        <v>2</v>
      </c>
      <c r="UU22">
        <v>2</v>
      </c>
      <c r="UV22">
        <v>2</v>
      </c>
      <c r="UW22">
        <v>2</v>
      </c>
      <c r="UX22">
        <v>2</v>
      </c>
      <c r="UY22">
        <v>2</v>
      </c>
      <c r="UZ22">
        <v>2</v>
      </c>
      <c r="VA22">
        <v>2</v>
      </c>
      <c r="VB22">
        <v>2</v>
      </c>
      <c r="VC22">
        <v>2</v>
      </c>
      <c r="VD22">
        <v>2</v>
      </c>
      <c r="VE22">
        <v>2</v>
      </c>
      <c r="VF22">
        <v>2</v>
      </c>
      <c r="VG22">
        <v>2</v>
      </c>
      <c r="VH22">
        <v>2</v>
      </c>
      <c r="VI22">
        <v>2</v>
      </c>
      <c r="VJ22">
        <v>2</v>
      </c>
      <c r="VK22">
        <v>2</v>
      </c>
      <c r="VL22">
        <v>2</v>
      </c>
      <c r="VM22">
        <v>2</v>
      </c>
      <c r="VN22">
        <v>2</v>
      </c>
      <c r="VO22">
        <v>2</v>
      </c>
      <c r="VP22">
        <v>2</v>
      </c>
      <c r="VQ22">
        <v>2</v>
      </c>
      <c r="VR22">
        <v>2</v>
      </c>
      <c r="VS22">
        <v>2</v>
      </c>
      <c r="VT22">
        <v>2</v>
      </c>
      <c r="VU22">
        <v>2</v>
      </c>
      <c r="VV22">
        <v>2</v>
      </c>
      <c r="VW22">
        <v>2</v>
      </c>
      <c r="VX22">
        <v>2</v>
      </c>
      <c r="VY22">
        <v>2</v>
      </c>
      <c r="VZ22">
        <v>2</v>
      </c>
      <c r="WA22">
        <v>2</v>
      </c>
      <c r="WB22">
        <v>2</v>
      </c>
      <c r="WC22">
        <v>2</v>
      </c>
      <c r="WD22">
        <v>2</v>
      </c>
      <c r="WE22">
        <v>2</v>
      </c>
      <c r="WF22">
        <v>2</v>
      </c>
      <c r="WG22">
        <v>2</v>
      </c>
      <c r="WH22">
        <v>2</v>
      </c>
      <c r="WI22">
        <v>2</v>
      </c>
      <c r="WJ22">
        <v>2</v>
      </c>
      <c r="WK22">
        <v>2</v>
      </c>
      <c r="WL22">
        <v>2</v>
      </c>
      <c r="WM22">
        <v>2</v>
      </c>
      <c r="WN22">
        <v>2</v>
      </c>
      <c r="WO22">
        <v>2</v>
      </c>
      <c r="WP22">
        <v>2</v>
      </c>
      <c r="WQ22">
        <v>2</v>
      </c>
      <c r="WR22">
        <v>2</v>
      </c>
      <c r="WS22">
        <v>2</v>
      </c>
      <c r="WT22">
        <v>2</v>
      </c>
      <c r="WU22">
        <v>2</v>
      </c>
      <c r="WV22">
        <v>2</v>
      </c>
      <c r="WW22">
        <v>2</v>
      </c>
      <c r="WX22">
        <v>2</v>
      </c>
      <c r="WY22">
        <v>2</v>
      </c>
      <c r="WZ22">
        <v>2</v>
      </c>
      <c r="XA22">
        <v>2</v>
      </c>
      <c r="XB22">
        <v>2</v>
      </c>
      <c r="XC22">
        <v>2</v>
      </c>
      <c r="XD22">
        <v>2</v>
      </c>
      <c r="XE22">
        <v>2</v>
      </c>
      <c r="XF22">
        <v>2</v>
      </c>
      <c r="XG22">
        <v>2</v>
      </c>
      <c r="XH22">
        <v>2</v>
      </c>
      <c r="XI22">
        <v>2</v>
      </c>
      <c r="XJ22">
        <v>2</v>
      </c>
      <c r="XK22">
        <v>2</v>
      </c>
      <c r="XL22">
        <v>2</v>
      </c>
      <c r="XM22">
        <v>2</v>
      </c>
      <c r="XN22">
        <v>2</v>
      </c>
      <c r="XO22">
        <v>2</v>
      </c>
      <c r="XP22">
        <v>2</v>
      </c>
      <c r="XQ22">
        <v>2</v>
      </c>
      <c r="XR22">
        <v>2</v>
      </c>
      <c r="XS22">
        <v>2</v>
      </c>
      <c r="XT22">
        <v>2</v>
      </c>
      <c r="XU22">
        <v>2</v>
      </c>
      <c r="XV22">
        <v>2</v>
      </c>
      <c r="XW22">
        <v>2</v>
      </c>
      <c r="XX22">
        <v>2</v>
      </c>
      <c r="XY22">
        <v>2</v>
      </c>
      <c r="XZ22">
        <v>2</v>
      </c>
      <c r="YA22">
        <v>2</v>
      </c>
      <c r="YB22">
        <v>2</v>
      </c>
      <c r="YC22">
        <v>2</v>
      </c>
      <c r="YD22">
        <v>2</v>
      </c>
      <c r="YE22">
        <v>2</v>
      </c>
      <c r="YF22">
        <v>2</v>
      </c>
      <c r="YG22">
        <v>2</v>
      </c>
      <c r="YH22">
        <v>2</v>
      </c>
      <c r="YI22">
        <v>2</v>
      </c>
      <c r="YJ22">
        <v>2</v>
      </c>
      <c r="YK22">
        <v>2</v>
      </c>
      <c r="YL22">
        <v>2</v>
      </c>
      <c r="YM22">
        <v>1</v>
      </c>
      <c r="YN22">
        <v>1</v>
      </c>
      <c r="YO22">
        <v>1</v>
      </c>
      <c r="YP22">
        <v>1</v>
      </c>
      <c r="YQ22">
        <v>1</v>
      </c>
      <c r="YR22">
        <v>1</v>
      </c>
      <c r="YS22">
        <v>1</v>
      </c>
      <c r="YT22">
        <v>1</v>
      </c>
      <c r="YU22">
        <v>1</v>
      </c>
      <c r="YV22">
        <v>1</v>
      </c>
      <c r="YW22">
        <v>1</v>
      </c>
      <c r="YX22">
        <v>1</v>
      </c>
      <c r="YY22">
        <v>1</v>
      </c>
      <c r="YZ22">
        <v>1</v>
      </c>
      <c r="ZA22">
        <v>1</v>
      </c>
      <c r="ZB22">
        <v>1</v>
      </c>
      <c r="ZC22">
        <v>1</v>
      </c>
      <c r="ZD22">
        <v>1</v>
      </c>
      <c r="ZE22">
        <v>1</v>
      </c>
      <c r="ZF22">
        <v>1</v>
      </c>
      <c r="ZG22">
        <v>1</v>
      </c>
      <c r="ZH22">
        <v>1</v>
      </c>
      <c r="ZI22">
        <v>1</v>
      </c>
      <c r="ZJ22">
        <v>1</v>
      </c>
      <c r="ZK22">
        <v>1</v>
      </c>
      <c r="ZL22">
        <v>1</v>
      </c>
      <c r="ZM22">
        <v>1</v>
      </c>
      <c r="ZN22">
        <v>1</v>
      </c>
      <c r="ZO22">
        <v>1</v>
      </c>
      <c r="ZP22">
        <v>1</v>
      </c>
      <c r="ZQ22">
        <v>1</v>
      </c>
      <c r="ZR22">
        <v>1</v>
      </c>
      <c r="ZS22">
        <v>1</v>
      </c>
      <c r="ZT22">
        <v>1</v>
      </c>
      <c r="ZU22">
        <v>1</v>
      </c>
      <c r="ZV22">
        <v>1</v>
      </c>
      <c r="ZW22">
        <v>1</v>
      </c>
      <c r="ZX22">
        <v>1</v>
      </c>
      <c r="ZY22">
        <v>1</v>
      </c>
      <c r="ZZ22">
        <v>1</v>
      </c>
      <c r="AAA22">
        <v>1</v>
      </c>
      <c r="AAB22">
        <v>1</v>
      </c>
      <c r="AAC22">
        <v>1</v>
      </c>
      <c r="AAD22">
        <v>1</v>
      </c>
      <c r="AAE22">
        <v>1</v>
      </c>
      <c r="AAF22">
        <v>1</v>
      </c>
      <c r="AAG22">
        <v>1</v>
      </c>
      <c r="AAH22">
        <v>1</v>
      </c>
      <c r="AAI22">
        <v>1</v>
      </c>
      <c r="AAJ22">
        <v>1</v>
      </c>
      <c r="AAK22">
        <v>1</v>
      </c>
      <c r="AAL22">
        <v>1</v>
      </c>
      <c r="AAM22">
        <v>1</v>
      </c>
      <c r="AAN22">
        <v>0</v>
      </c>
      <c r="AAO22">
        <v>0</v>
      </c>
      <c r="AAP22">
        <v>0</v>
      </c>
      <c r="AAQ22">
        <v>0</v>
      </c>
      <c r="AAR22">
        <v>0</v>
      </c>
      <c r="AAS22">
        <v>0</v>
      </c>
      <c r="AAT22">
        <v>0</v>
      </c>
      <c r="AAU22">
        <v>0</v>
      </c>
      <c r="AAV22">
        <v>0</v>
      </c>
      <c r="AAW22">
        <v>0</v>
      </c>
      <c r="AAX22">
        <v>0</v>
      </c>
      <c r="AAY22">
        <v>0</v>
      </c>
      <c r="AAZ22">
        <v>0</v>
      </c>
      <c r="ABA22">
        <v>0</v>
      </c>
      <c r="ABB22">
        <v>0</v>
      </c>
      <c r="ABC22">
        <v>0</v>
      </c>
      <c r="ABD22">
        <v>0</v>
      </c>
      <c r="ABE22">
        <v>0</v>
      </c>
      <c r="ABG22" s="1137">
        <f t="shared" si="5"/>
        <v>0</v>
      </c>
      <c r="ABH22" s="1137">
        <f t="shared" si="5"/>
        <v>0</v>
      </c>
      <c r="ABI22" s="1137">
        <f t="shared" si="5"/>
        <v>8</v>
      </c>
      <c r="ABJ22" s="1137">
        <f t="shared" si="5"/>
        <v>30</v>
      </c>
      <c r="ABK22" s="1137">
        <f t="shared" si="5"/>
        <v>31</v>
      </c>
      <c r="ABL22" s="1137">
        <f t="shared" si="5"/>
        <v>0</v>
      </c>
      <c r="ABM22" s="1137">
        <f t="shared" si="5"/>
        <v>12</v>
      </c>
      <c r="ABN22" s="1137">
        <f t="shared" si="5"/>
        <v>31</v>
      </c>
      <c r="ABO22" s="1137">
        <f t="shared" si="5"/>
        <v>30</v>
      </c>
      <c r="ABP22" s="1137">
        <f t="shared" si="5"/>
        <v>31</v>
      </c>
      <c r="ABQ22" s="1137">
        <f t="shared" si="5"/>
        <v>30</v>
      </c>
      <c r="ABR22" s="1137">
        <f t="shared" si="5"/>
        <v>31</v>
      </c>
      <c r="ABS22" s="1137">
        <f t="shared" si="5"/>
        <v>31</v>
      </c>
      <c r="ABT22" s="1137">
        <f t="shared" si="5"/>
        <v>28</v>
      </c>
      <c r="ABU22" s="1137">
        <f t="shared" si="5"/>
        <v>31</v>
      </c>
      <c r="ABV22" s="1137">
        <f t="shared" si="5"/>
        <v>30</v>
      </c>
      <c r="ABW22" s="1137">
        <f t="shared" si="7"/>
        <v>31</v>
      </c>
      <c r="ABX22" s="1137">
        <f t="shared" si="7"/>
        <v>30</v>
      </c>
      <c r="ABY22" s="1137">
        <f t="shared" si="7"/>
        <v>31</v>
      </c>
      <c r="ABZ22" s="1137">
        <f t="shared" si="7"/>
        <v>31</v>
      </c>
      <c r="ACA22" s="1137">
        <f t="shared" si="7"/>
        <v>30</v>
      </c>
      <c r="ACB22" s="1137">
        <f t="shared" si="7"/>
        <v>31</v>
      </c>
      <c r="ACC22" s="1137">
        <f t="shared" si="7"/>
        <v>30</v>
      </c>
      <c r="ACD22" s="1137">
        <f t="shared" si="7"/>
        <v>13</v>
      </c>
      <c r="ACE22" s="1137" t="s">
        <v>143</v>
      </c>
      <c r="ACF22" s="1137">
        <f t="shared" si="6"/>
        <v>0</v>
      </c>
      <c r="ACG22" s="1137">
        <f t="shared" si="6"/>
        <v>0</v>
      </c>
      <c r="ACH22" s="1137">
        <f t="shared" si="6"/>
        <v>0</v>
      </c>
      <c r="ACI22" s="1137">
        <f t="shared" si="6"/>
        <v>1</v>
      </c>
      <c r="ACJ22" s="1137">
        <f t="shared" si="6"/>
        <v>1</v>
      </c>
      <c r="ACK22" s="1137">
        <f t="shared" si="6"/>
        <v>0</v>
      </c>
      <c r="ACL22" s="1137">
        <f t="shared" si="6"/>
        <v>1</v>
      </c>
      <c r="ACM22" s="1137">
        <f t="shared" si="6"/>
        <v>1</v>
      </c>
      <c r="ACN22" s="1137">
        <f t="shared" si="6"/>
        <v>1</v>
      </c>
      <c r="ACO22" s="1137">
        <f t="shared" si="6"/>
        <v>1</v>
      </c>
      <c r="ACP22" s="1137">
        <f t="shared" si="6"/>
        <v>1</v>
      </c>
      <c r="ACQ22" s="1137">
        <f t="shared" si="6"/>
        <v>1</v>
      </c>
      <c r="ACR22" s="1137">
        <f t="shared" si="6"/>
        <v>1</v>
      </c>
      <c r="ACS22" s="1137">
        <f t="shared" si="6"/>
        <v>1</v>
      </c>
      <c r="ACT22" s="1137">
        <f t="shared" si="6"/>
        <v>1</v>
      </c>
      <c r="ACU22" s="1137">
        <f t="shared" si="6"/>
        <v>1</v>
      </c>
      <c r="ACV22" s="1137">
        <f t="shared" si="8"/>
        <v>1</v>
      </c>
      <c r="ACW22" s="1137">
        <f t="shared" si="8"/>
        <v>1</v>
      </c>
      <c r="ACX22" s="1137">
        <f t="shared" si="8"/>
        <v>1</v>
      </c>
      <c r="ACY22" s="1137">
        <f t="shared" si="8"/>
        <v>1</v>
      </c>
      <c r="ACZ22" s="1137">
        <f t="shared" si="8"/>
        <v>1</v>
      </c>
      <c r="ADA22" s="1137">
        <f t="shared" si="8"/>
        <v>1</v>
      </c>
      <c r="ADB22" s="1137">
        <f t="shared" si="8"/>
        <v>1</v>
      </c>
      <c r="ADC22" s="1137">
        <f t="shared" si="8"/>
        <v>1</v>
      </c>
    </row>
    <row r="23" spans="1:783" x14ac:dyDescent="0.25">
      <c r="A23" t="s">
        <v>1818</v>
      </c>
      <c r="B23" t="s">
        <v>369</v>
      </c>
      <c r="C23">
        <v>0</v>
      </c>
      <c r="D23">
        <v>0</v>
      </c>
      <c r="E23">
        <v>0</v>
      </c>
      <c r="F23">
        <v>0</v>
      </c>
      <c r="G23">
        <v>0</v>
      </c>
      <c r="H23">
        <v>0</v>
      </c>
      <c r="I23">
        <v>0</v>
      </c>
      <c r="J23">
        <v>0</v>
      </c>
      <c r="K23">
        <v>0</v>
      </c>
      <c r="L23">
        <v>0</v>
      </c>
      <c r="M23">
        <v>0</v>
      </c>
      <c r="N23">
        <v>0</v>
      </c>
      <c r="O23">
        <v>0</v>
      </c>
      <c r="P23">
        <v>0</v>
      </c>
      <c r="Q23">
        <v>0</v>
      </c>
      <c r="R23">
        <v>0</v>
      </c>
      <c r="S23">
        <v>0</v>
      </c>
      <c r="T23">
        <v>0</v>
      </c>
      <c r="U23">
        <v>0</v>
      </c>
      <c r="V23">
        <v>0</v>
      </c>
      <c r="W23">
        <v>0</v>
      </c>
      <c r="X23">
        <v>0</v>
      </c>
      <c r="Y23">
        <v>0</v>
      </c>
      <c r="Z23">
        <v>0</v>
      </c>
      <c r="AA23">
        <v>0</v>
      </c>
      <c r="AB23">
        <v>0</v>
      </c>
      <c r="AC23">
        <v>0</v>
      </c>
      <c r="AD23">
        <v>0</v>
      </c>
      <c r="AE23">
        <v>0</v>
      </c>
      <c r="AF23">
        <v>0</v>
      </c>
      <c r="AG23">
        <v>0</v>
      </c>
      <c r="AH23">
        <v>0</v>
      </c>
      <c r="AI23">
        <v>0</v>
      </c>
      <c r="AJ23">
        <v>0</v>
      </c>
      <c r="AK23">
        <v>0</v>
      </c>
      <c r="AL23">
        <v>0</v>
      </c>
      <c r="AM23">
        <v>0</v>
      </c>
      <c r="AN23">
        <v>0</v>
      </c>
      <c r="AO23">
        <v>0</v>
      </c>
      <c r="AP23">
        <v>0</v>
      </c>
      <c r="AQ23">
        <v>0</v>
      </c>
      <c r="AR23">
        <v>0</v>
      </c>
      <c r="AS23">
        <v>0</v>
      </c>
      <c r="AT23">
        <v>0</v>
      </c>
      <c r="AU23">
        <v>0</v>
      </c>
      <c r="AV23">
        <v>0</v>
      </c>
      <c r="AW23">
        <v>0</v>
      </c>
      <c r="AX23">
        <v>0</v>
      </c>
      <c r="AY23">
        <v>0</v>
      </c>
      <c r="AZ23">
        <v>0</v>
      </c>
      <c r="BA23">
        <v>0</v>
      </c>
      <c r="BB23">
        <v>0</v>
      </c>
      <c r="BC23">
        <v>0</v>
      </c>
      <c r="BD23">
        <v>0</v>
      </c>
      <c r="BE23">
        <v>0</v>
      </c>
      <c r="BF23">
        <v>0</v>
      </c>
      <c r="BG23">
        <v>0</v>
      </c>
      <c r="BH23">
        <v>0</v>
      </c>
      <c r="BI23">
        <v>0</v>
      </c>
      <c r="BJ23">
        <v>0</v>
      </c>
      <c r="BK23">
        <v>0</v>
      </c>
      <c r="BL23">
        <v>0</v>
      </c>
      <c r="BM23">
        <v>0</v>
      </c>
      <c r="BN23">
        <v>0</v>
      </c>
      <c r="BO23">
        <v>0</v>
      </c>
      <c r="BP23">
        <v>0</v>
      </c>
      <c r="BQ23">
        <v>0</v>
      </c>
      <c r="BR23">
        <v>0</v>
      </c>
      <c r="BS23">
        <v>0</v>
      </c>
      <c r="BT23">
        <v>0</v>
      </c>
      <c r="BU23">
        <v>0</v>
      </c>
      <c r="BV23">
        <v>0</v>
      </c>
      <c r="BW23">
        <v>0</v>
      </c>
      <c r="BX23">
        <v>0</v>
      </c>
      <c r="BY23">
        <v>0</v>
      </c>
      <c r="BZ23">
        <v>1</v>
      </c>
      <c r="CA23">
        <v>1</v>
      </c>
      <c r="CB23">
        <v>1</v>
      </c>
      <c r="CC23">
        <v>1</v>
      </c>
      <c r="CD23">
        <v>2</v>
      </c>
      <c r="CE23">
        <v>2</v>
      </c>
      <c r="CF23">
        <v>2</v>
      </c>
      <c r="CG23">
        <v>2</v>
      </c>
      <c r="CH23">
        <v>2</v>
      </c>
      <c r="CI23">
        <v>2</v>
      </c>
      <c r="CJ23">
        <v>2</v>
      </c>
      <c r="CK23">
        <v>2</v>
      </c>
      <c r="CL23">
        <v>2</v>
      </c>
      <c r="CM23">
        <v>2</v>
      </c>
      <c r="CN23">
        <v>2</v>
      </c>
      <c r="CO23">
        <v>2</v>
      </c>
      <c r="CP23">
        <v>2</v>
      </c>
      <c r="CQ23">
        <v>2</v>
      </c>
      <c r="CR23">
        <v>2</v>
      </c>
      <c r="CS23">
        <v>2</v>
      </c>
      <c r="CT23">
        <v>2</v>
      </c>
      <c r="CU23">
        <v>2</v>
      </c>
      <c r="CV23">
        <v>2</v>
      </c>
      <c r="CW23">
        <v>2</v>
      </c>
      <c r="CX23">
        <v>2</v>
      </c>
      <c r="CY23">
        <v>2</v>
      </c>
      <c r="CZ23">
        <v>2</v>
      </c>
      <c r="DA23">
        <v>2</v>
      </c>
      <c r="DB23">
        <v>2</v>
      </c>
      <c r="DC23">
        <v>2</v>
      </c>
      <c r="DD23">
        <v>2</v>
      </c>
      <c r="DE23">
        <v>2</v>
      </c>
      <c r="DF23">
        <v>2</v>
      </c>
      <c r="DG23">
        <v>2</v>
      </c>
      <c r="DH23">
        <v>2</v>
      </c>
      <c r="DI23">
        <v>2</v>
      </c>
      <c r="DJ23">
        <v>2</v>
      </c>
      <c r="DK23">
        <v>2</v>
      </c>
      <c r="DL23">
        <v>2</v>
      </c>
      <c r="DM23">
        <v>2</v>
      </c>
      <c r="DN23">
        <v>2</v>
      </c>
      <c r="DO23">
        <v>2</v>
      </c>
      <c r="DP23">
        <v>2</v>
      </c>
      <c r="DQ23">
        <v>2</v>
      </c>
      <c r="DR23">
        <v>2</v>
      </c>
      <c r="DS23">
        <v>2</v>
      </c>
      <c r="DT23">
        <v>2</v>
      </c>
      <c r="DU23">
        <v>2</v>
      </c>
      <c r="DV23">
        <v>2</v>
      </c>
      <c r="DW23">
        <v>2</v>
      </c>
      <c r="DX23">
        <v>2</v>
      </c>
      <c r="DY23">
        <v>2</v>
      </c>
      <c r="DZ23">
        <v>2</v>
      </c>
      <c r="EA23">
        <v>2</v>
      </c>
      <c r="EB23">
        <v>2</v>
      </c>
      <c r="EC23">
        <v>2</v>
      </c>
      <c r="ED23">
        <v>2</v>
      </c>
      <c r="EE23">
        <v>2</v>
      </c>
      <c r="EF23">
        <v>2</v>
      </c>
      <c r="EG23">
        <v>2</v>
      </c>
      <c r="EH23">
        <v>2</v>
      </c>
      <c r="EI23">
        <v>2</v>
      </c>
      <c r="EJ23">
        <v>2</v>
      </c>
      <c r="EK23">
        <v>2</v>
      </c>
      <c r="EL23">
        <v>2</v>
      </c>
      <c r="EM23">
        <v>2</v>
      </c>
      <c r="EN23">
        <v>2</v>
      </c>
      <c r="EO23">
        <v>2</v>
      </c>
      <c r="EP23">
        <v>2</v>
      </c>
      <c r="EQ23">
        <v>2</v>
      </c>
      <c r="ER23">
        <v>2</v>
      </c>
      <c r="ES23">
        <v>2</v>
      </c>
      <c r="ET23">
        <v>2</v>
      </c>
      <c r="EU23">
        <v>2</v>
      </c>
      <c r="EV23">
        <v>1</v>
      </c>
      <c r="EW23">
        <v>1</v>
      </c>
      <c r="EX23">
        <v>1</v>
      </c>
      <c r="EY23">
        <v>1</v>
      </c>
      <c r="EZ23">
        <v>1</v>
      </c>
      <c r="FA23">
        <v>1</v>
      </c>
      <c r="FB23">
        <v>1</v>
      </c>
      <c r="FC23">
        <v>1</v>
      </c>
      <c r="FD23">
        <v>1</v>
      </c>
      <c r="FE23">
        <v>1</v>
      </c>
      <c r="FF23">
        <v>1</v>
      </c>
      <c r="FG23">
        <v>1</v>
      </c>
      <c r="FH23">
        <v>1</v>
      </c>
      <c r="FI23">
        <v>1</v>
      </c>
      <c r="FJ23">
        <v>1</v>
      </c>
      <c r="FK23">
        <v>1</v>
      </c>
      <c r="FL23">
        <v>1</v>
      </c>
      <c r="FM23">
        <v>1</v>
      </c>
      <c r="FN23">
        <v>1</v>
      </c>
      <c r="FO23">
        <v>1</v>
      </c>
      <c r="FP23">
        <v>1</v>
      </c>
      <c r="FQ23">
        <v>1</v>
      </c>
      <c r="FR23">
        <v>1</v>
      </c>
      <c r="FS23">
        <v>1</v>
      </c>
      <c r="FT23">
        <v>1</v>
      </c>
      <c r="FU23">
        <v>1</v>
      </c>
      <c r="FV23">
        <v>1</v>
      </c>
      <c r="FW23">
        <v>1</v>
      </c>
      <c r="FX23">
        <v>1</v>
      </c>
      <c r="FY23">
        <v>1</v>
      </c>
      <c r="FZ23">
        <v>1</v>
      </c>
      <c r="GA23">
        <v>1</v>
      </c>
      <c r="GB23">
        <v>1</v>
      </c>
      <c r="GC23">
        <v>1</v>
      </c>
      <c r="GD23">
        <v>1</v>
      </c>
      <c r="GE23">
        <v>1</v>
      </c>
      <c r="GF23">
        <v>1</v>
      </c>
      <c r="GG23">
        <v>1</v>
      </c>
      <c r="GH23">
        <v>1</v>
      </c>
      <c r="GI23">
        <v>1</v>
      </c>
      <c r="GJ23">
        <v>1</v>
      </c>
      <c r="GK23">
        <v>1</v>
      </c>
      <c r="GL23">
        <v>1</v>
      </c>
      <c r="GM23">
        <v>1</v>
      </c>
      <c r="GN23">
        <v>1</v>
      </c>
      <c r="GO23">
        <v>1</v>
      </c>
      <c r="GP23">
        <v>1</v>
      </c>
      <c r="GQ23">
        <v>1</v>
      </c>
      <c r="GR23">
        <v>1</v>
      </c>
      <c r="GS23">
        <v>1</v>
      </c>
      <c r="GT23">
        <v>1</v>
      </c>
      <c r="GU23">
        <v>1</v>
      </c>
      <c r="GV23">
        <v>1</v>
      </c>
      <c r="GW23">
        <v>1</v>
      </c>
      <c r="GX23">
        <v>1</v>
      </c>
      <c r="GY23">
        <v>1</v>
      </c>
      <c r="GZ23">
        <v>1</v>
      </c>
      <c r="HA23">
        <v>1</v>
      </c>
      <c r="HB23">
        <v>1</v>
      </c>
      <c r="HC23">
        <v>1</v>
      </c>
      <c r="HD23">
        <v>1</v>
      </c>
      <c r="HE23">
        <v>1</v>
      </c>
      <c r="HF23">
        <v>1</v>
      </c>
      <c r="HG23">
        <v>1</v>
      </c>
      <c r="HH23">
        <v>1</v>
      </c>
      <c r="HI23">
        <v>1</v>
      </c>
      <c r="HJ23">
        <v>1</v>
      </c>
      <c r="HK23">
        <v>1</v>
      </c>
      <c r="HL23">
        <v>1</v>
      </c>
      <c r="HM23">
        <v>1</v>
      </c>
      <c r="HN23">
        <v>1</v>
      </c>
      <c r="HO23">
        <v>1</v>
      </c>
      <c r="HP23">
        <v>1</v>
      </c>
      <c r="HQ23">
        <v>1</v>
      </c>
      <c r="HR23">
        <v>1</v>
      </c>
      <c r="HS23">
        <v>1</v>
      </c>
      <c r="HT23">
        <v>1</v>
      </c>
      <c r="HU23">
        <v>1</v>
      </c>
      <c r="HV23">
        <v>1</v>
      </c>
      <c r="HW23">
        <v>1</v>
      </c>
      <c r="HX23">
        <v>1</v>
      </c>
      <c r="HY23">
        <v>1</v>
      </c>
      <c r="HZ23">
        <v>1</v>
      </c>
      <c r="IA23">
        <v>1</v>
      </c>
      <c r="IB23">
        <v>0</v>
      </c>
      <c r="IC23">
        <v>0</v>
      </c>
      <c r="ID23">
        <v>0</v>
      </c>
      <c r="IE23">
        <v>0</v>
      </c>
      <c r="IF23">
        <v>0</v>
      </c>
      <c r="IG23">
        <v>0</v>
      </c>
      <c r="IH23">
        <v>0</v>
      </c>
      <c r="II23">
        <v>0</v>
      </c>
      <c r="IJ23">
        <v>0</v>
      </c>
      <c r="IK23">
        <v>0</v>
      </c>
      <c r="IL23">
        <v>0</v>
      </c>
      <c r="IM23">
        <v>0</v>
      </c>
      <c r="IN23">
        <v>0</v>
      </c>
      <c r="IO23">
        <v>0</v>
      </c>
      <c r="IP23">
        <v>0</v>
      </c>
      <c r="IQ23">
        <v>0</v>
      </c>
      <c r="IR23">
        <v>0</v>
      </c>
      <c r="IS23">
        <v>0</v>
      </c>
      <c r="IT23">
        <v>0</v>
      </c>
      <c r="IU23">
        <v>0</v>
      </c>
      <c r="IV23">
        <v>0</v>
      </c>
      <c r="IW23">
        <v>0</v>
      </c>
      <c r="IX23">
        <v>0</v>
      </c>
      <c r="IY23">
        <v>0</v>
      </c>
      <c r="IZ23">
        <v>0</v>
      </c>
      <c r="JA23">
        <v>0</v>
      </c>
      <c r="JB23">
        <v>0</v>
      </c>
      <c r="JC23">
        <v>0</v>
      </c>
      <c r="JD23">
        <v>0</v>
      </c>
      <c r="JE23">
        <v>0</v>
      </c>
      <c r="JF23">
        <v>0</v>
      </c>
      <c r="JG23">
        <v>0</v>
      </c>
      <c r="JH23">
        <v>0</v>
      </c>
      <c r="JI23">
        <v>0</v>
      </c>
      <c r="JJ23">
        <v>0</v>
      </c>
      <c r="JK23">
        <v>0</v>
      </c>
      <c r="JL23">
        <v>0</v>
      </c>
      <c r="JM23">
        <v>0</v>
      </c>
      <c r="JN23">
        <v>0</v>
      </c>
      <c r="JO23">
        <v>0</v>
      </c>
      <c r="JP23">
        <v>0</v>
      </c>
      <c r="JQ23">
        <v>0</v>
      </c>
      <c r="JR23">
        <v>0</v>
      </c>
      <c r="JS23">
        <v>0</v>
      </c>
      <c r="JT23">
        <v>0</v>
      </c>
      <c r="JU23">
        <v>0</v>
      </c>
      <c r="JV23">
        <v>0</v>
      </c>
      <c r="JW23">
        <v>0</v>
      </c>
      <c r="JX23">
        <v>0</v>
      </c>
      <c r="JY23">
        <v>0</v>
      </c>
      <c r="JZ23">
        <v>0</v>
      </c>
      <c r="KA23">
        <v>0</v>
      </c>
      <c r="KB23">
        <v>0</v>
      </c>
      <c r="KC23">
        <v>0</v>
      </c>
      <c r="KD23">
        <v>0</v>
      </c>
      <c r="KE23">
        <v>0</v>
      </c>
      <c r="KF23">
        <v>0</v>
      </c>
      <c r="KG23">
        <v>0</v>
      </c>
      <c r="KH23">
        <v>0</v>
      </c>
      <c r="KI23">
        <v>0</v>
      </c>
      <c r="KJ23">
        <v>0</v>
      </c>
      <c r="KK23">
        <v>0</v>
      </c>
      <c r="KL23">
        <v>0</v>
      </c>
      <c r="KM23">
        <v>0</v>
      </c>
      <c r="KN23">
        <v>0</v>
      </c>
      <c r="KO23">
        <v>0</v>
      </c>
      <c r="KP23">
        <v>0</v>
      </c>
      <c r="KQ23">
        <v>0</v>
      </c>
      <c r="KR23">
        <v>0</v>
      </c>
      <c r="KS23">
        <v>0</v>
      </c>
      <c r="KT23">
        <v>0</v>
      </c>
      <c r="KU23">
        <v>0</v>
      </c>
      <c r="KV23">
        <v>0</v>
      </c>
      <c r="KW23">
        <v>0</v>
      </c>
      <c r="KX23">
        <v>0</v>
      </c>
      <c r="KY23">
        <v>0</v>
      </c>
      <c r="KZ23">
        <v>0</v>
      </c>
      <c r="LA23">
        <v>0</v>
      </c>
      <c r="LB23">
        <v>0</v>
      </c>
      <c r="LC23">
        <v>0</v>
      </c>
      <c r="LD23">
        <v>0</v>
      </c>
      <c r="LE23">
        <v>0</v>
      </c>
      <c r="LF23">
        <v>0</v>
      </c>
      <c r="LG23">
        <v>0</v>
      </c>
      <c r="LH23">
        <v>0</v>
      </c>
      <c r="LI23">
        <v>0</v>
      </c>
      <c r="LJ23">
        <v>0</v>
      </c>
      <c r="LK23">
        <v>0</v>
      </c>
      <c r="LL23">
        <v>0</v>
      </c>
      <c r="LM23">
        <v>0</v>
      </c>
      <c r="LN23">
        <v>0</v>
      </c>
      <c r="LO23">
        <v>0</v>
      </c>
      <c r="LP23">
        <v>0</v>
      </c>
      <c r="LQ23">
        <v>0</v>
      </c>
      <c r="LR23">
        <v>0</v>
      </c>
      <c r="LS23">
        <v>0</v>
      </c>
      <c r="LT23">
        <v>0</v>
      </c>
      <c r="LU23">
        <v>0</v>
      </c>
      <c r="LV23">
        <v>0</v>
      </c>
      <c r="LW23">
        <v>0</v>
      </c>
      <c r="LX23">
        <v>0</v>
      </c>
      <c r="LY23">
        <v>0</v>
      </c>
      <c r="LZ23">
        <v>0</v>
      </c>
      <c r="MA23">
        <v>0</v>
      </c>
      <c r="MB23">
        <v>0</v>
      </c>
      <c r="MC23">
        <v>0</v>
      </c>
      <c r="MD23">
        <v>0</v>
      </c>
      <c r="ME23">
        <v>0</v>
      </c>
      <c r="MF23">
        <v>0</v>
      </c>
      <c r="MG23">
        <v>0</v>
      </c>
      <c r="MH23">
        <v>0</v>
      </c>
      <c r="MI23">
        <v>0</v>
      </c>
      <c r="MJ23">
        <v>0</v>
      </c>
      <c r="MK23">
        <v>0</v>
      </c>
      <c r="ML23">
        <v>0</v>
      </c>
      <c r="MM23">
        <v>0</v>
      </c>
      <c r="MN23">
        <v>0</v>
      </c>
      <c r="MO23">
        <v>0</v>
      </c>
      <c r="MP23">
        <v>0</v>
      </c>
      <c r="MQ23">
        <v>0</v>
      </c>
      <c r="MR23">
        <v>0</v>
      </c>
      <c r="MS23">
        <v>0</v>
      </c>
      <c r="MT23">
        <v>0</v>
      </c>
      <c r="MU23">
        <v>0</v>
      </c>
      <c r="MV23">
        <v>0</v>
      </c>
      <c r="MW23">
        <v>0</v>
      </c>
      <c r="MX23">
        <v>0</v>
      </c>
      <c r="MY23">
        <v>0</v>
      </c>
      <c r="MZ23">
        <v>0</v>
      </c>
      <c r="NA23">
        <v>0</v>
      </c>
      <c r="NB23">
        <v>0</v>
      </c>
      <c r="NC23">
        <v>0</v>
      </c>
      <c r="ND23">
        <v>0</v>
      </c>
      <c r="NE23">
        <v>0</v>
      </c>
      <c r="NF23">
        <v>0</v>
      </c>
      <c r="NG23">
        <v>0</v>
      </c>
      <c r="NH23">
        <v>0</v>
      </c>
      <c r="NI23">
        <v>0</v>
      </c>
      <c r="NJ23">
        <v>0</v>
      </c>
      <c r="NK23">
        <v>0</v>
      </c>
      <c r="NL23">
        <v>0</v>
      </c>
      <c r="NM23">
        <v>0</v>
      </c>
      <c r="NN23">
        <v>0</v>
      </c>
      <c r="NO23">
        <v>0</v>
      </c>
      <c r="NP23">
        <v>0</v>
      </c>
      <c r="NQ23">
        <v>0</v>
      </c>
      <c r="NR23">
        <v>0</v>
      </c>
      <c r="NS23">
        <v>0</v>
      </c>
      <c r="NT23">
        <v>0</v>
      </c>
      <c r="NU23">
        <v>0</v>
      </c>
      <c r="NV23">
        <v>0</v>
      </c>
      <c r="NW23">
        <v>0</v>
      </c>
      <c r="NX23">
        <v>0</v>
      </c>
      <c r="NY23">
        <v>0</v>
      </c>
      <c r="NZ23">
        <v>0</v>
      </c>
      <c r="OA23">
        <v>0</v>
      </c>
      <c r="OB23">
        <v>0</v>
      </c>
      <c r="OC23">
        <v>0</v>
      </c>
      <c r="OD23">
        <v>0</v>
      </c>
      <c r="OE23">
        <v>0</v>
      </c>
      <c r="OF23">
        <v>0</v>
      </c>
      <c r="OG23">
        <v>0</v>
      </c>
      <c r="OH23">
        <v>0</v>
      </c>
      <c r="OI23">
        <v>0</v>
      </c>
      <c r="OJ23">
        <v>0</v>
      </c>
      <c r="OK23">
        <v>0</v>
      </c>
      <c r="OL23">
        <v>0</v>
      </c>
      <c r="OM23">
        <v>0</v>
      </c>
      <c r="ON23">
        <v>0</v>
      </c>
      <c r="OO23">
        <v>0</v>
      </c>
      <c r="OP23">
        <v>0</v>
      </c>
      <c r="OQ23">
        <v>0</v>
      </c>
      <c r="OR23">
        <v>0</v>
      </c>
      <c r="OS23">
        <v>0</v>
      </c>
      <c r="OT23">
        <v>0</v>
      </c>
      <c r="OU23">
        <v>0</v>
      </c>
      <c r="OV23">
        <v>0</v>
      </c>
      <c r="OW23">
        <v>0</v>
      </c>
      <c r="OX23">
        <v>0</v>
      </c>
      <c r="OY23">
        <v>0</v>
      </c>
      <c r="OZ23">
        <v>0</v>
      </c>
      <c r="PA23">
        <v>0</v>
      </c>
      <c r="PB23">
        <v>0</v>
      </c>
      <c r="PC23">
        <v>0</v>
      </c>
      <c r="PD23">
        <v>0</v>
      </c>
      <c r="PE23">
        <v>0</v>
      </c>
      <c r="PF23">
        <v>0</v>
      </c>
      <c r="PG23">
        <v>0</v>
      </c>
      <c r="PH23">
        <v>0</v>
      </c>
      <c r="PI23">
        <v>0</v>
      </c>
      <c r="PJ23">
        <v>0</v>
      </c>
      <c r="PK23">
        <v>0</v>
      </c>
      <c r="PL23">
        <v>0</v>
      </c>
      <c r="PM23">
        <v>0</v>
      </c>
      <c r="PN23">
        <v>0</v>
      </c>
      <c r="PO23">
        <v>0</v>
      </c>
      <c r="PP23">
        <v>0</v>
      </c>
      <c r="PQ23">
        <v>0</v>
      </c>
      <c r="PR23">
        <v>0</v>
      </c>
      <c r="PS23">
        <v>0</v>
      </c>
      <c r="PT23">
        <v>0</v>
      </c>
      <c r="PU23">
        <v>0</v>
      </c>
      <c r="PV23">
        <v>0</v>
      </c>
      <c r="PW23">
        <v>0</v>
      </c>
      <c r="PX23">
        <v>0</v>
      </c>
      <c r="PY23">
        <v>0</v>
      </c>
      <c r="PZ23">
        <v>0</v>
      </c>
      <c r="QA23">
        <v>0</v>
      </c>
      <c r="QB23">
        <v>0</v>
      </c>
      <c r="QC23">
        <v>0</v>
      </c>
      <c r="QD23">
        <v>0</v>
      </c>
      <c r="QE23">
        <v>0</v>
      </c>
      <c r="QF23">
        <v>0</v>
      </c>
      <c r="QG23">
        <v>0</v>
      </c>
      <c r="QH23">
        <v>0</v>
      </c>
      <c r="QI23">
        <v>0</v>
      </c>
      <c r="QJ23">
        <v>0</v>
      </c>
      <c r="QK23">
        <v>0</v>
      </c>
      <c r="QL23">
        <v>0</v>
      </c>
      <c r="QM23">
        <v>0</v>
      </c>
      <c r="QN23">
        <v>0</v>
      </c>
      <c r="QO23">
        <v>0</v>
      </c>
      <c r="QP23">
        <v>0</v>
      </c>
      <c r="QQ23">
        <v>0</v>
      </c>
      <c r="QR23">
        <v>0</v>
      </c>
      <c r="QS23">
        <v>0</v>
      </c>
      <c r="QT23">
        <v>0</v>
      </c>
      <c r="QU23">
        <v>0</v>
      </c>
      <c r="QV23">
        <v>0</v>
      </c>
      <c r="QW23">
        <v>0</v>
      </c>
      <c r="QX23">
        <v>0</v>
      </c>
      <c r="QY23">
        <v>0</v>
      </c>
      <c r="QZ23">
        <v>0</v>
      </c>
      <c r="RA23">
        <v>0</v>
      </c>
      <c r="RB23">
        <v>0</v>
      </c>
      <c r="RC23">
        <v>0</v>
      </c>
      <c r="RD23">
        <v>0</v>
      </c>
      <c r="RE23">
        <v>0</v>
      </c>
      <c r="RF23">
        <v>0</v>
      </c>
      <c r="RG23">
        <v>0</v>
      </c>
      <c r="RH23">
        <v>0</v>
      </c>
      <c r="RI23">
        <v>0</v>
      </c>
      <c r="RJ23">
        <v>0</v>
      </c>
      <c r="RK23">
        <v>0</v>
      </c>
      <c r="RL23">
        <v>0</v>
      </c>
      <c r="RM23">
        <v>0</v>
      </c>
      <c r="RN23">
        <v>0</v>
      </c>
      <c r="RO23">
        <v>0</v>
      </c>
      <c r="RP23">
        <v>0</v>
      </c>
      <c r="RQ23">
        <v>0</v>
      </c>
      <c r="RR23">
        <v>0</v>
      </c>
      <c r="RS23">
        <v>0</v>
      </c>
      <c r="RT23">
        <v>0</v>
      </c>
      <c r="RU23">
        <v>0</v>
      </c>
      <c r="RV23">
        <v>0</v>
      </c>
      <c r="RW23">
        <v>0</v>
      </c>
      <c r="RX23">
        <v>0</v>
      </c>
      <c r="RY23">
        <v>0</v>
      </c>
      <c r="RZ23">
        <v>0</v>
      </c>
      <c r="SA23">
        <v>0</v>
      </c>
      <c r="SB23">
        <v>0</v>
      </c>
      <c r="SC23">
        <v>0</v>
      </c>
      <c r="SD23">
        <v>0</v>
      </c>
      <c r="SE23">
        <v>0</v>
      </c>
      <c r="SF23">
        <v>0</v>
      </c>
      <c r="SG23">
        <v>0</v>
      </c>
      <c r="SH23">
        <v>0</v>
      </c>
      <c r="SI23">
        <v>0</v>
      </c>
      <c r="SJ23">
        <v>0</v>
      </c>
      <c r="SK23">
        <v>0</v>
      </c>
      <c r="SL23">
        <v>0</v>
      </c>
      <c r="SM23">
        <v>0</v>
      </c>
      <c r="SN23">
        <v>0</v>
      </c>
      <c r="SO23">
        <v>0</v>
      </c>
      <c r="SP23">
        <v>0</v>
      </c>
      <c r="SQ23">
        <v>0</v>
      </c>
      <c r="SR23">
        <v>0</v>
      </c>
      <c r="SS23">
        <v>0</v>
      </c>
      <c r="ST23">
        <v>0</v>
      </c>
      <c r="SU23">
        <v>0</v>
      </c>
      <c r="SV23">
        <v>0</v>
      </c>
      <c r="SW23">
        <v>0</v>
      </c>
      <c r="SX23">
        <v>0</v>
      </c>
      <c r="SY23">
        <v>0</v>
      </c>
      <c r="SZ23">
        <v>0</v>
      </c>
      <c r="TA23">
        <v>0</v>
      </c>
      <c r="TB23">
        <v>0</v>
      </c>
      <c r="TC23">
        <v>0</v>
      </c>
      <c r="TD23">
        <v>0</v>
      </c>
      <c r="TE23">
        <v>0</v>
      </c>
      <c r="TF23">
        <v>0</v>
      </c>
      <c r="TG23">
        <v>0</v>
      </c>
      <c r="TH23">
        <v>0</v>
      </c>
      <c r="TI23">
        <v>0</v>
      </c>
      <c r="TJ23">
        <v>0</v>
      </c>
      <c r="TK23">
        <v>0</v>
      </c>
      <c r="TL23">
        <v>0</v>
      </c>
      <c r="TM23">
        <v>0</v>
      </c>
      <c r="TN23">
        <v>0</v>
      </c>
      <c r="TO23">
        <v>0</v>
      </c>
      <c r="TP23">
        <v>0</v>
      </c>
      <c r="TQ23">
        <v>0</v>
      </c>
      <c r="TR23">
        <v>0</v>
      </c>
      <c r="TS23">
        <v>0</v>
      </c>
      <c r="TT23">
        <v>0</v>
      </c>
      <c r="TU23">
        <v>0</v>
      </c>
      <c r="TV23">
        <v>0</v>
      </c>
      <c r="TW23">
        <v>0</v>
      </c>
      <c r="TX23">
        <v>0</v>
      </c>
      <c r="TY23">
        <v>0</v>
      </c>
      <c r="TZ23">
        <v>0</v>
      </c>
      <c r="UA23">
        <v>0</v>
      </c>
      <c r="UB23">
        <v>0</v>
      </c>
      <c r="UC23">
        <v>0</v>
      </c>
      <c r="UD23">
        <v>0</v>
      </c>
      <c r="UE23">
        <v>0</v>
      </c>
      <c r="UF23">
        <v>0</v>
      </c>
      <c r="UG23">
        <v>0</v>
      </c>
      <c r="UH23">
        <v>0</v>
      </c>
      <c r="UI23">
        <v>0</v>
      </c>
      <c r="UJ23">
        <v>0</v>
      </c>
      <c r="UK23">
        <v>0</v>
      </c>
      <c r="UL23">
        <v>0</v>
      </c>
      <c r="UM23">
        <v>0</v>
      </c>
      <c r="UN23">
        <v>0</v>
      </c>
      <c r="UO23">
        <v>0</v>
      </c>
      <c r="UP23">
        <v>0</v>
      </c>
      <c r="UQ23">
        <v>0</v>
      </c>
      <c r="UR23">
        <v>0</v>
      </c>
      <c r="US23">
        <v>0</v>
      </c>
      <c r="UT23">
        <v>0</v>
      </c>
      <c r="UU23">
        <v>0</v>
      </c>
      <c r="UV23">
        <v>0</v>
      </c>
      <c r="UW23">
        <v>0</v>
      </c>
      <c r="UX23">
        <v>0</v>
      </c>
      <c r="UY23">
        <v>0</v>
      </c>
      <c r="UZ23">
        <v>0</v>
      </c>
      <c r="VA23">
        <v>0</v>
      </c>
      <c r="VB23">
        <v>0</v>
      </c>
      <c r="VC23">
        <v>0</v>
      </c>
      <c r="VD23">
        <v>0</v>
      </c>
      <c r="VE23">
        <v>0</v>
      </c>
      <c r="VF23">
        <v>0</v>
      </c>
      <c r="VG23">
        <v>0</v>
      </c>
      <c r="VH23">
        <v>0</v>
      </c>
      <c r="VI23">
        <v>0</v>
      </c>
      <c r="VJ23">
        <v>0</v>
      </c>
      <c r="VK23">
        <v>0</v>
      </c>
      <c r="VL23">
        <v>0</v>
      </c>
      <c r="VM23">
        <v>0</v>
      </c>
      <c r="VN23">
        <v>0</v>
      </c>
      <c r="VO23">
        <v>0</v>
      </c>
      <c r="VP23">
        <v>0</v>
      </c>
      <c r="VQ23">
        <v>0</v>
      </c>
      <c r="VR23">
        <v>0</v>
      </c>
      <c r="VS23">
        <v>0</v>
      </c>
      <c r="VT23">
        <v>0</v>
      </c>
      <c r="VU23">
        <v>0</v>
      </c>
      <c r="VV23">
        <v>0</v>
      </c>
      <c r="VW23">
        <v>0</v>
      </c>
      <c r="VX23">
        <v>0</v>
      </c>
      <c r="VY23">
        <v>0</v>
      </c>
      <c r="VZ23">
        <v>0</v>
      </c>
      <c r="WA23">
        <v>0</v>
      </c>
      <c r="WB23">
        <v>0</v>
      </c>
      <c r="WC23">
        <v>0</v>
      </c>
      <c r="WD23">
        <v>0</v>
      </c>
      <c r="WE23">
        <v>0</v>
      </c>
      <c r="WF23">
        <v>0</v>
      </c>
      <c r="WG23">
        <v>0</v>
      </c>
      <c r="WH23">
        <v>0</v>
      </c>
      <c r="WI23">
        <v>0</v>
      </c>
      <c r="WJ23">
        <v>0</v>
      </c>
      <c r="WK23">
        <v>0</v>
      </c>
      <c r="WL23">
        <v>0</v>
      </c>
      <c r="WM23">
        <v>0</v>
      </c>
      <c r="WN23">
        <v>0</v>
      </c>
      <c r="WO23">
        <v>0</v>
      </c>
      <c r="WP23">
        <v>0</v>
      </c>
      <c r="WQ23">
        <v>0</v>
      </c>
      <c r="WR23">
        <v>0</v>
      </c>
      <c r="WS23">
        <v>0</v>
      </c>
      <c r="WT23">
        <v>0</v>
      </c>
      <c r="WU23">
        <v>0</v>
      </c>
      <c r="WV23">
        <v>0</v>
      </c>
      <c r="WW23">
        <v>0</v>
      </c>
      <c r="WX23">
        <v>0</v>
      </c>
      <c r="WY23">
        <v>0</v>
      </c>
      <c r="WZ23">
        <v>0</v>
      </c>
      <c r="XA23">
        <v>0</v>
      </c>
      <c r="XB23">
        <v>0</v>
      </c>
      <c r="XC23">
        <v>0</v>
      </c>
      <c r="XD23">
        <v>0</v>
      </c>
      <c r="XE23">
        <v>0</v>
      </c>
      <c r="XF23">
        <v>0</v>
      </c>
      <c r="XG23">
        <v>0</v>
      </c>
      <c r="XH23">
        <v>0</v>
      </c>
      <c r="XI23">
        <v>0</v>
      </c>
      <c r="XJ23">
        <v>0</v>
      </c>
      <c r="XK23">
        <v>0</v>
      </c>
      <c r="XL23">
        <v>0</v>
      </c>
      <c r="XM23">
        <v>0</v>
      </c>
      <c r="XN23">
        <v>0</v>
      </c>
      <c r="XO23">
        <v>0</v>
      </c>
      <c r="XP23">
        <v>0</v>
      </c>
      <c r="XQ23">
        <v>0</v>
      </c>
      <c r="XR23">
        <v>0</v>
      </c>
      <c r="XS23">
        <v>0</v>
      </c>
      <c r="XT23">
        <v>0</v>
      </c>
      <c r="XU23">
        <v>0</v>
      </c>
      <c r="XV23">
        <v>0</v>
      </c>
      <c r="XW23">
        <v>0</v>
      </c>
      <c r="XX23">
        <v>0</v>
      </c>
      <c r="XY23">
        <v>0</v>
      </c>
      <c r="XZ23">
        <v>0</v>
      </c>
      <c r="YA23">
        <v>0</v>
      </c>
      <c r="YB23">
        <v>0</v>
      </c>
      <c r="YC23">
        <v>0</v>
      </c>
      <c r="YD23">
        <v>0</v>
      </c>
      <c r="YE23">
        <v>0</v>
      </c>
      <c r="YF23">
        <v>0</v>
      </c>
      <c r="YG23">
        <v>0</v>
      </c>
      <c r="YH23">
        <v>0</v>
      </c>
      <c r="YI23">
        <v>0</v>
      </c>
      <c r="YJ23">
        <v>0</v>
      </c>
      <c r="YK23">
        <v>0</v>
      </c>
      <c r="YL23">
        <v>0</v>
      </c>
      <c r="YM23">
        <v>0</v>
      </c>
      <c r="YN23">
        <v>0</v>
      </c>
      <c r="YO23">
        <v>0</v>
      </c>
      <c r="YP23">
        <v>0</v>
      </c>
      <c r="YQ23">
        <v>0</v>
      </c>
      <c r="YR23">
        <v>0</v>
      </c>
      <c r="YS23">
        <v>0</v>
      </c>
      <c r="YT23">
        <v>0</v>
      </c>
      <c r="YU23">
        <v>0</v>
      </c>
      <c r="YV23">
        <v>0</v>
      </c>
      <c r="YW23">
        <v>0</v>
      </c>
      <c r="YX23">
        <v>0</v>
      </c>
      <c r="YY23">
        <v>0</v>
      </c>
      <c r="YZ23">
        <v>0</v>
      </c>
      <c r="ZA23">
        <v>0</v>
      </c>
      <c r="ZB23">
        <v>0</v>
      </c>
      <c r="ZC23">
        <v>0</v>
      </c>
      <c r="ZD23">
        <v>0</v>
      </c>
      <c r="ZE23">
        <v>0</v>
      </c>
      <c r="ZF23">
        <v>0</v>
      </c>
      <c r="ZG23">
        <v>0</v>
      </c>
      <c r="ZH23">
        <v>0</v>
      </c>
      <c r="ZI23">
        <v>0</v>
      </c>
      <c r="ZJ23">
        <v>0</v>
      </c>
      <c r="ZK23">
        <v>0</v>
      </c>
      <c r="ZL23">
        <v>0</v>
      </c>
      <c r="ZM23">
        <v>0</v>
      </c>
      <c r="ZN23">
        <v>0</v>
      </c>
      <c r="ZO23">
        <v>0</v>
      </c>
      <c r="ZP23">
        <v>0</v>
      </c>
      <c r="ZQ23">
        <v>1</v>
      </c>
      <c r="ZR23">
        <v>1</v>
      </c>
      <c r="ZS23">
        <v>1</v>
      </c>
      <c r="ZT23">
        <v>1</v>
      </c>
      <c r="ZU23">
        <v>1</v>
      </c>
      <c r="ZV23">
        <v>1</v>
      </c>
      <c r="ZW23">
        <v>1</v>
      </c>
      <c r="ZX23">
        <v>1</v>
      </c>
      <c r="ZY23">
        <v>1</v>
      </c>
      <c r="ZZ23">
        <v>0</v>
      </c>
      <c r="AAA23">
        <v>0</v>
      </c>
      <c r="AAB23">
        <v>0</v>
      </c>
      <c r="AAC23">
        <v>0</v>
      </c>
      <c r="AAD23">
        <v>0</v>
      </c>
      <c r="AAE23">
        <v>0</v>
      </c>
      <c r="AAF23">
        <v>0</v>
      </c>
      <c r="AAG23">
        <v>0</v>
      </c>
      <c r="AAH23">
        <v>0</v>
      </c>
      <c r="AAI23">
        <v>0</v>
      </c>
      <c r="AAJ23">
        <v>0</v>
      </c>
      <c r="AAK23">
        <v>0</v>
      </c>
      <c r="AAL23">
        <v>0</v>
      </c>
      <c r="AAM23">
        <v>0</v>
      </c>
      <c r="AAN23">
        <v>0</v>
      </c>
      <c r="AAO23">
        <v>0</v>
      </c>
      <c r="AAP23">
        <v>0</v>
      </c>
      <c r="AAQ23">
        <v>0</v>
      </c>
      <c r="AAR23">
        <v>0</v>
      </c>
      <c r="AAS23">
        <v>0</v>
      </c>
      <c r="AAT23">
        <v>0</v>
      </c>
      <c r="AAU23">
        <v>0</v>
      </c>
      <c r="AAV23">
        <v>0</v>
      </c>
      <c r="AAW23">
        <v>0</v>
      </c>
      <c r="AAX23">
        <v>0</v>
      </c>
      <c r="AAY23">
        <v>0</v>
      </c>
      <c r="AAZ23">
        <v>0</v>
      </c>
      <c r="ABA23">
        <v>0</v>
      </c>
      <c r="ABB23">
        <v>0</v>
      </c>
      <c r="ABC23">
        <v>0</v>
      </c>
      <c r="ABD23">
        <v>0</v>
      </c>
      <c r="ABE23">
        <v>0</v>
      </c>
      <c r="ABG23" s="1137">
        <f t="shared" si="5"/>
        <v>0</v>
      </c>
      <c r="ABH23" s="1137">
        <f t="shared" si="5"/>
        <v>0</v>
      </c>
      <c r="ABI23" s="1137">
        <f t="shared" si="5"/>
        <v>16</v>
      </c>
      <c r="ABJ23" s="1137">
        <f t="shared" si="5"/>
        <v>30</v>
      </c>
      <c r="ABK23" s="1137">
        <f t="shared" si="5"/>
        <v>31</v>
      </c>
      <c r="ABL23" s="1137">
        <f t="shared" si="5"/>
        <v>30</v>
      </c>
      <c r="ABM23" s="1137">
        <f t="shared" si="5"/>
        <v>31</v>
      </c>
      <c r="ABN23" s="1137">
        <f t="shared" si="5"/>
        <v>20</v>
      </c>
      <c r="ABO23" s="1137">
        <f t="shared" si="5"/>
        <v>0</v>
      </c>
      <c r="ABP23" s="1137">
        <f t="shared" si="5"/>
        <v>0</v>
      </c>
      <c r="ABQ23" s="1137">
        <f t="shared" si="5"/>
        <v>0</v>
      </c>
      <c r="ABR23" s="1137">
        <f t="shared" si="5"/>
        <v>0</v>
      </c>
      <c r="ABS23" s="1137">
        <f t="shared" si="5"/>
        <v>0</v>
      </c>
      <c r="ABT23" s="1137">
        <f t="shared" si="5"/>
        <v>0</v>
      </c>
      <c r="ABU23" s="1137">
        <f t="shared" si="5"/>
        <v>0</v>
      </c>
      <c r="ABV23" s="1137">
        <f t="shared" si="5"/>
        <v>0</v>
      </c>
      <c r="ABW23" s="1137">
        <f t="shared" si="7"/>
        <v>0</v>
      </c>
      <c r="ABX23" s="1137">
        <f t="shared" si="7"/>
        <v>0</v>
      </c>
      <c r="ABY23" s="1137">
        <f t="shared" si="7"/>
        <v>0</v>
      </c>
      <c r="ABZ23" s="1137">
        <f t="shared" si="7"/>
        <v>0</v>
      </c>
      <c r="ACA23" s="1137">
        <f t="shared" si="7"/>
        <v>0</v>
      </c>
      <c r="ACB23" s="1137">
        <f t="shared" si="7"/>
        <v>0</v>
      </c>
      <c r="ACC23" s="1137">
        <f t="shared" si="7"/>
        <v>9</v>
      </c>
      <c r="ACD23" s="1137">
        <f t="shared" si="7"/>
        <v>0</v>
      </c>
      <c r="ACE23" s="1137" t="s">
        <v>369</v>
      </c>
      <c r="ACF23" s="1137">
        <f t="shared" si="6"/>
        <v>0</v>
      </c>
      <c r="ACG23" s="1137">
        <f t="shared" si="6"/>
        <v>0</v>
      </c>
      <c r="ACH23" s="1137">
        <f t="shared" si="6"/>
        <v>1</v>
      </c>
      <c r="ACI23" s="1137">
        <f t="shared" si="6"/>
        <v>1</v>
      </c>
      <c r="ACJ23" s="1137">
        <f t="shared" si="6"/>
        <v>1</v>
      </c>
      <c r="ACK23" s="1137">
        <f t="shared" si="6"/>
        <v>1</v>
      </c>
      <c r="ACL23" s="1137">
        <f t="shared" si="6"/>
        <v>1</v>
      </c>
      <c r="ACM23" s="1137">
        <f t="shared" si="6"/>
        <v>1</v>
      </c>
      <c r="ACN23" s="1137">
        <f t="shared" si="6"/>
        <v>0</v>
      </c>
      <c r="ACO23" s="1137">
        <f t="shared" si="6"/>
        <v>0</v>
      </c>
      <c r="ACP23" s="1137">
        <f t="shared" si="6"/>
        <v>0</v>
      </c>
      <c r="ACQ23" s="1137">
        <f t="shared" si="6"/>
        <v>0</v>
      </c>
      <c r="ACR23" s="1137">
        <f t="shared" si="6"/>
        <v>0</v>
      </c>
      <c r="ACS23" s="1137">
        <f t="shared" si="6"/>
        <v>0</v>
      </c>
      <c r="ACT23" s="1137">
        <f t="shared" si="6"/>
        <v>0</v>
      </c>
      <c r="ACU23" s="1137">
        <f t="shared" si="6"/>
        <v>0</v>
      </c>
      <c r="ACV23" s="1137">
        <f t="shared" si="8"/>
        <v>0</v>
      </c>
      <c r="ACW23" s="1137">
        <f t="shared" si="8"/>
        <v>0</v>
      </c>
      <c r="ACX23" s="1137">
        <f t="shared" si="8"/>
        <v>0</v>
      </c>
      <c r="ACY23" s="1137">
        <f t="shared" si="8"/>
        <v>0</v>
      </c>
      <c r="ACZ23" s="1137">
        <f t="shared" si="8"/>
        <v>0</v>
      </c>
      <c r="ADA23" s="1137">
        <f t="shared" si="8"/>
        <v>0</v>
      </c>
      <c r="ADB23" s="1137">
        <f t="shared" si="8"/>
        <v>0</v>
      </c>
      <c r="ADC23" s="1137">
        <f t="shared" si="8"/>
        <v>0</v>
      </c>
    </row>
    <row r="24" spans="1:783" x14ac:dyDescent="0.25">
      <c r="A24" t="s">
        <v>1819</v>
      </c>
      <c r="B24" t="s">
        <v>146</v>
      </c>
      <c r="C24">
        <v>0</v>
      </c>
      <c r="D24">
        <v>0</v>
      </c>
      <c r="E24">
        <v>0</v>
      </c>
      <c r="F24">
        <v>0</v>
      </c>
      <c r="G24">
        <v>0</v>
      </c>
      <c r="H24">
        <v>0</v>
      </c>
      <c r="I24">
        <v>0</v>
      </c>
      <c r="J24">
        <v>0</v>
      </c>
      <c r="K24">
        <v>0</v>
      </c>
      <c r="L24">
        <v>0</v>
      </c>
      <c r="M24">
        <v>0</v>
      </c>
      <c r="N24">
        <v>0</v>
      </c>
      <c r="O24">
        <v>0</v>
      </c>
      <c r="P24">
        <v>0</v>
      </c>
      <c r="Q24">
        <v>0</v>
      </c>
      <c r="R24">
        <v>0</v>
      </c>
      <c r="S24">
        <v>0</v>
      </c>
      <c r="T24">
        <v>0</v>
      </c>
      <c r="U24">
        <v>0</v>
      </c>
      <c r="V24">
        <v>0</v>
      </c>
      <c r="W24">
        <v>0</v>
      </c>
      <c r="X24">
        <v>0</v>
      </c>
      <c r="Y24">
        <v>0</v>
      </c>
      <c r="Z24">
        <v>0</v>
      </c>
      <c r="AA24">
        <v>0</v>
      </c>
      <c r="AB24">
        <v>0</v>
      </c>
      <c r="AC24">
        <v>0</v>
      </c>
      <c r="AD24">
        <v>0</v>
      </c>
      <c r="AE24">
        <v>0</v>
      </c>
      <c r="AF24">
        <v>0</v>
      </c>
      <c r="AG24">
        <v>0</v>
      </c>
      <c r="AH24">
        <v>0</v>
      </c>
      <c r="AI24">
        <v>0</v>
      </c>
      <c r="AJ24">
        <v>0</v>
      </c>
      <c r="AK24">
        <v>0</v>
      </c>
      <c r="AL24">
        <v>0</v>
      </c>
      <c r="AM24">
        <v>0</v>
      </c>
      <c r="AN24">
        <v>0</v>
      </c>
      <c r="AO24">
        <v>0</v>
      </c>
      <c r="AP24">
        <v>0</v>
      </c>
      <c r="AQ24">
        <v>0</v>
      </c>
      <c r="AR24">
        <v>0</v>
      </c>
      <c r="AS24">
        <v>0</v>
      </c>
      <c r="AT24">
        <v>0</v>
      </c>
      <c r="AU24">
        <v>0</v>
      </c>
      <c r="AV24">
        <v>0</v>
      </c>
      <c r="AW24">
        <v>0</v>
      </c>
      <c r="AX24">
        <v>0</v>
      </c>
      <c r="AY24">
        <v>0</v>
      </c>
      <c r="AZ24">
        <v>0</v>
      </c>
      <c r="BA24">
        <v>0</v>
      </c>
      <c r="BB24">
        <v>0</v>
      </c>
      <c r="BC24">
        <v>0</v>
      </c>
      <c r="BD24">
        <v>0</v>
      </c>
      <c r="BE24">
        <v>0</v>
      </c>
      <c r="BF24">
        <v>0</v>
      </c>
      <c r="BG24">
        <v>0</v>
      </c>
      <c r="BH24">
        <v>0</v>
      </c>
      <c r="BI24">
        <v>0</v>
      </c>
      <c r="BJ24">
        <v>0</v>
      </c>
      <c r="BK24">
        <v>0</v>
      </c>
      <c r="BL24">
        <v>0</v>
      </c>
      <c r="BM24">
        <v>0</v>
      </c>
      <c r="BN24">
        <v>0</v>
      </c>
      <c r="BO24">
        <v>0</v>
      </c>
      <c r="BP24">
        <v>0</v>
      </c>
      <c r="BQ24">
        <v>0</v>
      </c>
      <c r="BR24">
        <v>0</v>
      </c>
      <c r="BS24">
        <v>0</v>
      </c>
      <c r="BT24">
        <v>0</v>
      </c>
      <c r="BU24">
        <v>0</v>
      </c>
      <c r="BV24">
        <v>0</v>
      </c>
      <c r="BW24">
        <v>0</v>
      </c>
      <c r="BX24">
        <v>0</v>
      </c>
      <c r="BY24">
        <v>0</v>
      </c>
      <c r="BZ24">
        <v>0</v>
      </c>
      <c r="CA24">
        <v>0</v>
      </c>
      <c r="CB24">
        <v>0</v>
      </c>
      <c r="CC24">
        <v>0</v>
      </c>
      <c r="CD24">
        <v>0</v>
      </c>
      <c r="CE24">
        <v>0</v>
      </c>
      <c r="CF24">
        <v>0</v>
      </c>
      <c r="CG24">
        <v>0</v>
      </c>
      <c r="CH24">
        <v>0</v>
      </c>
      <c r="CI24">
        <v>0</v>
      </c>
      <c r="CJ24">
        <v>0</v>
      </c>
      <c r="CK24">
        <v>0</v>
      </c>
      <c r="CL24">
        <v>0</v>
      </c>
      <c r="CM24">
        <v>0</v>
      </c>
      <c r="CN24">
        <v>0</v>
      </c>
      <c r="CO24">
        <v>0</v>
      </c>
      <c r="CP24">
        <v>0</v>
      </c>
      <c r="CQ24">
        <v>0</v>
      </c>
      <c r="CR24">
        <v>0</v>
      </c>
      <c r="CS24">
        <v>0</v>
      </c>
      <c r="CT24">
        <v>0</v>
      </c>
      <c r="CU24">
        <v>0</v>
      </c>
      <c r="CV24">
        <v>0</v>
      </c>
      <c r="CW24">
        <v>0</v>
      </c>
      <c r="CX24">
        <v>0</v>
      </c>
      <c r="CY24">
        <v>0</v>
      </c>
      <c r="CZ24">
        <v>0</v>
      </c>
      <c r="DA24">
        <v>0</v>
      </c>
      <c r="DB24">
        <v>0</v>
      </c>
      <c r="DC24">
        <v>0</v>
      </c>
      <c r="DD24">
        <v>0</v>
      </c>
      <c r="DE24">
        <v>0</v>
      </c>
      <c r="DF24">
        <v>0</v>
      </c>
      <c r="DG24">
        <v>0</v>
      </c>
      <c r="DH24">
        <v>0</v>
      </c>
      <c r="DI24">
        <v>0</v>
      </c>
      <c r="DJ24">
        <v>0</v>
      </c>
      <c r="DK24">
        <v>0</v>
      </c>
      <c r="DL24">
        <v>0</v>
      </c>
      <c r="DM24">
        <v>0</v>
      </c>
      <c r="DN24">
        <v>0</v>
      </c>
      <c r="DO24">
        <v>0</v>
      </c>
      <c r="DP24">
        <v>0</v>
      </c>
      <c r="DQ24">
        <v>0</v>
      </c>
      <c r="DR24">
        <v>0</v>
      </c>
      <c r="DS24">
        <v>0</v>
      </c>
      <c r="DT24">
        <v>0</v>
      </c>
      <c r="DU24">
        <v>0</v>
      </c>
      <c r="DV24">
        <v>0</v>
      </c>
      <c r="DW24">
        <v>0</v>
      </c>
      <c r="DX24">
        <v>0</v>
      </c>
      <c r="DY24">
        <v>0</v>
      </c>
      <c r="DZ24">
        <v>0</v>
      </c>
      <c r="EA24">
        <v>0</v>
      </c>
      <c r="EB24">
        <v>0</v>
      </c>
      <c r="EC24">
        <v>0</v>
      </c>
      <c r="ED24">
        <v>0</v>
      </c>
      <c r="EE24">
        <v>0</v>
      </c>
      <c r="EF24">
        <v>0</v>
      </c>
      <c r="EG24">
        <v>0</v>
      </c>
      <c r="EH24">
        <v>0</v>
      </c>
      <c r="EI24">
        <v>0</v>
      </c>
      <c r="EJ24">
        <v>0</v>
      </c>
      <c r="EK24">
        <v>0</v>
      </c>
      <c r="EL24">
        <v>0</v>
      </c>
      <c r="EM24">
        <v>0</v>
      </c>
      <c r="EN24">
        <v>0</v>
      </c>
      <c r="EO24">
        <v>0</v>
      </c>
      <c r="EP24">
        <v>0</v>
      </c>
      <c r="EQ24">
        <v>0</v>
      </c>
      <c r="ER24">
        <v>0</v>
      </c>
      <c r="ES24">
        <v>0</v>
      </c>
      <c r="ET24">
        <v>0</v>
      </c>
      <c r="EU24">
        <v>0</v>
      </c>
      <c r="EV24">
        <v>0</v>
      </c>
      <c r="EW24">
        <v>0</v>
      </c>
      <c r="EX24">
        <v>0</v>
      </c>
      <c r="EY24">
        <v>0</v>
      </c>
      <c r="EZ24">
        <v>0</v>
      </c>
      <c r="FA24">
        <v>0</v>
      </c>
      <c r="FB24">
        <v>0</v>
      </c>
      <c r="FC24">
        <v>0</v>
      </c>
      <c r="FD24">
        <v>0</v>
      </c>
      <c r="FE24">
        <v>0</v>
      </c>
      <c r="FF24">
        <v>0</v>
      </c>
      <c r="FG24">
        <v>0</v>
      </c>
      <c r="FH24">
        <v>0</v>
      </c>
      <c r="FI24">
        <v>0</v>
      </c>
      <c r="FJ24">
        <v>0</v>
      </c>
      <c r="FK24">
        <v>0</v>
      </c>
      <c r="FL24">
        <v>0</v>
      </c>
      <c r="FM24">
        <v>0</v>
      </c>
      <c r="FN24">
        <v>0</v>
      </c>
      <c r="FO24">
        <v>0</v>
      </c>
      <c r="FP24">
        <v>0</v>
      </c>
      <c r="FQ24">
        <v>0</v>
      </c>
      <c r="FR24">
        <v>0</v>
      </c>
      <c r="FS24">
        <v>0</v>
      </c>
      <c r="FT24">
        <v>0</v>
      </c>
      <c r="FU24">
        <v>0</v>
      </c>
      <c r="FV24">
        <v>0</v>
      </c>
      <c r="FW24">
        <v>0</v>
      </c>
      <c r="FX24">
        <v>0</v>
      </c>
      <c r="FY24">
        <v>0</v>
      </c>
      <c r="FZ24">
        <v>0</v>
      </c>
      <c r="GA24">
        <v>0</v>
      </c>
      <c r="GB24">
        <v>0</v>
      </c>
      <c r="GC24">
        <v>0</v>
      </c>
      <c r="GD24">
        <v>0</v>
      </c>
      <c r="GE24">
        <v>0</v>
      </c>
      <c r="GF24">
        <v>0</v>
      </c>
      <c r="GG24">
        <v>0</v>
      </c>
      <c r="GH24">
        <v>0</v>
      </c>
      <c r="GI24">
        <v>0</v>
      </c>
      <c r="GJ24">
        <v>0</v>
      </c>
      <c r="GK24">
        <v>0</v>
      </c>
      <c r="GL24">
        <v>0</v>
      </c>
      <c r="GM24">
        <v>0</v>
      </c>
      <c r="GN24">
        <v>0</v>
      </c>
      <c r="GO24">
        <v>0</v>
      </c>
      <c r="GP24">
        <v>0</v>
      </c>
      <c r="GQ24">
        <v>0</v>
      </c>
      <c r="GR24">
        <v>0</v>
      </c>
      <c r="GS24">
        <v>0</v>
      </c>
      <c r="GT24">
        <v>0</v>
      </c>
      <c r="GU24">
        <v>0</v>
      </c>
      <c r="GV24">
        <v>0</v>
      </c>
      <c r="GW24">
        <v>0</v>
      </c>
      <c r="GX24">
        <v>0</v>
      </c>
      <c r="GY24">
        <v>0</v>
      </c>
      <c r="GZ24">
        <v>0</v>
      </c>
      <c r="HA24">
        <v>0</v>
      </c>
      <c r="HB24">
        <v>0</v>
      </c>
      <c r="HC24">
        <v>0</v>
      </c>
      <c r="HD24">
        <v>0</v>
      </c>
      <c r="HE24">
        <v>0</v>
      </c>
      <c r="HF24">
        <v>0</v>
      </c>
      <c r="HG24">
        <v>0</v>
      </c>
      <c r="HH24">
        <v>0</v>
      </c>
      <c r="HI24">
        <v>0</v>
      </c>
      <c r="HJ24">
        <v>0</v>
      </c>
      <c r="HK24">
        <v>0</v>
      </c>
      <c r="HL24">
        <v>0</v>
      </c>
      <c r="HM24">
        <v>0</v>
      </c>
      <c r="HN24">
        <v>0</v>
      </c>
      <c r="HO24">
        <v>0</v>
      </c>
      <c r="HP24">
        <v>0</v>
      </c>
      <c r="HQ24">
        <v>0</v>
      </c>
      <c r="HR24">
        <v>0</v>
      </c>
      <c r="HS24">
        <v>0</v>
      </c>
      <c r="HT24">
        <v>0</v>
      </c>
      <c r="HU24">
        <v>0</v>
      </c>
      <c r="HV24">
        <v>0</v>
      </c>
      <c r="HW24">
        <v>0</v>
      </c>
      <c r="HX24">
        <v>0</v>
      </c>
      <c r="HY24">
        <v>0</v>
      </c>
      <c r="HZ24">
        <v>0</v>
      </c>
      <c r="IA24">
        <v>0</v>
      </c>
      <c r="IB24">
        <v>0</v>
      </c>
      <c r="IC24">
        <v>0</v>
      </c>
      <c r="ID24">
        <v>0</v>
      </c>
      <c r="IE24">
        <v>0</v>
      </c>
      <c r="IF24">
        <v>0</v>
      </c>
      <c r="IG24">
        <v>0</v>
      </c>
      <c r="IH24">
        <v>0</v>
      </c>
      <c r="II24">
        <v>0</v>
      </c>
      <c r="IJ24">
        <v>0</v>
      </c>
      <c r="IK24">
        <v>0</v>
      </c>
      <c r="IL24">
        <v>0</v>
      </c>
      <c r="IM24">
        <v>0</v>
      </c>
      <c r="IN24">
        <v>0</v>
      </c>
      <c r="IO24">
        <v>0</v>
      </c>
      <c r="IP24">
        <v>0</v>
      </c>
      <c r="IQ24">
        <v>0</v>
      </c>
      <c r="IR24">
        <v>0</v>
      </c>
      <c r="IS24">
        <v>0</v>
      </c>
      <c r="IT24">
        <v>0</v>
      </c>
      <c r="IU24">
        <v>0</v>
      </c>
      <c r="IV24">
        <v>0</v>
      </c>
      <c r="IW24">
        <v>0</v>
      </c>
      <c r="IX24">
        <v>0</v>
      </c>
      <c r="IY24">
        <v>0</v>
      </c>
      <c r="IZ24">
        <v>0</v>
      </c>
      <c r="JA24">
        <v>0</v>
      </c>
      <c r="JB24">
        <v>0</v>
      </c>
      <c r="JC24">
        <v>0</v>
      </c>
      <c r="JD24">
        <v>0</v>
      </c>
      <c r="JE24">
        <v>0</v>
      </c>
      <c r="JF24">
        <v>0</v>
      </c>
      <c r="JG24">
        <v>0</v>
      </c>
      <c r="JH24">
        <v>0</v>
      </c>
      <c r="JI24">
        <v>0</v>
      </c>
      <c r="JJ24">
        <v>0</v>
      </c>
      <c r="JK24">
        <v>0</v>
      </c>
      <c r="JL24">
        <v>0</v>
      </c>
      <c r="JM24">
        <v>0</v>
      </c>
      <c r="JN24">
        <v>0</v>
      </c>
      <c r="JO24">
        <v>0</v>
      </c>
      <c r="JP24">
        <v>0</v>
      </c>
      <c r="JQ24">
        <v>0</v>
      </c>
      <c r="JR24">
        <v>0</v>
      </c>
      <c r="JS24">
        <v>0</v>
      </c>
      <c r="JT24">
        <v>0</v>
      </c>
      <c r="JU24">
        <v>0</v>
      </c>
      <c r="JV24">
        <v>0</v>
      </c>
      <c r="JW24">
        <v>0</v>
      </c>
      <c r="JX24">
        <v>0</v>
      </c>
      <c r="JY24">
        <v>0</v>
      </c>
      <c r="JZ24">
        <v>0</v>
      </c>
      <c r="KA24">
        <v>0</v>
      </c>
      <c r="KB24">
        <v>0</v>
      </c>
      <c r="KC24">
        <v>0</v>
      </c>
      <c r="KD24">
        <v>0</v>
      </c>
      <c r="KE24">
        <v>0</v>
      </c>
      <c r="KF24">
        <v>0</v>
      </c>
      <c r="KG24">
        <v>0</v>
      </c>
      <c r="KH24">
        <v>0</v>
      </c>
      <c r="KI24">
        <v>0</v>
      </c>
      <c r="KJ24">
        <v>0</v>
      </c>
      <c r="KK24">
        <v>0</v>
      </c>
      <c r="KL24">
        <v>0</v>
      </c>
      <c r="KM24">
        <v>0</v>
      </c>
      <c r="KN24">
        <v>0</v>
      </c>
      <c r="KO24">
        <v>0</v>
      </c>
      <c r="KP24">
        <v>0</v>
      </c>
      <c r="KQ24">
        <v>0</v>
      </c>
      <c r="KR24">
        <v>0</v>
      </c>
      <c r="KS24">
        <v>0</v>
      </c>
      <c r="KT24">
        <v>0</v>
      </c>
      <c r="KU24">
        <v>0</v>
      </c>
      <c r="KV24">
        <v>0</v>
      </c>
      <c r="KW24">
        <v>0</v>
      </c>
      <c r="KX24">
        <v>0</v>
      </c>
      <c r="KY24">
        <v>0</v>
      </c>
      <c r="KZ24">
        <v>0</v>
      </c>
      <c r="LA24">
        <v>0</v>
      </c>
      <c r="LB24">
        <v>0</v>
      </c>
      <c r="LC24">
        <v>0</v>
      </c>
      <c r="LD24">
        <v>0</v>
      </c>
      <c r="LE24">
        <v>0</v>
      </c>
      <c r="LF24">
        <v>0</v>
      </c>
      <c r="LG24">
        <v>0</v>
      </c>
      <c r="LH24">
        <v>0</v>
      </c>
      <c r="LI24">
        <v>0</v>
      </c>
      <c r="LJ24">
        <v>0</v>
      </c>
      <c r="LK24">
        <v>0</v>
      </c>
      <c r="LL24">
        <v>0</v>
      </c>
      <c r="LM24">
        <v>0</v>
      </c>
      <c r="LN24">
        <v>0</v>
      </c>
      <c r="LO24">
        <v>0</v>
      </c>
      <c r="LP24">
        <v>0</v>
      </c>
      <c r="LQ24">
        <v>0</v>
      </c>
      <c r="LR24">
        <v>0</v>
      </c>
      <c r="LS24">
        <v>0</v>
      </c>
      <c r="LT24">
        <v>0</v>
      </c>
      <c r="LU24">
        <v>0</v>
      </c>
      <c r="LV24">
        <v>0</v>
      </c>
      <c r="LW24">
        <v>0</v>
      </c>
      <c r="LX24">
        <v>0</v>
      </c>
      <c r="LY24">
        <v>0</v>
      </c>
      <c r="LZ24">
        <v>0</v>
      </c>
      <c r="MA24">
        <v>0</v>
      </c>
      <c r="MB24">
        <v>0</v>
      </c>
      <c r="MC24">
        <v>0</v>
      </c>
      <c r="MD24">
        <v>0</v>
      </c>
      <c r="ME24">
        <v>0</v>
      </c>
      <c r="MF24">
        <v>0</v>
      </c>
      <c r="MG24">
        <v>0</v>
      </c>
      <c r="MH24">
        <v>0</v>
      </c>
      <c r="MI24">
        <v>0</v>
      </c>
      <c r="MJ24">
        <v>0</v>
      </c>
      <c r="MK24">
        <v>0</v>
      </c>
      <c r="ML24">
        <v>0</v>
      </c>
      <c r="MM24">
        <v>0</v>
      </c>
      <c r="MN24">
        <v>0</v>
      </c>
      <c r="MO24">
        <v>0</v>
      </c>
      <c r="MP24">
        <v>0</v>
      </c>
      <c r="MQ24">
        <v>0</v>
      </c>
      <c r="MR24">
        <v>0</v>
      </c>
      <c r="MS24">
        <v>0</v>
      </c>
      <c r="MT24">
        <v>0</v>
      </c>
      <c r="MU24">
        <v>0</v>
      </c>
      <c r="MV24">
        <v>0</v>
      </c>
      <c r="MW24">
        <v>0</v>
      </c>
      <c r="MX24">
        <v>0</v>
      </c>
      <c r="MY24">
        <v>0</v>
      </c>
      <c r="MZ24">
        <v>0</v>
      </c>
      <c r="NA24">
        <v>0</v>
      </c>
      <c r="NB24">
        <v>0</v>
      </c>
      <c r="NC24">
        <v>0</v>
      </c>
      <c r="ND24">
        <v>0</v>
      </c>
      <c r="NE24">
        <v>0</v>
      </c>
      <c r="NF24">
        <v>0</v>
      </c>
      <c r="NG24">
        <v>0</v>
      </c>
      <c r="NH24">
        <v>0</v>
      </c>
      <c r="NI24">
        <v>0</v>
      </c>
      <c r="NJ24">
        <v>0</v>
      </c>
      <c r="NK24">
        <v>0</v>
      </c>
      <c r="NL24">
        <v>0</v>
      </c>
      <c r="NM24">
        <v>0</v>
      </c>
      <c r="NN24">
        <v>0</v>
      </c>
      <c r="NO24">
        <v>0</v>
      </c>
      <c r="NP24">
        <v>0</v>
      </c>
      <c r="NQ24">
        <v>0</v>
      </c>
      <c r="NR24">
        <v>0</v>
      </c>
      <c r="NS24">
        <v>0</v>
      </c>
      <c r="NT24">
        <v>0</v>
      </c>
      <c r="NU24">
        <v>0</v>
      </c>
      <c r="NV24">
        <v>0</v>
      </c>
      <c r="NW24">
        <v>0</v>
      </c>
      <c r="NX24">
        <v>0</v>
      </c>
      <c r="NY24">
        <v>0</v>
      </c>
      <c r="NZ24">
        <v>0</v>
      </c>
      <c r="OA24">
        <v>0</v>
      </c>
      <c r="OB24">
        <v>0</v>
      </c>
      <c r="OC24">
        <v>0</v>
      </c>
      <c r="OD24">
        <v>0</v>
      </c>
      <c r="OE24">
        <v>0</v>
      </c>
      <c r="OF24">
        <v>0</v>
      </c>
      <c r="OG24">
        <v>0</v>
      </c>
      <c r="OH24">
        <v>0</v>
      </c>
      <c r="OI24">
        <v>0</v>
      </c>
      <c r="OJ24">
        <v>0</v>
      </c>
      <c r="OK24">
        <v>0</v>
      </c>
      <c r="OL24">
        <v>0</v>
      </c>
      <c r="OM24">
        <v>0</v>
      </c>
      <c r="ON24">
        <v>0</v>
      </c>
      <c r="OO24">
        <v>0</v>
      </c>
      <c r="OP24">
        <v>0</v>
      </c>
      <c r="OQ24">
        <v>0</v>
      </c>
      <c r="OR24">
        <v>0</v>
      </c>
      <c r="OS24">
        <v>0</v>
      </c>
      <c r="OT24">
        <v>0</v>
      </c>
      <c r="OU24">
        <v>0</v>
      </c>
      <c r="OV24">
        <v>0</v>
      </c>
      <c r="OW24">
        <v>0</v>
      </c>
      <c r="OX24">
        <v>0</v>
      </c>
      <c r="OY24">
        <v>0</v>
      </c>
      <c r="OZ24">
        <v>0</v>
      </c>
      <c r="PA24">
        <v>0</v>
      </c>
      <c r="PB24">
        <v>0</v>
      </c>
      <c r="PC24">
        <v>0</v>
      </c>
      <c r="PD24">
        <v>0</v>
      </c>
      <c r="PE24">
        <v>0</v>
      </c>
      <c r="PF24">
        <v>0</v>
      </c>
      <c r="PG24">
        <v>0</v>
      </c>
      <c r="PH24">
        <v>0</v>
      </c>
      <c r="PI24">
        <v>0</v>
      </c>
      <c r="PJ24">
        <v>0</v>
      </c>
      <c r="PK24">
        <v>0</v>
      </c>
      <c r="PL24">
        <v>0</v>
      </c>
      <c r="PM24">
        <v>0</v>
      </c>
      <c r="PN24">
        <v>0</v>
      </c>
      <c r="PO24">
        <v>0</v>
      </c>
      <c r="PP24">
        <v>0</v>
      </c>
      <c r="PQ24">
        <v>0</v>
      </c>
      <c r="PR24">
        <v>0</v>
      </c>
      <c r="PS24">
        <v>0</v>
      </c>
      <c r="PT24">
        <v>0</v>
      </c>
      <c r="PU24">
        <v>0</v>
      </c>
      <c r="PV24">
        <v>0</v>
      </c>
      <c r="PW24">
        <v>0</v>
      </c>
      <c r="PX24">
        <v>0</v>
      </c>
      <c r="PY24">
        <v>0</v>
      </c>
      <c r="PZ24">
        <v>0</v>
      </c>
      <c r="QA24">
        <v>0</v>
      </c>
      <c r="QB24">
        <v>0</v>
      </c>
      <c r="QC24">
        <v>0</v>
      </c>
      <c r="QD24">
        <v>0</v>
      </c>
      <c r="QE24">
        <v>0</v>
      </c>
      <c r="QF24">
        <v>0</v>
      </c>
      <c r="QG24">
        <v>0</v>
      </c>
      <c r="QH24">
        <v>0</v>
      </c>
      <c r="QI24">
        <v>0</v>
      </c>
      <c r="QJ24">
        <v>0</v>
      </c>
      <c r="QK24">
        <v>0</v>
      </c>
      <c r="QL24">
        <v>0</v>
      </c>
      <c r="QM24">
        <v>0</v>
      </c>
      <c r="QN24">
        <v>0</v>
      </c>
      <c r="QO24">
        <v>0</v>
      </c>
      <c r="QP24">
        <v>0</v>
      </c>
      <c r="QQ24">
        <v>0</v>
      </c>
      <c r="QR24">
        <v>0</v>
      </c>
      <c r="QS24">
        <v>0</v>
      </c>
      <c r="QT24">
        <v>0</v>
      </c>
      <c r="QU24">
        <v>0</v>
      </c>
      <c r="QV24">
        <v>0</v>
      </c>
      <c r="QW24">
        <v>0</v>
      </c>
      <c r="QX24">
        <v>0</v>
      </c>
      <c r="QY24">
        <v>0</v>
      </c>
      <c r="QZ24">
        <v>0</v>
      </c>
      <c r="RA24">
        <v>0</v>
      </c>
      <c r="RB24">
        <v>0</v>
      </c>
      <c r="RC24">
        <v>0</v>
      </c>
      <c r="RD24">
        <v>0</v>
      </c>
      <c r="RE24">
        <v>0</v>
      </c>
      <c r="RF24">
        <v>0</v>
      </c>
      <c r="RG24">
        <v>0</v>
      </c>
      <c r="RH24">
        <v>0</v>
      </c>
      <c r="RI24">
        <v>0</v>
      </c>
      <c r="RJ24">
        <v>0</v>
      </c>
      <c r="RK24">
        <v>0</v>
      </c>
      <c r="RL24">
        <v>0</v>
      </c>
      <c r="RM24">
        <v>0</v>
      </c>
      <c r="RN24">
        <v>0</v>
      </c>
      <c r="RO24">
        <v>0</v>
      </c>
      <c r="RP24">
        <v>0</v>
      </c>
      <c r="RQ24">
        <v>0</v>
      </c>
      <c r="RR24">
        <v>0</v>
      </c>
      <c r="RS24">
        <v>0</v>
      </c>
      <c r="RT24">
        <v>0</v>
      </c>
      <c r="RU24">
        <v>0</v>
      </c>
      <c r="RV24">
        <v>0</v>
      </c>
      <c r="RW24">
        <v>0</v>
      </c>
      <c r="RX24">
        <v>0</v>
      </c>
      <c r="RY24">
        <v>0</v>
      </c>
      <c r="RZ24">
        <v>0</v>
      </c>
      <c r="SA24">
        <v>0</v>
      </c>
      <c r="SB24">
        <v>0</v>
      </c>
      <c r="SC24">
        <v>0</v>
      </c>
      <c r="SD24">
        <v>0</v>
      </c>
      <c r="SE24">
        <v>0</v>
      </c>
      <c r="SF24">
        <v>0</v>
      </c>
      <c r="SG24">
        <v>0</v>
      </c>
      <c r="SH24">
        <v>0</v>
      </c>
      <c r="SI24">
        <v>0</v>
      </c>
      <c r="SJ24">
        <v>0</v>
      </c>
      <c r="SK24">
        <v>0</v>
      </c>
      <c r="SL24">
        <v>0</v>
      </c>
      <c r="SM24">
        <v>0</v>
      </c>
      <c r="SN24">
        <v>0</v>
      </c>
      <c r="SO24">
        <v>0</v>
      </c>
      <c r="SP24">
        <v>0</v>
      </c>
      <c r="SQ24">
        <v>0</v>
      </c>
      <c r="SR24">
        <v>0</v>
      </c>
      <c r="SS24">
        <v>0</v>
      </c>
      <c r="ST24">
        <v>0</v>
      </c>
      <c r="SU24">
        <v>0</v>
      </c>
      <c r="SV24">
        <v>0</v>
      </c>
      <c r="SW24">
        <v>0</v>
      </c>
      <c r="SX24">
        <v>0</v>
      </c>
      <c r="SY24">
        <v>0</v>
      </c>
      <c r="SZ24">
        <v>0</v>
      </c>
      <c r="TA24">
        <v>0</v>
      </c>
      <c r="TB24">
        <v>0</v>
      </c>
      <c r="TC24">
        <v>0</v>
      </c>
      <c r="TD24">
        <v>0</v>
      </c>
      <c r="TE24">
        <v>0</v>
      </c>
      <c r="TF24">
        <v>0</v>
      </c>
      <c r="TG24">
        <v>0</v>
      </c>
      <c r="TH24">
        <v>0</v>
      </c>
      <c r="TI24">
        <v>0</v>
      </c>
      <c r="TJ24">
        <v>0</v>
      </c>
      <c r="TK24">
        <v>0</v>
      </c>
      <c r="TL24">
        <v>0</v>
      </c>
      <c r="TM24">
        <v>0</v>
      </c>
      <c r="TN24">
        <v>0</v>
      </c>
      <c r="TO24">
        <v>0</v>
      </c>
      <c r="TP24">
        <v>0</v>
      </c>
      <c r="TQ24">
        <v>0</v>
      </c>
      <c r="TR24">
        <v>0</v>
      </c>
      <c r="TS24">
        <v>0</v>
      </c>
      <c r="TT24">
        <v>0</v>
      </c>
      <c r="TU24">
        <v>0</v>
      </c>
      <c r="TV24">
        <v>0</v>
      </c>
      <c r="TW24">
        <v>0</v>
      </c>
      <c r="TX24">
        <v>0</v>
      </c>
      <c r="TY24">
        <v>0</v>
      </c>
      <c r="TZ24">
        <v>0</v>
      </c>
      <c r="UA24">
        <v>0</v>
      </c>
      <c r="UB24">
        <v>0</v>
      </c>
      <c r="UC24">
        <v>0</v>
      </c>
      <c r="UD24">
        <v>0</v>
      </c>
      <c r="UE24">
        <v>0</v>
      </c>
      <c r="UF24">
        <v>0</v>
      </c>
      <c r="UG24">
        <v>0</v>
      </c>
      <c r="UH24">
        <v>0</v>
      </c>
      <c r="UI24">
        <v>0</v>
      </c>
      <c r="UJ24">
        <v>0</v>
      </c>
      <c r="UK24">
        <v>0</v>
      </c>
      <c r="UL24">
        <v>0</v>
      </c>
      <c r="UM24">
        <v>0</v>
      </c>
      <c r="UN24">
        <v>0</v>
      </c>
      <c r="UO24">
        <v>0</v>
      </c>
      <c r="UP24">
        <v>0</v>
      </c>
      <c r="UQ24">
        <v>0</v>
      </c>
      <c r="UR24">
        <v>0</v>
      </c>
      <c r="US24">
        <v>0</v>
      </c>
      <c r="UT24">
        <v>0</v>
      </c>
      <c r="UU24">
        <v>0</v>
      </c>
      <c r="UV24">
        <v>0</v>
      </c>
      <c r="UW24">
        <v>0</v>
      </c>
      <c r="UX24">
        <v>0</v>
      </c>
      <c r="UY24">
        <v>0</v>
      </c>
      <c r="UZ24">
        <v>0</v>
      </c>
      <c r="VA24">
        <v>0</v>
      </c>
      <c r="VB24">
        <v>0</v>
      </c>
      <c r="VC24">
        <v>0</v>
      </c>
      <c r="VD24">
        <v>0</v>
      </c>
      <c r="VE24">
        <v>0</v>
      </c>
      <c r="VF24">
        <v>0</v>
      </c>
      <c r="VG24">
        <v>0</v>
      </c>
      <c r="VH24">
        <v>0</v>
      </c>
      <c r="VI24">
        <v>0</v>
      </c>
      <c r="VJ24">
        <v>0</v>
      </c>
      <c r="VK24">
        <v>0</v>
      </c>
      <c r="VL24">
        <v>0</v>
      </c>
      <c r="VM24">
        <v>0</v>
      </c>
      <c r="VN24">
        <v>0</v>
      </c>
      <c r="VO24">
        <v>0</v>
      </c>
      <c r="VP24">
        <v>0</v>
      </c>
      <c r="VQ24">
        <v>0</v>
      </c>
      <c r="VR24">
        <v>0</v>
      </c>
      <c r="VS24">
        <v>0</v>
      </c>
      <c r="VT24">
        <v>0</v>
      </c>
      <c r="VU24">
        <v>0</v>
      </c>
      <c r="VV24">
        <v>0</v>
      </c>
      <c r="VW24">
        <v>0</v>
      </c>
      <c r="VX24">
        <v>0</v>
      </c>
      <c r="VY24">
        <v>0</v>
      </c>
      <c r="VZ24">
        <v>0</v>
      </c>
      <c r="WA24">
        <v>0</v>
      </c>
      <c r="WB24">
        <v>0</v>
      </c>
      <c r="WC24">
        <v>0</v>
      </c>
      <c r="WD24">
        <v>0</v>
      </c>
      <c r="WE24">
        <v>0</v>
      </c>
      <c r="WF24">
        <v>0</v>
      </c>
      <c r="WG24">
        <v>0</v>
      </c>
      <c r="WH24">
        <v>0</v>
      </c>
      <c r="WI24">
        <v>0</v>
      </c>
      <c r="WJ24">
        <v>0</v>
      </c>
      <c r="WK24">
        <v>0</v>
      </c>
      <c r="WL24">
        <v>0</v>
      </c>
      <c r="WM24">
        <v>0</v>
      </c>
      <c r="WN24">
        <v>0</v>
      </c>
      <c r="WO24">
        <v>0</v>
      </c>
      <c r="WP24">
        <v>0</v>
      </c>
      <c r="WQ24">
        <v>0</v>
      </c>
      <c r="WR24">
        <v>0</v>
      </c>
      <c r="WS24">
        <v>0</v>
      </c>
      <c r="WT24">
        <v>0</v>
      </c>
      <c r="WU24">
        <v>0</v>
      </c>
      <c r="WV24">
        <v>0</v>
      </c>
      <c r="WW24">
        <v>0</v>
      </c>
      <c r="WX24">
        <v>0</v>
      </c>
      <c r="WY24">
        <v>0</v>
      </c>
      <c r="WZ24">
        <v>0</v>
      </c>
      <c r="XA24">
        <v>0</v>
      </c>
      <c r="XB24">
        <v>0</v>
      </c>
      <c r="XC24">
        <v>0</v>
      </c>
      <c r="XD24">
        <v>0</v>
      </c>
      <c r="XE24">
        <v>0</v>
      </c>
      <c r="XF24">
        <v>0</v>
      </c>
      <c r="XG24">
        <v>0</v>
      </c>
      <c r="XH24">
        <v>0</v>
      </c>
      <c r="XI24">
        <v>0</v>
      </c>
      <c r="XJ24">
        <v>0</v>
      </c>
      <c r="XK24">
        <v>0</v>
      </c>
      <c r="XL24">
        <v>0</v>
      </c>
      <c r="XM24">
        <v>0</v>
      </c>
      <c r="XN24">
        <v>0</v>
      </c>
      <c r="XO24">
        <v>0</v>
      </c>
      <c r="XP24">
        <v>0</v>
      </c>
      <c r="XQ24">
        <v>0</v>
      </c>
      <c r="XR24">
        <v>0</v>
      </c>
      <c r="XS24">
        <v>0</v>
      </c>
      <c r="XT24">
        <v>0</v>
      </c>
      <c r="XU24">
        <v>0</v>
      </c>
      <c r="XV24">
        <v>0</v>
      </c>
      <c r="XW24">
        <v>0</v>
      </c>
      <c r="XX24">
        <v>0</v>
      </c>
      <c r="XY24">
        <v>0</v>
      </c>
      <c r="XZ24">
        <v>0</v>
      </c>
      <c r="YA24">
        <v>0</v>
      </c>
      <c r="YB24">
        <v>0</v>
      </c>
      <c r="YC24">
        <v>0</v>
      </c>
      <c r="YD24">
        <v>0</v>
      </c>
      <c r="YE24">
        <v>0</v>
      </c>
      <c r="YF24">
        <v>0</v>
      </c>
      <c r="YG24">
        <v>0</v>
      </c>
      <c r="YH24">
        <v>0</v>
      </c>
      <c r="YI24">
        <v>0</v>
      </c>
      <c r="YJ24">
        <v>0</v>
      </c>
      <c r="YK24">
        <v>0</v>
      </c>
      <c r="YL24">
        <v>0</v>
      </c>
      <c r="YM24">
        <v>0</v>
      </c>
      <c r="YN24">
        <v>0</v>
      </c>
      <c r="YO24">
        <v>0</v>
      </c>
      <c r="YP24">
        <v>0</v>
      </c>
      <c r="YQ24">
        <v>0</v>
      </c>
      <c r="YR24">
        <v>0</v>
      </c>
      <c r="YS24">
        <v>0</v>
      </c>
      <c r="YT24">
        <v>0</v>
      </c>
      <c r="YU24">
        <v>0</v>
      </c>
      <c r="YV24">
        <v>0</v>
      </c>
      <c r="YW24">
        <v>0</v>
      </c>
      <c r="YX24">
        <v>0</v>
      </c>
      <c r="YY24">
        <v>0</v>
      </c>
      <c r="YZ24">
        <v>0</v>
      </c>
      <c r="ZA24">
        <v>0</v>
      </c>
      <c r="ZB24">
        <v>0</v>
      </c>
      <c r="ZC24">
        <v>0</v>
      </c>
      <c r="ZD24">
        <v>0</v>
      </c>
      <c r="ZE24">
        <v>0</v>
      </c>
      <c r="ZF24">
        <v>0</v>
      </c>
      <c r="ZG24">
        <v>0</v>
      </c>
      <c r="ZH24">
        <v>0</v>
      </c>
      <c r="ZI24">
        <v>0</v>
      </c>
      <c r="ZJ24">
        <v>0</v>
      </c>
      <c r="ZK24">
        <v>0</v>
      </c>
      <c r="ZL24">
        <v>0</v>
      </c>
      <c r="ZM24">
        <v>0</v>
      </c>
      <c r="ZN24">
        <v>0</v>
      </c>
      <c r="ZO24">
        <v>0</v>
      </c>
      <c r="ZP24">
        <v>0</v>
      </c>
      <c r="ZQ24">
        <v>0</v>
      </c>
      <c r="ZR24">
        <v>0</v>
      </c>
      <c r="ZS24">
        <v>0</v>
      </c>
      <c r="ZT24">
        <v>0</v>
      </c>
      <c r="ZU24">
        <v>0</v>
      </c>
      <c r="ZV24">
        <v>0</v>
      </c>
      <c r="ZW24">
        <v>0</v>
      </c>
      <c r="ZX24">
        <v>0</v>
      </c>
      <c r="ZY24">
        <v>0</v>
      </c>
      <c r="ZZ24">
        <v>0</v>
      </c>
      <c r="AAA24">
        <v>0</v>
      </c>
      <c r="AAB24">
        <v>0</v>
      </c>
      <c r="AAC24">
        <v>0</v>
      </c>
      <c r="AAD24">
        <v>0</v>
      </c>
      <c r="AAE24">
        <v>0</v>
      </c>
      <c r="AAF24">
        <v>0</v>
      </c>
      <c r="AAG24">
        <v>0</v>
      </c>
      <c r="AAH24">
        <v>0</v>
      </c>
      <c r="AAI24">
        <v>0</v>
      </c>
      <c r="AAJ24">
        <v>0</v>
      </c>
      <c r="AAK24">
        <v>0</v>
      </c>
      <c r="AAL24">
        <v>0</v>
      </c>
      <c r="AAM24">
        <v>0</v>
      </c>
      <c r="AAN24">
        <v>0</v>
      </c>
      <c r="AAO24">
        <v>0</v>
      </c>
      <c r="AAP24">
        <v>0</v>
      </c>
      <c r="AAQ24">
        <v>0</v>
      </c>
      <c r="AAR24">
        <v>0</v>
      </c>
      <c r="AAS24">
        <v>0</v>
      </c>
      <c r="AAT24">
        <v>0</v>
      </c>
      <c r="AAU24">
        <v>0</v>
      </c>
      <c r="AAV24">
        <v>0</v>
      </c>
      <c r="AAW24">
        <v>0</v>
      </c>
      <c r="AAX24">
        <v>0</v>
      </c>
      <c r="AAY24">
        <v>0</v>
      </c>
      <c r="AAZ24">
        <v>0</v>
      </c>
      <c r="ABA24">
        <v>0</v>
      </c>
      <c r="ABB24">
        <v>0</v>
      </c>
      <c r="ABC24">
        <v>0</v>
      </c>
      <c r="ABD24">
        <v>0</v>
      </c>
      <c r="ABE24">
        <v>0</v>
      </c>
      <c r="ABG24" s="1137">
        <f t="shared" si="5"/>
        <v>0</v>
      </c>
      <c r="ABH24" s="1137">
        <f t="shared" si="5"/>
        <v>0</v>
      </c>
      <c r="ABI24" s="1137">
        <f t="shared" si="5"/>
        <v>0</v>
      </c>
      <c r="ABJ24" s="1137">
        <f t="shared" si="5"/>
        <v>0</v>
      </c>
      <c r="ABK24" s="1137">
        <f t="shared" si="5"/>
        <v>0</v>
      </c>
      <c r="ABL24" s="1137">
        <f t="shared" si="5"/>
        <v>0</v>
      </c>
      <c r="ABM24" s="1137">
        <f t="shared" si="5"/>
        <v>0</v>
      </c>
      <c r="ABN24" s="1137">
        <f t="shared" si="5"/>
        <v>0</v>
      </c>
      <c r="ABO24" s="1137">
        <f t="shared" si="5"/>
        <v>0</v>
      </c>
      <c r="ABP24" s="1137">
        <f t="shared" si="5"/>
        <v>0</v>
      </c>
      <c r="ABQ24" s="1137">
        <f t="shared" si="5"/>
        <v>0</v>
      </c>
      <c r="ABR24" s="1137">
        <f t="shared" si="5"/>
        <v>0</v>
      </c>
      <c r="ABS24" s="1137">
        <f t="shared" si="5"/>
        <v>0</v>
      </c>
      <c r="ABT24" s="1137">
        <f t="shared" si="5"/>
        <v>0</v>
      </c>
      <c r="ABU24" s="1137">
        <f t="shared" si="5"/>
        <v>0</v>
      </c>
      <c r="ABV24" s="1137">
        <f t="shared" si="5"/>
        <v>0</v>
      </c>
      <c r="ABW24" s="1137">
        <f t="shared" si="7"/>
        <v>0</v>
      </c>
      <c r="ABX24" s="1137">
        <f t="shared" si="7"/>
        <v>0</v>
      </c>
      <c r="ABY24" s="1137">
        <f t="shared" si="7"/>
        <v>0</v>
      </c>
      <c r="ABZ24" s="1137">
        <f t="shared" si="7"/>
        <v>0</v>
      </c>
      <c r="ACA24" s="1137">
        <f t="shared" si="7"/>
        <v>0</v>
      </c>
      <c r="ACB24" s="1137">
        <f t="shared" si="7"/>
        <v>0</v>
      </c>
      <c r="ACC24" s="1137">
        <f t="shared" si="7"/>
        <v>0</v>
      </c>
      <c r="ACD24" s="1137">
        <f t="shared" si="7"/>
        <v>0</v>
      </c>
      <c r="ACE24" s="1137" t="s">
        <v>146</v>
      </c>
      <c r="ACF24" s="1137">
        <f t="shared" si="6"/>
        <v>0</v>
      </c>
      <c r="ACG24" s="1137">
        <f t="shared" si="6"/>
        <v>0</v>
      </c>
      <c r="ACH24" s="1137">
        <f t="shared" si="6"/>
        <v>0</v>
      </c>
      <c r="ACI24" s="1137">
        <f t="shared" si="6"/>
        <v>0</v>
      </c>
      <c r="ACJ24" s="1137">
        <f t="shared" si="6"/>
        <v>0</v>
      </c>
      <c r="ACK24" s="1137">
        <f t="shared" si="6"/>
        <v>0</v>
      </c>
      <c r="ACL24" s="1137">
        <f t="shared" si="6"/>
        <v>0</v>
      </c>
      <c r="ACM24" s="1137">
        <f t="shared" si="6"/>
        <v>0</v>
      </c>
      <c r="ACN24" s="1137">
        <f t="shared" si="6"/>
        <v>0</v>
      </c>
      <c r="ACO24" s="1137">
        <f t="shared" si="6"/>
        <v>0</v>
      </c>
      <c r="ACP24" s="1137">
        <f t="shared" si="6"/>
        <v>0</v>
      </c>
      <c r="ACQ24" s="1137">
        <f t="shared" si="6"/>
        <v>0</v>
      </c>
      <c r="ACR24" s="1137">
        <f t="shared" si="6"/>
        <v>0</v>
      </c>
      <c r="ACS24" s="1137">
        <f t="shared" si="6"/>
        <v>0</v>
      </c>
      <c r="ACT24" s="1137">
        <f t="shared" si="6"/>
        <v>0</v>
      </c>
      <c r="ACU24" s="1137">
        <f t="shared" si="6"/>
        <v>0</v>
      </c>
      <c r="ACV24" s="1137">
        <f t="shared" si="8"/>
        <v>0</v>
      </c>
      <c r="ACW24" s="1137">
        <f t="shared" si="8"/>
        <v>0</v>
      </c>
      <c r="ACX24" s="1137">
        <f t="shared" si="8"/>
        <v>0</v>
      </c>
      <c r="ACY24" s="1137">
        <f t="shared" si="8"/>
        <v>0</v>
      </c>
      <c r="ACZ24" s="1137">
        <f t="shared" si="8"/>
        <v>0</v>
      </c>
      <c r="ADA24" s="1137">
        <f t="shared" si="8"/>
        <v>0</v>
      </c>
      <c r="ADB24" s="1137">
        <f t="shared" si="8"/>
        <v>0</v>
      </c>
      <c r="ADC24" s="1137">
        <f t="shared" si="8"/>
        <v>0</v>
      </c>
    </row>
    <row r="25" spans="1:783" x14ac:dyDescent="0.25">
      <c r="A25" t="s">
        <v>1820</v>
      </c>
      <c r="B25" t="s">
        <v>148</v>
      </c>
      <c r="C25">
        <v>0</v>
      </c>
      <c r="D25">
        <v>0</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v>
      </c>
      <c r="BF25">
        <v>0</v>
      </c>
      <c r="BG25">
        <v>0</v>
      </c>
      <c r="BH25">
        <v>0</v>
      </c>
      <c r="BI25">
        <v>0</v>
      </c>
      <c r="BJ25">
        <v>0</v>
      </c>
      <c r="BK25">
        <v>0</v>
      </c>
      <c r="BL25">
        <v>0</v>
      </c>
      <c r="BM25">
        <v>0</v>
      </c>
      <c r="BN25">
        <v>0</v>
      </c>
      <c r="BO25">
        <v>0</v>
      </c>
      <c r="BP25">
        <v>0</v>
      </c>
      <c r="BQ25">
        <v>0</v>
      </c>
      <c r="BR25">
        <v>0</v>
      </c>
      <c r="BS25">
        <v>0</v>
      </c>
      <c r="BT25">
        <v>0</v>
      </c>
      <c r="BU25">
        <v>0</v>
      </c>
      <c r="BV25">
        <v>0</v>
      </c>
      <c r="BW25">
        <v>0</v>
      </c>
      <c r="BX25">
        <v>0</v>
      </c>
      <c r="BY25">
        <v>0</v>
      </c>
      <c r="BZ25">
        <v>0</v>
      </c>
      <c r="CA25">
        <v>0</v>
      </c>
      <c r="CB25">
        <v>0</v>
      </c>
      <c r="CC25">
        <v>0</v>
      </c>
      <c r="CD25">
        <v>0</v>
      </c>
      <c r="CE25">
        <v>0</v>
      </c>
      <c r="CF25">
        <v>0</v>
      </c>
      <c r="CG25">
        <v>0</v>
      </c>
      <c r="CH25">
        <v>0</v>
      </c>
      <c r="CI25">
        <v>0</v>
      </c>
      <c r="CJ25">
        <v>0</v>
      </c>
      <c r="CK25">
        <v>0</v>
      </c>
      <c r="CL25">
        <v>0</v>
      </c>
      <c r="CM25">
        <v>0</v>
      </c>
      <c r="CN25">
        <v>0</v>
      </c>
      <c r="CO25">
        <v>0</v>
      </c>
      <c r="CP25">
        <v>2</v>
      </c>
      <c r="CQ25">
        <v>2</v>
      </c>
      <c r="CR25">
        <v>2</v>
      </c>
      <c r="CS25">
        <v>2</v>
      </c>
      <c r="CT25">
        <v>2</v>
      </c>
      <c r="CU25">
        <v>2</v>
      </c>
      <c r="CV25">
        <v>2</v>
      </c>
      <c r="CW25">
        <v>2</v>
      </c>
      <c r="CX25">
        <v>2</v>
      </c>
      <c r="CY25">
        <v>2</v>
      </c>
      <c r="CZ25">
        <v>2</v>
      </c>
      <c r="DA25">
        <v>2</v>
      </c>
      <c r="DB25">
        <v>2</v>
      </c>
      <c r="DC25">
        <v>2</v>
      </c>
      <c r="DD25">
        <v>2</v>
      </c>
      <c r="DE25">
        <v>2</v>
      </c>
      <c r="DF25">
        <v>2</v>
      </c>
      <c r="DG25">
        <v>2</v>
      </c>
      <c r="DH25">
        <v>2</v>
      </c>
      <c r="DI25">
        <v>2</v>
      </c>
      <c r="DJ25">
        <v>2</v>
      </c>
      <c r="DK25">
        <v>2</v>
      </c>
      <c r="DL25">
        <v>2</v>
      </c>
      <c r="DM25">
        <v>2</v>
      </c>
      <c r="DN25">
        <v>2</v>
      </c>
      <c r="DO25">
        <v>2</v>
      </c>
      <c r="DP25">
        <v>2</v>
      </c>
      <c r="DQ25">
        <v>2</v>
      </c>
      <c r="DR25">
        <v>2</v>
      </c>
      <c r="DS25">
        <v>2</v>
      </c>
      <c r="DT25">
        <v>2</v>
      </c>
      <c r="DU25">
        <v>2</v>
      </c>
      <c r="DV25">
        <v>2</v>
      </c>
      <c r="DW25">
        <v>2</v>
      </c>
      <c r="DX25">
        <v>2</v>
      </c>
      <c r="DY25">
        <v>2</v>
      </c>
      <c r="DZ25">
        <v>2</v>
      </c>
      <c r="EA25">
        <v>2</v>
      </c>
      <c r="EB25">
        <v>2</v>
      </c>
      <c r="EC25">
        <v>2</v>
      </c>
      <c r="ED25">
        <v>2</v>
      </c>
      <c r="EE25">
        <v>2</v>
      </c>
      <c r="EF25">
        <v>2</v>
      </c>
      <c r="EG25">
        <v>2</v>
      </c>
      <c r="EH25">
        <v>2</v>
      </c>
      <c r="EI25">
        <v>2</v>
      </c>
      <c r="EJ25">
        <v>2</v>
      </c>
      <c r="EK25">
        <v>2</v>
      </c>
      <c r="EL25">
        <v>2</v>
      </c>
      <c r="EM25">
        <v>2</v>
      </c>
      <c r="EN25">
        <v>2</v>
      </c>
      <c r="EO25">
        <v>2</v>
      </c>
      <c r="EP25">
        <v>2</v>
      </c>
      <c r="EQ25">
        <v>2</v>
      </c>
      <c r="ER25">
        <v>2</v>
      </c>
      <c r="ES25">
        <v>2</v>
      </c>
      <c r="ET25">
        <v>2</v>
      </c>
      <c r="EU25">
        <v>2</v>
      </c>
      <c r="EV25">
        <v>2</v>
      </c>
      <c r="EW25">
        <v>2</v>
      </c>
      <c r="EX25">
        <v>2</v>
      </c>
      <c r="EY25">
        <v>1</v>
      </c>
      <c r="EZ25">
        <v>1</v>
      </c>
      <c r="FA25">
        <v>1</v>
      </c>
      <c r="FB25">
        <v>1</v>
      </c>
      <c r="FC25">
        <v>1</v>
      </c>
      <c r="FD25">
        <v>1</v>
      </c>
      <c r="FE25">
        <v>1</v>
      </c>
      <c r="FF25">
        <v>1</v>
      </c>
      <c r="FG25">
        <v>1</v>
      </c>
      <c r="FH25">
        <v>1</v>
      </c>
      <c r="FI25">
        <v>1</v>
      </c>
      <c r="FJ25">
        <v>1</v>
      </c>
      <c r="FK25">
        <v>1</v>
      </c>
      <c r="FL25">
        <v>1</v>
      </c>
      <c r="FM25">
        <v>1</v>
      </c>
      <c r="FN25">
        <v>1</v>
      </c>
      <c r="FO25">
        <v>1</v>
      </c>
      <c r="FP25">
        <v>1</v>
      </c>
      <c r="FQ25">
        <v>1</v>
      </c>
      <c r="FR25">
        <v>1</v>
      </c>
      <c r="FS25">
        <v>1</v>
      </c>
      <c r="FT25">
        <v>1</v>
      </c>
      <c r="FU25">
        <v>1</v>
      </c>
      <c r="FV25">
        <v>1</v>
      </c>
      <c r="FW25">
        <v>1</v>
      </c>
      <c r="FX25">
        <v>1</v>
      </c>
      <c r="FY25">
        <v>1</v>
      </c>
      <c r="FZ25">
        <v>1</v>
      </c>
      <c r="GA25">
        <v>1</v>
      </c>
      <c r="GB25">
        <v>1</v>
      </c>
      <c r="GC25">
        <v>1</v>
      </c>
      <c r="GD25">
        <v>1</v>
      </c>
      <c r="GE25">
        <v>1</v>
      </c>
      <c r="GF25">
        <v>1</v>
      </c>
      <c r="GG25">
        <v>1</v>
      </c>
      <c r="GH25">
        <v>1</v>
      </c>
      <c r="GI25">
        <v>1</v>
      </c>
      <c r="GJ25">
        <v>1</v>
      </c>
      <c r="GK25">
        <v>1</v>
      </c>
      <c r="GL25">
        <v>1</v>
      </c>
      <c r="GM25">
        <v>1</v>
      </c>
      <c r="GN25">
        <v>1</v>
      </c>
      <c r="GO25">
        <v>1</v>
      </c>
      <c r="GP25">
        <v>1</v>
      </c>
      <c r="GQ25">
        <v>1</v>
      </c>
      <c r="GR25">
        <v>1</v>
      </c>
      <c r="GS25">
        <v>1</v>
      </c>
      <c r="GT25">
        <v>1</v>
      </c>
      <c r="GU25">
        <v>1</v>
      </c>
      <c r="GV25">
        <v>1</v>
      </c>
      <c r="GW25">
        <v>1</v>
      </c>
      <c r="GX25">
        <v>1</v>
      </c>
      <c r="GY25">
        <v>1</v>
      </c>
      <c r="GZ25">
        <v>1</v>
      </c>
      <c r="HA25">
        <v>1</v>
      </c>
      <c r="HB25">
        <v>1</v>
      </c>
      <c r="HC25">
        <v>1</v>
      </c>
      <c r="HD25">
        <v>1</v>
      </c>
      <c r="HE25">
        <v>1</v>
      </c>
      <c r="HF25">
        <v>1</v>
      </c>
      <c r="HG25">
        <v>1</v>
      </c>
      <c r="HH25">
        <v>1</v>
      </c>
      <c r="HI25">
        <v>1</v>
      </c>
      <c r="HJ25">
        <v>1</v>
      </c>
      <c r="HK25">
        <v>1</v>
      </c>
      <c r="HL25">
        <v>1</v>
      </c>
      <c r="HM25">
        <v>1</v>
      </c>
      <c r="HN25">
        <v>2</v>
      </c>
      <c r="HO25">
        <v>2</v>
      </c>
      <c r="HP25">
        <v>2</v>
      </c>
      <c r="HQ25">
        <v>2</v>
      </c>
      <c r="HR25">
        <v>2</v>
      </c>
      <c r="HS25">
        <v>2</v>
      </c>
      <c r="HT25">
        <v>2</v>
      </c>
      <c r="HU25">
        <v>2</v>
      </c>
      <c r="HV25">
        <v>2</v>
      </c>
      <c r="HW25">
        <v>2</v>
      </c>
      <c r="HX25">
        <v>2</v>
      </c>
      <c r="HY25">
        <v>2</v>
      </c>
      <c r="HZ25">
        <v>2</v>
      </c>
      <c r="IA25">
        <v>2</v>
      </c>
      <c r="IB25">
        <v>2</v>
      </c>
      <c r="IC25">
        <v>2</v>
      </c>
      <c r="ID25">
        <v>2</v>
      </c>
      <c r="IE25">
        <v>2</v>
      </c>
      <c r="IF25">
        <v>2</v>
      </c>
      <c r="IG25">
        <v>2</v>
      </c>
      <c r="IH25">
        <v>2</v>
      </c>
      <c r="II25">
        <v>2</v>
      </c>
      <c r="IJ25">
        <v>2</v>
      </c>
      <c r="IK25">
        <v>2</v>
      </c>
      <c r="IL25">
        <v>2</v>
      </c>
      <c r="IM25">
        <v>2</v>
      </c>
      <c r="IN25">
        <v>2</v>
      </c>
      <c r="IO25">
        <v>2</v>
      </c>
      <c r="IP25">
        <v>2</v>
      </c>
      <c r="IQ25">
        <v>2</v>
      </c>
      <c r="IR25">
        <v>2</v>
      </c>
      <c r="IS25">
        <v>2</v>
      </c>
      <c r="IT25">
        <v>2</v>
      </c>
      <c r="IU25">
        <v>2</v>
      </c>
      <c r="IV25">
        <v>2</v>
      </c>
      <c r="IW25">
        <v>2</v>
      </c>
      <c r="IX25">
        <v>2</v>
      </c>
      <c r="IY25">
        <v>2</v>
      </c>
      <c r="IZ25">
        <v>2</v>
      </c>
      <c r="JA25">
        <v>2</v>
      </c>
      <c r="JB25">
        <v>2</v>
      </c>
      <c r="JC25">
        <v>2</v>
      </c>
      <c r="JD25">
        <v>2</v>
      </c>
      <c r="JE25">
        <v>2</v>
      </c>
      <c r="JF25">
        <v>2</v>
      </c>
      <c r="JG25">
        <v>2</v>
      </c>
      <c r="JH25">
        <v>2</v>
      </c>
      <c r="JI25">
        <v>2</v>
      </c>
      <c r="JJ25">
        <v>2</v>
      </c>
      <c r="JK25">
        <v>2</v>
      </c>
      <c r="JL25">
        <v>2</v>
      </c>
      <c r="JM25">
        <v>2</v>
      </c>
      <c r="JN25">
        <v>2</v>
      </c>
      <c r="JO25">
        <v>2</v>
      </c>
      <c r="JP25">
        <v>2</v>
      </c>
      <c r="JQ25">
        <v>2</v>
      </c>
      <c r="JR25">
        <v>2</v>
      </c>
      <c r="JS25">
        <v>2</v>
      </c>
      <c r="JT25">
        <v>2</v>
      </c>
      <c r="JU25">
        <v>2</v>
      </c>
      <c r="JV25">
        <v>2</v>
      </c>
      <c r="JW25">
        <v>2</v>
      </c>
      <c r="JX25">
        <v>2</v>
      </c>
      <c r="JY25">
        <v>2</v>
      </c>
      <c r="JZ25">
        <v>2</v>
      </c>
      <c r="KA25">
        <v>2</v>
      </c>
      <c r="KB25">
        <v>2</v>
      </c>
      <c r="KC25">
        <v>2</v>
      </c>
      <c r="KD25">
        <v>2</v>
      </c>
      <c r="KE25">
        <v>2</v>
      </c>
      <c r="KF25">
        <v>2</v>
      </c>
      <c r="KG25">
        <v>2</v>
      </c>
      <c r="KH25">
        <v>2</v>
      </c>
      <c r="KI25">
        <v>2</v>
      </c>
      <c r="KJ25">
        <v>2</v>
      </c>
      <c r="KK25">
        <v>2</v>
      </c>
      <c r="KL25">
        <v>2</v>
      </c>
      <c r="KM25">
        <v>2</v>
      </c>
      <c r="KN25">
        <v>2</v>
      </c>
      <c r="KO25">
        <v>2</v>
      </c>
      <c r="KP25">
        <v>2</v>
      </c>
      <c r="KQ25">
        <v>2</v>
      </c>
      <c r="KR25">
        <v>2</v>
      </c>
      <c r="KS25">
        <v>2</v>
      </c>
      <c r="KT25">
        <v>2</v>
      </c>
      <c r="KU25">
        <v>2</v>
      </c>
      <c r="KV25">
        <v>2</v>
      </c>
      <c r="KW25">
        <v>2</v>
      </c>
      <c r="KX25">
        <v>2</v>
      </c>
      <c r="KY25">
        <v>2</v>
      </c>
      <c r="KZ25">
        <v>2</v>
      </c>
      <c r="LA25">
        <v>2</v>
      </c>
      <c r="LB25">
        <v>2</v>
      </c>
      <c r="LC25">
        <v>2</v>
      </c>
      <c r="LD25">
        <v>2</v>
      </c>
      <c r="LE25">
        <v>2</v>
      </c>
      <c r="LF25">
        <v>2</v>
      </c>
      <c r="LG25">
        <v>2</v>
      </c>
      <c r="LH25">
        <v>2</v>
      </c>
      <c r="LI25">
        <v>2</v>
      </c>
      <c r="LJ25">
        <v>2</v>
      </c>
      <c r="LK25">
        <v>2</v>
      </c>
      <c r="LL25">
        <v>2</v>
      </c>
      <c r="LM25">
        <v>2</v>
      </c>
      <c r="LN25">
        <v>2</v>
      </c>
      <c r="LO25">
        <v>2</v>
      </c>
      <c r="LP25">
        <v>2</v>
      </c>
      <c r="LQ25">
        <v>2</v>
      </c>
      <c r="LR25">
        <v>2</v>
      </c>
      <c r="LS25">
        <v>2</v>
      </c>
      <c r="LT25">
        <v>2</v>
      </c>
      <c r="LU25">
        <v>2</v>
      </c>
      <c r="LV25">
        <v>2</v>
      </c>
      <c r="LW25">
        <v>2</v>
      </c>
      <c r="LX25">
        <v>2</v>
      </c>
      <c r="LY25">
        <v>2</v>
      </c>
      <c r="LZ25">
        <v>2</v>
      </c>
      <c r="MA25">
        <v>2</v>
      </c>
      <c r="MB25">
        <v>2</v>
      </c>
      <c r="MC25">
        <v>2</v>
      </c>
      <c r="MD25">
        <v>2</v>
      </c>
      <c r="ME25">
        <v>2</v>
      </c>
      <c r="MF25">
        <v>2</v>
      </c>
      <c r="MG25">
        <v>2</v>
      </c>
      <c r="MH25">
        <v>2</v>
      </c>
      <c r="MI25">
        <v>2</v>
      </c>
      <c r="MJ25">
        <v>2</v>
      </c>
      <c r="MK25">
        <v>2</v>
      </c>
      <c r="ML25">
        <v>2</v>
      </c>
      <c r="MM25">
        <v>2</v>
      </c>
      <c r="MN25">
        <v>2</v>
      </c>
      <c r="MO25">
        <v>2</v>
      </c>
      <c r="MP25">
        <v>2</v>
      </c>
      <c r="MQ25">
        <v>2</v>
      </c>
      <c r="MR25">
        <v>2</v>
      </c>
      <c r="MS25">
        <v>2</v>
      </c>
      <c r="MT25">
        <v>2</v>
      </c>
      <c r="MU25">
        <v>2</v>
      </c>
      <c r="MV25">
        <v>2</v>
      </c>
      <c r="MW25">
        <v>2</v>
      </c>
      <c r="MX25">
        <v>2</v>
      </c>
      <c r="MY25">
        <v>2</v>
      </c>
      <c r="MZ25">
        <v>2</v>
      </c>
      <c r="NA25">
        <v>2</v>
      </c>
      <c r="NB25">
        <v>2</v>
      </c>
      <c r="NC25">
        <v>2</v>
      </c>
      <c r="ND25">
        <v>2</v>
      </c>
      <c r="NE25">
        <v>2</v>
      </c>
      <c r="NF25">
        <v>2</v>
      </c>
      <c r="NG25">
        <v>2</v>
      </c>
      <c r="NH25">
        <v>2</v>
      </c>
      <c r="NI25">
        <v>2</v>
      </c>
      <c r="NJ25">
        <v>2</v>
      </c>
      <c r="NK25">
        <v>2</v>
      </c>
      <c r="NL25">
        <v>2</v>
      </c>
      <c r="NM25">
        <v>2</v>
      </c>
      <c r="NN25">
        <v>2</v>
      </c>
      <c r="NO25">
        <v>2</v>
      </c>
      <c r="NP25">
        <v>2</v>
      </c>
      <c r="NQ25">
        <v>2</v>
      </c>
      <c r="NR25">
        <v>2</v>
      </c>
      <c r="NS25">
        <v>2</v>
      </c>
      <c r="NT25">
        <v>2</v>
      </c>
      <c r="NU25">
        <v>2</v>
      </c>
      <c r="NV25">
        <v>2</v>
      </c>
      <c r="NW25">
        <v>2</v>
      </c>
      <c r="NX25">
        <v>2</v>
      </c>
      <c r="NY25">
        <v>2</v>
      </c>
      <c r="NZ25">
        <v>2</v>
      </c>
      <c r="OA25">
        <v>2</v>
      </c>
      <c r="OB25">
        <v>2</v>
      </c>
      <c r="OC25">
        <v>2</v>
      </c>
      <c r="OD25">
        <v>2</v>
      </c>
      <c r="OE25">
        <v>2</v>
      </c>
      <c r="OF25">
        <v>2</v>
      </c>
      <c r="OG25">
        <v>2</v>
      </c>
      <c r="OH25">
        <v>2</v>
      </c>
      <c r="OI25">
        <v>2</v>
      </c>
      <c r="OJ25">
        <v>2</v>
      </c>
      <c r="OK25">
        <v>2</v>
      </c>
      <c r="OL25">
        <v>2</v>
      </c>
      <c r="OM25">
        <v>2</v>
      </c>
      <c r="ON25">
        <v>2</v>
      </c>
      <c r="OO25">
        <v>2</v>
      </c>
      <c r="OP25">
        <v>2</v>
      </c>
      <c r="OQ25">
        <v>2</v>
      </c>
      <c r="OR25">
        <v>2</v>
      </c>
      <c r="OS25">
        <v>2</v>
      </c>
      <c r="OT25">
        <v>2</v>
      </c>
      <c r="OU25">
        <v>2</v>
      </c>
      <c r="OV25">
        <v>2</v>
      </c>
      <c r="OW25">
        <v>2</v>
      </c>
      <c r="OX25">
        <v>2</v>
      </c>
      <c r="OY25">
        <v>2</v>
      </c>
      <c r="OZ25">
        <v>2</v>
      </c>
      <c r="PA25">
        <v>2</v>
      </c>
      <c r="PB25">
        <v>2</v>
      </c>
      <c r="PC25">
        <v>2</v>
      </c>
      <c r="PD25">
        <v>2</v>
      </c>
      <c r="PE25">
        <v>1</v>
      </c>
      <c r="PF25">
        <v>1</v>
      </c>
      <c r="PG25">
        <v>1</v>
      </c>
      <c r="PH25">
        <v>1</v>
      </c>
      <c r="PI25">
        <v>1</v>
      </c>
      <c r="PJ25">
        <v>1</v>
      </c>
      <c r="PK25">
        <v>1</v>
      </c>
      <c r="PL25">
        <v>1</v>
      </c>
      <c r="PM25">
        <v>1</v>
      </c>
      <c r="PN25">
        <v>1</v>
      </c>
      <c r="PO25">
        <v>1</v>
      </c>
      <c r="PP25">
        <v>1</v>
      </c>
      <c r="PQ25">
        <v>1</v>
      </c>
      <c r="PR25">
        <v>1</v>
      </c>
      <c r="PS25">
        <v>1</v>
      </c>
      <c r="PT25">
        <v>1</v>
      </c>
      <c r="PU25">
        <v>1</v>
      </c>
      <c r="PV25">
        <v>1</v>
      </c>
      <c r="PW25">
        <v>1</v>
      </c>
      <c r="PX25">
        <v>1</v>
      </c>
      <c r="PY25">
        <v>1</v>
      </c>
      <c r="PZ25">
        <v>1</v>
      </c>
      <c r="QA25">
        <v>1</v>
      </c>
      <c r="QB25">
        <v>1</v>
      </c>
      <c r="QC25">
        <v>1</v>
      </c>
      <c r="QD25">
        <v>1</v>
      </c>
      <c r="QE25">
        <v>1</v>
      </c>
      <c r="QF25">
        <v>1</v>
      </c>
      <c r="QG25">
        <v>1</v>
      </c>
      <c r="QH25">
        <v>1</v>
      </c>
      <c r="QI25">
        <v>1</v>
      </c>
      <c r="QJ25">
        <v>1</v>
      </c>
      <c r="QK25">
        <v>1</v>
      </c>
      <c r="QL25">
        <v>1</v>
      </c>
      <c r="QM25">
        <v>1</v>
      </c>
      <c r="QN25">
        <v>1</v>
      </c>
      <c r="QO25">
        <v>1</v>
      </c>
      <c r="QP25">
        <v>1</v>
      </c>
      <c r="QQ25">
        <v>1</v>
      </c>
      <c r="QR25">
        <v>1</v>
      </c>
      <c r="QS25">
        <v>1</v>
      </c>
      <c r="QT25">
        <v>1</v>
      </c>
      <c r="QU25">
        <v>1</v>
      </c>
      <c r="QV25">
        <v>1</v>
      </c>
      <c r="QW25">
        <v>1</v>
      </c>
      <c r="QX25">
        <v>1</v>
      </c>
      <c r="QY25">
        <v>1</v>
      </c>
      <c r="QZ25">
        <v>1</v>
      </c>
      <c r="RA25">
        <v>1</v>
      </c>
      <c r="RB25">
        <v>1</v>
      </c>
      <c r="RC25">
        <v>1</v>
      </c>
      <c r="RD25">
        <v>1</v>
      </c>
      <c r="RE25">
        <v>1</v>
      </c>
      <c r="RF25">
        <v>1</v>
      </c>
      <c r="RG25">
        <v>1</v>
      </c>
      <c r="RH25">
        <v>1</v>
      </c>
      <c r="RI25">
        <v>1</v>
      </c>
      <c r="RJ25">
        <v>1</v>
      </c>
      <c r="RK25">
        <v>1</v>
      </c>
      <c r="RL25">
        <v>1</v>
      </c>
      <c r="RM25">
        <v>1</v>
      </c>
      <c r="RN25">
        <v>1</v>
      </c>
      <c r="RO25">
        <v>1</v>
      </c>
      <c r="RP25">
        <v>1</v>
      </c>
      <c r="RQ25">
        <v>1</v>
      </c>
      <c r="RR25">
        <v>1</v>
      </c>
      <c r="RS25">
        <v>1</v>
      </c>
      <c r="RT25">
        <v>1</v>
      </c>
      <c r="RU25">
        <v>1</v>
      </c>
      <c r="RV25">
        <v>1</v>
      </c>
      <c r="RW25">
        <v>1</v>
      </c>
      <c r="RX25">
        <v>2</v>
      </c>
      <c r="RY25">
        <v>2</v>
      </c>
      <c r="RZ25">
        <v>2</v>
      </c>
      <c r="SA25">
        <v>2</v>
      </c>
      <c r="SB25">
        <v>2</v>
      </c>
      <c r="SC25">
        <v>2</v>
      </c>
      <c r="SD25">
        <v>2</v>
      </c>
      <c r="SE25">
        <v>2</v>
      </c>
      <c r="SF25">
        <v>2</v>
      </c>
      <c r="SG25">
        <v>2</v>
      </c>
      <c r="SH25">
        <v>2</v>
      </c>
      <c r="SI25">
        <v>2</v>
      </c>
      <c r="SJ25">
        <v>2</v>
      </c>
      <c r="SK25">
        <v>2</v>
      </c>
      <c r="SL25">
        <v>2</v>
      </c>
      <c r="SM25">
        <v>2</v>
      </c>
      <c r="SN25">
        <v>2</v>
      </c>
      <c r="SO25">
        <v>2</v>
      </c>
      <c r="SP25">
        <v>2</v>
      </c>
      <c r="SQ25">
        <v>2</v>
      </c>
      <c r="SR25">
        <v>2</v>
      </c>
      <c r="SS25">
        <v>2</v>
      </c>
      <c r="ST25">
        <v>2</v>
      </c>
      <c r="SU25">
        <v>2</v>
      </c>
      <c r="SV25">
        <v>2</v>
      </c>
      <c r="SW25">
        <v>2</v>
      </c>
      <c r="SX25">
        <v>2</v>
      </c>
      <c r="SY25">
        <v>2</v>
      </c>
      <c r="SZ25">
        <v>2</v>
      </c>
      <c r="TA25">
        <v>2</v>
      </c>
      <c r="TB25">
        <v>2</v>
      </c>
      <c r="TC25">
        <v>2</v>
      </c>
      <c r="TD25">
        <v>2</v>
      </c>
      <c r="TE25">
        <v>2</v>
      </c>
      <c r="TF25">
        <v>2</v>
      </c>
      <c r="TG25">
        <v>2</v>
      </c>
      <c r="TH25">
        <v>2</v>
      </c>
      <c r="TI25">
        <v>2</v>
      </c>
      <c r="TJ25">
        <v>2</v>
      </c>
      <c r="TK25">
        <v>2</v>
      </c>
      <c r="TL25">
        <v>2</v>
      </c>
      <c r="TM25">
        <v>2</v>
      </c>
      <c r="TN25">
        <v>2</v>
      </c>
      <c r="TO25">
        <v>2</v>
      </c>
      <c r="TP25">
        <v>2</v>
      </c>
      <c r="TQ25">
        <v>2</v>
      </c>
      <c r="TR25">
        <v>2</v>
      </c>
      <c r="TS25">
        <v>2</v>
      </c>
      <c r="TT25">
        <v>2</v>
      </c>
      <c r="TU25">
        <v>2</v>
      </c>
      <c r="TV25">
        <v>2</v>
      </c>
      <c r="TW25">
        <v>2</v>
      </c>
      <c r="TX25">
        <v>2</v>
      </c>
      <c r="TY25">
        <v>2</v>
      </c>
      <c r="TZ25">
        <v>2</v>
      </c>
      <c r="UA25">
        <v>2</v>
      </c>
      <c r="UB25">
        <v>2</v>
      </c>
      <c r="UC25">
        <v>2</v>
      </c>
      <c r="UD25">
        <v>2</v>
      </c>
      <c r="UE25">
        <v>2</v>
      </c>
      <c r="UF25">
        <v>2</v>
      </c>
      <c r="UG25">
        <v>2</v>
      </c>
      <c r="UH25">
        <v>2</v>
      </c>
      <c r="UI25">
        <v>2</v>
      </c>
      <c r="UJ25">
        <v>2</v>
      </c>
      <c r="UK25">
        <v>2</v>
      </c>
      <c r="UL25">
        <v>2</v>
      </c>
      <c r="UM25">
        <v>2</v>
      </c>
      <c r="UN25">
        <v>2</v>
      </c>
      <c r="UO25">
        <v>2</v>
      </c>
      <c r="UP25">
        <v>2</v>
      </c>
      <c r="UQ25">
        <v>2</v>
      </c>
      <c r="UR25">
        <v>2</v>
      </c>
      <c r="US25">
        <v>2</v>
      </c>
      <c r="UT25">
        <v>2</v>
      </c>
      <c r="UU25">
        <v>2</v>
      </c>
      <c r="UV25">
        <v>2</v>
      </c>
      <c r="UW25">
        <v>2</v>
      </c>
      <c r="UX25">
        <v>2</v>
      </c>
      <c r="UY25">
        <v>2</v>
      </c>
      <c r="UZ25">
        <v>2</v>
      </c>
      <c r="VA25">
        <v>2</v>
      </c>
      <c r="VB25">
        <v>2</v>
      </c>
      <c r="VC25">
        <v>2</v>
      </c>
      <c r="VD25">
        <v>2</v>
      </c>
      <c r="VE25">
        <v>2</v>
      </c>
      <c r="VF25">
        <v>2</v>
      </c>
      <c r="VG25">
        <v>2</v>
      </c>
      <c r="VH25">
        <v>2</v>
      </c>
      <c r="VI25">
        <v>2</v>
      </c>
      <c r="VJ25">
        <v>2</v>
      </c>
      <c r="VK25">
        <v>2</v>
      </c>
      <c r="VL25">
        <v>2</v>
      </c>
      <c r="VM25">
        <v>2</v>
      </c>
      <c r="VN25">
        <v>2</v>
      </c>
      <c r="VO25">
        <v>2</v>
      </c>
      <c r="VP25">
        <v>2</v>
      </c>
      <c r="VQ25">
        <v>2</v>
      </c>
      <c r="VR25">
        <v>2</v>
      </c>
      <c r="VS25">
        <v>2</v>
      </c>
      <c r="VT25">
        <v>2</v>
      </c>
      <c r="VU25">
        <v>2</v>
      </c>
      <c r="VV25">
        <v>2</v>
      </c>
      <c r="VW25">
        <v>2</v>
      </c>
      <c r="VX25">
        <v>2</v>
      </c>
      <c r="VY25">
        <v>2</v>
      </c>
      <c r="VZ25">
        <v>2</v>
      </c>
      <c r="WA25">
        <v>2</v>
      </c>
      <c r="WB25">
        <v>2</v>
      </c>
      <c r="WC25">
        <v>2</v>
      </c>
      <c r="WD25">
        <v>2</v>
      </c>
      <c r="WE25">
        <v>2</v>
      </c>
      <c r="WF25">
        <v>2</v>
      </c>
      <c r="WG25">
        <v>2</v>
      </c>
      <c r="WH25">
        <v>0</v>
      </c>
      <c r="WI25">
        <v>0</v>
      </c>
      <c r="WJ25">
        <v>0</v>
      </c>
      <c r="WK25">
        <v>0</v>
      </c>
      <c r="WL25">
        <v>0</v>
      </c>
      <c r="WM25">
        <v>0</v>
      </c>
      <c r="WN25">
        <v>0</v>
      </c>
      <c r="WO25">
        <v>0</v>
      </c>
      <c r="WP25">
        <v>0</v>
      </c>
      <c r="WQ25">
        <v>0</v>
      </c>
      <c r="WR25">
        <v>0</v>
      </c>
      <c r="WS25">
        <v>0</v>
      </c>
      <c r="WT25">
        <v>0</v>
      </c>
      <c r="WU25">
        <v>0</v>
      </c>
      <c r="WV25">
        <v>0</v>
      </c>
      <c r="WW25">
        <v>0</v>
      </c>
      <c r="WX25">
        <v>0</v>
      </c>
      <c r="WY25">
        <v>0</v>
      </c>
      <c r="WZ25">
        <v>0</v>
      </c>
      <c r="XA25">
        <v>0</v>
      </c>
      <c r="XB25">
        <v>0</v>
      </c>
      <c r="XC25">
        <v>0</v>
      </c>
      <c r="XD25">
        <v>0</v>
      </c>
      <c r="XE25">
        <v>0</v>
      </c>
      <c r="XF25">
        <v>0</v>
      </c>
      <c r="XG25">
        <v>0</v>
      </c>
      <c r="XH25">
        <v>0</v>
      </c>
      <c r="XI25">
        <v>0</v>
      </c>
      <c r="XJ25">
        <v>0</v>
      </c>
      <c r="XK25">
        <v>0</v>
      </c>
      <c r="XL25">
        <v>0</v>
      </c>
      <c r="XM25">
        <v>0</v>
      </c>
      <c r="XN25">
        <v>0</v>
      </c>
      <c r="XO25">
        <v>0</v>
      </c>
      <c r="XP25">
        <v>0</v>
      </c>
      <c r="XQ25">
        <v>0</v>
      </c>
      <c r="XR25">
        <v>0</v>
      </c>
      <c r="XS25">
        <v>0</v>
      </c>
      <c r="XT25">
        <v>0</v>
      </c>
      <c r="XU25">
        <v>0</v>
      </c>
      <c r="XV25">
        <v>0</v>
      </c>
      <c r="XW25">
        <v>0</v>
      </c>
      <c r="XX25">
        <v>0</v>
      </c>
      <c r="XY25">
        <v>0</v>
      </c>
      <c r="XZ25">
        <v>0</v>
      </c>
      <c r="YA25">
        <v>0</v>
      </c>
      <c r="YB25">
        <v>1</v>
      </c>
      <c r="YC25">
        <v>1</v>
      </c>
      <c r="YD25">
        <v>1</v>
      </c>
      <c r="YE25">
        <v>1</v>
      </c>
      <c r="YF25">
        <v>1</v>
      </c>
      <c r="YG25">
        <v>1</v>
      </c>
      <c r="YH25">
        <v>1</v>
      </c>
      <c r="YI25">
        <v>1</v>
      </c>
      <c r="YJ25">
        <v>1</v>
      </c>
      <c r="YK25">
        <v>1</v>
      </c>
      <c r="YL25">
        <v>1</v>
      </c>
      <c r="YM25">
        <v>1</v>
      </c>
      <c r="YN25">
        <v>1</v>
      </c>
      <c r="YO25">
        <v>1</v>
      </c>
      <c r="YP25">
        <v>1</v>
      </c>
      <c r="YQ25">
        <v>1</v>
      </c>
      <c r="YR25">
        <v>1</v>
      </c>
      <c r="YS25">
        <v>1</v>
      </c>
      <c r="YT25">
        <v>1</v>
      </c>
      <c r="YU25">
        <v>1</v>
      </c>
      <c r="YV25">
        <v>1</v>
      </c>
      <c r="YW25">
        <v>1</v>
      </c>
      <c r="YX25">
        <v>1</v>
      </c>
      <c r="YY25">
        <v>1</v>
      </c>
      <c r="YZ25">
        <v>1</v>
      </c>
      <c r="ZA25">
        <v>1</v>
      </c>
      <c r="ZB25">
        <v>1</v>
      </c>
      <c r="ZC25">
        <v>1</v>
      </c>
      <c r="ZD25">
        <v>1</v>
      </c>
      <c r="ZE25">
        <v>1</v>
      </c>
      <c r="ZF25">
        <v>1</v>
      </c>
      <c r="ZG25">
        <v>1</v>
      </c>
      <c r="ZH25">
        <v>1</v>
      </c>
      <c r="ZI25">
        <v>1</v>
      </c>
      <c r="ZJ25">
        <v>1</v>
      </c>
      <c r="ZK25">
        <v>1</v>
      </c>
      <c r="ZL25">
        <v>1</v>
      </c>
      <c r="ZM25">
        <v>1</v>
      </c>
      <c r="ZN25">
        <v>1</v>
      </c>
      <c r="ZO25">
        <v>1</v>
      </c>
      <c r="ZP25">
        <v>1</v>
      </c>
      <c r="ZQ25">
        <v>1</v>
      </c>
      <c r="ZR25">
        <v>1</v>
      </c>
      <c r="ZS25">
        <v>1</v>
      </c>
      <c r="ZT25">
        <v>1</v>
      </c>
      <c r="ZU25">
        <v>1</v>
      </c>
      <c r="ZV25">
        <v>1</v>
      </c>
      <c r="ZW25">
        <v>1</v>
      </c>
      <c r="ZX25">
        <v>1</v>
      </c>
      <c r="ZY25">
        <v>1</v>
      </c>
      <c r="ZZ25">
        <v>1</v>
      </c>
      <c r="AAA25">
        <v>1</v>
      </c>
      <c r="AAB25">
        <v>1</v>
      </c>
      <c r="AAC25">
        <v>1</v>
      </c>
      <c r="AAD25">
        <v>1</v>
      </c>
      <c r="AAE25">
        <v>1</v>
      </c>
      <c r="AAF25">
        <v>1</v>
      </c>
      <c r="AAG25">
        <v>1</v>
      </c>
      <c r="AAH25">
        <v>1</v>
      </c>
      <c r="AAI25">
        <v>1</v>
      </c>
      <c r="AAJ25">
        <v>1</v>
      </c>
      <c r="AAK25">
        <v>1</v>
      </c>
      <c r="AAL25">
        <v>1</v>
      </c>
      <c r="AAM25">
        <v>1</v>
      </c>
      <c r="AAN25">
        <v>1</v>
      </c>
      <c r="AAO25">
        <v>1</v>
      </c>
      <c r="AAP25">
        <v>1</v>
      </c>
      <c r="AAQ25">
        <v>1</v>
      </c>
      <c r="AAR25">
        <v>1</v>
      </c>
      <c r="AAS25">
        <v>2</v>
      </c>
      <c r="AAT25">
        <v>2</v>
      </c>
      <c r="AAU25">
        <v>2</v>
      </c>
      <c r="AAV25">
        <v>2</v>
      </c>
      <c r="AAW25">
        <v>2</v>
      </c>
      <c r="AAX25">
        <v>2</v>
      </c>
      <c r="AAY25">
        <v>2</v>
      </c>
      <c r="AAZ25">
        <v>2</v>
      </c>
      <c r="ABA25">
        <v>2</v>
      </c>
      <c r="ABB25">
        <v>2</v>
      </c>
      <c r="ABC25">
        <v>2</v>
      </c>
      <c r="ABD25">
        <v>2</v>
      </c>
      <c r="ABE25">
        <v>2</v>
      </c>
      <c r="ABG25" s="1137">
        <f t="shared" si="5"/>
        <v>0</v>
      </c>
      <c r="ABH25" s="1137">
        <f t="shared" si="5"/>
        <v>0</v>
      </c>
      <c r="ABI25" s="1137">
        <f t="shared" si="5"/>
        <v>0</v>
      </c>
      <c r="ABJ25" s="1137">
        <f t="shared" si="5"/>
        <v>30</v>
      </c>
      <c r="ABK25" s="1137">
        <f t="shared" si="5"/>
        <v>31</v>
      </c>
      <c r="ABL25" s="1137">
        <f t="shared" si="5"/>
        <v>30</v>
      </c>
      <c r="ABM25" s="1137">
        <f t="shared" si="5"/>
        <v>31</v>
      </c>
      <c r="ABN25" s="1137">
        <f t="shared" si="5"/>
        <v>31</v>
      </c>
      <c r="ABO25" s="1137">
        <f t="shared" si="5"/>
        <v>30</v>
      </c>
      <c r="ABP25" s="1137">
        <f t="shared" si="5"/>
        <v>31</v>
      </c>
      <c r="ABQ25" s="1137">
        <f t="shared" si="5"/>
        <v>30</v>
      </c>
      <c r="ABR25" s="1137">
        <f t="shared" si="5"/>
        <v>31</v>
      </c>
      <c r="ABS25" s="1137">
        <f t="shared" si="5"/>
        <v>31</v>
      </c>
      <c r="ABT25" s="1137">
        <f t="shared" si="5"/>
        <v>28</v>
      </c>
      <c r="ABU25" s="1137">
        <f t="shared" si="5"/>
        <v>31</v>
      </c>
      <c r="ABV25" s="1137">
        <f t="shared" si="5"/>
        <v>30</v>
      </c>
      <c r="ABW25" s="1137">
        <f t="shared" si="7"/>
        <v>31</v>
      </c>
      <c r="ABX25" s="1137">
        <f t="shared" si="7"/>
        <v>30</v>
      </c>
      <c r="ABY25" s="1137">
        <f t="shared" si="7"/>
        <v>31</v>
      </c>
      <c r="ABZ25" s="1137">
        <f t="shared" si="7"/>
        <v>25</v>
      </c>
      <c r="ACA25" s="1137">
        <f t="shared" si="7"/>
        <v>0</v>
      </c>
      <c r="ACB25" s="1137">
        <f t="shared" si="7"/>
        <v>21</v>
      </c>
      <c r="ACC25" s="1137">
        <f t="shared" si="7"/>
        <v>30</v>
      </c>
      <c r="ACD25" s="1137">
        <f t="shared" si="7"/>
        <v>31</v>
      </c>
      <c r="ACE25" s="1137" t="s">
        <v>148</v>
      </c>
      <c r="ACF25" s="1137">
        <f t="shared" si="6"/>
        <v>0</v>
      </c>
      <c r="ACG25" s="1137">
        <f t="shared" si="6"/>
        <v>0</v>
      </c>
      <c r="ACH25" s="1137">
        <f t="shared" si="6"/>
        <v>0</v>
      </c>
      <c r="ACI25" s="1137">
        <f t="shared" si="6"/>
        <v>1</v>
      </c>
      <c r="ACJ25" s="1137">
        <f t="shared" si="6"/>
        <v>1</v>
      </c>
      <c r="ACK25" s="1137">
        <f t="shared" si="6"/>
        <v>1</v>
      </c>
      <c r="ACL25" s="1137">
        <f t="shared" si="6"/>
        <v>1</v>
      </c>
      <c r="ACM25" s="1137">
        <f t="shared" si="6"/>
        <v>1</v>
      </c>
      <c r="ACN25" s="1137">
        <f t="shared" si="6"/>
        <v>1</v>
      </c>
      <c r="ACO25" s="1137">
        <f t="shared" si="6"/>
        <v>1</v>
      </c>
      <c r="ACP25" s="1137">
        <f t="shared" si="6"/>
        <v>1</v>
      </c>
      <c r="ACQ25" s="1137">
        <f t="shared" si="6"/>
        <v>1</v>
      </c>
      <c r="ACR25" s="1137">
        <f t="shared" si="6"/>
        <v>1</v>
      </c>
      <c r="ACS25" s="1137">
        <f t="shared" si="6"/>
        <v>1</v>
      </c>
      <c r="ACT25" s="1137">
        <f t="shared" si="6"/>
        <v>1</v>
      </c>
      <c r="ACU25" s="1137">
        <f t="shared" si="6"/>
        <v>1</v>
      </c>
      <c r="ACV25" s="1137">
        <f t="shared" si="8"/>
        <v>1</v>
      </c>
      <c r="ACW25" s="1137">
        <f t="shared" si="8"/>
        <v>1</v>
      </c>
      <c r="ACX25" s="1137">
        <f t="shared" si="8"/>
        <v>1</v>
      </c>
      <c r="ACY25" s="1137">
        <f t="shared" si="8"/>
        <v>1</v>
      </c>
      <c r="ACZ25" s="1137">
        <f t="shared" si="8"/>
        <v>0</v>
      </c>
      <c r="ADA25" s="1137">
        <f t="shared" si="8"/>
        <v>1</v>
      </c>
      <c r="ADB25" s="1137">
        <f t="shared" si="8"/>
        <v>1</v>
      </c>
      <c r="ADC25" s="1137">
        <f t="shared" si="8"/>
        <v>1</v>
      </c>
    </row>
    <row r="26" spans="1:783" x14ac:dyDescent="0.25">
      <c r="A26" t="s">
        <v>1821</v>
      </c>
      <c r="B26" t="s">
        <v>149</v>
      </c>
      <c r="C26">
        <v>0</v>
      </c>
      <c r="D26">
        <v>0</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v>0</v>
      </c>
      <c r="BI26">
        <v>0</v>
      </c>
      <c r="BJ26">
        <v>0</v>
      </c>
      <c r="BK26">
        <v>0</v>
      </c>
      <c r="BL26">
        <v>0</v>
      </c>
      <c r="BM26">
        <v>0</v>
      </c>
      <c r="BN26">
        <v>0</v>
      </c>
      <c r="BO26">
        <v>0</v>
      </c>
      <c r="BP26">
        <v>0</v>
      </c>
      <c r="BQ26">
        <v>0</v>
      </c>
      <c r="BR26">
        <v>0</v>
      </c>
      <c r="BS26">
        <v>0</v>
      </c>
      <c r="BT26">
        <v>0</v>
      </c>
      <c r="BU26">
        <v>0</v>
      </c>
      <c r="BV26">
        <v>0</v>
      </c>
      <c r="BW26">
        <v>0</v>
      </c>
      <c r="BX26">
        <v>0</v>
      </c>
      <c r="BY26">
        <v>0</v>
      </c>
      <c r="BZ26">
        <v>0</v>
      </c>
      <c r="CA26">
        <v>0</v>
      </c>
      <c r="CB26">
        <v>0</v>
      </c>
      <c r="CC26">
        <v>0</v>
      </c>
      <c r="CD26">
        <v>0</v>
      </c>
      <c r="CE26">
        <v>0</v>
      </c>
      <c r="CF26">
        <v>0</v>
      </c>
      <c r="CG26">
        <v>0</v>
      </c>
      <c r="CH26">
        <v>0</v>
      </c>
      <c r="CI26">
        <v>0</v>
      </c>
      <c r="CJ26">
        <v>0</v>
      </c>
      <c r="CK26">
        <v>0</v>
      </c>
      <c r="CL26">
        <v>0</v>
      </c>
      <c r="CM26">
        <v>0</v>
      </c>
      <c r="CN26">
        <v>0</v>
      </c>
      <c r="CO26">
        <v>0</v>
      </c>
      <c r="CP26">
        <v>0</v>
      </c>
      <c r="CQ26">
        <v>0</v>
      </c>
      <c r="CR26">
        <v>0</v>
      </c>
      <c r="CS26">
        <v>2</v>
      </c>
      <c r="CT26">
        <v>2</v>
      </c>
      <c r="CU26">
        <v>2</v>
      </c>
      <c r="CV26">
        <v>2</v>
      </c>
      <c r="CW26">
        <v>2</v>
      </c>
      <c r="CX26">
        <v>2</v>
      </c>
      <c r="CY26">
        <v>2</v>
      </c>
      <c r="CZ26">
        <v>2</v>
      </c>
      <c r="DA26">
        <v>2</v>
      </c>
      <c r="DB26">
        <v>2</v>
      </c>
      <c r="DC26">
        <v>2</v>
      </c>
      <c r="DD26">
        <v>2</v>
      </c>
      <c r="DE26">
        <v>2</v>
      </c>
      <c r="DF26">
        <v>2</v>
      </c>
      <c r="DG26">
        <v>2</v>
      </c>
      <c r="DH26">
        <v>2</v>
      </c>
      <c r="DI26">
        <v>2</v>
      </c>
      <c r="DJ26">
        <v>2</v>
      </c>
      <c r="DK26">
        <v>2</v>
      </c>
      <c r="DL26">
        <v>2</v>
      </c>
      <c r="DM26">
        <v>2</v>
      </c>
      <c r="DN26">
        <v>2</v>
      </c>
      <c r="DO26">
        <v>2</v>
      </c>
      <c r="DP26">
        <v>2</v>
      </c>
      <c r="DQ26">
        <v>2</v>
      </c>
      <c r="DR26">
        <v>2</v>
      </c>
      <c r="DS26">
        <v>2</v>
      </c>
      <c r="DT26">
        <v>2</v>
      </c>
      <c r="DU26">
        <v>1</v>
      </c>
      <c r="DV26">
        <v>1</v>
      </c>
      <c r="DW26">
        <v>1</v>
      </c>
      <c r="DX26">
        <v>1</v>
      </c>
      <c r="DY26">
        <v>1</v>
      </c>
      <c r="DZ26">
        <v>1</v>
      </c>
      <c r="EA26">
        <v>1</v>
      </c>
      <c r="EB26">
        <v>1</v>
      </c>
      <c r="EC26">
        <v>1</v>
      </c>
      <c r="ED26">
        <v>1</v>
      </c>
      <c r="EE26">
        <v>1</v>
      </c>
      <c r="EF26">
        <v>1</v>
      </c>
      <c r="EG26">
        <v>1</v>
      </c>
      <c r="EH26">
        <v>1</v>
      </c>
      <c r="EI26">
        <v>1</v>
      </c>
      <c r="EJ26">
        <v>1</v>
      </c>
      <c r="EK26">
        <v>1</v>
      </c>
      <c r="EL26">
        <v>1</v>
      </c>
      <c r="EM26">
        <v>1</v>
      </c>
      <c r="EN26">
        <v>1</v>
      </c>
      <c r="EO26">
        <v>1</v>
      </c>
      <c r="EP26">
        <v>1</v>
      </c>
      <c r="EQ26">
        <v>1</v>
      </c>
      <c r="ER26">
        <v>1</v>
      </c>
      <c r="ES26">
        <v>1</v>
      </c>
      <c r="ET26">
        <v>1</v>
      </c>
      <c r="EU26">
        <v>1</v>
      </c>
      <c r="EV26">
        <v>1</v>
      </c>
      <c r="EW26">
        <v>1</v>
      </c>
      <c r="EX26">
        <v>1</v>
      </c>
      <c r="EY26">
        <v>1</v>
      </c>
      <c r="EZ26">
        <v>1</v>
      </c>
      <c r="FA26">
        <v>1</v>
      </c>
      <c r="FB26">
        <v>1</v>
      </c>
      <c r="FC26">
        <v>1</v>
      </c>
      <c r="FD26">
        <v>1</v>
      </c>
      <c r="FE26">
        <v>1</v>
      </c>
      <c r="FF26">
        <v>1</v>
      </c>
      <c r="FG26">
        <v>1</v>
      </c>
      <c r="FH26">
        <v>1</v>
      </c>
      <c r="FI26">
        <v>1</v>
      </c>
      <c r="FJ26">
        <v>1</v>
      </c>
      <c r="FK26">
        <v>1</v>
      </c>
      <c r="FL26">
        <v>1</v>
      </c>
      <c r="FM26">
        <v>1</v>
      </c>
      <c r="FN26">
        <v>1</v>
      </c>
      <c r="FO26">
        <v>1</v>
      </c>
      <c r="FP26">
        <v>1</v>
      </c>
      <c r="FQ26">
        <v>1</v>
      </c>
      <c r="FR26">
        <v>1</v>
      </c>
      <c r="FS26">
        <v>1</v>
      </c>
      <c r="FT26">
        <v>1</v>
      </c>
      <c r="FU26">
        <v>1</v>
      </c>
      <c r="FV26">
        <v>1</v>
      </c>
      <c r="FW26">
        <v>1</v>
      </c>
      <c r="FX26">
        <v>1</v>
      </c>
      <c r="FY26">
        <v>1</v>
      </c>
      <c r="FZ26">
        <v>1</v>
      </c>
      <c r="GA26">
        <v>1</v>
      </c>
      <c r="GB26">
        <v>1</v>
      </c>
      <c r="GC26">
        <v>1</v>
      </c>
      <c r="GD26">
        <v>1</v>
      </c>
      <c r="GE26">
        <v>1</v>
      </c>
      <c r="GF26">
        <v>1</v>
      </c>
      <c r="GG26">
        <v>1</v>
      </c>
      <c r="GH26">
        <v>1</v>
      </c>
      <c r="GI26">
        <v>1</v>
      </c>
      <c r="GJ26">
        <v>1</v>
      </c>
      <c r="GK26">
        <v>1</v>
      </c>
      <c r="GL26">
        <v>1</v>
      </c>
      <c r="GM26">
        <v>1</v>
      </c>
      <c r="GN26">
        <v>1</v>
      </c>
      <c r="GO26">
        <v>1</v>
      </c>
      <c r="GP26">
        <v>1</v>
      </c>
      <c r="GQ26">
        <v>1</v>
      </c>
      <c r="GR26">
        <v>1</v>
      </c>
      <c r="GS26">
        <v>1</v>
      </c>
      <c r="GT26">
        <v>1</v>
      </c>
      <c r="GU26">
        <v>1</v>
      </c>
      <c r="GV26">
        <v>1</v>
      </c>
      <c r="GW26">
        <v>1</v>
      </c>
      <c r="GX26">
        <v>1</v>
      </c>
      <c r="GY26">
        <v>1</v>
      </c>
      <c r="GZ26">
        <v>1</v>
      </c>
      <c r="HA26">
        <v>1</v>
      </c>
      <c r="HB26">
        <v>1</v>
      </c>
      <c r="HC26">
        <v>1</v>
      </c>
      <c r="HD26">
        <v>1</v>
      </c>
      <c r="HE26">
        <v>1</v>
      </c>
      <c r="HF26">
        <v>1</v>
      </c>
      <c r="HG26">
        <v>1</v>
      </c>
      <c r="HH26">
        <v>1</v>
      </c>
      <c r="HI26">
        <v>1</v>
      </c>
      <c r="HJ26">
        <v>1</v>
      </c>
      <c r="HK26">
        <v>1</v>
      </c>
      <c r="HL26">
        <v>1</v>
      </c>
      <c r="HM26">
        <v>1</v>
      </c>
      <c r="HN26">
        <v>1</v>
      </c>
      <c r="HO26">
        <v>1</v>
      </c>
      <c r="HP26">
        <v>1</v>
      </c>
      <c r="HQ26">
        <v>1</v>
      </c>
      <c r="HR26">
        <v>1</v>
      </c>
      <c r="HS26">
        <v>1</v>
      </c>
      <c r="HT26">
        <v>1</v>
      </c>
      <c r="HU26">
        <v>1</v>
      </c>
      <c r="HV26">
        <v>1</v>
      </c>
      <c r="HW26">
        <v>1</v>
      </c>
      <c r="HX26">
        <v>1</v>
      </c>
      <c r="HY26">
        <v>1</v>
      </c>
      <c r="HZ26">
        <v>1</v>
      </c>
      <c r="IA26">
        <v>1</v>
      </c>
      <c r="IB26">
        <v>1</v>
      </c>
      <c r="IC26">
        <v>1</v>
      </c>
      <c r="ID26">
        <v>1</v>
      </c>
      <c r="IE26">
        <v>1</v>
      </c>
      <c r="IF26">
        <v>1</v>
      </c>
      <c r="IG26">
        <v>1</v>
      </c>
      <c r="IH26">
        <v>1</v>
      </c>
      <c r="II26">
        <v>1</v>
      </c>
      <c r="IJ26">
        <v>1</v>
      </c>
      <c r="IK26">
        <v>1</v>
      </c>
      <c r="IL26">
        <v>1</v>
      </c>
      <c r="IM26">
        <v>1</v>
      </c>
      <c r="IN26">
        <v>1</v>
      </c>
      <c r="IO26">
        <v>1</v>
      </c>
      <c r="IP26">
        <v>1</v>
      </c>
      <c r="IQ26">
        <v>0</v>
      </c>
      <c r="IR26">
        <v>0</v>
      </c>
      <c r="IS26">
        <v>0</v>
      </c>
      <c r="IT26">
        <v>0</v>
      </c>
      <c r="IU26">
        <v>0</v>
      </c>
      <c r="IV26">
        <v>0</v>
      </c>
      <c r="IW26">
        <v>0</v>
      </c>
      <c r="IX26">
        <v>0</v>
      </c>
      <c r="IY26">
        <v>0</v>
      </c>
      <c r="IZ26">
        <v>0</v>
      </c>
      <c r="JA26">
        <v>0</v>
      </c>
      <c r="JB26">
        <v>0</v>
      </c>
      <c r="JC26">
        <v>0</v>
      </c>
      <c r="JD26">
        <v>0</v>
      </c>
      <c r="JE26">
        <v>0</v>
      </c>
      <c r="JF26">
        <v>0</v>
      </c>
      <c r="JG26">
        <v>0</v>
      </c>
      <c r="JH26">
        <v>0</v>
      </c>
      <c r="JI26">
        <v>0</v>
      </c>
      <c r="JJ26">
        <v>0</v>
      </c>
      <c r="JK26">
        <v>0</v>
      </c>
      <c r="JL26">
        <v>0</v>
      </c>
      <c r="JM26">
        <v>0</v>
      </c>
      <c r="JN26">
        <v>0</v>
      </c>
      <c r="JO26">
        <v>0</v>
      </c>
      <c r="JP26">
        <v>0</v>
      </c>
      <c r="JQ26">
        <v>0</v>
      </c>
      <c r="JR26">
        <v>0</v>
      </c>
      <c r="JS26">
        <v>0</v>
      </c>
      <c r="JT26">
        <v>0</v>
      </c>
      <c r="JU26">
        <v>0</v>
      </c>
      <c r="JV26">
        <v>0</v>
      </c>
      <c r="JW26">
        <v>0</v>
      </c>
      <c r="JX26">
        <v>0</v>
      </c>
      <c r="JY26">
        <v>0</v>
      </c>
      <c r="JZ26">
        <v>0</v>
      </c>
      <c r="KA26">
        <v>0</v>
      </c>
      <c r="KB26">
        <v>0</v>
      </c>
      <c r="KC26">
        <v>0</v>
      </c>
      <c r="KD26">
        <v>0</v>
      </c>
      <c r="KE26">
        <v>0</v>
      </c>
      <c r="KF26">
        <v>0</v>
      </c>
      <c r="KG26">
        <v>0</v>
      </c>
      <c r="KH26">
        <v>0</v>
      </c>
      <c r="KI26">
        <v>0</v>
      </c>
      <c r="KJ26">
        <v>0</v>
      </c>
      <c r="KK26">
        <v>0</v>
      </c>
      <c r="KL26">
        <v>0</v>
      </c>
      <c r="KM26">
        <v>0</v>
      </c>
      <c r="KN26">
        <v>0</v>
      </c>
      <c r="KO26">
        <v>0</v>
      </c>
      <c r="KP26">
        <v>0</v>
      </c>
      <c r="KQ26">
        <v>0</v>
      </c>
      <c r="KR26">
        <v>0</v>
      </c>
      <c r="KS26">
        <v>0</v>
      </c>
      <c r="KT26">
        <v>0</v>
      </c>
      <c r="KU26">
        <v>0</v>
      </c>
      <c r="KV26">
        <v>0</v>
      </c>
      <c r="KW26">
        <v>0</v>
      </c>
      <c r="KX26">
        <v>0</v>
      </c>
      <c r="KY26">
        <v>0</v>
      </c>
      <c r="KZ26">
        <v>0</v>
      </c>
      <c r="LA26">
        <v>0</v>
      </c>
      <c r="LB26">
        <v>0</v>
      </c>
      <c r="LC26">
        <v>0</v>
      </c>
      <c r="LD26">
        <v>0</v>
      </c>
      <c r="LE26">
        <v>0</v>
      </c>
      <c r="LF26">
        <v>0</v>
      </c>
      <c r="LG26">
        <v>0</v>
      </c>
      <c r="LH26">
        <v>0</v>
      </c>
      <c r="LI26">
        <v>0</v>
      </c>
      <c r="LJ26">
        <v>0</v>
      </c>
      <c r="LK26">
        <v>0</v>
      </c>
      <c r="LL26">
        <v>0</v>
      </c>
      <c r="LM26">
        <v>0</v>
      </c>
      <c r="LN26">
        <v>0</v>
      </c>
      <c r="LO26">
        <v>0</v>
      </c>
      <c r="LP26">
        <v>0</v>
      </c>
      <c r="LQ26">
        <v>0</v>
      </c>
      <c r="LR26">
        <v>0</v>
      </c>
      <c r="LS26">
        <v>0</v>
      </c>
      <c r="LT26">
        <v>0</v>
      </c>
      <c r="LU26">
        <v>0</v>
      </c>
      <c r="LV26">
        <v>0</v>
      </c>
      <c r="LW26">
        <v>0</v>
      </c>
      <c r="LX26">
        <v>0</v>
      </c>
      <c r="LY26">
        <v>0</v>
      </c>
      <c r="LZ26">
        <v>0</v>
      </c>
      <c r="MA26">
        <v>0</v>
      </c>
      <c r="MB26">
        <v>0</v>
      </c>
      <c r="MC26">
        <v>0</v>
      </c>
      <c r="MD26">
        <v>0</v>
      </c>
      <c r="ME26">
        <v>0</v>
      </c>
      <c r="MF26">
        <v>0</v>
      </c>
      <c r="MG26">
        <v>0</v>
      </c>
      <c r="MH26">
        <v>0</v>
      </c>
      <c r="MI26">
        <v>0</v>
      </c>
      <c r="MJ26">
        <v>0</v>
      </c>
      <c r="MK26">
        <v>0</v>
      </c>
      <c r="ML26">
        <v>0</v>
      </c>
      <c r="MM26">
        <v>0</v>
      </c>
      <c r="MN26">
        <v>0</v>
      </c>
      <c r="MO26">
        <v>0</v>
      </c>
      <c r="MP26">
        <v>0</v>
      </c>
      <c r="MQ26">
        <v>0</v>
      </c>
      <c r="MR26">
        <v>0</v>
      </c>
      <c r="MS26">
        <v>0</v>
      </c>
      <c r="MT26">
        <v>0</v>
      </c>
      <c r="MU26">
        <v>0</v>
      </c>
      <c r="MV26">
        <v>0</v>
      </c>
      <c r="MW26">
        <v>0</v>
      </c>
      <c r="MX26">
        <v>0</v>
      </c>
      <c r="MY26">
        <v>0</v>
      </c>
      <c r="MZ26">
        <v>0</v>
      </c>
      <c r="NA26">
        <v>0</v>
      </c>
      <c r="NB26">
        <v>0</v>
      </c>
      <c r="NC26">
        <v>0</v>
      </c>
      <c r="ND26">
        <v>0</v>
      </c>
      <c r="NE26">
        <v>0</v>
      </c>
      <c r="NF26">
        <v>0</v>
      </c>
      <c r="NG26">
        <v>0</v>
      </c>
      <c r="NH26">
        <v>0</v>
      </c>
      <c r="NI26">
        <v>0</v>
      </c>
      <c r="NJ26">
        <v>0</v>
      </c>
      <c r="NK26">
        <v>0</v>
      </c>
      <c r="NL26">
        <v>0</v>
      </c>
      <c r="NM26">
        <v>0</v>
      </c>
      <c r="NN26">
        <v>0</v>
      </c>
      <c r="NO26">
        <v>0</v>
      </c>
      <c r="NP26">
        <v>0</v>
      </c>
      <c r="NQ26">
        <v>0</v>
      </c>
      <c r="NR26">
        <v>0</v>
      </c>
      <c r="NS26">
        <v>0</v>
      </c>
      <c r="NT26">
        <v>0</v>
      </c>
      <c r="NU26">
        <v>0</v>
      </c>
      <c r="NV26">
        <v>0</v>
      </c>
      <c r="NW26">
        <v>0</v>
      </c>
      <c r="NX26">
        <v>0</v>
      </c>
      <c r="NY26">
        <v>0</v>
      </c>
      <c r="NZ26">
        <v>0</v>
      </c>
      <c r="OA26">
        <v>0</v>
      </c>
      <c r="OB26">
        <v>0</v>
      </c>
      <c r="OC26">
        <v>0</v>
      </c>
      <c r="OD26">
        <v>0</v>
      </c>
      <c r="OE26">
        <v>0</v>
      </c>
      <c r="OF26">
        <v>0</v>
      </c>
      <c r="OG26">
        <v>0</v>
      </c>
      <c r="OH26">
        <v>0</v>
      </c>
      <c r="OI26">
        <v>0</v>
      </c>
      <c r="OJ26">
        <v>0</v>
      </c>
      <c r="OK26">
        <v>0</v>
      </c>
      <c r="OL26">
        <v>0</v>
      </c>
      <c r="OM26">
        <v>0</v>
      </c>
      <c r="ON26">
        <v>0</v>
      </c>
      <c r="OO26">
        <v>0</v>
      </c>
      <c r="OP26">
        <v>0</v>
      </c>
      <c r="OQ26">
        <v>0</v>
      </c>
      <c r="OR26">
        <v>0</v>
      </c>
      <c r="OS26">
        <v>0</v>
      </c>
      <c r="OT26">
        <v>0</v>
      </c>
      <c r="OU26">
        <v>0</v>
      </c>
      <c r="OV26">
        <v>0</v>
      </c>
      <c r="OW26">
        <v>0</v>
      </c>
      <c r="OX26">
        <v>0</v>
      </c>
      <c r="OY26">
        <v>0</v>
      </c>
      <c r="OZ26">
        <v>0</v>
      </c>
      <c r="PA26">
        <v>0</v>
      </c>
      <c r="PB26">
        <v>0</v>
      </c>
      <c r="PC26">
        <v>0</v>
      </c>
      <c r="PD26">
        <v>0</v>
      </c>
      <c r="PE26">
        <v>0</v>
      </c>
      <c r="PF26">
        <v>0</v>
      </c>
      <c r="PG26">
        <v>0</v>
      </c>
      <c r="PH26">
        <v>0</v>
      </c>
      <c r="PI26">
        <v>0</v>
      </c>
      <c r="PJ26">
        <v>0</v>
      </c>
      <c r="PK26">
        <v>0</v>
      </c>
      <c r="PL26">
        <v>0</v>
      </c>
      <c r="PM26">
        <v>0</v>
      </c>
      <c r="PN26">
        <v>0</v>
      </c>
      <c r="PO26">
        <v>0</v>
      </c>
      <c r="PP26">
        <v>0</v>
      </c>
      <c r="PQ26">
        <v>0</v>
      </c>
      <c r="PR26">
        <v>0</v>
      </c>
      <c r="PS26">
        <v>0</v>
      </c>
      <c r="PT26">
        <v>0</v>
      </c>
      <c r="PU26">
        <v>0</v>
      </c>
      <c r="PV26">
        <v>0</v>
      </c>
      <c r="PW26">
        <v>0</v>
      </c>
      <c r="PX26">
        <v>0</v>
      </c>
      <c r="PY26">
        <v>0</v>
      </c>
      <c r="PZ26">
        <v>0</v>
      </c>
      <c r="QA26">
        <v>0</v>
      </c>
      <c r="QB26">
        <v>0</v>
      </c>
      <c r="QC26">
        <v>0</v>
      </c>
      <c r="QD26">
        <v>0</v>
      </c>
      <c r="QE26">
        <v>0</v>
      </c>
      <c r="QF26">
        <v>0</v>
      </c>
      <c r="QG26">
        <v>0</v>
      </c>
      <c r="QH26">
        <v>0</v>
      </c>
      <c r="QI26">
        <v>0</v>
      </c>
      <c r="QJ26">
        <v>0</v>
      </c>
      <c r="QK26">
        <v>0</v>
      </c>
      <c r="QL26">
        <v>0</v>
      </c>
      <c r="QM26">
        <v>0</v>
      </c>
      <c r="QN26">
        <v>0</v>
      </c>
      <c r="QO26">
        <v>0</v>
      </c>
      <c r="QP26">
        <v>0</v>
      </c>
      <c r="QQ26">
        <v>0</v>
      </c>
      <c r="QR26">
        <v>0</v>
      </c>
      <c r="QS26">
        <v>0</v>
      </c>
      <c r="QT26">
        <v>0</v>
      </c>
      <c r="QU26">
        <v>0</v>
      </c>
      <c r="QV26">
        <v>0</v>
      </c>
      <c r="QW26">
        <v>0</v>
      </c>
      <c r="QX26">
        <v>0</v>
      </c>
      <c r="QY26">
        <v>0</v>
      </c>
      <c r="QZ26">
        <v>0</v>
      </c>
      <c r="RA26">
        <v>0</v>
      </c>
      <c r="RB26">
        <v>0</v>
      </c>
      <c r="RC26">
        <v>0</v>
      </c>
      <c r="RD26">
        <v>0</v>
      </c>
      <c r="RE26">
        <v>0</v>
      </c>
      <c r="RF26">
        <v>0</v>
      </c>
      <c r="RG26">
        <v>0</v>
      </c>
      <c r="RH26">
        <v>0</v>
      </c>
      <c r="RI26">
        <v>0</v>
      </c>
      <c r="RJ26">
        <v>0</v>
      </c>
      <c r="RK26">
        <v>0</v>
      </c>
      <c r="RL26">
        <v>0</v>
      </c>
      <c r="RM26">
        <v>0</v>
      </c>
      <c r="RN26">
        <v>0</v>
      </c>
      <c r="RO26">
        <v>0</v>
      </c>
      <c r="RP26">
        <v>0</v>
      </c>
      <c r="RQ26">
        <v>0</v>
      </c>
      <c r="RR26">
        <v>0</v>
      </c>
      <c r="RS26">
        <v>0</v>
      </c>
      <c r="RT26">
        <v>0</v>
      </c>
      <c r="RU26">
        <v>0</v>
      </c>
      <c r="RV26">
        <v>0</v>
      </c>
      <c r="RW26">
        <v>0</v>
      </c>
      <c r="RX26">
        <v>0</v>
      </c>
      <c r="RY26">
        <v>0</v>
      </c>
      <c r="RZ26">
        <v>0</v>
      </c>
      <c r="SA26">
        <v>0</v>
      </c>
      <c r="SB26">
        <v>0</v>
      </c>
      <c r="SC26">
        <v>0</v>
      </c>
      <c r="SD26">
        <v>0</v>
      </c>
      <c r="SE26">
        <v>0</v>
      </c>
      <c r="SF26">
        <v>0</v>
      </c>
      <c r="SG26">
        <v>0</v>
      </c>
      <c r="SH26">
        <v>0</v>
      </c>
      <c r="SI26">
        <v>0</v>
      </c>
      <c r="SJ26">
        <v>0</v>
      </c>
      <c r="SK26">
        <v>0</v>
      </c>
      <c r="SL26">
        <v>0</v>
      </c>
      <c r="SM26">
        <v>0</v>
      </c>
      <c r="SN26">
        <v>0</v>
      </c>
      <c r="SO26">
        <v>0</v>
      </c>
      <c r="SP26">
        <v>0</v>
      </c>
      <c r="SQ26">
        <v>0</v>
      </c>
      <c r="SR26">
        <v>0</v>
      </c>
      <c r="SS26">
        <v>0</v>
      </c>
      <c r="ST26">
        <v>0</v>
      </c>
      <c r="SU26">
        <v>0</v>
      </c>
      <c r="SV26">
        <v>0</v>
      </c>
      <c r="SW26">
        <v>0</v>
      </c>
      <c r="SX26">
        <v>0</v>
      </c>
      <c r="SY26">
        <v>0</v>
      </c>
      <c r="SZ26">
        <v>0</v>
      </c>
      <c r="TA26">
        <v>0</v>
      </c>
      <c r="TB26">
        <v>0</v>
      </c>
      <c r="TC26">
        <v>0</v>
      </c>
      <c r="TD26">
        <v>0</v>
      </c>
      <c r="TE26">
        <v>0</v>
      </c>
      <c r="TF26">
        <v>0</v>
      </c>
      <c r="TG26">
        <v>0</v>
      </c>
      <c r="TH26">
        <v>0</v>
      </c>
      <c r="TI26">
        <v>0</v>
      </c>
      <c r="TJ26">
        <v>0</v>
      </c>
      <c r="TK26">
        <v>0</v>
      </c>
      <c r="TL26">
        <v>0</v>
      </c>
      <c r="TM26">
        <v>0</v>
      </c>
      <c r="TN26">
        <v>0</v>
      </c>
      <c r="TO26">
        <v>0</v>
      </c>
      <c r="TP26">
        <v>0</v>
      </c>
      <c r="TQ26">
        <v>0</v>
      </c>
      <c r="TR26">
        <v>0</v>
      </c>
      <c r="TS26">
        <v>0</v>
      </c>
      <c r="TT26">
        <v>0</v>
      </c>
      <c r="TU26">
        <v>0</v>
      </c>
      <c r="TV26">
        <v>0</v>
      </c>
      <c r="TW26">
        <v>0</v>
      </c>
      <c r="TX26">
        <v>0</v>
      </c>
      <c r="TY26">
        <v>0</v>
      </c>
      <c r="TZ26">
        <v>0</v>
      </c>
      <c r="UA26">
        <v>0</v>
      </c>
      <c r="UB26">
        <v>0</v>
      </c>
      <c r="UC26">
        <v>0</v>
      </c>
      <c r="UD26">
        <v>0</v>
      </c>
      <c r="UE26">
        <v>0</v>
      </c>
      <c r="UF26">
        <v>0</v>
      </c>
      <c r="UG26">
        <v>0</v>
      </c>
      <c r="UH26">
        <v>0</v>
      </c>
      <c r="UI26">
        <v>0</v>
      </c>
      <c r="UJ26">
        <v>0</v>
      </c>
      <c r="UK26">
        <v>0</v>
      </c>
      <c r="UL26">
        <v>0</v>
      </c>
      <c r="UM26">
        <v>0</v>
      </c>
      <c r="UN26">
        <v>0</v>
      </c>
      <c r="UO26">
        <v>0</v>
      </c>
      <c r="UP26">
        <v>0</v>
      </c>
      <c r="UQ26">
        <v>0</v>
      </c>
      <c r="UR26">
        <v>0</v>
      </c>
      <c r="US26">
        <v>0</v>
      </c>
      <c r="UT26">
        <v>0</v>
      </c>
      <c r="UU26">
        <v>0</v>
      </c>
      <c r="UV26">
        <v>0</v>
      </c>
      <c r="UW26">
        <v>0</v>
      </c>
      <c r="UX26">
        <v>0</v>
      </c>
      <c r="UY26">
        <v>0</v>
      </c>
      <c r="UZ26">
        <v>0</v>
      </c>
      <c r="VA26">
        <v>0</v>
      </c>
      <c r="VB26">
        <v>0</v>
      </c>
      <c r="VC26">
        <v>0</v>
      </c>
      <c r="VD26">
        <v>0</v>
      </c>
      <c r="VE26">
        <v>0</v>
      </c>
      <c r="VF26">
        <v>0</v>
      </c>
      <c r="VG26">
        <v>0</v>
      </c>
      <c r="VH26">
        <v>0</v>
      </c>
      <c r="VI26">
        <v>0</v>
      </c>
      <c r="VJ26">
        <v>0</v>
      </c>
      <c r="VK26">
        <v>0</v>
      </c>
      <c r="VL26">
        <v>0</v>
      </c>
      <c r="VM26">
        <v>0</v>
      </c>
      <c r="VN26">
        <v>0</v>
      </c>
      <c r="VO26">
        <v>0</v>
      </c>
      <c r="VP26">
        <v>0</v>
      </c>
      <c r="VQ26">
        <v>0</v>
      </c>
      <c r="VR26">
        <v>0</v>
      </c>
      <c r="VS26">
        <v>0</v>
      </c>
      <c r="VT26">
        <v>0</v>
      </c>
      <c r="VU26">
        <v>0</v>
      </c>
      <c r="VV26">
        <v>0</v>
      </c>
      <c r="VW26">
        <v>0</v>
      </c>
      <c r="VX26">
        <v>0</v>
      </c>
      <c r="VY26">
        <v>0</v>
      </c>
      <c r="VZ26">
        <v>0</v>
      </c>
      <c r="WA26">
        <v>0</v>
      </c>
      <c r="WB26">
        <v>0</v>
      </c>
      <c r="WC26">
        <v>0</v>
      </c>
      <c r="WD26">
        <v>0</v>
      </c>
      <c r="WE26">
        <v>0</v>
      </c>
      <c r="WF26">
        <v>0</v>
      </c>
      <c r="WG26">
        <v>0</v>
      </c>
      <c r="WH26">
        <v>0</v>
      </c>
      <c r="WI26">
        <v>0</v>
      </c>
      <c r="WJ26">
        <v>0</v>
      </c>
      <c r="WK26">
        <v>0</v>
      </c>
      <c r="WL26">
        <v>0</v>
      </c>
      <c r="WM26">
        <v>0</v>
      </c>
      <c r="WN26">
        <v>0</v>
      </c>
      <c r="WO26">
        <v>0</v>
      </c>
      <c r="WP26">
        <v>0</v>
      </c>
      <c r="WQ26">
        <v>0</v>
      </c>
      <c r="WR26">
        <v>0</v>
      </c>
      <c r="WS26">
        <v>0</v>
      </c>
      <c r="WT26">
        <v>0</v>
      </c>
      <c r="WU26">
        <v>0</v>
      </c>
      <c r="WV26">
        <v>0</v>
      </c>
      <c r="WW26">
        <v>0</v>
      </c>
      <c r="WX26">
        <v>0</v>
      </c>
      <c r="WY26">
        <v>0</v>
      </c>
      <c r="WZ26">
        <v>0</v>
      </c>
      <c r="XA26">
        <v>0</v>
      </c>
      <c r="XB26">
        <v>0</v>
      </c>
      <c r="XC26">
        <v>0</v>
      </c>
      <c r="XD26">
        <v>0</v>
      </c>
      <c r="XE26">
        <v>0</v>
      </c>
      <c r="XF26">
        <v>0</v>
      </c>
      <c r="XG26">
        <v>0</v>
      </c>
      <c r="XH26">
        <v>0</v>
      </c>
      <c r="XI26">
        <v>0</v>
      </c>
      <c r="XJ26">
        <v>0</v>
      </c>
      <c r="XK26">
        <v>0</v>
      </c>
      <c r="XL26">
        <v>0</v>
      </c>
      <c r="XM26">
        <v>0</v>
      </c>
      <c r="XN26">
        <v>0</v>
      </c>
      <c r="XO26">
        <v>0</v>
      </c>
      <c r="XP26">
        <v>0</v>
      </c>
      <c r="XQ26">
        <v>0</v>
      </c>
      <c r="XR26">
        <v>0</v>
      </c>
      <c r="XS26">
        <v>0</v>
      </c>
      <c r="XT26">
        <v>0</v>
      </c>
      <c r="XU26">
        <v>0</v>
      </c>
      <c r="XV26">
        <v>0</v>
      </c>
      <c r="XW26">
        <v>0</v>
      </c>
      <c r="XX26">
        <v>0</v>
      </c>
      <c r="XY26">
        <v>0</v>
      </c>
      <c r="XZ26">
        <v>0</v>
      </c>
      <c r="YA26">
        <v>0</v>
      </c>
      <c r="YB26">
        <v>0</v>
      </c>
      <c r="YC26">
        <v>0</v>
      </c>
      <c r="YD26">
        <v>0</v>
      </c>
      <c r="YE26">
        <v>0</v>
      </c>
      <c r="YF26">
        <v>0</v>
      </c>
      <c r="YG26">
        <v>0</v>
      </c>
      <c r="YH26">
        <v>0</v>
      </c>
      <c r="YI26">
        <v>0</v>
      </c>
      <c r="YJ26">
        <v>0</v>
      </c>
      <c r="YK26">
        <v>0</v>
      </c>
      <c r="YL26">
        <v>0</v>
      </c>
      <c r="YM26">
        <v>0</v>
      </c>
      <c r="YN26">
        <v>0</v>
      </c>
      <c r="YO26">
        <v>0</v>
      </c>
      <c r="YP26">
        <v>0</v>
      </c>
      <c r="YQ26">
        <v>0</v>
      </c>
      <c r="YR26">
        <v>0</v>
      </c>
      <c r="YS26">
        <v>0</v>
      </c>
      <c r="YT26">
        <v>0</v>
      </c>
      <c r="YU26">
        <v>0</v>
      </c>
      <c r="YV26">
        <v>0</v>
      </c>
      <c r="YW26">
        <v>0</v>
      </c>
      <c r="YX26">
        <v>0</v>
      </c>
      <c r="YY26">
        <v>0</v>
      </c>
      <c r="YZ26">
        <v>0</v>
      </c>
      <c r="ZA26">
        <v>0</v>
      </c>
      <c r="ZB26">
        <v>0</v>
      </c>
      <c r="ZC26">
        <v>0</v>
      </c>
      <c r="ZD26">
        <v>0</v>
      </c>
      <c r="ZE26">
        <v>0</v>
      </c>
      <c r="ZF26">
        <v>0</v>
      </c>
      <c r="ZG26">
        <v>0</v>
      </c>
      <c r="ZH26">
        <v>0</v>
      </c>
      <c r="ZI26">
        <v>0</v>
      </c>
      <c r="ZJ26">
        <v>0</v>
      </c>
      <c r="ZK26">
        <v>0</v>
      </c>
      <c r="ZL26">
        <v>0</v>
      </c>
      <c r="ZM26">
        <v>0</v>
      </c>
      <c r="ZN26">
        <v>0</v>
      </c>
      <c r="ZO26">
        <v>0</v>
      </c>
      <c r="ZP26">
        <v>0</v>
      </c>
      <c r="ZQ26">
        <v>0</v>
      </c>
      <c r="ZR26">
        <v>0</v>
      </c>
      <c r="ZS26">
        <v>0</v>
      </c>
      <c r="ZT26">
        <v>0</v>
      </c>
      <c r="ZU26">
        <v>0</v>
      </c>
      <c r="ZV26">
        <v>0</v>
      </c>
      <c r="ZW26">
        <v>0</v>
      </c>
      <c r="ZX26">
        <v>0</v>
      </c>
      <c r="ZY26">
        <v>0</v>
      </c>
      <c r="ZZ26">
        <v>0</v>
      </c>
      <c r="AAA26">
        <v>0</v>
      </c>
      <c r="AAB26">
        <v>0</v>
      </c>
      <c r="AAC26">
        <v>0</v>
      </c>
      <c r="AAD26">
        <v>0</v>
      </c>
      <c r="AAE26">
        <v>0</v>
      </c>
      <c r="AAF26">
        <v>0</v>
      </c>
      <c r="AAG26">
        <v>0</v>
      </c>
      <c r="AAH26">
        <v>0</v>
      </c>
      <c r="AAI26">
        <v>0</v>
      </c>
      <c r="AAJ26">
        <v>0</v>
      </c>
      <c r="AAK26">
        <v>0</v>
      </c>
      <c r="AAL26">
        <v>0</v>
      </c>
      <c r="AAM26">
        <v>0</v>
      </c>
      <c r="AAN26">
        <v>0</v>
      </c>
      <c r="AAO26">
        <v>0</v>
      </c>
      <c r="AAP26">
        <v>0</v>
      </c>
      <c r="AAQ26">
        <v>0</v>
      </c>
      <c r="AAR26">
        <v>0</v>
      </c>
      <c r="AAS26">
        <v>0</v>
      </c>
      <c r="AAT26">
        <v>0</v>
      </c>
      <c r="AAU26">
        <v>0</v>
      </c>
      <c r="AAV26">
        <v>0</v>
      </c>
      <c r="AAW26">
        <v>0</v>
      </c>
      <c r="AAX26">
        <v>0</v>
      </c>
      <c r="AAY26">
        <v>0</v>
      </c>
      <c r="AAZ26">
        <v>0</v>
      </c>
      <c r="ABA26">
        <v>0</v>
      </c>
      <c r="ABB26">
        <v>0</v>
      </c>
      <c r="ABC26">
        <v>0</v>
      </c>
      <c r="ABD26">
        <v>0</v>
      </c>
      <c r="ABE26">
        <v>0</v>
      </c>
      <c r="ABG26" s="1137">
        <f t="shared" si="5"/>
        <v>0</v>
      </c>
      <c r="ABH26" s="1137">
        <f t="shared" si="5"/>
        <v>0</v>
      </c>
      <c r="ABI26" s="1137">
        <f t="shared" si="5"/>
        <v>0</v>
      </c>
      <c r="ABJ26" s="1137">
        <f t="shared" si="5"/>
        <v>27</v>
      </c>
      <c r="ABK26" s="1137">
        <f t="shared" si="5"/>
        <v>31</v>
      </c>
      <c r="ABL26" s="1137">
        <f t="shared" si="5"/>
        <v>30</v>
      </c>
      <c r="ABM26" s="1137">
        <f t="shared" si="5"/>
        <v>31</v>
      </c>
      <c r="ABN26" s="1137">
        <f t="shared" si="5"/>
        <v>31</v>
      </c>
      <c r="ABO26" s="1137">
        <f t="shared" si="5"/>
        <v>4</v>
      </c>
      <c r="ABP26" s="1137">
        <f t="shared" si="5"/>
        <v>0</v>
      </c>
      <c r="ABQ26" s="1137">
        <f t="shared" si="5"/>
        <v>0</v>
      </c>
      <c r="ABR26" s="1137">
        <f t="shared" si="5"/>
        <v>0</v>
      </c>
      <c r="ABS26" s="1137">
        <f t="shared" si="5"/>
        <v>0</v>
      </c>
      <c r="ABT26" s="1137">
        <f t="shared" si="5"/>
        <v>0</v>
      </c>
      <c r="ABU26" s="1137">
        <f t="shared" si="5"/>
        <v>0</v>
      </c>
      <c r="ABV26" s="1137">
        <f t="shared" si="5"/>
        <v>0</v>
      </c>
      <c r="ABW26" s="1137">
        <f t="shared" si="7"/>
        <v>0</v>
      </c>
      <c r="ABX26" s="1137">
        <f t="shared" si="7"/>
        <v>0</v>
      </c>
      <c r="ABY26" s="1137">
        <f t="shared" si="7"/>
        <v>0</v>
      </c>
      <c r="ABZ26" s="1137">
        <f t="shared" si="7"/>
        <v>0</v>
      </c>
      <c r="ACA26" s="1137">
        <f t="shared" si="7"/>
        <v>0</v>
      </c>
      <c r="ACB26" s="1137">
        <f t="shared" si="7"/>
        <v>0</v>
      </c>
      <c r="ACC26" s="1137">
        <f t="shared" si="7"/>
        <v>0</v>
      </c>
      <c r="ACD26" s="1137">
        <f t="shared" si="7"/>
        <v>0</v>
      </c>
      <c r="ACE26" s="1137" t="s">
        <v>149</v>
      </c>
      <c r="ACF26" s="1137">
        <f t="shared" si="6"/>
        <v>0</v>
      </c>
      <c r="ACG26" s="1137">
        <f t="shared" si="6"/>
        <v>0</v>
      </c>
      <c r="ACH26" s="1137">
        <f t="shared" si="6"/>
        <v>0</v>
      </c>
      <c r="ACI26" s="1137">
        <f t="shared" si="6"/>
        <v>1</v>
      </c>
      <c r="ACJ26" s="1137">
        <f t="shared" si="6"/>
        <v>1</v>
      </c>
      <c r="ACK26" s="1137">
        <f t="shared" si="6"/>
        <v>1</v>
      </c>
      <c r="ACL26" s="1137">
        <f t="shared" si="6"/>
        <v>1</v>
      </c>
      <c r="ACM26" s="1137">
        <f t="shared" si="6"/>
        <v>1</v>
      </c>
      <c r="ACN26" s="1137">
        <f t="shared" si="6"/>
        <v>0</v>
      </c>
      <c r="ACO26" s="1137">
        <f t="shared" si="6"/>
        <v>0</v>
      </c>
      <c r="ACP26" s="1137">
        <f t="shared" si="6"/>
        <v>0</v>
      </c>
      <c r="ACQ26" s="1137">
        <f t="shared" si="6"/>
        <v>0</v>
      </c>
      <c r="ACR26" s="1137">
        <f t="shared" si="6"/>
        <v>0</v>
      </c>
      <c r="ACS26" s="1137">
        <f t="shared" si="6"/>
        <v>0</v>
      </c>
      <c r="ACT26" s="1137">
        <f t="shared" si="6"/>
        <v>0</v>
      </c>
      <c r="ACU26" s="1137">
        <f t="shared" si="6"/>
        <v>0</v>
      </c>
      <c r="ACV26" s="1137">
        <f t="shared" si="8"/>
        <v>0</v>
      </c>
      <c r="ACW26" s="1137">
        <f t="shared" si="8"/>
        <v>0</v>
      </c>
      <c r="ACX26" s="1137">
        <f t="shared" si="8"/>
        <v>0</v>
      </c>
      <c r="ACY26" s="1137">
        <f t="shared" si="8"/>
        <v>0</v>
      </c>
      <c r="ACZ26" s="1137">
        <f t="shared" si="8"/>
        <v>0</v>
      </c>
      <c r="ADA26" s="1137">
        <f t="shared" si="8"/>
        <v>0</v>
      </c>
      <c r="ADB26" s="1137">
        <f t="shared" si="8"/>
        <v>0</v>
      </c>
      <c r="ADC26" s="1137">
        <f t="shared" si="8"/>
        <v>0</v>
      </c>
    </row>
    <row r="27" spans="1:783" x14ac:dyDescent="0.25">
      <c r="A27" t="s">
        <v>1822</v>
      </c>
      <c r="B27" t="s">
        <v>15</v>
      </c>
      <c r="C27">
        <v>0</v>
      </c>
      <c r="D27">
        <v>0</v>
      </c>
      <c r="E27">
        <v>0</v>
      </c>
      <c r="F27">
        <v>0</v>
      </c>
      <c r="G27">
        <v>0</v>
      </c>
      <c r="H27">
        <v>0</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v>0</v>
      </c>
      <c r="BI27">
        <v>0</v>
      </c>
      <c r="BJ27">
        <v>0</v>
      </c>
      <c r="BK27">
        <v>0</v>
      </c>
      <c r="BL27">
        <v>0</v>
      </c>
      <c r="BM27">
        <v>0</v>
      </c>
      <c r="BN27">
        <v>0</v>
      </c>
      <c r="BO27">
        <v>0</v>
      </c>
      <c r="BP27">
        <v>0</v>
      </c>
      <c r="BQ27">
        <v>0</v>
      </c>
      <c r="BR27">
        <v>0</v>
      </c>
      <c r="BS27">
        <v>0</v>
      </c>
      <c r="BT27">
        <v>0</v>
      </c>
      <c r="BU27">
        <v>0</v>
      </c>
      <c r="BV27">
        <v>0</v>
      </c>
      <c r="BW27">
        <v>0</v>
      </c>
      <c r="BX27">
        <v>0</v>
      </c>
      <c r="BY27">
        <v>0</v>
      </c>
      <c r="BZ27">
        <v>0</v>
      </c>
      <c r="CA27">
        <v>0</v>
      </c>
      <c r="CB27">
        <v>0</v>
      </c>
      <c r="CC27">
        <v>0</v>
      </c>
      <c r="CD27">
        <v>0</v>
      </c>
      <c r="CE27">
        <v>2</v>
      </c>
      <c r="CF27">
        <v>2</v>
      </c>
      <c r="CG27">
        <v>2</v>
      </c>
      <c r="CH27">
        <v>2</v>
      </c>
      <c r="CI27">
        <v>2</v>
      </c>
      <c r="CJ27">
        <v>2</v>
      </c>
      <c r="CK27">
        <v>2</v>
      </c>
      <c r="CL27">
        <v>2</v>
      </c>
      <c r="CM27">
        <v>2</v>
      </c>
      <c r="CN27">
        <v>2</v>
      </c>
      <c r="CO27">
        <v>2</v>
      </c>
      <c r="CP27">
        <v>2</v>
      </c>
      <c r="CQ27">
        <v>2</v>
      </c>
      <c r="CR27">
        <v>2</v>
      </c>
      <c r="CS27">
        <v>2</v>
      </c>
      <c r="CT27">
        <v>2</v>
      </c>
      <c r="CU27">
        <v>2</v>
      </c>
      <c r="CV27">
        <v>2</v>
      </c>
      <c r="CW27">
        <v>2</v>
      </c>
      <c r="CX27">
        <v>2</v>
      </c>
      <c r="CY27">
        <v>2</v>
      </c>
      <c r="CZ27">
        <v>2</v>
      </c>
      <c r="DA27">
        <v>2</v>
      </c>
      <c r="DB27">
        <v>2</v>
      </c>
      <c r="DC27">
        <v>2</v>
      </c>
      <c r="DD27">
        <v>2</v>
      </c>
      <c r="DE27">
        <v>2</v>
      </c>
      <c r="DF27">
        <v>2</v>
      </c>
      <c r="DG27">
        <v>2</v>
      </c>
      <c r="DH27">
        <v>2</v>
      </c>
      <c r="DI27">
        <v>2</v>
      </c>
      <c r="DJ27">
        <v>2</v>
      </c>
      <c r="DK27">
        <v>2</v>
      </c>
      <c r="DL27">
        <v>2</v>
      </c>
      <c r="DM27">
        <v>2</v>
      </c>
      <c r="DN27">
        <v>2</v>
      </c>
      <c r="DO27">
        <v>2</v>
      </c>
      <c r="DP27">
        <v>2</v>
      </c>
      <c r="DQ27">
        <v>2</v>
      </c>
      <c r="DR27">
        <v>2</v>
      </c>
      <c r="DS27">
        <v>2</v>
      </c>
      <c r="DT27">
        <v>2</v>
      </c>
      <c r="DU27">
        <v>2</v>
      </c>
      <c r="DV27">
        <v>2</v>
      </c>
      <c r="DW27">
        <v>2</v>
      </c>
      <c r="DX27">
        <v>2</v>
      </c>
      <c r="DY27">
        <v>2</v>
      </c>
      <c r="DZ27">
        <v>2</v>
      </c>
      <c r="EA27">
        <v>2</v>
      </c>
      <c r="EB27">
        <v>2</v>
      </c>
      <c r="EC27">
        <v>2</v>
      </c>
      <c r="ED27">
        <v>2</v>
      </c>
      <c r="EE27">
        <v>2</v>
      </c>
      <c r="EF27">
        <v>2</v>
      </c>
      <c r="EG27">
        <v>2</v>
      </c>
      <c r="EH27">
        <v>2</v>
      </c>
      <c r="EI27">
        <v>2</v>
      </c>
      <c r="EJ27">
        <v>2</v>
      </c>
      <c r="EK27">
        <v>2</v>
      </c>
      <c r="EL27">
        <v>2</v>
      </c>
      <c r="EM27">
        <v>2</v>
      </c>
      <c r="EN27">
        <v>2</v>
      </c>
      <c r="EO27">
        <v>2</v>
      </c>
      <c r="EP27">
        <v>2</v>
      </c>
      <c r="EQ27">
        <v>2</v>
      </c>
      <c r="ER27">
        <v>2</v>
      </c>
      <c r="ES27">
        <v>2</v>
      </c>
      <c r="ET27">
        <v>2</v>
      </c>
      <c r="EU27">
        <v>2</v>
      </c>
      <c r="EV27">
        <v>2</v>
      </c>
      <c r="EW27">
        <v>2</v>
      </c>
      <c r="EX27">
        <v>2</v>
      </c>
      <c r="EY27">
        <v>2</v>
      </c>
      <c r="EZ27">
        <v>2</v>
      </c>
      <c r="FA27">
        <v>2</v>
      </c>
      <c r="FB27">
        <v>2</v>
      </c>
      <c r="FC27">
        <v>2</v>
      </c>
      <c r="FD27">
        <v>2</v>
      </c>
      <c r="FE27">
        <v>2</v>
      </c>
      <c r="FF27">
        <v>2</v>
      </c>
      <c r="FG27">
        <v>2</v>
      </c>
      <c r="FH27">
        <v>2</v>
      </c>
      <c r="FI27">
        <v>2</v>
      </c>
      <c r="FJ27">
        <v>2</v>
      </c>
      <c r="FK27">
        <v>2</v>
      </c>
      <c r="FL27">
        <v>2</v>
      </c>
      <c r="FM27">
        <v>2</v>
      </c>
      <c r="FN27">
        <v>2</v>
      </c>
      <c r="FO27">
        <v>2</v>
      </c>
      <c r="FP27">
        <v>2</v>
      </c>
      <c r="FQ27">
        <v>2</v>
      </c>
      <c r="FR27">
        <v>2</v>
      </c>
      <c r="FS27">
        <v>2</v>
      </c>
      <c r="FT27">
        <v>2</v>
      </c>
      <c r="FU27">
        <v>2</v>
      </c>
      <c r="FV27">
        <v>2</v>
      </c>
      <c r="FW27">
        <v>2</v>
      </c>
      <c r="FX27">
        <v>2</v>
      </c>
      <c r="FY27">
        <v>2</v>
      </c>
      <c r="FZ27">
        <v>2</v>
      </c>
      <c r="GA27">
        <v>2</v>
      </c>
      <c r="GB27">
        <v>2</v>
      </c>
      <c r="GC27">
        <v>2</v>
      </c>
      <c r="GD27">
        <v>2</v>
      </c>
      <c r="GE27">
        <v>2</v>
      </c>
      <c r="GF27">
        <v>2</v>
      </c>
      <c r="GG27">
        <v>2</v>
      </c>
      <c r="GH27">
        <v>2</v>
      </c>
      <c r="GI27">
        <v>2</v>
      </c>
      <c r="GJ27">
        <v>2</v>
      </c>
      <c r="GK27">
        <v>2</v>
      </c>
      <c r="GL27">
        <v>2</v>
      </c>
      <c r="GM27">
        <v>2</v>
      </c>
      <c r="GN27">
        <v>2</v>
      </c>
      <c r="GO27">
        <v>2</v>
      </c>
      <c r="GP27">
        <v>2</v>
      </c>
      <c r="GQ27">
        <v>2</v>
      </c>
      <c r="GR27">
        <v>2</v>
      </c>
      <c r="GS27">
        <v>2</v>
      </c>
      <c r="GT27">
        <v>2</v>
      </c>
      <c r="GU27">
        <v>2</v>
      </c>
      <c r="GV27">
        <v>2</v>
      </c>
      <c r="GW27">
        <v>2</v>
      </c>
      <c r="GX27">
        <v>2</v>
      </c>
      <c r="GY27">
        <v>2</v>
      </c>
      <c r="GZ27">
        <v>2</v>
      </c>
      <c r="HA27">
        <v>2</v>
      </c>
      <c r="HB27">
        <v>2</v>
      </c>
      <c r="HC27">
        <v>2</v>
      </c>
      <c r="HD27">
        <v>2</v>
      </c>
      <c r="HE27">
        <v>2</v>
      </c>
      <c r="HF27">
        <v>2</v>
      </c>
      <c r="HG27">
        <v>2</v>
      </c>
      <c r="HH27">
        <v>2</v>
      </c>
      <c r="HI27">
        <v>2</v>
      </c>
      <c r="HJ27">
        <v>2</v>
      </c>
      <c r="HK27">
        <v>2</v>
      </c>
      <c r="HL27">
        <v>2</v>
      </c>
      <c r="HM27">
        <v>2</v>
      </c>
      <c r="HN27">
        <v>2</v>
      </c>
      <c r="HO27">
        <v>2</v>
      </c>
      <c r="HP27">
        <v>2</v>
      </c>
      <c r="HQ27">
        <v>2</v>
      </c>
      <c r="HR27">
        <v>2</v>
      </c>
      <c r="HS27">
        <v>2</v>
      </c>
      <c r="HT27">
        <v>2</v>
      </c>
      <c r="HU27">
        <v>2</v>
      </c>
      <c r="HV27">
        <v>2</v>
      </c>
      <c r="HW27">
        <v>2</v>
      </c>
      <c r="HX27">
        <v>2</v>
      </c>
      <c r="HY27">
        <v>2</v>
      </c>
      <c r="HZ27">
        <v>2</v>
      </c>
      <c r="IA27">
        <v>2</v>
      </c>
      <c r="IB27">
        <v>2</v>
      </c>
      <c r="IC27">
        <v>2</v>
      </c>
      <c r="ID27">
        <v>2</v>
      </c>
      <c r="IE27">
        <v>2</v>
      </c>
      <c r="IF27">
        <v>2</v>
      </c>
      <c r="IG27">
        <v>2</v>
      </c>
      <c r="IH27">
        <v>2</v>
      </c>
      <c r="II27">
        <v>2</v>
      </c>
      <c r="IJ27">
        <v>2</v>
      </c>
      <c r="IK27">
        <v>2</v>
      </c>
      <c r="IL27">
        <v>2</v>
      </c>
      <c r="IM27">
        <v>2</v>
      </c>
      <c r="IN27">
        <v>2</v>
      </c>
      <c r="IO27">
        <v>2</v>
      </c>
      <c r="IP27">
        <v>2</v>
      </c>
      <c r="IQ27">
        <v>2</v>
      </c>
      <c r="IR27">
        <v>2</v>
      </c>
      <c r="IS27">
        <v>2</v>
      </c>
      <c r="IT27">
        <v>2</v>
      </c>
      <c r="IU27">
        <v>2</v>
      </c>
      <c r="IV27">
        <v>2</v>
      </c>
      <c r="IW27">
        <v>2</v>
      </c>
      <c r="IX27">
        <v>2</v>
      </c>
      <c r="IY27">
        <v>2</v>
      </c>
      <c r="IZ27">
        <v>2</v>
      </c>
      <c r="JA27">
        <v>2</v>
      </c>
      <c r="JB27">
        <v>2</v>
      </c>
      <c r="JC27">
        <v>2</v>
      </c>
      <c r="JD27">
        <v>2</v>
      </c>
      <c r="JE27">
        <v>2</v>
      </c>
      <c r="JF27">
        <v>2</v>
      </c>
      <c r="JG27">
        <v>2</v>
      </c>
      <c r="JH27">
        <v>2</v>
      </c>
      <c r="JI27">
        <v>2</v>
      </c>
      <c r="JJ27">
        <v>2</v>
      </c>
      <c r="JK27">
        <v>2</v>
      </c>
      <c r="JL27">
        <v>2</v>
      </c>
      <c r="JM27">
        <v>2</v>
      </c>
      <c r="JN27">
        <v>2</v>
      </c>
      <c r="JO27">
        <v>2</v>
      </c>
      <c r="JP27">
        <v>2</v>
      </c>
      <c r="JQ27">
        <v>2</v>
      </c>
      <c r="JR27">
        <v>2</v>
      </c>
      <c r="JS27">
        <v>2</v>
      </c>
      <c r="JT27">
        <v>2</v>
      </c>
      <c r="JU27">
        <v>2</v>
      </c>
      <c r="JV27">
        <v>2</v>
      </c>
      <c r="JW27">
        <v>2</v>
      </c>
      <c r="JX27">
        <v>2</v>
      </c>
      <c r="JY27">
        <v>2</v>
      </c>
      <c r="JZ27">
        <v>2</v>
      </c>
      <c r="KA27">
        <v>2</v>
      </c>
      <c r="KB27">
        <v>2</v>
      </c>
      <c r="KC27">
        <v>2</v>
      </c>
      <c r="KD27">
        <v>2</v>
      </c>
      <c r="KE27">
        <v>2</v>
      </c>
      <c r="KF27">
        <v>2</v>
      </c>
      <c r="KG27">
        <v>2</v>
      </c>
      <c r="KH27">
        <v>2</v>
      </c>
      <c r="KI27">
        <v>2</v>
      </c>
      <c r="KJ27">
        <v>2</v>
      </c>
      <c r="KK27">
        <v>2</v>
      </c>
      <c r="KL27">
        <v>2</v>
      </c>
      <c r="KM27">
        <v>2</v>
      </c>
      <c r="KN27">
        <v>2</v>
      </c>
      <c r="KO27">
        <v>2</v>
      </c>
      <c r="KP27">
        <v>2</v>
      </c>
      <c r="KQ27">
        <v>2</v>
      </c>
      <c r="KR27">
        <v>2</v>
      </c>
      <c r="KS27">
        <v>2</v>
      </c>
      <c r="KT27">
        <v>2</v>
      </c>
      <c r="KU27">
        <v>2</v>
      </c>
      <c r="KV27">
        <v>2</v>
      </c>
      <c r="KW27">
        <v>2</v>
      </c>
      <c r="KX27">
        <v>2</v>
      </c>
      <c r="KY27">
        <v>2</v>
      </c>
      <c r="KZ27">
        <v>2</v>
      </c>
      <c r="LA27">
        <v>2</v>
      </c>
      <c r="LB27">
        <v>2</v>
      </c>
      <c r="LC27">
        <v>2</v>
      </c>
      <c r="LD27">
        <v>2</v>
      </c>
      <c r="LE27">
        <v>2</v>
      </c>
      <c r="LF27">
        <v>2</v>
      </c>
      <c r="LG27">
        <v>2</v>
      </c>
      <c r="LH27">
        <v>2</v>
      </c>
      <c r="LI27">
        <v>2</v>
      </c>
      <c r="LJ27">
        <v>2</v>
      </c>
      <c r="LK27">
        <v>2</v>
      </c>
      <c r="LL27">
        <v>2</v>
      </c>
      <c r="LM27">
        <v>2</v>
      </c>
      <c r="LN27">
        <v>2</v>
      </c>
      <c r="LO27">
        <v>2</v>
      </c>
      <c r="LP27">
        <v>2</v>
      </c>
      <c r="LQ27">
        <v>2</v>
      </c>
      <c r="LR27">
        <v>2</v>
      </c>
      <c r="LS27">
        <v>2</v>
      </c>
      <c r="LT27">
        <v>2</v>
      </c>
      <c r="LU27">
        <v>2</v>
      </c>
      <c r="LV27">
        <v>2</v>
      </c>
      <c r="LW27">
        <v>2</v>
      </c>
      <c r="LX27">
        <v>2</v>
      </c>
      <c r="LY27">
        <v>2</v>
      </c>
      <c r="LZ27">
        <v>1</v>
      </c>
      <c r="MA27">
        <v>1</v>
      </c>
      <c r="MB27">
        <v>1</v>
      </c>
      <c r="MC27">
        <v>1</v>
      </c>
      <c r="MD27">
        <v>1</v>
      </c>
      <c r="ME27">
        <v>1</v>
      </c>
      <c r="MF27">
        <v>1</v>
      </c>
      <c r="MG27">
        <v>1</v>
      </c>
      <c r="MH27">
        <v>1</v>
      </c>
      <c r="MI27">
        <v>1</v>
      </c>
      <c r="MJ27">
        <v>1</v>
      </c>
      <c r="MK27">
        <v>1</v>
      </c>
      <c r="ML27">
        <v>1</v>
      </c>
      <c r="MM27">
        <v>1</v>
      </c>
      <c r="MN27">
        <v>1</v>
      </c>
      <c r="MO27">
        <v>1</v>
      </c>
      <c r="MP27">
        <v>1</v>
      </c>
      <c r="MQ27">
        <v>1</v>
      </c>
      <c r="MR27">
        <v>1</v>
      </c>
      <c r="MS27">
        <v>1</v>
      </c>
      <c r="MT27">
        <v>1</v>
      </c>
      <c r="MU27">
        <v>1</v>
      </c>
      <c r="MV27">
        <v>1</v>
      </c>
      <c r="MW27">
        <v>1</v>
      </c>
      <c r="MX27">
        <v>1</v>
      </c>
      <c r="MY27">
        <v>1</v>
      </c>
      <c r="MZ27">
        <v>1</v>
      </c>
      <c r="NA27">
        <v>1</v>
      </c>
      <c r="NB27">
        <v>1</v>
      </c>
      <c r="NC27">
        <v>1</v>
      </c>
      <c r="ND27">
        <v>1</v>
      </c>
      <c r="NE27">
        <v>1</v>
      </c>
      <c r="NF27">
        <v>1</v>
      </c>
      <c r="NG27">
        <v>1</v>
      </c>
      <c r="NH27">
        <v>1</v>
      </c>
      <c r="NI27">
        <v>0</v>
      </c>
      <c r="NJ27">
        <v>0</v>
      </c>
      <c r="NK27">
        <v>0</v>
      </c>
      <c r="NL27">
        <v>0</v>
      </c>
      <c r="NM27">
        <v>0</v>
      </c>
      <c r="NN27">
        <v>0</v>
      </c>
      <c r="NO27">
        <v>0</v>
      </c>
      <c r="NP27">
        <v>0</v>
      </c>
      <c r="NQ27">
        <v>0</v>
      </c>
      <c r="NR27">
        <v>0</v>
      </c>
      <c r="NS27">
        <v>0</v>
      </c>
      <c r="NT27">
        <v>0</v>
      </c>
      <c r="NU27">
        <v>0</v>
      </c>
      <c r="NV27">
        <v>0</v>
      </c>
      <c r="NW27">
        <v>0</v>
      </c>
      <c r="NX27">
        <v>0</v>
      </c>
      <c r="NY27">
        <v>0</v>
      </c>
      <c r="NZ27">
        <v>0</v>
      </c>
      <c r="OA27">
        <v>0</v>
      </c>
      <c r="OB27">
        <v>0</v>
      </c>
      <c r="OC27">
        <v>0</v>
      </c>
      <c r="OD27">
        <v>0</v>
      </c>
      <c r="OE27">
        <v>0</v>
      </c>
      <c r="OF27">
        <v>0</v>
      </c>
      <c r="OG27">
        <v>0</v>
      </c>
      <c r="OH27">
        <v>0</v>
      </c>
      <c r="OI27">
        <v>0</v>
      </c>
      <c r="OJ27">
        <v>0</v>
      </c>
      <c r="OK27">
        <v>0</v>
      </c>
      <c r="OL27">
        <v>0</v>
      </c>
      <c r="OM27">
        <v>0</v>
      </c>
      <c r="ON27">
        <v>0</v>
      </c>
      <c r="OO27">
        <v>0</v>
      </c>
      <c r="OP27">
        <v>0</v>
      </c>
      <c r="OQ27">
        <v>0</v>
      </c>
      <c r="OR27">
        <v>0</v>
      </c>
      <c r="OS27">
        <v>0</v>
      </c>
      <c r="OT27">
        <v>0</v>
      </c>
      <c r="OU27">
        <v>0</v>
      </c>
      <c r="OV27">
        <v>0</v>
      </c>
      <c r="OW27">
        <v>0</v>
      </c>
      <c r="OX27">
        <v>0</v>
      </c>
      <c r="OY27">
        <v>0</v>
      </c>
      <c r="OZ27">
        <v>0</v>
      </c>
      <c r="PA27">
        <v>0</v>
      </c>
      <c r="PB27">
        <v>0</v>
      </c>
      <c r="PC27">
        <v>0</v>
      </c>
      <c r="PD27">
        <v>0</v>
      </c>
      <c r="PE27">
        <v>0</v>
      </c>
      <c r="PF27">
        <v>0</v>
      </c>
      <c r="PG27">
        <v>0</v>
      </c>
      <c r="PH27">
        <v>0</v>
      </c>
      <c r="PI27">
        <v>0</v>
      </c>
      <c r="PJ27">
        <v>0</v>
      </c>
      <c r="PK27">
        <v>0</v>
      </c>
      <c r="PL27">
        <v>0</v>
      </c>
      <c r="PM27">
        <v>0</v>
      </c>
      <c r="PN27">
        <v>0</v>
      </c>
      <c r="PO27">
        <v>0</v>
      </c>
      <c r="PP27">
        <v>0</v>
      </c>
      <c r="PQ27">
        <v>0</v>
      </c>
      <c r="PR27">
        <v>0</v>
      </c>
      <c r="PS27">
        <v>0</v>
      </c>
      <c r="PT27">
        <v>0</v>
      </c>
      <c r="PU27">
        <v>0</v>
      </c>
      <c r="PV27">
        <v>0</v>
      </c>
      <c r="PW27">
        <v>0</v>
      </c>
      <c r="PX27">
        <v>0</v>
      </c>
      <c r="PY27">
        <v>0</v>
      </c>
      <c r="PZ27">
        <v>0</v>
      </c>
      <c r="QA27">
        <v>0</v>
      </c>
      <c r="QB27">
        <v>0</v>
      </c>
      <c r="QC27">
        <v>0</v>
      </c>
      <c r="QD27">
        <v>0</v>
      </c>
      <c r="QE27">
        <v>0</v>
      </c>
      <c r="QF27">
        <v>0</v>
      </c>
      <c r="QG27">
        <v>0</v>
      </c>
      <c r="QH27">
        <v>0</v>
      </c>
      <c r="QI27">
        <v>0</v>
      </c>
      <c r="QJ27">
        <v>0</v>
      </c>
      <c r="QK27">
        <v>0</v>
      </c>
      <c r="QL27">
        <v>0</v>
      </c>
      <c r="QM27">
        <v>0</v>
      </c>
      <c r="QN27">
        <v>0</v>
      </c>
      <c r="QO27">
        <v>0</v>
      </c>
      <c r="QP27">
        <v>0</v>
      </c>
      <c r="QQ27">
        <v>0</v>
      </c>
      <c r="QR27">
        <v>0</v>
      </c>
      <c r="QS27">
        <v>0</v>
      </c>
      <c r="QT27">
        <v>0</v>
      </c>
      <c r="QU27">
        <v>0</v>
      </c>
      <c r="QV27">
        <v>0</v>
      </c>
      <c r="QW27">
        <v>0</v>
      </c>
      <c r="QX27">
        <v>0</v>
      </c>
      <c r="QY27">
        <v>0</v>
      </c>
      <c r="QZ27">
        <v>0</v>
      </c>
      <c r="RA27">
        <v>0</v>
      </c>
      <c r="RB27">
        <v>0</v>
      </c>
      <c r="RC27">
        <v>0</v>
      </c>
      <c r="RD27">
        <v>0</v>
      </c>
      <c r="RE27">
        <v>0</v>
      </c>
      <c r="RF27">
        <v>0</v>
      </c>
      <c r="RG27">
        <v>0</v>
      </c>
      <c r="RH27">
        <v>0</v>
      </c>
      <c r="RI27">
        <v>0</v>
      </c>
      <c r="RJ27">
        <v>0</v>
      </c>
      <c r="RK27">
        <v>0</v>
      </c>
      <c r="RL27">
        <v>0</v>
      </c>
      <c r="RM27">
        <v>0</v>
      </c>
      <c r="RN27">
        <v>0</v>
      </c>
      <c r="RO27">
        <v>0</v>
      </c>
      <c r="RP27">
        <v>0</v>
      </c>
      <c r="RQ27">
        <v>0</v>
      </c>
      <c r="RR27">
        <v>0</v>
      </c>
      <c r="RS27">
        <v>0</v>
      </c>
      <c r="RT27">
        <v>0</v>
      </c>
      <c r="RU27">
        <v>0</v>
      </c>
      <c r="RV27">
        <v>0</v>
      </c>
      <c r="RW27">
        <v>0</v>
      </c>
      <c r="RX27">
        <v>0</v>
      </c>
      <c r="RY27">
        <v>0</v>
      </c>
      <c r="RZ27">
        <v>0</v>
      </c>
      <c r="SA27">
        <v>0</v>
      </c>
      <c r="SB27">
        <v>0</v>
      </c>
      <c r="SC27">
        <v>0</v>
      </c>
      <c r="SD27">
        <v>0</v>
      </c>
      <c r="SE27">
        <v>0</v>
      </c>
      <c r="SF27">
        <v>0</v>
      </c>
      <c r="SG27">
        <v>0</v>
      </c>
      <c r="SH27">
        <v>0</v>
      </c>
      <c r="SI27">
        <v>0</v>
      </c>
      <c r="SJ27">
        <v>0</v>
      </c>
      <c r="SK27">
        <v>0</v>
      </c>
      <c r="SL27">
        <v>0</v>
      </c>
      <c r="SM27">
        <v>0</v>
      </c>
      <c r="SN27">
        <v>0</v>
      </c>
      <c r="SO27">
        <v>0</v>
      </c>
      <c r="SP27">
        <v>0</v>
      </c>
      <c r="SQ27">
        <v>0</v>
      </c>
      <c r="SR27">
        <v>0</v>
      </c>
      <c r="SS27">
        <v>0</v>
      </c>
      <c r="ST27">
        <v>0</v>
      </c>
      <c r="SU27">
        <v>0</v>
      </c>
      <c r="SV27">
        <v>0</v>
      </c>
      <c r="SW27">
        <v>0</v>
      </c>
      <c r="SX27">
        <v>0</v>
      </c>
      <c r="SY27">
        <v>0</v>
      </c>
      <c r="SZ27">
        <v>0</v>
      </c>
      <c r="TA27">
        <v>0</v>
      </c>
      <c r="TB27">
        <v>0</v>
      </c>
      <c r="TC27">
        <v>0</v>
      </c>
      <c r="TD27">
        <v>0</v>
      </c>
      <c r="TE27">
        <v>0</v>
      </c>
      <c r="TF27">
        <v>0</v>
      </c>
      <c r="TG27">
        <v>0</v>
      </c>
      <c r="TH27">
        <v>0</v>
      </c>
      <c r="TI27">
        <v>0</v>
      </c>
      <c r="TJ27">
        <v>0</v>
      </c>
      <c r="TK27">
        <v>0</v>
      </c>
      <c r="TL27">
        <v>0</v>
      </c>
      <c r="TM27">
        <v>0</v>
      </c>
      <c r="TN27">
        <v>0</v>
      </c>
      <c r="TO27">
        <v>0</v>
      </c>
      <c r="TP27">
        <v>0</v>
      </c>
      <c r="TQ27">
        <v>0</v>
      </c>
      <c r="TR27">
        <v>0</v>
      </c>
      <c r="TS27">
        <v>0</v>
      </c>
      <c r="TT27">
        <v>0</v>
      </c>
      <c r="TU27">
        <v>0</v>
      </c>
      <c r="TV27">
        <v>0</v>
      </c>
      <c r="TW27">
        <v>0</v>
      </c>
      <c r="TX27">
        <v>0</v>
      </c>
      <c r="TY27">
        <v>0</v>
      </c>
      <c r="TZ27">
        <v>0</v>
      </c>
      <c r="UA27">
        <v>0</v>
      </c>
      <c r="UB27">
        <v>0</v>
      </c>
      <c r="UC27">
        <v>0</v>
      </c>
      <c r="UD27">
        <v>0</v>
      </c>
      <c r="UE27">
        <v>0</v>
      </c>
      <c r="UF27">
        <v>0</v>
      </c>
      <c r="UG27">
        <v>0</v>
      </c>
      <c r="UH27">
        <v>0</v>
      </c>
      <c r="UI27">
        <v>0</v>
      </c>
      <c r="UJ27">
        <v>0</v>
      </c>
      <c r="UK27">
        <v>0</v>
      </c>
      <c r="UL27">
        <v>0</v>
      </c>
      <c r="UM27">
        <v>0</v>
      </c>
      <c r="UN27">
        <v>0</v>
      </c>
      <c r="UO27">
        <v>0</v>
      </c>
      <c r="UP27">
        <v>1</v>
      </c>
      <c r="UQ27">
        <v>1</v>
      </c>
      <c r="UR27">
        <v>1</v>
      </c>
      <c r="US27">
        <v>1</v>
      </c>
      <c r="UT27">
        <v>1</v>
      </c>
      <c r="UU27">
        <v>1</v>
      </c>
      <c r="UV27">
        <v>1</v>
      </c>
      <c r="UW27">
        <v>1</v>
      </c>
      <c r="UX27">
        <v>1</v>
      </c>
      <c r="UY27">
        <v>1</v>
      </c>
      <c r="UZ27">
        <v>1</v>
      </c>
      <c r="VA27">
        <v>1</v>
      </c>
      <c r="VB27">
        <v>1</v>
      </c>
      <c r="VC27">
        <v>1</v>
      </c>
      <c r="VD27">
        <v>1</v>
      </c>
      <c r="VE27">
        <v>1</v>
      </c>
      <c r="VF27">
        <v>1</v>
      </c>
      <c r="VG27">
        <v>1</v>
      </c>
      <c r="VH27">
        <v>1</v>
      </c>
      <c r="VI27">
        <v>1</v>
      </c>
      <c r="VJ27">
        <v>1</v>
      </c>
      <c r="VK27">
        <v>1</v>
      </c>
      <c r="VL27">
        <v>1</v>
      </c>
      <c r="VM27">
        <v>1</v>
      </c>
      <c r="VN27">
        <v>1</v>
      </c>
      <c r="VO27">
        <v>1</v>
      </c>
      <c r="VP27">
        <v>1</v>
      </c>
      <c r="VQ27">
        <v>1</v>
      </c>
      <c r="VR27">
        <v>1</v>
      </c>
      <c r="VS27">
        <v>1</v>
      </c>
      <c r="VT27">
        <v>1</v>
      </c>
      <c r="VU27">
        <v>1</v>
      </c>
      <c r="VV27">
        <v>1</v>
      </c>
      <c r="VW27">
        <v>1</v>
      </c>
      <c r="VX27">
        <v>1</v>
      </c>
      <c r="VY27">
        <v>1</v>
      </c>
      <c r="VZ27">
        <v>1</v>
      </c>
      <c r="WA27">
        <v>1</v>
      </c>
      <c r="WB27">
        <v>1</v>
      </c>
      <c r="WC27">
        <v>1</v>
      </c>
      <c r="WD27">
        <v>1</v>
      </c>
      <c r="WE27">
        <v>1</v>
      </c>
      <c r="WF27">
        <v>1</v>
      </c>
      <c r="WG27">
        <v>1</v>
      </c>
      <c r="WH27">
        <v>1</v>
      </c>
      <c r="WI27">
        <v>1</v>
      </c>
      <c r="WJ27">
        <v>1</v>
      </c>
      <c r="WK27">
        <v>1</v>
      </c>
      <c r="WL27">
        <v>1</v>
      </c>
      <c r="WM27">
        <v>1</v>
      </c>
      <c r="WN27">
        <v>1</v>
      </c>
      <c r="WO27">
        <v>1</v>
      </c>
      <c r="WP27">
        <v>1</v>
      </c>
      <c r="WQ27">
        <v>1</v>
      </c>
      <c r="WR27">
        <v>1</v>
      </c>
      <c r="WS27">
        <v>1</v>
      </c>
      <c r="WT27">
        <v>1</v>
      </c>
      <c r="WU27">
        <v>1</v>
      </c>
      <c r="WV27">
        <v>1</v>
      </c>
      <c r="WW27">
        <v>1</v>
      </c>
      <c r="WX27">
        <v>1</v>
      </c>
      <c r="WY27">
        <v>1</v>
      </c>
      <c r="WZ27">
        <v>1</v>
      </c>
      <c r="XA27">
        <v>1</v>
      </c>
      <c r="XB27">
        <v>1</v>
      </c>
      <c r="XC27">
        <v>1</v>
      </c>
      <c r="XD27">
        <v>1</v>
      </c>
      <c r="XE27">
        <v>1</v>
      </c>
      <c r="XF27">
        <v>1</v>
      </c>
      <c r="XG27">
        <v>1</v>
      </c>
      <c r="XH27">
        <v>1</v>
      </c>
      <c r="XI27">
        <v>1</v>
      </c>
      <c r="XJ27">
        <v>1</v>
      </c>
      <c r="XK27">
        <v>1</v>
      </c>
      <c r="XL27">
        <v>1</v>
      </c>
      <c r="XM27">
        <v>1</v>
      </c>
      <c r="XN27">
        <v>1</v>
      </c>
      <c r="XO27">
        <v>0</v>
      </c>
      <c r="XP27">
        <v>0</v>
      </c>
      <c r="XQ27">
        <v>0</v>
      </c>
      <c r="XR27">
        <v>0</v>
      </c>
      <c r="XS27">
        <v>0</v>
      </c>
      <c r="XT27">
        <v>0</v>
      </c>
      <c r="XU27">
        <v>0</v>
      </c>
      <c r="XV27">
        <v>0</v>
      </c>
      <c r="XW27">
        <v>0</v>
      </c>
      <c r="XX27">
        <v>0</v>
      </c>
      <c r="XY27">
        <v>0</v>
      </c>
      <c r="XZ27">
        <v>0</v>
      </c>
      <c r="YA27">
        <v>0</v>
      </c>
      <c r="YB27">
        <v>0</v>
      </c>
      <c r="YC27">
        <v>0</v>
      </c>
      <c r="YD27">
        <v>0</v>
      </c>
      <c r="YE27">
        <v>0</v>
      </c>
      <c r="YF27">
        <v>0</v>
      </c>
      <c r="YG27">
        <v>0</v>
      </c>
      <c r="YH27">
        <v>0</v>
      </c>
      <c r="YI27">
        <v>0</v>
      </c>
      <c r="YJ27">
        <v>0</v>
      </c>
      <c r="YK27">
        <v>0</v>
      </c>
      <c r="YL27">
        <v>0</v>
      </c>
      <c r="YM27">
        <v>0</v>
      </c>
      <c r="YN27">
        <v>0</v>
      </c>
      <c r="YO27">
        <v>0</v>
      </c>
      <c r="YP27">
        <v>0</v>
      </c>
      <c r="YQ27">
        <v>0</v>
      </c>
      <c r="YR27">
        <v>0</v>
      </c>
      <c r="YS27">
        <v>0</v>
      </c>
      <c r="YT27">
        <v>0</v>
      </c>
      <c r="YU27">
        <v>0</v>
      </c>
      <c r="YV27">
        <v>0</v>
      </c>
      <c r="YW27">
        <v>0</v>
      </c>
      <c r="YX27">
        <v>0</v>
      </c>
      <c r="YY27">
        <v>0</v>
      </c>
      <c r="YZ27">
        <v>0</v>
      </c>
      <c r="ZA27">
        <v>0</v>
      </c>
      <c r="ZB27">
        <v>0</v>
      </c>
      <c r="ZC27">
        <v>0</v>
      </c>
      <c r="ZD27">
        <v>0</v>
      </c>
      <c r="ZE27">
        <v>0</v>
      </c>
      <c r="ZF27">
        <v>0</v>
      </c>
      <c r="ZG27">
        <v>0</v>
      </c>
      <c r="ZH27">
        <v>0</v>
      </c>
      <c r="ZI27">
        <v>0</v>
      </c>
      <c r="ZJ27">
        <v>0</v>
      </c>
      <c r="ZK27">
        <v>0</v>
      </c>
      <c r="ZL27">
        <v>0</v>
      </c>
      <c r="ZM27">
        <v>0</v>
      </c>
      <c r="ZN27">
        <v>0</v>
      </c>
      <c r="ZO27">
        <v>0</v>
      </c>
      <c r="ZP27">
        <v>0</v>
      </c>
      <c r="ZQ27">
        <v>0</v>
      </c>
      <c r="ZR27">
        <v>0</v>
      </c>
      <c r="ZS27">
        <v>0</v>
      </c>
      <c r="ZT27">
        <v>0</v>
      </c>
      <c r="ZU27">
        <v>0</v>
      </c>
      <c r="ZV27">
        <v>0</v>
      </c>
      <c r="ZW27">
        <v>0</v>
      </c>
      <c r="ZX27">
        <v>0</v>
      </c>
      <c r="ZY27">
        <v>0</v>
      </c>
      <c r="ZZ27">
        <v>0</v>
      </c>
      <c r="AAA27">
        <v>0</v>
      </c>
      <c r="AAB27">
        <v>0</v>
      </c>
      <c r="AAC27">
        <v>0</v>
      </c>
      <c r="AAD27">
        <v>0</v>
      </c>
      <c r="AAE27">
        <v>0</v>
      </c>
      <c r="AAF27">
        <v>0</v>
      </c>
      <c r="AAG27">
        <v>0</v>
      </c>
      <c r="AAH27">
        <v>0</v>
      </c>
      <c r="AAI27">
        <v>0</v>
      </c>
      <c r="AAJ27">
        <v>0</v>
      </c>
      <c r="AAK27">
        <v>0</v>
      </c>
      <c r="AAL27">
        <v>0</v>
      </c>
      <c r="AAM27">
        <v>0</v>
      </c>
      <c r="AAN27">
        <v>0</v>
      </c>
      <c r="AAO27">
        <v>0</v>
      </c>
      <c r="AAP27">
        <v>0</v>
      </c>
      <c r="AAQ27">
        <v>0</v>
      </c>
      <c r="AAR27">
        <v>0</v>
      </c>
      <c r="AAS27">
        <v>0</v>
      </c>
      <c r="AAT27">
        <v>0</v>
      </c>
      <c r="AAU27">
        <v>0</v>
      </c>
      <c r="AAV27">
        <v>0</v>
      </c>
      <c r="AAW27">
        <v>0</v>
      </c>
      <c r="AAX27">
        <v>0</v>
      </c>
      <c r="AAY27">
        <v>0</v>
      </c>
      <c r="AAZ27">
        <v>0</v>
      </c>
      <c r="ABA27">
        <v>0</v>
      </c>
      <c r="ABB27">
        <v>0</v>
      </c>
      <c r="ABC27">
        <v>0</v>
      </c>
      <c r="ABD27">
        <v>0</v>
      </c>
      <c r="ABE27">
        <v>0</v>
      </c>
      <c r="ABG27" s="1137">
        <f t="shared" si="5"/>
        <v>0</v>
      </c>
      <c r="ABH27" s="1137">
        <f t="shared" si="5"/>
        <v>0</v>
      </c>
      <c r="ABI27" s="1137">
        <f t="shared" si="5"/>
        <v>11</v>
      </c>
      <c r="ABJ27" s="1137">
        <f t="shared" si="5"/>
        <v>30</v>
      </c>
      <c r="ABK27" s="1137">
        <f t="shared" si="5"/>
        <v>31</v>
      </c>
      <c r="ABL27" s="1137">
        <f t="shared" si="5"/>
        <v>30</v>
      </c>
      <c r="ABM27" s="1137">
        <f t="shared" si="5"/>
        <v>31</v>
      </c>
      <c r="ABN27" s="1137">
        <f t="shared" si="5"/>
        <v>31</v>
      </c>
      <c r="ABO27" s="1137">
        <f t="shared" si="5"/>
        <v>30</v>
      </c>
      <c r="ABP27" s="1137">
        <f t="shared" si="5"/>
        <v>31</v>
      </c>
      <c r="ABQ27" s="1137">
        <f t="shared" si="5"/>
        <v>30</v>
      </c>
      <c r="ABR27" s="1137">
        <f t="shared" si="5"/>
        <v>31</v>
      </c>
      <c r="ABS27" s="1137">
        <f t="shared" si="5"/>
        <v>4</v>
      </c>
      <c r="ABT27" s="1137">
        <f t="shared" si="5"/>
        <v>0</v>
      </c>
      <c r="ABU27" s="1137">
        <f t="shared" si="5"/>
        <v>0</v>
      </c>
      <c r="ABV27" s="1137">
        <f t="shared" si="5"/>
        <v>0</v>
      </c>
      <c r="ABW27" s="1137">
        <f t="shared" si="7"/>
        <v>0</v>
      </c>
      <c r="ABX27" s="1137">
        <f t="shared" si="7"/>
        <v>0</v>
      </c>
      <c r="ABY27" s="1137">
        <f t="shared" si="7"/>
        <v>19</v>
      </c>
      <c r="ABZ27" s="1137">
        <f t="shared" si="7"/>
        <v>31</v>
      </c>
      <c r="ACA27" s="1137">
        <f t="shared" si="7"/>
        <v>27</v>
      </c>
      <c r="ACB27" s="1137">
        <f t="shared" si="7"/>
        <v>0</v>
      </c>
      <c r="ACC27" s="1137">
        <f t="shared" si="7"/>
        <v>0</v>
      </c>
      <c r="ACD27" s="1137">
        <f t="shared" si="7"/>
        <v>0</v>
      </c>
      <c r="ACE27" s="1137" t="s">
        <v>15</v>
      </c>
      <c r="ACF27" s="1137">
        <f t="shared" si="6"/>
        <v>0</v>
      </c>
      <c r="ACG27" s="1137">
        <f t="shared" si="6"/>
        <v>0</v>
      </c>
      <c r="ACH27" s="1137">
        <f t="shared" si="6"/>
        <v>1</v>
      </c>
      <c r="ACI27" s="1137">
        <f t="shared" si="6"/>
        <v>1</v>
      </c>
      <c r="ACJ27" s="1137">
        <f t="shared" si="6"/>
        <v>1</v>
      </c>
      <c r="ACK27" s="1137">
        <f t="shared" si="6"/>
        <v>1</v>
      </c>
      <c r="ACL27" s="1137">
        <f t="shared" si="6"/>
        <v>1</v>
      </c>
      <c r="ACM27" s="1137">
        <f t="shared" si="6"/>
        <v>1</v>
      </c>
      <c r="ACN27" s="1137">
        <f t="shared" si="6"/>
        <v>1</v>
      </c>
      <c r="ACO27" s="1137">
        <f t="shared" si="6"/>
        <v>1</v>
      </c>
      <c r="ACP27" s="1137">
        <f t="shared" si="6"/>
        <v>1</v>
      </c>
      <c r="ACQ27" s="1137">
        <f t="shared" si="6"/>
        <v>1</v>
      </c>
      <c r="ACR27" s="1137">
        <f t="shared" si="6"/>
        <v>0</v>
      </c>
      <c r="ACS27" s="1137">
        <f t="shared" si="6"/>
        <v>0</v>
      </c>
      <c r="ACT27" s="1137">
        <f t="shared" si="6"/>
        <v>0</v>
      </c>
      <c r="ACU27" s="1137">
        <f t="shared" si="6"/>
        <v>0</v>
      </c>
      <c r="ACV27" s="1137">
        <f t="shared" si="8"/>
        <v>0</v>
      </c>
      <c r="ACW27" s="1137">
        <f t="shared" si="8"/>
        <v>0</v>
      </c>
      <c r="ACX27" s="1137">
        <f t="shared" si="8"/>
        <v>1</v>
      </c>
      <c r="ACY27" s="1137">
        <f t="shared" si="8"/>
        <v>1</v>
      </c>
      <c r="ACZ27" s="1137">
        <f t="shared" si="8"/>
        <v>1</v>
      </c>
      <c r="ADA27" s="1137">
        <f t="shared" si="8"/>
        <v>0</v>
      </c>
      <c r="ADB27" s="1137">
        <f t="shared" si="8"/>
        <v>0</v>
      </c>
      <c r="ADC27" s="1137">
        <f t="shared" si="8"/>
        <v>0</v>
      </c>
    </row>
    <row r="28" spans="1:783" x14ac:dyDescent="0.25">
      <c r="A28" t="s">
        <v>1823</v>
      </c>
      <c r="B28" t="s">
        <v>152</v>
      </c>
      <c r="C28">
        <v>0</v>
      </c>
      <c r="D28">
        <v>0</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v>0</v>
      </c>
      <c r="BI28">
        <v>0</v>
      </c>
      <c r="BJ28">
        <v>0</v>
      </c>
      <c r="BK28">
        <v>0</v>
      </c>
      <c r="BL28">
        <v>0</v>
      </c>
      <c r="BM28">
        <v>0</v>
      </c>
      <c r="BN28">
        <v>0</v>
      </c>
      <c r="BO28">
        <v>0</v>
      </c>
      <c r="BP28">
        <v>0</v>
      </c>
      <c r="BQ28">
        <v>0</v>
      </c>
      <c r="BR28">
        <v>0</v>
      </c>
      <c r="BS28">
        <v>0</v>
      </c>
      <c r="BT28">
        <v>0</v>
      </c>
      <c r="BU28">
        <v>0</v>
      </c>
      <c r="BV28">
        <v>0</v>
      </c>
      <c r="BW28">
        <v>0</v>
      </c>
      <c r="BX28">
        <v>0</v>
      </c>
      <c r="BY28">
        <v>0</v>
      </c>
      <c r="BZ28">
        <v>0</v>
      </c>
      <c r="CA28">
        <v>2</v>
      </c>
      <c r="CB28">
        <v>2</v>
      </c>
      <c r="CC28">
        <v>2</v>
      </c>
      <c r="CD28">
        <v>2</v>
      </c>
      <c r="CE28">
        <v>2</v>
      </c>
      <c r="CF28">
        <v>2</v>
      </c>
      <c r="CG28">
        <v>2</v>
      </c>
      <c r="CH28">
        <v>2</v>
      </c>
      <c r="CI28">
        <v>2</v>
      </c>
      <c r="CJ28">
        <v>2</v>
      </c>
      <c r="CK28">
        <v>2</v>
      </c>
      <c r="CL28">
        <v>2</v>
      </c>
      <c r="CM28">
        <v>2</v>
      </c>
      <c r="CN28">
        <v>2</v>
      </c>
      <c r="CO28">
        <v>2</v>
      </c>
      <c r="CP28">
        <v>2</v>
      </c>
      <c r="CQ28">
        <v>2</v>
      </c>
      <c r="CR28">
        <v>2</v>
      </c>
      <c r="CS28">
        <v>2</v>
      </c>
      <c r="CT28">
        <v>2</v>
      </c>
      <c r="CU28">
        <v>2</v>
      </c>
      <c r="CV28">
        <v>2</v>
      </c>
      <c r="CW28">
        <v>2</v>
      </c>
      <c r="CX28">
        <v>2</v>
      </c>
      <c r="CY28">
        <v>2</v>
      </c>
      <c r="CZ28">
        <v>2</v>
      </c>
      <c r="DA28">
        <v>2</v>
      </c>
      <c r="DB28">
        <v>2</v>
      </c>
      <c r="DC28">
        <v>2</v>
      </c>
      <c r="DD28">
        <v>2</v>
      </c>
      <c r="DE28">
        <v>2</v>
      </c>
      <c r="DF28">
        <v>2</v>
      </c>
      <c r="DG28">
        <v>2</v>
      </c>
      <c r="DH28">
        <v>2</v>
      </c>
      <c r="DI28">
        <v>2</v>
      </c>
      <c r="DJ28">
        <v>2</v>
      </c>
      <c r="DK28">
        <v>2</v>
      </c>
      <c r="DL28">
        <v>2</v>
      </c>
      <c r="DM28">
        <v>2</v>
      </c>
      <c r="DN28">
        <v>2</v>
      </c>
      <c r="DO28">
        <v>2</v>
      </c>
      <c r="DP28">
        <v>2</v>
      </c>
      <c r="DQ28">
        <v>2</v>
      </c>
      <c r="DR28">
        <v>2</v>
      </c>
      <c r="DS28">
        <v>2</v>
      </c>
      <c r="DT28">
        <v>2</v>
      </c>
      <c r="DU28">
        <v>2</v>
      </c>
      <c r="DV28">
        <v>2</v>
      </c>
      <c r="DW28">
        <v>2</v>
      </c>
      <c r="DX28">
        <v>2</v>
      </c>
      <c r="DY28">
        <v>2</v>
      </c>
      <c r="DZ28">
        <v>2</v>
      </c>
      <c r="EA28">
        <v>2</v>
      </c>
      <c r="EB28">
        <v>2</v>
      </c>
      <c r="EC28">
        <v>2</v>
      </c>
      <c r="ED28">
        <v>2</v>
      </c>
      <c r="EE28">
        <v>2</v>
      </c>
      <c r="EF28">
        <v>2</v>
      </c>
      <c r="EG28">
        <v>2</v>
      </c>
      <c r="EH28">
        <v>2</v>
      </c>
      <c r="EI28">
        <v>2</v>
      </c>
      <c r="EJ28">
        <v>2</v>
      </c>
      <c r="EK28">
        <v>2</v>
      </c>
      <c r="EL28">
        <v>2</v>
      </c>
      <c r="EM28">
        <v>2</v>
      </c>
      <c r="EN28">
        <v>2</v>
      </c>
      <c r="EO28">
        <v>2</v>
      </c>
      <c r="EP28">
        <v>2</v>
      </c>
      <c r="EQ28">
        <v>2</v>
      </c>
      <c r="ER28">
        <v>2</v>
      </c>
      <c r="ES28">
        <v>2</v>
      </c>
      <c r="ET28">
        <v>2</v>
      </c>
      <c r="EU28">
        <v>2</v>
      </c>
      <c r="EV28">
        <v>2</v>
      </c>
      <c r="EW28">
        <v>2</v>
      </c>
      <c r="EX28">
        <v>2</v>
      </c>
      <c r="EY28">
        <v>2</v>
      </c>
      <c r="EZ28">
        <v>2</v>
      </c>
      <c r="FA28">
        <v>2</v>
      </c>
      <c r="FB28">
        <v>2</v>
      </c>
      <c r="FC28">
        <v>2</v>
      </c>
      <c r="FD28">
        <v>2</v>
      </c>
      <c r="FE28">
        <v>2</v>
      </c>
      <c r="FF28">
        <v>2</v>
      </c>
      <c r="FG28">
        <v>2</v>
      </c>
      <c r="FH28">
        <v>2</v>
      </c>
      <c r="FI28">
        <v>2</v>
      </c>
      <c r="FJ28">
        <v>2</v>
      </c>
      <c r="FK28">
        <v>2</v>
      </c>
      <c r="FL28">
        <v>2</v>
      </c>
      <c r="FM28">
        <v>2</v>
      </c>
      <c r="FN28">
        <v>2</v>
      </c>
      <c r="FO28">
        <v>2</v>
      </c>
      <c r="FP28">
        <v>2</v>
      </c>
      <c r="FQ28">
        <v>2</v>
      </c>
      <c r="FR28">
        <v>2</v>
      </c>
      <c r="FS28">
        <v>2</v>
      </c>
      <c r="FT28">
        <v>2</v>
      </c>
      <c r="FU28">
        <v>2</v>
      </c>
      <c r="FV28">
        <v>2</v>
      </c>
      <c r="FW28">
        <v>2</v>
      </c>
      <c r="FX28">
        <v>2</v>
      </c>
      <c r="FY28">
        <v>2</v>
      </c>
      <c r="FZ28">
        <v>2</v>
      </c>
      <c r="GA28">
        <v>2</v>
      </c>
      <c r="GB28">
        <v>2</v>
      </c>
      <c r="GC28">
        <v>2</v>
      </c>
      <c r="GD28">
        <v>2</v>
      </c>
      <c r="GE28">
        <v>2</v>
      </c>
      <c r="GF28">
        <v>2</v>
      </c>
      <c r="GG28">
        <v>2</v>
      </c>
      <c r="GH28">
        <v>2</v>
      </c>
      <c r="GI28">
        <v>2</v>
      </c>
      <c r="GJ28">
        <v>2</v>
      </c>
      <c r="GK28">
        <v>2</v>
      </c>
      <c r="GL28">
        <v>2</v>
      </c>
      <c r="GM28">
        <v>2</v>
      </c>
      <c r="GN28">
        <v>2</v>
      </c>
      <c r="GO28">
        <v>2</v>
      </c>
      <c r="GP28">
        <v>2</v>
      </c>
      <c r="GQ28">
        <v>2</v>
      </c>
      <c r="GR28">
        <v>2</v>
      </c>
      <c r="GS28">
        <v>2</v>
      </c>
      <c r="GT28">
        <v>2</v>
      </c>
      <c r="GU28">
        <v>2</v>
      </c>
      <c r="GV28">
        <v>2</v>
      </c>
      <c r="GW28">
        <v>2</v>
      </c>
      <c r="GX28">
        <v>2</v>
      </c>
      <c r="GY28">
        <v>2</v>
      </c>
      <c r="GZ28">
        <v>2</v>
      </c>
      <c r="HA28">
        <v>2</v>
      </c>
      <c r="HB28">
        <v>2</v>
      </c>
      <c r="HC28">
        <v>2</v>
      </c>
      <c r="HD28">
        <v>2</v>
      </c>
      <c r="HE28">
        <v>2</v>
      </c>
      <c r="HF28">
        <v>2</v>
      </c>
      <c r="HG28">
        <v>2</v>
      </c>
      <c r="HH28">
        <v>2</v>
      </c>
      <c r="HI28">
        <v>2</v>
      </c>
      <c r="HJ28">
        <v>2</v>
      </c>
      <c r="HK28">
        <v>2</v>
      </c>
      <c r="HL28">
        <v>2</v>
      </c>
      <c r="HM28">
        <v>2</v>
      </c>
      <c r="HN28">
        <v>2</v>
      </c>
      <c r="HO28">
        <v>2</v>
      </c>
      <c r="HP28">
        <v>2</v>
      </c>
      <c r="HQ28">
        <v>2</v>
      </c>
      <c r="HR28">
        <v>2</v>
      </c>
      <c r="HS28">
        <v>2</v>
      </c>
      <c r="HT28">
        <v>2</v>
      </c>
      <c r="HU28">
        <v>2</v>
      </c>
      <c r="HV28">
        <v>2</v>
      </c>
      <c r="HW28">
        <v>2</v>
      </c>
      <c r="HX28">
        <v>2</v>
      </c>
      <c r="HY28">
        <v>2</v>
      </c>
      <c r="HZ28">
        <v>2</v>
      </c>
      <c r="IA28">
        <v>2</v>
      </c>
      <c r="IB28">
        <v>2</v>
      </c>
      <c r="IC28">
        <v>2</v>
      </c>
      <c r="ID28">
        <v>2</v>
      </c>
      <c r="IE28">
        <v>2</v>
      </c>
      <c r="IF28">
        <v>2</v>
      </c>
      <c r="IG28">
        <v>2</v>
      </c>
      <c r="IH28">
        <v>2</v>
      </c>
      <c r="II28">
        <v>2</v>
      </c>
      <c r="IJ28">
        <v>2</v>
      </c>
      <c r="IK28">
        <v>2</v>
      </c>
      <c r="IL28">
        <v>2</v>
      </c>
      <c r="IM28">
        <v>2</v>
      </c>
      <c r="IN28">
        <v>2</v>
      </c>
      <c r="IO28">
        <v>2</v>
      </c>
      <c r="IP28">
        <v>2</v>
      </c>
      <c r="IQ28">
        <v>2</v>
      </c>
      <c r="IR28">
        <v>2</v>
      </c>
      <c r="IS28">
        <v>2</v>
      </c>
      <c r="IT28">
        <v>2</v>
      </c>
      <c r="IU28">
        <v>2</v>
      </c>
      <c r="IV28">
        <v>2</v>
      </c>
      <c r="IW28">
        <v>2</v>
      </c>
      <c r="IX28">
        <v>2</v>
      </c>
      <c r="IY28">
        <v>2</v>
      </c>
      <c r="IZ28">
        <v>2</v>
      </c>
      <c r="JA28">
        <v>2</v>
      </c>
      <c r="JB28">
        <v>2</v>
      </c>
      <c r="JC28">
        <v>2</v>
      </c>
      <c r="JD28">
        <v>2</v>
      </c>
      <c r="JE28">
        <v>2</v>
      </c>
      <c r="JF28">
        <v>2</v>
      </c>
      <c r="JG28">
        <v>2</v>
      </c>
      <c r="JH28">
        <v>2</v>
      </c>
      <c r="JI28">
        <v>2</v>
      </c>
      <c r="JJ28">
        <v>2</v>
      </c>
      <c r="JK28">
        <v>2</v>
      </c>
      <c r="JL28">
        <v>2</v>
      </c>
      <c r="JM28">
        <v>2</v>
      </c>
      <c r="JN28">
        <v>2</v>
      </c>
      <c r="JO28">
        <v>2</v>
      </c>
      <c r="JP28">
        <v>2</v>
      </c>
      <c r="JQ28">
        <v>2</v>
      </c>
      <c r="JR28">
        <v>2</v>
      </c>
      <c r="JS28">
        <v>2</v>
      </c>
      <c r="JT28">
        <v>2</v>
      </c>
      <c r="JU28">
        <v>2</v>
      </c>
      <c r="JV28">
        <v>2</v>
      </c>
      <c r="JW28">
        <v>2</v>
      </c>
      <c r="JX28">
        <v>2</v>
      </c>
      <c r="JY28">
        <v>2</v>
      </c>
      <c r="JZ28">
        <v>2</v>
      </c>
      <c r="KA28">
        <v>2</v>
      </c>
      <c r="KB28">
        <v>2</v>
      </c>
      <c r="KC28">
        <v>2</v>
      </c>
      <c r="KD28">
        <v>2</v>
      </c>
      <c r="KE28">
        <v>2</v>
      </c>
      <c r="KF28">
        <v>2</v>
      </c>
      <c r="KG28">
        <v>2</v>
      </c>
      <c r="KH28">
        <v>2</v>
      </c>
      <c r="KI28">
        <v>2</v>
      </c>
      <c r="KJ28">
        <v>2</v>
      </c>
      <c r="KK28">
        <v>2</v>
      </c>
      <c r="KL28">
        <v>2</v>
      </c>
      <c r="KM28">
        <v>2</v>
      </c>
      <c r="KN28">
        <v>2</v>
      </c>
      <c r="KO28">
        <v>2</v>
      </c>
      <c r="KP28">
        <v>2</v>
      </c>
      <c r="KQ28">
        <v>2</v>
      </c>
      <c r="KR28">
        <v>2</v>
      </c>
      <c r="KS28">
        <v>2</v>
      </c>
      <c r="KT28">
        <v>2</v>
      </c>
      <c r="KU28">
        <v>2</v>
      </c>
      <c r="KV28">
        <v>2</v>
      </c>
      <c r="KW28">
        <v>2</v>
      </c>
      <c r="KX28">
        <v>2</v>
      </c>
      <c r="KY28">
        <v>2</v>
      </c>
      <c r="KZ28">
        <v>2</v>
      </c>
      <c r="LA28">
        <v>2</v>
      </c>
      <c r="LB28">
        <v>2</v>
      </c>
      <c r="LC28">
        <v>2</v>
      </c>
      <c r="LD28">
        <v>2</v>
      </c>
      <c r="LE28">
        <v>2</v>
      </c>
      <c r="LF28">
        <v>2</v>
      </c>
      <c r="LG28">
        <v>2</v>
      </c>
      <c r="LH28">
        <v>2</v>
      </c>
      <c r="LI28">
        <v>2</v>
      </c>
      <c r="LJ28">
        <v>2</v>
      </c>
      <c r="LK28">
        <v>2</v>
      </c>
      <c r="LL28">
        <v>2</v>
      </c>
      <c r="LM28">
        <v>2</v>
      </c>
      <c r="LN28">
        <v>2</v>
      </c>
      <c r="LO28">
        <v>2</v>
      </c>
      <c r="LP28">
        <v>2</v>
      </c>
      <c r="LQ28">
        <v>2</v>
      </c>
      <c r="LR28">
        <v>2</v>
      </c>
      <c r="LS28">
        <v>2</v>
      </c>
      <c r="LT28">
        <v>2</v>
      </c>
      <c r="LU28">
        <v>2</v>
      </c>
      <c r="LV28">
        <v>2</v>
      </c>
      <c r="LW28">
        <v>2</v>
      </c>
      <c r="LX28">
        <v>2</v>
      </c>
      <c r="LY28">
        <v>2</v>
      </c>
      <c r="LZ28">
        <v>2</v>
      </c>
      <c r="MA28">
        <v>2</v>
      </c>
      <c r="MB28">
        <v>2</v>
      </c>
      <c r="MC28">
        <v>2</v>
      </c>
      <c r="MD28">
        <v>2</v>
      </c>
      <c r="ME28">
        <v>2</v>
      </c>
      <c r="MF28">
        <v>2</v>
      </c>
      <c r="MG28">
        <v>2</v>
      </c>
      <c r="MH28">
        <v>2</v>
      </c>
      <c r="MI28">
        <v>2</v>
      </c>
      <c r="MJ28">
        <v>2</v>
      </c>
      <c r="MK28">
        <v>2</v>
      </c>
      <c r="ML28">
        <v>2</v>
      </c>
      <c r="MM28">
        <v>2</v>
      </c>
      <c r="MN28">
        <v>2</v>
      </c>
      <c r="MO28">
        <v>2</v>
      </c>
      <c r="MP28">
        <v>2</v>
      </c>
      <c r="MQ28">
        <v>2</v>
      </c>
      <c r="MR28">
        <v>2</v>
      </c>
      <c r="MS28">
        <v>2</v>
      </c>
      <c r="MT28">
        <v>2</v>
      </c>
      <c r="MU28">
        <v>2</v>
      </c>
      <c r="MV28">
        <v>2</v>
      </c>
      <c r="MW28">
        <v>2</v>
      </c>
      <c r="MX28">
        <v>2</v>
      </c>
      <c r="MY28">
        <v>2</v>
      </c>
      <c r="MZ28">
        <v>2</v>
      </c>
      <c r="NA28">
        <v>2</v>
      </c>
      <c r="NB28">
        <v>2</v>
      </c>
      <c r="NC28">
        <v>2</v>
      </c>
      <c r="ND28">
        <v>2</v>
      </c>
      <c r="NE28">
        <v>2</v>
      </c>
      <c r="NF28">
        <v>2</v>
      </c>
      <c r="NG28">
        <v>2</v>
      </c>
      <c r="NH28">
        <v>2</v>
      </c>
      <c r="NI28">
        <v>2</v>
      </c>
      <c r="NJ28">
        <v>2</v>
      </c>
      <c r="NK28">
        <v>2</v>
      </c>
      <c r="NL28">
        <v>2</v>
      </c>
      <c r="NM28">
        <v>2</v>
      </c>
      <c r="NN28">
        <v>2</v>
      </c>
      <c r="NO28">
        <v>2</v>
      </c>
      <c r="NP28">
        <v>2</v>
      </c>
      <c r="NQ28">
        <v>2</v>
      </c>
      <c r="NR28">
        <v>2</v>
      </c>
      <c r="NS28">
        <v>2</v>
      </c>
      <c r="NT28">
        <v>2</v>
      </c>
      <c r="NU28">
        <v>2</v>
      </c>
      <c r="NV28">
        <v>2</v>
      </c>
      <c r="NW28">
        <v>2</v>
      </c>
      <c r="NX28">
        <v>2</v>
      </c>
      <c r="NY28">
        <v>2</v>
      </c>
      <c r="NZ28">
        <v>2</v>
      </c>
      <c r="OA28">
        <v>2</v>
      </c>
      <c r="OB28">
        <v>2</v>
      </c>
      <c r="OC28">
        <v>2</v>
      </c>
      <c r="OD28">
        <v>2</v>
      </c>
      <c r="OE28">
        <v>2</v>
      </c>
      <c r="OF28">
        <v>2</v>
      </c>
      <c r="OG28">
        <v>2</v>
      </c>
      <c r="OH28">
        <v>2</v>
      </c>
      <c r="OI28">
        <v>2</v>
      </c>
      <c r="OJ28">
        <v>2</v>
      </c>
      <c r="OK28">
        <v>2</v>
      </c>
      <c r="OL28">
        <v>2</v>
      </c>
      <c r="OM28">
        <v>2</v>
      </c>
      <c r="ON28">
        <v>2</v>
      </c>
      <c r="OO28">
        <v>2</v>
      </c>
      <c r="OP28">
        <v>2</v>
      </c>
      <c r="OQ28">
        <v>2</v>
      </c>
      <c r="OR28">
        <v>2</v>
      </c>
      <c r="OS28">
        <v>2</v>
      </c>
      <c r="OT28">
        <v>2</v>
      </c>
      <c r="OU28">
        <v>2</v>
      </c>
      <c r="OV28">
        <v>2</v>
      </c>
      <c r="OW28">
        <v>2</v>
      </c>
      <c r="OX28">
        <v>2</v>
      </c>
      <c r="OY28">
        <v>2</v>
      </c>
      <c r="OZ28">
        <v>2</v>
      </c>
      <c r="PA28">
        <v>2</v>
      </c>
      <c r="PB28">
        <v>2</v>
      </c>
      <c r="PC28">
        <v>2</v>
      </c>
      <c r="PD28">
        <v>2</v>
      </c>
      <c r="PE28">
        <v>2</v>
      </c>
      <c r="PF28">
        <v>2</v>
      </c>
      <c r="PG28">
        <v>2</v>
      </c>
      <c r="PH28">
        <v>2</v>
      </c>
      <c r="PI28">
        <v>2</v>
      </c>
      <c r="PJ28">
        <v>2</v>
      </c>
      <c r="PK28">
        <v>2</v>
      </c>
      <c r="PL28">
        <v>2</v>
      </c>
      <c r="PM28">
        <v>2</v>
      </c>
      <c r="PN28">
        <v>2</v>
      </c>
      <c r="PO28">
        <v>2</v>
      </c>
      <c r="PP28">
        <v>2</v>
      </c>
      <c r="PQ28">
        <v>2</v>
      </c>
      <c r="PR28">
        <v>2</v>
      </c>
      <c r="PS28">
        <v>2</v>
      </c>
      <c r="PT28">
        <v>2</v>
      </c>
      <c r="PU28">
        <v>2</v>
      </c>
      <c r="PV28">
        <v>2</v>
      </c>
      <c r="PW28">
        <v>2</v>
      </c>
      <c r="PX28">
        <v>2</v>
      </c>
      <c r="PY28">
        <v>2</v>
      </c>
      <c r="PZ28">
        <v>2</v>
      </c>
      <c r="QA28">
        <v>2</v>
      </c>
      <c r="QB28">
        <v>2</v>
      </c>
      <c r="QC28">
        <v>2</v>
      </c>
      <c r="QD28">
        <v>2</v>
      </c>
      <c r="QE28">
        <v>2</v>
      </c>
      <c r="QF28">
        <v>2</v>
      </c>
      <c r="QG28">
        <v>2</v>
      </c>
      <c r="QH28">
        <v>2</v>
      </c>
      <c r="QI28">
        <v>2</v>
      </c>
      <c r="QJ28">
        <v>2</v>
      </c>
      <c r="QK28">
        <v>2</v>
      </c>
      <c r="QL28">
        <v>2</v>
      </c>
      <c r="QM28">
        <v>2</v>
      </c>
      <c r="QN28">
        <v>2</v>
      </c>
      <c r="QO28">
        <v>2</v>
      </c>
      <c r="QP28">
        <v>2</v>
      </c>
      <c r="QQ28">
        <v>2</v>
      </c>
      <c r="QR28">
        <v>2</v>
      </c>
      <c r="QS28">
        <v>2</v>
      </c>
      <c r="QT28">
        <v>2</v>
      </c>
      <c r="QU28">
        <v>2</v>
      </c>
      <c r="QV28">
        <v>2</v>
      </c>
      <c r="QW28">
        <v>2</v>
      </c>
      <c r="QX28">
        <v>2</v>
      </c>
      <c r="QY28">
        <v>2</v>
      </c>
      <c r="QZ28">
        <v>2</v>
      </c>
      <c r="RA28">
        <v>2</v>
      </c>
      <c r="RB28">
        <v>2</v>
      </c>
      <c r="RC28">
        <v>2</v>
      </c>
      <c r="RD28">
        <v>2</v>
      </c>
      <c r="RE28">
        <v>2</v>
      </c>
      <c r="RF28">
        <v>2</v>
      </c>
      <c r="RG28">
        <v>2</v>
      </c>
      <c r="RH28">
        <v>2</v>
      </c>
      <c r="RI28">
        <v>2</v>
      </c>
      <c r="RJ28">
        <v>2</v>
      </c>
      <c r="RK28">
        <v>2</v>
      </c>
      <c r="RL28">
        <v>2</v>
      </c>
      <c r="RM28">
        <v>2</v>
      </c>
      <c r="RN28">
        <v>2</v>
      </c>
      <c r="RO28">
        <v>2</v>
      </c>
      <c r="RP28">
        <v>2</v>
      </c>
      <c r="RQ28">
        <v>2</v>
      </c>
      <c r="RR28">
        <v>2</v>
      </c>
      <c r="RS28">
        <v>2</v>
      </c>
      <c r="RT28">
        <v>2</v>
      </c>
      <c r="RU28">
        <v>2</v>
      </c>
      <c r="RV28">
        <v>2</v>
      </c>
      <c r="RW28">
        <v>2</v>
      </c>
      <c r="RX28">
        <v>2</v>
      </c>
      <c r="RY28">
        <v>2</v>
      </c>
      <c r="RZ28">
        <v>2</v>
      </c>
      <c r="SA28">
        <v>2</v>
      </c>
      <c r="SB28">
        <v>2</v>
      </c>
      <c r="SC28">
        <v>2</v>
      </c>
      <c r="SD28">
        <v>2</v>
      </c>
      <c r="SE28">
        <v>2</v>
      </c>
      <c r="SF28">
        <v>2</v>
      </c>
      <c r="SG28">
        <v>2</v>
      </c>
      <c r="SH28">
        <v>2</v>
      </c>
      <c r="SI28">
        <v>2</v>
      </c>
      <c r="SJ28">
        <v>2</v>
      </c>
      <c r="SK28">
        <v>2</v>
      </c>
      <c r="SL28">
        <v>2</v>
      </c>
      <c r="SM28">
        <v>2</v>
      </c>
      <c r="SN28">
        <v>2</v>
      </c>
      <c r="SO28">
        <v>2</v>
      </c>
      <c r="SP28">
        <v>2</v>
      </c>
      <c r="SQ28">
        <v>2</v>
      </c>
      <c r="SR28">
        <v>2</v>
      </c>
      <c r="SS28">
        <v>2</v>
      </c>
      <c r="ST28">
        <v>2</v>
      </c>
      <c r="SU28">
        <v>2</v>
      </c>
      <c r="SV28">
        <v>2</v>
      </c>
      <c r="SW28">
        <v>2</v>
      </c>
      <c r="SX28">
        <v>2</v>
      </c>
      <c r="SY28">
        <v>2</v>
      </c>
      <c r="SZ28">
        <v>2</v>
      </c>
      <c r="TA28">
        <v>2</v>
      </c>
      <c r="TB28">
        <v>2</v>
      </c>
      <c r="TC28">
        <v>2</v>
      </c>
      <c r="TD28">
        <v>2</v>
      </c>
      <c r="TE28">
        <v>2</v>
      </c>
      <c r="TF28">
        <v>2</v>
      </c>
      <c r="TG28">
        <v>2</v>
      </c>
      <c r="TH28">
        <v>2</v>
      </c>
      <c r="TI28">
        <v>2</v>
      </c>
      <c r="TJ28">
        <v>2</v>
      </c>
      <c r="TK28">
        <v>2</v>
      </c>
      <c r="TL28">
        <v>2</v>
      </c>
      <c r="TM28">
        <v>2</v>
      </c>
      <c r="TN28">
        <v>2</v>
      </c>
      <c r="TO28">
        <v>2</v>
      </c>
      <c r="TP28">
        <v>2</v>
      </c>
      <c r="TQ28">
        <v>2</v>
      </c>
      <c r="TR28">
        <v>2</v>
      </c>
      <c r="TS28">
        <v>2</v>
      </c>
      <c r="TT28">
        <v>2</v>
      </c>
      <c r="TU28">
        <v>2</v>
      </c>
      <c r="TV28">
        <v>2</v>
      </c>
      <c r="TW28">
        <v>2</v>
      </c>
      <c r="TX28">
        <v>2</v>
      </c>
      <c r="TY28">
        <v>2</v>
      </c>
      <c r="TZ28">
        <v>2</v>
      </c>
      <c r="UA28">
        <v>2</v>
      </c>
      <c r="UB28">
        <v>2</v>
      </c>
      <c r="UC28">
        <v>2</v>
      </c>
      <c r="UD28">
        <v>2</v>
      </c>
      <c r="UE28">
        <v>2</v>
      </c>
      <c r="UF28">
        <v>2</v>
      </c>
      <c r="UG28">
        <v>2</v>
      </c>
      <c r="UH28">
        <v>2</v>
      </c>
      <c r="UI28">
        <v>2</v>
      </c>
      <c r="UJ28">
        <v>2</v>
      </c>
      <c r="UK28">
        <v>2</v>
      </c>
      <c r="UL28">
        <v>2</v>
      </c>
      <c r="UM28">
        <v>2</v>
      </c>
      <c r="UN28">
        <v>2</v>
      </c>
      <c r="UO28">
        <v>2</v>
      </c>
      <c r="UP28">
        <v>2</v>
      </c>
      <c r="UQ28">
        <v>2</v>
      </c>
      <c r="UR28">
        <v>2</v>
      </c>
      <c r="US28">
        <v>2</v>
      </c>
      <c r="UT28">
        <v>2</v>
      </c>
      <c r="UU28">
        <v>2</v>
      </c>
      <c r="UV28">
        <v>2</v>
      </c>
      <c r="UW28">
        <v>2</v>
      </c>
      <c r="UX28">
        <v>2</v>
      </c>
      <c r="UY28">
        <v>2</v>
      </c>
      <c r="UZ28">
        <v>2</v>
      </c>
      <c r="VA28">
        <v>2</v>
      </c>
      <c r="VB28">
        <v>2</v>
      </c>
      <c r="VC28">
        <v>2</v>
      </c>
      <c r="VD28">
        <v>2</v>
      </c>
      <c r="VE28">
        <v>2</v>
      </c>
      <c r="VF28">
        <v>2</v>
      </c>
      <c r="VG28">
        <v>2</v>
      </c>
      <c r="VH28">
        <v>2</v>
      </c>
      <c r="VI28">
        <v>2</v>
      </c>
      <c r="VJ28">
        <v>2</v>
      </c>
      <c r="VK28">
        <v>2</v>
      </c>
      <c r="VL28">
        <v>2</v>
      </c>
      <c r="VM28">
        <v>2</v>
      </c>
      <c r="VN28">
        <v>2</v>
      </c>
      <c r="VO28">
        <v>2</v>
      </c>
      <c r="VP28">
        <v>2</v>
      </c>
      <c r="VQ28">
        <v>2</v>
      </c>
      <c r="VR28">
        <v>2</v>
      </c>
      <c r="VS28">
        <v>2</v>
      </c>
      <c r="VT28">
        <v>2</v>
      </c>
      <c r="VU28">
        <v>2</v>
      </c>
      <c r="VV28">
        <v>2</v>
      </c>
      <c r="VW28">
        <v>2</v>
      </c>
      <c r="VX28">
        <v>2</v>
      </c>
      <c r="VY28">
        <v>2</v>
      </c>
      <c r="VZ28">
        <v>2</v>
      </c>
      <c r="WA28">
        <v>2</v>
      </c>
      <c r="WB28">
        <v>2</v>
      </c>
      <c r="WC28">
        <v>2</v>
      </c>
      <c r="WD28">
        <v>2</v>
      </c>
      <c r="WE28">
        <v>2</v>
      </c>
      <c r="WF28">
        <v>2</v>
      </c>
      <c r="WG28">
        <v>2</v>
      </c>
      <c r="WH28">
        <v>2</v>
      </c>
      <c r="WI28">
        <v>2</v>
      </c>
      <c r="WJ28">
        <v>2</v>
      </c>
      <c r="WK28">
        <v>2</v>
      </c>
      <c r="WL28">
        <v>2</v>
      </c>
      <c r="WM28">
        <v>2</v>
      </c>
      <c r="WN28">
        <v>2</v>
      </c>
      <c r="WO28">
        <v>2</v>
      </c>
      <c r="WP28">
        <v>2</v>
      </c>
      <c r="WQ28">
        <v>2</v>
      </c>
      <c r="WR28">
        <v>2</v>
      </c>
      <c r="WS28">
        <v>2</v>
      </c>
      <c r="WT28">
        <v>2</v>
      </c>
      <c r="WU28">
        <v>2</v>
      </c>
      <c r="WV28">
        <v>2</v>
      </c>
      <c r="WW28">
        <v>2</v>
      </c>
      <c r="WX28">
        <v>2</v>
      </c>
      <c r="WY28">
        <v>2</v>
      </c>
      <c r="WZ28">
        <v>2</v>
      </c>
      <c r="XA28">
        <v>2</v>
      </c>
      <c r="XB28">
        <v>2</v>
      </c>
      <c r="XC28">
        <v>2</v>
      </c>
      <c r="XD28">
        <v>2</v>
      </c>
      <c r="XE28">
        <v>2</v>
      </c>
      <c r="XF28">
        <v>2</v>
      </c>
      <c r="XG28">
        <v>2</v>
      </c>
      <c r="XH28">
        <v>2</v>
      </c>
      <c r="XI28">
        <v>2</v>
      </c>
      <c r="XJ28">
        <v>2</v>
      </c>
      <c r="XK28">
        <v>2</v>
      </c>
      <c r="XL28">
        <v>2</v>
      </c>
      <c r="XM28">
        <v>2</v>
      </c>
      <c r="XN28">
        <v>2</v>
      </c>
      <c r="XO28">
        <v>2</v>
      </c>
      <c r="XP28">
        <v>2</v>
      </c>
      <c r="XQ28">
        <v>2</v>
      </c>
      <c r="XR28">
        <v>2</v>
      </c>
      <c r="XS28">
        <v>2</v>
      </c>
      <c r="XT28">
        <v>2</v>
      </c>
      <c r="XU28">
        <v>2</v>
      </c>
      <c r="XV28">
        <v>2</v>
      </c>
      <c r="XW28">
        <v>2</v>
      </c>
      <c r="XX28">
        <v>2</v>
      </c>
      <c r="XY28">
        <v>2</v>
      </c>
      <c r="XZ28">
        <v>2</v>
      </c>
      <c r="YA28">
        <v>2</v>
      </c>
      <c r="YB28">
        <v>2</v>
      </c>
      <c r="YC28">
        <v>2</v>
      </c>
      <c r="YD28">
        <v>2</v>
      </c>
      <c r="YE28">
        <v>2</v>
      </c>
      <c r="YF28">
        <v>2</v>
      </c>
      <c r="YG28">
        <v>2</v>
      </c>
      <c r="YH28">
        <v>2</v>
      </c>
      <c r="YI28">
        <v>2</v>
      </c>
      <c r="YJ28">
        <v>2</v>
      </c>
      <c r="YK28">
        <v>2</v>
      </c>
      <c r="YL28">
        <v>2</v>
      </c>
      <c r="YM28">
        <v>2</v>
      </c>
      <c r="YN28">
        <v>2</v>
      </c>
      <c r="YO28">
        <v>2</v>
      </c>
      <c r="YP28">
        <v>2</v>
      </c>
      <c r="YQ28">
        <v>2</v>
      </c>
      <c r="YR28">
        <v>2</v>
      </c>
      <c r="YS28">
        <v>2</v>
      </c>
      <c r="YT28">
        <v>2</v>
      </c>
      <c r="YU28">
        <v>2</v>
      </c>
      <c r="YV28">
        <v>2</v>
      </c>
      <c r="YW28">
        <v>2</v>
      </c>
      <c r="YX28">
        <v>2</v>
      </c>
      <c r="YY28">
        <v>2</v>
      </c>
      <c r="YZ28">
        <v>2</v>
      </c>
      <c r="ZA28">
        <v>2</v>
      </c>
      <c r="ZB28">
        <v>2</v>
      </c>
      <c r="ZC28">
        <v>2</v>
      </c>
      <c r="ZD28">
        <v>2</v>
      </c>
      <c r="ZE28">
        <v>2</v>
      </c>
      <c r="ZF28">
        <v>2</v>
      </c>
      <c r="ZG28">
        <v>2</v>
      </c>
      <c r="ZH28">
        <v>2</v>
      </c>
      <c r="ZI28">
        <v>2</v>
      </c>
      <c r="ZJ28">
        <v>2</v>
      </c>
      <c r="ZK28">
        <v>2</v>
      </c>
      <c r="ZL28">
        <v>2</v>
      </c>
      <c r="ZM28">
        <v>2</v>
      </c>
      <c r="ZN28">
        <v>2</v>
      </c>
      <c r="ZO28">
        <v>2</v>
      </c>
      <c r="ZP28">
        <v>2</v>
      </c>
      <c r="ZQ28">
        <v>2</v>
      </c>
      <c r="ZR28">
        <v>2</v>
      </c>
      <c r="ZS28">
        <v>2</v>
      </c>
      <c r="ZT28">
        <v>2</v>
      </c>
      <c r="ZU28">
        <v>2</v>
      </c>
      <c r="ZV28">
        <v>2</v>
      </c>
      <c r="ZW28">
        <v>2</v>
      </c>
      <c r="ZX28">
        <v>2</v>
      </c>
      <c r="ZY28">
        <v>2</v>
      </c>
      <c r="ZZ28">
        <v>2</v>
      </c>
      <c r="AAA28">
        <v>2</v>
      </c>
      <c r="AAB28">
        <v>2</v>
      </c>
      <c r="AAC28">
        <v>2</v>
      </c>
      <c r="AAD28">
        <v>2</v>
      </c>
      <c r="AAE28">
        <v>2</v>
      </c>
      <c r="AAF28">
        <v>2</v>
      </c>
      <c r="AAG28">
        <v>2</v>
      </c>
      <c r="AAH28">
        <v>2</v>
      </c>
      <c r="AAI28">
        <v>2</v>
      </c>
      <c r="AAJ28">
        <v>2</v>
      </c>
      <c r="AAK28">
        <v>2</v>
      </c>
      <c r="AAL28">
        <v>2</v>
      </c>
      <c r="AAM28">
        <v>2</v>
      </c>
      <c r="AAN28">
        <v>2</v>
      </c>
      <c r="AAO28">
        <v>2</v>
      </c>
      <c r="AAP28">
        <v>2</v>
      </c>
      <c r="AAQ28">
        <v>2</v>
      </c>
      <c r="AAR28">
        <v>2</v>
      </c>
      <c r="AAS28">
        <v>2</v>
      </c>
      <c r="AAT28">
        <v>2</v>
      </c>
      <c r="AAU28">
        <v>2</v>
      </c>
      <c r="AAV28">
        <v>2</v>
      </c>
      <c r="AAW28">
        <v>2</v>
      </c>
      <c r="AAX28">
        <v>2</v>
      </c>
      <c r="AAY28">
        <v>2</v>
      </c>
      <c r="AAZ28">
        <v>2</v>
      </c>
      <c r="ABA28">
        <v>2</v>
      </c>
      <c r="ABB28">
        <v>2</v>
      </c>
      <c r="ABC28">
        <v>2</v>
      </c>
      <c r="ABD28">
        <v>2</v>
      </c>
      <c r="ABE28">
        <v>2</v>
      </c>
      <c r="ABG28" s="1137">
        <f t="shared" si="5"/>
        <v>0</v>
      </c>
      <c r="ABH28" s="1137">
        <f t="shared" si="5"/>
        <v>0</v>
      </c>
      <c r="ABI28" s="1137">
        <f t="shared" si="5"/>
        <v>15</v>
      </c>
      <c r="ABJ28" s="1137">
        <f t="shared" si="5"/>
        <v>30</v>
      </c>
      <c r="ABK28" s="1137">
        <f t="shared" si="5"/>
        <v>31</v>
      </c>
      <c r="ABL28" s="1137">
        <f t="shared" si="5"/>
        <v>30</v>
      </c>
      <c r="ABM28" s="1137">
        <f t="shared" si="5"/>
        <v>31</v>
      </c>
      <c r="ABN28" s="1137">
        <f t="shared" si="5"/>
        <v>31</v>
      </c>
      <c r="ABO28" s="1137">
        <f t="shared" si="5"/>
        <v>30</v>
      </c>
      <c r="ABP28" s="1137">
        <f t="shared" si="5"/>
        <v>31</v>
      </c>
      <c r="ABQ28" s="1137">
        <f t="shared" si="5"/>
        <v>30</v>
      </c>
      <c r="ABR28" s="1137">
        <f t="shared" si="5"/>
        <v>31</v>
      </c>
      <c r="ABS28" s="1137">
        <f t="shared" si="5"/>
        <v>31</v>
      </c>
      <c r="ABT28" s="1137">
        <f t="shared" si="5"/>
        <v>28</v>
      </c>
      <c r="ABU28" s="1137">
        <f t="shared" si="5"/>
        <v>31</v>
      </c>
      <c r="ABV28" s="1137">
        <f t="shared" si="5"/>
        <v>30</v>
      </c>
      <c r="ABW28" s="1137">
        <f t="shared" si="7"/>
        <v>31</v>
      </c>
      <c r="ABX28" s="1137">
        <f t="shared" si="7"/>
        <v>30</v>
      </c>
      <c r="ABY28" s="1137">
        <f t="shared" si="7"/>
        <v>31</v>
      </c>
      <c r="ABZ28" s="1137">
        <f t="shared" si="7"/>
        <v>31</v>
      </c>
      <c r="ACA28" s="1137">
        <f t="shared" si="7"/>
        <v>30</v>
      </c>
      <c r="ACB28" s="1137">
        <f t="shared" si="7"/>
        <v>31</v>
      </c>
      <c r="ACC28" s="1137">
        <f t="shared" si="7"/>
        <v>30</v>
      </c>
      <c r="ACD28" s="1137">
        <f t="shared" si="7"/>
        <v>31</v>
      </c>
      <c r="ACE28" s="1137" t="s">
        <v>152</v>
      </c>
      <c r="ACF28" s="1137">
        <f t="shared" si="6"/>
        <v>0</v>
      </c>
      <c r="ACG28" s="1137">
        <f t="shared" si="6"/>
        <v>0</v>
      </c>
      <c r="ACH28" s="1137">
        <f t="shared" si="6"/>
        <v>1</v>
      </c>
      <c r="ACI28" s="1137">
        <f t="shared" si="6"/>
        <v>1</v>
      </c>
      <c r="ACJ28" s="1137">
        <f t="shared" si="6"/>
        <v>1</v>
      </c>
      <c r="ACK28" s="1137">
        <f t="shared" si="6"/>
        <v>1</v>
      </c>
      <c r="ACL28" s="1137">
        <f t="shared" si="6"/>
        <v>1</v>
      </c>
      <c r="ACM28" s="1137">
        <f t="shared" si="6"/>
        <v>1</v>
      </c>
      <c r="ACN28" s="1137">
        <f t="shared" si="6"/>
        <v>1</v>
      </c>
      <c r="ACO28" s="1137">
        <f t="shared" si="6"/>
        <v>1</v>
      </c>
      <c r="ACP28" s="1137">
        <f t="shared" si="6"/>
        <v>1</v>
      </c>
      <c r="ACQ28" s="1137">
        <f t="shared" si="6"/>
        <v>1</v>
      </c>
      <c r="ACR28" s="1137">
        <f t="shared" si="6"/>
        <v>1</v>
      </c>
      <c r="ACS28" s="1137">
        <f t="shared" si="6"/>
        <v>1</v>
      </c>
      <c r="ACT28" s="1137">
        <f t="shared" si="6"/>
        <v>1</v>
      </c>
      <c r="ACU28" s="1137">
        <f t="shared" si="6"/>
        <v>1</v>
      </c>
      <c r="ACV28" s="1137">
        <f t="shared" si="8"/>
        <v>1</v>
      </c>
      <c r="ACW28" s="1137">
        <f t="shared" si="8"/>
        <v>1</v>
      </c>
      <c r="ACX28" s="1137">
        <f t="shared" si="8"/>
        <v>1</v>
      </c>
      <c r="ACY28" s="1137">
        <f t="shared" si="8"/>
        <v>1</v>
      </c>
      <c r="ACZ28" s="1137">
        <f t="shared" si="8"/>
        <v>1</v>
      </c>
      <c r="ADA28" s="1137">
        <f t="shared" si="8"/>
        <v>1</v>
      </c>
      <c r="ADB28" s="1137">
        <f t="shared" si="8"/>
        <v>1</v>
      </c>
      <c r="ADC28" s="1137">
        <f t="shared" si="8"/>
        <v>1</v>
      </c>
    </row>
    <row r="29" spans="1:783" x14ac:dyDescent="0.25">
      <c r="A29" t="s">
        <v>1824</v>
      </c>
      <c r="B29" t="s">
        <v>145</v>
      </c>
      <c r="C29">
        <v>0</v>
      </c>
      <c r="D29">
        <v>0</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v>0</v>
      </c>
      <c r="BI29">
        <v>0</v>
      </c>
      <c r="BJ29">
        <v>0</v>
      </c>
      <c r="BK29">
        <v>0</v>
      </c>
      <c r="BL29">
        <v>0</v>
      </c>
      <c r="BM29">
        <v>0</v>
      </c>
      <c r="BN29">
        <v>0</v>
      </c>
      <c r="BO29">
        <v>0</v>
      </c>
      <c r="BP29">
        <v>0</v>
      </c>
      <c r="BQ29">
        <v>0</v>
      </c>
      <c r="BR29">
        <v>0</v>
      </c>
      <c r="BS29">
        <v>0</v>
      </c>
      <c r="BT29">
        <v>0</v>
      </c>
      <c r="BU29">
        <v>0</v>
      </c>
      <c r="BV29">
        <v>0</v>
      </c>
      <c r="BW29">
        <v>0</v>
      </c>
      <c r="BX29">
        <v>0</v>
      </c>
      <c r="BY29">
        <v>0</v>
      </c>
      <c r="BZ29">
        <v>0</v>
      </c>
      <c r="CA29">
        <v>0</v>
      </c>
      <c r="CB29">
        <v>0</v>
      </c>
      <c r="CC29">
        <v>0</v>
      </c>
      <c r="CD29">
        <v>0</v>
      </c>
      <c r="CE29">
        <v>0</v>
      </c>
      <c r="CF29">
        <v>0</v>
      </c>
      <c r="CG29">
        <v>0</v>
      </c>
      <c r="CH29">
        <v>0</v>
      </c>
      <c r="CI29">
        <v>0</v>
      </c>
      <c r="CJ29">
        <v>0</v>
      </c>
      <c r="CK29">
        <v>0</v>
      </c>
      <c r="CL29">
        <v>0</v>
      </c>
      <c r="CM29">
        <v>0</v>
      </c>
      <c r="CN29">
        <v>0</v>
      </c>
      <c r="CO29">
        <v>0</v>
      </c>
      <c r="CP29">
        <v>0</v>
      </c>
      <c r="CQ29">
        <v>0</v>
      </c>
      <c r="CR29">
        <v>2</v>
      </c>
      <c r="CS29">
        <v>2</v>
      </c>
      <c r="CT29">
        <v>2</v>
      </c>
      <c r="CU29">
        <v>2</v>
      </c>
      <c r="CV29">
        <v>2</v>
      </c>
      <c r="CW29">
        <v>2</v>
      </c>
      <c r="CX29">
        <v>2</v>
      </c>
      <c r="CY29">
        <v>2</v>
      </c>
      <c r="CZ29">
        <v>2</v>
      </c>
      <c r="DA29">
        <v>2</v>
      </c>
      <c r="DB29">
        <v>2</v>
      </c>
      <c r="DC29">
        <v>2</v>
      </c>
      <c r="DD29">
        <v>2</v>
      </c>
      <c r="DE29">
        <v>2</v>
      </c>
      <c r="DF29">
        <v>2</v>
      </c>
      <c r="DG29">
        <v>2</v>
      </c>
      <c r="DH29">
        <v>2</v>
      </c>
      <c r="DI29">
        <v>2</v>
      </c>
      <c r="DJ29">
        <v>2</v>
      </c>
      <c r="DK29">
        <v>2</v>
      </c>
      <c r="DL29">
        <v>2</v>
      </c>
      <c r="DM29">
        <v>2</v>
      </c>
      <c r="DN29">
        <v>2</v>
      </c>
      <c r="DO29">
        <v>2</v>
      </c>
      <c r="DP29">
        <v>2</v>
      </c>
      <c r="DQ29">
        <v>2</v>
      </c>
      <c r="DR29">
        <v>2</v>
      </c>
      <c r="DS29">
        <v>2</v>
      </c>
      <c r="DT29">
        <v>2</v>
      </c>
      <c r="DU29">
        <v>2</v>
      </c>
      <c r="DV29">
        <v>2</v>
      </c>
      <c r="DW29">
        <v>2</v>
      </c>
      <c r="DX29">
        <v>2</v>
      </c>
      <c r="DY29">
        <v>2</v>
      </c>
      <c r="DZ29">
        <v>2</v>
      </c>
      <c r="EA29">
        <v>2</v>
      </c>
      <c r="EB29">
        <v>2</v>
      </c>
      <c r="EC29">
        <v>2</v>
      </c>
      <c r="ED29">
        <v>2</v>
      </c>
      <c r="EE29">
        <v>2</v>
      </c>
      <c r="EF29">
        <v>2</v>
      </c>
      <c r="EG29">
        <v>2</v>
      </c>
      <c r="EH29">
        <v>2</v>
      </c>
      <c r="EI29">
        <v>2</v>
      </c>
      <c r="EJ29">
        <v>2</v>
      </c>
      <c r="EK29">
        <v>2</v>
      </c>
      <c r="EL29">
        <v>2</v>
      </c>
      <c r="EM29">
        <v>2</v>
      </c>
      <c r="EN29">
        <v>2</v>
      </c>
      <c r="EO29">
        <v>2</v>
      </c>
      <c r="EP29">
        <v>2</v>
      </c>
      <c r="EQ29">
        <v>2</v>
      </c>
      <c r="ER29">
        <v>2</v>
      </c>
      <c r="ES29">
        <v>2</v>
      </c>
      <c r="ET29">
        <v>2</v>
      </c>
      <c r="EU29">
        <v>2</v>
      </c>
      <c r="EV29">
        <v>2</v>
      </c>
      <c r="EW29">
        <v>2</v>
      </c>
      <c r="EX29">
        <v>2</v>
      </c>
      <c r="EY29">
        <v>2</v>
      </c>
      <c r="EZ29">
        <v>2</v>
      </c>
      <c r="FA29">
        <v>2</v>
      </c>
      <c r="FB29">
        <v>2</v>
      </c>
      <c r="FC29">
        <v>2</v>
      </c>
      <c r="FD29">
        <v>2</v>
      </c>
      <c r="FE29">
        <v>2</v>
      </c>
      <c r="FF29">
        <v>2</v>
      </c>
      <c r="FG29">
        <v>2</v>
      </c>
      <c r="FH29">
        <v>2</v>
      </c>
      <c r="FI29">
        <v>2</v>
      </c>
      <c r="FJ29">
        <v>2</v>
      </c>
      <c r="FK29">
        <v>2</v>
      </c>
      <c r="FL29">
        <v>2</v>
      </c>
      <c r="FM29">
        <v>2</v>
      </c>
      <c r="FN29">
        <v>2</v>
      </c>
      <c r="FO29">
        <v>2</v>
      </c>
      <c r="FP29">
        <v>2</v>
      </c>
      <c r="FQ29">
        <v>2</v>
      </c>
      <c r="FR29">
        <v>2</v>
      </c>
      <c r="FS29">
        <v>2</v>
      </c>
      <c r="FT29">
        <v>2</v>
      </c>
      <c r="FU29">
        <v>2</v>
      </c>
      <c r="FV29">
        <v>2</v>
      </c>
      <c r="FW29">
        <v>2</v>
      </c>
      <c r="FX29">
        <v>2</v>
      </c>
      <c r="FY29">
        <v>2</v>
      </c>
      <c r="FZ29">
        <v>2</v>
      </c>
      <c r="GA29">
        <v>2</v>
      </c>
      <c r="GB29">
        <v>2</v>
      </c>
      <c r="GC29">
        <v>1</v>
      </c>
      <c r="GD29">
        <v>1</v>
      </c>
      <c r="GE29">
        <v>1</v>
      </c>
      <c r="GF29">
        <v>1</v>
      </c>
      <c r="GG29">
        <v>1</v>
      </c>
      <c r="GH29">
        <v>1</v>
      </c>
      <c r="GI29">
        <v>1</v>
      </c>
      <c r="GJ29">
        <v>1</v>
      </c>
      <c r="GK29">
        <v>1</v>
      </c>
      <c r="GL29">
        <v>1</v>
      </c>
      <c r="GM29">
        <v>1</v>
      </c>
      <c r="GN29">
        <v>1</v>
      </c>
      <c r="GO29">
        <v>1</v>
      </c>
      <c r="GP29">
        <v>1</v>
      </c>
      <c r="GQ29">
        <v>1</v>
      </c>
      <c r="GR29">
        <v>1</v>
      </c>
      <c r="GS29">
        <v>1</v>
      </c>
      <c r="GT29">
        <v>1</v>
      </c>
      <c r="GU29">
        <v>1</v>
      </c>
      <c r="GV29">
        <v>1</v>
      </c>
      <c r="GW29">
        <v>1</v>
      </c>
      <c r="GX29">
        <v>1</v>
      </c>
      <c r="GY29">
        <v>1</v>
      </c>
      <c r="GZ29">
        <v>1</v>
      </c>
      <c r="HA29">
        <v>1</v>
      </c>
      <c r="HB29">
        <v>1</v>
      </c>
      <c r="HC29">
        <v>1</v>
      </c>
      <c r="HD29">
        <v>1</v>
      </c>
      <c r="HE29">
        <v>1</v>
      </c>
      <c r="HF29">
        <v>1</v>
      </c>
      <c r="HG29">
        <v>1</v>
      </c>
      <c r="HH29">
        <v>1</v>
      </c>
      <c r="HI29">
        <v>1</v>
      </c>
      <c r="HJ29">
        <v>1</v>
      </c>
      <c r="HK29">
        <v>1</v>
      </c>
      <c r="HL29">
        <v>1</v>
      </c>
      <c r="HM29">
        <v>1</v>
      </c>
      <c r="HN29">
        <v>1</v>
      </c>
      <c r="HO29">
        <v>1</v>
      </c>
      <c r="HP29">
        <v>1</v>
      </c>
      <c r="HQ29">
        <v>1</v>
      </c>
      <c r="HR29">
        <v>1</v>
      </c>
      <c r="HS29">
        <v>1</v>
      </c>
      <c r="HT29">
        <v>1</v>
      </c>
      <c r="HU29">
        <v>1</v>
      </c>
      <c r="HV29">
        <v>1</v>
      </c>
      <c r="HW29">
        <v>1</v>
      </c>
      <c r="HX29">
        <v>1</v>
      </c>
      <c r="HY29">
        <v>1</v>
      </c>
      <c r="HZ29">
        <v>1</v>
      </c>
      <c r="IA29">
        <v>1</v>
      </c>
      <c r="IB29">
        <v>0</v>
      </c>
      <c r="IC29">
        <v>0</v>
      </c>
      <c r="ID29">
        <v>0</v>
      </c>
      <c r="IE29">
        <v>0</v>
      </c>
      <c r="IF29">
        <v>0</v>
      </c>
      <c r="IG29">
        <v>0</v>
      </c>
      <c r="IH29">
        <v>0</v>
      </c>
      <c r="II29">
        <v>0</v>
      </c>
      <c r="IJ29">
        <v>0</v>
      </c>
      <c r="IK29">
        <v>0</v>
      </c>
      <c r="IL29">
        <v>0</v>
      </c>
      <c r="IM29">
        <v>0</v>
      </c>
      <c r="IN29">
        <v>0</v>
      </c>
      <c r="IO29">
        <v>0</v>
      </c>
      <c r="IP29">
        <v>0</v>
      </c>
      <c r="IQ29">
        <v>0</v>
      </c>
      <c r="IR29">
        <v>0</v>
      </c>
      <c r="IS29">
        <v>0</v>
      </c>
      <c r="IT29">
        <v>0</v>
      </c>
      <c r="IU29">
        <v>0</v>
      </c>
      <c r="IV29">
        <v>0</v>
      </c>
      <c r="IW29">
        <v>0</v>
      </c>
      <c r="IX29">
        <v>0</v>
      </c>
      <c r="IY29">
        <v>0</v>
      </c>
      <c r="IZ29">
        <v>0</v>
      </c>
      <c r="JA29">
        <v>0</v>
      </c>
      <c r="JB29">
        <v>0</v>
      </c>
      <c r="JC29">
        <v>0</v>
      </c>
      <c r="JD29">
        <v>0</v>
      </c>
      <c r="JE29">
        <v>0</v>
      </c>
      <c r="JF29">
        <v>0</v>
      </c>
      <c r="JG29">
        <v>0</v>
      </c>
      <c r="JH29">
        <v>0</v>
      </c>
      <c r="JI29">
        <v>0</v>
      </c>
      <c r="JJ29">
        <v>0</v>
      </c>
      <c r="JK29">
        <v>0</v>
      </c>
      <c r="JL29">
        <v>0</v>
      </c>
      <c r="JM29">
        <v>0</v>
      </c>
      <c r="JN29">
        <v>0</v>
      </c>
      <c r="JO29">
        <v>0</v>
      </c>
      <c r="JP29">
        <v>0</v>
      </c>
      <c r="JQ29">
        <v>0</v>
      </c>
      <c r="JR29">
        <v>0</v>
      </c>
      <c r="JS29">
        <v>0</v>
      </c>
      <c r="JT29">
        <v>0</v>
      </c>
      <c r="JU29">
        <v>0</v>
      </c>
      <c r="JV29">
        <v>0</v>
      </c>
      <c r="JW29">
        <v>0</v>
      </c>
      <c r="JX29">
        <v>0</v>
      </c>
      <c r="JY29">
        <v>0</v>
      </c>
      <c r="JZ29">
        <v>0</v>
      </c>
      <c r="KA29">
        <v>0</v>
      </c>
      <c r="KB29">
        <v>0</v>
      </c>
      <c r="KC29">
        <v>0</v>
      </c>
      <c r="KD29">
        <v>0</v>
      </c>
      <c r="KE29">
        <v>0</v>
      </c>
      <c r="KF29">
        <v>0</v>
      </c>
      <c r="KG29">
        <v>0</v>
      </c>
      <c r="KH29">
        <v>0</v>
      </c>
      <c r="KI29">
        <v>0</v>
      </c>
      <c r="KJ29">
        <v>0</v>
      </c>
      <c r="KK29">
        <v>0</v>
      </c>
      <c r="KL29">
        <v>0</v>
      </c>
      <c r="KM29">
        <v>0</v>
      </c>
      <c r="KN29">
        <v>0</v>
      </c>
      <c r="KO29">
        <v>0</v>
      </c>
      <c r="KP29">
        <v>0</v>
      </c>
      <c r="KQ29">
        <v>0</v>
      </c>
      <c r="KR29">
        <v>0</v>
      </c>
      <c r="KS29">
        <v>0</v>
      </c>
      <c r="KT29">
        <v>0</v>
      </c>
      <c r="KU29">
        <v>0</v>
      </c>
      <c r="KV29">
        <v>0</v>
      </c>
      <c r="KW29">
        <v>0</v>
      </c>
      <c r="KX29">
        <v>0</v>
      </c>
      <c r="KY29">
        <v>0</v>
      </c>
      <c r="KZ29">
        <v>0</v>
      </c>
      <c r="LA29">
        <v>0</v>
      </c>
      <c r="LB29">
        <v>0</v>
      </c>
      <c r="LC29">
        <v>0</v>
      </c>
      <c r="LD29">
        <v>0</v>
      </c>
      <c r="LE29">
        <v>0</v>
      </c>
      <c r="LF29">
        <v>0</v>
      </c>
      <c r="LG29">
        <v>0</v>
      </c>
      <c r="LH29">
        <v>0</v>
      </c>
      <c r="LI29">
        <v>0</v>
      </c>
      <c r="LJ29">
        <v>0</v>
      </c>
      <c r="LK29">
        <v>0</v>
      </c>
      <c r="LL29">
        <v>0</v>
      </c>
      <c r="LM29">
        <v>0</v>
      </c>
      <c r="LN29">
        <v>0</v>
      </c>
      <c r="LO29">
        <v>0</v>
      </c>
      <c r="LP29">
        <v>0</v>
      </c>
      <c r="LQ29">
        <v>0</v>
      </c>
      <c r="LR29">
        <v>0</v>
      </c>
      <c r="LS29">
        <v>0</v>
      </c>
      <c r="LT29">
        <v>0</v>
      </c>
      <c r="LU29">
        <v>0</v>
      </c>
      <c r="LV29">
        <v>0</v>
      </c>
      <c r="LW29">
        <v>0</v>
      </c>
      <c r="LX29">
        <v>0</v>
      </c>
      <c r="LY29">
        <v>0</v>
      </c>
      <c r="LZ29">
        <v>0</v>
      </c>
      <c r="MA29">
        <v>0</v>
      </c>
      <c r="MB29">
        <v>0</v>
      </c>
      <c r="MC29">
        <v>0</v>
      </c>
      <c r="MD29">
        <v>0</v>
      </c>
      <c r="ME29">
        <v>0</v>
      </c>
      <c r="MF29">
        <v>0</v>
      </c>
      <c r="MG29">
        <v>0</v>
      </c>
      <c r="MH29">
        <v>0</v>
      </c>
      <c r="MI29">
        <v>0</v>
      </c>
      <c r="MJ29">
        <v>0</v>
      </c>
      <c r="MK29">
        <v>0</v>
      </c>
      <c r="ML29">
        <v>0</v>
      </c>
      <c r="MM29">
        <v>0</v>
      </c>
      <c r="MN29">
        <v>0</v>
      </c>
      <c r="MO29">
        <v>0</v>
      </c>
      <c r="MP29">
        <v>0</v>
      </c>
      <c r="MQ29">
        <v>0</v>
      </c>
      <c r="MR29">
        <v>0</v>
      </c>
      <c r="MS29">
        <v>0</v>
      </c>
      <c r="MT29">
        <v>0</v>
      </c>
      <c r="MU29">
        <v>0</v>
      </c>
      <c r="MV29">
        <v>0</v>
      </c>
      <c r="MW29">
        <v>0</v>
      </c>
      <c r="MX29">
        <v>0</v>
      </c>
      <c r="MY29">
        <v>0</v>
      </c>
      <c r="MZ29">
        <v>0</v>
      </c>
      <c r="NA29">
        <v>0</v>
      </c>
      <c r="NB29">
        <v>0</v>
      </c>
      <c r="NC29">
        <v>0</v>
      </c>
      <c r="ND29">
        <v>0</v>
      </c>
      <c r="NE29">
        <v>0</v>
      </c>
      <c r="NF29">
        <v>0</v>
      </c>
      <c r="NG29">
        <v>0</v>
      </c>
      <c r="NH29">
        <v>0</v>
      </c>
      <c r="NI29">
        <v>0</v>
      </c>
      <c r="NJ29">
        <v>0</v>
      </c>
      <c r="NK29">
        <v>0</v>
      </c>
      <c r="NL29">
        <v>0</v>
      </c>
      <c r="NM29">
        <v>0</v>
      </c>
      <c r="NN29">
        <v>0</v>
      </c>
      <c r="NO29">
        <v>0</v>
      </c>
      <c r="NP29">
        <v>0</v>
      </c>
      <c r="NQ29">
        <v>0</v>
      </c>
      <c r="NR29">
        <v>0</v>
      </c>
      <c r="NS29">
        <v>0</v>
      </c>
      <c r="NT29">
        <v>0</v>
      </c>
      <c r="NU29">
        <v>0</v>
      </c>
      <c r="NV29">
        <v>0</v>
      </c>
      <c r="NW29">
        <v>0</v>
      </c>
      <c r="NX29">
        <v>0</v>
      </c>
      <c r="NY29">
        <v>0</v>
      </c>
      <c r="NZ29">
        <v>0</v>
      </c>
      <c r="OA29">
        <v>0</v>
      </c>
      <c r="OB29">
        <v>0</v>
      </c>
      <c r="OC29">
        <v>0</v>
      </c>
      <c r="OD29">
        <v>0</v>
      </c>
      <c r="OE29">
        <v>0</v>
      </c>
      <c r="OF29">
        <v>0</v>
      </c>
      <c r="OG29">
        <v>0</v>
      </c>
      <c r="OH29">
        <v>0</v>
      </c>
      <c r="OI29">
        <v>0</v>
      </c>
      <c r="OJ29">
        <v>0</v>
      </c>
      <c r="OK29">
        <v>0</v>
      </c>
      <c r="OL29">
        <v>0</v>
      </c>
      <c r="OM29">
        <v>0</v>
      </c>
      <c r="ON29">
        <v>0</v>
      </c>
      <c r="OO29">
        <v>0</v>
      </c>
      <c r="OP29">
        <v>0</v>
      </c>
      <c r="OQ29">
        <v>0</v>
      </c>
      <c r="OR29">
        <v>0</v>
      </c>
      <c r="OS29">
        <v>0</v>
      </c>
      <c r="OT29">
        <v>0</v>
      </c>
      <c r="OU29">
        <v>0</v>
      </c>
      <c r="OV29">
        <v>0</v>
      </c>
      <c r="OW29">
        <v>0</v>
      </c>
      <c r="OX29">
        <v>0</v>
      </c>
      <c r="OY29">
        <v>0</v>
      </c>
      <c r="OZ29">
        <v>0</v>
      </c>
      <c r="PA29">
        <v>0</v>
      </c>
      <c r="PB29">
        <v>0</v>
      </c>
      <c r="PC29">
        <v>0</v>
      </c>
      <c r="PD29">
        <v>0</v>
      </c>
      <c r="PE29">
        <v>0</v>
      </c>
      <c r="PF29">
        <v>0</v>
      </c>
      <c r="PG29">
        <v>0</v>
      </c>
      <c r="PH29">
        <v>0</v>
      </c>
      <c r="PI29">
        <v>0</v>
      </c>
      <c r="PJ29">
        <v>0</v>
      </c>
      <c r="PK29">
        <v>0</v>
      </c>
      <c r="PL29">
        <v>0</v>
      </c>
      <c r="PM29">
        <v>0</v>
      </c>
      <c r="PN29">
        <v>0</v>
      </c>
      <c r="PO29">
        <v>0</v>
      </c>
      <c r="PP29">
        <v>0</v>
      </c>
      <c r="PQ29">
        <v>0</v>
      </c>
      <c r="PR29">
        <v>0</v>
      </c>
      <c r="PS29">
        <v>0</v>
      </c>
      <c r="PT29">
        <v>0</v>
      </c>
      <c r="PU29">
        <v>0</v>
      </c>
      <c r="PV29">
        <v>0</v>
      </c>
      <c r="PW29">
        <v>0</v>
      </c>
      <c r="PX29">
        <v>0</v>
      </c>
      <c r="PY29">
        <v>0</v>
      </c>
      <c r="PZ29">
        <v>0</v>
      </c>
      <c r="QA29">
        <v>0</v>
      </c>
      <c r="QB29">
        <v>0</v>
      </c>
      <c r="QC29">
        <v>0</v>
      </c>
      <c r="QD29">
        <v>0</v>
      </c>
      <c r="QE29">
        <v>0</v>
      </c>
      <c r="QF29">
        <v>0</v>
      </c>
      <c r="QG29">
        <v>0</v>
      </c>
      <c r="QH29">
        <v>0</v>
      </c>
      <c r="QI29">
        <v>0</v>
      </c>
      <c r="QJ29">
        <v>0</v>
      </c>
      <c r="QK29">
        <v>0</v>
      </c>
      <c r="QL29">
        <v>0</v>
      </c>
      <c r="QM29">
        <v>0</v>
      </c>
      <c r="QN29">
        <v>0</v>
      </c>
      <c r="QO29">
        <v>0</v>
      </c>
      <c r="QP29">
        <v>0</v>
      </c>
      <c r="QQ29">
        <v>0</v>
      </c>
      <c r="QR29">
        <v>0</v>
      </c>
      <c r="QS29">
        <v>0</v>
      </c>
      <c r="QT29">
        <v>0</v>
      </c>
      <c r="QU29">
        <v>0</v>
      </c>
      <c r="QV29">
        <v>0</v>
      </c>
      <c r="QW29">
        <v>0</v>
      </c>
      <c r="QX29">
        <v>0</v>
      </c>
      <c r="QY29">
        <v>0</v>
      </c>
      <c r="QZ29">
        <v>0</v>
      </c>
      <c r="RA29">
        <v>0</v>
      </c>
      <c r="RB29">
        <v>0</v>
      </c>
      <c r="RC29">
        <v>0</v>
      </c>
      <c r="RD29">
        <v>0</v>
      </c>
      <c r="RE29">
        <v>0</v>
      </c>
      <c r="RF29">
        <v>0</v>
      </c>
      <c r="RG29">
        <v>0</v>
      </c>
      <c r="RH29">
        <v>0</v>
      </c>
      <c r="RI29">
        <v>0</v>
      </c>
      <c r="RJ29">
        <v>0</v>
      </c>
      <c r="RK29">
        <v>0</v>
      </c>
      <c r="RL29">
        <v>0</v>
      </c>
      <c r="RM29">
        <v>0</v>
      </c>
      <c r="RN29">
        <v>0</v>
      </c>
      <c r="RO29">
        <v>0</v>
      </c>
      <c r="RP29">
        <v>1</v>
      </c>
      <c r="RQ29">
        <v>1</v>
      </c>
      <c r="RR29">
        <v>1</v>
      </c>
      <c r="RS29">
        <v>1</v>
      </c>
      <c r="RT29">
        <v>1</v>
      </c>
      <c r="RU29">
        <v>1</v>
      </c>
      <c r="RV29">
        <v>1</v>
      </c>
      <c r="RW29">
        <v>1</v>
      </c>
      <c r="RX29">
        <v>1</v>
      </c>
      <c r="RY29">
        <v>1</v>
      </c>
      <c r="RZ29">
        <v>1</v>
      </c>
      <c r="SA29">
        <v>1</v>
      </c>
      <c r="SB29">
        <v>1</v>
      </c>
      <c r="SC29">
        <v>1</v>
      </c>
      <c r="SD29">
        <v>1</v>
      </c>
      <c r="SE29">
        <v>2</v>
      </c>
      <c r="SF29">
        <v>2</v>
      </c>
      <c r="SG29">
        <v>2</v>
      </c>
      <c r="SH29">
        <v>2</v>
      </c>
      <c r="SI29">
        <v>2</v>
      </c>
      <c r="SJ29">
        <v>2</v>
      </c>
      <c r="SK29">
        <v>0</v>
      </c>
      <c r="SL29">
        <v>0</v>
      </c>
      <c r="SM29">
        <v>0</v>
      </c>
      <c r="SN29">
        <v>0</v>
      </c>
      <c r="SO29">
        <v>0</v>
      </c>
      <c r="SP29">
        <v>0</v>
      </c>
      <c r="SQ29">
        <v>0</v>
      </c>
      <c r="SR29">
        <v>0</v>
      </c>
      <c r="SS29">
        <v>0</v>
      </c>
      <c r="ST29">
        <v>0</v>
      </c>
      <c r="SU29">
        <v>0</v>
      </c>
      <c r="SV29">
        <v>0</v>
      </c>
      <c r="SW29">
        <v>0</v>
      </c>
      <c r="SX29">
        <v>0</v>
      </c>
      <c r="SY29">
        <v>0</v>
      </c>
      <c r="SZ29">
        <v>0</v>
      </c>
      <c r="TA29">
        <v>0</v>
      </c>
      <c r="TB29">
        <v>0</v>
      </c>
      <c r="TC29">
        <v>0</v>
      </c>
      <c r="TD29">
        <v>0</v>
      </c>
      <c r="TE29">
        <v>0</v>
      </c>
      <c r="TF29">
        <v>0</v>
      </c>
      <c r="TG29">
        <v>0</v>
      </c>
      <c r="TH29">
        <v>0</v>
      </c>
      <c r="TI29">
        <v>0</v>
      </c>
      <c r="TJ29">
        <v>0</v>
      </c>
      <c r="TK29">
        <v>0</v>
      </c>
      <c r="TL29">
        <v>0</v>
      </c>
      <c r="TM29">
        <v>0</v>
      </c>
      <c r="TN29">
        <v>0</v>
      </c>
      <c r="TO29">
        <v>0</v>
      </c>
      <c r="TP29">
        <v>0</v>
      </c>
      <c r="TQ29">
        <v>0</v>
      </c>
      <c r="TR29">
        <v>0</v>
      </c>
      <c r="TS29">
        <v>0</v>
      </c>
      <c r="TT29">
        <v>0</v>
      </c>
      <c r="TU29">
        <v>0</v>
      </c>
      <c r="TV29">
        <v>0</v>
      </c>
      <c r="TW29">
        <v>0</v>
      </c>
      <c r="TX29">
        <v>0</v>
      </c>
      <c r="TY29">
        <v>0</v>
      </c>
      <c r="TZ29">
        <v>0</v>
      </c>
      <c r="UA29">
        <v>0</v>
      </c>
      <c r="UB29">
        <v>0</v>
      </c>
      <c r="UC29">
        <v>0</v>
      </c>
      <c r="UD29">
        <v>0</v>
      </c>
      <c r="UE29">
        <v>0</v>
      </c>
      <c r="UF29">
        <v>0</v>
      </c>
      <c r="UG29">
        <v>0</v>
      </c>
      <c r="UH29">
        <v>0</v>
      </c>
      <c r="UI29">
        <v>0</v>
      </c>
      <c r="UJ29">
        <v>0</v>
      </c>
      <c r="UK29">
        <v>0</v>
      </c>
      <c r="UL29">
        <v>0</v>
      </c>
      <c r="UM29">
        <v>0</v>
      </c>
      <c r="UN29">
        <v>0</v>
      </c>
      <c r="UO29">
        <v>0</v>
      </c>
      <c r="UP29">
        <v>0</v>
      </c>
      <c r="UQ29">
        <v>0</v>
      </c>
      <c r="UR29">
        <v>0</v>
      </c>
      <c r="US29">
        <v>0</v>
      </c>
      <c r="UT29">
        <v>0</v>
      </c>
      <c r="UU29">
        <v>0</v>
      </c>
      <c r="UV29">
        <v>0</v>
      </c>
      <c r="UW29">
        <v>0</v>
      </c>
      <c r="UX29">
        <v>0</v>
      </c>
      <c r="UY29">
        <v>0</v>
      </c>
      <c r="UZ29">
        <v>0</v>
      </c>
      <c r="VA29">
        <v>0</v>
      </c>
      <c r="VB29">
        <v>0</v>
      </c>
      <c r="VC29">
        <v>0</v>
      </c>
      <c r="VD29">
        <v>0</v>
      </c>
      <c r="VE29">
        <v>0</v>
      </c>
      <c r="VF29">
        <v>0</v>
      </c>
      <c r="VG29">
        <v>0</v>
      </c>
      <c r="VH29">
        <v>0</v>
      </c>
      <c r="VI29">
        <v>0</v>
      </c>
      <c r="VJ29">
        <v>0</v>
      </c>
      <c r="VK29">
        <v>0</v>
      </c>
      <c r="VL29">
        <v>0</v>
      </c>
      <c r="VM29">
        <v>0</v>
      </c>
      <c r="VN29">
        <v>0</v>
      </c>
      <c r="VO29">
        <v>0</v>
      </c>
      <c r="VP29">
        <v>0</v>
      </c>
      <c r="VQ29">
        <v>0</v>
      </c>
      <c r="VR29">
        <v>0</v>
      </c>
      <c r="VS29">
        <v>0</v>
      </c>
      <c r="VT29">
        <v>0</v>
      </c>
      <c r="VU29">
        <v>0</v>
      </c>
      <c r="VV29">
        <v>0</v>
      </c>
      <c r="VW29">
        <v>0</v>
      </c>
      <c r="VX29">
        <v>0</v>
      </c>
      <c r="VY29">
        <v>0</v>
      </c>
      <c r="VZ29">
        <v>0</v>
      </c>
      <c r="WA29">
        <v>0</v>
      </c>
      <c r="WB29">
        <v>0</v>
      </c>
      <c r="WC29">
        <v>0</v>
      </c>
      <c r="WD29">
        <v>0</v>
      </c>
      <c r="WE29">
        <v>0</v>
      </c>
      <c r="WF29">
        <v>0</v>
      </c>
      <c r="WG29">
        <v>0</v>
      </c>
      <c r="WH29">
        <v>0</v>
      </c>
      <c r="WI29">
        <v>0</v>
      </c>
      <c r="WJ29">
        <v>0</v>
      </c>
      <c r="WK29">
        <v>0</v>
      </c>
      <c r="WL29">
        <v>0</v>
      </c>
      <c r="WM29">
        <v>0</v>
      </c>
      <c r="WN29">
        <v>0</v>
      </c>
      <c r="WO29">
        <v>0</v>
      </c>
      <c r="WP29">
        <v>0</v>
      </c>
      <c r="WQ29">
        <v>0</v>
      </c>
      <c r="WR29">
        <v>0</v>
      </c>
      <c r="WS29">
        <v>0</v>
      </c>
      <c r="WT29">
        <v>0</v>
      </c>
      <c r="WU29">
        <v>0</v>
      </c>
      <c r="WV29">
        <v>0</v>
      </c>
      <c r="WW29">
        <v>0</v>
      </c>
      <c r="WX29">
        <v>0</v>
      </c>
      <c r="WY29">
        <v>0</v>
      </c>
      <c r="WZ29">
        <v>0</v>
      </c>
      <c r="XA29">
        <v>0</v>
      </c>
      <c r="XB29">
        <v>0</v>
      </c>
      <c r="XC29">
        <v>0</v>
      </c>
      <c r="XD29">
        <v>0</v>
      </c>
      <c r="XE29">
        <v>0</v>
      </c>
      <c r="XF29">
        <v>0</v>
      </c>
      <c r="XG29">
        <v>0</v>
      </c>
      <c r="XH29">
        <v>0</v>
      </c>
      <c r="XI29">
        <v>0</v>
      </c>
      <c r="XJ29">
        <v>0</v>
      </c>
      <c r="XK29">
        <v>0</v>
      </c>
      <c r="XL29">
        <v>0</v>
      </c>
      <c r="XM29">
        <v>0</v>
      </c>
      <c r="XN29">
        <v>0</v>
      </c>
      <c r="XO29">
        <v>0</v>
      </c>
      <c r="XP29">
        <v>0</v>
      </c>
      <c r="XQ29">
        <v>0</v>
      </c>
      <c r="XR29">
        <v>0</v>
      </c>
      <c r="XS29">
        <v>0</v>
      </c>
      <c r="XT29">
        <v>0</v>
      </c>
      <c r="XU29">
        <v>0</v>
      </c>
      <c r="XV29">
        <v>0</v>
      </c>
      <c r="XW29">
        <v>0</v>
      </c>
      <c r="XX29">
        <v>0</v>
      </c>
      <c r="XY29">
        <v>0</v>
      </c>
      <c r="XZ29">
        <v>0</v>
      </c>
      <c r="YA29">
        <v>0</v>
      </c>
      <c r="YB29">
        <v>0</v>
      </c>
      <c r="YC29">
        <v>0</v>
      </c>
      <c r="YD29">
        <v>0</v>
      </c>
      <c r="YE29">
        <v>0</v>
      </c>
      <c r="YF29">
        <v>0</v>
      </c>
      <c r="YG29">
        <v>0</v>
      </c>
      <c r="YH29">
        <v>0</v>
      </c>
      <c r="YI29">
        <v>0</v>
      </c>
      <c r="YJ29">
        <v>0</v>
      </c>
      <c r="YK29">
        <v>0</v>
      </c>
      <c r="YL29">
        <v>0</v>
      </c>
      <c r="YM29">
        <v>0</v>
      </c>
      <c r="YN29">
        <v>0</v>
      </c>
      <c r="YO29">
        <v>0</v>
      </c>
      <c r="YP29">
        <v>0</v>
      </c>
      <c r="YQ29">
        <v>0</v>
      </c>
      <c r="YR29">
        <v>0</v>
      </c>
      <c r="YS29">
        <v>0</v>
      </c>
      <c r="YT29">
        <v>0</v>
      </c>
      <c r="YU29">
        <v>0</v>
      </c>
      <c r="YV29">
        <v>0</v>
      </c>
      <c r="YW29">
        <v>0</v>
      </c>
      <c r="YX29">
        <v>0</v>
      </c>
      <c r="YY29">
        <v>0</v>
      </c>
      <c r="YZ29">
        <v>0</v>
      </c>
      <c r="ZA29">
        <v>0</v>
      </c>
      <c r="ZB29">
        <v>0</v>
      </c>
      <c r="ZC29">
        <v>0</v>
      </c>
      <c r="ZD29">
        <v>0</v>
      </c>
      <c r="ZE29">
        <v>0</v>
      </c>
      <c r="ZF29">
        <v>0</v>
      </c>
      <c r="ZG29">
        <v>0</v>
      </c>
      <c r="ZH29">
        <v>0</v>
      </c>
      <c r="ZI29">
        <v>0</v>
      </c>
      <c r="ZJ29">
        <v>0</v>
      </c>
      <c r="ZK29">
        <v>0</v>
      </c>
      <c r="ZL29">
        <v>0</v>
      </c>
      <c r="ZM29">
        <v>0</v>
      </c>
      <c r="ZN29">
        <v>0</v>
      </c>
      <c r="ZO29">
        <v>0</v>
      </c>
      <c r="ZP29">
        <v>0</v>
      </c>
      <c r="ZQ29">
        <v>0</v>
      </c>
      <c r="ZR29">
        <v>0</v>
      </c>
      <c r="ZS29">
        <v>0</v>
      </c>
      <c r="ZT29">
        <v>0</v>
      </c>
      <c r="ZU29">
        <v>0</v>
      </c>
      <c r="ZV29">
        <v>0</v>
      </c>
      <c r="ZW29">
        <v>0</v>
      </c>
      <c r="ZX29">
        <v>0</v>
      </c>
      <c r="ZY29">
        <v>0</v>
      </c>
      <c r="ZZ29">
        <v>0</v>
      </c>
      <c r="AAA29">
        <v>0</v>
      </c>
      <c r="AAB29">
        <v>0</v>
      </c>
      <c r="AAC29">
        <v>0</v>
      </c>
      <c r="AAD29">
        <v>0</v>
      </c>
      <c r="AAE29">
        <v>0</v>
      </c>
      <c r="AAF29">
        <v>0</v>
      </c>
      <c r="AAG29">
        <v>0</v>
      </c>
      <c r="AAH29">
        <v>0</v>
      </c>
      <c r="AAI29">
        <v>0</v>
      </c>
      <c r="AAJ29">
        <v>0</v>
      </c>
      <c r="AAK29">
        <v>0</v>
      </c>
      <c r="AAL29">
        <v>0</v>
      </c>
      <c r="AAM29">
        <v>0</v>
      </c>
      <c r="AAN29">
        <v>0</v>
      </c>
      <c r="AAO29">
        <v>0</v>
      </c>
      <c r="AAP29">
        <v>0</v>
      </c>
      <c r="AAQ29">
        <v>0</v>
      </c>
      <c r="AAR29">
        <v>0</v>
      </c>
      <c r="AAS29">
        <v>0</v>
      </c>
      <c r="AAT29">
        <v>0</v>
      </c>
      <c r="AAU29">
        <v>0</v>
      </c>
      <c r="AAV29">
        <v>0</v>
      </c>
      <c r="AAW29">
        <v>0</v>
      </c>
      <c r="AAX29">
        <v>0</v>
      </c>
      <c r="AAY29">
        <v>0</v>
      </c>
      <c r="AAZ29">
        <v>0</v>
      </c>
      <c r="ABA29">
        <v>0</v>
      </c>
      <c r="ABB29">
        <v>0</v>
      </c>
      <c r="ABC29">
        <v>0</v>
      </c>
      <c r="ABD29">
        <v>0</v>
      </c>
      <c r="ABE29">
        <v>0</v>
      </c>
      <c r="ABG29" s="1137">
        <f t="shared" si="5"/>
        <v>0</v>
      </c>
      <c r="ABH29" s="1137">
        <f t="shared" si="5"/>
        <v>0</v>
      </c>
      <c r="ABI29" s="1137">
        <f t="shared" si="5"/>
        <v>0</v>
      </c>
      <c r="ABJ29" s="1137">
        <f t="shared" si="5"/>
        <v>28</v>
      </c>
      <c r="ABK29" s="1137">
        <f t="shared" si="5"/>
        <v>31</v>
      </c>
      <c r="ABL29" s="1137">
        <f t="shared" si="5"/>
        <v>30</v>
      </c>
      <c r="ABM29" s="1137">
        <f t="shared" si="5"/>
        <v>31</v>
      </c>
      <c r="ABN29" s="1137">
        <f t="shared" si="5"/>
        <v>20</v>
      </c>
      <c r="ABO29" s="1137">
        <f t="shared" si="5"/>
        <v>0</v>
      </c>
      <c r="ABP29" s="1137">
        <f t="shared" si="5"/>
        <v>0</v>
      </c>
      <c r="ABQ29" s="1137">
        <f t="shared" si="5"/>
        <v>0</v>
      </c>
      <c r="ABR29" s="1137">
        <f t="shared" si="5"/>
        <v>0</v>
      </c>
      <c r="ABS29" s="1137">
        <f t="shared" si="5"/>
        <v>0</v>
      </c>
      <c r="ABT29" s="1137">
        <f t="shared" si="5"/>
        <v>0</v>
      </c>
      <c r="ABU29" s="1137">
        <f t="shared" si="5"/>
        <v>0</v>
      </c>
      <c r="ABV29" s="1137">
        <f t="shared" si="5"/>
        <v>5</v>
      </c>
      <c r="ABW29" s="1137">
        <f t="shared" si="7"/>
        <v>16</v>
      </c>
      <c r="ABX29" s="1137">
        <f t="shared" si="7"/>
        <v>0</v>
      </c>
      <c r="ABY29" s="1137">
        <f t="shared" si="7"/>
        <v>0</v>
      </c>
      <c r="ABZ29" s="1137">
        <f t="shared" si="7"/>
        <v>0</v>
      </c>
      <c r="ACA29" s="1137">
        <f t="shared" si="7"/>
        <v>0</v>
      </c>
      <c r="ACB29" s="1137">
        <f t="shared" si="7"/>
        <v>0</v>
      </c>
      <c r="ACC29" s="1137">
        <f t="shared" si="7"/>
        <v>0</v>
      </c>
      <c r="ACD29" s="1137">
        <f t="shared" si="7"/>
        <v>0</v>
      </c>
      <c r="ACE29" s="1137" t="s">
        <v>145</v>
      </c>
      <c r="ACF29" s="1137">
        <f t="shared" si="6"/>
        <v>0</v>
      </c>
      <c r="ACG29" s="1137">
        <f t="shared" si="6"/>
        <v>0</v>
      </c>
      <c r="ACH29" s="1137">
        <f t="shared" si="6"/>
        <v>0</v>
      </c>
      <c r="ACI29" s="1137">
        <f t="shared" si="6"/>
        <v>1</v>
      </c>
      <c r="ACJ29" s="1137">
        <f t="shared" si="6"/>
        <v>1</v>
      </c>
      <c r="ACK29" s="1137">
        <f t="shared" si="6"/>
        <v>1</v>
      </c>
      <c r="ACL29" s="1137">
        <f t="shared" si="6"/>
        <v>1</v>
      </c>
      <c r="ACM29" s="1137">
        <f t="shared" si="6"/>
        <v>1</v>
      </c>
      <c r="ACN29" s="1137">
        <f t="shared" si="6"/>
        <v>0</v>
      </c>
      <c r="ACO29" s="1137">
        <f t="shared" si="6"/>
        <v>0</v>
      </c>
      <c r="ACP29" s="1137">
        <f t="shared" si="6"/>
        <v>0</v>
      </c>
      <c r="ACQ29" s="1137">
        <f t="shared" si="6"/>
        <v>0</v>
      </c>
      <c r="ACR29" s="1137">
        <f t="shared" si="6"/>
        <v>0</v>
      </c>
      <c r="ACS29" s="1137">
        <f t="shared" si="6"/>
        <v>0</v>
      </c>
      <c r="ACT29" s="1137">
        <f t="shared" si="6"/>
        <v>0</v>
      </c>
      <c r="ACU29" s="1137">
        <f t="shared" si="6"/>
        <v>0</v>
      </c>
      <c r="ACV29" s="1137">
        <f t="shared" si="8"/>
        <v>1</v>
      </c>
      <c r="ACW29" s="1137">
        <f t="shared" si="8"/>
        <v>0</v>
      </c>
      <c r="ACX29" s="1137">
        <f t="shared" si="8"/>
        <v>0</v>
      </c>
      <c r="ACY29" s="1137">
        <f t="shared" si="8"/>
        <v>0</v>
      </c>
      <c r="ACZ29" s="1137">
        <f t="shared" si="8"/>
        <v>0</v>
      </c>
      <c r="ADA29" s="1137">
        <f t="shared" si="8"/>
        <v>0</v>
      </c>
      <c r="ADB29" s="1137">
        <f t="shared" si="8"/>
        <v>0</v>
      </c>
      <c r="ADC29" s="1137">
        <f t="shared" si="8"/>
        <v>0</v>
      </c>
    </row>
    <row r="30" spans="1:783" x14ac:dyDescent="0.25">
      <c r="A30" t="s">
        <v>1825</v>
      </c>
      <c r="B30" t="s">
        <v>1826</v>
      </c>
      <c r="C30">
        <v>0</v>
      </c>
      <c r="D30">
        <v>0</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v>0</v>
      </c>
      <c r="BI30">
        <v>0</v>
      </c>
      <c r="BJ30">
        <v>0</v>
      </c>
      <c r="BK30">
        <v>0</v>
      </c>
      <c r="BL30">
        <v>0</v>
      </c>
      <c r="BM30">
        <v>0</v>
      </c>
      <c r="BN30">
        <v>0</v>
      </c>
      <c r="BO30">
        <v>0</v>
      </c>
      <c r="BP30">
        <v>0</v>
      </c>
      <c r="BQ30">
        <v>0</v>
      </c>
      <c r="BR30">
        <v>0</v>
      </c>
      <c r="BS30">
        <v>0</v>
      </c>
      <c r="BT30">
        <v>0</v>
      </c>
      <c r="BU30">
        <v>0</v>
      </c>
      <c r="BV30">
        <v>0</v>
      </c>
      <c r="BW30">
        <v>0</v>
      </c>
      <c r="BX30">
        <v>0</v>
      </c>
      <c r="BY30">
        <v>0</v>
      </c>
      <c r="BZ30">
        <v>0</v>
      </c>
      <c r="CA30">
        <v>0</v>
      </c>
      <c r="CB30">
        <v>0</v>
      </c>
      <c r="CC30">
        <v>0</v>
      </c>
      <c r="CD30">
        <v>0</v>
      </c>
      <c r="CE30">
        <v>0</v>
      </c>
      <c r="CF30">
        <v>0</v>
      </c>
      <c r="CG30">
        <v>0</v>
      </c>
      <c r="CH30">
        <v>0</v>
      </c>
      <c r="CI30">
        <v>0</v>
      </c>
      <c r="CJ30">
        <v>0</v>
      </c>
      <c r="CK30">
        <v>0</v>
      </c>
      <c r="CL30">
        <v>0</v>
      </c>
      <c r="CM30">
        <v>0</v>
      </c>
      <c r="CN30">
        <v>0</v>
      </c>
      <c r="CO30">
        <v>0</v>
      </c>
      <c r="CP30">
        <v>0</v>
      </c>
      <c r="CQ30">
        <v>0</v>
      </c>
      <c r="CR30">
        <v>0</v>
      </c>
      <c r="CS30">
        <v>0</v>
      </c>
      <c r="CT30">
        <v>0</v>
      </c>
      <c r="CU30">
        <v>0</v>
      </c>
      <c r="CV30">
        <v>0</v>
      </c>
      <c r="CW30">
        <v>0</v>
      </c>
      <c r="CX30">
        <v>0</v>
      </c>
      <c r="CY30">
        <v>0</v>
      </c>
      <c r="CZ30">
        <v>1</v>
      </c>
      <c r="DA30">
        <v>1</v>
      </c>
      <c r="DB30">
        <v>1</v>
      </c>
      <c r="DC30">
        <v>1</v>
      </c>
      <c r="DD30">
        <v>1</v>
      </c>
      <c r="DE30">
        <v>1</v>
      </c>
      <c r="DF30">
        <v>1</v>
      </c>
      <c r="DG30">
        <v>1</v>
      </c>
      <c r="DH30">
        <v>1</v>
      </c>
      <c r="DI30">
        <v>1</v>
      </c>
      <c r="DJ30">
        <v>1</v>
      </c>
      <c r="DK30">
        <v>1</v>
      </c>
      <c r="DL30">
        <v>1</v>
      </c>
      <c r="DM30">
        <v>1</v>
      </c>
      <c r="DN30">
        <v>1</v>
      </c>
      <c r="DO30">
        <v>1</v>
      </c>
      <c r="DP30">
        <v>1</v>
      </c>
      <c r="DQ30">
        <v>1</v>
      </c>
      <c r="DR30">
        <v>1</v>
      </c>
      <c r="DS30">
        <v>1</v>
      </c>
      <c r="DT30">
        <v>1</v>
      </c>
      <c r="DU30">
        <v>1</v>
      </c>
      <c r="DV30">
        <v>1</v>
      </c>
      <c r="DW30">
        <v>1</v>
      </c>
      <c r="DX30">
        <v>1</v>
      </c>
      <c r="DY30">
        <v>1</v>
      </c>
      <c r="DZ30">
        <v>1</v>
      </c>
      <c r="EA30">
        <v>1</v>
      </c>
      <c r="EB30">
        <v>1</v>
      </c>
      <c r="EC30">
        <v>1</v>
      </c>
      <c r="ED30">
        <v>1</v>
      </c>
      <c r="EE30">
        <v>1</v>
      </c>
      <c r="EF30">
        <v>1</v>
      </c>
      <c r="EG30">
        <v>1</v>
      </c>
      <c r="EH30">
        <v>1</v>
      </c>
      <c r="EI30">
        <v>1</v>
      </c>
      <c r="EJ30">
        <v>1</v>
      </c>
      <c r="EK30">
        <v>1</v>
      </c>
      <c r="EL30">
        <v>1</v>
      </c>
      <c r="EM30">
        <v>1</v>
      </c>
      <c r="EN30">
        <v>1</v>
      </c>
      <c r="EO30">
        <v>1</v>
      </c>
      <c r="EP30">
        <v>1</v>
      </c>
      <c r="EQ30">
        <v>1</v>
      </c>
      <c r="ER30">
        <v>1</v>
      </c>
      <c r="ES30">
        <v>1</v>
      </c>
      <c r="ET30">
        <v>1</v>
      </c>
      <c r="EU30">
        <v>1</v>
      </c>
      <c r="EV30">
        <v>1</v>
      </c>
      <c r="EW30">
        <v>1</v>
      </c>
      <c r="EX30">
        <v>1</v>
      </c>
      <c r="EY30">
        <v>1</v>
      </c>
      <c r="EZ30">
        <v>1</v>
      </c>
      <c r="FA30">
        <v>1</v>
      </c>
      <c r="FB30">
        <v>1</v>
      </c>
      <c r="FC30">
        <v>1</v>
      </c>
      <c r="FD30">
        <v>1</v>
      </c>
      <c r="FE30">
        <v>1</v>
      </c>
      <c r="FF30">
        <v>1</v>
      </c>
      <c r="FG30">
        <v>1</v>
      </c>
      <c r="FH30">
        <v>1</v>
      </c>
      <c r="FI30">
        <v>1</v>
      </c>
      <c r="FJ30">
        <v>1</v>
      </c>
      <c r="FK30">
        <v>1</v>
      </c>
      <c r="FL30">
        <v>1</v>
      </c>
      <c r="FM30">
        <v>1</v>
      </c>
      <c r="FN30">
        <v>1</v>
      </c>
      <c r="FO30">
        <v>1</v>
      </c>
      <c r="FP30">
        <v>1</v>
      </c>
      <c r="FQ30">
        <v>1</v>
      </c>
      <c r="FR30">
        <v>1</v>
      </c>
      <c r="FS30">
        <v>1</v>
      </c>
      <c r="FT30">
        <v>1</v>
      </c>
      <c r="FU30">
        <v>1</v>
      </c>
      <c r="FV30">
        <v>1</v>
      </c>
      <c r="FW30">
        <v>1</v>
      </c>
      <c r="FX30">
        <v>1</v>
      </c>
      <c r="FY30">
        <v>1</v>
      </c>
      <c r="FZ30">
        <v>1</v>
      </c>
      <c r="GA30">
        <v>1</v>
      </c>
      <c r="GB30">
        <v>1</v>
      </c>
      <c r="GC30">
        <v>1</v>
      </c>
      <c r="GD30">
        <v>1</v>
      </c>
      <c r="GE30">
        <v>1</v>
      </c>
      <c r="GF30">
        <v>1</v>
      </c>
      <c r="GG30">
        <v>1</v>
      </c>
      <c r="GH30">
        <v>1</v>
      </c>
      <c r="GI30">
        <v>1</v>
      </c>
      <c r="GJ30">
        <v>1</v>
      </c>
      <c r="GK30">
        <v>1</v>
      </c>
      <c r="GL30">
        <v>1</v>
      </c>
      <c r="GM30">
        <v>1</v>
      </c>
      <c r="GN30">
        <v>1</v>
      </c>
      <c r="GO30">
        <v>1</v>
      </c>
      <c r="GP30">
        <v>1</v>
      </c>
      <c r="GQ30">
        <v>1</v>
      </c>
      <c r="GR30">
        <v>1</v>
      </c>
      <c r="GS30">
        <v>1</v>
      </c>
      <c r="GT30">
        <v>1</v>
      </c>
      <c r="GU30">
        <v>1</v>
      </c>
      <c r="GV30">
        <v>1</v>
      </c>
      <c r="GW30">
        <v>1</v>
      </c>
      <c r="GX30">
        <v>1</v>
      </c>
      <c r="GY30">
        <v>1</v>
      </c>
      <c r="GZ30">
        <v>1</v>
      </c>
      <c r="HA30">
        <v>1</v>
      </c>
      <c r="HB30">
        <v>1</v>
      </c>
      <c r="HC30">
        <v>0</v>
      </c>
      <c r="HD30">
        <v>0</v>
      </c>
      <c r="HE30">
        <v>0</v>
      </c>
      <c r="HF30">
        <v>0</v>
      </c>
      <c r="HG30">
        <v>0</v>
      </c>
      <c r="HH30">
        <v>0</v>
      </c>
      <c r="HI30">
        <v>0</v>
      </c>
      <c r="HJ30">
        <v>0</v>
      </c>
      <c r="HK30">
        <v>0</v>
      </c>
      <c r="HL30">
        <v>0</v>
      </c>
      <c r="HM30">
        <v>0</v>
      </c>
      <c r="HN30">
        <v>0</v>
      </c>
      <c r="HO30">
        <v>0</v>
      </c>
      <c r="HP30">
        <v>0</v>
      </c>
      <c r="HQ30">
        <v>0</v>
      </c>
      <c r="HR30">
        <v>0</v>
      </c>
      <c r="HS30">
        <v>0</v>
      </c>
      <c r="HT30">
        <v>0</v>
      </c>
      <c r="HU30">
        <v>0</v>
      </c>
      <c r="HV30">
        <v>0</v>
      </c>
      <c r="HW30">
        <v>0</v>
      </c>
      <c r="HX30">
        <v>0</v>
      </c>
      <c r="HY30">
        <v>0</v>
      </c>
      <c r="HZ30">
        <v>0</v>
      </c>
      <c r="IA30">
        <v>0</v>
      </c>
      <c r="IB30">
        <v>0</v>
      </c>
      <c r="IC30">
        <v>0</v>
      </c>
      <c r="ID30">
        <v>0</v>
      </c>
      <c r="IE30">
        <v>0</v>
      </c>
      <c r="IF30">
        <v>0</v>
      </c>
      <c r="IG30">
        <v>0</v>
      </c>
      <c r="IH30">
        <v>0</v>
      </c>
      <c r="II30">
        <v>0</v>
      </c>
      <c r="IJ30">
        <v>0</v>
      </c>
      <c r="IK30">
        <v>0</v>
      </c>
      <c r="IL30">
        <v>0</v>
      </c>
      <c r="IM30">
        <v>0</v>
      </c>
      <c r="IN30">
        <v>0</v>
      </c>
      <c r="IO30">
        <v>0</v>
      </c>
      <c r="IP30">
        <v>0</v>
      </c>
      <c r="IQ30">
        <v>0</v>
      </c>
      <c r="IR30">
        <v>0</v>
      </c>
      <c r="IS30">
        <v>0</v>
      </c>
      <c r="IT30">
        <v>0</v>
      </c>
      <c r="IU30">
        <v>0</v>
      </c>
      <c r="IV30">
        <v>0</v>
      </c>
      <c r="IW30">
        <v>0</v>
      </c>
      <c r="IX30">
        <v>0</v>
      </c>
      <c r="IY30">
        <v>0</v>
      </c>
      <c r="IZ30">
        <v>0</v>
      </c>
      <c r="JA30">
        <v>0</v>
      </c>
      <c r="JB30">
        <v>0</v>
      </c>
      <c r="JC30">
        <v>0</v>
      </c>
      <c r="JD30">
        <v>0</v>
      </c>
      <c r="JE30">
        <v>0</v>
      </c>
      <c r="JF30">
        <v>0</v>
      </c>
      <c r="JG30">
        <v>0</v>
      </c>
      <c r="JH30">
        <v>0</v>
      </c>
      <c r="JI30">
        <v>0</v>
      </c>
      <c r="JJ30">
        <v>0</v>
      </c>
      <c r="JK30">
        <v>0</v>
      </c>
      <c r="JL30">
        <v>0</v>
      </c>
      <c r="JM30">
        <v>0</v>
      </c>
      <c r="JN30">
        <v>0</v>
      </c>
      <c r="JO30">
        <v>0</v>
      </c>
      <c r="JP30">
        <v>0</v>
      </c>
      <c r="JQ30">
        <v>0</v>
      </c>
      <c r="JR30">
        <v>0</v>
      </c>
      <c r="JS30">
        <v>0</v>
      </c>
      <c r="JT30">
        <v>0</v>
      </c>
      <c r="JU30">
        <v>0</v>
      </c>
      <c r="JV30">
        <v>0</v>
      </c>
      <c r="JW30">
        <v>0</v>
      </c>
      <c r="JX30">
        <v>0</v>
      </c>
      <c r="JY30">
        <v>0</v>
      </c>
      <c r="JZ30">
        <v>0</v>
      </c>
      <c r="KA30">
        <v>0</v>
      </c>
      <c r="KB30">
        <v>0</v>
      </c>
      <c r="KC30">
        <v>0</v>
      </c>
      <c r="KD30">
        <v>0</v>
      </c>
      <c r="KE30">
        <v>0</v>
      </c>
      <c r="KF30">
        <v>0</v>
      </c>
      <c r="KG30">
        <v>0</v>
      </c>
      <c r="KH30">
        <v>0</v>
      </c>
      <c r="KI30">
        <v>0</v>
      </c>
      <c r="KJ30">
        <v>0</v>
      </c>
      <c r="KK30">
        <v>0</v>
      </c>
      <c r="KL30">
        <v>0</v>
      </c>
      <c r="KM30">
        <v>0</v>
      </c>
      <c r="KN30">
        <v>0</v>
      </c>
      <c r="KO30">
        <v>0</v>
      </c>
      <c r="KP30">
        <v>0</v>
      </c>
      <c r="KQ30">
        <v>0</v>
      </c>
      <c r="KR30">
        <v>0</v>
      </c>
      <c r="KS30">
        <v>0</v>
      </c>
      <c r="KT30">
        <v>0</v>
      </c>
      <c r="KU30">
        <v>0</v>
      </c>
      <c r="KV30">
        <v>0</v>
      </c>
      <c r="KW30">
        <v>0</v>
      </c>
      <c r="KX30">
        <v>0</v>
      </c>
      <c r="KY30">
        <v>0</v>
      </c>
      <c r="KZ30">
        <v>0</v>
      </c>
      <c r="LA30">
        <v>0</v>
      </c>
      <c r="LB30">
        <v>0</v>
      </c>
      <c r="LC30">
        <v>0</v>
      </c>
      <c r="LD30">
        <v>0</v>
      </c>
      <c r="LE30">
        <v>0</v>
      </c>
      <c r="LF30">
        <v>0</v>
      </c>
      <c r="LG30">
        <v>0</v>
      </c>
      <c r="LH30">
        <v>0</v>
      </c>
      <c r="LI30">
        <v>0</v>
      </c>
      <c r="LJ30">
        <v>0</v>
      </c>
      <c r="LK30">
        <v>0</v>
      </c>
      <c r="LL30">
        <v>0</v>
      </c>
      <c r="LM30">
        <v>0</v>
      </c>
      <c r="LN30">
        <v>0</v>
      </c>
      <c r="LO30">
        <v>0</v>
      </c>
      <c r="LP30">
        <v>0</v>
      </c>
      <c r="LQ30">
        <v>0</v>
      </c>
      <c r="LR30">
        <v>0</v>
      </c>
      <c r="LS30">
        <v>0</v>
      </c>
      <c r="LT30">
        <v>0</v>
      </c>
      <c r="LU30">
        <v>0</v>
      </c>
      <c r="LV30">
        <v>0</v>
      </c>
      <c r="LW30">
        <v>0</v>
      </c>
      <c r="LX30">
        <v>0</v>
      </c>
      <c r="LY30">
        <v>0</v>
      </c>
      <c r="LZ30">
        <v>0</v>
      </c>
      <c r="MA30">
        <v>0</v>
      </c>
      <c r="MB30">
        <v>0</v>
      </c>
      <c r="MC30">
        <v>0</v>
      </c>
      <c r="MD30">
        <v>0</v>
      </c>
      <c r="ME30">
        <v>0</v>
      </c>
      <c r="MF30">
        <v>0</v>
      </c>
      <c r="MG30">
        <v>0</v>
      </c>
      <c r="MH30">
        <v>0</v>
      </c>
      <c r="MI30">
        <v>0</v>
      </c>
      <c r="MJ30">
        <v>0</v>
      </c>
      <c r="MK30">
        <v>0</v>
      </c>
      <c r="ML30">
        <v>0</v>
      </c>
      <c r="MM30">
        <v>0</v>
      </c>
      <c r="MN30">
        <v>0</v>
      </c>
      <c r="MO30">
        <v>0</v>
      </c>
      <c r="MP30">
        <v>0</v>
      </c>
      <c r="MQ30">
        <v>0</v>
      </c>
      <c r="MR30">
        <v>0</v>
      </c>
      <c r="MS30">
        <v>0</v>
      </c>
      <c r="MT30">
        <v>0</v>
      </c>
      <c r="MU30">
        <v>0</v>
      </c>
      <c r="MV30">
        <v>0</v>
      </c>
      <c r="MW30">
        <v>0</v>
      </c>
      <c r="MX30">
        <v>0</v>
      </c>
      <c r="MY30">
        <v>0</v>
      </c>
      <c r="MZ30">
        <v>0</v>
      </c>
      <c r="NA30">
        <v>0</v>
      </c>
      <c r="NB30">
        <v>0</v>
      </c>
      <c r="NC30">
        <v>0</v>
      </c>
      <c r="ND30">
        <v>0</v>
      </c>
      <c r="NE30">
        <v>0</v>
      </c>
      <c r="NF30">
        <v>0</v>
      </c>
      <c r="NG30">
        <v>0</v>
      </c>
      <c r="NH30">
        <v>0</v>
      </c>
      <c r="NI30">
        <v>0</v>
      </c>
      <c r="NJ30">
        <v>0</v>
      </c>
      <c r="NK30">
        <v>0</v>
      </c>
      <c r="NL30">
        <v>0</v>
      </c>
      <c r="NM30">
        <v>0</v>
      </c>
      <c r="NN30">
        <v>0</v>
      </c>
      <c r="NO30">
        <v>0</v>
      </c>
      <c r="NP30">
        <v>0</v>
      </c>
      <c r="NQ30">
        <v>0</v>
      </c>
      <c r="NR30">
        <v>0</v>
      </c>
      <c r="NS30">
        <v>0</v>
      </c>
      <c r="NT30">
        <v>0</v>
      </c>
      <c r="NU30">
        <v>0</v>
      </c>
      <c r="NV30">
        <v>0</v>
      </c>
      <c r="NW30">
        <v>0</v>
      </c>
      <c r="NX30">
        <v>0</v>
      </c>
      <c r="NY30">
        <v>0</v>
      </c>
      <c r="NZ30">
        <v>0</v>
      </c>
      <c r="OA30">
        <v>0</v>
      </c>
      <c r="OB30">
        <v>0</v>
      </c>
      <c r="OC30">
        <v>0</v>
      </c>
      <c r="OD30">
        <v>0</v>
      </c>
      <c r="OE30">
        <v>0</v>
      </c>
      <c r="OF30">
        <v>0</v>
      </c>
      <c r="OG30">
        <v>0</v>
      </c>
      <c r="OH30">
        <v>0</v>
      </c>
      <c r="OI30">
        <v>0</v>
      </c>
      <c r="OJ30">
        <v>0</v>
      </c>
      <c r="OK30">
        <v>0</v>
      </c>
      <c r="OL30">
        <v>0</v>
      </c>
      <c r="OM30">
        <v>0</v>
      </c>
      <c r="ON30">
        <v>0</v>
      </c>
      <c r="OO30">
        <v>0</v>
      </c>
      <c r="OP30">
        <v>0</v>
      </c>
      <c r="OQ30">
        <v>0</v>
      </c>
      <c r="OR30">
        <v>0</v>
      </c>
      <c r="OS30">
        <v>0</v>
      </c>
      <c r="OT30">
        <v>0</v>
      </c>
      <c r="OU30">
        <v>0</v>
      </c>
      <c r="OV30">
        <v>0</v>
      </c>
      <c r="OW30">
        <v>0</v>
      </c>
      <c r="OX30">
        <v>0</v>
      </c>
      <c r="OY30">
        <v>0</v>
      </c>
      <c r="OZ30">
        <v>0</v>
      </c>
      <c r="PA30">
        <v>0</v>
      </c>
      <c r="PB30">
        <v>0</v>
      </c>
      <c r="PC30">
        <v>0</v>
      </c>
      <c r="PD30">
        <v>0</v>
      </c>
      <c r="PE30">
        <v>0</v>
      </c>
      <c r="PF30">
        <v>0</v>
      </c>
      <c r="PG30">
        <v>0</v>
      </c>
      <c r="PH30">
        <v>0</v>
      </c>
      <c r="PI30">
        <v>0</v>
      </c>
      <c r="PJ30">
        <v>0</v>
      </c>
      <c r="PK30">
        <v>0</v>
      </c>
      <c r="PL30">
        <v>0</v>
      </c>
      <c r="PM30">
        <v>0</v>
      </c>
      <c r="PN30">
        <v>0</v>
      </c>
      <c r="PO30">
        <v>0</v>
      </c>
      <c r="PP30">
        <v>0</v>
      </c>
      <c r="PQ30">
        <v>0</v>
      </c>
      <c r="PR30">
        <v>0</v>
      </c>
      <c r="PS30">
        <v>0</v>
      </c>
      <c r="PT30">
        <v>0</v>
      </c>
      <c r="PU30">
        <v>0</v>
      </c>
      <c r="PV30">
        <v>0</v>
      </c>
      <c r="PW30">
        <v>0</v>
      </c>
      <c r="PX30">
        <v>0</v>
      </c>
      <c r="PY30">
        <v>0</v>
      </c>
      <c r="PZ30">
        <v>0</v>
      </c>
      <c r="QA30">
        <v>0</v>
      </c>
      <c r="QB30">
        <v>0</v>
      </c>
      <c r="QC30">
        <v>0</v>
      </c>
      <c r="QD30">
        <v>0</v>
      </c>
      <c r="QE30">
        <v>0</v>
      </c>
      <c r="QF30">
        <v>0</v>
      </c>
      <c r="QG30">
        <v>0</v>
      </c>
      <c r="QH30">
        <v>0</v>
      </c>
      <c r="QI30">
        <v>0</v>
      </c>
      <c r="QJ30">
        <v>0</v>
      </c>
      <c r="QK30">
        <v>0</v>
      </c>
      <c r="QL30">
        <v>0</v>
      </c>
      <c r="QM30">
        <v>0</v>
      </c>
      <c r="QN30">
        <v>0</v>
      </c>
      <c r="QO30">
        <v>0</v>
      </c>
      <c r="QP30">
        <v>0</v>
      </c>
      <c r="QQ30">
        <v>0</v>
      </c>
      <c r="QR30">
        <v>0</v>
      </c>
      <c r="QS30">
        <v>0</v>
      </c>
      <c r="QT30">
        <v>0</v>
      </c>
      <c r="QU30">
        <v>0</v>
      </c>
      <c r="QV30">
        <v>0</v>
      </c>
      <c r="QW30">
        <v>0</v>
      </c>
      <c r="QX30">
        <v>0</v>
      </c>
      <c r="QY30">
        <v>0</v>
      </c>
      <c r="QZ30">
        <v>0</v>
      </c>
      <c r="RA30">
        <v>0</v>
      </c>
      <c r="RB30">
        <v>0</v>
      </c>
      <c r="RC30">
        <v>0</v>
      </c>
      <c r="RD30">
        <v>0</v>
      </c>
      <c r="RE30">
        <v>0</v>
      </c>
      <c r="RF30">
        <v>0</v>
      </c>
      <c r="RG30">
        <v>0</v>
      </c>
      <c r="RH30">
        <v>0</v>
      </c>
      <c r="RI30">
        <v>0</v>
      </c>
      <c r="RJ30">
        <v>0</v>
      </c>
      <c r="RK30">
        <v>0</v>
      </c>
      <c r="RL30">
        <v>0</v>
      </c>
      <c r="RM30">
        <v>0</v>
      </c>
      <c r="RN30">
        <v>0</v>
      </c>
      <c r="RO30">
        <v>0</v>
      </c>
      <c r="RP30">
        <v>0</v>
      </c>
      <c r="RQ30">
        <v>0</v>
      </c>
      <c r="RR30">
        <v>0</v>
      </c>
      <c r="RS30">
        <v>0</v>
      </c>
      <c r="RT30">
        <v>0</v>
      </c>
      <c r="RU30">
        <v>0</v>
      </c>
      <c r="RV30">
        <v>0</v>
      </c>
      <c r="RW30">
        <v>0</v>
      </c>
      <c r="RX30">
        <v>0</v>
      </c>
      <c r="RY30">
        <v>0</v>
      </c>
      <c r="RZ30">
        <v>0</v>
      </c>
      <c r="SA30">
        <v>0</v>
      </c>
      <c r="SB30">
        <v>0</v>
      </c>
      <c r="SC30">
        <v>0</v>
      </c>
      <c r="SD30">
        <v>0</v>
      </c>
      <c r="SE30">
        <v>0</v>
      </c>
      <c r="SF30">
        <v>0</v>
      </c>
      <c r="SG30">
        <v>0</v>
      </c>
      <c r="SH30">
        <v>0</v>
      </c>
      <c r="SI30">
        <v>0</v>
      </c>
      <c r="SJ30">
        <v>0</v>
      </c>
      <c r="SK30">
        <v>0</v>
      </c>
      <c r="SL30">
        <v>0</v>
      </c>
      <c r="SM30">
        <v>0</v>
      </c>
      <c r="SN30">
        <v>0</v>
      </c>
      <c r="SO30">
        <v>0</v>
      </c>
      <c r="SP30">
        <v>0</v>
      </c>
      <c r="SQ30">
        <v>0</v>
      </c>
      <c r="SR30">
        <v>0</v>
      </c>
      <c r="SS30">
        <v>0</v>
      </c>
      <c r="ST30">
        <v>0</v>
      </c>
      <c r="SU30">
        <v>0</v>
      </c>
      <c r="SV30">
        <v>0</v>
      </c>
      <c r="SW30">
        <v>0</v>
      </c>
      <c r="SX30">
        <v>0</v>
      </c>
      <c r="SY30">
        <v>0</v>
      </c>
      <c r="SZ30">
        <v>0</v>
      </c>
      <c r="TA30">
        <v>0</v>
      </c>
      <c r="TB30">
        <v>0</v>
      </c>
      <c r="TC30">
        <v>0</v>
      </c>
      <c r="TD30">
        <v>0</v>
      </c>
      <c r="TE30">
        <v>0</v>
      </c>
      <c r="TF30">
        <v>0</v>
      </c>
      <c r="TG30">
        <v>0</v>
      </c>
      <c r="TH30">
        <v>0</v>
      </c>
      <c r="TI30">
        <v>0</v>
      </c>
      <c r="TJ30">
        <v>0</v>
      </c>
      <c r="TK30">
        <v>0</v>
      </c>
      <c r="TL30">
        <v>0</v>
      </c>
      <c r="TM30">
        <v>0</v>
      </c>
      <c r="TN30">
        <v>0</v>
      </c>
      <c r="TO30">
        <v>0</v>
      </c>
      <c r="TP30">
        <v>0</v>
      </c>
      <c r="TQ30">
        <v>0</v>
      </c>
      <c r="TR30">
        <v>0</v>
      </c>
      <c r="TS30">
        <v>0</v>
      </c>
      <c r="TT30">
        <v>0</v>
      </c>
      <c r="TU30">
        <v>0</v>
      </c>
      <c r="TV30">
        <v>0</v>
      </c>
      <c r="TW30">
        <v>0</v>
      </c>
      <c r="TX30">
        <v>0</v>
      </c>
      <c r="TY30">
        <v>0</v>
      </c>
      <c r="TZ30">
        <v>0</v>
      </c>
      <c r="UA30">
        <v>0</v>
      </c>
      <c r="UB30">
        <v>0</v>
      </c>
      <c r="UC30">
        <v>0</v>
      </c>
      <c r="UD30">
        <v>0</v>
      </c>
      <c r="UE30">
        <v>0</v>
      </c>
      <c r="UF30">
        <v>0</v>
      </c>
      <c r="UG30">
        <v>0</v>
      </c>
      <c r="UH30">
        <v>0</v>
      </c>
      <c r="UI30">
        <v>0</v>
      </c>
      <c r="UJ30">
        <v>0</v>
      </c>
      <c r="UK30">
        <v>0</v>
      </c>
      <c r="UL30">
        <v>0</v>
      </c>
      <c r="UM30">
        <v>0</v>
      </c>
      <c r="UN30">
        <v>0</v>
      </c>
      <c r="UO30">
        <v>0</v>
      </c>
      <c r="UP30">
        <v>0</v>
      </c>
      <c r="UQ30">
        <v>0</v>
      </c>
      <c r="UR30">
        <v>0</v>
      </c>
      <c r="US30">
        <v>0</v>
      </c>
      <c r="UT30">
        <v>0</v>
      </c>
      <c r="UU30">
        <v>0</v>
      </c>
      <c r="UV30">
        <v>0</v>
      </c>
      <c r="UW30">
        <v>0</v>
      </c>
      <c r="UX30">
        <v>0</v>
      </c>
      <c r="UY30">
        <v>0</v>
      </c>
      <c r="UZ30">
        <v>0</v>
      </c>
      <c r="VA30">
        <v>0</v>
      </c>
      <c r="VB30">
        <v>0</v>
      </c>
      <c r="VC30">
        <v>0</v>
      </c>
      <c r="VD30">
        <v>0</v>
      </c>
      <c r="VE30">
        <v>0</v>
      </c>
      <c r="VF30">
        <v>0</v>
      </c>
      <c r="VG30">
        <v>0</v>
      </c>
      <c r="VH30">
        <v>0</v>
      </c>
      <c r="VI30">
        <v>0</v>
      </c>
      <c r="VJ30">
        <v>0</v>
      </c>
      <c r="VK30">
        <v>0</v>
      </c>
      <c r="VL30">
        <v>0</v>
      </c>
      <c r="VM30">
        <v>0</v>
      </c>
      <c r="VN30">
        <v>0</v>
      </c>
      <c r="VO30">
        <v>0</v>
      </c>
      <c r="VP30">
        <v>0</v>
      </c>
      <c r="VQ30">
        <v>0</v>
      </c>
      <c r="VR30">
        <v>0</v>
      </c>
      <c r="VS30">
        <v>0</v>
      </c>
      <c r="VT30">
        <v>0</v>
      </c>
      <c r="VU30">
        <v>0</v>
      </c>
      <c r="VV30">
        <v>0</v>
      </c>
      <c r="VW30">
        <v>0</v>
      </c>
      <c r="VX30">
        <v>0</v>
      </c>
      <c r="VY30">
        <v>0</v>
      </c>
      <c r="VZ30">
        <v>0</v>
      </c>
      <c r="WA30">
        <v>0</v>
      </c>
      <c r="WB30">
        <v>0</v>
      </c>
      <c r="WC30">
        <v>0</v>
      </c>
      <c r="WD30">
        <v>0</v>
      </c>
      <c r="WE30">
        <v>0</v>
      </c>
      <c r="WF30">
        <v>0</v>
      </c>
      <c r="WG30">
        <v>0</v>
      </c>
      <c r="WH30">
        <v>0</v>
      </c>
      <c r="WI30">
        <v>0</v>
      </c>
      <c r="WJ30">
        <v>0</v>
      </c>
      <c r="WK30">
        <v>0</v>
      </c>
      <c r="WL30">
        <v>0</v>
      </c>
      <c r="WM30">
        <v>0</v>
      </c>
      <c r="WN30">
        <v>0</v>
      </c>
      <c r="WO30">
        <v>0</v>
      </c>
      <c r="WP30">
        <v>0</v>
      </c>
      <c r="WQ30">
        <v>0</v>
      </c>
      <c r="WR30">
        <v>0</v>
      </c>
      <c r="WS30">
        <v>0</v>
      </c>
      <c r="WT30">
        <v>0</v>
      </c>
      <c r="WU30">
        <v>0</v>
      </c>
      <c r="WV30">
        <v>0</v>
      </c>
      <c r="WW30">
        <v>0</v>
      </c>
      <c r="WX30">
        <v>0</v>
      </c>
      <c r="WY30">
        <v>0</v>
      </c>
      <c r="WZ30">
        <v>0</v>
      </c>
      <c r="XA30">
        <v>0</v>
      </c>
      <c r="XB30">
        <v>0</v>
      </c>
      <c r="XC30">
        <v>0</v>
      </c>
      <c r="XD30">
        <v>0</v>
      </c>
      <c r="XE30">
        <v>0</v>
      </c>
      <c r="XF30">
        <v>0</v>
      </c>
      <c r="XG30">
        <v>0</v>
      </c>
      <c r="XH30">
        <v>0</v>
      </c>
      <c r="XI30">
        <v>0</v>
      </c>
      <c r="XJ30">
        <v>0</v>
      </c>
      <c r="XK30">
        <v>0</v>
      </c>
      <c r="XL30">
        <v>0</v>
      </c>
      <c r="XM30">
        <v>0</v>
      </c>
      <c r="XN30">
        <v>0</v>
      </c>
      <c r="XO30">
        <v>0</v>
      </c>
      <c r="XP30">
        <v>0</v>
      </c>
      <c r="XQ30">
        <v>0</v>
      </c>
      <c r="XR30">
        <v>0</v>
      </c>
      <c r="XS30">
        <v>0</v>
      </c>
      <c r="XT30">
        <v>0</v>
      </c>
      <c r="XU30">
        <v>0</v>
      </c>
      <c r="XV30">
        <v>0</v>
      </c>
      <c r="XW30">
        <v>0</v>
      </c>
      <c r="XX30">
        <v>0</v>
      </c>
      <c r="XY30">
        <v>0</v>
      </c>
      <c r="XZ30">
        <v>0</v>
      </c>
      <c r="YA30">
        <v>0</v>
      </c>
      <c r="YB30">
        <v>0</v>
      </c>
      <c r="YC30">
        <v>0</v>
      </c>
      <c r="YD30">
        <v>0</v>
      </c>
      <c r="YE30">
        <v>0</v>
      </c>
      <c r="YF30">
        <v>0</v>
      </c>
      <c r="YG30">
        <v>0</v>
      </c>
      <c r="YH30">
        <v>0</v>
      </c>
      <c r="YI30">
        <v>0</v>
      </c>
      <c r="YJ30">
        <v>0</v>
      </c>
      <c r="YK30">
        <v>0</v>
      </c>
      <c r="YL30">
        <v>0</v>
      </c>
      <c r="YM30">
        <v>0</v>
      </c>
      <c r="YN30">
        <v>0</v>
      </c>
      <c r="YO30">
        <v>0</v>
      </c>
      <c r="YP30">
        <v>0</v>
      </c>
      <c r="YQ30">
        <v>0</v>
      </c>
      <c r="YR30">
        <v>0</v>
      </c>
      <c r="YS30">
        <v>0</v>
      </c>
      <c r="YT30">
        <v>0</v>
      </c>
      <c r="YU30">
        <v>0</v>
      </c>
      <c r="YV30">
        <v>0</v>
      </c>
      <c r="YW30">
        <v>0</v>
      </c>
      <c r="YX30">
        <v>0</v>
      </c>
      <c r="YY30">
        <v>0</v>
      </c>
      <c r="YZ30">
        <v>0</v>
      </c>
      <c r="ZA30">
        <v>0</v>
      </c>
      <c r="ZB30">
        <v>0</v>
      </c>
      <c r="ZC30">
        <v>0</v>
      </c>
      <c r="ZD30">
        <v>0</v>
      </c>
      <c r="ZE30">
        <v>0</v>
      </c>
      <c r="ZF30">
        <v>0</v>
      </c>
      <c r="ZG30">
        <v>0</v>
      </c>
      <c r="ZH30">
        <v>0</v>
      </c>
      <c r="ZI30">
        <v>0</v>
      </c>
      <c r="ZJ30">
        <v>0</v>
      </c>
      <c r="ZK30">
        <v>0</v>
      </c>
      <c r="ZL30">
        <v>0</v>
      </c>
      <c r="ZM30">
        <v>0</v>
      </c>
      <c r="ZN30">
        <v>0</v>
      </c>
      <c r="ZO30">
        <v>0</v>
      </c>
      <c r="ZP30">
        <v>0</v>
      </c>
      <c r="ZQ30">
        <v>0</v>
      </c>
      <c r="ZR30">
        <v>0</v>
      </c>
      <c r="ZS30">
        <v>0</v>
      </c>
      <c r="ZT30">
        <v>0</v>
      </c>
      <c r="ZU30">
        <v>0</v>
      </c>
      <c r="ZV30">
        <v>0</v>
      </c>
      <c r="ZW30">
        <v>0</v>
      </c>
      <c r="ZX30">
        <v>0</v>
      </c>
      <c r="ZY30">
        <v>0</v>
      </c>
      <c r="ZZ30">
        <v>0</v>
      </c>
      <c r="AAA30">
        <v>0</v>
      </c>
      <c r="AAB30">
        <v>0</v>
      </c>
      <c r="AAC30">
        <v>0</v>
      </c>
      <c r="AAD30">
        <v>0</v>
      </c>
      <c r="AAE30">
        <v>0</v>
      </c>
      <c r="AAF30">
        <v>0</v>
      </c>
      <c r="AAG30">
        <v>0</v>
      </c>
      <c r="AAH30">
        <v>0</v>
      </c>
      <c r="AAI30">
        <v>0</v>
      </c>
      <c r="AAJ30">
        <v>0</v>
      </c>
      <c r="AAK30">
        <v>0</v>
      </c>
      <c r="AAL30">
        <v>0</v>
      </c>
      <c r="AAM30">
        <v>0</v>
      </c>
      <c r="AAN30">
        <v>0</v>
      </c>
      <c r="AAO30">
        <v>0</v>
      </c>
      <c r="AAP30">
        <v>0</v>
      </c>
      <c r="AAQ30">
        <v>0</v>
      </c>
      <c r="AAR30">
        <v>0</v>
      </c>
      <c r="AAS30">
        <v>0</v>
      </c>
      <c r="AAT30">
        <v>0</v>
      </c>
      <c r="AAU30">
        <v>0</v>
      </c>
      <c r="AAV30">
        <v>0</v>
      </c>
      <c r="AAW30">
        <v>0</v>
      </c>
      <c r="AAX30">
        <v>0</v>
      </c>
      <c r="AAY30">
        <v>0</v>
      </c>
      <c r="AAZ30">
        <v>0</v>
      </c>
      <c r="ABA30">
        <v>0</v>
      </c>
      <c r="ABB30">
        <v>0</v>
      </c>
      <c r="ABC30">
        <v>0</v>
      </c>
      <c r="ABD30">
        <v>0</v>
      </c>
      <c r="ABE30">
        <v>0</v>
      </c>
      <c r="ABG30" s="1137">
        <f t="shared" si="5"/>
        <v>0</v>
      </c>
      <c r="ABH30" s="1137">
        <f t="shared" si="5"/>
        <v>0</v>
      </c>
      <c r="ABI30" s="1137">
        <f t="shared" si="5"/>
        <v>0</v>
      </c>
      <c r="ABJ30" s="1137">
        <f t="shared" si="5"/>
        <v>20</v>
      </c>
      <c r="ABK30" s="1137">
        <f t="shared" si="5"/>
        <v>31</v>
      </c>
      <c r="ABL30" s="1137">
        <f t="shared" si="5"/>
        <v>30</v>
      </c>
      <c r="ABM30" s="1137">
        <f t="shared" si="5"/>
        <v>26</v>
      </c>
      <c r="ABN30" s="1137">
        <f t="shared" si="5"/>
        <v>0</v>
      </c>
      <c r="ABO30" s="1137">
        <f t="shared" si="5"/>
        <v>0</v>
      </c>
      <c r="ABP30" s="1137">
        <f t="shared" si="5"/>
        <v>0</v>
      </c>
      <c r="ABQ30" s="1137">
        <f t="shared" si="5"/>
        <v>0</v>
      </c>
      <c r="ABR30" s="1137">
        <f t="shared" si="5"/>
        <v>0</v>
      </c>
      <c r="ABS30" s="1137">
        <f t="shared" si="5"/>
        <v>0</v>
      </c>
      <c r="ABT30" s="1137">
        <f t="shared" si="5"/>
        <v>0</v>
      </c>
      <c r="ABU30" s="1137">
        <f t="shared" si="5"/>
        <v>0</v>
      </c>
      <c r="ABV30" s="1137">
        <f t="shared" si="5"/>
        <v>0</v>
      </c>
      <c r="ABW30" s="1137">
        <f t="shared" si="7"/>
        <v>0</v>
      </c>
      <c r="ABX30" s="1137">
        <f t="shared" si="7"/>
        <v>0</v>
      </c>
      <c r="ABY30" s="1137">
        <f t="shared" si="7"/>
        <v>0</v>
      </c>
      <c r="ABZ30" s="1137">
        <f t="shared" si="7"/>
        <v>0</v>
      </c>
      <c r="ACA30" s="1137">
        <f t="shared" si="7"/>
        <v>0</v>
      </c>
      <c r="ACB30" s="1137">
        <f t="shared" si="7"/>
        <v>0</v>
      </c>
      <c r="ACC30" s="1137">
        <f t="shared" si="7"/>
        <v>0</v>
      </c>
      <c r="ACD30" s="1137">
        <f t="shared" si="7"/>
        <v>0</v>
      </c>
      <c r="ACE30" s="1137" t="s">
        <v>1826</v>
      </c>
      <c r="ACF30" s="1137">
        <f t="shared" si="6"/>
        <v>0</v>
      </c>
      <c r="ACG30" s="1137">
        <f t="shared" si="6"/>
        <v>0</v>
      </c>
      <c r="ACH30" s="1137">
        <f t="shared" si="6"/>
        <v>0</v>
      </c>
      <c r="ACI30" s="1137">
        <f t="shared" si="6"/>
        <v>1</v>
      </c>
      <c r="ACJ30" s="1137">
        <f t="shared" si="6"/>
        <v>1</v>
      </c>
      <c r="ACK30" s="1137">
        <f t="shared" si="6"/>
        <v>1</v>
      </c>
      <c r="ACL30" s="1137">
        <f t="shared" si="6"/>
        <v>1</v>
      </c>
      <c r="ACM30" s="1137">
        <f t="shared" si="6"/>
        <v>0</v>
      </c>
      <c r="ACN30" s="1137">
        <f t="shared" si="6"/>
        <v>0</v>
      </c>
      <c r="ACO30" s="1137">
        <f t="shared" si="6"/>
        <v>0</v>
      </c>
      <c r="ACP30" s="1137">
        <f t="shared" si="6"/>
        <v>0</v>
      </c>
      <c r="ACQ30" s="1137">
        <f t="shared" si="6"/>
        <v>0</v>
      </c>
      <c r="ACR30" s="1137">
        <f t="shared" si="6"/>
        <v>0</v>
      </c>
      <c r="ACS30" s="1137">
        <f t="shared" si="6"/>
        <v>0</v>
      </c>
      <c r="ACT30" s="1137">
        <f t="shared" si="6"/>
        <v>0</v>
      </c>
      <c r="ACU30" s="1137">
        <f t="shared" si="6"/>
        <v>0</v>
      </c>
      <c r="ACV30" s="1137">
        <f t="shared" si="8"/>
        <v>0</v>
      </c>
      <c r="ACW30" s="1137">
        <f t="shared" si="8"/>
        <v>0</v>
      </c>
      <c r="ACX30" s="1137">
        <f t="shared" si="8"/>
        <v>0</v>
      </c>
      <c r="ACY30" s="1137">
        <f t="shared" si="8"/>
        <v>0</v>
      </c>
      <c r="ACZ30" s="1137">
        <f t="shared" si="8"/>
        <v>0</v>
      </c>
      <c r="ADA30" s="1137">
        <f t="shared" si="8"/>
        <v>0</v>
      </c>
      <c r="ADB30" s="1137">
        <f t="shared" si="8"/>
        <v>0</v>
      </c>
      <c r="ADC30" s="1137">
        <f t="shared" si="8"/>
        <v>0</v>
      </c>
    </row>
    <row r="31" spans="1:783" x14ac:dyDescent="0.25">
      <c r="A31" t="s">
        <v>1827</v>
      </c>
      <c r="B31" t="s">
        <v>14</v>
      </c>
      <c r="C31">
        <v>0</v>
      </c>
      <c r="D31">
        <v>0</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v>0</v>
      </c>
      <c r="BE31">
        <v>0</v>
      </c>
      <c r="BF31">
        <v>0</v>
      </c>
      <c r="BG31">
        <v>0</v>
      </c>
      <c r="BH31">
        <v>0</v>
      </c>
      <c r="BI31">
        <v>0</v>
      </c>
      <c r="BJ31">
        <v>0</v>
      </c>
      <c r="BK31">
        <v>0</v>
      </c>
      <c r="BL31">
        <v>0</v>
      </c>
      <c r="BM31">
        <v>0</v>
      </c>
      <c r="BN31">
        <v>0</v>
      </c>
      <c r="BO31">
        <v>0</v>
      </c>
      <c r="BP31">
        <v>0</v>
      </c>
      <c r="BQ31">
        <v>0</v>
      </c>
      <c r="BR31">
        <v>0</v>
      </c>
      <c r="BS31">
        <v>0</v>
      </c>
      <c r="BT31">
        <v>0</v>
      </c>
      <c r="BU31">
        <v>0</v>
      </c>
      <c r="BV31">
        <v>0</v>
      </c>
      <c r="BW31">
        <v>0</v>
      </c>
      <c r="BX31">
        <v>0</v>
      </c>
      <c r="BY31">
        <v>0</v>
      </c>
      <c r="BZ31">
        <v>0</v>
      </c>
      <c r="CA31">
        <v>0</v>
      </c>
      <c r="CB31">
        <v>0</v>
      </c>
      <c r="CC31">
        <v>0</v>
      </c>
      <c r="CD31">
        <v>0</v>
      </c>
      <c r="CE31">
        <v>0</v>
      </c>
      <c r="CF31">
        <v>0</v>
      </c>
      <c r="CG31">
        <v>0</v>
      </c>
      <c r="CH31">
        <v>0</v>
      </c>
      <c r="CI31">
        <v>0</v>
      </c>
      <c r="CJ31">
        <v>0</v>
      </c>
      <c r="CK31">
        <v>2</v>
      </c>
      <c r="CL31">
        <v>2</v>
      </c>
      <c r="CM31">
        <v>2</v>
      </c>
      <c r="CN31">
        <v>2</v>
      </c>
      <c r="CO31">
        <v>2</v>
      </c>
      <c r="CP31">
        <v>2</v>
      </c>
      <c r="CQ31">
        <v>2</v>
      </c>
      <c r="CR31">
        <v>2</v>
      </c>
      <c r="CS31">
        <v>2</v>
      </c>
      <c r="CT31">
        <v>2</v>
      </c>
      <c r="CU31">
        <v>2</v>
      </c>
      <c r="CV31">
        <v>2</v>
      </c>
      <c r="CW31">
        <v>2</v>
      </c>
      <c r="CX31">
        <v>2</v>
      </c>
      <c r="CY31">
        <v>2</v>
      </c>
      <c r="CZ31">
        <v>2</v>
      </c>
      <c r="DA31">
        <v>2</v>
      </c>
      <c r="DB31">
        <v>2</v>
      </c>
      <c r="DC31">
        <v>2</v>
      </c>
      <c r="DD31">
        <v>2</v>
      </c>
      <c r="DE31">
        <v>2</v>
      </c>
      <c r="DF31">
        <v>2</v>
      </c>
      <c r="DG31">
        <v>2</v>
      </c>
      <c r="DH31">
        <v>2</v>
      </c>
      <c r="DI31">
        <v>2</v>
      </c>
      <c r="DJ31">
        <v>2</v>
      </c>
      <c r="DK31">
        <v>2</v>
      </c>
      <c r="DL31">
        <v>2</v>
      </c>
      <c r="DM31">
        <v>2</v>
      </c>
      <c r="DN31">
        <v>2</v>
      </c>
      <c r="DO31">
        <v>2</v>
      </c>
      <c r="DP31">
        <v>2</v>
      </c>
      <c r="DQ31">
        <v>2</v>
      </c>
      <c r="DR31">
        <v>2</v>
      </c>
      <c r="DS31">
        <v>2</v>
      </c>
      <c r="DT31">
        <v>2</v>
      </c>
      <c r="DU31">
        <v>2</v>
      </c>
      <c r="DV31">
        <v>2</v>
      </c>
      <c r="DW31">
        <v>2</v>
      </c>
      <c r="DX31">
        <v>2</v>
      </c>
      <c r="DY31">
        <v>2</v>
      </c>
      <c r="DZ31">
        <v>2</v>
      </c>
      <c r="EA31">
        <v>2</v>
      </c>
      <c r="EB31">
        <v>2</v>
      </c>
      <c r="EC31">
        <v>2</v>
      </c>
      <c r="ED31">
        <v>2</v>
      </c>
      <c r="EE31">
        <v>2</v>
      </c>
      <c r="EF31">
        <v>2</v>
      </c>
      <c r="EG31">
        <v>2</v>
      </c>
      <c r="EH31">
        <v>2</v>
      </c>
      <c r="EI31">
        <v>2</v>
      </c>
      <c r="EJ31">
        <v>2</v>
      </c>
      <c r="EK31">
        <v>2</v>
      </c>
      <c r="EL31">
        <v>2</v>
      </c>
      <c r="EM31">
        <v>2</v>
      </c>
      <c r="EN31">
        <v>2</v>
      </c>
      <c r="EO31">
        <v>2</v>
      </c>
      <c r="EP31">
        <v>2</v>
      </c>
      <c r="EQ31">
        <v>2</v>
      </c>
      <c r="ER31">
        <v>2</v>
      </c>
      <c r="ES31">
        <v>2</v>
      </c>
      <c r="ET31">
        <v>2</v>
      </c>
      <c r="EU31">
        <v>2</v>
      </c>
      <c r="EV31">
        <v>2</v>
      </c>
      <c r="EW31">
        <v>2</v>
      </c>
      <c r="EX31">
        <v>2</v>
      </c>
      <c r="EY31">
        <v>2</v>
      </c>
      <c r="EZ31">
        <v>2</v>
      </c>
      <c r="FA31">
        <v>2</v>
      </c>
      <c r="FB31">
        <v>2</v>
      </c>
      <c r="FC31">
        <v>2</v>
      </c>
      <c r="FD31">
        <v>2</v>
      </c>
      <c r="FE31">
        <v>2</v>
      </c>
      <c r="FF31">
        <v>2</v>
      </c>
      <c r="FG31">
        <v>2</v>
      </c>
      <c r="FH31">
        <v>2</v>
      </c>
      <c r="FI31">
        <v>2</v>
      </c>
      <c r="FJ31">
        <v>2</v>
      </c>
      <c r="FK31">
        <v>2</v>
      </c>
      <c r="FL31">
        <v>2</v>
      </c>
      <c r="FM31">
        <v>2</v>
      </c>
      <c r="FN31">
        <v>2</v>
      </c>
      <c r="FO31">
        <v>2</v>
      </c>
      <c r="FP31">
        <v>2</v>
      </c>
      <c r="FQ31">
        <v>2</v>
      </c>
      <c r="FR31">
        <v>2</v>
      </c>
      <c r="FS31">
        <v>2</v>
      </c>
      <c r="FT31">
        <v>2</v>
      </c>
      <c r="FU31">
        <v>2</v>
      </c>
      <c r="FV31">
        <v>2</v>
      </c>
      <c r="FW31">
        <v>2</v>
      </c>
      <c r="FX31">
        <v>2</v>
      </c>
      <c r="FY31">
        <v>2</v>
      </c>
      <c r="FZ31">
        <v>2</v>
      </c>
      <c r="GA31">
        <v>2</v>
      </c>
      <c r="GB31">
        <v>2</v>
      </c>
      <c r="GC31">
        <v>2</v>
      </c>
      <c r="GD31">
        <v>2</v>
      </c>
      <c r="GE31">
        <v>2</v>
      </c>
      <c r="GF31">
        <v>2</v>
      </c>
      <c r="GG31">
        <v>2</v>
      </c>
      <c r="GH31">
        <v>2</v>
      </c>
      <c r="GI31">
        <v>2</v>
      </c>
      <c r="GJ31">
        <v>2</v>
      </c>
      <c r="GK31">
        <v>2</v>
      </c>
      <c r="GL31">
        <v>2</v>
      </c>
      <c r="GM31">
        <v>2</v>
      </c>
      <c r="GN31">
        <v>2</v>
      </c>
      <c r="GO31">
        <v>2</v>
      </c>
      <c r="GP31">
        <v>2</v>
      </c>
      <c r="GQ31">
        <v>2</v>
      </c>
      <c r="GR31">
        <v>2</v>
      </c>
      <c r="GS31">
        <v>2</v>
      </c>
      <c r="GT31">
        <v>2</v>
      </c>
      <c r="GU31">
        <v>2</v>
      </c>
      <c r="GV31">
        <v>2</v>
      </c>
      <c r="GW31">
        <v>2</v>
      </c>
      <c r="GX31">
        <v>2</v>
      </c>
      <c r="GY31">
        <v>2</v>
      </c>
      <c r="GZ31">
        <v>2</v>
      </c>
      <c r="HA31">
        <v>2</v>
      </c>
      <c r="HB31">
        <v>2</v>
      </c>
      <c r="HC31">
        <v>2</v>
      </c>
      <c r="HD31">
        <v>2</v>
      </c>
      <c r="HE31">
        <v>2</v>
      </c>
      <c r="HF31">
        <v>2</v>
      </c>
      <c r="HG31">
        <v>2</v>
      </c>
      <c r="HH31">
        <v>2</v>
      </c>
      <c r="HI31">
        <v>2</v>
      </c>
      <c r="HJ31">
        <v>2</v>
      </c>
      <c r="HK31">
        <v>2</v>
      </c>
      <c r="HL31">
        <v>2</v>
      </c>
      <c r="HM31">
        <v>2</v>
      </c>
      <c r="HN31">
        <v>2</v>
      </c>
      <c r="HO31">
        <v>2</v>
      </c>
      <c r="HP31">
        <v>2</v>
      </c>
      <c r="HQ31">
        <v>2</v>
      </c>
      <c r="HR31">
        <v>2</v>
      </c>
      <c r="HS31">
        <v>2</v>
      </c>
      <c r="HT31">
        <v>2</v>
      </c>
      <c r="HU31">
        <v>2</v>
      </c>
      <c r="HV31">
        <v>2</v>
      </c>
      <c r="HW31">
        <v>2</v>
      </c>
      <c r="HX31">
        <v>2</v>
      </c>
      <c r="HY31">
        <v>2</v>
      </c>
      <c r="HZ31">
        <v>2</v>
      </c>
      <c r="IA31">
        <v>2</v>
      </c>
      <c r="IB31">
        <v>2</v>
      </c>
      <c r="IC31">
        <v>2</v>
      </c>
      <c r="ID31">
        <v>2</v>
      </c>
      <c r="IE31">
        <v>2</v>
      </c>
      <c r="IF31">
        <v>2</v>
      </c>
      <c r="IG31">
        <v>2</v>
      </c>
      <c r="IH31">
        <v>2</v>
      </c>
      <c r="II31">
        <v>2</v>
      </c>
      <c r="IJ31">
        <v>2</v>
      </c>
      <c r="IK31">
        <v>2</v>
      </c>
      <c r="IL31">
        <v>2</v>
      </c>
      <c r="IM31">
        <v>2</v>
      </c>
      <c r="IN31">
        <v>2</v>
      </c>
      <c r="IO31">
        <v>2</v>
      </c>
      <c r="IP31">
        <v>2</v>
      </c>
      <c r="IQ31">
        <v>2</v>
      </c>
      <c r="IR31">
        <v>2</v>
      </c>
      <c r="IS31">
        <v>2</v>
      </c>
      <c r="IT31">
        <v>2</v>
      </c>
      <c r="IU31">
        <v>2</v>
      </c>
      <c r="IV31">
        <v>2</v>
      </c>
      <c r="IW31">
        <v>2</v>
      </c>
      <c r="IX31">
        <v>2</v>
      </c>
      <c r="IY31">
        <v>2</v>
      </c>
      <c r="IZ31">
        <v>2</v>
      </c>
      <c r="JA31">
        <v>2</v>
      </c>
      <c r="JB31">
        <v>2</v>
      </c>
      <c r="JC31">
        <v>2</v>
      </c>
      <c r="JD31">
        <v>2</v>
      </c>
      <c r="JE31">
        <v>2</v>
      </c>
      <c r="JF31">
        <v>2</v>
      </c>
      <c r="JG31">
        <v>2</v>
      </c>
      <c r="JH31">
        <v>2</v>
      </c>
      <c r="JI31">
        <v>2</v>
      </c>
      <c r="JJ31">
        <v>2</v>
      </c>
      <c r="JK31">
        <v>2</v>
      </c>
      <c r="JL31">
        <v>2</v>
      </c>
      <c r="JM31">
        <v>2</v>
      </c>
      <c r="JN31">
        <v>2</v>
      </c>
      <c r="JO31">
        <v>2</v>
      </c>
      <c r="JP31">
        <v>2</v>
      </c>
      <c r="JQ31">
        <v>2</v>
      </c>
      <c r="JR31">
        <v>2</v>
      </c>
      <c r="JS31">
        <v>2</v>
      </c>
      <c r="JT31">
        <v>2</v>
      </c>
      <c r="JU31">
        <v>2</v>
      </c>
      <c r="JV31">
        <v>2</v>
      </c>
      <c r="JW31">
        <v>2</v>
      </c>
      <c r="JX31">
        <v>2</v>
      </c>
      <c r="JY31">
        <v>2</v>
      </c>
      <c r="JZ31">
        <v>2</v>
      </c>
      <c r="KA31">
        <v>2</v>
      </c>
      <c r="KB31">
        <v>2</v>
      </c>
      <c r="KC31">
        <v>2</v>
      </c>
      <c r="KD31">
        <v>2</v>
      </c>
      <c r="KE31">
        <v>2</v>
      </c>
      <c r="KF31">
        <v>2</v>
      </c>
      <c r="KG31">
        <v>2</v>
      </c>
      <c r="KH31">
        <v>2</v>
      </c>
      <c r="KI31">
        <v>2</v>
      </c>
      <c r="KJ31">
        <v>2</v>
      </c>
      <c r="KK31">
        <v>2</v>
      </c>
      <c r="KL31">
        <v>2</v>
      </c>
      <c r="KM31">
        <v>2</v>
      </c>
      <c r="KN31">
        <v>2</v>
      </c>
      <c r="KO31">
        <v>2</v>
      </c>
      <c r="KP31">
        <v>2</v>
      </c>
      <c r="KQ31">
        <v>2</v>
      </c>
      <c r="KR31">
        <v>2</v>
      </c>
      <c r="KS31">
        <v>2</v>
      </c>
      <c r="KT31">
        <v>2</v>
      </c>
      <c r="KU31">
        <v>2</v>
      </c>
      <c r="KV31">
        <v>2</v>
      </c>
      <c r="KW31">
        <v>2</v>
      </c>
      <c r="KX31">
        <v>2</v>
      </c>
      <c r="KY31">
        <v>2</v>
      </c>
      <c r="KZ31">
        <v>2</v>
      </c>
      <c r="LA31">
        <v>2</v>
      </c>
      <c r="LB31">
        <v>2</v>
      </c>
      <c r="LC31">
        <v>2</v>
      </c>
      <c r="LD31">
        <v>2</v>
      </c>
      <c r="LE31">
        <v>2</v>
      </c>
      <c r="LF31">
        <v>2</v>
      </c>
      <c r="LG31">
        <v>2</v>
      </c>
      <c r="LH31">
        <v>2</v>
      </c>
      <c r="LI31">
        <v>2</v>
      </c>
      <c r="LJ31">
        <v>2</v>
      </c>
      <c r="LK31">
        <v>2</v>
      </c>
      <c r="LL31">
        <v>2</v>
      </c>
      <c r="LM31">
        <v>2</v>
      </c>
      <c r="LN31">
        <v>2</v>
      </c>
      <c r="LO31">
        <v>2</v>
      </c>
      <c r="LP31">
        <v>2</v>
      </c>
      <c r="LQ31">
        <v>2</v>
      </c>
      <c r="LR31">
        <v>2</v>
      </c>
      <c r="LS31">
        <v>2</v>
      </c>
      <c r="LT31">
        <v>2</v>
      </c>
      <c r="LU31">
        <v>2</v>
      </c>
      <c r="LV31">
        <v>2</v>
      </c>
      <c r="LW31">
        <v>2</v>
      </c>
      <c r="LX31">
        <v>2</v>
      </c>
      <c r="LY31">
        <v>2</v>
      </c>
      <c r="LZ31">
        <v>2</v>
      </c>
      <c r="MA31">
        <v>2</v>
      </c>
      <c r="MB31">
        <v>2</v>
      </c>
      <c r="MC31">
        <v>2</v>
      </c>
      <c r="MD31">
        <v>2</v>
      </c>
      <c r="ME31">
        <v>2</v>
      </c>
      <c r="MF31">
        <v>2</v>
      </c>
      <c r="MG31">
        <v>2</v>
      </c>
      <c r="MH31">
        <v>2</v>
      </c>
      <c r="MI31">
        <v>2</v>
      </c>
      <c r="MJ31">
        <v>2</v>
      </c>
      <c r="MK31">
        <v>2</v>
      </c>
      <c r="ML31">
        <v>2</v>
      </c>
      <c r="MM31">
        <v>2</v>
      </c>
      <c r="MN31">
        <v>2</v>
      </c>
      <c r="MO31">
        <v>2</v>
      </c>
      <c r="MP31">
        <v>2</v>
      </c>
      <c r="MQ31">
        <v>2</v>
      </c>
      <c r="MR31">
        <v>2</v>
      </c>
      <c r="MS31">
        <v>2</v>
      </c>
      <c r="MT31">
        <v>2</v>
      </c>
      <c r="MU31">
        <v>2</v>
      </c>
      <c r="MV31">
        <v>2</v>
      </c>
      <c r="MW31">
        <v>2</v>
      </c>
      <c r="MX31">
        <v>2</v>
      </c>
      <c r="MY31">
        <v>2</v>
      </c>
      <c r="MZ31">
        <v>2</v>
      </c>
      <c r="NA31">
        <v>2</v>
      </c>
      <c r="NB31">
        <v>2</v>
      </c>
      <c r="NC31">
        <v>2</v>
      </c>
      <c r="ND31">
        <v>2</v>
      </c>
      <c r="NE31">
        <v>2</v>
      </c>
      <c r="NF31">
        <v>2</v>
      </c>
      <c r="NG31">
        <v>2</v>
      </c>
      <c r="NH31">
        <v>2</v>
      </c>
      <c r="NI31">
        <v>2</v>
      </c>
      <c r="NJ31">
        <v>2</v>
      </c>
      <c r="NK31">
        <v>2</v>
      </c>
      <c r="NL31">
        <v>2</v>
      </c>
      <c r="NM31">
        <v>2</v>
      </c>
      <c r="NN31">
        <v>2</v>
      </c>
      <c r="NO31">
        <v>2</v>
      </c>
      <c r="NP31">
        <v>2</v>
      </c>
      <c r="NQ31">
        <v>2</v>
      </c>
      <c r="NR31">
        <v>2</v>
      </c>
      <c r="NS31">
        <v>2</v>
      </c>
      <c r="NT31">
        <v>2</v>
      </c>
      <c r="NU31">
        <v>2</v>
      </c>
      <c r="NV31">
        <v>2</v>
      </c>
      <c r="NW31">
        <v>1</v>
      </c>
      <c r="NX31">
        <v>1</v>
      </c>
      <c r="NY31">
        <v>1</v>
      </c>
      <c r="NZ31">
        <v>1</v>
      </c>
      <c r="OA31">
        <v>1</v>
      </c>
      <c r="OB31">
        <v>1</v>
      </c>
      <c r="OC31">
        <v>1</v>
      </c>
      <c r="OD31">
        <v>1</v>
      </c>
      <c r="OE31">
        <v>1</v>
      </c>
      <c r="OF31">
        <v>1</v>
      </c>
      <c r="OG31">
        <v>1</v>
      </c>
      <c r="OH31">
        <v>1</v>
      </c>
      <c r="OI31">
        <v>1</v>
      </c>
      <c r="OJ31">
        <v>1</v>
      </c>
      <c r="OK31">
        <v>1</v>
      </c>
      <c r="OL31">
        <v>1</v>
      </c>
      <c r="OM31">
        <v>1</v>
      </c>
      <c r="ON31">
        <v>1</v>
      </c>
      <c r="OO31">
        <v>1</v>
      </c>
      <c r="OP31">
        <v>1</v>
      </c>
      <c r="OQ31">
        <v>1</v>
      </c>
      <c r="OR31">
        <v>1</v>
      </c>
      <c r="OS31">
        <v>1</v>
      </c>
      <c r="OT31">
        <v>1</v>
      </c>
      <c r="OU31">
        <v>1</v>
      </c>
      <c r="OV31">
        <v>1</v>
      </c>
      <c r="OW31">
        <v>1</v>
      </c>
      <c r="OX31">
        <v>1</v>
      </c>
      <c r="OY31">
        <v>1</v>
      </c>
      <c r="OZ31">
        <v>1</v>
      </c>
      <c r="PA31">
        <v>1</v>
      </c>
      <c r="PB31">
        <v>1</v>
      </c>
      <c r="PC31">
        <v>1</v>
      </c>
      <c r="PD31">
        <v>1</v>
      </c>
      <c r="PE31">
        <v>1</v>
      </c>
      <c r="PF31">
        <v>1</v>
      </c>
      <c r="PG31">
        <v>1</v>
      </c>
      <c r="PH31">
        <v>1</v>
      </c>
      <c r="PI31">
        <v>1</v>
      </c>
      <c r="PJ31">
        <v>1</v>
      </c>
      <c r="PK31">
        <v>1</v>
      </c>
      <c r="PL31">
        <v>1</v>
      </c>
      <c r="PM31">
        <v>1</v>
      </c>
      <c r="PN31">
        <v>1</v>
      </c>
      <c r="PO31">
        <v>1</v>
      </c>
      <c r="PP31">
        <v>1</v>
      </c>
      <c r="PQ31">
        <v>1</v>
      </c>
      <c r="PR31">
        <v>1</v>
      </c>
      <c r="PS31">
        <v>1</v>
      </c>
      <c r="PT31">
        <v>1</v>
      </c>
      <c r="PU31">
        <v>1</v>
      </c>
      <c r="PV31">
        <v>1</v>
      </c>
      <c r="PW31">
        <v>1</v>
      </c>
      <c r="PX31">
        <v>1</v>
      </c>
      <c r="PY31">
        <v>1</v>
      </c>
      <c r="PZ31">
        <v>1</v>
      </c>
      <c r="QA31">
        <v>1</v>
      </c>
      <c r="QB31">
        <v>1</v>
      </c>
      <c r="QC31">
        <v>1</v>
      </c>
      <c r="QD31">
        <v>1</v>
      </c>
      <c r="QE31">
        <v>1</v>
      </c>
      <c r="QF31">
        <v>1</v>
      </c>
      <c r="QG31">
        <v>1</v>
      </c>
      <c r="QH31">
        <v>1</v>
      </c>
      <c r="QI31">
        <v>1</v>
      </c>
      <c r="QJ31">
        <v>1</v>
      </c>
      <c r="QK31">
        <v>1</v>
      </c>
      <c r="QL31">
        <v>2</v>
      </c>
      <c r="QM31">
        <v>2</v>
      </c>
      <c r="QN31">
        <v>2</v>
      </c>
      <c r="QO31">
        <v>2</v>
      </c>
      <c r="QP31">
        <v>2</v>
      </c>
      <c r="QQ31">
        <v>2</v>
      </c>
      <c r="QR31">
        <v>2</v>
      </c>
      <c r="QS31">
        <v>2</v>
      </c>
      <c r="QT31">
        <v>2</v>
      </c>
      <c r="QU31">
        <v>2</v>
      </c>
      <c r="QV31">
        <v>2</v>
      </c>
      <c r="QW31">
        <v>2</v>
      </c>
      <c r="QX31">
        <v>2</v>
      </c>
      <c r="QY31">
        <v>2</v>
      </c>
      <c r="QZ31">
        <v>2</v>
      </c>
      <c r="RA31">
        <v>2</v>
      </c>
      <c r="RB31">
        <v>1</v>
      </c>
      <c r="RC31">
        <v>1</v>
      </c>
      <c r="RD31">
        <v>1</v>
      </c>
      <c r="RE31">
        <v>1</v>
      </c>
      <c r="RF31">
        <v>1</v>
      </c>
      <c r="RG31">
        <v>1</v>
      </c>
      <c r="RH31">
        <v>1</v>
      </c>
      <c r="RI31">
        <v>1</v>
      </c>
      <c r="RJ31">
        <v>1</v>
      </c>
      <c r="RK31">
        <v>1</v>
      </c>
      <c r="RL31">
        <v>1</v>
      </c>
      <c r="RM31">
        <v>1</v>
      </c>
      <c r="RN31">
        <v>1</v>
      </c>
      <c r="RO31">
        <v>1</v>
      </c>
      <c r="RP31">
        <v>1</v>
      </c>
      <c r="RQ31">
        <v>1</v>
      </c>
      <c r="RR31">
        <v>1</v>
      </c>
      <c r="RS31">
        <v>1</v>
      </c>
      <c r="RT31">
        <v>1</v>
      </c>
      <c r="RU31">
        <v>1</v>
      </c>
      <c r="RV31">
        <v>1</v>
      </c>
      <c r="RW31">
        <v>1</v>
      </c>
      <c r="RX31">
        <v>1</v>
      </c>
      <c r="RY31">
        <v>1</v>
      </c>
      <c r="RZ31">
        <v>1</v>
      </c>
      <c r="SA31">
        <v>1</v>
      </c>
      <c r="SB31">
        <v>1</v>
      </c>
      <c r="SC31">
        <v>1</v>
      </c>
      <c r="SD31">
        <v>1</v>
      </c>
      <c r="SE31">
        <v>1</v>
      </c>
      <c r="SF31">
        <v>1</v>
      </c>
      <c r="SG31">
        <v>1</v>
      </c>
      <c r="SH31">
        <v>1</v>
      </c>
      <c r="SI31">
        <v>1</v>
      </c>
      <c r="SJ31">
        <v>1</v>
      </c>
      <c r="SK31">
        <v>1</v>
      </c>
      <c r="SL31">
        <v>1</v>
      </c>
      <c r="SM31">
        <v>1</v>
      </c>
      <c r="SN31">
        <v>1</v>
      </c>
      <c r="SO31">
        <v>1</v>
      </c>
      <c r="SP31">
        <v>1</v>
      </c>
      <c r="SQ31">
        <v>1</v>
      </c>
      <c r="SR31">
        <v>1</v>
      </c>
      <c r="SS31">
        <v>1</v>
      </c>
      <c r="ST31">
        <v>1</v>
      </c>
      <c r="SU31">
        <v>1</v>
      </c>
      <c r="SV31">
        <v>1</v>
      </c>
      <c r="SW31">
        <v>1</v>
      </c>
      <c r="SX31">
        <v>1</v>
      </c>
      <c r="SY31">
        <v>1</v>
      </c>
      <c r="SZ31">
        <v>1</v>
      </c>
      <c r="TA31">
        <v>1</v>
      </c>
      <c r="TB31">
        <v>1</v>
      </c>
      <c r="TC31">
        <v>1</v>
      </c>
      <c r="TD31">
        <v>1</v>
      </c>
      <c r="TE31">
        <v>1</v>
      </c>
      <c r="TF31">
        <v>1</v>
      </c>
      <c r="TG31">
        <v>1</v>
      </c>
      <c r="TH31">
        <v>1</v>
      </c>
      <c r="TI31">
        <v>1</v>
      </c>
      <c r="TJ31">
        <v>1</v>
      </c>
      <c r="TK31">
        <v>1</v>
      </c>
      <c r="TL31">
        <v>1</v>
      </c>
      <c r="TM31">
        <v>1</v>
      </c>
      <c r="TN31">
        <v>1</v>
      </c>
      <c r="TO31">
        <v>1</v>
      </c>
      <c r="TP31">
        <v>1</v>
      </c>
      <c r="TQ31">
        <v>1</v>
      </c>
      <c r="TR31">
        <v>1</v>
      </c>
      <c r="TS31">
        <v>1</v>
      </c>
      <c r="TT31">
        <v>1</v>
      </c>
      <c r="TU31">
        <v>1</v>
      </c>
      <c r="TV31">
        <v>1</v>
      </c>
      <c r="TW31">
        <v>1</v>
      </c>
      <c r="TX31">
        <v>1</v>
      </c>
      <c r="TY31">
        <v>1</v>
      </c>
      <c r="TZ31">
        <v>1</v>
      </c>
      <c r="UA31">
        <v>1</v>
      </c>
      <c r="UB31">
        <v>1</v>
      </c>
      <c r="UC31">
        <v>1</v>
      </c>
      <c r="UD31">
        <v>1</v>
      </c>
      <c r="UE31">
        <v>1</v>
      </c>
      <c r="UF31">
        <v>1</v>
      </c>
      <c r="UG31">
        <v>1</v>
      </c>
      <c r="UH31">
        <v>1</v>
      </c>
      <c r="UI31">
        <v>1</v>
      </c>
      <c r="UJ31">
        <v>1</v>
      </c>
      <c r="UK31">
        <v>1</v>
      </c>
      <c r="UL31">
        <v>1</v>
      </c>
      <c r="UM31">
        <v>1</v>
      </c>
      <c r="UN31">
        <v>1</v>
      </c>
      <c r="UO31">
        <v>1</v>
      </c>
      <c r="UP31">
        <v>1</v>
      </c>
      <c r="UQ31">
        <v>1</v>
      </c>
      <c r="UR31">
        <v>1</v>
      </c>
      <c r="US31">
        <v>1</v>
      </c>
      <c r="UT31">
        <v>1</v>
      </c>
      <c r="UU31">
        <v>1</v>
      </c>
      <c r="UV31">
        <v>1</v>
      </c>
      <c r="UW31">
        <v>1</v>
      </c>
      <c r="UX31">
        <v>1</v>
      </c>
      <c r="UY31">
        <v>1</v>
      </c>
      <c r="UZ31">
        <v>1</v>
      </c>
      <c r="VA31">
        <v>1</v>
      </c>
      <c r="VB31">
        <v>1</v>
      </c>
      <c r="VC31">
        <v>1</v>
      </c>
      <c r="VD31">
        <v>1</v>
      </c>
      <c r="VE31">
        <v>1</v>
      </c>
      <c r="VF31">
        <v>1</v>
      </c>
      <c r="VG31">
        <v>1</v>
      </c>
      <c r="VH31">
        <v>1</v>
      </c>
      <c r="VI31">
        <v>1</v>
      </c>
      <c r="VJ31">
        <v>1</v>
      </c>
      <c r="VK31">
        <v>1</v>
      </c>
      <c r="VL31">
        <v>1</v>
      </c>
      <c r="VM31">
        <v>1</v>
      </c>
      <c r="VN31">
        <v>1</v>
      </c>
      <c r="VO31">
        <v>1</v>
      </c>
      <c r="VP31">
        <v>1</v>
      </c>
      <c r="VQ31">
        <v>1</v>
      </c>
      <c r="VR31">
        <v>1</v>
      </c>
      <c r="VS31">
        <v>1</v>
      </c>
      <c r="VT31">
        <v>1</v>
      </c>
      <c r="VU31">
        <v>1</v>
      </c>
      <c r="VV31">
        <v>1</v>
      </c>
      <c r="VW31">
        <v>1</v>
      </c>
      <c r="VX31">
        <v>1</v>
      </c>
      <c r="VY31">
        <v>1</v>
      </c>
      <c r="VZ31">
        <v>1</v>
      </c>
      <c r="WA31">
        <v>1</v>
      </c>
      <c r="WB31">
        <v>1</v>
      </c>
      <c r="WC31">
        <v>1</v>
      </c>
      <c r="WD31">
        <v>1</v>
      </c>
      <c r="WE31">
        <v>1</v>
      </c>
      <c r="WF31">
        <v>1</v>
      </c>
      <c r="WG31">
        <v>1</v>
      </c>
      <c r="WH31">
        <v>1</v>
      </c>
      <c r="WI31">
        <v>1</v>
      </c>
      <c r="WJ31">
        <v>1</v>
      </c>
      <c r="WK31">
        <v>1</v>
      </c>
      <c r="WL31">
        <v>1</v>
      </c>
      <c r="WM31">
        <v>1</v>
      </c>
      <c r="WN31">
        <v>1</v>
      </c>
      <c r="WO31">
        <v>1</v>
      </c>
      <c r="WP31">
        <v>1</v>
      </c>
      <c r="WQ31">
        <v>1</v>
      </c>
      <c r="WR31">
        <v>1</v>
      </c>
      <c r="WS31">
        <v>1</v>
      </c>
      <c r="WT31">
        <v>1</v>
      </c>
      <c r="WU31">
        <v>1</v>
      </c>
      <c r="WV31">
        <v>1</v>
      </c>
      <c r="WW31">
        <v>1</v>
      </c>
      <c r="WX31">
        <v>1</v>
      </c>
      <c r="WY31">
        <v>1</v>
      </c>
      <c r="WZ31">
        <v>1</v>
      </c>
      <c r="XA31">
        <v>1</v>
      </c>
      <c r="XB31">
        <v>1</v>
      </c>
      <c r="XC31">
        <v>1</v>
      </c>
      <c r="XD31">
        <v>1</v>
      </c>
      <c r="XE31">
        <v>1</v>
      </c>
      <c r="XF31">
        <v>1</v>
      </c>
      <c r="XG31">
        <v>1</v>
      </c>
      <c r="XH31">
        <v>1</v>
      </c>
      <c r="XI31">
        <v>1</v>
      </c>
      <c r="XJ31">
        <v>1</v>
      </c>
      <c r="XK31">
        <v>1</v>
      </c>
      <c r="XL31">
        <v>1</v>
      </c>
      <c r="XM31">
        <v>1</v>
      </c>
      <c r="XN31">
        <v>1</v>
      </c>
      <c r="XO31">
        <v>1</v>
      </c>
      <c r="XP31">
        <v>1</v>
      </c>
      <c r="XQ31">
        <v>1</v>
      </c>
      <c r="XR31">
        <v>1</v>
      </c>
      <c r="XS31">
        <v>1</v>
      </c>
      <c r="XT31">
        <v>1</v>
      </c>
      <c r="XU31">
        <v>1</v>
      </c>
      <c r="XV31">
        <v>1</v>
      </c>
      <c r="XW31">
        <v>1</v>
      </c>
      <c r="XX31">
        <v>1</v>
      </c>
      <c r="XY31">
        <v>1</v>
      </c>
      <c r="XZ31">
        <v>1</v>
      </c>
      <c r="YA31">
        <v>1</v>
      </c>
      <c r="YB31">
        <v>1</v>
      </c>
      <c r="YC31">
        <v>1</v>
      </c>
      <c r="YD31">
        <v>1</v>
      </c>
      <c r="YE31">
        <v>1</v>
      </c>
      <c r="YF31">
        <v>1</v>
      </c>
      <c r="YG31">
        <v>1</v>
      </c>
      <c r="YH31">
        <v>1</v>
      </c>
      <c r="YI31">
        <v>1</v>
      </c>
      <c r="YJ31">
        <v>1</v>
      </c>
      <c r="YK31">
        <v>1</v>
      </c>
      <c r="YL31">
        <v>1</v>
      </c>
      <c r="YM31">
        <v>1</v>
      </c>
      <c r="YN31">
        <v>1</v>
      </c>
      <c r="YO31">
        <v>1</v>
      </c>
      <c r="YP31">
        <v>1</v>
      </c>
      <c r="YQ31">
        <v>1</v>
      </c>
      <c r="YR31">
        <v>1</v>
      </c>
      <c r="YS31">
        <v>1</v>
      </c>
      <c r="YT31">
        <v>1</v>
      </c>
      <c r="YU31">
        <v>1</v>
      </c>
      <c r="YV31">
        <v>1</v>
      </c>
      <c r="YW31">
        <v>1</v>
      </c>
      <c r="YX31">
        <v>1</v>
      </c>
      <c r="YY31">
        <v>1</v>
      </c>
      <c r="YZ31">
        <v>1</v>
      </c>
      <c r="ZA31">
        <v>1</v>
      </c>
      <c r="ZB31">
        <v>1</v>
      </c>
      <c r="ZC31">
        <v>1</v>
      </c>
      <c r="ZD31">
        <v>1</v>
      </c>
      <c r="ZE31">
        <v>1</v>
      </c>
      <c r="ZF31">
        <v>1</v>
      </c>
      <c r="ZG31">
        <v>1</v>
      </c>
      <c r="ZH31">
        <v>1</v>
      </c>
      <c r="ZI31">
        <v>1</v>
      </c>
      <c r="ZJ31">
        <v>1</v>
      </c>
      <c r="ZK31">
        <v>1</v>
      </c>
      <c r="ZL31">
        <v>1</v>
      </c>
      <c r="ZM31">
        <v>1</v>
      </c>
      <c r="ZN31">
        <v>1</v>
      </c>
      <c r="ZO31">
        <v>1</v>
      </c>
      <c r="ZP31">
        <v>1</v>
      </c>
      <c r="ZQ31">
        <v>1</v>
      </c>
      <c r="ZR31">
        <v>1</v>
      </c>
      <c r="ZS31">
        <v>1</v>
      </c>
      <c r="ZT31">
        <v>1</v>
      </c>
      <c r="ZU31">
        <v>1</v>
      </c>
      <c r="ZV31">
        <v>1</v>
      </c>
      <c r="ZW31">
        <v>1</v>
      </c>
      <c r="ZX31">
        <v>1</v>
      </c>
      <c r="ZY31">
        <v>1</v>
      </c>
      <c r="ZZ31">
        <v>1</v>
      </c>
      <c r="AAA31">
        <v>1</v>
      </c>
      <c r="AAB31">
        <v>1</v>
      </c>
      <c r="AAC31">
        <v>1</v>
      </c>
      <c r="AAD31">
        <v>1</v>
      </c>
      <c r="AAE31">
        <v>1</v>
      </c>
      <c r="AAF31">
        <v>1</v>
      </c>
      <c r="AAG31">
        <v>1</v>
      </c>
      <c r="AAH31">
        <v>1</v>
      </c>
      <c r="AAI31">
        <v>1</v>
      </c>
      <c r="AAJ31">
        <v>1</v>
      </c>
      <c r="AAK31">
        <v>1</v>
      </c>
      <c r="AAL31">
        <v>1</v>
      </c>
      <c r="AAM31">
        <v>1</v>
      </c>
      <c r="AAN31">
        <v>1</v>
      </c>
      <c r="AAO31">
        <v>1</v>
      </c>
      <c r="AAP31">
        <v>1</v>
      </c>
      <c r="AAQ31">
        <v>1</v>
      </c>
      <c r="AAR31">
        <v>1</v>
      </c>
      <c r="AAS31">
        <v>1</v>
      </c>
      <c r="AAT31">
        <v>1</v>
      </c>
      <c r="AAU31">
        <v>1</v>
      </c>
      <c r="AAV31">
        <v>1</v>
      </c>
      <c r="AAW31">
        <v>1</v>
      </c>
      <c r="AAX31">
        <v>1</v>
      </c>
      <c r="AAY31">
        <v>1</v>
      </c>
      <c r="AAZ31">
        <v>1</v>
      </c>
      <c r="ABA31">
        <v>1</v>
      </c>
      <c r="ABB31">
        <v>1</v>
      </c>
      <c r="ABC31">
        <v>1</v>
      </c>
      <c r="ABD31">
        <v>1</v>
      </c>
      <c r="ABE31">
        <v>1</v>
      </c>
      <c r="ABG31" s="1137">
        <f t="shared" si="5"/>
        <v>0</v>
      </c>
      <c r="ABH31" s="1137">
        <f t="shared" si="5"/>
        <v>0</v>
      </c>
      <c r="ABI31" s="1137">
        <f t="shared" si="5"/>
        <v>5</v>
      </c>
      <c r="ABJ31" s="1137">
        <f t="shared" si="5"/>
        <v>30</v>
      </c>
      <c r="ABK31" s="1137">
        <f t="shared" si="5"/>
        <v>31</v>
      </c>
      <c r="ABL31" s="1137">
        <f t="shared" si="5"/>
        <v>30</v>
      </c>
      <c r="ABM31" s="1137">
        <f t="shared" si="5"/>
        <v>31</v>
      </c>
      <c r="ABN31" s="1137">
        <f t="shared" si="5"/>
        <v>31</v>
      </c>
      <c r="ABO31" s="1137">
        <f t="shared" si="5"/>
        <v>30</v>
      </c>
      <c r="ABP31" s="1137">
        <f t="shared" si="5"/>
        <v>31</v>
      </c>
      <c r="ABQ31" s="1137">
        <f t="shared" si="5"/>
        <v>30</v>
      </c>
      <c r="ABR31" s="1137">
        <f t="shared" si="5"/>
        <v>31</v>
      </c>
      <c r="ABS31" s="1137">
        <f t="shared" si="5"/>
        <v>31</v>
      </c>
      <c r="ABT31" s="1137">
        <f t="shared" si="5"/>
        <v>28</v>
      </c>
      <c r="ABU31" s="1137">
        <f t="shared" si="5"/>
        <v>31</v>
      </c>
      <c r="ABV31" s="1137">
        <f t="shared" si="5"/>
        <v>30</v>
      </c>
      <c r="ABW31" s="1137">
        <f t="shared" si="7"/>
        <v>31</v>
      </c>
      <c r="ABX31" s="1137">
        <f t="shared" si="7"/>
        <v>30</v>
      </c>
      <c r="ABY31" s="1137">
        <f t="shared" si="7"/>
        <v>31</v>
      </c>
      <c r="ABZ31" s="1137">
        <f t="shared" si="7"/>
        <v>31</v>
      </c>
      <c r="ACA31" s="1137">
        <f t="shared" si="7"/>
        <v>30</v>
      </c>
      <c r="ACB31" s="1137">
        <f t="shared" si="7"/>
        <v>31</v>
      </c>
      <c r="ACC31" s="1137">
        <f t="shared" si="7"/>
        <v>30</v>
      </c>
      <c r="ACD31" s="1137">
        <f t="shared" si="7"/>
        <v>31</v>
      </c>
      <c r="ACE31" s="1137" t="s">
        <v>14</v>
      </c>
      <c r="ACF31" s="1137">
        <f t="shared" si="6"/>
        <v>0</v>
      </c>
      <c r="ACG31" s="1137">
        <f t="shared" si="6"/>
        <v>0</v>
      </c>
      <c r="ACH31" s="1137">
        <f t="shared" si="6"/>
        <v>0</v>
      </c>
      <c r="ACI31" s="1137">
        <f t="shared" si="6"/>
        <v>1</v>
      </c>
      <c r="ACJ31" s="1137">
        <f t="shared" si="6"/>
        <v>1</v>
      </c>
      <c r="ACK31" s="1137">
        <f t="shared" si="6"/>
        <v>1</v>
      </c>
      <c r="ACL31" s="1137">
        <f t="shared" si="6"/>
        <v>1</v>
      </c>
      <c r="ACM31" s="1137">
        <f t="shared" si="6"/>
        <v>1</v>
      </c>
      <c r="ACN31" s="1137">
        <f t="shared" si="6"/>
        <v>1</v>
      </c>
      <c r="ACO31" s="1137">
        <f t="shared" si="6"/>
        <v>1</v>
      </c>
      <c r="ACP31" s="1137">
        <f t="shared" si="6"/>
        <v>1</v>
      </c>
      <c r="ACQ31" s="1137">
        <f t="shared" si="6"/>
        <v>1</v>
      </c>
      <c r="ACR31" s="1137">
        <f t="shared" si="6"/>
        <v>1</v>
      </c>
      <c r="ACS31" s="1137">
        <f t="shared" si="6"/>
        <v>1</v>
      </c>
      <c r="ACT31" s="1137">
        <f t="shared" si="6"/>
        <v>1</v>
      </c>
      <c r="ACU31" s="1137">
        <f t="shared" si="6"/>
        <v>1</v>
      </c>
      <c r="ACV31" s="1137">
        <f t="shared" si="8"/>
        <v>1</v>
      </c>
      <c r="ACW31" s="1137">
        <f t="shared" si="8"/>
        <v>1</v>
      </c>
      <c r="ACX31" s="1137">
        <f t="shared" si="8"/>
        <v>1</v>
      </c>
      <c r="ACY31" s="1137">
        <f t="shared" si="8"/>
        <v>1</v>
      </c>
      <c r="ACZ31" s="1137">
        <f t="shared" si="8"/>
        <v>1</v>
      </c>
      <c r="ADA31" s="1137">
        <f t="shared" si="8"/>
        <v>1</v>
      </c>
      <c r="ADB31" s="1137">
        <f t="shared" si="8"/>
        <v>1</v>
      </c>
      <c r="ADC31" s="1137">
        <f t="shared" si="8"/>
        <v>1</v>
      </c>
    </row>
    <row r="32" spans="1:783" x14ac:dyDescent="0.25">
      <c r="A32" t="s">
        <v>1828</v>
      </c>
      <c r="B32" t="s">
        <v>151</v>
      </c>
      <c r="C32">
        <v>0</v>
      </c>
      <c r="D32">
        <v>0</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v>0</v>
      </c>
      <c r="BE32">
        <v>0</v>
      </c>
      <c r="BF32">
        <v>0</v>
      </c>
      <c r="BG32">
        <v>0</v>
      </c>
      <c r="BH32">
        <v>0</v>
      </c>
      <c r="BI32">
        <v>0</v>
      </c>
      <c r="BJ32">
        <v>0</v>
      </c>
      <c r="BK32">
        <v>0</v>
      </c>
      <c r="BL32">
        <v>0</v>
      </c>
      <c r="BM32">
        <v>0</v>
      </c>
      <c r="BN32">
        <v>0</v>
      </c>
      <c r="BO32">
        <v>0</v>
      </c>
      <c r="BP32">
        <v>0</v>
      </c>
      <c r="BQ32">
        <v>0</v>
      </c>
      <c r="BR32">
        <v>0</v>
      </c>
      <c r="BS32">
        <v>0</v>
      </c>
      <c r="BT32">
        <v>0</v>
      </c>
      <c r="BU32">
        <v>0</v>
      </c>
      <c r="BV32">
        <v>0</v>
      </c>
      <c r="BW32">
        <v>0</v>
      </c>
      <c r="BX32">
        <v>0</v>
      </c>
      <c r="BY32">
        <v>0</v>
      </c>
      <c r="BZ32">
        <v>1</v>
      </c>
      <c r="CA32">
        <v>1</v>
      </c>
      <c r="CB32">
        <v>1</v>
      </c>
      <c r="CC32">
        <v>1</v>
      </c>
      <c r="CD32">
        <v>1</v>
      </c>
      <c r="CE32">
        <v>1</v>
      </c>
      <c r="CF32">
        <v>1</v>
      </c>
      <c r="CG32">
        <v>1</v>
      </c>
      <c r="CH32">
        <v>1</v>
      </c>
      <c r="CI32">
        <v>1</v>
      </c>
      <c r="CJ32">
        <v>1</v>
      </c>
      <c r="CK32">
        <v>1</v>
      </c>
      <c r="CL32">
        <v>1</v>
      </c>
      <c r="CM32">
        <v>1</v>
      </c>
      <c r="CN32">
        <v>1</v>
      </c>
      <c r="CO32">
        <v>1</v>
      </c>
      <c r="CP32">
        <v>1</v>
      </c>
      <c r="CQ32">
        <v>2</v>
      </c>
      <c r="CR32">
        <v>2</v>
      </c>
      <c r="CS32">
        <v>2</v>
      </c>
      <c r="CT32">
        <v>2</v>
      </c>
      <c r="CU32">
        <v>2</v>
      </c>
      <c r="CV32">
        <v>2</v>
      </c>
      <c r="CW32">
        <v>2</v>
      </c>
      <c r="CX32">
        <v>2</v>
      </c>
      <c r="CY32">
        <v>2</v>
      </c>
      <c r="CZ32">
        <v>2</v>
      </c>
      <c r="DA32">
        <v>2</v>
      </c>
      <c r="DB32">
        <v>2</v>
      </c>
      <c r="DC32">
        <v>2</v>
      </c>
      <c r="DD32">
        <v>2</v>
      </c>
      <c r="DE32">
        <v>2</v>
      </c>
      <c r="DF32">
        <v>2</v>
      </c>
      <c r="DG32">
        <v>2</v>
      </c>
      <c r="DH32">
        <v>2</v>
      </c>
      <c r="DI32">
        <v>2</v>
      </c>
      <c r="DJ32">
        <v>2</v>
      </c>
      <c r="DK32">
        <v>2</v>
      </c>
      <c r="DL32">
        <v>2</v>
      </c>
      <c r="DM32">
        <v>2</v>
      </c>
      <c r="DN32">
        <v>2</v>
      </c>
      <c r="DO32">
        <v>2</v>
      </c>
      <c r="DP32">
        <v>2</v>
      </c>
      <c r="DQ32">
        <v>2</v>
      </c>
      <c r="DR32">
        <v>2</v>
      </c>
      <c r="DS32">
        <v>2</v>
      </c>
      <c r="DT32">
        <v>2</v>
      </c>
      <c r="DU32">
        <v>2</v>
      </c>
      <c r="DV32">
        <v>2</v>
      </c>
      <c r="DW32">
        <v>2</v>
      </c>
      <c r="DX32">
        <v>2</v>
      </c>
      <c r="DY32">
        <v>2</v>
      </c>
      <c r="DZ32">
        <v>2</v>
      </c>
      <c r="EA32">
        <v>2</v>
      </c>
      <c r="EB32">
        <v>2</v>
      </c>
      <c r="EC32">
        <v>2</v>
      </c>
      <c r="ED32">
        <v>2</v>
      </c>
      <c r="EE32">
        <v>2</v>
      </c>
      <c r="EF32">
        <v>2</v>
      </c>
      <c r="EG32">
        <v>2</v>
      </c>
      <c r="EH32">
        <v>2</v>
      </c>
      <c r="EI32">
        <v>2</v>
      </c>
      <c r="EJ32">
        <v>2</v>
      </c>
      <c r="EK32">
        <v>2</v>
      </c>
      <c r="EL32">
        <v>2</v>
      </c>
      <c r="EM32">
        <v>2</v>
      </c>
      <c r="EN32">
        <v>2</v>
      </c>
      <c r="EO32">
        <v>2</v>
      </c>
      <c r="EP32">
        <v>2</v>
      </c>
      <c r="EQ32">
        <v>2</v>
      </c>
      <c r="ER32">
        <v>2</v>
      </c>
      <c r="ES32">
        <v>2</v>
      </c>
      <c r="ET32">
        <v>2</v>
      </c>
      <c r="EU32">
        <v>2</v>
      </c>
      <c r="EV32">
        <v>2</v>
      </c>
      <c r="EW32">
        <v>2</v>
      </c>
      <c r="EX32">
        <v>2</v>
      </c>
      <c r="EY32">
        <v>2</v>
      </c>
      <c r="EZ32">
        <v>2</v>
      </c>
      <c r="FA32">
        <v>2</v>
      </c>
      <c r="FB32">
        <v>2</v>
      </c>
      <c r="FC32">
        <v>2</v>
      </c>
      <c r="FD32">
        <v>2</v>
      </c>
      <c r="FE32">
        <v>2</v>
      </c>
      <c r="FF32">
        <v>2</v>
      </c>
      <c r="FG32">
        <v>2</v>
      </c>
      <c r="FH32">
        <v>2</v>
      </c>
      <c r="FI32">
        <v>2</v>
      </c>
      <c r="FJ32">
        <v>2</v>
      </c>
      <c r="FK32">
        <v>2</v>
      </c>
      <c r="FL32">
        <v>2</v>
      </c>
      <c r="FM32">
        <v>2</v>
      </c>
      <c r="FN32">
        <v>2</v>
      </c>
      <c r="FO32">
        <v>2</v>
      </c>
      <c r="FP32">
        <v>2</v>
      </c>
      <c r="FQ32">
        <v>2</v>
      </c>
      <c r="FR32">
        <v>2</v>
      </c>
      <c r="FS32">
        <v>2</v>
      </c>
      <c r="FT32">
        <v>2</v>
      </c>
      <c r="FU32">
        <v>2</v>
      </c>
      <c r="FV32">
        <v>2</v>
      </c>
      <c r="FW32">
        <v>2</v>
      </c>
      <c r="FX32">
        <v>2</v>
      </c>
      <c r="FY32">
        <v>2</v>
      </c>
      <c r="FZ32">
        <v>2</v>
      </c>
      <c r="GA32">
        <v>2</v>
      </c>
      <c r="GB32">
        <v>2</v>
      </c>
      <c r="GC32">
        <v>2</v>
      </c>
      <c r="GD32">
        <v>2</v>
      </c>
      <c r="GE32">
        <v>2</v>
      </c>
      <c r="GF32">
        <v>2</v>
      </c>
      <c r="GG32">
        <v>2</v>
      </c>
      <c r="GH32">
        <v>2</v>
      </c>
      <c r="GI32">
        <v>2</v>
      </c>
      <c r="GJ32">
        <v>2</v>
      </c>
      <c r="GK32">
        <v>2</v>
      </c>
      <c r="GL32">
        <v>2</v>
      </c>
      <c r="GM32">
        <v>2</v>
      </c>
      <c r="GN32">
        <v>2</v>
      </c>
      <c r="GO32">
        <v>2</v>
      </c>
      <c r="GP32">
        <v>2</v>
      </c>
      <c r="GQ32">
        <v>2</v>
      </c>
      <c r="GR32">
        <v>2</v>
      </c>
      <c r="GS32">
        <v>2</v>
      </c>
      <c r="GT32">
        <v>2</v>
      </c>
      <c r="GU32">
        <v>2</v>
      </c>
      <c r="GV32">
        <v>2</v>
      </c>
      <c r="GW32">
        <v>2</v>
      </c>
      <c r="GX32">
        <v>2</v>
      </c>
      <c r="GY32">
        <v>2</v>
      </c>
      <c r="GZ32">
        <v>2</v>
      </c>
      <c r="HA32">
        <v>2</v>
      </c>
      <c r="HB32">
        <v>2</v>
      </c>
      <c r="HC32">
        <v>2</v>
      </c>
      <c r="HD32">
        <v>2</v>
      </c>
      <c r="HE32">
        <v>2</v>
      </c>
      <c r="HF32">
        <v>2</v>
      </c>
      <c r="HG32">
        <v>2</v>
      </c>
      <c r="HH32">
        <v>2</v>
      </c>
      <c r="HI32">
        <v>2</v>
      </c>
      <c r="HJ32">
        <v>2</v>
      </c>
      <c r="HK32">
        <v>2</v>
      </c>
      <c r="HL32">
        <v>2</v>
      </c>
      <c r="HM32">
        <v>2</v>
      </c>
      <c r="HN32">
        <v>2</v>
      </c>
      <c r="HO32">
        <v>2</v>
      </c>
      <c r="HP32">
        <v>2</v>
      </c>
      <c r="HQ32">
        <v>2</v>
      </c>
      <c r="HR32">
        <v>2</v>
      </c>
      <c r="HS32">
        <v>2</v>
      </c>
      <c r="HT32">
        <v>2</v>
      </c>
      <c r="HU32">
        <v>1</v>
      </c>
      <c r="HV32">
        <v>1</v>
      </c>
      <c r="HW32">
        <v>1</v>
      </c>
      <c r="HX32">
        <v>1</v>
      </c>
      <c r="HY32">
        <v>1</v>
      </c>
      <c r="HZ32">
        <v>1</v>
      </c>
      <c r="IA32">
        <v>1</v>
      </c>
      <c r="IB32">
        <v>1</v>
      </c>
      <c r="IC32">
        <v>1</v>
      </c>
      <c r="ID32">
        <v>1</v>
      </c>
      <c r="IE32">
        <v>1</v>
      </c>
      <c r="IF32">
        <v>1</v>
      </c>
      <c r="IG32">
        <v>1</v>
      </c>
      <c r="IH32">
        <v>1</v>
      </c>
      <c r="II32">
        <v>1</v>
      </c>
      <c r="IJ32">
        <v>1</v>
      </c>
      <c r="IK32">
        <v>1</v>
      </c>
      <c r="IL32">
        <v>1</v>
      </c>
      <c r="IM32">
        <v>1</v>
      </c>
      <c r="IN32">
        <v>1</v>
      </c>
      <c r="IO32">
        <v>1</v>
      </c>
      <c r="IP32">
        <v>1</v>
      </c>
      <c r="IQ32">
        <v>1</v>
      </c>
      <c r="IR32">
        <v>1</v>
      </c>
      <c r="IS32">
        <v>1</v>
      </c>
      <c r="IT32">
        <v>1</v>
      </c>
      <c r="IU32">
        <v>1</v>
      </c>
      <c r="IV32">
        <v>1</v>
      </c>
      <c r="IW32">
        <v>1</v>
      </c>
      <c r="IX32">
        <v>1</v>
      </c>
      <c r="IY32">
        <v>1</v>
      </c>
      <c r="IZ32">
        <v>1</v>
      </c>
      <c r="JA32">
        <v>1</v>
      </c>
      <c r="JB32">
        <v>1</v>
      </c>
      <c r="JC32">
        <v>1</v>
      </c>
      <c r="JD32">
        <v>1</v>
      </c>
      <c r="JE32">
        <v>1</v>
      </c>
      <c r="JF32">
        <v>1</v>
      </c>
      <c r="JG32">
        <v>1</v>
      </c>
      <c r="JH32">
        <v>1</v>
      </c>
      <c r="JI32">
        <v>1</v>
      </c>
      <c r="JJ32">
        <v>1</v>
      </c>
      <c r="JK32">
        <v>2</v>
      </c>
      <c r="JL32">
        <v>2</v>
      </c>
      <c r="JM32">
        <v>2</v>
      </c>
      <c r="JN32">
        <v>2</v>
      </c>
      <c r="JO32">
        <v>2</v>
      </c>
      <c r="JP32">
        <v>2</v>
      </c>
      <c r="JQ32">
        <v>2</v>
      </c>
      <c r="JR32">
        <v>2</v>
      </c>
      <c r="JS32">
        <v>2</v>
      </c>
      <c r="JT32">
        <v>2</v>
      </c>
      <c r="JU32">
        <v>2</v>
      </c>
      <c r="JV32">
        <v>2</v>
      </c>
      <c r="JW32">
        <v>2</v>
      </c>
      <c r="JX32">
        <v>2</v>
      </c>
      <c r="JY32">
        <v>2</v>
      </c>
      <c r="JZ32">
        <v>2</v>
      </c>
      <c r="KA32">
        <v>2</v>
      </c>
      <c r="KB32">
        <v>2</v>
      </c>
      <c r="KC32">
        <v>2</v>
      </c>
      <c r="KD32">
        <v>2</v>
      </c>
      <c r="KE32">
        <v>2</v>
      </c>
      <c r="KF32">
        <v>2</v>
      </c>
      <c r="KG32">
        <v>2</v>
      </c>
      <c r="KH32">
        <v>2</v>
      </c>
      <c r="KI32">
        <v>2</v>
      </c>
      <c r="KJ32">
        <v>2</v>
      </c>
      <c r="KK32">
        <v>2</v>
      </c>
      <c r="KL32">
        <v>2</v>
      </c>
      <c r="KM32">
        <v>2</v>
      </c>
      <c r="KN32">
        <v>2</v>
      </c>
      <c r="KO32">
        <v>2</v>
      </c>
      <c r="KP32">
        <v>2</v>
      </c>
      <c r="KQ32">
        <v>2</v>
      </c>
      <c r="KR32">
        <v>2</v>
      </c>
      <c r="KS32">
        <v>1</v>
      </c>
      <c r="KT32">
        <v>1</v>
      </c>
      <c r="KU32">
        <v>1</v>
      </c>
      <c r="KV32">
        <v>1</v>
      </c>
      <c r="KW32">
        <v>1</v>
      </c>
      <c r="KX32">
        <v>1</v>
      </c>
      <c r="KY32">
        <v>1</v>
      </c>
      <c r="KZ32">
        <v>1</v>
      </c>
      <c r="LA32">
        <v>1</v>
      </c>
      <c r="LB32">
        <v>1</v>
      </c>
      <c r="LC32">
        <v>1</v>
      </c>
      <c r="LD32">
        <v>1</v>
      </c>
      <c r="LE32">
        <v>1</v>
      </c>
      <c r="LF32">
        <v>1</v>
      </c>
      <c r="LG32">
        <v>1</v>
      </c>
      <c r="LH32">
        <v>1</v>
      </c>
      <c r="LI32">
        <v>1</v>
      </c>
      <c r="LJ32">
        <v>1</v>
      </c>
      <c r="LK32">
        <v>1</v>
      </c>
      <c r="LL32">
        <v>1</v>
      </c>
      <c r="LM32">
        <v>1</v>
      </c>
      <c r="LN32">
        <v>1</v>
      </c>
      <c r="LO32">
        <v>1</v>
      </c>
      <c r="LP32">
        <v>1</v>
      </c>
      <c r="LQ32">
        <v>1</v>
      </c>
      <c r="LR32">
        <v>1</v>
      </c>
      <c r="LS32">
        <v>1</v>
      </c>
      <c r="LT32">
        <v>1</v>
      </c>
      <c r="LU32">
        <v>1</v>
      </c>
      <c r="LV32">
        <v>1</v>
      </c>
      <c r="LW32">
        <v>1</v>
      </c>
      <c r="LX32">
        <v>1</v>
      </c>
      <c r="LY32">
        <v>1</v>
      </c>
      <c r="LZ32">
        <v>1</v>
      </c>
      <c r="MA32">
        <v>1</v>
      </c>
      <c r="MB32">
        <v>1</v>
      </c>
      <c r="MC32">
        <v>1</v>
      </c>
      <c r="MD32">
        <v>1</v>
      </c>
      <c r="ME32">
        <v>1</v>
      </c>
      <c r="MF32">
        <v>1</v>
      </c>
      <c r="MG32">
        <v>1</v>
      </c>
      <c r="MH32">
        <v>1</v>
      </c>
      <c r="MI32">
        <v>1</v>
      </c>
      <c r="MJ32">
        <v>1</v>
      </c>
      <c r="MK32">
        <v>1</v>
      </c>
      <c r="ML32">
        <v>1</v>
      </c>
      <c r="MM32">
        <v>1</v>
      </c>
      <c r="MN32">
        <v>1</v>
      </c>
      <c r="MO32">
        <v>1</v>
      </c>
      <c r="MP32">
        <v>1</v>
      </c>
      <c r="MQ32">
        <v>1</v>
      </c>
      <c r="MR32">
        <v>1</v>
      </c>
      <c r="MS32">
        <v>1</v>
      </c>
      <c r="MT32">
        <v>1</v>
      </c>
      <c r="MU32">
        <v>2</v>
      </c>
      <c r="MV32">
        <v>2</v>
      </c>
      <c r="MW32">
        <v>2</v>
      </c>
      <c r="MX32">
        <v>2</v>
      </c>
      <c r="MY32">
        <v>2</v>
      </c>
      <c r="MZ32">
        <v>2</v>
      </c>
      <c r="NA32">
        <v>2</v>
      </c>
      <c r="NB32">
        <v>2</v>
      </c>
      <c r="NC32">
        <v>2</v>
      </c>
      <c r="ND32">
        <v>2</v>
      </c>
      <c r="NE32">
        <v>2</v>
      </c>
      <c r="NF32">
        <v>2</v>
      </c>
      <c r="NG32">
        <v>2</v>
      </c>
      <c r="NH32">
        <v>2</v>
      </c>
      <c r="NI32">
        <v>2</v>
      </c>
      <c r="NJ32">
        <v>2</v>
      </c>
      <c r="NK32">
        <v>2</v>
      </c>
      <c r="NL32">
        <v>2</v>
      </c>
      <c r="NM32">
        <v>2</v>
      </c>
      <c r="NN32">
        <v>2</v>
      </c>
      <c r="NO32">
        <v>2</v>
      </c>
      <c r="NP32">
        <v>2</v>
      </c>
      <c r="NQ32">
        <v>2</v>
      </c>
      <c r="NR32">
        <v>2</v>
      </c>
      <c r="NS32">
        <v>2</v>
      </c>
      <c r="NT32">
        <v>2</v>
      </c>
      <c r="NU32">
        <v>2</v>
      </c>
      <c r="NV32">
        <v>2</v>
      </c>
      <c r="NW32">
        <v>2</v>
      </c>
      <c r="NX32">
        <v>2</v>
      </c>
      <c r="NY32">
        <v>2</v>
      </c>
      <c r="NZ32">
        <v>2</v>
      </c>
      <c r="OA32">
        <v>2</v>
      </c>
      <c r="OB32">
        <v>2</v>
      </c>
      <c r="OC32">
        <v>2</v>
      </c>
      <c r="OD32">
        <v>2</v>
      </c>
      <c r="OE32">
        <v>2</v>
      </c>
      <c r="OF32">
        <v>2</v>
      </c>
      <c r="OG32">
        <v>2</v>
      </c>
      <c r="OH32">
        <v>2</v>
      </c>
      <c r="OI32">
        <v>2</v>
      </c>
      <c r="OJ32">
        <v>2</v>
      </c>
      <c r="OK32">
        <v>2</v>
      </c>
      <c r="OL32">
        <v>2</v>
      </c>
      <c r="OM32">
        <v>2</v>
      </c>
      <c r="ON32">
        <v>2</v>
      </c>
      <c r="OO32">
        <v>2</v>
      </c>
      <c r="OP32">
        <v>2</v>
      </c>
      <c r="OQ32">
        <v>2</v>
      </c>
      <c r="OR32">
        <v>2</v>
      </c>
      <c r="OS32">
        <v>2</v>
      </c>
      <c r="OT32">
        <v>2</v>
      </c>
      <c r="OU32">
        <v>2</v>
      </c>
      <c r="OV32">
        <v>2</v>
      </c>
      <c r="OW32">
        <v>2</v>
      </c>
      <c r="OX32">
        <v>2</v>
      </c>
      <c r="OY32">
        <v>2</v>
      </c>
      <c r="OZ32">
        <v>2</v>
      </c>
      <c r="PA32">
        <v>2</v>
      </c>
      <c r="PB32">
        <v>2</v>
      </c>
      <c r="PC32">
        <v>2</v>
      </c>
      <c r="PD32">
        <v>2</v>
      </c>
      <c r="PE32">
        <v>2</v>
      </c>
      <c r="PF32">
        <v>2</v>
      </c>
      <c r="PG32">
        <v>2</v>
      </c>
      <c r="PH32">
        <v>2</v>
      </c>
      <c r="PI32">
        <v>2</v>
      </c>
      <c r="PJ32">
        <v>2</v>
      </c>
      <c r="PK32">
        <v>2</v>
      </c>
      <c r="PL32">
        <v>2</v>
      </c>
      <c r="PM32">
        <v>2</v>
      </c>
      <c r="PN32">
        <v>2</v>
      </c>
      <c r="PO32">
        <v>2</v>
      </c>
      <c r="PP32">
        <v>2</v>
      </c>
      <c r="PQ32">
        <v>2</v>
      </c>
      <c r="PR32">
        <v>2</v>
      </c>
      <c r="PS32">
        <v>2</v>
      </c>
      <c r="PT32">
        <v>2</v>
      </c>
      <c r="PU32">
        <v>2</v>
      </c>
      <c r="PV32">
        <v>2</v>
      </c>
      <c r="PW32">
        <v>2</v>
      </c>
      <c r="PX32">
        <v>2</v>
      </c>
      <c r="PY32">
        <v>2</v>
      </c>
      <c r="PZ32">
        <v>2</v>
      </c>
      <c r="QA32">
        <v>2</v>
      </c>
      <c r="QB32">
        <v>2</v>
      </c>
      <c r="QC32">
        <v>2</v>
      </c>
      <c r="QD32">
        <v>2</v>
      </c>
      <c r="QE32">
        <v>2</v>
      </c>
      <c r="QF32">
        <v>2</v>
      </c>
      <c r="QG32">
        <v>2</v>
      </c>
      <c r="QH32">
        <v>2</v>
      </c>
      <c r="QI32">
        <v>2</v>
      </c>
      <c r="QJ32">
        <v>2</v>
      </c>
      <c r="QK32">
        <v>2</v>
      </c>
      <c r="QL32">
        <v>2</v>
      </c>
      <c r="QM32">
        <v>2</v>
      </c>
      <c r="QN32">
        <v>2</v>
      </c>
      <c r="QO32">
        <v>2</v>
      </c>
      <c r="QP32">
        <v>2</v>
      </c>
      <c r="QQ32">
        <v>2</v>
      </c>
      <c r="QR32">
        <v>2</v>
      </c>
      <c r="QS32">
        <v>2</v>
      </c>
      <c r="QT32">
        <v>2</v>
      </c>
      <c r="QU32">
        <v>2</v>
      </c>
      <c r="QV32">
        <v>2</v>
      </c>
      <c r="QW32">
        <v>2</v>
      </c>
      <c r="QX32">
        <v>2</v>
      </c>
      <c r="QY32">
        <v>2</v>
      </c>
      <c r="QZ32">
        <v>2</v>
      </c>
      <c r="RA32">
        <v>2</v>
      </c>
      <c r="RB32">
        <v>2</v>
      </c>
      <c r="RC32">
        <v>2</v>
      </c>
      <c r="RD32">
        <v>2</v>
      </c>
      <c r="RE32">
        <v>2</v>
      </c>
      <c r="RF32">
        <v>2</v>
      </c>
      <c r="RG32">
        <v>2</v>
      </c>
      <c r="RH32">
        <v>2</v>
      </c>
      <c r="RI32">
        <v>2</v>
      </c>
      <c r="RJ32">
        <v>2</v>
      </c>
      <c r="RK32">
        <v>2</v>
      </c>
      <c r="RL32">
        <v>2</v>
      </c>
      <c r="RM32">
        <v>2</v>
      </c>
      <c r="RN32">
        <v>2</v>
      </c>
      <c r="RO32">
        <v>2</v>
      </c>
      <c r="RP32">
        <v>2</v>
      </c>
      <c r="RQ32">
        <v>2</v>
      </c>
      <c r="RR32">
        <v>2</v>
      </c>
      <c r="RS32">
        <v>2</v>
      </c>
      <c r="RT32">
        <v>2</v>
      </c>
      <c r="RU32">
        <v>2</v>
      </c>
      <c r="RV32">
        <v>2</v>
      </c>
      <c r="RW32">
        <v>2</v>
      </c>
      <c r="RX32">
        <v>2</v>
      </c>
      <c r="RY32">
        <v>2</v>
      </c>
      <c r="RZ32">
        <v>2</v>
      </c>
      <c r="SA32">
        <v>2</v>
      </c>
      <c r="SB32">
        <v>2</v>
      </c>
      <c r="SC32">
        <v>2</v>
      </c>
      <c r="SD32">
        <v>2</v>
      </c>
      <c r="SE32">
        <v>2</v>
      </c>
      <c r="SF32">
        <v>2</v>
      </c>
      <c r="SG32">
        <v>2</v>
      </c>
      <c r="SH32">
        <v>2</v>
      </c>
      <c r="SI32">
        <v>2</v>
      </c>
      <c r="SJ32">
        <v>2</v>
      </c>
      <c r="SK32">
        <v>2</v>
      </c>
      <c r="SL32">
        <v>2</v>
      </c>
      <c r="SM32">
        <v>2</v>
      </c>
      <c r="SN32">
        <v>2</v>
      </c>
      <c r="SO32">
        <v>2</v>
      </c>
      <c r="SP32">
        <v>2</v>
      </c>
      <c r="SQ32">
        <v>2</v>
      </c>
      <c r="SR32">
        <v>2</v>
      </c>
      <c r="SS32">
        <v>2</v>
      </c>
      <c r="ST32">
        <v>2</v>
      </c>
      <c r="SU32">
        <v>2</v>
      </c>
      <c r="SV32">
        <v>2</v>
      </c>
      <c r="SW32">
        <v>2</v>
      </c>
      <c r="SX32">
        <v>2</v>
      </c>
      <c r="SY32">
        <v>2</v>
      </c>
      <c r="SZ32">
        <v>2</v>
      </c>
      <c r="TA32">
        <v>2</v>
      </c>
      <c r="TB32">
        <v>2</v>
      </c>
      <c r="TC32">
        <v>2</v>
      </c>
      <c r="TD32">
        <v>2</v>
      </c>
      <c r="TE32">
        <v>2</v>
      </c>
      <c r="TF32">
        <v>2</v>
      </c>
      <c r="TG32">
        <v>2</v>
      </c>
      <c r="TH32">
        <v>2</v>
      </c>
      <c r="TI32">
        <v>2</v>
      </c>
      <c r="TJ32">
        <v>2</v>
      </c>
      <c r="TK32">
        <v>2</v>
      </c>
      <c r="TL32">
        <v>2</v>
      </c>
      <c r="TM32">
        <v>2</v>
      </c>
      <c r="TN32">
        <v>2</v>
      </c>
      <c r="TO32">
        <v>2</v>
      </c>
      <c r="TP32">
        <v>2</v>
      </c>
      <c r="TQ32">
        <v>2</v>
      </c>
      <c r="TR32">
        <v>2</v>
      </c>
      <c r="TS32">
        <v>2</v>
      </c>
      <c r="TT32">
        <v>2</v>
      </c>
      <c r="TU32">
        <v>2</v>
      </c>
      <c r="TV32">
        <v>2</v>
      </c>
      <c r="TW32">
        <v>2</v>
      </c>
      <c r="TX32">
        <v>2</v>
      </c>
      <c r="TY32">
        <v>2</v>
      </c>
      <c r="TZ32">
        <v>2</v>
      </c>
      <c r="UA32">
        <v>2</v>
      </c>
      <c r="UB32">
        <v>2</v>
      </c>
      <c r="UC32">
        <v>2</v>
      </c>
      <c r="UD32">
        <v>2</v>
      </c>
      <c r="UE32">
        <v>2</v>
      </c>
      <c r="UF32">
        <v>2</v>
      </c>
      <c r="UG32">
        <v>2</v>
      </c>
      <c r="UH32">
        <v>2</v>
      </c>
      <c r="UI32">
        <v>2</v>
      </c>
      <c r="UJ32">
        <v>2</v>
      </c>
      <c r="UK32">
        <v>2</v>
      </c>
      <c r="UL32">
        <v>2</v>
      </c>
      <c r="UM32">
        <v>2</v>
      </c>
      <c r="UN32">
        <v>2</v>
      </c>
      <c r="UO32">
        <v>2</v>
      </c>
      <c r="UP32">
        <v>2</v>
      </c>
      <c r="UQ32">
        <v>2</v>
      </c>
      <c r="UR32">
        <v>2</v>
      </c>
      <c r="US32">
        <v>2</v>
      </c>
      <c r="UT32">
        <v>2</v>
      </c>
      <c r="UU32">
        <v>2</v>
      </c>
      <c r="UV32">
        <v>2</v>
      </c>
      <c r="UW32">
        <v>2</v>
      </c>
      <c r="UX32">
        <v>2</v>
      </c>
      <c r="UY32">
        <v>2</v>
      </c>
      <c r="UZ32">
        <v>2</v>
      </c>
      <c r="VA32">
        <v>2</v>
      </c>
      <c r="VB32">
        <v>2</v>
      </c>
      <c r="VC32">
        <v>2</v>
      </c>
      <c r="VD32">
        <v>2</v>
      </c>
      <c r="VE32">
        <v>2</v>
      </c>
      <c r="VF32">
        <v>2</v>
      </c>
      <c r="VG32">
        <v>2</v>
      </c>
      <c r="VH32">
        <v>2</v>
      </c>
      <c r="VI32">
        <v>2</v>
      </c>
      <c r="VJ32">
        <v>2</v>
      </c>
      <c r="VK32">
        <v>2</v>
      </c>
      <c r="VL32">
        <v>2</v>
      </c>
      <c r="VM32">
        <v>2</v>
      </c>
      <c r="VN32">
        <v>2</v>
      </c>
      <c r="VO32">
        <v>2</v>
      </c>
      <c r="VP32">
        <v>2</v>
      </c>
      <c r="VQ32">
        <v>2</v>
      </c>
      <c r="VR32">
        <v>2</v>
      </c>
      <c r="VS32">
        <v>2</v>
      </c>
      <c r="VT32">
        <v>2</v>
      </c>
      <c r="VU32">
        <v>2</v>
      </c>
      <c r="VV32">
        <v>2</v>
      </c>
      <c r="VW32">
        <v>2</v>
      </c>
      <c r="VX32">
        <v>2</v>
      </c>
      <c r="VY32">
        <v>2</v>
      </c>
      <c r="VZ32">
        <v>2</v>
      </c>
      <c r="WA32">
        <v>2</v>
      </c>
      <c r="WB32">
        <v>2</v>
      </c>
      <c r="WC32">
        <v>2</v>
      </c>
      <c r="WD32">
        <v>2</v>
      </c>
      <c r="WE32">
        <v>2</v>
      </c>
      <c r="WF32">
        <v>2</v>
      </c>
      <c r="WG32">
        <v>2</v>
      </c>
      <c r="WH32">
        <v>2</v>
      </c>
      <c r="WI32">
        <v>2</v>
      </c>
      <c r="WJ32">
        <v>2</v>
      </c>
      <c r="WK32">
        <v>2</v>
      </c>
      <c r="WL32">
        <v>2</v>
      </c>
      <c r="WM32">
        <v>2</v>
      </c>
      <c r="WN32">
        <v>2</v>
      </c>
      <c r="WO32">
        <v>2</v>
      </c>
      <c r="WP32">
        <v>2</v>
      </c>
      <c r="WQ32">
        <v>2</v>
      </c>
      <c r="WR32">
        <v>2</v>
      </c>
      <c r="WS32">
        <v>2</v>
      </c>
      <c r="WT32">
        <v>2</v>
      </c>
      <c r="WU32">
        <v>2</v>
      </c>
      <c r="WV32">
        <v>2</v>
      </c>
      <c r="WW32">
        <v>2</v>
      </c>
      <c r="WX32">
        <v>2</v>
      </c>
      <c r="WY32">
        <v>2</v>
      </c>
      <c r="WZ32">
        <v>2</v>
      </c>
      <c r="XA32">
        <v>2</v>
      </c>
      <c r="XB32">
        <v>2</v>
      </c>
      <c r="XC32">
        <v>2</v>
      </c>
      <c r="XD32">
        <v>2</v>
      </c>
      <c r="XE32">
        <v>2</v>
      </c>
      <c r="XF32">
        <v>2</v>
      </c>
      <c r="XG32">
        <v>2</v>
      </c>
      <c r="XH32">
        <v>2</v>
      </c>
      <c r="XI32">
        <v>2</v>
      </c>
      <c r="XJ32">
        <v>2</v>
      </c>
      <c r="XK32">
        <v>2</v>
      </c>
      <c r="XL32">
        <v>2</v>
      </c>
      <c r="XM32">
        <v>2</v>
      </c>
      <c r="XN32">
        <v>2</v>
      </c>
      <c r="XO32">
        <v>2</v>
      </c>
      <c r="XP32">
        <v>2</v>
      </c>
      <c r="XQ32">
        <v>2</v>
      </c>
      <c r="XR32">
        <v>2</v>
      </c>
      <c r="XS32">
        <v>2</v>
      </c>
      <c r="XT32">
        <v>2</v>
      </c>
      <c r="XU32">
        <v>2</v>
      </c>
      <c r="XV32">
        <v>0</v>
      </c>
      <c r="XW32">
        <v>0</v>
      </c>
      <c r="XX32">
        <v>0</v>
      </c>
      <c r="XY32">
        <v>0</v>
      </c>
      <c r="XZ32">
        <v>0</v>
      </c>
      <c r="YA32">
        <v>0</v>
      </c>
      <c r="YB32">
        <v>0</v>
      </c>
      <c r="YC32">
        <v>0</v>
      </c>
      <c r="YD32">
        <v>0</v>
      </c>
      <c r="YE32">
        <v>0</v>
      </c>
      <c r="YF32">
        <v>0</v>
      </c>
      <c r="YG32">
        <v>0</v>
      </c>
      <c r="YH32">
        <v>0</v>
      </c>
      <c r="YI32">
        <v>0</v>
      </c>
      <c r="YJ32">
        <v>0</v>
      </c>
      <c r="YK32">
        <v>0</v>
      </c>
      <c r="YL32">
        <v>0</v>
      </c>
      <c r="YM32">
        <v>0</v>
      </c>
      <c r="YN32">
        <v>0</v>
      </c>
      <c r="YO32">
        <v>0</v>
      </c>
      <c r="YP32">
        <v>0</v>
      </c>
      <c r="YQ32">
        <v>0</v>
      </c>
      <c r="YR32">
        <v>0</v>
      </c>
      <c r="YS32">
        <v>0</v>
      </c>
      <c r="YT32">
        <v>0</v>
      </c>
      <c r="YU32">
        <v>0</v>
      </c>
      <c r="YV32">
        <v>0</v>
      </c>
      <c r="YW32">
        <v>0</v>
      </c>
      <c r="YX32">
        <v>0</v>
      </c>
      <c r="YY32">
        <v>0</v>
      </c>
      <c r="YZ32">
        <v>0</v>
      </c>
      <c r="ZA32">
        <v>0</v>
      </c>
      <c r="ZB32">
        <v>0</v>
      </c>
      <c r="ZC32">
        <v>0</v>
      </c>
      <c r="ZD32">
        <v>0</v>
      </c>
      <c r="ZE32">
        <v>0</v>
      </c>
      <c r="ZF32">
        <v>0</v>
      </c>
      <c r="ZG32">
        <v>0</v>
      </c>
      <c r="ZH32">
        <v>0</v>
      </c>
      <c r="ZI32">
        <v>0</v>
      </c>
      <c r="ZJ32">
        <v>0</v>
      </c>
      <c r="ZK32">
        <v>0</v>
      </c>
      <c r="ZL32">
        <v>0</v>
      </c>
      <c r="ZM32">
        <v>0</v>
      </c>
      <c r="ZN32">
        <v>0</v>
      </c>
      <c r="ZO32">
        <v>0</v>
      </c>
      <c r="ZP32">
        <v>0</v>
      </c>
      <c r="ZQ32">
        <v>0</v>
      </c>
      <c r="ZR32">
        <v>0</v>
      </c>
      <c r="ZS32">
        <v>0</v>
      </c>
      <c r="ZT32">
        <v>0</v>
      </c>
      <c r="ZU32">
        <v>0</v>
      </c>
      <c r="ZV32">
        <v>0</v>
      </c>
      <c r="ZW32">
        <v>0</v>
      </c>
      <c r="ZX32">
        <v>0</v>
      </c>
      <c r="ZY32">
        <v>0</v>
      </c>
      <c r="ZZ32">
        <v>0</v>
      </c>
      <c r="AAA32">
        <v>0</v>
      </c>
      <c r="AAB32">
        <v>0</v>
      </c>
      <c r="AAC32">
        <v>0</v>
      </c>
      <c r="AAD32">
        <v>0</v>
      </c>
      <c r="AAE32">
        <v>0</v>
      </c>
      <c r="AAF32">
        <v>0</v>
      </c>
      <c r="AAG32">
        <v>0</v>
      </c>
      <c r="AAH32">
        <v>0</v>
      </c>
      <c r="AAI32">
        <v>0</v>
      </c>
      <c r="AAJ32">
        <v>0</v>
      </c>
      <c r="AAK32">
        <v>0</v>
      </c>
      <c r="AAL32">
        <v>0</v>
      </c>
      <c r="AAM32">
        <v>0</v>
      </c>
      <c r="AAN32">
        <v>0</v>
      </c>
      <c r="AAO32">
        <v>0</v>
      </c>
      <c r="AAP32">
        <v>0</v>
      </c>
      <c r="AAQ32">
        <v>0</v>
      </c>
      <c r="AAR32">
        <v>0</v>
      </c>
      <c r="AAS32">
        <v>0</v>
      </c>
      <c r="AAT32">
        <v>0</v>
      </c>
      <c r="AAU32">
        <v>0</v>
      </c>
      <c r="AAV32">
        <v>0</v>
      </c>
      <c r="AAW32">
        <v>0</v>
      </c>
      <c r="AAX32">
        <v>0</v>
      </c>
      <c r="AAY32">
        <v>0</v>
      </c>
      <c r="AAZ32">
        <v>0</v>
      </c>
      <c r="ABA32">
        <v>0</v>
      </c>
      <c r="ABB32">
        <v>0</v>
      </c>
      <c r="ABC32">
        <v>0</v>
      </c>
      <c r="ABD32">
        <v>0</v>
      </c>
      <c r="ABE32">
        <v>0</v>
      </c>
      <c r="ABG32" s="1137">
        <f t="shared" si="5"/>
        <v>0</v>
      </c>
      <c r="ABH32" s="1137">
        <f t="shared" si="5"/>
        <v>0</v>
      </c>
      <c r="ABI32" s="1137">
        <f t="shared" si="5"/>
        <v>16</v>
      </c>
      <c r="ABJ32" s="1137">
        <f t="shared" si="5"/>
        <v>30</v>
      </c>
      <c r="ABK32" s="1137">
        <f t="shared" si="5"/>
        <v>31</v>
      </c>
      <c r="ABL32" s="1137">
        <f t="shared" si="5"/>
        <v>30</v>
      </c>
      <c r="ABM32" s="1137">
        <f t="shared" si="5"/>
        <v>31</v>
      </c>
      <c r="ABN32" s="1137">
        <f t="shared" si="5"/>
        <v>31</v>
      </c>
      <c r="ABO32" s="1137">
        <f t="shared" si="5"/>
        <v>30</v>
      </c>
      <c r="ABP32" s="1137">
        <f t="shared" si="5"/>
        <v>31</v>
      </c>
      <c r="ABQ32" s="1137">
        <f t="shared" si="5"/>
        <v>30</v>
      </c>
      <c r="ABR32" s="1137">
        <f t="shared" si="5"/>
        <v>31</v>
      </c>
      <c r="ABS32" s="1137">
        <f t="shared" si="5"/>
        <v>31</v>
      </c>
      <c r="ABT32" s="1137">
        <f t="shared" si="5"/>
        <v>28</v>
      </c>
      <c r="ABU32" s="1137">
        <f t="shared" si="5"/>
        <v>31</v>
      </c>
      <c r="ABV32" s="1137">
        <f t="shared" si="5"/>
        <v>30</v>
      </c>
      <c r="ABW32" s="1137">
        <f t="shared" si="7"/>
        <v>31</v>
      </c>
      <c r="ABX32" s="1137">
        <f t="shared" si="7"/>
        <v>30</v>
      </c>
      <c r="ABY32" s="1137">
        <f t="shared" si="7"/>
        <v>31</v>
      </c>
      <c r="ABZ32" s="1137">
        <f t="shared" si="7"/>
        <v>31</v>
      </c>
      <c r="ACA32" s="1137">
        <f t="shared" si="7"/>
        <v>30</v>
      </c>
      <c r="ACB32" s="1137">
        <f t="shared" si="7"/>
        <v>4</v>
      </c>
      <c r="ACC32" s="1137">
        <f t="shared" si="7"/>
        <v>0</v>
      </c>
      <c r="ACD32" s="1137">
        <f t="shared" si="7"/>
        <v>0</v>
      </c>
      <c r="ACE32" s="1137" t="s">
        <v>151</v>
      </c>
      <c r="ACF32" s="1137">
        <f t="shared" si="6"/>
        <v>0</v>
      </c>
      <c r="ACG32" s="1137">
        <f t="shared" si="6"/>
        <v>0</v>
      </c>
      <c r="ACH32" s="1137">
        <f t="shared" si="6"/>
        <v>1</v>
      </c>
      <c r="ACI32" s="1137">
        <f t="shared" si="6"/>
        <v>1</v>
      </c>
      <c r="ACJ32" s="1137">
        <f t="shared" si="6"/>
        <v>1</v>
      </c>
      <c r="ACK32" s="1137">
        <f t="shared" si="6"/>
        <v>1</v>
      </c>
      <c r="ACL32" s="1137">
        <f t="shared" si="6"/>
        <v>1</v>
      </c>
      <c r="ACM32" s="1137">
        <f t="shared" si="6"/>
        <v>1</v>
      </c>
      <c r="ACN32" s="1137">
        <f t="shared" si="6"/>
        <v>1</v>
      </c>
      <c r="ACO32" s="1137">
        <f t="shared" si="6"/>
        <v>1</v>
      </c>
      <c r="ACP32" s="1137">
        <f t="shared" si="6"/>
        <v>1</v>
      </c>
      <c r="ACQ32" s="1137">
        <f t="shared" si="6"/>
        <v>1</v>
      </c>
      <c r="ACR32" s="1137">
        <f t="shared" si="6"/>
        <v>1</v>
      </c>
      <c r="ACS32" s="1137">
        <f t="shared" si="6"/>
        <v>1</v>
      </c>
      <c r="ACT32" s="1137">
        <f t="shared" si="6"/>
        <v>1</v>
      </c>
      <c r="ACU32" s="1137">
        <f t="shared" si="6"/>
        <v>1</v>
      </c>
      <c r="ACV32" s="1137">
        <f t="shared" si="8"/>
        <v>1</v>
      </c>
      <c r="ACW32" s="1137">
        <f t="shared" si="8"/>
        <v>1</v>
      </c>
      <c r="ACX32" s="1137">
        <f t="shared" si="8"/>
        <v>1</v>
      </c>
      <c r="ACY32" s="1137">
        <f t="shared" si="8"/>
        <v>1</v>
      </c>
      <c r="ACZ32" s="1137">
        <f t="shared" si="8"/>
        <v>1</v>
      </c>
      <c r="ADA32" s="1137">
        <f t="shared" si="8"/>
        <v>0</v>
      </c>
      <c r="ADB32" s="1137">
        <f t="shared" si="8"/>
        <v>0</v>
      </c>
      <c r="ADC32" s="1137">
        <f t="shared" si="8"/>
        <v>0</v>
      </c>
    </row>
    <row r="33" spans="1:783" x14ac:dyDescent="0.25">
      <c r="A33" t="s">
        <v>1829</v>
      </c>
      <c r="B33" t="s">
        <v>2012</v>
      </c>
      <c r="C33">
        <v>0</v>
      </c>
      <c r="D33">
        <v>0</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v>0</v>
      </c>
      <c r="BD33">
        <v>0</v>
      </c>
      <c r="BE33">
        <v>0</v>
      </c>
      <c r="BF33">
        <v>0</v>
      </c>
      <c r="BG33">
        <v>0</v>
      </c>
      <c r="BH33">
        <v>0</v>
      </c>
      <c r="BI33">
        <v>0</v>
      </c>
      <c r="BJ33">
        <v>0</v>
      </c>
      <c r="BK33">
        <v>0</v>
      </c>
      <c r="BL33">
        <v>0</v>
      </c>
      <c r="BM33">
        <v>0</v>
      </c>
      <c r="BN33">
        <v>0</v>
      </c>
      <c r="BO33">
        <v>0</v>
      </c>
      <c r="BP33">
        <v>0</v>
      </c>
      <c r="BQ33">
        <v>0</v>
      </c>
      <c r="BR33">
        <v>0</v>
      </c>
      <c r="BS33">
        <v>0</v>
      </c>
      <c r="BT33">
        <v>0</v>
      </c>
      <c r="BU33">
        <v>0</v>
      </c>
      <c r="BV33">
        <v>0</v>
      </c>
      <c r="BW33">
        <v>0</v>
      </c>
      <c r="BX33">
        <v>0</v>
      </c>
      <c r="BY33">
        <v>0</v>
      </c>
      <c r="BZ33">
        <v>0</v>
      </c>
      <c r="CA33">
        <v>0</v>
      </c>
      <c r="CB33">
        <v>0</v>
      </c>
      <c r="CC33">
        <v>0</v>
      </c>
      <c r="CD33">
        <v>0</v>
      </c>
      <c r="CE33">
        <v>0</v>
      </c>
      <c r="CF33">
        <v>0</v>
      </c>
      <c r="CG33">
        <v>0</v>
      </c>
      <c r="CH33">
        <v>0</v>
      </c>
      <c r="CI33">
        <v>0</v>
      </c>
      <c r="CJ33">
        <v>2</v>
      </c>
      <c r="CK33">
        <v>2</v>
      </c>
      <c r="CL33">
        <v>2</v>
      </c>
      <c r="CM33">
        <v>2</v>
      </c>
      <c r="CN33">
        <v>2</v>
      </c>
      <c r="CO33">
        <v>2</v>
      </c>
      <c r="CP33">
        <v>2</v>
      </c>
      <c r="CQ33">
        <v>2</v>
      </c>
      <c r="CR33">
        <v>2</v>
      </c>
      <c r="CS33">
        <v>2</v>
      </c>
      <c r="CT33">
        <v>2</v>
      </c>
      <c r="CU33">
        <v>2</v>
      </c>
      <c r="CV33">
        <v>2</v>
      </c>
      <c r="CW33">
        <v>2</v>
      </c>
      <c r="CX33">
        <v>2</v>
      </c>
      <c r="CY33">
        <v>2</v>
      </c>
      <c r="CZ33">
        <v>2</v>
      </c>
      <c r="DA33">
        <v>2</v>
      </c>
      <c r="DB33">
        <v>2</v>
      </c>
      <c r="DC33">
        <v>2</v>
      </c>
      <c r="DD33">
        <v>2</v>
      </c>
      <c r="DE33">
        <v>2</v>
      </c>
      <c r="DF33">
        <v>2</v>
      </c>
      <c r="DG33">
        <v>2</v>
      </c>
      <c r="DH33">
        <v>2</v>
      </c>
      <c r="DI33">
        <v>2</v>
      </c>
      <c r="DJ33">
        <v>2</v>
      </c>
      <c r="DK33">
        <v>2</v>
      </c>
      <c r="DL33">
        <v>2</v>
      </c>
      <c r="DM33">
        <v>2</v>
      </c>
      <c r="DN33">
        <v>2</v>
      </c>
      <c r="DO33">
        <v>2</v>
      </c>
      <c r="DP33">
        <v>2</v>
      </c>
      <c r="DQ33">
        <v>2</v>
      </c>
      <c r="DR33">
        <v>2</v>
      </c>
      <c r="DS33">
        <v>2</v>
      </c>
      <c r="DT33">
        <v>2</v>
      </c>
      <c r="DU33">
        <v>2</v>
      </c>
      <c r="DV33">
        <v>2</v>
      </c>
      <c r="DW33">
        <v>2</v>
      </c>
      <c r="DX33">
        <v>2</v>
      </c>
      <c r="DY33">
        <v>2</v>
      </c>
      <c r="DZ33">
        <v>2</v>
      </c>
      <c r="EA33">
        <v>2</v>
      </c>
      <c r="EB33">
        <v>2</v>
      </c>
      <c r="EC33">
        <v>2</v>
      </c>
      <c r="ED33">
        <v>2</v>
      </c>
      <c r="EE33">
        <v>2</v>
      </c>
      <c r="EF33">
        <v>2</v>
      </c>
      <c r="EG33">
        <v>2</v>
      </c>
      <c r="EH33">
        <v>2</v>
      </c>
      <c r="EI33">
        <v>2</v>
      </c>
      <c r="EJ33">
        <v>2</v>
      </c>
      <c r="EK33">
        <v>2</v>
      </c>
      <c r="EL33">
        <v>2</v>
      </c>
      <c r="EM33">
        <v>2</v>
      </c>
      <c r="EN33">
        <v>2</v>
      </c>
      <c r="EO33">
        <v>2</v>
      </c>
      <c r="EP33">
        <v>2</v>
      </c>
      <c r="EQ33">
        <v>2</v>
      </c>
      <c r="ER33">
        <v>2</v>
      </c>
      <c r="ES33">
        <v>2</v>
      </c>
      <c r="ET33">
        <v>2</v>
      </c>
      <c r="EU33">
        <v>2</v>
      </c>
      <c r="EV33">
        <v>2</v>
      </c>
      <c r="EW33">
        <v>2</v>
      </c>
      <c r="EX33">
        <v>2</v>
      </c>
      <c r="EY33">
        <v>2</v>
      </c>
      <c r="EZ33">
        <v>2</v>
      </c>
      <c r="FA33">
        <v>2</v>
      </c>
      <c r="FB33">
        <v>2</v>
      </c>
      <c r="FC33">
        <v>2</v>
      </c>
      <c r="FD33">
        <v>2</v>
      </c>
      <c r="FE33">
        <v>2</v>
      </c>
      <c r="FF33">
        <v>2</v>
      </c>
      <c r="FG33">
        <v>2</v>
      </c>
      <c r="FH33">
        <v>2</v>
      </c>
      <c r="FI33">
        <v>2</v>
      </c>
      <c r="FJ33">
        <v>2</v>
      </c>
      <c r="FK33">
        <v>2</v>
      </c>
      <c r="FL33">
        <v>2</v>
      </c>
      <c r="FM33">
        <v>2</v>
      </c>
      <c r="FN33">
        <v>2</v>
      </c>
      <c r="FO33">
        <v>2</v>
      </c>
      <c r="FP33">
        <v>2</v>
      </c>
      <c r="FQ33">
        <v>2</v>
      </c>
      <c r="FR33">
        <v>2</v>
      </c>
      <c r="FS33">
        <v>2</v>
      </c>
      <c r="FT33">
        <v>2</v>
      </c>
      <c r="FU33">
        <v>2</v>
      </c>
      <c r="FV33">
        <v>2</v>
      </c>
      <c r="FW33">
        <v>2</v>
      </c>
      <c r="FX33">
        <v>2</v>
      </c>
      <c r="FY33">
        <v>2</v>
      </c>
      <c r="FZ33">
        <v>2</v>
      </c>
      <c r="GA33">
        <v>2</v>
      </c>
      <c r="GB33">
        <v>2</v>
      </c>
      <c r="GC33">
        <v>2</v>
      </c>
      <c r="GD33">
        <v>2</v>
      </c>
      <c r="GE33">
        <v>2</v>
      </c>
      <c r="GF33">
        <v>2</v>
      </c>
      <c r="GG33">
        <v>2</v>
      </c>
      <c r="GH33">
        <v>2</v>
      </c>
      <c r="GI33">
        <v>2</v>
      </c>
      <c r="GJ33">
        <v>2</v>
      </c>
      <c r="GK33">
        <v>2</v>
      </c>
      <c r="GL33">
        <v>2</v>
      </c>
      <c r="GM33">
        <v>2</v>
      </c>
      <c r="GN33">
        <v>2</v>
      </c>
      <c r="GO33">
        <v>2</v>
      </c>
      <c r="GP33">
        <v>1</v>
      </c>
      <c r="GQ33">
        <v>1</v>
      </c>
      <c r="GR33">
        <v>1</v>
      </c>
      <c r="GS33">
        <v>1</v>
      </c>
      <c r="GT33">
        <v>1</v>
      </c>
      <c r="GU33">
        <v>1</v>
      </c>
      <c r="GV33">
        <v>1</v>
      </c>
      <c r="GW33">
        <v>1</v>
      </c>
      <c r="GX33">
        <v>1</v>
      </c>
      <c r="GY33">
        <v>1</v>
      </c>
      <c r="GZ33">
        <v>1</v>
      </c>
      <c r="HA33">
        <v>1</v>
      </c>
      <c r="HB33">
        <v>1</v>
      </c>
      <c r="HC33">
        <v>1</v>
      </c>
      <c r="HD33">
        <v>1</v>
      </c>
      <c r="HE33">
        <v>1</v>
      </c>
      <c r="HF33">
        <v>1</v>
      </c>
      <c r="HG33">
        <v>1</v>
      </c>
      <c r="HH33">
        <v>1</v>
      </c>
      <c r="HI33">
        <v>1</v>
      </c>
      <c r="HJ33">
        <v>1</v>
      </c>
      <c r="HK33">
        <v>1</v>
      </c>
      <c r="HL33">
        <v>1</v>
      </c>
      <c r="HM33">
        <v>1</v>
      </c>
      <c r="HN33">
        <v>1</v>
      </c>
      <c r="HO33">
        <v>1</v>
      </c>
      <c r="HP33">
        <v>1</v>
      </c>
      <c r="HQ33">
        <v>1</v>
      </c>
      <c r="HR33">
        <v>1</v>
      </c>
      <c r="HS33">
        <v>1</v>
      </c>
      <c r="HT33">
        <v>1</v>
      </c>
      <c r="HU33">
        <v>1</v>
      </c>
      <c r="HV33">
        <v>1</v>
      </c>
      <c r="HW33">
        <v>1</v>
      </c>
      <c r="HX33">
        <v>1</v>
      </c>
      <c r="HY33">
        <v>1</v>
      </c>
      <c r="HZ33">
        <v>1</v>
      </c>
      <c r="IA33">
        <v>1</v>
      </c>
      <c r="IB33">
        <v>1</v>
      </c>
      <c r="IC33">
        <v>1</v>
      </c>
      <c r="ID33">
        <v>1</v>
      </c>
      <c r="IE33">
        <v>1</v>
      </c>
      <c r="IF33">
        <v>1</v>
      </c>
      <c r="IG33">
        <v>1</v>
      </c>
      <c r="IH33">
        <v>1</v>
      </c>
      <c r="II33">
        <v>1</v>
      </c>
      <c r="IJ33">
        <v>1</v>
      </c>
      <c r="IK33">
        <v>1</v>
      </c>
      <c r="IL33">
        <v>1</v>
      </c>
      <c r="IM33">
        <v>1</v>
      </c>
      <c r="IN33">
        <v>1</v>
      </c>
      <c r="IO33">
        <v>1</v>
      </c>
      <c r="IP33">
        <v>1</v>
      </c>
      <c r="IQ33">
        <v>1</v>
      </c>
      <c r="IR33">
        <v>1</v>
      </c>
      <c r="IS33">
        <v>1</v>
      </c>
      <c r="IT33">
        <v>1</v>
      </c>
      <c r="IU33">
        <v>1</v>
      </c>
      <c r="IV33">
        <v>1</v>
      </c>
      <c r="IW33">
        <v>1</v>
      </c>
      <c r="IX33">
        <v>1</v>
      </c>
      <c r="IY33">
        <v>1</v>
      </c>
      <c r="IZ33">
        <v>1</v>
      </c>
      <c r="JA33">
        <v>1</v>
      </c>
      <c r="JB33">
        <v>1</v>
      </c>
      <c r="JC33">
        <v>1</v>
      </c>
      <c r="JD33">
        <v>1</v>
      </c>
      <c r="JE33">
        <v>1</v>
      </c>
      <c r="JF33">
        <v>1</v>
      </c>
      <c r="JG33">
        <v>1</v>
      </c>
      <c r="JH33">
        <v>1</v>
      </c>
      <c r="JI33">
        <v>1</v>
      </c>
      <c r="JJ33">
        <v>1</v>
      </c>
      <c r="JK33">
        <v>1</v>
      </c>
      <c r="JL33">
        <v>1</v>
      </c>
      <c r="JM33">
        <v>1</v>
      </c>
      <c r="JN33">
        <v>1</v>
      </c>
      <c r="JO33">
        <v>1</v>
      </c>
      <c r="JP33">
        <v>1</v>
      </c>
      <c r="JQ33">
        <v>1</v>
      </c>
      <c r="JR33">
        <v>1</v>
      </c>
      <c r="JS33">
        <v>1</v>
      </c>
      <c r="JT33">
        <v>1</v>
      </c>
      <c r="JU33">
        <v>1</v>
      </c>
      <c r="JV33">
        <v>1</v>
      </c>
      <c r="JW33">
        <v>1</v>
      </c>
      <c r="JX33">
        <v>1</v>
      </c>
      <c r="JY33">
        <v>1</v>
      </c>
      <c r="JZ33">
        <v>1</v>
      </c>
      <c r="KA33">
        <v>1</v>
      </c>
      <c r="KB33">
        <v>1</v>
      </c>
      <c r="KC33">
        <v>1</v>
      </c>
      <c r="KD33">
        <v>1</v>
      </c>
      <c r="KE33">
        <v>1</v>
      </c>
      <c r="KF33">
        <v>1</v>
      </c>
      <c r="KG33">
        <v>0</v>
      </c>
      <c r="KH33">
        <v>0</v>
      </c>
      <c r="KI33">
        <v>0</v>
      </c>
      <c r="KJ33">
        <v>0</v>
      </c>
      <c r="KK33">
        <v>0</v>
      </c>
      <c r="KL33">
        <v>0</v>
      </c>
      <c r="KM33">
        <v>0</v>
      </c>
      <c r="KN33">
        <v>0</v>
      </c>
      <c r="KO33">
        <v>0</v>
      </c>
      <c r="KP33">
        <v>0</v>
      </c>
      <c r="KQ33">
        <v>0</v>
      </c>
      <c r="KR33">
        <v>0</v>
      </c>
      <c r="KS33">
        <v>0</v>
      </c>
      <c r="KT33">
        <v>0</v>
      </c>
      <c r="KU33">
        <v>0</v>
      </c>
      <c r="KV33">
        <v>0</v>
      </c>
      <c r="KW33">
        <v>0</v>
      </c>
      <c r="KX33">
        <v>0</v>
      </c>
      <c r="KY33">
        <v>0</v>
      </c>
      <c r="KZ33">
        <v>0</v>
      </c>
      <c r="LA33">
        <v>0</v>
      </c>
      <c r="LB33">
        <v>0</v>
      </c>
      <c r="LC33">
        <v>0</v>
      </c>
      <c r="LD33">
        <v>0</v>
      </c>
      <c r="LE33">
        <v>0</v>
      </c>
      <c r="LF33">
        <v>0</v>
      </c>
      <c r="LG33">
        <v>0</v>
      </c>
      <c r="LH33">
        <v>0</v>
      </c>
      <c r="LI33">
        <v>0</v>
      </c>
      <c r="LJ33">
        <v>0</v>
      </c>
      <c r="LK33">
        <v>0</v>
      </c>
      <c r="LL33">
        <v>0</v>
      </c>
      <c r="LM33">
        <v>0</v>
      </c>
      <c r="LN33">
        <v>0</v>
      </c>
      <c r="LO33">
        <v>0</v>
      </c>
      <c r="LP33">
        <v>0</v>
      </c>
      <c r="LQ33">
        <v>0</v>
      </c>
      <c r="LR33">
        <v>0</v>
      </c>
      <c r="LS33">
        <v>0</v>
      </c>
      <c r="LT33">
        <v>0</v>
      </c>
      <c r="LU33">
        <v>0</v>
      </c>
      <c r="LV33">
        <v>0</v>
      </c>
      <c r="LW33">
        <v>0</v>
      </c>
      <c r="LX33">
        <v>0</v>
      </c>
      <c r="LY33">
        <v>0</v>
      </c>
      <c r="LZ33">
        <v>0</v>
      </c>
      <c r="MA33">
        <v>0</v>
      </c>
      <c r="MB33">
        <v>0</v>
      </c>
      <c r="MC33">
        <v>0</v>
      </c>
      <c r="MD33">
        <v>0</v>
      </c>
      <c r="ME33">
        <v>0</v>
      </c>
      <c r="MF33">
        <v>0</v>
      </c>
      <c r="MG33">
        <v>0</v>
      </c>
      <c r="MH33">
        <v>0</v>
      </c>
      <c r="MI33">
        <v>0</v>
      </c>
      <c r="MJ33">
        <v>0</v>
      </c>
      <c r="MK33">
        <v>0</v>
      </c>
      <c r="ML33">
        <v>0</v>
      </c>
      <c r="MM33">
        <v>0</v>
      </c>
      <c r="MN33">
        <v>0</v>
      </c>
      <c r="MO33">
        <v>0</v>
      </c>
      <c r="MP33">
        <v>0</v>
      </c>
      <c r="MQ33">
        <v>0</v>
      </c>
      <c r="MR33">
        <v>0</v>
      </c>
      <c r="MS33">
        <v>0</v>
      </c>
      <c r="MT33">
        <v>0</v>
      </c>
      <c r="MU33">
        <v>0</v>
      </c>
      <c r="MV33">
        <v>0</v>
      </c>
      <c r="MW33">
        <v>0</v>
      </c>
      <c r="MX33">
        <v>0</v>
      </c>
      <c r="MY33">
        <v>0</v>
      </c>
      <c r="MZ33">
        <v>0</v>
      </c>
      <c r="NA33">
        <v>0</v>
      </c>
      <c r="NB33">
        <v>0</v>
      </c>
      <c r="NC33">
        <v>0</v>
      </c>
      <c r="ND33">
        <v>0</v>
      </c>
      <c r="NE33">
        <v>0</v>
      </c>
      <c r="NF33">
        <v>0</v>
      </c>
      <c r="NG33">
        <v>0</v>
      </c>
      <c r="NH33">
        <v>0</v>
      </c>
      <c r="NI33">
        <v>0</v>
      </c>
      <c r="NJ33">
        <v>0</v>
      </c>
      <c r="NK33">
        <v>0</v>
      </c>
      <c r="NL33">
        <v>0</v>
      </c>
      <c r="NM33">
        <v>0</v>
      </c>
      <c r="NN33">
        <v>0</v>
      </c>
      <c r="NO33">
        <v>0</v>
      </c>
      <c r="NP33">
        <v>0</v>
      </c>
      <c r="NQ33">
        <v>0</v>
      </c>
      <c r="NR33">
        <v>0</v>
      </c>
      <c r="NS33">
        <v>0</v>
      </c>
      <c r="NT33">
        <v>0</v>
      </c>
      <c r="NU33">
        <v>0</v>
      </c>
      <c r="NV33">
        <v>0</v>
      </c>
      <c r="NW33">
        <v>0</v>
      </c>
      <c r="NX33">
        <v>0</v>
      </c>
      <c r="NY33">
        <v>0</v>
      </c>
      <c r="NZ33">
        <v>0</v>
      </c>
      <c r="OA33">
        <v>0</v>
      </c>
      <c r="OB33">
        <v>0</v>
      </c>
      <c r="OC33">
        <v>0</v>
      </c>
      <c r="OD33">
        <v>0</v>
      </c>
      <c r="OE33">
        <v>0</v>
      </c>
      <c r="OF33">
        <v>0</v>
      </c>
      <c r="OG33">
        <v>0</v>
      </c>
      <c r="OH33">
        <v>0</v>
      </c>
      <c r="OI33">
        <v>0</v>
      </c>
      <c r="OJ33">
        <v>0</v>
      </c>
      <c r="OK33">
        <v>0</v>
      </c>
      <c r="OL33">
        <v>0</v>
      </c>
      <c r="OM33">
        <v>0</v>
      </c>
      <c r="ON33">
        <v>0</v>
      </c>
      <c r="OO33">
        <v>0</v>
      </c>
      <c r="OP33">
        <v>0</v>
      </c>
      <c r="OQ33">
        <v>0</v>
      </c>
      <c r="OR33">
        <v>0</v>
      </c>
      <c r="OS33">
        <v>0</v>
      </c>
      <c r="OT33">
        <v>0</v>
      </c>
      <c r="OU33">
        <v>0</v>
      </c>
      <c r="OV33">
        <v>0</v>
      </c>
      <c r="OW33">
        <v>0</v>
      </c>
      <c r="OX33">
        <v>0</v>
      </c>
      <c r="OY33">
        <v>0</v>
      </c>
      <c r="OZ33">
        <v>0</v>
      </c>
      <c r="PA33">
        <v>0</v>
      </c>
      <c r="PB33">
        <v>0</v>
      </c>
      <c r="PC33">
        <v>0</v>
      </c>
      <c r="PD33">
        <v>0</v>
      </c>
      <c r="PE33">
        <v>0</v>
      </c>
      <c r="PF33">
        <v>0</v>
      </c>
      <c r="PG33">
        <v>0</v>
      </c>
      <c r="PH33">
        <v>0</v>
      </c>
      <c r="PI33">
        <v>0</v>
      </c>
      <c r="PJ33">
        <v>0</v>
      </c>
      <c r="PK33">
        <v>0</v>
      </c>
      <c r="PL33">
        <v>0</v>
      </c>
      <c r="PM33">
        <v>0</v>
      </c>
      <c r="PN33">
        <v>0</v>
      </c>
      <c r="PO33">
        <v>0</v>
      </c>
      <c r="PP33">
        <v>0</v>
      </c>
      <c r="PQ33">
        <v>0</v>
      </c>
      <c r="PR33">
        <v>0</v>
      </c>
      <c r="PS33">
        <v>0</v>
      </c>
      <c r="PT33">
        <v>0</v>
      </c>
      <c r="PU33">
        <v>0</v>
      </c>
      <c r="PV33">
        <v>0</v>
      </c>
      <c r="PW33">
        <v>0</v>
      </c>
      <c r="PX33">
        <v>0</v>
      </c>
      <c r="PY33">
        <v>0</v>
      </c>
      <c r="PZ33">
        <v>0</v>
      </c>
      <c r="QA33">
        <v>0</v>
      </c>
      <c r="QB33">
        <v>0</v>
      </c>
      <c r="QC33">
        <v>0</v>
      </c>
      <c r="QD33">
        <v>0</v>
      </c>
      <c r="QE33">
        <v>0</v>
      </c>
      <c r="QF33">
        <v>0</v>
      </c>
      <c r="QG33">
        <v>0</v>
      </c>
      <c r="QH33">
        <v>0</v>
      </c>
      <c r="QI33">
        <v>0</v>
      </c>
      <c r="QJ33">
        <v>0</v>
      </c>
      <c r="QK33">
        <v>0</v>
      </c>
      <c r="QL33">
        <v>0</v>
      </c>
      <c r="QM33">
        <v>0</v>
      </c>
      <c r="QN33">
        <v>0</v>
      </c>
      <c r="QO33">
        <v>0</v>
      </c>
      <c r="QP33">
        <v>0</v>
      </c>
      <c r="QQ33">
        <v>0</v>
      </c>
      <c r="QR33">
        <v>0</v>
      </c>
      <c r="QS33">
        <v>0</v>
      </c>
      <c r="QT33">
        <v>0</v>
      </c>
      <c r="QU33">
        <v>0</v>
      </c>
      <c r="QV33">
        <v>0</v>
      </c>
      <c r="QW33">
        <v>0</v>
      </c>
      <c r="QX33">
        <v>0</v>
      </c>
      <c r="QY33">
        <v>0</v>
      </c>
      <c r="QZ33">
        <v>0</v>
      </c>
      <c r="RA33">
        <v>0</v>
      </c>
      <c r="RB33">
        <v>0</v>
      </c>
      <c r="RC33">
        <v>0</v>
      </c>
      <c r="RD33">
        <v>0</v>
      </c>
      <c r="RE33">
        <v>0</v>
      </c>
      <c r="RF33">
        <v>0</v>
      </c>
      <c r="RG33">
        <v>0</v>
      </c>
      <c r="RH33">
        <v>0</v>
      </c>
      <c r="RI33">
        <v>0</v>
      </c>
      <c r="RJ33">
        <v>1</v>
      </c>
      <c r="RK33">
        <v>1</v>
      </c>
      <c r="RL33">
        <v>1</v>
      </c>
      <c r="RM33">
        <v>1</v>
      </c>
      <c r="RN33">
        <v>1</v>
      </c>
      <c r="RO33">
        <v>1</v>
      </c>
      <c r="RP33">
        <v>1</v>
      </c>
      <c r="RQ33">
        <v>1</v>
      </c>
      <c r="RR33">
        <v>1</v>
      </c>
      <c r="RS33">
        <v>1</v>
      </c>
      <c r="RT33">
        <v>1</v>
      </c>
      <c r="RU33">
        <v>1</v>
      </c>
      <c r="RV33">
        <v>1</v>
      </c>
      <c r="RW33">
        <v>1</v>
      </c>
      <c r="RX33">
        <v>1</v>
      </c>
      <c r="RY33">
        <v>1</v>
      </c>
      <c r="RZ33">
        <v>1</v>
      </c>
      <c r="SA33">
        <v>1</v>
      </c>
      <c r="SB33">
        <v>1</v>
      </c>
      <c r="SC33">
        <v>1</v>
      </c>
      <c r="SD33">
        <v>0</v>
      </c>
      <c r="SE33">
        <v>0</v>
      </c>
      <c r="SF33">
        <v>0</v>
      </c>
      <c r="SG33">
        <v>0</v>
      </c>
      <c r="SH33">
        <v>0</v>
      </c>
      <c r="SI33">
        <v>0</v>
      </c>
      <c r="SJ33">
        <v>0</v>
      </c>
      <c r="SK33">
        <v>0</v>
      </c>
      <c r="SL33">
        <v>0</v>
      </c>
      <c r="SM33">
        <v>0</v>
      </c>
      <c r="SN33">
        <v>0</v>
      </c>
      <c r="SO33">
        <v>0</v>
      </c>
      <c r="SP33">
        <v>0</v>
      </c>
      <c r="SQ33">
        <v>0</v>
      </c>
      <c r="SR33">
        <v>0</v>
      </c>
      <c r="SS33">
        <v>0</v>
      </c>
      <c r="ST33">
        <v>0</v>
      </c>
      <c r="SU33">
        <v>0</v>
      </c>
      <c r="SV33">
        <v>0</v>
      </c>
      <c r="SW33">
        <v>0</v>
      </c>
      <c r="SX33">
        <v>0</v>
      </c>
      <c r="SY33">
        <v>0</v>
      </c>
      <c r="SZ33">
        <v>0</v>
      </c>
      <c r="TA33">
        <v>0</v>
      </c>
      <c r="TB33">
        <v>0</v>
      </c>
      <c r="TC33">
        <v>0</v>
      </c>
      <c r="TD33">
        <v>0</v>
      </c>
      <c r="TE33">
        <v>0</v>
      </c>
      <c r="TF33">
        <v>0</v>
      </c>
      <c r="TG33">
        <v>0</v>
      </c>
      <c r="TH33">
        <v>0</v>
      </c>
      <c r="TI33">
        <v>0</v>
      </c>
      <c r="TJ33">
        <v>0</v>
      </c>
      <c r="TK33">
        <v>0</v>
      </c>
      <c r="TL33">
        <v>0</v>
      </c>
      <c r="TM33">
        <v>0</v>
      </c>
      <c r="TN33">
        <v>0</v>
      </c>
      <c r="TO33">
        <v>0</v>
      </c>
      <c r="TP33">
        <v>0</v>
      </c>
      <c r="TQ33">
        <v>0</v>
      </c>
      <c r="TR33">
        <v>0</v>
      </c>
      <c r="TS33">
        <v>0</v>
      </c>
      <c r="TT33">
        <v>0</v>
      </c>
      <c r="TU33">
        <v>0</v>
      </c>
      <c r="TV33">
        <v>0</v>
      </c>
      <c r="TW33">
        <v>0</v>
      </c>
      <c r="TX33">
        <v>0</v>
      </c>
      <c r="TY33">
        <v>0</v>
      </c>
      <c r="TZ33">
        <v>0</v>
      </c>
      <c r="UA33">
        <v>0</v>
      </c>
      <c r="UB33">
        <v>0</v>
      </c>
      <c r="UC33">
        <v>0</v>
      </c>
      <c r="UD33">
        <v>0</v>
      </c>
      <c r="UE33">
        <v>0</v>
      </c>
      <c r="UF33">
        <v>0</v>
      </c>
      <c r="UG33">
        <v>0</v>
      </c>
      <c r="UH33">
        <v>0</v>
      </c>
      <c r="UI33">
        <v>0</v>
      </c>
      <c r="UJ33">
        <v>0</v>
      </c>
      <c r="UK33">
        <v>0</v>
      </c>
      <c r="UL33">
        <v>0</v>
      </c>
      <c r="UM33">
        <v>0</v>
      </c>
      <c r="UN33">
        <v>0</v>
      </c>
      <c r="UO33">
        <v>0</v>
      </c>
      <c r="UP33">
        <v>0</v>
      </c>
      <c r="UQ33">
        <v>0</v>
      </c>
      <c r="UR33">
        <v>0</v>
      </c>
      <c r="US33">
        <v>0</v>
      </c>
      <c r="UT33">
        <v>0</v>
      </c>
      <c r="UU33">
        <v>0</v>
      </c>
      <c r="UV33">
        <v>0</v>
      </c>
      <c r="UW33">
        <v>0</v>
      </c>
      <c r="UX33">
        <v>0</v>
      </c>
      <c r="UY33">
        <v>0</v>
      </c>
      <c r="UZ33">
        <v>0</v>
      </c>
      <c r="VA33">
        <v>0</v>
      </c>
      <c r="VB33">
        <v>0</v>
      </c>
      <c r="VC33">
        <v>0</v>
      </c>
      <c r="VD33">
        <v>0</v>
      </c>
      <c r="VE33">
        <v>0</v>
      </c>
      <c r="VF33">
        <v>0</v>
      </c>
      <c r="VG33">
        <v>0</v>
      </c>
      <c r="VH33">
        <v>0</v>
      </c>
      <c r="VI33">
        <v>0</v>
      </c>
      <c r="VJ33">
        <v>0</v>
      </c>
      <c r="VK33">
        <v>0</v>
      </c>
      <c r="VL33">
        <v>0</v>
      </c>
      <c r="VM33">
        <v>0</v>
      </c>
      <c r="VN33">
        <v>0</v>
      </c>
      <c r="VO33">
        <v>0</v>
      </c>
      <c r="VP33">
        <v>0</v>
      </c>
      <c r="VQ33">
        <v>0</v>
      </c>
      <c r="VR33">
        <v>0</v>
      </c>
      <c r="VS33">
        <v>0</v>
      </c>
      <c r="VT33">
        <v>0</v>
      </c>
      <c r="VU33">
        <v>0</v>
      </c>
      <c r="VV33">
        <v>0</v>
      </c>
      <c r="VW33">
        <v>0</v>
      </c>
      <c r="VX33">
        <v>0</v>
      </c>
      <c r="VY33">
        <v>0</v>
      </c>
      <c r="VZ33">
        <v>0</v>
      </c>
      <c r="WA33">
        <v>0</v>
      </c>
      <c r="WB33">
        <v>0</v>
      </c>
      <c r="WC33">
        <v>0</v>
      </c>
      <c r="WD33">
        <v>0</v>
      </c>
      <c r="WE33">
        <v>0</v>
      </c>
      <c r="WF33">
        <v>0</v>
      </c>
      <c r="WG33">
        <v>0</v>
      </c>
      <c r="WH33">
        <v>0</v>
      </c>
      <c r="WI33">
        <v>0</v>
      </c>
      <c r="WJ33">
        <v>0</v>
      </c>
      <c r="WK33">
        <v>0</v>
      </c>
      <c r="WL33">
        <v>0</v>
      </c>
      <c r="WM33">
        <v>0</v>
      </c>
      <c r="WN33">
        <v>0</v>
      </c>
      <c r="WO33">
        <v>0</v>
      </c>
      <c r="WP33">
        <v>0</v>
      </c>
      <c r="WQ33">
        <v>0</v>
      </c>
      <c r="WR33">
        <v>0</v>
      </c>
      <c r="WS33">
        <v>0</v>
      </c>
      <c r="WT33">
        <v>0</v>
      </c>
      <c r="WU33">
        <v>0</v>
      </c>
      <c r="WV33">
        <v>0</v>
      </c>
      <c r="WW33">
        <v>0</v>
      </c>
      <c r="WX33">
        <v>0</v>
      </c>
      <c r="WY33">
        <v>0</v>
      </c>
      <c r="WZ33">
        <v>0</v>
      </c>
      <c r="XA33">
        <v>0</v>
      </c>
      <c r="XB33">
        <v>0</v>
      </c>
      <c r="XC33">
        <v>0</v>
      </c>
      <c r="XD33">
        <v>0</v>
      </c>
      <c r="XE33">
        <v>0</v>
      </c>
      <c r="XF33">
        <v>0</v>
      </c>
      <c r="XG33">
        <v>0</v>
      </c>
      <c r="XH33">
        <v>0</v>
      </c>
      <c r="XI33">
        <v>0</v>
      </c>
      <c r="XJ33">
        <v>0</v>
      </c>
      <c r="XK33">
        <v>0</v>
      </c>
      <c r="XL33">
        <v>0</v>
      </c>
      <c r="XM33">
        <v>0</v>
      </c>
      <c r="XN33">
        <v>0</v>
      </c>
      <c r="XO33">
        <v>0</v>
      </c>
      <c r="XP33">
        <v>0</v>
      </c>
      <c r="XQ33">
        <v>0</v>
      </c>
      <c r="XR33">
        <v>0</v>
      </c>
      <c r="XS33">
        <v>0</v>
      </c>
      <c r="XT33">
        <v>0</v>
      </c>
      <c r="XU33">
        <v>0</v>
      </c>
      <c r="XV33">
        <v>0</v>
      </c>
      <c r="XW33">
        <v>0</v>
      </c>
      <c r="XX33">
        <v>0</v>
      </c>
      <c r="XY33">
        <v>0</v>
      </c>
      <c r="XZ33">
        <v>0</v>
      </c>
      <c r="YA33">
        <v>0</v>
      </c>
      <c r="YB33">
        <v>0</v>
      </c>
      <c r="YC33">
        <v>0</v>
      </c>
      <c r="YD33">
        <v>0</v>
      </c>
      <c r="YE33">
        <v>0</v>
      </c>
      <c r="YF33">
        <v>0</v>
      </c>
      <c r="YG33">
        <v>0</v>
      </c>
      <c r="YH33">
        <v>0</v>
      </c>
      <c r="YI33">
        <v>0</v>
      </c>
      <c r="YJ33">
        <v>0</v>
      </c>
      <c r="YK33">
        <v>0</v>
      </c>
      <c r="YL33">
        <v>0</v>
      </c>
      <c r="YM33">
        <v>0</v>
      </c>
      <c r="YN33">
        <v>0</v>
      </c>
      <c r="YO33">
        <v>0</v>
      </c>
      <c r="YP33">
        <v>0</v>
      </c>
      <c r="YQ33">
        <v>0</v>
      </c>
      <c r="YR33">
        <v>0</v>
      </c>
      <c r="YS33">
        <v>0</v>
      </c>
      <c r="YT33">
        <v>0</v>
      </c>
      <c r="YU33">
        <v>0</v>
      </c>
      <c r="YV33">
        <v>0</v>
      </c>
      <c r="YW33">
        <v>0</v>
      </c>
      <c r="YX33">
        <v>0</v>
      </c>
      <c r="YY33">
        <v>0</v>
      </c>
      <c r="YZ33">
        <v>0</v>
      </c>
      <c r="ZA33">
        <v>0</v>
      </c>
      <c r="ZB33">
        <v>0</v>
      </c>
      <c r="ZC33">
        <v>0</v>
      </c>
      <c r="ZD33">
        <v>0</v>
      </c>
      <c r="ZE33">
        <v>0</v>
      </c>
      <c r="ZF33">
        <v>0</v>
      </c>
      <c r="ZG33">
        <v>0</v>
      </c>
      <c r="ZH33">
        <v>0</v>
      </c>
      <c r="ZI33">
        <v>0</v>
      </c>
      <c r="ZJ33">
        <v>0</v>
      </c>
      <c r="ZK33">
        <v>0</v>
      </c>
      <c r="ZL33">
        <v>0</v>
      </c>
      <c r="ZM33">
        <v>0</v>
      </c>
      <c r="ZN33">
        <v>0</v>
      </c>
      <c r="ZO33">
        <v>0</v>
      </c>
      <c r="ZP33">
        <v>0</v>
      </c>
      <c r="ZQ33">
        <v>0</v>
      </c>
      <c r="ZR33">
        <v>0</v>
      </c>
      <c r="ZS33">
        <v>0</v>
      </c>
      <c r="ZT33">
        <v>0</v>
      </c>
      <c r="ZU33">
        <v>0</v>
      </c>
      <c r="ZV33">
        <v>0</v>
      </c>
      <c r="ZW33">
        <v>0</v>
      </c>
      <c r="ZX33">
        <v>0</v>
      </c>
      <c r="ZY33">
        <v>0</v>
      </c>
      <c r="ZZ33">
        <v>0</v>
      </c>
      <c r="AAA33">
        <v>0</v>
      </c>
      <c r="AAB33">
        <v>0</v>
      </c>
      <c r="AAC33">
        <v>0</v>
      </c>
      <c r="AAD33">
        <v>0</v>
      </c>
      <c r="AAE33">
        <v>0</v>
      </c>
      <c r="AAF33">
        <v>0</v>
      </c>
      <c r="AAG33">
        <v>0</v>
      </c>
      <c r="AAH33">
        <v>0</v>
      </c>
      <c r="AAI33">
        <v>0</v>
      </c>
      <c r="AAJ33">
        <v>0</v>
      </c>
      <c r="AAK33">
        <v>0</v>
      </c>
      <c r="AAL33">
        <v>1</v>
      </c>
      <c r="AAM33">
        <v>1</v>
      </c>
      <c r="AAN33">
        <v>1</v>
      </c>
      <c r="AAO33">
        <v>1</v>
      </c>
      <c r="AAP33">
        <v>1</v>
      </c>
      <c r="AAQ33">
        <v>1</v>
      </c>
      <c r="AAR33">
        <v>1</v>
      </c>
      <c r="AAS33">
        <v>1</v>
      </c>
      <c r="AAT33">
        <v>1</v>
      </c>
      <c r="AAU33">
        <v>1</v>
      </c>
      <c r="AAV33">
        <v>1</v>
      </c>
      <c r="AAW33">
        <v>1</v>
      </c>
      <c r="AAX33">
        <v>1</v>
      </c>
      <c r="AAY33">
        <v>1</v>
      </c>
      <c r="AAZ33">
        <v>1</v>
      </c>
      <c r="ABA33">
        <v>1</v>
      </c>
      <c r="ABB33">
        <v>1</v>
      </c>
      <c r="ABC33">
        <v>1</v>
      </c>
      <c r="ABD33">
        <v>1</v>
      </c>
      <c r="ABE33">
        <v>1</v>
      </c>
      <c r="ABG33" s="1137">
        <f t="shared" si="5"/>
        <v>0</v>
      </c>
      <c r="ABH33" s="1137">
        <f t="shared" si="5"/>
        <v>0</v>
      </c>
      <c r="ABI33" s="1137">
        <f t="shared" si="5"/>
        <v>6</v>
      </c>
      <c r="ABJ33" s="1137">
        <f t="shared" si="5"/>
        <v>30</v>
      </c>
      <c r="ABK33" s="1137">
        <f t="shared" si="5"/>
        <v>31</v>
      </c>
      <c r="ABL33" s="1137">
        <f t="shared" si="5"/>
        <v>30</v>
      </c>
      <c r="ABM33" s="1137">
        <f t="shared" si="5"/>
        <v>31</v>
      </c>
      <c r="ABN33" s="1137">
        <f t="shared" si="5"/>
        <v>31</v>
      </c>
      <c r="ABO33" s="1137">
        <f t="shared" si="5"/>
        <v>30</v>
      </c>
      <c r="ABP33" s="1137">
        <f t="shared" si="5"/>
        <v>16</v>
      </c>
      <c r="ABQ33" s="1137">
        <f t="shared" si="5"/>
        <v>0</v>
      </c>
      <c r="ABR33" s="1137">
        <f t="shared" si="5"/>
        <v>0</v>
      </c>
      <c r="ABS33" s="1137">
        <f t="shared" si="5"/>
        <v>0</v>
      </c>
      <c r="ABT33" s="1137">
        <f t="shared" si="5"/>
        <v>0</v>
      </c>
      <c r="ABU33" s="1137">
        <f t="shared" si="5"/>
        <v>0</v>
      </c>
      <c r="ABV33" s="1137">
        <f t="shared" si="5"/>
        <v>11</v>
      </c>
      <c r="ABW33" s="1137">
        <f t="shared" si="7"/>
        <v>9</v>
      </c>
      <c r="ABX33" s="1137">
        <f t="shared" si="7"/>
        <v>0</v>
      </c>
      <c r="ABY33" s="1137">
        <f t="shared" si="7"/>
        <v>0</v>
      </c>
      <c r="ABZ33" s="1137">
        <f t="shared" si="7"/>
        <v>0</v>
      </c>
      <c r="ACA33" s="1137">
        <f t="shared" si="7"/>
        <v>0</v>
      </c>
      <c r="ACB33" s="1137">
        <f t="shared" si="7"/>
        <v>0</v>
      </c>
      <c r="ACC33" s="1137">
        <f t="shared" si="7"/>
        <v>0</v>
      </c>
      <c r="ACD33" s="1137">
        <f t="shared" si="7"/>
        <v>20</v>
      </c>
      <c r="ACE33" s="1137" t="s">
        <v>2012</v>
      </c>
      <c r="ACF33" s="1137">
        <f t="shared" si="6"/>
        <v>0</v>
      </c>
      <c r="ACG33" s="1137">
        <f t="shared" si="6"/>
        <v>0</v>
      </c>
      <c r="ACH33" s="1137">
        <f t="shared" si="6"/>
        <v>0</v>
      </c>
      <c r="ACI33" s="1137">
        <f t="shared" si="6"/>
        <v>1</v>
      </c>
      <c r="ACJ33" s="1137">
        <f t="shared" si="6"/>
        <v>1</v>
      </c>
      <c r="ACK33" s="1137">
        <f t="shared" si="6"/>
        <v>1</v>
      </c>
      <c r="ACL33" s="1137">
        <f t="shared" si="6"/>
        <v>1</v>
      </c>
      <c r="ACM33" s="1137">
        <f t="shared" si="6"/>
        <v>1</v>
      </c>
      <c r="ACN33" s="1137">
        <f t="shared" si="6"/>
        <v>1</v>
      </c>
      <c r="ACO33" s="1137">
        <f t="shared" si="6"/>
        <v>1</v>
      </c>
      <c r="ACP33" s="1137">
        <f t="shared" si="6"/>
        <v>0</v>
      </c>
      <c r="ACQ33" s="1137">
        <f t="shared" si="6"/>
        <v>0</v>
      </c>
      <c r="ACR33" s="1137">
        <f t="shared" si="6"/>
        <v>0</v>
      </c>
      <c r="ACS33" s="1137">
        <f t="shared" si="6"/>
        <v>0</v>
      </c>
      <c r="ACT33" s="1137">
        <f t="shared" si="6"/>
        <v>0</v>
      </c>
      <c r="ACU33" s="1137">
        <f t="shared" si="6"/>
        <v>1</v>
      </c>
      <c r="ACV33" s="1137">
        <f t="shared" si="8"/>
        <v>0</v>
      </c>
      <c r="ACW33" s="1137">
        <f t="shared" si="8"/>
        <v>0</v>
      </c>
      <c r="ACX33" s="1137">
        <f t="shared" si="8"/>
        <v>0</v>
      </c>
      <c r="ACY33" s="1137">
        <f t="shared" si="8"/>
        <v>0</v>
      </c>
      <c r="ACZ33" s="1137">
        <f t="shared" si="8"/>
        <v>0</v>
      </c>
      <c r="ADA33" s="1137">
        <f t="shared" si="8"/>
        <v>0</v>
      </c>
      <c r="ADB33" s="1137">
        <f t="shared" si="8"/>
        <v>0</v>
      </c>
      <c r="ADC33" s="1137">
        <f t="shared" si="8"/>
        <v>1</v>
      </c>
    </row>
    <row r="34" spans="1:783" x14ac:dyDescent="0.25">
      <c r="A34" t="s">
        <v>1830</v>
      </c>
      <c r="B34" t="s">
        <v>157</v>
      </c>
      <c r="C34">
        <v>0</v>
      </c>
      <c r="D34">
        <v>0</v>
      </c>
      <c r="E34">
        <v>0</v>
      </c>
      <c r="F34">
        <v>0</v>
      </c>
      <c r="G34">
        <v>0</v>
      </c>
      <c r="H34">
        <v>0</v>
      </c>
      <c r="I34">
        <v>0</v>
      </c>
      <c r="J34">
        <v>0</v>
      </c>
      <c r="K34">
        <v>0</v>
      </c>
      <c r="L34">
        <v>0</v>
      </c>
      <c r="M34">
        <v>0</v>
      </c>
      <c r="N34">
        <v>0</v>
      </c>
      <c r="O34">
        <v>0</v>
      </c>
      <c r="P34">
        <v>0</v>
      </c>
      <c r="Q34">
        <v>0</v>
      </c>
      <c r="R34">
        <v>0</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v>0</v>
      </c>
      <c r="AN34">
        <v>0</v>
      </c>
      <c r="AO34">
        <v>0</v>
      </c>
      <c r="AP34">
        <v>0</v>
      </c>
      <c r="AQ34">
        <v>0</v>
      </c>
      <c r="AR34">
        <v>0</v>
      </c>
      <c r="AS34">
        <v>0</v>
      </c>
      <c r="AT34">
        <v>0</v>
      </c>
      <c r="AU34">
        <v>0</v>
      </c>
      <c r="AV34">
        <v>0</v>
      </c>
      <c r="AW34">
        <v>0</v>
      </c>
      <c r="AX34">
        <v>0</v>
      </c>
      <c r="AY34">
        <v>0</v>
      </c>
      <c r="AZ34">
        <v>0</v>
      </c>
      <c r="BA34">
        <v>0</v>
      </c>
      <c r="BB34">
        <v>0</v>
      </c>
      <c r="BC34">
        <v>0</v>
      </c>
      <c r="BD34">
        <v>0</v>
      </c>
      <c r="BE34">
        <v>0</v>
      </c>
      <c r="BF34">
        <v>0</v>
      </c>
      <c r="BG34">
        <v>0</v>
      </c>
      <c r="BH34">
        <v>0</v>
      </c>
      <c r="BI34">
        <v>0</v>
      </c>
      <c r="BJ34">
        <v>0</v>
      </c>
      <c r="BK34">
        <v>0</v>
      </c>
      <c r="BL34">
        <v>0</v>
      </c>
      <c r="BM34">
        <v>0</v>
      </c>
      <c r="BN34">
        <v>0</v>
      </c>
      <c r="BO34">
        <v>0</v>
      </c>
      <c r="BP34">
        <v>0</v>
      </c>
      <c r="BQ34">
        <v>0</v>
      </c>
      <c r="BR34">
        <v>0</v>
      </c>
      <c r="BS34">
        <v>0</v>
      </c>
      <c r="BT34">
        <v>0</v>
      </c>
      <c r="BU34">
        <v>0</v>
      </c>
      <c r="BV34">
        <v>0</v>
      </c>
      <c r="BW34">
        <v>0</v>
      </c>
      <c r="BX34">
        <v>0</v>
      </c>
      <c r="BY34">
        <v>0</v>
      </c>
      <c r="BZ34">
        <v>0</v>
      </c>
      <c r="CA34">
        <v>0</v>
      </c>
      <c r="CB34">
        <v>0</v>
      </c>
      <c r="CC34">
        <v>0</v>
      </c>
      <c r="CD34">
        <v>2</v>
      </c>
      <c r="CE34">
        <v>2</v>
      </c>
      <c r="CF34">
        <v>2</v>
      </c>
      <c r="CG34">
        <v>2</v>
      </c>
      <c r="CH34">
        <v>2</v>
      </c>
      <c r="CI34">
        <v>2</v>
      </c>
      <c r="CJ34">
        <v>2</v>
      </c>
      <c r="CK34">
        <v>2</v>
      </c>
      <c r="CL34">
        <v>2</v>
      </c>
      <c r="CM34">
        <v>2</v>
      </c>
      <c r="CN34">
        <v>2</v>
      </c>
      <c r="CO34">
        <v>2</v>
      </c>
      <c r="CP34">
        <v>2</v>
      </c>
      <c r="CQ34">
        <v>2</v>
      </c>
      <c r="CR34">
        <v>2</v>
      </c>
      <c r="CS34">
        <v>2</v>
      </c>
      <c r="CT34">
        <v>2</v>
      </c>
      <c r="CU34">
        <v>2</v>
      </c>
      <c r="CV34">
        <v>2</v>
      </c>
      <c r="CW34">
        <v>2</v>
      </c>
      <c r="CX34">
        <v>2</v>
      </c>
      <c r="CY34">
        <v>2</v>
      </c>
      <c r="CZ34">
        <v>2</v>
      </c>
      <c r="DA34">
        <v>2</v>
      </c>
      <c r="DB34">
        <v>2</v>
      </c>
      <c r="DC34">
        <v>2</v>
      </c>
      <c r="DD34">
        <v>2</v>
      </c>
      <c r="DE34">
        <v>2</v>
      </c>
      <c r="DF34">
        <v>2</v>
      </c>
      <c r="DG34">
        <v>2</v>
      </c>
      <c r="DH34">
        <v>2</v>
      </c>
      <c r="DI34">
        <v>2</v>
      </c>
      <c r="DJ34">
        <v>2</v>
      </c>
      <c r="DK34">
        <v>2</v>
      </c>
      <c r="DL34">
        <v>2</v>
      </c>
      <c r="DM34">
        <v>2</v>
      </c>
      <c r="DN34">
        <v>2</v>
      </c>
      <c r="DO34">
        <v>2</v>
      </c>
      <c r="DP34">
        <v>2</v>
      </c>
      <c r="DQ34">
        <v>2</v>
      </c>
      <c r="DR34">
        <v>2</v>
      </c>
      <c r="DS34">
        <v>2</v>
      </c>
      <c r="DT34">
        <v>2</v>
      </c>
      <c r="DU34">
        <v>2</v>
      </c>
      <c r="DV34">
        <v>2</v>
      </c>
      <c r="DW34">
        <v>2</v>
      </c>
      <c r="DX34">
        <v>2</v>
      </c>
      <c r="DY34">
        <v>2</v>
      </c>
      <c r="DZ34">
        <v>2</v>
      </c>
      <c r="EA34">
        <v>2</v>
      </c>
      <c r="EB34">
        <v>2</v>
      </c>
      <c r="EC34">
        <v>2</v>
      </c>
      <c r="ED34">
        <v>2</v>
      </c>
      <c r="EE34">
        <v>2</v>
      </c>
      <c r="EF34">
        <v>2</v>
      </c>
      <c r="EG34">
        <v>2</v>
      </c>
      <c r="EH34">
        <v>2</v>
      </c>
      <c r="EI34">
        <v>2</v>
      </c>
      <c r="EJ34">
        <v>2</v>
      </c>
      <c r="EK34">
        <v>2</v>
      </c>
      <c r="EL34">
        <v>2</v>
      </c>
      <c r="EM34">
        <v>2</v>
      </c>
      <c r="EN34">
        <v>2</v>
      </c>
      <c r="EO34">
        <v>2</v>
      </c>
      <c r="EP34">
        <v>2</v>
      </c>
      <c r="EQ34">
        <v>2</v>
      </c>
      <c r="ER34">
        <v>2</v>
      </c>
      <c r="ES34">
        <v>2</v>
      </c>
      <c r="ET34">
        <v>2</v>
      </c>
      <c r="EU34">
        <v>2</v>
      </c>
      <c r="EV34">
        <v>2</v>
      </c>
      <c r="EW34">
        <v>2</v>
      </c>
      <c r="EX34">
        <v>2</v>
      </c>
      <c r="EY34">
        <v>2</v>
      </c>
      <c r="EZ34">
        <v>2</v>
      </c>
      <c r="FA34">
        <v>2</v>
      </c>
      <c r="FB34">
        <v>2</v>
      </c>
      <c r="FC34">
        <v>2</v>
      </c>
      <c r="FD34">
        <v>2</v>
      </c>
      <c r="FE34">
        <v>2</v>
      </c>
      <c r="FF34">
        <v>2</v>
      </c>
      <c r="FG34">
        <v>2</v>
      </c>
      <c r="FH34">
        <v>2</v>
      </c>
      <c r="FI34">
        <v>2</v>
      </c>
      <c r="FJ34">
        <v>2</v>
      </c>
      <c r="FK34">
        <v>2</v>
      </c>
      <c r="FL34">
        <v>2</v>
      </c>
      <c r="FM34">
        <v>2</v>
      </c>
      <c r="FN34">
        <v>2</v>
      </c>
      <c r="FO34">
        <v>2</v>
      </c>
      <c r="FP34">
        <v>2</v>
      </c>
      <c r="FQ34">
        <v>2</v>
      </c>
      <c r="FR34">
        <v>2</v>
      </c>
      <c r="FS34">
        <v>2</v>
      </c>
      <c r="FT34">
        <v>2</v>
      </c>
      <c r="FU34">
        <v>2</v>
      </c>
      <c r="FV34">
        <v>2</v>
      </c>
      <c r="FW34">
        <v>2</v>
      </c>
      <c r="FX34">
        <v>2</v>
      </c>
      <c r="FY34">
        <v>2</v>
      </c>
      <c r="FZ34">
        <v>2</v>
      </c>
      <c r="GA34">
        <v>2</v>
      </c>
      <c r="GB34">
        <v>2</v>
      </c>
      <c r="GC34">
        <v>2</v>
      </c>
      <c r="GD34">
        <v>2</v>
      </c>
      <c r="GE34">
        <v>2</v>
      </c>
      <c r="GF34">
        <v>2</v>
      </c>
      <c r="GG34">
        <v>2</v>
      </c>
      <c r="GH34">
        <v>2</v>
      </c>
      <c r="GI34">
        <v>2</v>
      </c>
      <c r="GJ34">
        <v>2</v>
      </c>
      <c r="GK34">
        <v>2</v>
      </c>
      <c r="GL34">
        <v>2</v>
      </c>
      <c r="GM34">
        <v>2</v>
      </c>
      <c r="GN34">
        <v>2</v>
      </c>
      <c r="GO34">
        <v>2</v>
      </c>
      <c r="GP34">
        <v>2</v>
      </c>
      <c r="GQ34">
        <v>2</v>
      </c>
      <c r="GR34">
        <v>2</v>
      </c>
      <c r="GS34">
        <v>2</v>
      </c>
      <c r="GT34">
        <v>2</v>
      </c>
      <c r="GU34">
        <v>2</v>
      </c>
      <c r="GV34">
        <v>2</v>
      </c>
      <c r="GW34">
        <v>2</v>
      </c>
      <c r="GX34">
        <v>2</v>
      </c>
      <c r="GY34">
        <v>2</v>
      </c>
      <c r="GZ34">
        <v>2</v>
      </c>
      <c r="HA34">
        <v>2</v>
      </c>
      <c r="HB34">
        <v>2</v>
      </c>
      <c r="HC34">
        <v>2</v>
      </c>
      <c r="HD34">
        <v>2</v>
      </c>
      <c r="HE34">
        <v>2</v>
      </c>
      <c r="HF34">
        <v>2</v>
      </c>
      <c r="HG34">
        <v>2</v>
      </c>
      <c r="HH34">
        <v>2</v>
      </c>
      <c r="HI34">
        <v>2</v>
      </c>
      <c r="HJ34">
        <v>2</v>
      </c>
      <c r="HK34">
        <v>2</v>
      </c>
      <c r="HL34">
        <v>2</v>
      </c>
      <c r="HM34">
        <v>2</v>
      </c>
      <c r="HN34">
        <v>2</v>
      </c>
      <c r="HO34">
        <v>2</v>
      </c>
      <c r="HP34">
        <v>2</v>
      </c>
      <c r="HQ34">
        <v>2</v>
      </c>
      <c r="HR34">
        <v>2</v>
      </c>
      <c r="HS34">
        <v>2</v>
      </c>
      <c r="HT34">
        <v>2</v>
      </c>
      <c r="HU34">
        <v>2</v>
      </c>
      <c r="HV34">
        <v>2</v>
      </c>
      <c r="HW34">
        <v>2</v>
      </c>
      <c r="HX34">
        <v>2</v>
      </c>
      <c r="HY34">
        <v>2</v>
      </c>
      <c r="HZ34">
        <v>2</v>
      </c>
      <c r="IA34">
        <v>2</v>
      </c>
      <c r="IB34">
        <v>2</v>
      </c>
      <c r="IC34">
        <v>2</v>
      </c>
      <c r="ID34">
        <v>2</v>
      </c>
      <c r="IE34">
        <v>2</v>
      </c>
      <c r="IF34">
        <v>2</v>
      </c>
      <c r="IG34">
        <v>2</v>
      </c>
      <c r="IH34">
        <v>2</v>
      </c>
      <c r="II34">
        <v>2</v>
      </c>
      <c r="IJ34">
        <v>2</v>
      </c>
      <c r="IK34">
        <v>2</v>
      </c>
      <c r="IL34">
        <v>2</v>
      </c>
      <c r="IM34">
        <v>2</v>
      </c>
      <c r="IN34">
        <v>2</v>
      </c>
      <c r="IO34">
        <v>2</v>
      </c>
      <c r="IP34">
        <v>2</v>
      </c>
      <c r="IQ34">
        <v>2</v>
      </c>
      <c r="IR34">
        <v>2</v>
      </c>
      <c r="IS34">
        <v>2</v>
      </c>
      <c r="IT34">
        <v>2</v>
      </c>
      <c r="IU34">
        <v>2</v>
      </c>
      <c r="IV34">
        <v>2</v>
      </c>
      <c r="IW34">
        <v>2</v>
      </c>
      <c r="IX34">
        <v>2</v>
      </c>
      <c r="IY34">
        <v>2</v>
      </c>
      <c r="IZ34">
        <v>2</v>
      </c>
      <c r="JA34">
        <v>2</v>
      </c>
      <c r="JB34">
        <v>2</v>
      </c>
      <c r="JC34">
        <v>2</v>
      </c>
      <c r="JD34">
        <v>2</v>
      </c>
      <c r="JE34">
        <v>2</v>
      </c>
      <c r="JF34">
        <v>2</v>
      </c>
      <c r="JG34">
        <v>2</v>
      </c>
      <c r="JH34">
        <v>2</v>
      </c>
      <c r="JI34">
        <v>2</v>
      </c>
      <c r="JJ34">
        <v>2</v>
      </c>
      <c r="JK34">
        <v>2</v>
      </c>
      <c r="JL34">
        <v>2</v>
      </c>
      <c r="JM34">
        <v>2</v>
      </c>
      <c r="JN34">
        <v>2</v>
      </c>
      <c r="JO34">
        <v>2</v>
      </c>
      <c r="JP34">
        <v>2</v>
      </c>
      <c r="JQ34">
        <v>2</v>
      </c>
      <c r="JR34">
        <v>2</v>
      </c>
      <c r="JS34">
        <v>2</v>
      </c>
      <c r="JT34">
        <v>2</v>
      </c>
      <c r="JU34">
        <v>2</v>
      </c>
      <c r="JV34">
        <v>2</v>
      </c>
      <c r="JW34">
        <v>2</v>
      </c>
      <c r="JX34">
        <v>2</v>
      </c>
      <c r="JY34">
        <v>2</v>
      </c>
      <c r="JZ34">
        <v>2</v>
      </c>
      <c r="KA34">
        <v>2</v>
      </c>
      <c r="KB34">
        <v>2</v>
      </c>
      <c r="KC34">
        <v>2</v>
      </c>
      <c r="KD34">
        <v>2</v>
      </c>
      <c r="KE34">
        <v>2</v>
      </c>
      <c r="KF34">
        <v>2</v>
      </c>
      <c r="KG34">
        <v>2</v>
      </c>
      <c r="KH34">
        <v>2</v>
      </c>
      <c r="KI34">
        <v>2</v>
      </c>
      <c r="KJ34">
        <v>2</v>
      </c>
      <c r="KK34">
        <v>2</v>
      </c>
      <c r="KL34">
        <v>2</v>
      </c>
      <c r="KM34">
        <v>2</v>
      </c>
      <c r="KN34">
        <v>2</v>
      </c>
      <c r="KO34">
        <v>2</v>
      </c>
      <c r="KP34">
        <v>2</v>
      </c>
      <c r="KQ34">
        <v>2</v>
      </c>
      <c r="KR34">
        <v>2</v>
      </c>
      <c r="KS34">
        <v>2</v>
      </c>
      <c r="KT34">
        <v>2</v>
      </c>
      <c r="KU34">
        <v>2</v>
      </c>
      <c r="KV34">
        <v>2</v>
      </c>
      <c r="KW34">
        <v>2</v>
      </c>
      <c r="KX34">
        <v>2</v>
      </c>
      <c r="KY34">
        <v>2</v>
      </c>
      <c r="KZ34">
        <v>2</v>
      </c>
      <c r="LA34">
        <v>2</v>
      </c>
      <c r="LB34">
        <v>2</v>
      </c>
      <c r="LC34">
        <v>2</v>
      </c>
      <c r="LD34">
        <v>2</v>
      </c>
      <c r="LE34">
        <v>2</v>
      </c>
      <c r="LF34">
        <v>2</v>
      </c>
      <c r="LG34">
        <v>2</v>
      </c>
      <c r="LH34">
        <v>2</v>
      </c>
      <c r="LI34">
        <v>2</v>
      </c>
      <c r="LJ34">
        <v>2</v>
      </c>
      <c r="LK34">
        <v>2</v>
      </c>
      <c r="LL34">
        <v>2</v>
      </c>
      <c r="LM34">
        <v>2</v>
      </c>
      <c r="LN34">
        <v>2</v>
      </c>
      <c r="LO34">
        <v>2</v>
      </c>
      <c r="LP34">
        <v>2</v>
      </c>
      <c r="LQ34">
        <v>2</v>
      </c>
      <c r="LR34">
        <v>2</v>
      </c>
      <c r="LS34">
        <v>2</v>
      </c>
      <c r="LT34">
        <v>2</v>
      </c>
      <c r="LU34">
        <v>2</v>
      </c>
      <c r="LV34">
        <v>2</v>
      </c>
      <c r="LW34">
        <v>2</v>
      </c>
      <c r="LX34">
        <v>2</v>
      </c>
      <c r="LY34">
        <v>2</v>
      </c>
      <c r="LZ34">
        <v>2</v>
      </c>
      <c r="MA34">
        <v>2</v>
      </c>
      <c r="MB34">
        <v>2</v>
      </c>
      <c r="MC34">
        <v>2</v>
      </c>
      <c r="MD34">
        <v>2</v>
      </c>
      <c r="ME34">
        <v>2</v>
      </c>
      <c r="MF34">
        <v>2</v>
      </c>
      <c r="MG34">
        <v>2</v>
      </c>
      <c r="MH34">
        <v>2</v>
      </c>
      <c r="MI34">
        <v>2</v>
      </c>
      <c r="MJ34">
        <v>2</v>
      </c>
      <c r="MK34">
        <v>2</v>
      </c>
      <c r="ML34">
        <v>2</v>
      </c>
      <c r="MM34">
        <v>2</v>
      </c>
      <c r="MN34">
        <v>2</v>
      </c>
      <c r="MO34">
        <v>2</v>
      </c>
      <c r="MP34">
        <v>2</v>
      </c>
      <c r="MQ34">
        <v>2</v>
      </c>
      <c r="MR34">
        <v>2</v>
      </c>
      <c r="MS34">
        <v>2</v>
      </c>
      <c r="MT34">
        <v>2</v>
      </c>
      <c r="MU34">
        <v>2</v>
      </c>
      <c r="MV34">
        <v>2</v>
      </c>
      <c r="MW34">
        <v>2</v>
      </c>
      <c r="MX34">
        <v>2</v>
      </c>
      <c r="MY34">
        <v>2</v>
      </c>
      <c r="MZ34">
        <v>2</v>
      </c>
      <c r="NA34">
        <v>2</v>
      </c>
      <c r="NB34">
        <v>2</v>
      </c>
      <c r="NC34">
        <v>2</v>
      </c>
      <c r="ND34">
        <v>2</v>
      </c>
      <c r="NE34">
        <v>2</v>
      </c>
      <c r="NF34">
        <v>2</v>
      </c>
      <c r="NG34">
        <v>2</v>
      </c>
      <c r="NH34">
        <v>2</v>
      </c>
      <c r="NI34">
        <v>2</v>
      </c>
      <c r="NJ34">
        <v>2</v>
      </c>
      <c r="NK34">
        <v>2</v>
      </c>
      <c r="NL34">
        <v>2</v>
      </c>
      <c r="NM34">
        <v>2</v>
      </c>
      <c r="NN34">
        <v>2</v>
      </c>
      <c r="NO34">
        <v>2</v>
      </c>
      <c r="NP34">
        <v>2</v>
      </c>
      <c r="NQ34">
        <v>2</v>
      </c>
      <c r="NR34">
        <v>2</v>
      </c>
      <c r="NS34">
        <v>2</v>
      </c>
      <c r="NT34">
        <v>2</v>
      </c>
      <c r="NU34">
        <v>2</v>
      </c>
      <c r="NV34">
        <v>2</v>
      </c>
      <c r="NW34">
        <v>2</v>
      </c>
      <c r="NX34">
        <v>2</v>
      </c>
      <c r="NY34">
        <v>2</v>
      </c>
      <c r="NZ34">
        <v>2</v>
      </c>
      <c r="OA34">
        <v>2</v>
      </c>
      <c r="OB34">
        <v>2</v>
      </c>
      <c r="OC34">
        <v>2</v>
      </c>
      <c r="OD34">
        <v>2</v>
      </c>
      <c r="OE34">
        <v>2</v>
      </c>
      <c r="OF34">
        <v>2</v>
      </c>
      <c r="OG34">
        <v>2</v>
      </c>
      <c r="OH34">
        <v>2</v>
      </c>
      <c r="OI34">
        <v>2</v>
      </c>
      <c r="OJ34">
        <v>2</v>
      </c>
      <c r="OK34">
        <v>2</v>
      </c>
      <c r="OL34">
        <v>2</v>
      </c>
      <c r="OM34">
        <v>2</v>
      </c>
      <c r="ON34">
        <v>2</v>
      </c>
      <c r="OO34">
        <v>2</v>
      </c>
      <c r="OP34">
        <v>2</v>
      </c>
      <c r="OQ34">
        <v>2</v>
      </c>
      <c r="OR34">
        <v>2</v>
      </c>
      <c r="OS34">
        <v>2</v>
      </c>
      <c r="OT34">
        <v>2</v>
      </c>
      <c r="OU34">
        <v>2</v>
      </c>
      <c r="OV34">
        <v>2</v>
      </c>
      <c r="OW34">
        <v>2</v>
      </c>
      <c r="OX34">
        <v>2</v>
      </c>
      <c r="OY34">
        <v>2</v>
      </c>
      <c r="OZ34">
        <v>2</v>
      </c>
      <c r="PA34">
        <v>2</v>
      </c>
      <c r="PB34">
        <v>2</v>
      </c>
      <c r="PC34">
        <v>2</v>
      </c>
      <c r="PD34">
        <v>2</v>
      </c>
      <c r="PE34">
        <v>2</v>
      </c>
      <c r="PF34">
        <v>2</v>
      </c>
      <c r="PG34">
        <v>2</v>
      </c>
      <c r="PH34">
        <v>2</v>
      </c>
      <c r="PI34">
        <v>2</v>
      </c>
      <c r="PJ34">
        <v>2</v>
      </c>
      <c r="PK34">
        <v>2</v>
      </c>
      <c r="PL34">
        <v>2</v>
      </c>
      <c r="PM34">
        <v>2</v>
      </c>
      <c r="PN34">
        <v>2</v>
      </c>
      <c r="PO34">
        <v>2</v>
      </c>
      <c r="PP34">
        <v>2</v>
      </c>
      <c r="PQ34">
        <v>2</v>
      </c>
      <c r="PR34">
        <v>2</v>
      </c>
      <c r="PS34">
        <v>2</v>
      </c>
      <c r="PT34">
        <v>2</v>
      </c>
      <c r="PU34">
        <v>2</v>
      </c>
      <c r="PV34">
        <v>2</v>
      </c>
      <c r="PW34">
        <v>2</v>
      </c>
      <c r="PX34">
        <v>2</v>
      </c>
      <c r="PY34">
        <v>2</v>
      </c>
      <c r="PZ34">
        <v>2</v>
      </c>
      <c r="QA34">
        <v>2</v>
      </c>
      <c r="QB34">
        <v>2</v>
      </c>
      <c r="QC34">
        <v>2</v>
      </c>
      <c r="QD34">
        <v>2</v>
      </c>
      <c r="QE34">
        <v>2</v>
      </c>
      <c r="QF34">
        <v>2</v>
      </c>
      <c r="QG34">
        <v>2</v>
      </c>
      <c r="QH34">
        <v>2</v>
      </c>
      <c r="QI34">
        <v>2</v>
      </c>
      <c r="QJ34">
        <v>2</v>
      </c>
      <c r="QK34">
        <v>2</v>
      </c>
      <c r="QL34">
        <v>2</v>
      </c>
      <c r="QM34">
        <v>2</v>
      </c>
      <c r="QN34">
        <v>2</v>
      </c>
      <c r="QO34">
        <v>2</v>
      </c>
      <c r="QP34">
        <v>2</v>
      </c>
      <c r="QQ34">
        <v>2</v>
      </c>
      <c r="QR34">
        <v>2</v>
      </c>
      <c r="QS34">
        <v>2</v>
      </c>
      <c r="QT34">
        <v>2</v>
      </c>
      <c r="QU34">
        <v>2</v>
      </c>
      <c r="QV34">
        <v>2</v>
      </c>
      <c r="QW34">
        <v>2</v>
      </c>
      <c r="QX34">
        <v>2</v>
      </c>
      <c r="QY34">
        <v>2</v>
      </c>
      <c r="QZ34">
        <v>2</v>
      </c>
      <c r="RA34">
        <v>2</v>
      </c>
      <c r="RB34">
        <v>2</v>
      </c>
      <c r="RC34">
        <v>2</v>
      </c>
      <c r="RD34">
        <v>2</v>
      </c>
      <c r="RE34">
        <v>2</v>
      </c>
      <c r="RF34">
        <v>2</v>
      </c>
      <c r="RG34">
        <v>2</v>
      </c>
      <c r="RH34">
        <v>2</v>
      </c>
      <c r="RI34">
        <v>2</v>
      </c>
      <c r="RJ34">
        <v>2</v>
      </c>
      <c r="RK34">
        <v>2</v>
      </c>
      <c r="RL34">
        <v>2</v>
      </c>
      <c r="RM34">
        <v>2</v>
      </c>
      <c r="RN34">
        <v>2</v>
      </c>
      <c r="RO34">
        <v>2</v>
      </c>
      <c r="RP34">
        <v>2</v>
      </c>
      <c r="RQ34">
        <v>2</v>
      </c>
      <c r="RR34">
        <v>2</v>
      </c>
      <c r="RS34">
        <v>2</v>
      </c>
      <c r="RT34">
        <v>2</v>
      </c>
      <c r="RU34">
        <v>2</v>
      </c>
      <c r="RV34">
        <v>2</v>
      </c>
      <c r="RW34">
        <v>2</v>
      </c>
      <c r="RX34">
        <v>2</v>
      </c>
      <c r="RY34">
        <v>2</v>
      </c>
      <c r="RZ34">
        <v>2</v>
      </c>
      <c r="SA34">
        <v>2</v>
      </c>
      <c r="SB34">
        <v>2</v>
      </c>
      <c r="SC34">
        <v>2</v>
      </c>
      <c r="SD34">
        <v>2</v>
      </c>
      <c r="SE34">
        <v>2</v>
      </c>
      <c r="SF34">
        <v>2</v>
      </c>
      <c r="SG34">
        <v>2</v>
      </c>
      <c r="SH34">
        <v>2</v>
      </c>
      <c r="SI34">
        <v>2</v>
      </c>
      <c r="SJ34">
        <v>2</v>
      </c>
      <c r="SK34">
        <v>2</v>
      </c>
      <c r="SL34">
        <v>2</v>
      </c>
      <c r="SM34">
        <v>2</v>
      </c>
      <c r="SN34">
        <v>2</v>
      </c>
      <c r="SO34">
        <v>2</v>
      </c>
      <c r="SP34">
        <v>2</v>
      </c>
      <c r="SQ34">
        <v>2</v>
      </c>
      <c r="SR34">
        <v>2</v>
      </c>
      <c r="SS34">
        <v>2</v>
      </c>
      <c r="ST34">
        <v>2</v>
      </c>
      <c r="SU34">
        <v>2</v>
      </c>
      <c r="SV34">
        <v>2</v>
      </c>
      <c r="SW34">
        <v>2</v>
      </c>
      <c r="SX34">
        <v>2</v>
      </c>
      <c r="SY34">
        <v>2</v>
      </c>
      <c r="SZ34">
        <v>2</v>
      </c>
      <c r="TA34">
        <v>2</v>
      </c>
      <c r="TB34">
        <v>2</v>
      </c>
      <c r="TC34">
        <v>2</v>
      </c>
      <c r="TD34">
        <v>2</v>
      </c>
      <c r="TE34">
        <v>2</v>
      </c>
      <c r="TF34">
        <v>2</v>
      </c>
      <c r="TG34">
        <v>2</v>
      </c>
      <c r="TH34">
        <v>2</v>
      </c>
      <c r="TI34">
        <v>2</v>
      </c>
      <c r="TJ34">
        <v>2</v>
      </c>
      <c r="TK34">
        <v>2</v>
      </c>
      <c r="TL34">
        <v>2</v>
      </c>
      <c r="TM34">
        <v>2</v>
      </c>
      <c r="TN34">
        <v>2</v>
      </c>
      <c r="TO34">
        <v>2</v>
      </c>
      <c r="TP34">
        <v>2</v>
      </c>
      <c r="TQ34">
        <v>2</v>
      </c>
      <c r="TR34">
        <v>2</v>
      </c>
      <c r="TS34">
        <v>2</v>
      </c>
      <c r="TT34">
        <v>2</v>
      </c>
      <c r="TU34">
        <v>2</v>
      </c>
      <c r="TV34">
        <v>2</v>
      </c>
      <c r="TW34">
        <v>2</v>
      </c>
      <c r="TX34">
        <v>2</v>
      </c>
      <c r="TY34">
        <v>2</v>
      </c>
      <c r="TZ34">
        <v>2</v>
      </c>
      <c r="UA34">
        <v>2</v>
      </c>
      <c r="UB34">
        <v>2</v>
      </c>
      <c r="UC34">
        <v>2</v>
      </c>
      <c r="UD34">
        <v>2</v>
      </c>
      <c r="UE34">
        <v>2</v>
      </c>
      <c r="UF34">
        <v>2</v>
      </c>
      <c r="UG34">
        <v>2</v>
      </c>
      <c r="UH34">
        <v>2</v>
      </c>
      <c r="UI34">
        <v>2</v>
      </c>
      <c r="UJ34">
        <v>2</v>
      </c>
      <c r="UK34">
        <v>2</v>
      </c>
      <c r="UL34">
        <v>2</v>
      </c>
      <c r="UM34">
        <v>2</v>
      </c>
      <c r="UN34">
        <v>2</v>
      </c>
      <c r="UO34">
        <v>2</v>
      </c>
      <c r="UP34">
        <v>2</v>
      </c>
      <c r="UQ34">
        <v>2</v>
      </c>
      <c r="UR34">
        <v>2</v>
      </c>
      <c r="US34">
        <v>2</v>
      </c>
      <c r="UT34">
        <v>2</v>
      </c>
      <c r="UU34">
        <v>2</v>
      </c>
      <c r="UV34">
        <v>2</v>
      </c>
      <c r="UW34">
        <v>2</v>
      </c>
      <c r="UX34">
        <v>2</v>
      </c>
      <c r="UY34">
        <v>2</v>
      </c>
      <c r="UZ34">
        <v>2</v>
      </c>
      <c r="VA34">
        <v>2</v>
      </c>
      <c r="VB34">
        <v>2</v>
      </c>
      <c r="VC34">
        <v>2</v>
      </c>
      <c r="VD34">
        <v>2</v>
      </c>
      <c r="VE34">
        <v>2</v>
      </c>
      <c r="VF34">
        <v>2</v>
      </c>
      <c r="VG34">
        <v>2</v>
      </c>
      <c r="VH34">
        <v>2</v>
      </c>
      <c r="VI34">
        <v>2</v>
      </c>
      <c r="VJ34">
        <v>2</v>
      </c>
      <c r="VK34">
        <v>2</v>
      </c>
      <c r="VL34">
        <v>2</v>
      </c>
      <c r="VM34">
        <v>2</v>
      </c>
      <c r="VN34">
        <v>2</v>
      </c>
      <c r="VO34">
        <v>2</v>
      </c>
      <c r="VP34">
        <v>2</v>
      </c>
      <c r="VQ34">
        <v>2</v>
      </c>
      <c r="VR34">
        <v>2</v>
      </c>
      <c r="VS34">
        <v>2</v>
      </c>
      <c r="VT34">
        <v>2</v>
      </c>
      <c r="VU34">
        <v>2</v>
      </c>
      <c r="VV34">
        <v>2</v>
      </c>
      <c r="VW34">
        <v>2</v>
      </c>
      <c r="VX34">
        <v>2</v>
      </c>
      <c r="VY34">
        <v>2</v>
      </c>
      <c r="VZ34">
        <v>2</v>
      </c>
      <c r="WA34">
        <v>2</v>
      </c>
      <c r="WB34">
        <v>2</v>
      </c>
      <c r="WC34">
        <v>2</v>
      </c>
      <c r="WD34">
        <v>2</v>
      </c>
      <c r="WE34">
        <v>2</v>
      </c>
      <c r="WF34">
        <v>2</v>
      </c>
      <c r="WG34">
        <v>2</v>
      </c>
      <c r="WH34">
        <v>2</v>
      </c>
      <c r="WI34">
        <v>2</v>
      </c>
      <c r="WJ34">
        <v>2</v>
      </c>
      <c r="WK34">
        <v>2</v>
      </c>
      <c r="WL34">
        <v>2</v>
      </c>
      <c r="WM34">
        <v>2</v>
      </c>
      <c r="WN34">
        <v>2</v>
      </c>
      <c r="WO34">
        <v>2</v>
      </c>
      <c r="WP34">
        <v>2</v>
      </c>
      <c r="WQ34">
        <v>2</v>
      </c>
      <c r="WR34">
        <v>2</v>
      </c>
      <c r="WS34">
        <v>2</v>
      </c>
      <c r="WT34">
        <v>2</v>
      </c>
      <c r="WU34">
        <v>2</v>
      </c>
      <c r="WV34">
        <v>2</v>
      </c>
      <c r="WW34">
        <v>2</v>
      </c>
      <c r="WX34">
        <v>2</v>
      </c>
      <c r="WY34">
        <v>2</v>
      </c>
      <c r="WZ34">
        <v>2</v>
      </c>
      <c r="XA34">
        <v>2</v>
      </c>
      <c r="XB34">
        <v>2</v>
      </c>
      <c r="XC34">
        <v>2</v>
      </c>
      <c r="XD34">
        <v>2</v>
      </c>
      <c r="XE34">
        <v>2</v>
      </c>
      <c r="XF34">
        <v>2</v>
      </c>
      <c r="XG34">
        <v>2</v>
      </c>
      <c r="XH34">
        <v>2</v>
      </c>
      <c r="XI34">
        <v>2</v>
      </c>
      <c r="XJ34">
        <v>2</v>
      </c>
      <c r="XK34">
        <v>2</v>
      </c>
      <c r="XL34">
        <v>2</v>
      </c>
      <c r="XM34">
        <v>2</v>
      </c>
      <c r="XN34">
        <v>2</v>
      </c>
      <c r="XO34">
        <v>2</v>
      </c>
      <c r="XP34">
        <v>2</v>
      </c>
      <c r="XQ34">
        <v>2</v>
      </c>
      <c r="XR34">
        <v>2</v>
      </c>
      <c r="XS34">
        <v>2</v>
      </c>
      <c r="XT34">
        <v>2</v>
      </c>
      <c r="XU34">
        <v>2</v>
      </c>
      <c r="XV34">
        <v>2</v>
      </c>
      <c r="XW34">
        <v>2</v>
      </c>
      <c r="XX34">
        <v>2</v>
      </c>
      <c r="XY34">
        <v>2</v>
      </c>
      <c r="XZ34">
        <v>2</v>
      </c>
      <c r="YA34">
        <v>2</v>
      </c>
      <c r="YB34">
        <v>2</v>
      </c>
      <c r="YC34">
        <v>2</v>
      </c>
      <c r="YD34">
        <v>2</v>
      </c>
      <c r="YE34">
        <v>2</v>
      </c>
      <c r="YF34">
        <v>2</v>
      </c>
      <c r="YG34">
        <v>2</v>
      </c>
      <c r="YH34">
        <v>2</v>
      </c>
      <c r="YI34">
        <v>2</v>
      </c>
      <c r="YJ34">
        <v>2</v>
      </c>
      <c r="YK34">
        <v>2</v>
      </c>
      <c r="YL34">
        <v>2</v>
      </c>
      <c r="YM34">
        <v>2</v>
      </c>
      <c r="YN34">
        <v>2</v>
      </c>
      <c r="YO34">
        <v>2</v>
      </c>
      <c r="YP34">
        <v>2</v>
      </c>
      <c r="YQ34">
        <v>2</v>
      </c>
      <c r="YR34">
        <v>2</v>
      </c>
      <c r="YS34">
        <v>2</v>
      </c>
      <c r="YT34">
        <v>2</v>
      </c>
      <c r="YU34">
        <v>2</v>
      </c>
      <c r="YV34">
        <v>2</v>
      </c>
      <c r="YW34">
        <v>2</v>
      </c>
      <c r="YX34">
        <v>2</v>
      </c>
      <c r="YY34">
        <v>2</v>
      </c>
      <c r="YZ34">
        <v>2</v>
      </c>
      <c r="ZA34">
        <v>2</v>
      </c>
      <c r="ZB34">
        <v>2</v>
      </c>
      <c r="ZC34">
        <v>2</v>
      </c>
      <c r="ZD34">
        <v>2</v>
      </c>
      <c r="ZE34">
        <v>2</v>
      </c>
      <c r="ZF34">
        <v>2</v>
      </c>
      <c r="ZG34">
        <v>2</v>
      </c>
      <c r="ZH34">
        <v>2</v>
      </c>
      <c r="ZI34">
        <v>2</v>
      </c>
      <c r="ZJ34">
        <v>2</v>
      </c>
      <c r="ZK34">
        <v>2</v>
      </c>
      <c r="ZL34">
        <v>2</v>
      </c>
      <c r="ZM34">
        <v>2</v>
      </c>
      <c r="ZN34">
        <v>2</v>
      </c>
      <c r="ZO34">
        <v>2</v>
      </c>
      <c r="ZP34">
        <v>2</v>
      </c>
      <c r="ZQ34">
        <v>2</v>
      </c>
      <c r="ZR34">
        <v>2</v>
      </c>
      <c r="ZS34">
        <v>2</v>
      </c>
      <c r="ZT34">
        <v>2</v>
      </c>
      <c r="ZU34">
        <v>2</v>
      </c>
      <c r="ZV34">
        <v>2</v>
      </c>
      <c r="ZW34">
        <v>2</v>
      </c>
      <c r="ZX34">
        <v>2</v>
      </c>
      <c r="ZY34">
        <v>2</v>
      </c>
      <c r="ZZ34">
        <v>2</v>
      </c>
      <c r="AAA34">
        <v>2</v>
      </c>
      <c r="AAB34">
        <v>2</v>
      </c>
      <c r="AAC34">
        <v>2</v>
      </c>
      <c r="AAD34">
        <v>2</v>
      </c>
      <c r="AAE34">
        <v>2</v>
      </c>
      <c r="AAF34">
        <v>2</v>
      </c>
      <c r="AAG34">
        <v>2</v>
      </c>
      <c r="AAH34">
        <v>2</v>
      </c>
      <c r="AAI34">
        <v>2</v>
      </c>
      <c r="AAJ34">
        <v>2</v>
      </c>
      <c r="AAK34">
        <v>2</v>
      </c>
      <c r="AAL34">
        <v>2</v>
      </c>
      <c r="AAM34">
        <v>2</v>
      </c>
      <c r="AAN34">
        <v>2</v>
      </c>
      <c r="AAO34">
        <v>2</v>
      </c>
      <c r="AAP34">
        <v>2</v>
      </c>
      <c r="AAQ34">
        <v>2</v>
      </c>
      <c r="AAR34">
        <v>2</v>
      </c>
      <c r="AAS34">
        <v>2</v>
      </c>
      <c r="AAT34">
        <v>2</v>
      </c>
      <c r="AAU34">
        <v>2</v>
      </c>
      <c r="AAV34">
        <v>2</v>
      </c>
      <c r="AAW34">
        <v>2</v>
      </c>
      <c r="AAX34">
        <v>2</v>
      </c>
      <c r="AAY34">
        <v>2</v>
      </c>
      <c r="AAZ34">
        <v>2</v>
      </c>
      <c r="ABA34">
        <v>2</v>
      </c>
      <c r="ABB34">
        <v>2</v>
      </c>
      <c r="ABC34">
        <v>2</v>
      </c>
      <c r="ABD34">
        <v>2</v>
      </c>
      <c r="ABE34">
        <v>2</v>
      </c>
      <c r="ABG34" s="1137">
        <f t="shared" si="5"/>
        <v>0</v>
      </c>
      <c r="ABH34" s="1137">
        <f t="shared" si="5"/>
        <v>0</v>
      </c>
      <c r="ABI34" s="1137">
        <f t="shared" si="5"/>
        <v>12</v>
      </c>
      <c r="ABJ34" s="1137">
        <f t="shared" si="5"/>
        <v>30</v>
      </c>
      <c r="ABK34" s="1137">
        <f t="shared" si="5"/>
        <v>31</v>
      </c>
      <c r="ABL34" s="1137">
        <f t="shared" si="5"/>
        <v>30</v>
      </c>
      <c r="ABM34" s="1137">
        <f t="shared" si="5"/>
        <v>31</v>
      </c>
      <c r="ABN34" s="1137">
        <f t="shared" si="5"/>
        <v>31</v>
      </c>
      <c r="ABO34" s="1137">
        <f t="shared" si="5"/>
        <v>30</v>
      </c>
      <c r="ABP34" s="1137">
        <f t="shared" si="5"/>
        <v>31</v>
      </c>
      <c r="ABQ34" s="1137">
        <f t="shared" si="5"/>
        <v>30</v>
      </c>
      <c r="ABR34" s="1137">
        <f t="shared" si="5"/>
        <v>31</v>
      </c>
      <c r="ABS34" s="1137">
        <f t="shared" si="5"/>
        <v>31</v>
      </c>
      <c r="ABT34" s="1137">
        <f t="shared" si="5"/>
        <v>28</v>
      </c>
      <c r="ABU34" s="1137">
        <f t="shared" si="5"/>
        <v>31</v>
      </c>
      <c r="ABV34" s="1137">
        <f t="shared" si="5"/>
        <v>30</v>
      </c>
      <c r="ABW34" s="1137">
        <f t="shared" si="7"/>
        <v>31</v>
      </c>
      <c r="ABX34" s="1137">
        <f t="shared" si="7"/>
        <v>30</v>
      </c>
      <c r="ABY34" s="1137">
        <f t="shared" si="7"/>
        <v>31</v>
      </c>
      <c r="ABZ34" s="1137">
        <f t="shared" si="7"/>
        <v>31</v>
      </c>
      <c r="ACA34" s="1137">
        <f t="shared" si="7"/>
        <v>30</v>
      </c>
      <c r="ACB34" s="1137">
        <f t="shared" si="7"/>
        <v>31</v>
      </c>
      <c r="ACC34" s="1137">
        <f t="shared" si="7"/>
        <v>30</v>
      </c>
      <c r="ACD34" s="1137">
        <f t="shared" si="7"/>
        <v>31</v>
      </c>
      <c r="ACE34" s="1137" t="s">
        <v>157</v>
      </c>
      <c r="ACF34" s="1137">
        <f t="shared" si="6"/>
        <v>0</v>
      </c>
      <c r="ACG34" s="1137">
        <f t="shared" si="6"/>
        <v>0</v>
      </c>
      <c r="ACH34" s="1137">
        <f t="shared" si="6"/>
        <v>1</v>
      </c>
      <c r="ACI34" s="1137">
        <f t="shared" si="6"/>
        <v>1</v>
      </c>
      <c r="ACJ34" s="1137">
        <f t="shared" si="6"/>
        <v>1</v>
      </c>
      <c r="ACK34" s="1137">
        <f t="shared" si="6"/>
        <v>1</v>
      </c>
      <c r="ACL34" s="1137">
        <f t="shared" si="6"/>
        <v>1</v>
      </c>
      <c r="ACM34" s="1137">
        <f t="shared" si="6"/>
        <v>1</v>
      </c>
      <c r="ACN34" s="1137">
        <f t="shared" si="6"/>
        <v>1</v>
      </c>
      <c r="ACO34" s="1137">
        <f t="shared" si="6"/>
        <v>1</v>
      </c>
      <c r="ACP34" s="1137">
        <f t="shared" si="6"/>
        <v>1</v>
      </c>
      <c r="ACQ34" s="1137">
        <f t="shared" si="6"/>
        <v>1</v>
      </c>
      <c r="ACR34" s="1137">
        <f t="shared" si="6"/>
        <v>1</v>
      </c>
      <c r="ACS34" s="1137">
        <f t="shared" si="6"/>
        <v>1</v>
      </c>
      <c r="ACT34" s="1137">
        <f t="shared" si="6"/>
        <v>1</v>
      </c>
      <c r="ACU34" s="1137">
        <f t="shared" si="6"/>
        <v>1</v>
      </c>
      <c r="ACV34" s="1137">
        <f t="shared" si="8"/>
        <v>1</v>
      </c>
      <c r="ACW34" s="1137">
        <f t="shared" si="8"/>
        <v>1</v>
      </c>
      <c r="ACX34" s="1137">
        <f t="shared" si="8"/>
        <v>1</v>
      </c>
      <c r="ACY34" s="1137">
        <f t="shared" si="8"/>
        <v>1</v>
      </c>
      <c r="ACZ34" s="1137">
        <f t="shared" si="8"/>
        <v>1</v>
      </c>
      <c r="ADA34" s="1137">
        <f t="shared" si="8"/>
        <v>1</v>
      </c>
      <c r="ADB34" s="1137">
        <f t="shared" si="8"/>
        <v>1</v>
      </c>
      <c r="ADC34" s="1137">
        <f t="shared" si="8"/>
        <v>1</v>
      </c>
    </row>
    <row r="35" spans="1:783" x14ac:dyDescent="0.25">
      <c r="A35" t="s">
        <v>1831</v>
      </c>
      <c r="B35" t="s">
        <v>261</v>
      </c>
      <c r="C35">
        <v>0</v>
      </c>
      <c r="D35">
        <v>0</v>
      </c>
      <c r="E35">
        <v>0</v>
      </c>
      <c r="F35">
        <v>0</v>
      </c>
      <c r="G35">
        <v>0</v>
      </c>
      <c r="H35">
        <v>0</v>
      </c>
      <c r="I35">
        <v>0</v>
      </c>
      <c r="J35">
        <v>0</v>
      </c>
      <c r="K35">
        <v>0</v>
      </c>
      <c r="L35">
        <v>0</v>
      </c>
      <c r="M35">
        <v>0</v>
      </c>
      <c r="N35">
        <v>0</v>
      </c>
      <c r="O35">
        <v>0</v>
      </c>
      <c r="P35">
        <v>0</v>
      </c>
      <c r="Q35">
        <v>0</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0</v>
      </c>
      <c r="AQ35">
        <v>0</v>
      </c>
      <c r="AR35">
        <v>0</v>
      </c>
      <c r="AS35">
        <v>0</v>
      </c>
      <c r="AT35">
        <v>0</v>
      </c>
      <c r="AU35">
        <v>0</v>
      </c>
      <c r="AV35">
        <v>0</v>
      </c>
      <c r="AW35">
        <v>0</v>
      </c>
      <c r="AX35">
        <v>0</v>
      </c>
      <c r="AY35">
        <v>0</v>
      </c>
      <c r="AZ35">
        <v>0</v>
      </c>
      <c r="BA35">
        <v>0</v>
      </c>
      <c r="BB35">
        <v>0</v>
      </c>
      <c r="BC35">
        <v>0</v>
      </c>
      <c r="BD35">
        <v>0</v>
      </c>
      <c r="BE35">
        <v>0</v>
      </c>
      <c r="BF35">
        <v>0</v>
      </c>
      <c r="BG35">
        <v>0</v>
      </c>
      <c r="BH35">
        <v>0</v>
      </c>
      <c r="BI35">
        <v>0</v>
      </c>
      <c r="BJ35">
        <v>0</v>
      </c>
      <c r="BK35">
        <v>0</v>
      </c>
      <c r="BL35">
        <v>0</v>
      </c>
      <c r="BM35">
        <v>0</v>
      </c>
      <c r="BN35">
        <v>0</v>
      </c>
      <c r="BO35">
        <v>0</v>
      </c>
      <c r="BP35">
        <v>0</v>
      </c>
      <c r="BQ35">
        <v>0</v>
      </c>
      <c r="BR35">
        <v>0</v>
      </c>
      <c r="BS35">
        <v>0</v>
      </c>
      <c r="BT35">
        <v>0</v>
      </c>
      <c r="BU35">
        <v>0</v>
      </c>
      <c r="BV35">
        <v>0</v>
      </c>
      <c r="BW35">
        <v>0</v>
      </c>
      <c r="BX35">
        <v>0</v>
      </c>
      <c r="BY35">
        <v>0</v>
      </c>
      <c r="BZ35">
        <v>0</v>
      </c>
      <c r="CA35">
        <v>1</v>
      </c>
      <c r="CB35">
        <v>1</v>
      </c>
      <c r="CC35">
        <v>1</v>
      </c>
      <c r="CD35">
        <v>1</v>
      </c>
      <c r="CE35">
        <v>1</v>
      </c>
      <c r="CF35">
        <v>1</v>
      </c>
      <c r="CG35">
        <v>1</v>
      </c>
      <c r="CH35">
        <v>1</v>
      </c>
      <c r="CI35">
        <v>1</v>
      </c>
      <c r="CJ35">
        <v>1</v>
      </c>
      <c r="CK35">
        <v>1</v>
      </c>
      <c r="CL35">
        <v>1</v>
      </c>
      <c r="CM35">
        <v>1</v>
      </c>
      <c r="CN35">
        <v>1</v>
      </c>
      <c r="CO35">
        <v>1</v>
      </c>
      <c r="CP35">
        <v>1</v>
      </c>
      <c r="CQ35">
        <v>1</v>
      </c>
      <c r="CR35">
        <v>1</v>
      </c>
      <c r="CS35">
        <v>1</v>
      </c>
      <c r="CT35">
        <v>1</v>
      </c>
      <c r="CU35">
        <v>1</v>
      </c>
      <c r="CV35">
        <v>1</v>
      </c>
      <c r="CW35">
        <v>1</v>
      </c>
      <c r="CX35">
        <v>1</v>
      </c>
      <c r="CY35">
        <v>1</v>
      </c>
      <c r="CZ35">
        <v>1</v>
      </c>
      <c r="DA35">
        <v>1</v>
      </c>
      <c r="DB35">
        <v>1</v>
      </c>
      <c r="DC35">
        <v>1</v>
      </c>
      <c r="DD35">
        <v>1</v>
      </c>
      <c r="DE35">
        <v>1</v>
      </c>
      <c r="DF35">
        <v>1</v>
      </c>
      <c r="DG35">
        <v>1</v>
      </c>
      <c r="DH35">
        <v>1</v>
      </c>
      <c r="DI35">
        <v>1</v>
      </c>
      <c r="DJ35">
        <v>1</v>
      </c>
      <c r="DK35">
        <v>1</v>
      </c>
      <c r="DL35">
        <v>1</v>
      </c>
      <c r="DM35">
        <v>1</v>
      </c>
      <c r="DN35">
        <v>1</v>
      </c>
      <c r="DO35">
        <v>1</v>
      </c>
      <c r="DP35">
        <v>1</v>
      </c>
      <c r="DQ35">
        <v>1</v>
      </c>
      <c r="DR35">
        <v>1</v>
      </c>
      <c r="DS35">
        <v>1</v>
      </c>
      <c r="DT35">
        <v>1</v>
      </c>
      <c r="DU35">
        <v>1</v>
      </c>
      <c r="DV35">
        <v>1</v>
      </c>
      <c r="DW35">
        <v>1</v>
      </c>
      <c r="DX35">
        <v>1</v>
      </c>
      <c r="DY35">
        <v>1</v>
      </c>
      <c r="DZ35">
        <v>1</v>
      </c>
      <c r="EA35">
        <v>1</v>
      </c>
      <c r="EB35">
        <v>1</v>
      </c>
      <c r="EC35">
        <v>1</v>
      </c>
      <c r="ED35">
        <v>1</v>
      </c>
      <c r="EE35">
        <v>1</v>
      </c>
      <c r="EF35">
        <v>1</v>
      </c>
      <c r="EG35">
        <v>1</v>
      </c>
      <c r="EH35">
        <v>1</v>
      </c>
      <c r="EI35">
        <v>1</v>
      </c>
      <c r="EJ35">
        <v>1</v>
      </c>
      <c r="EK35">
        <v>1</v>
      </c>
      <c r="EL35">
        <v>1</v>
      </c>
      <c r="EM35">
        <v>1</v>
      </c>
      <c r="EN35">
        <v>1</v>
      </c>
      <c r="EO35">
        <v>1</v>
      </c>
      <c r="EP35">
        <v>1</v>
      </c>
      <c r="EQ35">
        <v>1</v>
      </c>
      <c r="ER35">
        <v>1</v>
      </c>
      <c r="ES35">
        <v>1</v>
      </c>
      <c r="ET35">
        <v>1</v>
      </c>
      <c r="EU35">
        <v>1</v>
      </c>
      <c r="EV35">
        <v>1</v>
      </c>
      <c r="EW35">
        <v>1</v>
      </c>
      <c r="EX35">
        <v>1</v>
      </c>
      <c r="EY35">
        <v>1</v>
      </c>
      <c r="EZ35">
        <v>1</v>
      </c>
      <c r="FA35">
        <v>1</v>
      </c>
      <c r="FB35">
        <v>1</v>
      </c>
      <c r="FC35">
        <v>1</v>
      </c>
      <c r="FD35">
        <v>0</v>
      </c>
      <c r="FE35">
        <v>0</v>
      </c>
      <c r="FF35">
        <v>0</v>
      </c>
      <c r="FG35">
        <v>0</v>
      </c>
      <c r="FH35">
        <v>0</v>
      </c>
      <c r="FI35">
        <v>0</v>
      </c>
      <c r="FJ35">
        <v>0</v>
      </c>
      <c r="FK35">
        <v>0</v>
      </c>
      <c r="FL35">
        <v>0</v>
      </c>
      <c r="FM35">
        <v>0</v>
      </c>
      <c r="FN35">
        <v>0</v>
      </c>
      <c r="FO35">
        <v>0</v>
      </c>
      <c r="FP35">
        <v>0</v>
      </c>
      <c r="FQ35">
        <v>0</v>
      </c>
      <c r="FR35">
        <v>0</v>
      </c>
      <c r="FS35">
        <v>0</v>
      </c>
      <c r="FT35">
        <v>0</v>
      </c>
      <c r="FU35">
        <v>0</v>
      </c>
      <c r="FV35">
        <v>0</v>
      </c>
      <c r="FW35">
        <v>0</v>
      </c>
      <c r="FX35">
        <v>0</v>
      </c>
      <c r="FY35">
        <v>0</v>
      </c>
      <c r="FZ35">
        <v>0</v>
      </c>
      <c r="GA35">
        <v>0</v>
      </c>
      <c r="GB35">
        <v>0</v>
      </c>
      <c r="GC35">
        <v>0</v>
      </c>
      <c r="GD35">
        <v>0</v>
      </c>
      <c r="GE35">
        <v>0</v>
      </c>
      <c r="GF35">
        <v>0</v>
      </c>
      <c r="GG35">
        <v>0</v>
      </c>
      <c r="GH35">
        <v>0</v>
      </c>
      <c r="GI35">
        <v>0</v>
      </c>
      <c r="GJ35">
        <v>0</v>
      </c>
      <c r="GK35">
        <v>0</v>
      </c>
      <c r="GL35">
        <v>0</v>
      </c>
      <c r="GM35">
        <v>0</v>
      </c>
      <c r="GN35">
        <v>0</v>
      </c>
      <c r="GO35">
        <v>0</v>
      </c>
      <c r="GP35">
        <v>0</v>
      </c>
      <c r="GQ35">
        <v>0</v>
      </c>
      <c r="GR35">
        <v>0</v>
      </c>
      <c r="GS35">
        <v>0</v>
      </c>
      <c r="GT35">
        <v>0</v>
      </c>
      <c r="GU35">
        <v>0</v>
      </c>
      <c r="GV35">
        <v>0</v>
      </c>
      <c r="GW35">
        <v>0</v>
      </c>
      <c r="GX35">
        <v>0</v>
      </c>
      <c r="GY35">
        <v>0</v>
      </c>
      <c r="GZ35">
        <v>0</v>
      </c>
      <c r="HA35">
        <v>0</v>
      </c>
      <c r="HB35">
        <v>0</v>
      </c>
      <c r="HC35">
        <v>0</v>
      </c>
      <c r="HD35">
        <v>0</v>
      </c>
      <c r="HE35">
        <v>0</v>
      </c>
      <c r="HF35">
        <v>0</v>
      </c>
      <c r="HG35">
        <v>0</v>
      </c>
      <c r="HH35">
        <v>0</v>
      </c>
      <c r="HI35">
        <v>0</v>
      </c>
      <c r="HJ35">
        <v>0</v>
      </c>
      <c r="HK35">
        <v>0</v>
      </c>
      <c r="HL35">
        <v>0</v>
      </c>
      <c r="HM35">
        <v>0</v>
      </c>
      <c r="HN35">
        <v>0</v>
      </c>
      <c r="HO35">
        <v>0</v>
      </c>
      <c r="HP35">
        <v>0</v>
      </c>
      <c r="HQ35">
        <v>0</v>
      </c>
      <c r="HR35">
        <v>0</v>
      </c>
      <c r="HS35">
        <v>0</v>
      </c>
      <c r="HT35">
        <v>0</v>
      </c>
      <c r="HU35">
        <v>0</v>
      </c>
      <c r="HV35">
        <v>0</v>
      </c>
      <c r="HW35">
        <v>0</v>
      </c>
      <c r="HX35">
        <v>0</v>
      </c>
      <c r="HY35">
        <v>0</v>
      </c>
      <c r="HZ35">
        <v>0</v>
      </c>
      <c r="IA35">
        <v>0</v>
      </c>
      <c r="IB35">
        <v>0</v>
      </c>
      <c r="IC35">
        <v>0</v>
      </c>
      <c r="ID35">
        <v>0</v>
      </c>
      <c r="IE35">
        <v>0</v>
      </c>
      <c r="IF35">
        <v>0</v>
      </c>
      <c r="IG35">
        <v>0</v>
      </c>
      <c r="IH35">
        <v>0</v>
      </c>
      <c r="II35">
        <v>0</v>
      </c>
      <c r="IJ35">
        <v>0</v>
      </c>
      <c r="IK35">
        <v>0</v>
      </c>
      <c r="IL35">
        <v>0</v>
      </c>
      <c r="IM35">
        <v>0</v>
      </c>
      <c r="IN35">
        <v>0</v>
      </c>
      <c r="IO35">
        <v>0</v>
      </c>
      <c r="IP35">
        <v>0</v>
      </c>
      <c r="IQ35">
        <v>0</v>
      </c>
      <c r="IR35">
        <v>0</v>
      </c>
      <c r="IS35">
        <v>0</v>
      </c>
      <c r="IT35">
        <v>0</v>
      </c>
      <c r="IU35">
        <v>0</v>
      </c>
      <c r="IV35">
        <v>0</v>
      </c>
      <c r="IW35">
        <v>0</v>
      </c>
      <c r="IX35">
        <v>0</v>
      </c>
      <c r="IY35">
        <v>0</v>
      </c>
      <c r="IZ35">
        <v>0</v>
      </c>
      <c r="JA35">
        <v>0</v>
      </c>
      <c r="JB35">
        <v>0</v>
      </c>
      <c r="JC35">
        <v>0</v>
      </c>
      <c r="JD35">
        <v>0</v>
      </c>
      <c r="JE35">
        <v>0</v>
      </c>
      <c r="JF35">
        <v>0</v>
      </c>
      <c r="JG35">
        <v>0</v>
      </c>
      <c r="JH35">
        <v>0</v>
      </c>
      <c r="JI35">
        <v>0</v>
      </c>
      <c r="JJ35">
        <v>0</v>
      </c>
      <c r="JK35">
        <v>0</v>
      </c>
      <c r="JL35">
        <v>0</v>
      </c>
      <c r="JM35">
        <v>0</v>
      </c>
      <c r="JN35">
        <v>0</v>
      </c>
      <c r="JO35">
        <v>0</v>
      </c>
      <c r="JP35">
        <v>0</v>
      </c>
      <c r="JQ35">
        <v>0</v>
      </c>
      <c r="JR35">
        <v>0</v>
      </c>
      <c r="JS35">
        <v>0</v>
      </c>
      <c r="JT35">
        <v>0</v>
      </c>
      <c r="JU35">
        <v>0</v>
      </c>
      <c r="JV35">
        <v>0</v>
      </c>
      <c r="JW35">
        <v>0</v>
      </c>
      <c r="JX35">
        <v>0</v>
      </c>
      <c r="JY35">
        <v>0</v>
      </c>
      <c r="JZ35">
        <v>0</v>
      </c>
      <c r="KA35">
        <v>0</v>
      </c>
      <c r="KB35">
        <v>0</v>
      </c>
      <c r="KC35">
        <v>0</v>
      </c>
      <c r="KD35">
        <v>0</v>
      </c>
      <c r="KE35">
        <v>0</v>
      </c>
      <c r="KF35">
        <v>0</v>
      </c>
      <c r="KG35">
        <v>0</v>
      </c>
      <c r="KH35">
        <v>0</v>
      </c>
      <c r="KI35">
        <v>0</v>
      </c>
      <c r="KJ35">
        <v>0</v>
      </c>
      <c r="KK35">
        <v>0</v>
      </c>
      <c r="KL35">
        <v>0</v>
      </c>
      <c r="KM35">
        <v>0</v>
      </c>
      <c r="KN35">
        <v>0</v>
      </c>
      <c r="KO35">
        <v>0</v>
      </c>
      <c r="KP35">
        <v>0</v>
      </c>
      <c r="KQ35">
        <v>0</v>
      </c>
      <c r="KR35">
        <v>0</v>
      </c>
      <c r="KS35">
        <v>0</v>
      </c>
      <c r="KT35">
        <v>0</v>
      </c>
      <c r="KU35">
        <v>0</v>
      </c>
      <c r="KV35">
        <v>0</v>
      </c>
      <c r="KW35">
        <v>0</v>
      </c>
      <c r="KX35">
        <v>0</v>
      </c>
      <c r="KY35">
        <v>0</v>
      </c>
      <c r="KZ35">
        <v>0</v>
      </c>
      <c r="LA35">
        <v>0</v>
      </c>
      <c r="LB35">
        <v>0</v>
      </c>
      <c r="LC35">
        <v>0</v>
      </c>
      <c r="LD35">
        <v>0</v>
      </c>
      <c r="LE35">
        <v>0</v>
      </c>
      <c r="LF35">
        <v>0</v>
      </c>
      <c r="LG35">
        <v>0</v>
      </c>
      <c r="LH35">
        <v>0</v>
      </c>
      <c r="LI35">
        <v>0</v>
      </c>
      <c r="LJ35">
        <v>0</v>
      </c>
      <c r="LK35">
        <v>0</v>
      </c>
      <c r="LL35">
        <v>0</v>
      </c>
      <c r="LM35">
        <v>0</v>
      </c>
      <c r="LN35">
        <v>0</v>
      </c>
      <c r="LO35">
        <v>0</v>
      </c>
      <c r="LP35">
        <v>0</v>
      </c>
      <c r="LQ35">
        <v>0</v>
      </c>
      <c r="LR35">
        <v>0</v>
      </c>
      <c r="LS35">
        <v>0</v>
      </c>
      <c r="LT35">
        <v>0</v>
      </c>
      <c r="LU35">
        <v>0</v>
      </c>
      <c r="LV35">
        <v>0</v>
      </c>
      <c r="LW35">
        <v>0</v>
      </c>
      <c r="LX35">
        <v>0</v>
      </c>
      <c r="LY35">
        <v>0</v>
      </c>
      <c r="LZ35">
        <v>0</v>
      </c>
      <c r="MA35">
        <v>0</v>
      </c>
      <c r="MB35">
        <v>0</v>
      </c>
      <c r="MC35">
        <v>0</v>
      </c>
      <c r="MD35">
        <v>0</v>
      </c>
      <c r="ME35">
        <v>0</v>
      </c>
      <c r="MF35">
        <v>0</v>
      </c>
      <c r="MG35">
        <v>0</v>
      </c>
      <c r="MH35">
        <v>0</v>
      </c>
      <c r="MI35">
        <v>0</v>
      </c>
      <c r="MJ35">
        <v>0</v>
      </c>
      <c r="MK35">
        <v>0</v>
      </c>
      <c r="ML35">
        <v>0</v>
      </c>
      <c r="MM35">
        <v>0</v>
      </c>
      <c r="MN35">
        <v>0</v>
      </c>
      <c r="MO35">
        <v>0</v>
      </c>
      <c r="MP35">
        <v>0</v>
      </c>
      <c r="MQ35">
        <v>0</v>
      </c>
      <c r="MR35">
        <v>0</v>
      </c>
      <c r="MS35">
        <v>0</v>
      </c>
      <c r="MT35">
        <v>0</v>
      </c>
      <c r="MU35">
        <v>0</v>
      </c>
      <c r="MV35">
        <v>0</v>
      </c>
      <c r="MW35">
        <v>0</v>
      </c>
      <c r="MX35">
        <v>0</v>
      </c>
      <c r="MY35">
        <v>0</v>
      </c>
      <c r="MZ35">
        <v>0</v>
      </c>
      <c r="NA35">
        <v>0</v>
      </c>
      <c r="NB35">
        <v>0</v>
      </c>
      <c r="NC35">
        <v>0</v>
      </c>
      <c r="ND35">
        <v>0</v>
      </c>
      <c r="NE35">
        <v>0</v>
      </c>
      <c r="NF35">
        <v>0</v>
      </c>
      <c r="NG35">
        <v>0</v>
      </c>
      <c r="NH35">
        <v>0</v>
      </c>
      <c r="NI35">
        <v>0</v>
      </c>
      <c r="NJ35">
        <v>0</v>
      </c>
      <c r="NK35">
        <v>0</v>
      </c>
      <c r="NL35">
        <v>0</v>
      </c>
      <c r="NM35">
        <v>0</v>
      </c>
      <c r="NN35">
        <v>0</v>
      </c>
      <c r="NO35">
        <v>0</v>
      </c>
      <c r="NP35">
        <v>0</v>
      </c>
      <c r="NQ35">
        <v>0</v>
      </c>
      <c r="NR35">
        <v>0</v>
      </c>
      <c r="NS35">
        <v>0</v>
      </c>
      <c r="NT35">
        <v>0</v>
      </c>
      <c r="NU35">
        <v>0</v>
      </c>
      <c r="NV35">
        <v>0</v>
      </c>
      <c r="NW35">
        <v>0</v>
      </c>
      <c r="NX35">
        <v>0</v>
      </c>
      <c r="NY35">
        <v>0</v>
      </c>
      <c r="NZ35">
        <v>0</v>
      </c>
      <c r="OA35">
        <v>0</v>
      </c>
      <c r="OB35">
        <v>0</v>
      </c>
      <c r="OC35">
        <v>0</v>
      </c>
      <c r="OD35">
        <v>0</v>
      </c>
      <c r="OE35">
        <v>0</v>
      </c>
      <c r="OF35">
        <v>0</v>
      </c>
      <c r="OG35">
        <v>0</v>
      </c>
      <c r="OH35">
        <v>0</v>
      </c>
      <c r="OI35">
        <v>0</v>
      </c>
      <c r="OJ35">
        <v>0</v>
      </c>
      <c r="OK35">
        <v>0</v>
      </c>
      <c r="OL35">
        <v>0</v>
      </c>
      <c r="OM35">
        <v>0</v>
      </c>
      <c r="ON35">
        <v>0</v>
      </c>
      <c r="OO35">
        <v>0</v>
      </c>
      <c r="OP35">
        <v>0</v>
      </c>
      <c r="OQ35">
        <v>0</v>
      </c>
      <c r="OR35">
        <v>0</v>
      </c>
      <c r="OS35">
        <v>0</v>
      </c>
      <c r="OT35">
        <v>0</v>
      </c>
      <c r="OU35">
        <v>0</v>
      </c>
      <c r="OV35">
        <v>0</v>
      </c>
      <c r="OW35">
        <v>0</v>
      </c>
      <c r="OX35">
        <v>0</v>
      </c>
      <c r="OY35">
        <v>0</v>
      </c>
      <c r="OZ35">
        <v>0</v>
      </c>
      <c r="PA35">
        <v>0</v>
      </c>
      <c r="PB35">
        <v>0</v>
      </c>
      <c r="PC35">
        <v>0</v>
      </c>
      <c r="PD35">
        <v>0</v>
      </c>
      <c r="PE35">
        <v>0</v>
      </c>
      <c r="PF35">
        <v>0</v>
      </c>
      <c r="PG35">
        <v>0</v>
      </c>
      <c r="PH35">
        <v>0</v>
      </c>
      <c r="PI35">
        <v>0</v>
      </c>
      <c r="PJ35">
        <v>0</v>
      </c>
      <c r="PK35">
        <v>0</v>
      </c>
      <c r="PL35">
        <v>0</v>
      </c>
      <c r="PM35">
        <v>0</v>
      </c>
      <c r="PN35">
        <v>0</v>
      </c>
      <c r="PO35">
        <v>0</v>
      </c>
      <c r="PP35">
        <v>0</v>
      </c>
      <c r="PQ35">
        <v>0</v>
      </c>
      <c r="PR35">
        <v>0</v>
      </c>
      <c r="PS35">
        <v>0</v>
      </c>
      <c r="PT35">
        <v>0</v>
      </c>
      <c r="PU35">
        <v>0</v>
      </c>
      <c r="PV35">
        <v>0</v>
      </c>
      <c r="PW35">
        <v>0</v>
      </c>
      <c r="PX35">
        <v>0</v>
      </c>
      <c r="PY35">
        <v>0</v>
      </c>
      <c r="PZ35">
        <v>0</v>
      </c>
      <c r="QA35">
        <v>0</v>
      </c>
      <c r="QB35">
        <v>0</v>
      </c>
      <c r="QC35">
        <v>0</v>
      </c>
      <c r="QD35">
        <v>0</v>
      </c>
      <c r="QE35">
        <v>0</v>
      </c>
      <c r="QF35">
        <v>0</v>
      </c>
      <c r="QG35">
        <v>0</v>
      </c>
      <c r="QH35">
        <v>0</v>
      </c>
      <c r="QI35">
        <v>0</v>
      </c>
      <c r="QJ35">
        <v>0</v>
      </c>
      <c r="QK35">
        <v>0</v>
      </c>
      <c r="QL35">
        <v>0</v>
      </c>
      <c r="QM35">
        <v>0</v>
      </c>
      <c r="QN35">
        <v>0</v>
      </c>
      <c r="QO35">
        <v>0</v>
      </c>
      <c r="QP35">
        <v>0</v>
      </c>
      <c r="QQ35">
        <v>0</v>
      </c>
      <c r="QR35">
        <v>0</v>
      </c>
      <c r="QS35">
        <v>0</v>
      </c>
      <c r="QT35">
        <v>0</v>
      </c>
      <c r="QU35">
        <v>0</v>
      </c>
      <c r="QV35">
        <v>0</v>
      </c>
      <c r="QW35">
        <v>0</v>
      </c>
      <c r="QX35">
        <v>0</v>
      </c>
      <c r="QY35">
        <v>0</v>
      </c>
      <c r="QZ35">
        <v>0</v>
      </c>
      <c r="RA35">
        <v>0</v>
      </c>
      <c r="RB35">
        <v>0</v>
      </c>
      <c r="RC35">
        <v>0</v>
      </c>
      <c r="RD35">
        <v>0</v>
      </c>
      <c r="RE35">
        <v>0</v>
      </c>
      <c r="RF35">
        <v>0</v>
      </c>
      <c r="RG35">
        <v>0</v>
      </c>
      <c r="RH35">
        <v>0</v>
      </c>
      <c r="RI35">
        <v>0</v>
      </c>
      <c r="RJ35">
        <v>0</v>
      </c>
      <c r="RK35">
        <v>0</v>
      </c>
      <c r="RL35">
        <v>0</v>
      </c>
      <c r="RM35">
        <v>0</v>
      </c>
      <c r="RN35">
        <v>0</v>
      </c>
      <c r="RO35">
        <v>0</v>
      </c>
      <c r="RP35">
        <v>0</v>
      </c>
      <c r="RQ35">
        <v>0</v>
      </c>
      <c r="RR35">
        <v>0</v>
      </c>
      <c r="RS35">
        <v>0</v>
      </c>
      <c r="RT35">
        <v>0</v>
      </c>
      <c r="RU35">
        <v>0</v>
      </c>
      <c r="RV35">
        <v>0</v>
      </c>
      <c r="RW35">
        <v>0</v>
      </c>
      <c r="RX35">
        <v>0</v>
      </c>
      <c r="RY35">
        <v>0</v>
      </c>
      <c r="RZ35">
        <v>0</v>
      </c>
      <c r="SA35">
        <v>0</v>
      </c>
      <c r="SB35">
        <v>0</v>
      </c>
      <c r="SC35">
        <v>0</v>
      </c>
      <c r="SD35">
        <v>0</v>
      </c>
      <c r="SE35">
        <v>0</v>
      </c>
      <c r="SF35">
        <v>0</v>
      </c>
      <c r="SG35">
        <v>0</v>
      </c>
      <c r="SH35">
        <v>0</v>
      </c>
      <c r="SI35">
        <v>0</v>
      </c>
      <c r="SJ35">
        <v>0</v>
      </c>
      <c r="SK35">
        <v>0</v>
      </c>
      <c r="SL35">
        <v>0</v>
      </c>
      <c r="SM35">
        <v>0</v>
      </c>
      <c r="SN35">
        <v>0</v>
      </c>
      <c r="SO35">
        <v>0</v>
      </c>
      <c r="SP35">
        <v>0</v>
      </c>
      <c r="SQ35">
        <v>0</v>
      </c>
      <c r="SR35">
        <v>0</v>
      </c>
      <c r="SS35">
        <v>0</v>
      </c>
      <c r="ST35">
        <v>0</v>
      </c>
      <c r="SU35">
        <v>0</v>
      </c>
      <c r="SV35">
        <v>0</v>
      </c>
      <c r="SW35">
        <v>0</v>
      </c>
      <c r="SX35">
        <v>0</v>
      </c>
      <c r="SY35">
        <v>0</v>
      </c>
      <c r="SZ35">
        <v>0</v>
      </c>
      <c r="TA35">
        <v>0</v>
      </c>
      <c r="TB35">
        <v>0</v>
      </c>
      <c r="TC35">
        <v>0</v>
      </c>
      <c r="TD35">
        <v>0</v>
      </c>
      <c r="TE35">
        <v>0</v>
      </c>
      <c r="TF35">
        <v>0</v>
      </c>
      <c r="TG35">
        <v>0</v>
      </c>
      <c r="TH35">
        <v>0</v>
      </c>
      <c r="TI35">
        <v>0</v>
      </c>
      <c r="TJ35">
        <v>0</v>
      </c>
      <c r="TK35">
        <v>0</v>
      </c>
      <c r="TL35">
        <v>0</v>
      </c>
      <c r="TM35">
        <v>0</v>
      </c>
      <c r="TN35">
        <v>0</v>
      </c>
      <c r="TO35">
        <v>0</v>
      </c>
      <c r="TP35">
        <v>0</v>
      </c>
      <c r="TQ35">
        <v>0</v>
      </c>
      <c r="TR35">
        <v>0</v>
      </c>
      <c r="TS35">
        <v>0</v>
      </c>
      <c r="TT35">
        <v>0</v>
      </c>
      <c r="TU35">
        <v>0</v>
      </c>
      <c r="TV35">
        <v>0</v>
      </c>
      <c r="TW35">
        <v>0</v>
      </c>
      <c r="TX35">
        <v>0</v>
      </c>
      <c r="TY35">
        <v>0</v>
      </c>
      <c r="TZ35">
        <v>0</v>
      </c>
      <c r="UA35">
        <v>0</v>
      </c>
      <c r="UB35">
        <v>0</v>
      </c>
      <c r="UC35">
        <v>0</v>
      </c>
      <c r="UD35">
        <v>0</v>
      </c>
      <c r="UE35">
        <v>0</v>
      </c>
      <c r="UF35">
        <v>0</v>
      </c>
      <c r="UG35">
        <v>0</v>
      </c>
      <c r="UH35">
        <v>0</v>
      </c>
      <c r="UI35">
        <v>0</v>
      </c>
      <c r="UJ35">
        <v>0</v>
      </c>
      <c r="UK35">
        <v>0</v>
      </c>
      <c r="UL35">
        <v>0</v>
      </c>
      <c r="UM35">
        <v>0</v>
      </c>
      <c r="UN35">
        <v>0</v>
      </c>
      <c r="UO35">
        <v>0</v>
      </c>
      <c r="UP35">
        <v>0</v>
      </c>
      <c r="UQ35">
        <v>0</v>
      </c>
      <c r="UR35">
        <v>0</v>
      </c>
      <c r="US35">
        <v>0</v>
      </c>
      <c r="UT35">
        <v>0</v>
      </c>
      <c r="UU35">
        <v>0</v>
      </c>
      <c r="UV35">
        <v>0</v>
      </c>
      <c r="UW35">
        <v>0</v>
      </c>
      <c r="UX35">
        <v>0</v>
      </c>
      <c r="UY35">
        <v>0</v>
      </c>
      <c r="UZ35">
        <v>0</v>
      </c>
      <c r="VA35">
        <v>0</v>
      </c>
      <c r="VB35">
        <v>0</v>
      </c>
      <c r="VC35">
        <v>0</v>
      </c>
      <c r="VD35">
        <v>0</v>
      </c>
      <c r="VE35">
        <v>0</v>
      </c>
      <c r="VF35">
        <v>0</v>
      </c>
      <c r="VG35">
        <v>0</v>
      </c>
      <c r="VH35">
        <v>0</v>
      </c>
      <c r="VI35">
        <v>0</v>
      </c>
      <c r="VJ35">
        <v>0</v>
      </c>
      <c r="VK35">
        <v>0</v>
      </c>
      <c r="VL35">
        <v>0</v>
      </c>
      <c r="VM35">
        <v>0</v>
      </c>
      <c r="VN35">
        <v>0</v>
      </c>
      <c r="VO35">
        <v>0</v>
      </c>
      <c r="VP35">
        <v>0</v>
      </c>
      <c r="VQ35">
        <v>0</v>
      </c>
      <c r="VR35">
        <v>0</v>
      </c>
      <c r="VS35">
        <v>0</v>
      </c>
      <c r="VT35">
        <v>0</v>
      </c>
      <c r="VU35">
        <v>0</v>
      </c>
      <c r="VV35">
        <v>0</v>
      </c>
      <c r="VW35">
        <v>0</v>
      </c>
      <c r="VX35">
        <v>0</v>
      </c>
      <c r="VY35">
        <v>0</v>
      </c>
      <c r="VZ35">
        <v>0</v>
      </c>
      <c r="WA35">
        <v>0</v>
      </c>
      <c r="WB35">
        <v>0</v>
      </c>
      <c r="WC35">
        <v>0</v>
      </c>
      <c r="WD35">
        <v>0</v>
      </c>
      <c r="WE35">
        <v>0</v>
      </c>
      <c r="WF35">
        <v>0</v>
      </c>
      <c r="WG35">
        <v>0</v>
      </c>
      <c r="WH35">
        <v>0</v>
      </c>
      <c r="WI35">
        <v>0</v>
      </c>
      <c r="WJ35">
        <v>0</v>
      </c>
      <c r="WK35">
        <v>0</v>
      </c>
      <c r="WL35">
        <v>0</v>
      </c>
      <c r="WM35">
        <v>0</v>
      </c>
      <c r="WN35">
        <v>0</v>
      </c>
      <c r="WO35">
        <v>0</v>
      </c>
      <c r="WP35">
        <v>0</v>
      </c>
      <c r="WQ35">
        <v>0</v>
      </c>
      <c r="WR35">
        <v>0</v>
      </c>
      <c r="WS35">
        <v>0</v>
      </c>
      <c r="WT35">
        <v>0</v>
      </c>
      <c r="WU35">
        <v>0</v>
      </c>
      <c r="WV35">
        <v>0</v>
      </c>
      <c r="WW35">
        <v>0</v>
      </c>
      <c r="WX35">
        <v>0</v>
      </c>
      <c r="WY35">
        <v>0</v>
      </c>
      <c r="WZ35">
        <v>0</v>
      </c>
      <c r="XA35">
        <v>0</v>
      </c>
      <c r="XB35">
        <v>0</v>
      </c>
      <c r="XC35">
        <v>0</v>
      </c>
      <c r="XD35">
        <v>0</v>
      </c>
      <c r="XE35">
        <v>0</v>
      </c>
      <c r="XF35">
        <v>0</v>
      </c>
      <c r="XG35">
        <v>0</v>
      </c>
      <c r="XH35">
        <v>0</v>
      </c>
      <c r="XI35">
        <v>0</v>
      </c>
      <c r="XJ35">
        <v>0</v>
      </c>
      <c r="XK35">
        <v>0</v>
      </c>
      <c r="XL35">
        <v>0</v>
      </c>
      <c r="XM35">
        <v>0</v>
      </c>
      <c r="XN35">
        <v>0</v>
      </c>
      <c r="XO35">
        <v>0</v>
      </c>
      <c r="XP35">
        <v>0</v>
      </c>
      <c r="XQ35">
        <v>0</v>
      </c>
      <c r="XR35">
        <v>0</v>
      </c>
      <c r="XS35">
        <v>0</v>
      </c>
      <c r="XT35">
        <v>0</v>
      </c>
      <c r="XU35">
        <v>0</v>
      </c>
      <c r="XV35">
        <v>0</v>
      </c>
      <c r="XW35">
        <v>0</v>
      </c>
      <c r="XX35">
        <v>0</v>
      </c>
      <c r="XY35">
        <v>0</v>
      </c>
      <c r="XZ35">
        <v>0</v>
      </c>
      <c r="YA35">
        <v>0</v>
      </c>
      <c r="YB35">
        <v>0</v>
      </c>
      <c r="YC35">
        <v>0</v>
      </c>
      <c r="YD35">
        <v>0</v>
      </c>
      <c r="YE35">
        <v>0</v>
      </c>
      <c r="YF35">
        <v>0</v>
      </c>
      <c r="YG35">
        <v>0</v>
      </c>
      <c r="YH35">
        <v>0</v>
      </c>
      <c r="YI35">
        <v>0</v>
      </c>
      <c r="YJ35">
        <v>0</v>
      </c>
      <c r="YK35">
        <v>0</v>
      </c>
      <c r="YL35">
        <v>0</v>
      </c>
      <c r="YM35">
        <v>0</v>
      </c>
      <c r="YN35">
        <v>0</v>
      </c>
      <c r="YO35">
        <v>0</v>
      </c>
      <c r="YP35">
        <v>0</v>
      </c>
      <c r="YQ35">
        <v>0</v>
      </c>
      <c r="YR35">
        <v>0</v>
      </c>
      <c r="YS35">
        <v>0</v>
      </c>
      <c r="YT35">
        <v>0</v>
      </c>
      <c r="YU35">
        <v>0</v>
      </c>
      <c r="YV35">
        <v>0</v>
      </c>
      <c r="YW35">
        <v>0</v>
      </c>
      <c r="YX35">
        <v>0</v>
      </c>
      <c r="YY35">
        <v>0</v>
      </c>
      <c r="YZ35">
        <v>0</v>
      </c>
      <c r="ZA35">
        <v>0</v>
      </c>
      <c r="ZB35">
        <v>0</v>
      </c>
      <c r="ZC35">
        <v>0</v>
      </c>
      <c r="ZD35">
        <v>0</v>
      </c>
      <c r="ZE35">
        <v>0</v>
      </c>
      <c r="ZF35">
        <v>0</v>
      </c>
      <c r="ZG35">
        <v>0</v>
      </c>
      <c r="ZH35">
        <v>0</v>
      </c>
      <c r="ZI35">
        <v>0</v>
      </c>
      <c r="ZJ35">
        <v>0</v>
      </c>
      <c r="ZK35">
        <v>0</v>
      </c>
      <c r="ZL35">
        <v>0</v>
      </c>
      <c r="ZM35">
        <v>0</v>
      </c>
      <c r="ZN35">
        <v>0</v>
      </c>
      <c r="ZO35">
        <v>0</v>
      </c>
      <c r="ZP35">
        <v>0</v>
      </c>
      <c r="ZQ35">
        <v>0</v>
      </c>
      <c r="ZR35">
        <v>0</v>
      </c>
      <c r="ZS35">
        <v>0</v>
      </c>
      <c r="ZT35">
        <v>0</v>
      </c>
      <c r="ZU35">
        <v>0</v>
      </c>
      <c r="ZV35">
        <v>0</v>
      </c>
      <c r="ZW35">
        <v>0</v>
      </c>
      <c r="ZX35">
        <v>0</v>
      </c>
      <c r="ZY35">
        <v>0</v>
      </c>
      <c r="ZZ35">
        <v>0</v>
      </c>
      <c r="AAA35">
        <v>0</v>
      </c>
      <c r="AAB35">
        <v>0</v>
      </c>
      <c r="AAC35">
        <v>0</v>
      </c>
      <c r="AAD35">
        <v>0</v>
      </c>
      <c r="AAE35">
        <v>0</v>
      </c>
      <c r="AAF35">
        <v>0</v>
      </c>
      <c r="AAG35">
        <v>0</v>
      </c>
      <c r="AAH35">
        <v>0</v>
      </c>
      <c r="AAI35">
        <v>0</v>
      </c>
      <c r="AAJ35">
        <v>0</v>
      </c>
      <c r="AAK35">
        <v>0</v>
      </c>
      <c r="AAL35">
        <v>0</v>
      </c>
      <c r="AAM35">
        <v>0</v>
      </c>
      <c r="AAN35">
        <v>0</v>
      </c>
      <c r="AAO35">
        <v>0</v>
      </c>
      <c r="AAP35">
        <v>0</v>
      </c>
      <c r="AAQ35">
        <v>0</v>
      </c>
      <c r="AAR35">
        <v>0</v>
      </c>
      <c r="AAS35">
        <v>0</v>
      </c>
      <c r="AAT35">
        <v>0</v>
      </c>
      <c r="AAU35">
        <v>0</v>
      </c>
      <c r="AAV35">
        <v>0</v>
      </c>
      <c r="AAW35">
        <v>0</v>
      </c>
      <c r="AAX35">
        <v>0</v>
      </c>
      <c r="AAY35">
        <v>0</v>
      </c>
      <c r="AAZ35">
        <v>0</v>
      </c>
      <c r="ABA35">
        <v>0</v>
      </c>
      <c r="ABB35">
        <v>0</v>
      </c>
      <c r="ABC35">
        <v>0</v>
      </c>
      <c r="ABD35">
        <v>0</v>
      </c>
      <c r="ABE35">
        <v>0</v>
      </c>
      <c r="ABG35" s="1137">
        <f t="shared" si="5"/>
        <v>0</v>
      </c>
      <c r="ABH35" s="1137">
        <f t="shared" si="5"/>
        <v>0</v>
      </c>
      <c r="ABI35" s="1137">
        <f t="shared" si="5"/>
        <v>15</v>
      </c>
      <c r="ABJ35" s="1137">
        <f t="shared" si="5"/>
        <v>30</v>
      </c>
      <c r="ABK35" s="1137">
        <f t="shared" si="5"/>
        <v>31</v>
      </c>
      <c r="ABL35" s="1137">
        <f t="shared" si="5"/>
        <v>5</v>
      </c>
      <c r="ABM35" s="1137">
        <f t="shared" si="5"/>
        <v>0</v>
      </c>
      <c r="ABN35" s="1137">
        <f t="shared" si="5"/>
        <v>0</v>
      </c>
      <c r="ABO35" s="1137">
        <f t="shared" si="5"/>
        <v>0</v>
      </c>
      <c r="ABP35" s="1137">
        <f t="shared" si="5"/>
        <v>0</v>
      </c>
      <c r="ABQ35" s="1137">
        <f t="shared" si="5"/>
        <v>0</v>
      </c>
      <c r="ABR35" s="1137">
        <f t="shared" si="5"/>
        <v>0</v>
      </c>
      <c r="ABS35" s="1137">
        <f t="shared" si="5"/>
        <v>0</v>
      </c>
      <c r="ABT35" s="1137">
        <f t="shared" si="5"/>
        <v>0</v>
      </c>
      <c r="ABU35" s="1137">
        <f t="shared" si="5"/>
        <v>0</v>
      </c>
      <c r="ABV35" s="1137">
        <f t="shared" si="5"/>
        <v>0</v>
      </c>
      <c r="ABW35" s="1137">
        <f t="shared" si="7"/>
        <v>0</v>
      </c>
      <c r="ABX35" s="1137">
        <f t="shared" si="7"/>
        <v>0</v>
      </c>
      <c r="ABY35" s="1137">
        <f t="shared" si="7"/>
        <v>0</v>
      </c>
      <c r="ABZ35" s="1137">
        <f t="shared" si="7"/>
        <v>0</v>
      </c>
      <c r="ACA35" s="1137">
        <f t="shared" si="7"/>
        <v>0</v>
      </c>
      <c r="ACB35" s="1137">
        <f t="shared" si="7"/>
        <v>0</v>
      </c>
      <c r="ACC35" s="1137">
        <f t="shared" si="7"/>
        <v>0</v>
      </c>
      <c r="ACD35" s="1137">
        <f t="shared" si="7"/>
        <v>0</v>
      </c>
      <c r="ACE35" s="1137" t="s">
        <v>261</v>
      </c>
      <c r="ACF35" s="1137">
        <f t="shared" si="6"/>
        <v>0</v>
      </c>
      <c r="ACG35" s="1137">
        <f t="shared" si="6"/>
        <v>0</v>
      </c>
      <c r="ACH35" s="1137">
        <f t="shared" si="6"/>
        <v>1</v>
      </c>
      <c r="ACI35" s="1137">
        <f t="shared" si="6"/>
        <v>1</v>
      </c>
      <c r="ACJ35" s="1137">
        <f t="shared" si="6"/>
        <v>1</v>
      </c>
      <c r="ACK35" s="1137">
        <f t="shared" si="6"/>
        <v>0</v>
      </c>
      <c r="ACL35" s="1137">
        <f t="shared" si="6"/>
        <v>0</v>
      </c>
      <c r="ACM35" s="1137">
        <f t="shared" si="6"/>
        <v>0</v>
      </c>
      <c r="ACN35" s="1137">
        <f t="shared" si="6"/>
        <v>0</v>
      </c>
      <c r="ACO35" s="1137">
        <f t="shared" si="6"/>
        <v>0</v>
      </c>
      <c r="ACP35" s="1137">
        <f t="shared" si="6"/>
        <v>0</v>
      </c>
      <c r="ACQ35" s="1137">
        <f t="shared" si="6"/>
        <v>0</v>
      </c>
      <c r="ACR35" s="1137">
        <f t="shared" si="6"/>
        <v>0</v>
      </c>
      <c r="ACS35" s="1137">
        <f t="shared" si="6"/>
        <v>0</v>
      </c>
      <c r="ACT35" s="1137">
        <f t="shared" si="6"/>
        <v>0</v>
      </c>
      <c r="ACU35" s="1137">
        <f t="shared" si="6"/>
        <v>0</v>
      </c>
      <c r="ACV35" s="1137">
        <f t="shared" si="8"/>
        <v>0</v>
      </c>
      <c r="ACW35" s="1137">
        <f t="shared" si="8"/>
        <v>0</v>
      </c>
      <c r="ACX35" s="1137">
        <f t="shared" si="8"/>
        <v>0</v>
      </c>
      <c r="ACY35" s="1137">
        <f t="shared" si="8"/>
        <v>0</v>
      </c>
      <c r="ACZ35" s="1137">
        <f t="shared" si="8"/>
        <v>0</v>
      </c>
      <c r="ADA35" s="1137">
        <f t="shared" si="8"/>
        <v>0</v>
      </c>
      <c r="ADB35" s="1137">
        <f t="shared" si="8"/>
        <v>0</v>
      </c>
      <c r="ADC35" s="1137">
        <f t="shared" si="8"/>
        <v>0</v>
      </c>
    </row>
    <row r="36" spans="1:783" x14ac:dyDescent="0.25">
      <c r="A36" t="s">
        <v>1832</v>
      </c>
      <c r="B36" t="s">
        <v>159</v>
      </c>
      <c r="C36">
        <v>0</v>
      </c>
      <c r="D36">
        <v>0</v>
      </c>
      <c r="E36">
        <v>0</v>
      </c>
      <c r="F36">
        <v>0</v>
      </c>
      <c r="G36">
        <v>0</v>
      </c>
      <c r="H36">
        <v>0</v>
      </c>
      <c r="I36">
        <v>0</v>
      </c>
      <c r="J36">
        <v>0</v>
      </c>
      <c r="K36">
        <v>0</v>
      </c>
      <c r="L36">
        <v>0</v>
      </c>
      <c r="M36">
        <v>0</v>
      </c>
      <c r="N36">
        <v>0</v>
      </c>
      <c r="O36">
        <v>0</v>
      </c>
      <c r="P36">
        <v>0</v>
      </c>
      <c r="Q36">
        <v>0</v>
      </c>
      <c r="R36">
        <v>0</v>
      </c>
      <c r="S36">
        <v>0</v>
      </c>
      <c r="T36">
        <v>0</v>
      </c>
      <c r="U36">
        <v>0</v>
      </c>
      <c r="V36">
        <v>0</v>
      </c>
      <c r="W36">
        <v>0</v>
      </c>
      <c r="X36">
        <v>0</v>
      </c>
      <c r="Y36">
        <v>0</v>
      </c>
      <c r="Z36">
        <v>0</v>
      </c>
      <c r="AA36">
        <v>0</v>
      </c>
      <c r="AB36">
        <v>0</v>
      </c>
      <c r="AC36">
        <v>0</v>
      </c>
      <c r="AD36">
        <v>0</v>
      </c>
      <c r="AE36">
        <v>0</v>
      </c>
      <c r="AF36">
        <v>0</v>
      </c>
      <c r="AG36">
        <v>0</v>
      </c>
      <c r="AH36">
        <v>0</v>
      </c>
      <c r="AI36">
        <v>0</v>
      </c>
      <c r="AJ36">
        <v>0</v>
      </c>
      <c r="AK36">
        <v>0</v>
      </c>
      <c r="AL36">
        <v>0</v>
      </c>
      <c r="AM36">
        <v>0</v>
      </c>
      <c r="AN36">
        <v>0</v>
      </c>
      <c r="AO36">
        <v>0</v>
      </c>
      <c r="AP36">
        <v>0</v>
      </c>
      <c r="AQ36">
        <v>0</v>
      </c>
      <c r="AR36">
        <v>0</v>
      </c>
      <c r="AS36">
        <v>0</v>
      </c>
      <c r="AT36">
        <v>0</v>
      </c>
      <c r="AU36">
        <v>0</v>
      </c>
      <c r="AV36">
        <v>0</v>
      </c>
      <c r="AW36">
        <v>0</v>
      </c>
      <c r="AX36">
        <v>0</v>
      </c>
      <c r="AY36">
        <v>0</v>
      </c>
      <c r="AZ36">
        <v>0</v>
      </c>
      <c r="BA36">
        <v>0</v>
      </c>
      <c r="BB36">
        <v>0</v>
      </c>
      <c r="BC36">
        <v>0</v>
      </c>
      <c r="BD36">
        <v>0</v>
      </c>
      <c r="BE36">
        <v>0</v>
      </c>
      <c r="BF36">
        <v>0</v>
      </c>
      <c r="BG36">
        <v>0</v>
      </c>
      <c r="BH36">
        <v>0</v>
      </c>
      <c r="BI36">
        <v>0</v>
      </c>
      <c r="BJ36">
        <v>0</v>
      </c>
      <c r="BK36">
        <v>0</v>
      </c>
      <c r="BL36">
        <v>0</v>
      </c>
      <c r="BM36">
        <v>0</v>
      </c>
      <c r="BN36">
        <v>0</v>
      </c>
      <c r="BO36">
        <v>0</v>
      </c>
      <c r="BP36">
        <v>0</v>
      </c>
      <c r="BQ36">
        <v>0</v>
      </c>
      <c r="BR36">
        <v>0</v>
      </c>
      <c r="BS36">
        <v>0</v>
      </c>
      <c r="BT36">
        <v>0</v>
      </c>
      <c r="BU36">
        <v>0</v>
      </c>
      <c r="BV36">
        <v>0</v>
      </c>
      <c r="BW36">
        <v>0</v>
      </c>
      <c r="BX36">
        <v>0</v>
      </c>
      <c r="BY36">
        <v>0</v>
      </c>
      <c r="BZ36">
        <v>0</v>
      </c>
      <c r="CA36">
        <v>0</v>
      </c>
      <c r="CB36">
        <v>0</v>
      </c>
      <c r="CC36">
        <v>0</v>
      </c>
      <c r="CD36">
        <v>0</v>
      </c>
      <c r="CE36">
        <v>0</v>
      </c>
      <c r="CF36">
        <v>0</v>
      </c>
      <c r="CG36">
        <v>0</v>
      </c>
      <c r="CH36">
        <v>0</v>
      </c>
      <c r="CI36">
        <v>2</v>
      </c>
      <c r="CJ36">
        <v>2</v>
      </c>
      <c r="CK36">
        <v>2</v>
      </c>
      <c r="CL36">
        <v>2</v>
      </c>
      <c r="CM36">
        <v>2</v>
      </c>
      <c r="CN36">
        <v>2</v>
      </c>
      <c r="CO36">
        <v>2</v>
      </c>
      <c r="CP36">
        <v>2</v>
      </c>
      <c r="CQ36">
        <v>2</v>
      </c>
      <c r="CR36">
        <v>2</v>
      </c>
      <c r="CS36">
        <v>2</v>
      </c>
      <c r="CT36">
        <v>2</v>
      </c>
      <c r="CU36">
        <v>2</v>
      </c>
      <c r="CV36">
        <v>2</v>
      </c>
      <c r="CW36">
        <v>2</v>
      </c>
      <c r="CX36">
        <v>2</v>
      </c>
      <c r="CY36">
        <v>2</v>
      </c>
      <c r="CZ36">
        <v>2</v>
      </c>
      <c r="DA36">
        <v>2</v>
      </c>
      <c r="DB36">
        <v>2</v>
      </c>
      <c r="DC36">
        <v>2</v>
      </c>
      <c r="DD36">
        <v>2</v>
      </c>
      <c r="DE36">
        <v>2</v>
      </c>
      <c r="DF36">
        <v>2</v>
      </c>
      <c r="DG36">
        <v>2</v>
      </c>
      <c r="DH36">
        <v>2</v>
      </c>
      <c r="DI36">
        <v>2</v>
      </c>
      <c r="DJ36">
        <v>2</v>
      </c>
      <c r="DK36">
        <v>2</v>
      </c>
      <c r="DL36">
        <v>2</v>
      </c>
      <c r="DM36">
        <v>2</v>
      </c>
      <c r="DN36">
        <v>2</v>
      </c>
      <c r="DO36">
        <v>2</v>
      </c>
      <c r="DP36">
        <v>2</v>
      </c>
      <c r="DQ36">
        <v>2</v>
      </c>
      <c r="DR36">
        <v>2</v>
      </c>
      <c r="DS36">
        <v>2</v>
      </c>
      <c r="DT36">
        <v>2</v>
      </c>
      <c r="DU36">
        <v>2</v>
      </c>
      <c r="DV36">
        <v>2</v>
      </c>
      <c r="DW36">
        <v>2</v>
      </c>
      <c r="DX36">
        <v>2</v>
      </c>
      <c r="DY36">
        <v>2</v>
      </c>
      <c r="DZ36">
        <v>2</v>
      </c>
      <c r="EA36">
        <v>2</v>
      </c>
      <c r="EB36">
        <v>2</v>
      </c>
      <c r="EC36">
        <v>2</v>
      </c>
      <c r="ED36">
        <v>2</v>
      </c>
      <c r="EE36">
        <v>2</v>
      </c>
      <c r="EF36">
        <v>2</v>
      </c>
      <c r="EG36">
        <v>2</v>
      </c>
      <c r="EH36">
        <v>2</v>
      </c>
      <c r="EI36">
        <v>2</v>
      </c>
      <c r="EJ36">
        <v>2</v>
      </c>
      <c r="EK36">
        <v>2</v>
      </c>
      <c r="EL36">
        <v>2</v>
      </c>
      <c r="EM36">
        <v>2</v>
      </c>
      <c r="EN36">
        <v>2</v>
      </c>
      <c r="EO36">
        <v>2</v>
      </c>
      <c r="EP36">
        <v>2</v>
      </c>
      <c r="EQ36">
        <v>2</v>
      </c>
      <c r="ER36">
        <v>2</v>
      </c>
      <c r="ES36">
        <v>2</v>
      </c>
      <c r="ET36">
        <v>2</v>
      </c>
      <c r="EU36">
        <v>2</v>
      </c>
      <c r="EV36">
        <v>2</v>
      </c>
      <c r="EW36">
        <v>2</v>
      </c>
      <c r="EX36">
        <v>2</v>
      </c>
      <c r="EY36">
        <v>2</v>
      </c>
      <c r="EZ36">
        <v>2</v>
      </c>
      <c r="FA36">
        <v>2</v>
      </c>
      <c r="FB36">
        <v>2</v>
      </c>
      <c r="FC36">
        <v>2</v>
      </c>
      <c r="FD36">
        <v>2</v>
      </c>
      <c r="FE36">
        <v>2</v>
      </c>
      <c r="FF36">
        <v>2</v>
      </c>
      <c r="FG36">
        <v>2</v>
      </c>
      <c r="FH36">
        <v>2</v>
      </c>
      <c r="FI36">
        <v>2</v>
      </c>
      <c r="FJ36">
        <v>2</v>
      </c>
      <c r="FK36">
        <v>2</v>
      </c>
      <c r="FL36">
        <v>2</v>
      </c>
      <c r="FM36">
        <v>2</v>
      </c>
      <c r="FN36">
        <v>2</v>
      </c>
      <c r="FO36">
        <v>2</v>
      </c>
      <c r="FP36">
        <v>2</v>
      </c>
      <c r="FQ36">
        <v>2</v>
      </c>
      <c r="FR36">
        <v>2</v>
      </c>
      <c r="FS36">
        <v>2</v>
      </c>
      <c r="FT36">
        <v>2</v>
      </c>
      <c r="FU36">
        <v>2</v>
      </c>
      <c r="FV36">
        <v>2</v>
      </c>
      <c r="FW36">
        <v>2</v>
      </c>
      <c r="FX36">
        <v>2</v>
      </c>
      <c r="FY36">
        <v>2</v>
      </c>
      <c r="FZ36">
        <v>2</v>
      </c>
      <c r="GA36">
        <v>2</v>
      </c>
      <c r="GB36">
        <v>2</v>
      </c>
      <c r="GC36">
        <v>2</v>
      </c>
      <c r="GD36">
        <v>2</v>
      </c>
      <c r="GE36">
        <v>2</v>
      </c>
      <c r="GF36">
        <v>2</v>
      </c>
      <c r="GG36">
        <v>2</v>
      </c>
      <c r="GH36">
        <v>2</v>
      </c>
      <c r="GI36">
        <v>2</v>
      </c>
      <c r="GJ36">
        <v>2</v>
      </c>
      <c r="GK36">
        <v>2</v>
      </c>
      <c r="GL36">
        <v>2</v>
      </c>
      <c r="GM36">
        <v>2</v>
      </c>
      <c r="GN36">
        <v>2</v>
      </c>
      <c r="GO36">
        <v>2</v>
      </c>
      <c r="GP36">
        <v>2</v>
      </c>
      <c r="GQ36">
        <v>2</v>
      </c>
      <c r="GR36">
        <v>2</v>
      </c>
      <c r="GS36">
        <v>2</v>
      </c>
      <c r="GT36">
        <v>2</v>
      </c>
      <c r="GU36">
        <v>2</v>
      </c>
      <c r="GV36">
        <v>2</v>
      </c>
      <c r="GW36">
        <v>2</v>
      </c>
      <c r="GX36">
        <v>2</v>
      </c>
      <c r="GY36">
        <v>2</v>
      </c>
      <c r="GZ36">
        <v>2</v>
      </c>
      <c r="HA36">
        <v>2</v>
      </c>
      <c r="HB36">
        <v>2</v>
      </c>
      <c r="HC36">
        <v>2</v>
      </c>
      <c r="HD36">
        <v>2</v>
      </c>
      <c r="HE36">
        <v>2</v>
      </c>
      <c r="HF36">
        <v>2</v>
      </c>
      <c r="HG36">
        <v>2</v>
      </c>
      <c r="HH36">
        <v>2</v>
      </c>
      <c r="HI36">
        <v>2</v>
      </c>
      <c r="HJ36">
        <v>2</v>
      </c>
      <c r="HK36">
        <v>2</v>
      </c>
      <c r="HL36">
        <v>2</v>
      </c>
      <c r="HM36">
        <v>2</v>
      </c>
      <c r="HN36">
        <v>2</v>
      </c>
      <c r="HO36">
        <v>2</v>
      </c>
      <c r="HP36">
        <v>2</v>
      </c>
      <c r="HQ36">
        <v>2</v>
      </c>
      <c r="HR36">
        <v>2</v>
      </c>
      <c r="HS36">
        <v>2</v>
      </c>
      <c r="HT36">
        <v>2</v>
      </c>
      <c r="HU36">
        <v>2</v>
      </c>
      <c r="HV36">
        <v>2</v>
      </c>
      <c r="HW36">
        <v>2</v>
      </c>
      <c r="HX36">
        <v>2</v>
      </c>
      <c r="HY36">
        <v>2</v>
      </c>
      <c r="HZ36">
        <v>2</v>
      </c>
      <c r="IA36">
        <v>2</v>
      </c>
      <c r="IB36">
        <v>2</v>
      </c>
      <c r="IC36">
        <v>2</v>
      </c>
      <c r="ID36">
        <v>2</v>
      </c>
      <c r="IE36">
        <v>2</v>
      </c>
      <c r="IF36">
        <v>2</v>
      </c>
      <c r="IG36">
        <v>2</v>
      </c>
      <c r="IH36">
        <v>2</v>
      </c>
      <c r="II36">
        <v>2</v>
      </c>
      <c r="IJ36">
        <v>2</v>
      </c>
      <c r="IK36">
        <v>2</v>
      </c>
      <c r="IL36">
        <v>2</v>
      </c>
      <c r="IM36">
        <v>2</v>
      </c>
      <c r="IN36">
        <v>2</v>
      </c>
      <c r="IO36">
        <v>2</v>
      </c>
      <c r="IP36">
        <v>2</v>
      </c>
      <c r="IQ36">
        <v>2</v>
      </c>
      <c r="IR36">
        <v>2</v>
      </c>
      <c r="IS36">
        <v>2</v>
      </c>
      <c r="IT36">
        <v>2</v>
      </c>
      <c r="IU36">
        <v>2</v>
      </c>
      <c r="IV36">
        <v>2</v>
      </c>
      <c r="IW36">
        <v>2</v>
      </c>
      <c r="IX36">
        <v>2</v>
      </c>
      <c r="IY36">
        <v>2</v>
      </c>
      <c r="IZ36">
        <v>2</v>
      </c>
      <c r="JA36">
        <v>2</v>
      </c>
      <c r="JB36">
        <v>2</v>
      </c>
      <c r="JC36">
        <v>2</v>
      </c>
      <c r="JD36">
        <v>2</v>
      </c>
      <c r="JE36">
        <v>2</v>
      </c>
      <c r="JF36">
        <v>2</v>
      </c>
      <c r="JG36">
        <v>2</v>
      </c>
      <c r="JH36">
        <v>2</v>
      </c>
      <c r="JI36">
        <v>2</v>
      </c>
      <c r="JJ36">
        <v>2</v>
      </c>
      <c r="JK36">
        <v>2</v>
      </c>
      <c r="JL36">
        <v>2</v>
      </c>
      <c r="JM36">
        <v>2</v>
      </c>
      <c r="JN36">
        <v>2</v>
      </c>
      <c r="JO36">
        <v>2</v>
      </c>
      <c r="JP36">
        <v>2</v>
      </c>
      <c r="JQ36">
        <v>2</v>
      </c>
      <c r="JR36">
        <v>2</v>
      </c>
      <c r="JS36">
        <v>2</v>
      </c>
      <c r="JT36">
        <v>2</v>
      </c>
      <c r="JU36">
        <v>2</v>
      </c>
      <c r="JV36">
        <v>2</v>
      </c>
      <c r="JW36">
        <v>2</v>
      </c>
      <c r="JX36">
        <v>2</v>
      </c>
      <c r="JY36">
        <v>2</v>
      </c>
      <c r="JZ36">
        <v>2</v>
      </c>
      <c r="KA36">
        <v>2</v>
      </c>
      <c r="KB36">
        <v>2</v>
      </c>
      <c r="KC36">
        <v>2</v>
      </c>
      <c r="KD36">
        <v>2</v>
      </c>
      <c r="KE36">
        <v>2</v>
      </c>
      <c r="KF36">
        <v>2</v>
      </c>
      <c r="KG36">
        <v>2</v>
      </c>
      <c r="KH36">
        <v>2</v>
      </c>
      <c r="KI36">
        <v>2</v>
      </c>
      <c r="KJ36">
        <v>2</v>
      </c>
      <c r="KK36">
        <v>2</v>
      </c>
      <c r="KL36">
        <v>2</v>
      </c>
      <c r="KM36">
        <v>2</v>
      </c>
      <c r="KN36">
        <v>2</v>
      </c>
      <c r="KO36">
        <v>2</v>
      </c>
      <c r="KP36">
        <v>2</v>
      </c>
      <c r="KQ36">
        <v>2</v>
      </c>
      <c r="KR36">
        <v>2</v>
      </c>
      <c r="KS36">
        <v>2</v>
      </c>
      <c r="KT36">
        <v>2</v>
      </c>
      <c r="KU36">
        <v>2</v>
      </c>
      <c r="KV36">
        <v>2</v>
      </c>
      <c r="KW36">
        <v>2</v>
      </c>
      <c r="KX36">
        <v>2</v>
      </c>
      <c r="KY36">
        <v>2</v>
      </c>
      <c r="KZ36">
        <v>2</v>
      </c>
      <c r="LA36">
        <v>2</v>
      </c>
      <c r="LB36">
        <v>2</v>
      </c>
      <c r="LC36">
        <v>2</v>
      </c>
      <c r="LD36">
        <v>2</v>
      </c>
      <c r="LE36">
        <v>2</v>
      </c>
      <c r="LF36">
        <v>2</v>
      </c>
      <c r="LG36">
        <v>2</v>
      </c>
      <c r="LH36">
        <v>2</v>
      </c>
      <c r="LI36">
        <v>2</v>
      </c>
      <c r="LJ36">
        <v>2</v>
      </c>
      <c r="LK36">
        <v>2</v>
      </c>
      <c r="LL36">
        <v>2</v>
      </c>
      <c r="LM36">
        <v>2</v>
      </c>
      <c r="LN36">
        <v>2</v>
      </c>
      <c r="LO36">
        <v>2</v>
      </c>
      <c r="LP36">
        <v>2</v>
      </c>
      <c r="LQ36">
        <v>2</v>
      </c>
      <c r="LR36">
        <v>2</v>
      </c>
      <c r="LS36">
        <v>2</v>
      </c>
      <c r="LT36">
        <v>2</v>
      </c>
      <c r="LU36">
        <v>2</v>
      </c>
      <c r="LV36">
        <v>2</v>
      </c>
      <c r="LW36">
        <v>2</v>
      </c>
      <c r="LX36">
        <v>2</v>
      </c>
      <c r="LY36">
        <v>2</v>
      </c>
      <c r="LZ36">
        <v>2</v>
      </c>
      <c r="MA36">
        <v>2</v>
      </c>
      <c r="MB36">
        <v>2</v>
      </c>
      <c r="MC36">
        <v>2</v>
      </c>
      <c r="MD36">
        <v>2</v>
      </c>
      <c r="ME36">
        <v>2</v>
      </c>
      <c r="MF36">
        <v>2</v>
      </c>
      <c r="MG36">
        <v>2</v>
      </c>
      <c r="MH36">
        <v>2</v>
      </c>
      <c r="MI36">
        <v>2</v>
      </c>
      <c r="MJ36">
        <v>2</v>
      </c>
      <c r="MK36">
        <v>2</v>
      </c>
      <c r="ML36">
        <v>2</v>
      </c>
      <c r="MM36">
        <v>2</v>
      </c>
      <c r="MN36">
        <v>2</v>
      </c>
      <c r="MO36">
        <v>2</v>
      </c>
      <c r="MP36">
        <v>2</v>
      </c>
      <c r="MQ36">
        <v>2</v>
      </c>
      <c r="MR36">
        <v>2</v>
      </c>
      <c r="MS36">
        <v>2</v>
      </c>
      <c r="MT36">
        <v>2</v>
      </c>
      <c r="MU36">
        <v>2</v>
      </c>
      <c r="MV36">
        <v>2</v>
      </c>
      <c r="MW36">
        <v>2</v>
      </c>
      <c r="MX36">
        <v>2</v>
      </c>
      <c r="MY36">
        <v>2</v>
      </c>
      <c r="MZ36">
        <v>2</v>
      </c>
      <c r="NA36">
        <v>2</v>
      </c>
      <c r="NB36">
        <v>2</v>
      </c>
      <c r="NC36">
        <v>2</v>
      </c>
      <c r="ND36">
        <v>2</v>
      </c>
      <c r="NE36">
        <v>2</v>
      </c>
      <c r="NF36">
        <v>2</v>
      </c>
      <c r="NG36">
        <v>2</v>
      </c>
      <c r="NH36">
        <v>2</v>
      </c>
      <c r="NI36">
        <v>2</v>
      </c>
      <c r="NJ36">
        <v>2</v>
      </c>
      <c r="NK36">
        <v>2</v>
      </c>
      <c r="NL36">
        <v>2</v>
      </c>
      <c r="NM36">
        <v>2</v>
      </c>
      <c r="NN36">
        <v>2</v>
      </c>
      <c r="NO36">
        <v>2</v>
      </c>
      <c r="NP36">
        <v>2</v>
      </c>
      <c r="NQ36">
        <v>2</v>
      </c>
      <c r="NR36">
        <v>2</v>
      </c>
      <c r="NS36">
        <v>2</v>
      </c>
      <c r="NT36">
        <v>2</v>
      </c>
      <c r="NU36">
        <v>2</v>
      </c>
      <c r="NV36">
        <v>2</v>
      </c>
      <c r="NW36">
        <v>2</v>
      </c>
      <c r="NX36">
        <v>2</v>
      </c>
      <c r="NY36">
        <v>2</v>
      </c>
      <c r="NZ36">
        <v>2</v>
      </c>
      <c r="OA36">
        <v>2</v>
      </c>
      <c r="OB36">
        <v>2</v>
      </c>
      <c r="OC36">
        <v>2</v>
      </c>
      <c r="OD36">
        <v>2</v>
      </c>
      <c r="OE36">
        <v>2</v>
      </c>
      <c r="OF36">
        <v>2</v>
      </c>
      <c r="OG36">
        <v>2</v>
      </c>
      <c r="OH36">
        <v>2</v>
      </c>
      <c r="OI36">
        <v>2</v>
      </c>
      <c r="OJ36">
        <v>2</v>
      </c>
      <c r="OK36">
        <v>2</v>
      </c>
      <c r="OL36">
        <v>2</v>
      </c>
      <c r="OM36">
        <v>2</v>
      </c>
      <c r="ON36">
        <v>2</v>
      </c>
      <c r="OO36">
        <v>2</v>
      </c>
      <c r="OP36">
        <v>2</v>
      </c>
      <c r="OQ36">
        <v>2</v>
      </c>
      <c r="OR36">
        <v>2</v>
      </c>
      <c r="OS36">
        <v>2</v>
      </c>
      <c r="OT36">
        <v>2</v>
      </c>
      <c r="OU36">
        <v>2</v>
      </c>
      <c r="OV36">
        <v>2</v>
      </c>
      <c r="OW36">
        <v>2</v>
      </c>
      <c r="OX36">
        <v>2</v>
      </c>
      <c r="OY36">
        <v>2</v>
      </c>
      <c r="OZ36">
        <v>2</v>
      </c>
      <c r="PA36">
        <v>2</v>
      </c>
      <c r="PB36">
        <v>2</v>
      </c>
      <c r="PC36">
        <v>2</v>
      </c>
      <c r="PD36">
        <v>2</v>
      </c>
      <c r="PE36">
        <v>2</v>
      </c>
      <c r="PF36">
        <v>2</v>
      </c>
      <c r="PG36">
        <v>2</v>
      </c>
      <c r="PH36">
        <v>2</v>
      </c>
      <c r="PI36">
        <v>2</v>
      </c>
      <c r="PJ36">
        <v>2</v>
      </c>
      <c r="PK36">
        <v>2</v>
      </c>
      <c r="PL36">
        <v>2</v>
      </c>
      <c r="PM36">
        <v>2</v>
      </c>
      <c r="PN36">
        <v>2</v>
      </c>
      <c r="PO36">
        <v>2</v>
      </c>
      <c r="PP36">
        <v>2</v>
      </c>
      <c r="PQ36">
        <v>2</v>
      </c>
      <c r="PR36">
        <v>2</v>
      </c>
      <c r="PS36">
        <v>2</v>
      </c>
      <c r="PT36">
        <v>2</v>
      </c>
      <c r="PU36">
        <v>2</v>
      </c>
      <c r="PV36">
        <v>2</v>
      </c>
      <c r="PW36">
        <v>2</v>
      </c>
      <c r="PX36">
        <v>2</v>
      </c>
      <c r="PY36">
        <v>2</v>
      </c>
      <c r="PZ36">
        <v>2</v>
      </c>
      <c r="QA36">
        <v>2</v>
      </c>
      <c r="QB36">
        <v>2</v>
      </c>
      <c r="QC36">
        <v>2</v>
      </c>
      <c r="QD36">
        <v>2</v>
      </c>
      <c r="QE36">
        <v>2</v>
      </c>
      <c r="QF36">
        <v>2</v>
      </c>
      <c r="QG36">
        <v>2</v>
      </c>
      <c r="QH36">
        <v>2</v>
      </c>
      <c r="QI36">
        <v>2</v>
      </c>
      <c r="QJ36">
        <v>2</v>
      </c>
      <c r="QK36">
        <v>2</v>
      </c>
      <c r="QL36">
        <v>2</v>
      </c>
      <c r="QM36">
        <v>2</v>
      </c>
      <c r="QN36">
        <v>2</v>
      </c>
      <c r="QO36">
        <v>2</v>
      </c>
      <c r="QP36">
        <v>2</v>
      </c>
      <c r="QQ36">
        <v>2</v>
      </c>
      <c r="QR36">
        <v>2</v>
      </c>
      <c r="QS36">
        <v>2</v>
      </c>
      <c r="QT36">
        <v>2</v>
      </c>
      <c r="QU36">
        <v>2</v>
      </c>
      <c r="QV36">
        <v>2</v>
      </c>
      <c r="QW36">
        <v>2</v>
      </c>
      <c r="QX36">
        <v>2</v>
      </c>
      <c r="QY36">
        <v>2</v>
      </c>
      <c r="QZ36">
        <v>2</v>
      </c>
      <c r="RA36">
        <v>2</v>
      </c>
      <c r="RB36">
        <v>2</v>
      </c>
      <c r="RC36">
        <v>2</v>
      </c>
      <c r="RD36">
        <v>2</v>
      </c>
      <c r="RE36">
        <v>2</v>
      </c>
      <c r="RF36">
        <v>2</v>
      </c>
      <c r="RG36">
        <v>2</v>
      </c>
      <c r="RH36">
        <v>2</v>
      </c>
      <c r="RI36">
        <v>2</v>
      </c>
      <c r="RJ36">
        <v>2</v>
      </c>
      <c r="RK36">
        <v>2</v>
      </c>
      <c r="RL36">
        <v>2</v>
      </c>
      <c r="RM36">
        <v>2</v>
      </c>
      <c r="RN36">
        <v>2</v>
      </c>
      <c r="RO36">
        <v>2</v>
      </c>
      <c r="RP36">
        <v>2</v>
      </c>
      <c r="RQ36">
        <v>2</v>
      </c>
      <c r="RR36">
        <v>2</v>
      </c>
      <c r="RS36">
        <v>2</v>
      </c>
      <c r="RT36">
        <v>2</v>
      </c>
      <c r="RU36">
        <v>2</v>
      </c>
      <c r="RV36">
        <v>2</v>
      </c>
      <c r="RW36">
        <v>2</v>
      </c>
      <c r="RX36">
        <v>2</v>
      </c>
      <c r="RY36">
        <v>2</v>
      </c>
      <c r="RZ36">
        <v>2</v>
      </c>
      <c r="SA36">
        <v>2</v>
      </c>
      <c r="SB36">
        <v>2</v>
      </c>
      <c r="SC36">
        <v>2</v>
      </c>
      <c r="SD36">
        <v>2</v>
      </c>
      <c r="SE36">
        <v>2</v>
      </c>
      <c r="SF36">
        <v>2</v>
      </c>
      <c r="SG36">
        <v>2</v>
      </c>
      <c r="SH36">
        <v>2</v>
      </c>
      <c r="SI36">
        <v>2</v>
      </c>
      <c r="SJ36">
        <v>2</v>
      </c>
      <c r="SK36">
        <v>2</v>
      </c>
      <c r="SL36">
        <v>2</v>
      </c>
      <c r="SM36">
        <v>2</v>
      </c>
      <c r="SN36">
        <v>2</v>
      </c>
      <c r="SO36">
        <v>2</v>
      </c>
      <c r="SP36">
        <v>2</v>
      </c>
      <c r="SQ36">
        <v>2</v>
      </c>
      <c r="SR36">
        <v>2</v>
      </c>
      <c r="SS36">
        <v>2</v>
      </c>
      <c r="ST36">
        <v>2</v>
      </c>
      <c r="SU36">
        <v>2</v>
      </c>
      <c r="SV36">
        <v>2</v>
      </c>
      <c r="SW36">
        <v>2</v>
      </c>
      <c r="SX36">
        <v>2</v>
      </c>
      <c r="SY36">
        <v>2</v>
      </c>
      <c r="SZ36">
        <v>2</v>
      </c>
      <c r="TA36">
        <v>2</v>
      </c>
      <c r="TB36">
        <v>2</v>
      </c>
      <c r="TC36">
        <v>2</v>
      </c>
      <c r="TD36">
        <v>2</v>
      </c>
      <c r="TE36">
        <v>2</v>
      </c>
      <c r="TF36">
        <v>2</v>
      </c>
      <c r="TG36">
        <v>2</v>
      </c>
      <c r="TH36">
        <v>2</v>
      </c>
      <c r="TI36">
        <v>2</v>
      </c>
      <c r="TJ36">
        <v>2</v>
      </c>
      <c r="TK36">
        <v>2</v>
      </c>
      <c r="TL36">
        <v>2</v>
      </c>
      <c r="TM36">
        <v>2</v>
      </c>
      <c r="TN36">
        <v>2</v>
      </c>
      <c r="TO36">
        <v>2</v>
      </c>
      <c r="TP36">
        <v>2</v>
      </c>
      <c r="TQ36">
        <v>2</v>
      </c>
      <c r="TR36">
        <v>2</v>
      </c>
      <c r="TS36">
        <v>2</v>
      </c>
      <c r="TT36">
        <v>2</v>
      </c>
      <c r="TU36">
        <v>2</v>
      </c>
      <c r="TV36">
        <v>2</v>
      </c>
      <c r="TW36">
        <v>2</v>
      </c>
      <c r="TX36">
        <v>2</v>
      </c>
      <c r="TY36">
        <v>2</v>
      </c>
      <c r="TZ36">
        <v>2</v>
      </c>
      <c r="UA36">
        <v>2</v>
      </c>
      <c r="UB36">
        <v>2</v>
      </c>
      <c r="UC36">
        <v>2</v>
      </c>
      <c r="UD36">
        <v>2</v>
      </c>
      <c r="UE36">
        <v>2</v>
      </c>
      <c r="UF36">
        <v>2</v>
      </c>
      <c r="UG36">
        <v>2</v>
      </c>
      <c r="UH36">
        <v>2</v>
      </c>
      <c r="UI36">
        <v>2</v>
      </c>
      <c r="UJ36">
        <v>2</v>
      </c>
      <c r="UK36">
        <v>2</v>
      </c>
      <c r="UL36">
        <v>2</v>
      </c>
      <c r="UM36">
        <v>2</v>
      </c>
      <c r="UN36">
        <v>2</v>
      </c>
      <c r="UO36">
        <v>2</v>
      </c>
      <c r="UP36">
        <v>2</v>
      </c>
      <c r="UQ36">
        <v>2</v>
      </c>
      <c r="UR36">
        <v>2</v>
      </c>
      <c r="US36">
        <v>2</v>
      </c>
      <c r="UT36">
        <v>2</v>
      </c>
      <c r="UU36">
        <v>2</v>
      </c>
      <c r="UV36">
        <v>2</v>
      </c>
      <c r="UW36">
        <v>2</v>
      </c>
      <c r="UX36">
        <v>2</v>
      </c>
      <c r="UY36">
        <v>2</v>
      </c>
      <c r="UZ36">
        <v>2</v>
      </c>
      <c r="VA36">
        <v>2</v>
      </c>
      <c r="VB36">
        <v>2</v>
      </c>
      <c r="VC36">
        <v>2</v>
      </c>
      <c r="VD36">
        <v>2</v>
      </c>
      <c r="VE36">
        <v>2</v>
      </c>
      <c r="VF36">
        <v>2</v>
      </c>
      <c r="VG36">
        <v>2</v>
      </c>
      <c r="VH36">
        <v>2</v>
      </c>
      <c r="VI36">
        <v>2</v>
      </c>
      <c r="VJ36">
        <v>2</v>
      </c>
      <c r="VK36">
        <v>2</v>
      </c>
      <c r="VL36">
        <v>2</v>
      </c>
      <c r="VM36">
        <v>2</v>
      </c>
      <c r="VN36">
        <v>2</v>
      </c>
      <c r="VO36">
        <v>2</v>
      </c>
      <c r="VP36">
        <v>2</v>
      </c>
      <c r="VQ36">
        <v>2</v>
      </c>
      <c r="VR36">
        <v>2</v>
      </c>
      <c r="VS36">
        <v>2</v>
      </c>
      <c r="VT36">
        <v>2</v>
      </c>
      <c r="VU36">
        <v>2</v>
      </c>
      <c r="VV36">
        <v>2</v>
      </c>
      <c r="VW36">
        <v>2</v>
      </c>
      <c r="VX36">
        <v>2</v>
      </c>
      <c r="VY36">
        <v>2</v>
      </c>
      <c r="VZ36">
        <v>2</v>
      </c>
      <c r="WA36">
        <v>2</v>
      </c>
      <c r="WB36">
        <v>2</v>
      </c>
      <c r="WC36">
        <v>2</v>
      </c>
      <c r="WD36">
        <v>2</v>
      </c>
      <c r="WE36">
        <v>2</v>
      </c>
      <c r="WF36">
        <v>2</v>
      </c>
      <c r="WG36">
        <v>2</v>
      </c>
      <c r="WH36">
        <v>2</v>
      </c>
      <c r="WI36">
        <v>2</v>
      </c>
      <c r="WJ36">
        <v>2</v>
      </c>
      <c r="WK36">
        <v>2</v>
      </c>
      <c r="WL36">
        <v>2</v>
      </c>
      <c r="WM36">
        <v>2</v>
      </c>
      <c r="WN36">
        <v>2</v>
      </c>
      <c r="WO36">
        <v>2</v>
      </c>
      <c r="WP36">
        <v>2</v>
      </c>
      <c r="WQ36">
        <v>2</v>
      </c>
      <c r="WR36">
        <v>2</v>
      </c>
      <c r="WS36">
        <v>2</v>
      </c>
      <c r="WT36">
        <v>2</v>
      </c>
      <c r="WU36">
        <v>2</v>
      </c>
      <c r="WV36">
        <v>2</v>
      </c>
      <c r="WW36">
        <v>2</v>
      </c>
      <c r="WX36">
        <v>2</v>
      </c>
      <c r="WY36">
        <v>2</v>
      </c>
      <c r="WZ36">
        <v>2</v>
      </c>
      <c r="XA36">
        <v>2</v>
      </c>
      <c r="XB36">
        <v>2</v>
      </c>
      <c r="XC36">
        <v>2</v>
      </c>
      <c r="XD36">
        <v>2</v>
      </c>
      <c r="XE36">
        <v>2</v>
      </c>
      <c r="XF36">
        <v>2</v>
      </c>
      <c r="XG36">
        <v>2</v>
      </c>
      <c r="XH36">
        <v>2</v>
      </c>
      <c r="XI36">
        <v>2</v>
      </c>
      <c r="XJ36">
        <v>2</v>
      </c>
      <c r="XK36">
        <v>2</v>
      </c>
      <c r="XL36">
        <v>2</v>
      </c>
      <c r="XM36">
        <v>2</v>
      </c>
      <c r="XN36">
        <v>2</v>
      </c>
      <c r="XO36">
        <v>2</v>
      </c>
      <c r="XP36">
        <v>2</v>
      </c>
      <c r="XQ36">
        <v>2</v>
      </c>
      <c r="XR36">
        <v>2</v>
      </c>
      <c r="XS36">
        <v>2</v>
      </c>
      <c r="XT36">
        <v>2</v>
      </c>
      <c r="XU36">
        <v>2</v>
      </c>
      <c r="XV36">
        <v>2</v>
      </c>
      <c r="XW36">
        <v>2</v>
      </c>
      <c r="XX36">
        <v>2</v>
      </c>
      <c r="XY36">
        <v>2</v>
      </c>
      <c r="XZ36">
        <v>2</v>
      </c>
      <c r="YA36">
        <v>2</v>
      </c>
      <c r="YB36">
        <v>2</v>
      </c>
      <c r="YC36">
        <v>2</v>
      </c>
      <c r="YD36">
        <v>2</v>
      </c>
      <c r="YE36">
        <v>2</v>
      </c>
      <c r="YF36">
        <v>2</v>
      </c>
      <c r="YG36">
        <v>2</v>
      </c>
      <c r="YH36">
        <v>2</v>
      </c>
      <c r="YI36">
        <v>2</v>
      </c>
      <c r="YJ36">
        <v>2</v>
      </c>
      <c r="YK36">
        <v>2</v>
      </c>
      <c r="YL36">
        <v>2</v>
      </c>
      <c r="YM36">
        <v>2</v>
      </c>
      <c r="YN36">
        <v>2</v>
      </c>
      <c r="YO36">
        <v>2</v>
      </c>
      <c r="YP36">
        <v>2</v>
      </c>
      <c r="YQ36">
        <v>2</v>
      </c>
      <c r="YR36">
        <v>2</v>
      </c>
      <c r="YS36">
        <v>2</v>
      </c>
      <c r="YT36">
        <v>2</v>
      </c>
      <c r="YU36">
        <v>2</v>
      </c>
      <c r="YV36">
        <v>2</v>
      </c>
      <c r="YW36">
        <v>2</v>
      </c>
      <c r="YX36">
        <v>2</v>
      </c>
      <c r="YY36">
        <v>2</v>
      </c>
      <c r="YZ36">
        <v>2</v>
      </c>
      <c r="ZA36">
        <v>2</v>
      </c>
      <c r="ZB36">
        <v>2</v>
      </c>
      <c r="ZC36">
        <v>2</v>
      </c>
      <c r="ZD36">
        <v>2</v>
      </c>
      <c r="ZE36">
        <v>2</v>
      </c>
      <c r="ZF36">
        <v>2</v>
      </c>
      <c r="ZG36">
        <v>2</v>
      </c>
      <c r="ZH36">
        <v>2</v>
      </c>
      <c r="ZI36">
        <v>2</v>
      </c>
      <c r="ZJ36">
        <v>2</v>
      </c>
      <c r="ZK36">
        <v>2</v>
      </c>
      <c r="ZL36">
        <v>2</v>
      </c>
      <c r="ZM36">
        <v>2</v>
      </c>
      <c r="ZN36">
        <v>2</v>
      </c>
      <c r="ZO36">
        <v>2</v>
      </c>
      <c r="ZP36">
        <v>2</v>
      </c>
      <c r="ZQ36">
        <v>2</v>
      </c>
      <c r="ZR36">
        <v>2</v>
      </c>
      <c r="ZS36">
        <v>2</v>
      </c>
      <c r="ZT36">
        <v>2</v>
      </c>
      <c r="ZU36">
        <v>2</v>
      </c>
      <c r="ZV36">
        <v>2</v>
      </c>
      <c r="ZW36">
        <v>2</v>
      </c>
      <c r="ZX36">
        <v>2</v>
      </c>
      <c r="ZY36">
        <v>2</v>
      </c>
      <c r="ZZ36">
        <v>2</v>
      </c>
      <c r="AAA36">
        <v>2</v>
      </c>
      <c r="AAB36">
        <v>2</v>
      </c>
      <c r="AAC36">
        <v>2</v>
      </c>
      <c r="AAD36">
        <v>2</v>
      </c>
      <c r="AAE36">
        <v>2</v>
      </c>
      <c r="AAF36">
        <v>2</v>
      </c>
      <c r="AAG36">
        <v>2</v>
      </c>
      <c r="AAH36">
        <v>2</v>
      </c>
      <c r="AAI36">
        <v>2</v>
      </c>
      <c r="AAJ36">
        <v>2</v>
      </c>
      <c r="AAK36">
        <v>2</v>
      </c>
      <c r="AAL36">
        <v>2</v>
      </c>
      <c r="AAM36">
        <v>2</v>
      </c>
      <c r="AAN36">
        <v>2</v>
      </c>
      <c r="AAO36">
        <v>2</v>
      </c>
      <c r="AAP36">
        <v>2</v>
      </c>
      <c r="AAQ36">
        <v>2</v>
      </c>
      <c r="AAR36">
        <v>2</v>
      </c>
      <c r="AAS36">
        <v>2</v>
      </c>
      <c r="AAT36">
        <v>2</v>
      </c>
      <c r="AAU36">
        <v>2</v>
      </c>
      <c r="AAV36">
        <v>2</v>
      </c>
      <c r="AAW36">
        <v>2</v>
      </c>
      <c r="AAX36">
        <v>2</v>
      </c>
      <c r="AAY36">
        <v>2</v>
      </c>
      <c r="AAZ36">
        <v>2</v>
      </c>
      <c r="ABA36">
        <v>2</v>
      </c>
      <c r="ABB36">
        <v>2</v>
      </c>
      <c r="ABC36">
        <v>2</v>
      </c>
      <c r="ABD36">
        <v>2</v>
      </c>
      <c r="ABE36">
        <v>2</v>
      </c>
      <c r="ABG36" s="1137">
        <f t="shared" ref="ABG36:ABV51" si="9">COUNTIFS($C$3:$ABE$3, ABG$3, $C$4:$ABE$4, ABG$4, $C36:$ABE36, "&gt;0")</f>
        <v>0</v>
      </c>
      <c r="ABH36" s="1137">
        <f t="shared" si="9"/>
        <v>0</v>
      </c>
      <c r="ABI36" s="1137">
        <f t="shared" si="9"/>
        <v>7</v>
      </c>
      <c r="ABJ36" s="1137">
        <f t="shared" si="9"/>
        <v>30</v>
      </c>
      <c r="ABK36" s="1137">
        <f t="shared" si="9"/>
        <v>31</v>
      </c>
      <c r="ABL36" s="1137">
        <f t="shared" si="9"/>
        <v>30</v>
      </c>
      <c r="ABM36" s="1137">
        <f t="shared" si="9"/>
        <v>31</v>
      </c>
      <c r="ABN36" s="1137">
        <f t="shared" si="9"/>
        <v>31</v>
      </c>
      <c r="ABO36" s="1137">
        <f t="shared" si="9"/>
        <v>30</v>
      </c>
      <c r="ABP36" s="1137">
        <f t="shared" si="9"/>
        <v>31</v>
      </c>
      <c r="ABQ36" s="1137">
        <f t="shared" si="9"/>
        <v>30</v>
      </c>
      <c r="ABR36" s="1137">
        <f t="shared" si="9"/>
        <v>31</v>
      </c>
      <c r="ABS36" s="1137">
        <f t="shared" si="9"/>
        <v>31</v>
      </c>
      <c r="ABT36" s="1137">
        <f t="shared" si="9"/>
        <v>28</v>
      </c>
      <c r="ABU36" s="1137">
        <f t="shared" si="9"/>
        <v>31</v>
      </c>
      <c r="ABV36" s="1137">
        <f t="shared" si="9"/>
        <v>30</v>
      </c>
      <c r="ABW36" s="1137">
        <f t="shared" si="7"/>
        <v>31</v>
      </c>
      <c r="ABX36" s="1137">
        <f t="shared" si="7"/>
        <v>30</v>
      </c>
      <c r="ABY36" s="1137">
        <f t="shared" si="7"/>
        <v>31</v>
      </c>
      <c r="ABZ36" s="1137">
        <f t="shared" si="7"/>
        <v>31</v>
      </c>
      <c r="ACA36" s="1137">
        <f t="shared" si="7"/>
        <v>30</v>
      </c>
      <c r="ACB36" s="1137">
        <f t="shared" si="7"/>
        <v>31</v>
      </c>
      <c r="ACC36" s="1137">
        <f t="shared" si="7"/>
        <v>30</v>
      </c>
      <c r="ACD36" s="1137">
        <f t="shared" si="7"/>
        <v>31</v>
      </c>
      <c r="ACE36" s="1137" t="s">
        <v>159</v>
      </c>
      <c r="ACF36" s="1137">
        <f t="shared" ref="ACF36:ACU51" si="10">IF(ABG36&gt;10, 1, 0)</f>
        <v>0</v>
      </c>
      <c r="ACG36" s="1137">
        <f t="shared" si="10"/>
        <v>0</v>
      </c>
      <c r="ACH36" s="1137">
        <f t="shared" si="10"/>
        <v>0</v>
      </c>
      <c r="ACI36" s="1137">
        <f t="shared" si="10"/>
        <v>1</v>
      </c>
      <c r="ACJ36" s="1137">
        <f t="shared" si="10"/>
        <v>1</v>
      </c>
      <c r="ACK36" s="1137">
        <f t="shared" si="10"/>
        <v>1</v>
      </c>
      <c r="ACL36" s="1137">
        <f t="shared" si="10"/>
        <v>1</v>
      </c>
      <c r="ACM36" s="1137">
        <f t="shared" si="10"/>
        <v>1</v>
      </c>
      <c r="ACN36" s="1137">
        <f t="shared" si="10"/>
        <v>1</v>
      </c>
      <c r="ACO36" s="1137">
        <f t="shared" si="10"/>
        <v>1</v>
      </c>
      <c r="ACP36" s="1137">
        <f t="shared" si="10"/>
        <v>1</v>
      </c>
      <c r="ACQ36" s="1137">
        <f t="shared" si="10"/>
        <v>1</v>
      </c>
      <c r="ACR36" s="1137">
        <f t="shared" si="10"/>
        <v>1</v>
      </c>
      <c r="ACS36" s="1137">
        <f t="shared" si="10"/>
        <v>1</v>
      </c>
      <c r="ACT36" s="1137">
        <f t="shared" si="10"/>
        <v>1</v>
      </c>
      <c r="ACU36" s="1137">
        <f t="shared" si="10"/>
        <v>1</v>
      </c>
      <c r="ACV36" s="1137">
        <f t="shared" si="8"/>
        <v>1</v>
      </c>
      <c r="ACW36" s="1137">
        <f t="shared" si="8"/>
        <v>1</v>
      </c>
      <c r="ACX36" s="1137">
        <f t="shared" si="8"/>
        <v>1</v>
      </c>
      <c r="ACY36" s="1137">
        <f t="shared" si="8"/>
        <v>1</v>
      </c>
      <c r="ACZ36" s="1137">
        <f t="shared" si="8"/>
        <v>1</v>
      </c>
      <c r="ADA36" s="1137">
        <f t="shared" si="8"/>
        <v>1</v>
      </c>
      <c r="ADB36" s="1137">
        <f t="shared" si="8"/>
        <v>1</v>
      </c>
      <c r="ADC36" s="1137">
        <f t="shared" si="8"/>
        <v>1</v>
      </c>
    </row>
    <row r="37" spans="1:783" x14ac:dyDescent="0.25">
      <c r="A37" t="s">
        <v>1833</v>
      </c>
      <c r="B37" t="s">
        <v>160</v>
      </c>
      <c r="C37">
        <v>0</v>
      </c>
      <c r="D37">
        <v>0</v>
      </c>
      <c r="E37">
        <v>0</v>
      </c>
      <c r="F37">
        <v>0</v>
      </c>
      <c r="G37">
        <v>0</v>
      </c>
      <c r="H37">
        <v>0</v>
      </c>
      <c r="I37">
        <v>0</v>
      </c>
      <c r="J37">
        <v>0</v>
      </c>
      <c r="K37">
        <v>0</v>
      </c>
      <c r="L37">
        <v>0</v>
      </c>
      <c r="M37">
        <v>0</v>
      </c>
      <c r="N37">
        <v>0</v>
      </c>
      <c r="O37">
        <v>0</v>
      </c>
      <c r="P37">
        <v>0</v>
      </c>
      <c r="Q37">
        <v>0</v>
      </c>
      <c r="R37">
        <v>0</v>
      </c>
      <c r="S37">
        <v>0</v>
      </c>
      <c r="T37">
        <v>0</v>
      </c>
      <c r="U37">
        <v>0</v>
      </c>
      <c r="V37">
        <v>0</v>
      </c>
      <c r="W37">
        <v>0</v>
      </c>
      <c r="X37">
        <v>0</v>
      </c>
      <c r="Y37">
        <v>2</v>
      </c>
      <c r="Z37">
        <v>2</v>
      </c>
      <c r="AA37">
        <v>2</v>
      </c>
      <c r="AB37">
        <v>2</v>
      </c>
      <c r="AC37">
        <v>2</v>
      </c>
      <c r="AD37">
        <v>2</v>
      </c>
      <c r="AE37">
        <v>2</v>
      </c>
      <c r="AF37">
        <v>2</v>
      </c>
      <c r="AG37">
        <v>2</v>
      </c>
      <c r="AH37">
        <v>2</v>
      </c>
      <c r="AI37">
        <v>2</v>
      </c>
      <c r="AJ37">
        <v>2</v>
      </c>
      <c r="AK37">
        <v>2</v>
      </c>
      <c r="AL37">
        <v>2</v>
      </c>
      <c r="AM37">
        <v>2</v>
      </c>
      <c r="AN37">
        <v>2</v>
      </c>
      <c r="AO37">
        <v>2</v>
      </c>
      <c r="AP37">
        <v>2</v>
      </c>
      <c r="AQ37">
        <v>2</v>
      </c>
      <c r="AR37">
        <v>2</v>
      </c>
      <c r="AS37">
        <v>2</v>
      </c>
      <c r="AT37">
        <v>2</v>
      </c>
      <c r="AU37">
        <v>2</v>
      </c>
      <c r="AV37">
        <v>2</v>
      </c>
      <c r="AW37">
        <v>2</v>
      </c>
      <c r="AX37">
        <v>2</v>
      </c>
      <c r="AY37">
        <v>2</v>
      </c>
      <c r="AZ37">
        <v>2</v>
      </c>
      <c r="BA37">
        <v>2</v>
      </c>
      <c r="BB37">
        <v>2</v>
      </c>
      <c r="BC37">
        <v>2</v>
      </c>
      <c r="BD37">
        <v>2</v>
      </c>
      <c r="BE37">
        <v>2</v>
      </c>
      <c r="BF37">
        <v>2</v>
      </c>
      <c r="BG37">
        <v>2</v>
      </c>
      <c r="BH37">
        <v>2</v>
      </c>
      <c r="BI37">
        <v>2</v>
      </c>
      <c r="BJ37">
        <v>2</v>
      </c>
      <c r="BK37">
        <v>2</v>
      </c>
      <c r="BL37">
        <v>2</v>
      </c>
      <c r="BM37">
        <v>2</v>
      </c>
      <c r="BN37">
        <v>2</v>
      </c>
      <c r="BO37">
        <v>2</v>
      </c>
      <c r="BP37">
        <v>2</v>
      </c>
      <c r="BQ37">
        <v>2</v>
      </c>
      <c r="BR37">
        <v>2</v>
      </c>
      <c r="BS37">
        <v>2</v>
      </c>
      <c r="BT37">
        <v>2</v>
      </c>
      <c r="BU37">
        <v>2</v>
      </c>
      <c r="BV37">
        <v>2</v>
      </c>
      <c r="BW37">
        <v>2</v>
      </c>
      <c r="BX37">
        <v>2</v>
      </c>
      <c r="BY37">
        <v>2</v>
      </c>
      <c r="BZ37">
        <v>2</v>
      </c>
      <c r="CA37">
        <v>2</v>
      </c>
      <c r="CB37">
        <v>2</v>
      </c>
      <c r="CC37">
        <v>2</v>
      </c>
      <c r="CD37">
        <v>2</v>
      </c>
      <c r="CE37">
        <v>2</v>
      </c>
      <c r="CF37">
        <v>2</v>
      </c>
      <c r="CG37">
        <v>2</v>
      </c>
      <c r="CH37">
        <v>2</v>
      </c>
      <c r="CI37">
        <v>2</v>
      </c>
      <c r="CJ37">
        <v>2</v>
      </c>
      <c r="CK37">
        <v>2</v>
      </c>
      <c r="CL37">
        <v>2</v>
      </c>
      <c r="CM37">
        <v>2</v>
      </c>
      <c r="CN37">
        <v>2</v>
      </c>
      <c r="CO37">
        <v>2</v>
      </c>
      <c r="CP37">
        <v>2</v>
      </c>
      <c r="CQ37">
        <v>2</v>
      </c>
      <c r="CR37">
        <v>2</v>
      </c>
      <c r="CS37">
        <v>2</v>
      </c>
      <c r="CT37">
        <v>2</v>
      </c>
      <c r="CU37">
        <v>2</v>
      </c>
      <c r="CV37">
        <v>2</v>
      </c>
      <c r="CW37">
        <v>1</v>
      </c>
      <c r="CX37">
        <v>1</v>
      </c>
      <c r="CY37">
        <v>1</v>
      </c>
      <c r="CZ37">
        <v>1</v>
      </c>
      <c r="DA37">
        <v>1</v>
      </c>
      <c r="DB37">
        <v>1</v>
      </c>
      <c r="DC37">
        <v>1</v>
      </c>
      <c r="DD37">
        <v>1</v>
      </c>
      <c r="DE37">
        <v>1</v>
      </c>
      <c r="DF37">
        <v>1</v>
      </c>
      <c r="DG37">
        <v>1</v>
      </c>
      <c r="DH37">
        <v>1</v>
      </c>
      <c r="DI37">
        <v>1</v>
      </c>
      <c r="DJ37">
        <v>1</v>
      </c>
      <c r="DK37">
        <v>1</v>
      </c>
      <c r="DL37">
        <v>1</v>
      </c>
      <c r="DM37">
        <v>1</v>
      </c>
      <c r="DN37">
        <v>1</v>
      </c>
      <c r="DO37">
        <v>1</v>
      </c>
      <c r="DP37">
        <v>1</v>
      </c>
      <c r="DQ37">
        <v>1</v>
      </c>
      <c r="DR37">
        <v>1</v>
      </c>
      <c r="DS37">
        <v>1</v>
      </c>
      <c r="DT37">
        <v>1</v>
      </c>
      <c r="DU37">
        <v>1</v>
      </c>
      <c r="DV37">
        <v>1</v>
      </c>
      <c r="DW37">
        <v>1</v>
      </c>
      <c r="DX37">
        <v>1</v>
      </c>
      <c r="DY37">
        <v>1</v>
      </c>
      <c r="DZ37">
        <v>1</v>
      </c>
      <c r="EA37">
        <v>1</v>
      </c>
      <c r="EB37">
        <v>1</v>
      </c>
      <c r="EC37">
        <v>2</v>
      </c>
      <c r="ED37">
        <v>2</v>
      </c>
      <c r="EE37">
        <v>2</v>
      </c>
      <c r="EF37">
        <v>2</v>
      </c>
      <c r="EG37">
        <v>2</v>
      </c>
      <c r="EH37">
        <v>2</v>
      </c>
      <c r="EI37">
        <v>2</v>
      </c>
      <c r="EJ37">
        <v>2</v>
      </c>
      <c r="EK37">
        <v>2</v>
      </c>
      <c r="EL37">
        <v>2</v>
      </c>
      <c r="EM37">
        <v>2</v>
      </c>
      <c r="EN37">
        <v>2</v>
      </c>
      <c r="EO37">
        <v>2</v>
      </c>
      <c r="EP37">
        <v>2</v>
      </c>
      <c r="EQ37">
        <v>2</v>
      </c>
      <c r="ER37">
        <v>2</v>
      </c>
      <c r="ES37">
        <v>2</v>
      </c>
      <c r="ET37">
        <v>2</v>
      </c>
      <c r="EU37">
        <v>2</v>
      </c>
      <c r="EV37">
        <v>2</v>
      </c>
      <c r="EW37">
        <v>2</v>
      </c>
      <c r="EX37">
        <v>2</v>
      </c>
      <c r="EY37">
        <v>2</v>
      </c>
      <c r="EZ37">
        <v>2</v>
      </c>
      <c r="FA37">
        <v>2</v>
      </c>
      <c r="FB37">
        <v>2</v>
      </c>
      <c r="FC37">
        <v>2</v>
      </c>
      <c r="FD37">
        <v>2</v>
      </c>
      <c r="FE37">
        <v>2</v>
      </c>
      <c r="FF37">
        <v>2</v>
      </c>
      <c r="FG37">
        <v>2</v>
      </c>
      <c r="FH37">
        <v>2</v>
      </c>
      <c r="FI37">
        <v>2</v>
      </c>
      <c r="FJ37">
        <v>2</v>
      </c>
      <c r="FK37">
        <v>2</v>
      </c>
      <c r="FL37">
        <v>2</v>
      </c>
      <c r="FM37">
        <v>2</v>
      </c>
      <c r="FN37">
        <v>2</v>
      </c>
      <c r="FO37">
        <v>2</v>
      </c>
      <c r="FP37">
        <v>2</v>
      </c>
      <c r="FQ37">
        <v>2</v>
      </c>
      <c r="FR37">
        <v>2</v>
      </c>
      <c r="FS37">
        <v>2</v>
      </c>
      <c r="FT37">
        <v>2</v>
      </c>
      <c r="FU37">
        <v>2</v>
      </c>
      <c r="FV37">
        <v>2</v>
      </c>
      <c r="FW37">
        <v>2</v>
      </c>
      <c r="FX37">
        <v>2</v>
      </c>
      <c r="FY37">
        <v>2</v>
      </c>
      <c r="FZ37">
        <v>2</v>
      </c>
      <c r="GA37">
        <v>2</v>
      </c>
      <c r="GB37">
        <v>2</v>
      </c>
      <c r="GC37">
        <v>2</v>
      </c>
      <c r="GD37">
        <v>2</v>
      </c>
      <c r="GE37">
        <v>2</v>
      </c>
      <c r="GF37">
        <v>2</v>
      </c>
      <c r="GG37">
        <v>2</v>
      </c>
      <c r="GH37">
        <v>2</v>
      </c>
      <c r="GI37">
        <v>2</v>
      </c>
      <c r="GJ37">
        <v>2</v>
      </c>
      <c r="GK37">
        <v>2</v>
      </c>
      <c r="GL37">
        <v>2</v>
      </c>
      <c r="GM37">
        <v>2</v>
      </c>
      <c r="GN37">
        <v>2</v>
      </c>
      <c r="GO37">
        <v>2</v>
      </c>
      <c r="GP37">
        <v>2</v>
      </c>
      <c r="GQ37">
        <v>2</v>
      </c>
      <c r="GR37">
        <v>2</v>
      </c>
      <c r="GS37">
        <v>2</v>
      </c>
      <c r="GT37">
        <v>2</v>
      </c>
      <c r="GU37">
        <v>2</v>
      </c>
      <c r="GV37">
        <v>2</v>
      </c>
      <c r="GW37">
        <v>2</v>
      </c>
      <c r="GX37">
        <v>2</v>
      </c>
      <c r="GY37">
        <v>2</v>
      </c>
      <c r="GZ37">
        <v>2</v>
      </c>
      <c r="HA37">
        <v>2</v>
      </c>
      <c r="HB37">
        <v>2</v>
      </c>
      <c r="HC37">
        <v>2</v>
      </c>
      <c r="HD37">
        <v>2</v>
      </c>
      <c r="HE37">
        <v>2</v>
      </c>
      <c r="HF37">
        <v>2</v>
      </c>
      <c r="HG37">
        <v>2</v>
      </c>
      <c r="HH37">
        <v>2</v>
      </c>
      <c r="HI37">
        <v>2</v>
      </c>
      <c r="HJ37">
        <v>2</v>
      </c>
      <c r="HK37">
        <v>2</v>
      </c>
      <c r="HL37">
        <v>2</v>
      </c>
      <c r="HM37">
        <v>2</v>
      </c>
      <c r="HN37">
        <v>2</v>
      </c>
      <c r="HO37">
        <v>2</v>
      </c>
      <c r="HP37">
        <v>2</v>
      </c>
      <c r="HQ37">
        <v>2</v>
      </c>
      <c r="HR37">
        <v>2</v>
      </c>
      <c r="HS37">
        <v>2</v>
      </c>
      <c r="HT37">
        <v>2</v>
      </c>
      <c r="HU37">
        <v>2</v>
      </c>
      <c r="HV37">
        <v>2</v>
      </c>
      <c r="HW37">
        <v>2</v>
      </c>
      <c r="HX37">
        <v>2</v>
      </c>
      <c r="HY37">
        <v>2</v>
      </c>
      <c r="HZ37">
        <v>2</v>
      </c>
      <c r="IA37">
        <v>2</v>
      </c>
      <c r="IB37">
        <v>2</v>
      </c>
      <c r="IC37">
        <v>2</v>
      </c>
      <c r="ID37">
        <v>2</v>
      </c>
      <c r="IE37">
        <v>2</v>
      </c>
      <c r="IF37">
        <v>2</v>
      </c>
      <c r="IG37">
        <v>2</v>
      </c>
      <c r="IH37">
        <v>2</v>
      </c>
      <c r="II37">
        <v>2</v>
      </c>
      <c r="IJ37">
        <v>2</v>
      </c>
      <c r="IK37">
        <v>2</v>
      </c>
      <c r="IL37">
        <v>2</v>
      </c>
      <c r="IM37">
        <v>2</v>
      </c>
      <c r="IN37">
        <v>2</v>
      </c>
      <c r="IO37">
        <v>2</v>
      </c>
      <c r="IP37">
        <v>0</v>
      </c>
      <c r="IQ37">
        <v>0</v>
      </c>
      <c r="IR37">
        <v>0</v>
      </c>
      <c r="IS37">
        <v>0</v>
      </c>
      <c r="IT37">
        <v>0</v>
      </c>
      <c r="IU37">
        <v>0</v>
      </c>
      <c r="IV37">
        <v>0</v>
      </c>
      <c r="IW37">
        <v>0</v>
      </c>
      <c r="IX37">
        <v>0</v>
      </c>
      <c r="IY37">
        <v>0</v>
      </c>
      <c r="IZ37">
        <v>0</v>
      </c>
      <c r="JA37">
        <v>2</v>
      </c>
      <c r="JB37">
        <v>2</v>
      </c>
      <c r="JC37">
        <v>2</v>
      </c>
      <c r="JD37">
        <v>2</v>
      </c>
      <c r="JE37">
        <v>2</v>
      </c>
      <c r="JF37">
        <v>2</v>
      </c>
      <c r="JG37">
        <v>2</v>
      </c>
      <c r="JH37">
        <v>2</v>
      </c>
      <c r="JI37">
        <v>2</v>
      </c>
      <c r="JJ37">
        <v>2</v>
      </c>
      <c r="JK37">
        <v>2</v>
      </c>
      <c r="JL37">
        <v>2</v>
      </c>
      <c r="JM37">
        <v>2</v>
      </c>
      <c r="JN37">
        <v>2</v>
      </c>
      <c r="JO37">
        <v>2</v>
      </c>
      <c r="JP37">
        <v>2</v>
      </c>
      <c r="JQ37">
        <v>2</v>
      </c>
      <c r="JR37">
        <v>2</v>
      </c>
      <c r="JS37">
        <v>2</v>
      </c>
      <c r="JT37">
        <v>2</v>
      </c>
      <c r="JU37">
        <v>2</v>
      </c>
      <c r="JV37">
        <v>2</v>
      </c>
      <c r="JW37">
        <v>2</v>
      </c>
      <c r="JX37">
        <v>2</v>
      </c>
      <c r="JY37">
        <v>2</v>
      </c>
      <c r="JZ37">
        <v>2</v>
      </c>
      <c r="KA37">
        <v>2</v>
      </c>
      <c r="KB37">
        <v>2</v>
      </c>
      <c r="KC37">
        <v>2</v>
      </c>
      <c r="KD37">
        <v>2</v>
      </c>
      <c r="KE37">
        <v>2</v>
      </c>
      <c r="KF37">
        <v>2</v>
      </c>
      <c r="KG37">
        <v>2</v>
      </c>
      <c r="KH37">
        <v>2</v>
      </c>
      <c r="KI37">
        <v>2</v>
      </c>
      <c r="KJ37">
        <v>2</v>
      </c>
      <c r="KK37">
        <v>2</v>
      </c>
      <c r="KL37">
        <v>2</v>
      </c>
      <c r="KM37">
        <v>2</v>
      </c>
      <c r="KN37">
        <v>2</v>
      </c>
      <c r="KO37">
        <v>2</v>
      </c>
      <c r="KP37">
        <v>2</v>
      </c>
      <c r="KQ37">
        <v>2</v>
      </c>
      <c r="KR37">
        <v>2</v>
      </c>
      <c r="KS37">
        <v>2</v>
      </c>
      <c r="KT37">
        <v>2</v>
      </c>
      <c r="KU37">
        <v>2</v>
      </c>
      <c r="KV37">
        <v>2</v>
      </c>
      <c r="KW37">
        <v>2</v>
      </c>
      <c r="KX37">
        <v>2</v>
      </c>
      <c r="KY37">
        <v>2</v>
      </c>
      <c r="KZ37">
        <v>2</v>
      </c>
      <c r="LA37">
        <v>2</v>
      </c>
      <c r="LB37">
        <v>2</v>
      </c>
      <c r="LC37">
        <v>2</v>
      </c>
      <c r="LD37">
        <v>2</v>
      </c>
      <c r="LE37">
        <v>2</v>
      </c>
      <c r="LF37">
        <v>2</v>
      </c>
      <c r="LG37">
        <v>2</v>
      </c>
      <c r="LH37">
        <v>2</v>
      </c>
      <c r="LI37">
        <v>2</v>
      </c>
      <c r="LJ37">
        <v>2</v>
      </c>
      <c r="LK37">
        <v>2</v>
      </c>
      <c r="LL37">
        <v>2</v>
      </c>
      <c r="LM37">
        <v>2</v>
      </c>
      <c r="LN37">
        <v>2</v>
      </c>
      <c r="LO37">
        <v>2</v>
      </c>
      <c r="LP37">
        <v>2</v>
      </c>
      <c r="LQ37">
        <v>2</v>
      </c>
      <c r="LR37">
        <v>2</v>
      </c>
      <c r="LS37">
        <v>2</v>
      </c>
      <c r="LT37">
        <v>2</v>
      </c>
      <c r="LU37">
        <v>2</v>
      </c>
      <c r="LV37">
        <v>2</v>
      </c>
      <c r="LW37">
        <v>2</v>
      </c>
      <c r="LX37">
        <v>2</v>
      </c>
      <c r="LY37">
        <v>2</v>
      </c>
      <c r="LZ37">
        <v>2</v>
      </c>
      <c r="MA37">
        <v>2</v>
      </c>
      <c r="MB37">
        <v>2</v>
      </c>
      <c r="MC37">
        <v>2</v>
      </c>
      <c r="MD37">
        <v>2</v>
      </c>
      <c r="ME37">
        <v>2</v>
      </c>
      <c r="MF37">
        <v>2</v>
      </c>
      <c r="MG37">
        <v>2</v>
      </c>
      <c r="MH37">
        <v>2</v>
      </c>
      <c r="MI37">
        <v>2</v>
      </c>
      <c r="MJ37">
        <v>2</v>
      </c>
      <c r="MK37">
        <v>2</v>
      </c>
      <c r="ML37">
        <v>2</v>
      </c>
      <c r="MM37">
        <v>2</v>
      </c>
      <c r="MN37">
        <v>2</v>
      </c>
      <c r="MO37">
        <v>2</v>
      </c>
      <c r="MP37">
        <v>2</v>
      </c>
      <c r="MQ37">
        <v>2</v>
      </c>
      <c r="MR37">
        <v>2</v>
      </c>
      <c r="MS37">
        <v>2</v>
      </c>
      <c r="MT37">
        <v>2</v>
      </c>
      <c r="MU37">
        <v>2</v>
      </c>
      <c r="MV37">
        <v>2</v>
      </c>
      <c r="MW37">
        <v>2</v>
      </c>
      <c r="MX37">
        <v>2</v>
      </c>
      <c r="MY37">
        <v>2</v>
      </c>
      <c r="MZ37">
        <v>2</v>
      </c>
      <c r="NA37">
        <v>2</v>
      </c>
      <c r="NB37">
        <v>2</v>
      </c>
      <c r="NC37">
        <v>2</v>
      </c>
      <c r="ND37">
        <v>2</v>
      </c>
      <c r="NE37">
        <v>2</v>
      </c>
      <c r="NF37">
        <v>2</v>
      </c>
      <c r="NG37">
        <v>2</v>
      </c>
      <c r="NH37">
        <v>2</v>
      </c>
      <c r="NI37">
        <v>2</v>
      </c>
      <c r="NJ37">
        <v>2</v>
      </c>
      <c r="NK37">
        <v>2</v>
      </c>
      <c r="NL37">
        <v>2</v>
      </c>
      <c r="NM37">
        <v>2</v>
      </c>
      <c r="NN37">
        <v>2</v>
      </c>
      <c r="NO37">
        <v>2</v>
      </c>
      <c r="NP37">
        <v>2</v>
      </c>
      <c r="NQ37">
        <v>2</v>
      </c>
      <c r="NR37">
        <v>2</v>
      </c>
      <c r="NS37">
        <v>2</v>
      </c>
      <c r="NT37">
        <v>2</v>
      </c>
      <c r="NU37">
        <v>2</v>
      </c>
      <c r="NV37">
        <v>2</v>
      </c>
      <c r="NW37">
        <v>2</v>
      </c>
      <c r="NX37">
        <v>2</v>
      </c>
      <c r="NY37">
        <v>2</v>
      </c>
      <c r="NZ37">
        <v>2</v>
      </c>
      <c r="OA37">
        <v>2</v>
      </c>
      <c r="OB37">
        <v>2</v>
      </c>
      <c r="OC37">
        <v>2</v>
      </c>
      <c r="OD37">
        <v>2</v>
      </c>
      <c r="OE37">
        <v>2</v>
      </c>
      <c r="OF37">
        <v>2</v>
      </c>
      <c r="OG37">
        <v>2</v>
      </c>
      <c r="OH37">
        <v>2</v>
      </c>
      <c r="OI37">
        <v>2</v>
      </c>
      <c r="OJ37">
        <v>2</v>
      </c>
      <c r="OK37">
        <v>2</v>
      </c>
      <c r="OL37">
        <v>2</v>
      </c>
      <c r="OM37">
        <v>2</v>
      </c>
      <c r="ON37">
        <v>2</v>
      </c>
      <c r="OO37">
        <v>2</v>
      </c>
      <c r="OP37">
        <v>2</v>
      </c>
      <c r="OQ37">
        <v>2</v>
      </c>
      <c r="OR37">
        <v>2</v>
      </c>
      <c r="OS37">
        <v>2</v>
      </c>
      <c r="OT37">
        <v>2</v>
      </c>
      <c r="OU37">
        <v>2</v>
      </c>
      <c r="OV37">
        <v>2</v>
      </c>
      <c r="OW37">
        <v>2</v>
      </c>
      <c r="OX37">
        <v>2</v>
      </c>
      <c r="OY37">
        <v>2</v>
      </c>
      <c r="OZ37">
        <v>2</v>
      </c>
      <c r="PA37">
        <v>2</v>
      </c>
      <c r="PB37">
        <v>2</v>
      </c>
      <c r="PC37">
        <v>2</v>
      </c>
      <c r="PD37">
        <v>2</v>
      </c>
      <c r="PE37">
        <v>1</v>
      </c>
      <c r="PF37">
        <v>1</v>
      </c>
      <c r="PG37">
        <v>1</v>
      </c>
      <c r="PH37">
        <v>1</v>
      </c>
      <c r="PI37">
        <v>1</v>
      </c>
      <c r="PJ37">
        <v>1</v>
      </c>
      <c r="PK37">
        <v>1</v>
      </c>
      <c r="PL37">
        <v>1</v>
      </c>
      <c r="PM37">
        <v>1</v>
      </c>
      <c r="PN37">
        <v>1</v>
      </c>
      <c r="PO37">
        <v>1</v>
      </c>
      <c r="PP37">
        <v>1</v>
      </c>
      <c r="PQ37">
        <v>1</v>
      </c>
      <c r="PR37">
        <v>1</v>
      </c>
      <c r="PS37">
        <v>1</v>
      </c>
      <c r="PT37">
        <v>1</v>
      </c>
      <c r="PU37">
        <v>1</v>
      </c>
      <c r="PV37">
        <v>1</v>
      </c>
      <c r="PW37">
        <v>1</v>
      </c>
      <c r="PX37">
        <v>1</v>
      </c>
      <c r="PY37">
        <v>1</v>
      </c>
      <c r="PZ37">
        <v>1</v>
      </c>
      <c r="QA37">
        <v>1</v>
      </c>
      <c r="QB37">
        <v>1</v>
      </c>
      <c r="QC37">
        <v>1</v>
      </c>
      <c r="QD37">
        <v>1</v>
      </c>
      <c r="QE37">
        <v>1</v>
      </c>
      <c r="QF37">
        <v>1</v>
      </c>
      <c r="QG37">
        <v>1</v>
      </c>
      <c r="QH37">
        <v>1</v>
      </c>
      <c r="QI37">
        <v>1</v>
      </c>
      <c r="QJ37">
        <v>1</v>
      </c>
      <c r="QK37">
        <v>1</v>
      </c>
      <c r="QL37">
        <v>1</v>
      </c>
      <c r="QM37">
        <v>1</v>
      </c>
      <c r="QN37">
        <v>1</v>
      </c>
      <c r="QO37">
        <v>1</v>
      </c>
      <c r="QP37">
        <v>1</v>
      </c>
      <c r="QQ37">
        <v>1</v>
      </c>
      <c r="QR37">
        <v>1</v>
      </c>
      <c r="QS37">
        <v>1</v>
      </c>
      <c r="QT37">
        <v>1</v>
      </c>
      <c r="QU37">
        <v>2</v>
      </c>
      <c r="QV37">
        <v>2</v>
      </c>
      <c r="QW37">
        <v>2</v>
      </c>
      <c r="QX37">
        <v>2</v>
      </c>
      <c r="QY37">
        <v>2</v>
      </c>
      <c r="QZ37">
        <v>2</v>
      </c>
      <c r="RA37">
        <v>2</v>
      </c>
      <c r="RB37">
        <v>2</v>
      </c>
      <c r="RC37">
        <v>2</v>
      </c>
      <c r="RD37">
        <v>2</v>
      </c>
      <c r="RE37">
        <v>2</v>
      </c>
      <c r="RF37">
        <v>2</v>
      </c>
      <c r="RG37">
        <v>2</v>
      </c>
      <c r="RH37">
        <v>2</v>
      </c>
      <c r="RI37">
        <v>2</v>
      </c>
      <c r="RJ37">
        <v>2</v>
      </c>
      <c r="RK37">
        <v>2</v>
      </c>
      <c r="RL37">
        <v>2</v>
      </c>
      <c r="RM37">
        <v>2</v>
      </c>
      <c r="RN37">
        <v>2</v>
      </c>
      <c r="RO37">
        <v>2</v>
      </c>
      <c r="RP37">
        <v>2</v>
      </c>
      <c r="RQ37">
        <v>2</v>
      </c>
      <c r="RR37">
        <v>2</v>
      </c>
      <c r="RS37">
        <v>2</v>
      </c>
      <c r="RT37">
        <v>2</v>
      </c>
      <c r="RU37">
        <v>2</v>
      </c>
      <c r="RV37">
        <v>2</v>
      </c>
      <c r="RW37">
        <v>2</v>
      </c>
      <c r="RX37">
        <v>1</v>
      </c>
      <c r="RY37">
        <v>1</v>
      </c>
      <c r="RZ37">
        <v>1</v>
      </c>
      <c r="SA37">
        <v>1</v>
      </c>
      <c r="SB37">
        <v>1</v>
      </c>
      <c r="SC37">
        <v>1</v>
      </c>
      <c r="SD37">
        <v>1</v>
      </c>
      <c r="SE37">
        <v>1</v>
      </c>
      <c r="SF37">
        <v>1</v>
      </c>
      <c r="SG37">
        <v>1</v>
      </c>
      <c r="SH37">
        <v>1</v>
      </c>
      <c r="SI37">
        <v>1</v>
      </c>
      <c r="SJ37">
        <v>1</v>
      </c>
      <c r="SK37">
        <v>1</v>
      </c>
      <c r="SL37">
        <v>1</v>
      </c>
      <c r="SM37">
        <v>1</v>
      </c>
      <c r="SN37">
        <v>1</v>
      </c>
      <c r="SO37">
        <v>1</v>
      </c>
      <c r="SP37">
        <v>1</v>
      </c>
      <c r="SQ37">
        <v>1</v>
      </c>
      <c r="SR37">
        <v>1</v>
      </c>
      <c r="SS37">
        <v>1</v>
      </c>
      <c r="ST37">
        <v>1</v>
      </c>
      <c r="SU37">
        <v>1</v>
      </c>
      <c r="SV37">
        <v>1</v>
      </c>
      <c r="SW37">
        <v>2</v>
      </c>
      <c r="SX37">
        <v>2</v>
      </c>
      <c r="SY37">
        <v>2</v>
      </c>
      <c r="SZ37">
        <v>2</v>
      </c>
      <c r="TA37">
        <v>2</v>
      </c>
      <c r="TB37">
        <v>2</v>
      </c>
      <c r="TC37">
        <v>2</v>
      </c>
      <c r="TD37">
        <v>2</v>
      </c>
      <c r="TE37">
        <v>2</v>
      </c>
      <c r="TF37">
        <v>2</v>
      </c>
      <c r="TG37">
        <v>2</v>
      </c>
      <c r="TH37">
        <v>2</v>
      </c>
      <c r="TI37">
        <v>2</v>
      </c>
      <c r="TJ37">
        <v>2</v>
      </c>
      <c r="TK37">
        <v>2</v>
      </c>
      <c r="TL37">
        <v>2</v>
      </c>
      <c r="TM37">
        <v>2</v>
      </c>
      <c r="TN37">
        <v>2</v>
      </c>
      <c r="TO37">
        <v>2</v>
      </c>
      <c r="TP37">
        <v>2</v>
      </c>
      <c r="TQ37">
        <v>2</v>
      </c>
      <c r="TR37">
        <v>2</v>
      </c>
      <c r="TS37">
        <v>2</v>
      </c>
      <c r="TT37">
        <v>2</v>
      </c>
      <c r="TU37">
        <v>2</v>
      </c>
      <c r="TV37">
        <v>2</v>
      </c>
      <c r="TW37">
        <v>2</v>
      </c>
      <c r="TX37">
        <v>2</v>
      </c>
      <c r="TY37">
        <v>2</v>
      </c>
      <c r="TZ37">
        <v>2</v>
      </c>
      <c r="UA37">
        <v>2</v>
      </c>
      <c r="UB37">
        <v>2</v>
      </c>
      <c r="UC37">
        <v>2</v>
      </c>
      <c r="UD37">
        <v>2</v>
      </c>
      <c r="UE37">
        <v>2</v>
      </c>
      <c r="UF37">
        <v>2</v>
      </c>
      <c r="UG37">
        <v>2</v>
      </c>
      <c r="UH37">
        <v>2</v>
      </c>
      <c r="UI37">
        <v>2</v>
      </c>
      <c r="UJ37">
        <v>2</v>
      </c>
      <c r="UK37">
        <v>2</v>
      </c>
      <c r="UL37">
        <v>2</v>
      </c>
      <c r="UM37">
        <v>2</v>
      </c>
      <c r="UN37">
        <v>2</v>
      </c>
      <c r="UO37">
        <v>2</v>
      </c>
      <c r="UP37">
        <v>2</v>
      </c>
      <c r="UQ37">
        <v>2</v>
      </c>
      <c r="UR37">
        <v>2</v>
      </c>
      <c r="US37">
        <v>2</v>
      </c>
      <c r="UT37">
        <v>2</v>
      </c>
      <c r="UU37">
        <v>2</v>
      </c>
      <c r="UV37">
        <v>2</v>
      </c>
      <c r="UW37">
        <v>2</v>
      </c>
      <c r="UX37">
        <v>2</v>
      </c>
      <c r="UY37">
        <v>2</v>
      </c>
      <c r="UZ37">
        <v>2</v>
      </c>
      <c r="VA37">
        <v>2</v>
      </c>
      <c r="VB37">
        <v>2</v>
      </c>
      <c r="VC37">
        <v>2</v>
      </c>
      <c r="VD37">
        <v>2</v>
      </c>
      <c r="VE37">
        <v>2</v>
      </c>
      <c r="VF37">
        <v>2</v>
      </c>
      <c r="VG37">
        <v>2</v>
      </c>
      <c r="VH37">
        <v>2</v>
      </c>
      <c r="VI37">
        <v>2</v>
      </c>
      <c r="VJ37">
        <v>2</v>
      </c>
      <c r="VK37">
        <v>2</v>
      </c>
      <c r="VL37">
        <v>2</v>
      </c>
      <c r="VM37">
        <v>2</v>
      </c>
      <c r="VN37">
        <v>2</v>
      </c>
      <c r="VO37">
        <v>2</v>
      </c>
      <c r="VP37">
        <v>2</v>
      </c>
      <c r="VQ37">
        <v>2</v>
      </c>
      <c r="VR37">
        <v>2</v>
      </c>
      <c r="VS37">
        <v>2</v>
      </c>
      <c r="VT37">
        <v>2</v>
      </c>
      <c r="VU37">
        <v>2</v>
      </c>
      <c r="VV37">
        <v>2</v>
      </c>
      <c r="VW37">
        <v>2</v>
      </c>
      <c r="VX37">
        <v>2</v>
      </c>
      <c r="VY37">
        <v>2</v>
      </c>
      <c r="VZ37">
        <v>2</v>
      </c>
      <c r="WA37">
        <v>2</v>
      </c>
      <c r="WB37">
        <v>2</v>
      </c>
      <c r="WC37">
        <v>2</v>
      </c>
      <c r="WD37">
        <v>2</v>
      </c>
      <c r="WE37">
        <v>2</v>
      </c>
      <c r="WF37">
        <v>2</v>
      </c>
      <c r="WG37">
        <v>2</v>
      </c>
      <c r="WH37">
        <v>2</v>
      </c>
      <c r="WI37">
        <v>2</v>
      </c>
      <c r="WJ37">
        <v>2</v>
      </c>
      <c r="WK37">
        <v>2</v>
      </c>
      <c r="WL37">
        <v>2</v>
      </c>
      <c r="WM37">
        <v>2</v>
      </c>
      <c r="WN37">
        <v>2</v>
      </c>
      <c r="WO37">
        <v>2</v>
      </c>
      <c r="WP37">
        <v>2</v>
      </c>
      <c r="WQ37">
        <v>2</v>
      </c>
      <c r="WR37">
        <v>2</v>
      </c>
      <c r="WS37">
        <v>2</v>
      </c>
      <c r="WT37">
        <v>2</v>
      </c>
      <c r="WU37">
        <v>2</v>
      </c>
      <c r="WV37">
        <v>2</v>
      </c>
      <c r="WW37">
        <v>2</v>
      </c>
      <c r="WX37">
        <v>2</v>
      </c>
      <c r="WY37">
        <v>2</v>
      </c>
      <c r="WZ37">
        <v>2</v>
      </c>
      <c r="XA37">
        <v>2</v>
      </c>
      <c r="XB37">
        <v>2</v>
      </c>
      <c r="XC37">
        <v>2</v>
      </c>
      <c r="XD37">
        <v>2</v>
      </c>
      <c r="XE37">
        <v>2</v>
      </c>
      <c r="XF37">
        <v>2</v>
      </c>
      <c r="XG37">
        <v>2</v>
      </c>
      <c r="XH37">
        <v>2</v>
      </c>
      <c r="XI37">
        <v>2</v>
      </c>
      <c r="XJ37">
        <v>2</v>
      </c>
      <c r="XK37">
        <v>2</v>
      </c>
      <c r="XL37">
        <v>2</v>
      </c>
      <c r="XM37">
        <v>2</v>
      </c>
      <c r="XN37">
        <v>2</v>
      </c>
      <c r="XO37">
        <v>2</v>
      </c>
      <c r="XP37">
        <v>2</v>
      </c>
      <c r="XQ37">
        <v>2</v>
      </c>
      <c r="XR37">
        <v>2</v>
      </c>
      <c r="XS37">
        <v>2</v>
      </c>
      <c r="XT37">
        <v>2</v>
      </c>
      <c r="XU37">
        <v>2</v>
      </c>
      <c r="XV37">
        <v>2</v>
      </c>
      <c r="XW37">
        <v>2</v>
      </c>
      <c r="XX37">
        <v>2</v>
      </c>
      <c r="XY37">
        <v>2</v>
      </c>
      <c r="XZ37">
        <v>2</v>
      </c>
      <c r="YA37">
        <v>2</v>
      </c>
      <c r="YB37">
        <v>2</v>
      </c>
      <c r="YC37">
        <v>2</v>
      </c>
      <c r="YD37">
        <v>2</v>
      </c>
      <c r="YE37">
        <v>2</v>
      </c>
      <c r="YF37">
        <v>2</v>
      </c>
      <c r="YG37">
        <v>2</v>
      </c>
      <c r="YH37">
        <v>2</v>
      </c>
      <c r="YI37">
        <v>2</v>
      </c>
      <c r="YJ37">
        <v>2</v>
      </c>
      <c r="YK37">
        <v>2</v>
      </c>
      <c r="YL37">
        <v>2</v>
      </c>
      <c r="YM37">
        <v>2</v>
      </c>
      <c r="YN37">
        <v>2</v>
      </c>
      <c r="YO37">
        <v>2</v>
      </c>
      <c r="YP37">
        <v>2</v>
      </c>
      <c r="YQ37">
        <v>2</v>
      </c>
      <c r="YR37">
        <v>2</v>
      </c>
      <c r="YS37">
        <v>2</v>
      </c>
      <c r="YT37">
        <v>2</v>
      </c>
      <c r="YU37">
        <v>2</v>
      </c>
      <c r="YV37">
        <v>2</v>
      </c>
      <c r="YW37">
        <v>2</v>
      </c>
      <c r="YX37">
        <v>2</v>
      </c>
      <c r="YY37">
        <v>2</v>
      </c>
      <c r="YZ37">
        <v>2</v>
      </c>
      <c r="ZA37">
        <v>2</v>
      </c>
      <c r="ZB37">
        <v>2</v>
      </c>
      <c r="ZC37">
        <v>2</v>
      </c>
      <c r="ZD37">
        <v>2</v>
      </c>
      <c r="ZE37">
        <v>2</v>
      </c>
      <c r="ZF37">
        <v>2</v>
      </c>
      <c r="ZG37">
        <v>2</v>
      </c>
      <c r="ZH37">
        <v>2</v>
      </c>
      <c r="ZI37">
        <v>2</v>
      </c>
      <c r="ZJ37">
        <v>2</v>
      </c>
      <c r="ZK37">
        <v>2</v>
      </c>
      <c r="ZL37">
        <v>2</v>
      </c>
      <c r="ZM37">
        <v>2</v>
      </c>
      <c r="ZN37">
        <v>2</v>
      </c>
      <c r="ZO37">
        <v>2</v>
      </c>
      <c r="ZP37">
        <v>2</v>
      </c>
      <c r="ZQ37">
        <v>2</v>
      </c>
      <c r="ZR37">
        <v>2</v>
      </c>
      <c r="ZS37">
        <v>2</v>
      </c>
      <c r="ZT37">
        <v>2</v>
      </c>
      <c r="ZU37">
        <v>2</v>
      </c>
      <c r="ZV37">
        <v>2</v>
      </c>
      <c r="ZW37">
        <v>2</v>
      </c>
      <c r="ZX37">
        <v>2</v>
      </c>
      <c r="ZY37">
        <v>2</v>
      </c>
      <c r="ZZ37">
        <v>2</v>
      </c>
      <c r="AAA37">
        <v>2</v>
      </c>
      <c r="AAB37">
        <v>2</v>
      </c>
      <c r="AAC37">
        <v>2</v>
      </c>
      <c r="AAD37">
        <v>2</v>
      </c>
      <c r="AAE37">
        <v>2</v>
      </c>
      <c r="AAF37">
        <v>2</v>
      </c>
      <c r="AAG37">
        <v>2</v>
      </c>
      <c r="AAH37">
        <v>2</v>
      </c>
      <c r="AAI37">
        <v>2</v>
      </c>
      <c r="AAJ37">
        <v>2</v>
      </c>
      <c r="AAK37">
        <v>2</v>
      </c>
      <c r="AAL37">
        <v>2</v>
      </c>
      <c r="AAM37">
        <v>2</v>
      </c>
      <c r="AAN37">
        <v>2</v>
      </c>
      <c r="AAO37">
        <v>2</v>
      </c>
      <c r="AAP37">
        <v>2</v>
      </c>
      <c r="AAQ37">
        <v>2</v>
      </c>
      <c r="AAR37">
        <v>2</v>
      </c>
      <c r="AAS37">
        <v>2</v>
      </c>
      <c r="AAT37">
        <v>2</v>
      </c>
      <c r="AAU37">
        <v>2</v>
      </c>
      <c r="AAV37">
        <v>2</v>
      </c>
      <c r="AAW37">
        <v>2</v>
      </c>
      <c r="AAX37">
        <v>2</v>
      </c>
      <c r="AAY37">
        <v>2</v>
      </c>
      <c r="AAZ37">
        <v>2</v>
      </c>
      <c r="ABA37">
        <v>2</v>
      </c>
      <c r="ABB37">
        <v>2</v>
      </c>
      <c r="ABC37">
        <v>2</v>
      </c>
      <c r="ABD37">
        <v>2</v>
      </c>
      <c r="ABE37">
        <v>2</v>
      </c>
      <c r="ABG37" s="1137">
        <f t="shared" si="9"/>
        <v>9</v>
      </c>
      <c r="ABH37" s="1137">
        <f t="shared" si="9"/>
        <v>29</v>
      </c>
      <c r="ABI37" s="1137">
        <f t="shared" si="9"/>
        <v>31</v>
      </c>
      <c r="ABJ37" s="1137">
        <f t="shared" si="9"/>
        <v>30</v>
      </c>
      <c r="ABK37" s="1137">
        <f t="shared" si="9"/>
        <v>31</v>
      </c>
      <c r="ABL37" s="1137">
        <f t="shared" si="9"/>
        <v>30</v>
      </c>
      <c r="ABM37" s="1137">
        <f t="shared" si="9"/>
        <v>31</v>
      </c>
      <c r="ABN37" s="1137">
        <f t="shared" si="9"/>
        <v>31</v>
      </c>
      <c r="ABO37" s="1137">
        <f t="shared" si="9"/>
        <v>19</v>
      </c>
      <c r="ABP37" s="1137">
        <f t="shared" si="9"/>
        <v>31</v>
      </c>
      <c r="ABQ37" s="1137">
        <f t="shared" si="9"/>
        <v>30</v>
      </c>
      <c r="ABR37" s="1137">
        <f t="shared" si="9"/>
        <v>31</v>
      </c>
      <c r="ABS37" s="1137">
        <f t="shared" si="9"/>
        <v>31</v>
      </c>
      <c r="ABT37" s="1137">
        <f t="shared" si="9"/>
        <v>28</v>
      </c>
      <c r="ABU37" s="1137">
        <f t="shared" si="9"/>
        <v>31</v>
      </c>
      <c r="ABV37" s="1137">
        <f t="shared" si="9"/>
        <v>30</v>
      </c>
      <c r="ABW37" s="1137">
        <f t="shared" si="7"/>
        <v>31</v>
      </c>
      <c r="ABX37" s="1137">
        <f t="shared" si="7"/>
        <v>30</v>
      </c>
      <c r="ABY37" s="1137">
        <f t="shared" si="7"/>
        <v>31</v>
      </c>
      <c r="ABZ37" s="1137">
        <f t="shared" si="7"/>
        <v>31</v>
      </c>
      <c r="ACA37" s="1137">
        <f t="shared" si="7"/>
        <v>30</v>
      </c>
      <c r="ACB37" s="1137">
        <f t="shared" si="7"/>
        <v>31</v>
      </c>
      <c r="ACC37" s="1137">
        <f t="shared" si="7"/>
        <v>30</v>
      </c>
      <c r="ACD37" s="1137">
        <f t="shared" si="7"/>
        <v>31</v>
      </c>
      <c r="ACE37" s="1137" t="s">
        <v>160</v>
      </c>
      <c r="ACF37" s="1137">
        <f t="shared" si="10"/>
        <v>0</v>
      </c>
      <c r="ACG37" s="1137">
        <f t="shared" si="10"/>
        <v>1</v>
      </c>
      <c r="ACH37" s="1137">
        <f t="shared" si="10"/>
        <v>1</v>
      </c>
      <c r="ACI37" s="1137">
        <f t="shared" si="10"/>
        <v>1</v>
      </c>
      <c r="ACJ37" s="1137">
        <f t="shared" si="10"/>
        <v>1</v>
      </c>
      <c r="ACK37" s="1137">
        <f t="shared" si="10"/>
        <v>1</v>
      </c>
      <c r="ACL37" s="1137">
        <f t="shared" si="10"/>
        <v>1</v>
      </c>
      <c r="ACM37" s="1137">
        <f t="shared" si="10"/>
        <v>1</v>
      </c>
      <c r="ACN37" s="1137">
        <f t="shared" si="10"/>
        <v>1</v>
      </c>
      <c r="ACO37" s="1137">
        <f t="shared" si="10"/>
        <v>1</v>
      </c>
      <c r="ACP37" s="1137">
        <f t="shared" si="10"/>
        <v>1</v>
      </c>
      <c r="ACQ37" s="1137">
        <f t="shared" si="10"/>
        <v>1</v>
      </c>
      <c r="ACR37" s="1137">
        <f t="shared" si="10"/>
        <v>1</v>
      </c>
      <c r="ACS37" s="1137">
        <f t="shared" si="10"/>
        <v>1</v>
      </c>
      <c r="ACT37" s="1137">
        <f t="shared" si="10"/>
        <v>1</v>
      </c>
      <c r="ACU37" s="1137">
        <f t="shared" si="10"/>
        <v>1</v>
      </c>
      <c r="ACV37" s="1137">
        <f t="shared" si="8"/>
        <v>1</v>
      </c>
      <c r="ACW37" s="1137">
        <f t="shared" si="8"/>
        <v>1</v>
      </c>
      <c r="ACX37" s="1137">
        <f t="shared" si="8"/>
        <v>1</v>
      </c>
      <c r="ACY37" s="1137">
        <f t="shared" si="8"/>
        <v>1</v>
      </c>
      <c r="ACZ37" s="1137">
        <f t="shared" si="8"/>
        <v>1</v>
      </c>
      <c r="ADA37" s="1137">
        <f t="shared" si="8"/>
        <v>1</v>
      </c>
      <c r="ADB37" s="1137">
        <f t="shared" si="8"/>
        <v>1</v>
      </c>
      <c r="ADC37" s="1137">
        <f t="shared" si="8"/>
        <v>1</v>
      </c>
    </row>
    <row r="38" spans="1:783" x14ac:dyDescent="0.25">
      <c r="A38" t="s">
        <v>1834</v>
      </c>
      <c r="B38" t="s">
        <v>2014</v>
      </c>
      <c r="C38">
        <v>0</v>
      </c>
      <c r="D38">
        <v>0</v>
      </c>
      <c r="E38">
        <v>0</v>
      </c>
      <c r="F38">
        <v>0</v>
      </c>
      <c r="G38">
        <v>0</v>
      </c>
      <c r="H38">
        <v>0</v>
      </c>
      <c r="I38">
        <v>0</v>
      </c>
      <c r="J38">
        <v>0</v>
      </c>
      <c r="K38">
        <v>0</v>
      </c>
      <c r="L38">
        <v>0</v>
      </c>
      <c r="M38">
        <v>0</v>
      </c>
      <c r="N38">
        <v>0</v>
      </c>
      <c r="O38">
        <v>0</v>
      </c>
      <c r="P38">
        <v>0</v>
      </c>
      <c r="Q38">
        <v>0</v>
      </c>
      <c r="R38">
        <v>0</v>
      </c>
      <c r="S38">
        <v>0</v>
      </c>
      <c r="T38">
        <v>0</v>
      </c>
      <c r="U38">
        <v>0</v>
      </c>
      <c r="V38">
        <v>0</v>
      </c>
      <c r="W38">
        <v>0</v>
      </c>
      <c r="X38">
        <v>0</v>
      </c>
      <c r="Y38">
        <v>0</v>
      </c>
      <c r="Z38">
        <v>0</v>
      </c>
      <c r="AA38">
        <v>0</v>
      </c>
      <c r="AB38">
        <v>0</v>
      </c>
      <c r="AC38">
        <v>0</v>
      </c>
      <c r="AD38">
        <v>0</v>
      </c>
      <c r="AE38">
        <v>0</v>
      </c>
      <c r="AF38">
        <v>0</v>
      </c>
      <c r="AG38">
        <v>0</v>
      </c>
      <c r="AH38">
        <v>0</v>
      </c>
      <c r="AI38">
        <v>0</v>
      </c>
      <c r="AJ38">
        <v>0</v>
      </c>
      <c r="AK38">
        <v>0</v>
      </c>
      <c r="AL38">
        <v>0</v>
      </c>
      <c r="AM38">
        <v>0</v>
      </c>
      <c r="AN38">
        <v>0</v>
      </c>
      <c r="AO38">
        <v>0</v>
      </c>
      <c r="AP38">
        <v>0</v>
      </c>
      <c r="AQ38">
        <v>0</v>
      </c>
      <c r="AR38">
        <v>0</v>
      </c>
      <c r="AS38">
        <v>0</v>
      </c>
      <c r="AT38">
        <v>0</v>
      </c>
      <c r="AU38">
        <v>0</v>
      </c>
      <c r="AV38">
        <v>0</v>
      </c>
      <c r="AW38">
        <v>0</v>
      </c>
      <c r="AX38">
        <v>0</v>
      </c>
      <c r="AY38">
        <v>0</v>
      </c>
      <c r="AZ38">
        <v>0</v>
      </c>
      <c r="BA38">
        <v>0</v>
      </c>
      <c r="BB38">
        <v>0</v>
      </c>
      <c r="BC38">
        <v>0</v>
      </c>
      <c r="BD38">
        <v>0</v>
      </c>
      <c r="BE38">
        <v>0</v>
      </c>
      <c r="BF38">
        <v>0</v>
      </c>
      <c r="BG38">
        <v>0</v>
      </c>
      <c r="BH38">
        <v>0</v>
      </c>
      <c r="BI38">
        <v>0</v>
      </c>
      <c r="BJ38">
        <v>0</v>
      </c>
      <c r="BK38">
        <v>0</v>
      </c>
      <c r="BL38">
        <v>0</v>
      </c>
      <c r="BM38">
        <v>0</v>
      </c>
      <c r="BN38">
        <v>0</v>
      </c>
      <c r="BO38">
        <v>0</v>
      </c>
      <c r="BP38">
        <v>0</v>
      </c>
      <c r="BQ38">
        <v>0</v>
      </c>
      <c r="BR38">
        <v>0</v>
      </c>
      <c r="BS38">
        <v>0</v>
      </c>
      <c r="BT38">
        <v>0</v>
      </c>
      <c r="BU38">
        <v>0</v>
      </c>
      <c r="BV38">
        <v>0</v>
      </c>
      <c r="BW38">
        <v>0</v>
      </c>
      <c r="BX38">
        <v>0</v>
      </c>
      <c r="BY38">
        <v>0</v>
      </c>
      <c r="BZ38">
        <v>0</v>
      </c>
      <c r="CA38">
        <v>0</v>
      </c>
      <c r="CB38">
        <v>0</v>
      </c>
      <c r="CC38">
        <v>0</v>
      </c>
      <c r="CD38">
        <v>0</v>
      </c>
      <c r="CE38">
        <v>0</v>
      </c>
      <c r="CF38">
        <v>0</v>
      </c>
      <c r="CG38">
        <v>0</v>
      </c>
      <c r="CH38">
        <v>2</v>
      </c>
      <c r="CI38">
        <v>2</v>
      </c>
      <c r="CJ38">
        <v>2</v>
      </c>
      <c r="CK38">
        <v>2</v>
      </c>
      <c r="CL38">
        <v>2</v>
      </c>
      <c r="CM38">
        <v>2</v>
      </c>
      <c r="CN38">
        <v>2</v>
      </c>
      <c r="CO38">
        <v>2</v>
      </c>
      <c r="CP38">
        <v>2</v>
      </c>
      <c r="CQ38">
        <v>2</v>
      </c>
      <c r="CR38">
        <v>2</v>
      </c>
      <c r="CS38">
        <v>2</v>
      </c>
      <c r="CT38">
        <v>2</v>
      </c>
      <c r="CU38">
        <v>2</v>
      </c>
      <c r="CV38">
        <v>2</v>
      </c>
      <c r="CW38">
        <v>2</v>
      </c>
      <c r="CX38">
        <v>2</v>
      </c>
      <c r="CY38">
        <v>2</v>
      </c>
      <c r="CZ38">
        <v>2</v>
      </c>
      <c r="DA38">
        <v>2</v>
      </c>
      <c r="DB38">
        <v>2</v>
      </c>
      <c r="DC38">
        <v>2</v>
      </c>
      <c r="DD38">
        <v>2</v>
      </c>
      <c r="DE38">
        <v>2</v>
      </c>
      <c r="DF38">
        <v>2</v>
      </c>
      <c r="DG38">
        <v>2</v>
      </c>
      <c r="DH38">
        <v>2</v>
      </c>
      <c r="DI38">
        <v>2</v>
      </c>
      <c r="DJ38">
        <v>2</v>
      </c>
      <c r="DK38">
        <v>2</v>
      </c>
      <c r="DL38">
        <v>2</v>
      </c>
      <c r="DM38">
        <v>2</v>
      </c>
      <c r="DN38">
        <v>2</v>
      </c>
      <c r="DO38">
        <v>2</v>
      </c>
      <c r="DP38">
        <v>2</v>
      </c>
      <c r="DQ38">
        <v>2</v>
      </c>
      <c r="DR38">
        <v>2</v>
      </c>
      <c r="DS38">
        <v>2</v>
      </c>
      <c r="DT38">
        <v>2</v>
      </c>
      <c r="DU38">
        <v>2</v>
      </c>
      <c r="DV38">
        <v>2</v>
      </c>
      <c r="DW38">
        <v>2</v>
      </c>
      <c r="DX38">
        <v>2</v>
      </c>
      <c r="DY38">
        <v>2</v>
      </c>
      <c r="DZ38">
        <v>2</v>
      </c>
      <c r="EA38">
        <v>2</v>
      </c>
      <c r="EB38">
        <v>2</v>
      </c>
      <c r="EC38">
        <v>2</v>
      </c>
      <c r="ED38">
        <v>2</v>
      </c>
      <c r="EE38">
        <v>2</v>
      </c>
      <c r="EF38">
        <v>2</v>
      </c>
      <c r="EG38">
        <v>2</v>
      </c>
      <c r="EH38">
        <v>2</v>
      </c>
      <c r="EI38">
        <v>2</v>
      </c>
      <c r="EJ38">
        <v>2</v>
      </c>
      <c r="EK38">
        <v>2</v>
      </c>
      <c r="EL38">
        <v>2</v>
      </c>
      <c r="EM38">
        <v>2</v>
      </c>
      <c r="EN38">
        <v>2</v>
      </c>
      <c r="EO38">
        <v>2</v>
      </c>
      <c r="EP38">
        <v>2</v>
      </c>
      <c r="EQ38">
        <v>2</v>
      </c>
      <c r="ER38">
        <v>2</v>
      </c>
      <c r="ES38">
        <v>2</v>
      </c>
      <c r="ET38">
        <v>2</v>
      </c>
      <c r="EU38">
        <v>2</v>
      </c>
      <c r="EV38">
        <v>2</v>
      </c>
      <c r="EW38">
        <v>2</v>
      </c>
      <c r="EX38">
        <v>2</v>
      </c>
      <c r="EY38">
        <v>2</v>
      </c>
      <c r="EZ38">
        <v>2</v>
      </c>
      <c r="FA38">
        <v>2</v>
      </c>
      <c r="FB38">
        <v>2</v>
      </c>
      <c r="FC38">
        <v>2</v>
      </c>
      <c r="FD38">
        <v>2</v>
      </c>
      <c r="FE38">
        <v>2</v>
      </c>
      <c r="FF38">
        <v>2</v>
      </c>
      <c r="FG38">
        <v>2</v>
      </c>
      <c r="FH38">
        <v>2</v>
      </c>
      <c r="FI38">
        <v>2</v>
      </c>
      <c r="FJ38">
        <v>2</v>
      </c>
      <c r="FK38">
        <v>2</v>
      </c>
      <c r="FL38">
        <v>2</v>
      </c>
      <c r="FM38">
        <v>2</v>
      </c>
      <c r="FN38">
        <v>2</v>
      </c>
      <c r="FO38">
        <v>2</v>
      </c>
      <c r="FP38">
        <v>2</v>
      </c>
      <c r="FQ38">
        <v>2</v>
      </c>
      <c r="FR38">
        <v>2</v>
      </c>
      <c r="FS38">
        <v>2</v>
      </c>
      <c r="FT38">
        <v>2</v>
      </c>
      <c r="FU38">
        <v>2</v>
      </c>
      <c r="FV38">
        <v>2</v>
      </c>
      <c r="FW38">
        <v>2</v>
      </c>
      <c r="FX38">
        <v>2</v>
      </c>
      <c r="FY38">
        <v>2</v>
      </c>
      <c r="FZ38">
        <v>2</v>
      </c>
      <c r="GA38">
        <v>2</v>
      </c>
      <c r="GB38">
        <v>2</v>
      </c>
      <c r="GC38">
        <v>2</v>
      </c>
      <c r="GD38">
        <v>2</v>
      </c>
      <c r="GE38">
        <v>2</v>
      </c>
      <c r="GF38">
        <v>2</v>
      </c>
      <c r="GG38">
        <v>2</v>
      </c>
      <c r="GH38">
        <v>2</v>
      </c>
      <c r="GI38">
        <v>2</v>
      </c>
      <c r="GJ38">
        <v>2</v>
      </c>
      <c r="GK38">
        <v>2</v>
      </c>
      <c r="GL38">
        <v>2</v>
      </c>
      <c r="GM38">
        <v>2</v>
      </c>
      <c r="GN38">
        <v>2</v>
      </c>
      <c r="GO38">
        <v>2</v>
      </c>
      <c r="GP38">
        <v>2</v>
      </c>
      <c r="GQ38">
        <v>2</v>
      </c>
      <c r="GR38">
        <v>1</v>
      </c>
      <c r="GS38">
        <v>1</v>
      </c>
      <c r="GT38">
        <v>1</v>
      </c>
      <c r="GU38">
        <v>1</v>
      </c>
      <c r="GV38">
        <v>1</v>
      </c>
      <c r="GW38">
        <v>1</v>
      </c>
      <c r="GX38">
        <v>1</v>
      </c>
      <c r="GY38">
        <v>1</v>
      </c>
      <c r="GZ38">
        <v>1</v>
      </c>
      <c r="HA38">
        <v>1</v>
      </c>
      <c r="HB38">
        <v>1</v>
      </c>
      <c r="HC38">
        <v>0</v>
      </c>
      <c r="HD38">
        <v>0</v>
      </c>
      <c r="HE38">
        <v>0</v>
      </c>
      <c r="HF38">
        <v>0</v>
      </c>
      <c r="HG38">
        <v>0</v>
      </c>
      <c r="HH38">
        <v>0</v>
      </c>
      <c r="HI38">
        <v>0</v>
      </c>
      <c r="HJ38">
        <v>0</v>
      </c>
      <c r="HK38">
        <v>0</v>
      </c>
      <c r="HL38">
        <v>0</v>
      </c>
      <c r="HM38">
        <v>0</v>
      </c>
      <c r="HN38">
        <v>0</v>
      </c>
      <c r="HO38">
        <v>0</v>
      </c>
      <c r="HP38">
        <v>0</v>
      </c>
      <c r="HQ38">
        <v>0</v>
      </c>
      <c r="HR38">
        <v>0</v>
      </c>
      <c r="HS38">
        <v>0</v>
      </c>
      <c r="HT38">
        <v>0</v>
      </c>
      <c r="HU38">
        <v>0</v>
      </c>
      <c r="HV38">
        <v>0</v>
      </c>
      <c r="HW38">
        <v>0</v>
      </c>
      <c r="HX38">
        <v>0</v>
      </c>
      <c r="HY38">
        <v>0</v>
      </c>
      <c r="HZ38">
        <v>0</v>
      </c>
      <c r="IA38">
        <v>0</v>
      </c>
      <c r="IB38">
        <v>0</v>
      </c>
      <c r="IC38">
        <v>0</v>
      </c>
      <c r="ID38">
        <v>0</v>
      </c>
      <c r="IE38">
        <v>0</v>
      </c>
      <c r="IF38">
        <v>0</v>
      </c>
      <c r="IG38">
        <v>0</v>
      </c>
      <c r="IH38">
        <v>0</v>
      </c>
      <c r="II38">
        <v>0</v>
      </c>
      <c r="IJ38">
        <v>0</v>
      </c>
      <c r="IK38">
        <v>0</v>
      </c>
      <c r="IL38">
        <v>0</v>
      </c>
      <c r="IM38">
        <v>0</v>
      </c>
      <c r="IN38">
        <v>0</v>
      </c>
      <c r="IO38">
        <v>0</v>
      </c>
      <c r="IP38">
        <v>0</v>
      </c>
      <c r="IQ38">
        <v>0</v>
      </c>
      <c r="IR38">
        <v>0</v>
      </c>
      <c r="IS38">
        <v>0</v>
      </c>
      <c r="IT38">
        <v>0</v>
      </c>
      <c r="IU38">
        <v>0</v>
      </c>
      <c r="IV38">
        <v>0</v>
      </c>
      <c r="IW38">
        <v>0</v>
      </c>
      <c r="IX38">
        <v>0</v>
      </c>
      <c r="IY38">
        <v>0</v>
      </c>
      <c r="IZ38">
        <v>0</v>
      </c>
      <c r="JA38">
        <v>0</v>
      </c>
      <c r="JB38">
        <v>0</v>
      </c>
      <c r="JC38">
        <v>0</v>
      </c>
      <c r="JD38">
        <v>0</v>
      </c>
      <c r="JE38">
        <v>0</v>
      </c>
      <c r="JF38">
        <v>0</v>
      </c>
      <c r="JG38">
        <v>0</v>
      </c>
      <c r="JH38">
        <v>0</v>
      </c>
      <c r="JI38">
        <v>0</v>
      </c>
      <c r="JJ38">
        <v>0</v>
      </c>
      <c r="JK38">
        <v>0</v>
      </c>
      <c r="JL38">
        <v>0</v>
      </c>
      <c r="JM38">
        <v>0</v>
      </c>
      <c r="JN38">
        <v>0</v>
      </c>
      <c r="JO38">
        <v>0</v>
      </c>
      <c r="JP38">
        <v>0</v>
      </c>
      <c r="JQ38">
        <v>0</v>
      </c>
      <c r="JR38">
        <v>0</v>
      </c>
      <c r="JS38">
        <v>0</v>
      </c>
      <c r="JT38">
        <v>0</v>
      </c>
      <c r="JU38">
        <v>0</v>
      </c>
      <c r="JV38">
        <v>0</v>
      </c>
      <c r="JW38">
        <v>0</v>
      </c>
      <c r="JX38">
        <v>0</v>
      </c>
      <c r="JY38">
        <v>0</v>
      </c>
      <c r="JZ38">
        <v>0</v>
      </c>
      <c r="KA38">
        <v>0</v>
      </c>
      <c r="KB38">
        <v>0</v>
      </c>
      <c r="KC38">
        <v>0</v>
      </c>
      <c r="KD38">
        <v>0</v>
      </c>
      <c r="KE38">
        <v>0</v>
      </c>
      <c r="KF38">
        <v>0</v>
      </c>
      <c r="KG38">
        <v>0</v>
      </c>
      <c r="KH38">
        <v>0</v>
      </c>
      <c r="KI38">
        <v>0</v>
      </c>
      <c r="KJ38">
        <v>0</v>
      </c>
      <c r="KK38">
        <v>0</v>
      </c>
      <c r="KL38">
        <v>0</v>
      </c>
      <c r="KM38">
        <v>0</v>
      </c>
      <c r="KN38">
        <v>0</v>
      </c>
      <c r="KO38">
        <v>0</v>
      </c>
      <c r="KP38">
        <v>0</v>
      </c>
      <c r="KQ38">
        <v>0</v>
      </c>
      <c r="KR38">
        <v>0</v>
      </c>
      <c r="KS38">
        <v>0</v>
      </c>
      <c r="KT38">
        <v>0</v>
      </c>
      <c r="KU38">
        <v>0</v>
      </c>
      <c r="KV38">
        <v>0</v>
      </c>
      <c r="KW38">
        <v>0</v>
      </c>
      <c r="KX38">
        <v>0</v>
      </c>
      <c r="KY38">
        <v>0</v>
      </c>
      <c r="KZ38">
        <v>0</v>
      </c>
      <c r="LA38">
        <v>0</v>
      </c>
      <c r="LB38">
        <v>0</v>
      </c>
      <c r="LC38">
        <v>0</v>
      </c>
      <c r="LD38">
        <v>0</v>
      </c>
      <c r="LE38">
        <v>0</v>
      </c>
      <c r="LF38">
        <v>0</v>
      </c>
      <c r="LG38">
        <v>0</v>
      </c>
      <c r="LH38">
        <v>0</v>
      </c>
      <c r="LI38">
        <v>0</v>
      </c>
      <c r="LJ38">
        <v>0</v>
      </c>
      <c r="LK38">
        <v>0</v>
      </c>
      <c r="LL38">
        <v>0</v>
      </c>
      <c r="LM38">
        <v>0</v>
      </c>
      <c r="LN38">
        <v>0</v>
      </c>
      <c r="LO38">
        <v>0</v>
      </c>
      <c r="LP38">
        <v>0</v>
      </c>
      <c r="LQ38">
        <v>0</v>
      </c>
      <c r="LR38">
        <v>0</v>
      </c>
      <c r="LS38">
        <v>0</v>
      </c>
      <c r="LT38">
        <v>0</v>
      </c>
      <c r="LU38">
        <v>0</v>
      </c>
      <c r="LV38">
        <v>0</v>
      </c>
      <c r="LW38">
        <v>0</v>
      </c>
      <c r="LX38">
        <v>0</v>
      </c>
      <c r="LY38">
        <v>0</v>
      </c>
      <c r="LZ38">
        <v>0</v>
      </c>
      <c r="MA38">
        <v>0</v>
      </c>
      <c r="MB38">
        <v>0</v>
      </c>
      <c r="MC38">
        <v>0</v>
      </c>
      <c r="MD38">
        <v>0</v>
      </c>
      <c r="ME38">
        <v>0</v>
      </c>
      <c r="MF38">
        <v>0</v>
      </c>
      <c r="MG38">
        <v>0</v>
      </c>
      <c r="MH38">
        <v>0</v>
      </c>
      <c r="MI38">
        <v>0</v>
      </c>
      <c r="MJ38">
        <v>0</v>
      </c>
      <c r="MK38">
        <v>0</v>
      </c>
      <c r="ML38">
        <v>0</v>
      </c>
      <c r="MM38">
        <v>0</v>
      </c>
      <c r="MN38">
        <v>0</v>
      </c>
      <c r="MO38">
        <v>0</v>
      </c>
      <c r="MP38">
        <v>0</v>
      </c>
      <c r="MQ38">
        <v>0</v>
      </c>
      <c r="MR38">
        <v>0</v>
      </c>
      <c r="MS38">
        <v>0</v>
      </c>
      <c r="MT38">
        <v>0</v>
      </c>
      <c r="MU38">
        <v>0</v>
      </c>
      <c r="MV38">
        <v>0</v>
      </c>
      <c r="MW38">
        <v>0</v>
      </c>
      <c r="MX38">
        <v>0</v>
      </c>
      <c r="MY38">
        <v>0</v>
      </c>
      <c r="MZ38">
        <v>0</v>
      </c>
      <c r="NA38">
        <v>0</v>
      </c>
      <c r="NB38">
        <v>0</v>
      </c>
      <c r="NC38">
        <v>0</v>
      </c>
      <c r="ND38">
        <v>0</v>
      </c>
      <c r="NE38">
        <v>0</v>
      </c>
      <c r="NF38">
        <v>0</v>
      </c>
      <c r="NG38">
        <v>0</v>
      </c>
      <c r="NH38">
        <v>0</v>
      </c>
      <c r="NI38">
        <v>0</v>
      </c>
      <c r="NJ38">
        <v>0</v>
      </c>
      <c r="NK38">
        <v>0</v>
      </c>
      <c r="NL38">
        <v>0</v>
      </c>
      <c r="NM38">
        <v>0</v>
      </c>
      <c r="NN38">
        <v>0</v>
      </c>
      <c r="NO38">
        <v>0</v>
      </c>
      <c r="NP38">
        <v>0</v>
      </c>
      <c r="NQ38">
        <v>0</v>
      </c>
      <c r="NR38">
        <v>0</v>
      </c>
      <c r="NS38">
        <v>0</v>
      </c>
      <c r="NT38">
        <v>0</v>
      </c>
      <c r="NU38">
        <v>0</v>
      </c>
      <c r="NV38">
        <v>0</v>
      </c>
      <c r="NW38">
        <v>0</v>
      </c>
      <c r="NX38">
        <v>0</v>
      </c>
      <c r="NY38">
        <v>0</v>
      </c>
      <c r="NZ38">
        <v>0</v>
      </c>
      <c r="OA38">
        <v>0</v>
      </c>
      <c r="OB38">
        <v>0</v>
      </c>
      <c r="OC38">
        <v>0</v>
      </c>
      <c r="OD38">
        <v>0</v>
      </c>
      <c r="OE38">
        <v>0</v>
      </c>
      <c r="OF38">
        <v>0</v>
      </c>
      <c r="OG38">
        <v>0</v>
      </c>
      <c r="OH38">
        <v>0</v>
      </c>
      <c r="OI38">
        <v>0</v>
      </c>
      <c r="OJ38">
        <v>0</v>
      </c>
      <c r="OK38">
        <v>0</v>
      </c>
      <c r="OL38">
        <v>0</v>
      </c>
      <c r="OM38">
        <v>0</v>
      </c>
      <c r="ON38">
        <v>0</v>
      </c>
      <c r="OO38">
        <v>0</v>
      </c>
      <c r="OP38">
        <v>0</v>
      </c>
      <c r="OQ38">
        <v>0</v>
      </c>
      <c r="OR38">
        <v>0</v>
      </c>
      <c r="OS38">
        <v>0</v>
      </c>
      <c r="OT38">
        <v>0</v>
      </c>
      <c r="OU38">
        <v>0</v>
      </c>
      <c r="OV38">
        <v>0</v>
      </c>
      <c r="OW38">
        <v>0</v>
      </c>
      <c r="OX38">
        <v>0</v>
      </c>
      <c r="OY38">
        <v>0</v>
      </c>
      <c r="OZ38">
        <v>0</v>
      </c>
      <c r="PA38">
        <v>0</v>
      </c>
      <c r="PB38">
        <v>0</v>
      </c>
      <c r="PC38">
        <v>0</v>
      </c>
      <c r="PD38">
        <v>0</v>
      </c>
      <c r="PE38">
        <v>0</v>
      </c>
      <c r="PF38">
        <v>0</v>
      </c>
      <c r="PG38">
        <v>0</v>
      </c>
      <c r="PH38">
        <v>0</v>
      </c>
      <c r="PI38">
        <v>0</v>
      </c>
      <c r="PJ38">
        <v>0</v>
      </c>
      <c r="PK38">
        <v>0</v>
      </c>
      <c r="PL38">
        <v>0</v>
      </c>
      <c r="PM38">
        <v>0</v>
      </c>
      <c r="PN38">
        <v>0</v>
      </c>
      <c r="PO38">
        <v>0</v>
      </c>
      <c r="PP38">
        <v>0</v>
      </c>
      <c r="PQ38">
        <v>0</v>
      </c>
      <c r="PR38">
        <v>0</v>
      </c>
      <c r="PS38">
        <v>0</v>
      </c>
      <c r="PT38">
        <v>0</v>
      </c>
      <c r="PU38">
        <v>0</v>
      </c>
      <c r="PV38">
        <v>0</v>
      </c>
      <c r="PW38">
        <v>0</v>
      </c>
      <c r="PX38">
        <v>0</v>
      </c>
      <c r="PY38">
        <v>0</v>
      </c>
      <c r="PZ38">
        <v>0</v>
      </c>
      <c r="QA38">
        <v>0</v>
      </c>
      <c r="QB38">
        <v>0</v>
      </c>
      <c r="QC38">
        <v>0</v>
      </c>
      <c r="QD38">
        <v>0</v>
      </c>
      <c r="QE38">
        <v>0</v>
      </c>
      <c r="QF38">
        <v>0</v>
      </c>
      <c r="QG38">
        <v>0</v>
      </c>
      <c r="QH38">
        <v>0</v>
      </c>
      <c r="QI38">
        <v>0</v>
      </c>
      <c r="QJ38">
        <v>0</v>
      </c>
      <c r="QK38">
        <v>0</v>
      </c>
      <c r="QL38">
        <v>0</v>
      </c>
      <c r="QM38">
        <v>0</v>
      </c>
      <c r="QN38">
        <v>0</v>
      </c>
      <c r="QO38">
        <v>0</v>
      </c>
      <c r="QP38">
        <v>0</v>
      </c>
      <c r="QQ38">
        <v>0</v>
      </c>
      <c r="QR38">
        <v>0</v>
      </c>
      <c r="QS38">
        <v>0</v>
      </c>
      <c r="QT38">
        <v>0</v>
      </c>
      <c r="QU38">
        <v>0</v>
      </c>
      <c r="QV38">
        <v>0</v>
      </c>
      <c r="QW38">
        <v>0</v>
      </c>
      <c r="QX38">
        <v>0</v>
      </c>
      <c r="QY38">
        <v>0</v>
      </c>
      <c r="QZ38">
        <v>0</v>
      </c>
      <c r="RA38">
        <v>0</v>
      </c>
      <c r="RB38">
        <v>0</v>
      </c>
      <c r="RC38">
        <v>0</v>
      </c>
      <c r="RD38">
        <v>0</v>
      </c>
      <c r="RE38">
        <v>0</v>
      </c>
      <c r="RF38">
        <v>0</v>
      </c>
      <c r="RG38">
        <v>0</v>
      </c>
      <c r="RH38">
        <v>0</v>
      </c>
      <c r="RI38">
        <v>0</v>
      </c>
      <c r="RJ38">
        <v>0</v>
      </c>
      <c r="RK38">
        <v>0</v>
      </c>
      <c r="RL38">
        <v>0</v>
      </c>
      <c r="RM38">
        <v>0</v>
      </c>
      <c r="RN38">
        <v>0</v>
      </c>
      <c r="RO38">
        <v>0</v>
      </c>
      <c r="RP38">
        <v>0</v>
      </c>
      <c r="RQ38">
        <v>0</v>
      </c>
      <c r="RR38">
        <v>0</v>
      </c>
      <c r="RS38">
        <v>0</v>
      </c>
      <c r="RT38">
        <v>0</v>
      </c>
      <c r="RU38">
        <v>0</v>
      </c>
      <c r="RV38">
        <v>0</v>
      </c>
      <c r="RW38">
        <v>0</v>
      </c>
      <c r="RX38">
        <v>0</v>
      </c>
      <c r="RY38">
        <v>0</v>
      </c>
      <c r="RZ38">
        <v>0</v>
      </c>
      <c r="SA38">
        <v>0</v>
      </c>
      <c r="SB38">
        <v>0</v>
      </c>
      <c r="SC38">
        <v>0</v>
      </c>
      <c r="SD38">
        <v>0</v>
      </c>
      <c r="SE38">
        <v>0</v>
      </c>
      <c r="SF38">
        <v>0</v>
      </c>
      <c r="SG38">
        <v>0</v>
      </c>
      <c r="SH38">
        <v>0</v>
      </c>
      <c r="SI38">
        <v>0</v>
      </c>
      <c r="SJ38">
        <v>0</v>
      </c>
      <c r="SK38">
        <v>0</v>
      </c>
      <c r="SL38">
        <v>0</v>
      </c>
      <c r="SM38">
        <v>0</v>
      </c>
      <c r="SN38">
        <v>0</v>
      </c>
      <c r="SO38">
        <v>0</v>
      </c>
      <c r="SP38">
        <v>0</v>
      </c>
      <c r="SQ38">
        <v>0</v>
      </c>
      <c r="SR38">
        <v>0</v>
      </c>
      <c r="SS38">
        <v>0</v>
      </c>
      <c r="ST38">
        <v>0</v>
      </c>
      <c r="SU38">
        <v>0</v>
      </c>
      <c r="SV38">
        <v>0</v>
      </c>
      <c r="SW38">
        <v>0</v>
      </c>
      <c r="SX38">
        <v>0</v>
      </c>
      <c r="SY38">
        <v>0</v>
      </c>
      <c r="SZ38">
        <v>0</v>
      </c>
      <c r="TA38">
        <v>0</v>
      </c>
      <c r="TB38">
        <v>0</v>
      </c>
      <c r="TC38">
        <v>0</v>
      </c>
      <c r="TD38">
        <v>0</v>
      </c>
      <c r="TE38">
        <v>0</v>
      </c>
      <c r="TF38">
        <v>0</v>
      </c>
      <c r="TG38">
        <v>0</v>
      </c>
      <c r="TH38">
        <v>0</v>
      </c>
      <c r="TI38">
        <v>0</v>
      </c>
      <c r="TJ38">
        <v>0</v>
      </c>
      <c r="TK38">
        <v>0</v>
      </c>
      <c r="TL38">
        <v>0</v>
      </c>
      <c r="TM38">
        <v>0</v>
      </c>
      <c r="TN38">
        <v>0</v>
      </c>
      <c r="TO38">
        <v>0</v>
      </c>
      <c r="TP38">
        <v>0</v>
      </c>
      <c r="TQ38">
        <v>0</v>
      </c>
      <c r="TR38">
        <v>0</v>
      </c>
      <c r="TS38">
        <v>0</v>
      </c>
      <c r="TT38">
        <v>0</v>
      </c>
      <c r="TU38">
        <v>0</v>
      </c>
      <c r="TV38">
        <v>0</v>
      </c>
      <c r="TW38">
        <v>0</v>
      </c>
      <c r="TX38">
        <v>0</v>
      </c>
      <c r="TY38">
        <v>0</v>
      </c>
      <c r="TZ38">
        <v>0</v>
      </c>
      <c r="UA38">
        <v>0</v>
      </c>
      <c r="UB38">
        <v>0</v>
      </c>
      <c r="UC38">
        <v>0</v>
      </c>
      <c r="UD38">
        <v>0</v>
      </c>
      <c r="UE38">
        <v>0</v>
      </c>
      <c r="UF38">
        <v>0</v>
      </c>
      <c r="UG38">
        <v>0</v>
      </c>
      <c r="UH38">
        <v>0</v>
      </c>
      <c r="UI38">
        <v>0</v>
      </c>
      <c r="UJ38">
        <v>0</v>
      </c>
      <c r="UK38">
        <v>0</v>
      </c>
      <c r="UL38">
        <v>0</v>
      </c>
      <c r="UM38">
        <v>0</v>
      </c>
      <c r="UN38">
        <v>0</v>
      </c>
      <c r="UO38">
        <v>0</v>
      </c>
      <c r="UP38">
        <v>0</v>
      </c>
      <c r="UQ38">
        <v>0</v>
      </c>
      <c r="UR38">
        <v>0</v>
      </c>
      <c r="US38">
        <v>0</v>
      </c>
      <c r="UT38">
        <v>0</v>
      </c>
      <c r="UU38">
        <v>0</v>
      </c>
      <c r="UV38">
        <v>0</v>
      </c>
      <c r="UW38">
        <v>0</v>
      </c>
      <c r="UX38">
        <v>0</v>
      </c>
      <c r="UY38">
        <v>0</v>
      </c>
      <c r="UZ38">
        <v>0</v>
      </c>
      <c r="VA38">
        <v>0</v>
      </c>
      <c r="VB38">
        <v>0</v>
      </c>
      <c r="VC38">
        <v>0</v>
      </c>
      <c r="VD38">
        <v>0</v>
      </c>
      <c r="VE38">
        <v>0</v>
      </c>
      <c r="VF38">
        <v>0</v>
      </c>
      <c r="VG38">
        <v>0</v>
      </c>
      <c r="VH38">
        <v>0</v>
      </c>
      <c r="VI38">
        <v>0</v>
      </c>
      <c r="VJ38">
        <v>0</v>
      </c>
      <c r="VK38">
        <v>0</v>
      </c>
      <c r="VL38">
        <v>0</v>
      </c>
      <c r="VM38">
        <v>0</v>
      </c>
      <c r="VN38">
        <v>0</v>
      </c>
      <c r="VO38">
        <v>0</v>
      </c>
      <c r="VP38">
        <v>0</v>
      </c>
      <c r="VQ38">
        <v>0</v>
      </c>
      <c r="VR38">
        <v>0</v>
      </c>
      <c r="VS38">
        <v>0</v>
      </c>
      <c r="VT38">
        <v>0</v>
      </c>
      <c r="VU38">
        <v>0</v>
      </c>
      <c r="VV38">
        <v>0</v>
      </c>
      <c r="VW38">
        <v>0</v>
      </c>
      <c r="VX38">
        <v>0</v>
      </c>
      <c r="VY38">
        <v>0</v>
      </c>
      <c r="VZ38">
        <v>0</v>
      </c>
      <c r="WA38">
        <v>0</v>
      </c>
      <c r="WB38">
        <v>0</v>
      </c>
      <c r="WC38">
        <v>0</v>
      </c>
      <c r="WD38">
        <v>0</v>
      </c>
      <c r="WE38">
        <v>0</v>
      </c>
      <c r="WF38">
        <v>0</v>
      </c>
      <c r="WG38">
        <v>0</v>
      </c>
      <c r="WH38">
        <v>0</v>
      </c>
      <c r="WI38">
        <v>0</v>
      </c>
      <c r="WJ38">
        <v>0</v>
      </c>
      <c r="WK38">
        <v>0</v>
      </c>
      <c r="WL38">
        <v>0</v>
      </c>
      <c r="WM38">
        <v>0</v>
      </c>
      <c r="WN38">
        <v>0</v>
      </c>
      <c r="WO38">
        <v>0</v>
      </c>
      <c r="WP38">
        <v>0</v>
      </c>
      <c r="WQ38">
        <v>0</v>
      </c>
      <c r="WR38">
        <v>0</v>
      </c>
      <c r="WS38">
        <v>0</v>
      </c>
      <c r="WT38">
        <v>0</v>
      </c>
      <c r="WU38">
        <v>0</v>
      </c>
      <c r="WV38">
        <v>0</v>
      </c>
      <c r="WW38">
        <v>0</v>
      </c>
      <c r="WX38">
        <v>0</v>
      </c>
      <c r="WY38">
        <v>0</v>
      </c>
      <c r="WZ38">
        <v>0</v>
      </c>
      <c r="XA38">
        <v>0</v>
      </c>
      <c r="XB38">
        <v>0</v>
      </c>
      <c r="XC38">
        <v>0</v>
      </c>
      <c r="XD38">
        <v>0</v>
      </c>
      <c r="XE38">
        <v>0</v>
      </c>
      <c r="XF38">
        <v>0</v>
      </c>
      <c r="XG38">
        <v>0</v>
      </c>
      <c r="XH38">
        <v>0</v>
      </c>
      <c r="XI38">
        <v>0</v>
      </c>
      <c r="XJ38">
        <v>0</v>
      </c>
      <c r="XK38">
        <v>0</v>
      </c>
      <c r="XL38">
        <v>0</v>
      </c>
      <c r="XM38">
        <v>0</v>
      </c>
      <c r="XN38">
        <v>0</v>
      </c>
      <c r="XO38">
        <v>0</v>
      </c>
      <c r="XP38">
        <v>0</v>
      </c>
      <c r="XQ38">
        <v>0</v>
      </c>
      <c r="XR38">
        <v>0</v>
      </c>
      <c r="XS38">
        <v>0</v>
      </c>
      <c r="XT38">
        <v>0</v>
      </c>
      <c r="XU38">
        <v>0</v>
      </c>
      <c r="XV38">
        <v>0</v>
      </c>
      <c r="XW38">
        <v>0</v>
      </c>
      <c r="XX38">
        <v>0</v>
      </c>
      <c r="XY38">
        <v>0</v>
      </c>
      <c r="XZ38">
        <v>0</v>
      </c>
      <c r="YA38">
        <v>0</v>
      </c>
      <c r="YB38">
        <v>0</v>
      </c>
      <c r="YC38">
        <v>0</v>
      </c>
      <c r="YD38">
        <v>0</v>
      </c>
      <c r="YE38">
        <v>0</v>
      </c>
      <c r="YF38">
        <v>0</v>
      </c>
      <c r="YG38">
        <v>0</v>
      </c>
      <c r="YH38">
        <v>0</v>
      </c>
      <c r="YI38">
        <v>0</v>
      </c>
      <c r="YJ38">
        <v>0</v>
      </c>
      <c r="YK38">
        <v>0</v>
      </c>
      <c r="YL38">
        <v>0</v>
      </c>
      <c r="YM38">
        <v>0</v>
      </c>
      <c r="YN38">
        <v>0</v>
      </c>
      <c r="YO38">
        <v>0</v>
      </c>
      <c r="YP38">
        <v>0</v>
      </c>
      <c r="YQ38">
        <v>0</v>
      </c>
      <c r="YR38">
        <v>0</v>
      </c>
      <c r="YS38">
        <v>0</v>
      </c>
      <c r="YT38">
        <v>0</v>
      </c>
      <c r="YU38">
        <v>0</v>
      </c>
      <c r="YV38">
        <v>0</v>
      </c>
      <c r="YW38">
        <v>0</v>
      </c>
      <c r="YX38">
        <v>0</v>
      </c>
      <c r="YY38">
        <v>0</v>
      </c>
      <c r="YZ38">
        <v>0</v>
      </c>
      <c r="ZA38">
        <v>0</v>
      </c>
      <c r="ZB38">
        <v>0</v>
      </c>
      <c r="ZC38">
        <v>0</v>
      </c>
      <c r="ZD38">
        <v>0</v>
      </c>
      <c r="ZE38">
        <v>0</v>
      </c>
      <c r="ZF38">
        <v>0</v>
      </c>
      <c r="ZG38">
        <v>0</v>
      </c>
      <c r="ZH38">
        <v>0</v>
      </c>
      <c r="ZI38">
        <v>0</v>
      </c>
      <c r="ZJ38">
        <v>0</v>
      </c>
      <c r="ZK38">
        <v>0</v>
      </c>
      <c r="ZL38">
        <v>0</v>
      </c>
      <c r="ZM38">
        <v>0</v>
      </c>
      <c r="ZN38">
        <v>0</v>
      </c>
      <c r="ZO38">
        <v>0</v>
      </c>
      <c r="ZP38">
        <v>0</v>
      </c>
      <c r="ZQ38">
        <v>0</v>
      </c>
      <c r="ZR38">
        <v>0</v>
      </c>
      <c r="ZS38">
        <v>0</v>
      </c>
      <c r="ZT38">
        <v>0</v>
      </c>
      <c r="ZU38">
        <v>0</v>
      </c>
      <c r="ZV38">
        <v>0</v>
      </c>
      <c r="ZW38">
        <v>0</v>
      </c>
      <c r="ZX38">
        <v>0</v>
      </c>
      <c r="ZY38">
        <v>0</v>
      </c>
      <c r="ZZ38">
        <v>0</v>
      </c>
      <c r="AAA38">
        <v>0</v>
      </c>
      <c r="AAB38">
        <v>0</v>
      </c>
      <c r="AAC38">
        <v>0</v>
      </c>
      <c r="AAD38">
        <v>0</v>
      </c>
      <c r="AAE38">
        <v>0</v>
      </c>
      <c r="AAF38">
        <v>0</v>
      </c>
      <c r="AAG38">
        <v>0</v>
      </c>
      <c r="AAH38">
        <v>0</v>
      </c>
      <c r="AAI38">
        <v>0</v>
      </c>
      <c r="AAJ38">
        <v>0</v>
      </c>
      <c r="AAK38">
        <v>0</v>
      </c>
      <c r="AAL38">
        <v>0</v>
      </c>
      <c r="AAM38">
        <v>0</v>
      </c>
      <c r="AAN38">
        <v>0</v>
      </c>
      <c r="AAO38">
        <v>0</v>
      </c>
      <c r="AAP38">
        <v>0</v>
      </c>
      <c r="AAQ38">
        <v>0</v>
      </c>
      <c r="AAR38">
        <v>0</v>
      </c>
      <c r="AAS38">
        <v>0</v>
      </c>
      <c r="AAT38">
        <v>0</v>
      </c>
      <c r="AAU38">
        <v>0</v>
      </c>
      <c r="AAV38">
        <v>0</v>
      </c>
      <c r="AAW38">
        <v>0</v>
      </c>
      <c r="AAX38">
        <v>0</v>
      </c>
      <c r="AAY38">
        <v>0</v>
      </c>
      <c r="AAZ38">
        <v>0</v>
      </c>
      <c r="ABA38">
        <v>0</v>
      </c>
      <c r="ABB38">
        <v>0</v>
      </c>
      <c r="ABC38">
        <v>0</v>
      </c>
      <c r="ABD38">
        <v>0</v>
      </c>
      <c r="ABE38">
        <v>0</v>
      </c>
      <c r="ABG38" s="1137">
        <f t="shared" si="9"/>
        <v>0</v>
      </c>
      <c r="ABH38" s="1137">
        <f t="shared" si="9"/>
        <v>0</v>
      </c>
      <c r="ABI38" s="1137">
        <f t="shared" si="9"/>
        <v>8</v>
      </c>
      <c r="ABJ38" s="1137">
        <f t="shared" si="9"/>
        <v>30</v>
      </c>
      <c r="ABK38" s="1137">
        <f t="shared" si="9"/>
        <v>31</v>
      </c>
      <c r="ABL38" s="1137">
        <f t="shared" si="9"/>
        <v>30</v>
      </c>
      <c r="ABM38" s="1137">
        <f t="shared" si="9"/>
        <v>26</v>
      </c>
      <c r="ABN38" s="1137">
        <f t="shared" si="9"/>
        <v>0</v>
      </c>
      <c r="ABO38" s="1137">
        <f t="shared" si="9"/>
        <v>0</v>
      </c>
      <c r="ABP38" s="1137">
        <f t="shared" si="9"/>
        <v>0</v>
      </c>
      <c r="ABQ38" s="1137">
        <f t="shared" si="9"/>
        <v>0</v>
      </c>
      <c r="ABR38" s="1137">
        <f t="shared" si="9"/>
        <v>0</v>
      </c>
      <c r="ABS38" s="1137">
        <f t="shared" si="9"/>
        <v>0</v>
      </c>
      <c r="ABT38" s="1137">
        <f t="shared" si="9"/>
        <v>0</v>
      </c>
      <c r="ABU38" s="1137">
        <f t="shared" si="9"/>
        <v>0</v>
      </c>
      <c r="ABV38" s="1137">
        <f t="shared" si="9"/>
        <v>0</v>
      </c>
      <c r="ABW38" s="1137">
        <f t="shared" si="7"/>
        <v>0</v>
      </c>
      <c r="ABX38" s="1137">
        <f t="shared" si="7"/>
        <v>0</v>
      </c>
      <c r="ABY38" s="1137">
        <f t="shared" si="7"/>
        <v>0</v>
      </c>
      <c r="ABZ38" s="1137">
        <f t="shared" si="7"/>
        <v>0</v>
      </c>
      <c r="ACA38" s="1137">
        <f t="shared" si="7"/>
        <v>0</v>
      </c>
      <c r="ACB38" s="1137">
        <f t="shared" si="7"/>
        <v>0</v>
      </c>
      <c r="ACC38" s="1137">
        <f t="shared" si="7"/>
        <v>0</v>
      </c>
      <c r="ACD38" s="1137">
        <f t="shared" si="7"/>
        <v>0</v>
      </c>
      <c r="ACE38" s="1137" t="s">
        <v>2014</v>
      </c>
      <c r="ACF38" s="1137">
        <f t="shared" si="10"/>
        <v>0</v>
      </c>
      <c r="ACG38" s="1137">
        <f t="shared" si="10"/>
        <v>0</v>
      </c>
      <c r="ACH38" s="1137">
        <f t="shared" si="10"/>
        <v>0</v>
      </c>
      <c r="ACI38" s="1137">
        <f t="shared" si="10"/>
        <v>1</v>
      </c>
      <c r="ACJ38" s="1137">
        <f t="shared" si="10"/>
        <v>1</v>
      </c>
      <c r="ACK38" s="1137">
        <f t="shared" si="10"/>
        <v>1</v>
      </c>
      <c r="ACL38" s="1137">
        <f t="shared" si="10"/>
        <v>1</v>
      </c>
      <c r="ACM38" s="1137">
        <f t="shared" si="10"/>
        <v>0</v>
      </c>
      <c r="ACN38" s="1137">
        <f t="shared" si="10"/>
        <v>0</v>
      </c>
      <c r="ACO38" s="1137">
        <f t="shared" si="10"/>
        <v>0</v>
      </c>
      <c r="ACP38" s="1137">
        <f t="shared" si="10"/>
        <v>0</v>
      </c>
      <c r="ACQ38" s="1137">
        <f t="shared" si="10"/>
        <v>0</v>
      </c>
      <c r="ACR38" s="1137">
        <f t="shared" si="10"/>
        <v>0</v>
      </c>
      <c r="ACS38" s="1137">
        <f t="shared" si="10"/>
        <v>0</v>
      </c>
      <c r="ACT38" s="1137">
        <f t="shared" si="10"/>
        <v>0</v>
      </c>
      <c r="ACU38" s="1137">
        <f t="shared" si="10"/>
        <v>0</v>
      </c>
      <c r="ACV38" s="1137">
        <f t="shared" si="8"/>
        <v>0</v>
      </c>
      <c r="ACW38" s="1137">
        <f t="shared" si="8"/>
        <v>0</v>
      </c>
      <c r="ACX38" s="1137">
        <f t="shared" si="8"/>
        <v>0</v>
      </c>
      <c r="ACY38" s="1137">
        <f t="shared" si="8"/>
        <v>0</v>
      </c>
      <c r="ACZ38" s="1137">
        <f t="shared" si="8"/>
        <v>0</v>
      </c>
      <c r="ADA38" s="1137">
        <f t="shared" si="8"/>
        <v>0</v>
      </c>
      <c r="ADB38" s="1137">
        <f t="shared" si="8"/>
        <v>0</v>
      </c>
      <c r="ADC38" s="1137">
        <f t="shared" si="8"/>
        <v>0</v>
      </c>
    </row>
    <row r="39" spans="1:783" x14ac:dyDescent="0.25">
      <c r="A39" t="s">
        <v>1835</v>
      </c>
      <c r="B39" t="s">
        <v>19</v>
      </c>
      <c r="C39">
        <v>0</v>
      </c>
      <c r="D39">
        <v>0</v>
      </c>
      <c r="E39">
        <v>0</v>
      </c>
      <c r="F39">
        <v>0</v>
      </c>
      <c r="G39">
        <v>0</v>
      </c>
      <c r="H39">
        <v>0</v>
      </c>
      <c r="I39">
        <v>0</v>
      </c>
      <c r="J39">
        <v>0</v>
      </c>
      <c r="K39">
        <v>0</v>
      </c>
      <c r="L39">
        <v>0</v>
      </c>
      <c r="M39">
        <v>0</v>
      </c>
      <c r="N39">
        <v>0</v>
      </c>
      <c r="O39">
        <v>0</v>
      </c>
      <c r="P39">
        <v>0</v>
      </c>
      <c r="Q39">
        <v>0</v>
      </c>
      <c r="R39">
        <v>0</v>
      </c>
      <c r="S39">
        <v>0</v>
      </c>
      <c r="T39">
        <v>0</v>
      </c>
      <c r="U39">
        <v>0</v>
      </c>
      <c r="V39">
        <v>0</v>
      </c>
      <c r="W39">
        <v>0</v>
      </c>
      <c r="X39">
        <v>0</v>
      </c>
      <c r="Y39">
        <v>0</v>
      </c>
      <c r="Z39">
        <v>0</v>
      </c>
      <c r="AA39">
        <v>0</v>
      </c>
      <c r="AB39">
        <v>0</v>
      </c>
      <c r="AC39">
        <v>0</v>
      </c>
      <c r="AD39">
        <v>0</v>
      </c>
      <c r="AE39">
        <v>0</v>
      </c>
      <c r="AF39">
        <v>0</v>
      </c>
      <c r="AG39">
        <v>0</v>
      </c>
      <c r="AH39">
        <v>0</v>
      </c>
      <c r="AI39">
        <v>0</v>
      </c>
      <c r="AJ39">
        <v>0</v>
      </c>
      <c r="AK39">
        <v>0</v>
      </c>
      <c r="AL39">
        <v>0</v>
      </c>
      <c r="AM39">
        <v>0</v>
      </c>
      <c r="AN39">
        <v>0</v>
      </c>
      <c r="AO39">
        <v>0</v>
      </c>
      <c r="AP39">
        <v>0</v>
      </c>
      <c r="AQ39">
        <v>0</v>
      </c>
      <c r="AR39">
        <v>0</v>
      </c>
      <c r="AS39">
        <v>0</v>
      </c>
      <c r="AT39">
        <v>0</v>
      </c>
      <c r="AU39">
        <v>0</v>
      </c>
      <c r="AV39">
        <v>0</v>
      </c>
      <c r="AW39">
        <v>0</v>
      </c>
      <c r="AX39">
        <v>0</v>
      </c>
      <c r="AY39">
        <v>0</v>
      </c>
      <c r="AZ39">
        <v>0</v>
      </c>
      <c r="BA39">
        <v>0</v>
      </c>
      <c r="BB39">
        <v>0</v>
      </c>
      <c r="BC39">
        <v>0</v>
      </c>
      <c r="BD39">
        <v>0</v>
      </c>
      <c r="BE39">
        <v>0</v>
      </c>
      <c r="BF39">
        <v>0</v>
      </c>
      <c r="BG39">
        <v>0</v>
      </c>
      <c r="BH39">
        <v>0</v>
      </c>
      <c r="BI39">
        <v>0</v>
      </c>
      <c r="BJ39">
        <v>0</v>
      </c>
      <c r="BK39">
        <v>0</v>
      </c>
      <c r="BL39">
        <v>0</v>
      </c>
      <c r="BM39">
        <v>0</v>
      </c>
      <c r="BN39">
        <v>0</v>
      </c>
      <c r="BO39">
        <v>0</v>
      </c>
      <c r="BP39">
        <v>0</v>
      </c>
      <c r="BQ39">
        <v>0</v>
      </c>
      <c r="BR39">
        <v>0</v>
      </c>
      <c r="BS39">
        <v>0</v>
      </c>
      <c r="BT39">
        <v>0</v>
      </c>
      <c r="BU39">
        <v>0</v>
      </c>
      <c r="BV39">
        <v>0</v>
      </c>
      <c r="BW39">
        <v>0</v>
      </c>
      <c r="BX39">
        <v>0</v>
      </c>
      <c r="BY39">
        <v>0</v>
      </c>
      <c r="BZ39">
        <v>0</v>
      </c>
      <c r="CA39">
        <v>0</v>
      </c>
      <c r="CB39">
        <v>1</v>
      </c>
      <c r="CC39">
        <v>1</v>
      </c>
      <c r="CD39">
        <v>1</v>
      </c>
      <c r="CE39">
        <v>1</v>
      </c>
      <c r="CF39">
        <v>1</v>
      </c>
      <c r="CG39">
        <v>1</v>
      </c>
      <c r="CH39">
        <v>1</v>
      </c>
      <c r="CI39">
        <v>1</v>
      </c>
      <c r="CJ39">
        <v>1</v>
      </c>
      <c r="CK39">
        <v>1</v>
      </c>
      <c r="CL39">
        <v>1</v>
      </c>
      <c r="CM39">
        <v>1</v>
      </c>
      <c r="CN39">
        <v>1</v>
      </c>
      <c r="CO39">
        <v>1</v>
      </c>
      <c r="CP39">
        <v>1</v>
      </c>
      <c r="CQ39">
        <v>1</v>
      </c>
      <c r="CR39">
        <v>1</v>
      </c>
      <c r="CS39">
        <v>1</v>
      </c>
      <c r="CT39">
        <v>1</v>
      </c>
      <c r="CU39">
        <v>1</v>
      </c>
      <c r="CV39">
        <v>1</v>
      </c>
      <c r="CW39">
        <v>1</v>
      </c>
      <c r="CX39">
        <v>1</v>
      </c>
      <c r="CY39">
        <v>1</v>
      </c>
      <c r="CZ39">
        <v>1</v>
      </c>
      <c r="DA39">
        <v>1</v>
      </c>
      <c r="DB39">
        <v>1</v>
      </c>
      <c r="DC39">
        <v>1</v>
      </c>
      <c r="DD39">
        <v>1</v>
      </c>
      <c r="DE39">
        <v>1</v>
      </c>
      <c r="DF39">
        <v>1</v>
      </c>
      <c r="DG39">
        <v>1</v>
      </c>
      <c r="DH39">
        <v>1</v>
      </c>
      <c r="DI39">
        <v>1</v>
      </c>
      <c r="DJ39">
        <v>1</v>
      </c>
      <c r="DK39">
        <v>1</v>
      </c>
      <c r="DL39">
        <v>1</v>
      </c>
      <c r="DM39">
        <v>1</v>
      </c>
      <c r="DN39">
        <v>1</v>
      </c>
      <c r="DO39">
        <v>1</v>
      </c>
      <c r="DP39">
        <v>1</v>
      </c>
      <c r="DQ39">
        <v>1</v>
      </c>
      <c r="DR39">
        <v>1</v>
      </c>
      <c r="DS39">
        <v>1</v>
      </c>
      <c r="DT39">
        <v>1</v>
      </c>
      <c r="DU39">
        <v>1</v>
      </c>
      <c r="DV39">
        <v>1</v>
      </c>
      <c r="DW39">
        <v>1</v>
      </c>
      <c r="DX39">
        <v>1</v>
      </c>
      <c r="DY39">
        <v>1</v>
      </c>
      <c r="DZ39">
        <v>1</v>
      </c>
      <c r="EA39">
        <v>1</v>
      </c>
      <c r="EB39">
        <v>1</v>
      </c>
      <c r="EC39">
        <v>1</v>
      </c>
      <c r="ED39">
        <v>1</v>
      </c>
      <c r="EE39">
        <v>1</v>
      </c>
      <c r="EF39">
        <v>1</v>
      </c>
      <c r="EG39">
        <v>1</v>
      </c>
      <c r="EH39">
        <v>1</v>
      </c>
      <c r="EI39">
        <v>1</v>
      </c>
      <c r="EJ39">
        <v>1</v>
      </c>
      <c r="EK39">
        <v>1</v>
      </c>
      <c r="EL39">
        <v>1</v>
      </c>
      <c r="EM39">
        <v>1</v>
      </c>
      <c r="EN39">
        <v>1</v>
      </c>
      <c r="EO39">
        <v>1</v>
      </c>
      <c r="EP39">
        <v>1</v>
      </c>
      <c r="EQ39">
        <v>1</v>
      </c>
      <c r="ER39">
        <v>1</v>
      </c>
      <c r="ES39">
        <v>1</v>
      </c>
      <c r="ET39">
        <v>1</v>
      </c>
      <c r="EU39">
        <v>1</v>
      </c>
      <c r="EV39">
        <v>1</v>
      </c>
      <c r="EW39">
        <v>1</v>
      </c>
      <c r="EX39">
        <v>1</v>
      </c>
      <c r="EY39">
        <v>1</v>
      </c>
      <c r="EZ39">
        <v>1</v>
      </c>
      <c r="FA39">
        <v>1</v>
      </c>
      <c r="FB39">
        <v>1</v>
      </c>
      <c r="FC39">
        <v>1</v>
      </c>
      <c r="FD39">
        <v>1</v>
      </c>
      <c r="FE39">
        <v>1</v>
      </c>
      <c r="FF39">
        <v>1</v>
      </c>
      <c r="FG39">
        <v>1</v>
      </c>
      <c r="FH39">
        <v>1</v>
      </c>
      <c r="FI39">
        <v>1</v>
      </c>
      <c r="FJ39">
        <v>1</v>
      </c>
      <c r="FK39">
        <v>1</v>
      </c>
      <c r="FL39">
        <v>1</v>
      </c>
      <c r="FM39">
        <v>1</v>
      </c>
      <c r="FN39">
        <v>1</v>
      </c>
      <c r="FO39">
        <v>1</v>
      </c>
      <c r="FP39">
        <v>1</v>
      </c>
      <c r="FQ39">
        <v>1</v>
      </c>
      <c r="FR39">
        <v>1</v>
      </c>
      <c r="FS39">
        <v>1</v>
      </c>
      <c r="FT39">
        <v>1</v>
      </c>
      <c r="FU39">
        <v>1</v>
      </c>
      <c r="FV39">
        <v>1</v>
      </c>
      <c r="FW39">
        <v>1</v>
      </c>
      <c r="FX39">
        <v>1</v>
      </c>
      <c r="FY39">
        <v>1</v>
      </c>
      <c r="FZ39">
        <v>1</v>
      </c>
      <c r="GA39">
        <v>1</v>
      </c>
      <c r="GB39">
        <v>1</v>
      </c>
      <c r="GC39">
        <v>1</v>
      </c>
      <c r="GD39">
        <v>1</v>
      </c>
      <c r="GE39">
        <v>1</v>
      </c>
      <c r="GF39">
        <v>1</v>
      </c>
      <c r="GG39">
        <v>1</v>
      </c>
      <c r="GH39">
        <v>1</v>
      </c>
      <c r="GI39">
        <v>1</v>
      </c>
      <c r="GJ39">
        <v>1</v>
      </c>
      <c r="GK39">
        <v>1</v>
      </c>
      <c r="GL39">
        <v>1</v>
      </c>
      <c r="GM39">
        <v>1</v>
      </c>
      <c r="GN39">
        <v>1</v>
      </c>
      <c r="GO39">
        <v>1</v>
      </c>
      <c r="GP39">
        <v>1</v>
      </c>
      <c r="GQ39">
        <v>1</v>
      </c>
      <c r="GR39">
        <v>1</v>
      </c>
      <c r="GS39">
        <v>1</v>
      </c>
      <c r="GT39">
        <v>1</v>
      </c>
      <c r="GU39">
        <v>1</v>
      </c>
      <c r="GV39">
        <v>1</v>
      </c>
      <c r="GW39">
        <v>1</v>
      </c>
      <c r="GX39">
        <v>1</v>
      </c>
      <c r="GY39">
        <v>1</v>
      </c>
      <c r="GZ39">
        <v>1</v>
      </c>
      <c r="HA39">
        <v>1</v>
      </c>
      <c r="HB39">
        <v>1</v>
      </c>
      <c r="HC39">
        <v>1</v>
      </c>
      <c r="HD39">
        <v>1</v>
      </c>
      <c r="HE39">
        <v>1</v>
      </c>
      <c r="HF39">
        <v>1</v>
      </c>
      <c r="HG39">
        <v>1</v>
      </c>
      <c r="HH39">
        <v>1</v>
      </c>
      <c r="HI39">
        <v>1</v>
      </c>
      <c r="HJ39">
        <v>1</v>
      </c>
      <c r="HK39">
        <v>1</v>
      </c>
      <c r="HL39">
        <v>1</v>
      </c>
      <c r="HM39">
        <v>1</v>
      </c>
      <c r="HN39">
        <v>1</v>
      </c>
      <c r="HO39">
        <v>1</v>
      </c>
      <c r="HP39">
        <v>1</v>
      </c>
      <c r="HQ39">
        <v>1</v>
      </c>
      <c r="HR39">
        <v>1</v>
      </c>
      <c r="HS39">
        <v>1</v>
      </c>
      <c r="HT39">
        <v>1</v>
      </c>
      <c r="HU39">
        <v>1</v>
      </c>
      <c r="HV39">
        <v>1</v>
      </c>
      <c r="HW39">
        <v>1</v>
      </c>
      <c r="HX39">
        <v>1</v>
      </c>
      <c r="HY39">
        <v>1</v>
      </c>
      <c r="HZ39">
        <v>1</v>
      </c>
      <c r="IA39">
        <v>1</v>
      </c>
      <c r="IB39">
        <v>1</v>
      </c>
      <c r="IC39">
        <v>1</v>
      </c>
      <c r="ID39">
        <v>1</v>
      </c>
      <c r="IE39">
        <v>1</v>
      </c>
      <c r="IF39">
        <v>1</v>
      </c>
      <c r="IG39">
        <v>1</v>
      </c>
      <c r="IH39">
        <v>1</v>
      </c>
      <c r="II39">
        <v>1</v>
      </c>
      <c r="IJ39">
        <v>1</v>
      </c>
      <c r="IK39">
        <v>1</v>
      </c>
      <c r="IL39">
        <v>1</v>
      </c>
      <c r="IM39">
        <v>1</v>
      </c>
      <c r="IN39">
        <v>1</v>
      </c>
      <c r="IO39">
        <v>1</v>
      </c>
      <c r="IP39">
        <v>1</v>
      </c>
      <c r="IQ39">
        <v>1</v>
      </c>
      <c r="IR39">
        <v>1</v>
      </c>
      <c r="IS39">
        <v>1</v>
      </c>
      <c r="IT39">
        <v>1</v>
      </c>
      <c r="IU39">
        <v>1</v>
      </c>
      <c r="IV39">
        <v>1</v>
      </c>
      <c r="IW39">
        <v>1</v>
      </c>
      <c r="IX39">
        <v>1</v>
      </c>
      <c r="IY39">
        <v>1</v>
      </c>
      <c r="IZ39">
        <v>1</v>
      </c>
      <c r="JA39">
        <v>1</v>
      </c>
      <c r="JB39">
        <v>1</v>
      </c>
      <c r="JC39">
        <v>1</v>
      </c>
      <c r="JD39">
        <v>1</v>
      </c>
      <c r="JE39">
        <v>1</v>
      </c>
      <c r="JF39">
        <v>1</v>
      </c>
      <c r="JG39">
        <v>1</v>
      </c>
      <c r="JH39">
        <v>1</v>
      </c>
      <c r="JI39">
        <v>1</v>
      </c>
      <c r="JJ39">
        <v>1</v>
      </c>
      <c r="JK39">
        <v>1</v>
      </c>
      <c r="JL39">
        <v>1</v>
      </c>
      <c r="JM39">
        <v>1</v>
      </c>
      <c r="JN39">
        <v>1</v>
      </c>
      <c r="JO39">
        <v>1</v>
      </c>
      <c r="JP39">
        <v>1</v>
      </c>
      <c r="JQ39">
        <v>1</v>
      </c>
      <c r="JR39">
        <v>1</v>
      </c>
      <c r="JS39">
        <v>1</v>
      </c>
      <c r="JT39">
        <v>1</v>
      </c>
      <c r="JU39">
        <v>1</v>
      </c>
      <c r="JV39">
        <v>1</v>
      </c>
      <c r="JW39">
        <v>1</v>
      </c>
      <c r="JX39">
        <v>1</v>
      </c>
      <c r="JY39">
        <v>1</v>
      </c>
      <c r="JZ39">
        <v>1</v>
      </c>
      <c r="KA39">
        <v>1</v>
      </c>
      <c r="KB39">
        <v>1</v>
      </c>
      <c r="KC39">
        <v>1</v>
      </c>
      <c r="KD39">
        <v>1</v>
      </c>
      <c r="KE39">
        <v>1</v>
      </c>
      <c r="KF39">
        <v>1</v>
      </c>
      <c r="KG39">
        <v>1</v>
      </c>
      <c r="KH39">
        <v>1</v>
      </c>
      <c r="KI39">
        <v>1</v>
      </c>
      <c r="KJ39">
        <v>1</v>
      </c>
      <c r="KK39">
        <v>1</v>
      </c>
      <c r="KL39">
        <v>1</v>
      </c>
      <c r="KM39">
        <v>1</v>
      </c>
      <c r="KN39">
        <v>1</v>
      </c>
      <c r="KO39">
        <v>1</v>
      </c>
      <c r="KP39">
        <v>1</v>
      </c>
      <c r="KQ39">
        <v>1</v>
      </c>
      <c r="KR39">
        <v>1</v>
      </c>
      <c r="KS39">
        <v>1</v>
      </c>
      <c r="KT39">
        <v>1</v>
      </c>
      <c r="KU39">
        <v>1</v>
      </c>
      <c r="KV39">
        <v>1</v>
      </c>
      <c r="KW39">
        <v>1</v>
      </c>
      <c r="KX39">
        <v>1</v>
      </c>
      <c r="KY39">
        <v>1</v>
      </c>
      <c r="KZ39">
        <v>1</v>
      </c>
      <c r="LA39">
        <v>1</v>
      </c>
      <c r="LB39">
        <v>1</v>
      </c>
      <c r="LC39">
        <v>1</v>
      </c>
      <c r="LD39">
        <v>1</v>
      </c>
      <c r="LE39">
        <v>1</v>
      </c>
      <c r="LF39">
        <v>1</v>
      </c>
      <c r="LG39">
        <v>1</v>
      </c>
      <c r="LH39">
        <v>1</v>
      </c>
      <c r="LI39">
        <v>1</v>
      </c>
      <c r="LJ39">
        <v>1</v>
      </c>
      <c r="LK39">
        <v>1</v>
      </c>
      <c r="LL39">
        <v>1</v>
      </c>
      <c r="LM39">
        <v>1</v>
      </c>
      <c r="LN39">
        <v>1</v>
      </c>
      <c r="LO39">
        <v>1</v>
      </c>
      <c r="LP39">
        <v>1</v>
      </c>
      <c r="LQ39">
        <v>1</v>
      </c>
      <c r="LR39">
        <v>1</v>
      </c>
      <c r="LS39">
        <v>0</v>
      </c>
      <c r="LT39">
        <v>0</v>
      </c>
      <c r="LU39">
        <v>0</v>
      </c>
      <c r="LV39">
        <v>0</v>
      </c>
      <c r="LW39">
        <v>0</v>
      </c>
      <c r="LX39">
        <v>0</v>
      </c>
      <c r="LY39">
        <v>0</v>
      </c>
      <c r="LZ39">
        <v>0</v>
      </c>
      <c r="MA39">
        <v>0</v>
      </c>
      <c r="MB39">
        <v>0</v>
      </c>
      <c r="MC39">
        <v>0</v>
      </c>
      <c r="MD39">
        <v>0</v>
      </c>
      <c r="ME39">
        <v>0</v>
      </c>
      <c r="MF39">
        <v>0</v>
      </c>
      <c r="MG39">
        <v>0</v>
      </c>
      <c r="MH39">
        <v>0</v>
      </c>
      <c r="MI39">
        <v>0</v>
      </c>
      <c r="MJ39">
        <v>0</v>
      </c>
      <c r="MK39">
        <v>0</v>
      </c>
      <c r="ML39">
        <v>0</v>
      </c>
      <c r="MM39">
        <v>0</v>
      </c>
      <c r="MN39">
        <v>0</v>
      </c>
      <c r="MO39">
        <v>0</v>
      </c>
      <c r="MP39">
        <v>0</v>
      </c>
      <c r="MQ39">
        <v>0</v>
      </c>
      <c r="MR39">
        <v>0</v>
      </c>
      <c r="MS39">
        <v>0</v>
      </c>
      <c r="MT39">
        <v>0</v>
      </c>
      <c r="MU39">
        <v>0</v>
      </c>
      <c r="MV39">
        <v>0</v>
      </c>
      <c r="MW39">
        <v>0</v>
      </c>
      <c r="MX39">
        <v>0</v>
      </c>
      <c r="MY39">
        <v>0</v>
      </c>
      <c r="MZ39">
        <v>0</v>
      </c>
      <c r="NA39">
        <v>0</v>
      </c>
      <c r="NB39">
        <v>0</v>
      </c>
      <c r="NC39">
        <v>0</v>
      </c>
      <c r="ND39">
        <v>0</v>
      </c>
      <c r="NE39">
        <v>0</v>
      </c>
      <c r="NF39">
        <v>0</v>
      </c>
      <c r="NG39">
        <v>0</v>
      </c>
      <c r="NH39">
        <v>0</v>
      </c>
      <c r="NI39">
        <v>0</v>
      </c>
      <c r="NJ39">
        <v>0</v>
      </c>
      <c r="NK39">
        <v>0</v>
      </c>
      <c r="NL39">
        <v>0</v>
      </c>
      <c r="NM39">
        <v>0</v>
      </c>
      <c r="NN39">
        <v>0</v>
      </c>
      <c r="NO39">
        <v>0</v>
      </c>
      <c r="NP39">
        <v>0</v>
      </c>
      <c r="NQ39">
        <v>0</v>
      </c>
      <c r="NR39">
        <v>0</v>
      </c>
      <c r="NS39">
        <v>0</v>
      </c>
      <c r="NT39">
        <v>0</v>
      </c>
      <c r="NU39">
        <v>0</v>
      </c>
      <c r="NV39">
        <v>0</v>
      </c>
      <c r="NW39">
        <v>0</v>
      </c>
      <c r="NX39">
        <v>0</v>
      </c>
      <c r="NY39">
        <v>0</v>
      </c>
      <c r="NZ39">
        <v>0</v>
      </c>
      <c r="OA39">
        <v>0</v>
      </c>
      <c r="OB39">
        <v>0</v>
      </c>
      <c r="OC39">
        <v>0</v>
      </c>
      <c r="OD39">
        <v>0</v>
      </c>
      <c r="OE39">
        <v>0</v>
      </c>
      <c r="OF39">
        <v>0</v>
      </c>
      <c r="OG39">
        <v>0</v>
      </c>
      <c r="OH39">
        <v>0</v>
      </c>
      <c r="OI39">
        <v>0</v>
      </c>
      <c r="OJ39">
        <v>0</v>
      </c>
      <c r="OK39">
        <v>0</v>
      </c>
      <c r="OL39">
        <v>0</v>
      </c>
      <c r="OM39">
        <v>0</v>
      </c>
      <c r="ON39">
        <v>0</v>
      </c>
      <c r="OO39">
        <v>0</v>
      </c>
      <c r="OP39">
        <v>0</v>
      </c>
      <c r="OQ39">
        <v>0</v>
      </c>
      <c r="OR39">
        <v>0</v>
      </c>
      <c r="OS39">
        <v>0</v>
      </c>
      <c r="OT39">
        <v>0</v>
      </c>
      <c r="OU39">
        <v>0</v>
      </c>
      <c r="OV39">
        <v>0</v>
      </c>
      <c r="OW39">
        <v>0</v>
      </c>
      <c r="OX39">
        <v>0</v>
      </c>
      <c r="OY39">
        <v>0</v>
      </c>
      <c r="OZ39">
        <v>0</v>
      </c>
      <c r="PA39">
        <v>0</v>
      </c>
      <c r="PB39">
        <v>0</v>
      </c>
      <c r="PC39">
        <v>0</v>
      </c>
      <c r="PD39">
        <v>0</v>
      </c>
      <c r="PE39">
        <v>0</v>
      </c>
      <c r="PF39">
        <v>0</v>
      </c>
      <c r="PG39">
        <v>0</v>
      </c>
      <c r="PH39">
        <v>0</v>
      </c>
      <c r="PI39">
        <v>0</v>
      </c>
      <c r="PJ39">
        <v>0</v>
      </c>
      <c r="PK39">
        <v>0</v>
      </c>
      <c r="PL39">
        <v>0</v>
      </c>
      <c r="PM39">
        <v>0</v>
      </c>
      <c r="PN39">
        <v>0</v>
      </c>
      <c r="PO39">
        <v>0</v>
      </c>
      <c r="PP39">
        <v>0</v>
      </c>
      <c r="PQ39">
        <v>0</v>
      </c>
      <c r="PR39">
        <v>0</v>
      </c>
      <c r="PS39">
        <v>0</v>
      </c>
      <c r="PT39">
        <v>0</v>
      </c>
      <c r="PU39">
        <v>0</v>
      </c>
      <c r="PV39">
        <v>0</v>
      </c>
      <c r="PW39">
        <v>0</v>
      </c>
      <c r="PX39">
        <v>0</v>
      </c>
      <c r="PY39">
        <v>0</v>
      </c>
      <c r="PZ39">
        <v>0</v>
      </c>
      <c r="QA39">
        <v>0</v>
      </c>
      <c r="QB39">
        <v>0</v>
      </c>
      <c r="QC39">
        <v>0</v>
      </c>
      <c r="QD39">
        <v>0</v>
      </c>
      <c r="QE39">
        <v>0</v>
      </c>
      <c r="QF39">
        <v>0</v>
      </c>
      <c r="QG39">
        <v>0</v>
      </c>
      <c r="QH39">
        <v>0</v>
      </c>
      <c r="QI39">
        <v>0</v>
      </c>
      <c r="QJ39">
        <v>0</v>
      </c>
      <c r="QK39">
        <v>0</v>
      </c>
      <c r="QL39">
        <v>0</v>
      </c>
      <c r="QM39">
        <v>0</v>
      </c>
      <c r="QN39">
        <v>0</v>
      </c>
      <c r="QO39">
        <v>0</v>
      </c>
      <c r="QP39">
        <v>0</v>
      </c>
      <c r="QQ39">
        <v>0</v>
      </c>
      <c r="QR39">
        <v>0</v>
      </c>
      <c r="QS39">
        <v>0</v>
      </c>
      <c r="QT39">
        <v>0</v>
      </c>
      <c r="QU39">
        <v>0</v>
      </c>
      <c r="QV39">
        <v>0</v>
      </c>
      <c r="QW39">
        <v>0</v>
      </c>
      <c r="QX39">
        <v>0</v>
      </c>
      <c r="QY39">
        <v>0</v>
      </c>
      <c r="QZ39">
        <v>0</v>
      </c>
      <c r="RA39">
        <v>0</v>
      </c>
      <c r="RB39">
        <v>0</v>
      </c>
      <c r="RC39">
        <v>0</v>
      </c>
      <c r="RD39">
        <v>0</v>
      </c>
      <c r="RE39">
        <v>0</v>
      </c>
      <c r="RF39">
        <v>0</v>
      </c>
      <c r="RG39">
        <v>0</v>
      </c>
      <c r="RH39">
        <v>0</v>
      </c>
      <c r="RI39">
        <v>0</v>
      </c>
      <c r="RJ39">
        <v>0</v>
      </c>
      <c r="RK39">
        <v>0</v>
      </c>
      <c r="RL39">
        <v>0</v>
      </c>
      <c r="RM39">
        <v>0</v>
      </c>
      <c r="RN39">
        <v>0</v>
      </c>
      <c r="RO39">
        <v>0</v>
      </c>
      <c r="RP39">
        <v>0</v>
      </c>
      <c r="RQ39">
        <v>0</v>
      </c>
      <c r="RR39">
        <v>0</v>
      </c>
      <c r="RS39">
        <v>0</v>
      </c>
      <c r="RT39">
        <v>0</v>
      </c>
      <c r="RU39">
        <v>0</v>
      </c>
      <c r="RV39">
        <v>0</v>
      </c>
      <c r="RW39">
        <v>0</v>
      </c>
      <c r="RX39">
        <v>0</v>
      </c>
      <c r="RY39">
        <v>0</v>
      </c>
      <c r="RZ39">
        <v>0</v>
      </c>
      <c r="SA39">
        <v>0</v>
      </c>
      <c r="SB39">
        <v>0</v>
      </c>
      <c r="SC39">
        <v>0</v>
      </c>
      <c r="SD39">
        <v>0</v>
      </c>
      <c r="SE39">
        <v>0</v>
      </c>
      <c r="SF39">
        <v>0</v>
      </c>
      <c r="SG39">
        <v>0</v>
      </c>
      <c r="SH39">
        <v>0</v>
      </c>
      <c r="SI39">
        <v>0</v>
      </c>
      <c r="SJ39">
        <v>0</v>
      </c>
      <c r="SK39">
        <v>0</v>
      </c>
      <c r="SL39">
        <v>0</v>
      </c>
      <c r="SM39">
        <v>0</v>
      </c>
      <c r="SN39">
        <v>0</v>
      </c>
      <c r="SO39">
        <v>0</v>
      </c>
      <c r="SP39">
        <v>0</v>
      </c>
      <c r="SQ39">
        <v>0</v>
      </c>
      <c r="SR39">
        <v>0</v>
      </c>
      <c r="SS39">
        <v>0</v>
      </c>
      <c r="ST39">
        <v>0</v>
      </c>
      <c r="SU39">
        <v>0</v>
      </c>
      <c r="SV39">
        <v>0</v>
      </c>
      <c r="SW39">
        <v>0</v>
      </c>
      <c r="SX39">
        <v>0</v>
      </c>
      <c r="SY39">
        <v>0</v>
      </c>
      <c r="SZ39">
        <v>0</v>
      </c>
      <c r="TA39">
        <v>0</v>
      </c>
      <c r="TB39">
        <v>0</v>
      </c>
      <c r="TC39">
        <v>0</v>
      </c>
      <c r="TD39">
        <v>0</v>
      </c>
      <c r="TE39">
        <v>0</v>
      </c>
      <c r="TF39">
        <v>0</v>
      </c>
      <c r="TG39">
        <v>0</v>
      </c>
      <c r="TH39">
        <v>0</v>
      </c>
      <c r="TI39">
        <v>0</v>
      </c>
      <c r="TJ39">
        <v>0</v>
      </c>
      <c r="TK39">
        <v>0</v>
      </c>
      <c r="TL39">
        <v>0</v>
      </c>
      <c r="TM39">
        <v>0</v>
      </c>
      <c r="TN39">
        <v>0</v>
      </c>
      <c r="TO39">
        <v>0</v>
      </c>
      <c r="TP39">
        <v>0</v>
      </c>
      <c r="TQ39">
        <v>0</v>
      </c>
      <c r="TR39">
        <v>0</v>
      </c>
      <c r="TS39">
        <v>0</v>
      </c>
      <c r="TT39">
        <v>0</v>
      </c>
      <c r="TU39">
        <v>0</v>
      </c>
      <c r="TV39">
        <v>0</v>
      </c>
      <c r="TW39">
        <v>0</v>
      </c>
      <c r="TX39">
        <v>0</v>
      </c>
      <c r="TY39">
        <v>0</v>
      </c>
      <c r="TZ39">
        <v>0</v>
      </c>
      <c r="UA39">
        <v>0</v>
      </c>
      <c r="UB39">
        <v>0</v>
      </c>
      <c r="UC39">
        <v>0</v>
      </c>
      <c r="UD39">
        <v>0</v>
      </c>
      <c r="UE39">
        <v>0</v>
      </c>
      <c r="UF39">
        <v>0</v>
      </c>
      <c r="UG39">
        <v>0</v>
      </c>
      <c r="UH39">
        <v>0</v>
      </c>
      <c r="UI39">
        <v>0</v>
      </c>
      <c r="UJ39">
        <v>0</v>
      </c>
      <c r="UK39">
        <v>0</v>
      </c>
      <c r="UL39">
        <v>0</v>
      </c>
      <c r="UM39">
        <v>0</v>
      </c>
      <c r="UN39">
        <v>0</v>
      </c>
      <c r="UO39">
        <v>0</v>
      </c>
      <c r="UP39">
        <v>0</v>
      </c>
      <c r="UQ39">
        <v>0</v>
      </c>
      <c r="UR39">
        <v>0</v>
      </c>
      <c r="US39">
        <v>0</v>
      </c>
      <c r="UT39">
        <v>0</v>
      </c>
      <c r="UU39">
        <v>0</v>
      </c>
      <c r="UV39">
        <v>0</v>
      </c>
      <c r="UW39">
        <v>0</v>
      </c>
      <c r="UX39">
        <v>0</v>
      </c>
      <c r="UY39">
        <v>0</v>
      </c>
      <c r="UZ39">
        <v>0</v>
      </c>
      <c r="VA39">
        <v>0</v>
      </c>
      <c r="VB39">
        <v>0</v>
      </c>
      <c r="VC39">
        <v>0</v>
      </c>
      <c r="VD39">
        <v>0</v>
      </c>
      <c r="VE39">
        <v>0</v>
      </c>
      <c r="VF39">
        <v>0</v>
      </c>
      <c r="VG39">
        <v>0</v>
      </c>
      <c r="VH39">
        <v>0</v>
      </c>
      <c r="VI39">
        <v>0</v>
      </c>
      <c r="VJ39">
        <v>0</v>
      </c>
      <c r="VK39">
        <v>0</v>
      </c>
      <c r="VL39">
        <v>0</v>
      </c>
      <c r="VM39">
        <v>0</v>
      </c>
      <c r="VN39">
        <v>0</v>
      </c>
      <c r="VO39">
        <v>0</v>
      </c>
      <c r="VP39">
        <v>0</v>
      </c>
      <c r="VQ39">
        <v>0</v>
      </c>
      <c r="VR39">
        <v>0</v>
      </c>
      <c r="VS39">
        <v>0</v>
      </c>
      <c r="VT39">
        <v>0</v>
      </c>
      <c r="VU39">
        <v>0</v>
      </c>
      <c r="VV39">
        <v>0</v>
      </c>
      <c r="VW39">
        <v>0</v>
      </c>
      <c r="VX39">
        <v>0</v>
      </c>
      <c r="VY39">
        <v>0</v>
      </c>
      <c r="VZ39">
        <v>0</v>
      </c>
      <c r="WA39">
        <v>0</v>
      </c>
      <c r="WB39">
        <v>0</v>
      </c>
      <c r="WC39">
        <v>0</v>
      </c>
      <c r="WD39">
        <v>0</v>
      </c>
      <c r="WE39">
        <v>0</v>
      </c>
      <c r="WF39">
        <v>0</v>
      </c>
      <c r="WG39">
        <v>0</v>
      </c>
      <c r="WH39">
        <v>0</v>
      </c>
      <c r="WI39">
        <v>0</v>
      </c>
      <c r="WJ39">
        <v>0</v>
      </c>
      <c r="WK39">
        <v>0</v>
      </c>
      <c r="WL39">
        <v>0</v>
      </c>
      <c r="WM39">
        <v>0</v>
      </c>
      <c r="WN39">
        <v>0</v>
      </c>
      <c r="WO39">
        <v>0</v>
      </c>
      <c r="WP39">
        <v>0</v>
      </c>
      <c r="WQ39">
        <v>0</v>
      </c>
      <c r="WR39">
        <v>0</v>
      </c>
      <c r="WS39">
        <v>0</v>
      </c>
      <c r="WT39">
        <v>0</v>
      </c>
      <c r="WU39">
        <v>0</v>
      </c>
      <c r="WV39">
        <v>0</v>
      </c>
      <c r="WW39">
        <v>0</v>
      </c>
      <c r="WX39">
        <v>0</v>
      </c>
      <c r="WY39">
        <v>0</v>
      </c>
      <c r="WZ39">
        <v>0</v>
      </c>
      <c r="XA39">
        <v>0</v>
      </c>
      <c r="XB39">
        <v>0</v>
      </c>
      <c r="XC39">
        <v>0</v>
      </c>
      <c r="XD39">
        <v>0</v>
      </c>
      <c r="XE39">
        <v>0</v>
      </c>
      <c r="XF39">
        <v>0</v>
      </c>
      <c r="XG39">
        <v>0</v>
      </c>
      <c r="XH39">
        <v>0</v>
      </c>
      <c r="XI39">
        <v>0</v>
      </c>
      <c r="XJ39">
        <v>0</v>
      </c>
      <c r="XK39">
        <v>0</v>
      </c>
      <c r="XL39">
        <v>0</v>
      </c>
      <c r="XM39">
        <v>0</v>
      </c>
      <c r="XN39">
        <v>0</v>
      </c>
      <c r="XO39">
        <v>1</v>
      </c>
      <c r="XP39">
        <v>1</v>
      </c>
      <c r="XQ39">
        <v>1</v>
      </c>
      <c r="XR39">
        <v>1</v>
      </c>
      <c r="XS39">
        <v>1</v>
      </c>
      <c r="XT39">
        <v>1</v>
      </c>
      <c r="XU39">
        <v>1</v>
      </c>
      <c r="XV39">
        <v>1</v>
      </c>
      <c r="XW39">
        <v>1</v>
      </c>
      <c r="XX39">
        <v>1</v>
      </c>
      <c r="XY39">
        <v>1</v>
      </c>
      <c r="XZ39">
        <v>1</v>
      </c>
      <c r="YA39">
        <v>1</v>
      </c>
      <c r="YB39">
        <v>1</v>
      </c>
      <c r="YC39">
        <v>1</v>
      </c>
      <c r="YD39">
        <v>1</v>
      </c>
      <c r="YE39">
        <v>1</v>
      </c>
      <c r="YF39">
        <v>1</v>
      </c>
      <c r="YG39">
        <v>1</v>
      </c>
      <c r="YH39">
        <v>1</v>
      </c>
      <c r="YI39">
        <v>2</v>
      </c>
      <c r="YJ39">
        <v>2</v>
      </c>
      <c r="YK39">
        <v>2</v>
      </c>
      <c r="YL39">
        <v>2</v>
      </c>
      <c r="YM39">
        <v>2</v>
      </c>
      <c r="YN39">
        <v>2</v>
      </c>
      <c r="YO39">
        <v>2</v>
      </c>
      <c r="YP39">
        <v>2</v>
      </c>
      <c r="YQ39">
        <v>2</v>
      </c>
      <c r="YR39">
        <v>2</v>
      </c>
      <c r="YS39">
        <v>2</v>
      </c>
      <c r="YT39">
        <v>2</v>
      </c>
      <c r="YU39">
        <v>2</v>
      </c>
      <c r="YV39">
        <v>2</v>
      </c>
      <c r="YW39">
        <v>2</v>
      </c>
      <c r="YX39">
        <v>2</v>
      </c>
      <c r="YY39">
        <v>2</v>
      </c>
      <c r="YZ39">
        <v>2</v>
      </c>
      <c r="ZA39">
        <v>2</v>
      </c>
      <c r="ZB39">
        <v>0</v>
      </c>
      <c r="ZC39">
        <v>0</v>
      </c>
      <c r="ZD39">
        <v>0</v>
      </c>
      <c r="ZE39">
        <v>0</v>
      </c>
      <c r="ZF39">
        <v>0</v>
      </c>
      <c r="ZG39">
        <v>0</v>
      </c>
      <c r="ZH39">
        <v>0</v>
      </c>
      <c r="ZI39">
        <v>0</v>
      </c>
      <c r="ZJ39">
        <v>0</v>
      </c>
      <c r="ZK39">
        <v>0</v>
      </c>
      <c r="ZL39">
        <v>0</v>
      </c>
      <c r="ZM39">
        <v>0</v>
      </c>
      <c r="ZN39">
        <v>0</v>
      </c>
      <c r="ZO39">
        <v>0</v>
      </c>
      <c r="ZP39">
        <v>0</v>
      </c>
      <c r="ZQ39">
        <v>0</v>
      </c>
      <c r="ZR39">
        <v>0</v>
      </c>
      <c r="ZS39">
        <v>0</v>
      </c>
      <c r="ZT39">
        <v>0</v>
      </c>
      <c r="ZU39">
        <v>0</v>
      </c>
      <c r="ZV39">
        <v>0</v>
      </c>
      <c r="ZW39">
        <v>0</v>
      </c>
      <c r="ZX39">
        <v>0</v>
      </c>
      <c r="ZY39">
        <v>0</v>
      </c>
      <c r="ZZ39">
        <v>0</v>
      </c>
      <c r="AAA39">
        <v>0</v>
      </c>
      <c r="AAB39">
        <v>0</v>
      </c>
      <c r="AAC39">
        <v>0</v>
      </c>
      <c r="AAD39">
        <v>0</v>
      </c>
      <c r="AAE39">
        <v>0</v>
      </c>
      <c r="AAF39">
        <v>0</v>
      </c>
      <c r="AAG39">
        <v>0</v>
      </c>
      <c r="AAH39">
        <v>0</v>
      </c>
      <c r="AAI39">
        <v>0</v>
      </c>
      <c r="AAJ39">
        <v>0</v>
      </c>
      <c r="AAK39">
        <v>0</v>
      </c>
      <c r="AAL39">
        <v>0</v>
      </c>
      <c r="AAM39">
        <v>0</v>
      </c>
      <c r="AAN39">
        <v>0</v>
      </c>
      <c r="AAO39">
        <v>0</v>
      </c>
      <c r="AAP39">
        <v>0</v>
      </c>
      <c r="AAQ39">
        <v>0</v>
      </c>
      <c r="AAR39">
        <v>0</v>
      </c>
      <c r="AAS39">
        <v>0</v>
      </c>
      <c r="AAT39">
        <v>0</v>
      </c>
      <c r="AAU39">
        <v>0</v>
      </c>
      <c r="AAV39">
        <v>0</v>
      </c>
      <c r="AAW39">
        <v>0</v>
      </c>
      <c r="AAX39">
        <v>0</v>
      </c>
      <c r="AAY39">
        <v>0</v>
      </c>
      <c r="AAZ39">
        <v>0</v>
      </c>
      <c r="ABA39">
        <v>0</v>
      </c>
      <c r="ABB39">
        <v>0</v>
      </c>
      <c r="ABC39">
        <v>0</v>
      </c>
      <c r="ABD39">
        <v>0</v>
      </c>
      <c r="ABE39">
        <v>0</v>
      </c>
      <c r="ABG39" s="1137">
        <f t="shared" si="9"/>
        <v>0</v>
      </c>
      <c r="ABH39" s="1137">
        <f t="shared" si="9"/>
        <v>0</v>
      </c>
      <c r="ABI39" s="1137">
        <f t="shared" si="9"/>
        <v>14</v>
      </c>
      <c r="ABJ39" s="1137">
        <f t="shared" si="9"/>
        <v>30</v>
      </c>
      <c r="ABK39" s="1137">
        <f t="shared" si="9"/>
        <v>31</v>
      </c>
      <c r="ABL39" s="1137">
        <f t="shared" si="9"/>
        <v>30</v>
      </c>
      <c r="ABM39" s="1137">
        <f t="shared" si="9"/>
        <v>31</v>
      </c>
      <c r="ABN39" s="1137">
        <f t="shared" si="9"/>
        <v>31</v>
      </c>
      <c r="ABO39" s="1137">
        <f t="shared" si="9"/>
        <v>30</v>
      </c>
      <c r="ABP39" s="1137">
        <f t="shared" si="9"/>
        <v>31</v>
      </c>
      <c r="ABQ39" s="1137">
        <f t="shared" si="9"/>
        <v>23</v>
      </c>
      <c r="ABR39" s="1137">
        <f t="shared" si="9"/>
        <v>0</v>
      </c>
      <c r="ABS39" s="1137">
        <f t="shared" si="9"/>
        <v>0</v>
      </c>
      <c r="ABT39" s="1137">
        <f t="shared" si="9"/>
        <v>0</v>
      </c>
      <c r="ABU39" s="1137">
        <f t="shared" si="9"/>
        <v>0</v>
      </c>
      <c r="ABV39" s="1137">
        <f t="shared" si="9"/>
        <v>0</v>
      </c>
      <c r="ABW39" s="1137">
        <f t="shared" si="7"/>
        <v>0</v>
      </c>
      <c r="ABX39" s="1137">
        <f t="shared" si="7"/>
        <v>0</v>
      </c>
      <c r="ABY39" s="1137">
        <f t="shared" si="7"/>
        <v>0</v>
      </c>
      <c r="ABZ39" s="1137">
        <f t="shared" si="7"/>
        <v>0</v>
      </c>
      <c r="ACA39" s="1137">
        <f t="shared" si="7"/>
        <v>3</v>
      </c>
      <c r="ACB39" s="1137">
        <f t="shared" si="7"/>
        <v>31</v>
      </c>
      <c r="ACC39" s="1137">
        <f t="shared" si="7"/>
        <v>5</v>
      </c>
      <c r="ACD39" s="1137">
        <f t="shared" si="7"/>
        <v>0</v>
      </c>
      <c r="ACE39" s="1137" t="s">
        <v>19</v>
      </c>
      <c r="ACF39" s="1137">
        <f t="shared" si="10"/>
        <v>0</v>
      </c>
      <c r="ACG39" s="1137">
        <f t="shared" si="10"/>
        <v>0</v>
      </c>
      <c r="ACH39" s="1137">
        <f t="shared" si="10"/>
        <v>1</v>
      </c>
      <c r="ACI39" s="1137">
        <f t="shared" si="10"/>
        <v>1</v>
      </c>
      <c r="ACJ39" s="1137">
        <f t="shared" si="10"/>
        <v>1</v>
      </c>
      <c r="ACK39" s="1137">
        <f t="shared" si="10"/>
        <v>1</v>
      </c>
      <c r="ACL39" s="1137">
        <f t="shared" si="10"/>
        <v>1</v>
      </c>
      <c r="ACM39" s="1137">
        <f t="shared" si="10"/>
        <v>1</v>
      </c>
      <c r="ACN39" s="1137">
        <f t="shared" si="10"/>
        <v>1</v>
      </c>
      <c r="ACO39" s="1137">
        <f t="shared" si="10"/>
        <v>1</v>
      </c>
      <c r="ACP39" s="1137">
        <f t="shared" si="10"/>
        <v>1</v>
      </c>
      <c r="ACQ39" s="1137">
        <f t="shared" si="10"/>
        <v>0</v>
      </c>
      <c r="ACR39" s="1137">
        <f t="shared" si="10"/>
        <v>0</v>
      </c>
      <c r="ACS39" s="1137">
        <f t="shared" si="10"/>
        <v>0</v>
      </c>
      <c r="ACT39" s="1137">
        <f t="shared" si="10"/>
        <v>0</v>
      </c>
      <c r="ACU39" s="1137">
        <f t="shared" si="10"/>
        <v>0</v>
      </c>
      <c r="ACV39" s="1137">
        <f t="shared" si="8"/>
        <v>0</v>
      </c>
      <c r="ACW39" s="1137">
        <f t="shared" si="8"/>
        <v>0</v>
      </c>
      <c r="ACX39" s="1137">
        <f t="shared" si="8"/>
        <v>0</v>
      </c>
      <c r="ACY39" s="1137">
        <f t="shared" si="8"/>
        <v>0</v>
      </c>
      <c r="ACZ39" s="1137">
        <f t="shared" si="8"/>
        <v>0</v>
      </c>
      <c r="ADA39" s="1137">
        <f t="shared" si="8"/>
        <v>1</v>
      </c>
      <c r="ADB39" s="1137">
        <f t="shared" si="8"/>
        <v>0</v>
      </c>
      <c r="ADC39" s="1137">
        <f t="shared" si="8"/>
        <v>0</v>
      </c>
    </row>
    <row r="40" spans="1:783" x14ac:dyDescent="0.25">
      <c r="A40" t="s">
        <v>1836</v>
      </c>
      <c r="B40" t="s">
        <v>2378</v>
      </c>
      <c r="C40">
        <v>0</v>
      </c>
      <c r="D40">
        <v>0</v>
      </c>
      <c r="E40">
        <v>0</v>
      </c>
      <c r="F40">
        <v>0</v>
      </c>
      <c r="G40">
        <v>0</v>
      </c>
      <c r="H40">
        <v>0</v>
      </c>
      <c r="I40">
        <v>0</v>
      </c>
      <c r="J40">
        <v>0</v>
      </c>
      <c r="K40">
        <v>0</v>
      </c>
      <c r="L40">
        <v>0</v>
      </c>
      <c r="M40">
        <v>0</v>
      </c>
      <c r="N40">
        <v>0</v>
      </c>
      <c r="O40">
        <v>0</v>
      </c>
      <c r="P40">
        <v>0</v>
      </c>
      <c r="Q40">
        <v>0</v>
      </c>
      <c r="R40">
        <v>0</v>
      </c>
      <c r="S40">
        <v>0</v>
      </c>
      <c r="T40">
        <v>0</v>
      </c>
      <c r="U40">
        <v>0</v>
      </c>
      <c r="V40">
        <v>0</v>
      </c>
      <c r="W40">
        <v>0</v>
      </c>
      <c r="X40">
        <v>0</v>
      </c>
      <c r="Y40">
        <v>0</v>
      </c>
      <c r="Z40">
        <v>0</v>
      </c>
      <c r="AA40">
        <v>0</v>
      </c>
      <c r="AB40">
        <v>0</v>
      </c>
      <c r="AC40">
        <v>0</v>
      </c>
      <c r="AD40">
        <v>0</v>
      </c>
      <c r="AE40">
        <v>0</v>
      </c>
      <c r="AF40">
        <v>0</v>
      </c>
      <c r="AG40">
        <v>0</v>
      </c>
      <c r="AH40">
        <v>0</v>
      </c>
      <c r="AI40">
        <v>0</v>
      </c>
      <c r="AJ40">
        <v>0</v>
      </c>
      <c r="AK40">
        <v>0</v>
      </c>
      <c r="AL40">
        <v>0</v>
      </c>
      <c r="AM40">
        <v>0</v>
      </c>
      <c r="AN40">
        <v>0</v>
      </c>
      <c r="AO40">
        <v>0</v>
      </c>
      <c r="AP40">
        <v>0</v>
      </c>
      <c r="AQ40">
        <v>0</v>
      </c>
      <c r="AR40">
        <v>0</v>
      </c>
      <c r="AS40">
        <v>0</v>
      </c>
      <c r="AT40">
        <v>0</v>
      </c>
      <c r="AU40">
        <v>0</v>
      </c>
      <c r="AV40">
        <v>0</v>
      </c>
      <c r="AW40">
        <v>0</v>
      </c>
      <c r="AX40">
        <v>0</v>
      </c>
      <c r="AY40">
        <v>0</v>
      </c>
      <c r="AZ40">
        <v>0</v>
      </c>
      <c r="BA40">
        <v>0</v>
      </c>
      <c r="BB40">
        <v>0</v>
      </c>
      <c r="BC40">
        <v>0</v>
      </c>
      <c r="BD40">
        <v>0</v>
      </c>
      <c r="BE40">
        <v>0</v>
      </c>
      <c r="BF40">
        <v>0</v>
      </c>
      <c r="BG40">
        <v>0</v>
      </c>
      <c r="BH40">
        <v>0</v>
      </c>
      <c r="BI40">
        <v>0</v>
      </c>
      <c r="BJ40">
        <v>0</v>
      </c>
      <c r="BK40">
        <v>0</v>
      </c>
      <c r="BL40">
        <v>0</v>
      </c>
      <c r="BM40">
        <v>0</v>
      </c>
      <c r="BN40">
        <v>0</v>
      </c>
      <c r="BO40">
        <v>0</v>
      </c>
      <c r="BP40">
        <v>0</v>
      </c>
      <c r="BQ40">
        <v>0</v>
      </c>
      <c r="BR40">
        <v>0</v>
      </c>
      <c r="BS40">
        <v>0</v>
      </c>
      <c r="BT40">
        <v>0</v>
      </c>
      <c r="BU40">
        <v>0</v>
      </c>
      <c r="BV40">
        <v>0</v>
      </c>
      <c r="BW40">
        <v>0</v>
      </c>
      <c r="BX40">
        <v>0</v>
      </c>
      <c r="BY40">
        <v>0</v>
      </c>
      <c r="BZ40">
        <v>0</v>
      </c>
      <c r="CA40">
        <v>0</v>
      </c>
      <c r="CB40">
        <v>2</v>
      </c>
      <c r="CC40">
        <v>2</v>
      </c>
      <c r="CD40">
        <v>2</v>
      </c>
      <c r="CE40">
        <v>2</v>
      </c>
      <c r="CF40">
        <v>2</v>
      </c>
      <c r="CG40">
        <v>2</v>
      </c>
      <c r="CH40">
        <v>2</v>
      </c>
      <c r="CI40">
        <v>2</v>
      </c>
      <c r="CJ40">
        <v>2</v>
      </c>
      <c r="CK40">
        <v>2</v>
      </c>
      <c r="CL40">
        <v>2</v>
      </c>
      <c r="CM40">
        <v>2</v>
      </c>
      <c r="CN40">
        <v>2</v>
      </c>
      <c r="CO40">
        <v>2</v>
      </c>
      <c r="CP40">
        <v>2</v>
      </c>
      <c r="CQ40">
        <v>2</v>
      </c>
      <c r="CR40">
        <v>2</v>
      </c>
      <c r="CS40">
        <v>2</v>
      </c>
      <c r="CT40">
        <v>2</v>
      </c>
      <c r="CU40">
        <v>2</v>
      </c>
      <c r="CV40">
        <v>2</v>
      </c>
      <c r="CW40">
        <v>2</v>
      </c>
      <c r="CX40">
        <v>2</v>
      </c>
      <c r="CY40">
        <v>2</v>
      </c>
      <c r="CZ40">
        <v>2</v>
      </c>
      <c r="DA40">
        <v>2</v>
      </c>
      <c r="DB40">
        <v>2</v>
      </c>
      <c r="DC40">
        <v>2</v>
      </c>
      <c r="DD40">
        <v>2</v>
      </c>
      <c r="DE40">
        <v>2</v>
      </c>
      <c r="DF40">
        <v>2</v>
      </c>
      <c r="DG40">
        <v>2</v>
      </c>
      <c r="DH40">
        <v>2</v>
      </c>
      <c r="DI40">
        <v>2</v>
      </c>
      <c r="DJ40">
        <v>2</v>
      </c>
      <c r="DK40">
        <v>2</v>
      </c>
      <c r="DL40">
        <v>2</v>
      </c>
      <c r="DM40">
        <v>2</v>
      </c>
      <c r="DN40">
        <v>2</v>
      </c>
      <c r="DO40">
        <v>2</v>
      </c>
      <c r="DP40">
        <v>2</v>
      </c>
      <c r="DQ40">
        <v>2</v>
      </c>
      <c r="DR40">
        <v>2</v>
      </c>
      <c r="DS40">
        <v>2</v>
      </c>
      <c r="DT40">
        <v>2</v>
      </c>
      <c r="DU40">
        <v>2</v>
      </c>
      <c r="DV40">
        <v>2</v>
      </c>
      <c r="DW40">
        <v>2</v>
      </c>
      <c r="DX40">
        <v>2</v>
      </c>
      <c r="DY40">
        <v>2</v>
      </c>
      <c r="DZ40">
        <v>2</v>
      </c>
      <c r="EA40">
        <v>2</v>
      </c>
      <c r="EB40">
        <v>2</v>
      </c>
      <c r="EC40">
        <v>2</v>
      </c>
      <c r="ED40">
        <v>2</v>
      </c>
      <c r="EE40">
        <v>2</v>
      </c>
      <c r="EF40">
        <v>2</v>
      </c>
      <c r="EG40">
        <v>2</v>
      </c>
      <c r="EH40">
        <v>2</v>
      </c>
      <c r="EI40">
        <v>2</v>
      </c>
      <c r="EJ40">
        <v>2</v>
      </c>
      <c r="EK40">
        <v>2</v>
      </c>
      <c r="EL40">
        <v>2</v>
      </c>
      <c r="EM40">
        <v>2</v>
      </c>
      <c r="EN40">
        <v>2</v>
      </c>
      <c r="EO40">
        <v>2</v>
      </c>
      <c r="EP40">
        <v>2</v>
      </c>
      <c r="EQ40">
        <v>2</v>
      </c>
      <c r="ER40">
        <v>2</v>
      </c>
      <c r="ES40">
        <v>2</v>
      </c>
      <c r="ET40">
        <v>2</v>
      </c>
      <c r="EU40">
        <v>2</v>
      </c>
      <c r="EV40">
        <v>2</v>
      </c>
      <c r="EW40">
        <v>2</v>
      </c>
      <c r="EX40">
        <v>2</v>
      </c>
      <c r="EY40">
        <v>2</v>
      </c>
      <c r="EZ40">
        <v>2</v>
      </c>
      <c r="FA40">
        <v>2</v>
      </c>
      <c r="FB40">
        <v>2</v>
      </c>
      <c r="FC40">
        <v>2</v>
      </c>
      <c r="FD40">
        <v>2</v>
      </c>
      <c r="FE40">
        <v>2</v>
      </c>
      <c r="FF40">
        <v>2</v>
      </c>
      <c r="FG40">
        <v>2</v>
      </c>
      <c r="FH40">
        <v>2</v>
      </c>
      <c r="FI40">
        <v>2</v>
      </c>
      <c r="FJ40">
        <v>2</v>
      </c>
      <c r="FK40">
        <v>2</v>
      </c>
      <c r="FL40">
        <v>2</v>
      </c>
      <c r="FM40">
        <v>2</v>
      </c>
      <c r="FN40">
        <v>2</v>
      </c>
      <c r="FO40">
        <v>2</v>
      </c>
      <c r="FP40">
        <v>2</v>
      </c>
      <c r="FQ40">
        <v>2</v>
      </c>
      <c r="FR40">
        <v>2</v>
      </c>
      <c r="FS40">
        <v>2</v>
      </c>
      <c r="FT40">
        <v>2</v>
      </c>
      <c r="FU40">
        <v>2</v>
      </c>
      <c r="FV40">
        <v>2</v>
      </c>
      <c r="FW40">
        <v>2</v>
      </c>
      <c r="FX40">
        <v>2</v>
      </c>
      <c r="FY40">
        <v>2</v>
      </c>
      <c r="FZ40">
        <v>2</v>
      </c>
      <c r="GA40">
        <v>2</v>
      </c>
      <c r="GB40">
        <v>2</v>
      </c>
      <c r="GC40">
        <v>2</v>
      </c>
      <c r="GD40">
        <v>2</v>
      </c>
      <c r="GE40">
        <v>2</v>
      </c>
      <c r="GF40">
        <v>2</v>
      </c>
      <c r="GG40">
        <v>2</v>
      </c>
      <c r="GH40">
        <v>2</v>
      </c>
      <c r="GI40">
        <v>2</v>
      </c>
      <c r="GJ40">
        <v>2</v>
      </c>
      <c r="GK40">
        <v>2</v>
      </c>
      <c r="GL40">
        <v>2</v>
      </c>
      <c r="GM40">
        <v>2</v>
      </c>
      <c r="GN40">
        <v>2</v>
      </c>
      <c r="GO40">
        <v>2</v>
      </c>
      <c r="GP40">
        <v>2</v>
      </c>
      <c r="GQ40">
        <v>2</v>
      </c>
      <c r="GR40">
        <v>2</v>
      </c>
      <c r="GS40">
        <v>2</v>
      </c>
      <c r="GT40">
        <v>2</v>
      </c>
      <c r="GU40">
        <v>2</v>
      </c>
      <c r="GV40">
        <v>2</v>
      </c>
      <c r="GW40">
        <v>2</v>
      </c>
      <c r="GX40">
        <v>2</v>
      </c>
      <c r="GY40">
        <v>2</v>
      </c>
      <c r="GZ40">
        <v>2</v>
      </c>
      <c r="HA40">
        <v>2</v>
      </c>
      <c r="HB40">
        <v>2</v>
      </c>
      <c r="HC40">
        <v>2</v>
      </c>
      <c r="HD40">
        <v>2</v>
      </c>
      <c r="HE40">
        <v>2</v>
      </c>
      <c r="HF40">
        <v>2</v>
      </c>
      <c r="HG40">
        <v>2</v>
      </c>
      <c r="HH40">
        <v>2</v>
      </c>
      <c r="HI40">
        <v>2</v>
      </c>
      <c r="HJ40">
        <v>2</v>
      </c>
      <c r="HK40">
        <v>2</v>
      </c>
      <c r="HL40">
        <v>2</v>
      </c>
      <c r="HM40">
        <v>2</v>
      </c>
      <c r="HN40">
        <v>2</v>
      </c>
      <c r="HO40">
        <v>2</v>
      </c>
      <c r="HP40">
        <v>2</v>
      </c>
      <c r="HQ40">
        <v>2</v>
      </c>
      <c r="HR40">
        <v>2</v>
      </c>
      <c r="HS40">
        <v>2</v>
      </c>
      <c r="HT40">
        <v>2</v>
      </c>
      <c r="HU40">
        <v>2</v>
      </c>
      <c r="HV40">
        <v>2</v>
      </c>
      <c r="HW40">
        <v>2</v>
      </c>
      <c r="HX40">
        <v>2</v>
      </c>
      <c r="HY40">
        <v>2</v>
      </c>
      <c r="HZ40">
        <v>2</v>
      </c>
      <c r="IA40">
        <v>2</v>
      </c>
      <c r="IB40">
        <v>2</v>
      </c>
      <c r="IC40">
        <v>2</v>
      </c>
      <c r="ID40">
        <v>2</v>
      </c>
      <c r="IE40">
        <v>2</v>
      </c>
      <c r="IF40">
        <v>2</v>
      </c>
      <c r="IG40">
        <v>2</v>
      </c>
      <c r="IH40">
        <v>2</v>
      </c>
      <c r="II40">
        <v>2</v>
      </c>
      <c r="IJ40">
        <v>2</v>
      </c>
      <c r="IK40">
        <v>2</v>
      </c>
      <c r="IL40">
        <v>2</v>
      </c>
      <c r="IM40">
        <v>2</v>
      </c>
      <c r="IN40">
        <v>2</v>
      </c>
      <c r="IO40">
        <v>2</v>
      </c>
      <c r="IP40">
        <v>2</v>
      </c>
      <c r="IQ40">
        <v>2</v>
      </c>
      <c r="IR40">
        <v>2</v>
      </c>
      <c r="IS40">
        <v>2</v>
      </c>
      <c r="IT40">
        <v>2</v>
      </c>
      <c r="IU40">
        <v>2</v>
      </c>
      <c r="IV40">
        <v>2</v>
      </c>
      <c r="IW40">
        <v>2</v>
      </c>
      <c r="IX40">
        <v>2</v>
      </c>
      <c r="IY40">
        <v>2</v>
      </c>
      <c r="IZ40">
        <v>2</v>
      </c>
      <c r="JA40">
        <v>2</v>
      </c>
      <c r="JB40">
        <v>2</v>
      </c>
      <c r="JC40">
        <v>2</v>
      </c>
      <c r="JD40">
        <v>2</v>
      </c>
      <c r="JE40">
        <v>2</v>
      </c>
      <c r="JF40">
        <v>2</v>
      </c>
      <c r="JG40">
        <v>2</v>
      </c>
      <c r="JH40">
        <v>2</v>
      </c>
      <c r="JI40">
        <v>2</v>
      </c>
      <c r="JJ40">
        <v>2</v>
      </c>
      <c r="JK40">
        <v>2</v>
      </c>
      <c r="JL40">
        <v>2</v>
      </c>
      <c r="JM40">
        <v>2</v>
      </c>
      <c r="JN40">
        <v>2</v>
      </c>
      <c r="JO40">
        <v>2</v>
      </c>
      <c r="JP40">
        <v>2</v>
      </c>
      <c r="JQ40">
        <v>2</v>
      </c>
      <c r="JR40">
        <v>2</v>
      </c>
      <c r="JS40">
        <v>2</v>
      </c>
      <c r="JT40">
        <v>2</v>
      </c>
      <c r="JU40">
        <v>2</v>
      </c>
      <c r="JV40">
        <v>2</v>
      </c>
      <c r="JW40">
        <v>2</v>
      </c>
      <c r="JX40">
        <v>2</v>
      </c>
      <c r="JY40">
        <v>2</v>
      </c>
      <c r="JZ40">
        <v>2</v>
      </c>
      <c r="KA40">
        <v>2</v>
      </c>
      <c r="KB40">
        <v>2</v>
      </c>
      <c r="KC40">
        <v>2</v>
      </c>
      <c r="KD40">
        <v>2</v>
      </c>
      <c r="KE40">
        <v>2</v>
      </c>
      <c r="KF40">
        <v>2</v>
      </c>
      <c r="KG40">
        <v>2</v>
      </c>
      <c r="KH40">
        <v>2</v>
      </c>
      <c r="KI40">
        <v>2</v>
      </c>
      <c r="KJ40">
        <v>2</v>
      </c>
      <c r="KK40">
        <v>2</v>
      </c>
      <c r="KL40">
        <v>2</v>
      </c>
      <c r="KM40">
        <v>2</v>
      </c>
      <c r="KN40">
        <v>2</v>
      </c>
      <c r="KO40">
        <v>2</v>
      </c>
      <c r="KP40">
        <v>2</v>
      </c>
      <c r="KQ40">
        <v>0</v>
      </c>
      <c r="KR40">
        <v>0</v>
      </c>
      <c r="KS40">
        <v>0</v>
      </c>
      <c r="KT40">
        <v>0</v>
      </c>
      <c r="KU40">
        <v>0</v>
      </c>
      <c r="KV40">
        <v>0</v>
      </c>
      <c r="KW40">
        <v>0</v>
      </c>
      <c r="KX40">
        <v>0</v>
      </c>
      <c r="KY40">
        <v>0</v>
      </c>
      <c r="KZ40">
        <v>0</v>
      </c>
      <c r="LA40">
        <v>0</v>
      </c>
      <c r="LB40">
        <v>0</v>
      </c>
      <c r="LC40">
        <v>0</v>
      </c>
      <c r="LD40">
        <v>0</v>
      </c>
      <c r="LE40">
        <v>0</v>
      </c>
      <c r="LF40">
        <v>0</v>
      </c>
      <c r="LG40">
        <v>0</v>
      </c>
      <c r="LH40">
        <v>0</v>
      </c>
      <c r="LI40">
        <v>0</v>
      </c>
      <c r="LJ40">
        <v>0</v>
      </c>
      <c r="LK40">
        <v>0</v>
      </c>
      <c r="LL40">
        <v>0</v>
      </c>
      <c r="LM40">
        <v>0</v>
      </c>
      <c r="LN40">
        <v>0</v>
      </c>
      <c r="LO40">
        <v>0</v>
      </c>
      <c r="LP40">
        <v>0</v>
      </c>
      <c r="LQ40">
        <v>0</v>
      </c>
      <c r="LR40">
        <v>0</v>
      </c>
      <c r="LS40">
        <v>0</v>
      </c>
      <c r="LT40">
        <v>0</v>
      </c>
      <c r="LU40">
        <v>0</v>
      </c>
      <c r="LV40">
        <v>0</v>
      </c>
      <c r="LW40">
        <v>0</v>
      </c>
      <c r="LX40">
        <v>0</v>
      </c>
      <c r="LY40">
        <v>0</v>
      </c>
      <c r="LZ40">
        <v>0</v>
      </c>
      <c r="MA40">
        <v>0</v>
      </c>
      <c r="MB40">
        <v>0</v>
      </c>
      <c r="MC40">
        <v>0</v>
      </c>
      <c r="MD40">
        <v>0</v>
      </c>
      <c r="ME40">
        <v>0</v>
      </c>
      <c r="MF40">
        <v>0</v>
      </c>
      <c r="MG40">
        <v>0</v>
      </c>
      <c r="MH40">
        <v>0</v>
      </c>
      <c r="MI40">
        <v>0</v>
      </c>
      <c r="MJ40">
        <v>0</v>
      </c>
      <c r="MK40">
        <v>0</v>
      </c>
      <c r="ML40">
        <v>0</v>
      </c>
      <c r="MM40">
        <v>0</v>
      </c>
      <c r="MN40">
        <v>0</v>
      </c>
      <c r="MO40">
        <v>0</v>
      </c>
      <c r="MP40">
        <v>0</v>
      </c>
      <c r="MQ40">
        <v>0</v>
      </c>
      <c r="MR40">
        <v>0</v>
      </c>
      <c r="MS40">
        <v>0</v>
      </c>
      <c r="MT40">
        <v>0</v>
      </c>
      <c r="MU40">
        <v>0</v>
      </c>
      <c r="MV40">
        <v>0</v>
      </c>
      <c r="MW40">
        <v>0</v>
      </c>
      <c r="MX40">
        <v>0</v>
      </c>
      <c r="MY40">
        <v>0</v>
      </c>
      <c r="MZ40">
        <v>0</v>
      </c>
      <c r="NA40">
        <v>0</v>
      </c>
      <c r="NB40">
        <v>0</v>
      </c>
      <c r="NC40">
        <v>0</v>
      </c>
      <c r="ND40">
        <v>0</v>
      </c>
      <c r="NE40">
        <v>0</v>
      </c>
      <c r="NF40">
        <v>0</v>
      </c>
      <c r="NG40">
        <v>0</v>
      </c>
      <c r="NH40">
        <v>0</v>
      </c>
      <c r="NI40">
        <v>0</v>
      </c>
      <c r="NJ40">
        <v>0</v>
      </c>
      <c r="NK40">
        <v>0</v>
      </c>
      <c r="NL40">
        <v>0</v>
      </c>
      <c r="NM40">
        <v>0</v>
      </c>
      <c r="NN40">
        <v>0</v>
      </c>
      <c r="NO40">
        <v>0</v>
      </c>
      <c r="NP40">
        <v>0</v>
      </c>
      <c r="NQ40">
        <v>0</v>
      </c>
      <c r="NR40">
        <v>0</v>
      </c>
      <c r="NS40">
        <v>0</v>
      </c>
      <c r="NT40">
        <v>0</v>
      </c>
      <c r="NU40">
        <v>0</v>
      </c>
      <c r="NV40">
        <v>0</v>
      </c>
      <c r="NW40">
        <v>0</v>
      </c>
      <c r="NX40">
        <v>0</v>
      </c>
      <c r="NY40">
        <v>0</v>
      </c>
      <c r="NZ40">
        <v>0</v>
      </c>
      <c r="OA40">
        <v>0</v>
      </c>
      <c r="OB40">
        <v>0</v>
      </c>
      <c r="OC40">
        <v>0</v>
      </c>
      <c r="OD40">
        <v>0</v>
      </c>
      <c r="OE40">
        <v>0</v>
      </c>
      <c r="OF40">
        <v>0</v>
      </c>
      <c r="OG40">
        <v>0</v>
      </c>
      <c r="OH40">
        <v>0</v>
      </c>
      <c r="OI40">
        <v>0</v>
      </c>
      <c r="OJ40">
        <v>0</v>
      </c>
      <c r="OK40">
        <v>2</v>
      </c>
      <c r="OL40">
        <v>2</v>
      </c>
      <c r="OM40">
        <v>2</v>
      </c>
      <c r="ON40">
        <v>2</v>
      </c>
      <c r="OO40">
        <v>2</v>
      </c>
      <c r="OP40">
        <v>2</v>
      </c>
      <c r="OQ40">
        <v>2</v>
      </c>
      <c r="OR40">
        <v>2</v>
      </c>
      <c r="OS40">
        <v>2</v>
      </c>
      <c r="OT40">
        <v>2</v>
      </c>
      <c r="OU40">
        <v>2</v>
      </c>
      <c r="OV40">
        <v>2</v>
      </c>
      <c r="OW40">
        <v>2</v>
      </c>
      <c r="OX40">
        <v>2</v>
      </c>
      <c r="OY40">
        <v>1</v>
      </c>
      <c r="OZ40">
        <v>1</v>
      </c>
      <c r="PA40">
        <v>1</v>
      </c>
      <c r="PB40">
        <v>1</v>
      </c>
      <c r="PC40">
        <v>1</v>
      </c>
      <c r="PD40">
        <v>1</v>
      </c>
      <c r="PE40">
        <v>1</v>
      </c>
      <c r="PF40">
        <v>1</v>
      </c>
      <c r="PG40">
        <v>1</v>
      </c>
      <c r="PH40">
        <v>1</v>
      </c>
      <c r="PI40">
        <v>1</v>
      </c>
      <c r="PJ40">
        <v>1</v>
      </c>
      <c r="PK40">
        <v>1</v>
      </c>
      <c r="PL40">
        <v>1</v>
      </c>
      <c r="PM40">
        <v>1</v>
      </c>
      <c r="PN40">
        <v>1</v>
      </c>
      <c r="PO40">
        <v>1</v>
      </c>
      <c r="PP40">
        <v>1</v>
      </c>
      <c r="PQ40">
        <v>1</v>
      </c>
      <c r="PR40">
        <v>1</v>
      </c>
      <c r="PS40">
        <v>1</v>
      </c>
      <c r="PT40">
        <v>1</v>
      </c>
      <c r="PU40">
        <v>1</v>
      </c>
      <c r="PV40">
        <v>1</v>
      </c>
      <c r="PW40">
        <v>1</v>
      </c>
      <c r="PX40">
        <v>1</v>
      </c>
      <c r="PY40">
        <v>1</v>
      </c>
      <c r="PZ40">
        <v>1</v>
      </c>
      <c r="QA40">
        <v>1</v>
      </c>
      <c r="QB40">
        <v>1</v>
      </c>
      <c r="QC40">
        <v>1</v>
      </c>
      <c r="QD40">
        <v>1</v>
      </c>
      <c r="QE40">
        <v>1</v>
      </c>
      <c r="QF40">
        <v>1</v>
      </c>
      <c r="QG40">
        <v>1</v>
      </c>
      <c r="QH40">
        <v>1</v>
      </c>
      <c r="QI40">
        <v>1</v>
      </c>
      <c r="QJ40">
        <v>1</v>
      </c>
      <c r="QK40">
        <v>1</v>
      </c>
      <c r="QL40">
        <v>1</v>
      </c>
      <c r="QM40">
        <v>1</v>
      </c>
      <c r="QN40">
        <v>1</v>
      </c>
      <c r="QO40">
        <v>1</v>
      </c>
      <c r="QP40">
        <v>1</v>
      </c>
      <c r="QQ40">
        <v>1</v>
      </c>
      <c r="QR40">
        <v>1</v>
      </c>
      <c r="QS40">
        <v>1</v>
      </c>
      <c r="QT40">
        <v>1</v>
      </c>
      <c r="QU40">
        <v>1</v>
      </c>
      <c r="QV40">
        <v>1</v>
      </c>
      <c r="QW40">
        <v>1</v>
      </c>
      <c r="QX40">
        <v>1</v>
      </c>
      <c r="QY40">
        <v>1</v>
      </c>
      <c r="QZ40">
        <v>1</v>
      </c>
      <c r="RA40">
        <v>1</v>
      </c>
      <c r="RB40">
        <v>1</v>
      </c>
      <c r="RC40">
        <v>1</v>
      </c>
      <c r="RD40">
        <v>1</v>
      </c>
      <c r="RE40">
        <v>1</v>
      </c>
      <c r="RF40">
        <v>1</v>
      </c>
      <c r="RG40">
        <v>1</v>
      </c>
      <c r="RH40">
        <v>1</v>
      </c>
      <c r="RI40">
        <v>1</v>
      </c>
      <c r="RJ40">
        <v>1</v>
      </c>
      <c r="RK40">
        <v>1</v>
      </c>
      <c r="RL40">
        <v>1</v>
      </c>
      <c r="RM40">
        <v>1</v>
      </c>
      <c r="RN40">
        <v>2</v>
      </c>
      <c r="RO40">
        <v>2</v>
      </c>
      <c r="RP40">
        <v>2</v>
      </c>
      <c r="RQ40">
        <v>2</v>
      </c>
      <c r="RR40">
        <v>2</v>
      </c>
      <c r="RS40">
        <v>2</v>
      </c>
      <c r="RT40">
        <v>2</v>
      </c>
      <c r="RU40">
        <v>2</v>
      </c>
      <c r="RV40">
        <v>2</v>
      </c>
      <c r="RW40">
        <v>2</v>
      </c>
      <c r="RX40">
        <v>2</v>
      </c>
      <c r="RY40">
        <v>2</v>
      </c>
      <c r="RZ40">
        <v>2</v>
      </c>
      <c r="SA40">
        <v>2</v>
      </c>
      <c r="SB40">
        <v>2</v>
      </c>
      <c r="SC40">
        <v>2</v>
      </c>
      <c r="SD40">
        <v>2</v>
      </c>
      <c r="SE40">
        <v>2</v>
      </c>
      <c r="SF40">
        <v>2</v>
      </c>
      <c r="SG40">
        <v>2</v>
      </c>
      <c r="SH40">
        <v>2</v>
      </c>
      <c r="SI40">
        <v>2</v>
      </c>
      <c r="SJ40">
        <v>2</v>
      </c>
      <c r="SK40">
        <v>2</v>
      </c>
      <c r="SL40">
        <v>2</v>
      </c>
      <c r="SM40">
        <v>2</v>
      </c>
      <c r="SN40">
        <v>2</v>
      </c>
      <c r="SO40">
        <v>2</v>
      </c>
      <c r="SP40">
        <v>2</v>
      </c>
      <c r="SQ40">
        <v>2</v>
      </c>
      <c r="SR40">
        <v>2</v>
      </c>
      <c r="SS40">
        <v>2</v>
      </c>
      <c r="ST40">
        <v>2</v>
      </c>
      <c r="SU40">
        <v>2</v>
      </c>
      <c r="SV40">
        <v>2</v>
      </c>
      <c r="SW40">
        <v>2</v>
      </c>
      <c r="SX40">
        <v>2</v>
      </c>
      <c r="SY40">
        <v>2</v>
      </c>
      <c r="SZ40">
        <v>2</v>
      </c>
      <c r="TA40">
        <v>2</v>
      </c>
      <c r="TB40">
        <v>2</v>
      </c>
      <c r="TC40">
        <v>2</v>
      </c>
      <c r="TD40">
        <v>2</v>
      </c>
      <c r="TE40">
        <v>2</v>
      </c>
      <c r="TF40">
        <v>2</v>
      </c>
      <c r="TG40">
        <v>2</v>
      </c>
      <c r="TH40">
        <v>2</v>
      </c>
      <c r="TI40">
        <v>2</v>
      </c>
      <c r="TJ40">
        <v>2</v>
      </c>
      <c r="TK40">
        <v>2</v>
      </c>
      <c r="TL40">
        <v>2</v>
      </c>
      <c r="TM40">
        <v>2</v>
      </c>
      <c r="TN40">
        <v>2</v>
      </c>
      <c r="TO40">
        <v>2</v>
      </c>
      <c r="TP40">
        <v>2</v>
      </c>
      <c r="TQ40">
        <v>2</v>
      </c>
      <c r="TR40">
        <v>2</v>
      </c>
      <c r="TS40">
        <v>2</v>
      </c>
      <c r="TT40">
        <v>2</v>
      </c>
      <c r="TU40">
        <v>2</v>
      </c>
      <c r="TV40">
        <v>2</v>
      </c>
      <c r="TW40">
        <v>2</v>
      </c>
      <c r="TX40">
        <v>2</v>
      </c>
      <c r="TY40">
        <v>2</v>
      </c>
      <c r="TZ40">
        <v>2</v>
      </c>
      <c r="UA40">
        <v>2</v>
      </c>
      <c r="UB40">
        <v>2</v>
      </c>
      <c r="UC40">
        <v>2</v>
      </c>
      <c r="UD40">
        <v>2</v>
      </c>
      <c r="UE40">
        <v>2</v>
      </c>
      <c r="UF40">
        <v>2</v>
      </c>
      <c r="UG40">
        <v>2</v>
      </c>
      <c r="UH40">
        <v>2</v>
      </c>
      <c r="UI40">
        <v>2</v>
      </c>
      <c r="UJ40">
        <v>2</v>
      </c>
      <c r="UK40">
        <v>2</v>
      </c>
      <c r="UL40">
        <v>2</v>
      </c>
      <c r="UM40">
        <v>2</v>
      </c>
      <c r="UN40">
        <v>2</v>
      </c>
      <c r="UO40">
        <v>2</v>
      </c>
      <c r="UP40">
        <v>2</v>
      </c>
      <c r="UQ40">
        <v>2</v>
      </c>
      <c r="UR40">
        <v>2</v>
      </c>
      <c r="US40">
        <v>2</v>
      </c>
      <c r="UT40">
        <v>2</v>
      </c>
      <c r="UU40">
        <v>2</v>
      </c>
      <c r="UV40">
        <v>2</v>
      </c>
      <c r="UW40">
        <v>2</v>
      </c>
      <c r="UX40">
        <v>2</v>
      </c>
      <c r="UY40">
        <v>2</v>
      </c>
      <c r="UZ40">
        <v>2</v>
      </c>
      <c r="VA40">
        <v>2</v>
      </c>
      <c r="VB40">
        <v>2</v>
      </c>
      <c r="VC40">
        <v>2</v>
      </c>
      <c r="VD40">
        <v>2</v>
      </c>
      <c r="VE40">
        <v>2</v>
      </c>
      <c r="VF40">
        <v>2</v>
      </c>
      <c r="VG40">
        <v>2</v>
      </c>
      <c r="VH40">
        <v>2</v>
      </c>
      <c r="VI40">
        <v>2</v>
      </c>
      <c r="VJ40">
        <v>2</v>
      </c>
      <c r="VK40">
        <v>2</v>
      </c>
      <c r="VL40">
        <v>2</v>
      </c>
      <c r="VM40">
        <v>2</v>
      </c>
      <c r="VN40">
        <v>2</v>
      </c>
      <c r="VO40">
        <v>2</v>
      </c>
      <c r="VP40">
        <v>2</v>
      </c>
      <c r="VQ40">
        <v>2</v>
      </c>
      <c r="VR40">
        <v>2</v>
      </c>
      <c r="VS40">
        <v>2</v>
      </c>
      <c r="VT40">
        <v>2</v>
      </c>
      <c r="VU40">
        <v>2</v>
      </c>
      <c r="VV40">
        <v>2</v>
      </c>
      <c r="VW40">
        <v>2</v>
      </c>
      <c r="VX40">
        <v>2</v>
      </c>
      <c r="VY40">
        <v>2</v>
      </c>
      <c r="VZ40">
        <v>2</v>
      </c>
      <c r="WA40">
        <v>2</v>
      </c>
      <c r="WB40">
        <v>2</v>
      </c>
      <c r="WC40">
        <v>2</v>
      </c>
      <c r="WD40">
        <v>2</v>
      </c>
      <c r="WE40">
        <v>2</v>
      </c>
      <c r="WF40">
        <v>2</v>
      </c>
      <c r="WG40">
        <v>2</v>
      </c>
      <c r="WH40">
        <v>2</v>
      </c>
      <c r="WI40">
        <v>2</v>
      </c>
      <c r="WJ40">
        <v>2</v>
      </c>
      <c r="WK40">
        <v>2</v>
      </c>
      <c r="WL40">
        <v>2</v>
      </c>
      <c r="WM40">
        <v>2</v>
      </c>
      <c r="WN40">
        <v>2</v>
      </c>
      <c r="WO40">
        <v>2</v>
      </c>
      <c r="WP40">
        <v>2</v>
      </c>
      <c r="WQ40">
        <v>2</v>
      </c>
      <c r="WR40">
        <v>2</v>
      </c>
      <c r="WS40">
        <v>2</v>
      </c>
      <c r="WT40">
        <v>2</v>
      </c>
      <c r="WU40">
        <v>2</v>
      </c>
      <c r="WV40">
        <v>2</v>
      </c>
      <c r="WW40">
        <v>2</v>
      </c>
      <c r="WX40">
        <v>2</v>
      </c>
      <c r="WY40">
        <v>2</v>
      </c>
      <c r="WZ40">
        <v>2</v>
      </c>
      <c r="XA40">
        <v>2</v>
      </c>
      <c r="XB40">
        <v>2</v>
      </c>
      <c r="XC40">
        <v>2</v>
      </c>
      <c r="XD40">
        <v>2</v>
      </c>
      <c r="XE40">
        <v>2</v>
      </c>
      <c r="XF40">
        <v>2</v>
      </c>
      <c r="XG40">
        <v>2</v>
      </c>
      <c r="XH40">
        <v>2</v>
      </c>
      <c r="XI40">
        <v>2</v>
      </c>
      <c r="XJ40">
        <v>2</v>
      </c>
      <c r="XK40">
        <v>2</v>
      </c>
      <c r="XL40">
        <v>2</v>
      </c>
      <c r="XM40">
        <v>2</v>
      </c>
      <c r="XN40">
        <v>2</v>
      </c>
      <c r="XO40">
        <v>2</v>
      </c>
      <c r="XP40">
        <v>2</v>
      </c>
      <c r="XQ40">
        <v>2</v>
      </c>
      <c r="XR40">
        <v>2</v>
      </c>
      <c r="XS40">
        <v>2</v>
      </c>
      <c r="XT40">
        <v>2</v>
      </c>
      <c r="XU40">
        <v>2</v>
      </c>
      <c r="XV40">
        <v>2</v>
      </c>
      <c r="XW40">
        <v>2</v>
      </c>
      <c r="XX40">
        <v>2</v>
      </c>
      <c r="XY40">
        <v>2</v>
      </c>
      <c r="XZ40">
        <v>2</v>
      </c>
      <c r="YA40">
        <v>2</v>
      </c>
      <c r="YB40">
        <v>2</v>
      </c>
      <c r="YC40">
        <v>2</v>
      </c>
      <c r="YD40">
        <v>2</v>
      </c>
      <c r="YE40">
        <v>2</v>
      </c>
      <c r="YF40">
        <v>2</v>
      </c>
      <c r="YG40">
        <v>2</v>
      </c>
      <c r="YH40">
        <v>2</v>
      </c>
      <c r="YI40">
        <v>2</v>
      </c>
      <c r="YJ40">
        <v>2</v>
      </c>
      <c r="YK40">
        <v>2</v>
      </c>
      <c r="YL40">
        <v>2</v>
      </c>
      <c r="YM40">
        <v>2</v>
      </c>
      <c r="YN40">
        <v>2</v>
      </c>
      <c r="YO40">
        <v>2</v>
      </c>
      <c r="YP40">
        <v>2</v>
      </c>
      <c r="YQ40">
        <v>2</v>
      </c>
      <c r="YR40">
        <v>2</v>
      </c>
      <c r="YS40">
        <v>2</v>
      </c>
      <c r="YT40">
        <v>2</v>
      </c>
      <c r="YU40">
        <v>2</v>
      </c>
      <c r="YV40">
        <v>2</v>
      </c>
      <c r="YW40">
        <v>2</v>
      </c>
      <c r="YX40">
        <v>2</v>
      </c>
      <c r="YY40">
        <v>2</v>
      </c>
      <c r="YZ40">
        <v>2</v>
      </c>
      <c r="ZA40">
        <v>2</v>
      </c>
      <c r="ZB40">
        <v>2</v>
      </c>
      <c r="ZC40">
        <v>2</v>
      </c>
      <c r="ZD40">
        <v>2</v>
      </c>
      <c r="ZE40">
        <v>2</v>
      </c>
      <c r="ZF40">
        <v>2</v>
      </c>
      <c r="ZG40">
        <v>2</v>
      </c>
      <c r="ZH40">
        <v>2</v>
      </c>
      <c r="ZI40">
        <v>2</v>
      </c>
      <c r="ZJ40">
        <v>2</v>
      </c>
      <c r="ZK40">
        <v>2</v>
      </c>
      <c r="ZL40">
        <v>2</v>
      </c>
      <c r="ZM40">
        <v>2</v>
      </c>
      <c r="ZN40">
        <v>2</v>
      </c>
      <c r="ZO40">
        <v>2</v>
      </c>
      <c r="ZP40">
        <v>2</v>
      </c>
      <c r="ZQ40">
        <v>2</v>
      </c>
      <c r="ZR40">
        <v>2</v>
      </c>
      <c r="ZS40">
        <v>2</v>
      </c>
      <c r="ZT40">
        <v>2</v>
      </c>
      <c r="ZU40">
        <v>2</v>
      </c>
      <c r="ZV40">
        <v>2</v>
      </c>
      <c r="ZW40">
        <v>2</v>
      </c>
      <c r="ZX40">
        <v>2</v>
      </c>
      <c r="ZY40">
        <v>2</v>
      </c>
      <c r="ZZ40">
        <v>2</v>
      </c>
      <c r="AAA40">
        <v>2</v>
      </c>
      <c r="AAB40">
        <v>2</v>
      </c>
      <c r="AAC40">
        <v>2</v>
      </c>
      <c r="AAD40">
        <v>2</v>
      </c>
      <c r="AAE40">
        <v>2</v>
      </c>
      <c r="AAF40">
        <v>2</v>
      </c>
      <c r="AAG40">
        <v>2</v>
      </c>
      <c r="AAH40">
        <v>2</v>
      </c>
      <c r="AAI40">
        <v>2</v>
      </c>
      <c r="AAJ40">
        <v>2</v>
      </c>
      <c r="AAK40">
        <v>2</v>
      </c>
      <c r="AAL40">
        <v>2</v>
      </c>
      <c r="AAM40">
        <v>2</v>
      </c>
      <c r="AAN40">
        <v>2</v>
      </c>
      <c r="AAO40">
        <v>2</v>
      </c>
      <c r="AAP40">
        <v>2</v>
      </c>
      <c r="AAQ40">
        <v>2</v>
      </c>
      <c r="AAR40">
        <v>2</v>
      </c>
      <c r="AAS40">
        <v>2</v>
      </c>
      <c r="AAT40">
        <v>2</v>
      </c>
      <c r="AAU40">
        <v>2</v>
      </c>
      <c r="AAV40">
        <v>0</v>
      </c>
      <c r="AAW40">
        <v>0</v>
      </c>
      <c r="AAX40">
        <v>0</v>
      </c>
      <c r="AAY40">
        <v>0</v>
      </c>
      <c r="AAZ40">
        <v>0</v>
      </c>
      <c r="ABA40">
        <v>0</v>
      </c>
      <c r="ABB40">
        <v>0</v>
      </c>
      <c r="ABC40">
        <v>0</v>
      </c>
      <c r="ABD40">
        <v>0</v>
      </c>
      <c r="ABE40">
        <v>0</v>
      </c>
      <c r="ABG40" s="1137">
        <f t="shared" si="9"/>
        <v>0</v>
      </c>
      <c r="ABH40" s="1137">
        <f t="shared" si="9"/>
        <v>0</v>
      </c>
      <c r="ABI40" s="1137">
        <f t="shared" si="9"/>
        <v>14</v>
      </c>
      <c r="ABJ40" s="1137">
        <f t="shared" si="9"/>
        <v>30</v>
      </c>
      <c r="ABK40" s="1137">
        <f t="shared" si="9"/>
        <v>31</v>
      </c>
      <c r="ABL40" s="1137">
        <f t="shared" si="9"/>
        <v>30</v>
      </c>
      <c r="ABM40" s="1137">
        <f t="shared" si="9"/>
        <v>31</v>
      </c>
      <c r="ABN40" s="1137">
        <f t="shared" si="9"/>
        <v>31</v>
      </c>
      <c r="ABO40" s="1137">
        <f t="shared" si="9"/>
        <v>30</v>
      </c>
      <c r="ABP40" s="1137">
        <f t="shared" si="9"/>
        <v>26</v>
      </c>
      <c r="ABQ40" s="1137">
        <f t="shared" si="9"/>
        <v>0</v>
      </c>
      <c r="ABR40" s="1137">
        <f t="shared" si="9"/>
        <v>0</v>
      </c>
      <c r="ABS40" s="1137">
        <f t="shared" si="9"/>
        <v>0</v>
      </c>
      <c r="ABT40" s="1137">
        <f t="shared" si="9"/>
        <v>27</v>
      </c>
      <c r="ABU40" s="1137">
        <f t="shared" si="9"/>
        <v>31</v>
      </c>
      <c r="ABV40" s="1137">
        <f t="shared" si="9"/>
        <v>30</v>
      </c>
      <c r="ABW40" s="1137">
        <f t="shared" si="7"/>
        <v>31</v>
      </c>
      <c r="ABX40" s="1137">
        <f t="shared" si="7"/>
        <v>30</v>
      </c>
      <c r="ABY40" s="1137">
        <f t="shared" si="7"/>
        <v>31</v>
      </c>
      <c r="ABZ40" s="1137">
        <f t="shared" si="7"/>
        <v>31</v>
      </c>
      <c r="ACA40" s="1137">
        <f t="shared" si="7"/>
        <v>30</v>
      </c>
      <c r="ACB40" s="1137">
        <f t="shared" si="7"/>
        <v>31</v>
      </c>
      <c r="ACC40" s="1137">
        <f t="shared" si="7"/>
        <v>30</v>
      </c>
      <c r="ACD40" s="1137">
        <f t="shared" si="7"/>
        <v>21</v>
      </c>
      <c r="ACE40" s="1137" t="s">
        <v>26</v>
      </c>
      <c r="ACF40" s="1137">
        <f t="shared" si="10"/>
        <v>0</v>
      </c>
      <c r="ACG40" s="1137">
        <f t="shared" si="10"/>
        <v>0</v>
      </c>
      <c r="ACH40" s="1137">
        <f t="shared" si="10"/>
        <v>1</v>
      </c>
      <c r="ACI40" s="1137">
        <f t="shared" si="10"/>
        <v>1</v>
      </c>
      <c r="ACJ40" s="1137">
        <f t="shared" si="10"/>
        <v>1</v>
      </c>
      <c r="ACK40" s="1137">
        <f t="shared" si="10"/>
        <v>1</v>
      </c>
      <c r="ACL40" s="1137">
        <f t="shared" si="10"/>
        <v>1</v>
      </c>
      <c r="ACM40" s="1137">
        <f t="shared" si="10"/>
        <v>1</v>
      </c>
      <c r="ACN40" s="1137">
        <f t="shared" si="10"/>
        <v>1</v>
      </c>
      <c r="ACO40" s="1137">
        <f t="shared" si="10"/>
        <v>1</v>
      </c>
      <c r="ACP40" s="1137">
        <f t="shared" si="10"/>
        <v>0</v>
      </c>
      <c r="ACQ40" s="1137">
        <f t="shared" si="10"/>
        <v>0</v>
      </c>
      <c r="ACR40" s="1137">
        <f t="shared" si="10"/>
        <v>0</v>
      </c>
      <c r="ACS40" s="1137">
        <f t="shared" si="10"/>
        <v>1</v>
      </c>
      <c r="ACT40" s="1137">
        <f t="shared" si="10"/>
        <v>1</v>
      </c>
      <c r="ACU40" s="1137">
        <f t="shared" si="10"/>
        <v>1</v>
      </c>
      <c r="ACV40" s="1137">
        <f t="shared" si="8"/>
        <v>1</v>
      </c>
      <c r="ACW40" s="1137">
        <f t="shared" si="8"/>
        <v>1</v>
      </c>
      <c r="ACX40" s="1137">
        <f t="shared" si="8"/>
        <v>1</v>
      </c>
      <c r="ACY40" s="1137">
        <f t="shared" si="8"/>
        <v>1</v>
      </c>
      <c r="ACZ40" s="1137">
        <f t="shared" si="8"/>
        <v>1</v>
      </c>
      <c r="ADA40" s="1137">
        <f t="shared" si="8"/>
        <v>1</v>
      </c>
      <c r="ADB40" s="1137">
        <f t="shared" si="8"/>
        <v>1</v>
      </c>
      <c r="ADC40" s="1137">
        <f t="shared" si="8"/>
        <v>1</v>
      </c>
    </row>
    <row r="41" spans="1:783" x14ac:dyDescent="0.25">
      <c r="A41" t="s">
        <v>1837</v>
      </c>
      <c r="B41" t="s">
        <v>22</v>
      </c>
      <c r="C41">
        <v>0</v>
      </c>
      <c r="D41">
        <v>0</v>
      </c>
      <c r="E41">
        <v>0</v>
      </c>
      <c r="F41">
        <v>0</v>
      </c>
      <c r="G41">
        <v>0</v>
      </c>
      <c r="H41">
        <v>0</v>
      </c>
      <c r="I41">
        <v>0</v>
      </c>
      <c r="J41">
        <v>0</v>
      </c>
      <c r="K41">
        <v>0</v>
      </c>
      <c r="L41">
        <v>0</v>
      </c>
      <c r="M41">
        <v>0</v>
      </c>
      <c r="N41">
        <v>0</v>
      </c>
      <c r="O41">
        <v>0</v>
      </c>
      <c r="P41">
        <v>0</v>
      </c>
      <c r="Q41">
        <v>0</v>
      </c>
      <c r="R41">
        <v>0</v>
      </c>
      <c r="S41">
        <v>0</v>
      </c>
      <c r="T41">
        <v>0</v>
      </c>
      <c r="U41">
        <v>0</v>
      </c>
      <c r="V41">
        <v>0</v>
      </c>
      <c r="W41">
        <v>0</v>
      </c>
      <c r="X41">
        <v>0</v>
      </c>
      <c r="Y41">
        <v>0</v>
      </c>
      <c r="Z41">
        <v>0</v>
      </c>
      <c r="AA41">
        <v>0</v>
      </c>
      <c r="AB41">
        <v>0</v>
      </c>
      <c r="AC41">
        <v>0</v>
      </c>
      <c r="AD41">
        <v>0</v>
      </c>
      <c r="AE41">
        <v>0</v>
      </c>
      <c r="AF41">
        <v>0</v>
      </c>
      <c r="AG41">
        <v>0</v>
      </c>
      <c r="AH41">
        <v>0</v>
      </c>
      <c r="AI41">
        <v>0</v>
      </c>
      <c r="AJ41">
        <v>0</v>
      </c>
      <c r="AK41">
        <v>0</v>
      </c>
      <c r="AL41">
        <v>0</v>
      </c>
      <c r="AM41">
        <v>0</v>
      </c>
      <c r="AN41">
        <v>0</v>
      </c>
      <c r="AO41">
        <v>0</v>
      </c>
      <c r="AP41">
        <v>0</v>
      </c>
      <c r="AQ41">
        <v>0</v>
      </c>
      <c r="AR41">
        <v>0</v>
      </c>
      <c r="AS41">
        <v>0</v>
      </c>
      <c r="AT41">
        <v>0</v>
      </c>
      <c r="AU41">
        <v>0</v>
      </c>
      <c r="AV41">
        <v>0</v>
      </c>
      <c r="AW41">
        <v>0</v>
      </c>
      <c r="AX41">
        <v>0</v>
      </c>
      <c r="AY41">
        <v>0</v>
      </c>
      <c r="AZ41">
        <v>0</v>
      </c>
      <c r="BA41">
        <v>0</v>
      </c>
      <c r="BB41">
        <v>0</v>
      </c>
      <c r="BC41">
        <v>0</v>
      </c>
      <c r="BD41">
        <v>0</v>
      </c>
      <c r="BE41">
        <v>0</v>
      </c>
      <c r="BF41">
        <v>0</v>
      </c>
      <c r="BG41">
        <v>0</v>
      </c>
      <c r="BH41">
        <v>0</v>
      </c>
      <c r="BI41">
        <v>0</v>
      </c>
      <c r="BJ41">
        <v>0</v>
      </c>
      <c r="BK41">
        <v>0</v>
      </c>
      <c r="BL41">
        <v>0</v>
      </c>
      <c r="BM41">
        <v>0</v>
      </c>
      <c r="BN41">
        <v>0</v>
      </c>
      <c r="BO41">
        <v>0</v>
      </c>
      <c r="BP41">
        <v>0</v>
      </c>
      <c r="BQ41">
        <v>0</v>
      </c>
      <c r="BR41">
        <v>0</v>
      </c>
      <c r="BS41">
        <v>0</v>
      </c>
      <c r="BT41">
        <v>0</v>
      </c>
      <c r="BU41">
        <v>0</v>
      </c>
      <c r="BV41">
        <v>0</v>
      </c>
      <c r="BW41">
        <v>0</v>
      </c>
      <c r="BX41">
        <v>0</v>
      </c>
      <c r="BY41">
        <v>0</v>
      </c>
      <c r="BZ41">
        <v>0</v>
      </c>
      <c r="CA41">
        <v>0</v>
      </c>
      <c r="CB41">
        <v>0</v>
      </c>
      <c r="CC41">
        <v>0</v>
      </c>
      <c r="CD41">
        <v>0</v>
      </c>
      <c r="CE41">
        <v>0</v>
      </c>
      <c r="CF41">
        <v>0</v>
      </c>
      <c r="CG41">
        <v>0</v>
      </c>
      <c r="CH41">
        <v>0</v>
      </c>
      <c r="CI41">
        <v>0</v>
      </c>
      <c r="CJ41">
        <v>0</v>
      </c>
      <c r="CK41">
        <v>0</v>
      </c>
      <c r="CL41">
        <v>2</v>
      </c>
      <c r="CM41">
        <v>2</v>
      </c>
      <c r="CN41">
        <v>2</v>
      </c>
      <c r="CO41">
        <v>2</v>
      </c>
      <c r="CP41">
        <v>2</v>
      </c>
      <c r="CQ41">
        <v>2</v>
      </c>
      <c r="CR41">
        <v>2</v>
      </c>
      <c r="CS41">
        <v>2</v>
      </c>
      <c r="CT41">
        <v>2</v>
      </c>
      <c r="CU41">
        <v>2</v>
      </c>
      <c r="CV41">
        <v>2</v>
      </c>
      <c r="CW41">
        <v>2</v>
      </c>
      <c r="CX41">
        <v>2</v>
      </c>
      <c r="CY41">
        <v>2</v>
      </c>
      <c r="CZ41">
        <v>2</v>
      </c>
      <c r="DA41">
        <v>2</v>
      </c>
      <c r="DB41">
        <v>2</v>
      </c>
      <c r="DC41">
        <v>2</v>
      </c>
      <c r="DD41">
        <v>2</v>
      </c>
      <c r="DE41">
        <v>2</v>
      </c>
      <c r="DF41">
        <v>2</v>
      </c>
      <c r="DG41">
        <v>2</v>
      </c>
      <c r="DH41">
        <v>2</v>
      </c>
      <c r="DI41">
        <v>2</v>
      </c>
      <c r="DJ41">
        <v>2</v>
      </c>
      <c r="DK41">
        <v>2</v>
      </c>
      <c r="DL41">
        <v>2</v>
      </c>
      <c r="DM41">
        <v>2</v>
      </c>
      <c r="DN41">
        <v>2</v>
      </c>
      <c r="DO41">
        <v>2</v>
      </c>
      <c r="DP41">
        <v>2</v>
      </c>
      <c r="DQ41">
        <v>2</v>
      </c>
      <c r="DR41">
        <v>2</v>
      </c>
      <c r="DS41">
        <v>2</v>
      </c>
      <c r="DT41">
        <v>2</v>
      </c>
      <c r="DU41">
        <v>2</v>
      </c>
      <c r="DV41">
        <v>2</v>
      </c>
      <c r="DW41">
        <v>2</v>
      </c>
      <c r="DX41">
        <v>2</v>
      </c>
      <c r="DY41">
        <v>2</v>
      </c>
      <c r="DZ41">
        <v>2</v>
      </c>
      <c r="EA41">
        <v>2</v>
      </c>
      <c r="EB41">
        <v>2</v>
      </c>
      <c r="EC41">
        <v>2</v>
      </c>
      <c r="ED41">
        <v>2</v>
      </c>
      <c r="EE41">
        <v>2</v>
      </c>
      <c r="EF41">
        <v>2</v>
      </c>
      <c r="EG41">
        <v>2</v>
      </c>
      <c r="EH41">
        <v>2</v>
      </c>
      <c r="EI41">
        <v>2</v>
      </c>
      <c r="EJ41">
        <v>2</v>
      </c>
      <c r="EK41">
        <v>2</v>
      </c>
      <c r="EL41">
        <v>2</v>
      </c>
      <c r="EM41">
        <v>2</v>
      </c>
      <c r="EN41">
        <v>2</v>
      </c>
      <c r="EO41">
        <v>2</v>
      </c>
      <c r="EP41">
        <v>2</v>
      </c>
      <c r="EQ41">
        <v>2</v>
      </c>
      <c r="ER41">
        <v>2</v>
      </c>
      <c r="ES41">
        <v>2</v>
      </c>
      <c r="ET41">
        <v>2</v>
      </c>
      <c r="EU41">
        <v>2</v>
      </c>
      <c r="EV41">
        <v>2</v>
      </c>
      <c r="EW41">
        <v>2</v>
      </c>
      <c r="EX41">
        <v>2</v>
      </c>
      <c r="EY41">
        <v>2</v>
      </c>
      <c r="EZ41">
        <v>2</v>
      </c>
      <c r="FA41">
        <v>2</v>
      </c>
      <c r="FB41">
        <v>2</v>
      </c>
      <c r="FC41">
        <v>2</v>
      </c>
      <c r="FD41">
        <v>2</v>
      </c>
      <c r="FE41">
        <v>2</v>
      </c>
      <c r="FF41">
        <v>2</v>
      </c>
      <c r="FG41">
        <v>2</v>
      </c>
      <c r="FH41">
        <v>2</v>
      </c>
      <c r="FI41">
        <v>2</v>
      </c>
      <c r="FJ41">
        <v>2</v>
      </c>
      <c r="FK41">
        <v>2</v>
      </c>
      <c r="FL41">
        <v>2</v>
      </c>
      <c r="FM41">
        <v>2</v>
      </c>
      <c r="FN41">
        <v>2</v>
      </c>
      <c r="FO41">
        <v>2</v>
      </c>
      <c r="FP41">
        <v>2</v>
      </c>
      <c r="FQ41">
        <v>2</v>
      </c>
      <c r="FR41">
        <v>2</v>
      </c>
      <c r="FS41">
        <v>2</v>
      </c>
      <c r="FT41">
        <v>2</v>
      </c>
      <c r="FU41">
        <v>2</v>
      </c>
      <c r="FV41">
        <v>2</v>
      </c>
      <c r="FW41">
        <v>2</v>
      </c>
      <c r="FX41">
        <v>2</v>
      </c>
      <c r="FY41">
        <v>2</v>
      </c>
      <c r="FZ41">
        <v>2</v>
      </c>
      <c r="GA41">
        <v>2</v>
      </c>
      <c r="GB41">
        <v>2</v>
      </c>
      <c r="GC41">
        <v>2</v>
      </c>
      <c r="GD41">
        <v>2</v>
      </c>
      <c r="GE41">
        <v>2</v>
      </c>
      <c r="GF41">
        <v>2</v>
      </c>
      <c r="GG41">
        <v>2</v>
      </c>
      <c r="GH41">
        <v>2</v>
      </c>
      <c r="GI41">
        <v>2</v>
      </c>
      <c r="GJ41">
        <v>2</v>
      </c>
      <c r="GK41">
        <v>2</v>
      </c>
      <c r="GL41">
        <v>2</v>
      </c>
      <c r="GM41">
        <v>2</v>
      </c>
      <c r="GN41">
        <v>2</v>
      </c>
      <c r="GO41">
        <v>2</v>
      </c>
      <c r="GP41">
        <v>2</v>
      </c>
      <c r="GQ41">
        <v>2</v>
      </c>
      <c r="GR41">
        <v>2</v>
      </c>
      <c r="GS41">
        <v>2</v>
      </c>
      <c r="GT41">
        <v>2</v>
      </c>
      <c r="GU41">
        <v>2</v>
      </c>
      <c r="GV41">
        <v>2</v>
      </c>
      <c r="GW41">
        <v>0</v>
      </c>
      <c r="GX41">
        <v>0</v>
      </c>
      <c r="GY41">
        <v>0</v>
      </c>
      <c r="GZ41">
        <v>0</v>
      </c>
      <c r="HA41">
        <v>0</v>
      </c>
      <c r="HB41">
        <v>0</v>
      </c>
      <c r="HC41">
        <v>0</v>
      </c>
      <c r="HD41">
        <v>0</v>
      </c>
      <c r="HE41">
        <v>0</v>
      </c>
      <c r="HF41">
        <v>0</v>
      </c>
      <c r="HG41">
        <v>0</v>
      </c>
      <c r="HH41">
        <v>0</v>
      </c>
      <c r="HI41">
        <v>0</v>
      </c>
      <c r="HJ41">
        <v>0</v>
      </c>
      <c r="HK41">
        <v>0</v>
      </c>
      <c r="HL41">
        <v>0</v>
      </c>
      <c r="HM41">
        <v>0</v>
      </c>
      <c r="HN41">
        <v>0</v>
      </c>
      <c r="HO41">
        <v>0</v>
      </c>
      <c r="HP41">
        <v>0</v>
      </c>
      <c r="HQ41">
        <v>0</v>
      </c>
      <c r="HR41">
        <v>0</v>
      </c>
      <c r="HS41">
        <v>0</v>
      </c>
      <c r="HT41">
        <v>0</v>
      </c>
      <c r="HU41">
        <v>0</v>
      </c>
      <c r="HV41">
        <v>0</v>
      </c>
      <c r="HW41">
        <v>0</v>
      </c>
      <c r="HX41">
        <v>0</v>
      </c>
      <c r="HY41">
        <v>0</v>
      </c>
      <c r="HZ41">
        <v>0</v>
      </c>
      <c r="IA41">
        <v>0</v>
      </c>
      <c r="IB41">
        <v>0</v>
      </c>
      <c r="IC41">
        <v>0</v>
      </c>
      <c r="ID41">
        <v>0</v>
      </c>
      <c r="IE41">
        <v>0</v>
      </c>
      <c r="IF41">
        <v>0</v>
      </c>
      <c r="IG41">
        <v>0</v>
      </c>
      <c r="IH41">
        <v>0</v>
      </c>
      <c r="II41">
        <v>0</v>
      </c>
      <c r="IJ41">
        <v>0</v>
      </c>
      <c r="IK41">
        <v>0</v>
      </c>
      <c r="IL41">
        <v>0</v>
      </c>
      <c r="IM41">
        <v>0</v>
      </c>
      <c r="IN41">
        <v>0</v>
      </c>
      <c r="IO41">
        <v>0</v>
      </c>
      <c r="IP41">
        <v>0</v>
      </c>
      <c r="IQ41">
        <v>0</v>
      </c>
      <c r="IR41">
        <v>0</v>
      </c>
      <c r="IS41">
        <v>0</v>
      </c>
      <c r="IT41">
        <v>0</v>
      </c>
      <c r="IU41">
        <v>0</v>
      </c>
      <c r="IV41">
        <v>0</v>
      </c>
      <c r="IW41">
        <v>0</v>
      </c>
      <c r="IX41">
        <v>0</v>
      </c>
      <c r="IY41">
        <v>0</v>
      </c>
      <c r="IZ41">
        <v>0</v>
      </c>
      <c r="JA41">
        <v>0</v>
      </c>
      <c r="JB41">
        <v>0</v>
      </c>
      <c r="JC41">
        <v>0</v>
      </c>
      <c r="JD41">
        <v>0</v>
      </c>
      <c r="JE41">
        <v>0</v>
      </c>
      <c r="JF41">
        <v>0</v>
      </c>
      <c r="JG41">
        <v>0</v>
      </c>
      <c r="JH41">
        <v>0</v>
      </c>
      <c r="JI41">
        <v>0</v>
      </c>
      <c r="JJ41">
        <v>0</v>
      </c>
      <c r="JK41">
        <v>0</v>
      </c>
      <c r="JL41">
        <v>0</v>
      </c>
      <c r="JM41">
        <v>0</v>
      </c>
      <c r="JN41">
        <v>0</v>
      </c>
      <c r="JO41">
        <v>0</v>
      </c>
      <c r="JP41">
        <v>0</v>
      </c>
      <c r="JQ41">
        <v>0</v>
      </c>
      <c r="JR41">
        <v>0</v>
      </c>
      <c r="JS41">
        <v>0</v>
      </c>
      <c r="JT41">
        <v>0</v>
      </c>
      <c r="JU41">
        <v>0</v>
      </c>
      <c r="JV41">
        <v>0</v>
      </c>
      <c r="JW41">
        <v>0</v>
      </c>
      <c r="JX41">
        <v>0</v>
      </c>
      <c r="JY41">
        <v>0</v>
      </c>
      <c r="JZ41">
        <v>0</v>
      </c>
      <c r="KA41">
        <v>0</v>
      </c>
      <c r="KB41">
        <v>0</v>
      </c>
      <c r="KC41">
        <v>0</v>
      </c>
      <c r="KD41">
        <v>0</v>
      </c>
      <c r="KE41">
        <v>0</v>
      </c>
      <c r="KF41">
        <v>0</v>
      </c>
      <c r="KG41">
        <v>0</v>
      </c>
      <c r="KH41">
        <v>0</v>
      </c>
      <c r="KI41">
        <v>0</v>
      </c>
      <c r="KJ41">
        <v>0</v>
      </c>
      <c r="KK41">
        <v>0</v>
      </c>
      <c r="KL41">
        <v>0</v>
      </c>
      <c r="KM41">
        <v>0</v>
      </c>
      <c r="KN41">
        <v>0</v>
      </c>
      <c r="KO41">
        <v>0</v>
      </c>
      <c r="KP41">
        <v>0</v>
      </c>
      <c r="KQ41">
        <v>0</v>
      </c>
      <c r="KR41">
        <v>0</v>
      </c>
      <c r="KS41">
        <v>0</v>
      </c>
      <c r="KT41">
        <v>0</v>
      </c>
      <c r="KU41">
        <v>0</v>
      </c>
      <c r="KV41">
        <v>0</v>
      </c>
      <c r="KW41">
        <v>0</v>
      </c>
      <c r="KX41">
        <v>0</v>
      </c>
      <c r="KY41">
        <v>0</v>
      </c>
      <c r="KZ41">
        <v>0</v>
      </c>
      <c r="LA41">
        <v>0</v>
      </c>
      <c r="LB41">
        <v>0</v>
      </c>
      <c r="LC41">
        <v>0</v>
      </c>
      <c r="LD41">
        <v>0</v>
      </c>
      <c r="LE41">
        <v>0</v>
      </c>
      <c r="LF41">
        <v>0</v>
      </c>
      <c r="LG41">
        <v>0</v>
      </c>
      <c r="LH41">
        <v>0</v>
      </c>
      <c r="LI41">
        <v>0</v>
      </c>
      <c r="LJ41">
        <v>0</v>
      </c>
      <c r="LK41">
        <v>0</v>
      </c>
      <c r="LL41">
        <v>0</v>
      </c>
      <c r="LM41">
        <v>0</v>
      </c>
      <c r="LN41">
        <v>0</v>
      </c>
      <c r="LO41">
        <v>0</v>
      </c>
      <c r="LP41">
        <v>0</v>
      </c>
      <c r="LQ41">
        <v>0</v>
      </c>
      <c r="LR41">
        <v>0</v>
      </c>
      <c r="LS41">
        <v>0</v>
      </c>
      <c r="LT41">
        <v>0</v>
      </c>
      <c r="LU41">
        <v>0</v>
      </c>
      <c r="LV41">
        <v>0</v>
      </c>
      <c r="LW41">
        <v>0</v>
      </c>
      <c r="LX41">
        <v>0</v>
      </c>
      <c r="LY41">
        <v>0</v>
      </c>
      <c r="LZ41">
        <v>0</v>
      </c>
      <c r="MA41">
        <v>0</v>
      </c>
      <c r="MB41">
        <v>0</v>
      </c>
      <c r="MC41">
        <v>0</v>
      </c>
      <c r="MD41">
        <v>0</v>
      </c>
      <c r="ME41">
        <v>0</v>
      </c>
      <c r="MF41">
        <v>0</v>
      </c>
      <c r="MG41">
        <v>0</v>
      </c>
      <c r="MH41">
        <v>0</v>
      </c>
      <c r="MI41">
        <v>0</v>
      </c>
      <c r="MJ41">
        <v>0</v>
      </c>
      <c r="MK41">
        <v>0</v>
      </c>
      <c r="ML41">
        <v>0</v>
      </c>
      <c r="MM41">
        <v>0</v>
      </c>
      <c r="MN41">
        <v>0</v>
      </c>
      <c r="MO41">
        <v>0</v>
      </c>
      <c r="MP41">
        <v>0</v>
      </c>
      <c r="MQ41">
        <v>0</v>
      </c>
      <c r="MR41">
        <v>0</v>
      </c>
      <c r="MS41">
        <v>0</v>
      </c>
      <c r="MT41">
        <v>0</v>
      </c>
      <c r="MU41">
        <v>0</v>
      </c>
      <c r="MV41">
        <v>0</v>
      </c>
      <c r="MW41">
        <v>0</v>
      </c>
      <c r="MX41">
        <v>0</v>
      </c>
      <c r="MY41">
        <v>0</v>
      </c>
      <c r="MZ41">
        <v>0</v>
      </c>
      <c r="NA41">
        <v>0</v>
      </c>
      <c r="NB41">
        <v>0</v>
      </c>
      <c r="NC41">
        <v>0</v>
      </c>
      <c r="ND41">
        <v>0</v>
      </c>
      <c r="NE41">
        <v>0</v>
      </c>
      <c r="NF41">
        <v>0</v>
      </c>
      <c r="NG41">
        <v>0</v>
      </c>
      <c r="NH41">
        <v>0</v>
      </c>
      <c r="NI41">
        <v>0</v>
      </c>
      <c r="NJ41">
        <v>0</v>
      </c>
      <c r="NK41">
        <v>0</v>
      </c>
      <c r="NL41">
        <v>0</v>
      </c>
      <c r="NM41">
        <v>0</v>
      </c>
      <c r="NN41">
        <v>0</v>
      </c>
      <c r="NO41">
        <v>0</v>
      </c>
      <c r="NP41">
        <v>0</v>
      </c>
      <c r="NQ41">
        <v>0</v>
      </c>
      <c r="NR41">
        <v>0</v>
      </c>
      <c r="NS41">
        <v>0</v>
      </c>
      <c r="NT41">
        <v>0</v>
      </c>
      <c r="NU41">
        <v>0</v>
      </c>
      <c r="NV41">
        <v>0</v>
      </c>
      <c r="NW41">
        <v>0</v>
      </c>
      <c r="NX41">
        <v>0</v>
      </c>
      <c r="NY41">
        <v>0</v>
      </c>
      <c r="NZ41">
        <v>0</v>
      </c>
      <c r="OA41">
        <v>0</v>
      </c>
      <c r="OB41">
        <v>0</v>
      </c>
      <c r="OC41">
        <v>0</v>
      </c>
      <c r="OD41">
        <v>0</v>
      </c>
      <c r="OE41">
        <v>0</v>
      </c>
      <c r="OF41">
        <v>0</v>
      </c>
      <c r="OG41">
        <v>0</v>
      </c>
      <c r="OH41">
        <v>0</v>
      </c>
      <c r="OI41">
        <v>0</v>
      </c>
      <c r="OJ41">
        <v>0</v>
      </c>
      <c r="OK41">
        <v>0</v>
      </c>
      <c r="OL41">
        <v>0</v>
      </c>
      <c r="OM41">
        <v>0</v>
      </c>
      <c r="ON41">
        <v>0</v>
      </c>
      <c r="OO41">
        <v>0</v>
      </c>
      <c r="OP41">
        <v>0</v>
      </c>
      <c r="OQ41">
        <v>0</v>
      </c>
      <c r="OR41">
        <v>0</v>
      </c>
      <c r="OS41">
        <v>0</v>
      </c>
      <c r="OT41">
        <v>0</v>
      </c>
      <c r="OU41">
        <v>0</v>
      </c>
      <c r="OV41">
        <v>0</v>
      </c>
      <c r="OW41">
        <v>0</v>
      </c>
      <c r="OX41">
        <v>0</v>
      </c>
      <c r="OY41">
        <v>0</v>
      </c>
      <c r="OZ41">
        <v>0</v>
      </c>
      <c r="PA41">
        <v>0</v>
      </c>
      <c r="PB41">
        <v>0</v>
      </c>
      <c r="PC41">
        <v>0</v>
      </c>
      <c r="PD41">
        <v>0</v>
      </c>
      <c r="PE41">
        <v>0</v>
      </c>
      <c r="PF41">
        <v>0</v>
      </c>
      <c r="PG41">
        <v>0</v>
      </c>
      <c r="PH41">
        <v>0</v>
      </c>
      <c r="PI41">
        <v>0</v>
      </c>
      <c r="PJ41">
        <v>0</v>
      </c>
      <c r="PK41">
        <v>0</v>
      </c>
      <c r="PL41">
        <v>0</v>
      </c>
      <c r="PM41">
        <v>0</v>
      </c>
      <c r="PN41">
        <v>0</v>
      </c>
      <c r="PO41">
        <v>0</v>
      </c>
      <c r="PP41">
        <v>0</v>
      </c>
      <c r="PQ41">
        <v>0</v>
      </c>
      <c r="PR41">
        <v>0</v>
      </c>
      <c r="PS41">
        <v>0</v>
      </c>
      <c r="PT41">
        <v>1</v>
      </c>
      <c r="PU41">
        <v>1</v>
      </c>
      <c r="PV41">
        <v>1</v>
      </c>
      <c r="PW41">
        <v>1</v>
      </c>
      <c r="PX41">
        <v>1</v>
      </c>
      <c r="PY41">
        <v>1</v>
      </c>
      <c r="PZ41">
        <v>1</v>
      </c>
      <c r="QA41">
        <v>1</v>
      </c>
      <c r="QB41">
        <v>1</v>
      </c>
      <c r="QC41">
        <v>1</v>
      </c>
      <c r="QD41">
        <v>1</v>
      </c>
      <c r="QE41">
        <v>1</v>
      </c>
      <c r="QF41">
        <v>1</v>
      </c>
      <c r="QG41">
        <v>1</v>
      </c>
      <c r="QH41">
        <v>1</v>
      </c>
      <c r="QI41">
        <v>1</v>
      </c>
      <c r="QJ41">
        <v>1</v>
      </c>
      <c r="QK41">
        <v>1</v>
      </c>
      <c r="QL41">
        <v>1</v>
      </c>
      <c r="QM41">
        <v>1</v>
      </c>
      <c r="QN41">
        <v>1</v>
      </c>
      <c r="QO41">
        <v>1</v>
      </c>
      <c r="QP41">
        <v>1</v>
      </c>
      <c r="QQ41">
        <v>1</v>
      </c>
      <c r="QR41">
        <v>1</v>
      </c>
      <c r="QS41">
        <v>1</v>
      </c>
      <c r="QT41">
        <v>1</v>
      </c>
      <c r="QU41">
        <v>1</v>
      </c>
      <c r="QV41">
        <v>1</v>
      </c>
      <c r="QW41">
        <v>1</v>
      </c>
      <c r="QX41">
        <v>1</v>
      </c>
      <c r="QY41">
        <v>1</v>
      </c>
      <c r="QZ41">
        <v>1</v>
      </c>
      <c r="RA41">
        <v>1</v>
      </c>
      <c r="RB41">
        <v>1</v>
      </c>
      <c r="RC41">
        <v>1</v>
      </c>
      <c r="RD41">
        <v>1</v>
      </c>
      <c r="RE41">
        <v>1</v>
      </c>
      <c r="RF41">
        <v>1</v>
      </c>
      <c r="RG41">
        <v>1</v>
      </c>
      <c r="RH41">
        <v>1</v>
      </c>
      <c r="RI41">
        <v>1</v>
      </c>
      <c r="RJ41">
        <v>1</v>
      </c>
      <c r="RK41">
        <v>1</v>
      </c>
      <c r="RL41">
        <v>1</v>
      </c>
      <c r="RM41">
        <v>1</v>
      </c>
      <c r="RN41">
        <v>1</v>
      </c>
      <c r="RO41">
        <v>1</v>
      </c>
      <c r="RP41">
        <v>1</v>
      </c>
      <c r="RQ41">
        <v>1</v>
      </c>
      <c r="RR41">
        <v>1</v>
      </c>
      <c r="RS41">
        <v>1</v>
      </c>
      <c r="RT41">
        <v>1</v>
      </c>
      <c r="RU41">
        <v>1</v>
      </c>
      <c r="RV41">
        <v>1</v>
      </c>
      <c r="RW41">
        <v>1</v>
      </c>
      <c r="RX41">
        <v>1</v>
      </c>
      <c r="RY41">
        <v>1</v>
      </c>
      <c r="RZ41">
        <v>1</v>
      </c>
      <c r="SA41">
        <v>1</v>
      </c>
      <c r="SB41">
        <v>1</v>
      </c>
      <c r="SC41">
        <v>1</v>
      </c>
      <c r="SD41">
        <v>1</v>
      </c>
      <c r="SE41">
        <v>1</v>
      </c>
      <c r="SF41">
        <v>1</v>
      </c>
      <c r="SG41">
        <v>1</v>
      </c>
      <c r="SH41">
        <v>1</v>
      </c>
      <c r="SI41">
        <v>1</v>
      </c>
      <c r="SJ41">
        <v>1</v>
      </c>
      <c r="SK41">
        <v>1</v>
      </c>
      <c r="SL41">
        <v>1</v>
      </c>
      <c r="SM41">
        <v>1</v>
      </c>
      <c r="SN41">
        <v>1</v>
      </c>
      <c r="SO41">
        <v>1</v>
      </c>
      <c r="SP41">
        <v>1</v>
      </c>
      <c r="SQ41">
        <v>1</v>
      </c>
      <c r="SR41">
        <v>1</v>
      </c>
      <c r="SS41">
        <v>1</v>
      </c>
      <c r="ST41">
        <v>1</v>
      </c>
      <c r="SU41">
        <v>1</v>
      </c>
      <c r="SV41">
        <v>1</v>
      </c>
      <c r="SW41">
        <v>1</v>
      </c>
      <c r="SX41">
        <v>1</v>
      </c>
      <c r="SY41">
        <v>1</v>
      </c>
      <c r="SZ41">
        <v>1</v>
      </c>
      <c r="TA41">
        <v>1</v>
      </c>
      <c r="TB41">
        <v>1</v>
      </c>
      <c r="TC41">
        <v>1</v>
      </c>
      <c r="TD41">
        <v>1</v>
      </c>
      <c r="TE41">
        <v>1</v>
      </c>
      <c r="TF41">
        <v>1</v>
      </c>
      <c r="TG41">
        <v>1</v>
      </c>
      <c r="TH41">
        <v>1</v>
      </c>
      <c r="TI41">
        <v>1</v>
      </c>
      <c r="TJ41">
        <v>1</v>
      </c>
      <c r="TK41">
        <v>1</v>
      </c>
      <c r="TL41">
        <v>1</v>
      </c>
      <c r="TM41">
        <v>1</v>
      </c>
      <c r="TN41">
        <v>1</v>
      </c>
      <c r="TO41">
        <v>1</v>
      </c>
      <c r="TP41">
        <v>1</v>
      </c>
      <c r="TQ41">
        <v>1</v>
      </c>
      <c r="TR41">
        <v>1</v>
      </c>
      <c r="TS41">
        <v>1</v>
      </c>
      <c r="TT41">
        <v>1</v>
      </c>
      <c r="TU41">
        <v>1</v>
      </c>
      <c r="TV41">
        <v>1</v>
      </c>
      <c r="TW41">
        <v>1</v>
      </c>
      <c r="TX41">
        <v>1</v>
      </c>
      <c r="TY41">
        <v>1</v>
      </c>
      <c r="TZ41">
        <v>1</v>
      </c>
      <c r="UA41">
        <v>1</v>
      </c>
      <c r="UB41">
        <v>1</v>
      </c>
      <c r="UC41">
        <v>1</v>
      </c>
      <c r="UD41">
        <v>1</v>
      </c>
      <c r="UE41">
        <v>1</v>
      </c>
      <c r="UF41">
        <v>1</v>
      </c>
      <c r="UG41">
        <v>1</v>
      </c>
      <c r="UH41">
        <v>1</v>
      </c>
      <c r="UI41">
        <v>1</v>
      </c>
      <c r="UJ41">
        <v>1</v>
      </c>
      <c r="UK41">
        <v>1</v>
      </c>
      <c r="UL41">
        <v>1</v>
      </c>
      <c r="UM41">
        <v>1</v>
      </c>
      <c r="UN41">
        <v>1</v>
      </c>
      <c r="UO41">
        <v>1</v>
      </c>
      <c r="UP41">
        <v>1</v>
      </c>
      <c r="UQ41">
        <v>1</v>
      </c>
      <c r="UR41">
        <v>1</v>
      </c>
      <c r="US41">
        <v>1</v>
      </c>
      <c r="UT41">
        <v>1</v>
      </c>
      <c r="UU41">
        <v>1</v>
      </c>
      <c r="UV41">
        <v>1</v>
      </c>
      <c r="UW41">
        <v>1</v>
      </c>
      <c r="UX41">
        <v>1</v>
      </c>
      <c r="UY41">
        <v>1</v>
      </c>
      <c r="UZ41">
        <v>1</v>
      </c>
      <c r="VA41">
        <v>1</v>
      </c>
      <c r="VB41">
        <v>1</v>
      </c>
      <c r="VC41">
        <v>1</v>
      </c>
      <c r="VD41">
        <v>1</v>
      </c>
      <c r="VE41">
        <v>1</v>
      </c>
      <c r="VF41">
        <v>1</v>
      </c>
      <c r="VG41">
        <v>1</v>
      </c>
      <c r="VH41">
        <v>1</v>
      </c>
      <c r="VI41">
        <v>1</v>
      </c>
      <c r="VJ41">
        <v>1</v>
      </c>
      <c r="VK41">
        <v>1</v>
      </c>
      <c r="VL41">
        <v>1</v>
      </c>
      <c r="VM41">
        <v>1</v>
      </c>
      <c r="VN41">
        <v>1</v>
      </c>
      <c r="VO41">
        <v>1</v>
      </c>
      <c r="VP41">
        <v>1</v>
      </c>
      <c r="VQ41">
        <v>1</v>
      </c>
      <c r="VR41">
        <v>1</v>
      </c>
      <c r="VS41">
        <v>1</v>
      </c>
      <c r="VT41">
        <v>1</v>
      </c>
      <c r="VU41">
        <v>1</v>
      </c>
      <c r="VV41">
        <v>1</v>
      </c>
      <c r="VW41">
        <v>1</v>
      </c>
      <c r="VX41">
        <v>1</v>
      </c>
      <c r="VY41">
        <v>0</v>
      </c>
      <c r="VZ41">
        <v>0</v>
      </c>
      <c r="WA41">
        <v>0</v>
      </c>
      <c r="WB41">
        <v>0</v>
      </c>
      <c r="WC41">
        <v>0</v>
      </c>
      <c r="WD41">
        <v>0</v>
      </c>
      <c r="WE41">
        <v>0</v>
      </c>
      <c r="WF41">
        <v>1</v>
      </c>
      <c r="WG41">
        <v>1</v>
      </c>
      <c r="WH41">
        <v>1</v>
      </c>
      <c r="WI41">
        <v>1</v>
      </c>
      <c r="WJ41">
        <v>1</v>
      </c>
      <c r="WK41">
        <v>1</v>
      </c>
      <c r="WL41">
        <v>1</v>
      </c>
      <c r="WM41">
        <v>1</v>
      </c>
      <c r="WN41">
        <v>1</v>
      </c>
      <c r="WO41">
        <v>1</v>
      </c>
      <c r="WP41">
        <v>1</v>
      </c>
      <c r="WQ41">
        <v>1</v>
      </c>
      <c r="WR41">
        <v>1</v>
      </c>
      <c r="WS41">
        <v>1</v>
      </c>
      <c r="WT41">
        <v>1</v>
      </c>
      <c r="WU41">
        <v>1</v>
      </c>
      <c r="WV41">
        <v>1</v>
      </c>
      <c r="WW41">
        <v>1</v>
      </c>
      <c r="WX41">
        <v>1</v>
      </c>
      <c r="WY41">
        <v>1</v>
      </c>
      <c r="WZ41">
        <v>1</v>
      </c>
      <c r="XA41">
        <v>0</v>
      </c>
      <c r="XB41">
        <v>0</v>
      </c>
      <c r="XC41">
        <v>0</v>
      </c>
      <c r="XD41">
        <v>0</v>
      </c>
      <c r="XE41">
        <v>0</v>
      </c>
      <c r="XF41">
        <v>0</v>
      </c>
      <c r="XG41">
        <v>0</v>
      </c>
      <c r="XH41">
        <v>0</v>
      </c>
      <c r="XI41">
        <v>0</v>
      </c>
      <c r="XJ41">
        <v>0</v>
      </c>
      <c r="XK41">
        <v>0</v>
      </c>
      <c r="XL41">
        <v>0</v>
      </c>
      <c r="XM41">
        <v>0</v>
      </c>
      <c r="XN41">
        <v>0</v>
      </c>
      <c r="XO41">
        <v>0</v>
      </c>
      <c r="XP41">
        <v>0</v>
      </c>
      <c r="XQ41">
        <v>0</v>
      </c>
      <c r="XR41">
        <v>0</v>
      </c>
      <c r="XS41">
        <v>0</v>
      </c>
      <c r="XT41">
        <v>0</v>
      </c>
      <c r="XU41">
        <v>0</v>
      </c>
      <c r="XV41">
        <v>0</v>
      </c>
      <c r="XW41">
        <v>0</v>
      </c>
      <c r="XX41">
        <v>0</v>
      </c>
      <c r="XY41">
        <v>0</v>
      </c>
      <c r="XZ41">
        <v>0</v>
      </c>
      <c r="YA41">
        <v>0</v>
      </c>
      <c r="YB41">
        <v>0</v>
      </c>
      <c r="YC41">
        <v>0</v>
      </c>
      <c r="YD41">
        <v>0</v>
      </c>
      <c r="YE41">
        <v>0</v>
      </c>
      <c r="YF41">
        <v>0</v>
      </c>
      <c r="YG41">
        <v>0</v>
      </c>
      <c r="YH41">
        <v>0</v>
      </c>
      <c r="YI41">
        <v>0</v>
      </c>
      <c r="YJ41">
        <v>0</v>
      </c>
      <c r="YK41">
        <v>0</v>
      </c>
      <c r="YL41">
        <v>0</v>
      </c>
      <c r="YM41">
        <v>0</v>
      </c>
      <c r="YN41">
        <v>0</v>
      </c>
      <c r="YO41">
        <v>0</v>
      </c>
      <c r="YP41">
        <v>0</v>
      </c>
      <c r="YQ41">
        <v>0</v>
      </c>
      <c r="YR41">
        <v>0</v>
      </c>
      <c r="YS41">
        <v>0</v>
      </c>
      <c r="YT41">
        <v>0</v>
      </c>
      <c r="YU41">
        <v>0</v>
      </c>
      <c r="YV41">
        <v>0</v>
      </c>
      <c r="YW41">
        <v>2</v>
      </c>
      <c r="YX41">
        <v>2</v>
      </c>
      <c r="YY41">
        <v>2</v>
      </c>
      <c r="YZ41">
        <v>2</v>
      </c>
      <c r="ZA41">
        <v>2</v>
      </c>
      <c r="ZB41">
        <v>2</v>
      </c>
      <c r="ZC41">
        <v>2</v>
      </c>
      <c r="ZD41">
        <v>2</v>
      </c>
      <c r="ZE41">
        <v>2</v>
      </c>
      <c r="ZF41">
        <v>2</v>
      </c>
      <c r="ZG41">
        <v>2</v>
      </c>
      <c r="ZH41">
        <v>2</v>
      </c>
      <c r="ZI41">
        <v>2</v>
      </c>
      <c r="ZJ41">
        <v>2</v>
      </c>
      <c r="ZK41">
        <v>2</v>
      </c>
      <c r="ZL41">
        <v>2</v>
      </c>
      <c r="ZM41">
        <v>2</v>
      </c>
      <c r="ZN41">
        <v>2</v>
      </c>
      <c r="ZO41">
        <v>2</v>
      </c>
      <c r="ZP41">
        <v>2</v>
      </c>
      <c r="ZQ41">
        <v>2</v>
      </c>
      <c r="ZR41">
        <v>2</v>
      </c>
      <c r="ZS41">
        <v>2</v>
      </c>
      <c r="ZT41">
        <v>2</v>
      </c>
      <c r="ZU41">
        <v>2</v>
      </c>
      <c r="ZV41">
        <v>2</v>
      </c>
      <c r="ZW41">
        <v>2</v>
      </c>
      <c r="ZX41">
        <v>2</v>
      </c>
      <c r="ZY41">
        <v>2</v>
      </c>
      <c r="ZZ41">
        <v>2</v>
      </c>
      <c r="AAA41">
        <v>2</v>
      </c>
      <c r="AAB41">
        <v>2</v>
      </c>
      <c r="AAC41">
        <v>2</v>
      </c>
      <c r="AAD41">
        <v>2</v>
      </c>
      <c r="AAE41">
        <v>2</v>
      </c>
      <c r="AAF41">
        <v>2</v>
      </c>
      <c r="AAG41">
        <v>2</v>
      </c>
      <c r="AAH41">
        <v>2</v>
      </c>
      <c r="AAI41">
        <v>2</v>
      </c>
      <c r="AAJ41">
        <v>2</v>
      </c>
      <c r="AAK41">
        <v>2</v>
      </c>
      <c r="AAL41">
        <v>2</v>
      </c>
      <c r="AAM41">
        <v>2</v>
      </c>
      <c r="AAN41">
        <v>2</v>
      </c>
      <c r="AAO41">
        <v>2</v>
      </c>
      <c r="AAP41">
        <v>2</v>
      </c>
      <c r="AAQ41">
        <v>2</v>
      </c>
      <c r="AAR41">
        <v>2</v>
      </c>
      <c r="AAS41">
        <v>2</v>
      </c>
      <c r="AAT41">
        <v>2</v>
      </c>
      <c r="AAU41">
        <v>2</v>
      </c>
      <c r="AAV41">
        <v>2</v>
      </c>
      <c r="AAW41">
        <v>2</v>
      </c>
      <c r="AAX41">
        <v>2</v>
      </c>
      <c r="AAY41">
        <v>2</v>
      </c>
      <c r="AAZ41">
        <v>2</v>
      </c>
      <c r="ABA41">
        <v>2</v>
      </c>
      <c r="ABB41">
        <v>2</v>
      </c>
      <c r="ABC41">
        <v>2</v>
      </c>
      <c r="ABD41">
        <v>2</v>
      </c>
      <c r="ABE41">
        <v>2</v>
      </c>
      <c r="ABG41" s="1137">
        <f t="shared" si="9"/>
        <v>0</v>
      </c>
      <c r="ABH41" s="1137">
        <f t="shared" si="9"/>
        <v>0</v>
      </c>
      <c r="ABI41" s="1137">
        <f t="shared" si="9"/>
        <v>4</v>
      </c>
      <c r="ABJ41" s="1137">
        <f t="shared" si="9"/>
        <v>30</v>
      </c>
      <c r="ABK41" s="1137">
        <f t="shared" si="9"/>
        <v>31</v>
      </c>
      <c r="ABL41" s="1137">
        <f t="shared" si="9"/>
        <v>30</v>
      </c>
      <c r="ABM41" s="1137">
        <f t="shared" si="9"/>
        <v>20</v>
      </c>
      <c r="ABN41" s="1137">
        <f t="shared" si="9"/>
        <v>0</v>
      </c>
      <c r="ABO41" s="1137">
        <f t="shared" si="9"/>
        <v>0</v>
      </c>
      <c r="ABP41" s="1137">
        <f t="shared" si="9"/>
        <v>0</v>
      </c>
      <c r="ABQ41" s="1137">
        <f t="shared" si="9"/>
        <v>0</v>
      </c>
      <c r="ABR41" s="1137">
        <f t="shared" si="9"/>
        <v>0</v>
      </c>
      <c r="ABS41" s="1137">
        <f t="shared" si="9"/>
        <v>0</v>
      </c>
      <c r="ABT41" s="1137">
        <f t="shared" si="9"/>
        <v>0</v>
      </c>
      <c r="ABU41" s="1137">
        <f t="shared" si="9"/>
        <v>23</v>
      </c>
      <c r="ABV41" s="1137">
        <f t="shared" si="9"/>
        <v>30</v>
      </c>
      <c r="ABW41" s="1137">
        <f t="shared" si="7"/>
        <v>31</v>
      </c>
      <c r="ABX41" s="1137">
        <f t="shared" si="7"/>
        <v>30</v>
      </c>
      <c r="ABY41" s="1137">
        <f t="shared" si="7"/>
        <v>31</v>
      </c>
      <c r="ABZ41" s="1137">
        <f t="shared" si="7"/>
        <v>24</v>
      </c>
      <c r="ACA41" s="1137">
        <f t="shared" si="7"/>
        <v>13</v>
      </c>
      <c r="ACB41" s="1137">
        <f t="shared" si="7"/>
        <v>0</v>
      </c>
      <c r="ACC41" s="1137">
        <f t="shared" si="7"/>
        <v>30</v>
      </c>
      <c r="ACD41" s="1137">
        <f t="shared" si="7"/>
        <v>31</v>
      </c>
      <c r="ACE41" s="1137" t="s">
        <v>22</v>
      </c>
      <c r="ACF41" s="1137">
        <f t="shared" si="10"/>
        <v>0</v>
      </c>
      <c r="ACG41" s="1137">
        <f t="shared" si="10"/>
        <v>0</v>
      </c>
      <c r="ACH41" s="1137">
        <f t="shared" si="10"/>
        <v>0</v>
      </c>
      <c r="ACI41" s="1137">
        <f t="shared" si="10"/>
        <v>1</v>
      </c>
      <c r="ACJ41" s="1137">
        <f t="shared" si="10"/>
        <v>1</v>
      </c>
      <c r="ACK41" s="1137">
        <f t="shared" si="10"/>
        <v>1</v>
      </c>
      <c r="ACL41" s="1137">
        <f t="shared" si="10"/>
        <v>1</v>
      </c>
      <c r="ACM41" s="1137">
        <f t="shared" si="10"/>
        <v>0</v>
      </c>
      <c r="ACN41" s="1137">
        <f t="shared" si="10"/>
        <v>0</v>
      </c>
      <c r="ACO41" s="1137">
        <f t="shared" si="10"/>
        <v>0</v>
      </c>
      <c r="ACP41" s="1137">
        <f t="shared" si="10"/>
        <v>0</v>
      </c>
      <c r="ACQ41" s="1137">
        <f t="shared" si="10"/>
        <v>0</v>
      </c>
      <c r="ACR41" s="1137">
        <f t="shared" si="10"/>
        <v>0</v>
      </c>
      <c r="ACS41" s="1137">
        <f t="shared" si="10"/>
        <v>0</v>
      </c>
      <c r="ACT41" s="1137">
        <f t="shared" si="10"/>
        <v>1</v>
      </c>
      <c r="ACU41" s="1137">
        <f t="shared" si="10"/>
        <v>1</v>
      </c>
      <c r="ACV41" s="1137">
        <f t="shared" si="8"/>
        <v>1</v>
      </c>
      <c r="ACW41" s="1137">
        <f t="shared" si="8"/>
        <v>1</v>
      </c>
      <c r="ACX41" s="1137">
        <f t="shared" si="8"/>
        <v>1</v>
      </c>
      <c r="ACY41" s="1137">
        <f t="shared" si="8"/>
        <v>1</v>
      </c>
      <c r="ACZ41" s="1137">
        <f t="shared" si="8"/>
        <v>1</v>
      </c>
      <c r="ADA41" s="1137">
        <f t="shared" si="8"/>
        <v>0</v>
      </c>
      <c r="ADB41" s="1137">
        <f t="shared" si="8"/>
        <v>1</v>
      </c>
      <c r="ADC41" s="1137">
        <f t="shared" si="8"/>
        <v>1</v>
      </c>
    </row>
    <row r="42" spans="1:783" x14ac:dyDescent="0.25">
      <c r="A42" t="s">
        <v>1838</v>
      </c>
      <c r="B42" t="s">
        <v>163</v>
      </c>
      <c r="C42">
        <v>0</v>
      </c>
      <c r="D42">
        <v>0</v>
      </c>
      <c r="E42">
        <v>0</v>
      </c>
      <c r="F42">
        <v>0</v>
      </c>
      <c r="G42">
        <v>0</v>
      </c>
      <c r="H42">
        <v>0</v>
      </c>
      <c r="I42">
        <v>0</v>
      </c>
      <c r="J42">
        <v>0</v>
      </c>
      <c r="K42">
        <v>0</v>
      </c>
      <c r="L42">
        <v>0</v>
      </c>
      <c r="M42">
        <v>0</v>
      </c>
      <c r="N42">
        <v>0</v>
      </c>
      <c r="O42">
        <v>0</v>
      </c>
      <c r="P42">
        <v>0</v>
      </c>
      <c r="Q42">
        <v>0</v>
      </c>
      <c r="R42">
        <v>0</v>
      </c>
      <c r="S42">
        <v>0</v>
      </c>
      <c r="T42">
        <v>0</v>
      </c>
      <c r="U42">
        <v>0</v>
      </c>
      <c r="V42">
        <v>0</v>
      </c>
      <c r="W42">
        <v>0</v>
      </c>
      <c r="X42">
        <v>0</v>
      </c>
      <c r="Y42">
        <v>0</v>
      </c>
      <c r="Z42">
        <v>0</v>
      </c>
      <c r="AA42">
        <v>0</v>
      </c>
      <c r="AB42">
        <v>0</v>
      </c>
      <c r="AC42">
        <v>0</v>
      </c>
      <c r="AD42">
        <v>0</v>
      </c>
      <c r="AE42">
        <v>0</v>
      </c>
      <c r="AF42">
        <v>0</v>
      </c>
      <c r="AG42">
        <v>0</v>
      </c>
      <c r="AH42">
        <v>0</v>
      </c>
      <c r="AI42">
        <v>0</v>
      </c>
      <c r="AJ42">
        <v>0</v>
      </c>
      <c r="AK42">
        <v>0</v>
      </c>
      <c r="AL42">
        <v>0</v>
      </c>
      <c r="AM42">
        <v>0</v>
      </c>
      <c r="AN42">
        <v>0</v>
      </c>
      <c r="AO42">
        <v>0</v>
      </c>
      <c r="AP42">
        <v>0</v>
      </c>
      <c r="AQ42">
        <v>0</v>
      </c>
      <c r="AR42">
        <v>0</v>
      </c>
      <c r="AS42">
        <v>0</v>
      </c>
      <c r="AT42">
        <v>0</v>
      </c>
      <c r="AU42">
        <v>0</v>
      </c>
      <c r="AV42">
        <v>0</v>
      </c>
      <c r="AW42">
        <v>0</v>
      </c>
      <c r="AX42">
        <v>0</v>
      </c>
      <c r="AY42">
        <v>0</v>
      </c>
      <c r="AZ42">
        <v>0</v>
      </c>
      <c r="BA42">
        <v>0</v>
      </c>
      <c r="BB42">
        <v>0</v>
      </c>
      <c r="BC42">
        <v>0</v>
      </c>
      <c r="BD42">
        <v>0</v>
      </c>
      <c r="BE42">
        <v>0</v>
      </c>
      <c r="BF42">
        <v>0</v>
      </c>
      <c r="BG42">
        <v>0</v>
      </c>
      <c r="BH42">
        <v>0</v>
      </c>
      <c r="BI42">
        <v>0</v>
      </c>
      <c r="BJ42">
        <v>0</v>
      </c>
      <c r="BK42">
        <v>0</v>
      </c>
      <c r="BL42">
        <v>0</v>
      </c>
      <c r="BM42">
        <v>0</v>
      </c>
      <c r="BN42">
        <v>0</v>
      </c>
      <c r="BO42">
        <v>0</v>
      </c>
      <c r="BP42">
        <v>0</v>
      </c>
      <c r="BQ42">
        <v>0</v>
      </c>
      <c r="BR42">
        <v>0</v>
      </c>
      <c r="BS42">
        <v>0</v>
      </c>
      <c r="BT42">
        <v>0</v>
      </c>
      <c r="BU42">
        <v>0</v>
      </c>
      <c r="BV42">
        <v>0</v>
      </c>
      <c r="BW42">
        <v>0</v>
      </c>
      <c r="BX42">
        <v>0</v>
      </c>
      <c r="BY42">
        <v>0</v>
      </c>
      <c r="BZ42">
        <v>0</v>
      </c>
      <c r="CA42">
        <v>0</v>
      </c>
      <c r="CB42">
        <v>0</v>
      </c>
      <c r="CC42">
        <v>0</v>
      </c>
      <c r="CD42">
        <v>0</v>
      </c>
      <c r="CE42">
        <v>0</v>
      </c>
      <c r="CF42">
        <v>0</v>
      </c>
      <c r="CG42">
        <v>0</v>
      </c>
      <c r="CH42">
        <v>0</v>
      </c>
      <c r="CI42">
        <v>2</v>
      </c>
      <c r="CJ42">
        <v>2</v>
      </c>
      <c r="CK42">
        <v>2</v>
      </c>
      <c r="CL42">
        <v>2</v>
      </c>
      <c r="CM42">
        <v>2</v>
      </c>
      <c r="CN42">
        <v>2</v>
      </c>
      <c r="CO42">
        <v>2</v>
      </c>
      <c r="CP42">
        <v>2</v>
      </c>
      <c r="CQ42">
        <v>2</v>
      </c>
      <c r="CR42">
        <v>2</v>
      </c>
      <c r="CS42">
        <v>2</v>
      </c>
      <c r="CT42">
        <v>2</v>
      </c>
      <c r="CU42">
        <v>2</v>
      </c>
      <c r="CV42">
        <v>2</v>
      </c>
      <c r="CW42">
        <v>2</v>
      </c>
      <c r="CX42">
        <v>2</v>
      </c>
      <c r="CY42">
        <v>2</v>
      </c>
      <c r="CZ42">
        <v>2</v>
      </c>
      <c r="DA42">
        <v>2</v>
      </c>
      <c r="DB42">
        <v>2</v>
      </c>
      <c r="DC42">
        <v>2</v>
      </c>
      <c r="DD42">
        <v>2</v>
      </c>
      <c r="DE42">
        <v>2</v>
      </c>
      <c r="DF42">
        <v>2</v>
      </c>
      <c r="DG42">
        <v>2</v>
      </c>
      <c r="DH42">
        <v>2</v>
      </c>
      <c r="DI42">
        <v>2</v>
      </c>
      <c r="DJ42">
        <v>2</v>
      </c>
      <c r="DK42">
        <v>2</v>
      </c>
      <c r="DL42">
        <v>2</v>
      </c>
      <c r="DM42">
        <v>2</v>
      </c>
      <c r="DN42">
        <v>2</v>
      </c>
      <c r="DO42">
        <v>2</v>
      </c>
      <c r="DP42">
        <v>2</v>
      </c>
      <c r="DQ42">
        <v>2</v>
      </c>
      <c r="DR42">
        <v>2</v>
      </c>
      <c r="DS42">
        <v>2</v>
      </c>
      <c r="DT42">
        <v>2</v>
      </c>
      <c r="DU42">
        <v>2</v>
      </c>
      <c r="DV42">
        <v>2</v>
      </c>
      <c r="DW42">
        <v>2</v>
      </c>
      <c r="DX42">
        <v>2</v>
      </c>
      <c r="DY42">
        <v>2</v>
      </c>
      <c r="DZ42">
        <v>2</v>
      </c>
      <c r="EA42">
        <v>2</v>
      </c>
      <c r="EB42">
        <v>2</v>
      </c>
      <c r="EC42">
        <v>2</v>
      </c>
      <c r="ED42">
        <v>2</v>
      </c>
      <c r="EE42">
        <v>2</v>
      </c>
      <c r="EF42">
        <v>2</v>
      </c>
      <c r="EG42">
        <v>2</v>
      </c>
      <c r="EH42">
        <v>2</v>
      </c>
      <c r="EI42">
        <v>2</v>
      </c>
      <c r="EJ42">
        <v>2</v>
      </c>
      <c r="EK42">
        <v>2</v>
      </c>
      <c r="EL42">
        <v>2</v>
      </c>
      <c r="EM42">
        <v>2</v>
      </c>
      <c r="EN42">
        <v>2</v>
      </c>
      <c r="EO42">
        <v>2</v>
      </c>
      <c r="EP42">
        <v>2</v>
      </c>
      <c r="EQ42">
        <v>2</v>
      </c>
      <c r="ER42">
        <v>2</v>
      </c>
      <c r="ES42">
        <v>2</v>
      </c>
      <c r="ET42">
        <v>2</v>
      </c>
      <c r="EU42">
        <v>2</v>
      </c>
      <c r="EV42">
        <v>2</v>
      </c>
      <c r="EW42">
        <v>2</v>
      </c>
      <c r="EX42">
        <v>2</v>
      </c>
      <c r="EY42">
        <v>2</v>
      </c>
      <c r="EZ42">
        <v>2</v>
      </c>
      <c r="FA42">
        <v>2</v>
      </c>
      <c r="FB42">
        <v>2</v>
      </c>
      <c r="FC42">
        <v>2</v>
      </c>
      <c r="FD42">
        <v>2</v>
      </c>
      <c r="FE42">
        <v>2</v>
      </c>
      <c r="FF42">
        <v>2</v>
      </c>
      <c r="FG42">
        <v>2</v>
      </c>
      <c r="FH42">
        <v>2</v>
      </c>
      <c r="FI42">
        <v>2</v>
      </c>
      <c r="FJ42">
        <v>2</v>
      </c>
      <c r="FK42">
        <v>2</v>
      </c>
      <c r="FL42">
        <v>2</v>
      </c>
      <c r="FM42">
        <v>2</v>
      </c>
      <c r="FN42">
        <v>2</v>
      </c>
      <c r="FO42">
        <v>2</v>
      </c>
      <c r="FP42">
        <v>2</v>
      </c>
      <c r="FQ42">
        <v>2</v>
      </c>
      <c r="FR42">
        <v>2</v>
      </c>
      <c r="FS42">
        <v>2</v>
      </c>
      <c r="FT42">
        <v>2</v>
      </c>
      <c r="FU42">
        <v>2</v>
      </c>
      <c r="FV42">
        <v>2</v>
      </c>
      <c r="FW42">
        <v>2</v>
      </c>
      <c r="FX42">
        <v>2</v>
      </c>
      <c r="FY42">
        <v>2</v>
      </c>
      <c r="FZ42">
        <v>2</v>
      </c>
      <c r="GA42">
        <v>2</v>
      </c>
      <c r="GB42">
        <v>2</v>
      </c>
      <c r="GC42">
        <v>2</v>
      </c>
      <c r="GD42">
        <v>2</v>
      </c>
      <c r="GE42">
        <v>2</v>
      </c>
      <c r="GF42">
        <v>2</v>
      </c>
      <c r="GG42">
        <v>2</v>
      </c>
      <c r="GH42">
        <v>2</v>
      </c>
      <c r="GI42">
        <v>2</v>
      </c>
      <c r="GJ42">
        <v>2</v>
      </c>
      <c r="GK42">
        <v>2</v>
      </c>
      <c r="GL42">
        <v>2</v>
      </c>
      <c r="GM42">
        <v>2</v>
      </c>
      <c r="GN42">
        <v>2</v>
      </c>
      <c r="GO42">
        <v>2</v>
      </c>
      <c r="GP42">
        <v>2</v>
      </c>
      <c r="GQ42">
        <v>2</v>
      </c>
      <c r="GR42">
        <v>2</v>
      </c>
      <c r="GS42">
        <v>2</v>
      </c>
      <c r="GT42">
        <v>2</v>
      </c>
      <c r="GU42">
        <v>2</v>
      </c>
      <c r="GV42">
        <v>2</v>
      </c>
      <c r="GW42">
        <v>2</v>
      </c>
      <c r="GX42">
        <v>2</v>
      </c>
      <c r="GY42">
        <v>2</v>
      </c>
      <c r="GZ42">
        <v>2</v>
      </c>
      <c r="HA42">
        <v>2</v>
      </c>
      <c r="HB42">
        <v>2</v>
      </c>
      <c r="HC42">
        <v>2</v>
      </c>
      <c r="HD42">
        <v>2</v>
      </c>
      <c r="HE42">
        <v>2</v>
      </c>
      <c r="HF42">
        <v>2</v>
      </c>
      <c r="HG42">
        <v>2</v>
      </c>
      <c r="HH42">
        <v>2</v>
      </c>
      <c r="HI42">
        <v>2</v>
      </c>
      <c r="HJ42">
        <v>2</v>
      </c>
      <c r="HK42">
        <v>2</v>
      </c>
      <c r="HL42">
        <v>2</v>
      </c>
      <c r="HM42">
        <v>2</v>
      </c>
      <c r="HN42">
        <v>2</v>
      </c>
      <c r="HO42">
        <v>2</v>
      </c>
      <c r="HP42">
        <v>2</v>
      </c>
      <c r="HQ42">
        <v>2</v>
      </c>
      <c r="HR42">
        <v>2</v>
      </c>
      <c r="HS42">
        <v>2</v>
      </c>
      <c r="HT42">
        <v>2</v>
      </c>
      <c r="HU42">
        <v>2</v>
      </c>
      <c r="HV42">
        <v>2</v>
      </c>
      <c r="HW42">
        <v>2</v>
      </c>
      <c r="HX42">
        <v>2</v>
      </c>
      <c r="HY42">
        <v>2</v>
      </c>
      <c r="HZ42">
        <v>2</v>
      </c>
      <c r="IA42">
        <v>2</v>
      </c>
      <c r="IB42">
        <v>2</v>
      </c>
      <c r="IC42">
        <v>2</v>
      </c>
      <c r="ID42">
        <v>2</v>
      </c>
      <c r="IE42">
        <v>2</v>
      </c>
      <c r="IF42">
        <v>2</v>
      </c>
      <c r="IG42">
        <v>2</v>
      </c>
      <c r="IH42">
        <v>2</v>
      </c>
      <c r="II42">
        <v>2</v>
      </c>
      <c r="IJ42">
        <v>2</v>
      </c>
      <c r="IK42">
        <v>2</v>
      </c>
      <c r="IL42">
        <v>2</v>
      </c>
      <c r="IM42">
        <v>1</v>
      </c>
      <c r="IN42">
        <v>1</v>
      </c>
      <c r="IO42">
        <v>1</v>
      </c>
      <c r="IP42">
        <v>1</v>
      </c>
      <c r="IQ42">
        <v>1</v>
      </c>
      <c r="IR42">
        <v>1</v>
      </c>
      <c r="IS42">
        <v>1</v>
      </c>
      <c r="IT42">
        <v>1</v>
      </c>
      <c r="IU42">
        <v>1</v>
      </c>
      <c r="IV42">
        <v>1</v>
      </c>
      <c r="IW42">
        <v>1</v>
      </c>
      <c r="IX42">
        <v>1</v>
      </c>
      <c r="IY42">
        <v>1</v>
      </c>
      <c r="IZ42">
        <v>1</v>
      </c>
      <c r="JA42">
        <v>1</v>
      </c>
      <c r="JB42">
        <v>1</v>
      </c>
      <c r="JC42">
        <v>1</v>
      </c>
      <c r="JD42">
        <v>1</v>
      </c>
      <c r="JE42">
        <v>1</v>
      </c>
      <c r="JF42">
        <v>1</v>
      </c>
      <c r="JG42">
        <v>1</v>
      </c>
      <c r="JH42">
        <v>1</v>
      </c>
      <c r="JI42">
        <v>1</v>
      </c>
      <c r="JJ42">
        <v>1</v>
      </c>
      <c r="JK42">
        <v>1</v>
      </c>
      <c r="JL42">
        <v>1</v>
      </c>
      <c r="JM42">
        <v>1</v>
      </c>
      <c r="JN42">
        <v>1</v>
      </c>
      <c r="JO42">
        <v>1</v>
      </c>
      <c r="JP42">
        <v>1</v>
      </c>
      <c r="JQ42">
        <v>1</v>
      </c>
      <c r="JR42">
        <v>1</v>
      </c>
      <c r="JS42">
        <v>1</v>
      </c>
      <c r="JT42">
        <v>1</v>
      </c>
      <c r="JU42">
        <v>1</v>
      </c>
      <c r="JV42">
        <v>1</v>
      </c>
      <c r="JW42">
        <v>1</v>
      </c>
      <c r="JX42">
        <v>1</v>
      </c>
      <c r="JY42">
        <v>1</v>
      </c>
      <c r="JZ42">
        <v>1</v>
      </c>
      <c r="KA42">
        <v>1</v>
      </c>
      <c r="KB42">
        <v>1</v>
      </c>
      <c r="KC42">
        <v>1</v>
      </c>
      <c r="KD42">
        <v>1</v>
      </c>
      <c r="KE42">
        <v>1</v>
      </c>
      <c r="KF42">
        <v>1</v>
      </c>
      <c r="KG42">
        <v>1</v>
      </c>
      <c r="KH42">
        <v>1</v>
      </c>
      <c r="KI42">
        <v>1</v>
      </c>
      <c r="KJ42">
        <v>1</v>
      </c>
      <c r="KK42">
        <v>1</v>
      </c>
      <c r="KL42">
        <v>1</v>
      </c>
      <c r="KM42">
        <v>1</v>
      </c>
      <c r="KN42">
        <v>1</v>
      </c>
      <c r="KO42">
        <v>1</v>
      </c>
      <c r="KP42">
        <v>1</v>
      </c>
      <c r="KQ42">
        <v>1</v>
      </c>
      <c r="KR42">
        <v>1</v>
      </c>
      <c r="KS42">
        <v>1</v>
      </c>
      <c r="KT42">
        <v>1</v>
      </c>
      <c r="KU42">
        <v>1</v>
      </c>
      <c r="KV42">
        <v>1</v>
      </c>
      <c r="KW42">
        <v>1</v>
      </c>
      <c r="KX42">
        <v>1</v>
      </c>
      <c r="KY42">
        <v>1</v>
      </c>
      <c r="KZ42">
        <v>1</v>
      </c>
      <c r="LA42">
        <v>1</v>
      </c>
      <c r="LB42">
        <v>1</v>
      </c>
      <c r="LC42">
        <v>1</v>
      </c>
      <c r="LD42">
        <v>1</v>
      </c>
      <c r="LE42">
        <v>1</v>
      </c>
      <c r="LF42">
        <v>1</v>
      </c>
      <c r="LG42">
        <v>1</v>
      </c>
      <c r="LH42">
        <v>1</v>
      </c>
      <c r="LI42">
        <v>1</v>
      </c>
      <c r="LJ42">
        <v>1</v>
      </c>
      <c r="LK42">
        <v>1</v>
      </c>
      <c r="LL42">
        <v>1</v>
      </c>
      <c r="LM42">
        <v>1</v>
      </c>
      <c r="LN42">
        <v>1</v>
      </c>
      <c r="LO42">
        <v>1</v>
      </c>
      <c r="LP42">
        <v>1</v>
      </c>
      <c r="LQ42">
        <v>1</v>
      </c>
      <c r="LR42">
        <v>1</v>
      </c>
      <c r="LS42">
        <v>1</v>
      </c>
      <c r="LT42">
        <v>1</v>
      </c>
      <c r="LU42">
        <v>1</v>
      </c>
      <c r="LV42">
        <v>1</v>
      </c>
      <c r="LW42">
        <v>1</v>
      </c>
      <c r="LX42">
        <v>1</v>
      </c>
      <c r="LY42">
        <v>1</v>
      </c>
      <c r="LZ42">
        <v>1</v>
      </c>
      <c r="MA42">
        <v>1</v>
      </c>
      <c r="MB42">
        <v>1</v>
      </c>
      <c r="MC42">
        <v>1</v>
      </c>
      <c r="MD42">
        <v>1</v>
      </c>
      <c r="ME42">
        <v>1</v>
      </c>
      <c r="MF42">
        <v>1</v>
      </c>
      <c r="MG42">
        <v>1</v>
      </c>
      <c r="MH42">
        <v>1</v>
      </c>
      <c r="MI42">
        <v>1</v>
      </c>
      <c r="MJ42">
        <v>1</v>
      </c>
      <c r="MK42">
        <v>1</v>
      </c>
      <c r="ML42">
        <v>1</v>
      </c>
      <c r="MM42">
        <v>1</v>
      </c>
      <c r="MN42">
        <v>1</v>
      </c>
      <c r="MO42">
        <v>1</v>
      </c>
      <c r="MP42">
        <v>1</v>
      </c>
      <c r="MQ42">
        <v>1</v>
      </c>
      <c r="MR42">
        <v>1</v>
      </c>
      <c r="MS42">
        <v>1</v>
      </c>
      <c r="MT42">
        <v>1</v>
      </c>
      <c r="MU42">
        <v>1</v>
      </c>
      <c r="MV42">
        <v>1</v>
      </c>
      <c r="MW42">
        <v>1</v>
      </c>
      <c r="MX42">
        <v>1</v>
      </c>
      <c r="MY42">
        <v>1</v>
      </c>
      <c r="MZ42">
        <v>1</v>
      </c>
      <c r="NA42">
        <v>1</v>
      </c>
      <c r="NB42">
        <v>1</v>
      </c>
      <c r="NC42">
        <v>1</v>
      </c>
      <c r="ND42">
        <v>1</v>
      </c>
      <c r="NE42">
        <v>1</v>
      </c>
      <c r="NF42">
        <v>1</v>
      </c>
      <c r="NG42">
        <v>1</v>
      </c>
      <c r="NH42">
        <v>1</v>
      </c>
      <c r="NI42">
        <v>1</v>
      </c>
      <c r="NJ42">
        <v>1</v>
      </c>
      <c r="NK42">
        <v>2</v>
      </c>
      <c r="NL42">
        <v>2</v>
      </c>
      <c r="NM42">
        <v>2</v>
      </c>
      <c r="NN42">
        <v>2</v>
      </c>
      <c r="NO42">
        <v>2</v>
      </c>
      <c r="NP42">
        <v>2</v>
      </c>
      <c r="NQ42">
        <v>2</v>
      </c>
      <c r="NR42">
        <v>2</v>
      </c>
      <c r="NS42">
        <v>2</v>
      </c>
      <c r="NT42">
        <v>2</v>
      </c>
      <c r="NU42">
        <v>2</v>
      </c>
      <c r="NV42">
        <v>2</v>
      </c>
      <c r="NW42">
        <v>2</v>
      </c>
      <c r="NX42">
        <v>2</v>
      </c>
      <c r="NY42">
        <v>2</v>
      </c>
      <c r="NZ42">
        <v>2</v>
      </c>
      <c r="OA42">
        <v>2</v>
      </c>
      <c r="OB42">
        <v>2</v>
      </c>
      <c r="OC42">
        <v>2</v>
      </c>
      <c r="OD42">
        <v>2</v>
      </c>
      <c r="OE42">
        <v>2</v>
      </c>
      <c r="OF42">
        <v>2</v>
      </c>
      <c r="OG42">
        <v>2</v>
      </c>
      <c r="OH42">
        <v>2</v>
      </c>
      <c r="OI42">
        <v>2</v>
      </c>
      <c r="OJ42">
        <v>2</v>
      </c>
      <c r="OK42">
        <v>2</v>
      </c>
      <c r="OL42">
        <v>2</v>
      </c>
      <c r="OM42">
        <v>2</v>
      </c>
      <c r="ON42">
        <v>2</v>
      </c>
      <c r="OO42">
        <v>2</v>
      </c>
      <c r="OP42">
        <v>2</v>
      </c>
      <c r="OQ42">
        <v>2</v>
      </c>
      <c r="OR42">
        <v>2</v>
      </c>
      <c r="OS42">
        <v>2</v>
      </c>
      <c r="OT42">
        <v>2</v>
      </c>
      <c r="OU42">
        <v>2</v>
      </c>
      <c r="OV42">
        <v>2</v>
      </c>
      <c r="OW42">
        <v>2</v>
      </c>
      <c r="OX42">
        <v>2</v>
      </c>
      <c r="OY42">
        <v>2</v>
      </c>
      <c r="OZ42">
        <v>2</v>
      </c>
      <c r="PA42">
        <v>2</v>
      </c>
      <c r="PB42">
        <v>2</v>
      </c>
      <c r="PC42">
        <v>2</v>
      </c>
      <c r="PD42">
        <v>2</v>
      </c>
      <c r="PE42">
        <v>2</v>
      </c>
      <c r="PF42">
        <v>2</v>
      </c>
      <c r="PG42">
        <v>2</v>
      </c>
      <c r="PH42">
        <v>2</v>
      </c>
      <c r="PI42">
        <v>2</v>
      </c>
      <c r="PJ42">
        <v>2</v>
      </c>
      <c r="PK42">
        <v>2</v>
      </c>
      <c r="PL42">
        <v>2</v>
      </c>
      <c r="PM42">
        <v>2</v>
      </c>
      <c r="PN42">
        <v>2</v>
      </c>
      <c r="PO42">
        <v>2</v>
      </c>
      <c r="PP42">
        <v>2</v>
      </c>
      <c r="PQ42">
        <v>2</v>
      </c>
      <c r="PR42">
        <v>2</v>
      </c>
      <c r="PS42">
        <v>2</v>
      </c>
      <c r="PT42">
        <v>2</v>
      </c>
      <c r="PU42">
        <v>2</v>
      </c>
      <c r="PV42">
        <v>2</v>
      </c>
      <c r="PW42">
        <v>2</v>
      </c>
      <c r="PX42">
        <v>2</v>
      </c>
      <c r="PY42">
        <v>2</v>
      </c>
      <c r="PZ42">
        <v>2</v>
      </c>
      <c r="QA42">
        <v>2</v>
      </c>
      <c r="QB42">
        <v>2</v>
      </c>
      <c r="QC42">
        <v>2</v>
      </c>
      <c r="QD42">
        <v>2</v>
      </c>
      <c r="QE42">
        <v>2</v>
      </c>
      <c r="QF42">
        <v>2</v>
      </c>
      <c r="QG42">
        <v>2</v>
      </c>
      <c r="QH42">
        <v>2</v>
      </c>
      <c r="QI42">
        <v>2</v>
      </c>
      <c r="QJ42">
        <v>2</v>
      </c>
      <c r="QK42">
        <v>2</v>
      </c>
      <c r="QL42">
        <v>2</v>
      </c>
      <c r="QM42">
        <v>2</v>
      </c>
      <c r="QN42">
        <v>2</v>
      </c>
      <c r="QO42">
        <v>2</v>
      </c>
      <c r="QP42">
        <v>2</v>
      </c>
      <c r="QQ42">
        <v>2</v>
      </c>
      <c r="QR42">
        <v>2</v>
      </c>
      <c r="QS42">
        <v>2</v>
      </c>
      <c r="QT42">
        <v>2</v>
      </c>
      <c r="QU42">
        <v>2</v>
      </c>
      <c r="QV42">
        <v>2</v>
      </c>
      <c r="QW42">
        <v>2</v>
      </c>
      <c r="QX42">
        <v>2</v>
      </c>
      <c r="QY42">
        <v>2</v>
      </c>
      <c r="QZ42">
        <v>2</v>
      </c>
      <c r="RA42">
        <v>2</v>
      </c>
      <c r="RB42">
        <v>2</v>
      </c>
      <c r="RC42">
        <v>2</v>
      </c>
      <c r="RD42">
        <v>2</v>
      </c>
      <c r="RE42">
        <v>2</v>
      </c>
      <c r="RF42">
        <v>2</v>
      </c>
      <c r="RG42">
        <v>2</v>
      </c>
      <c r="RH42">
        <v>2</v>
      </c>
      <c r="RI42">
        <v>2</v>
      </c>
      <c r="RJ42">
        <v>2</v>
      </c>
      <c r="RK42">
        <v>2</v>
      </c>
      <c r="RL42">
        <v>2</v>
      </c>
      <c r="RM42">
        <v>2</v>
      </c>
      <c r="RN42">
        <v>2</v>
      </c>
      <c r="RO42">
        <v>2</v>
      </c>
      <c r="RP42">
        <v>2</v>
      </c>
      <c r="RQ42">
        <v>2</v>
      </c>
      <c r="RR42">
        <v>2</v>
      </c>
      <c r="RS42">
        <v>2</v>
      </c>
      <c r="RT42">
        <v>0</v>
      </c>
      <c r="RU42">
        <v>0</v>
      </c>
      <c r="RV42">
        <v>0</v>
      </c>
      <c r="RW42">
        <v>0</v>
      </c>
      <c r="RX42">
        <v>0</v>
      </c>
      <c r="RY42">
        <v>0</v>
      </c>
      <c r="RZ42">
        <v>0</v>
      </c>
      <c r="SA42">
        <v>0</v>
      </c>
      <c r="SB42">
        <v>0</v>
      </c>
      <c r="SC42">
        <v>0</v>
      </c>
      <c r="SD42">
        <v>0</v>
      </c>
      <c r="SE42">
        <v>0</v>
      </c>
      <c r="SF42">
        <v>0</v>
      </c>
      <c r="SG42">
        <v>0</v>
      </c>
      <c r="SH42">
        <v>0</v>
      </c>
      <c r="SI42">
        <v>0</v>
      </c>
      <c r="SJ42">
        <v>0</v>
      </c>
      <c r="SK42">
        <v>0</v>
      </c>
      <c r="SL42">
        <v>0</v>
      </c>
      <c r="SM42">
        <v>0</v>
      </c>
      <c r="SN42">
        <v>0</v>
      </c>
      <c r="SO42">
        <v>0</v>
      </c>
      <c r="SP42">
        <v>0</v>
      </c>
      <c r="SQ42">
        <v>0</v>
      </c>
      <c r="SR42">
        <v>0</v>
      </c>
      <c r="SS42">
        <v>0</v>
      </c>
      <c r="ST42">
        <v>0</v>
      </c>
      <c r="SU42">
        <v>0</v>
      </c>
      <c r="SV42">
        <v>0</v>
      </c>
      <c r="SW42">
        <v>0</v>
      </c>
      <c r="SX42">
        <v>0</v>
      </c>
      <c r="SY42">
        <v>0</v>
      </c>
      <c r="SZ42">
        <v>0</v>
      </c>
      <c r="TA42">
        <v>0</v>
      </c>
      <c r="TB42">
        <v>0</v>
      </c>
      <c r="TC42">
        <v>0</v>
      </c>
      <c r="TD42">
        <v>0</v>
      </c>
      <c r="TE42">
        <v>0</v>
      </c>
      <c r="TF42">
        <v>0</v>
      </c>
      <c r="TG42">
        <v>0</v>
      </c>
      <c r="TH42">
        <v>0</v>
      </c>
      <c r="TI42">
        <v>0</v>
      </c>
      <c r="TJ42">
        <v>0</v>
      </c>
      <c r="TK42">
        <v>0</v>
      </c>
      <c r="TL42">
        <v>0</v>
      </c>
      <c r="TM42">
        <v>0</v>
      </c>
      <c r="TN42">
        <v>0</v>
      </c>
      <c r="TO42">
        <v>0</v>
      </c>
      <c r="TP42">
        <v>0</v>
      </c>
      <c r="TQ42">
        <v>0</v>
      </c>
      <c r="TR42">
        <v>0</v>
      </c>
      <c r="TS42">
        <v>0</v>
      </c>
      <c r="TT42">
        <v>0</v>
      </c>
      <c r="TU42">
        <v>0</v>
      </c>
      <c r="TV42">
        <v>0</v>
      </c>
      <c r="TW42">
        <v>0</v>
      </c>
      <c r="TX42">
        <v>0</v>
      </c>
      <c r="TY42">
        <v>0</v>
      </c>
      <c r="TZ42">
        <v>0</v>
      </c>
      <c r="UA42">
        <v>0</v>
      </c>
      <c r="UB42">
        <v>0</v>
      </c>
      <c r="UC42">
        <v>0</v>
      </c>
      <c r="UD42">
        <v>0</v>
      </c>
      <c r="UE42">
        <v>0</v>
      </c>
      <c r="UF42">
        <v>0</v>
      </c>
      <c r="UG42">
        <v>0</v>
      </c>
      <c r="UH42">
        <v>0</v>
      </c>
      <c r="UI42">
        <v>0</v>
      </c>
      <c r="UJ42">
        <v>0</v>
      </c>
      <c r="UK42">
        <v>0</v>
      </c>
      <c r="UL42">
        <v>0</v>
      </c>
      <c r="UM42">
        <v>0</v>
      </c>
      <c r="UN42">
        <v>0</v>
      </c>
      <c r="UO42">
        <v>0</v>
      </c>
      <c r="UP42">
        <v>0</v>
      </c>
      <c r="UQ42">
        <v>0</v>
      </c>
      <c r="UR42">
        <v>0</v>
      </c>
      <c r="US42">
        <v>0</v>
      </c>
      <c r="UT42">
        <v>0</v>
      </c>
      <c r="UU42">
        <v>0</v>
      </c>
      <c r="UV42">
        <v>0</v>
      </c>
      <c r="UW42">
        <v>0</v>
      </c>
      <c r="UX42">
        <v>0</v>
      </c>
      <c r="UY42">
        <v>0</v>
      </c>
      <c r="UZ42">
        <v>0</v>
      </c>
      <c r="VA42">
        <v>0</v>
      </c>
      <c r="VB42">
        <v>0</v>
      </c>
      <c r="VC42">
        <v>0</v>
      </c>
      <c r="VD42">
        <v>0</v>
      </c>
      <c r="VE42">
        <v>0</v>
      </c>
      <c r="VF42">
        <v>0</v>
      </c>
      <c r="VG42">
        <v>0</v>
      </c>
      <c r="VH42">
        <v>0</v>
      </c>
      <c r="VI42">
        <v>0</v>
      </c>
      <c r="VJ42">
        <v>0</v>
      </c>
      <c r="VK42">
        <v>0</v>
      </c>
      <c r="VL42">
        <v>0</v>
      </c>
      <c r="VM42">
        <v>0</v>
      </c>
      <c r="VN42">
        <v>0</v>
      </c>
      <c r="VO42">
        <v>0</v>
      </c>
      <c r="VP42">
        <v>0</v>
      </c>
      <c r="VQ42">
        <v>0</v>
      </c>
      <c r="VR42">
        <v>0</v>
      </c>
      <c r="VS42">
        <v>0</v>
      </c>
      <c r="VT42">
        <v>0</v>
      </c>
      <c r="VU42">
        <v>0</v>
      </c>
      <c r="VV42">
        <v>0</v>
      </c>
      <c r="VW42">
        <v>0</v>
      </c>
      <c r="VX42">
        <v>0</v>
      </c>
      <c r="VY42">
        <v>0</v>
      </c>
      <c r="VZ42">
        <v>0</v>
      </c>
      <c r="WA42">
        <v>0</v>
      </c>
      <c r="WB42">
        <v>0</v>
      </c>
      <c r="WC42">
        <v>0</v>
      </c>
      <c r="WD42">
        <v>0</v>
      </c>
      <c r="WE42">
        <v>0</v>
      </c>
      <c r="WF42">
        <v>0</v>
      </c>
      <c r="WG42">
        <v>0</v>
      </c>
      <c r="WH42">
        <v>0</v>
      </c>
      <c r="WI42">
        <v>0</v>
      </c>
      <c r="WJ42">
        <v>0</v>
      </c>
      <c r="WK42">
        <v>0</v>
      </c>
      <c r="WL42">
        <v>0</v>
      </c>
      <c r="WM42">
        <v>0</v>
      </c>
      <c r="WN42">
        <v>0</v>
      </c>
      <c r="WO42">
        <v>0</v>
      </c>
      <c r="WP42">
        <v>0</v>
      </c>
      <c r="WQ42">
        <v>0</v>
      </c>
      <c r="WR42">
        <v>0</v>
      </c>
      <c r="WS42">
        <v>0</v>
      </c>
      <c r="WT42">
        <v>0</v>
      </c>
      <c r="WU42">
        <v>0</v>
      </c>
      <c r="WV42">
        <v>0</v>
      </c>
      <c r="WW42">
        <v>0</v>
      </c>
      <c r="WX42">
        <v>0</v>
      </c>
      <c r="WY42">
        <v>0</v>
      </c>
      <c r="WZ42">
        <v>0</v>
      </c>
      <c r="XA42">
        <v>0</v>
      </c>
      <c r="XB42">
        <v>0</v>
      </c>
      <c r="XC42">
        <v>0</v>
      </c>
      <c r="XD42">
        <v>0</v>
      </c>
      <c r="XE42">
        <v>0</v>
      </c>
      <c r="XF42">
        <v>0</v>
      </c>
      <c r="XG42">
        <v>0</v>
      </c>
      <c r="XH42">
        <v>0</v>
      </c>
      <c r="XI42">
        <v>0</v>
      </c>
      <c r="XJ42">
        <v>0</v>
      </c>
      <c r="XK42">
        <v>0</v>
      </c>
      <c r="XL42">
        <v>0</v>
      </c>
      <c r="XM42">
        <v>0</v>
      </c>
      <c r="XN42">
        <v>0</v>
      </c>
      <c r="XO42">
        <v>0</v>
      </c>
      <c r="XP42">
        <v>0</v>
      </c>
      <c r="XQ42">
        <v>0</v>
      </c>
      <c r="XR42">
        <v>0</v>
      </c>
      <c r="XS42">
        <v>0</v>
      </c>
      <c r="XT42">
        <v>0</v>
      </c>
      <c r="XU42">
        <v>0</v>
      </c>
      <c r="XV42">
        <v>0</v>
      </c>
      <c r="XW42">
        <v>0</v>
      </c>
      <c r="XX42">
        <v>0</v>
      </c>
      <c r="XY42">
        <v>0</v>
      </c>
      <c r="XZ42">
        <v>0</v>
      </c>
      <c r="YA42">
        <v>0</v>
      </c>
      <c r="YB42">
        <v>0</v>
      </c>
      <c r="YC42">
        <v>0</v>
      </c>
      <c r="YD42">
        <v>0</v>
      </c>
      <c r="YE42">
        <v>0</v>
      </c>
      <c r="YF42">
        <v>0</v>
      </c>
      <c r="YG42">
        <v>0</v>
      </c>
      <c r="YH42">
        <v>0</v>
      </c>
      <c r="YI42">
        <v>0</v>
      </c>
      <c r="YJ42">
        <v>0</v>
      </c>
      <c r="YK42">
        <v>0</v>
      </c>
      <c r="YL42">
        <v>0</v>
      </c>
      <c r="YM42">
        <v>0</v>
      </c>
      <c r="YN42">
        <v>0</v>
      </c>
      <c r="YO42">
        <v>0</v>
      </c>
      <c r="YP42">
        <v>0</v>
      </c>
      <c r="YQ42">
        <v>0</v>
      </c>
      <c r="YR42">
        <v>0</v>
      </c>
      <c r="YS42">
        <v>0</v>
      </c>
      <c r="YT42">
        <v>0</v>
      </c>
      <c r="YU42">
        <v>0</v>
      </c>
      <c r="YV42">
        <v>0</v>
      </c>
      <c r="YW42">
        <v>0</v>
      </c>
      <c r="YX42">
        <v>0</v>
      </c>
      <c r="YY42">
        <v>0</v>
      </c>
      <c r="YZ42">
        <v>0</v>
      </c>
      <c r="ZA42">
        <v>0</v>
      </c>
      <c r="ZB42">
        <v>0</v>
      </c>
      <c r="ZC42">
        <v>0</v>
      </c>
      <c r="ZD42">
        <v>0</v>
      </c>
      <c r="ZE42">
        <v>0</v>
      </c>
      <c r="ZF42">
        <v>0</v>
      </c>
      <c r="ZG42">
        <v>0</v>
      </c>
      <c r="ZH42">
        <v>0</v>
      </c>
      <c r="ZI42">
        <v>0</v>
      </c>
      <c r="ZJ42">
        <v>0</v>
      </c>
      <c r="ZK42">
        <v>0</v>
      </c>
      <c r="ZL42">
        <v>0</v>
      </c>
      <c r="ZM42">
        <v>0</v>
      </c>
      <c r="ZN42">
        <v>0</v>
      </c>
      <c r="ZO42">
        <v>0</v>
      </c>
      <c r="ZP42">
        <v>0</v>
      </c>
      <c r="ZQ42">
        <v>0</v>
      </c>
      <c r="ZR42">
        <v>0</v>
      </c>
      <c r="ZS42">
        <v>0</v>
      </c>
      <c r="ZT42">
        <v>0</v>
      </c>
      <c r="ZU42">
        <v>0</v>
      </c>
      <c r="ZV42">
        <v>0</v>
      </c>
      <c r="ZW42">
        <v>0</v>
      </c>
      <c r="ZX42">
        <v>0</v>
      </c>
      <c r="ZY42">
        <v>0</v>
      </c>
      <c r="ZZ42">
        <v>0</v>
      </c>
      <c r="AAA42">
        <v>0</v>
      </c>
      <c r="AAB42">
        <v>0</v>
      </c>
      <c r="AAC42">
        <v>0</v>
      </c>
      <c r="AAD42">
        <v>0</v>
      </c>
      <c r="AAE42">
        <v>0</v>
      </c>
      <c r="AAF42">
        <v>0</v>
      </c>
      <c r="AAG42">
        <v>0</v>
      </c>
      <c r="AAH42">
        <v>0</v>
      </c>
      <c r="AAI42">
        <v>0</v>
      </c>
      <c r="AAJ42">
        <v>0</v>
      </c>
      <c r="AAK42">
        <v>0</v>
      </c>
      <c r="AAL42">
        <v>0</v>
      </c>
      <c r="AAM42">
        <v>0</v>
      </c>
      <c r="AAN42">
        <v>0</v>
      </c>
      <c r="AAO42">
        <v>0</v>
      </c>
      <c r="AAP42">
        <v>0</v>
      </c>
      <c r="AAQ42">
        <v>0</v>
      </c>
      <c r="AAR42">
        <v>0</v>
      </c>
      <c r="AAS42">
        <v>0</v>
      </c>
      <c r="AAT42">
        <v>0</v>
      </c>
      <c r="AAU42">
        <v>0</v>
      </c>
      <c r="AAV42">
        <v>0</v>
      </c>
      <c r="AAW42">
        <v>0</v>
      </c>
      <c r="AAX42">
        <v>0</v>
      </c>
      <c r="AAY42">
        <v>0</v>
      </c>
      <c r="AAZ42">
        <v>0</v>
      </c>
      <c r="ABA42">
        <v>0</v>
      </c>
      <c r="ABB42">
        <v>0</v>
      </c>
      <c r="ABC42">
        <v>0</v>
      </c>
      <c r="ABD42">
        <v>0</v>
      </c>
      <c r="ABE42">
        <v>0</v>
      </c>
      <c r="ABG42" s="1137">
        <f t="shared" si="9"/>
        <v>0</v>
      </c>
      <c r="ABH42" s="1137">
        <f t="shared" si="9"/>
        <v>0</v>
      </c>
      <c r="ABI42" s="1137">
        <f t="shared" si="9"/>
        <v>7</v>
      </c>
      <c r="ABJ42" s="1137">
        <f t="shared" si="9"/>
        <v>30</v>
      </c>
      <c r="ABK42" s="1137">
        <f t="shared" si="9"/>
        <v>31</v>
      </c>
      <c r="ABL42" s="1137">
        <f t="shared" si="9"/>
        <v>30</v>
      </c>
      <c r="ABM42" s="1137">
        <f t="shared" si="9"/>
        <v>31</v>
      </c>
      <c r="ABN42" s="1137">
        <f t="shared" si="9"/>
        <v>31</v>
      </c>
      <c r="ABO42" s="1137">
        <f t="shared" si="9"/>
        <v>30</v>
      </c>
      <c r="ABP42" s="1137">
        <f t="shared" si="9"/>
        <v>31</v>
      </c>
      <c r="ABQ42" s="1137">
        <f t="shared" si="9"/>
        <v>30</v>
      </c>
      <c r="ABR42" s="1137">
        <f t="shared" si="9"/>
        <v>31</v>
      </c>
      <c r="ABS42" s="1137">
        <f t="shared" si="9"/>
        <v>31</v>
      </c>
      <c r="ABT42" s="1137">
        <f t="shared" si="9"/>
        <v>28</v>
      </c>
      <c r="ABU42" s="1137">
        <f t="shared" si="9"/>
        <v>31</v>
      </c>
      <c r="ABV42" s="1137">
        <f t="shared" si="9"/>
        <v>29</v>
      </c>
      <c r="ABW42" s="1137">
        <f t="shared" si="7"/>
        <v>0</v>
      </c>
      <c r="ABX42" s="1137">
        <f t="shared" si="7"/>
        <v>0</v>
      </c>
      <c r="ABY42" s="1137">
        <f t="shared" si="7"/>
        <v>0</v>
      </c>
      <c r="ABZ42" s="1137">
        <f t="shared" si="7"/>
        <v>0</v>
      </c>
      <c r="ACA42" s="1137">
        <f t="shared" si="7"/>
        <v>0</v>
      </c>
      <c r="ACB42" s="1137">
        <f t="shared" si="7"/>
        <v>0</v>
      </c>
      <c r="ACC42" s="1137">
        <f t="shared" si="7"/>
        <v>0</v>
      </c>
      <c r="ACD42" s="1137">
        <f t="shared" si="7"/>
        <v>0</v>
      </c>
      <c r="ACE42" s="1137" t="s">
        <v>163</v>
      </c>
      <c r="ACF42" s="1137">
        <f t="shared" si="10"/>
        <v>0</v>
      </c>
      <c r="ACG42" s="1137">
        <f t="shared" si="10"/>
        <v>0</v>
      </c>
      <c r="ACH42" s="1137">
        <f t="shared" si="10"/>
        <v>0</v>
      </c>
      <c r="ACI42" s="1137">
        <f t="shared" si="10"/>
        <v>1</v>
      </c>
      <c r="ACJ42" s="1137">
        <f t="shared" si="10"/>
        <v>1</v>
      </c>
      <c r="ACK42" s="1137">
        <f t="shared" si="10"/>
        <v>1</v>
      </c>
      <c r="ACL42" s="1137">
        <f t="shared" si="10"/>
        <v>1</v>
      </c>
      <c r="ACM42" s="1137">
        <f t="shared" si="10"/>
        <v>1</v>
      </c>
      <c r="ACN42" s="1137">
        <f t="shared" si="10"/>
        <v>1</v>
      </c>
      <c r="ACO42" s="1137">
        <f t="shared" si="10"/>
        <v>1</v>
      </c>
      <c r="ACP42" s="1137">
        <f t="shared" si="10"/>
        <v>1</v>
      </c>
      <c r="ACQ42" s="1137">
        <f t="shared" si="10"/>
        <v>1</v>
      </c>
      <c r="ACR42" s="1137">
        <f t="shared" si="10"/>
        <v>1</v>
      </c>
      <c r="ACS42" s="1137">
        <f t="shared" si="10"/>
        <v>1</v>
      </c>
      <c r="ACT42" s="1137">
        <f t="shared" si="10"/>
        <v>1</v>
      </c>
      <c r="ACU42" s="1137">
        <f t="shared" si="10"/>
        <v>1</v>
      </c>
      <c r="ACV42" s="1137">
        <f t="shared" si="8"/>
        <v>0</v>
      </c>
      <c r="ACW42" s="1137">
        <f t="shared" si="8"/>
        <v>0</v>
      </c>
      <c r="ACX42" s="1137">
        <f t="shared" si="8"/>
        <v>0</v>
      </c>
      <c r="ACY42" s="1137">
        <f t="shared" si="8"/>
        <v>0</v>
      </c>
      <c r="ACZ42" s="1137">
        <f t="shared" si="8"/>
        <v>0</v>
      </c>
      <c r="ADA42" s="1137">
        <f t="shared" si="8"/>
        <v>0</v>
      </c>
      <c r="ADB42" s="1137">
        <f t="shared" si="8"/>
        <v>0</v>
      </c>
      <c r="ADC42" s="1137">
        <f t="shared" si="8"/>
        <v>0</v>
      </c>
    </row>
    <row r="43" spans="1:783" x14ac:dyDescent="0.25">
      <c r="A43" t="s">
        <v>1839</v>
      </c>
      <c r="B43" t="s">
        <v>21</v>
      </c>
      <c r="ABG43" s="1137">
        <f t="shared" si="9"/>
        <v>0</v>
      </c>
      <c r="ABH43" s="1137">
        <f t="shared" si="9"/>
        <v>0</v>
      </c>
      <c r="ABI43" s="1137">
        <f t="shared" si="9"/>
        <v>0</v>
      </c>
      <c r="ABJ43" s="1137">
        <f t="shared" si="9"/>
        <v>0</v>
      </c>
      <c r="ABK43" s="1137">
        <f t="shared" si="9"/>
        <v>0</v>
      </c>
      <c r="ABL43" s="1137">
        <f t="shared" si="9"/>
        <v>0</v>
      </c>
      <c r="ABM43" s="1137">
        <f t="shared" si="9"/>
        <v>0</v>
      </c>
      <c r="ABN43" s="1137">
        <f t="shared" si="9"/>
        <v>0</v>
      </c>
      <c r="ABO43" s="1137">
        <f t="shared" si="9"/>
        <v>0</v>
      </c>
      <c r="ABP43" s="1137">
        <f t="shared" si="9"/>
        <v>0</v>
      </c>
      <c r="ABQ43" s="1137">
        <f t="shared" si="9"/>
        <v>0</v>
      </c>
      <c r="ABR43" s="1137">
        <f t="shared" si="9"/>
        <v>0</v>
      </c>
      <c r="ABS43" s="1137">
        <f t="shared" si="9"/>
        <v>0</v>
      </c>
      <c r="ABT43" s="1137">
        <f t="shared" si="9"/>
        <v>0</v>
      </c>
      <c r="ABU43" s="1137">
        <f t="shared" si="9"/>
        <v>0</v>
      </c>
      <c r="ABV43" s="1137">
        <f t="shared" si="9"/>
        <v>0</v>
      </c>
      <c r="ABW43" s="1137">
        <f t="shared" si="7"/>
        <v>0</v>
      </c>
      <c r="ABX43" s="1137">
        <f t="shared" si="7"/>
        <v>0</v>
      </c>
      <c r="ABY43" s="1137">
        <f t="shared" si="7"/>
        <v>0</v>
      </c>
      <c r="ABZ43" s="1137">
        <f t="shared" si="7"/>
        <v>0</v>
      </c>
      <c r="ACA43" s="1137">
        <f t="shared" si="7"/>
        <v>0</v>
      </c>
      <c r="ACB43" s="1137">
        <f t="shared" si="7"/>
        <v>0</v>
      </c>
      <c r="ACC43" s="1137">
        <f t="shared" si="7"/>
        <v>0</v>
      </c>
      <c r="ACD43" s="1137">
        <f t="shared" si="7"/>
        <v>0</v>
      </c>
      <c r="ACE43" s="1137" t="s">
        <v>21</v>
      </c>
      <c r="ACF43" s="1137">
        <f t="shared" si="10"/>
        <v>0</v>
      </c>
      <c r="ACG43" s="1137">
        <f t="shared" si="10"/>
        <v>0</v>
      </c>
      <c r="ACH43" s="1137">
        <f t="shared" si="10"/>
        <v>0</v>
      </c>
      <c r="ACI43" s="1137">
        <f t="shared" si="10"/>
        <v>0</v>
      </c>
      <c r="ACJ43" s="1137">
        <f t="shared" si="10"/>
        <v>0</v>
      </c>
      <c r="ACK43" s="1137">
        <f t="shared" si="10"/>
        <v>0</v>
      </c>
      <c r="ACL43" s="1137">
        <f t="shared" si="10"/>
        <v>0</v>
      </c>
      <c r="ACM43" s="1137">
        <f t="shared" si="10"/>
        <v>0</v>
      </c>
      <c r="ACN43" s="1137">
        <f t="shared" si="10"/>
        <v>0</v>
      </c>
      <c r="ACO43" s="1137">
        <f t="shared" si="10"/>
        <v>0</v>
      </c>
      <c r="ACP43" s="1137">
        <f t="shared" si="10"/>
        <v>0</v>
      </c>
      <c r="ACQ43" s="1137">
        <f t="shared" si="10"/>
        <v>0</v>
      </c>
      <c r="ACR43" s="1137">
        <f t="shared" si="10"/>
        <v>0</v>
      </c>
      <c r="ACS43" s="1137">
        <f t="shared" si="10"/>
        <v>0</v>
      </c>
      <c r="ACT43" s="1137">
        <f t="shared" si="10"/>
        <v>0</v>
      </c>
      <c r="ACU43" s="1137">
        <f t="shared" si="10"/>
        <v>0</v>
      </c>
      <c r="ACV43" s="1137">
        <f t="shared" si="8"/>
        <v>0</v>
      </c>
      <c r="ACW43" s="1137">
        <f t="shared" si="8"/>
        <v>0</v>
      </c>
      <c r="ACX43" s="1137">
        <f t="shared" si="8"/>
        <v>0</v>
      </c>
      <c r="ACY43" s="1137">
        <f t="shared" si="8"/>
        <v>0</v>
      </c>
      <c r="ACZ43" s="1137">
        <f t="shared" si="8"/>
        <v>0</v>
      </c>
      <c r="ADA43" s="1137">
        <f t="shared" si="8"/>
        <v>0</v>
      </c>
      <c r="ADB43" s="1137">
        <f t="shared" si="8"/>
        <v>0</v>
      </c>
      <c r="ADC43" s="1137">
        <f t="shared" si="8"/>
        <v>0</v>
      </c>
    </row>
    <row r="44" spans="1:783" x14ac:dyDescent="0.25">
      <c r="A44" t="s">
        <v>1840</v>
      </c>
      <c r="B44" t="s">
        <v>1841</v>
      </c>
      <c r="C44">
        <v>0</v>
      </c>
      <c r="D44">
        <v>0</v>
      </c>
      <c r="E44">
        <v>0</v>
      </c>
      <c r="F44">
        <v>0</v>
      </c>
      <c r="G44">
        <v>0</v>
      </c>
      <c r="H44">
        <v>0</v>
      </c>
      <c r="I44">
        <v>0</v>
      </c>
      <c r="J44">
        <v>0</v>
      </c>
      <c r="K44">
        <v>0</v>
      </c>
      <c r="L44">
        <v>0</v>
      </c>
      <c r="M44">
        <v>0</v>
      </c>
      <c r="N44">
        <v>0</v>
      </c>
      <c r="O44">
        <v>0</v>
      </c>
      <c r="P44">
        <v>0</v>
      </c>
      <c r="Q44">
        <v>0</v>
      </c>
      <c r="R44">
        <v>0</v>
      </c>
      <c r="S44">
        <v>0</v>
      </c>
      <c r="T44">
        <v>0</v>
      </c>
      <c r="U44">
        <v>0</v>
      </c>
      <c r="V44">
        <v>0</v>
      </c>
      <c r="W44">
        <v>0</v>
      </c>
      <c r="X44">
        <v>0</v>
      </c>
      <c r="Y44">
        <v>0</v>
      </c>
      <c r="Z44">
        <v>0</v>
      </c>
      <c r="AA44">
        <v>0</v>
      </c>
      <c r="AB44">
        <v>0</v>
      </c>
      <c r="AC44">
        <v>0</v>
      </c>
      <c r="AD44">
        <v>0</v>
      </c>
      <c r="AE44">
        <v>0</v>
      </c>
      <c r="AF44">
        <v>0</v>
      </c>
      <c r="AG44">
        <v>0</v>
      </c>
      <c r="AH44">
        <v>0</v>
      </c>
      <c r="AI44">
        <v>0</v>
      </c>
      <c r="AJ44">
        <v>0</v>
      </c>
      <c r="AK44">
        <v>0</v>
      </c>
      <c r="AL44">
        <v>0</v>
      </c>
      <c r="AM44">
        <v>0</v>
      </c>
      <c r="AN44">
        <v>0</v>
      </c>
      <c r="AO44">
        <v>0</v>
      </c>
      <c r="AP44">
        <v>0</v>
      </c>
      <c r="AQ44">
        <v>0</v>
      </c>
      <c r="AR44">
        <v>0</v>
      </c>
      <c r="AS44">
        <v>0</v>
      </c>
      <c r="AT44">
        <v>0</v>
      </c>
      <c r="AU44">
        <v>0</v>
      </c>
      <c r="AV44">
        <v>0</v>
      </c>
      <c r="AW44">
        <v>0</v>
      </c>
      <c r="AX44">
        <v>0</v>
      </c>
      <c r="AY44">
        <v>0</v>
      </c>
      <c r="AZ44">
        <v>0</v>
      </c>
      <c r="BA44">
        <v>0</v>
      </c>
      <c r="BB44">
        <v>0</v>
      </c>
      <c r="BC44">
        <v>0</v>
      </c>
      <c r="BD44">
        <v>0</v>
      </c>
      <c r="BE44">
        <v>0</v>
      </c>
      <c r="BF44">
        <v>0</v>
      </c>
      <c r="BG44">
        <v>0</v>
      </c>
      <c r="BH44">
        <v>0</v>
      </c>
      <c r="BI44">
        <v>0</v>
      </c>
      <c r="BJ44">
        <v>0</v>
      </c>
      <c r="BK44">
        <v>0</v>
      </c>
      <c r="BL44">
        <v>0</v>
      </c>
      <c r="BM44">
        <v>0</v>
      </c>
      <c r="BN44">
        <v>0</v>
      </c>
      <c r="BO44">
        <v>0</v>
      </c>
      <c r="BP44">
        <v>0</v>
      </c>
      <c r="BQ44">
        <v>0</v>
      </c>
      <c r="BR44">
        <v>0</v>
      </c>
      <c r="BS44">
        <v>0</v>
      </c>
      <c r="BT44">
        <v>0</v>
      </c>
      <c r="BU44">
        <v>0</v>
      </c>
      <c r="BV44">
        <v>0</v>
      </c>
      <c r="BW44">
        <v>0</v>
      </c>
      <c r="BX44">
        <v>0</v>
      </c>
      <c r="BY44">
        <v>0</v>
      </c>
      <c r="BZ44">
        <v>0</v>
      </c>
      <c r="CA44">
        <v>0</v>
      </c>
      <c r="CB44">
        <v>0</v>
      </c>
      <c r="CC44">
        <v>0</v>
      </c>
      <c r="CD44">
        <v>2</v>
      </c>
      <c r="CE44">
        <v>2</v>
      </c>
      <c r="CF44">
        <v>2</v>
      </c>
      <c r="CG44">
        <v>2</v>
      </c>
      <c r="CH44">
        <v>2</v>
      </c>
      <c r="CI44">
        <v>2</v>
      </c>
      <c r="CJ44">
        <v>2</v>
      </c>
      <c r="CK44">
        <v>2</v>
      </c>
      <c r="CL44">
        <v>2</v>
      </c>
      <c r="CM44">
        <v>2</v>
      </c>
      <c r="CN44">
        <v>2</v>
      </c>
      <c r="CO44">
        <v>2</v>
      </c>
      <c r="CP44">
        <v>2</v>
      </c>
      <c r="CQ44">
        <v>2</v>
      </c>
      <c r="CR44">
        <v>2</v>
      </c>
      <c r="CS44">
        <v>2</v>
      </c>
      <c r="CT44">
        <v>2</v>
      </c>
      <c r="CU44">
        <v>2</v>
      </c>
      <c r="CV44">
        <v>2</v>
      </c>
      <c r="CW44">
        <v>2</v>
      </c>
      <c r="CX44">
        <v>2</v>
      </c>
      <c r="CY44">
        <v>2</v>
      </c>
      <c r="CZ44">
        <v>2</v>
      </c>
      <c r="DA44">
        <v>2</v>
      </c>
      <c r="DB44">
        <v>2</v>
      </c>
      <c r="DC44">
        <v>2</v>
      </c>
      <c r="DD44">
        <v>2</v>
      </c>
      <c r="DE44">
        <v>2</v>
      </c>
      <c r="DF44">
        <v>2</v>
      </c>
      <c r="DG44">
        <v>2</v>
      </c>
      <c r="DH44">
        <v>2</v>
      </c>
      <c r="DI44">
        <v>2</v>
      </c>
      <c r="DJ44">
        <v>2</v>
      </c>
      <c r="DK44">
        <v>2</v>
      </c>
      <c r="DL44">
        <v>2</v>
      </c>
      <c r="DM44">
        <v>2</v>
      </c>
      <c r="DN44">
        <v>2</v>
      </c>
      <c r="DO44">
        <v>2</v>
      </c>
      <c r="DP44">
        <v>2</v>
      </c>
      <c r="DQ44">
        <v>2</v>
      </c>
      <c r="DR44">
        <v>2</v>
      </c>
      <c r="DS44">
        <v>2</v>
      </c>
      <c r="DT44">
        <v>2</v>
      </c>
      <c r="DU44">
        <v>2</v>
      </c>
      <c r="DV44">
        <v>2</v>
      </c>
      <c r="DW44">
        <v>2</v>
      </c>
      <c r="DX44">
        <v>2</v>
      </c>
      <c r="DY44">
        <v>2</v>
      </c>
      <c r="DZ44">
        <v>2</v>
      </c>
      <c r="EA44">
        <v>2</v>
      </c>
      <c r="EB44">
        <v>2</v>
      </c>
      <c r="EC44">
        <v>2</v>
      </c>
      <c r="ED44">
        <v>2</v>
      </c>
      <c r="EE44">
        <v>2</v>
      </c>
      <c r="EF44">
        <v>2</v>
      </c>
      <c r="EG44">
        <v>2</v>
      </c>
      <c r="EH44">
        <v>2</v>
      </c>
      <c r="EI44">
        <v>2</v>
      </c>
      <c r="EJ44">
        <v>2</v>
      </c>
      <c r="EK44">
        <v>2</v>
      </c>
      <c r="EL44">
        <v>2</v>
      </c>
      <c r="EM44">
        <v>2</v>
      </c>
      <c r="EN44">
        <v>2</v>
      </c>
      <c r="EO44">
        <v>2</v>
      </c>
      <c r="EP44">
        <v>2</v>
      </c>
      <c r="EQ44">
        <v>2</v>
      </c>
      <c r="ER44">
        <v>2</v>
      </c>
      <c r="ES44">
        <v>2</v>
      </c>
      <c r="ET44">
        <v>2</v>
      </c>
      <c r="EU44">
        <v>2</v>
      </c>
      <c r="EV44">
        <v>2</v>
      </c>
      <c r="EW44">
        <v>2</v>
      </c>
      <c r="EX44">
        <v>2</v>
      </c>
      <c r="EY44">
        <v>2</v>
      </c>
      <c r="EZ44">
        <v>2</v>
      </c>
      <c r="FA44">
        <v>2</v>
      </c>
      <c r="FB44">
        <v>2</v>
      </c>
      <c r="FC44">
        <v>2</v>
      </c>
      <c r="FD44">
        <v>2</v>
      </c>
      <c r="FE44">
        <v>2</v>
      </c>
      <c r="FF44">
        <v>2</v>
      </c>
      <c r="FG44">
        <v>2</v>
      </c>
      <c r="FH44">
        <v>2</v>
      </c>
      <c r="FI44">
        <v>2</v>
      </c>
      <c r="FJ44">
        <v>2</v>
      </c>
      <c r="FK44">
        <v>2</v>
      </c>
      <c r="FL44">
        <v>2</v>
      </c>
      <c r="FM44">
        <v>2</v>
      </c>
      <c r="FN44">
        <v>2</v>
      </c>
      <c r="FO44">
        <v>2</v>
      </c>
      <c r="FP44">
        <v>2</v>
      </c>
      <c r="FQ44">
        <v>2</v>
      </c>
      <c r="FR44">
        <v>2</v>
      </c>
      <c r="FS44">
        <v>2</v>
      </c>
      <c r="FT44">
        <v>2</v>
      </c>
      <c r="FU44">
        <v>2</v>
      </c>
      <c r="FV44">
        <v>2</v>
      </c>
      <c r="FW44">
        <v>2</v>
      </c>
      <c r="FX44">
        <v>2</v>
      </c>
      <c r="FY44">
        <v>2</v>
      </c>
      <c r="FZ44">
        <v>2</v>
      </c>
      <c r="GA44">
        <v>2</v>
      </c>
      <c r="GB44">
        <v>2</v>
      </c>
      <c r="GC44">
        <v>2</v>
      </c>
      <c r="GD44">
        <v>2</v>
      </c>
      <c r="GE44">
        <v>2</v>
      </c>
      <c r="GF44">
        <v>2</v>
      </c>
      <c r="GG44">
        <v>2</v>
      </c>
      <c r="GH44">
        <v>2</v>
      </c>
      <c r="GI44">
        <v>2</v>
      </c>
      <c r="GJ44">
        <v>2</v>
      </c>
      <c r="GK44">
        <v>2</v>
      </c>
      <c r="GL44">
        <v>2</v>
      </c>
      <c r="GM44">
        <v>2</v>
      </c>
      <c r="GN44">
        <v>2</v>
      </c>
      <c r="GO44">
        <v>2</v>
      </c>
      <c r="GP44">
        <v>2</v>
      </c>
      <c r="GQ44">
        <v>0</v>
      </c>
      <c r="GR44">
        <v>0</v>
      </c>
      <c r="GS44">
        <v>0</v>
      </c>
      <c r="GT44">
        <v>0</v>
      </c>
      <c r="GU44">
        <v>0</v>
      </c>
      <c r="GV44">
        <v>0</v>
      </c>
      <c r="GW44">
        <v>0</v>
      </c>
      <c r="GX44">
        <v>0</v>
      </c>
      <c r="GY44">
        <v>0</v>
      </c>
      <c r="GZ44">
        <v>0</v>
      </c>
      <c r="HA44">
        <v>0</v>
      </c>
      <c r="HB44">
        <v>0</v>
      </c>
      <c r="HC44">
        <v>0</v>
      </c>
      <c r="HD44">
        <v>0</v>
      </c>
      <c r="HE44">
        <v>0</v>
      </c>
      <c r="HF44">
        <v>0</v>
      </c>
      <c r="HG44">
        <v>0</v>
      </c>
      <c r="HH44">
        <v>0</v>
      </c>
      <c r="HI44">
        <v>0</v>
      </c>
      <c r="HJ44">
        <v>0</v>
      </c>
      <c r="HK44">
        <v>0</v>
      </c>
      <c r="HL44">
        <v>0</v>
      </c>
      <c r="HM44">
        <v>0</v>
      </c>
      <c r="HN44">
        <v>0</v>
      </c>
      <c r="HO44">
        <v>0</v>
      </c>
      <c r="HP44">
        <v>0</v>
      </c>
      <c r="HQ44">
        <v>0</v>
      </c>
      <c r="HR44">
        <v>0</v>
      </c>
      <c r="HS44">
        <v>0</v>
      </c>
      <c r="HT44">
        <v>0</v>
      </c>
      <c r="HU44">
        <v>0</v>
      </c>
      <c r="HV44">
        <v>0</v>
      </c>
      <c r="HW44">
        <v>0</v>
      </c>
      <c r="HX44">
        <v>0</v>
      </c>
      <c r="HY44">
        <v>0</v>
      </c>
      <c r="HZ44">
        <v>0</v>
      </c>
      <c r="IA44">
        <v>0</v>
      </c>
      <c r="IB44">
        <v>0</v>
      </c>
      <c r="IC44">
        <v>0</v>
      </c>
      <c r="ID44">
        <v>0</v>
      </c>
      <c r="IE44">
        <v>0</v>
      </c>
      <c r="IF44">
        <v>0</v>
      </c>
      <c r="IG44">
        <v>0</v>
      </c>
      <c r="IH44">
        <v>0</v>
      </c>
      <c r="II44">
        <v>0</v>
      </c>
      <c r="IJ44">
        <v>0</v>
      </c>
      <c r="IK44">
        <v>0</v>
      </c>
      <c r="IL44">
        <v>0</v>
      </c>
      <c r="IM44">
        <v>0</v>
      </c>
      <c r="IN44">
        <v>0</v>
      </c>
      <c r="IO44">
        <v>0</v>
      </c>
      <c r="IP44">
        <v>0</v>
      </c>
      <c r="IQ44">
        <v>0</v>
      </c>
      <c r="IR44">
        <v>0</v>
      </c>
      <c r="IS44">
        <v>0</v>
      </c>
      <c r="IT44">
        <v>0</v>
      </c>
      <c r="IU44">
        <v>0</v>
      </c>
      <c r="IV44">
        <v>0</v>
      </c>
      <c r="IW44">
        <v>0</v>
      </c>
      <c r="IX44">
        <v>0</v>
      </c>
      <c r="IY44">
        <v>0</v>
      </c>
      <c r="IZ44">
        <v>0</v>
      </c>
      <c r="JA44">
        <v>0</v>
      </c>
      <c r="JB44">
        <v>0</v>
      </c>
      <c r="JC44">
        <v>0</v>
      </c>
      <c r="JD44">
        <v>0</v>
      </c>
      <c r="JE44">
        <v>0</v>
      </c>
      <c r="JF44">
        <v>0</v>
      </c>
      <c r="JG44">
        <v>0</v>
      </c>
      <c r="JH44">
        <v>0</v>
      </c>
      <c r="JI44">
        <v>0</v>
      </c>
      <c r="JJ44">
        <v>0</v>
      </c>
      <c r="JK44">
        <v>0</v>
      </c>
      <c r="JL44">
        <v>0</v>
      </c>
      <c r="JM44">
        <v>0</v>
      </c>
      <c r="JN44">
        <v>0</v>
      </c>
      <c r="JO44">
        <v>0</v>
      </c>
      <c r="JP44">
        <v>0</v>
      </c>
      <c r="JQ44">
        <v>0</v>
      </c>
      <c r="JR44">
        <v>0</v>
      </c>
      <c r="JS44">
        <v>0</v>
      </c>
      <c r="JT44">
        <v>0</v>
      </c>
      <c r="JU44">
        <v>0</v>
      </c>
      <c r="JV44">
        <v>0</v>
      </c>
      <c r="JW44">
        <v>0</v>
      </c>
      <c r="JX44">
        <v>0</v>
      </c>
      <c r="JY44">
        <v>0</v>
      </c>
      <c r="JZ44">
        <v>0</v>
      </c>
      <c r="KA44">
        <v>0</v>
      </c>
      <c r="KB44">
        <v>2</v>
      </c>
      <c r="KC44">
        <v>2</v>
      </c>
      <c r="KD44">
        <v>2</v>
      </c>
      <c r="KE44">
        <v>2</v>
      </c>
      <c r="KF44">
        <v>2</v>
      </c>
      <c r="KG44">
        <v>2</v>
      </c>
      <c r="KH44">
        <v>2</v>
      </c>
      <c r="KI44">
        <v>2</v>
      </c>
      <c r="KJ44">
        <v>2</v>
      </c>
      <c r="KK44">
        <v>2</v>
      </c>
      <c r="KL44">
        <v>2</v>
      </c>
      <c r="KM44">
        <v>2</v>
      </c>
      <c r="KN44">
        <v>2</v>
      </c>
      <c r="KO44">
        <v>2</v>
      </c>
      <c r="KP44">
        <v>2</v>
      </c>
      <c r="KQ44">
        <v>2</v>
      </c>
      <c r="KR44">
        <v>2</v>
      </c>
      <c r="KS44">
        <v>2</v>
      </c>
      <c r="KT44">
        <v>2</v>
      </c>
      <c r="KU44">
        <v>2</v>
      </c>
      <c r="KV44">
        <v>2</v>
      </c>
      <c r="KW44">
        <v>2</v>
      </c>
      <c r="KX44">
        <v>2</v>
      </c>
      <c r="KY44">
        <v>2</v>
      </c>
      <c r="KZ44">
        <v>2</v>
      </c>
      <c r="LA44">
        <v>2</v>
      </c>
      <c r="LB44">
        <v>2</v>
      </c>
      <c r="LC44">
        <v>2</v>
      </c>
      <c r="LD44">
        <v>2</v>
      </c>
      <c r="LE44">
        <v>2</v>
      </c>
      <c r="LF44">
        <v>2</v>
      </c>
      <c r="LG44">
        <v>2</v>
      </c>
      <c r="LH44">
        <v>2</v>
      </c>
      <c r="LI44">
        <v>2</v>
      </c>
      <c r="LJ44">
        <v>2</v>
      </c>
      <c r="LK44">
        <v>2</v>
      </c>
      <c r="LL44">
        <v>2</v>
      </c>
      <c r="LM44">
        <v>2</v>
      </c>
      <c r="LN44">
        <v>2</v>
      </c>
      <c r="LO44">
        <v>2</v>
      </c>
      <c r="LP44">
        <v>2</v>
      </c>
      <c r="LQ44">
        <v>2</v>
      </c>
      <c r="LR44">
        <v>2</v>
      </c>
      <c r="LS44">
        <v>2</v>
      </c>
      <c r="LT44">
        <v>2</v>
      </c>
      <c r="LU44">
        <v>2</v>
      </c>
      <c r="LV44">
        <v>2</v>
      </c>
      <c r="LW44">
        <v>2</v>
      </c>
      <c r="LX44">
        <v>2</v>
      </c>
      <c r="LY44">
        <v>2</v>
      </c>
      <c r="LZ44">
        <v>2</v>
      </c>
      <c r="MA44">
        <v>2</v>
      </c>
      <c r="MB44">
        <v>2</v>
      </c>
      <c r="MC44">
        <v>2</v>
      </c>
      <c r="MD44">
        <v>2</v>
      </c>
      <c r="ME44">
        <v>2</v>
      </c>
      <c r="MF44">
        <v>2</v>
      </c>
      <c r="MG44">
        <v>2</v>
      </c>
      <c r="MH44">
        <v>2</v>
      </c>
      <c r="MI44">
        <v>2</v>
      </c>
      <c r="MJ44">
        <v>2</v>
      </c>
      <c r="MK44">
        <v>2</v>
      </c>
      <c r="ML44">
        <v>2</v>
      </c>
      <c r="MM44">
        <v>2</v>
      </c>
      <c r="MN44">
        <v>2</v>
      </c>
      <c r="MO44">
        <v>2</v>
      </c>
      <c r="MP44">
        <v>2</v>
      </c>
      <c r="MQ44">
        <v>2</v>
      </c>
      <c r="MR44">
        <v>2</v>
      </c>
      <c r="MS44">
        <v>2</v>
      </c>
      <c r="MT44">
        <v>2</v>
      </c>
      <c r="MU44">
        <v>2</v>
      </c>
      <c r="MV44">
        <v>2</v>
      </c>
      <c r="MW44">
        <v>2</v>
      </c>
      <c r="MX44">
        <v>2</v>
      </c>
      <c r="MY44">
        <v>2</v>
      </c>
      <c r="MZ44">
        <v>2</v>
      </c>
      <c r="NA44">
        <v>2</v>
      </c>
      <c r="NB44">
        <v>2</v>
      </c>
      <c r="NC44">
        <v>2</v>
      </c>
      <c r="ND44">
        <v>2</v>
      </c>
      <c r="NE44">
        <v>2</v>
      </c>
      <c r="NF44">
        <v>2</v>
      </c>
      <c r="NG44">
        <v>2</v>
      </c>
      <c r="NH44">
        <v>2</v>
      </c>
      <c r="NI44">
        <v>2</v>
      </c>
      <c r="NJ44">
        <v>2</v>
      </c>
      <c r="NK44">
        <v>2</v>
      </c>
      <c r="NL44">
        <v>2</v>
      </c>
      <c r="NM44">
        <v>2</v>
      </c>
      <c r="NN44">
        <v>2</v>
      </c>
      <c r="NO44">
        <v>2</v>
      </c>
      <c r="NP44">
        <v>2</v>
      </c>
      <c r="NQ44">
        <v>2</v>
      </c>
      <c r="NR44">
        <v>2</v>
      </c>
      <c r="NS44">
        <v>2</v>
      </c>
      <c r="NT44">
        <v>2</v>
      </c>
      <c r="NU44">
        <v>2</v>
      </c>
      <c r="NV44">
        <v>2</v>
      </c>
      <c r="NW44">
        <v>2</v>
      </c>
      <c r="NX44">
        <v>2</v>
      </c>
      <c r="NY44">
        <v>2</v>
      </c>
      <c r="NZ44">
        <v>2</v>
      </c>
      <c r="OA44">
        <v>2</v>
      </c>
      <c r="OB44">
        <v>2</v>
      </c>
      <c r="OC44">
        <v>2</v>
      </c>
      <c r="OD44">
        <v>1</v>
      </c>
      <c r="OE44">
        <v>1</v>
      </c>
      <c r="OF44">
        <v>1</v>
      </c>
      <c r="OG44">
        <v>1</v>
      </c>
      <c r="OH44">
        <v>1</v>
      </c>
      <c r="OI44">
        <v>1</v>
      </c>
      <c r="OJ44">
        <v>1</v>
      </c>
      <c r="OK44">
        <v>1</v>
      </c>
      <c r="OL44">
        <v>1</v>
      </c>
      <c r="OM44">
        <v>1</v>
      </c>
      <c r="ON44">
        <v>1</v>
      </c>
      <c r="OO44">
        <v>1</v>
      </c>
      <c r="OP44">
        <v>1</v>
      </c>
      <c r="OQ44">
        <v>1</v>
      </c>
      <c r="OR44">
        <v>1</v>
      </c>
      <c r="OS44">
        <v>1</v>
      </c>
      <c r="OT44">
        <v>1</v>
      </c>
      <c r="OU44">
        <v>1</v>
      </c>
      <c r="OV44">
        <v>1</v>
      </c>
      <c r="OW44">
        <v>1</v>
      </c>
      <c r="OX44">
        <v>1</v>
      </c>
      <c r="OY44">
        <v>1</v>
      </c>
      <c r="OZ44">
        <v>1</v>
      </c>
      <c r="PA44">
        <v>1</v>
      </c>
      <c r="PB44">
        <v>1</v>
      </c>
      <c r="PC44">
        <v>1</v>
      </c>
      <c r="PD44">
        <v>1</v>
      </c>
      <c r="PE44">
        <v>1</v>
      </c>
      <c r="PF44">
        <v>1</v>
      </c>
      <c r="PG44">
        <v>1</v>
      </c>
      <c r="PH44">
        <v>1</v>
      </c>
      <c r="PI44">
        <v>1</v>
      </c>
      <c r="PJ44">
        <v>1</v>
      </c>
      <c r="PK44">
        <v>1</v>
      </c>
      <c r="PL44">
        <v>1</v>
      </c>
      <c r="PM44">
        <v>1</v>
      </c>
      <c r="PN44">
        <v>1</v>
      </c>
      <c r="PO44">
        <v>1</v>
      </c>
      <c r="PP44">
        <v>1</v>
      </c>
      <c r="PQ44">
        <v>1</v>
      </c>
      <c r="PR44">
        <v>1</v>
      </c>
      <c r="PS44">
        <v>1</v>
      </c>
      <c r="PT44">
        <v>1</v>
      </c>
      <c r="PU44">
        <v>1</v>
      </c>
      <c r="PV44">
        <v>1</v>
      </c>
      <c r="PW44">
        <v>1</v>
      </c>
      <c r="PX44">
        <v>1</v>
      </c>
      <c r="PY44">
        <v>1</v>
      </c>
      <c r="PZ44">
        <v>1</v>
      </c>
      <c r="QA44">
        <v>1</v>
      </c>
      <c r="QB44">
        <v>1</v>
      </c>
      <c r="QC44">
        <v>1</v>
      </c>
      <c r="QD44">
        <v>1</v>
      </c>
      <c r="QE44">
        <v>1</v>
      </c>
      <c r="QF44">
        <v>1</v>
      </c>
      <c r="QG44">
        <v>1</v>
      </c>
      <c r="QH44">
        <v>1</v>
      </c>
      <c r="QI44">
        <v>1</v>
      </c>
      <c r="QJ44">
        <v>1</v>
      </c>
      <c r="QK44">
        <v>1</v>
      </c>
      <c r="QL44">
        <v>1</v>
      </c>
      <c r="QM44">
        <v>1</v>
      </c>
      <c r="QN44">
        <v>1</v>
      </c>
      <c r="QO44">
        <v>1</v>
      </c>
      <c r="QP44">
        <v>1</v>
      </c>
      <c r="QQ44">
        <v>1</v>
      </c>
      <c r="QR44">
        <v>1</v>
      </c>
      <c r="QS44">
        <v>1</v>
      </c>
      <c r="QT44">
        <v>1</v>
      </c>
      <c r="QU44">
        <v>1</v>
      </c>
      <c r="QV44">
        <v>2</v>
      </c>
      <c r="QW44">
        <v>2</v>
      </c>
      <c r="QX44">
        <v>2</v>
      </c>
      <c r="QY44">
        <v>2</v>
      </c>
      <c r="QZ44">
        <v>2</v>
      </c>
      <c r="RA44">
        <v>2</v>
      </c>
      <c r="RB44">
        <v>2</v>
      </c>
      <c r="RC44">
        <v>2</v>
      </c>
      <c r="RD44">
        <v>2</v>
      </c>
      <c r="RE44">
        <v>2</v>
      </c>
      <c r="RF44">
        <v>2</v>
      </c>
      <c r="RG44">
        <v>2</v>
      </c>
      <c r="RH44">
        <v>2</v>
      </c>
      <c r="RI44">
        <v>2</v>
      </c>
      <c r="RJ44">
        <v>2</v>
      </c>
      <c r="RK44">
        <v>2</v>
      </c>
      <c r="RL44">
        <v>2</v>
      </c>
      <c r="RM44">
        <v>2</v>
      </c>
      <c r="RN44">
        <v>2</v>
      </c>
      <c r="RO44">
        <v>2</v>
      </c>
      <c r="RP44">
        <v>2</v>
      </c>
      <c r="RQ44">
        <v>2</v>
      </c>
      <c r="RR44">
        <v>2</v>
      </c>
      <c r="RS44">
        <v>2</v>
      </c>
      <c r="RT44">
        <v>2</v>
      </c>
      <c r="RU44">
        <v>2</v>
      </c>
      <c r="RV44">
        <v>2</v>
      </c>
      <c r="RW44">
        <v>2</v>
      </c>
      <c r="RX44">
        <v>2</v>
      </c>
      <c r="RY44">
        <v>2</v>
      </c>
      <c r="RZ44">
        <v>2</v>
      </c>
      <c r="SA44">
        <v>2</v>
      </c>
      <c r="SB44">
        <v>2</v>
      </c>
      <c r="SC44">
        <v>2</v>
      </c>
      <c r="SD44">
        <v>2</v>
      </c>
      <c r="SE44">
        <v>2</v>
      </c>
      <c r="SF44">
        <v>2</v>
      </c>
      <c r="SG44">
        <v>2</v>
      </c>
      <c r="SH44">
        <v>2</v>
      </c>
      <c r="SI44">
        <v>2</v>
      </c>
      <c r="SJ44">
        <v>2</v>
      </c>
      <c r="SK44">
        <v>2</v>
      </c>
      <c r="SL44">
        <v>2</v>
      </c>
      <c r="SM44">
        <v>2</v>
      </c>
      <c r="SN44">
        <v>2</v>
      </c>
      <c r="SO44">
        <v>2</v>
      </c>
      <c r="SP44">
        <v>2</v>
      </c>
      <c r="SQ44">
        <v>2</v>
      </c>
      <c r="SR44">
        <v>2</v>
      </c>
      <c r="SS44">
        <v>2</v>
      </c>
      <c r="ST44">
        <v>2</v>
      </c>
      <c r="SU44">
        <v>2</v>
      </c>
      <c r="SV44">
        <v>2</v>
      </c>
      <c r="SW44">
        <v>2</v>
      </c>
      <c r="SX44">
        <v>2</v>
      </c>
      <c r="SY44">
        <v>2</v>
      </c>
      <c r="SZ44">
        <v>2</v>
      </c>
      <c r="TA44">
        <v>2</v>
      </c>
      <c r="TB44">
        <v>2</v>
      </c>
      <c r="TC44">
        <v>2</v>
      </c>
      <c r="TD44">
        <v>2</v>
      </c>
      <c r="TE44">
        <v>2</v>
      </c>
      <c r="TF44">
        <v>2</v>
      </c>
      <c r="TG44">
        <v>2</v>
      </c>
      <c r="TH44">
        <v>2</v>
      </c>
      <c r="TI44">
        <v>2</v>
      </c>
      <c r="TJ44">
        <v>2</v>
      </c>
      <c r="TK44">
        <v>2</v>
      </c>
      <c r="TL44">
        <v>2</v>
      </c>
      <c r="TM44">
        <v>2</v>
      </c>
      <c r="TN44">
        <v>2</v>
      </c>
      <c r="TO44">
        <v>2</v>
      </c>
      <c r="TP44">
        <v>2</v>
      </c>
      <c r="TQ44">
        <v>2</v>
      </c>
      <c r="TR44">
        <v>2</v>
      </c>
      <c r="TS44">
        <v>2</v>
      </c>
      <c r="TT44">
        <v>2</v>
      </c>
      <c r="TU44">
        <v>2</v>
      </c>
      <c r="TV44">
        <v>2</v>
      </c>
      <c r="TW44">
        <v>2</v>
      </c>
      <c r="TX44">
        <v>2</v>
      </c>
      <c r="TY44">
        <v>2</v>
      </c>
      <c r="TZ44">
        <v>2</v>
      </c>
      <c r="UA44">
        <v>2</v>
      </c>
      <c r="UB44">
        <v>2</v>
      </c>
      <c r="UC44">
        <v>2</v>
      </c>
      <c r="UD44">
        <v>2</v>
      </c>
      <c r="UE44">
        <v>2</v>
      </c>
      <c r="UF44">
        <v>2</v>
      </c>
      <c r="UG44">
        <v>2</v>
      </c>
      <c r="UH44">
        <v>2</v>
      </c>
      <c r="UI44">
        <v>2</v>
      </c>
      <c r="UJ44">
        <v>2</v>
      </c>
      <c r="UK44">
        <v>2</v>
      </c>
      <c r="UL44">
        <v>2</v>
      </c>
      <c r="UM44">
        <v>2</v>
      </c>
      <c r="UN44">
        <v>2</v>
      </c>
      <c r="UO44">
        <v>2</v>
      </c>
      <c r="UP44">
        <v>2</v>
      </c>
      <c r="UQ44">
        <v>2</v>
      </c>
      <c r="UR44">
        <v>2</v>
      </c>
      <c r="US44">
        <v>2</v>
      </c>
      <c r="UT44">
        <v>2</v>
      </c>
      <c r="UU44">
        <v>2</v>
      </c>
      <c r="UV44">
        <v>2</v>
      </c>
      <c r="UW44">
        <v>2</v>
      </c>
      <c r="UX44">
        <v>2</v>
      </c>
      <c r="UY44">
        <v>2</v>
      </c>
      <c r="UZ44">
        <v>2</v>
      </c>
      <c r="VA44">
        <v>2</v>
      </c>
      <c r="VB44">
        <v>2</v>
      </c>
      <c r="VC44">
        <v>2</v>
      </c>
      <c r="VD44">
        <v>2</v>
      </c>
      <c r="VE44">
        <v>2</v>
      </c>
      <c r="VF44">
        <v>2</v>
      </c>
      <c r="VG44">
        <v>2</v>
      </c>
      <c r="VH44">
        <v>2</v>
      </c>
      <c r="VI44">
        <v>2</v>
      </c>
      <c r="VJ44">
        <v>2</v>
      </c>
      <c r="VK44">
        <v>2</v>
      </c>
      <c r="VL44">
        <v>2</v>
      </c>
      <c r="VM44">
        <v>2</v>
      </c>
      <c r="VN44">
        <v>2</v>
      </c>
      <c r="VO44">
        <v>2</v>
      </c>
      <c r="VP44">
        <v>2</v>
      </c>
      <c r="VQ44">
        <v>2</v>
      </c>
      <c r="VR44">
        <v>2</v>
      </c>
      <c r="VS44">
        <v>2</v>
      </c>
      <c r="VT44">
        <v>2</v>
      </c>
      <c r="VU44">
        <v>2</v>
      </c>
      <c r="VV44">
        <v>2</v>
      </c>
      <c r="VW44">
        <v>2</v>
      </c>
      <c r="VX44">
        <v>2</v>
      </c>
      <c r="VY44">
        <v>2</v>
      </c>
      <c r="VZ44">
        <v>2</v>
      </c>
      <c r="WA44">
        <v>2</v>
      </c>
      <c r="WB44">
        <v>2</v>
      </c>
      <c r="WC44">
        <v>2</v>
      </c>
      <c r="WD44">
        <v>2</v>
      </c>
      <c r="WE44">
        <v>2</v>
      </c>
      <c r="WF44">
        <v>2</v>
      </c>
      <c r="WG44">
        <v>2</v>
      </c>
      <c r="WH44">
        <v>2</v>
      </c>
      <c r="WI44">
        <v>2</v>
      </c>
      <c r="WJ44">
        <v>2</v>
      </c>
      <c r="WK44">
        <v>2</v>
      </c>
      <c r="WL44">
        <v>2</v>
      </c>
      <c r="WM44">
        <v>2</v>
      </c>
      <c r="WN44">
        <v>0</v>
      </c>
      <c r="WO44">
        <v>0</v>
      </c>
      <c r="WP44">
        <v>0</v>
      </c>
      <c r="WQ44">
        <v>0</v>
      </c>
      <c r="WR44">
        <v>0</v>
      </c>
      <c r="WS44">
        <v>0</v>
      </c>
      <c r="WT44">
        <v>0</v>
      </c>
      <c r="WU44">
        <v>0</v>
      </c>
      <c r="WV44">
        <v>0</v>
      </c>
      <c r="WW44">
        <v>0</v>
      </c>
      <c r="WX44">
        <v>0</v>
      </c>
      <c r="WY44">
        <v>0</v>
      </c>
      <c r="WZ44">
        <v>0</v>
      </c>
      <c r="XA44">
        <v>0</v>
      </c>
      <c r="XB44">
        <v>0</v>
      </c>
      <c r="XC44">
        <v>0</v>
      </c>
      <c r="XD44">
        <v>0</v>
      </c>
      <c r="XE44">
        <v>0</v>
      </c>
      <c r="XF44">
        <v>0</v>
      </c>
      <c r="XG44">
        <v>0</v>
      </c>
      <c r="XH44">
        <v>0</v>
      </c>
      <c r="XI44">
        <v>0</v>
      </c>
      <c r="XJ44">
        <v>0</v>
      </c>
      <c r="XK44">
        <v>0</v>
      </c>
      <c r="XL44">
        <v>0</v>
      </c>
      <c r="XM44">
        <v>0</v>
      </c>
      <c r="XN44">
        <v>0</v>
      </c>
      <c r="XO44">
        <v>0</v>
      </c>
      <c r="XP44">
        <v>0</v>
      </c>
      <c r="XQ44">
        <v>0</v>
      </c>
      <c r="XR44">
        <v>2</v>
      </c>
      <c r="XS44">
        <v>2</v>
      </c>
      <c r="XT44">
        <v>2</v>
      </c>
      <c r="XU44">
        <v>2</v>
      </c>
      <c r="XV44">
        <v>2</v>
      </c>
      <c r="XW44">
        <v>2</v>
      </c>
      <c r="XX44">
        <v>2</v>
      </c>
      <c r="XY44">
        <v>2</v>
      </c>
      <c r="XZ44">
        <v>2</v>
      </c>
      <c r="YA44">
        <v>2</v>
      </c>
      <c r="YB44">
        <v>2</v>
      </c>
      <c r="YC44">
        <v>2</v>
      </c>
      <c r="YD44">
        <v>2</v>
      </c>
      <c r="YE44">
        <v>2</v>
      </c>
      <c r="YF44">
        <v>2</v>
      </c>
      <c r="YG44">
        <v>2</v>
      </c>
      <c r="YH44">
        <v>2</v>
      </c>
      <c r="YI44">
        <v>2</v>
      </c>
      <c r="YJ44">
        <v>2</v>
      </c>
      <c r="YK44">
        <v>2</v>
      </c>
      <c r="YL44">
        <v>2</v>
      </c>
      <c r="YM44">
        <v>2</v>
      </c>
      <c r="YN44">
        <v>2</v>
      </c>
      <c r="YO44">
        <v>2</v>
      </c>
      <c r="YP44">
        <v>2</v>
      </c>
      <c r="YQ44">
        <v>2</v>
      </c>
      <c r="YR44">
        <v>2</v>
      </c>
      <c r="YS44">
        <v>2</v>
      </c>
      <c r="YT44">
        <v>2</v>
      </c>
      <c r="YU44">
        <v>2</v>
      </c>
      <c r="YV44">
        <v>2</v>
      </c>
      <c r="YW44">
        <v>2</v>
      </c>
      <c r="YX44">
        <v>2</v>
      </c>
      <c r="YY44">
        <v>2</v>
      </c>
      <c r="YZ44">
        <v>2</v>
      </c>
      <c r="ZA44">
        <v>2</v>
      </c>
      <c r="ZB44">
        <v>2</v>
      </c>
      <c r="ZC44">
        <v>2</v>
      </c>
      <c r="ZD44">
        <v>2</v>
      </c>
      <c r="ZE44">
        <v>2</v>
      </c>
      <c r="ZF44">
        <v>2</v>
      </c>
      <c r="ZG44">
        <v>2</v>
      </c>
      <c r="ZH44">
        <v>2</v>
      </c>
      <c r="ZI44">
        <v>2</v>
      </c>
      <c r="ZJ44">
        <v>2</v>
      </c>
      <c r="ZK44">
        <v>2</v>
      </c>
      <c r="ZL44">
        <v>2</v>
      </c>
      <c r="ZM44">
        <v>2</v>
      </c>
      <c r="ZN44">
        <v>2</v>
      </c>
      <c r="ZO44">
        <v>2</v>
      </c>
      <c r="ZP44">
        <v>2</v>
      </c>
      <c r="ZQ44">
        <v>2</v>
      </c>
      <c r="ZR44">
        <v>2</v>
      </c>
      <c r="ZS44">
        <v>2</v>
      </c>
      <c r="ZT44">
        <v>2</v>
      </c>
      <c r="ZU44">
        <v>2</v>
      </c>
      <c r="ZV44">
        <v>2</v>
      </c>
      <c r="ZW44">
        <v>2</v>
      </c>
      <c r="ZX44">
        <v>2</v>
      </c>
      <c r="ZY44">
        <v>2</v>
      </c>
      <c r="ZZ44">
        <v>2</v>
      </c>
      <c r="AAA44">
        <v>2</v>
      </c>
      <c r="AAB44">
        <v>2</v>
      </c>
      <c r="AAC44">
        <v>2</v>
      </c>
      <c r="AAD44">
        <v>2</v>
      </c>
      <c r="AAE44">
        <v>2</v>
      </c>
      <c r="AAF44">
        <v>2</v>
      </c>
      <c r="AAG44">
        <v>2</v>
      </c>
      <c r="AAH44">
        <v>2</v>
      </c>
      <c r="AAI44">
        <v>2</v>
      </c>
      <c r="AAJ44">
        <v>2</v>
      </c>
      <c r="AAK44">
        <v>2</v>
      </c>
      <c r="AAL44">
        <v>2</v>
      </c>
      <c r="AAM44">
        <v>2</v>
      </c>
      <c r="AAN44">
        <v>2</v>
      </c>
      <c r="AAO44">
        <v>2</v>
      </c>
      <c r="AAP44">
        <v>2</v>
      </c>
      <c r="AAQ44">
        <v>2</v>
      </c>
      <c r="AAR44">
        <v>2</v>
      </c>
      <c r="AAS44">
        <v>2</v>
      </c>
      <c r="AAT44">
        <v>2</v>
      </c>
      <c r="AAU44">
        <v>2</v>
      </c>
      <c r="AAV44">
        <v>2</v>
      </c>
      <c r="AAW44">
        <v>2</v>
      </c>
      <c r="AAX44">
        <v>2</v>
      </c>
      <c r="AAY44">
        <v>2</v>
      </c>
      <c r="AAZ44">
        <v>2</v>
      </c>
      <c r="ABA44">
        <v>2</v>
      </c>
      <c r="ABB44">
        <v>2</v>
      </c>
      <c r="ABC44">
        <v>2</v>
      </c>
      <c r="ABD44">
        <v>2</v>
      </c>
      <c r="ABE44">
        <v>2</v>
      </c>
      <c r="ABG44" s="1137">
        <f t="shared" si="9"/>
        <v>0</v>
      </c>
      <c r="ABH44" s="1137">
        <f t="shared" si="9"/>
        <v>0</v>
      </c>
      <c r="ABI44" s="1137">
        <f t="shared" si="9"/>
        <v>12</v>
      </c>
      <c r="ABJ44" s="1137">
        <f t="shared" si="9"/>
        <v>30</v>
      </c>
      <c r="ABK44" s="1137">
        <f t="shared" si="9"/>
        <v>31</v>
      </c>
      <c r="ABL44" s="1137">
        <f t="shared" si="9"/>
        <v>30</v>
      </c>
      <c r="ABM44" s="1137">
        <f t="shared" si="9"/>
        <v>14</v>
      </c>
      <c r="ABN44" s="1137">
        <f t="shared" si="9"/>
        <v>0</v>
      </c>
      <c r="ABO44" s="1137">
        <f t="shared" si="9"/>
        <v>0</v>
      </c>
      <c r="ABP44" s="1137">
        <f t="shared" si="9"/>
        <v>20</v>
      </c>
      <c r="ABQ44" s="1137">
        <f t="shared" si="9"/>
        <v>30</v>
      </c>
      <c r="ABR44" s="1137">
        <f t="shared" si="9"/>
        <v>31</v>
      </c>
      <c r="ABS44" s="1137">
        <f t="shared" si="9"/>
        <v>31</v>
      </c>
      <c r="ABT44" s="1137">
        <f t="shared" si="9"/>
        <v>28</v>
      </c>
      <c r="ABU44" s="1137">
        <f t="shared" si="9"/>
        <v>31</v>
      </c>
      <c r="ABV44" s="1137">
        <f t="shared" si="9"/>
        <v>30</v>
      </c>
      <c r="ABW44" s="1137">
        <f t="shared" si="7"/>
        <v>31</v>
      </c>
      <c r="ABX44" s="1137">
        <f t="shared" si="7"/>
        <v>30</v>
      </c>
      <c r="ABY44" s="1137">
        <f t="shared" si="7"/>
        <v>31</v>
      </c>
      <c r="ABZ44" s="1137">
        <f t="shared" si="7"/>
        <v>31</v>
      </c>
      <c r="ACA44" s="1137">
        <f t="shared" si="7"/>
        <v>0</v>
      </c>
      <c r="ACB44" s="1137">
        <f t="shared" si="7"/>
        <v>31</v>
      </c>
      <c r="ACC44" s="1137">
        <f t="shared" si="7"/>
        <v>30</v>
      </c>
      <c r="ACD44" s="1137">
        <f t="shared" si="7"/>
        <v>31</v>
      </c>
      <c r="ACE44" s="1137" t="s">
        <v>1841</v>
      </c>
      <c r="ACF44" s="1137">
        <f t="shared" si="10"/>
        <v>0</v>
      </c>
      <c r="ACG44" s="1137">
        <f t="shared" si="10"/>
        <v>0</v>
      </c>
      <c r="ACH44" s="1137">
        <f t="shared" si="10"/>
        <v>1</v>
      </c>
      <c r="ACI44" s="1137">
        <f t="shared" si="10"/>
        <v>1</v>
      </c>
      <c r="ACJ44" s="1137">
        <f t="shared" si="10"/>
        <v>1</v>
      </c>
      <c r="ACK44" s="1137">
        <f t="shared" si="10"/>
        <v>1</v>
      </c>
      <c r="ACL44" s="1137">
        <f t="shared" si="10"/>
        <v>1</v>
      </c>
      <c r="ACM44" s="1137">
        <f t="shared" si="10"/>
        <v>0</v>
      </c>
      <c r="ACN44" s="1137">
        <f t="shared" si="10"/>
        <v>0</v>
      </c>
      <c r="ACO44" s="1137">
        <f t="shared" si="10"/>
        <v>1</v>
      </c>
      <c r="ACP44" s="1137">
        <f t="shared" si="10"/>
        <v>1</v>
      </c>
      <c r="ACQ44" s="1137">
        <f t="shared" si="10"/>
        <v>1</v>
      </c>
      <c r="ACR44" s="1137">
        <f t="shared" si="10"/>
        <v>1</v>
      </c>
      <c r="ACS44" s="1137">
        <f t="shared" si="10"/>
        <v>1</v>
      </c>
      <c r="ACT44" s="1137">
        <f t="shared" si="10"/>
        <v>1</v>
      </c>
      <c r="ACU44" s="1137">
        <f t="shared" si="10"/>
        <v>1</v>
      </c>
      <c r="ACV44" s="1137">
        <f t="shared" si="8"/>
        <v>1</v>
      </c>
      <c r="ACW44" s="1137">
        <f t="shared" si="8"/>
        <v>1</v>
      </c>
      <c r="ACX44" s="1137">
        <f t="shared" si="8"/>
        <v>1</v>
      </c>
      <c r="ACY44" s="1137">
        <f t="shared" si="8"/>
        <v>1</v>
      </c>
      <c r="ACZ44" s="1137">
        <f t="shared" si="8"/>
        <v>0</v>
      </c>
      <c r="ADA44" s="1137">
        <f t="shared" si="8"/>
        <v>1</v>
      </c>
      <c r="ADB44" s="1137">
        <f t="shared" si="8"/>
        <v>1</v>
      </c>
      <c r="ADC44" s="1137">
        <f t="shared" si="8"/>
        <v>1</v>
      </c>
    </row>
    <row r="45" spans="1:783" x14ac:dyDescent="0.25">
      <c r="A45" t="s">
        <v>1842</v>
      </c>
      <c r="B45" t="s">
        <v>165</v>
      </c>
      <c r="C45">
        <v>0</v>
      </c>
      <c r="D45">
        <v>0</v>
      </c>
      <c r="E45">
        <v>0</v>
      </c>
      <c r="F45">
        <v>0</v>
      </c>
      <c r="G45">
        <v>0</v>
      </c>
      <c r="H45">
        <v>0</v>
      </c>
      <c r="I45">
        <v>0</v>
      </c>
      <c r="J45">
        <v>0</v>
      </c>
      <c r="K45">
        <v>0</v>
      </c>
      <c r="L45">
        <v>0</v>
      </c>
      <c r="M45">
        <v>0</v>
      </c>
      <c r="N45">
        <v>0</v>
      </c>
      <c r="O45">
        <v>0</v>
      </c>
      <c r="P45">
        <v>0</v>
      </c>
      <c r="Q45">
        <v>0</v>
      </c>
      <c r="R45">
        <v>0</v>
      </c>
      <c r="S45">
        <v>0</v>
      </c>
      <c r="T45">
        <v>0</v>
      </c>
      <c r="U45">
        <v>0</v>
      </c>
      <c r="V45">
        <v>0</v>
      </c>
      <c r="W45">
        <v>0</v>
      </c>
      <c r="X45">
        <v>0</v>
      </c>
      <c r="Y45">
        <v>0</v>
      </c>
      <c r="Z45">
        <v>0</v>
      </c>
      <c r="AA45">
        <v>0</v>
      </c>
      <c r="AB45">
        <v>0</v>
      </c>
      <c r="AC45">
        <v>0</v>
      </c>
      <c r="AD45">
        <v>0</v>
      </c>
      <c r="AE45">
        <v>0</v>
      </c>
      <c r="AF45">
        <v>0</v>
      </c>
      <c r="AG45">
        <v>0</v>
      </c>
      <c r="AH45">
        <v>0</v>
      </c>
      <c r="AI45">
        <v>0</v>
      </c>
      <c r="AJ45">
        <v>0</v>
      </c>
      <c r="AK45">
        <v>0</v>
      </c>
      <c r="AL45">
        <v>0</v>
      </c>
      <c r="AM45">
        <v>0</v>
      </c>
      <c r="AN45">
        <v>0</v>
      </c>
      <c r="AO45">
        <v>0</v>
      </c>
      <c r="AP45">
        <v>0</v>
      </c>
      <c r="AQ45">
        <v>0</v>
      </c>
      <c r="AR45">
        <v>0</v>
      </c>
      <c r="AS45">
        <v>0</v>
      </c>
      <c r="AT45">
        <v>0</v>
      </c>
      <c r="AU45">
        <v>0</v>
      </c>
      <c r="AV45">
        <v>0</v>
      </c>
      <c r="AW45">
        <v>0</v>
      </c>
      <c r="AX45">
        <v>0</v>
      </c>
      <c r="AY45">
        <v>0</v>
      </c>
      <c r="AZ45">
        <v>0</v>
      </c>
      <c r="BA45">
        <v>0</v>
      </c>
      <c r="BB45">
        <v>0</v>
      </c>
      <c r="BC45">
        <v>0</v>
      </c>
      <c r="BD45">
        <v>0</v>
      </c>
      <c r="BE45">
        <v>0</v>
      </c>
      <c r="BF45">
        <v>0</v>
      </c>
      <c r="BG45">
        <v>0</v>
      </c>
      <c r="BH45">
        <v>0</v>
      </c>
      <c r="BI45">
        <v>0</v>
      </c>
      <c r="BJ45">
        <v>0</v>
      </c>
      <c r="BK45">
        <v>0</v>
      </c>
      <c r="BL45">
        <v>0</v>
      </c>
      <c r="BM45">
        <v>0</v>
      </c>
      <c r="BN45">
        <v>0</v>
      </c>
      <c r="BO45">
        <v>0</v>
      </c>
      <c r="BP45">
        <v>0</v>
      </c>
      <c r="BQ45">
        <v>0</v>
      </c>
      <c r="BR45">
        <v>0</v>
      </c>
      <c r="BS45">
        <v>0</v>
      </c>
      <c r="BT45">
        <v>0</v>
      </c>
      <c r="BU45">
        <v>0</v>
      </c>
      <c r="BV45">
        <v>0</v>
      </c>
      <c r="BW45">
        <v>0</v>
      </c>
      <c r="BX45">
        <v>0</v>
      </c>
      <c r="BY45">
        <v>0</v>
      </c>
      <c r="BZ45">
        <v>0</v>
      </c>
      <c r="CA45">
        <v>2</v>
      </c>
      <c r="CB45">
        <v>2</v>
      </c>
      <c r="CC45">
        <v>2</v>
      </c>
      <c r="CD45">
        <v>2</v>
      </c>
      <c r="CE45">
        <v>2</v>
      </c>
      <c r="CF45">
        <v>2</v>
      </c>
      <c r="CG45">
        <v>2</v>
      </c>
      <c r="CH45">
        <v>2</v>
      </c>
      <c r="CI45">
        <v>2</v>
      </c>
      <c r="CJ45">
        <v>2</v>
      </c>
      <c r="CK45">
        <v>2</v>
      </c>
      <c r="CL45">
        <v>2</v>
      </c>
      <c r="CM45">
        <v>2</v>
      </c>
      <c r="CN45">
        <v>2</v>
      </c>
      <c r="CO45">
        <v>2</v>
      </c>
      <c r="CP45">
        <v>2</v>
      </c>
      <c r="CQ45">
        <v>2</v>
      </c>
      <c r="CR45">
        <v>2</v>
      </c>
      <c r="CS45">
        <v>2</v>
      </c>
      <c r="CT45">
        <v>2</v>
      </c>
      <c r="CU45">
        <v>2</v>
      </c>
      <c r="CV45">
        <v>2</v>
      </c>
      <c r="CW45">
        <v>2</v>
      </c>
      <c r="CX45">
        <v>2</v>
      </c>
      <c r="CY45">
        <v>2</v>
      </c>
      <c r="CZ45">
        <v>2</v>
      </c>
      <c r="DA45">
        <v>2</v>
      </c>
      <c r="DB45">
        <v>2</v>
      </c>
      <c r="DC45">
        <v>2</v>
      </c>
      <c r="DD45">
        <v>2</v>
      </c>
      <c r="DE45">
        <v>2</v>
      </c>
      <c r="DF45">
        <v>2</v>
      </c>
      <c r="DG45">
        <v>2</v>
      </c>
      <c r="DH45">
        <v>2</v>
      </c>
      <c r="DI45">
        <v>2</v>
      </c>
      <c r="DJ45">
        <v>2</v>
      </c>
      <c r="DK45">
        <v>2</v>
      </c>
      <c r="DL45">
        <v>2</v>
      </c>
      <c r="DM45">
        <v>2</v>
      </c>
      <c r="DN45">
        <v>2</v>
      </c>
      <c r="DO45">
        <v>2</v>
      </c>
      <c r="DP45">
        <v>2</v>
      </c>
      <c r="DQ45">
        <v>2</v>
      </c>
      <c r="DR45">
        <v>2</v>
      </c>
      <c r="DS45">
        <v>2</v>
      </c>
      <c r="DT45">
        <v>2</v>
      </c>
      <c r="DU45">
        <v>2</v>
      </c>
      <c r="DV45">
        <v>2</v>
      </c>
      <c r="DW45">
        <v>2</v>
      </c>
      <c r="DX45">
        <v>2</v>
      </c>
      <c r="DY45">
        <v>2</v>
      </c>
      <c r="DZ45">
        <v>2</v>
      </c>
      <c r="EA45">
        <v>2</v>
      </c>
      <c r="EB45">
        <v>2</v>
      </c>
      <c r="EC45">
        <v>2</v>
      </c>
      <c r="ED45">
        <v>2</v>
      </c>
      <c r="EE45">
        <v>2</v>
      </c>
      <c r="EF45">
        <v>2</v>
      </c>
      <c r="EG45">
        <v>2</v>
      </c>
      <c r="EH45">
        <v>2</v>
      </c>
      <c r="EI45">
        <v>2</v>
      </c>
      <c r="EJ45">
        <v>2</v>
      </c>
      <c r="EK45">
        <v>2</v>
      </c>
      <c r="EL45">
        <v>2</v>
      </c>
      <c r="EM45">
        <v>2</v>
      </c>
      <c r="EN45">
        <v>2</v>
      </c>
      <c r="EO45">
        <v>2</v>
      </c>
      <c r="EP45">
        <v>2</v>
      </c>
      <c r="EQ45">
        <v>2</v>
      </c>
      <c r="ER45">
        <v>2</v>
      </c>
      <c r="ES45">
        <v>2</v>
      </c>
      <c r="ET45">
        <v>2</v>
      </c>
      <c r="EU45">
        <v>2</v>
      </c>
      <c r="EV45">
        <v>2</v>
      </c>
      <c r="EW45">
        <v>2</v>
      </c>
      <c r="EX45">
        <v>2</v>
      </c>
      <c r="EY45">
        <v>2</v>
      </c>
      <c r="EZ45">
        <v>2</v>
      </c>
      <c r="FA45">
        <v>2</v>
      </c>
      <c r="FB45">
        <v>2</v>
      </c>
      <c r="FC45">
        <v>2</v>
      </c>
      <c r="FD45">
        <v>2</v>
      </c>
      <c r="FE45">
        <v>2</v>
      </c>
      <c r="FF45">
        <v>2</v>
      </c>
      <c r="FG45">
        <v>2</v>
      </c>
      <c r="FH45">
        <v>2</v>
      </c>
      <c r="FI45">
        <v>2</v>
      </c>
      <c r="FJ45">
        <v>2</v>
      </c>
      <c r="FK45">
        <v>2</v>
      </c>
      <c r="FL45">
        <v>2</v>
      </c>
      <c r="FM45">
        <v>2</v>
      </c>
      <c r="FN45">
        <v>2</v>
      </c>
      <c r="FO45">
        <v>2</v>
      </c>
      <c r="FP45">
        <v>2</v>
      </c>
      <c r="FQ45">
        <v>2</v>
      </c>
      <c r="FR45">
        <v>2</v>
      </c>
      <c r="FS45">
        <v>2</v>
      </c>
      <c r="FT45">
        <v>2</v>
      </c>
      <c r="FU45">
        <v>2</v>
      </c>
      <c r="FV45">
        <v>2</v>
      </c>
      <c r="FW45">
        <v>2</v>
      </c>
      <c r="FX45">
        <v>2</v>
      </c>
      <c r="FY45">
        <v>2</v>
      </c>
      <c r="FZ45">
        <v>2</v>
      </c>
      <c r="GA45">
        <v>2</v>
      </c>
      <c r="GB45">
        <v>2</v>
      </c>
      <c r="GC45">
        <v>2</v>
      </c>
      <c r="GD45">
        <v>2</v>
      </c>
      <c r="GE45">
        <v>2</v>
      </c>
      <c r="GF45">
        <v>2</v>
      </c>
      <c r="GG45">
        <v>2</v>
      </c>
      <c r="GH45">
        <v>2</v>
      </c>
      <c r="GI45">
        <v>2</v>
      </c>
      <c r="GJ45">
        <v>2</v>
      </c>
      <c r="GK45">
        <v>2</v>
      </c>
      <c r="GL45">
        <v>2</v>
      </c>
      <c r="GM45">
        <v>2</v>
      </c>
      <c r="GN45">
        <v>2</v>
      </c>
      <c r="GO45">
        <v>2</v>
      </c>
      <c r="GP45">
        <v>2</v>
      </c>
      <c r="GQ45">
        <v>2</v>
      </c>
      <c r="GR45">
        <v>2</v>
      </c>
      <c r="GS45">
        <v>2</v>
      </c>
      <c r="GT45">
        <v>2</v>
      </c>
      <c r="GU45">
        <v>2</v>
      </c>
      <c r="GV45">
        <v>2</v>
      </c>
      <c r="GW45">
        <v>2</v>
      </c>
      <c r="GX45">
        <v>2</v>
      </c>
      <c r="GY45">
        <v>2</v>
      </c>
      <c r="GZ45">
        <v>2</v>
      </c>
      <c r="HA45">
        <v>2</v>
      </c>
      <c r="HB45">
        <v>2</v>
      </c>
      <c r="HC45">
        <v>2</v>
      </c>
      <c r="HD45">
        <v>2</v>
      </c>
      <c r="HE45">
        <v>2</v>
      </c>
      <c r="HF45">
        <v>2</v>
      </c>
      <c r="HG45">
        <v>2</v>
      </c>
      <c r="HH45">
        <v>2</v>
      </c>
      <c r="HI45">
        <v>2</v>
      </c>
      <c r="HJ45">
        <v>2</v>
      </c>
      <c r="HK45">
        <v>2</v>
      </c>
      <c r="HL45">
        <v>2</v>
      </c>
      <c r="HM45">
        <v>2</v>
      </c>
      <c r="HN45">
        <v>2</v>
      </c>
      <c r="HO45">
        <v>2</v>
      </c>
      <c r="HP45">
        <v>2</v>
      </c>
      <c r="HQ45">
        <v>2</v>
      </c>
      <c r="HR45">
        <v>2</v>
      </c>
      <c r="HS45">
        <v>2</v>
      </c>
      <c r="HT45">
        <v>2</v>
      </c>
      <c r="HU45">
        <v>2</v>
      </c>
      <c r="HV45">
        <v>2</v>
      </c>
      <c r="HW45">
        <v>2</v>
      </c>
      <c r="HX45">
        <v>2</v>
      </c>
      <c r="HY45">
        <v>2</v>
      </c>
      <c r="HZ45">
        <v>2</v>
      </c>
      <c r="IA45">
        <v>2</v>
      </c>
      <c r="IB45">
        <v>2</v>
      </c>
      <c r="IC45">
        <v>2</v>
      </c>
      <c r="ID45">
        <v>2</v>
      </c>
      <c r="IE45">
        <v>2</v>
      </c>
      <c r="IF45">
        <v>2</v>
      </c>
      <c r="IG45">
        <v>2</v>
      </c>
      <c r="IH45">
        <v>2</v>
      </c>
      <c r="II45">
        <v>0</v>
      </c>
      <c r="IJ45">
        <v>0</v>
      </c>
      <c r="IK45">
        <v>0</v>
      </c>
      <c r="IL45">
        <v>0</v>
      </c>
      <c r="IM45">
        <v>0</v>
      </c>
      <c r="IN45">
        <v>0</v>
      </c>
      <c r="IO45">
        <v>0</v>
      </c>
      <c r="IP45">
        <v>0</v>
      </c>
      <c r="IQ45">
        <v>0</v>
      </c>
      <c r="IR45">
        <v>0</v>
      </c>
      <c r="IS45">
        <v>0</v>
      </c>
      <c r="IT45">
        <v>0</v>
      </c>
      <c r="IU45">
        <v>0</v>
      </c>
      <c r="IV45">
        <v>0</v>
      </c>
      <c r="IW45">
        <v>0</v>
      </c>
      <c r="IX45">
        <v>0</v>
      </c>
      <c r="IY45">
        <v>0</v>
      </c>
      <c r="IZ45">
        <v>0</v>
      </c>
      <c r="JA45">
        <v>0</v>
      </c>
      <c r="JB45">
        <v>0</v>
      </c>
      <c r="JC45">
        <v>0</v>
      </c>
      <c r="JD45">
        <v>0</v>
      </c>
      <c r="JE45">
        <v>0</v>
      </c>
      <c r="JF45">
        <v>0</v>
      </c>
      <c r="JG45">
        <v>0</v>
      </c>
      <c r="JH45">
        <v>0</v>
      </c>
      <c r="JI45">
        <v>0</v>
      </c>
      <c r="JJ45">
        <v>0</v>
      </c>
      <c r="JK45">
        <v>0</v>
      </c>
      <c r="JL45">
        <v>0</v>
      </c>
      <c r="JM45">
        <v>0</v>
      </c>
      <c r="JN45">
        <v>0</v>
      </c>
      <c r="JO45">
        <v>0</v>
      </c>
      <c r="JP45">
        <v>0</v>
      </c>
      <c r="JQ45">
        <v>0</v>
      </c>
      <c r="JR45">
        <v>0</v>
      </c>
      <c r="JS45">
        <v>0</v>
      </c>
      <c r="JT45">
        <v>0</v>
      </c>
      <c r="JU45">
        <v>0</v>
      </c>
      <c r="JV45">
        <v>0</v>
      </c>
      <c r="JW45">
        <v>0</v>
      </c>
      <c r="JX45">
        <v>0</v>
      </c>
      <c r="JY45">
        <v>0</v>
      </c>
      <c r="JZ45">
        <v>0</v>
      </c>
      <c r="KA45">
        <v>0</v>
      </c>
      <c r="KB45">
        <v>0</v>
      </c>
      <c r="KC45">
        <v>0</v>
      </c>
      <c r="KD45">
        <v>0</v>
      </c>
      <c r="KE45">
        <v>0</v>
      </c>
      <c r="KF45">
        <v>0</v>
      </c>
      <c r="KG45">
        <v>0</v>
      </c>
      <c r="KH45">
        <v>0</v>
      </c>
      <c r="KI45">
        <v>0</v>
      </c>
      <c r="KJ45">
        <v>0</v>
      </c>
      <c r="KK45">
        <v>0</v>
      </c>
      <c r="KL45">
        <v>0</v>
      </c>
      <c r="KM45">
        <v>0</v>
      </c>
      <c r="KN45">
        <v>0</v>
      </c>
      <c r="KO45">
        <v>0</v>
      </c>
      <c r="KP45">
        <v>0</v>
      </c>
      <c r="KQ45">
        <v>0</v>
      </c>
      <c r="KR45">
        <v>0</v>
      </c>
      <c r="KS45">
        <v>0</v>
      </c>
      <c r="KT45">
        <v>0</v>
      </c>
      <c r="KU45">
        <v>0</v>
      </c>
      <c r="KV45">
        <v>0</v>
      </c>
      <c r="KW45">
        <v>0</v>
      </c>
      <c r="KX45">
        <v>0</v>
      </c>
      <c r="KY45">
        <v>0</v>
      </c>
      <c r="KZ45">
        <v>0</v>
      </c>
      <c r="LA45">
        <v>0</v>
      </c>
      <c r="LB45">
        <v>0</v>
      </c>
      <c r="LC45">
        <v>0</v>
      </c>
      <c r="LD45">
        <v>0</v>
      </c>
      <c r="LE45">
        <v>0</v>
      </c>
      <c r="LF45">
        <v>0</v>
      </c>
      <c r="LG45">
        <v>0</v>
      </c>
      <c r="LH45">
        <v>0</v>
      </c>
      <c r="LI45">
        <v>0</v>
      </c>
      <c r="LJ45">
        <v>0</v>
      </c>
      <c r="LK45">
        <v>0</v>
      </c>
      <c r="LL45">
        <v>0</v>
      </c>
      <c r="LM45">
        <v>0</v>
      </c>
      <c r="LN45">
        <v>0</v>
      </c>
      <c r="LO45">
        <v>0</v>
      </c>
      <c r="LP45">
        <v>0</v>
      </c>
      <c r="LQ45">
        <v>0</v>
      </c>
      <c r="LR45">
        <v>0</v>
      </c>
      <c r="LS45">
        <v>0</v>
      </c>
      <c r="LT45">
        <v>0</v>
      </c>
      <c r="LU45">
        <v>0</v>
      </c>
      <c r="LV45">
        <v>0</v>
      </c>
      <c r="LW45">
        <v>0</v>
      </c>
      <c r="LX45">
        <v>0</v>
      </c>
      <c r="LY45">
        <v>0</v>
      </c>
      <c r="LZ45">
        <v>0</v>
      </c>
      <c r="MA45">
        <v>0</v>
      </c>
      <c r="MB45">
        <v>0</v>
      </c>
      <c r="MC45">
        <v>0</v>
      </c>
      <c r="MD45">
        <v>0</v>
      </c>
      <c r="ME45">
        <v>0</v>
      </c>
      <c r="MF45">
        <v>0</v>
      </c>
      <c r="MG45">
        <v>0</v>
      </c>
      <c r="MH45">
        <v>0</v>
      </c>
      <c r="MI45">
        <v>0</v>
      </c>
      <c r="MJ45">
        <v>0</v>
      </c>
      <c r="MK45">
        <v>0</v>
      </c>
      <c r="ML45">
        <v>0</v>
      </c>
      <c r="MM45">
        <v>0</v>
      </c>
      <c r="MN45">
        <v>0</v>
      </c>
      <c r="MO45">
        <v>0</v>
      </c>
      <c r="MP45">
        <v>0</v>
      </c>
      <c r="MQ45">
        <v>0</v>
      </c>
      <c r="MR45">
        <v>0</v>
      </c>
      <c r="MS45">
        <v>0</v>
      </c>
      <c r="MT45">
        <v>0</v>
      </c>
      <c r="MU45">
        <v>0</v>
      </c>
      <c r="MV45">
        <v>0</v>
      </c>
      <c r="MW45">
        <v>0</v>
      </c>
      <c r="MX45">
        <v>0</v>
      </c>
      <c r="MY45">
        <v>0</v>
      </c>
      <c r="MZ45">
        <v>0</v>
      </c>
      <c r="NA45">
        <v>0</v>
      </c>
      <c r="NB45">
        <v>0</v>
      </c>
      <c r="NC45">
        <v>0</v>
      </c>
      <c r="ND45">
        <v>2</v>
      </c>
      <c r="NE45">
        <v>2</v>
      </c>
      <c r="NF45">
        <v>2</v>
      </c>
      <c r="NG45">
        <v>2</v>
      </c>
      <c r="NH45">
        <v>2</v>
      </c>
      <c r="NI45">
        <v>2</v>
      </c>
      <c r="NJ45">
        <v>2</v>
      </c>
      <c r="NK45">
        <v>2</v>
      </c>
      <c r="NL45">
        <v>2</v>
      </c>
      <c r="NM45">
        <v>2</v>
      </c>
      <c r="NN45">
        <v>2</v>
      </c>
      <c r="NO45">
        <v>2</v>
      </c>
      <c r="NP45">
        <v>2</v>
      </c>
      <c r="NQ45">
        <v>2</v>
      </c>
      <c r="NR45">
        <v>2</v>
      </c>
      <c r="NS45">
        <v>2</v>
      </c>
      <c r="NT45">
        <v>2</v>
      </c>
      <c r="NU45">
        <v>2</v>
      </c>
      <c r="NV45">
        <v>2</v>
      </c>
      <c r="NW45">
        <v>2</v>
      </c>
      <c r="NX45">
        <v>2</v>
      </c>
      <c r="NY45">
        <v>2</v>
      </c>
      <c r="NZ45">
        <v>2</v>
      </c>
      <c r="OA45">
        <v>2</v>
      </c>
      <c r="OB45">
        <v>2</v>
      </c>
      <c r="OC45">
        <v>2</v>
      </c>
      <c r="OD45">
        <v>2</v>
      </c>
      <c r="OE45">
        <v>2</v>
      </c>
      <c r="OF45">
        <v>2</v>
      </c>
      <c r="OG45">
        <v>2</v>
      </c>
      <c r="OH45">
        <v>2</v>
      </c>
      <c r="OI45">
        <v>2</v>
      </c>
      <c r="OJ45">
        <v>2</v>
      </c>
      <c r="OK45">
        <v>2</v>
      </c>
      <c r="OL45">
        <v>2</v>
      </c>
      <c r="OM45">
        <v>2</v>
      </c>
      <c r="ON45">
        <v>2</v>
      </c>
      <c r="OO45">
        <v>2</v>
      </c>
      <c r="OP45">
        <v>2</v>
      </c>
      <c r="OQ45">
        <v>2</v>
      </c>
      <c r="OR45">
        <v>2</v>
      </c>
      <c r="OS45">
        <v>2</v>
      </c>
      <c r="OT45">
        <v>2</v>
      </c>
      <c r="OU45">
        <v>2</v>
      </c>
      <c r="OV45">
        <v>2</v>
      </c>
      <c r="OW45">
        <v>2</v>
      </c>
      <c r="OX45">
        <v>2</v>
      </c>
      <c r="OY45">
        <v>2</v>
      </c>
      <c r="OZ45">
        <v>2</v>
      </c>
      <c r="PA45">
        <v>2</v>
      </c>
      <c r="PB45">
        <v>2</v>
      </c>
      <c r="PC45">
        <v>2</v>
      </c>
      <c r="PD45">
        <v>2</v>
      </c>
      <c r="PE45">
        <v>2</v>
      </c>
      <c r="PF45">
        <v>2</v>
      </c>
      <c r="PG45">
        <v>2</v>
      </c>
      <c r="PH45">
        <v>2</v>
      </c>
      <c r="PI45">
        <v>2</v>
      </c>
      <c r="PJ45">
        <v>2</v>
      </c>
      <c r="PK45">
        <v>2</v>
      </c>
      <c r="PL45">
        <v>2</v>
      </c>
      <c r="PM45">
        <v>2</v>
      </c>
      <c r="PN45">
        <v>2</v>
      </c>
      <c r="PO45">
        <v>2</v>
      </c>
      <c r="PP45">
        <v>2</v>
      </c>
      <c r="PQ45">
        <v>2</v>
      </c>
      <c r="PR45">
        <v>2</v>
      </c>
      <c r="PS45">
        <v>2</v>
      </c>
      <c r="PT45">
        <v>2</v>
      </c>
      <c r="PU45">
        <v>2</v>
      </c>
      <c r="PV45">
        <v>2</v>
      </c>
      <c r="PW45">
        <v>2</v>
      </c>
      <c r="PX45">
        <v>2</v>
      </c>
      <c r="PY45">
        <v>2</v>
      </c>
      <c r="PZ45">
        <v>2</v>
      </c>
      <c r="QA45">
        <v>2</v>
      </c>
      <c r="QB45">
        <v>2</v>
      </c>
      <c r="QC45">
        <v>2</v>
      </c>
      <c r="QD45">
        <v>2</v>
      </c>
      <c r="QE45">
        <v>2</v>
      </c>
      <c r="QF45">
        <v>2</v>
      </c>
      <c r="QG45">
        <v>2</v>
      </c>
      <c r="QH45">
        <v>2</v>
      </c>
      <c r="QI45">
        <v>2</v>
      </c>
      <c r="QJ45">
        <v>2</v>
      </c>
      <c r="QK45">
        <v>2</v>
      </c>
      <c r="QL45">
        <v>2</v>
      </c>
      <c r="QM45">
        <v>2</v>
      </c>
      <c r="QN45">
        <v>2</v>
      </c>
      <c r="QO45">
        <v>2</v>
      </c>
      <c r="QP45">
        <v>2</v>
      </c>
      <c r="QQ45">
        <v>2</v>
      </c>
      <c r="QR45">
        <v>2</v>
      </c>
      <c r="QS45">
        <v>2</v>
      </c>
      <c r="QT45">
        <v>2</v>
      </c>
      <c r="QU45">
        <v>2</v>
      </c>
      <c r="QV45">
        <v>2</v>
      </c>
      <c r="QW45">
        <v>2</v>
      </c>
      <c r="QX45">
        <v>2</v>
      </c>
      <c r="QY45">
        <v>2</v>
      </c>
      <c r="QZ45">
        <v>2</v>
      </c>
      <c r="RA45">
        <v>2</v>
      </c>
      <c r="RB45">
        <v>2</v>
      </c>
      <c r="RC45">
        <v>2</v>
      </c>
      <c r="RD45">
        <v>2</v>
      </c>
      <c r="RE45">
        <v>2</v>
      </c>
      <c r="RF45">
        <v>2</v>
      </c>
      <c r="RG45">
        <v>2</v>
      </c>
      <c r="RH45">
        <v>2</v>
      </c>
      <c r="RI45">
        <v>2</v>
      </c>
      <c r="RJ45">
        <v>2</v>
      </c>
      <c r="RK45">
        <v>2</v>
      </c>
      <c r="RL45">
        <v>2</v>
      </c>
      <c r="RM45">
        <v>2</v>
      </c>
      <c r="RN45">
        <v>2</v>
      </c>
      <c r="RO45">
        <v>2</v>
      </c>
      <c r="RP45">
        <v>2</v>
      </c>
      <c r="RQ45">
        <v>2</v>
      </c>
      <c r="RR45">
        <v>2</v>
      </c>
      <c r="RS45">
        <v>2</v>
      </c>
      <c r="RT45">
        <v>2</v>
      </c>
      <c r="RU45">
        <v>2</v>
      </c>
      <c r="RV45">
        <v>2</v>
      </c>
      <c r="RW45">
        <v>2</v>
      </c>
      <c r="RX45">
        <v>2</v>
      </c>
      <c r="RY45">
        <v>2</v>
      </c>
      <c r="RZ45">
        <v>2</v>
      </c>
      <c r="SA45">
        <v>2</v>
      </c>
      <c r="SB45">
        <v>2</v>
      </c>
      <c r="SC45">
        <v>2</v>
      </c>
      <c r="SD45">
        <v>2</v>
      </c>
      <c r="SE45">
        <v>2</v>
      </c>
      <c r="SF45">
        <v>2</v>
      </c>
      <c r="SG45">
        <v>2</v>
      </c>
      <c r="SH45">
        <v>2</v>
      </c>
      <c r="SI45">
        <v>2</v>
      </c>
      <c r="SJ45">
        <v>2</v>
      </c>
      <c r="SK45">
        <v>2</v>
      </c>
      <c r="SL45">
        <v>2</v>
      </c>
      <c r="SM45">
        <v>2</v>
      </c>
      <c r="SN45">
        <v>2</v>
      </c>
      <c r="SO45">
        <v>2</v>
      </c>
      <c r="SP45">
        <v>2</v>
      </c>
      <c r="SQ45">
        <v>2</v>
      </c>
      <c r="SR45">
        <v>2</v>
      </c>
      <c r="SS45">
        <v>2</v>
      </c>
      <c r="ST45">
        <v>2</v>
      </c>
      <c r="SU45">
        <v>2</v>
      </c>
      <c r="SV45">
        <v>2</v>
      </c>
      <c r="SW45">
        <v>2</v>
      </c>
      <c r="SX45">
        <v>2</v>
      </c>
      <c r="SY45">
        <v>2</v>
      </c>
      <c r="SZ45">
        <v>2</v>
      </c>
      <c r="TA45">
        <v>2</v>
      </c>
      <c r="TB45">
        <v>2</v>
      </c>
      <c r="TC45">
        <v>2</v>
      </c>
      <c r="TD45">
        <v>2</v>
      </c>
      <c r="TE45">
        <v>2</v>
      </c>
      <c r="TF45">
        <v>2</v>
      </c>
      <c r="TG45">
        <v>0</v>
      </c>
      <c r="TH45">
        <v>0</v>
      </c>
      <c r="TI45">
        <v>0</v>
      </c>
      <c r="TJ45">
        <v>0</v>
      </c>
      <c r="TK45">
        <v>0</v>
      </c>
      <c r="TL45">
        <v>0</v>
      </c>
      <c r="TM45">
        <v>0</v>
      </c>
      <c r="TN45">
        <v>0</v>
      </c>
      <c r="TO45">
        <v>0</v>
      </c>
      <c r="TP45">
        <v>0</v>
      </c>
      <c r="TQ45">
        <v>0</v>
      </c>
      <c r="TR45">
        <v>0</v>
      </c>
      <c r="TS45">
        <v>0</v>
      </c>
      <c r="TT45">
        <v>0</v>
      </c>
      <c r="TU45">
        <v>0</v>
      </c>
      <c r="TV45">
        <v>0</v>
      </c>
      <c r="TW45">
        <v>0</v>
      </c>
      <c r="TX45">
        <v>0</v>
      </c>
      <c r="TY45">
        <v>0</v>
      </c>
      <c r="TZ45">
        <v>0</v>
      </c>
      <c r="UA45">
        <v>0</v>
      </c>
      <c r="UB45">
        <v>0</v>
      </c>
      <c r="UC45">
        <v>0</v>
      </c>
      <c r="UD45">
        <v>0</v>
      </c>
      <c r="UE45">
        <v>0</v>
      </c>
      <c r="UF45">
        <v>0</v>
      </c>
      <c r="UG45">
        <v>0</v>
      </c>
      <c r="UH45">
        <v>0</v>
      </c>
      <c r="UI45">
        <v>0</v>
      </c>
      <c r="UJ45">
        <v>0</v>
      </c>
      <c r="UK45">
        <v>0</v>
      </c>
      <c r="UL45">
        <v>0</v>
      </c>
      <c r="UM45">
        <v>0</v>
      </c>
      <c r="UN45">
        <v>0</v>
      </c>
      <c r="UO45">
        <v>1</v>
      </c>
      <c r="UP45">
        <v>1</v>
      </c>
      <c r="UQ45">
        <v>1</v>
      </c>
      <c r="UR45">
        <v>1</v>
      </c>
      <c r="US45">
        <v>1</v>
      </c>
      <c r="UT45">
        <v>1</v>
      </c>
      <c r="UU45">
        <v>1</v>
      </c>
      <c r="UV45">
        <v>1</v>
      </c>
      <c r="UW45">
        <v>1</v>
      </c>
      <c r="UX45">
        <v>1</v>
      </c>
      <c r="UY45">
        <v>1</v>
      </c>
      <c r="UZ45">
        <v>1</v>
      </c>
      <c r="VA45">
        <v>1</v>
      </c>
      <c r="VB45">
        <v>1</v>
      </c>
      <c r="VC45">
        <v>1</v>
      </c>
      <c r="VD45">
        <v>1</v>
      </c>
      <c r="VE45">
        <v>1</v>
      </c>
      <c r="VF45">
        <v>1</v>
      </c>
      <c r="VG45">
        <v>1</v>
      </c>
      <c r="VH45">
        <v>1</v>
      </c>
      <c r="VI45">
        <v>1</v>
      </c>
      <c r="VJ45">
        <v>1</v>
      </c>
      <c r="VK45">
        <v>1</v>
      </c>
      <c r="VL45">
        <v>1</v>
      </c>
      <c r="VM45">
        <v>1</v>
      </c>
      <c r="VN45">
        <v>1</v>
      </c>
      <c r="VO45">
        <v>1</v>
      </c>
      <c r="VP45">
        <v>1</v>
      </c>
      <c r="VQ45">
        <v>1</v>
      </c>
      <c r="VR45">
        <v>1</v>
      </c>
      <c r="VS45">
        <v>1</v>
      </c>
      <c r="VT45">
        <v>1</v>
      </c>
      <c r="VU45">
        <v>1</v>
      </c>
      <c r="VV45">
        <v>1</v>
      </c>
      <c r="VW45">
        <v>1</v>
      </c>
      <c r="VX45">
        <v>1</v>
      </c>
      <c r="VY45">
        <v>1</v>
      </c>
      <c r="VZ45">
        <v>1</v>
      </c>
      <c r="WA45">
        <v>1</v>
      </c>
      <c r="WB45">
        <v>1</v>
      </c>
      <c r="WC45">
        <v>1</v>
      </c>
      <c r="WD45">
        <v>1</v>
      </c>
      <c r="WE45">
        <v>1</v>
      </c>
      <c r="WF45">
        <v>1</v>
      </c>
      <c r="WG45">
        <v>1</v>
      </c>
      <c r="WH45">
        <v>1</v>
      </c>
      <c r="WI45">
        <v>1</v>
      </c>
      <c r="WJ45">
        <v>1</v>
      </c>
      <c r="WK45">
        <v>1</v>
      </c>
      <c r="WL45">
        <v>1</v>
      </c>
      <c r="WM45">
        <v>1</v>
      </c>
      <c r="WN45">
        <v>1</v>
      </c>
      <c r="WO45">
        <v>1</v>
      </c>
      <c r="WP45">
        <v>1</v>
      </c>
      <c r="WQ45">
        <v>1</v>
      </c>
      <c r="WR45">
        <v>1</v>
      </c>
      <c r="WS45">
        <v>1</v>
      </c>
      <c r="WT45">
        <v>1</v>
      </c>
      <c r="WU45">
        <v>1</v>
      </c>
      <c r="WV45">
        <v>1</v>
      </c>
      <c r="WW45">
        <v>1</v>
      </c>
      <c r="WX45">
        <v>1</v>
      </c>
      <c r="WY45">
        <v>1</v>
      </c>
      <c r="WZ45">
        <v>1</v>
      </c>
      <c r="XA45">
        <v>1</v>
      </c>
      <c r="XB45">
        <v>1</v>
      </c>
      <c r="XC45">
        <v>1</v>
      </c>
      <c r="XD45">
        <v>1</v>
      </c>
      <c r="XE45">
        <v>1</v>
      </c>
      <c r="XF45">
        <v>1</v>
      </c>
      <c r="XG45">
        <v>1</v>
      </c>
      <c r="XH45">
        <v>1</v>
      </c>
      <c r="XI45">
        <v>1</v>
      </c>
      <c r="XJ45">
        <v>1</v>
      </c>
      <c r="XK45">
        <v>1</v>
      </c>
      <c r="XL45">
        <v>1</v>
      </c>
      <c r="XM45">
        <v>1</v>
      </c>
      <c r="XN45">
        <v>1</v>
      </c>
      <c r="XO45">
        <v>1</v>
      </c>
      <c r="XP45">
        <v>1</v>
      </c>
      <c r="XQ45">
        <v>1</v>
      </c>
      <c r="XR45">
        <v>1</v>
      </c>
      <c r="XS45">
        <v>1</v>
      </c>
      <c r="XT45">
        <v>1</v>
      </c>
      <c r="XU45">
        <v>1</v>
      </c>
      <c r="XV45">
        <v>1</v>
      </c>
      <c r="XW45">
        <v>1</v>
      </c>
      <c r="XX45">
        <v>1</v>
      </c>
      <c r="XY45">
        <v>1</v>
      </c>
      <c r="XZ45">
        <v>1</v>
      </c>
      <c r="YA45">
        <v>1</v>
      </c>
      <c r="YB45">
        <v>1</v>
      </c>
      <c r="YC45">
        <v>1</v>
      </c>
      <c r="YD45">
        <v>1</v>
      </c>
      <c r="YE45">
        <v>1</v>
      </c>
      <c r="YF45">
        <v>1</v>
      </c>
      <c r="YG45">
        <v>1</v>
      </c>
      <c r="YH45">
        <v>1</v>
      </c>
      <c r="YI45">
        <v>1</v>
      </c>
      <c r="YJ45">
        <v>1</v>
      </c>
      <c r="YK45">
        <v>1</v>
      </c>
      <c r="YL45">
        <v>1</v>
      </c>
      <c r="YM45">
        <v>1</v>
      </c>
      <c r="YN45">
        <v>1</v>
      </c>
      <c r="YO45">
        <v>1</v>
      </c>
      <c r="YP45">
        <v>1</v>
      </c>
      <c r="YQ45">
        <v>1</v>
      </c>
      <c r="YR45">
        <v>1</v>
      </c>
      <c r="YS45">
        <v>1</v>
      </c>
      <c r="YT45">
        <v>1</v>
      </c>
      <c r="YU45">
        <v>1</v>
      </c>
      <c r="YV45">
        <v>1</v>
      </c>
      <c r="YW45">
        <v>1</v>
      </c>
      <c r="YX45">
        <v>1</v>
      </c>
      <c r="YY45">
        <v>1</v>
      </c>
      <c r="YZ45">
        <v>1</v>
      </c>
      <c r="ZA45">
        <v>1</v>
      </c>
      <c r="ZB45">
        <v>1</v>
      </c>
      <c r="ZC45">
        <v>1</v>
      </c>
      <c r="ZD45">
        <v>1</v>
      </c>
      <c r="ZE45">
        <v>1</v>
      </c>
      <c r="ZF45">
        <v>1</v>
      </c>
      <c r="ZG45">
        <v>1</v>
      </c>
      <c r="ZH45">
        <v>1</v>
      </c>
      <c r="ZI45">
        <v>1</v>
      </c>
      <c r="ZJ45">
        <v>1</v>
      </c>
      <c r="ZK45">
        <v>1</v>
      </c>
      <c r="ZL45">
        <v>1</v>
      </c>
      <c r="ZM45">
        <v>1</v>
      </c>
      <c r="ZN45">
        <v>1</v>
      </c>
      <c r="ZO45">
        <v>0</v>
      </c>
      <c r="ZP45">
        <v>0</v>
      </c>
      <c r="ZQ45">
        <v>0</v>
      </c>
      <c r="ZR45">
        <v>0</v>
      </c>
      <c r="ZS45">
        <v>0</v>
      </c>
      <c r="ZT45">
        <v>0</v>
      </c>
      <c r="ZU45">
        <v>0</v>
      </c>
      <c r="ZV45">
        <v>0</v>
      </c>
      <c r="ZW45">
        <v>0</v>
      </c>
      <c r="ZX45">
        <v>0</v>
      </c>
      <c r="ZY45">
        <v>0</v>
      </c>
      <c r="ZZ45">
        <v>0</v>
      </c>
      <c r="AAA45">
        <v>0</v>
      </c>
      <c r="AAB45">
        <v>0</v>
      </c>
      <c r="AAC45">
        <v>0</v>
      </c>
      <c r="AAD45">
        <v>0</v>
      </c>
      <c r="AAE45">
        <v>0</v>
      </c>
      <c r="AAF45">
        <v>0</v>
      </c>
      <c r="AAG45">
        <v>0</v>
      </c>
      <c r="AAH45">
        <v>0</v>
      </c>
      <c r="AAI45">
        <v>0</v>
      </c>
      <c r="AAJ45">
        <v>0</v>
      </c>
      <c r="AAK45">
        <v>0</v>
      </c>
      <c r="AAL45">
        <v>0</v>
      </c>
      <c r="AAM45">
        <v>0</v>
      </c>
      <c r="AAN45">
        <v>0</v>
      </c>
      <c r="AAO45">
        <v>0</v>
      </c>
      <c r="AAP45">
        <v>0</v>
      </c>
      <c r="AAQ45">
        <v>0</v>
      </c>
      <c r="AAR45">
        <v>0</v>
      </c>
      <c r="AAS45">
        <v>0</v>
      </c>
      <c r="AAT45">
        <v>0</v>
      </c>
      <c r="AAU45">
        <v>0</v>
      </c>
      <c r="AAV45">
        <v>0</v>
      </c>
      <c r="AAW45">
        <v>0</v>
      </c>
      <c r="AAX45">
        <v>0</v>
      </c>
      <c r="AAY45">
        <v>0</v>
      </c>
      <c r="AAZ45">
        <v>0</v>
      </c>
      <c r="ABA45">
        <v>0</v>
      </c>
      <c r="ABB45">
        <v>0</v>
      </c>
      <c r="ABC45">
        <v>0</v>
      </c>
      <c r="ABD45">
        <v>0</v>
      </c>
      <c r="ABE45">
        <v>0</v>
      </c>
      <c r="ABG45" s="1137">
        <f t="shared" si="9"/>
        <v>0</v>
      </c>
      <c r="ABH45" s="1137">
        <f t="shared" si="9"/>
        <v>0</v>
      </c>
      <c r="ABI45" s="1137">
        <f t="shared" si="9"/>
        <v>15</v>
      </c>
      <c r="ABJ45" s="1137">
        <f t="shared" si="9"/>
        <v>30</v>
      </c>
      <c r="ABK45" s="1137">
        <f t="shared" si="9"/>
        <v>31</v>
      </c>
      <c r="ABL45" s="1137">
        <f t="shared" si="9"/>
        <v>30</v>
      </c>
      <c r="ABM45" s="1137">
        <f t="shared" si="9"/>
        <v>31</v>
      </c>
      <c r="ABN45" s="1137">
        <f t="shared" si="9"/>
        <v>27</v>
      </c>
      <c r="ABO45" s="1137">
        <f t="shared" si="9"/>
        <v>0</v>
      </c>
      <c r="ABP45" s="1137">
        <f t="shared" si="9"/>
        <v>0</v>
      </c>
      <c r="ABQ45" s="1137">
        <f t="shared" si="9"/>
        <v>0</v>
      </c>
      <c r="ABR45" s="1137">
        <f t="shared" si="9"/>
        <v>1</v>
      </c>
      <c r="ABS45" s="1137">
        <f t="shared" si="9"/>
        <v>31</v>
      </c>
      <c r="ABT45" s="1137">
        <f t="shared" si="9"/>
        <v>28</v>
      </c>
      <c r="ABU45" s="1137">
        <f t="shared" si="9"/>
        <v>31</v>
      </c>
      <c r="ABV45" s="1137">
        <f t="shared" si="9"/>
        <v>30</v>
      </c>
      <c r="ABW45" s="1137">
        <f t="shared" si="7"/>
        <v>31</v>
      </c>
      <c r="ABX45" s="1137">
        <f t="shared" si="7"/>
        <v>7</v>
      </c>
      <c r="ABY45" s="1137">
        <f t="shared" si="7"/>
        <v>20</v>
      </c>
      <c r="ABZ45" s="1137">
        <f t="shared" si="7"/>
        <v>31</v>
      </c>
      <c r="ACA45" s="1137">
        <f t="shared" si="7"/>
        <v>30</v>
      </c>
      <c r="ACB45" s="1137">
        <f t="shared" si="7"/>
        <v>31</v>
      </c>
      <c r="ACC45" s="1137">
        <f t="shared" si="7"/>
        <v>18</v>
      </c>
      <c r="ACD45" s="1137">
        <f t="shared" si="7"/>
        <v>0</v>
      </c>
      <c r="ACE45" s="1137" t="s">
        <v>165</v>
      </c>
      <c r="ACF45" s="1137">
        <f t="shared" si="10"/>
        <v>0</v>
      </c>
      <c r="ACG45" s="1137">
        <f t="shared" si="10"/>
        <v>0</v>
      </c>
      <c r="ACH45" s="1137">
        <f t="shared" si="10"/>
        <v>1</v>
      </c>
      <c r="ACI45" s="1137">
        <f t="shared" si="10"/>
        <v>1</v>
      </c>
      <c r="ACJ45" s="1137">
        <f t="shared" si="10"/>
        <v>1</v>
      </c>
      <c r="ACK45" s="1137">
        <f t="shared" si="10"/>
        <v>1</v>
      </c>
      <c r="ACL45" s="1137">
        <f t="shared" si="10"/>
        <v>1</v>
      </c>
      <c r="ACM45" s="1137">
        <f t="shared" si="10"/>
        <v>1</v>
      </c>
      <c r="ACN45" s="1137">
        <f t="shared" si="10"/>
        <v>0</v>
      </c>
      <c r="ACO45" s="1137">
        <f t="shared" si="10"/>
        <v>0</v>
      </c>
      <c r="ACP45" s="1137">
        <f t="shared" si="10"/>
        <v>0</v>
      </c>
      <c r="ACQ45" s="1137">
        <f t="shared" si="10"/>
        <v>0</v>
      </c>
      <c r="ACR45" s="1137">
        <f t="shared" si="10"/>
        <v>1</v>
      </c>
      <c r="ACS45" s="1137">
        <f t="shared" si="10"/>
        <v>1</v>
      </c>
      <c r="ACT45" s="1137">
        <f t="shared" si="10"/>
        <v>1</v>
      </c>
      <c r="ACU45" s="1137">
        <f t="shared" si="10"/>
        <v>1</v>
      </c>
      <c r="ACV45" s="1137">
        <f t="shared" si="8"/>
        <v>1</v>
      </c>
      <c r="ACW45" s="1137">
        <f t="shared" si="8"/>
        <v>0</v>
      </c>
      <c r="ACX45" s="1137">
        <f t="shared" si="8"/>
        <v>1</v>
      </c>
      <c r="ACY45" s="1137">
        <f t="shared" si="8"/>
        <v>1</v>
      </c>
      <c r="ACZ45" s="1137">
        <f t="shared" si="8"/>
        <v>1</v>
      </c>
      <c r="ADA45" s="1137">
        <f t="shared" si="8"/>
        <v>1</v>
      </c>
      <c r="ADB45" s="1137">
        <f t="shared" si="8"/>
        <v>1</v>
      </c>
      <c r="ADC45" s="1137">
        <f t="shared" si="8"/>
        <v>0</v>
      </c>
    </row>
    <row r="46" spans="1:783" x14ac:dyDescent="0.25">
      <c r="A46" t="s">
        <v>1843</v>
      </c>
      <c r="B46" t="s">
        <v>167</v>
      </c>
      <c r="C46">
        <v>0</v>
      </c>
      <c r="D46">
        <v>0</v>
      </c>
      <c r="E46">
        <v>0</v>
      </c>
      <c r="F46">
        <v>0</v>
      </c>
      <c r="G46">
        <v>0</v>
      </c>
      <c r="H46">
        <v>0</v>
      </c>
      <c r="I46">
        <v>0</v>
      </c>
      <c r="J46">
        <v>0</v>
      </c>
      <c r="K46">
        <v>0</v>
      </c>
      <c r="L46">
        <v>0</v>
      </c>
      <c r="M46">
        <v>0</v>
      </c>
      <c r="N46">
        <v>0</v>
      </c>
      <c r="O46">
        <v>0</v>
      </c>
      <c r="P46">
        <v>0</v>
      </c>
      <c r="Q46">
        <v>0</v>
      </c>
      <c r="R46">
        <v>0</v>
      </c>
      <c r="S46">
        <v>0</v>
      </c>
      <c r="T46">
        <v>0</v>
      </c>
      <c r="U46">
        <v>0</v>
      </c>
      <c r="V46">
        <v>0</v>
      </c>
      <c r="W46">
        <v>0</v>
      </c>
      <c r="X46">
        <v>0</v>
      </c>
      <c r="Y46">
        <v>0</v>
      </c>
      <c r="Z46">
        <v>0</v>
      </c>
      <c r="AA46">
        <v>0</v>
      </c>
      <c r="AB46">
        <v>0</v>
      </c>
      <c r="AC46">
        <v>0</v>
      </c>
      <c r="AD46">
        <v>0</v>
      </c>
      <c r="AE46">
        <v>0</v>
      </c>
      <c r="AF46">
        <v>0</v>
      </c>
      <c r="AG46">
        <v>0</v>
      </c>
      <c r="AH46">
        <v>0</v>
      </c>
      <c r="AI46">
        <v>0</v>
      </c>
      <c r="AJ46">
        <v>0</v>
      </c>
      <c r="AK46">
        <v>0</v>
      </c>
      <c r="AL46">
        <v>0</v>
      </c>
      <c r="AM46">
        <v>0</v>
      </c>
      <c r="AN46">
        <v>0</v>
      </c>
      <c r="AO46">
        <v>0</v>
      </c>
      <c r="AP46">
        <v>0</v>
      </c>
      <c r="AQ46">
        <v>0</v>
      </c>
      <c r="AR46">
        <v>0</v>
      </c>
      <c r="AS46">
        <v>0</v>
      </c>
      <c r="AT46">
        <v>0</v>
      </c>
      <c r="AU46">
        <v>0</v>
      </c>
      <c r="AV46">
        <v>0</v>
      </c>
      <c r="AW46">
        <v>0</v>
      </c>
      <c r="AX46">
        <v>0</v>
      </c>
      <c r="AY46">
        <v>0</v>
      </c>
      <c r="AZ46">
        <v>0</v>
      </c>
      <c r="BA46">
        <v>0</v>
      </c>
      <c r="BB46">
        <v>0</v>
      </c>
      <c r="BC46">
        <v>0</v>
      </c>
      <c r="BD46">
        <v>0</v>
      </c>
      <c r="BE46">
        <v>0</v>
      </c>
      <c r="BF46">
        <v>0</v>
      </c>
      <c r="BG46">
        <v>0</v>
      </c>
      <c r="BH46">
        <v>0</v>
      </c>
      <c r="BI46">
        <v>0</v>
      </c>
      <c r="BJ46">
        <v>0</v>
      </c>
      <c r="BK46">
        <v>0</v>
      </c>
      <c r="BL46">
        <v>0</v>
      </c>
      <c r="BM46">
        <v>0</v>
      </c>
      <c r="BN46">
        <v>0</v>
      </c>
      <c r="BO46">
        <v>0</v>
      </c>
      <c r="BP46">
        <v>0</v>
      </c>
      <c r="BQ46">
        <v>0</v>
      </c>
      <c r="BR46">
        <v>0</v>
      </c>
      <c r="BS46">
        <v>0</v>
      </c>
      <c r="BT46">
        <v>0</v>
      </c>
      <c r="BU46">
        <v>0</v>
      </c>
      <c r="BV46">
        <v>0</v>
      </c>
      <c r="BW46">
        <v>0</v>
      </c>
      <c r="BX46">
        <v>0</v>
      </c>
      <c r="BY46">
        <v>0</v>
      </c>
      <c r="BZ46">
        <v>0</v>
      </c>
      <c r="CA46">
        <v>0</v>
      </c>
      <c r="CB46">
        <v>0</v>
      </c>
      <c r="CC46">
        <v>0</v>
      </c>
      <c r="CD46">
        <v>0</v>
      </c>
      <c r="CE46">
        <v>0</v>
      </c>
      <c r="CF46">
        <v>0</v>
      </c>
      <c r="CG46">
        <v>2</v>
      </c>
      <c r="CH46">
        <v>2</v>
      </c>
      <c r="CI46">
        <v>2</v>
      </c>
      <c r="CJ46">
        <v>2</v>
      </c>
      <c r="CK46">
        <v>2</v>
      </c>
      <c r="CL46">
        <v>2</v>
      </c>
      <c r="CM46">
        <v>2</v>
      </c>
      <c r="CN46">
        <v>2</v>
      </c>
      <c r="CO46">
        <v>2</v>
      </c>
      <c r="CP46">
        <v>2</v>
      </c>
      <c r="CQ46">
        <v>2</v>
      </c>
      <c r="CR46">
        <v>2</v>
      </c>
      <c r="CS46">
        <v>2</v>
      </c>
      <c r="CT46">
        <v>2</v>
      </c>
      <c r="CU46">
        <v>2</v>
      </c>
      <c r="CV46">
        <v>2</v>
      </c>
      <c r="CW46">
        <v>2</v>
      </c>
      <c r="CX46">
        <v>2</v>
      </c>
      <c r="CY46">
        <v>2</v>
      </c>
      <c r="CZ46">
        <v>2</v>
      </c>
      <c r="DA46">
        <v>2</v>
      </c>
      <c r="DB46">
        <v>2</v>
      </c>
      <c r="DC46">
        <v>2</v>
      </c>
      <c r="DD46">
        <v>2</v>
      </c>
      <c r="DE46">
        <v>2</v>
      </c>
      <c r="DF46">
        <v>2</v>
      </c>
      <c r="DG46">
        <v>2</v>
      </c>
      <c r="DH46">
        <v>2</v>
      </c>
      <c r="DI46">
        <v>2</v>
      </c>
      <c r="DJ46">
        <v>2</v>
      </c>
      <c r="DK46">
        <v>2</v>
      </c>
      <c r="DL46">
        <v>2</v>
      </c>
      <c r="DM46">
        <v>2</v>
      </c>
      <c r="DN46">
        <v>2</v>
      </c>
      <c r="DO46">
        <v>2</v>
      </c>
      <c r="DP46">
        <v>2</v>
      </c>
      <c r="DQ46">
        <v>2</v>
      </c>
      <c r="DR46">
        <v>2</v>
      </c>
      <c r="DS46">
        <v>2</v>
      </c>
      <c r="DT46">
        <v>2</v>
      </c>
      <c r="DU46">
        <v>2</v>
      </c>
      <c r="DV46">
        <v>2</v>
      </c>
      <c r="DW46">
        <v>2</v>
      </c>
      <c r="DX46">
        <v>2</v>
      </c>
      <c r="DY46">
        <v>2</v>
      </c>
      <c r="DZ46">
        <v>2</v>
      </c>
      <c r="EA46">
        <v>2</v>
      </c>
      <c r="EB46">
        <v>2</v>
      </c>
      <c r="EC46">
        <v>2</v>
      </c>
      <c r="ED46">
        <v>2</v>
      </c>
      <c r="EE46">
        <v>2</v>
      </c>
      <c r="EF46">
        <v>2</v>
      </c>
      <c r="EG46">
        <v>2</v>
      </c>
      <c r="EH46">
        <v>2</v>
      </c>
      <c r="EI46">
        <v>2</v>
      </c>
      <c r="EJ46">
        <v>2</v>
      </c>
      <c r="EK46">
        <v>2</v>
      </c>
      <c r="EL46">
        <v>2</v>
      </c>
      <c r="EM46">
        <v>2</v>
      </c>
      <c r="EN46">
        <v>2</v>
      </c>
      <c r="EO46">
        <v>2</v>
      </c>
      <c r="EP46">
        <v>2</v>
      </c>
      <c r="EQ46">
        <v>2</v>
      </c>
      <c r="ER46">
        <v>2</v>
      </c>
      <c r="ES46">
        <v>2</v>
      </c>
      <c r="ET46">
        <v>2</v>
      </c>
      <c r="EU46">
        <v>2</v>
      </c>
      <c r="EV46">
        <v>2</v>
      </c>
      <c r="EW46">
        <v>2</v>
      </c>
      <c r="EX46">
        <v>2</v>
      </c>
      <c r="EY46">
        <v>2</v>
      </c>
      <c r="EZ46">
        <v>2</v>
      </c>
      <c r="FA46">
        <v>2</v>
      </c>
      <c r="FB46">
        <v>2</v>
      </c>
      <c r="FC46">
        <v>2</v>
      </c>
      <c r="FD46">
        <v>2</v>
      </c>
      <c r="FE46">
        <v>2</v>
      </c>
      <c r="FF46">
        <v>2</v>
      </c>
      <c r="FG46">
        <v>2</v>
      </c>
      <c r="FH46">
        <v>2</v>
      </c>
      <c r="FI46">
        <v>2</v>
      </c>
      <c r="FJ46">
        <v>2</v>
      </c>
      <c r="FK46">
        <v>2</v>
      </c>
      <c r="FL46">
        <v>2</v>
      </c>
      <c r="FM46">
        <v>2</v>
      </c>
      <c r="FN46">
        <v>2</v>
      </c>
      <c r="FO46">
        <v>2</v>
      </c>
      <c r="FP46">
        <v>2</v>
      </c>
      <c r="FQ46">
        <v>2</v>
      </c>
      <c r="FR46">
        <v>2</v>
      </c>
      <c r="FS46">
        <v>2</v>
      </c>
      <c r="FT46">
        <v>2</v>
      </c>
      <c r="FU46">
        <v>2</v>
      </c>
      <c r="FV46">
        <v>2</v>
      </c>
      <c r="FW46">
        <v>2</v>
      </c>
      <c r="FX46">
        <v>2</v>
      </c>
      <c r="FY46">
        <v>2</v>
      </c>
      <c r="FZ46">
        <v>2</v>
      </c>
      <c r="GA46">
        <v>2</v>
      </c>
      <c r="GB46">
        <v>2</v>
      </c>
      <c r="GC46">
        <v>2</v>
      </c>
      <c r="GD46">
        <v>2</v>
      </c>
      <c r="GE46">
        <v>2</v>
      </c>
      <c r="GF46">
        <v>2</v>
      </c>
      <c r="GG46">
        <v>2</v>
      </c>
      <c r="GH46">
        <v>2</v>
      </c>
      <c r="GI46">
        <v>2</v>
      </c>
      <c r="GJ46">
        <v>2</v>
      </c>
      <c r="GK46">
        <v>2</v>
      </c>
      <c r="GL46">
        <v>2</v>
      </c>
      <c r="GM46">
        <v>2</v>
      </c>
      <c r="GN46">
        <v>2</v>
      </c>
      <c r="GO46">
        <v>2</v>
      </c>
      <c r="GP46">
        <v>2</v>
      </c>
      <c r="GQ46">
        <v>2</v>
      </c>
      <c r="GR46">
        <v>2</v>
      </c>
      <c r="GS46">
        <v>2</v>
      </c>
      <c r="GT46">
        <v>2</v>
      </c>
      <c r="GU46">
        <v>2</v>
      </c>
      <c r="GV46">
        <v>2</v>
      </c>
      <c r="GW46">
        <v>2</v>
      </c>
      <c r="GX46">
        <v>2</v>
      </c>
      <c r="GY46">
        <v>2</v>
      </c>
      <c r="GZ46">
        <v>2</v>
      </c>
      <c r="HA46">
        <v>2</v>
      </c>
      <c r="HB46">
        <v>2</v>
      </c>
      <c r="HC46">
        <v>2</v>
      </c>
      <c r="HD46">
        <v>2</v>
      </c>
      <c r="HE46">
        <v>2</v>
      </c>
      <c r="HF46">
        <v>2</v>
      </c>
      <c r="HG46">
        <v>2</v>
      </c>
      <c r="HH46">
        <v>2</v>
      </c>
      <c r="HI46">
        <v>2</v>
      </c>
      <c r="HJ46">
        <v>2</v>
      </c>
      <c r="HK46">
        <v>2</v>
      </c>
      <c r="HL46">
        <v>2</v>
      </c>
      <c r="HM46">
        <v>2</v>
      </c>
      <c r="HN46">
        <v>2</v>
      </c>
      <c r="HO46">
        <v>2</v>
      </c>
      <c r="HP46">
        <v>2</v>
      </c>
      <c r="HQ46">
        <v>2</v>
      </c>
      <c r="HR46">
        <v>2</v>
      </c>
      <c r="HS46">
        <v>2</v>
      </c>
      <c r="HT46">
        <v>2</v>
      </c>
      <c r="HU46">
        <v>2</v>
      </c>
      <c r="HV46">
        <v>2</v>
      </c>
      <c r="HW46">
        <v>2</v>
      </c>
      <c r="HX46">
        <v>2</v>
      </c>
      <c r="HY46">
        <v>2</v>
      </c>
      <c r="HZ46">
        <v>2</v>
      </c>
      <c r="IA46">
        <v>2</v>
      </c>
      <c r="IB46">
        <v>2</v>
      </c>
      <c r="IC46">
        <v>2</v>
      </c>
      <c r="ID46">
        <v>2</v>
      </c>
      <c r="IE46">
        <v>2</v>
      </c>
      <c r="IF46">
        <v>2</v>
      </c>
      <c r="IG46">
        <v>2</v>
      </c>
      <c r="IH46">
        <v>2</v>
      </c>
      <c r="II46">
        <v>2</v>
      </c>
      <c r="IJ46">
        <v>2</v>
      </c>
      <c r="IK46">
        <v>2</v>
      </c>
      <c r="IL46">
        <v>2</v>
      </c>
      <c r="IM46">
        <v>2</v>
      </c>
      <c r="IN46">
        <v>2</v>
      </c>
      <c r="IO46">
        <v>2</v>
      </c>
      <c r="IP46">
        <v>2</v>
      </c>
      <c r="IQ46">
        <v>2</v>
      </c>
      <c r="IR46">
        <v>2</v>
      </c>
      <c r="IS46">
        <v>2</v>
      </c>
      <c r="IT46">
        <v>2</v>
      </c>
      <c r="IU46">
        <v>2</v>
      </c>
      <c r="IV46">
        <v>2</v>
      </c>
      <c r="IW46">
        <v>2</v>
      </c>
      <c r="IX46">
        <v>2</v>
      </c>
      <c r="IY46">
        <v>2</v>
      </c>
      <c r="IZ46">
        <v>2</v>
      </c>
      <c r="JA46">
        <v>2</v>
      </c>
      <c r="JB46">
        <v>2</v>
      </c>
      <c r="JC46">
        <v>2</v>
      </c>
      <c r="JD46">
        <v>2</v>
      </c>
      <c r="JE46">
        <v>2</v>
      </c>
      <c r="JF46">
        <v>2</v>
      </c>
      <c r="JG46">
        <v>2</v>
      </c>
      <c r="JH46">
        <v>2</v>
      </c>
      <c r="JI46">
        <v>2</v>
      </c>
      <c r="JJ46">
        <v>2</v>
      </c>
      <c r="JK46">
        <v>2</v>
      </c>
      <c r="JL46">
        <v>2</v>
      </c>
      <c r="JM46">
        <v>2</v>
      </c>
      <c r="JN46">
        <v>2</v>
      </c>
      <c r="JO46">
        <v>2</v>
      </c>
      <c r="JP46">
        <v>2</v>
      </c>
      <c r="JQ46">
        <v>2</v>
      </c>
      <c r="JR46">
        <v>2</v>
      </c>
      <c r="JS46">
        <v>2</v>
      </c>
      <c r="JT46">
        <v>2</v>
      </c>
      <c r="JU46">
        <v>2</v>
      </c>
      <c r="JV46">
        <v>2</v>
      </c>
      <c r="JW46">
        <v>2</v>
      </c>
      <c r="JX46">
        <v>2</v>
      </c>
      <c r="JY46">
        <v>2</v>
      </c>
      <c r="JZ46">
        <v>2</v>
      </c>
      <c r="KA46">
        <v>2</v>
      </c>
      <c r="KB46">
        <v>2</v>
      </c>
      <c r="KC46">
        <v>2</v>
      </c>
      <c r="KD46">
        <v>2</v>
      </c>
      <c r="KE46">
        <v>2</v>
      </c>
      <c r="KF46">
        <v>2</v>
      </c>
      <c r="KG46">
        <v>2</v>
      </c>
      <c r="KH46">
        <v>2</v>
      </c>
      <c r="KI46">
        <v>2</v>
      </c>
      <c r="KJ46">
        <v>2</v>
      </c>
      <c r="KK46">
        <v>2</v>
      </c>
      <c r="KL46">
        <v>2</v>
      </c>
      <c r="KM46">
        <v>2</v>
      </c>
      <c r="KN46">
        <v>2</v>
      </c>
      <c r="KO46">
        <v>2</v>
      </c>
      <c r="KP46">
        <v>2</v>
      </c>
      <c r="KQ46">
        <v>2</v>
      </c>
      <c r="KR46">
        <v>2</v>
      </c>
      <c r="KS46">
        <v>2</v>
      </c>
      <c r="KT46">
        <v>2</v>
      </c>
      <c r="KU46">
        <v>2</v>
      </c>
      <c r="KV46">
        <v>2</v>
      </c>
      <c r="KW46">
        <v>2</v>
      </c>
      <c r="KX46">
        <v>2</v>
      </c>
      <c r="KY46">
        <v>2</v>
      </c>
      <c r="KZ46">
        <v>2</v>
      </c>
      <c r="LA46">
        <v>2</v>
      </c>
      <c r="LB46">
        <v>2</v>
      </c>
      <c r="LC46">
        <v>2</v>
      </c>
      <c r="LD46">
        <v>2</v>
      </c>
      <c r="LE46">
        <v>2</v>
      </c>
      <c r="LF46">
        <v>2</v>
      </c>
      <c r="LG46">
        <v>2</v>
      </c>
      <c r="LH46">
        <v>2</v>
      </c>
      <c r="LI46">
        <v>2</v>
      </c>
      <c r="LJ46">
        <v>2</v>
      </c>
      <c r="LK46">
        <v>2</v>
      </c>
      <c r="LL46">
        <v>2</v>
      </c>
      <c r="LM46">
        <v>2</v>
      </c>
      <c r="LN46">
        <v>2</v>
      </c>
      <c r="LO46">
        <v>2</v>
      </c>
      <c r="LP46">
        <v>2</v>
      </c>
      <c r="LQ46">
        <v>2</v>
      </c>
      <c r="LR46">
        <v>2</v>
      </c>
      <c r="LS46">
        <v>2</v>
      </c>
      <c r="LT46">
        <v>2</v>
      </c>
      <c r="LU46">
        <v>2</v>
      </c>
      <c r="LV46">
        <v>2</v>
      </c>
      <c r="LW46">
        <v>2</v>
      </c>
      <c r="LX46">
        <v>2</v>
      </c>
      <c r="LY46">
        <v>2</v>
      </c>
      <c r="LZ46">
        <v>2</v>
      </c>
      <c r="MA46">
        <v>2</v>
      </c>
      <c r="MB46">
        <v>2</v>
      </c>
      <c r="MC46">
        <v>2</v>
      </c>
      <c r="MD46">
        <v>2</v>
      </c>
      <c r="ME46">
        <v>2</v>
      </c>
      <c r="MF46">
        <v>2</v>
      </c>
      <c r="MG46">
        <v>2</v>
      </c>
      <c r="MH46">
        <v>2</v>
      </c>
      <c r="MI46">
        <v>2</v>
      </c>
      <c r="MJ46">
        <v>2</v>
      </c>
      <c r="MK46">
        <v>2</v>
      </c>
      <c r="ML46">
        <v>2</v>
      </c>
      <c r="MM46">
        <v>2</v>
      </c>
      <c r="MN46">
        <v>2</v>
      </c>
      <c r="MO46">
        <v>2</v>
      </c>
      <c r="MP46">
        <v>2</v>
      </c>
      <c r="MQ46">
        <v>2</v>
      </c>
      <c r="MR46">
        <v>2</v>
      </c>
      <c r="MS46">
        <v>2</v>
      </c>
      <c r="MT46">
        <v>2</v>
      </c>
      <c r="MU46">
        <v>2</v>
      </c>
      <c r="MV46">
        <v>2</v>
      </c>
      <c r="MW46">
        <v>2</v>
      </c>
      <c r="MX46">
        <v>2</v>
      </c>
      <c r="MY46">
        <v>2</v>
      </c>
      <c r="MZ46">
        <v>2</v>
      </c>
      <c r="NA46">
        <v>2</v>
      </c>
      <c r="NB46">
        <v>2</v>
      </c>
      <c r="NC46">
        <v>2</v>
      </c>
      <c r="ND46">
        <v>2</v>
      </c>
      <c r="NE46">
        <v>2</v>
      </c>
      <c r="NF46">
        <v>2</v>
      </c>
      <c r="NG46">
        <v>2</v>
      </c>
      <c r="NH46">
        <v>2</v>
      </c>
      <c r="NI46">
        <v>2</v>
      </c>
      <c r="NJ46">
        <v>2</v>
      </c>
      <c r="NK46">
        <v>2</v>
      </c>
      <c r="NL46">
        <v>2</v>
      </c>
      <c r="NM46">
        <v>2</v>
      </c>
      <c r="NN46">
        <v>2</v>
      </c>
      <c r="NO46">
        <v>2</v>
      </c>
      <c r="NP46">
        <v>2</v>
      </c>
      <c r="NQ46">
        <v>2</v>
      </c>
      <c r="NR46">
        <v>2</v>
      </c>
      <c r="NS46">
        <v>2</v>
      </c>
      <c r="NT46">
        <v>2</v>
      </c>
      <c r="NU46">
        <v>2</v>
      </c>
      <c r="NV46">
        <v>2</v>
      </c>
      <c r="NW46">
        <v>2</v>
      </c>
      <c r="NX46">
        <v>2</v>
      </c>
      <c r="NY46">
        <v>2</v>
      </c>
      <c r="NZ46">
        <v>2</v>
      </c>
      <c r="OA46">
        <v>2</v>
      </c>
      <c r="OB46">
        <v>2</v>
      </c>
      <c r="OC46">
        <v>2</v>
      </c>
      <c r="OD46">
        <v>2</v>
      </c>
      <c r="OE46">
        <v>2</v>
      </c>
      <c r="OF46">
        <v>2</v>
      </c>
      <c r="OG46">
        <v>2</v>
      </c>
      <c r="OH46">
        <v>2</v>
      </c>
      <c r="OI46">
        <v>2</v>
      </c>
      <c r="OJ46">
        <v>2</v>
      </c>
      <c r="OK46">
        <v>2</v>
      </c>
      <c r="OL46">
        <v>2</v>
      </c>
      <c r="OM46">
        <v>2</v>
      </c>
      <c r="ON46">
        <v>2</v>
      </c>
      <c r="OO46">
        <v>2</v>
      </c>
      <c r="OP46">
        <v>2</v>
      </c>
      <c r="OQ46">
        <v>2</v>
      </c>
      <c r="OR46">
        <v>2</v>
      </c>
      <c r="OS46">
        <v>2</v>
      </c>
      <c r="OT46">
        <v>2</v>
      </c>
      <c r="OU46">
        <v>2</v>
      </c>
      <c r="OV46">
        <v>2</v>
      </c>
      <c r="OW46">
        <v>2</v>
      </c>
      <c r="OX46">
        <v>2</v>
      </c>
      <c r="OY46">
        <v>2</v>
      </c>
      <c r="OZ46">
        <v>2</v>
      </c>
      <c r="PA46">
        <v>2</v>
      </c>
      <c r="PB46">
        <v>2</v>
      </c>
      <c r="PC46">
        <v>2</v>
      </c>
      <c r="PD46">
        <v>2</v>
      </c>
      <c r="PE46">
        <v>2</v>
      </c>
      <c r="PF46">
        <v>2</v>
      </c>
      <c r="PG46">
        <v>2</v>
      </c>
      <c r="PH46">
        <v>2</v>
      </c>
      <c r="PI46">
        <v>2</v>
      </c>
      <c r="PJ46">
        <v>2</v>
      </c>
      <c r="PK46">
        <v>2</v>
      </c>
      <c r="PL46">
        <v>2</v>
      </c>
      <c r="PM46">
        <v>2</v>
      </c>
      <c r="PN46">
        <v>2</v>
      </c>
      <c r="PO46">
        <v>2</v>
      </c>
      <c r="PP46">
        <v>2</v>
      </c>
      <c r="PQ46">
        <v>2</v>
      </c>
      <c r="PR46">
        <v>2</v>
      </c>
      <c r="PS46">
        <v>2</v>
      </c>
      <c r="PT46">
        <v>2</v>
      </c>
      <c r="PU46">
        <v>2</v>
      </c>
      <c r="PV46">
        <v>2</v>
      </c>
      <c r="PW46">
        <v>2</v>
      </c>
      <c r="PX46">
        <v>2</v>
      </c>
      <c r="PY46">
        <v>2</v>
      </c>
      <c r="PZ46">
        <v>2</v>
      </c>
      <c r="QA46">
        <v>2</v>
      </c>
      <c r="QB46">
        <v>2</v>
      </c>
      <c r="QC46">
        <v>2</v>
      </c>
      <c r="QD46">
        <v>2</v>
      </c>
      <c r="QE46">
        <v>2</v>
      </c>
      <c r="QF46">
        <v>2</v>
      </c>
      <c r="QG46">
        <v>2</v>
      </c>
      <c r="QH46">
        <v>2</v>
      </c>
      <c r="QI46">
        <v>2</v>
      </c>
      <c r="QJ46">
        <v>2</v>
      </c>
      <c r="QK46">
        <v>2</v>
      </c>
      <c r="QL46">
        <v>2</v>
      </c>
      <c r="QM46">
        <v>2</v>
      </c>
      <c r="QN46">
        <v>2</v>
      </c>
      <c r="QO46">
        <v>2</v>
      </c>
      <c r="QP46">
        <v>2</v>
      </c>
      <c r="QQ46">
        <v>2</v>
      </c>
      <c r="QR46">
        <v>2</v>
      </c>
      <c r="QS46">
        <v>2</v>
      </c>
      <c r="QT46">
        <v>2</v>
      </c>
      <c r="QU46">
        <v>2</v>
      </c>
      <c r="QV46">
        <v>2</v>
      </c>
      <c r="QW46">
        <v>2</v>
      </c>
      <c r="QX46">
        <v>2</v>
      </c>
      <c r="QY46">
        <v>2</v>
      </c>
      <c r="QZ46">
        <v>2</v>
      </c>
      <c r="RA46">
        <v>2</v>
      </c>
      <c r="RB46">
        <v>2</v>
      </c>
      <c r="RC46">
        <v>2</v>
      </c>
      <c r="RD46">
        <v>2</v>
      </c>
      <c r="RE46">
        <v>2</v>
      </c>
      <c r="RF46">
        <v>2</v>
      </c>
      <c r="RG46">
        <v>2</v>
      </c>
      <c r="RH46">
        <v>2</v>
      </c>
      <c r="RI46">
        <v>2</v>
      </c>
      <c r="RJ46">
        <v>2</v>
      </c>
      <c r="RK46">
        <v>2</v>
      </c>
      <c r="RL46">
        <v>2</v>
      </c>
      <c r="RM46">
        <v>2</v>
      </c>
      <c r="RN46">
        <v>2</v>
      </c>
      <c r="RO46">
        <v>2</v>
      </c>
      <c r="RP46">
        <v>2</v>
      </c>
      <c r="RQ46">
        <v>2</v>
      </c>
      <c r="RR46">
        <v>2</v>
      </c>
      <c r="RS46">
        <v>2</v>
      </c>
      <c r="RT46">
        <v>2</v>
      </c>
      <c r="RU46">
        <v>2</v>
      </c>
      <c r="RV46">
        <v>2</v>
      </c>
      <c r="RW46">
        <v>2</v>
      </c>
      <c r="RX46">
        <v>2</v>
      </c>
      <c r="RY46">
        <v>2</v>
      </c>
      <c r="RZ46">
        <v>2</v>
      </c>
      <c r="SA46">
        <v>2</v>
      </c>
      <c r="SB46">
        <v>2</v>
      </c>
      <c r="SC46">
        <v>2</v>
      </c>
      <c r="SD46">
        <v>2</v>
      </c>
      <c r="SE46">
        <v>2</v>
      </c>
      <c r="SF46">
        <v>2</v>
      </c>
      <c r="SG46">
        <v>2</v>
      </c>
      <c r="SH46">
        <v>2</v>
      </c>
      <c r="SI46">
        <v>2</v>
      </c>
      <c r="SJ46">
        <v>2</v>
      </c>
      <c r="SK46">
        <v>2</v>
      </c>
      <c r="SL46">
        <v>2</v>
      </c>
      <c r="SM46">
        <v>2</v>
      </c>
      <c r="SN46">
        <v>2</v>
      </c>
      <c r="SO46">
        <v>2</v>
      </c>
      <c r="SP46">
        <v>2</v>
      </c>
      <c r="SQ46">
        <v>2</v>
      </c>
      <c r="SR46">
        <v>2</v>
      </c>
      <c r="SS46">
        <v>2</v>
      </c>
      <c r="ST46">
        <v>2</v>
      </c>
      <c r="SU46">
        <v>2</v>
      </c>
      <c r="SV46">
        <v>2</v>
      </c>
      <c r="SW46">
        <v>2</v>
      </c>
      <c r="SX46">
        <v>2</v>
      </c>
      <c r="SY46">
        <v>2</v>
      </c>
      <c r="SZ46">
        <v>2</v>
      </c>
      <c r="TA46">
        <v>2</v>
      </c>
      <c r="TB46">
        <v>2</v>
      </c>
      <c r="TC46">
        <v>2</v>
      </c>
      <c r="TD46">
        <v>2</v>
      </c>
      <c r="TE46">
        <v>2</v>
      </c>
      <c r="TF46">
        <v>2</v>
      </c>
      <c r="TG46">
        <v>2</v>
      </c>
      <c r="TH46">
        <v>2</v>
      </c>
      <c r="TI46">
        <v>2</v>
      </c>
      <c r="TJ46">
        <v>2</v>
      </c>
      <c r="TK46">
        <v>2</v>
      </c>
      <c r="TL46">
        <v>2</v>
      </c>
      <c r="TM46">
        <v>2</v>
      </c>
      <c r="TN46">
        <v>2</v>
      </c>
      <c r="TO46">
        <v>2</v>
      </c>
      <c r="TP46">
        <v>2</v>
      </c>
      <c r="TQ46">
        <v>2</v>
      </c>
      <c r="TR46">
        <v>2</v>
      </c>
      <c r="TS46">
        <v>2</v>
      </c>
      <c r="TT46">
        <v>2</v>
      </c>
      <c r="TU46">
        <v>2</v>
      </c>
      <c r="TV46">
        <v>2</v>
      </c>
      <c r="TW46">
        <v>2</v>
      </c>
      <c r="TX46">
        <v>2</v>
      </c>
      <c r="TY46">
        <v>2</v>
      </c>
      <c r="TZ46">
        <v>2</v>
      </c>
      <c r="UA46">
        <v>2</v>
      </c>
      <c r="UB46">
        <v>2</v>
      </c>
      <c r="UC46">
        <v>2</v>
      </c>
      <c r="UD46">
        <v>2</v>
      </c>
      <c r="UE46">
        <v>2</v>
      </c>
      <c r="UF46">
        <v>2</v>
      </c>
      <c r="UG46">
        <v>2</v>
      </c>
      <c r="UH46">
        <v>2</v>
      </c>
      <c r="UI46">
        <v>2</v>
      </c>
      <c r="UJ46">
        <v>2</v>
      </c>
      <c r="UK46">
        <v>2</v>
      </c>
      <c r="UL46">
        <v>2</v>
      </c>
      <c r="UM46">
        <v>2</v>
      </c>
      <c r="UN46">
        <v>2</v>
      </c>
      <c r="UO46">
        <v>2</v>
      </c>
      <c r="UP46">
        <v>2</v>
      </c>
      <c r="UQ46">
        <v>2</v>
      </c>
      <c r="UR46">
        <v>2</v>
      </c>
      <c r="US46">
        <v>2</v>
      </c>
      <c r="UT46">
        <v>2</v>
      </c>
      <c r="UU46">
        <v>2</v>
      </c>
      <c r="UV46">
        <v>2</v>
      </c>
      <c r="UW46">
        <v>2</v>
      </c>
      <c r="UX46">
        <v>2</v>
      </c>
      <c r="UY46">
        <v>2</v>
      </c>
      <c r="UZ46">
        <v>2</v>
      </c>
      <c r="VA46">
        <v>2</v>
      </c>
      <c r="VB46">
        <v>2</v>
      </c>
      <c r="VC46">
        <v>2</v>
      </c>
      <c r="VD46">
        <v>2</v>
      </c>
      <c r="VE46">
        <v>2</v>
      </c>
      <c r="VF46">
        <v>2</v>
      </c>
      <c r="VG46">
        <v>2</v>
      </c>
      <c r="VH46">
        <v>2</v>
      </c>
      <c r="VI46">
        <v>2</v>
      </c>
      <c r="VJ46">
        <v>2</v>
      </c>
      <c r="VK46">
        <v>2</v>
      </c>
      <c r="VL46">
        <v>2</v>
      </c>
      <c r="VM46">
        <v>2</v>
      </c>
      <c r="VN46">
        <v>2</v>
      </c>
      <c r="VO46">
        <v>2</v>
      </c>
      <c r="VP46">
        <v>2</v>
      </c>
      <c r="VQ46">
        <v>2</v>
      </c>
      <c r="VR46">
        <v>2</v>
      </c>
      <c r="VS46">
        <v>2</v>
      </c>
      <c r="VT46">
        <v>2</v>
      </c>
      <c r="VU46">
        <v>2</v>
      </c>
      <c r="VV46">
        <v>2</v>
      </c>
      <c r="VW46">
        <v>2</v>
      </c>
      <c r="VX46">
        <v>2</v>
      </c>
      <c r="VY46">
        <v>2</v>
      </c>
      <c r="VZ46">
        <v>2</v>
      </c>
      <c r="WA46">
        <v>2</v>
      </c>
      <c r="WB46">
        <v>2</v>
      </c>
      <c r="WC46">
        <v>2</v>
      </c>
      <c r="WD46">
        <v>2</v>
      </c>
      <c r="WE46">
        <v>2</v>
      </c>
      <c r="WF46">
        <v>2</v>
      </c>
      <c r="WG46">
        <v>2</v>
      </c>
      <c r="WH46">
        <v>2</v>
      </c>
      <c r="WI46">
        <v>2</v>
      </c>
      <c r="WJ46">
        <v>2</v>
      </c>
      <c r="WK46">
        <v>2</v>
      </c>
      <c r="WL46">
        <v>2</v>
      </c>
      <c r="WM46">
        <v>2</v>
      </c>
      <c r="WN46">
        <v>2</v>
      </c>
      <c r="WO46">
        <v>2</v>
      </c>
      <c r="WP46">
        <v>2</v>
      </c>
      <c r="WQ46">
        <v>2</v>
      </c>
      <c r="WR46">
        <v>2</v>
      </c>
      <c r="WS46">
        <v>2</v>
      </c>
      <c r="WT46">
        <v>2</v>
      </c>
      <c r="WU46">
        <v>2</v>
      </c>
      <c r="WV46">
        <v>2</v>
      </c>
      <c r="WW46">
        <v>2</v>
      </c>
      <c r="WX46">
        <v>2</v>
      </c>
      <c r="WY46">
        <v>2</v>
      </c>
      <c r="WZ46">
        <v>2</v>
      </c>
      <c r="XA46">
        <v>2</v>
      </c>
      <c r="XB46">
        <v>2</v>
      </c>
      <c r="XC46">
        <v>2</v>
      </c>
      <c r="XD46">
        <v>2</v>
      </c>
      <c r="XE46">
        <v>2</v>
      </c>
      <c r="XF46">
        <v>2</v>
      </c>
      <c r="XG46">
        <v>2</v>
      </c>
      <c r="XH46">
        <v>2</v>
      </c>
      <c r="XI46">
        <v>2</v>
      </c>
      <c r="XJ46">
        <v>2</v>
      </c>
      <c r="XK46">
        <v>2</v>
      </c>
      <c r="XL46">
        <v>2</v>
      </c>
      <c r="XM46">
        <v>2</v>
      </c>
      <c r="XN46">
        <v>2</v>
      </c>
      <c r="XO46">
        <v>2</v>
      </c>
      <c r="XP46">
        <v>2</v>
      </c>
      <c r="XQ46">
        <v>2</v>
      </c>
      <c r="XR46">
        <v>2</v>
      </c>
      <c r="XS46">
        <v>2</v>
      </c>
      <c r="XT46">
        <v>2</v>
      </c>
      <c r="XU46">
        <v>2</v>
      </c>
      <c r="XV46">
        <v>2</v>
      </c>
      <c r="XW46">
        <v>2</v>
      </c>
      <c r="XX46">
        <v>2</v>
      </c>
      <c r="XY46">
        <v>2</v>
      </c>
      <c r="XZ46">
        <v>2</v>
      </c>
      <c r="YA46">
        <v>2</v>
      </c>
      <c r="YB46">
        <v>2</v>
      </c>
      <c r="YC46">
        <v>2</v>
      </c>
      <c r="YD46">
        <v>2</v>
      </c>
      <c r="YE46">
        <v>2</v>
      </c>
      <c r="YF46">
        <v>2</v>
      </c>
      <c r="YG46">
        <v>2</v>
      </c>
      <c r="YH46">
        <v>2</v>
      </c>
      <c r="YI46">
        <v>2</v>
      </c>
      <c r="YJ46">
        <v>2</v>
      </c>
      <c r="YK46">
        <v>2</v>
      </c>
      <c r="YL46">
        <v>2</v>
      </c>
      <c r="YM46">
        <v>2</v>
      </c>
      <c r="YN46">
        <v>2</v>
      </c>
      <c r="YO46">
        <v>2</v>
      </c>
      <c r="YP46">
        <v>2</v>
      </c>
      <c r="YQ46">
        <v>2</v>
      </c>
      <c r="YR46">
        <v>2</v>
      </c>
      <c r="YS46">
        <v>2</v>
      </c>
      <c r="YT46">
        <v>2</v>
      </c>
      <c r="YU46">
        <v>2</v>
      </c>
      <c r="YV46">
        <v>2</v>
      </c>
      <c r="YW46">
        <v>2</v>
      </c>
      <c r="YX46">
        <v>2</v>
      </c>
      <c r="YY46">
        <v>2</v>
      </c>
      <c r="YZ46">
        <v>2</v>
      </c>
      <c r="ZA46">
        <v>2</v>
      </c>
      <c r="ZB46">
        <v>2</v>
      </c>
      <c r="ZC46">
        <v>2</v>
      </c>
      <c r="ZD46">
        <v>2</v>
      </c>
      <c r="ZE46">
        <v>2</v>
      </c>
      <c r="ZF46">
        <v>2</v>
      </c>
      <c r="ZG46">
        <v>2</v>
      </c>
      <c r="ZH46">
        <v>2</v>
      </c>
      <c r="ZI46">
        <v>2</v>
      </c>
      <c r="ZJ46">
        <v>2</v>
      </c>
      <c r="ZK46">
        <v>0</v>
      </c>
      <c r="ZL46">
        <v>0</v>
      </c>
      <c r="ZM46">
        <v>0</v>
      </c>
      <c r="ZN46">
        <v>0</v>
      </c>
      <c r="ZO46">
        <v>0</v>
      </c>
      <c r="ZP46">
        <v>0</v>
      </c>
      <c r="ZQ46">
        <v>0</v>
      </c>
      <c r="ZR46">
        <v>0</v>
      </c>
      <c r="ZS46">
        <v>0</v>
      </c>
      <c r="ZT46">
        <v>0</v>
      </c>
      <c r="ZU46">
        <v>0</v>
      </c>
      <c r="ZV46">
        <v>0</v>
      </c>
      <c r="ZW46">
        <v>0</v>
      </c>
      <c r="ZX46">
        <v>0</v>
      </c>
      <c r="ZY46">
        <v>0</v>
      </c>
      <c r="ZZ46">
        <v>0</v>
      </c>
      <c r="AAA46">
        <v>0</v>
      </c>
      <c r="AAB46">
        <v>0</v>
      </c>
      <c r="AAC46">
        <v>0</v>
      </c>
      <c r="AAD46">
        <v>0</v>
      </c>
      <c r="AAE46">
        <v>0</v>
      </c>
      <c r="AAF46">
        <v>0</v>
      </c>
      <c r="AAG46">
        <v>0</v>
      </c>
      <c r="AAH46">
        <v>0</v>
      </c>
      <c r="AAI46">
        <v>0</v>
      </c>
      <c r="AAJ46">
        <v>0</v>
      </c>
      <c r="AAK46">
        <v>0</v>
      </c>
      <c r="AAL46">
        <v>0</v>
      </c>
      <c r="AAM46">
        <v>0</v>
      </c>
      <c r="AAN46">
        <v>0</v>
      </c>
      <c r="AAO46">
        <v>0</v>
      </c>
      <c r="AAP46">
        <v>0</v>
      </c>
      <c r="AAQ46">
        <v>0</v>
      </c>
      <c r="AAR46">
        <v>0</v>
      </c>
      <c r="AAS46">
        <v>0</v>
      </c>
      <c r="AAT46">
        <v>0</v>
      </c>
      <c r="AAU46">
        <v>0</v>
      </c>
      <c r="AAV46">
        <v>0</v>
      </c>
      <c r="AAW46">
        <v>0</v>
      </c>
      <c r="AAX46">
        <v>0</v>
      </c>
      <c r="AAY46">
        <v>0</v>
      </c>
      <c r="AAZ46">
        <v>0</v>
      </c>
      <c r="ABA46">
        <v>0</v>
      </c>
      <c r="ABB46">
        <v>0</v>
      </c>
      <c r="ABC46">
        <v>0</v>
      </c>
      <c r="ABD46">
        <v>0</v>
      </c>
      <c r="ABE46">
        <v>0</v>
      </c>
      <c r="ABG46" s="1137">
        <f t="shared" si="9"/>
        <v>0</v>
      </c>
      <c r="ABH46" s="1137">
        <f t="shared" si="9"/>
        <v>0</v>
      </c>
      <c r="ABI46" s="1137">
        <f t="shared" si="9"/>
        <v>9</v>
      </c>
      <c r="ABJ46" s="1137">
        <f t="shared" si="9"/>
        <v>30</v>
      </c>
      <c r="ABK46" s="1137">
        <f t="shared" si="9"/>
        <v>31</v>
      </c>
      <c r="ABL46" s="1137">
        <f t="shared" si="9"/>
        <v>30</v>
      </c>
      <c r="ABM46" s="1137">
        <f t="shared" si="9"/>
        <v>31</v>
      </c>
      <c r="ABN46" s="1137">
        <f t="shared" si="9"/>
        <v>31</v>
      </c>
      <c r="ABO46" s="1137">
        <f t="shared" si="9"/>
        <v>30</v>
      </c>
      <c r="ABP46" s="1137">
        <f t="shared" si="9"/>
        <v>31</v>
      </c>
      <c r="ABQ46" s="1137">
        <f t="shared" si="9"/>
        <v>30</v>
      </c>
      <c r="ABR46" s="1137">
        <f t="shared" si="9"/>
        <v>31</v>
      </c>
      <c r="ABS46" s="1137">
        <f t="shared" si="9"/>
        <v>31</v>
      </c>
      <c r="ABT46" s="1137">
        <f t="shared" si="9"/>
        <v>28</v>
      </c>
      <c r="ABU46" s="1137">
        <f t="shared" si="9"/>
        <v>31</v>
      </c>
      <c r="ABV46" s="1137">
        <f t="shared" si="9"/>
        <v>30</v>
      </c>
      <c r="ABW46" s="1137">
        <f t="shared" si="7"/>
        <v>31</v>
      </c>
      <c r="ABX46" s="1137">
        <f t="shared" si="7"/>
        <v>30</v>
      </c>
      <c r="ABY46" s="1137">
        <f t="shared" si="7"/>
        <v>31</v>
      </c>
      <c r="ABZ46" s="1137">
        <f t="shared" si="7"/>
        <v>31</v>
      </c>
      <c r="ACA46" s="1137">
        <f t="shared" si="7"/>
        <v>30</v>
      </c>
      <c r="ACB46" s="1137">
        <f t="shared" si="7"/>
        <v>31</v>
      </c>
      <c r="ACC46" s="1137">
        <f t="shared" si="7"/>
        <v>14</v>
      </c>
      <c r="ACD46" s="1137">
        <f t="shared" si="7"/>
        <v>0</v>
      </c>
      <c r="ACE46" s="1137" t="s">
        <v>167</v>
      </c>
      <c r="ACF46" s="1137">
        <f t="shared" si="10"/>
        <v>0</v>
      </c>
      <c r="ACG46" s="1137">
        <f t="shared" si="10"/>
        <v>0</v>
      </c>
      <c r="ACH46" s="1137">
        <f t="shared" si="10"/>
        <v>0</v>
      </c>
      <c r="ACI46" s="1137">
        <f t="shared" si="10"/>
        <v>1</v>
      </c>
      <c r="ACJ46" s="1137">
        <f t="shared" si="10"/>
        <v>1</v>
      </c>
      <c r="ACK46" s="1137">
        <f t="shared" si="10"/>
        <v>1</v>
      </c>
      <c r="ACL46" s="1137">
        <f t="shared" si="10"/>
        <v>1</v>
      </c>
      <c r="ACM46" s="1137">
        <f t="shared" si="10"/>
        <v>1</v>
      </c>
      <c r="ACN46" s="1137">
        <f t="shared" si="10"/>
        <v>1</v>
      </c>
      <c r="ACO46" s="1137">
        <f t="shared" si="10"/>
        <v>1</v>
      </c>
      <c r="ACP46" s="1137">
        <f t="shared" si="10"/>
        <v>1</v>
      </c>
      <c r="ACQ46" s="1137">
        <f t="shared" si="10"/>
        <v>1</v>
      </c>
      <c r="ACR46" s="1137">
        <f t="shared" si="10"/>
        <v>1</v>
      </c>
      <c r="ACS46" s="1137">
        <f t="shared" si="10"/>
        <v>1</v>
      </c>
      <c r="ACT46" s="1137">
        <f t="shared" si="10"/>
        <v>1</v>
      </c>
      <c r="ACU46" s="1137">
        <f t="shared" si="10"/>
        <v>1</v>
      </c>
      <c r="ACV46" s="1137">
        <f t="shared" si="8"/>
        <v>1</v>
      </c>
      <c r="ACW46" s="1137">
        <f t="shared" si="8"/>
        <v>1</v>
      </c>
      <c r="ACX46" s="1137">
        <f t="shared" si="8"/>
        <v>1</v>
      </c>
      <c r="ACY46" s="1137">
        <f t="shared" si="8"/>
        <v>1</v>
      </c>
      <c r="ACZ46" s="1137">
        <f t="shared" si="8"/>
        <v>1</v>
      </c>
      <c r="ADA46" s="1137">
        <f t="shared" si="8"/>
        <v>1</v>
      </c>
      <c r="ADB46" s="1137">
        <f t="shared" si="8"/>
        <v>1</v>
      </c>
      <c r="ADC46" s="1137">
        <f t="shared" si="8"/>
        <v>0</v>
      </c>
    </row>
    <row r="47" spans="1:783" x14ac:dyDescent="0.25">
      <c r="A47" t="s">
        <v>1844</v>
      </c>
      <c r="B47" t="s">
        <v>168</v>
      </c>
      <c r="C47">
        <v>0</v>
      </c>
      <c r="D47">
        <v>0</v>
      </c>
      <c r="E47">
        <v>0</v>
      </c>
      <c r="F47">
        <v>0</v>
      </c>
      <c r="G47">
        <v>0</v>
      </c>
      <c r="H47">
        <v>0</v>
      </c>
      <c r="I47">
        <v>0</v>
      </c>
      <c r="J47">
        <v>0</v>
      </c>
      <c r="K47">
        <v>0</v>
      </c>
      <c r="L47">
        <v>0</v>
      </c>
      <c r="M47">
        <v>0</v>
      </c>
      <c r="N47">
        <v>0</v>
      </c>
      <c r="O47">
        <v>0</v>
      </c>
      <c r="P47">
        <v>0</v>
      </c>
      <c r="Q47">
        <v>0</v>
      </c>
      <c r="R47">
        <v>0</v>
      </c>
      <c r="S47">
        <v>0</v>
      </c>
      <c r="T47">
        <v>0</v>
      </c>
      <c r="U47">
        <v>0</v>
      </c>
      <c r="V47">
        <v>0</v>
      </c>
      <c r="W47">
        <v>0</v>
      </c>
      <c r="X47">
        <v>0</v>
      </c>
      <c r="Y47">
        <v>0</v>
      </c>
      <c r="Z47">
        <v>0</v>
      </c>
      <c r="AA47">
        <v>0</v>
      </c>
      <c r="AB47">
        <v>0</v>
      </c>
      <c r="AC47">
        <v>0</v>
      </c>
      <c r="AD47">
        <v>0</v>
      </c>
      <c r="AE47">
        <v>0</v>
      </c>
      <c r="AF47">
        <v>0</v>
      </c>
      <c r="AG47">
        <v>0</v>
      </c>
      <c r="AH47">
        <v>0</v>
      </c>
      <c r="AI47">
        <v>0</v>
      </c>
      <c r="AJ47">
        <v>0</v>
      </c>
      <c r="AK47">
        <v>0</v>
      </c>
      <c r="AL47">
        <v>0</v>
      </c>
      <c r="AM47">
        <v>0</v>
      </c>
      <c r="AN47">
        <v>0</v>
      </c>
      <c r="AO47">
        <v>0</v>
      </c>
      <c r="AP47">
        <v>0</v>
      </c>
      <c r="AQ47">
        <v>0</v>
      </c>
      <c r="AR47">
        <v>0</v>
      </c>
      <c r="AS47">
        <v>0</v>
      </c>
      <c r="AT47">
        <v>0</v>
      </c>
      <c r="AU47">
        <v>0</v>
      </c>
      <c r="AV47">
        <v>0</v>
      </c>
      <c r="AW47">
        <v>0</v>
      </c>
      <c r="AX47">
        <v>0</v>
      </c>
      <c r="AY47">
        <v>0</v>
      </c>
      <c r="AZ47">
        <v>0</v>
      </c>
      <c r="BA47">
        <v>0</v>
      </c>
      <c r="BB47">
        <v>0</v>
      </c>
      <c r="BC47">
        <v>0</v>
      </c>
      <c r="BD47">
        <v>0</v>
      </c>
      <c r="BE47">
        <v>0</v>
      </c>
      <c r="BF47">
        <v>0</v>
      </c>
      <c r="BG47">
        <v>0</v>
      </c>
      <c r="BH47">
        <v>0</v>
      </c>
      <c r="BI47">
        <v>0</v>
      </c>
      <c r="BJ47">
        <v>0</v>
      </c>
      <c r="BK47">
        <v>0</v>
      </c>
      <c r="BL47">
        <v>0</v>
      </c>
      <c r="BM47">
        <v>0</v>
      </c>
      <c r="BN47">
        <v>0</v>
      </c>
      <c r="BO47">
        <v>0</v>
      </c>
      <c r="BP47">
        <v>0</v>
      </c>
      <c r="BQ47">
        <v>0</v>
      </c>
      <c r="BR47">
        <v>0</v>
      </c>
      <c r="BS47">
        <v>0</v>
      </c>
      <c r="BT47">
        <v>0</v>
      </c>
      <c r="BU47">
        <v>0</v>
      </c>
      <c r="BV47">
        <v>0</v>
      </c>
      <c r="BW47">
        <v>0</v>
      </c>
      <c r="BX47">
        <v>0</v>
      </c>
      <c r="BY47">
        <v>0</v>
      </c>
      <c r="BZ47">
        <v>0</v>
      </c>
      <c r="CA47">
        <v>0</v>
      </c>
      <c r="CB47">
        <v>0</v>
      </c>
      <c r="CC47">
        <v>0</v>
      </c>
      <c r="CD47">
        <v>0</v>
      </c>
      <c r="CE47">
        <v>0</v>
      </c>
      <c r="CF47">
        <v>0</v>
      </c>
      <c r="CG47">
        <v>0</v>
      </c>
      <c r="CH47">
        <v>2</v>
      </c>
      <c r="CI47">
        <v>2</v>
      </c>
      <c r="CJ47">
        <v>2</v>
      </c>
      <c r="CK47">
        <v>2</v>
      </c>
      <c r="CL47">
        <v>2</v>
      </c>
      <c r="CM47">
        <v>2</v>
      </c>
      <c r="CN47">
        <v>2</v>
      </c>
      <c r="CO47">
        <v>2</v>
      </c>
      <c r="CP47">
        <v>2</v>
      </c>
      <c r="CQ47">
        <v>2</v>
      </c>
      <c r="CR47">
        <v>2</v>
      </c>
      <c r="CS47">
        <v>2</v>
      </c>
      <c r="CT47">
        <v>2</v>
      </c>
      <c r="CU47">
        <v>2</v>
      </c>
      <c r="CV47">
        <v>2</v>
      </c>
      <c r="CW47">
        <v>2</v>
      </c>
      <c r="CX47">
        <v>2</v>
      </c>
      <c r="CY47">
        <v>2</v>
      </c>
      <c r="CZ47">
        <v>2</v>
      </c>
      <c r="DA47">
        <v>2</v>
      </c>
      <c r="DB47">
        <v>2</v>
      </c>
      <c r="DC47">
        <v>2</v>
      </c>
      <c r="DD47">
        <v>2</v>
      </c>
      <c r="DE47">
        <v>2</v>
      </c>
      <c r="DF47">
        <v>2</v>
      </c>
      <c r="DG47">
        <v>2</v>
      </c>
      <c r="DH47">
        <v>2</v>
      </c>
      <c r="DI47">
        <v>2</v>
      </c>
      <c r="DJ47">
        <v>2</v>
      </c>
      <c r="DK47">
        <v>2</v>
      </c>
      <c r="DL47">
        <v>2</v>
      </c>
      <c r="DM47">
        <v>2</v>
      </c>
      <c r="DN47">
        <v>2</v>
      </c>
      <c r="DO47">
        <v>2</v>
      </c>
      <c r="DP47">
        <v>2</v>
      </c>
      <c r="DQ47">
        <v>2</v>
      </c>
      <c r="DR47">
        <v>2</v>
      </c>
      <c r="DS47">
        <v>2</v>
      </c>
      <c r="DT47">
        <v>2</v>
      </c>
      <c r="DU47">
        <v>2</v>
      </c>
      <c r="DV47">
        <v>2</v>
      </c>
      <c r="DW47">
        <v>2</v>
      </c>
      <c r="DX47">
        <v>2</v>
      </c>
      <c r="DY47">
        <v>2</v>
      </c>
      <c r="DZ47">
        <v>2</v>
      </c>
      <c r="EA47">
        <v>2</v>
      </c>
      <c r="EB47">
        <v>2</v>
      </c>
      <c r="EC47">
        <v>2</v>
      </c>
      <c r="ED47">
        <v>2</v>
      </c>
      <c r="EE47">
        <v>2</v>
      </c>
      <c r="EF47">
        <v>2</v>
      </c>
      <c r="EG47">
        <v>2</v>
      </c>
      <c r="EH47">
        <v>2</v>
      </c>
      <c r="EI47">
        <v>2</v>
      </c>
      <c r="EJ47">
        <v>2</v>
      </c>
      <c r="EK47">
        <v>2</v>
      </c>
      <c r="EL47">
        <v>2</v>
      </c>
      <c r="EM47">
        <v>2</v>
      </c>
      <c r="EN47">
        <v>1</v>
      </c>
      <c r="EO47">
        <v>1</v>
      </c>
      <c r="EP47">
        <v>1</v>
      </c>
      <c r="EQ47">
        <v>1</v>
      </c>
      <c r="ER47">
        <v>1</v>
      </c>
      <c r="ES47">
        <v>1</v>
      </c>
      <c r="ET47">
        <v>1</v>
      </c>
      <c r="EU47">
        <v>1</v>
      </c>
      <c r="EV47">
        <v>1</v>
      </c>
      <c r="EW47">
        <v>1</v>
      </c>
      <c r="EX47">
        <v>1</v>
      </c>
      <c r="EY47">
        <v>1</v>
      </c>
      <c r="EZ47">
        <v>1</v>
      </c>
      <c r="FA47">
        <v>1</v>
      </c>
      <c r="FB47">
        <v>1</v>
      </c>
      <c r="FC47">
        <v>1</v>
      </c>
      <c r="FD47">
        <v>1</v>
      </c>
      <c r="FE47">
        <v>1</v>
      </c>
      <c r="FF47">
        <v>0</v>
      </c>
      <c r="FG47">
        <v>0</v>
      </c>
      <c r="FH47">
        <v>0</v>
      </c>
      <c r="FI47">
        <v>0</v>
      </c>
      <c r="FJ47">
        <v>0</v>
      </c>
      <c r="FK47">
        <v>0</v>
      </c>
      <c r="FL47">
        <v>0</v>
      </c>
      <c r="FM47">
        <v>0</v>
      </c>
      <c r="FN47">
        <v>0</v>
      </c>
      <c r="FO47">
        <v>0</v>
      </c>
      <c r="FP47">
        <v>0</v>
      </c>
      <c r="FQ47">
        <v>0</v>
      </c>
      <c r="FR47">
        <v>0</v>
      </c>
      <c r="FS47">
        <v>0</v>
      </c>
      <c r="FT47">
        <v>0</v>
      </c>
      <c r="FU47">
        <v>0</v>
      </c>
      <c r="FV47">
        <v>0</v>
      </c>
      <c r="FW47">
        <v>0</v>
      </c>
      <c r="FX47">
        <v>0</v>
      </c>
      <c r="FY47">
        <v>0</v>
      </c>
      <c r="FZ47">
        <v>0</v>
      </c>
      <c r="GA47">
        <v>0</v>
      </c>
      <c r="GB47">
        <v>0</v>
      </c>
      <c r="GC47">
        <v>0</v>
      </c>
      <c r="GD47">
        <v>0</v>
      </c>
      <c r="GE47">
        <v>0</v>
      </c>
      <c r="GF47">
        <v>0</v>
      </c>
      <c r="GG47">
        <v>0</v>
      </c>
      <c r="GH47">
        <v>0</v>
      </c>
      <c r="GI47">
        <v>0</v>
      </c>
      <c r="GJ47">
        <v>0</v>
      </c>
      <c r="GK47">
        <v>0</v>
      </c>
      <c r="GL47">
        <v>0</v>
      </c>
      <c r="GM47">
        <v>0</v>
      </c>
      <c r="GN47">
        <v>0</v>
      </c>
      <c r="GO47">
        <v>0</v>
      </c>
      <c r="GP47">
        <v>0</v>
      </c>
      <c r="GQ47">
        <v>0</v>
      </c>
      <c r="GR47">
        <v>0</v>
      </c>
      <c r="GS47">
        <v>0</v>
      </c>
      <c r="GT47">
        <v>0</v>
      </c>
      <c r="GU47">
        <v>0</v>
      </c>
      <c r="GV47">
        <v>0</v>
      </c>
      <c r="GW47">
        <v>0</v>
      </c>
      <c r="GX47">
        <v>0</v>
      </c>
      <c r="GY47">
        <v>0</v>
      </c>
      <c r="GZ47">
        <v>0</v>
      </c>
      <c r="HA47">
        <v>0</v>
      </c>
      <c r="HB47">
        <v>0</v>
      </c>
      <c r="HC47">
        <v>0</v>
      </c>
      <c r="HD47">
        <v>0</v>
      </c>
      <c r="HE47">
        <v>0</v>
      </c>
      <c r="HF47">
        <v>0</v>
      </c>
      <c r="HG47">
        <v>0</v>
      </c>
      <c r="HH47">
        <v>0</v>
      </c>
      <c r="HI47">
        <v>0</v>
      </c>
      <c r="HJ47">
        <v>0</v>
      </c>
      <c r="HK47">
        <v>0</v>
      </c>
      <c r="HL47">
        <v>0</v>
      </c>
      <c r="HM47">
        <v>0</v>
      </c>
      <c r="HN47">
        <v>0</v>
      </c>
      <c r="HO47">
        <v>0</v>
      </c>
      <c r="HP47">
        <v>0</v>
      </c>
      <c r="HQ47">
        <v>0</v>
      </c>
      <c r="HR47">
        <v>0</v>
      </c>
      <c r="HS47">
        <v>0</v>
      </c>
      <c r="HT47">
        <v>0</v>
      </c>
      <c r="HU47">
        <v>0</v>
      </c>
      <c r="HV47">
        <v>0</v>
      </c>
      <c r="HW47">
        <v>0</v>
      </c>
      <c r="HX47">
        <v>0</v>
      </c>
      <c r="HY47">
        <v>0</v>
      </c>
      <c r="HZ47">
        <v>0</v>
      </c>
      <c r="IA47">
        <v>0</v>
      </c>
      <c r="IB47">
        <v>0</v>
      </c>
      <c r="IC47">
        <v>0</v>
      </c>
      <c r="ID47">
        <v>0</v>
      </c>
      <c r="IE47">
        <v>0</v>
      </c>
      <c r="IF47">
        <v>0</v>
      </c>
      <c r="IG47">
        <v>0</v>
      </c>
      <c r="IH47">
        <v>0</v>
      </c>
      <c r="II47">
        <v>0</v>
      </c>
      <c r="IJ47">
        <v>0</v>
      </c>
      <c r="IK47">
        <v>0</v>
      </c>
      <c r="IL47">
        <v>0</v>
      </c>
      <c r="IM47">
        <v>0</v>
      </c>
      <c r="IN47">
        <v>0</v>
      </c>
      <c r="IO47">
        <v>0</v>
      </c>
      <c r="IP47">
        <v>0</v>
      </c>
      <c r="IQ47">
        <v>0</v>
      </c>
      <c r="IR47">
        <v>0</v>
      </c>
      <c r="IS47">
        <v>0</v>
      </c>
      <c r="IT47">
        <v>0</v>
      </c>
      <c r="IU47">
        <v>0</v>
      </c>
      <c r="IV47">
        <v>0</v>
      </c>
      <c r="IW47">
        <v>0</v>
      </c>
      <c r="IX47">
        <v>0</v>
      </c>
      <c r="IY47">
        <v>0</v>
      </c>
      <c r="IZ47">
        <v>0</v>
      </c>
      <c r="JA47">
        <v>0</v>
      </c>
      <c r="JB47">
        <v>0</v>
      </c>
      <c r="JC47">
        <v>0</v>
      </c>
      <c r="JD47">
        <v>0</v>
      </c>
      <c r="JE47">
        <v>0</v>
      </c>
      <c r="JF47">
        <v>0</v>
      </c>
      <c r="JG47">
        <v>0</v>
      </c>
      <c r="JH47">
        <v>0</v>
      </c>
      <c r="JI47">
        <v>0</v>
      </c>
      <c r="JJ47">
        <v>0</v>
      </c>
      <c r="JK47">
        <v>0</v>
      </c>
      <c r="JL47">
        <v>0</v>
      </c>
      <c r="JM47">
        <v>0</v>
      </c>
      <c r="JN47">
        <v>0</v>
      </c>
      <c r="JO47">
        <v>0</v>
      </c>
      <c r="JP47">
        <v>0</v>
      </c>
      <c r="JQ47">
        <v>0</v>
      </c>
      <c r="JR47">
        <v>0</v>
      </c>
      <c r="JS47">
        <v>0</v>
      </c>
      <c r="JT47">
        <v>0</v>
      </c>
      <c r="JU47">
        <v>0</v>
      </c>
      <c r="JV47">
        <v>0</v>
      </c>
      <c r="JW47">
        <v>0</v>
      </c>
      <c r="JX47">
        <v>0</v>
      </c>
      <c r="JY47">
        <v>0</v>
      </c>
      <c r="JZ47">
        <v>0</v>
      </c>
      <c r="KA47">
        <v>0</v>
      </c>
      <c r="KB47">
        <v>0</v>
      </c>
      <c r="KC47">
        <v>0</v>
      </c>
      <c r="KD47">
        <v>0</v>
      </c>
      <c r="KE47">
        <v>0</v>
      </c>
      <c r="KF47">
        <v>0</v>
      </c>
      <c r="KG47">
        <v>0</v>
      </c>
      <c r="KH47">
        <v>0</v>
      </c>
      <c r="KI47">
        <v>0</v>
      </c>
      <c r="KJ47">
        <v>0</v>
      </c>
      <c r="KK47">
        <v>0</v>
      </c>
      <c r="KL47">
        <v>0</v>
      </c>
      <c r="KM47">
        <v>0</v>
      </c>
      <c r="KN47">
        <v>0</v>
      </c>
      <c r="KO47">
        <v>0</v>
      </c>
      <c r="KP47">
        <v>0</v>
      </c>
      <c r="KQ47">
        <v>0</v>
      </c>
      <c r="KR47">
        <v>0</v>
      </c>
      <c r="KS47">
        <v>0</v>
      </c>
      <c r="KT47">
        <v>0</v>
      </c>
      <c r="KU47">
        <v>0</v>
      </c>
      <c r="KV47">
        <v>0</v>
      </c>
      <c r="KW47">
        <v>0</v>
      </c>
      <c r="KX47">
        <v>2</v>
      </c>
      <c r="KY47">
        <v>2</v>
      </c>
      <c r="KZ47">
        <v>2</v>
      </c>
      <c r="LA47">
        <v>2</v>
      </c>
      <c r="LB47">
        <v>2</v>
      </c>
      <c r="LC47">
        <v>2</v>
      </c>
      <c r="LD47">
        <v>2</v>
      </c>
      <c r="LE47">
        <v>2</v>
      </c>
      <c r="LF47">
        <v>2</v>
      </c>
      <c r="LG47">
        <v>2</v>
      </c>
      <c r="LH47">
        <v>2</v>
      </c>
      <c r="LI47">
        <v>2</v>
      </c>
      <c r="LJ47">
        <v>2</v>
      </c>
      <c r="LK47">
        <v>2</v>
      </c>
      <c r="LL47">
        <v>2</v>
      </c>
      <c r="LM47">
        <v>2</v>
      </c>
      <c r="LN47">
        <v>2</v>
      </c>
      <c r="LO47">
        <v>2</v>
      </c>
      <c r="LP47">
        <v>2</v>
      </c>
      <c r="LQ47">
        <v>2</v>
      </c>
      <c r="LR47">
        <v>2</v>
      </c>
      <c r="LS47">
        <v>2</v>
      </c>
      <c r="LT47">
        <v>2</v>
      </c>
      <c r="LU47">
        <v>2</v>
      </c>
      <c r="LV47">
        <v>2</v>
      </c>
      <c r="LW47">
        <v>2</v>
      </c>
      <c r="LX47">
        <v>2</v>
      </c>
      <c r="LY47">
        <v>0</v>
      </c>
      <c r="LZ47">
        <v>0</v>
      </c>
      <c r="MA47">
        <v>0</v>
      </c>
      <c r="MB47">
        <v>0</v>
      </c>
      <c r="MC47">
        <v>0</v>
      </c>
      <c r="MD47">
        <v>0</v>
      </c>
      <c r="ME47">
        <v>0</v>
      </c>
      <c r="MF47">
        <v>0</v>
      </c>
      <c r="MG47">
        <v>0</v>
      </c>
      <c r="MH47">
        <v>0</v>
      </c>
      <c r="MI47">
        <v>0</v>
      </c>
      <c r="MJ47">
        <v>0</v>
      </c>
      <c r="MK47">
        <v>0</v>
      </c>
      <c r="ML47">
        <v>0</v>
      </c>
      <c r="MM47">
        <v>0</v>
      </c>
      <c r="MN47">
        <v>0</v>
      </c>
      <c r="MO47">
        <v>0</v>
      </c>
      <c r="MP47">
        <v>0</v>
      </c>
      <c r="MQ47">
        <v>0</v>
      </c>
      <c r="MR47">
        <v>0</v>
      </c>
      <c r="MS47">
        <v>0</v>
      </c>
      <c r="MT47">
        <v>2</v>
      </c>
      <c r="MU47">
        <v>2</v>
      </c>
      <c r="MV47">
        <v>2</v>
      </c>
      <c r="MW47">
        <v>1</v>
      </c>
      <c r="MX47">
        <v>1</v>
      </c>
      <c r="MY47">
        <v>2</v>
      </c>
      <c r="MZ47">
        <v>2</v>
      </c>
      <c r="NA47">
        <v>2</v>
      </c>
      <c r="NB47">
        <v>2</v>
      </c>
      <c r="NC47">
        <v>2</v>
      </c>
      <c r="ND47">
        <v>2</v>
      </c>
      <c r="NE47">
        <v>2</v>
      </c>
      <c r="NF47">
        <v>2</v>
      </c>
      <c r="NG47">
        <v>2</v>
      </c>
      <c r="NH47">
        <v>2</v>
      </c>
      <c r="NI47">
        <v>2</v>
      </c>
      <c r="NJ47">
        <v>2</v>
      </c>
      <c r="NK47">
        <v>2</v>
      </c>
      <c r="NL47">
        <v>2</v>
      </c>
      <c r="NM47">
        <v>2</v>
      </c>
      <c r="NN47">
        <v>2</v>
      </c>
      <c r="NO47">
        <v>2</v>
      </c>
      <c r="NP47">
        <v>2</v>
      </c>
      <c r="NQ47">
        <v>2</v>
      </c>
      <c r="NR47">
        <v>2</v>
      </c>
      <c r="NS47">
        <v>2</v>
      </c>
      <c r="NT47">
        <v>2</v>
      </c>
      <c r="NU47">
        <v>2</v>
      </c>
      <c r="NV47">
        <v>2</v>
      </c>
      <c r="NW47">
        <v>2</v>
      </c>
      <c r="NX47">
        <v>2</v>
      </c>
      <c r="NY47">
        <v>2</v>
      </c>
      <c r="NZ47">
        <v>2</v>
      </c>
      <c r="OA47">
        <v>2</v>
      </c>
      <c r="OB47">
        <v>2</v>
      </c>
      <c r="OC47">
        <v>2</v>
      </c>
      <c r="OD47">
        <v>2</v>
      </c>
      <c r="OE47">
        <v>2</v>
      </c>
      <c r="OF47">
        <v>2</v>
      </c>
      <c r="OG47">
        <v>2</v>
      </c>
      <c r="OH47">
        <v>2</v>
      </c>
      <c r="OI47">
        <v>2</v>
      </c>
      <c r="OJ47">
        <v>2</v>
      </c>
      <c r="OK47">
        <v>2</v>
      </c>
      <c r="OL47">
        <v>2</v>
      </c>
      <c r="OM47">
        <v>2</v>
      </c>
      <c r="ON47">
        <v>2</v>
      </c>
      <c r="OO47">
        <v>2</v>
      </c>
      <c r="OP47">
        <v>2</v>
      </c>
      <c r="OQ47">
        <v>2</v>
      </c>
      <c r="OR47">
        <v>2</v>
      </c>
      <c r="OS47">
        <v>2</v>
      </c>
      <c r="OT47">
        <v>2</v>
      </c>
      <c r="OU47">
        <v>2</v>
      </c>
      <c r="OV47">
        <v>2</v>
      </c>
      <c r="OW47">
        <v>2</v>
      </c>
      <c r="OX47">
        <v>2</v>
      </c>
      <c r="OY47">
        <v>2</v>
      </c>
      <c r="OZ47">
        <v>2</v>
      </c>
      <c r="PA47">
        <v>2</v>
      </c>
      <c r="PB47">
        <v>2</v>
      </c>
      <c r="PC47">
        <v>2</v>
      </c>
      <c r="PD47">
        <v>2</v>
      </c>
      <c r="PE47">
        <v>2</v>
      </c>
      <c r="PF47">
        <v>2</v>
      </c>
      <c r="PG47">
        <v>2</v>
      </c>
      <c r="PH47">
        <v>2</v>
      </c>
      <c r="PI47">
        <v>2</v>
      </c>
      <c r="PJ47">
        <v>2</v>
      </c>
      <c r="PK47">
        <v>2</v>
      </c>
      <c r="PL47">
        <v>1</v>
      </c>
      <c r="PM47">
        <v>1</v>
      </c>
      <c r="PN47">
        <v>1</v>
      </c>
      <c r="PO47">
        <v>1</v>
      </c>
      <c r="PP47">
        <v>1</v>
      </c>
      <c r="PQ47">
        <v>1</v>
      </c>
      <c r="PR47">
        <v>1</v>
      </c>
      <c r="PS47">
        <v>1</v>
      </c>
      <c r="PT47">
        <v>1</v>
      </c>
      <c r="PU47">
        <v>1</v>
      </c>
      <c r="PV47">
        <v>1</v>
      </c>
      <c r="PW47">
        <v>1</v>
      </c>
      <c r="PX47">
        <v>1</v>
      </c>
      <c r="PY47">
        <v>1</v>
      </c>
      <c r="PZ47">
        <v>1</v>
      </c>
      <c r="QA47">
        <v>1</v>
      </c>
      <c r="QB47">
        <v>1</v>
      </c>
      <c r="QC47">
        <v>1</v>
      </c>
      <c r="QD47">
        <v>1</v>
      </c>
      <c r="QE47">
        <v>1</v>
      </c>
      <c r="QF47">
        <v>1</v>
      </c>
      <c r="QG47">
        <v>1</v>
      </c>
      <c r="QH47">
        <v>1</v>
      </c>
      <c r="QI47">
        <v>1</v>
      </c>
      <c r="QJ47">
        <v>1</v>
      </c>
      <c r="QK47">
        <v>1</v>
      </c>
      <c r="QL47">
        <v>1</v>
      </c>
      <c r="QM47">
        <v>1</v>
      </c>
      <c r="QN47">
        <v>1</v>
      </c>
      <c r="QO47">
        <v>1</v>
      </c>
      <c r="QP47">
        <v>1</v>
      </c>
      <c r="QQ47">
        <v>1</v>
      </c>
      <c r="QR47">
        <v>1</v>
      </c>
      <c r="QS47">
        <v>1</v>
      </c>
      <c r="QT47">
        <v>1</v>
      </c>
      <c r="QU47">
        <v>1</v>
      </c>
      <c r="QV47">
        <v>1</v>
      </c>
      <c r="QW47">
        <v>1</v>
      </c>
      <c r="QX47">
        <v>1</v>
      </c>
      <c r="QY47">
        <v>1</v>
      </c>
      <c r="QZ47">
        <v>1</v>
      </c>
      <c r="RA47">
        <v>1</v>
      </c>
      <c r="RB47">
        <v>1</v>
      </c>
      <c r="RC47">
        <v>1</v>
      </c>
      <c r="RD47">
        <v>1</v>
      </c>
      <c r="RE47">
        <v>1</v>
      </c>
      <c r="RF47">
        <v>1</v>
      </c>
      <c r="RG47">
        <v>1</v>
      </c>
      <c r="RH47">
        <v>1</v>
      </c>
      <c r="RI47">
        <v>1</v>
      </c>
      <c r="RJ47">
        <v>1</v>
      </c>
      <c r="RK47">
        <v>1</v>
      </c>
      <c r="RL47">
        <v>1</v>
      </c>
      <c r="RM47">
        <v>1</v>
      </c>
      <c r="RN47">
        <v>1</v>
      </c>
      <c r="RO47">
        <v>1</v>
      </c>
      <c r="RP47">
        <v>1</v>
      </c>
      <c r="RQ47">
        <v>1</v>
      </c>
      <c r="RR47">
        <v>1</v>
      </c>
      <c r="RS47">
        <v>1</v>
      </c>
      <c r="RT47">
        <v>1</v>
      </c>
      <c r="RU47">
        <v>1</v>
      </c>
      <c r="RV47">
        <v>1</v>
      </c>
      <c r="RW47">
        <v>1</v>
      </c>
      <c r="RX47">
        <v>1</v>
      </c>
      <c r="RY47">
        <v>1</v>
      </c>
      <c r="RZ47">
        <v>1</v>
      </c>
      <c r="SA47">
        <v>1</v>
      </c>
      <c r="SB47">
        <v>1</v>
      </c>
      <c r="SC47">
        <v>1</v>
      </c>
      <c r="SD47">
        <v>1</v>
      </c>
      <c r="SE47">
        <v>1</v>
      </c>
      <c r="SF47">
        <v>1</v>
      </c>
      <c r="SG47">
        <v>1</v>
      </c>
      <c r="SH47">
        <v>1</v>
      </c>
      <c r="SI47">
        <v>1</v>
      </c>
      <c r="SJ47">
        <v>1</v>
      </c>
      <c r="SK47">
        <v>1</v>
      </c>
      <c r="SL47">
        <v>1</v>
      </c>
      <c r="SM47">
        <v>1</v>
      </c>
      <c r="SN47">
        <v>1</v>
      </c>
      <c r="SO47">
        <v>1</v>
      </c>
      <c r="SP47">
        <v>1</v>
      </c>
      <c r="SQ47">
        <v>1</v>
      </c>
      <c r="SR47">
        <v>1</v>
      </c>
      <c r="SS47">
        <v>1</v>
      </c>
      <c r="ST47">
        <v>1</v>
      </c>
      <c r="SU47">
        <v>1</v>
      </c>
      <c r="SV47">
        <v>1</v>
      </c>
      <c r="SW47">
        <v>1</v>
      </c>
      <c r="SX47">
        <v>1</v>
      </c>
      <c r="SY47">
        <v>1</v>
      </c>
      <c r="SZ47">
        <v>1</v>
      </c>
      <c r="TA47">
        <v>1</v>
      </c>
      <c r="TB47">
        <v>1</v>
      </c>
      <c r="TC47">
        <v>1</v>
      </c>
      <c r="TD47">
        <v>1</v>
      </c>
      <c r="TE47">
        <v>1</v>
      </c>
      <c r="TF47">
        <v>1</v>
      </c>
      <c r="TG47">
        <v>1</v>
      </c>
      <c r="TH47">
        <v>1</v>
      </c>
      <c r="TI47">
        <v>1</v>
      </c>
      <c r="TJ47">
        <v>1</v>
      </c>
      <c r="TK47">
        <v>1</v>
      </c>
      <c r="TL47">
        <v>1</v>
      </c>
      <c r="TM47">
        <v>1</v>
      </c>
      <c r="TN47">
        <v>1</v>
      </c>
      <c r="TO47">
        <v>1</v>
      </c>
      <c r="TP47">
        <v>1</v>
      </c>
      <c r="TQ47">
        <v>1</v>
      </c>
      <c r="TR47">
        <v>1</v>
      </c>
      <c r="TS47">
        <v>1</v>
      </c>
      <c r="TT47">
        <v>1</v>
      </c>
      <c r="TU47">
        <v>0</v>
      </c>
      <c r="TV47">
        <v>0</v>
      </c>
      <c r="TW47">
        <v>0</v>
      </c>
      <c r="TX47">
        <v>0</v>
      </c>
      <c r="TY47">
        <v>0</v>
      </c>
      <c r="TZ47">
        <v>0</v>
      </c>
      <c r="UA47">
        <v>0</v>
      </c>
      <c r="UB47">
        <v>0</v>
      </c>
      <c r="UC47">
        <v>0</v>
      </c>
      <c r="UD47">
        <v>0</v>
      </c>
      <c r="UE47">
        <v>0</v>
      </c>
      <c r="UF47">
        <v>0</v>
      </c>
      <c r="UG47">
        <v>0</v>
      </c>
      <c r="UH47">
        <v>0</v>
      </c>
      <c r="UI47">
        <v>0</v>
      </c>
      <c r="UJ47">
        <v>0</v>
      </c>
      <c r="UK47">
        <v>0</v>
      </c>
      <c r="UL47">
        <v>0</v>
      </c>
      <c r="UM47">
        <v>0</v>
      </c>
      <c r="UN47">
        <v>0</v>
      </c>
      <c r="UO47">
        <v>0</v>
      </c>
      <c r="UP47">
        <v>0</v>
      </c>
      <c r="UQ47">
        <v>0</v>
      </c>
      <c r="UR47">
        <v>0</v>
      </c>
      <c r="US47">
        <v>0</v>
      </c>
      <c r="UT47">
        <v>0</v>
      </c>
      <c r="UU47">
        <v>0</v>
      </c>
      <c r="UV47">
        <v>0</v>
      </c>
      <c r="UW47">
        <v>0</v>
      </c>
      <c r="UX47">
        <v>0</v>
      </c>
      <c r="UY47">
        <v>0</v>
      </c>
      <c r="UZ47">
        <v>0</v>
      </c>
      <c r="VA47">
        <v>0</v>
      </c>
      <c r="VB47">
        <v>0</v>
      </c>
      <c r="VC47">
        <v>0</v>
      </c>
      <c r="VD47">
        <v>0</v>
      </c>
      <c r="VE47">
        <v>0</v>
      </c>
      <c r="VF47">
        <v>0</v>
      </c>
      <c r="VG47">
        <v>0</v>
      </c>
      <c r="VH47">
        <v>0</v>
      </c>
      <c r="VI47">
        <v>0</v>
      </c>
      <c r="VJ47">
        <v>0</v>
      </c>
      <c r="VK47">
        <v>0</v>
      </c>
      <c r="VL47">
        <v>0</v>
      </c>
      <c r="VM47">
        <v>0</v>
      </c>
      <c r="VN47">
        <v>0</v>
      </c>
      <c r="VO47">
        <v>0</v>
      </c>
      <c r="VP47">
        <v>0</v>
      </c>
      <c r="VQ47">
        <v>0</v>
      </c>
      <c r="VR47">
        <v>0</v>
      </c>
      <c r="VS47">
        <v>0</v>
      </c>
      <c r="VT47">
        <v>0</v>
      </c>
      <c r="VU47">
        <v>0</v>
      </c>
      <c r="VV47">
        <v>0</v>
      </c>
      <c r="VW47">
        <v>0</v>
      </c>
      <c r="VX47">
        <v>0</v>
      </c>
      <c r="VY47">
        <v>0</v>
      </c>
      <c r="VZ47">
        <v>0</v>
      </c>
      <c r="WA47">
        <v>0</v>
      </c>
      <c r="WB47">
        <v>0</v>
      </c>
      <c r="WC47">
        <v>0</v>
      </c>
      <c r="WD47">
        <v>0</v>
      </c>
      <c r="WE47">
        <v>0</v>
      </c>
      <c r="WF47">
        <v>0</v>
      </c>
      <c r="WG47">
        <v>0</v>
      </c>
      <c r="WH47">
        <v>0</v>
      </c>
      <c r="WI47">
        <v>0</v>
      </c>
      <c r="WJ47">
        <v>0</v>
      </c>
      <c r="WK47">
        <v>0</v>
      </c>
      <c r="WL47">
        <v>0</v>
      </c>
      <c r="WM47">
        <v>0</v>
      </c>
      <c r="WN47">
        <v>0</v>
      </c>
      <c r="WO47">
        <v>0</v>
      </c>
      <c r="WP47">
        <v>0</v>
      </c>
      <c r="WQ47">
        <v>0</v>
      </c>
      <c r="WR47">
        <v>0</v>
      </c>
      <c r="WS47">
        <v>0</v>
      </c>
      <c r="WT47">
        <v>0</v>
      </c>
      <c r="WU47">
        <v>0</v>
      </c>
      <c r="WV47">
        <v>0</v>
      </c>
      <c r="WW47">
        <v>0</v>
      </c>
      <c r="WX47">
        <v>0</v>
      </c>
      <c r="WY47">
        <v>0</v>
      </c>
      <c r="WZ47">
        <v>0</v>
      </c>
      <c r="XA47">
        <v>0</v>
      </c>
      <c r="XB47">
        <v>0</v>
      </c>
      <c r="XC47">
        <v>0</v>
      </c>
      <c r="XD47">
        <v>0</v>
      </c>
      <c r="XE47">
        <v>0</v>
      </c>
      <c r="XF47">
        <v>0</v>
      </c>
      <c r="XG47">
        <v>0</v>
      </c>
      <c r="XH47">
        <v>0</v>
      </c>
      <c r="XI47">
        <v>0</v>
      </c>
      <c r="XJ47">
        <v>0</v>
      </c>
      <c r="XK47">
        <v>0</v>
      </c>
      <c r="XL47">
        <v>0</v>
      </c>
      <c r="XM47">
        <v>0</v>
      </c>
      <c r="XN47">
        <v>0</v>
      </c>
      <c r="XO47">
        <v>0</v>
      </c>
      <c r="XP47">
        <v>0</v>
      </c>
      <c r="XQ47">
        <v>0</v>
      </c>
      <c r="XR47">
        <v>0</v>
      </c>
      <c r="XS47">
        <v>0</v>
      </c>
      <c r="XT47">
        <v>0</v>
      </c>
      <c r="XU47">
        <v>0</v>
      </c>
      <c r="XV47">
        <v>0</v>
      </c>
      <c r="XW47">
        <v>0</v>
      </c>
      <c r="XX47">
        <v>0</v>
      </c>
      <c r="XY47">
        <v>0</v>
      </c>
      <c r="XZ47">
        <v>0</v>
      </c>
      <c r="YA47">
        <v>0</v>
      </c>
      <c r="YB47">
        <v>0</v>
      </c>
      <c r="YC47">
        <v>0</v>
      </c>
      <c r="YD47">
        <v>0</v>
      </c>
      <c r="YE47">
        <v>0</v>
      </c>
      <c r="YF47">
        <v>0</v>
      </c>
      <c r="YG47">
        <v>0</v>
      </c>
      <c r="YH47">
        <v>0</v>
      </c>
      <c r="YI47">
        <v>0</v>
      </c>
      <c r="YJ47">
        <v>0</v>
      </c>
      <c r="YK47">
        <v>0</v>
      </c>
      <c r="YL47">
        <v>0</v>
      </c>
      <c r="YM47">
        <v>0</v>
      </c>
      <c r="YN47">
        <v>0</v>
      </c>
      <c r="YO47">
        <v>0</v>
      </c>
      <c r="YP47">
        <v>0</v>
      </c>
      <c r="YQ47">
        <v>0</v>
      </c>
      <c r="YR47">
        <v>0</v>
      </c>
      <c r="YS47">
        <v>0</v>
      </c>
      <c r="YT47">
        <v>0</v>
      </c>
      <c r="YU47">
        <v>0</v>
      </c>
      <c r="YV47">
        <v>0</v>
      </c>
      <c r="YW47">
        <v>0</v>
      </c>
      <c r="YX47">
        <v>0</v>
      </c>
      <c r="YY47">
        <v>0</v>
      </c>
      <c r="YZ47">
        <v>0</v>
      </c>
      <c r="ZA47">
        <v>0</v>
      </c>
      <c r="ZB47">
        <v>0</v>
      </c>
      <c r="ZC47">
        <v>0</v>
      </c>
      <c r="ZD47">
        <v>0</v>
      </c>
      <c r="ZE47">
        <v>0</v>
      </c>
      <c r="ZF47">
        <v>0</v>
      </c>
      <c r="ZG47">
        <v>0</v>
      </c>
      <c r="ZH47">
        <v>0</v>
      </c>
      <c r="ZI47">
        <v>0</v>
      </c>
      <c r="ZJ47">
        <v>0</v>
      </c>
      <c r="ZK47">
        <v>0</v>
      </c>
      <c r="ZL47">
        <v>0</v>
      </c>
      <c r="ZM47">
        <v>0</v>
      </c>
      <c r="ZN47">
        <v>0</v>
      </c>
      <c r="ZO47">
        <v>0</v>
      </c>
      <c r="ZP47">
        <v>0</v>
      </c>
      <c r="ZQ47">
        <v>0</v>
      </c>
      <c r="ZR47">
        <v>0</v>
      </c>
      <c r="ZS47">
        <v>0</v>
      </c>
      <c r="ZT47">
        <v>0</v>
      </c>
      <c r="ZU47">
        <v>0</v>
      </c>
      <c r="ZV47">
        <v>0</v>
      </c>
      <c r="ZW47">
        <v>0</v>
      </c>
      <c r="ZX47">
        <v>0</v>
      </c>
      <c r="ZY47">
        <v>0</v>
      </c>
      <c r="ZZ47">
        <v>0</v>
      </c>
      <c r="AAA47">
        <v>0</v>
      </c>
      <c r="AAB47">
        <v>0</v>
      </c>
      <c r="AAC47">
        <v>0</v>
      </c>
      <c r="AAD47">
        <v>0</v>
      </c>
      <c r="AAE47">
        <v>0</v>
      </c>
      <c r="AAF47">
        <v>0</v>
      </c>
      <c r="AAG47">
        <v>0</v>
      </c>
      <c r="AAH47">
        <v>0</v>
      </c>
      <c r="AAI47">
        <v>0</v>
      </c>
      <c r="AAJ47">
        <v>0</v>
      </c>
      <c r="AAK47">
        <v>0</v>
      </c>
      <c r="AAL47">
        <v>0</v>
      </c>
      <c r="AAM47">
        <v>0</v>
      </c>
      <c r="AAN47">
        <v>0</v>
      </c>
      <c r="AAO47">
        <v>0</v>
      </c>
      <c r="AAP47">
        <v>0</v>
      </c>
      <c r="AAQ47">
        <v>0</v>
      </c>
      <c r="AAR47">
        <v>0</v>
      </c>
      <c r="AAS47">
        <v>0</v>
      </c>
      <c r="AAT47">
        <v>0</v>
      </c>
      <c r="AAU47">
        <v>0</v>
      </c>
      <c r="AAV47">
        <v>0</v>
      </c>
      <c r="AAW47">
        <v>0</v>
      </c>
      <c r="AAX47">
        <v>0</v>
      </c>
      <c r="AAY47">
        <v>0</v>
      </c>
      <c r="AAZ47">
        <v>0</v>
      </c>
      <c r="ABA47">
        <v>0</v>
      </c>
      <c r="ABB47">
        <v>0</v>
      </c>
      <c r="ABC47">
        <v>0</v>
      </c>
      <c r="ABD47">
        <v>0</v>
      </c>
      <c r="ABE47">
        <v>0</v>
      </c>
      <c r="ABG47" s="1137">
        <f t="shared" si="9"/>
        <v>0</v>
      </c>
      <c r="ABH47" s="1137">
        <f t="shared" si="9"/>
        <v>0</v>
      </c>
      <c r="ABI47" s="1137">
        <f t="shared" si="9"/>
        <v>8</v>
      </c>
      <c r="ABJ47" s="1137">
        <f t="shared" si="9"/>
        <v>30</v>
      </c>
      <c r="ABK47" s="1137">
        <f t="shared" si="9"/>
        <v>31</v>
      </c>
      <c r="ABL47" s="1137">
        <f t="shared" si="9"/>
        <v>7</v>
      </c>
      <c r="ABM47" s="1137">
        <f t="shared" si="9"/>
        <v>0</v>
      </c>
      <c r="ABN47" s="1137">
        <f t="shared" si="9"/>
        <v>0</v>
      </c>
      <c r="ABO47" s="1137">
        <f t="shared" si="9"/>
        <v>0</v>
      </c>
      <c r="ABP47" s="1137">
        <f t="shared" si="9"/>
        <v>0</v>
      </c>
      <c r="ABQ47" s="1137">
        <f t="shared" si="9"/>
        <v>27</v>
      </c>
      <c r="ABR47" s="1137">
        <f t="shared" si="9"/>
        <v>11</v>
      </c>
      <c r="ABS47" s="1137">
        <f t="shared" si="9"/>
        <v>31</v>
      </c>
      <c r="ABT47" s="1137">
        <f t="shared" si="9"/>
        <v>28</v>
      </c>
      <c r="ABU47" s="1137">
        <f t="shared" si="9"/>
        <v>31</v>
      </c>
      <c r="ABV47" s="1137">
        <f t="shared" si="9"/>
        <v>30</v>
      </c>
      <c r="ABW47" s="1137">
        <f t="shared" si="7"/>
        <v>31</v>
      </c>
      <c r="ABX47" s="1137">
        <f t="shared" si="7"/>
        <v>21</v>
      </c>
      <c r="ABY47" s="1137">
        <f t="shared" si="7"/>
        <v>0</v>
      </c>
      <c r="ABZ47" s="1137">
        <f t="shared" si="7"/>
        <v>0</v>
      </c>
      <c r="ACA47" s="1137">
        <f t="shared" si="7"/>
        <v>0</v>
      </c>
      <c r="ACB47" s="1137">
        <f t="shared" si="7"/>
        <v>0</v>
      </c>
      <c r="ACC47" s="1137">
        <f t="shared" si="7"/>
        <v>0</v>
      </c>
      <c r="ACD47" s="1137">
        <f t="shared" si="7"/>
        <v>0</v>
      </c>
      <c r="ACE47" s="1137" t="s">
        <v>168</v>
      </c>
      <c r="ACF47" s="1137">
        <f t="shared" si="10"/>
        <v>0</v>
      </c>
      <c r="ACG47" s="1137">
        <f t="shared" si="10"/>
        <v>0</v>
      </c>
      <c r="ACH47" s="1137">
        <f t="shared" si="10"/>
        <v>0</v>
      </c>
      <c r="ACI47" s="1137">
        <f t="shared" si="10"/>
        <v>1</v>
      </c>
      <c r="ACJ47" s="1137">
        <f t="shared" si="10"/>
        <v>1</v>
      </c>
      <c r="ACK47" s="1137">
        <f t="shared" si="10"/>
        <v>0</v>
      </c>
      <c r="ACL47" s="1137">
        <f t="shared" si="10"/>
        <v>0</v>
      </c>
      <c r="ACM47" s="1137">
        <f t="shared" si="10"/>
        <v>0</v>
      </c>
      <c r="ACN47" s="1137">
        <f t="shared" si="10"/>
        <v>0</v>
      </c>
      <c r="ACO47" s="1137">
        <f t="shared" si="10"/>
        <v>0</v>
      </c>
      <c r="ACP47" s="1137">
        <f t="shared" si="10"/>
        <v>1</v>
      </c>
      <c r="ACQ47" s="1137">
        <f t="shared" si="10"/>
        <v>1</v>
      </c>
      <c r="ACR47" s="1137">
        <f t="shared" si="10"/>
        <v>1</v>
      </c>
      <c r="ACS47" s="1137">
        <f t="shared" si="10"/>
        <v>1</v>
      </c>
      <c r="ACT47" s="1137">
        <f t="shared" si="10"/>
        <v>1</v>
      </c>
      <c r="ACU47" s="1137">
        <f t="shared" si="10"/>
        <v>1</v>
      </c>
      <c r="ACV47" s="1137">
        <f t="shared" si="8"/>
        <v>1</v>
      </c>
      <c r="ACW47" s="1137">
        <f t="shared" si="8"/>
        <v>1</v>
      </c>
      <c r="ACX47" s="1137">
        <f t="shared" si="8"/>
        <v>0</v>
      </c>
      <c r="ACY47" s="1137">
        <f t="shared" si="8"/>
        <v>0</v>
      </c>
      <c r="ACZ47" s="1137">
        <f t="shared" si="8"/>
        <v>0</v>
      </c>
      <c r="ADA47" s="1137">
        <f t="shared" si="8"/>
        <v>0</v>
      </c>
      <c r="ADB47" s="1137">
        <f t="shared" si="8"/>
        <v>0</v>
      </c>
      <c r="ADC47" s="1137">
        <f t="shared" si="8"/>
        <v>0</v>
      </c>
    </row>
    <row r="48" spans="1:783" x14ac:dyDescent="0.25">
      <c r="A48" t="s">
        <v>1845</v>
      </c>
      <c r="B48" t="s">
        <v>169</v>
      </c>
      <c r="C48">
        <v>0</v>
      </c>
      <c r="D48">
        <v>0</v>
      </c>
      <c r="E48">
        <v>0</v>
      </c>
      <c r="F48">
        <v>0</v>
      </c>
      <c r="G48">
        <v>0</v>
      </c>
      <c r="H48">
        <v>0</v>
      </c>
      <c r="I48">
        <v>0</v>
      </c>
      <c r="J48">
        <v>0</v>
      </c>
      <c r="K48">
        <v>0</v>
      </c>
      <c r="L48">
        <v>0</v>
      </c>
      <c r="M48">
        <v>0</v>
      </c>
      <c r="N48">
        <v>0</v>
      </c>
      <c r="O48">
        <v>0</v>
      </c>
      <c r="P48">
        <v>0</v>
      </c>
      <c r="Q48">
        <v>0</v>
      </c>
      <c r="R48">
        <v>0</v>
      </c>
      <c r="S48">
        <v>0</v>
      </c>
      <c r="T48">
        <v>0</v>
      </c>
      <c r="U48">
        <v>0</v>
      </c>
      <c r="V48">
        <v>0</v>
      </c>
      <c r="W48">
        <v>0</v>
      </c>
      <c r="X48">
        <v>0</v>
      </c>
      <c r="Y48">
        <v>0</v>
      </c>
      <c r="Z48">
        <v>0</v>
      </c>
      <c r="AA48">
        <v>0</v>
      </c>
      <c r="AB48">
        <v>0</v>
      </c>
      <c r="AC48">
        <v>0</v>
      </c>
      <c r="AD48">
        <v>0</v>
      </c>
      <c r="AE48">
        <v>0</v>
      </c>
      <c r="AF48">
        <v>0</v>
      </c>
      <c r="AG48">
        <v>0</v>
      </c>
      <c r="AH48">
        <v>0</v>
      </c>
      <c r="AI48">
        <v>0</v>
      </c>
      <c r="AJ48">
        <v>0</v>
      </c>
      <c r="AK48">
        <v>0</v>
      </c>
      <c r="AL48">
        <v>0</v>
      </c>
      <c r="AM48">
        <v>0</v>
      </c>
      <c r="AN48">
        <v>0</v>
      </c>
      <c r="AO48">
        <v>0</v>
      </c>
      <c r="AP48">
        <v>0</v>
      </c>
      <c r="AQ48">
        <v>0</v>
      </c>
      <c r="AR48">
        <v>0</v>
      </c>
      <c r="AS48">
        <v>0</v>
      </c>
      <c r="AT48">
        <v>0</v>
      </c>
      <c r="AU48">
        <v>0</v>
      </c>
      <c r="AV48">
        <v>0</v>
      </c>
      <c r="AW48">
        <v>0</v>
      </c>
      <c r="AX48">
        <v>0</v>
      </c>
      <c r="AY48">
        <v>0</v>
      </c>
      <c r="AZ48">
        <v>0</v>
      </c>
      <c r="BA48">
        <v>0</v>
      </c>
      <c r="BB48">
        <v>0</v>
      </c>
      <c r="BC48">
        <v>0</v>
      </c>
      <c r="BD48">
        <v>0</v>
      </c>
      <c r="BE48">
        <v>0</v>
      </c>
      <c r="BF48">
        <v>0</v>
      </c>
      <c r="BG48">
        <v>0</v>
      </c>
      <c r="BH48">
        <v>0</v>
      </c>
      <c r="BI48">
        <v>0</v>
      </c>
      <c r="BJ48">
        <v>0</v>
      </c>
      <c r="BK48">
        <v>0</v>
      </c>
      <c r="BL48">
        <v>0</v>
      </c>
      <c r="BM48">
        <v>0</v>
      </c>
      <c r="BN48">
        <v>0</v>
      </c>
      <c r="BO48">
        <v>0</v>
      </c>
      <c r="BP48">
        <v>0</v>
      </c>
      <c r="BQ48">
        <v>0</v>
      </c>
      <c r="BR48">
        <v>0</v>
      </c>
      <c r="BS48">
        <v>0</v>
      </c>
      <c r="BT48">
        <v>0</v>
      </c>
      <c r="BU48">
        <v>0</v>
      </c>
      <c r="BV48">
        <v>0</v>
      </c>
      <c r="BW48">
        <v>0</v>
      </c>
      <c r="BX48">
        <v>0</v>
      </c>
      <c r="BY48">
        <v>0</v>
      </c>
      <c r="BZ48">
        <v>2</v>
      </c>
      <c r="CA48">
        <v>2</v>
      </c>
      <c r="CB48">
        <v>2</v>
      </c>
      <c r="CC48">
        <v>2</v>
      </c>
      <c r="CD48">
        <v>2</v>
      </c>
      <c r="CE48">
        <v>2</v>
      </c>
      <c r="CF48">
        <v>2</v>
      </c>
      <c r="CG48">
        <v>2</v>
      </c>
      <c r="CH48">
        <v>2</v>
      </c>
      <c r="CI48">
        <v>2</v>
      </c>
      <c r="CJ48">
        <v>2</v>
      </c>
      <c r="CK48">
        <v>2</v>
      </c>
      <c r="CL48">
        <v>2</v>
      </c>
      <c r="CM48">
        <v>2</v>
      </c>
      <c r="CN48">
        <v>2</v>
      </c>
      <c r="CO48">
        <v>2</v>
      </c>
      <c r="CP48">
        <v>2</v>
      </c>
      <c r="CQ48">
        <v>0</v>
      </c>
      <c r="CR48">
        <v>0</v>
      </c>
      <c r="CS48">
        <v>0</v>
      </c>
      <c r="CT48">
        <v>0</v>
      </c>
      <c r="CU48">
        <v>0</v>
      </c>
      <c r="CV48">
        <v>0</v>
      </c>
      <c r="CW48">
        <v>0</v>
      </c>
      <c r="CX48">
        <v>0</v>
      </c>
      <c r="CY48">
        <v>0</v>
      </c>
      <c r="CZ48">
        <v>0</v>
      </c>
      <c r="DA48">
        <v>0</v>
      </c>
      <c r="DB48">
        <v>0</v>
      </c>
      <c r="DC48">
        <v>0</v>
      </c>
      <c r="DD48">
        <v>0</v>
      </c>
      <c r="DE48">
        <v>0</v>
      </c>
      <c r="DF48">
        <v>0</v>
      </c>
      <c r="DG48">
        <v>0</v>
      </c>
      <c r="DH48">
        <v>0</v>
      </c>
      <c r="DI48">
        <v>0</v>
      </c>
      <c r="DJ48">
        <v>0</v>
      </c>
      <c r="DK48">
        <v>0</v>
      </c>
      <c r="DL48">
        <v>0</v>
      </c>
      <c r="DM48">
        <v>0</v>
      </c>
      <c r="DN48">
        <v>0</v>
      </c>
      <c r="DO48">
        <v>0</v>
      </c>
      <c r="DP48">
        <v>0</v>
      </c>
      <c r="DQ48">
        <v>0</v>
      </c>
      <c r="DR48">
        <v>0</v>
      </c>
      <c r="DS48">
        <v>0</v>
      </c>
      <c r="DT48">
        <v>0</v>
      </c>
      <c r="DU48">
        <v>0</v>
      </c>
      <c r="DV48">
        <v>0</v>
      </c>
      <c r="DW48">
        <v>0</v>
      </c>
      <c r="DX48">
        <v>0</v>
      </c>
      <c r="DY48">
        <v>0</v>
      </c>
      <c r="DZ48">
        <v>0</v>
      </c>
      <c r="EA48">
        <v>0</v>
      </c>
      <c r="EB48">
        <v>0</v>
      </c>
      <c r="EC48">
        <v>0</v>
      </c>
      <c r="ED48">
        <v>0</v>
      </c>
      <c r="EE48">
        <v>0</v>
      </c>
      <c r="EF48">
        <v>0</v>
      </c>
      <c r="EG48">
        <v>0</v>
      </c>
      <c r="EH48">
        <v>0</v>
      </c>
      <c r="EI48">
        <v>0</v>
      </c>
      <c r="EJ48">
        <v>0</v>
      </c>
      <c r="EK48">
        <v>0</v>
      </c>
      <c r="EL48">
        <v>0</v>
      </c>
      <c r="EM48">
        <v>0</v>
      </c>
      <c r="EN48">
        <v>0</v>
      </c>
      <c r="EO48">
        <v>0</v>
      </c>
      <c r="EP48">
        <v>0</v>
      </c>
      <c r="EQ48">
        <v>0</v>
      </c>
      <c r="ER48">
        <v>0</v>
      </c>
      <c r="ES48">
        <v>0</v>
      </c>
      <c r="ET48">
        <v>0</v>
      </c>
      <c r="EU48">
        <v>0</v>
      </c>
      <c r="EV48">
        <v>0</v>
      </c>
      <c r="EW48">
        <v>0</v>
      </c>
      <c r="EX48">
        <v>0</v>
      </c>
      <c r="EY48">
        <v>0</v>
      </c>
      <c r="EZ48">
        <v>0</v>
      </c>
      <c r="FA48">
        <v>0</v>
      </c>
      <c r="FB48">
        <v>0</v>
      </c>
      <c r="FC48">
        <v>0</v>
      </c>
      <c r="FD48">
        <v>0</v>
      </c>
      <c r="FE48">
        <v>0</v>
      </c>
      <c r="FF48">
        <v>0</v>
      </c>
      <c r="FG48">
        <v>0</v>
      </c>
      <c r="FH48">
        <v>0</v>
      </c>
      <c r="FI48">
        <v>0</v>
      </c>
      <c r="FJ48">
        <v>0</v>
      </c>
      <c r="FK48">
        <v>0</v>
      </c>
      <c r="FL48">
        <v>0</v>
      </c>
      <c r="FM48">
        <v>0</v>
      </c>
      <c r="FN48">
        <v>0</v>
      </c>
      <c r="FO48">
        <v>0</v>
      </c>
      <c r="FP48">
        <v>0</v>
      </c>
      <c r="FQ48">
        <v>0</v>
      </c>
      <c r="FR48">
        <v>0</v>
      </c>
      <c r="FS48">
        <v>0</v>
      </c>
      <c r="FT48">
        <v>0</v>
      </c>
      <c r="FU48">
        <v>0</v>
      </c>
      <c r="FV48">
        <v>0</v>
      </c>
      <c r="FW48">
        <v>0</v>
      </c>
      <c r="FX48">
        <v>0</v>
      </c>
      <c r="FY48">
        <v>0</v>
      </c>
      <c r="FZ48">
        <v>0</v>
      </c>
      <c r="GA48">
        <v>0</v>
      </c>
      <c r="GB48">
        <v>1</v>
      </c>
      <c r="GC48">
        <v>1</v>
      </c>
      <c r="GD48">
        <v>1</v>
      </c>
      <c r="GE48">
        <v>1</v>
      </c>
      <c r="GF48">
        <v>1</v>
      </c>
      <c r="GG48">
        <v>1</v>
      </c>
      <c r="GH48">
        <v>1</v>
      </c>
      <c r="GI48">
        <v>1</v>
      </c>
      <c r="GJ48">
        <v>1</v>
      </c>
      <c r="GK48">
        <v>1</v>
      </c>
      <c r="GL48">
        <v>1</v>
      </c>
      <c r="GM48">
        <v>1</v>
      </c>
      <c r="GN48">
        <v>1</v>
      </c>
      <c r="GO48">
        <v>1</v>
      </c>
      <c r="GP48">
        <v>1</v>
      </c>
      <c r="GQ48">
        <v>1</v>
      </c>
      <c r="GR48">
        <v>1</v>
      </c>
      <c r="GS48">
        <v>1</v>
      </c>
      <c r="GT48">
        <v>1</v>
      </c>
      <c r="GU48">
        <v>1</v>
      </c>
      <c r="GV48">
        <v>1</v>
      </c>
      <c r="GW48">
        <v>1</v>
      </c>
      <c r="GX48">
        <v>1</v>
      </c>
      <c r="GY48">
        <v>1</v>
      </c>
      <c r="GZ48">
        <v>1</v>
      </c>
      <c r="HA48">
        <v>1</v>
      </c>
      <c r="HB48">
        <v>1</v>
      </c>
      <c r="HC48">
        <v>1</v>
      </c>
      <c r="HD48">
        <v>1</v>
      </c>
      <c r="HE48">
        <v>1</v>
      </c>
      <c r="HF48">
        <v>1</v>
      </c>
      <c r="HG48">
        <v>1</v>
      </c>
      <c r="HH48">
        <v>1</v>
      </c>
      <c r="HI48">
        <v>1</v>
      </c>
      <c r="HJ48">
        <v>1</v>
      </c>
      <c r="HK48">
        <v>1</v>
      </c>
      <c r="HL48">
        <v>1</v>
      </c>
      <c r="HM48">
        <v>1</v>
      </c>
      <c r="HN48">
        <v>1</v>
      </c>
      <c r="HO48">
        <v>1</v>
      </c>
      <c r="HP48">
        <v>1</v>
      </c>
      <c r="HQ48">
        <v>1</v>
      </c>
      <c r="HR48">
        <v>1</v>
      </c>
      <c r="HS48">
        <v>1</v>
      </c>
      <c r="HT48">
        <v>1</v>
      </c>
      <c r="HU48">
        <v>1</v>
      </c>
      <c r="HV48">
        <v>1</v>
      </c>
      <c r="HW48">
        <v>1</v>
      </c>
      <c r="HX48">
        <v>1</v>
      </c>
      <c r="HY48">
        <v>1</v>
      </c>
      <c r="HZ48">
        <v>1</v>
      </c>
      <c r="IA48">
        <v>1</v>
      </c>
      <c r="IB48">
        <v>1</v>
      </c>
      <c r="IC48">
        <v>1</v>
      </c>
      <c r="ID48">
        <v>1</v>
      </c>
      <c r="IE48">
        <v>1</v>
      </c>
      <c r="IF48">
        <v>1</v>
      </c>
      <c r="IG48">
        <v>1</v>
      </c>
      <c r="IH48">
        <v>1</v>
      </c>
      <c r="II48">
        <v>1</v>
      </c>
      <c r="IJ48">
        <v>1</v>
      </c>
      <c r="IK48">
        <v>1</v>
      </c>
      <c r="IL48">
        <v>1</v>
      </c>
      <c r="IM48">
        <v>1</v>
      </c>
      <c r="IN48">
        <v>1</v>
      </c>
      <c r="IO48">
        <v>1</v>
      </c>
      <c r="IP48">
        <v>1</v>
      </c>
      <c r="IQ48">
        <v>1</v>
      </c>
      <c r="IR48">
        <v>1</v>
      </c>
      <c r="IS48">
        <v>1</v>
      </c>
      <c r="IT48">
        <v>1</v>
      </c>
      <c r="IU48">
        <v>1</v>
      </c>
      <c r="IV48">
        <v>1</v>
      </c>
      <c r="IW48">
        <v>1</v>
      </c>
      <c r="IX48">
        <v>1</v>
      </c>
      <c r="IY48">
        <v>1</v>
      </c>
      <c r="IZ48">
        <v>1</v>
      </c>
      <c r="JA48">
        <v>1</v>
      </c>
      <c r="JB48">
        <v>1</v>
      </c>
      <c r="JC48">
        <v>1</v>
      </c>
      <c r="JD48">
        <v>1</v>
      </c>
      <c r="JE48">
        <v>1</v>
      </c>
      <c r="JF48">
        <v>1</v>
      </c>
      <c r="JG48">
        <v>1</v>
      </c>
      <c r="JH48">
        <v>1</v>
      </c>
      <c r="JI48">
        <v>1</v>
      </c>
      <c r="JJ48">
        <v>1</v>
      </c>
      <c r="JK48">
        <v>1</v>
      </c>
      <c r="JL48">
        <v>1</v>
      </c>
      <c r="JM48">
        <v>1</v>
      </c>
      <c r="JN48">
        <v>1</v>
      </c>
      <c r="JO48">
        <v>1</v>
      </c>
      <c r="JP48">
        <v>1</v>
      </c>
      <c r="JQ48">
        <v>1</v>
      </c>
      <c r="JR48">
        <v>1</v>
      </c>
      <c r="JS48">
        <v>1</v>
      </c>
      <c r="JT48">
        <v>1</v>
      </c>
      <c r="JU48">
        <v>1</v>
      </c>
      <c r="JV48">
        <v>1</v>
      </c>
      <c r="JW48">
        <v>1</v>
      </c>
      <c r="JX48">
        <v>1</v>
      </c>
      <c r="JY48">
        <v>1</v>
      </c>
      <c r="JZ48">
        <v>1</v>
      </c>
      <c r="KA48">
        <v>1</v>
      </c>
      <c r="KB48">
        <v>1</v>
      </c>
      <c r="KC48">
        <v>1</v>
      </c>
      <c r="KD48">
        <v>1</v>
      </c>
      <c r="KE48">
        <v>1</v>
      </c>
      <c r="KF48">
        <v>1</v>
      </c>
      <c r="KG48">
        <v>1</v>
      </c>
      <c r="KH48">
        <v>1</v>
      </c>
      <c r="KI48">
        <v>1</v>
      </c>
      <c r="KJ48">
        <v>1</v>
      </c>
      <c r="KK48">
        <v>1</v>
      </c>
      <c r="KL48">
        <v>2</v>
      </c>
      <c r="KM48">
        <v>2</v>
      </c>
      <c r="KN48">
        <v>2</v>
      </c>
      <c r="KO48">
        <v>2</v>
      </c>
      <c r="KP48">
        <v>2</v>
      </c>
      <c r="KQ48">
        <v>2</v>
      </c>
      <c r="KR48">
        <v>2</v>
      </c>
      <c r="KS48">
        <v>2</v>
      </c>
      <c r="KT48">
        <v>2</v>
      </c>
      <c r="KU48">
        <v>2</v>
      </c>
      <c r="KV48">
        <v>2</v>
      </c>
      <c r="KW48">
        <v>2</v>
      </c>
      <c r="KX48">
        <v>2</v>
      </c>
      <c r="KY48">
        <v>2</v>
      </c>
      <c r="KZ48">
        <v>2</v>
      </c>
      <c r="LA48">
        <v>2</v>
      </c>
      <c r="LB48">
        <v>2</v>
      </c>
      <c r="LC48">
        <v>2</v>
      </c>
      <c r="LD48">
        <v>2</v>
      </c>
      <c r="LE48">
        <v>2</v>
      </c>
      <c r="LF48">
        <v>2</v>
      </c>
      <c r="LG48">
        <v>2</v>
      </c>
      <c r="LH48">
        <v>2</v>
      </c>
      <c r="LI48">
        <v>2</v>
      </c>
      <c r="LJ48">
        <v>2</v>
      </c>
      <c r="LK48">
        <v>2</v>
      </c>
      <c r="LL48">
        <v>2</v>
      </c>
      <c r="LM48">
        <v>2</v>
      </c>
      <c r="LN48">
        <v>2</v>
      </c>
      <c r="LO48">
        <v>2</v>
      </c>
      <c r="LP48">
        <v>2</v>
      </c>
      <c r="LQ48">
        <v>2</v>
      </c>
      <c r="LR48">
        <v>2</v>
      </c>
      <c r="LS48">
        <v>2</v>
      </c>
      <c r="LT48">
        <v>2</v>
      </c>
      <c r="LU48">
        <v>2</v>
      </c>
      <c r="LV48">
        <v>2</v>
      </c>
      <c r="LW48">
        <v>2</v>
      </c>
      <c r="LX48">
        <v>2</v>
      </c>
      <c r="LY48">
        <v>2</v>
      </c>
      <c r="LZ48">
        <v>2</v>
      </c>
      <c r="MA48">
        <v>2</v>
      </c>
      <c r="MB48">
        <v>2</v>
      </c>
      <c r="MC48">
        <v>2</v>
      </c>
      <c r="MD48">
        <v>2</v>
      </c>
      <c r="ME48">
        <v>2</v>
      </c>
      <c r="MF48">
        <v>2</v>
      </c>
      <c r="MG48">
        <v>2</v>
      </c>
      <c r="MH48">
        <v>2</v>
      </c>
      <c r="MI48">
        <v>2</v>
      </c>
      <c r="MJ48">
        <v>2</v>
      </c>
      <c r="MK48">
        <v>2</v>
      </c>
      <c r="ML48">
        <v>2</v>
      </c>
      <c r="MM48">
        <v>2</v>
      </c>
      <c r="MN48">
        <v>2</v>
      </c>
      <c r="MO48">
        <v>2</v>
      </c>
      <c r="MP48">
        <v>2</v>
      </c>
      <c r="MQ48">
        <v>2</v>
      </c>
      <c r="MR48">
        <v>2</v>
      </c>
      <c r="MS48">
        <v>2</v>
      </c>
      <c r="MT48">
        <v>2</v>
      </c>
      <c r="MU48">
        <v>2</v>
      </c>
      <c r="MV48">
        <v>2</v>
      </c>
      <c r="MW48">
        <v>2</v>
      </c>
      <c r="MX48">
        <v>2</v>
      </c>
      <c r="MY48">
        <v>2</v>
      </c>
      <c r="MZ48">
        <v>2</v>
      </c>
      <c r="NA48">
        <v>2</v>
      </c>
      <c r="NB48">
        <v>2</v>
      </c>
      <c r="NC48">
        <v>2</v>
      </c>
      <c r="ND48">
        <v>2</v>
      </c>
      <c r="NE48">
        <v>2</v>
      </c>
      <c r="NF48">
        <v>2</v>
      </c>
      <c r="NG48">
        <v>2</v>
      </c>
      <c r="NH48">
        <v>2</v>
      </c>
      <c r="NI48">
        <v>2</v>
      </c>
      <c r="NJ48">
        <v>2</v>
      </c>
      <c r="NK48">
        <v>2</v>
      </c>
      <c r="NL48">
        <v>2</v>
      </c>
      <c r="NM48">
        <v>2</v>
      </c>
      <c r="NN48">
        <v>2</v>
      </c>
      <c r="NO48">
        <v>2</v>
      </c>
      <c r="NP48">
        <v>2</v>
      </c>
      <c r="NQ48">
        <v>2</v>
      </c>
      <c r="NR48">
        <v>2</v>
      </c>
      <c r="NS48">
        <v>2</v>
      </c>
      <c r="NT48">
        <v>2</v>
      </c>
      <c r="NU48">
        <v>2</v>
      </c>
      <c r="NV48">
        <v>2</v>
      </c>
      <c r="NW48">
        <v>2</v>
      </c>
      <c r="NX48">
        <v>2</v>
      </c>
      <c r="NY48">
        <v>2</v>
      </c>
      <c r="NZ48">
        <v>2</v>
      </c>
      <c r="OA48">
        <v>2</v>
      </c>
      <c r="OB48">
        <v>2</v>
      </c>
      <c r="OC48">
        <v>2</v>
      </c>
      <c r="OD48">
        <v>2</v>
      </c>
      <c r="OE48">
        <v>2</v>
      </c>
      <c r="OF48">
        <v>2</v>
      </c>
      <c r="OG48">
        <v>2</v>
      </c>
      <c r="OH48">
        <v>2</v>
      </c>
      <c r="OI48">
        <v>2</v>
      </c>
      <c r="OJ48">
        <v>2</v>
      </c>
      <c r="OK48">
        <v>2</v>
      </c>
      <c r="OL48">
        <v>2</v>
      </c>
      <c r="OM48">
        <v>2</v>
      </c>
      <c r="ON48">
        <v>2</v>
      </c>
      <c r="OO48">
        <v>2</v>
      </c>
      <c r="OP48">
        <v>2</v>
      </c>
      <c r="OQ48">
        <v>2</v>
      </c>
      <c r="OR48">
        <v>2</v>
      </c>
      <c r="OS48">
        <v>2</v>
      </c>
      <c r="OT48">
        <v>2</v>
      </c>
      <c r="OU48">
        <v>2</v>
      </c>
      <c r="OV48">
        <v>2</v>
      </c>
      <c r="OW48">
        <v>2</v>
      </c>
      <c r="OX48">
        <v>2</v>
      </c>
      <c r="OY48">
        <v>2</v>
      </c>
      <c r="OZ48">
        <v>2</v>
      </c>
      <c r="PA48">
        <v>2</v>
      </c>
      <c r="PB48">
        <v>2</v>
      </c>
      <c r="PC48">
        <v>2</v>
      </c>
      <c r="PD48">
        <v>2</v>
      </c>
      <c r="PE48">
        <v>2</v>
      </c>
      <c r="PF48">
        <v>2</v>
      </c>
      <c r="PG48">
        <v>2</v>
      </c>
      <c r="PH48">
        <v>2</v>
      </c>
      <c r="PI48">
        <v>2</v>
      </c>
      <c r="PJ48">
        <v>2</v>
      </c>
      <c r="PK48">
        <v>2</v>
      </c>
      <c r="PL48">
        <v>2</v>
      </c>
      <c r="PM48">
        <v>2</v>
      </c>
      <c r="PN48">
        <v>2</v>
      </c>
      <c r="PO48">
        <v>2</v>
      </c>
      <c r="PP48">
        <v>2</v>
      </c>
      <c r="PQ48">
        <v>2</v>
      </c>
      <c r="PR48">
        <v>2</v>
      </c>
      <c r="PS48">
        <v>2</v>
      </c>
      <c r="PT48">
        <v>2</v>
      </c>
      <c r="PU48">
        <v>2</v>
      </c>
      <c r="PV48">
        <v>2</v>
      </c>
      <c r="PW48">
        <v>2</v>
      </c>
      <c r="PX48">
        <v>2</v>
      </c>
      <c r="PY48">
        <v>2</v>
      </c>
      <c r="PZ48">
        <v>2</v>
      </c>
      <c r="QA48">
        <v>2</v>
      </c>
      <c r="QB48">
        <v>2</v>
      </c>
      <c r="QC48">
        <v>2</v>
      </c>
      <c r="QD48">
        <v>2</v>
      </c>
      <c r="QE48">
        <v>2</v>
      </c>
      <c r="QF48">
        <v>2</v>
      </c>
      <c r="QG48">
        <v>2</v>
      </c>
      <c r="QH48">
        <v>2</v>
      </c>
      <c r="QI48">
        <v>2</v>
      </c>
      <c r="QJ48">
        <v>2</v>
      </c>
      <c r="QK48">
        <v>2</v>
      </c>
      <c r="QL48">
        <v>2</v>
      </c>
      <c r="QM48">
        <v>2</v>
      </c>
      <c r="QN48">
        <v>2</v>
      </c>
      <c r="QO48">
        <v>2</v>
      </c>
      <c r="QP48">
        <v>2</v>
      </c>
      <c r="QQ48">
        <v>2</v>
      </c>
      <c r="QR48">
        <v>2</v>
      </c>
      <c r="QS48">
        <v>2</v>
      </c>
      <c r="QT48">
        <v>2</v>
      </c>
      <c r="QU48">
        <v>2</v>
      </c>
      <c r="QV48">
        <v>2</v>
      </c>
      <c r="QW48">
        <v>2</v>
      </c>
      <c r="QX48">
        <v>2</v>
      </c>
      <c r="QY48">
        <v>2</v>
      </c>
      <c r="QZ48">
        <v>2</v>
      </c>
      <c r="RA48">
        <v>2</v>
      </c>
      <c r="RB48">
        <v>0</v>
      </c>
      <c r="RC48">
        <v>0</v>
      </c>
      <c r="RD48">
        <v>0</v>
      </c>
      <c r="RE48">
        <v>0</v>
      </c>
      <c r="RF48">
        <v>0</v>
      </c>
      <c r="RG48">
        <v>0</v>
      </c>
      <c r="RH48">
        <v>0</v>
      </c>
      <c r="RI48">
        <v>0</v>
      </c>
      <c r="RJ48">
        <v>0</v>
      </c>
      <c r="RK48">
        <v>0</v>
      </c>
      <c r="RL48">
        <v>0</v>
      </c>
      <c r="RM48">
        <v>0</v>
      </c>
      <c r="RN48">
        <v>0</v>
      </c>
      <c r="RO48">
        <v>0</v>
      </c>
      <c r="RP48">
        <v>0</v>
      </c>
      <c r="RQ48">
        <v>0</v>
      </c>
      <c r="RR48">
        <v>0</v>
      </c>
      <c r="RS48">
        <v>0</v>
      </c>
      <c r="RT48">
        <v>0</v>
      </c>
      <c r="RU48">
        <v>0</v>
      </c>
      <c r="RV48">
        <v>0</v>
      </c>
      <c r="RW48">
        <v>0</v>
      </c>
      <c r="RX48">
        <v>0</v>
      </c>
      <c r="RY48">
        <v>0</v>
      </c>
      <c r="RZ48">
        <v>0</v>
      </c>
      <c r="SA48">
        <v>0</v>
      </c>
      <c r="SB48">
        <v>0</v>
      </c>
      <c r="SC48">
        <v>0</v>
      </c>
      <c r="SD48">
        <v>0</v>
      </c>
      <c r="SE48">
        <v>0</v>
      </c>
      <c r="SF48">
        <v>0</v>
      </c>
      <c r="SG48">
        <v>0</v>
      </c>
      <c r="SH48">
        <v>0</v>
      </c>
      <c r="SI48">
        <v>0</v>
      </c>
      <c r="SJ48">
        <v>0</v>
      </c>
      <c r="SK48">
        <v>0</v>
      </c>
      <c r="SL48">
        <v>0</v>
      </c>
      <c r="SM48">
        <v>0</v>
      </c>
      <c r="SN48">
        <v>0</v>
      </c>
      <c r="SO48">
        <v>0</v>
      </c>
      <c r="SP48">
        <v>0</v>
      </c>
      <c r="SQ48">
        <v>0</v>
      </c>
      <c r="SR48">
        <v>0</v>
      </c>
      <c r="SS48">
        <v>0</v>
      </c>
      <c r="ST48">
        <v>0</v>
      </c>
      <c r="SU48">
        <v>0</v>
      </c>
      <c r="SV48">
        <v>0</v>
      </c>
      <c r="SW48">
        <v>0</v>
      </c>
      <c r="SX48">
        <v>0</v>
      </c>
      <c r="SY48">
        <v>0</v>
      </c>
      <c r="SZ48">
        <v>0</v>
      </c>
      <c r="TA48">
        <v>0</v>
      </c>
      <c r="TB48">
        <v>0</v>
      </c>
      <c r="TC48">
        <v>0</v>
      </c>
      <c r="TD48">
        <v>0</v>
      </c>
      <c r="TE48">
        <v>0</v>
      </c>
      <c r="TF48">
        <v>0</v>
      </c>
      <c r="TG48">
        <v>0</v>
      </c>
      <c r="TH48">
        <v>0</v>
      </c>
      <c r="TI48">
        <v>0</v>
      </c>
      <c r="TJ48">
        <v>0</v>
      </c>
      <c r="TK48">
        <v>0</v>
      </c>
      <c r="TL48">
        <v>0</v>
      </c>
      <c r="TM48">
        <v>0</v>
      </c>
      <c r="TN48">
        <v>0</v>
      </c>
      <c r="TO48">
        <v>0</v>
      </c>
      <c r="TP48">
        <v>0</v>
      </c>
      <c r="TQ48">
        <v>0</v>
      </c>
      <c r="TR48">
        <v>0</v>
      </c>
      <c r="TS48">
        <v>0</v>
      </c>
      <c r="TT48">
        <v>0</v>
      </c>
      <c r="TU48">
        <v>0</v>
      </c>
      <c r="TV48">
        <v>0</v>
      </c>
      <c r="TW48">
        <v>0</v>
      </c>
      <c r="TX48">
        <v>0</v>
      </c>
      <c r="TY48">
        <v>0</v>
      </c>
      <c r="TZ48">
        <v>0</v>
      </c>
      <c r="UA48">
        <v>0</v>
      </c>
      <c r="UB48">
        <v>0</v>
      </c>
      <c r="UC48">
        <v>0</v>
      </c>
      <c r="UD48">
        <v>0</v>
      </c>
      <c r="UE48">
        <v>0</v>
      </c>
      <c r="UF48">
        <v>0</v>
      </c>
      <c r="UG48">
        <v>0</v>
      </c>
      <c r="UH48">
        <v>0</v>
      </c>
      <c r="UI48">
        <v>0</v>
      </c>
      <c r="UJ48">
        <v>0</v>
      </c>
      <c r="UK48">
        <v>0</v>
      </c>
      <c r="UL48">
        <v>0</v>
      </c>
      <c r="UM48">
        <v>0</v>
      </c>
      <c r="UN48">
        <v>0</v>
      </c>
      <c r="UO48">
        <v>0</v>
      </c>
      <c r="UP48">
        <v>0</v>
      </c>
      <c r="UQ48">
        <v>0</v>
      </c>
      <c r="UR48">
        <v>0</v>
      </c>
      <c r="US48">
        <v>0</v>
      </c>
      <c r="UT48">
        <v>0</v>
      </c>
      <c r="UU48">
        <v>0</v>
      </c>
      <c r="UV48">
        <v>0</v>
      </c>
      <c r="UW48">
        <v>0</v>
      </c>
      <c r="UX48">
        <v>0</v>
      </c>
      <c r="UY48">
        <v>0</v>
      </c>
      <c r="UZ48">
        <v>0</v>
      </c>
      <c r="VA48">
        <v>0</v>
      </c>
      <c r="VB48">
        <v>0</v>
      </c>
      <c r="VC48">
        <v>0</v>
      </c>
      <c r="VD48">
        <v>0</v>
      </c>
      <c r="VE48">
        <v>0</v>
      </c>
      <c r="VF48">
        <v>0</v>
      </c>
      <c r="VG48">
        <v>0</v>
      </c>
      <c r="VH48">
        <v>0</v>
      </c>
      <c r="VI48">
        <v>0</v>
      </c>
      <c r="VJ48">
        <v>0</v>
      </c>
      <c r="VK48">
        <v>0</v>
      </c>
      <c r="VL48">
        <v>0</v>
      </c>
      <c r="VM48">
        <v>0</v>
      </c>
      <c r="VN48">
        <v>0</v>
      </c>
      <c r="VO48">
        <v>0</v>
      </c>
      <c r="VP48">
        <v>0</v>
      </c>
      <c r="VQ48">
        <v>0</v>
      </c>
      <c r="VR48">
        <v>0</v>
      </c>
      <c r="VS48">
        <v>0</v>
      </c>
      <c r="VT48">
        <v>0</v>
      </c>
      <c r="VU48">
        <v>0</v>
      </c>
      <c r="VV48">
        <v>0</v>
      </c>
      <c r="VW48">
        <v>0</v>
      </c>
      <c r="VX48">
        <v>0</v>
      </c>
      <c r="VY48">
        <v>0</v>
      </c>
      <c r="VZ48">
        <v>0</v>
      </c>
      <c r="WA48">
        <v>0</v>
      </c>
      <c r="WB48">
        <v>0</v>
      </c>
      <c r="WC48">
        <v>0</v>
      </c>
      <c r="WD48">
        <v>0</v>
      </c>
      <c r="WE48">
        <v>0</v>
      </c>
      <c r="WF48">
        <v>0</v>
      </c>
      <c r="WG48">
        <v>0</v>
      </c>
      <c r="WH48">
        <v>0</v>
      </c>
      <c r="WI48">
        <v>0</v>
      </c>
      <c r="WJ48">
        <v>0</v>
      </c>
      <c r="WK48">
        <v>0</v>
      </c>
      <c r="WL48">
        <v>0</v>
      </c>
      <c r="WM48">
        <v>0</v>
      </c>
      <c r="WN48">
        <v>0</v>
      </c>
      <c r="WO48">
        <v>0</v>
      </c>
      <c r="WP48">
        <v>0</v>
      </c>
      <c r="WQ48">
        <v>0</v>
      </c>
      <c r="WR48">
        <v>0</v>
      </c>
      <c r="WS48">
        <v>0</v>
      </c>
      <c r="WT48">
        <v>0</v>
      </c>
      <c r="WU48">
        <v>0</v>
      </c>
      <c r="WV48">
        <v>0</v>
      </c>
      <c r="WW48">
        <v>0</v>
      </c>
      <c r="WX48">
        <v>0</v>
      </c>
      <c r="WY48">
        <v>0</v>
      </c>
      <c r="WZ48">
        <v>0</v>
      </c>
      <c r="XA48">
        <v>0</v>
      </c>
      <c r="XB48">
        <v>0</v>
      </c>
      <c r="XC48">
        <v>0</v>
      </c>
      <c r="XD48">
        <v>0</v>
      </c>
      <c r="XE48">
        <v>0</v>
      </c>
      <c r="XF48">
        <v>0</v>
      </c>
      <c r="XG48">
        <v>0</v>
      </c>
      <c r="XH48">
        <v>0</v>
      </c>
      <c r="XI48">
        <v>0</v>
      </c>
      <c r="XJ48">
        <v>0</v>
      </c>
      <c r="XK48">
        <v>0</v>
      </c>
      <c r="XL48">
        <v>0</v>
      </c>
      <c r="XM48">
        <v>0</v>
      </c>
      <c r="XN48">
        <v>0</v>
      </c>
      <c r="XO48">
        <v>0</v>
      </c>
      <c r="XP48">
        <v>0</v>
      </c>
      <c r="XQ48">
        <v>0</v>
      </c>
      <c r="XR48">
        <v>0</v>
      </c>
      <c r="XS48">
        <v>0</v>
      </c>
      <c r="XT48">
        <v>0</v>
      </c>
      <c r="XU48">
        <v>0</v>
      </c>
      <c r="XV48">
        <v>0</v>
      </c>
      <c r="XW48">
        <v>0</v>
      </c>
      <c r="XX48">
        <v>0</v>
      </c>
      <c r="XY48">
        <v>0</v>
      </c>
      <c r="XZ48">
        <v>0</v>
      </c>
      <c r="YA48">
        <v>0</v>
      </c>
      <c r="YB48">
        <v>0</v>
      </c>
      <c r="YC48">
        <v>0</v>
      </c>
      <c r="YD48">
        <v>0</v>
      </c>
      <c r="YE48">
        <v>0</v>
      </c>
      <c r="YF48">
        <v>0</v>
      </c>
      <c r="YG48">
        <v>0</v>
      </c>
      <c r="YH48">
        <v>0</v>
      </c>
      <c r="YI48">
        <v>0</v>
      </c>
      <c r="YJ48">
        <v>0</v>
      </c>
      <c r="YK48">
        <v>0</v>
      </c>
      <c r="YL48">
        <v>0</v>
      </c>
      <c r="YM48">
        <v>0</v>
      </c>
      <c r="YN48">
        <v>0</v>
      </c>
      <c r="YO48">
        <v>0</v>
      </c>
      <c r="YP48">
        <v>0</v>
      </c>
      <c r="YQ48">
        <v>0</v>
      </c>
      <c r="YR48">
        <v>0</v>
      </c>
      <c r="YS48">
        <v>0</v>
      </c>
      <c r="YT48">
        <v>0</v>
      </c>
      <c r="YU48">
        <v>0</v>
      </c>
      <c r="YV48">
        <v>0</v>
      </c>
      <c r="YW48">
        <v>0</v>
      </c>
      <c r="YX48">
        <v>0</v>
      </c>
      <c r="YY48">
        <v>0</v>
      </c>
      <c r="YZ48">
        <v>0</v>
      </c>
      <c r="ZA48">
        <v>0</v>
      </c>
      <c r="ZB48">
        <v>0</v>
      </c>
      <c r="ZC48">
        <v>0</v>
      </c>
      <c r="ZD48">
        <v>0</v>
      </c>
      <c r="ZE48">
        <v>0</v>
      </c>
      <c r="ZF48">
        <v>0</v>
      </c>
      <c r="ZG48">
        <v>0</v>
      </c>
      <c r="ZH48">
        <v>0</v>
      </c>
      <c r="ZI48">
        <v>0</v>
      </c>
      <c r="ZJ48">
        <v>0</v>
      </c>
      <c r="ZK48">
        <v>0</v>
      </c>
      <c r="ZL48">
        <v>0</v>
      </c>
      <c r="ZM48">
        <v>0</v>
      </c>
      <c r="ZN48">
        <v>0</v>
      </c>
      <c r="ZO48">
        <v>0</v>
      </c>
      <c r="ZP48">
        <v>0</v>
      </c>
      <c r="ZQ48">
        <v>0</v>
      </c>
      <c r="ZR48">
        <v>0</v>
      </c>
      <c r="ZS48">
        <v>0</v>
      </c>
      <c r="ZT48">
        <v>0</v>
      </c>
      <c r="ZU48">
        <v>0</v>
      </c>
      <c r="ZV48">
        <v>0</v>
      </c>
      <c r="ZW48">
        <v>0</v>
      </c>
      <c r="ZX48">
        <v>0</v>
      </c>
      <c r="ZY48">
        <v>0</v>
      </c>
      <c r="ZZ48">
        <v>0</v>
      </c>
      <c r="AAA48">
        <v>0</v>
      </c>
      <c r="AAB48">
        <v>0</v>
      </c>
      <c r="AAC48">
        <v>0</v>
      </c>
      <c r="AAD48">
        <v>0</v>
      </c>
      <c r="AAE48">
        <v>0</v>
      </c>
      <c r="AAF48">
        <v>0</v>
      </c>
      <c r="AAG48">
        <v>0</v>
      </c>
      <c r="AAH48">
        <v>0</v>
      </c>
      <c r="AAI48">
        <v>0</v>
      </c>
      <c r="AAJ48">
        <v>0</v>
      </c>
      <c r="AAK48">
        <v>0</v>
      </c>
      <c r="AAL48">
        <v>0</v>
      </c>
      <c r="AAM48">
        <v>0</v>
      </c>
      <c r="AAN48">
        <v>0</v>
      </c>
      <c r="AAO48">
        <v>0</v>
      </c>
      <c r="AAP48">
        <v>0</v>
      </c>
      <c r="AAQ48">
        <v>0</v>
      </c>
      <c r="AAR48">
        <v>0</v>
      </c>
      <c r="AAS48">
        <v>0</v>
      </c>
      <c r="AAT48">
        <v>0</v>
      </c>
      <c r="AAU48">
        <v>0</v>
      </c>
      <c r="AAV48">
        <v>0</v>
      </c>
      <c r="AAW48">
        <v>0</v>
      </c>
      <c r="AAX48">
        <v>0</v>
      </c>
      <c r="AAY48">
        <v>0</v>
      </c>
      <c r="AAZ48">
        <v>0</v>
      </c>
      <c r="ABA48">
        <v>0</v>
      </c>
      <c r="ABB48">
        <v>0</v>
      </c>
      <c r="ABC48">
        <v>0</v>
      </c>
      <c r="ABD48">
        <v>0</v>
      </c>
      <c r="ABE48">
        <v>0</v>
      </c>
      <c r="ABG48" s="1137">
        <f t="shared" si="9"/>
        <v>0</v>
      </c>
      <c r="ABH48" s="1137">
        <f t="shared" si="9"/>
        <v>0</v>
      </c>
      <c r="ABI48" s="1137">
        <f t="shared" si="9"/>
        <v>16</v>
      </c>
      <c r="ABJ48" s="1137">
        <f t="shared" si="9"/>
        <v>1</v>
      </c>
      <c r="ABK48" s="1137">
        <f t="shared" si="9"/>
        <v>0</v>
      </c>
      <c r="ABL48" s="1137">
        <f t="shared" si="9"/>
        <v>1</v>
      </c>
      <c r="ABM48" s="1137">
        <f t="shared" si="9"/>
        <v>31</v>
      </c>
      <c r="ABN48" s="1137">
        <f t="shared" si="9"/>
        <v>31</v>
      </c>
      <c r="ABO48" s="1137">
        <f t="shared" si="9"/>
        <v>30</v>
      </c>
      <c r="ABP48" s="1137">
        <f t="shared" si="9"/>
        <v>31</v>
      </c>
      <c r="ABQ48" s="1137">
        <f t="shared" si="9"/>
        <v>30</v>
      </c>
      <c r="ABR48" s="1137">
        <f t="shared" si="9"/>
        <v>31</v>
      </c>
      <c r="ABS48" s="1137">
        <f t="shared" si="9"/>
        <v>31</v>
      </c>
      <c r="ABT48" s="1137">
        <f t="shared" si="9"/>
        <v>28</v>
      </c>
      <c r="ABU48" s="1137">
        <f t="shared" si="9"/>
        <v>31</v>
      </c>
      <c r="ABV48" s="1137">
        <f t="shared" si="9"/>
        <v>11</v>
      </c>
      <c r="ABW48" s="1137">
        <f t="shared" si="7"/>
        <v>0</v>
      </c>
      <c r="ABX48" s="1137">
        <f t="shared" si="7"/>
        <v>0</v>
      </c>
      <c r="ABY48" s="1137">
        <f t="shared" si="7"/>
        <v>0</v>
      </c>
      <c r="ABZ48" s="1137">
        <f t="shared" si="7"/>
        <v>0</v>
      </c>
      <c r="ACA48" s="1137">
        <f t="shared" si="7"/>
        <v>0</v>
      </c>
      <c r="ACB48" s="1137">
        <f t="shared" si="7"/>
        <v>0</v>
      </c>
      <c r="ACC48" s="1137">
        <f t="shared" si="7"/>
        <v>0</v>
      </c>
      <c r="ACD48" s="1137">
        <f t="shared" si="7"/>
        <v>0</v>
      </c>
      <c r="ACE48" s="1137" t="s">
        <v>169</v>
      </c>
      <c r="ACF48" s="1137">
        <f t="shared" si="10"/>
        <v>0</v>
      </c>
      <c r="ACG48" s="1137">
        <f t="shared" si="10"/>
        <v>0</v>
      </c>
      <c r="ACH48" s="1137">
        <f t="shared" si="10"/>
        <v>1</v>
      </c>
      <c r="ACI48" s="1137">
        <f t="shared" si="10"/>
        <v>0</v>
      </c>
      <c r="ACJ48" s="1137">
        <f t="shared" si="10"/>
        <v>0</v>
      </c>
      <c r="ACK48" s="1137">
        <f t="shared" si="10"/>
        <v>0</v>
      </c>
      <c r="ACL48" s="1137">
        <f t="shared" si="10"/>
        <v>1</v>
      </c>
      <c r="ACM48" s="1137">
        <f t="shared" si="10"/>
        <v>1</v>
      </c>
      <c r="ACN48" s="1137">
        <f t="shared" si="10"/>
        <v>1</v>
      </c>
      <c r="ACO48" s="1137">
        <f t="shared" si="10"/>
        <v>1</v>
      </c>
      <c r="ACP48" s="1137">
        <f t="shared" si="10"/>
        <v>1</v>
      </c>
      <c r="ACQ48" s="1137">
        <f t="shared" si="10"/>
        <v>1</v>
      </c>
      <c r="ACR48" s="1137">
        <f t="shared" si="10"/>
        <v>1</v>
      </c>
      <c r="ACS48" s="1137">
        <f t="shared" si="10"/>
        <v>1</v>
      </c>
      <c r="ACT48" s="1137">
        <f t="shared" si="10"/>
        <v>1</v>
      </c>
      <c r="ACU48" s="1137">
        <f t="shared" si="10"/>
        <v>1</v>
      </c>
      <c r="ACV48" s="1137">
        <f t="shared" si="8"/>
        <v>0</v>
      </c>
      <c r="ACW48" s="1137">
        <f t="shared" si="8"/>
        <v>0</v>
      </c>
      <c r="ACX48" s="1137">
        <f t="shared" si="8"/>
        <v>0</v>
      </c>
      <c r="ACY48" s="1137">
        <f t="shared" si="8"/>
        <v>0</v>
      </c>
      <c r="ACZ48" s="1137">
        <f t="shared" si="8"/>
        <v>0</v>
      </c>
      <c r="ADA48" s="1137">
        <f t="shared" si="8"/>
        <v>0</v>
      </c>
      <c r="ADB48" s="1137">
        <f t="shared" si="8"/>
        <v>0</v>
      </c>
      <c r="ADC48" s="1137">
        <f t="shared" si="8"/>
        <v>0</v>
      </c>
    </row>
    <row r="49" spans="1:783" x14ac:dyDescent="0.25">
      <c r="A49" t="s">
        <v>1846</v>
      </c>
      <c r="B49" t="s">
        <v>186</v>
      </c>
      <c r="C49">
        <v>0</v>
      </c>
      <c r="D49">
        <v>0</v>
      </c>
      <c r="E49">
        <v>0</v>
      </c>
      <c r="F49">
        <v>0</v>
      </c>
      <c r="G49">
        <v>0</v>
      </c>
      <c r="H49">
        <v>0</v>
      </c>
      <c r="I49">
        <v>0</v>
      </c>
      <c r="J49">
        <v>0</v>
      </c>
      <c r="K49">
        <v>0</v>
      </c>
      <c r="L49">
        <v>0</v>
      </c>
      <c r="M49">
        <v>0</v>
      </c>
      <c r="N49">
        <v>0</v>
      </c>
      <c r="O49">
        <v>0</v>
      </c>
      <c r="P49">
        <v>0</v>
      </c>
      <c r="Q49">
        <v>0</v>
      </c>
      <c r="R49">
        <v>0</v>
      </c>
      <c r="S49">
        <v>0</v>
      </c>
      <c r="T49">
        <v>0</v>
      </c>
      <c r="U49">
        <v>0</v>
      </c>
      <c r="V49">
        <v>0</v>
      </c>
      <c r="W49">
        <v>0</v>
      </c>
      <c r="X49">
        <v>0</v>
      </c>
      <c r="Y49">
        <v>0</v>
      </c>
      <c r="Z49">
        <v>0</v>
      </c>
      <c r="AA49">
        <v>0</v>
      </c>
      <c r="AB49">
        <v>0</v>
      </c>
      <c r="AC49">
        <v>0</v>
      </c>
      <c r="AD49">
        <v>0</v>
      </c>
      <c r="AE49">
        <v>0</v>
      </c>
      <c r="AF49">
        <v>0</v>
      </c>
      <c r="AG49">
        <v>0</v>
      </c>
      <c r="AH49">
        <v>0</v>
      </c>
      <c r="AI49">
        <v>0</v>
      </c>
      <c r="AJ49">
        <v>0</v>
      </c>
      <c r="AK49">
        <v>0</v>
      </c>
      <c r="AL49">
        <v>0</v>
      </c>
      <c r="AM49">
        <v>0</v>
      </c>
      <c r="AN49">
        <v>0</v>
      </c>
      <c r="AO49">
        <v>0</v>
      </c>
      <c r="AP49">
        <v>0</v>
      </c>
      <c r="AQ49">
        <v>0</v>
      </c>
      <c r="AR49">
        <v>0</v>
      </c>
      <c r="AS49">
        <v>0</v>
      </c>
      <c r="AT49">
        <v>0</v>
      </c>
      <c r="AU49">
        <v>0</v>
      </c>
      <c r="AV49">
        <v>0</v>
      </c>
      <c r="AW49">
        <v>0</v>
      </c>
      <c r="AX49">
        <v>0</v>
      </c>
      <c r="AY49">
        <v>0</v>
      </c>
      <c r="AZ49">
        <v>0</v>
      </c>
      <c r="BA49">
        <v>0</v>
      </c>
      <c r="BB49">
        <v>0</v>
      </c>
      <c r="BC49">
        <v>0</v>
      </c>
      <c r="BD49">
        <v>0</v>
      </c>
      <c r="BE49">
        <v>0</v>
      </c>
      <c r="BF49">
        <v>0</v>
      </c>
      <c r="BG49">
        <v>0</v>
      </c>
      <c r="BH49">
        <v>0</v>
      </c>
      <c r="BI49">
        <v>0</v>
      </c>
      <c r="BJ49">
        <v>0</v>
      </c>
      <c r="BK49">
        <v>0</v>
      </c>
      <c r="BL49">
        <v>0</v>
      </c>
      <c r="BM49">
        <v>0</v>
      </c>
      <c r="BN49">
        <v>0</v>
      </c>
      <c r="BO49">
        <v>0</v>
      </c>
      <c r="BP49">
        <v>0</v>
      </c>
      <c r="BQ49">
        <v>0</v>
      </c>
      <c r="BR49">
        <v>0</v>
      </c>
      <c r="BS49">
        <v>0</v>
      </c>
      <c r="BT49">
        <v>0</v>
      </c>
      <c r="BU49">
        <v>0</v>
      </c>
      <c r="BV49">
        <v>0</v>
      </c>
      <c r="BW49">
        <v>0</v>
      </c>
      <c r="BX49">
        <v>0</v>
      </c>
      <c r="BY49">
        <v>0</v>
      </c>
      <c r="BZ49">
        <v>0</v>
      </c>
      <c r="CA49">
        <v>0</v>
      </c>
      <c r="CB49">
        <v>1</v>
      </c>
      <c r="CC49">
        <v>2</v>
      </c>
      <c r="CD49">
        <v>2</v>
      </c>
      <c r="CE49">
        <v>2</v>
      </c>
      <c r="CF49">
        <v>2</v>
      </c>
      <c r="CG49">
        <v>2</v>
      </c>
      <c r="CH49">
        <v>2</v>
      </c>
      <c r="CI49">
        <v>2</v>
      </c>
      <c r="CJ49">
        <v>2</v>
      </c>
      <c r="CK49">
        <v>2</v>
      </c>
      <c r="CL49">
        <v>2</v>
      </c>
      <c r="CM49">
        <v>2</v>
      </c>
      <c r="CN49">
        <v>2</v>
      </c>
      <c r="CO49">
        <v>2</v>
      </c>
      <c r="CP49">
        <v>2</v>
      </c>
      <c r="CQ49">
        <v>2</v>
      </c>
      <c r="CR49">
        <v>2</v>
      </c>
      <c r="CS49">
        <v>2</v>
      </c>
      <c r="CT49">
        <v>2</v>
      </c>
      <c r="CU49">
        <v>2</v>
      </c>
      <c r="CV49">
        <v>2</v>
      </c>
      <c r="CW49">
        <v>2</v>
      </c>
      <c r="CX49">
        <v>2</v>
      </c>
      <c r="CY49">
        <v>2</v>
      </c>
      <c r="CZ49">
        <v>2</v>
      </c>
      <c r="DA49">
        <v>2</v>
      </c>
      <c r="DB49">
        <v>2</v>
      </c>
      <c r="DC49">
        <v>2</v>
      </c>
      <c r="DD49">
        <v>2</v>
      </c>
      <c r="DE49">
        <v>2</v>
      </c>
      <c r="DF49">
        <v>2</v>
      </c>
      <c r="DG49">
        <v>2</v>
      </c>
      <c r="DH49">
        <v>2</v>
      </c>
      <c r="DI49">
        <v>2</v>
      </c>
      <c r="DJ49">
        <v>2</v>
      </c>
      <c r="DK49">
        <v>2</v>
      </c>
      <c r="DL49">
        <v>2</v>
      </c>
      <c r="DM49">
        <v>2</v>
      </c>
      <c r="DN49">
        <v>2</v>
      </c>
      <c r="DO49">
        <v>2</v>
      </c>
      <c r="DP49">
        <v>2</v>
      </c>
      <c r="DQ49">
        <v>2</v>
      </c>
      <c r="DR49">
        <v>2</v>
      </c>
      <c r="DS49">
        <v>2</v>
      </c>
      <c r="DT49">
        <v>2</v>
      </c>
      <c r="DU49">
        <v>2</v>
      </c>
      <c r="DV49">
        <v>2</v>
      </c>
      <c r="DW49">
        <v>2</v>
      </c>
      <c r="DX49">
        <v>2</v>
      </c>
      <c r="DY49">
        <v>2</v>
      </c>
      <c r="DZ49">
        <v>2</v>
      </c>
      <c r="EA49">
        <v>2</v>
      </c>
      <c r="EB49">
        <v>2</v>
      </c>
      <c r="EC49">
        <v>2</v>
      </c>
      <c r="ED49">
        <v>2</v>
      </c>
      <c r="EE49">
        <v>2</v>
      </c>
      <c r="EF49">
        <v>2</v>
      </c>
      <c r="EG49">
        <v>2</v>
      </c>
      <c r="EH49">
        <v>2</v>
      </c>
      <c r="EI49">
        <v>2</v>
      </c>
      <c r="EJ49">
        <v>2</v>
      </c>
      <c r="EK49">
        <v>2</v>
      </c>
      <c r="EL49">
        <v>2</v>
      </c>
      <c r="EM49">
        <v>2</v>
      </c>
      <c r="EN49">
        <v>2</v>
      </c>
      <c r="EO49">
        <v>2</v>
      </c>
      <c r="EP49">
        <v>2</v>
      </c>
      <c r="EQ49">
        <v>2</v>
      </c>
      <c r="ER49">
        <v>2</v>
      </c>
      <c r="ES49">
        <v>2</v>
      </c>
      <c r="ET49">
        <v>2</v>
      </c>
      <c r="EU49">
        <v>2</v>
      </c>
      <c r="EV49">
        <v>2</v>
      </c>
      <c r="EW49">
        <v>2</v>
      </c>
      <c r="EX49">
        <v>2</v>
      </c>
      <c r="EY49">
        <v>2</v>
      </c>
      <c r="EZ49">
        <v>2</v>
      </c>
      <c r="FA49">
        <v>2</v>
      </c>
      <c r="FB49">
        <v>2</v>
      </c>
      <c r="FC49">
        <v>2</v>
      </c>
      <c r="FD49">
        <v>2</v>
      </c>
      <c r="FE49">
        <v>2</v>
      </c>
      <c r="FF49">
        <v>2</v>
      </c>
      <c r="FG49">
        <v>2</v>
      </c>
      <c r="FH49">
        <v>2</v>
      </c>
      <c r="FI49">
        <v>2</v>
      </c>
      <c r="FJ49">
        <v>2</v>
      </c>
      <c r="FK49">
        <v>2</v>
      </c>
      <c r="FL49">
        <v>2</v>
      </c>
      <c r="FM49">
        <v>2</v>
      </c>
      <c r="FN49">
        <v>2</v>
      </c>
      <c r="FO49">
        <v>2</v>
      </c>
      <c r="FP49">
        <v>2</v>
      </c>
      <c r="FQ49">
        <v>2</v>
      </c>
      <c r="FR49">
        <v>2</v>
      </c>
      <c r="FS49">
        <v>2</v>
      </c>
      <c r="FT49">
        <v>2</v>
      </c>
      <c r="FU49">
        <v>2</v>
      </c>
      <c r="FV49">
        <v>2</v>
      </c>
      <c r="FW49">
        <v>2</v>
      </c>
      <c r="FX49">
        <v>2</v>
      </c>
      <c r="FY49">
        <v>2</v>
      </c>
      <c r="FZ49">
        <v>2</v>
      </c>
      <c r="GA49">
        <v>2</v>
      </c>
      <c r="GB49">
        <v>2</v>
      </c>
      <c r="GC49">
        <v>2</v>
      </c>
      <c r="GD49">
        <v>2</v>
      </c>
      <c r="GE49">
        <v>2</v>
      </c>
      <c r="GF49">
        <v>2</v>
      </c>
      <c r="GG49">
        <v>2</v>
      </c>
      <c r="GH49">
        <v>2</v>
      </c>
      <c r="GI49">
        <v>2</v>
      </c>
      <c r="GJ49">
        <v>2</v>
      </c>
      <c r="GK49">
        <v>2</v>
      </c>
      <c r="GL49">
        <v>2</v>
      </c>
      <c r="GM49">
        <v>2</v>
      </c>
      <c r="GN49">
        <v>2</v>
      </c>
      <c r="GO49">
        <v>2</v>
      </c>
      <c r="GP49">
        <v>2</v>
      </c>
      <c r="GQ49">
        <v>2</v>
      </c>
      <c r="GR49">
        <v>2</v>
      </c>
      <c r="GS49">
        <v>2</v>
      </c>
      <c r="GT49">
        <v>2</v>
      </c>
      <c r="GU49">
        <v>2</v>
      </c>
      <c r="GV49">
        <v>2</v>
      </c>
      <c r="GW49">
        <v>2</v>
      </c>
      <c r="GX49">
        <v>2</v>
      </c>
      <c r="GY49">
        <v>2</v>
      </c>
      <c r="GZ49">
        <v>2</v>
      </c>
      <c r="HA49">
        <v>2</v>
      </c>
      <c r="HB49">
        <v>2</v>
      </c>
      <c r="HC49">
        <v>2</v>
      </c>
      <c r="HD49">
        <v>2</v>
      </c>
      <c r="HE49">
        <v>2</v>
      </c>
      <c r="HF49">
        <v>2</v>
      </c>
      <c r="HG49">
        <v>2</v>
      </c>
      <c r="HH49">
        <v>2</v>
      </c>
      <c r="HI49">
        <v>2</v>
      </c>
      <c r="HJ49">
        <v>2</v>
      </c>
      <c r="HK49">
        <v>2</v>
      </c>
      <c r="HL49">
        <v>2</v>
      </c>
      <c r="HM49">
        <v>2</v>
      </c>
      <c r="HN49">
        <v>2</v>
      </c>
      <c r="HO49">
        <v>2</v>
      </c>
      <c r="HP49">
        <v>2</v>
      </c>
      <c r="HQ49">
        <v>2</v>
      </c>
      <c r="HR49">
        <v>2</v>
      </c>
      <c r="HS49">
        <v>2</v>
      </c>
      <c r="HT49">
        <v>2</v>
      </c>
      <c r="HU49">
        <v>2</v>
      </c>
      <c r="HV49">
        <v>2</v>
      </c>
      <c r="HW49">
        <v>2</v>
      </c>
      <c r="HX49">
        <v>2</v>
      </c>
      <c r="HY49">
        <v>2</v>
      </c>
      <c r="HZ49">
        <v>2</v>
      </c>
      <c r="IA49">
        <v>2</v>
      </c>
      <c r="IB49">
        <v>2</v>
      </c>
      <c r="IC49">
        <v>2</v>
      </c>
      <c r="ID49">
        <v>2</v>
      </c>
      <c r="IE49">
        <v>2</v>
      </c>
      <c r="IF49">
        <v>2</v>
      </c>
      <c r="IG49">
        <v>2</v>
      </c>
      <c r="IH49">
        <v>2</v>
      </c>
      <c r="II49">
        <v>2</v>
      </c>
      <c r="IJ49">
        <v>2</v>
      </c>
      <c r="IK49">
        <v>2</v>
      </c>
      <c r="IL49">
        <v>2</v>
      </c>
      <c r="IM49">
        <v>2</v>
      </c>
      <c r="IN49">
        <v>2</v>
      </c>
      <c r="IO49">
        <v>2</v>
      </c>
      <c r="IP49">
        <v>0</v>
      </c>
      <c r="IQ49">
        <v>0</v>
      </c>
      <c r="IR49">
        <v>0</v>
      </c>
      <c r="IS49">
        <v>0</v>
      </c>
      <c r="IT49">
        <v>0</v>
      </c>
      <c r="IU49">
        <v>0</v>
      </c>
      <c r="IV49">
        <v>0</v>
      </c>
      <c r="IW49">
        <v>0</v>
      </c>
      <c r="IX49">
        <v>0</v>
      </c>
      <c r="IY49">
        <v>0</v>
      </c>
      <c r="IZ49">
        <v>0</v>
      </c>
      <c r="JA49">
        <v>0</v>
      </c>
      <c r="JB49">
        <v>0</v>
      </c>
      <c r="JC49">
        <v>0</v>
      </c>
      <c r="JD49">
        <v>0</v>
      </c>
      <c r="JE49">
        <v>0</v>
      </c>
      <c r="JF49">
        <v>0</v>
      </c>
      <c r="JG49">
        <v>0</v>
      </c>
      <c r="JH49">
        <v>0</v>
      </c>
      <c r="JI49">
        <v>0</v>
      </c>
      <c r="JJ49">
        <v>0</v>
      </c>
      <c r="JK49">
        <v>0</v>
      </c>
      <c r="JL49">
        <v>0</v>
      </c>
      <c r="JM49">
        <v>0</v>
      </c>
      <c r="JN49">
        <v>0</v>
      </c>
      <c r="JO49">
        <v>0</v>
      </c>
      <c r="JP49">
        <v>0</v>
      </c>
      <c r="JQ49">
        <v>0</v>
      </c>
      <c r="JR49">
        <v>0</v>
      </c>
      <c r="JS49">
        <v>0</v>
      </c>
      <c r="JT49">
        <v>0</v>
      </c>
      <c r="JU49">
        <v>0</v>
      </c>
      <c r="JV49">
        <v>0</v>
      </c>
      <c r="JW49">
        <v>0</v>
      </c>
      <c r="JX49">
        <v>0</v>
      </c>
      <c r="JY49">
        <v>0</v>
      </c>
      <c r="JZ49">
        <v>0</v>
      </c>
      <c r="KA49">
        <v>0</v>
      </c>
      <c r="KB49">
        <v>0</v>
      </c>
      <c r="KC49">
        <v>0</v>
      </c>
      <c r="KD49">
        <v>0</v>
      </c>
      <c r="KE49">
        <v>1</v>
      </c>
      <c r="KF49">
        <v>1</v>
      </c>
      <c r="KG49">
        <v>1</v>
      </c>
      <c r="KH49">
        <v>1</v>
      </c>
      <c r="KI49">
        <v>1</v>
      </c>
      <c r="KJ49">
        <v>1</v>
      </c>
      <c r="KK49">
        <v>1</v>
      </c>
      <c r="KL49">
        <v>1</v>
      </c>
      <c r="KM49">
        <v>1</v>
      </c>
      <c r="KN49">
        <v>1</v>
      </c>
      <c r="KO49">
        <v>1</v>
      </c>
      <c r="KP49">
        <v>1</v>
      </c>
      <c r="KQ49">
        <v>1</v>
      </c>
      <c r="KR49">
        <v>1</v>
      </c>
      <c r="KS49">
        <v>1</v>
      </c>
      <c r="KT49">
        <v>1</v>
      </c>
      <c r="KU49">
        <v>1</v>
      </c>
      <c r="KV49">
        <v>1</v>
      </c>
      <c r="KW49">
        <v>1</v>
      </c>
      <c r="KX49">
        <v>1</v>
      </c>
      <c r="KY49">
        <v>1</v>
      </c>
      <c r="KZ49">
        <v>1</v>
      </c>
      <c r="LA49">
        <v>1</v>
      </c>
      <c r="LB49">
        <v>1</v>
      </c>
      <c r="LC49">
        <v>1</v>
      </c>
      <c r="LD49">
        <v>1</v>
      </c>
      <c r="LE49">
        <v>1</v>
      </c>
      <c r="LF49">
        <v>1</v>
      </c>
      <c r="LG49">
        <v>1</v>
      </c>
      <c r="LH49">
        <v>1</v>
      </c>
      <c r="LI49">
        <v>1</v>
      </c>
      <c r="LJ49">
        <v>1</v>
      </c>
      <c r="LK49">
        <v>1</v>
      </c>
      <c r="LL49">
        <v>1</v>
      </c>
      <c r="LM49">
        <v>1</v>
      </c>
      <c r="LN49">
        <v>1</v>
      </c>
      <c r="LO49">
        <v>1</v>
      </c>
      <c r="LP49">
        <v>1</v>
      </c>
      <c r="LQ49">
        <v>1</v>
      </c>
      <c r="LR49">
        <v>1</v>
      </c>
      <c r="LS49">
        <v>1</v>
      </c>
      <c r="LT49">
        <v>1</v>
      </c>
      <c r="LU49">
        <v>1</v>
      </c>
      <c r="LV49">
        <v>1</v>
      </c>
      <c r="LW49">
        <v>1</v>
      </c>
      <c r="LX49">
        <v>1</v>
      </c>
      <c r="LY49">
        <v>1</v>
      </c>
      <c r="LZ49">
        <v>1</v>
      </c>
      <c r="MA49">
        <v>1</v>
      </c>
      <c r="MB49">
        <v>1</v>
      </c>
      <c r="MC49">
        <v>1</v>
      </c>
      <c r="MD49">
        <v>1</v>
      </c>
      <c r="ME49">
        <v>1</v>
      </c>
      <c r="MF49">
        <v>1</v>
      </c>
      <c r="MG49">
        <v>1</v>
      </c>
      <c r="MH49">
        <v>1</v>
      </c>
      <c r="MI49">
        <v>1</v>
      </c>
      <c r="MJ49">
        <v>1</v>
      </c>
      <c r="MK49">
        <v>1</v>
      </c>
      <c r="ML49">
        <v>1</v>
      </c>
      <c r="MM49">
        <v>1</v>
      </c>
      <c r="MN49">
        <v>1</v>
      </c>
      <c r="MO49">
        <v>1</v>
      </c>
      <c r="MP49">
        <v>1</v>
      </c>
      <c r="MQ49">
        <v>1</v>
      </c>
      <c r="MR49">
        <v>1</v>
      </c>
      <c r="MS49">
        <v>1</v>
      </c>
      <c r="MT49">
        <v>1</v>
      </c>
      <c r="MU49">
        <v>1</v>
      </c>
      <c r="MV49">
        <v>1</v>
      </c>
      <c r="MW49">
        <v>1</v>
      </c>
      <c r="MX49">
        <v>1</v>
      </c>
      <c r="MY49">
        <v>1</v>
      </c>
      <c r="MZ49">
        <v>1</v>
      </c>
      <c r="NA49">
        <v>1</v>
      </c>
      <c r="NB49">
        <v>1</v>
      </c>
      <c r="NC49">
        <v>1</v>
      </c>
      <c r="ND49">
        <v>1</v>
      </c>
      <c r="NE49">
        <v>1</v>
      </c>
      <c r="NF49">
        <v>1</v>
      </c>
      <c r="NG49">
        <v>1</v>
      </c>
      <c r="NH49">
        <v>1</v>
      </c>
      <c r="NI49">
        <v>2</v>
      </c>
      <c r="NJ49">
        <v>2</v>
      </c>
      <c r="NK49">
        <v>2</v>
      </c>
      <c r="NL49">
        <v>2</v>
      </c>
      <c r="NM49">
        <v>2</v>
      </c>
      <c r="NN49">
        <v>2</v>
      </c>
      <c r="NO49">
        <v>2</v>
      </c>
      <c r="NP49">
        <v>2</v>
      </c>
      <c r="NQ49">
        <v>2</v>
      </c>
      <c r="NR49">
        <v>2</v>
      </c>
      <c r="NS49">
        <v>2</v>
      </c>
      <c r="NT49">
        <v>2</v>
      </c>
      <c r="NU49">
        <v>2</v>
      </c>
      <c r="NV49">
        <v>2</v>
      </c>
      <c r="NW49">
        <v>2</v>
      </c>
      <c r="NX49">
        <v>2</v>
      </c>
      <c r="NY49">
        <v>2</v>
      </c>
      <c r="NZ49">
        <v>2</v>
      </c>
      <c r="OA49">
        <v>2</v>
      </c>
      <c r="OB49">
        <v>2</v>
      </c>
      <c r="OC49">
        <v>2</v>
      </c>
      <c r="OD49">
        <v>2</v>
      </c>
      <c r="OE49">
        <v>2</v>
      </c>
      <c r="OF49">
        <v>2</v>
      </c>
      <c r="OG49">
        <v>2</v>
      </c>
      <c r="OH49">
        <v>2</v>
      </c>
      <c r="OI49">
        <v>2</v>
      </c>
      <c r="OJ49">
        <v>2</v>
      </c>
      <c r="OK49">
        <v>2</v>
      </c>
      <c r="OL49">
        <v>2</v>
      </c>
      <c r="OM49">
        <v>2</v>
      </c>
      <c r="ON49">
        <v>2</v>
      </c>
      <c r="OO49">
        <v>2</v>
      </c>
      <c r="OP49">
        <v>2</v>
      </c>
      <c r="OQ49">
        <v>2</v>
      </c>
      <c r="OR49">
        <v>2</v>
      </c>
      <c r="OS49">
        <v>2</v>
      </c>
      <c r="OT49">
        <v>2</v>
      </c>
      <c r="OU49">
        <v>2</v>
      </c>
      <c r="OV49">
        <v>2</v>
      </c>
      <c r="OW49">
        <v>2</v>
      </c>
      <c r="OX49">
        <v>2</v>
      </c>
      <c r="OY49">
        <v>2</v>
      </c>
      <c r="OZ49">
        <v>2</v>
      </c>
      <c r="PA49">
        <v>2</v>
      </c>
      <c r="PB49">
        <v>2</v>
      </c>
      <c r="PC49">
        <v>2</v>
      </c>
      <c r="PD49">
        <v>2</v>
      </c>
      <c r="PE49">
        <v>2</v>
      </c>
      <c r="PF49">
        <v>2</v>
      </c>
      <c r="PG49">
        <v>2</v>
      </c>
      <c r="PH49">
        <v>2</v>
      </c>
      <c r="PI49">
        <v>2</v>
      </c>
      <c r="PJ49">
        <v>2</v>
      </c>
      <c r="PK49">
        <v>2</v>
      </c>
      <c r="PL49">
        <v>2</v>
      </c>
      <c r="PM49">
        <v>2</v>
      </c>
      <c r="PN49">
        <v>2</v>
      </c>
      <c r="PO49">
        <v>2</v>
      </c>
      <c r="PP49">
        <v>2</v>
      </c>
      <c r="PQ49">
        <v>2</v>
      </c>
      <c r="PR49">
        <v>2</v>
      </c>
      <c r="PS49">
        <v>2</v>
      </c>
      <c r="PT49">
        <v>2</v>
      </c>
      <c r="PU49">
        <v>2</v>
      </c>
      <c r="PV49">
        <v>2</v>
      </c>
      <c r="PW49">
        <v>2</v>
      </c>
      <c r="PX49">
        <v>2</v>
      </c>
      <c r="PY49">
        <v>2</v>
      </c>
      <c r="PZ49">
        <v>2</v>
      </c>
      <c r="QA49">
        <v>2</v>
      </c>
      <c r="QB49">
        <v>2</v>
      </c>
      <c r="QC49">
        <v>2</v>
      </c>
      <c r="QD49">
        <v>2</v>
      </c>
      <c r="QE49">
        <v>1</v>
      </c>
      <c r="QF49">
        <v>1</v>
      </c>
      <c r="QG49">
        <v>1</v>
      </c>
      <c r="QH49">
        <v>1</v>
      </c>
      <c r="QI49">
        <v>1</v>
      </c>
      <c r="QJ49">
        <v>1</v>
      </c>
      <c r="QK49">
        <v>1</v>
      </c>
      <c r="QL49">
        <v>1</v>
      </c>
      <c r="QM49">
        <v>1</v>
      </c>
      <c r="QN49">
        <v>1</v>
      </c>
      <c r="QO49">
        <v>1</v>
      </c>
      <c r="QP49">
        <v>1</v>
      </c>
      <c r="QQ49">
        <v>1</v>
      </c>
      <c r="QR49">
        <v>1</v>
      </c>
      <c r="QS49">
        <v>1</v>
      </c>
      <c r="QT49">
        <v>1</v>
      </c>
      <c r="QU49">
        <v>1</v>
      </c>
      <c r="QV49">
        <v>1</v>
      </c>
      <c r="QW49">
        <v>1</v>
      </c>
      <c r="QX49">
        <v>1</v>
      </c>
      <c r="QY49">
        <v>1</v>
      </c>
      <c r="QZ49">
        <v>1</v>
      </c>
      <c r="RA49">
        <v>1</v>
      </c>
      <c r="RB49">
        <v>1</v>
      </c>
      <c r="RC49">
        <v>1</v>
      </c>
      <c r="RD49">
        <v>1</v>
      </c>
      <c r="RE49">
        <v>1</v>
      </c>
      <c r="RF49">
        <v>1</v>
      </c>
      <c r="RG49">
        <v>1</v>
      </c>
      <c r="RH49">
        <v>1</v>
      </c>
      <c r="RI49">
        <v>1</v>
      </c>
      <c r="RJ49">
        <v>1</v>
      </c>
      <c r="RK49">
        <v>1</v>
      </c>
      <c r="RL49">
        <v>1</v>
      </c>
      <c r="RM49">
        <v>1</v>
      </c>
      <c r="RN49">
        <v>1</v>
      </c>
      <c r="RO49">
        <v>1</v>
      </c>
      <c r="RP49">
        <v>1</v>
      </c>
      <c r="RQ49">
        <v>1</v>
      </c>
      <c r="RR49">
        <v>1</v>
      </c>
      <c r="RS49">
        <v>1</v>
      </c>
      <c r="RT49">
        <v>1</v>
      </c>
      <c r="RU49">
        <v>1</v>
      </c>
      <c r="RV49">
        <v>1</v>
      </c>
      <c r="RW49">
        <v>1</v>
      </c>
      <c r="RX49">
        <v>1</v>
      </c>
      <c r="RY49">
        <v>1</v>
      </c>
      <c r="RZ49">
        <v>1</v>
      </c>
      <c r="SA49">
        <v>1</v>
      </c>
      <c r="SB49">
        <v>1</v>
      </c>
      <c r="SC49">
        <v>1</v>
      </c>
      <c r="SD49">
        <v>1</v>
      </c>
      <c r="SE49">
        <v>1</v>
      </c>
      <c r="SF49">
        <v>1</v>
      </c>
      <c r="SG49">
        <v>1</v>
      </c>
      <c r="SH49">
        <v>1</v>
      </c>
      <c r="SI49">
        <v>1</v>
      </c>
      <c r="SJ49">
        <v>1</v>
      </c>
      <c r="SK49">
        <v>1</v>
      </c>
      <c r="SL49">
        <v>1</v>
      </c>
      <c r="SM49">
        <v>1</v>
      </c>
      <c r="SN49">
        <v>1</v>
      </c>
      <c r="SO49">
        <v>1</v>
      </c>
      <c r="SP49">
        <v>1</v>
      </c>
      <c r="SQ49">
        <v>1</v>
      </c>
      <c r="SR49">
        <v>1</v>
      </c>
      <c r="SS49">
        <v>1</v>
      </c>
      <c r="ST49">
        <v>1</v>
      </c>
      <c r="SU49">
        <v>1</v>
      </c>
      <c r="SV49">
        <v>1</v>
      </c>
      <c r="SW49">
        <v>1</v>
      </c>
      <c r="SX49">
        <v>1</v>
      </c>
      <c r="SY49">
        <v>1</v>
      </c>
      <c r="SZ49">
        <v>1</v>
      </c>
      <c r="TA49">
        <v>1</v>
      </c>
      <c r="TB49">
        <v>1</v>
      </c>
      <c r="TC49">
        <v>1</v>
      </c>
      <c r="TD49">
        <v>1</v>
      </c>
      <c r="TE49">
        <v>1</v>
      </c>
      <c r="TF49">
        <v>1</v>
      </c>
      <c r="TG49">
        <v>1</v>
      </c>
      <c r="TH49">
        <v>1</v>
      </c>
      <c r="TI49">
        <v>1</v>
      </c>
      <c r="TJ49">
        <v>1</v>
      </c>
      <c r="TK49">
        <v>1</v>
      </c>
      <c r="TL49">
        <v>1</v>
      </c>
      <c r="TM49">
        <v>1</v>
      </c>
      <c r="TN49">
        <v>1</v>
      </c>
      <c r="TO49">
        <v>1</v>
      </c>
      <c r="TP49">
        <v>1</v>
      </c>
      <c r="TQ49">
        <v>1</v>
      </c>
      <c r="TR49">
        <v>1</v>
      </c>
      <c r="TS49">
        <v>1</v>
      </c>
      <c r="TT49">
        <v>1</v>
      </c>
      <c r="TU49">
        <v>1</v>
      </c>
      <c r="TV49">
        <v>1</v>
      </c>
      <c r="TW49">
        <v>1</v>
      </c>
      <c r="TX49">
        <v>1</v>
      </c>
      <c r="TY49">
        <v>1</v>
      </c>
      <c r="TZ49">
        <v>1</v>
      </c>
      <c r="UA49">
        <v>1</v>
      </c>
      <c r="UB49">
        <v>1</v>
      </c>
      <c r="UC49">
        <v>1</v>
      </c>
      <c r="UD49">
        <v>1</v>
      </c>
      <c r="UE49">
        <v>1</v>
      </c>
      <c r="UF49">
        <v>1</v>
      </c>
      <c r="UG49">
        <v>1</v>
      </c>
      <c r="UH49">
        <v>1</v>
      </c>
      <c r="UI49">
        <v>1</v>
      </c>
      <c r="UJ49">
        <v>1</v>
      </c>
      <c r="UK49">
        <v>1</v>
      </c>
      <c r="UL49">
        <v>1</v>
      </c>
      <c r="UM49">
        <v>1</v>
      </c>
      <c r="UN49">
        <v>1</v>
      </c>
      <c r="UO49">
        <v>1</v>
      </c>
      <c r="UP49">
        <v>1</v>
      </c>
      <c r="UQ49">
        <v>1</v>
      </c>
      <c r="UR49">
        <v>1</v>
      </c>
      <c r="US49">
        <v>1</v>
      </c>
      <c r="UT49">
        <v>1</v>
      </c>
      <c r="UU49">
        <v>1</v>
      </c>
      <c r="UV49">
        <v>1</v>
      </c>
      <c r="UW49">
        <v>1</v>
      </c>
      <c r="UX49">
        <v>1</v>
      </c>
      <c r="UY49">
        <v>1</v>
      </c>
      <c r="UZ49">
        <v>1</v>
      </c>
      <c r="VA49">
        <v>1</v>
      </c>
      <c r="VB49">
        <v>1</v>
      </c>
      <c r="VC49">
        <v>1</v>
      </c>
      <c r="VD49">
        <v>1</v>
      </c>
      <c r="VE49">
        <v>1</v>
      </c>
      <c r="VF49">
        <v>1</v>
      </c>
      <c r="VG49">
        <v>1</v>
      </c>
      <c r="VH49">
        <v>1</v>
      </c>
      <c r="VI49">
        <v>1</v>
      </c>
      <c r="VJ49">
        <v>1</v>
      </c>
      <c r="VK49">
        <v>0</v>
      </c>
      <c r="VL49">
        <v>0</v>
      </c>
      <c r="VM49">
        <v>0</v>
      </c>
      <c r="VN49">
        <v>0</v>
      </c>
      <c r="VO49">
        <v>0</v>
      </c>
      <c r="VP49">
        <v>0</v>
      </c>
      <c r="VQ49">
        <v>0</v>
      </c>
      <c r="VR49">
        <v>0</v>
      </c>
      <c r="VS49">
        <v>0</v>
      </c>
      <c r="VT49">
        <v>0</v>
      </c>
      <c r="VU49">
        <v>0</v>
      </c>
      <c r="VV49">
        <v>0</v>
      </c>
      <c r="VW49">
        <v>0</v>
      </c>
      <c r="VX49">
        <v>0</v>
      </c>
      <c r="VY49">
        <v>0</v>
      </c>
      <c r="VZ49">
        <v>0</v>
      </c>
      <c r="WA49">
        <v>0</v>
      </c>
      <c r="WB49">
        <v>0</v>
      </c>
      <c r="WC49">
        <v>0</v>
      </c>
      <c r="WD49">
        <v>0</v>
      </c>
      <c r="WE49">
        <v>0</v>
      </c>
      <c r="WF49">
        <v>0</v>
      </c>
      <c r="WG49">
        <v>0</v>
      </c>
      <c r="WH49">
        <v>0</v>
      </c>
      <c r="WI49">
        <v>0</v>
      </c>
      <c r="WJ49">
        <v>0</v>
      </c>
      <c r="WK49">
        <v>0</v>
      </c>
      <c r="WL49">
        <v>0</v>
      </c>
      <c r="WM49">
        <v>0</v>
      </c>
      <c r="WN49">
        <v>0</v>
      </c>
      <c r="WO49">
        <v>0</v>
      </c>
      <c r="WP49">
        <v>0</v>
      </c>
      <c r="WQ49">
        <v>0</v>
      </c>
      <c r="WR49">
        <v>0</v>
      </c>
      <c r="WS49">
        <v>0</v>
      </c>
      <c r="WT49">
        <v>0</v>
      </c>
      <c r="WU49">
        <v>0</v>
      </c>
      <c r="WV49">
        <v>0</v>
      </c>
      <c r="WW49">
        <v>0</v>
      </c>
      <c r="WX49">
        <v>0</v>
      </c>
      <c r="WY49">
        <v>0</v>
      </c>
      <c r="WZ49">
        <v>0</v>
      </c>
      <c r="XA49">
        <v>0</v>
      </c>
      <c r="XB49">
        <v>0</v>
      </c>
      <c r="XC49">
        <v>0</v>
      </c>
      <c r="XD49">
        <v>0</v>
      </c>
      <c r="XE49">
        <v>0</v>
      </c>
      <c r="XF49">
        <v>0</v>
      </c>
      <c r="XG49">
        <v>0</v>
      </c>
      <c r="XH49">
        <v>0</v>
      </c>
      <c r="XI49">
        <v>0</v>
      </c>
      <c r="XJ49">
        <v>0</v>
      </c>
      <c r="XK49">
        <v>0</v>
      </c>
      <c r="XL49">
        <v>0</v>
      </c>
      <c r="XM49">
        <v>0</v>
      </c>
      <c r="XN49">
        <v>0</v>
      </c>
      <c r="XO49">
        <v>0</v>
      </c>
      <c r="XP49">
        <v>0</v>
      </c>
      <c r="XQ49">
        <v>0</v>
      </c>
      <c r="XR49">
        <v>0</v>
      </c>
      <c r="XS49">
        <v>0</v>
      </c>
      <c r="XT49">
        <v>0</v>
      </c>
      <c r="XU49">
        <v>0</v>
      </c>
      <c r="XV49">
        <v>0</v>
      </c>
      <c r="XW49">
        <v>0</v>
      </c>
      <c r="XX49">
        <v>0</v>
      </c>
      <c r="XY49">
        <v>0</v>
      </c>
      <c r="XZ49">
        <v>0</v>
      </c>
      <c r="YA49">
        <v>0</v>
      </c>
      <c r="YB49">
        <v>0</v>
      </c>
      <c r="YC49">
        <v>0</v>
      </c>
      <c r="YD49">
        <v>0</v>
      </c>
      <c r="YE49">
        <v>0</v>
      </c>
      <c r="YF49">
        <v>0</v>
      </c>
      <c r="YG49">
        <v>0</v>
      </c>
      <c r="YH49">
        <v>0</v>
      </c>
      <c r="YI49">
        <v>0</v>
      </c>
      <c r="YJ49">
        <v>0</v>
      </c>
      <c r="YK49">
        <v>0</v>
      </c>
      <c r="YL49">
        <v>0</v>
      </c>
      <c r="YM49">
        <v>0</v>
      </c>
      <c r="YN49">
        <v>0</v>
      </c>
      <c r="YO49">
        <v>0</v>
      </c>
      <c r="YP49">
        <v>0</v>
      </c>
      <c r="YQ49">
        <v>0</v>
      </c>
      <c r="YR49">
        <v>0</v>
      </c>
      <c r="YS49">
        <v>0</v>
      </c>
      <c r="YT49">
        <v>0</v>
      </c>
      <c r="YU49">
        <v>0</v>
      </c>
      <c r="YV49">
        <v>0</v>
      </c>
      <c r="YW49">
        <v>0</v>
      </c>
      <c r="YX49">
        <v>0</v>
      </c>
      <c r="YY49">
        <v>0</v>
      </c>
      <c r="YZ49">
        <v>0</v>
      </c>
      <c r="ZA49">
        <v>0</v>
      </c>
      <c r="ZB49">
        <v>0</v>
      </c>
      <c r="ZC49">
        <v>0</v>
      </c>
      <c r="ZD49">
        <v>0</v>
      </c>
      <c r="ZE49">
        <v>0</v>
      </c>
      <c r="ZF49">
        <v>0</v>
      </c>
      <c r="ZG49">
        <v>0</v>
      </c>
      <c r="ZH49">
        <v>0</v>
      </c>
      <c r="ZI49">
        <v>0</v>
      </c>
      <c r="ZJ49">
        <v>0</v>
      </c>
      <c r="ZK49">
        <v>0</v>
      </c>
      <c r="ZL49">
        <v>0</v>
      </c>
      <c r="ZM49">
        <v>0</v>
      </c>
      <c r="ZN49">
        <v>0</v>
      </c>
      <c r="ZO49">
        <v>1</v>
      </c>
      <c r="ZP49">
        <v>1</v>
      </c>
      <c r="ZQ49">
        <v>1</v>
      </c>
      <c r="ZR49">
        <v>1</v>
      </c>
      <c r="ZS49">
        <v>1</v>
      </c>
      <c r="ZT49">
        <v>2</v>
      </c>
      <c r="ZU49">
        <v>2</v>
      </c>
      <c r="ZV49">
        <v>2</v>
      </c>
      <c r="ZW49">
        <v>2</v>
      </c>
      <c r="ZX49">
        <v>2</v>
      </c>
      <c r="ZY49">
        <v>2</v>
      </c>
      <c r="ZZ49">
        <v>2</v>
      </c>
      <c r="AAA49">
        <v>2</v>
      </c>
      <c r="AAB49">
        <v>2</v>
      </c>
      <c r="AAC49">
        <v>2</v>
      </c>
      <c r="AAD49">
        <v>2</v>
      </c>
      <c r="AAE49">
        <v>2</v>
      </c>
      <c r="AAF49">
        <v>2</v>
      </c>
      <c r="AAG49">
        <v>2</v>
      </c>
      <c r="AAH49">
        <v>2</v>
      </c>
      <c r="AAI49">
        <v>2</v>
      </c>
      <c r="AAJ49">
        <v>2</v>
      </c>
      <c r="AAK49">
        <v>2</v>
      </c>
      <c r="AAL49">
        <v>2</v>
      </c>
      <c r="AAM49">
        <v>2</v>
      </c>
      <c r="AAN49">
        <v>2</v>
      </c>
      <c r="AAO49">
        <v>2</v>
      </c>
      <c r="AAP49">
        <v>2</v>
      </c>
      <c r="AAQ49">
        <v>2</v>
      </c>
      <c r="AAR49">
        <v>2</v>
      </c>
      <c r="AAS49">
        <v>2</v>
      </c>
      <c r="AAT49">
        <v>2</v>
      </c>
      <c r="AAU49">
        <v>2</v>
      </c>
      <c r="AAV49">
        <v>2</v>
      </c>
      <c r="AAW49">
        <v>2</v>
      </c>
      <c r="AAX49">
        <v>2</v>
      </c>
      <c r="AAY49">
        <v>2</v>
      </c>
      <c r="AAZ49">
        <v>2</v>
      </c>
      <c r="ABA49">
        <v>2</v>
      </c>
      <c r="ABB49">
        <v>2</v>
      </c>
      <c r="ABC49">
        <v>2</v>
      </c>
      <c r="ABD49">
        <v>2</v>
      </c>
      <c r="ABE49">
        <v>2</v>
      </c>
      <c r="ABG49" s="1137">
        <f t="shared" si="9"/>
        <v>0</v>
      </c>
      <c r="ABH49" s="1137">
        <f t="shared" si="9"/>
        <v>0</v>
      </c>
      <c r="ABI49" s="1137">
        <f t="shared" si="9"/>
        <v>14</v>
      </c>
      <c r="ABJ49" s="1137">
        <f t="shared" si="9"/>
        <v>30</v>
      </c>
      <c r="ABK49" s="1137">
        <f t="shared" si="9"/>
        <v>31</v>
      </c>
      <c r="ABL49" s="1137">
        <f t="shared" si="9"/>
        <v>30</v>
      </c>
      <c r="ABM49" s="1137">
        <f t="shared" si="9"/>
        <v>31</v>
      </c>
      <c r="ABN49" s="1137">
        <f t="shared" si="9"/>
        <v>31</v>
      </c>
      <c r="ABO49" s="1137">
        <f t="shared" si="9"/>
        <v>3</v>
      </c>
      <c r="ABP49" s="1137">
        <f t="shared" si="9"/>
        <v>17</v>
      </c>
      <c r="ABQ49" s="1137">
        <f t="shared" si="9"/>
        <v>30</v>
      </c>
      <c r="ABR49" s="1137">
        <f t="shared" si="9"/>
        <v>31</v>
      </c>
      <c r="ABS49" s="1137">
        <f t="shared" si="9"/>
        <v>31</v>
      </c>
      <c r="ABT49" s="1137">
        <f t="shared" si="9"/>
        <v>28</v>
      </c>
      <c r="ABU49" s="1137">
        <f t="shared" si="9"/>
        <v>31</v>
      </c>
      <c r="ABV49" s="1137">
        <f t="shared" si="9"/>
        <v>30</v>
      </c>
      <c r="ABW49" s="1137">
        <f t="shared" si="7"/>
        <v>31</v>
      </c>
      <c r="ABX49" s="1137">
        <f t="shared" si="7"/>
        <v>30</v>
      </c>
      <c r="ABY49" s="1137">
        <f t="shared" si="7"/>
        <v>31</v>
      </c>
      <c r="ABZ49" s="1137">
        <f t="shared" si="7"/>
        <v>2</v>
      </c>
      <c r="ACA49" s="1137">
        <f t="shared" si="7"/>
        <v>0</v>
      </c>
      <c r="ACB49" s="1137">
        <f t="shared" si="7"/>
        <v>0</v>
      </c>
      <c r="ACC49" s="1137">
        <f t="shared" si="7"/>
        <v>12</v>
      </c>
      <c r="ACD49" s="1137">
        <f t="shared" si="7"/>
        <v>31</v>
      </c>
      <c r="ACE49" s="1137" t="s">
        <v>186</v>
      </c>
      <c r="ACF49" s="1137">
        <f t="shared" si="10"/>
        <v>0</v>
      </c>
      <c r="ACG49" s="1137">
        <f t="shared" si="10"/>
        <v>0</v>
      </c>
      <c r="ACH49" s="1137">
        <f t="shared" si="10"/>
        <v>1</v>
      </c>
      <c r="ACI49" s="1137">
        <f t="shared" si="10"/>
        <v>1</v>
      </c>
      <c r="ACJ49" s="1137">
        <f t="shared" si="10"/>
        <v>1</v>
      </c>
      <c r="ACK49" s="1137">
        <f t="shared" si="10"/>
        <v>1</v>
      </c>
      <c r="ACL49" s="1137">
        <f t="shared" si="10"/>
        <v>1</v>
      </c>
      <c r="ACM49" s="1137">
        <f t="shared" si="10"/>
        <v>1</v>
      </c>
      <c r="ACN49" s="1137">
        <f t="shared" si="10"/>
        <v>0</v>
      </c>
      <c r="ACO49" s="1137">
        <f t="shared" si="10"/>
        <v>1</v>
      </c>
      <c r="ACP49" s="1137">
        <f t="shared" si="10"/>
        <v>1</v>
      </c>
      <c r="ACQ49" s="1137">
        <f t="shared" si="10"/>
        <v>1</v>
      </c>
      <c r="ACR49" s="1137">
        <f t="shared" si="10"/>
        <v>1</v>
      </c>
      <c r="ACS49" s="1137">
        <f t="shared" si="10"/>
        <v>1</v>
      </c>
      <c r="ACT49" s="1137">
        <f t="shared" si="10"/>
        <v>1</v>
      </c>
      <c r="ACU49" s="1137">
        <f t="shared" si="10"/>
        <v>1</v>
      </c>
      <c r="ACV49" s="1137">
        <f t="shared" si="8"/>
        <v>1</v>
      </c>
      <c r="ACW49" s="1137">
        <f t="shared" si="8"/>
        <v>1</v>
      </c>
      <c r="ACX49" s="1137">
        <f t="shared" si="8"/>
        <v>1</v>
      </c>
      <c r="ACY49" s="1137">
        <f t="shared" si="8"/>
        <v>0</v>
      </c>
      <c r="ACZ49" s="1137">
        <f t="shared" si="8"/>
        <v>0</v>
      </c>
      <c r="ADA49" s="1137">
        <f t="shared" si="8"/>
        <v>0</v>
      </c>
      <c r="ADB49" s="1137">
        <f t="shared" si="8"/>
        <v>1</v>
      </c>
      <c r="ADC49" s="1137">
        <f t="shared" si="8"/>
        <v>1</v>
      </c>
    </row>
    <row r="50" spans="1:783" x14ac:dyDescent="0.25">
      <c r="A50" t="s">
        <v>1847</v>
      </c>
      <c r="B50" t="s">
        <v>24</v>
      </c>
      <c r="C50">
        <v>0</v>
      </c>
      <c r="D50">
        <v>0</v>
      </c>
      <c r="E50">
        <v>0</v>
      </c>
      <c r="F50">
        <v>0</v>
      </c>
      <c r="G50">
        <v>0</v>
      </c>
      <c r="H50">
        <v>0</v>
      </c>
      <c r="I50">
        <v>0</v>
      </c>
      <c r="J50">
        <v>0</v>
      </c>
      <c r="K50">
        <v>0</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v>0</v>
      </c>
      <c r="BD50">
        <v>0</v>
      </c>
      <c r="BE50">
        <v>0</v>
      </c>
      <c r="BF50">
        <v>0</v>
      </c>
      <c r="BG50">
        <v>0</v>
      </c>
      <c r="BH50">
        <v>0</v>
      </c>
      <c r="BI50">
        <v>0</v>
      </c>
      <c r="BJ50">
        <v>0</v>
      </c>
      <c r="BK50">
        <v>0</v>
      </c>
      <c r="BL50">
        <v>0</v>
      </c>
      <c r="BM50">
        <v>0</v>
      </c>
      <c r="BN50">
        <v>0</v>
      </c>
      <c r="BO50">
        <v>0</v>
      </c>
      <c r="BP50">
        <v>0</v>
      </c>
      <c r="BQ50">
        <v>0</v>
      </c>
      <c r="BR50">
        <v>0</v>
      </c>
      <c r="BS50">
        <v>0</v>
      </c>
      <c r="BT50">
        <v>0</v>
      </c>
      <c r="BU50">
        <v>0</v>
      </c>
      <c r="BV50">
        <v>0</v>
      </c>
      <c r="BW50">
        <v>0</v>
      </c>
      <c r="BX50">
        <v>0</v>
      </c>
      <c r="BY50">
        <v>0</v>
      </c>
      <c r="BZ50">
        <v>0</v>
      </c>
      <c r="CA50">
        <v>0</v>
      </c>
      <c r="CB50">
        <v>0</v>
      </c>
      <c r="CC50">
        <v>0</v>
      </c>
      <c r="CD50">
        <v>0</v>
      </c>
      <c r="CE50">
        <v>0</v>
      </c>
      <c r="CF50">
        <v>0</v>
      </c>
      <c r="CG50">
        <v>2</v>
      </c>
      <c r="CH50">
        <v>2</v>
      </c>
      <c r="CI50">
        <v>2</v>
      </c>
      <c r="CJ50">
        <v>2</v>
      </c>
      <c r="CK50">
        <v>2</v>
      </c>
      <c r="CL50">
        <v>2</v>
      </c>
      <c r="CM50">
        <v>2</v>
      </c>
      <c r="CN50">
        <v>2</v>
      </c>
      <c r="CO50">
        <v>2</v>
      </c>
      <c r="CP50">
        <v>2</v>
      </c>
      <c r="CQ50">
        <v>2</v>
      </c>
      <c r="CR50">
        <v>2</v>
      </c>
      <c r="CS50">
        <v>2</v>
      </c>
      <c r="CT50">
        <v>2</v>
      </c>
      <c r="CU50">
        <v>2</v>
      </c>
      <c r="CV50">
        <v>2</v>
      </c>
      <c r="CW50">
        <v>2</v>
      </c>
      <c r="CX50">
        <v>2</v>
      </c>
      <c r="CY50">
        <v>2</v>
      </c>
      <c r="CZ50">
        <v>2</v>
      </c>
      <c r="DA50">
        <v>2</v>
      </c>
      <c r="DB50">
        <v>2</v>
      </c>
      <c r="DC50">
        <v>2</v>
      </c>
      <c r="DD50">
        <v>2</v>
      </c>
      <c r="DE50">
        <v>2</v>
      </c>
      <c r="DF50">
        <v>2</v>
      </c>
      <c r="DG50">
        <v>2</v>
      </c>
      <c r="DH50">
        <v>2</v>
      </c>
      <c r="DI50">
        <v>2</v>
      </c>
      <c r="DJ50">
        <v>2</v>
      </c>
      <c r="DK50">
        <v>2</v>
      </c>
      <c r="DL50">
        <v>2</v>
      </c>
      <c r="DM50">
        <v>2</v>
      </c>
      <c r="DN50">
        <v>2</v>
      </c>
      <c r="DO50">
        <v>2</v>
      </c>
      <c r="DP50">
        <v>2</v>
      </c>
      <c r="DQ50">
        <v>2</v>
      </c>
      <c r="DR50">
        <v>2</v>
      </c>
      <c r="DS50">
        <v>2</v>
      </c>
      <c r="DT50">
        <v>2</v>
      </c>
      <c r="DU50">
        <v>2</v>
      </c>
      <c r="DV50">
        <v>2</v>
      </c>
      <c r="DW50">
        <v>2</v>
      </c>
      <c r="DX50">
        <v>2</v>
      </c>
      <c r="DY50">
        <v>2</v>
      </c>
      <c r="DZ50">
        <v>2</v>
      </c>
      <c r="EA50">
        <v>2</v>
      </c>
      <c r="EB50">
        <v>2</v>
      </c>
      <c r="EC50">
        <v>2</v>
      </c>
      <c r="ED50">
        <v>2</v>
      </c>
      <c r="EE50">
        <v>2</v>
      </c>
      <c r="EF50">
        <v>2</v>
      </c>
      <c r="EG50">
        <v>2</v>
      </c>
      <c r="EH50">
        <v>2</v>
      </c>
      <c r="EI50">
        <v>2</v>
      </c>
      <c r="EJ50">
        <v>0</v>
      </c>
      <c r="EK50">
        <v>0</v>
      </c>
      <c r="EL50">
        <v>0</v>
      </c>
      <c r="EM50">
        <v>0</v>
      </c>
      <c r="EN50">
        <v>0</v>
      </c>
      <c r="EO50">
        <v>0</v>
      </c>
      <c r="EP50">
        <v>0</v>
      </c>
      <c r="EQ50">
        <v>0</v>
      </c>
      <c r="ER50">
        <v>0</v>
      </c>
      <c r="ES50">
        <v>0</v>
      </c>
      <c r="ET50">
        <v>0</v>
      </c>
      <c r="EU50">
        <v>0</v>
      </c>
      <c r="EV50">
        <v>0</v>
      </c>
      <c r="EW50">
        <v>0</v>
      </c>
      <c r="EX50">
        <v>0</v>
      </c>
      <c r="EY50">
        <v>0</v>
      </c>
      <c r="EZ50">
        <v>0</v>
      </c>
      <c r="FA50">
        <v>0</v>
      </c>
      <c r="FB50">
        <v>0</v>
      </c>
      <c r="FC50">
        <v>0</v>
      </c>
      <c r="FD50">
        <v>0</v>
      </c>
      <c r="FE50">
        <v>0</v>
      </c>
      <c r="FF50">
        <v>0</v>
      </c>
      <c r="FG50">
        <v>0</v>
      </c>
      <c r="FH50">
        <v>0</v>
      </c>
      <c r="FI50">
        <v>0</v>
      </c>
      <c r="FJ50">
        <v>0</v>
      </c>
      <c r="FK50">
        <v>0</v>
      </c>
      <c r="FL50">
        <v>0</v>
      </c>
      <c r="FM50">
        <v>0</v>
      </c>
      <c r="FN50">
        <v>0</v>
      </c>
      <c r="FO50">
        <v>0</v>
      </c>
      <c r="FP50">
        <v>0</v>
      </c>
      <c r="FQ50">
        <v>0</v>
      </c>
      <c r="FR50">
        <v>0</v>
      </c>
      <c r="FS50">
        <v>0</v>
      </c>
      <c r="FT50">
        <v>0</v>
      </c>
      <c r="FU50">
        <v>0</v>
      </c>
      <c r="FV50">
        <v>0</v>
      </c>
      <c r="FW50">
        <v>0</v>
      </c>
      <c r="FX50">
        <v>0</v>
      </c>
      <c r="FY50">
        <v>0</v>
      </c>
      <c r="FZ50">
        <v>0</v>
      </c>
      <c r="GA50">
        <v>0</v>
      </c>
      <c r="GB50">
        <v>0</v>
      </c>
      <c r="GC50">
        <v>0</v>
      </c>
      <c r="GD50">
        <v>0</v>
      </c>
      <c r="GE50">
        <v>0</v>
      </c>
      <c r="GF50">
        <v>0</v>
      </c>
      <c r="GG50">
        <v>0</v>
      </c>
      <c r="GH50">
        <v>0</v>
      </c>
      <c r="GI50">
        <v>0</v>
      </c>
      <c r="GJ50">
        <v>0</v>
      </c>
      <c r="GK50">
        <v>0</v>
      </c>
      <c r="GL50">
        <v>0</v>
      </c>
      <c r="GM50">
        <v>0</v>
      </c>
      <c r="GN50">
        <v>0</v>
      </c>
      <c r="GO50">
        <v>0</v>
      </c>
      <c r="GP50">
        <v>0</v>
      </c>
      <c r="GQ50">
        <v>0</v>
      </c>
      <c r="GR50">
        <v>0</v>
      </c>
      <c r="GS50">
        <v>0</v>
      </c>
      <c r="GT50">
        <v>0</v>
      </c>
      <c r="GU50">
        <v>0</v>
      </c>
      <c r="GV50">
        <v>0</v>
      </c>
      <c r="GW50">
        <v>0</v>
      </c>
      <c r="GX50">
        <v>0</v>
      </c>
      <c r="GY50">
        <v>0</v>
      </c>
      <c r="GZ50">
        <v>0</v>
      </c>
      <c r="HA50">
        <v>0</v>
      </c>
      <c r="HB50">
        <v>0</v>
      </c>
      <c r="HC50">
        <v>0</v>
      </c>
      <c r="HD50">
        <v>0</v>
      </c>
      <c r="HE50">
        <v>0</v>
      </c>
      <c r="HF50">
        <v>0</v>
      </c>
      <c r="HG50">
        <v>0</v>
      </c>
      <c r="HH50">
        <v>0</v>
      </c>
      <c r="HI50">
        <v>0</v>
      </c>
      <c r="HJ50">
        <v>0</v>
      </c>
      <c r="HK50">
        <v>0</v>
      </c>
      <c r="HL50">
        <v>0</v>
      </c>
      <c r="HM50">
        <v>0</v>
      </c>
      <c r="HN50">
        <v>0</v>
      </c>
      <c r="HO50">
        <v>0</v>
      </c>
      <c r="HP50">
        <v>0</v>
      </c>
      <c r="HQ50">
        <v>0</v>
      </c>
      <c r="HR50">
        <v>0</v>
      </c>
      <c r="HS50">
        <v>0</v>
      </c>
      <c r="HT50">
        <v>0</v>
      </c>
      <c r="HU50">
        <v>0</v>
      </c>
      <c r="HV50">
        <v>0</v>
      </c>
      <c r="HW50">
        <v>0</v>
      </c>
      <c r="HX50">
        <v>0</v>
      </c>
      <c r="HY50">
        <v>0</v>
      </c>
      <c r="HZ50">
        <v>0</v>
      </c>
      <c r="IA50">
        <v>0</v>
      </c>
      <c r="IB50">
        <v>0</v>
      </c>
      <c r="IC50">
        <v>0</v>
      </c>
      <c r="ID50">
        <v>0</v>
      </c>
      <c r="IE50">
        <v>0</v>
      </c>
      <c r="IF50">
        <v>0</v>
      </c>
      <c r="IG50">
        <v>0</v>
      </c>
      <c r="IH50">
        <v>0</v>
      </c>
      <c r="II50">
        <v>0</v>
      </c>
      <c r="IJ50">
        <v>0</v>
      </c>
      <c r="IK50">
        <v>0</v>
      </c>
      <c r="IL50">
        <v>0</v>
      </c>
      <c r="IM50">
        <v>0</v>
      </c>
      <c r="IN50">
        <v>0</v>
      </c>
      <c r="IO50">
        <v>0</v>
      </c>
      <c r="IP50">
        <v>0</v>
      </c>
      <c r="IQ50">
        <v>0</v>
      </c>
      <c r="IR50">
        <v>0</v>
      </c>
      <c r="IS50">
        <v>0</v>
      </c>
      <c r="IT50">
        <v>0</v>
      </c>
      <c r="IU50">
        <v>0</v>
      </c>
      <c r="IV50">
        <v>0</v>
      </c>
      <c r="IW50">
        <v>0</v>
      </c>
      <c r="IX50">
        <v>0</v>
      </c>
      <c r="IY50">
        <v>0</v>
      </c>
      <c r="IZ50">
        <v>0</v>
      </c>
      <c r="JA50">
        <v>0</v>
      </c>
      <c r="JB50">
        <v>0</v>
      </c>
      <c r="JC50">
        <v>0</v>
      </c>
      <c r="JD50">
        <v>0</v>
      </c>
      <c r="JE50">
        <v>0</v>
      </c>
      <c r="JF50">
        <v>0</v>
      </c>
      <c r="JG50">
        <v>0</v>
      </c>
      <c r="JH50">
        <v>0</v>
      </c>
      <c r="JI50">
        <v>0</v>
      </c>
      <c r="JJ50">
        <v>0</v>
      </c>
      <c r="JK50">
        <v>0</v>
      </c>
      <c r="JL50">
        <v>0</v>
      </c>
      <c r="JM50">
        <v>0</v>
      </c>
      <c r="JN50">
        <v>0</v>
      </c>
      <c r="JO50">
        <v>0</v>
      </c>
      <c r="JP50">
        <v>0</v>
      </c>
      <c r="JQ50">
        <v>0</v>
      </c>
      <c r="JR50">
        <v>0</v>
      </c>
      <c r="JS50">
        <v>0</v>
      </c>
      <c r="JT50">
        <v>0</v>
      </c>
      <c r="JU50">
        <v>0</v>
      </c>
      <c r="JV50">
        <v>0</v>
      </c>
      <c r="JW50">
        <v>0</v>
      </c>
      <c r="JX50">
        <v>0</v>
      </c>
      <c r="JY50">
        <v>0</v>
      </c>
      <c r="JZ50">
        <v>0</v>
      </c>
      <c r="KA50">
        <v>0</v>
      </c>
      <c r="KB50">
        <v>0</v>
      </c>
      <c r="KC50">
        <v>0</v>
      </c>
      <c r="KD50">
        <v>0</v>
      </c>
      <c r="KE50">
        <v>0</v>
      </c>
      <c r="KF50">
        <v>0</v>
      </c>
      <c r="KG50">
        <v>0</v>
      </c>
      <c r="KH50">
        <v>0</v>
      </c>
      <c r="KI50">
        <v>0</v>
      </c>
      <c r="KJ50">
        <v>0</v>
      </c>
      <c r="KK50">
        <v>0</v>
      </c>
      <c r="KL50">
        <v>0</v>
      </c>
      <c r="KM50">
        <v>0</v>
      </c>
      <c r="KN50">
        <v>0</v>
      </c>
      <c r="KO50">
        <v>0</v>
      </c>
      <c r="KP50">
        <v>0</v>
      </c>
      <c r="KQ50">
        <v>0</v>
      </c>
      <c r="KR50">
        <v>0</v>
      </c>
      <c r="KS50">
        <v>0</v>
      </c>
      <c r="KT50">
        <v>0</v>
      </c>
      <c r="KU50">
        <v>0</v>
      </c>
      <c r="KV50">
        <v>0</v>
      </c>
      <c r="KW50">
        <v>0</v>
      </c>
      <c r="KX50">
        <v>0</v>
      </c>
      <c r="KY50">
        <v>0</v>
      </c>
      <c r="KZ50">
        <v>0</v>
      </c>
      <c r="LA50">
        <v>0</v>
      </c>
      <c r="LB50">
        <v>0</v>
      </c>
      <c r="LC50">
        <v>0</v>
      </c>
      <c r="LD50">
        <v>0</v>
      </c>
      <c r="LE50">
        <v>0</v>
      </c>
      <c r="LF50">
        <v>0</v>
      </c>
      <c r="LG50">
        <v>0</v>
      </c>
      <c r="LH50">
        <v>0</v>
      </c>
      <c r="LI50">
        <v>0</v>
      </c>
      <c r="LJ50">
        <v>0</v>
      </c>
      <c r="LK50">
        <v>0</v>
      </c>
      <c r="LL50">
        <v>0</v>
      </c>
      <c r="LM50">
        <v>0</v>
      </c>
      <c r="LN50">
        <v>0</v>
      </c>
      <c r="LO50">
        <v>0</v>
      </c>
      <c r="LP50">
        <v>0</v>
      </c>
      <c r="LQ50">
        <v>0</v>
      </c>
      <c r="LR50">
        <v>0</v>
      </c>
      <c r="LS50">
        <v>0</v>
      </c>
      <c r="LT50">
        <v>0</v>
      </c>
      <c r="LU50">
        <v>0</v>
      </c>
      <c r="LV50">
        <v>0</v>
      </c>
      <c r="LW50">
        <v>0</v>
      </c>
      <c r="LX50">
        <v>0</v>
      </c>
      <c r="LY50">
        <v>0</v>
      </c>
      <c r="LZ50">
        <v>0</v>
      </c>
      <c r="MA50">
        <v>0</v>
      </c>
      <c r="MB50">
        <v>0</v>
      </c>
      <c r="MC50">
        <v>0</v>
      </c>
      <c r="MD50">
        <v>0</v>
      </c>
      <c r="ME50">
        <v>0</v>
      </c>
      <c r="MF50">
        <v>0</v>
      </c>
      <c r="MG50">
        <v>0</v>
      </c>
      <c r="MH50">
        <v>0</v>
      </c>
      <c r="MI50">
        <v>0</v>
      </c>
      <c r="MJ50">
        <v>0</v>
      </c>
      <c r="MK50">
        <v>0</v>
      </c>
      <c r="ML50">
        <v>0</v>
      </c>
      <c r="MM50">
        <v>0</v>
      </c>
      <c r="MN50">
        <v>0</v>
      </c>
      <c r="MO50">
        <v>0</v>
      </c>
      <c r="MP50">
        <v>0</v>
      </c>
      <c r="MQ50">
        <v>0</v>
      </c>
      <c r="MR50">
        <v>0</v>
      </c>
      <c r="MS50">
        <v>0</v>
      </c>
      <c r="MT50">
        <v>0</v>
      </c>
      <c r="MU50">
        <v>0</v>
      </c>
      <c r="MV50">
        <v>0</v>
      </c>
      <c r="MW50">
        <v>0</v>
      </c>
      <c r="MX50">
        <v>0</v>
      </c>
      <c r="MY50">
        <v>0</v>
      </c>
      <c r="MZ50">
        <v>0</v>
      </c>
      <c r="NA50">
        <v>0</v>
      </c>
      <c r="NB50">
        <v>0</v>
      </c>
      <c r="NC50">
        <v>0</v>
      </c>
      <c r="ND50">
        <v>0</v>
      </c>
      <c r="NE50">
        <v>0</v>
      </c>
      <c r="NF50">
        <v>0</v>
      </c>
      <c r="NG50">
        <v>0</v>
      </c>
      <c r="NH50">
        <v>0</v>
      </c>
      <c r="NI50">
        <v>0</v>
      </c>
      <c r="NJ50">
        <v>0</v>
      </c>
      <c r="NK50">
        <v>0</v>
      </c>
      <c r="NL50">
        <v>0</v>
      </c>
      <c r="NM50">
        <v>0</v>
      </c>
      <c r="NN50">
        <v>0</v>
      </c>
      <c r="NO50">
        <v>0</v>
      </c>
      <c r="NP50">
        <v>0</v>
      </c>
      <c r="NQ50">
        <v>0</v>
      </c>
      <c r="NR50">
        <v>0</v>
      </c>
      <c r="NS50">
        <v>0</v>
      </c>
      <c r="NT50">
        <v>0</v>
      </c>
      <c r="NU50">
        <v>0</v>
      </c>
      <c r="NV50">
        <v>0</v>
      </c>
      <c r="NW50">
        <v>0</v>
      </c>
      <c r="NX50">
        <v>0</v>
      </c>
      <c r="NY50">
        <v>0</v>
      </c>
      <c r="NZ50">
        <v>0</v>
      </c>
      <c r="OA50">
        <v>0</v>
      </c>
      <c r="OB50">
        <v>0</v>
      </c>
      <c r="OC50">
        <v>0</v>
      </c>
      <c r="OD50">
        <v>0</v>
      </c>
      <c r="OE50">
        <v>0</v>
      </c>
      <c r="OF50">
        <v>0</v>
      </c>
      <c r="OG50">
        <v>0</v>
      </c>
      <c r="OH50">
        <v>0</v>
      </c>
      <c r="OI50">
        <v>0</v>
      </c>
      <c r="OJ50">
        <v>0</v>
      </c>
      <c r="OK50">
        <v>0</v>
      </c>
      <c r="OL50">
        <v>0</v>
      </c>
      <c r="OM50">
        <v>0</v>
      </c>
      <c r="ON50">
        <v>0</v>
      </c>
      <c r="OO50">
        <v>0</v>
      </c>
      <c r="OP50">
        <v>0</v>
      </c>
      <c r="OQ50">
        <v>0</v>
      </c>
      <c r="OR50">
        <v>0</v>
      </c>
      <c r="OS50">
        <v>0</v>
      </c>
      <c r="OT50">
        <v>0</v>
      </c>
      <c r="OU50">
        <v>0</v>
      </c>
      <c r="OV50">
        <v>0</v>
      </c>
      <c r="OW50">
        <v>0</v>
      </c>
      <c r="OX50">
        <v>0</v>
      </c>
      <c r="OY50">
        <v>0</v>
      </c>
      <c r="OZ50">
        <v>0</v>
      </c>
      <c r="PA50">
        <v>0</v>
      </c>
      <c r="PB50">
        <v>0</v>
      </c>
      <c r="PC50">
        <v>0</v>
      </c>
      <c r="PD50">
        <v>0</v>
      </c>
      <c r="PE50">
        <v>0</v>
      </c>
      <c r="PF50">
        <v>0</v>
      </c>
      <c r="PG50">
        <v>0</v>
      </c>
      <c r="PH50">
        <v>0</v>
      </c>
      <c r="PI50">
        <v>0</v>
      </c>
      <c r="PJ50">
        <v>0</v>
      </c>
      <c r="PK50">
        <v>0</v>
      </c>
      <c r="PL50">
        <v>0</v>
      </c>
      <c r="PM50">
        <v>0</v>
      </c>
      <c r="PN50">
        <v>0</v>
      </c>
      <c r="PO50">
        <v>0</v>
      </c>
      <c r="PP50">
        <v>0</v>
      </c>
      <c r="PQ50">
        <v>0</v>
      </c>
      <c r="PR50">
        <v>0</v>
      </c>
      <c r="PS50">
        <v>0</v>
      </c>
      <c r="PT50">
        <v>0</v>
      </c>
      <c r="PU50">
        <v>0</v>
      </c>
      <c r="PV50">
        <v>0</v>
      </c>
      <c r="PW50">
        <v>0</v>
      </c>
      <c r="PX50">
        <v>0</v>
      </c>
      <c r="PY50">
        <v>0</v>
      </c>
      <c r="PZ50">
        <v>0</v>
      </c>
      <c r="QA50">
        <v>0</v>
      </c>
      <c r="QB50">
        <v>0</v>
      </c>
      <c r="QC50">
        <v>0</v>
      </c>
      <c r="QD50">
        <v>0</v>
      </c>
      <c r="QE50">
        <v>0</v>
      </c>
      <c r="QF50">
        <v>0</v>
      </c>
      <c r="QG50">
        <v>0</v>
      </c>
      <c r="QH50">
        <v>0</v>
      </c>
      <c r="QI50">
        <v>0</v>
      </c>
      <c r="QJ50">
        <v>0</v>
      </c>
      <c r="QK50">
        <v>0</v>
      </c>
      <c r="QL50">
        <v>0</v>
      </c>
      <c r="QM50">
        <v>0</v>
      </c>
      <c r="QN50">
        <v>0</v>
      </c>
      <c r="QO50">
        <v>0</v>
      </c>
      <c r="QP50">
        <v>0</v>
      </c>
      <c r="QQ50">
        <v>0</v>
      </c>
      <c r="QR50">
        <v>0</v>
      </c>
      <c r="QS50">
        <v>0</v>
      </c>
      <c r="QT50">
        <v>0</v>
      </c>
      <c r="QU50">
        <v>0</v>
      </c>
      <c r="QV50">
        <v>0</v>
      </c>
      <c r="QW50">
        <v>0</v>
      </c>
      <c r="QX50">
        <v>0</v>
      </c>
      <c r="QY50">
        <v>0</v>
      </c>
      <c r="QZ50">
        <v>0</v>
      </c>
      <c r="RA50">
        <v>0</v>
      </c>
      <c r="RB50">
        <v>0</v>
      </c>
      <c r="RC50">
        <v>0</v>
      </c>
      <c r="RD50">
        <v>0</v>
      </c>
      <c r="RE50">
        <v>0</v>
      </c>
      <c r="RF50">
        <v>0</v>
      </c>
      <c r="RG50">
        <v>0</v>
      </c>
      <c r="RH50">
        <v>0</v>
      </c>
      <c r="RI50">
        <v>0</v>
      </c>
      <c r="RJ50">
        <v>0</v>
      </c>
      <c r="RK50">
        <v>0</v>
      </c>
      <c r="RL50">
        <v>0</v>
      </c>
      <c r="RM50">
        <v>0</v>
      </c>
      <c r="RN50">
        <v>0</v>
      </c>
      <c r="RO50">
        <v>0</v>
      </c>
      <c r="RP50">
        <v>0</v>
      </c>
      <c r="RQ50">
        <v>0</v>
      </c>
      <c r="RR50">
        <v>0</v>
      </c>
      <c r="RS50">
        <v>0</v>
      </c>
      <c r="RT50">
        <v>0</v>
      </c>
      <c r="RU50">
        <v>0</v>
      </c>
      <c r="RV50">
        <v>0</v>
      </c>
      <c r="RW50">
        <v>0</v>
      </c>
      <c r="RX50">
        <v>0</v>
      </c>
      <c r="RY50">
        <v>0</v>
      </c>
      <c r="RZ50">
        <v>0</v>
      </c>
      <c r="SA50">
        <v>0</v>
      </c>
      <c r="SB50">
        <v>0</v>
      </c>
      <c r="SC50">
        <v>0</v>
      </c>
      <c r="SD50">
        <v>0</v>
      </c>
      <c r="SE50">
        <v>0</v>
      </c>
      <c r="SF50">
        <v>0</v>
      </c>
      <c r="SG50">
        <v>0</v>
      </c>
      <c r="SH50">
        <v>0</v>
      </c>
      <c r="SI50">
        <v>0</v>
      </c>
      <c r="SJ50">
        <v>0</v>
      </c>
      <c r="SK50">
        <v>0</v>
      </c>
      <c r="SL50">
        <v>0</v>
      </c>
      <c r="SM50">
        <v>0</v>
      </c>
      <c r="SN50">
        <v>0</v>
      </c>
      <c r="SO50">
        <v>0</v>
      </c>
      <c r="SP50">
        <v>0</v>
      </c>
      <c r="SQ50">
        <v>0</v>
      </c>
      <c r="SR50">
        <v>0</v>
      </c>
      <c r="SS50">
        <v>0</v>
      </c>
      <c r="ST50">
        <v>0</v>
      </c>
      <c r="SU50">
        <v>0</v>
      </c>
      <c r="SV50">
        <v>0</v>
      </c>
      <c r="SW50">
        <v>0</v>
      </c>
      <c r="SX50">
        <v>0</v>
      </c>
      <c r="SY50">
        <v>0</v>
      </c>
      <c r="SZ50">
        <v>0</v>
      </c>
      <c r="TA50">
        <v>0</v>
      </c>
      <c r="TB50">
        <v>0</v>
      </c>
      <c r="TC50">
        <v>0</v>
      </c>
      <c r="TD50">
        <v>0</v>
      </c>
      <c r="TE50">
        <v>0</v>
      </c>
      <c r="TF50">
        <v>0</v>
      </c>
      <c r="TG50">
        <v>0</v>
      </c>
      <c r="TH50">
        <v>0</v>
      </c>
      <c r="TI50">
        <v>0</v>
      </c>
      <c r="TJ50">
        <v>0</v>
      </c>
      <c r="TK50">
        <v>0</v>
      </c>
      <c r="TL50">
        <v>0</v>
      </c>
      <c r="TM50">
        <v>0</v>
      </c>
      <c r="TN50">
        <v>0</v>
      </c>
      <c r="TO50">
        <v>0</v>
      </c>
      <c r="TP50">
        <v>0</v>
      </c>
      <c r="TQ50">
        <v>0</v>
      </c>
      <c r="TR50">
        <v>0</v>
      </c>
      <c r="TS50">
        <v>0</v>
      </c>
      <c r="TT50">
        <v>0</v>
      </c>
      <c r="TU50">
        <v>0</v>
      </c>
      <c r="TV50">
        <v>0</v>
      </c>
      <c r="TW50">
        <v>0</v>
      </c>
      <c r="TX50">
        <v>0</v>
      </c>
      <c r="TY50">
        <v>0</v>
      </c>
      <c r="TZ50">
        <v>0</v>
      </c>
      <c r="UA50">
        <v>0</v>
      </c>
      <c r="UB50">
        <v>0</v>
      </c>
      <c r="UC50">
        <v>0</v>
      </c>
      <c r="UD50">
        <v>0</v>
      </c>
      <c r="UE50">
        <v>0</v>
      </c>
      <c r="UF50">
        <v>0</v>
      </c>
      <c r="UG50">
        <v>0</v>
      </c>
      <c r="UH50">
        <v>0</v>
      </c>
      <c r="UI50">
        <v>0</v>
      </c>
      <c r="UJ50">
        <v>0</v>
      </c>
      <c r="UK50">
        <v>0</v>
      </c>
      <c r="UL50">
        <v>0</v>
      </c>
      <c r="UM50">
        <v>0</v>
      </c>
      <c r="UN50">
        <v>0</v>
      </c>
      <c r="UO50">
        <v>0</v>
      </c>
      <c r="UP50">
        <v>0</v>
      </c>
      <c r="UQ50">
        <v>0</v>
      </c>
      <c r="UR50">
        <v>0</v>
      </c>
      <c r="US50">
        <v>0</v>
      </c>
      <c r="UT50">
        <v>0</v>
      </c>
      <c r="UU50">
        <v>0</v>
      </c>
      <c r="UV50">
        <v>0</v>
      </c>
      <c r="UW50">
        <v>0</v>
      </c>
      <c r="UX50">
        <v>0</v>
      </c>
      <c r="UY50">
        <v>0</v>
      </c>
      <c r="UZ50">
        <v>0</v>
      </c>
      <c r="VA50">
        <v>0</v>
      </c>
      <c r="VB50">
        <v>0</v>
      </c>
      <c r="VC50">
        <v>0</v>
      </c>
      <c r="VD50">
        <v>0</v>
      </c>
      <c r="VE50">
        <v>0</v>
      </c>
      <c r="VF50">
        <v>0</v>
      </c>
      <c r="VG50">
        <v>0</v>
      </c>
      <c r="VH50">
        <v>0</v>
      </c>
      <c r="VI50">
        <v>0</v>
      </c>
      <c r="VJ50">
        <v>0</v>
      </c>
      <c r="VK50">
        <v>0</v>
      </c>
      <c r="VL50">
        <v>0</v>
      </c>
      <c r="VM50">
        <v>0</v>
      </c>
      <c r="VN50">
        <v>0</v>
      </c>
      <c r="VO50">
        <v>0</v>
      </c>
      <c r="VP50">
        <v>0</v>
      </c>
      <c r="VQ50">
        <v>0</v>
      </c>
      <c r="VR50">
        <v>0</v>
      </c>
      <c r="VS50">
        <v>0</v>
      </c>
      <c r="VT50">
        <v>0</v>
      </c>
      <c r="VU50">
        <v>0</v>
      </c>
      <c r="VV50">
        <v>0</v>
      </c>
      <c r="VW50">
        <v>0</v>
      </c>
      <c r="VX50">
        <v>0</v>
      </c>
      <c r="VY50">
        <v>0</v>
      </c>
      <c r="VZ50">
        <v>0</v>
      </c>
      <c r="WA50">
        <v>0</v>
      </c>
      <c r="WB50">
        <v>0</v>
      </c>
      <c r="WC50">
        <v>0</v>
      </c>
      <c r="WD50">
        <v>0</v>
      </c>
      <c r="WE50">
        <v>0</v>
      </c>
      <c r="WF50">
        <v>0</v>
      </c>
      <c r="WG50">
        <v>0</v>
      </c>
      <c r="WH50">
        <v>0</v>
      </c>
      <c r="WI50">
        <v>0</v>
      </c>
      <c r="WJ50">
        <v>0</v>
      </c>
      <c r="WK50">
        <v>0</v>
      </c>
      <c r="WL50">
        <v>0</v>
      </c>
      <c r="WM50">
        <v>0</v>
      </c>
      <c r="WN50">
        <v>0</v>
      </c>
      <c r="WO50">
        <v>0</v>
      </c>
      <c r="WP50">
        <v>0</v>
      </c>
      <c r="WQ50">
        <v>0</v>
      </c>
      <c r="WR50">
        <v>0</v>
      </c>
      <c r="WS50">
        <v>0</v>
      </c>
      <c r="WT50">
        <v>0</v>
      </c>
      <c r="WU50">
        <v>0</v>
      </c>
      <c r="WV50">
        <v>0</v>
      </c>
      <c r="WW50">
        <v>0</v>
      </c>
      <c r="WX50">
        <v>0</v>
      </c>
      <c r="WY50">
        <v>0</v>
      </c>
      <c r="WZ50">
        <v>0</v>
      </c>
      <c r="XA50">
        <v>0</v>
      </c>
      <c r="XB50">
        <v>0</v>
      </c>
      <c r="XC50">
        <v>0</v>
      </c>
      <c r="XD50">
        <v>0</v>
      </c>
      <c r="XE50">
        <v>0</v>
      </c>
      <c r="XF50">
        <v>0</v>
      </c>
      <c r="XG50">
        <v>0</v>
      </c>
      <c r="XH50">
        <v>0</v>
      </c>
      <c r="XI50">
        <v>0</v>
      </c>
      <c r="XJ50">
        <v>0</v>
      </c>
      <c r="XK50">
        <v>0</v>
      </c>
      <c r="XL50">
        <v>0</v>
      </c>
      <c r="XM50">
        <v>0</v>
      </c>
      <c r="XN50">
        <v>0</v>
      </c>
      <c r="XO50">
        <v>0</v>
      </c>
      <c r="XP50">
        <v>0</v>
      </c>
      <c r="XQ50">
        <v>0</v>
      </c>
      <c r="XR50">
        <v>0</v>
      </c>
      <c r="XS50">
        <v>0</v>
      </c>
      <c r="XT50">
        <v>0</v>
      </c>
      <c r="XU50">
        <v>0</v>
      </c>
      <c r="XV50">
        <v>0</v>
      </c>
      <c r="XW50">
        <v>0</v>
      </c>
      <c r="XX50">
        <v>0</v>
      </c>
      <c r="XY50">
        <v>0</v>
      </c>
      <c r="XZ50">
        <v>0</v>
      </c>
      <c r="YA50">
        <v>0</v>
      </c>
      <c r="YB50">
        <v>0</v>
      </c>
      <c r="YC50">
        <v>0</v>
      </c>
      <c r="YD50">
        <v>0</v>
      </c>
      <c r="YE50">
        <v>0</v>
      </c>
      <c r="YF50">
        <v>0</v>
      </c>
      <c r="YG50">
        <v>0</v>
      </c>
      <c r="YH50">
        <v>0</v>
      </c>
      <c r="YI50">
        <v>0</v>
      </c>
      <c r="YJ50">
        <v>0</v>
      </c>
      <c r="YK50">
        <v>0</v>
      </c>
      <c r="YL50">
        <v>0</v>
      </c>
      <c r="YM50">
        <v>0</v>
      </c>
      <c r="YN50">
        <v>0</v>
      </c>
      <c r="YO50">
        <v>0</v>
      </c>
      <c r="YP50">
        <v>0</v>
      </c>
      <c r="YQ50">
        <v>0</v>
      </c>
      <c r="YR50">
        <v>0</v>
      </c>
      <c r="YS50">
        <v>0</v>
      </c>
      <c r="YT50">
        <v>0</v>
      </c>
      <c r="YU50">
        <v>0</v>
      </c>
      <c r="YV50">
        <v>0</v>
      </c>
      <c r="YW50">
        <v>0</v>
      </c>
      <c r="YX50">
        <v>0</v>
      </c>
      <c r="YY50">
        <v>0</v>
      </c>
      <c r="YZ50">
        <v>0</v>
      </c>
      <c r="ZA50">
        <v>0</v>
      </c>
      <c r="ZB50">
        <v>0</v>
      </c>
      <c r="ZC50">
        <v>0</v>
      </c>
      <c r="ZD50">
        <v>0</v>
      </c>
      <c r="ZE50">
        <v>0</v>
      </c>
      <c r="ZF50">
        <v>0</v>
      </c>
      <c r="ZG50">
        <v>0</v>
      </c>
      <c r="ZH50">
        <v>0</v>
      </c>
      <c r="ZI50">
        <v>0</v>
      </c>
      <c r="ZJ50">
        <v>0</v>
      </c>
      <c r="ZK50">
        <v>0</v>
      </c>
      <c r="ZL50">
        <v>0</v>
      </c>
      <c r="ZM50">
        <v>0</v>
      </c>
      <c r="ZN50">
        <v>0</v>
      </c>
      <c r="ZO50">
        <v>0</v>
      </c>
      <c r="ZP50">
        <v>0</v>
      </c>
      <c r="ZQ50">
        <v>0</v>
      </c>
      <c r="ZR50">
        <v>0</v>
      </c>
      <c r="ZS50">
        <v>0</v>
      </c>
      <c r="ZT50">
        <v>0</v>
      </c>
      <c r="ZU50">
        <v>0</v>
      </c>
      <c r="ZV50">
        <v>0</v>
      </c>
      <c r="ZW50">
        <v>0</v>
      </c>
      <c r="ZX50">
        <v>0</v>
      </c>
      <c r="ZY50">
        <v>0</v>
      </c>
      <c r="ZZ50">
        <v>0</v>
      </c>
      <c r="AAA50">
        <v>0</v>
      </c>
      <c r="AAB50">
        <v>0</v>
      </c>
      <c r="AAC50">
        <v>0</v>
      </c>
      <c r="AAD50">
        <v>0</v>
      </c>
      <c r="AAE50">
        <v>0</v>
      </c>
      <c r="AAF50">
        <v>0</v>
      </c>
      <c r="AAG50">
        <v>0</v>
      </c>
      <c r="AAH50">
        <v>0</v>
      </c>
      <c r="AAI50">
        <v>0</v>
      </c>
      <c r="AAJ50">
        <v>0</v>
      </c>
      <c r="AAK50">
        <v>0</v>
      </c>
      <c r="AAL50">
        <v>0</v>
      </c>
      <c r="AAM50">
        <v>0</v>
      </c>
      <c r="AAN50">
        <v>0</v>
      </c>
      <c r="AAO50">
        <v>0</v>
      </c>
      <c r="AAP50">
        <v>0</v>
      </c>
      <c r="AAQ50">
        <v>0</v>
      </c>
      <c r="AAR50">
        <v>0</v>
      </c>
      <c r="AAS50">
        <v>0</v>
      </c>
      <c r="AAT50">
        <v>0</v>
      </c>
      <c r="AAU50">
        <v>0</v>
      </c>
      <c r="AAV50">
        <v>0</v>
      </c>
      <c r="AAW50">
        <v>0</v>
      </c>
      <c r="AAX50">
        <v>0</v>
      </c>
      <c r="AAY50">
        <v>0</v>
      </c>
      <c r="AAZ50">
        <v>0</v>
      </c>
      <c r="ABA50">
        <v>0</v>
      </c>
      <c r="ABB50">
        <v>0</v>
      </c>
      <c r="ABC50">
        <v>0</v>
      </c>
      <c r="ABD50">
        <v>0</v>
      </c>
      <c r="ABE50">
        <v>0</v>
      </c>
      <c r="ABG50" s="1137">
        <f t="shared" si="9"/>
        <v>0</v>
      </c>
      <c r="ABH50" s="1137">
        <f t="shared" si="9"/>
        <v>0</v>
      </c>
      <c r="ABI50" s="1137">
        <f t="shared" si="9"/>
        <v>9</v>
      </c>
      <c r="ABJ50" s="1137">
        <f t="shared" si="9"/>
        <v>30</v>
      </c>
      <c r="ABK50" s="1137">
        <f t="shared" si="9"/>
        <v>16</v>
      </c>
      <c r="ABL50" s="1137">
        <f t="shared" si="9"/>
        <v>0</v>
      </c>
      <c r="ABM50" s="1137">
        <f t="shared" si="9"/>
        <v>0</v>
      </c>
      <c r="ABN50" s="1137">
        <f t="shared" si="9"/>
        <v>0</v>
      </c>
      <c r="ABO50" s="1137">
        <f t="shared" si="9"/>
        <v>0</v>
      </c>
      <c r="ABP50" s="1137">
        <f t="shared" si="9"/>
        <v>0</v>
      </c>
      <c r="ABQ50" s="1137">
        <f t="shared" si="9"/>
        <v>0</v>
      </c>
      <c r="ABR50" s="1137">
        <f t="shared" si="9"/>
        <v>0</v>
      </c>
      <c r="ABS50" s="1137">
        <f t="shared" si="9"/>
        <v>0</v>
      </c>
      <c r="ABT50" s="1137">
        <f t="shared" si="9"/>
        <v>0</v>
      </c>
      <c r="ABU50" s="1137">
        <f t="shared" si="9"/>
        <v>0</v>
      </c>
      <c r="ABV50" s="1137">
        <f t="shared" si="9"/>
        <v>0</v>
      </c>
      <c r="ABW50" s="1137">
        <f t="shared" si="7"/>
        <v>0</v>
      </c>
      <c r="ABX50" s="1137">
        <f t="shared" si="7"/>
        <v>0</v>
      </c>
      <c r="ABY50" s="1137">
        <f t="shared" si="7"/>
        <v>0</v>
      </c>
      <c r="ABZ50" s="1137">
        <f t="shared" si="7"/>
        <v>0</v>
      </c>
      <c r="ACA50" s="1137">
        <f t="shared" si="7"/>
        <v>0</v>
      </c>
      <c r="ACB50" s="1137">
        <f t="shared" si="7"/>
        <v>0</v>
      </c>
      <c r="ACC50" s="1137">
        <f t="shared" si="7"/>
        <v>0</v>
      </c>
      <c r="ACD50" s="1137">
        <f t="shared" si="7"/>
        <v>0</v>
      </c>
      <c r="ACE50" s="1137" t="s">
        <v>24</v>
      </c>
      <c r="ACF50" s="1137">
        <f t="shared" si="10"/>
        <v>0</v>
      </c>
      <c r="ACG50" s="1137">
        <f t="shared" si="10"/>
        <v>0</v>
      </c>
      <c r="ACH50" s="1137">
        <f t="shared" si="10"/>
        <v>0</v>
      </c>
      <c r="ACI50" s="1137">
        <f t="shared" si="10"/>
        <v>1</v>
      </c>
      <c r="ACJ50" s="1137">
        <f t="shared" si="10"/>
        <v>1</v>
      </c>
      <c r="ACK50" s="1137">
        <f t="shared" si="10"/>
        <v>0</v>
      </c>
      <c r="ACL50" s="1137">
        <f t="shared" si="10"/>
        <v>0</v>
      </c>
      <c r="ACM50" s="1137">
        <f t="shared" si="10"/>
        <v>0</v>
      </c>
      <c r="ACN50" s="1137">
        <f t="shared" si="10"/>
        <v>0</v>
      </c>
      <c r="ACO50" s="1137">
        <f t="shared" si="10"/>
        <v>0</v>
      </c>
      <c r="ACP50" s="1137">
        <f t="shared" si="10"/>
        <v>0</v>
      </c>
      <c r="ACQ50" s="1137">
        <f t="shared" si="10"/>
        <v>0</v>
      </c>
      <c r="ACR50" s="1137">
        <f t="shared" si="10"/>
        <v>0</v>
      </c>
      <c r="ACS50" s="1137">
        <f t="shared" si="10"/>
        <v>0</v>
      </c>
      <c r="ACT50" s="1137">
        <f t="shared" si="10"/>
        <v>0</v>
      </c>
      <c r="ACU50" s="1137">
        <f t="shared" si="10"/>
        <v>0</v>
      </c>
      <c r="ACV50" s="1137">
        <f t="shared" si="8"/>
        <v>0</v>
      </c>
      <c r="ACW50" s="1137">
        <f t="shared" si="8"/>
        <v>0</v>
      </c>
      <c r="ACX50" s="1137">
        <f t="shared" si="8"/>
        <v>0</v>
      </c>
      <c r="ACY50" s="1137">
        <f t="shared" si="8"/>
        <v>0</v>
      </c>
      <c r="ACZ50" s="1137">
        <f t="shared" si="8"/>
        <v>0</v>
      </c>
      <c r="ADA50" s="1137">
        <f t="shared" si="8"/>
        <v>0</v>
      </c>
      <c r="ADB50" s="1137">
        <f t="shared" si="8"/>
        <v>0</v>
      </c>
      <c r="ADC50" s="1137">
        <f t="shared" si="8"/>
        <v>0</v>
      </c>
    </row>
    <row r="51" spans="1:783" x14ac:dyDescent="0.25">
      <c r="A51" t="s">
        <v>1848</v>
      </c>
      <c r="B51" t="s">
        <v>171</v>
      </c>
      <c r="C51">
        <v>0</v>
      </c>
      <c r="D51">
        <v>0</v>
      </c>
      <c r="E51">
        <v>0</v>
      </c>
      <c r="F51">
        <v>0</v>
      </c>
      <c r="G51">
        <v>0</v>
      </c>
      <c r="H51">
        <v>0</v>
      </c>
      <c r="I51">
        <v>0</v>
      </c>
      <c r="J51">
        <v>0</v>
      </c>
      <c r="K51">
        <v>0</v>
      </c>
      <c r="L51">
        <v>0</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0</v>
      </c>
      <c r="AI51">
        <v>0</v>
      </c>
      <c r="AJ51">
        <v>0</v>
      </c>
      <c r="AK51">
        <v>0</v>
      </c>
      <c r="AL51">
        <v>0</v>
      </c>
      <c r="AM51">
        <v>0</v>
      </c>
      <c r="AN51">
        <v>0</v>
      </c>
      <c r="AO51">
        <v>0</v>
      </c>
      <c r="AP51">
        <v>0</v>
      </c>
      <c r="AQ51">
        <v>0</v>
      </c>
      <c r="AR51">
        <v>0</v>
      </c>
      <c r="AS51">
        <v>0</v>
      </c>
      <c r="AT51">
        <v>0</v>
      </c>
      <c r="AU51">
        <v>0</v>
      </c>
      <c r="AV51">
        <v>0</v>
      </c>
      <c r="AW51">
        <v>0</v>
      </c>
      <c r="AX51">
        <v>0</v>
      </c>
      <c r="AY51">
        <v>0</v>
      </c>
      <c r="AZ51">
        <v>0</v>
      </c>
      <c r="BA51">
        <v>0</v>
      </c>
      <c r="BB51">
        <v>0</v>
      </c>
      <c r="BC51">
        <v>0</v>
      </c>
      <c r="BD51">
        <v>0</v>
      </c>
      <c r="BE51">
        <v>0</v>
      </c>
      <c r="BF51">
        <v>0</v>
      </c>
      <c r="BG51">
        <v>0</v>
      </c>
      <c r="BH51">
        <v>0</v>
      </c>
      <c r="BI51">
        <v>0</v>
      </c>
      <c r="BJ51">
        <v>0</v>
      </c>
      <c r="BK51">
        <v>0</v>
      </c>
      <c r="BL51">
        <v>0</v>
      </c>
      <c r="BM51">
        <v>0</v>
      </c>
      <c r="BN51">
        <v>0</v>
      </c>
      <c r="BO51">
        <v>0</v>
      </c>
      <c r="BP51">
        <v>0</v>
      </c>
      <c r="BQ51">
        <v>0</v>
      </c>
      <c r="BR51">
        <v>0</v>
      </c>
      <c r="BS51">
        <v>0</v>
      </c>
      <c r="BT51">
        <v>0</v>
      </c>
      <c r="BU51">
        <v>0</v>
      </c>
      <c r="BV51">
        <v>0</v>
      </c>
      <c r="BW51">
        <v>0</v>
      </c>
      <c r="BX51">
        <v>0</v>
      </c>
      <c r="BY51">
        <v>0</v>
      </c>
      <c r="BZ51">
        <v>0</v>
      </c>
      <c r="CA51">
        <v>0</v>
      </c>
      <c r="CB51">
        <v>0</v>
      </c>
      <c r="CC51">
        <v>0</v>
      </c>
      <c r="CD51">
        <v>0</v>
      </c>
      <c r="CE51">
        <v>0</v>
      </c>
      <c r="CF51">
        <v>0</v>
      </c>
      <c r="CG51">
        <v>0</v>
      </c>
      <c r="CH51">
        <v>0</v>
      </c>
      <c r="CI51">
        <v>0</v>
      </c>
      <c r="CJ51">
        <v>0</v>
      </c>
      <c r="CK51">
        <v>0</v>
      </c>
      <c r="CL51">
        <v>0</v>
      </c>
      <c r="CM51">
        <v>0</v>
      </c>
      <c r="CN51">
        <v>0</v>
      </c>
      <c r="CO51">
        <v>0</v>
      </c>
      <c r="CP51">
        <v>1</v>
      </c>
      <c r="CQ51">
        <v>1</v>
      </c>
      <c r="CR51">
        <v>1</v>
      </c>
      <c r="CS51">
        <v>1</v>
      </c>
      <c r="CT51">
        <v>1</v>
      </c>
      <c r="CU51">
        <v>1</v>
      </c>
      <c r="CV51">
        <v>1</v>
      </c>
      <c r="CW51">
        <v>1</v>
      </c>
      <c r="CX51">
        <v>1</v>
      </c>
      <c r="CY51">
        <v>1</v>
      </c>
      <c r="CZ51">
        <v>1</v>
      </c>
      <c r="DA51">
        <v>1</v>
      </c>
      <c r="DB51">
        <v>1</v>
      </c>
      <c r="DC51">
        <v>1</v>
      </c>
      <c r="DD51">
        <v>1</v>
      </c>
      <c r="DE51">
        <v>1</v>
      </c>
      <c r="DF51">
        <v>1</v>
      </c>
      <c r="DG51">
        <v>1</v>
      </c>
      <c r="DH51">
        <v>1</v>
      </c>
      <c r="DI51">
        <v>1</v>
      </c>
      <c r="DJ51">
        <v>1</v>
      </c>
      <c r="DK51">
        <v>1</v>
      </c>
      <c r="DL51">
        <v>1</v>
      </c>
      <c r="DM51">
        <v>1</v>
      </c>
      <c r="DN51">
        <v>1</v>
      </c>
      <c r="DO51">
        <v>1</v>
      </c>
      <c r="DP51">
        <v>1</v>
      </c>
      <c r="DQ51">
        <v>1</v>
      </c>
      <c r="DR51">
        <v>1</v>
      </c>
      <c r="DS51">
        <v>1</v>
      </c>
      <c r="DT51">
        <v>1</v>
      </c>
      <c r="DU51">
        <v>1</v>
      </c>
      <c r="DV51">
        <v>1</v>
      </c>
      <c r="DW51">
        <v>1</v>
      </c>
      <c r="DX51">
        <v>1</v>
      </c>
      <c r="DY51">
        <v>1</v>
      </c>
      <c r="DZ51">
        <v>1</v>
      </c>
      <c r="EA51">
        <v>1</v>
      </c>
      <c r="EB51">
        <v>1</v>
      </c>
      <c r="EC51">
        <v>1</v>
      </c>
      <c r="ED51">
        <v>1</v>
      </c>
      <c r="EE51">
        <v>1</v>
      </c>
      <c r="EF51">
        <v>1</v>
      </c>
      <c r="EG51">
        <v>1</v>
      </c>
      <c r="EH51">
        <v>1</v>
      </c>
      <c r="EI51">
        <v>1</v>
      </c>
      <c r="EJ51">
        <v>1</v>
      </c>
      <c r="EK51">
        <v>1</v>
      </c>
      <c r="EL51">
        <v>1</v>
      </c>
      <c r="EM51">
        <v>1</v>
      </c>
      <c r="EN51">
        <v>1</v>
      </c>
      <c r="EO51">
        <v>1</v>
      </c>
      <c r="EP51">
        <v>1</v>
      </c>
      <c r="EQ51">
        <v>1</v>
      </c>
      <c r="ER51">
        <v>1</v>
      </c>
      <c r="ES51">
        <v>1</v>
      </c>
      <c r="ET51">
        <v>1</v>
      </c>
      <c r="EU51">
        <v>1</v>
      </c>
      <c r="EV51">
        <v>1</v>
      </c>
      <c r="EW51">
        <v>1</v>
      </c>
      <c r="EX51">
        <v>1</v>
      </c>
      <c r="EY51">
        <v>1</v>
      </c>
      <c r="EZ51">
        <v>1</v>
      </c>
      <c r="FA51">
        <v>1</v>
      </c>
      <c r="FB51">
        <v>1</v>
      </c>
      <c r="FC51">
        <v>1</v>
      </c>
      <c r="FD51">
        <v>1</v>
      </c>
      <c r="FE51">
        <v>1</v>
      </c>
      <c r="FF51">
        <v>1</v>
      </c>
      <c r="FG51">
        <v>1</v>
      </c>
      <c r="FH51">
        <v>1</v>
      </c>
      <c r="FI51">
        <v>1</v>
      </c>
      <c r="FJ51">
        <v>1</v>
      </c>
      <c r="FK51">
        <v>1</v>
      </c>
      <c r="FL51">
        <v>1</v>
      </c>
      <c r="FM51">
        <v>1</v>
      </c>
      <c r="FN51">
        <v>1</v>
      </c>
      <c r="FO51">
        <v>1</v>
      </c>
      <c r="FP51">
        <v>1</v>
      </c>
      <c r="FQ51">
        <v>1</v>
      </c>
      <c r="FR51">
        <v>1</v>
      </c>
      <c r="FS51">
        <v>1</v>
      </c>
      <c r="FT51">
        <v>1</v>
      </c>
      <c r="FU51">
        <v>1</v>
      </c>
      <c r="FV51">
        <v>1</v>
      </c>
      <c r="FW51">
        <v>1</v>
      </c>
      <c r="FX51">
        <v>1</v>
      </c>
      <c r="FY51">
        <v>0</v>
      </c>
      <c r="FZ51">
        <v>0</v>
      </c>
      <c r="GA51">
        <v>0</v>
      </c>
      <c r="GB51">
        <v>0</v>
      </c>
      <c r="GC51">
        <v>0</v>
      </c>
      <c r="GD51">
        <v>0</v>
      </c>
      <c r="GE51">
        <v>0</v>
      </c>
      <c r="GF51">
        <v>0</v>
      </c>
      <c r="GG51">
        <v>0</v>
      </c>
      <c r="GH51">
        <v>0</v>
      </c>
      <c r="GI51">
        <v>0</v>
      </c>
      <c r="GJ51">
        <v>0</v>
      </c>
      <c r="GK51">
        <v>0</v>
      </c>
      <c r="GL51">
        <v>0</v>
      </c>
      <c r="GM51">
        <v>0</v>
      </c>
      <c r="GN51">
        <v>0</v>
      </c>
      <c r="GO51">
        <v>0</v>
      </c>
      <c r="GP51">
        <v>0</v>
      </c>
      <c r="GQ51">
        <v>0</v>
      </c>
      <c r="GR51">
        <v>0</v>
      </c>
      <c r="GS51">
        <v>0</v>
      </c>
      <c r="GT51">
        <v>0</v>
      </c>
      <c r="GU51">
        <v>0</v>
      </c>
      <c r="GV51">
        <v>0</v>
      </c>
      <c r="GW51">
        <v>0</v>
      </c>
      <c r="GX51">
        <v>0</v>
      </c>
      <c r="GY51">
        <v>0</v>
      </c>
      <c r="GZ51">
        <v>0</v>
      </c>
      <c r="HA51">
        <v>0</v>
      </c>
      <c r="HB51">
        <v>0</v>
      </c>
      <c r="HC51">
        <v>0</v>
      </c>
      <c r="HD51">
        <v>0</v>
      </c>
      <c r="HE51">
        <v>0</v>
      </c>
      <c r="HF51">
        <v>0</v>
      </c>
      <c r="HG51">
        <v>0</v>
      </c>
      <c r="HH51">
        <v>0</v>
      </c>
      <c r="HI51">
        <v>0</v>
      </c>
      <c r="HJ51">
        <v>0</v>
      </c>
      <c r="HK51">
        <v>0</v>
      </c>
      <c r="HL51">
        <v>0</v>
      </c>
      <c r="HM51">
        <v>0</v>
      </c>
      <c r="HN51">
        <v>0</v>
      </c>
      <c r="HO51">
        <v>0</v>
      </c>
      <c r="HP51">
        <v>0</v>
      </c>
      <c r="HQ51">
        <v>0</v>
      </c>
      <c r="HR51">
        <v>0</v>
      </c>
      <c r="HS51">
        <v>0</v>
      </c>
      <c r="HT51">
        <v>0</v>
      </c>
      <c r="HU51">
        <v>0</v>
      </c>
      <c r="HV51">
        <v>0</v>
      </c>
      <c r="HW51">
        <v>0</v>
      </c>
      <c r="HX51">
        <v>0</v>
      </c>
      <c r="HY51">
        <v>0</v>
      </c>
      <c r="HZ51">
        <v>0</v>
      </c>
      <c r="IA51">
        <v>0</v>
      </c>
      <c r="IB51">
        <v>0</v>
      </c>
      <c r="IC51">
        <v>0</v>
      </c>
      <c r="ID51">
        <v>0</v>
      </c>
      <c r="IE51">
        <v>0</v>
      </c>
      <c r="IF51">
        <v>0</v>
      </c>
      <c r="IG51">
        <v>0</v>
      </c>
      <c r="IH51">
        <v>0</v>
      </c>
      <c r="II51">
        <v>0</v>
      </c>
      <c r="IJ51">
        <v>0</v>
      </c>
      <c r="IK51">
        <v>0</v>
      </c>
      <c r="IL51">
        <v>0</v>
      </c>
      <c r="IM51">
        <v>0</v>
      </c>
      <c r="IN51">
        <v>0</v>
      </c>
      <c r="IO51">
        <v>0</v>
      </c>
      <c r="IP51">
        <v>0</v>
      </c>
      <c r="IQ51">
        <v>0</v>
      </c>
      <c r="IR51">
        <v>0</v>
      </c>
      <c r="IS51">
        <v>0</v>
      </c>
      <c r="IT51">
        <v>0</v>
      </c>
      <c r="IU51">
        <v>0</v>
      </c>
      <c r="IV51">
        <v>0</v>
      </c>
      <c r="IW51">
        <v>0</v>
      </c>
      <c r="IX51">
        <v>0</v>
      </c>
      <c r="IY51">
        <v>0</v>
      </c>
      <c r="IZ51">
        <v>0</v>
      </c>
      <c r="JA51">
        <v>0</v>
      </c>
      <c r="JB51">
        <v>0</v>
      </c>
      <c r="JC51">
        <v>0</v>
      </c>
      <c r="JD51">
        <v>0</v>
      </c>
      <c r="JE51">
        <v>0</v>
      </c>
      <c r="JF51">
        <v>0</v>
      </c>
      <c r="JG51">
        <v>0</v>
      </c>
      <c r="JH51">
        <v>0</v>
      </c>
      <c r="JI51">
        <v>0</v>
      </c>
      <c r="JJ51">
        <v>0</v>
      </c>
      <c r="JK51">
        <v>0</v>
      </c>
      <c r="JL51">
        <v>0</v>
      </c>
      <c r="JM51">
        <v>0</v>
      </c>
      <c r="JN51">
        <v>0</v>
      </c>
      <c r="JO51">
        <v>0</v>
      </c>
      <c r="JP51">
        <v>0</v>
      </c>
      <c r="JQ51">
        <v>0</v>
      </c>
      <c r="JR51">
        <v>0</v>
      </c>
      <c r="JS51">
        <v>0</v>
      </c>
      <c r="JT51">
        <v>0</v>
      </c>
      <c r="JU51">
        <v>0</v>
      </c>
      <c r="JV51">
        <v>0</v>
      </c>
      <c r="JW51">
        <v>0</v>
      </c>
      <c r="JX51">
        <v>0</v>
      </c>
      <c r="JY51">
        <v>0</v>
      </c>
      <c r="JZ51">
        <v>0</v>
      </c>
      <c r="KA51">
        <v>0</v>
      </c>
      <c r="KB51">
        <v>0</v>
      </c>
      <c r="KC51">
        <v>0</v>
      </c>
      <c r="KD51">
        <v>0</v>
      </c>
      <c r="KE51">
        <v>0</v>
      </c>
      <c r="KF51">
        <v>0</v>
      </c>
      <c r="KG51">
        <v>0</v>
      </c>
      <c r="KH51">
        <v>0</v>
      </c>
      <c r="KI51">
        <v>0</v>
      </c>
      <c r="KJ51">
        <v>0</v>
      </c>
      <c r="KK51">
        <v>0</v>
      </c>
      <c r="KL51">
        <v>0</v>
      </c>
      <c r="KM51">
        <v>0</v>
      </c>
      <c r="KN51">
        <v>0</v>
      </c>
      <c r="KO51">
        <v>0</v>
      </c>
      <c r="KP51">
        <v>0</v>
      </c>
      <c r="KQ51">
        <v>0</v>
      </c>
      <c r="KR51">
        <v>0</v>
      </c>
      <c r="KS51">
        <v>0</v>
      </c>
      <c r="KT51">
        <v>0</v>
      </c>
      <c r="KU51">
        <v>0</v>
      </c>
      <c r="KV51">
        <v>0</v>
      </c>
      <c r="KW51">
        <v>0</v>
      </c>
      <c r="KX51">
        <v>0</v>
      </c>
      <c r="KY51">
        <v>0</v>
      </c>
      <c r="KZ51">
        <v>0</v>
      </c>
      <c r="LA51">
        <v>0</v>
      </c>
      <c r="LB51">
        <v>0</v>
      </c>
      <c r="LC51">
        <v>0</v>
      </c>
      <c r="LD51">
        <v>0</v>
      </c>
      <c r="LE51">
        <v>0</v>
      </c>
      <c r="LF51">
        <v>0</v>
      </c>
      <c r="LG51">
        <v>0</v>
      </c>
      <c r="LH51">
        <v>0</v>
      </c>
      <c r="LI51">
        <v>0</v>
      </c>
      <c r="LJ51">
        <v>0</v>
      </c>
      <c r="LK51">
        <v>0</v>
      </c>
      <c r="LL51">
        <v>0</v>
      </c>
      <c r="LM51">
        <v>0</v>
      </c>
      <c r="LN51">
        <v>0</v>
      </c>
      <c r="LO51">
        <v>0</v>
      </c>
      <c r="LP51">
        <v>0</v>
      </c>
      <c r="LQ51">
        <v>0</v>
      </c>
      <c r="LR51">
        <v>0</v>
      </c>
      <c r="LS51">
        <v>0</v>
      </c>
      <c r="LT51">
        <v>0</v>
      </c>
      <c r="LU51">
        <v>0</v>
      </c>
      <c r="LV51">
        <v>0</v>
      </c>
      <c r="LW51">
        <v>0</v>
      </c>
      <c r="LX51">
        <v>0</v>
      </c>
      <c r="LY51">
        <v>0</v>
      </c>
      <c r="LZ51">
        <v>0</v>
      </c>
      <c r="MA51">
        <v>0</v>
      </c>
      <c r="MB51">
        <v>0</v>
      </c>
      <c r="MC51">
        <v>0</v>
      </c>
      <c r="MD51">
        <v>0</v>
      </c>
      <c r="ME51">
        <v>0</v>
      </c>
      <c r="MF51">
        <v>0</v>
      </c>
      <c r="MG51">
        <v>0</v>
      </c>
      <c r="MH51">
        <v>0</v>
      </c>
      <c r="MI51">
        <v>0</v>
      </c>
      <c r="MJ51">
        <v>0</v>
      </c>
      <c r="MK51">
        <v>0</v>
      </c>
      <c r="ML51">
        <v>0</v>
      </c>
      <c r="MM51">
        <v>0</v>
      </c>
      <c r="MN51">
        <v>0</v>
      </c>
      <c r="MO51">
        <v>0</v>
      </c>
      <c r="MP51">
        <v>0</v>
      </c>
      <c r="MQ51">
        <v>0</v>
      </c>
      <c r="MR51">
        <v>0</v>
      </c>
      <c r="MS51">
        <v>0</v>
      </c>
      <c r="MT51">
        <v>0</v>
      </c>
      <c r="MU51">
        <v>0</v>
      </c>
      <c r="MV51">
        <v>0</v>
      </c>
      <c r="MW51">
        <v>0</v>
      </c>
      <c r="MX51">
        <v>0</v>
      </c>
      <c r="MY51">
        <v>0</v>
      </c>
      <c r="MZ51">
        <v>0</v>
      </c>
      <c r="NA51">
        <v>0</v>
      </c>
      <c r="NB51">
        <v>0</v>
      </c>
      <c r="NC51">
        <v>0</v>
      </c>
      <c r="ND51">
        <v>0</v>
      </c>
      <c r="NE51">
        <v>0</v>
      </c>
      <c r="NF51">
        <v>0</v>
      </c>
      <c r="NG51">
        <v>0</v>
      </c>
      <c r="NH51">
        <v>0</v>
      </c>
      <c r="NI51">
        <v>0</v>
      </c>
      <c r="NJ51">
        <v>0</v>
      </c>
      <c r="NK51">
        <v>0</v>
      </c>
      <c r="NL51">
        <v>0</v>
      </c>
      <c r="NM51">
        <v>0</v>
      </c>
      <c r="NN51">
        <v>0</v>
      </c>
      <c r="NO51">
        <v>0</v>
      </c>
      <c r="NP51">
        <v>0</v>
      </c>
      <c r="NQ51">
        <v>0</v>
      </c>
      <c r="NR51">
        <v>0</v>
      </c>
      <c r="NS51">
        <v>0</v>
      </c>
      <c r="NT51">
        <v>0</v>
      </c>
      <c r="NU51">
        <v>0</v>
      </c>
      <c r="NV51">
        <v>0</v>
      </c>
      <c r="NW51">
        <v>0</v>
      </c>
      <c r="NX51">
        <v>0</v>
      </c>
      <c r="NY51">
        <v>0</v>
      </c>
      <c r="NZ51">
        <v>0</v>
      </c>
      <c r="OA51">
        <v>0</v>
      </c>
      <c r="OB51">
        <v>0</v>
      </c>
      <c r="OC51">
        <v>0</v>
      </c>
      <c r="OD51">
        <v>0</v>
      </c>
      <c r="OE51">
        <v>0</v>
      </c>
      <c r="OF51">
        <v>0</v>
      </c>
      <c r="OG51">
        <v>0</v>
      </c>
      <c r="OH51">
        <v>0</v>
      </c>
      <c r="OI51">
        <v>0</v>
      </c>
      <c r="OJ51">
        <v>0</v>
      </c>
      <c r="OK51">
        <v>0</v>
      </c>
      <c r="OL51">
        <v>0</v>
      </c>
      <c r="OM51">
        <v>0</v>
      </c>
      <c r="ON51">
        <v>0</v>
      </c>
      <c r="OO51">
        <v>0</v>
      </c>
      <c r="OP51">
        <v>0</v>
      </c>
      <c r="OQ51">
        <v>0</v>
      </c>
      <c r="OR51">
        <v>0</v>
      </c>
      <c r="OS51">
        <v>0</v>
      </c>
      <c r="OT51">
        <v>0</v>
      </c>
      <c r="OU51">
        <v>0</v>
      </c>
      <c r="OV51">
        <v>0</v>
      </c>
      <c r="OW51">
        <v>0</v>
      </c>
      <c r="OX51">
        <v>0</v>
      </c>
      <c r="OY51">
        <v>0</v>
      </c>
      <c r="OZ51">
        <v>0</v>
      </c>
      <c r="PA51">
        <v>0</v>
      </c>
      <c r="PB51">
        <v>0</v>
      </c>
      <c r="PC51">
        <v>0</v>
      </c>
      <c r="PD51">
        <v>0</v>
      </c>
      <c r="PE51">
        <v>0</v>
      </c>
      <c r="PF51">
        <v>0</v>
      </c>
      <c r="PG51">
        <v>0</v>
      </c>
      <c r="PH51">
        <v>0</v>
      </c>
      <c r="PI51">
        <v>0</v>
      </c>
      <c r="PJ51">
        <v>0</v>
      </c>
      <c r="PK51">
        <v>0</v>
      </c>
      <c r="PL51">
        <v>0</v>
      </c>
      <c r="PM51">
        <v>0</v>
      </c>
      <c r="PN51">
        <v>0</v>
      </c>
      <c r="PO51">
        <v>0</v>
      </c>
      <c r="PP51">
        <v>0</v>
      </c>
      <c r="PQ51">
        <v>0</v>
      </c>
      <c r="PR51">
        <v>0</v>
      </c>
      <c r="PS51">
        <v>0</v>
      </c>
      <c r="PT51">
        <v>0</v>
      </c>
      <c r="PU51">
        <v>0</v>
      </c>
      <c r="PV51">
        <v>0</v>
      </c>
      <c r="PW51">
        <v>0</v>
      </c>
      <c r="PX51">
        <v>0</v>
      </c>
      <c r="PY51">
        <v>0</v>
      </c>
      <c r="PZ51">
        <v>0</v>
      </c>
      <c r="QA51">
        <v>0</v>
      </c>
      <c r="QB51">
        <v>0</v>
      </c>
      <c r="QC51">
        <v>0</v>
      </c>
      <c r="QD51">
        <v>0</v>
      </c>
      <c r="QE51">
        <v>0</v>
      </c>
      <c r="QF51">
        <v>0</v>
      </c>
      <c r="QG51">
        <v>0</v>
      </c>
      <c r="QH51">
        <v>0</v>
      </c>
      <c r="QI51">
        <v>0</v>
      </c>
      <c r="QJ51">
        <v>0</v>
      </c>
      <c r="QK51">
        <v>0</v>
      </c>
      <c r="QL51">
        <v>0</v>
      </c>
      <c r="QM51">
        <v>0</v>
      </c>
      <c r="QN51">
        <v>0</v>
      </c>
      <c r="QO51">
        <v>0</v>
      </c>
      <c r="QP51">
        <v>0</v>
      </c>
      <c r="QQ51">
        <v>0</v>
      </c>
      <c r="QR51">
        <v>0</v>
      </c>
      <c r="QS51">
        <v>0</v>
      </c>
      <c r="QT51">
        <v>0</v>
      </c>
      <c r="QU51">
        <v>0</v>
      </c>
      <c r="QV51">
        <v>0</v>
      </c>
      <c r="QW51">
        <v>0</v>
      </c>
      <c r="QX51">
        <v>0</v>
      </c>
      <c r="QY51">
        <v>0</v>
      </c>
      <c r="QZ51">
        <v>0</v>
      </c>
      <c r="RA51">
        <v>0</v>
      </c>
      <c r="RB51">
        <v>0</v>
      </c>
      <c r="RC51">
        <v>0</v>
      </c>
      <c r="RD51">
        <v>0</v>
      </c>
      <c r="RE51">
        <v>0</v>
      </c>
      <c r="RF51">
        <v>0</v>
      </c>
      <c r="RG51">
        <v>0</v>
      </c>
      <c r="RH51">
        <v>0</v>
      </c>
      <c r="RI51">
        <v>0</v>
      </c>
      <c r="RJ51">
        <v>0</v>
      </c>
      <c r="RK51">
        <v>0</v>
      </c>
      <c r="RL51">
        <v>0</v>
      </c>
      <c r="RM51">
        <v>0</v>
      </c>
      <c r="RN51">
        <v>0</v>
      </c>
      <c r="RO51">
        <v>0</v>
      </c>
      <c r="RP51">
        <v>0</v>
      </c>
      <c r="RQ51">
        <v>0</v>
      </c>
      <c r="RR51">
        <v>0</v>
      </c>
      <c r="RS51">
        <v>0</v>
      </c>
      <c r="RT51">
        <v>0</v>
      </c>
      <c r="RU51">
        <v>0</v>
      </c>
      <c r="RV51">
        <v>0</v>
      </c>
      <c r="RW51">
        <v>0</v>
      </c>
      <c r="RX51">
        <v>0</v>
      </c>
      <c r="RY51">
        <v>0</v>
      </c>
      <c r="RZ51">
        <v>0</v>
      </c>
      <c r="SA51">
        <v>0</v>
      </c>
      <c r="SB51">
        <v>0</v>
      </c>
      <c r="SC51">
        <v>0</v>
      </c>
      <c r="SD51">
        <v>0</v>
      </c>
      <c r="SE51">
        <v>0</v>
      </c>
      <c r="SF51">
        <v>0</v>
      </c>
      <c r="SG51">
        <v>0</v>
      </c>
      <c r="SH51">
        <v>0</v>
      </c>
      <c r="SI51">
        <v>0</v>
      </c>
      <c r="SJ51">
        <v>0</v>
      </c>
      <c r="SK51">
        <v>0</v>
      </c>
      <c r="SL51">
        <v>0</v>
      </c>
      <c r="SM51">
        <v>0</v>
      </c>
      <c r="SN51">
        <v>0</v>
      </c>
      <c r="SO51">
        <v>0</v>
      </c>
      <c r="SP51">
        <v>0</v>
      </c>
      <c r="SQ51">
        <v>0</v>
      </c>
      <c r="SR51">
        <v>0</v>
      </c>
      <c r="SS51">
        <v>0</v>
      </c>
      <c r="ST51">
        <v>0</v>
      </c>
      <c r="SU51">
        <v>0</v>
      </c>
      <c r="SV51">
        <v>0</v>
      </c>
      <c r="SW51">
        <v>0</v>
      </c>
      <c r="SX51">
        <v>0</v>
      </c>
      <c r="SY51">
        <v>0</v>
      </c>
      <c r="SZ51">
        <v>0</v>
      </c>
      <c r="TA51">
        <v>0</v>
      </c>
      <c r="TB51">
        <v>0</v>
      </c>
      <c r="TC51">
        <v>0</v>
      </c>
      <c r="TD51">
        <v>0</v>
      </c>
      <c r="TE51">
        <v>0</v>
      </c>
      <c r="TF51">
        <v>0</v>
      </c>
      <c r="TG51">
        <v>0</v>
      </c>
      <c r="TH51">
        <v>0</v>
      </c>
      <c r="TI51">
        <v>0</v>
      </c>
      <c r="TJ51">
        <v>0</v>
      </c>
      <c r="TK51">
        <v>0</v>
      </c>
      <c r="TL51">
        <v>0</v>
      </c>
      <c r="TM51">
        <v>0</v>
      </c>
      <c r="TN51">
        <v>0</v>
      </c>
      <c r="TO51">
        <v>0</v>
      </c>
      <c r="TP51">
        <v>0</v>
      </c>
      <c r="TQ51">
        <v>0</v>
      </c>
      <c r="TR51">
        <v>0</v>
      </c>
      <c r="TS51">
        <v>0</v>
      </c>
      <c r="TT51">
        <v>0</v>
      </c>
      <c r="TU51">
        <v>0</v>
      </c>
      <c r="TV51">
        <v>0</v>
      </c>
      <c r="TW51">
        <v>0</v>
      </c>
      <c r="TX51">
        <v>0</v>
      </c>
      <c r="TY51">
        <v>0</v>
      </c>
      <c r="TZ51">
        <v>0</v>
      </c>
      <c r="UA51">
        <v>0</v>
      </c>
      <c r="UB51">
        <v>0</v>
      </c>
      <c r="UC51">
        <v>0</v>
      </c>
      <c r="UD51">
        <v>0</v>
      </c>
      <c r="UE51">
        <v>0</v>
      </c>
      <c r="UF51">
        <v>0</v>
      </c>
      <c r="UG51">
        <v>0</v>
      </c>
      <c r="UH51">
        <v>0</v>
      </c>
      <c r="UI51">
        <v>0</v>
      </c>
      <c r="UJ51">
        <v>0</v>
      </c>
      <c r="UK51">
        <v>0</v>
      </c>
      <c r="UL51">
        <v>0</v>
      </c>
      <c r="UM51">
        <v>0</v>
      </c>
      <c r="UN51">
        <v>0</v>
      </c>
      <c r="UO51">
        <v>0</v>
      </c>
      <c r="UP51">
        <v>0</v>
      </c>
      <c r="UQ51">
        <v>0</v>
      </c>
      <c r="UR51">
        <v>0</v>
      </c>
      <c r="US51">
        <v>0</v>
      </c>
      <c r="UT51">
        <v>0</v>
      </c>
      <c r="UU51">
        <v>0</v>
      </c>
      <c r="UV51">
        <v>0</v>
      </c>
      <c r="UW51">
        <v>0</v>
      </c>
      <c r="UX51">
        <v>0</v>
      </c>
      <c r="UY51">
        <v>0</v>
      </c>
      <c r="UZ51">
        <v>0</v>
      </c>
      <c r="VA51">
        <v>0</v>
      </c>
      <c r="VB51">
        <v>0</v>
      </c>
      <c r="VC51">
        <v>0</v>
      </c>
      <c r="VD51">
        <v>0</v>
      </c>
      <c r="VE51">
        <v>0</v>
      </c>
      <c r="VF51">
        <v>0</v>
      </c>
      <c r="VG51">
        <v>0</v>
      </c>
      <c r="VH51">
        <v>0</v>
      </c>
      <c r="VI51">
        <v>0</v>
      </c>
      <c r="VJ51">
        <v>0</v>
      </c>
      <c r="VK51">
        <v>0</v>
      </c>
      <c r="VL51">
        <v>0</v>
      </c>
      <c r="VM51">
        <v>0</v>
      </c>
      <c r="VN51">
        <v>0</v>
      </c>
      <c r="VO51">
        <v>0</v>
      </c>
      <c r="VP51">
        <v>0</v>
      </c>
      <c r="VQ51">
        <v>0</v>
      </c>
      <c r="VR51">
        <v>0</v>
      </c>
      <c r="VS51">
        <v>0</v>
      </c>
      <c r="VT51">
        <v>0</v>
      </c>
      <c r="VU51">
        <v>0</v>
      </c>
      <c r="VV51">
        <v>0</v>
      </c>
      <c r="VW51">
        <v>0</v>
      </c>
      <c r="VX51">
        <v>0</v>
      </c>
      <c r="VY51">
        <v>0</v>
      </c>
      <c r="VZ51">
        <v>1</v>
      </c>
      <c r="WA51">
        <v>1</v>
      </c>
      <c r="WB51">
        <v>1</v>
      </c>
      <c r="WC51">
        <v>1</v>
      </c>
      <c r="WD51">
        <v>1</v>
      </c>
      <c r="WE51">
        <v>1</v>
      </c>
      <c r="WF51">
        <v>1</v>
      </c>
      <c r="WG51">
        <v>1</v>
      </c>
      <c r="WH51">
        <v>1</v>
      </c>
      <c r="WI51">
        <v>1</v>
      </c>
      <c r="WJ51">
        <v>1</v>
      </c>
      <c r="WK51">
        <v>1</v>
      </c>
      <c r="WL51">
        <v>1</v>
      </c>
      <c r="WM51">
        <v>1</v>
      </c>
      <c r="WN51">
        <v>1</v>
      </c>
      <c r="WO51">
        <v>1</v>
      </c>
      <c r="WP51">
        <v>1</v>
      </c>
      <c r="WQ51">
        <v>1</v>
      </c>
      <c r="WR51">
        <v>1</v>
      </c>
      <c r="WS51">
        <v>1</v>
      </c>
      <c r="WT51">
        <v>1</v>
      </c>
      <c r="WU51">
        <v>1</v>
      </c>
      <c r="WV51">
        <v>1</v>
      </c>
      <c r="WW51">
        <v>1</v>
      </c>
      <c r="WX51">
        <v>1</v>
      </c>
      <c r="WY51">
        <v>1</v>
      </c>
      <c r="WZ51">
        <v>1</v>
      </c>
      <c r="XA51">
        <v>1</v>
      </c>
      <c r="XB51">
        <v>1</v>
      </c>
      <c r="XC51">
        <v>1</v>
      </c>
      <c r="XD51">
        <v>1</v>
      </c>
      <c r="XE51">
        <v>1</v>
      </c>
      <c r="XF51">
        <v>1</v>
      </c>
      <c r="XG51">
        <v>1</v>
      </c>
      <c r="XH51">
        <v>1</v>
      </c>
      <c r="XI51">
        <v>1</v>
      </c>
      <c r="XJ51">
        <v>1</v>
      </c>
      <c r="XK51">
        <v>1</v>
      </c>
      <c r="XL51">
        <v>1</v>
      </c>
      <c r="XM51">
        <v>1</v>
      </c>
      <c r="XN51">
        <v>1</v>
      </c>
      <c r="XO51">
        <v>1</v>
      </c>
      <c r="XP51">
        <v>1</v>
      </c>
      <c r="XQ51">
        <v>1</v>
      </c>
      <c r="XR51">
        <v>1</v>
      </c>
      <c r="XS51">
        <v>1</v>
      </c>
      <c r="XT51">
        <v>1</v>
      </c>
      <c r="XU51">
        <v>1</v>
      </c>
      <c r="XV51">
        <v>1</v>
      </c>
      <c r="XW51">
        <v>1</v>
      </c>
      <c r="XX51">
        <v>1</v>
      </c>
      <c r="XY51">
        <v>1</v>
      </c>
      <c r="XZ51">
        <v>1</v>
      </c>
      <c r="YA51">
        <v>1</v>
      </c>
      <c r="YB51">
        <v>1</v>
      </c>
      <c r="YC51">
        <v>1</v>
      </c>
      <c r="YD51">
        <v>1</v>
      </c>
      <c r="YE51">
        <v>1</v>
      </c>
      <c r="YF51">
        <v>1</v>
      </c>
      <c r="YG51">
        <v>1</v>
      </c>
      <c r="YH51">
        <v>1</v>
      </c>
      <c r="YI51">
        <v>1</v>
      </c>
      <c r="YJ51">
        <v>1</v>
      </c>
      <c r="YK51">
        <v>1</v>
      </c>
      <c r="YL51">
        <v>1</v>
      </c>
      <c r="YM51">
        <v>1</v>
      </c>
      <c r="YN51">
        <v>1</v>
      </c>
      <c r="YO51">
        <v>1</v>
      </c>
      <c r="YP51">
        <v>1</v>
      </c>
      <c r="YQ51">
        <v>1</v>
      </c>
      <c r="YR51">
        <v>1</v>
      </c>
      <c r="YS51">
        <v>1</v>
      </c>
      <c r="YT51">
        <v>1</v>
      </c>
      <c r="YU51">
        <v>1</v>
      </c>
      <c r="YV51">
        <v>1</v>
      </c>
      <c r="YW51">
        <v>1</v>
      </c>
      <c r="YX51">
        <v>1</v>
      </c>
      <c r="YY51">
        <v>1</v>
      </c>
      <c r="YZ51">
        <v>1</v>
      </c>
      <c r="ZA51">
        <v>1</v>
      </c>
      <c r="ZB51">
        <v>1</v>
      </c>
      <c r="ZC51">
        <v>1</v>
      </c>
      <c r="ZD51">
        <v>1</v>
      </c>
      <c r="ZE51">
        <v>1</v>
      </c>
      <c r="ZF51">
        <v>1</v>
      </c>
      <c r="ZG51">
        <v>1</v>
      </c>
      <c r="ZH51">
        <v>1</v>
      </c>
      <c r="ZI51">
        <v>1</v>
      </c>
      <c r="ZJ51">
        <v>1</v>
      </c>
      <c r="ZK51">
        <v>1</v>
      </c>
      <c r="ZL51">
        <v>1</v>
      </c>
      <c r="ZM51">
        <v>1</v>
      </c>
      <c r="ZN51">
        <v>1</v>
      </c>
      <c r="ZO51">
        <v>1</v>
      </c>
      <c r="ZP51">
        <v>1</v>
      </c>
      <c r="ZQ51">
        <v>1</v>
      </c>
      <c r="ZR51">
        <v>1</v>
      </c>
      <c r="ZS51">
        <v>1</v>
      </c>
      <c r="ZT51">
        <v>1</v>
      </c>
      <c r="ZU51">
        <v>1</v>
      </c>
      <c r="ZV51">
        <v>1</v>
      </c>
      <c r="ZW51">
        <v>1</v>
      </c>
      <c r="ZX51">
        <v>1</v>
      </c>
      <c r="ZY51">
        <v>1</v>
      </c>
      <c r="ZZ51">
        <v>1</v>
      </c>
      <c r="AAA51">
        <v>1</v>
      </c>
      <c r="AAB51">
        <v>1</v>
      </c>
      <c r="AAC51">
        <v>1</v>
      </c>
      <c r="AAD51">
        <v>0</v>
      </c>
      <c r="AAE51">
        <v>0</v>
      </c>
      <c r="AAF51">
        <v>0</v>
      </c>
      <c r="AAG51">
        <v>0</v>
      </c>
      <c r="AAH51">
        <v>0</v>
      </c>
      <c r="AAI51">
        <v>0</v>
      </c>
      <c r="AAJ51">
        <v>0</v>
      </c>
      <c r="AAK51">
        <v>0</v>
      </c>
      <c r="AAL51">
        <v>0</v>
      </c>
      <c r="AAM51">
        <v>0</v>
      </c>
      <c r="AAN51">
        <v>0</v>
      </c>
      <c r="AAO51">
        <v>0</v>
      </c>
      <c r="AAP51">
        <v>0</v>
      </c>
      <c r="AAQ51">
        <v>0</v>
      </c>
      <c r="AAR51">
        <v>0</v>
      </c>
      <c r="AAS51">
        <v>0</v>
      </c>
      <c r="AAT51">
        <v>0</v>
      </c>
      <c r="AAU51">
        <v>0</v>
      </c>
      <c r="AAV51">
        <v>0</v>
      </c>
      <c r="AAW51">
        <v>0</v>
      </c>
      <c r="AAX51">
        <v>0</v>
      </c>
      <c r="AAY51">
        <v>0</v>
      </c>
      <c r="AAZ51">
        <v>0</v>
      </c>
      <c r="ABA51">
        <v>0</v>
      </c>
      <c r="ABB51">
        <v>0</v>
      </c>
      <c r="ABC51">
        <v>0</v>
      </c>
      <c r="ABD51">
        <v>0</v>
      </c>
      <c r="ABE51">
        <v>0</v>
      </c>
      <c r="ABG51" s="1137">
        <f t="shared" si="9"/>
        <v>0</v>
      </c>
      <c r="ABH51" s="1137">
        <f t="shared" si="9"/>
        <v>0</v>
      </c>
      <c r="ABI51" s="1137">
        <f t="shared" si="9"/>
        <v>0</v>
      </c>
      <c r="ABJ51" s="1137">
        <f t="shared" si="9"/>
        <v>30</v>
      </c>
      <c r="ABK51" s="1137">
        <f t="shared" si="9"/>
        <v>31</v>
      </c>
      <c r="ABL51" s="1137">
        <f t="shared" si="9"/>
        <v>26</v>
      </c>
      <c r="ABM51" s="1137">
        <f t="shared" si="9"/>
        <v>0</v>
      </c>
      <c r="ABN51" s="1137">
        <f t="shared" si="9"/>
        <v>0</v>
      </c>
      <c r="ABO51" s="1137">
        <f t="shared" si="9"/>
        <v>0</v>
      </c>
      <c r="ABP51" s="1137">
        <f t="shared" si="9"/>
        <v>0</v>
      </c>
      <c r="ABQ51" s="1137">
        <f t="shared" si="9"/>
        <v>0</v>
      </c>
      <c r="ABR51" s="1137">
        <f t="shared" si="9"/>
        <v>0</v>
      </c>
      <c r="ABS51" s="1137">
        <f t="shared" si="9"/>
        <v>0</v>
      </c>
      <c r="ABT51" s="1137">
        <f t="shared" si="9"/>
        <v>0</v>
      </c>
      <c r="ABU51" s="1137">
        <f t="shared" si="9"/>
        <v>0</v>
      </c>
      <c r="ABV51" s="1137">
        <f t="shared" ref="ABV51" si="11">COUNTIFS($C$3:$ABE$3, ABV$3, $C$4:$ABE$4, ABV$4, $C51:$ABE51, "&gt;0")</f>
        <v>0</v>
      </c>
      <c r="ABW51" s="1137">
        <f t="shared" si="7"/>
        <v>0</v>
      </c>
      <c r="ABX51" s="1137">
        <f t="shared" si="7"/>
        <v>0</v>
      </c>
      <c r="ABY51" s="1137">
        <f t="shared" si="7"/>
        <v>0</v>
      </c>
      <c r="ABZ51" s="1137">
        <f t="shared" si="7"/>
        <v>14</v>
      </c>
      <c r="ACA51" s="1137">
        <f t="shared" si="7"/>
        <v>30</v>
      </c>
      <c r="ACB51" s="1137">
        <f t="shared" si="7"/>
        <v>31</v>
      </c>
      <c r="ACC51" s="1137">
        <f t="shared" si="7"/>
        <v>30</v>
      </c>
      <c r="ACD51" s="1137">
        <f t="shared" si="7"/>
        <v>3</v>
      </c>
      <c r="ACE51" s="1137" t="s">
        <v>171</v>
      </c>
      <c r="ACF51" s="1137">
        <f t="shared" si="10"/>
        <v>0</v>
      </c>
      <c r="ACG51" s="1137">
        <f t="shared" si="10"/>
        <v>0</v>
      </c>
      <c r="ACH51" s="1137">
        <f t="shared" si="10"/>
        <v>0</v>
      </c>
      <c r="ACI51" s="1137">
        <f t="shared" si="10"/>
        <v>1</v>
      </c>
      <c r="ACJ51" s="1137">
        <f t="shared" si="10"/>
        <v>1</v>
      </c>
      <c r="ACK51" s="1137">
        <f t="shared" si="10"/>
        <v>1</v>
      </c>
      <c r="ACL51" s="1137">
        <f t="shared" si="10"/>
        <v>0</v>
      </c>
      <c r="ACM51" s="1137">
        <f t="shared" si="10"/>
        <v>0</v>
      </c>
      <c r="ACN51" s="1137">
        <f t="shared" si="10"/>
        <v>0</v>
      </c>
      <c r="ACO51" s="1137">
        <f t="shared" si="10"/>
        <v>0</v>
      </c>
      <c r="ACP51" s="1137">
        <f t="shared" si="10"/>
        <v>0</v>
      </c>
      <c r="ACQ51" s="1137">
        <f t="shared" si="10"/>
        <v>0</v>
      </c>
      <c r="ACR51" s="1137">
        <f t="shared" si="10"/>
        <v>0</v>
      </c>
      <c r="ACS51" s="1137">
        <f t="shared" si="10"/>
        <v>0</v>
      </c>
      <c r="ACT51" s="1137">
        <f t="shared" si="10"/>
        <v>0</v>
      </c>
      <c r="ACU51" s="1137">
        <f t="shared" ref="ACU51:ADA89" si="12">IF(ABV51&gt;10, 1, 0)</f>
        <v>0</v>
      </c>
      <c r="ACV51" s="1137">
        <f t="shared" si="8"/>
        <v>0</v>
      </c>
      <c r="ACW51" s="1137">
        <f t="shared" si="8"/>
        <v>0</v>
      </c>
      <c r="ACX51" s="1137">
        <f t="shared" si="8"/>
        <v>0</v>
      </c>
      <c r="ACY51" s="1137">
        <f t="shared" si="8"/>
        <v>1</v>
      </c>
      <c r="ACZ51" s="1137">
        <f t="shared" si="8"/>
        <v>1</v>
      </c>
      <c r="ADA51" s="1137">
        <f t="shared" si="8"/>
        <v>1</v>
      </c>
      <c r="ADB51" s="1137">
        <f t="shared" si="8"/>
        <v>1</v>
      </c>
      <c r="ADC51" s="1137">
        <f t="shared" si="8"/>
        <v>0</v>
      </c>
    </row>
    <row r="52" spans="1:783" x14ac:dyDescent="0.25">
      <c r="A52" t="s">
        <v>1849</v>
      </c>
      <c r="B52" t="s">
        <v>170</v>
      </c>
      <c r="C52">
        <v>0</v>
      </c>
      <c r="D52">
        <v>0</v>
      </c>
      <c r="E52">
        <v>0</v>
      </c>
      <c r="F52">
        <v>0</v>
      </c>
      <c r="G52">
        <v>0</v>
      </c>
      <c r="H52">
        <v>0</v>
      </c>
      <c r="I52">
        <v>0</v>
      </c>
      <c r="J52">
        <v>0</v>
      </c>
      <c r="K52">
        <v>0</v>
      </c>
      <c r="L52">
        <v>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0</v>
      </c>
      <c r="AI52">
        <v>0</v>
      </c>
      <c r="AJ52">
        <v>0</v>
      </c>
      <c r="AK52">
        <v>0</v>
      </c>
      <c r="AL52">
        <v>0</v>
      </c>
      <c r="AM52">
        <v>0</v>
      </c>
      <c r="AN52">
        <v>0</v>
      </c>
      <c r="AO52">
        <v>0</v>
      </c>
      <c r="AP52">
        <v>0</v>
      </c>
      <c r="AQ52">
        <v>0</v>
      </c>
      <c r="AR52">
        <v>0</v>
      </c>
      <c r="AS52">
        <v>0</v>
      </c>
      <c r="AT52">
        <v>0</v>
      </c>
      <c r="AU52">
        <v>0</v>
      </c>
      <c r="AV52">
        <v>0</v>
      </c>
      <c r="AW52">
        <v>0</v>
      </c>
      <c r="AX52">
        <v>0</v>
      </c>
      <c r="AY52">
        <v>0</v>
      </c>
      <c r="AZ52">
        <v>0</v>
      </c>
      <c r="BA52">
        <v>0</v>
      </c>
      <c r="BB52">
        <v>0</v>
      </c>
      <c r="BC52">
        <v>0</v>
      </c>
      <c r="BD52">
        <v>0</v>
      </c>
      <c r="BE52">
        <v>0</v>
      </c>
      <c r="BF52">
        <v>0</v>
      </c>
      <c r="BG52">
        <v>0</v>
      </c>
      <c r="BH52">
        <v>0</v>
      </c>
      <c r="BI52">
        <v>0</v>
      </c>
      <c r="BJ52">
        <v>0</v>
      </c>
      <c r="BK52">
        <v>0</v>
      </c>
      <c r="BL52">
        <v>0</v>
      </c>
      <c r="BM52">
        <v>0</v>
      </c>
      <c r="BN52">
        <v>0</v>
      </c>
      <c r="BO52">
        <v>0</v>
      </c>
      <c r="BP52">
        <v>0</v>
      </c>
      <c r="BQ52">
        <v>0</v>
      </c>
      <c r="BR52">
        <v>0</v>
      </c>
      <c r="BS52">
        <v>0</v>
      </c>
      <c r="BT52">
        <v>0</v>
      </c>
      <c r="BU52">
        <v>0</v>
      </c>
      <c r="BV52">
        <v>0</v>
      </c>
      <c r="BW52">
        <v>1</v>
      </c>
      <c r="BX52">
        <v>1</v>
      </c>
      <c r="BY52">
        <v>1</v>
      </c>
      <c r="BZ52">
        <v>1</v>
      </c>
      <c r="CA52">
        <v>1</v>
      </c>
      <c r="CB52">
        <v>1</v>
      </c>
      <c r="CC52">
        <v>1</v>
      </c>
      <c r="CD52">
        <v>1</v>
      </c>
      <c r="CE52">
        <v>1</v>
      </c>
      <c r="CF52">
        <v>1</v>
      </c>
      <c r="CG52">
        <v>1</v>
      </c>
      <c r="CH52">
        <v>1</v>
      </c>
      <c r="CI52">
        <v>1</v>
      </c>
      <c r="CJ52">
        <v>1</v>
      </c>
      <c r="CK52">
        <v>1</v>
      </c>
      <c r="CL52">
        <v>1</v>
      </c>
      <c r="CM52">
        <v>1</v>
      </c>
      <c r="CN52">
        <v>1</v>
      </c>
      <c r="CO52">
        <v>1</v>
      </c>
      <c r="CP52">
        <v>1</v>
      </c>
      <c r="CQ52">
        <v>1</v>
      </c>
      <c r="CR52">
        <v>1</v>
      </c>
      <c r="CS52">
        <v>1</v>
      </c>
      <c r="CT52">
        <v>1</v>
      </c>
      <c r="CU52">
        <v>1</v>
      </c>
      <c r="CV52">
        <v>1</v>
      </c>
      <c r="CW52">
        <v>1</v>
      </c>
      <c r="CX52">
        <v>1</v>
      </c>
      <c r="CY52">
        <v>1</v>
      </c>
      <c r="CZ52">
        <v>1</v>
      </c>
      <c r="DA52">
        <v>1</v>
      </c>
      <c r="DB52">
        <v>1</v>
      </c>
      <c r="DC52">
        <v>1</v>
      </c>
      <c r="DD52">
        <v>1</v>
      </c>
      <c r="DE52">
        <v>1</v>
      </c>
      <c r="DF52">
        <v>1</v>
      </c>
      <c r="DG52">
        <v>1</v>
      </c>
      <c r="DH52">
        <v>1</v>
      </c>
      <c r="DI52">
        <v>1</v>
      </c>
      <c r="DJ52">
        <v>1</v>
      </c>
      <c r="DK52">
        <v>1</v>
      </c>
      <c r="DL52">
        <v>1</v>
      </c>
      <c r="DM52">
        <v>1</v>
      </c>
      <c r="DN52">
        <v>1</v>
      </c>
      <c r="DO52">
        <v>1</v>
      </c>
      <c r="DP52">
        <v>1</v>
      </c>
      <c r="DQ52">
        <v>1</v>
      </c>
      <c r="DR52">
        <v>1</v>
      </c>
      <c r="DS52">
        <v>1</v>
      </c>
      <c r="DT52">
        <v>1</v>
      </c>
      <c r="DU52">
        <v>1</v>
      </c>
      <c r="DV52">
        <v>1</v>
      </c>
      <c r="DW52">
        <v>1</v>
      </c>
      <c r="DX52">
        <v>1</v>
      </c>
      <c r="DY52">
        <v>1</v>
      </c>
      <c r="DZ52">
        <v>1</v>
      </c>
      <c r="EA52">
        <v>1</v>
      </c>
      <c r="EB52">
        <v>1</v>
      </c>
      <c r="EC52">
        <v>1</v>
      </c>
      <c r="ED52">
        <v>1</v>
      </c>
      <c r="EE52">
        <v>1</v>
      </c>
      <c r="EF52">
        <v>1</v>
      </c>
      <c r="EG52">
        <v>1</v>
      </c>
      <c r="EH52">
        <v>1</v>
      </c>
      <c r="EI52">
        <v>1</v>
      </c>
      <c r="EJ52">
        <v>1</v>
      </c>
      <c r="EK52">
        <v>1</v>
      </c>
      <c r="EL52">
        <v>1</v>
      </c>
      <c r="EM52">
        <v>1</v>
      </c>
      <c r="EN52">
        <v>1</v>
      </c>
      <c r="EO52">
        <v>0</v>
      </c>
      <c r="EP52">
        <v>0</v>
      </c>
      <c r="EQ52">
        <v>0</v>
      </c>
      <c r="ER52">
        <v>0</v>
      </c>
      <c r="ES52">
        <v>0</v>
      </c>
      <c r="ET52">
        <v>0</v>
      </c>
      <c r="EU52">
        <v>0</v>
      </c>
      <c r="EV52">
        <v>0</v>
      </c>
      <c r="EW52">
        <v>0</v>
      </c>
      <c r="EX52">
        <v>0</v>
      </c>
      <c r="EY52">
        <v>0</v>
      </c>
      <c r="EZ52">
        <v>0</v>
      </c>
      <c r="FA52">
        <v>0</v>
      </c>
      <c r="FB52">
        <v>0</v>
      </c>
      <c r="FC52">
        <v>0</v>
      </c>
      <c r="FD52">
        <v>0</v>
      </c>
      <c r="FE52">
        <v>0</v>
      </c>
      <c r="FF52">
        <v>0</v>
      </c>
      <c r="FG52">
        <v>0</v>
      </c>
      <c r="FH52">
        <v>0</v>
      </c>
      <c r="FI52">
        <v>0</v>
      </c>
      <c r="FJ52">
        <v>0</v>
      </c>
      <c r="FK52">
        <v>0</v>
      </c>
      <c r="FL52">
        <v>0</v>
      </c>
      <c r="FM52">
        <v>0</v>
      </c>
      <c r="FN52">
        <v>0</v>
      </c>
      <c r="FO52">
        <v>0</v>
      </c>
      <c r="FP52">
        <v>0</v>
      </c>
      <c r="FQ52">
        <v>0</v>
      </c>
      <c r="FR52">
        <v>0</v>
      </c>
      <c r="FS52">
        <v>0</v>
      </c>
      <c r="FT52">
        <v>0</v>
      </c>
      <c r="FU52">
        <v>0</v>
      </c>
      <c r="FV52">
        <v>0</v>
      </c>
      <c r="FW52">
        <v>0</v>
      </c>
      <c r="FX52">
        <v>0</v>
      </c>
      <c r="FY52">
        <v>0</v>
      </c>
      <c r="FZ52">
        <v>0</v>
      </c>
      <c r="GA52">
        <v>0</v>
      </c>
      <c r="GB52">
        <v>0</v>
      </c>
      <c r="GC52">
        <v>0</v>
      </c>
      <c r="GD52">
        <v>0</v>
      </c>
      <c r="GE52">
        <v>0</v>
      </c>
      <c r="GF52">
        <v>0</v>
      </c>
      <c r="GG52">
        <v>0</v>
      </c>
      <c r="GH52">
        <v>0</v>
      </c>
      <c r="GI52">
        <v>0</v>
      </c>
      <c r="GJ52">
        <v>0</v>
      </c>
      <c r="GK52">
        <v>0</v>
      </c>
      <c r="GL52">
        <v>0</v>
      </c>
      <c r="GM52">
        <v>0</v>
      </c>
      <c r="GN52">
        <v>0</v>
      </c>
      <c r="GO52">
        <v>0</v>
      </c>
      <c r="GP52">
        <v>0</v>
      </c>
      <c r="GQ52">
        <v>0</v>
      </c>
      <c r="GR52">
        <v>0</v>
      </c>
      <c r="GS52">
        <v>0</v>
      </c>
      <c r="GT52">
        <v>0</v>
      </c>
      <c r="GU52">
        <v>0</v>
      </c>
      <c r="GV52">
        <v>0</v>
      </c>
      <c r="GW52">
        <v>0</v>
      </c>
      <c r="GX52">
        <v>0</v>
      </c>
      <c r="GY52">
        <v>0</v>
      </c>
      <c r="GZ52">
        <v>0</v>
      </c>
      <c r="HA52">
        <v>0</v>
      </c>
      <c r="HB52">
        <v>0</v>
      </c>
      <c r="HC52">
        <v>0</v>
      </c>
      <c r="HD52">
        <v>0</v>
      </c>
      <c r="HE52">
        <v>0</v>
      </c>
      <c r="HF52">
        <v>0</v>
      </c>
      <c r="HG52">
        <v>0</v>
      </c>
      <c r="HH52">
        <v>0</v>
      </c>
      <c r="HI52">
        <v>0</v>
      </c>
      <c r="HJ52">
        <v>0</v>
      </c>
      <c r="HK52">
        <v>0</v>
      </c>
      <c r="HL52">
        <v>0</v>
      </c>
      <c r="HM52">
        <v>0</v>
      </c>
      <c r="HN52">
        <v>0</v>
      </c>
      <c r="HO52">
        <v>0</v>
      </c>
      <c r="HP52">
        <v>0</v>
      </c>
      <c r="HQ52">
        <v>0</v>
      </c>
      <c r="HR52">
        <v>0</v>
      </c>
      <c r="HS52">
        <v>0</v>
      </c>
      <c r="HT52">
        <v>0</v>
      </c>
      <c r="HU52">
        <v>0</v>
      </c>
      <c r="HV52">
        <v>0</v>
      </c>
      <c r="HW52">
        <v>0</v>
      </c>
      <c r="HX52">
        <v>0</v>
      </c>
      <c r="HY52">
        <v>0</v>
      </c>
      <c r="HZ52">
        <v>0</v>
      </c>
      <c r="IA52">
        <v>0</v>
      </c>
      <c r="IB52">
        <v>0</v>
      </c>
      <c r="IC52">
        <v>0</v>
      </c>
      <c r="ID52">
        <v>0</v>
      </c>
      <c r="IE52">
        <v>0</v>
      </c>
      <c r="IF52">
        <v>0</v>
      </c>
      <c r="IG52">
        <v>0</v>
      </c>
      <c r="IH52">
        <v>0</v>
      </c>
      <c r="II52">
        <v>0</v>
      </c>
      <c r="IJ52">
        <v>0</v>
      </c>
      <c r="IK52">
        <v>0</v>
      </c>
      <c r="IL52">
        <v>0</v>
      </c>
      <c r="IM52">
        <v>0</v>
      </c>
      <c r="IN52">
        <v>0</v>
      </c>
      <c r="IO52">
        <v>0</v>
      </c>
      <c r="IP52">
        <v>0</v>
      </c>
      <c r="IQ52">
        <v>0</v>
      </c>
      <c r="IR52">
        <v>0</v>
      </c>
      <c r="IS52">
        <v>0</v>
      </c>
      <c r="IT52">
        <v>0</v>
      </c>
      <c r="IU52">
        <v>0</v>
      </c>
      <c r="IV52">
        <v>0</v>
      </c>
      <c r="IW52">
        <v>0</v>
      </c>
      <c r="IX52">
        <v>0</v>
      </c>
      <c r="IY52">
        <v>0</v>
      </c>
      <c r="IZ52">
        <v>0</v>
      </c>
      <c r="JA52">
        <v>0</v>
      </c>
      <c r="JB52">
        <v>0</v>
      </c>
      <c r="JC52">
        <v>0</v>
      </c>
      <c r="JD52">
        <v>0</v>
      </c>
      <c r="JE52">
        <v>0</v>
      </c>
      <c r="JF52">
        <v>0</v>
      </c>
      <c r="JG52">
        <v>0</v>
      </c>
      <c r="JH52">
        <v>0</v>
      </c>
      <c r="JI52">
        <v>0</v>
      </c>
      <c r="JJ52">
        <v>0</v>
      </c>
      <c r="JK52">
        <v>0</v>
      </c>
      <c r="JL52">
        <v>0</v>
      </c>
      <c r="JM52">
        <v>0</v>
      </c>
      <c r="JN52">
        <v>0</v>
      </c>
      <c r="JO52">
        <v>0</v>
      </c>
      <c r="JP52">
        <v>0</v>
      </c>
      <c r="JQ52">
        <v>0</v>
      </c>
      <c r="JR52">
        <v>0</v>
      </c>
      <c r="JS52">
        <v>0</v>
      </c>
      <c r="JT52">
        <v>0</v>
      </c>
      <c r="JU52">
        <v>0</v>
      </c>
      <c r="JV52">
        <v>0</v>
      </c>
      <c r="JW52">
        <v>0</v>
      </c>
      <c r="JX52">
        <v>0</v>
      </c>
      <c r="JY52">
        <v>0</v>
      </c>
      <c r="JZ52">
        <v>0</v>
      </c>
      <c r="KA52">
        <v>0</v>
      </c>
      <c r="KB52">
        <v>0</v>
      </c>
      <c r="KC52">
        <v>0</v>
      </c>
      <c r="KD52">
        <v>0</v>
      </c>
      <c r="KE52">
        <v>0</v>
      </c>
      <c r="KF52">
        <v>0</v>
      </c>
      <c r="KG52">
        <v>0</v>
      </c>
      <c r="KH52">
        <v>0</v>
      </c>
      <c r="KI52">
        <v>0</v>
      </c>
      <c r="KJ52">
        <v>0</v>
      </c>
      <c r="KK52">
        <v>0</v>
      </c>
      <c r="KL52">
        <v>0</v>
      </c>
      <c r="KM52">
        <v>0</v>
      </c>
      <c r="KN52">
        <v>0</v>
      </c>
      <c r="KO52">
        <v>0</v>
      </c>
      <c r="KP52">
        <v>0</v>
      </c>
      <c r="KQ52">
        <v>0</v>
      </c>
      <c r="KR52">
        <v>0</v>
      </c>
      <c r="KS52">
        <v>0</v>
      </c>
      <c r="KT52">
        <v>0</v>
      </c>
      <c r="KU52">
        <v>0</v>
      </c>
      <c r="KV52">
        <v>0</v>
      </c>
      <c r="KW52">
        <v>0</v>
      </c>
      <c r="KX52">
        <v>0</v>
      </c>
      <c r="KY52">
        <v>0</v>
      </c>
      <c r="KZ52">
        <v>0</v>
      </c>
      <c r="LA52">
        <v>0</v>
      </c>
      <c r="LB52">
        <v>0</v>
      </c>
      <c r="LC52">
        <v>0</v>
      </c>
      <c r="LD52">
        <v>1</v>
      </c>
      <c r="LE52">
        <v>1</v>
      </c>
      <c r="LF52">
        <v>1</v>
      </c>
      <c r="LG52">
        <v>1</v>
      </c>
      <c r="LH52">
        <v>1</v>
      </c>
      <c r="LI52">
        <v>1</v>
      </c>
      <c r="LJ52">
        <v>1</v>
      </c>
      <c r="LK52">
        <v>1</v>
      </c>
      <c r="LL52">
        <v>1</v>
      </c>
      <c r="LM52">
        <v>1</v>
      </c>
      <c r="LN52">
        <v>0</v>
      </c>
      <c r="LO52">
        <v>0</v>
      </c>
      <c r="LP52">
        <v>0</v>
      </c>
      <c r="LQ52">
        <v>0</v>
      </c>
      <c r="LR52">
        <v>0</v>
      </c>
      <c r="LS52">
        <v>0</v>
      </c>
      <c r="LT52">
        <v>0</v>
      </c>
      <c r="LU52">
        <v>0</v>
      </c>
      <c r="LV52">
        <v>0</v>
      </c>
      <c r="LW52">
        <v>0</v>
      </c>
      <c r="LX52">
        <v>0</v>
      </c>
      <c r="LY52">
        <v>0</v>
      </c>
      <c r="LZ52">
        <v>0</v>
      </c>
      <c r="MA52">
        <v>0</v>
      </c>
      <c r="MB52">
        <v>0</v>
      </c>
      <c r="MC52">
        <v>0</v>
      </c>
      <c r="MD52">
        <v>0</v>
      </c>
      <c r="ME52">
        <v>0</v>
      </c>
      <c r="MF52">
        <v>0</v>
      </c>
      <c r="MG52">
        <v>0</v>
      </c>
      <c r="MH52">
        <v>0</v>
      </c>
      <c r="MI52">
        <v>0</v>
      </c>
      <c r="MJ52">
        <v>0</v>
      </c>
      <c r="MK52">
        <v>0</v>
      </c>
      <c r="ML52">
        <v>0</v>
      </c>
      <c r="MM52">
        <v>0</v>
      </c>
      <c r="MN52">
        <v>0</v>
      </c>
      <c r="MO52">
        <v>0</v>
      </c>
      <c r="MP52">
        <v>0</v>
      </c>
      <c r="MQ52">
        <v>0</v>
      </c>
      <c r="MR52">
        <v>0</v>
      </c>
      <c r="MS52">
        <v>0</v>
      </c>
      <c r="MT52">
        <v>0</v>
      </c>
      <c r="MU52">
        <v>0</v>
      </c>
      <c r="MV52">
        <v>0</v>
      </c>
      <c r="MW52">
        <v>0</v>
      </c>
      <c r="MX52">
        <v>0</v>
      </c>
      <c r="MY52">
        <v>0</v>
      </c>
      <c r="MZ52">
        <v>0</v>
      </c>
      <c r="NA52">
        <v>0</v>
      </c>
      <c r="NB52">
        <v>0</v>
      </c>
      <c r="NC52">
        <v>0</v>
      </c>
      <c r="ND52">
        <v>0</v>
      </c>
      <c r="NE52">
        <v>0</v>
      </c>
      <c r="NF52">
        <v>0</v>
      </c>
      <c r="NG52">
        <v>0</v>
      </c>
      <c r="NH52">
        <v>0</v>
      </c>
      <c r="NI52">
        <v>0</v>
      </c>
      <c r="NJ52">
        <v>0</v>
      </c>
      <c r="NK52">
        <v>0</v>
      </c>
      <c r="NL52">
        <v>0</v>
      </c>
      <c r="NM52">
        <v>0</v>
      </c>
      <c r="NN52">
        <v>0</v>
      </c>
      <c r="NO52">
        <v>0</v>
      </c>
      <c r="NP52">
        <v>0</v>
      </c>
      <c r="NQ52">
        <v>0</v>
      </c>
      <c r="NR52">
        <v>0</v>
      </c>
      <c r="NS52">
        <v>0</v>
      </c>
      <c r="NT52">
        <v>0</v>
      </c>
      <c r="NU52">
        <v>0</v>
      </c>
      <c r="NV52">
        <v>0</v>
      </c>
      <c r="NW52">
        <v>0</v>
      </c>
      <c r="NX52">
        <v>0</v>
      </c>
      <c r="NY52">
        <v>0</v>
      </c>
      <c r="NZ52">
        <v>0</v>
      </c>
      <c r="OA52">
        <v>0</v>
      </c>
      <c r="OB52">
        <v>0</v>
      </c>
      <c r="OC52">
        <v>0</v>
      </c>
      <c r="OD52">
        <v>0</v>
      </c>
      <c r="OE52">
        <v>0</v>
      </c>
      <c r="OF52">
        <v>0</v>
      </c>
      <c r="OG52">
        <v>0</v>
      </c>
      <c r="OH52">
        <v>0</v>
      </c>
      <c r="OI52">
        <v>0</v>
      </c>
      <c r="OJ52">
        <v>0</v>
      </c>
      <c r="OK52">
        <v>0</v>
      </c>
      <c r="OL52">
        <v>0</v>
      </c>
      <c r="OM52">
        <v>0</v>
      </c>
      <c r="ON52">
        <v>0</v>
      </c>
      <c r="OO52">
        <v>0</v>
      </c>
      <c r="OP52">
        <v>0</v>
      </c>
      <c r="OQ52">
        <v>0</v>
      </c>
      <c r="OR52">
        <v>0</v>
      </c>
      <c r="OS52">
        <v>0</v>
      </c>
      <c r="OT52">
        <v>0</v>
      </c>
      <c r="OU52">
        <v>0</v>
      </c>
      <c r="OV52">
        <v>0</v>
      </c>
      <c r="OW52">
        <v>0</v>
      </c>
      <c r="OX52">
        <v>0</v>
      </c>
      <c r="OY52">
        <v>0</v>
      </c>
      <c r="OZ52">
        <v>0</v>
      </c>
      <c r="PA52">
        <v>0</v>
      </c>
      <c r="PB52">
        <v>0</v>
      </c>
      <c r="PC52">
        <v>0</v>
      </c>
      <c r="PD52">
        <v>0</v>
      </c>
      <c r="PE52">
        <v>0</v>
      </c>
      <c r="PF52">
        <v>0</v>
      </c>
      <c r="PG52">
        <v>0</v>
      </c>
      <c r="PH52">
        <v>0</v>
      </c>
      <c r="PI52">
        <v>0</v>
      </c>
      <c r="PJ52">
        <v>0</v>
      </c>
      <c r="PK52">
        <v>0</v>
      </c>
      <c r="PL52">
        <v>0</v>
      </c>
      <c r="PM52">
        <v>0</v>
      </c>
      <c r="PN52">
        <v>0</v>
      </c>
      <c r="PO52">
        <v>0</v>
      </c>
      <c r="PP52">
        <v>0</v>
      </c>
      <c r="PQ52">
        <v>0</v>
      </c>
      <c r="PR52">
        <v>0</v>
      </c>
      <c r="PS52">
        <v>0</v>
      </c>
      <c r="PT52">
        <v>0</v>
      </c>
      <c r="PU52">
        <v>0</v>
      </c>
      <c r="PV52">
        <v>0</v>
      </c>
      <c r="PW52">
        <v>0</v>
      </c>
      <c r="PX52">
        <v>0</v>
      </c>
      <c r="PY52">
        <v>0</v>
      </c>
      <c r="PZ52">
        <v>0</v>
      </c>
      <c r="QA52">
        <v>0</v>
      </c>
      <c r="QB52">
        <v>0</v>
      </c>
      <c r="QC52">
        <v>0</v>
      </c>
      <c r="QD52">
        <v>0</v>
      </c>
      <c r="QE52">
        <v>0</v>
      </c>
      <c r="QF52">
        <v>0</v>
      </c>
      <c r="QG52">
        <v>0</v>
      </c>
      <c r="QH52">
        <v>0</v>
      </c>
      <c r="QI52">
        <v>0</v>
      </c>
      <c r="QJ52">
        <v>0</v>
      </c>
      <c r="QK52">
        <v>0</v>
      </c>
      <c r="QL52">
        <v>0</v>
      </c>
      <c r="QM52">
        <v>0</v>
      </c>
      <c r="QN52">
        <v>0</v>
      </c>
      <c r="QO52">
        <v>0</v>
      </c>
      <c r="QP52">
        <v>0</v>
      </c>
      <c r="QQ52">
        <v>0</v>
      </c>
      <c r="QR52">
        <v>0</v>
      </c>
      <c r="QS52">
        <v>0</v>
      </c>
      <c r="QT52">
        <v>0</v>
      </c>
      <c r="QU52">
        <v>0</v>
      </c>
      <c r="QV52">
        <v>0</v>
      </c>
      <c r="QW52">
        <v>0</v>
      </c>
      <c r="QX52">
        <v>0</v>
      </c>
      <c r="QY52">
        <v>0</v>
      </c>
      <c r="QZ52">
        <v>0</v>
      </c>
      <c r="RA52">
        <v>0</v>
      </c>
      <c r="RB52">
        <v>0</v>
      </c>
      <c r="RC52">
        <v>0</v>
      </c>
      <c r="RD52">
        <v>0</v>
      </c>
      <c r="RE52">
        <v>0</v>
      </c>
      <c r="RF52">
        <v>0</v>
      </c>
      <c r="RG52">
        <v>0</v>
      </c>
      <c r="RH52">
        <v>0</v>
      </c>
      <c r="RI52">
        <v>0</v>
      </c>
      <c r="RJ52">
        <v>0</v>
      </c>
      <c r="RK52">
        <v>0</v>
      </c>
      <c r="RL52">
        <v>0</v>
      </c>
      <c r="RM52">
        <v>0</v>
      </c>
      <c r="RN52">
        <v>0</v>
      </c>
      <c r="RO52">
        <v>0</v>
      </c>
      <c r="RP52">
        <v>0</v>
      </c>
      <c r="RQ52">
        <v>0</v>
      </c>
      <c r="RR52">
        <v>0</v>
      </c>
      <c r="RS52">
        <v>0</v>
      </c>
      <c r="RT52">
        <v>0</v>
      </c>
      <c r="RU52">
        <v>0</v>
      </c>
      <c r="RV52">
        <v>0</v>
      </c>
      <c r="RW52">
        <v>0</v>
      </c>
      <c r="RX52">
        <v>0</v>
      </c>
      <c r="RY52">
        <v>0</v>
      </c>
      <c r="RZ52">
        <v>0</v>
      </c>
      <c r="SA52">
        <v>0</v>
      </c>
      <c r="SB52">
        <v>0</v>
      </c>
      <c r="SC52">
        <v>0</v>
      </c>
      <c r="SD52">
        <v>0</v>
      </c>
      <c r="SE52">
        <v>0</v>
      </c>
      <c r="SF52">
        <v>0</v>
      </c>
      <c r="SG52">
        <v>0</v>
      </c>
      <c r="SH52">
        <v>0</v>
      </c>
      <c r="SI52">
        <v>0</v>
      </c>
      <c r="SJ52">
        <v>0</v>
      </c>
      <c r="SK52">
        <v>0</v>
      </c>
      <c r="SL52">
        <v>0</v>
      </c>
      <c r="SM52">
        <v>0</v>
      </c>
      <c r="SN52">
        <v>0</v>
      </c>
      <c r="SO52">
        <v>0</v>
      </c>
      <c r="SP52">
        <v>0</v>
      </c>
      <c r="SQ52">
        <v>0</v>
      </c>
      <c r="SR52">
        <v>0</v>
      </c>
      <c r="SS52">
        <v>0</v>
      </c>
      <c r="ST52">
        <v>0</v>
      </c>
      <c r="SU52">
        <v>0</v>
      </c>
      <c r="SV52">
        <v>0</v>
      </c>
      <c r="SW52">
        <v>0</v>
      </c>
      <c r="SX52">
        <v>0</v>
      </c>
      <c r="SY52">
        <v>0</v>
      </c>
      <c r="SZ52">
        <v>0</v>
      </c>
      <c r="TA52">
        <v>0</v>
      </c>
      <c r="TB52">
        <v>0</v>
      </c>
      <c r="TC52">
        <v>0</v>
      </c>
      <c r="TD52">
        <v>0</v>
      </c>
      <c r="TE52">
        <v>0</v>
      </c>
      <c r="TF52">
        <v>0</v>
      </c>
      <c r="TG52">
        <v>0</v>
      </c>
      <c r="TH52">
        <v>0</v>
      </c>
      <c r="TI52">
        <v>0</v>
      </c>
      <c r="TJ52">
        <v>0</v>
      </c>
      <c r="TK52">
        <v>0</v>
      </c>
      <c r="TL52">
        <v>0</v>
      </c>
      <c r="TM52">
        <v>0</v>
      </c>
      <c r="TN52">
        <v>0</v>
      </c>
      <c r="TO52">
        <v>0</v>
      </c>
      <c r="TP52">
        <v>0</v>
      </c>
      <c r="TQ52">
        <v>0</v>
      </c>
      <c r="TR52">
        <v>0</v>
      </c>
      <c r="TS52">
        <v>0</v>
      </c>
      <c r="TT52">
        <v>0</v>
      </c>
      <c r="TU52">
        <v>0</v>
      </c>
      <c r="TV52">
        <v>0</v>
      </c>
      <c r="TW52">
        <v>0</v>
      </c>
      <c r="TX52">
        <v>0</v>
      </c>
      <c r="TY52">
        <v>0</v>
      </c>
      <c r="TZ52">
        <v>0</v>
      </c>
      <c r="UA52">
        <v>0</v>
      </c>
      <c r="UB52">
        <v>0</v>
      </c>
      <c r="UC52">
        <v>0</v>
      </c>
      <c r="UD52">
        <v>0</v>
      </c>
      <c r="UE52">
        <v>0</v>
      </c>
      <c r="UF52">
        <v>0</v>
      </c>
      <c r="UG52">
        <v>0</v>
      </c>
      <c r="UH52">
        <v>0</v>
      </c>
      <c r="UI52">
        <v>0</v>
      </c>
      <c r="UJ52">
        <v>0</v>
      </c>
      <c r="UK52">
        <v>0</v>
      </c>
      <c r="UL52">
        <v>0</v>
      </c>
      <c r="UM52">
        <v>0</v>
      </c>
      <c r="UN52">
        <v>0</v>
      </c>
      <c r="UO52">
        <v>0</v>
      </c>
      <c r="UP52">
        <v>0</v>
      </c>
      <c r="UQ52">
        <v>0</v>
      </c>
      <c r="UR52">
        <v>0</v>
      </c>
      <c r="US52">
        <v>0</v>
      </c>
      <c r="UT52">
        <v>0</v>
      </c>
      <c r="UU52">
        <v>0</v>
      </c>
      <c r="UV52">
        <v>0</v>
      </c>
      <c r="UW52">
        <v>0</v>
      </c>
      <c r="UX52">
        <v>0</v>
      </c>
      <c r="UY52">
        <v>0</v>
      </c>
      <c r="UZ52">
        <v>0</v>
      </c>
      <c r="VA52">
        <v>0</v>
      </c>
      <c r="VB52">
        <v>0</v>
      </c>
      <c r="VC52">
        <v>0</v>
      </c>
      <c r="VD52">
        <v>0</v>
      </c>
      <c r="VE52">
        <v>0</v>
      </c>
      <c r="VF52">
        <v>0</v>
      </c>
      <c r="VG52">
        <v>0</v>
      </c>
      <c r="VH52">
        <v>0</v>
      </c>
      <c r="VI52">
        <v>0</v>
      </c>
      <c r="VJ52">
        <v>0</v>
      </c>
      <c r="VK52">
        <v>0</v>
      </c>
      <c r="VL52">
        <v>0</v>
      </c>
      <c r="VM52">
        <v>0</v>
      </c>
      <c r="VN52">
        <v>0</v>
      </c>
      <c r="VO52">
        <v>0</v>
      </c>
      <c r="VP52">
        <v>0</v>
      </c>
      <c r="VQ52">
        <v>0</v>
      </c>
      <c r="VR52">
        <v>0</v>
      </c>
      <c r="VS52">
        <v>0</v>
      </c>
      <c r="VT52">
        <v>0</v>
      </c>
      <c r="VU52">
        <v>0</v>
      </c>
      <c r="VV52">
        <v>0</v>
      </c>
      <c r="VW52">
        <v>0</v>
      </c>
      <c r="VX52">
        <v>0</v>
      </c>
      <c r="VY52">
        <v>0</v>
      </c>
      <c r="VZ52">
        <v>0</v>
      </c>
      <c r="WA52">
        <v>0</v>
      </c>
      <c r="WB52">
        <v>0</v>
      </c>
      <c r="WC52">
        <v>0</v>
      </c>
      <c r="WD52">
        <v>0</v>
      </c>
      <c r="WE52">
        <v>0</v>
      </c>
      <c r="WF52">
        <v>0</v>
      </c>
      <c r="WG52">
        <v>0</v>
      </c>
      <c r="WH52">
        <v>0</v>
      </c>
      <c r="WI52">
        <v>0</v>
      </c>
      <c r="WJ52">
        <v>0</v>
      </c>
      <c r="WK52">
        <v>0</v>
      </c>
      <c r="WL52">
        <v>0</v>
      </c>
      <c r="WM52">
        <v>0</v>
      </c>
      <c r="WN52">
        <v>0</v>
      </c>
      <c r="WO52">
        <v>0</v>
      </c>
      <c r="WP52">
        <v>0</v>
      </c>
      <c r="WQ52">
        <v>0</v>
      </c>
      <c r="WR52">
        <v>0</v>
      </c>
      <c r="WS52">
        <v>0</v>
      </c>
      <c r="WT52">
        <v>0</v>
      </c>
      <c r="WU52">
        <v>0</v>
      </c>
      <c r="WV52">
        <v>0</v>
      </c>
      <c r="WW52">
        <v>0</v>
      </c>
      <c r="WX52">
        <v>0</v>
      </c>
      <c r="WY52">
        <v>0</v>
      </c>
      <c r="WZ52">
        <v>0</v>
      </c>
      <c r="XA52">
        <v>0</v>
      </c>
      <c r="XB52">
        <v>0</v>
      </c>
      <c r="XC52">
        <v>0</v>
      </c>
      <c r="XD52">
        <v>0</v>
      </c>
      <c r="XE52">
        <v>0</v>
      </c>
      <c r="XF52">
        <v>0</v>
      </c>
      <c r="XG52">
        <v>0</v>
      </c>
      <c r="XH52">
        <v>0</v>
      </c>
      <c r="XI52">
        <v>0</v>
      </c>
      <c r="XJ52">
        <v>0</v>
      </c>
      <c r="XK52">
        <v>0</v>
      </c>
      <c r="XL52">
        <v>0</v>
      </c>
      <c r="XM52">
        <v>0</v>
      </c>
      <c r="XN52">
        <v>0</v>
      </c>
      <c r="XO52">
        <v>0</v>
      </c>
      <c r="XP52">
        <v>0</v>
      </c>
      <c r="XQ52">
        <v>0</v>
      </c>
      <c r="XR52">
        <v>0</v>
      </c>
      <c r="XS52">
        <v>0</v>
      </c>
      <c r="XT52">
        <v>0</v>
      </c>
      <c r="XU52">
        <v>0</v>
      </c>
      <c r="XV52">
        <v>0</v>
      </c>
      <c r="XW52">
        <v>0</v>
      </c>
      <c r="XX52">
        <v>0</v>
      </c>
      <c r="XY52">
        <v>0</v>
      </c>
      <c r="XZ52">
        <v>0</v>
      </c>
      <c r="YA52">
        <v>0</v>
      </c>
      <c r="YB52">
        <v>0</v>
      </c>
      <c r="YC52">
        <v>0</v>
      </c>
      <c r="YD52">
        <v>0</v>
      </c>
      <c r="YE52">
        <v>0</v>
      </c>
      <c r="YF52">
        <v>0</v>
      </c>
      <c r="YG52">
        <v>0</v>
      </c>
      <c r="YH52">
        <v>0</v>
      </c>
      <c r="YI52">
        <v>0</v>
      </c>
      <c r="YJ52">
        <v>0</v>
      </c>
      <c r="YK52">
        <v>0</v>
      </c>
      <c r="YL52">
        <v>0</v>
      </c>
      <c r="YM52">
        <v>0</v>
      </c>
      <c r="YN52">
        <v>0</v>
      </c>
      <c r="YO52">
        <v>0</v>
      </c>
      <c r="YP52">
        <v>0</v>
      </c>
      <c r="YQ52">
        <v>0</v>
      </c>
      <c r="YR52">
        <v>0</v>
      </c>
      <c r="YS52">
        <v>0</v>
      </c>
      <c r="YT52">
        <v>0</v>
      </c>
      <c r="YU52">
        <v>0</v>
      </c>
      <c r="YV52">
        <v>0</v>
      </c>
      <c r="YW52">
        <v>0</v>
      </c>
      <c r="YX52">
        <v>0</v>
      </c>
      <c r="YY52">
        <v>0</v>
      </c>
      <c r="YZ52">
        <v>0</v>
      </c>
      <c r="ZA52">
        <v>0</v>
      </c>
      <c r="ZB52">
        <v>0</v>
      </c>
      <c r="ZC52">
        <v>0</v>
      </c>
      <c r="ZD52">
        <v>0</v>
      </c>
      <c r="ZE52">
        <v>0</v>
      </c>
      <c r="ZF52">
        <v>0</v>
      </c>
      <c r="ZG52">
        <v>0</v>
      </c>
      <c r="ZH52">
        <v>0</v>
      </c>
      <c r="ZI52">
        <v>0</v>
      </c>
      <c r="ZJ52">
        <v>0</v>
      </c>
      <c r="ZK52">
        <v>0</v>
      </c>
      <c r="ZL52">
        <v>0</v>
      </c>
      <c r="ZM52">
        <v>0</v>
      </c>
      <c r="ZN52">
        <v>0</v>
      </c>
      <c r="ZO52">
        <v>0</v>
      </c>
      <c r="ZP52">
        <v>0</v>
      </c>
      <c r="ZQ52">
        <v>0</v>
      </c>
      <c r="ZR52">
        <v>0</v>
      </c>
      <c r="ZS52">
        <v>0</v>
      </c>
      <c r="ZT52">
        <v>0</v>
      </c>
      <c r="ZU52">
        <v>0</v>
      </c>
      <c r="ZV52">
        <v>0</v>
      </c>
      <c r="ZW52">
        <v>0</v>
      </c>
      <c r="ZX52">
        <v>0</v>
      </c>
      <c r="ZY52">
        <v>0</v>
      </c>
      <c r="ZZ52">
        <v>0</v>
      </c>
      <c r="AAA52">
        <v>0</v>
      </c>
      <c r="AAB52">
        <v>0</v>
      </c>
      <c r="AAC52">
        <v>0</v>
      </c>
      <c r="AAD52">
        <v>0</v>
      </c>
      <c r="AAE52">
        <v>0</v>
      </c>
      <c r="AAF52">
        <v>0</v>
      </c>
      <c r="AAG52">
        <v>0</v>
      </c>
      <c r="AAH52">
        <v>0</v>
      </c>
      <c r="AAI52">
        <v>0</v>
      </c>
      <c r="AAJ52">
        <v>0</v>
      </c>
      <c r="AAK52">
        <v>0</v>
      </c>
      <c r="AAL52">
        <v>0</v>
      </c>
      <c r="AAM52">
        <v>0</v>
      </c>
      <c r="AAN52">
        <v>0</v>
      </c>
      <c r="AAO52">
        <v>0</v>
      </c>
      <c r="AAP52">
        <v>0</v>
      </c>
      <c r="AAQ52">
        <v>0</v>
      </c>
      <c r="AAR52">
        <v>0</v>
      </c>
      <c r="AAS52">
        <v>0</v>
      </c>
      <c r="AAT52">
        <v>0</v>
      </c>
      <c r="AAU52">
        <v>0</v>
      </c>
      <c r="AAV52">
        <v>0</v>
      </c>
      <c r="AAW52">
        <v>0</v>
      </c>
      <c r="AAX52">
        <v>0</v>
      </c>
      <c r="AAY52">
        <v>0</v>
      </c>
      <c r="AAZ52">
        <v>0</v>
      </c>
      <c r="ABA52">
        <v>0</v>
      </c>
      <c r="ABB52">
        <v>0</v>
      </c>
      <c r="ABC52">
        <v>0</v>
      </c>
      <c r="ABD52">
        <v>0</v>
      </c>
      <c r="ABE52">
        <v>0</v>
      </c>
      <c r="ABG52" s="1137">
        <f t="shared" ref="ABG52:ABV67" si="13">COUNTIFS($C$3:$ABE$3, ABG$3, $C$4:$ABE$4, ABG$4, $C52:$ABE52, "&gt;0")</f>
        <v>0</v>
      </c>
      <c r="ABH52" s="1137">
        <f t="shared" si="13"/>
        <v>0</v>
      </c>
      <c r="ABI52" s="1137">
        <f t="shared" si="13"/>
        <v>19</v>
      </c>
      <c r="ABJ52" s="1137">
        <f t="shared" si="13"/>
        <v>30</v>
      </c>
      <c r="ABK52" s="1137">
        <f t="shared" si="13"/>
        <v>21</v>
      </c>
      <c r="ABL52" s="1137">
        <f t="shared" si="13"/>
        <v>0</v>
      </c>
      <c r="ABM52" s="1137">
        <f t="shared" si="13"/>
        <v>0</v>
      </c>
      <c r="ABN52" s="1137">
        <f t="shared" si="13"/>
        <v>0</v>
      </c>
      <c r="ABO52" s="1137">
        <f t="shared" si="13"/>
        <v>0</v>
      </c>
      <c r="ABP52" s="1137">
        <f t="shared" si="13"/>
        <v>0</v>
      </c>
      <c r="ABQ52" s="1137">
        <f t="shared" si="13"/>
        <v>10</v>
      </c>
      <c r="ABR52" s="1137">
        <f t="shared" si="13"/>
        <v>0</v>
      </c>
      <c r="ABS52" s="1137">
        <f t="shared" si="13"/>
        <v>0</v>
      </c>
      <c r="ABT52" s="1137">
        <f t="shared" si="13"/>
        <v>0</v>
      </c>
      <c r="ABU52" s="1137">
        <f t="shared" si="13"/>
        <v>0</v>
      </c>
      <c r="ABV52" s="1137">
        <f t="shared" si="13"/>
        <v>0</v>
      </c>
      <c r="ABW52" s="1137">
        <f t="shared" si="7"/>
        <v>0</v>
      </c>
      <c r="ABX52" s="1137">
        <f t="shared" si="7"/>
        <v>0</v>
      </c>
      <c r="ABY52" s="1137">
        <f t="shared" si="7"/>
        <v>0</v>
      </c>
      <c r="ABZ52" s="1137">
        <f t="shared" si="7"/>
        <v>0</v>
      </c>
      <c r="ACA52" s="1137">
        <f t="shared" si="7"/>
        <v>0</v>
      </c>
      <c r="ACB52" s="1137">
        <f t="shared" si="7"/>
        <v>0</v>
      </c>
      <c r="ACC52" s="1137">
        <f t="shared" ref="ABX52:ACD89" si="14">COUNTIFS($C$3:$ABE$3, ACC$3, $C$4:$ABE$4, ACC$4, $C52:$ABE52, "&gt;0")</f>
        <v>0</v>
      </c>
      <c r="ACD52" s="1137">
        <f t="shared" si="14"/>
        <v>0</v>
      </c>
      <c r="ACE52" s="1137" t="s">
        <v>170</v>
      </c>
      <c r="ACF52" s="1137">
        <f t="shared" ref="ACF52:ACT68" si="15">IF(ABG52&gt;10, 1, 0)</f>
        <v>0</v>
      </c>
      <c r="ACG52" s="1137">
        <f t="shared" si="15"/>
        <v>0</v>
      </c>
      <c r="ACH52" s="1137">
        <f t="shared" si="15"/>
        <v>1</v>
      </c>
      <c r="ACI52" s="1137">
        <f t="shared" si="15"/>
        <v>1</v>
      </c>
      <c r="ACJ52" s="1137">
        <f t="shared" si="15"/>
        <v>1</v>
      </c>
      <c r="ACK52" s="1137">
        <f t="shared" si="15"/>
        <v>0</v>
      </c>
      <c r="ACL52" s="1137">
        <f t="shared" si="15"/>
        <v>0</v>
      </c>
      <c r="ACM52" s="1137">
        <f t="shared" si="15"/>
        <v>0</v>
      </c>
      <c r="ACN52" s="1137">
        <f t="shared" si="15"/>
        <v>0</v>
      </c>
      <c r="ACO52" s="1137">
        <f t="shared" si="15"/>
        <v>0</v>
      </c>
      <c r="ACP52" s="1137">
        <f t="shared" si="15"/>
        <v>0</v>
      </c>
      <c r="ACQ52" s="1137">
        <f t="shared" si="15"/>
        <v>0</v>
      </c>
      <c r="ACR52" s="1137">
        <f t="shared" si="15"/>
        <v>0</v>
      </c>
      <c r="ACS52" s="1137">
        <f t="shared" si="15"/>
        <v>0</v>
      </c>
      <c r="ACT52" s="1137">
        <f t="shared" si="15"/>
        <v>0</v>
      </c>
      <c r="ACU52" s="1137">
        <f t="shared" si="12"/>
        <v>0</v>
      </c>
      <c r="ACV52" s="1137">
        <f t="shared" si="8"/>
        <v>0</v>
      </c>
      <c r="ACW52" s="1137">
        <f t="shared" si="8"/>
        <v>0</v>
      </c>
      <c r="ACX52" s="1137">
        <f t="shared" si="8"/>
        <v>0</v>
      </c>
      <c r="ACY52" s="1137">
        <f t="shared" si="8"/>
        <v>0</v>
      </c>
      <c r="ACZ52" s="1137">
        <f t="shared" si="8"/>
        <v>0</v>
      </c>
      <c r="ADA52" s="1137">
        <f t="shared" si="8"/>
        <v>0</v>
      </c>
      <c r="ADB52" s="1137">
        <f t="shared" ref="ADB52:ADC115" si="16">IF(ACC52&gt;10, 1, 0)</f>
        <v>0</v>
      </c>
      <c r="ADC52" s="1137">
        <f t="shared" si="16"/>
        <v>0</v>
      </c>
    </row>
    <row r="53" spans="1:783" x14ac:dyDescent="0.25">
      <c r="A53" t="s">
        <v>1850</v>
      </c>
      <c r="B53" t="s">
        <v>172</v>
      </c>
      <c r="C53">
        <v>0</v>
      </c>
      <c r="D53">
        <v>0</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v>0</v>
      </c>
      <c r="BX53">
        <v>0</v>
      </c>
      <c r="BY53">
        <v>0</v>
      </c>
      <c r="BZ53">
        <v>0</v>
      </c>
      <c r="CA53">
        <v>0</v>
      </c>
      <c r="CB53">
        <v>0</v>
      </c>
      <c r="CC53">
        <v>0</v>
      </c>
      <c r="CD53">
        <v>2</v>
      </c>
      <c r="CE53">
        <v>2</v>
      </c>
      <c r="CF53">
        <v>2</v>
      </c>
      <c r="CG53">
        <v>2</v>
      </c>
      <c r="CH53">
        <v>2</v>
      </c>
      <c r="CI53">
        <v>2</v>
      </c>
      <c r="CJ53">
        <v>2</v>
      </c>
      <c r="CK53">
        <v>2</v>
      </c>
      <c r="CL53">
        <v>2</v>
      </c>
      <c r="CM53">
        <v>2</v>
      </c>
      <c r="CN53">
        <v>2</v>
      </c>
      <c r="CO53">
        <v>2</v>
      </c>
      <c r="CP53">
        <v>2</v>
      </c>
      <c r="CQ53">
        <v>2</v>
      </c>
      <c r="CR53">
        <v>2</v>
      </c>
      <c r="CS53">
        <v>2</v>
      </c>
      <c r="CT53">
        <v>2</v>
      </c>
      <c r="CU53">
        <v>2</v>
      </c>
      <c r="CV53">
        <v>2</v>
      </c>
      <c r="CW53">
        <v>2</v>
      </c>
      <c r="CX53">
        <v>2</v>
      </c>
      <c r="CY53">
        <v>2</v>
      </c>
      <c r="CZ53">
        <v>2</v>
      </c>
      <c r="DA53">
        <v>2</v>
      </c>
      <c r="DB53">
        <v>2</v>
      </c>
      <c r="DC53">
        <v>2</v>
      </c>
      <c r="DD53">
        <v>2</v>
      </c>
      <c r="DE53">
        <v>2</v>
      </c>
      <c r="DF53">
        <v>2</v>
      </c>
      <c r="DG53">
        <v>2</v>
      </c>
      <c r="DH53">
        <v>2</v>
      </c>
      <c r="DI53">
        <v>2</v>
      </c>
      <c r="DJ53">
        <v>2</v>
      </c>
      <c r="DK53">
        <v>2</v>
      </c>
      <c r="DL53">
        <v>2</v>
      </c>
      <c r="DM53">
        <v>2</v>
      </c>
      <c r="DN53">
        <v>2</v>
      </c>
      <c r="DO53">
        <v>2</v>
      </c>
      <c r="DP53">
        <v>2</v>
      </c>
      <c r="DQ53">
        <v>2</v>
      </c>
      <c r="DR53">
        <v>2</v>
      </c>
      <c r="DS53">
        <v>2</v>
      </c>
      <c r="DT53">
        <v>2</v>
      </c>
      <c r="DU53">
        <v>2</v>
      </c>
      <c r="DV53">
        <v>2</v>
      </c>
      <c r="DW53">
        <v>2</v>
      </c>
      <c r="DX53">
        <v>2</v>
      </c>
      <c r="DY53">
        <v>2</v>
      </c>
      <c r="DZ53">
        <v>2</v>
      </c>
      <c r="EA53">
        <v>2</v>
      </c>
      <c r="EB53">
        <v>2</v>
      </c>
      <c r="EC53">
        <v>2</v>
      </c>
      <c r="ED53">
        <v>2</v>
      </c>
      <c r="EE53">
        <v>2</v>
      </c>
      <c r="EF53">
        <v>2</v>
      </c>
      <c r="EG53">
        <v>2</v>
      </c>
      <c r="EH53">
        <v>2</v>
      </c>
      <c r="EI53">
        <v>2</v>
      </c>
      <c r="EJ53">
        <v>2</v>
      </c>
      <c r="EK53">
        <v>2</v>
      </c>
      <c r="EL53">
        <v>2</v>
      </c>
      <c r="EM53">
        <v>2</v>
      </c>
      <c r="EN53">
        <v>2</v>
      </c>
      <c r="EO53">
        <v>2</v>
      </c>
      <c r="EP53">
        <v>2</v>
      </c>
      <c r="EQ53">
        <v>2</v>
      </c>
      <c r="ER53">
        <v>2</v>
      </c>
      <c r="ES53">
        <v>2</v>
      </c>
      <c r="ET53">
        <v>2</v>
      </c>
      <c r="EU53">
        <v>2</v>
      </c>
      <c r="EV53">
        <v>2</v>
      </c>
      <c r="EW53">
        <v>2</v>
      </c>
      <c r="EX53">
        <v>2</v>
      </c>
      <c r="EY53">
        <v>2</v>
      </c>
      <c r="EZ53">
        <v>2</v>
      </c>
      <c r="FA53">
        <v>2</v>
      </c>
      <c r="FB53">
        <v>2</v>
      </c>
      <c r="FC53">
        <v>2</v>
      </c>
      <c r="FD53">
        <v>2</v>
      </c>
      <c r="FE53">
        <v>2</v>
      </c>
      <c r="FF53">
        <v>2</v>
      </c>
      <c r="FG53">
        <v>2</v>
      </c>
      <c r="FH53">
        <v>2</v>
      </c>
      <c r="FI53">
        <v>2</v>
      </c>
      <c r="FJ53">
        <v>2</v>
      </c>
      <c r="FK53">
        <v>2</v>
      </c>
      <c r="FL53">
        <v>2</v>
      </c>
      <c r="FM53">
        <v>2</v>
      </c>
      <c r="FN53">
        <v>2</v>
      </c>
      <c r="FO53">
        <v>2</v>
      </c>
      <c r="FP53">
        <v>2</v>
      </c>
      <c r="FQ53">
        <v>2</v>
      </c>
      <c r="FR53">
        <v>2</v>
      </c>
      <c r="FS53">
        <v>2</v>
      </c>
      <c r="FT53">
        <v>2</v>
      </c>
      <c r="FU53">
        <v>2</v>
      </c>
      <c r="FV53">
        <v>2</v>
      </c>
      <c r="FW53">
        <v>2</v>
      </c>
      <c r="FX53">
        <v>2</v>
      </c>
      <c r="FY53">
        <v>2</v>
      </c>
      <c r="FZ53">
        <v>2</v>
      </c>
      <c r="GA53">
        <v>2</v>
      </c>
      <c r="GB53">
        <v>2</v>
      </c>
      <c r="GC53">
        <v>2</v>
      </c>
      <c r="GD53">
        <v>2</v>
      </c>
      <c r="GE53">
        <v>2</v>
      </c>
      <c r="GF53">
        <v>2</v>
      </c>
      <c r="GG53">
        <v>2</v>
      </c>
      <c r="GH53">
        <v>2</v>
      </c>
      <c r="GI53">
        <v>2</v>
      </c>
      <c r="GJ53">
        <v>2</v>
      </c>
      <c r="GK53">
        <v>2</v>
      </c>
      <c r="GL53">
        <v>2</v>
      </c>
      <c r="GM53">
        <v>2</v>
      </c>
      <c r="GN53">
        <v>2</v>
      </c>
      <c r="GO53">
        <v>2</v>
      </c>
      <c r="GP53">
        <v>2</v>
      </c>
      <c r="GQ53">
        <v>2</v>
      </c>
      <c r="GR53">
        <v>2</v>
      </c>
      <c r="GS53">
        <v>2</v>
      </c>
      <c r="GT53">
        <v>2</v>
      </c>
      <c r="GU53">
        <v>2</v>
      </c>
      <c r="GV53">
        <v>2</v>
      </c>
      <c r="GW53">
        <v>2</v>
      </c>
      <c r="GX53">
        <v>2</v>
      </c>
      <c r="GY53">
        <v>2</v>
      </c>
      <c r="GZ53">
        <v>2</v>
      </c>
      <c r="HA53">
        <v>2</v>
      </c>
      <c r="HB53">
        <v>2</v>
      </c>
      <c r="HC53">
        <v>2</v>
      </c>
      <c r="HD53">
        <v>2</v>
      </c>
      <c r="HE53">
        <v>2</v>
      </c>
      <c r="HF53">
        <v>2</v>
      </c>
      <c r="HG53">
        <v>2</v>
      </c>
      <c r="HH53">
        <v>2</v>
      </c>
      <c r="HI53">
        <v>2</v>
      </c>
      <c r="HJ53">
        <v>2</v>
      </c>
      <c r="HK53">
        <v>2</v>
      </c>
      <c r="HL53">
        <v>2</v>
      </c>
      <c r="HM53">
        <v>2</v>
      </c>
      <c r="HN53">
        <v>2</v>
      </c>
      <c r="HO53">
        <v>2</v>
      </c>
      <c r="HP53">
        <v>2</v>
      </c>
      <c r="HQ53">
        <v>2</v>
      </c>
      <c r="HR53">
        <v>2</v>
      </c>
      <c r="HS53">
        <v>2</v>
      </c>
      <c r="HT53">
        <v>2</v>
      </c>
      <c r="HU53">
        <v>2</v>
      </c>
      <c r="HV53">
        <v>2</v>
      </c>
      <c r="HW53">
        <v>2</v>
      </c>
      <c r="HX53">
        <v>2</v>
      </c>
      <c r="HY53">
        <v>2</v>
      </c>
      <c r="HZ53">
        <v>2</v>
      </c>
      <c r="IA53">
        <v>2</v>
      </c>
      <c r="IB53">
        <v>2</v>
      </c>
      <c r="IC53">
        <v>2</v>
      </c>
      <c r="ID53">
        <v>2</v>
      </c>
      <c r="IE53">
        <v>2</v>
      </c>
      <c r="IF53">
        <v>2</v>
      </c>
      <c r="IG53">
        <v>2</v>
      </c>
      <c r="IH53">
        <v>2</v>
      </c>
      <c r="II53">
        <v>2</v>
      </c>
      <c r="IJ53">
        <v>2</v>
      </c>
      <c r="IK53">
        <v>2</v>
      </c>
      <c r="IL53">
        <v>2</v>
      </c>
      <c r="IM53">
        <v>2</v>
      </c>
      <c r="IN53">
        <v>2</v>
      </c>
      <c r="IO53">
        <v>2</v>
      </c>
      <c r="IP53">
        <v>2</v>
      </c>
      <c r="IQ53">
        <v>2</v>
      </c>
      <c r="IR53">
        <v>2</v>
      </c>
      <c r="IS53">
        <v>2</v>
      </c>
      <c r="IT53">
        <v>2</v>
      </c>
      <c r="IU53">
        <v>2</v>
      </c>
      <c r="IV53">
        <v>2</v>
      </c>
      <c r="IW53">
        <v>2</v>
      </c>
      <c r="IX53">
        <v>2</v>
      </c>
      <c r="IY53">
        <v>2</v>
      </c>
      <c r="IZ53">
        <v>2</v>
      </c>
      <c r="JA53">
        <v>2</v>
      </c>
      <c r="JB53">
        <v>2</v>
      </c>
      <c r="JC53">
        <v>2</v>
      </c>
      <c r="JD53">
        <v>2</v>
      </c>
      <c r="JE53">
        <v>2</v>
      </c>
      <c r="JF53">
        <v>2</v>
      </c>
      <c r="JG53">
        <v>2</v>
      </c>
      <c r="JH53">
        <v>2</v>
      </c>
      <c r="JI53">
        <v>2</v>
      </c>
      <c r="JJ53">
        <v>2</v>
      </c>
      <c r="JK53">
        <v>2</v>
      </c>
      <c r="JL53">
        <v>2</v>
      </c>
      <c r="JM53">
        <v>2</v>
      </c>
      <c r="JN53">
        <v>2</v>
      </c>
      <c r="JO53">
        <v>2</v>
      </c>
      <c r="JP53">
        <v>2</v>
      </c>
      <c r="JQ53">
        <v>2</v>
      </c>
      <c r="JR53">
        <v>2</v>
      </c>
      <c r="JS53">
        <v>2</v>
      </c>
      <c r="JT53">
        <v>2</v>
      </c>
      <c r="JU53">
        <v>2</v>
      </c>
      <c r="JV53">
        <v>2</v>
      </c>
      <c r="JW53">
        <v>0</v>
      </c>
      <c r="JX53">
        <v>0</v>
      </c>
      <c r="JY53">
        <v>0</v>
      </c>
      <c r="JZ53">
        <v>0</v>
      </c>
      <c r="KA53">
        <v>0</v>
      </c>
      <c r="KB53">
        <v>0</v>
      </c>
      <c r="KC53">
        <v>0</v>
      </c>
      <c r="KD53">
        <v>0</v>
      </c>
      <c r="KE53">
        <v>0</v>
      </c>
      <c r="KF53">
        <v>0</v>
      </c>
      <c r="KG53">
        <v>0</v>
      </c>
      <c r="KH53">
        <v>0</v>
      </c>
      <c r="KI53">
        <v>0</v>
      </c>
      <c r="KJ53">
        <v>0</v>
      </c>
      <c r="KK53">
        <v>0</v>
      </c>
      <c r="KL53">
        <v>0</v>
      </c>
      <c r="KM53">
        <v>0</v>
      </c>
      <c r="KN53">
        <v>0</v>
      </c>
      <c r="KO53">
        <v>0</v>
      </c>
      <c r="KP53">
        <v>0</v>
      </c>
      <c r="KQ53">
        <v>0</v>
      </c>
      <c r="KR53">
        <v>0</v>
      </c>
      <c r="KS53">
        <v>0</v>
      </c>
      <c r="KT53">
        <v>0</v>
      </c>
      <c r="KU53">
        <v>0</v>
      </c>
      <c r="KV53">
        <v>0</v>
      </c>
      <c r="KW53">
        <v>0</v>
      </c>
      <c r="KX53">
        <v>0</v>
      </c>
      <c r="KY53">
        <v>0</v>
      </c>
      <c r="KZ53">
        <v>0</v>
      </c>
      <c r="LA53">
        <v>0</v>
      </c>
      <c r="LB53">
        <v>0</v>
      </c>
      <c r="LC53">
        <v>0</v>
      </c>
      <c r="LD53">
        <v>0</v>
      </c>
      <c r="LE53">
        <v>0</v>
      </c>
      <c r="LF53">
        <v>0</v>
      </c>
      <c r="LG53">
        <v>0</v>
      </c>
      <c r="LH53">
        <v>0</v>
      </c>
      <c r="LI53">
        <v>0</v>
      </c>
      <c r="LJ53">
        <v>0</v>
      </c>
      <c r="LK53">
        <v>0</v>
      </c>
      <c r="LL53">
        <v>0</v>
      </c>
      <c r="LM53">
        <v>0</v>
      </c>
      <c r="LN53">
        <v>0</v>
      </c>
      <c r="LO53">
        <v>0</v>
      </c>
      <c r="LP53">
        <v>0</v>
      </c>
      <c r="LQ53">
        <v>0</v>
      </c>
      <c r="LR53">
        <v>0</v>
      </c>
      <c r="LS53">
        <v>0</v>
      </c>
      <c r="LT53">
        <v>0</v>
      </c>
      <c r="LU53">
        <v>0</v>
      </c>
      <c r="LV53">
        <v>0</v>
      </c>
      <c r="LW53">
        <v>0</v>
      </c>
      <c r="LX53">
        <v>0</v>
      </c>
      <c r="LY53">
        <v>0</v>
      </c>
      <c r="LZ53">
        <v>0</v>
      </c>
      <c r="MA53">
        <v>0</v>
      </c>
      <c r="MB53">
        <v>0</v>
      </c>
      <c r="MC53">
        <v>0</v>
      </c>
      <c r="MD53">
        <v>0</v>
      </c>
      <c r="ME53">
        <v>0</v>
      </c>
      <c r="MF53">
        <v>0</v>
      </c>
      <c r="MG53">
        <v>0</v>
      </c>
      <c r="MH53">
        <v>0</v>
      </c>
      <c r="MI53">
        <v>0</v>
      </c>
      <c r="MJ53">
        <v>0</v>
      </c>
      <c r="MK53">
        <v>0</v>
      </c>
      <c r="ML53">
        <v>0</v>
      </c>
      <c r="MM53">
        <v>0</v>
      </c>
      <c r="MN53">
        <v>0</v>
      </c>
      <c r="MO53">
        <v>0</v>
      </c>
      <c r="MP53">
        <v>0</v>
      </c>
      <c r="MQ53">
        <v>0</v>
      </c>
      <c r="MR53">
        <v>0</v>
      </c>
      <c r="MS53">
        <v>0</v>
      </c>
      <c r="MT53">
        <v>0</v>
      </c>
      <c r="MU53">
        <v>0</v>
      </c>
      <c r="MV53">
        <v>0</v>
      </c>
      <c r="MW53">
        <v>0</v>
      </c>
      <c r="MX53">
        <v>0</v>
      </c>
      <c r="MY53">
        <v>0</v>
      </c>
      <c r="MZ53">
        <v>0</v>
      </c>
      <c r="NA53">
        <v>0</v>
      </c>
      <c r="NB53">
        <v>0</v>
      </c>
      <c r="NC53">
        <v>0</v>
      </c>
      <c r="ND53">
        <v>0</v>
      </c>
      <c r="NE53">
        <v>0</v>
      </c>
      <c r="NF53">
        <v>0</v>
      </c>
      <c r="NG53">
        <v>0</v>
      </c>
      <c r="NH53">
        <v>0</v>
      </c>
      <c r="NI53">
        <v>0</v>
      </c>
      <c r="NJ53">
        <v>0</v>
      </c>
      <c r="NK53">
        <v>0</v>
      </c>
      <c r="NL53">
        <v>0</v>
      </c>
      <c r="NM53">
        <v>0</v>
      </c>
      <c r="NN53">
        <v>0</v>
      </c>
      <c r="NO53">
        <v>0</v>
      </c>
      <c r="NP53">
        <v>0</v>
      </c>
      <c r="NQ53">
        <v>0</v>
      </c>
      <c r="NR53">
        <v>0</v>
      </c>
      <c r="NS53">
        <v>0</v>
      </c>
      <c r="NT53">
        <v>0</v>
      </c>
      <c r="NU53">
        <v>0</v>
      </c>
      <c r="NV53">
        <v>0</v>
      </c>
      <c r="NW53">
        <v>0</v>
      </c>
      <c r="NX53">
        <v>0</v>
      </c>
      <c r="NY53">
        <v>0</v>
      </c>
      <c r="NZ53">
        <v>0</v>
      </c>
      <c r="OA53">
        <v>0</v>
      </c>
      <c r="OB53">
        <v>0</v>
      </c>
      <c r="OC53">
        <v>0</v>
      </c>
      <c r="OD53">
        <v>0</v>
      </c>
      <c r="OE53">
        <v>0</v>
      </c>
      <c r="OF53">
        <v>0</v>
      </c>
      <c r="OG53">
        <v>0</v>
      </c>
      <c r="OH53">
        <v>0</v>
      </c>
      <c r="OI53">
        <v>0</v>
      </c>
      <c r="OJ53">
        <v>0</v>
      </c>
      <c r="OK53">
        <v>0</v>
      </c>
      <c r="OL53">
        <v>0</v>
      </c>
      <c r="OM53">
        <v>0</v>
      </c>
      <c r="ON53">
        <v>0</v>
      </c>
      <c r="OO53">
        <v>0</v>
      </c>
      <c r="OP53">
        <v>0</v>
      </c>
      <c r="OQ53">
        <v>0</v>
      </c>
      <c r="OR53">
        <v>0</v>
      </c>
      <c r="OS53">
        <v>0</v>
      </c>
      <c r="OT53">
        <v>0</v>
      </c>
      <c r="OU53">
        <v>0</v>
      </c>
      <c r="OV53">
        <v>0</v>
      </c>
      <c r="OW53">
        <v>0</v>
      </c>
      <c r="OX53">
        <v>0</v>
      </c>
      <c r="OY53">
        <v>0</v>
      </c>
      <c r="OZ53">
        <v>0</v>
      </c>
      <c r="PA53">
        <v>0</v>
      </c>
      <c r="PB53">
        <v>0</v>
      </c>
      <c r="PC53">
        <v>0</v>
      </c>
      <c r="PD53">
        <v>0</v>
      </c>
      <c r="PE53">
        <v>0</v>
      </c>
      <c r="PF53">
        <v>0</v>
      </c>
      <c r="PG53">
        <v>0</v>
      </c>
      <c r="PH53">
        <v>0</v>
      </c>
      <c r="PI53">
        <v>0</v>
      </c>
      <c r="PJ53">
        <v>0</v>
      </c>
      <c r="PK53">
        <v>0</v>
      </c>
      <c r="PL53">
        <v>0</v>
      </c>
      <c r="PM53">
        <v>0</v>
      </c>
      <c r="PN53">
        <v>0</v>
      </c>
      <c r="PO53">
        <v>0</v>
      </c>
      <c r="PP53">
        <v>0</v>
      </c>
      <c r="PQ53">
        <v>0</v>
      </c>
      <c r="PR53">
        <v>0</v>
      </c>
      <c r="PS53">
        <v>0</v>
      </c>
      <c r="PT53">
        <v>0</v>
      </c>
      <c r="PU53">
        <v>0</v>
      </c>
      <c r="PV53">
        <v>0</v>
      </c>
      <c r="PW53">
        <v>0</v>
      </c>
      <c r="PX53">
        <v>0</v>
      </c>
      <c r="PY53">
        <v>0</v>
      </c>
      <c r="PZ53">
        <v>0</v>
      </c>
      <c r="QA53">
        <v>0</v>
      </c>
      <c r="QB53">
        <v>0</v>
      </c>
      <c r="QC53">
        <v>0</v>
      </c>
      <c r="QD53">
        <v>0</v>
      </c>
      <c r="QE53">
        <v>0</v>
      </c>
      <c r="QF53">
        <v>0</v>
      </c>
      <c r="QG53">
        <v>0</v>
      </c>
      <c r="QH53">
        <v>0</v>
      </c>
      <c r="QI53">
        <v>0</v>
      </c>
      <c r="QJ53">
        <v>0</v>
      </c>
      <c r="QK53">
        <v>0</v>
      </c>
      <c r="QL53">
        <v>0</v>
      </c>
      <c r="QM53">
        <v>0</v>
      </c>
      <c r="QN53">
        <v>0</v>
      </c>
      <c r="QO53">
        <v>0</v>
      </c>
      <c r="QP53">
        <v>0</v>
      </c>
      <c r="QQ53">
        <v>0</v>
      </c>
      <c r="QR53">
        <v>0</v>
      </c>
      <c r="QS53">
        <v>0</v>
      </c>
      <c r="QT53">
        <v>0</v>
      </c>
      <c r="QU53">
        <v>0</v>
      </c>
      <c r="QV53">
        <v>0</v>
      </c>
      <c r="QW53">
        <v>0</v>
      </c>
      <c r="QX53">
        <v>0</v>
      </c>
      <c r="QY53">
        <v>0</v>
      </c>
      <c r="QZ53">
        <v>0</v>
      </c>
      <c r="RA53">
        <v>0</v>
      </c>
      <c r="RB53">
        <v>0</v>
      </c>
      <c r="RC53">
        <v>0</v>
      </c>
      <c r="RD53">
        <v>0</v>
      </c>
      <c r="RE53">
        <v>0</v>
      </c>
      <c r="RF53">
        <v>0</v>
      </c>
      <c r="RG53">
        <v>0</v>
      </c>
      <c r="RH53">
        <v>0</v>
      </c>
      <c r="RI53">
        <v>0</v>
      </c>
      <c r="RJ53">
        <v>0</v>
      </c>
      <c r="RK53">
        <v>0</v>
      </c>
      <c r="RL53">
        <v>0</v>
      </c>
      <c r="RM53">
        <v>0</v>
      </c>
      <c r="RN53">
        <v>0</v>
      </c>
      <c r="RO53">
        <v>0</v>
      </c>
      <c r="RP53">
        <v>0</v>
      </c>
      <c r="RQ53">
        <v>0</v>
      </c>
      <c r="RR53">
        <v>0</v>
      </c>
      <c r="RS53">
        <v>0</v>
      </c>
      <c r="RT53">
        <v>0</v>
      </c>
      <c r="RU53">
        <v>0</v>
      </c>
      <c r="RV53">
        <v>0</v>
      </c>
      <c r="RW53">
        <v>0</v>
      </c>
      <c r="RX53">
        <v>0</v>
      </c>
      <c r="RY53">
        <v>0</v>
      </c>
      <c r="RZ53">
        <v>0</v>
      </c>
      <c r="SA53">
        <v>0</v>
      </c>
      <c r="SB53">
        <v>0</v>
      </c>
      <c r="SC53">
        <v>0</v>
      </c>
      <c r="SD53">
        <v>0</v>
      </c>
      <c r="SE53">
        <v>0</v>
      </c>
      <c r="SF53">
        <v>0</v>
      </c>
      <c r="SG53">
        <v>0</v>
      </c>
      <c r="SH53">
        <v>0</v>
      </c>
      <c r="SI53">
        <v>0</v>
      </c>
      <c r="SJ53">
        <v>0</v>
      </c>
      <c r="SK53">
        <v>0</v>
      </c>
      <c r="SL53">
        <v>0</v>
      </c>
      <c r="SM53">
        <v>0</v>
      </c>
      <c r="SN53">
        <v>0</v>
      </c>
      <c r="SO53">
        <v>1</v>
      </c>
      <c r="SP53">
        <v>1</v>
      </c>
      <c r="SQ53">
        <v>1</v>
      </c>
      <c r="SR53">
        <v>0</v>
      </c>
      <c r="SS53">
        <v>0</v>
      </c>
      <c r="ST53">
        <v>0</v>
      </c>
      <c r="SU53">
        <v>0</v>
      </c>
      <c r="SV53">
        <v>0</v>
      </c>
      <c r="SW53">
        <v>0</v>
      </c>
      <c r="SX53">
        <v>0</v>
      </c>
      <c r="SY53">
        <v>0</v>
      </c>
      <c r="SZ53">
        <v>0</v>
      </c>
      <c r="TA53">
        <v>0</v>
      </c>
      <c r="TB53">
        <v>0</v>
      </c>
      <c r="TC53">
        <v>0</v>
      </c>
      <c r="TD53">
        <v>0</v>
      </c>
      <c r="TE53">
        <v>0</v>
      </c>
      <c r="TF53">
        <v>0</v>
      </c>
      <c r="TG53">
        <v>0</v>
      </c>
      <c r="TH53">
        <v>0</v>
      </c>
      <c r="TI53">
        <v>0</v>
      </c>
      <c r="TJ53">
        <v>0</v>
      </c>
      <c r="TK53">
        <v>0</v>
      </c>
      <c r="TL53">
        <v>0</v>
      </c>
      <c r="TM53">
        <v>0</v>
      </c>
      <c r="TN53">
        <v>0</v>
      </c>
      <c r="TO53">
        <v>0</v>
      </c>
      <c r="TP53">
        <v>0</v>
      </c>
      <c r="TQ53">
        <v>0</v>
      </c>
      <c r="TR53">
        <v>0</v>
      </c>
      <c r="TS53">
        <v>0</v>
      </c>
      <c r="TT53">
        <v>0</v>
      </c>
      <c r="TU53">
        <v>0</v>
      </c>
      <c r="TV53">
        <v>0</v>
      </c>
      <c r="TW53">
        <v>0</v>
      </c>
      <c r="TX53">
        <v>0</v>
      </c>
      <c r="TY53">
        <v>0</v>
      </c>
      <c r="TZ53">
        <v>0</v>
      </c>
      <c r="UA53">
        <v>0</v>
      </c>
      <c r="UB53">
        <v>0</v>
      </c>
      <c r="UC53">
        <v>0</v>
      </c>
      <c r="UD53">
        <v>0</v>
      </c>
      <c r="UE53">
        <v>0</v>
      </c>
      <c r="UF53">
        <v>0</v>
      </c>
      <c r="UG53">
        <v>0</v>
      </c>
      <c r="UH53">
        <v>0</v>
      </c>
      <c r="UI53">
        <v>0</v>
      </c>
      <c r="UJ53">
        <v>0</v>
      </c>
      <c r="UK53">
        <v>0</v>
      </c>
      <c r="UL53">
        <v>0</v>
      </c>
      <c r="UM53">
        <v>0</v>
      </c>
      <c r="UN53">
        <v>0</v>
      </c>
      <c r="UO53">
        <v>0</v>
      </c>
      <c r="UP53">
        <v>0</v>
      </c>
      <c r="UQ53">
        <v>0</v>
      </c>
      <c r="UR53">
        <v>0</v>
      </c>
      <c r="US53">
        <v>0</v>
      </c>
      <c r="UT53">
        <v>0</v>
      </c>
      <c r="UU53">
        <v>0</v>
      </c>
      <c r="UV53">
        <v>0</v>
      </c>
      <c r="UW53">
        <v>0</v>
      </c>
      <c r="UX53">
        <v>0</v>
      </c>
      <c r="UY53">
        <v>0</v>
      </c>
      <c r="UZ53">
        <v>0</v>
      </c>
      <c r="VA53">
        <v>0</v>
      </c>
      <c r="VB53">
        <v>0</v>
      </c>
      <c r="VC53">
        <v>0</v>
      </c>
      <c r="VD53">
        <v>0</v>
      </c>
      <c r="VE53">
        <v>0</v>
      </c>
      <c r="VF53">
        <v>0</v>
      </c>
      <c r="VG53">
        <v>0</v>
      </c>
      <c r="VH53">
        <v>0</v>
      </c>
      <c r="VI53">
        <v>0</v>
      </c>
      <c r="VJ53">
        <v>0</v>
      </c>
      <c r="VK53">
        <v>0</v>
      </c>
      <c r="VL53">
        <v>0</v>
      </c>
      <c r="VM53">
        <v>0</v>
      </c>
      <c r="VN53">
        <v>0</v>
      </c>
      <c r="VO53">
        <v>0</v>
      </c>
      <c r="VP53">
        <v>0</v>
      </c>
      <c r="VQ53">
        <v>0</v>
      </c>
      <c r="VR53">
        <v>1</v>
      </c>
      <c r="VS53">
        <v>1</v>
      </c>
      <c r="VT53">
        <v>1</v>
      </c>
      <c r="VU53">
        <v>1</v>
      </c>
      <c r="VV53">
        <v>1</v>
      </c>
      <c r="VW53">
        <v>1</v>
      </c>
      <c r="VX53">
        <v>1</v>
      </c>
      <c r="VY53">
        <v>1</v>
      </c>
      <c r="VZ53">
        <v>1</v>
      </c>
      <c r="WA53">
        <v>1</v>
      </c>
      <c r="WB53">
        <v>1</v>
      </c>
      <c r="WC53">
        <v>1</v>
      </c>
      <c r="WD53">
        <v>1</v>
      </c>
      <c r="WE53">
        <v>1</v>
      </c>
      <c r="WF53">
        <v>1</v>
      </c>
      <c r="WG53">
        <v>1</v>
      </c>
      <c r="WH53">
        <v>1</v>
      </c>
      <c r="WI53">
        <v>1</v>
      </c>
      <c r="WJ53">
        <v>1</v>
      </c>
      <c r="WK53">
        <v>1</v>
      </c>
      <c r="WL53">
        <v>1</v>
      </c>
      <c r="WM53">
        <v>1</v>
      </c>
      <c r="WN53">
        <v>1</v>
      </c>
      <c r="WO53">
        <v>1</v>
      </c>
      <c r="WP53">
        <v>1</v>
      </c>
      <c r="WQ53">
        <v>0</v>
      </c>
      <c r="WR53">
        <v>0</v>
      </c>
      <c r="WS53">
        <v>0</v>
      </c>
      <c r="WT53">
        <v>0</v>
      </c>
      <c r="WU53">
        <v>0</v>
      </c>
      <c r="WV53">
        <v>0</v>
      </c>
      <c r="WW53">
        <v>0</v>
      </c>
      <c r="WX53">
        <v>0</v>
      </c>
      <c r="WY53">
        <v>0</v>
      </c>
      <c r="WZ53">
        <v>0</v>
      </c>
      <c r="XA53">
        <v>2</v>
      </c>
      <c r="XB53">
        <v>2</v>
      </c>
      <c r="XC53">
        <v>2</v>
      </c>
      <c r="XD53">
        <v>2</v>
      </c>
      <c r="XE53">
        <v>2</v>
      </c>
      <c r="XF53">
        <v>2</v>
      </c>
      <c r="XG53">
        <v>2</v>
      </c>
      <c r="XH53">
        <v>2</v>
      </c>
      <c r="XI53">
        <v>2</v>
      </c>
      <c r="XJ53">
        <v>2</v>
      </c>
      <c r="XK53">
        <v>2</v>
      </c>
      <c r="XL53">
        <v>2</v>
      </c>
      <c r="XM53">
        <v>2</v>
      </c>
      <c r="XN53">
        <v>2</v>
      </c>
      <c r="XO53">
        <v>2</v>
      </c>
      <c r="XP53">
        <v>2</v>
      </c>
      <c r="XQ53">
        <v>2</v>
      </c>
      <c r="XR53">
        <v>2</v>
      </c>
      <c r="XS53">
        <v>2</v>
      </c>
      <c r="XT53">
        <v>2</v>
      </c>
      <c r="XU53">
        <v>2</v>
      </c>
      <c r="XV53">
        <v>2</v>
      </c>
      <c r="XW53">
        <v>2</v>
      </c>
      <c r="XX53">
        <v>2</v>
      </c>
      <c r="XY53">
        <v>2</v>
      </c>
      <c r="XZ53">
        <v>2</v>
      </c>
      <c r="YA53">
        <v>2</v>
      </c>
      <c r="YB53">
        <v>1</v>
      </c>
      <c r="YC53">
        <v>1</v>
      </c>
      <c r="YD53">
        <v>1</v>
      </c>
      <c r="YE53">
        <v>1</v>
      </c>
      <c r="YF53">
        <v>1</v>
      </c>
      <c r="YG53">
        <v>1</v>
      </c>
      <c r="YH53">
        <v>1</v>
      </c>
      <c r="YI53">
        <v>1</v>
      </c>
      <c r="YJ53">
        <v>1</v>
      </c>
      <c r="YK53">
        <v>1</v>
      </c>
      <c r="YL53">
        <v>1</v>
      </c>
      <c r="YM53">
        <v>1</v>
      </c>
      <c r="YN53">
        <v>1</v>
      </c>
      <c r="YO53">
        <v>1</v>
      </c>
      <c r="YP53">
        <v>1</v>
      </c>
      <c r="YQ53">
        <v>1</v>
      </c>
      <c r="YR53">
        <v>1</v>
      </c>
      <c r="YS53">
        <v>1</v>
      </c>
      <c r="YT53">
        <v>1</v>
      </c>
      <c r="YU53">
        <v>1</v>
      </c>
      <c r="YV53">
        <v>1</v>
      </c>
      <c r="YW53">
        <v>1</v>
      </c>
      <c r="YX53">
        <v>1</v>
      </c>
      <c r="YY53">
        <v>1</v>
      </c>
      <c r="YZ53">
        <v>1</v>
      </c>
      <c r="ZA53">
        <v>1</v>
      </c>
      <c r="ZB53">
        <v>1</v>
      </c>
      <c r="ZC53">
        <v>0</v>
      </c>
      <c r="ZD53">
        <v>0</v>
      </c>
      <c r="ZE53">
        <v>0</v>
      </c>
      <c r="ZF53">
        <v>0</v>
      </c>
      <c r="ZG53">
        <v>0</v>
      </c>
      <c r="ZH53">
        <v>0</v>
      </c>
      <c r="ZI53">
        <v>0</v>
      </c>
      <c r="ZJ53">
        <v>0</v>
      </c>
      <c r="ZK53">
        <v>0</v>
      </c>
      <c r="ZL53">
        <v>0</v>
      </c>
      <c r="ZM53">
        <v>0</v>
      </c>
      <c r="ZN53">
        <v>0</v>
      </c>
      <c r="ZO53">
        <v>0</v>
      </c>
      <c r="ZP53">
        <v>0</v>
      </c>
      <c r="ZQ53">
        <v>0</v>
      </c>
      <c r="ZR53">
        <v>0</v>
      </c>
      <c r="ZS53">
        <v>0</v>
      </c>
      <c r="ZT53">
        <v>0</v>
      </c>
      <c r="ZU53">
        <v>0</v>
      </c>
      <c r="ZV53">
        <v>0</v>
      </c>
      <c r="ZW53">
        <v>0</v>
      </c>
      <c r="ZX53">
        <v>0</v>
      </c>
      <c r="ZY53">
        <v>0</v>
      </c>
      <c r="ZZ53">
        <v>0</v>
      </c>
      <c r="AAA53">
        <v>0</v>
      </c>
      <c r="AAB53">
        <v>0</v>
      </c>
      <c r="AAC53">
        <v>0</v>
      </c>
      <c r="AAD53">
        <v>0</v>
      </c>
      <c r="AAE53">
        <v>0</v>
      </c>
      <c r="AAF53">
        <v>0</v>
      </c>
      <c r="AAG53">
        <v>0</v>
      </c>
      <c r="AAH53">
        <v>0</v>
      </c>
      <c r="AAI53">
        <v>0</v>
      </c>
      <c r="AAJ53">
        <v>0</v>
      </c>
      <c r="AAK53">
        <v>0</v>
      </c>
      <c r="AAL53">
        <v>0</v>
      </c>
      <c r="AAM53">
        <v>0</v>
      </c>
      <c r="AAN53">
        <v>0</v>
      </c>
      <c r="AAO53">
        <v>0</v>
      </c>
      <c r="AAP53">
        <v>0</v>
      </c>
      <c r="AAQ53">
        <v>0</v>
      </c>
      <c r="AAR53">
        <v>0</v>
      </c>
      <c r="AAS53">
        <v>0</v>
      </c>
      <c r="AAT53">
        <v>0</v>
      </c>
      <c r="AAU53">
        <v>0</v>
      </c>
      <c r="AAV53">
        <v>0</v>
      </c>
      <c r="AAW53">
        <v>0</v>
      </c>
      <c r="AAX53">
        <v>0</v>
      </c>
      <c r="AAY53">
        <v>0</v>
      </c>
      <c r="AAZ53">
        <v>0</v>
      </c>
      <c r="ABA53">
        <v>0</v>
      </c>
      <c r="ABB53">
        <v>0</v>
      </c>
      <c r="ABC53">
        <v>0</v>
      </c>
      <c r="ABD53">
        <v>0</v>
      </c>
      <c r="ABE53">
        <v>0</v>
      </c>
      <c r="ABG53" s="1137">
        <f t="shared" si="13"/>
        <v>0</v>
      </c>
      <c r="ABH53" s="1137">
        <f t="shared" si="13"/>
        <v>0</v>
      </c>
      <c r="ABI53" s="1137">
        <f t="shared" si="13"/>
        <v>12</v>
      </c>
      <c r="ABJ53" s="1137">
        <f t="shared" si="13"/>
        <v>30</v>
      </c>
      <c r="ABK53" s="1137">
        <f t="shared" si="13"/>
        <v>31</v>
      </c>
      <c r="ABL53" s="1137">
        <f t="shared" si="13"/>
        <v>30</v>
      </c>
      <c r="ABM53" s="1137">
        <f t="shared" si="13"/>
        <v>31</v>
      </c>
      <c r="ABN53" s="1137">
        <f t="shared" si="13"/>
        <v>31</v>
      </c>
      <c r="ABO53" s="1137">
        <f t="shared" si="13"/>
        <v>30</v>
      </c>
      <c r="ABP53" s="1137">
        <f t="shared" si="13"/>
        <v>6</v>
      </c>
      <c r="ABQ53" s="1137">
        <f t="shared" si="13"/>
        <v>0</v>
      </c>
      <c r="ABR53" s="1137">
        <f t="shared" si="13"/>
        <v>0</v>
      </c>
      <c r="ABS53" s="1137">
        <f t="shared" si="13"/>
        <v>0</v>
      </c>
      <c r="ABT53" s="1137">
        <f t="shared" si="13"/>
        <v>0</v>
      </c>
      <c r="ABU53" s="1137">
        <f t="shared" si="13"/>
        <v>0</v>
      </c>
      <c r="ABV53" s="1137">
        <f t="shared" si="13"/>
        <v>0</v>
      </c>
      <c r="ABW53" s="1137">
        <f t="shared" ref="ABW53:ABW116" si="17">COUNTIFS($C$3:$ABE$3, ABW$3, $C$4:$ABE$4, ABW$4, $C53:$ABE53, "&gt;0")</f>
        <v>3</v>
      </c>
      <c r="ABX53" s="1137">
        <f t="shared" si="14"/>
        <v>0</v>
      </c>
      <c r="ABY53" s="1137">
        <f t="shared" si="14"/>
        <v>0</v>
      </c>
      <c r="ABZ53" s="1137">
        <f t="shared" si="14"/>
        <v>22</v>
      </c>
      <c r="ACA53" s="1137">
        <f t="shared" si="14"/>
        <v>20</v>
      </c>
      <c r="ACB53" s="1137">
        <f t="shared" si="14"/>
        <v>31</v>
      </c>
      <c r="ACC53" s="1137">
        <f t="shared" si="14"/>
        <v>6</v>
      </c>
      <c r="ACD53" s="1137">
        <f t="shared" si="14"/>
        <v>0</v>
      </c>
      <c r="ACE53" s="1137" t="s">
        <v>172</v>
      </c>
      <c r="ACF53" s="1137">
        <f t="shared" si="15"/>
        <v>0</v>
      </c>
      <c r="ACG53" s="1137">
        <f t="shared" si="15"/>
        <v>0</v>
      </c>
      <c r="ACH53" s="1137">
        <f t="shared" si="15"/>
        <v>1</v>
      </c>
      <c r="ACI53" s="1137">
        <f t="shared" si="15"/>
        <v>1</v>
      </c>
      <c r="ACJ53" s="1137">
        <f t="shared" si="15"/>
        <v>1</v>
      </c>
      <c r="ACK53" s="1137">
        <f t="shared" si="15"/>
        <v>1</v>
      </c>
      <c r="ACL53" s="1137">
        <f t="shared" si="15"/>
        <v>1</v>
      </c>
      <c r="ACM53" s="1137">
        <f t="shared" si="15"/>
        <v>1</v>
      </c>
      <c r="ACN53" s="1137">
        <f t="shared" si="15"/>
        <v>1</v>
      </c>
      <c r="ACO53" s="1137">
        <f t="shared" si="15"/>
        <v>0</v>
      </c>
      <c r="ACP53" s="1137">
        <f t="shared" si="15"/>
        <v>0</v>
      </c>
      <c r="ACQ53" s="1137">
        <f t="shared" si="15"/>
        <v>0</v>
      </c>
      <c r="ACR53" s="1137">
        <f t="shared" si="15"/>
        <v>0</v>
      </c>
      <c r="ACS53" s="1137">
        <f t="shared" si="15"/>
        <v>0</v>
      </c>
      <c r="ACT53" s="1137">
        <f t="shared" si="15"/>
        <v>0</v>
      </c>
      <c r="ACU53" s="1137">
        <f t="shared" si="12"/>
        <v>0</v>
      </c>
      <c r="ACV53" s="1137">
        <f t="shared" si="12"/>
        <v>0</v>
      </c>
      <c r="ACW53" s="1137">
        <f t="shared" si="12"/>
        <v>0</v>
      </c>
      <c r="ACX53" s="1137">
        <f t="shared" si="12"/>
        <v>0</v>
      </c>
      <c r="ACY53" s="1137">
        <f t="shared" si="12"/>
        <v>1</v>
      </c>
      <c r="ACZ53" s="1137">
        <f t="shared" si="12"/>
        <v>1</v>
      </c>
      <c r="ADA53" s="1137">
        <f t="shared" si="12"/>
        <v>1</v>
      </c>
      <c r="ADB53" s="1137">
        <f t="shared" si="16"/>
        <v>0</v>
      </c>
      <c r="ADC53" s="1137">
        <f t="shared" si="16"/>
        <v>0</v>
      </c>
    </row>
    <row r="54" spans="1:783" x14ac:dyDescent="0.25">
      <c r="A54" t="s">
        <v>1851</v>
      </c>
      <c r="B54" t="s">
        <v>132</v>
      </c>
      <c r="C54">
        <v>0</v>
      </c>
      <c r="D54">
        <v>0</v>
      </c>
      <c r="E54">
        <v>0</v>
      </c>
      <c r="F54">
        <v>0</v>
      </c>
      <c r="G54">
        <v>0</v>
      </c>
      <c r="H54">
        <v>0</v>
      </c>
      <c r="I54">
        <v>0</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v>0</v>
      </c>
      <c r="BE54">
        <v>0</v>
      </c>
      <c r="BF54">
        <v>0</v>
      </c>
      <c r="BG54">
        <v>0</v>
      </c>
      <c r="BH54">
        <v>0</v>
      </c>
      <c r="BI54">
        <v>0</v>
      </c>
      <c r="BJ54">
        <v>0</v>
      </c>
      <c r="BK54">
        <v>0</v>
      </c>
      <c r="BL54">
        <v>0</v>
      </c>
      <c r="BM54">
        <v>0</v>
      </c>
      <c r="BN54">
        <v>0</v>
      </c>
      <c r="BO54">
        <v>0</v>
      </c>
      <c r="BP54">
        <v>0</v>
      </c>
      <c r="BQ54">
        <v>0</v>
      </c>
      <c r="BR54">
        <v>0</v>
      </c>
      <c r="BS54">
        <v>0</v>
      </c>
      <c r="BT54">
        <v>0</v>
      </c>
      <c r="BU54">
        <v>0</v>
      </c>
      <c r="BV54">
        <v>0</v>
      </c>
      <c r="BW54">
        <v>0</v>
      </c>
      <c r="BX54">
        <v>0</v>
      </c>
      <c r="BY54">
        <v>0</v>
      </c>
      <c r="BZ54">
        <v>0</v>
      </c>
      <c r="CA54">
        <v>0</v>
      </c>
      <c r="CB54">
        <v>0</v>
      </c>
      <c r="CC54">
        <v>0</v>
      </c>
      <c r="CD54">
        <v>0</v>
      </c>
      <c r="CE54">
        <v>0</v>
      </c>
      <c r="CF54">
        <v>0</v>
      </c>
      <c r="CG54">
        <v>2</v>
      </c>
      <c r="CH54">
        <v>2</v>
      </c>
      <c r="CI54">
        <v>2</v>
      </c>
      <c r="CJ54">
        <v>2</v>
      </c>
      <c r="CK54">
        <v>2</v>
      </c>
      <c r="CL54">
        <v>2</v>
      </c>
      <c r="CM54">
        <v>2</v>
      </c>
      <c r="CN54">
        <v>2</v>
      </c>
      <c r="CO54">
        <v>2</v>
      </c>
      <c r="CP54">
        <v>2</v>
      </c>
      <c r="CQ54">
        <v>2</v>
      </c>
      <c r="CR54">
        <v>2</v>
      </c>
      <c r="CS54">
        <v>2</v>
      </c>
      <c r="CT54">
        <v>2</v>
      </c>
      <c r="CU54">
        <v>2</v>
      </c>
      <c r="CV54">
        <v>2</v>
      </c>
      <c r="CW54">
        <v>2</v>
      </c>
      <c r="CX54">
        <v>2</v>
      </c>
      <c r="CY54">
        <v>2</v>
      </c>
      <c r="CZ54">
        <v>2</v>
      </c>
      <c r="DA54">
        <v>2</v>
      </c>
      <c r="DB54">
        <v>2</v>
      </c>
      <c r="DC54">
        <v>2</v>
      </c>
      <c r="DD54">
        <v>2</v>
      </c>
      <c r="DE54">
        <v>2</v>
      </c>
      <c r="DF54">
        <v>2</v>
      </c>
      <c r="DG54">
        <v>2</v>
      </c>
      <c r="DH54">
        <v>2</v>
      </c>
      <c r="DI54">
        <v>2</v>
      </c>
      <c r="DJ54">
        <v>2</v>
      </c>
      <c r="DK54">
        <v>2</v>
      </c>
      <c r="DL54">
        <v>2</v>
      </c>
      <c r="DM54">
        <v>0</v>
      </c>
      <c r="DN54">
        <v>0</v>
      </c>
      <c r="DO54">
        <v>0</v>
      </c>
      <c r="DP54">
        <v>0</v>
      </c>
      <c r="DQ54">
        <v>0</v>
      </c>
      <c r="DR54">
        <v>0</v>
      </c>
      <c r="DS54">
        <v>0</v>
      </c>
      <c r="DT54">
        <v>0</v>
      </c>
      <c r="DU54">
        <v>0</v>
      </c>
      <c r="DV54">
        <v>0</v>
      </c>
      <c r="DW54">
        <v>0</v>
      </c>
      <c r="DX54">
        <v>0</v>
      </c>
      <c r="DY54">
        <v>0</v>
      </c>
      <c r="DZ54">
        <v>0</v>
      </c>
      <c r="EA54">
        <v>0</v>
      </c>
      <c r="EB54">
        <v>0</v>
      </c>
      <c r="EC54">
        <v>0</v>
      </c>
      <c r="ED54">
        <v>0</v>
      </c>
      <c r="EE54">
        <v>2</v>
      </c>
      <c r="EF54">
        <v>2</v>
      </c>
      <c r="EG54">
        <v>0</v>
      </c>
      <c r="EH54">
        <v>0</v>
      </c>
      <c r="EI54">
        <v>0</v>
      </c>
      <c r="EJ54">
        <v>0</v>
      </c>
      <c r="EK54">
        <v>0</v>
      </c>
      <c r="EL54">
        <v>0</v>
      </c>
      <c r="EM54">
        <v>0</v>
      </c>
      <c r="EN54">
        <v>0</v>
      </c>
      <c r="EO54">
        <v>0</v>
      </c>
      <c r="EP54">
        <v>0</v>
      </c>
      <c r="EQ54">
        <v>0</v>
      </c>
      <c r="ER54">
        <v>0</v>
      </c>
      <c r="ES54">
        <v>0</v>
      </c>
      <c r="ET54">
        <v>0</v>
      </c>
      <c r="EU54">
        <v>0</v>
      </c>
      <c r="EV54">
        <v>0</v>
      </c>
      <c r="EW54">
        <v>0</v>
      </c>
      <c r="EX54">
        <v>0</v>
      </c>
      <c r="EY54">
        <v>0</v>
      </c>
      <c r="EZ54">
        <v>0</v>
      </c>
      <c r="FA54">
        <v>0</v>
      </c>
      <c r="FB54">
        <v>0</v>
      </c>
      <c r="FC54">
        <v>0</v>
      </c>
      <c r="FD54">
        <v>0</v>
      </c>
      <c r="FE54">
        <v>0</v>
      </c>
      <c r="FF54">
        <v>0</v>
      </c>
      <c r="FG54">
        <v>0</v>
      </c>
      <c r="FH54">
        <v>0</v>
      </c>
      <c r="FI54">
        <v>0</v>
      </c>
      <c r="FJ54">
        <v>0</v>
      </c>
      <c r="FK54">
        <v>0</v>
      </c>
      <c r="FL54">
        <v>0</v>
      </c>
      <c r="FM54">
        <v>0</v>
      </c>
      <c r="FN54">
        <v>0</v>
      </c>
      <c r="FO54">
        <v>0</v>
      </c>
      <c r="FP54">
        <v>0</v>
      </c>
      <c r="FQ54">
        <v>0</v>
      </c>
      <c r="FR54">
        <v>0</v>
      </c>
      <c r="FS54">
        <v>0</v>
      </c>
      <c r="FT54">
        <v>0</v>
      </c>
      <c r="FU54">
        <v>0</v>
      </c>
      <c r="FV54">
        <v>0</v>
      </c>
      <c r="FW54">
        <v>0</v>
      </c>
      <c r="FX54">
        <v>0</v>
      </c>
      <c r="FY54">
        <v>0</v>
      </c>
      <c r="FZ54">
        <v>0</v>
      </c>
      <c r="GA54">
        <v>0</v>
      </c>
      <c r="GB54">
        <v>0</v>
      </c>
      <c r="GC54">
        <v>0</v>
      </c>
      <c r="GD54">
        <v>0</v>
      </c>
      <c r="GE54">
        <v>0</v>
      </c>
      <c r="GF54">
        <v>0</v>
      </c>
      <c r="GG54">
        <v>0</v>
      </c>
      <c r="GH54">
        <v>0</v>
      </c>
      <c r="GI54">
        <v>0</v>
      </c>
      <c r="GJ54">
        <v>0</v>
      </c>
      <c r="GK54">
        <v>0</v>
      </c>
      <c r="GL54">
        <v>2</v>
      </c>
      <c r="GM54">
        <v>2</v>
      </c>
      <c r="GN54">
        <v>2</v>
      </c>
      <c r="GO54">
        <v>2</v>
      </c>
      <c r="GP54">
        <v>2</v>
      </c>
      <c r="GQ54">
        <v>2</v>
      </c>
      <c r="GR54">
        <v>2</v>
      </c>
      <c r="GS54">
        <v>2</v>
      </c>
      <c r="GT54">
        <v>2</v>
      </c>
      <c r="GU54">
        <v>2</v>
      </c>
      <c r="GV54">
        <v>2</v>
      </c>
      <c r="GW54">
        <v>2</v>
      </c>
      <c r="GX54">
        <v>2</v>
      </c>
      <c r="GY54">
        <v>2</v>
      </c>
      <c r="GZ54">
        <v>2</v>
      </c>
      <c r="HA54">
        <v>2</v>
      </c>
      <c r="HB54">
        <v>2</v>
      </c>
      <c r="HC54">
        <v>2</v>
      </c>
      <c r="HD54">
        <v>2</v>
      </c>
      <c r="HE54">
        <v>2</v>
      </c>
      <c r="HF54">
        <v>2</v>
      </c>
      <c r="HG54">
        <v>2</v>
      </c>
      <c r="HH54">
        <v>2</v>
      </c>
      <c r="HI54">
        <v>2</v>
      </c>
      <c r="HJ54">
        <v>2</v>
      </c>
      <c r="HK54">
        <v>2</v>
      </c>
      <c r="HL54">
        <v>2</v>
      </c>
      <c r="HM54">
        <v>2</v>
      </c>
      <c r="HN54">
        <v>2</v>
      </c>
      <c r="HO54">
        <v>2</v>
      </c>
      <c r="HP54">
        <v>2</v>
      </c>
      <c r="HQ54">
        <v>2</v>
      </c>
      <c r="HR54">
        <v>2</v>
      </c>
      <c r="HS54">
        <v>2</v>
      </c>
      <c r="HT54">
        <v>2</v>
      </c>
      <c r="HU54">
        <v>2</v>
      </c>
      <c r="HV54">
        <v>2</v>
      </c>
      <c r="HW54">
        <v>2</v>
      </c>
      <c r="HX54">
        <v>2</v>
      </c>
      <c r="HY54">
        <v>2</v>
      </c>
      <c r="HZ54">
        <v>2</v>
      </c>
      <c r="IA54">
        <v>2</v>
      </c>
      <c r="IB54">
        <v>2</v>
      </c>
      <c r="IC54">
        <v>2</v>
      </c>
      <c r="ID54">
        <v>2</v>
      </c>
      <c r="IE54">
        <v>2</v>
      </c>
      <c r="IF54">
        <v>2</v>
      </c>
      <c r="IG54">
        <v>2</v>
      </c>
      <c r="IH54">
        <v>2</v>
      </c>
      <c r="II54">
        <v>2</v>
      </c>
      <c r="IJ54">
        <v>2</v>
      </c>
      <c r="IK54">
        <v>2</v>
      </c>
      <c r="IL54">
        <v>2</v>
      </c>
      <c r="IM54">
        <v>2</v>
      </c>
      <c r="IN54">
        <v>2</v>
      </c>
      <c r="IO54">
        <v>2</v>
      </c>
      <c r="IP54">
        <v>2</v>
      </c>
      <c r="IQ54">
        <v>2</v>
      </c>
      <c r="IR54">
        <v>2</v>
      </c>
      <c r="IS54">
        <v>2</v>
      </c>
      <c r="IT54">
        <v>2</v>
      </c>
      <c r="IU54">
        <v>2</v>
      </c>
      <c r="IV54">
        <v>2</v>
      </c>
      <c r="IW54">
        <v>2</v>
      </c>
      <c r="IX54">
        <v>2</v>
      </c>
      <c r="IY54">
        <v>2</v>
      </c>
      <c r="IZ54">
        <v>2</v>
      </c>
      <c r="JA54">
        <v>2</v>
      </c>
      <c r="JB54">
        <v>2</v>
      </c>
      <c r="JC54">
        <v>2</v>
      </c>
      <c r="JD54">
        <v>2</v>
      </c>
      <c r="JE54">
        <v>2</v>
      </c>
      <c r="JF54">
        <v>2</v>
      </c>
      <c r="JG54">
        <v>2</v>
      </c>
      <c r="JH54">
        <v>2</v>
      </c>
      <c r="JI54">
        <v>2</v>
      </c>
      <c r="JJ54">
        <v>2</v>
      </c>
      <c r="JK54">
        <v>2</v>
      </c>
      <c r="JL54">
        <v>2</v>
      </c>
      <c r="JM54">
        <v>2</v>
      </c>
      <c r="JN54">
        <v>2</v>
      </c>
      <c r="JO54">
        <v>2</v>
      </c>
      <c r="JP54">
        <v>2</v>
      </c>
      <c r="JQ54">
        <v>2</v>
      </c>
      <c r="JR54">
        <v>2</v>
      </c>
      <c r="JS54">
        <v>2</v>
      </c>
      <c r="JT54">
        <v>2</v>
      </c>
      <c r="JU54">
        <v>2</v>
      </c>
      <c r="JV54">
        <v>2</v>
      </c>
      <c r="JW54">
        <v>2</v>
      </c>
      <c r="JX54">
        <v>2</v>
      </c>
      <c r="JY54">
        <v>2</v>
      </c>
      <c r="JZ54">
        <v>2</v>
      </c>
      <c r="KA54">
        <v>2</v>
      </c>
      <c r="KB54">
        <v>2</v>
      </c>
      <c r="KC54">
        <v>2</v>
      </c>
      <c r="KD54">
        <v>2</v>
      </c>
      <c r="KE54">
        <v>2</v>
      </c>
      <c r="KF54">
        <v>2</v>
      </c>
      <c r="KG54">
        <v>2</v>
      </c>
      <c r="KH54">
        <v>2</v>
      </c>
      <c r="KI54">
        <v>2</v>
      </c>
      <c r="KJ54">
        <v>2</v>
      </c>
      <c r="KK54">
        <v>2</v>
      </c>
      <c r="KL54">
        <v>2</v>
      </c>
      <c r="KM54">
        <v>2</v>
      </c>
      <c r="KN54">
        <v>2</v>
      </c>
      <c r="KO54">
        <v>2</v>
      </c>
      <c r="KP54">
        <v>2</v>
      </c>
      <c r="KQ54">
        <v>2</v>
      </c>
      <c r="KR54">
        <v>2</v>
      </c>
      <c r="KS54">
        <v>2</v>
      </c>
      <c r="KT54">
        <v>2</v>
      </c>
      <c r="KU54">
        <v>2</v>
      </c>
      <c r="KV54">
        <v>2</v>
      </c>
      <c r="KW54">
        <v>2</v>
      </c>
      <c r="KX54">
        <v>2</v>
      </c>
      <c r="KY54">
        <v>2</v>
      </c>
      <c r="KZ54">
        <v>2</v>
      </c>
      <c r="LA54">
        <v>2</v>
      </c>
      <c r="LB54">
        <v>2</v>
      </c>
      <c r="LC54">
        <v>2</v>
      </c>
      <c r="LD54">
        <v>2</v>
      </c>
      <c r="LE54">
        <v>2</v>
      </c>
      <c r="LF54">
        <v>2</v>
      </c>
      <c r="LG54">
        <v>2</v>
      </c>
      <c r="LH54">
        <v>2</v>
      </c>
      <c r="LI54">
        <v>2</v>
      </c>
      <c r="LJ54">
        <v>2</v>
      </c>
      <c r="LK54">
        <v>2</v>
      </c>
      <c r="LL54">
        <v>2</v>
      </c>
      <c r="LM54">
        <v>2</v>
      </c>
      <c r="LN54">
        <v>2</v>
      </c>
      <c r="LO54">
        <v>2</v>
      </c>
      <c r="LP54">
        <v>2</v>
      </c>
      <c r="LQ54">
        <v>2</v>
      </c>
      <c r="LR54">
        <v>2</v>
      </c>
      <c r="LS54">
        <v>2</v>
      </c>
      <c r="LT54">
        <v>2</v>
      </c>
      <c r="LU54">
        <v>2</v>
      </c>
      <c r="LV54">
        <v>2</v>
      </c>
      <c r="LW54">
        <v>2</v>
      </c>
      <c r="LX54">
        <v>2</v>
      </c>
      <c r="LY54">
        <v>2</v>
      </c>
      <c r="LZ54">
        <v>2</v>
      </c>
      <c r="MA54">
        <v>2</v>
      </c>
      <c r="MB54">
        <v>2</v>
      </c>
      <c r="MC54">
        <v>2</v>
      </c>
      <c r="MD54">
        <v>2</v>
      </c>
      <c r="ME54">
        <v>2</v>
      </c>
      <c r="MF54">
        <v>2</v>
      </c>
      <c r="MG54">
        <v>2</v>
      </c>
      <c r="MH54">
        <v>2</v>
      </c>
      <c r="MI54">
        <v>2</v>
      </c>
      <c r="MJ54">
        <v>2</v>
      </c>
      <c r="MK54">
        <v>2</v>
      </c>
      <c r="ML54">
        <v>2</v>
      </c>
      <c r="MM54">
        <v>2</v>
      </c>
      <c r="MN54">
        <v>2</v>
      </c>
      <c r="MO54">
        <v>2</v>
      </c>
      <c r="MP54">
        <v>2</v>
      </c>
      <c r="MQ54">
        <v>2</v>
      </c>
      <c r="MR54">
        <v>2</v>
      </c>
      <c r="MS54">
        <v>2</v>
      </c>
      <c r="MT54">
        <v>2</v>
      </c>
      <c r="MU54">
        <v>2</v>
      </c>
      <c r="MV54">
        <v>2</v>
      </c>
      <c r="MW54">
        <v>2</v>
      </c>
      <c r="MX54">
        <v>2</v>
      </c>
      <c r="MY54">
        <v>2</v>
      </c>
      <c r="MZ54">
        <v>2</v>
      </c>
      <c r="NA54">
        <v>2</v>
      </c>
      <c r="NB54">
        <v>2</v>
      </c>
      <c r="NC54">
        <v>2</v>
      </c>
      <c r="ND54">
        <v>2</v>
      </c>
      <c r="NE54">
        <v>2</v>
      </c>
      <c r="NF54">
        <v>2</v>
      </c>
      <c r="NG54">
        <v>2</v>
      </c>
      <c r="NH54">
        <v>2</v>
      </c>
      <c r="NI54">
        <v>2</v>
      </c>
      <c r="NJ54">
        <v>2</v>
      </c>
      <c r="NK54">
        <v>2</v>
      </c>
      <c r="NL54">
        <v>2</v>
      </c>
      <c r="NM54">
        <v>2</v>
      </c>
      <c r="NN54">
        <v>2</v>
      </c>
      <c r="NO54">
        <v>2</v>
      </c>
      <c r="NP54">
        <v>2</v>
      </c>
      <c r="NQ54">
        <v>2</v>
      </c>
      <c r="NR54">
        <v>2</v>
      </c>
      <c r="NS54">
        <v>2</v>
      </c>
      <c r="NT54">
        <v>2</v>
      </c>
      <c r="NU54">
        <v>2</v>
      </c>
      <c r="NV54">
        <v>2</v>
      </c>
      <c r="NW54">
        <v>2</v>
      </c>
      <c r="NX54">
        <v>2</v>
      </c>
      <c r="NY54">
        <v>2</v>
      </c>
      <c r="NZ54">
        <v>2</v>
      </c>
      <c r="OA54">
        <v>2</v>
      </c>
      <c r="OB54">
        <v>2</v>
      </c>
      <c r="OC54">
        <v>2</v>
      </c>
      <c r="OD54">
        <v>2</v>
      </c>
      <c r="OE54">
        <v>2</v>
      </c>
      <c r="OF54">
        <v>2</v>
      </c>
      <c r="OG54">
        <v>2</v>
      </c>
      <c r="OH54">
        <v>2</v>
      </c>
      <c r="OI54">
        <v>2</v>
      </c>
      <c r="OJ54">
        <v>2</v>
      </c>
      <c r="OK54">
        <v>2</v>
      </c>
      <c r="OL54">
        <v>2</v>
      </c>
      <c r="OM54">
        <v>2</v>
      </c>
      <c r="ON54">
        <v>2</v>
      </c>
      <c r="OO54">
        <v>2</v>
      </c>
      <c r="OP54">
        <v>2</v>
      </c>
      <c r="OQ54">
        <v>2</v>
      </c>
      <c r="OR54">
        <v>2</v>
      </c>
      <c r="OS54">
        <v>2</v>
      </c>
      <c r="OT54">
        <v>2</v>
      </c>
      <c r="OU54">
        <v>2</v>
      </c>
      <c r="OV54">
        <v>2</v>
      </c>
      <c r="OW54">
        <v>2</v>
      </c>
      <c r="OX54">
        <v>2</v>
      </c>
      <c r="OY54">
        <v>2</v>
      </c>
      <c r="OZ54">
        <v>2</v>
      </c>
      <c r="PA54">
        <v>2</v>
      </c>
      <c r="PB54">
        <v>2</v>
      </c>
      <c r="PC54">
        <v>2</v>
      </c>
      <c r="PD54">
        <v>2</v>
      </c>
      <c r="PE54">
        <v>2</v>
      </c>
      <c r="PF54">
        <v>2</v>
      </c>
      <c r="PG54">
        <v>2</v>
      </c>
      <c r="PH54">
        <v>2</v>
      </c>
      <c r="PI54">
        <v>2</v>
      </c>
      <c r="PJ54">
        <v>2</v>
      </c>
      <c r="PK54">
        <v>2</v>
      </c>
      <c r="PL54">
        <v>2</v>
      </c>
      <c r="PM54">
        <v>2</v>
      </c>
      <c r="PN54">
        <v>2</v>
      </c>
      <c r="PO54">
        <v>2</v>
      </c>
      <c r="PP54">
        <v>2</v>
      </c>
      <c r="PQ54">
        <v>2</v>
      </c>
      <c r="PR54">
        <v>2</v>
      </c>
      <c r="PS54">
        <v>2</v>
      </c>
      <c r="PT54">
        <v>2</v>
      </c>
      <c r="PU54">
        <v>2</v>
      </c>
      <c r="PV54">
        <v>2</v>
      </c>
      <c r="PW54">
        <v>2</v>
      </c>
      <c r="PX54">
        <v>2</v>
      </c>
      <c r="PY54">
        <v>2</v>
      </c>
      <c r="PZ54">
        <v>2</v>
      </c>
      <c r="QA54">
        <v>2</v>
      </c>
      <c r="QB54">
        <v>2</v>
      </c>
      <c r="QC54">
        <v>2</v>
      </c>
      <c r="QD54">
        <v>2</v>
      </c>
      <c r="QE54">
        <v>2</v>
      </c>
      <c r="QF54">
        <v>2</v>
      </c>
      <c r="QG54">
        <v>2</v>
      </c>
      <c r="QH54">
        <v>2</v>
      </c>
      <c r="QI54">
        <v>2</v>
      </c>
      <c r="QJ54">
        <v>2</v>
      </c>
      <c r="QK54">
        <v>2</v>
      </c>
      <c r="QL54">
        <v>2</v>
      </c>
      <c r="QM54">
        <v>2</v>
      </c>
      <c r="QN54">
        <v>2</v>
      </c>
      <c r="QO54">
        <v>2</v>
      </c>
      <c r="QP54">
        <v>2</v>
      </c>
      <c r="QQ54">
        <v>2</v>
      </c>
      <c r="QR54">
        <v>2</v>
      </c>
      <c r="QS54">
        <v>2</v>
      </c>
      <c r="QT54">
        <v>2</v>
      </c>
      <c r="QU54">
        <v>2</v>
      </c>
      <c r="QV54">
        <v>2</v>
      </c>
      <c r="QW54">
        <v>2</v>
      </c>
      <c r="QX54">
        <v>2</v>
      </c>
      <c r="QY54">
        <v>2</v>
      </c>
      <c r="QZ54">
        <v>2</v>
      </c>
      <c r="RA54">
        <v>2</v>
      </c>
      <c r="RB54">
        <v>2</v>
      </c>
      <c r="RC54">
        <v>2</v>
      </c>
      <c r="RD54">
        <v>2</v>
      </c>
      <c r="RE54">
        <v>2</v>
      </c>
      <c r="RF54">
        <v>2</v>
      </c>
      <c r="RG54">
        <v>2</v>
      </c>
      <c r="RH54">
        <v>2</v>
      </c>
      <c r="RI54">
        <v>2</v>
      </c>
      <c r="RJ54">
        <v>2</v>
      </c>
      <c r="RK54">
        <v>2</v>
      </c>
      <c r="RL54">
        <v>2</v>
      </c>
      <c r="RM54">
        <v>2</v>
      </c>
      <c r="RN54">
        <v>2</v>
      </c>
      <c r="RO54">
        <v>2</v>
      </c>
      <c r="RP54">
        <v>2</v>
      </c>
      <c r="RQ54">
        <v>2</v>
      </c>
      <c r="RR54">
        <v>2</v>
      </c>
      <c r="RS54">
        <v>2</v>
      </c>
      <c r="RT54">
        <v>2</v>
      </c>
      <c r="RU54">
        <v>2</v>
      </c>
      <c r="RV54">
        <v>2</v>
      </c>
      <c r="RW54">
        <v>2</v>
      </c>
      <c r="RX54">
        <v>2</v>
      </c>
      <c r="RY54">
        <v>2</v>
      </c>
      <c r="RZ54">
        <v>2</v>
      </c>
      <c r="SA54">
        <v>2</v>
      </c>
      <c r="SB54">
        <v>2</v>
      </c>
      <c r="SC54">
        <v>2</v>
      </c>
      <c r="SD54">
        <v>2</v>
      </c>
      <c r="SE54">
        <v>2</v>
      </c>
      <c r="SF54">
        <v>2</v>
      </c>
      <c r="SG54">
        <v>2</v>
      </c>
      <c r="SH54">
        <v>2</v>
      </c>
      <c r="SI54">
        <v>2</v>
      </c>
      <c r="SJ54">
        <v>2</v>
      </c>
      <c r="SK54">
        <v>1</v>
      </c>
      <c r="SL54">
        <v>1</v>
      </c>
      <c r="SM54">
        <v>1</v>
      </c>
      <c r="SN54">
        <v>1</v>
      </c>
      <c r="SO54">
        <v>1</v>
      </c>
      <c r="SP54">
        <v>1</v>
      </c>
      <c r="SQ54">
        <v>1</v>
      </c>
      <c r="SR54">
        <v>1</v>
      </c>
      <c r="SS54">
        <v>1</v>
      </c>
      <c r="ST54">
        <v>1</v>
      </c>
      <c r="SU54">
        <v>1</v>
      </c>
      <c r="SV54">
        <v>1</v>
      </c>
      <c r="SW54">
        <v>1</v>
      </c>
      <c r="SX54">
        <v>1</v>
      </c>
      <c r="SY54">
        <v>1</v>
      </c>
      <c r="SZ54">
        <v>1</v>
      </c>
      <c r="TA54">
        <v>1</v>
      </c>
      <c r="TB54">
        <v>1</v>
      </c>
      <c r="TC54">
        <v>1</v>
      </c>
      <c r="TD54">
        <v>1</v>
      </c>
      <c r="TE54">
        <v>1</v>
      </c>
      <c r="TF54">
        <v>1</v>
      </c>
      <c r="TG54">
        <v>0</v>
      </c>
      <c r="TH54">
        <v>0</v>
      </c>
      <c r="TI54">
        <v>0</v>
      </c>
      <c r="TJ54">
        <v>0</v>
      </c>
      <c r="TK54">
        <v>0</v>
      </c>
      <c r="TL54">
        <v>0</v>
      </c>
      <c r="TM54">
        <v>0</v>
      </c>
      <c r="TN54">
        <v>0</v>
      </c>
      <c r="TO54">
        <v>0</v>
      </c>
      <c r="TP54">
        <v>0</v>
      </c>
      <c r="TQ54">
        <v>0</v>
      </c>
      <c r="TR54">
        <v>0</v>
      </c>
      <c r="TS54">
        <v>0</v>
      </c>
      <c r="TT54">
        <v>0</v>
      </c>
      <c r="TU54">
        <v>0</v>
      </c>
      <c r="TV54">
        <v>0</v>
      </c>
      <c r="TW54">
        <v>0</v>
      </c>
      <c r="TX54">
        <v>0</v>
      </c>
      <c r="TY54">
        <v>0</v>
      </c>
      <c r="TZ54">
        <v>0</v>
      </c>
      <c r="UA54">
        <v>0</v>
      </c>
      <c r="UB54">
        <v>0</v>
      </c>
      <c r="UC54">
        <v>0</v>
      </c>
      <c r="UD54">
        <v>0</v>
      </c>
      <c r="UE54">
        <v>0</v>
      </c>
      <c r="UF54">
        <v>0</v>
      </c>
      <c r="UG54">
        <v>0</v>
      </c>
      <c r="UH54">
        <v>0</v>
      </c>
      <c r="UI54">
        <v>0</v>
      </c>
      <c r="UJ54">
        <v>0</v>
      </c>
      <c r="UK54">
        <v>0</v>
      </c>
      <c r="UL54">
        <v>0</v>
      </c>
      <c r="UM54">
        <v>0</v>
      </c>
      <c r="UN54">
        <v>0</v>
      </c>
      <c r="UO54">
        <v>0</v>
      </c>
      <c r="UP54">
        <v>0</v>
      </c>
      <c r="UQ54">
        <v>0</v>
      </c>
      <c r="UR54">
        <v>0</v>
      </c>
      <c r="US54">
        <v>0</v>
      </c>
      <c r="UT54">
        <v>0</v>
      </c>
      <c r="UU54">
        <v>0</v>
      </c>
      <c r="UV54">
        <v>0</v>
      </c>
      <c r="UW54">
        <v>0</v>
      </c>
      <c r="UX54">
        <v>0</v>
      </c>
      <c r="UY54">
        <v>0</v>
      </c>
      <c r="UZ54">
        <v>0</v>
      </c>
      <c r="VA54">
        <v>0</v>
      </c>
      <c r="VB54">
        <v>0</v>
      </c>
      <c r="VC54">
        <v>0</v>
      </c>
      <c r="VD54">
        <v>0</v>
      </c>
      <c r="VE54">
        <v>0</v>
      </c>
      <c r="VF54">
        <v>0</v>
      </c>
      <c r="VG54">
        <v>0</v>
      </c>
      <c r="VH54">
        <v>0</v>
      </c>
      <c r="VI54">
        <v>0</v>
      </c>
      <c r="VJ54">
        <v>0</v>
      </c>
      <c r="VK54">
        <v>0</v>
      </c>
      <c r="VL54">
        <v>0</v>
      </c>
      <c r="VM54">
        <v>0</v>
      </c>
      <c r="VN54">
        <v>0</v>
      </c>
      <c r="VO54">
        <v>0</v>
      </c>
      <c r="VP54">
        <v>0</v>
      </c>
      <c r="VQ54">
        <v>0</v>
      </c>
      <c r="VR54">
        <v>0</v>
      </c>
      <c r="VS54">
        <v>0</v>
      </c>
      <c r="VT54">
        <v>0</v>
      </c>
      <c r="VU54">
        <v>0</v>
      </c>
      <c r="VV54">
        <v>0</v>
      </c>
      <c r="VW54">
        <v>0</v>
      </c>
      <c r="VX54">
        <v>0</v>
      </c>
      <c r="VY54">
        <v>0</v>
      </c>
      <c r="VZ54">
        <v>0</v>
      </c>
      <c r="WA54">
        <v>0</v>
      </c>
      <c r="WB54">
        <v>0</v>
      </c>
      <c r="WC54">
        <v>0</v>
      </c>
      <c r="WD54">
        <v>0</v>
      </c>
      <c r="WE54">
        <v>0</v>
      </c>
      <c r="WF54">
        <v>0</v>
      </c>
      <c r="WG54">
        <v>0</v>
      </c>
      <c r="WH54">
        <v>0</v>
      </c>
      <c r="WI54">
        <v>0</v>
      </c>
      <c r="WJ54">
        <v>0</v>
      </c>
      <c r="WK54">
        <v>0</v>
      </c>
      <c r="WL54">
        <v>0</v>
      </c>
      <c r="WM54">
        <v>0</v>
      </c>
      <c r="WN54">
        <v>0</v>
      </c>
      <c r="WO54">
        <v>0</v>
      </c>
      <c r="WP54">
        <v>0</v>
      </c>
      <c r="WQ54">
        <v>0</v>
      </c>
      <c r="WR54">
        <v>0</v>
      </c>
      <c r="WS54">
        <v>0</v>
      </c>
      <c r="WT54">
        <v>0</v>
      </c>
      <c r="WU54">
        <v>0</v>
      </c>
      <c r="WV54">
        <v>0</v>
      </c>
      <c r="WW54">
        <v>0</v>
      </c>
      <c r="WX54">
        <v>0</v>
      </c>
      <c r="WY54">
        <v>0</v>
      </c>
      <c r="WZ54">
        <v>0</v>
      </c>
      <c r="XA54">
        <v>0</v>
      </c>
      <c r="XB54">
        <v>0</v>
      </c>
      <c r="XC54">
        <v>0</v>
      </c>
      <c r="XD54">
        <v>0</v>
      </c>
      <c r="XE54">
        <v>0</v>
      </c>
      <c r="XF54">
        <v>0</v>
      </c>
      <c r="XG54">
        <v>0</v>
      </c>
      <c r="XH54">
        <v>0</v>
      </c>
      <c r="XI54">
        <v>0</v>
      </c>
      <c r="XJ54">
        <v>0</v>
      </c>
      <c r="XK54">
        <v>0</v>
      </c>
      <c r="XL54">
        <v>0</v>
      </c>
      <c r="XM54">
        <v>0</v>
      </c>
      <c r="XN54">
        <v>0</v>
      </c>
      <c r="XO54">
        <v>0</v>
      </c>
      <c r="XP54">
        <v>0</v>
      </c>
      <c r="XQ54">
        <v>0</v>
      </c>
      <c r="XR54">
        <v>0</v>
      </c>
      <c r="XS54">
        <v>0</v>
      </c>
      <c r="XT54">
        <v>0</v>
      </c>
      <c r="XU54">
        <v>0</v>
      </c>
      <c r="XV54">
        <v>0</v>
      </c>
      <c r="XW54">
        <v>0</v>
      </c>
      <c r="XX54">
        <v>0</v>
      </c>
      <c r="XY54">
        <v>0</v>
      </c>
      <c r="XZ54">
        <v>0</v>
      </c>
      <c r="YA54">
        <v>0</v>
      </c>
      <c r="YB54">
        <v>0</v>
      </c>
      <c r="YC54">
        <v>0</v>
      </c>
      <c r="YD54">
        <v>0</v>
      </c>
      <c r="YE54">
        <v>0</v>
      </c>
      <c r="YF54">
        <v>0</v>
      </c>
      <c r="YG54">
        <v>0</v>
      </c>
      <c r="YH54">
        <v>0</v>
      </c>
      <c r="YI54">
        <v>0</v>
      </c>
      <c r="YJ54">
        <v>0</v>
      </c>
      <c r="YK54">
        <v>0</v>
      </c>
      <c r="YL54">
        <v>0</v>
      </c>
      <c r="YM54">
        <v>0</v>
      </c>
      <c r="YN54">
        <v>0</v>
      </c>
      <c r="YO54">
        <v>0</v>
      </c>
      <c r="YP54">
        <v>0</v>
      </c>
      <c r="YQ54">
        <v>0</v>
      </c>
      <c r="YR54">
        <v>0</v>
      </c>
      <c r="YS54">
        <v>0</v>
      </c>
      <c r="YT54">
        <v>0</v>
      </c>
      <c r="YU54">
        <v>0</v>
      </c>
      <c r="YV54">
        <v>0</v>
      </c>
      <c r="YW54">
        <v>0</v>
      </c>
      <c r="YX54">
        <v>0</v>
      </c>
      <c r="YY54">
        <v>0</v>
      </c>
      <c r="YZ54">
        <v>0</v>
      </c>
      <c r="ZA54">
        <v>0</v>
      </c>
      <c r="ZB54">
        <v>0</v>
      </c>
      <c r="ZC54">
        <v>0</v>
      </c>
      <c r="ZD54">
        <v>0</v>
      </c>
      <c r="ZE54">
        <v>0</v>
      </c>
      <c r="ZF54">
        <v>0</v>
      </c>
      <c r="ZG54">
        <v>0</v>
      </c>
      <c r="ZH54">
        <v>0</v>
      </c>
      <c r="ZI54">
        <v>0</v>
      </c>
      <c r="ZJ54">
        <v>0</v>
      </c>
      <c r="ZK54">
        <v>0</v>
      </c>
      <c r="ZL54">
        <v>0</v>
      </c>
      <c r="ZM54">
        <v>0</v>
      </c>
      <c r="ZN54">
        <v>0</v>
      </c>
      <c r="ZO54">
        <v>0</v>
      </c>
      <c r="ZP54">
        <v>0</v>
      </c>
      <c r="ZQ54">
        <v>0</v>
      </c>
      <c r="ZR54">
        <v>0</v>
      </c>
      <c r="ZS54">
        <v>0</v>
      </c>
      <c r="ZT54">
        <v>0</v>
      </c>
      <c r="ZU54">
        <v>0</v>
      </c>
      <c r="ZV54">
        <v>0</v>
      </c>
      <c r="ZW54">
        <v>0</v>
      </c>
      <c r="ZX54">
        <v>0</v>
      </c>
      <c r="ZY54">
        <v>2</v>
      </c>
      <c r="ZZ54">
        <v>2</v>
      </c>
      <c r="AAA54">
        <v>2</v>
      </c>
      <c r="AAB54">
        <v>2</v>
      </c>
      <c r="AAC54">
        <v>2</v>
      </c>
      <c r="AAD54">
        <v>2</v>
      </c>
      <c r="AAE54">
        <v>2</v>
      </c>
      <c r="AAF54">
        <v>2</v>
      </c>
      <c r="AAG54">
        <v>2</v>
      </c>
      <c r="AAH54">
        <v>2</v>
      </c>
      <c r="AAI54">
        <v>2</v>
      </c>
      <c r="AAJ54">
        <v>2</v>
      </c>
      <c r="AAK54">
        <v>2</v>
      </c>
      <c r="AAL54">
        <v>2</v>
      </c>
      <c r="AAM54">
        <v>2</v>
      </c>
      <c r="AAN54">
        <v>2</v>
      </c>
      <c r="AAO54">
        <v>2</v>
      </c>
      <c r="AAP54">
        <v>2</v>
      </c>
      <c r="AAQ54">
        <v>2</v>
      </c>
      <c r="AAR54">
        <v>2</v>
      </c>
      <c r="AAS54">
        <v>2</v>
      </c>
      <c r="AAT54">
        <v>0</v>
      </c>
      <c r="AAU54">
        <v>0</v>
      </c>
      <c r="AAV54">
        <v>0</v>
      </c>
      <c r="AAW54">
        <v>0</v>
      </c>
      <c r="AAX54">
        <v>0</v>
      </c>
      <c r="AAY54">
        <v>0</v>
      </c>
      <c r="AAZ54">
        <v>0</v>
      </c>
      <c r="ABA54">
        <v>0</v>
      </c>
      <c r="ABB54">
        <v>0</v>
      </c>
      <c r="ABC54">
        <v>0</v>
      </c>
      <c r="ABD54">
        <v>0</v>
      </c>
      <c r="ABE54">
        <v>0</v>
      </c>
      <c r="ABG54" s="1137">
        <f t="shared" si="13"/>
        <v>0</v>
      </c>
      <c r="ABH54" s="1137">
        <f t="shared" si="13"/>
        <v>0</v>
      </c>
      <c r="ABI54" s="1137">
        <f t="shared" si="13"/>
        <v>9</v>
      </c>
      <c r="ABJ54" s="1137">
        <f t="shared" si="13"/>
        <v>23</v>
      </c>
      <c r="ABK54" s="1137">
        <f t="shared" si="13"/>
        <v>2</v>
      </c>
      <c r="ABL54" s="1137">
        <f t="shared" si="13"/>
        <v>0</v>
      </c>
      <c r="ABM54" s="1137">
        <f t="shared" si="13"/>
        <v>22</v>
      </c>
      <c r="ABN54" s="1137">
        <f t="shared" si="13"/>
        <v>31</v>
      </c>
      <c r="ABO54" s="1137">
        <f t="shared" si="13"/>
        <v>30</v>
      </c>
      <c r="ABP54" s="1137">
        <f t="shared" si="13"/>
        <v>31</v>
      </c>
      <c r="ABQ54" s="1137">
        <f t="shared" si="13"/>
        <v>30</v>
      </c>
      <c r="ABR54" s="1137">
        <f t="shared" si="13"/>
        <v>31</v>
      </c>
      <c r="ABS54" s="1137">
        <f t="shared" si="13"/>
        <v>31</v>
      </c>
      <c r="ABT54" s="1137">
        <f t="shared" si="13"/>
        <v>28</v>
      </c>
      <c r="ABU54" s="1137">
        <f t="shared" si="13"/>
        <v>31</v>
      </c>
      <c r="ABV54" s="1137">
        <f t="shared" si="13"/>
        <v>30</v>
      </c>
      <c r="ABW54" s="1137">
        <f t="shared" si="17"/>
        <v>31</v>
      </c>
      <c r="ABX54" s="1137">
        <f t="shared" si="14"/>
        <v>7</v>
      </c>
      <c r="ABY54" s="1137">
        <f t="shared" si="14"/>
        <v>0</v>
      </c>
      <c r="ABZ54" s="1137">
        <f t="shared" si="14"/>
        <v>0</v>
      </c>
      <c r="ACA54" s="1137">
        <f t="shared" si="14"/>
        <v>0</v>
      </c>
      <c r="ACB54" s="1137">
        <f t="shared" si="14"/>
        <v>0</v>
      </c>
      <c r="ACC54" s="1137">
        <f t="shared" si="14"/>
        <v>2</v>
      </c>
      <c r="ACD54" s="1137">
        <f t="shared" si="14"/>
        <v>19</v>
      </c>
      <c r="ACE54" s="1137" t="s">
        <v>132</v>
      </c>
      <c r="ACF54" s="1137">
        <f t="shared" si="15"/>
        <v>0</v>
      </c>
      <c r="ACG54" s="1137">
        <f t="shared" si="15"/>
        <v>0</v>
      </c>
      <c r="ACH54" s="1137">
        <f t="shared" si="15"/>
        <v>0</v>
      </c>
      <c r="ACI54" s="1137">
        <f t="shared" si="15"/>
        <v>1</v>
      </c>
      <c r="ACJ54" s="1137">
        <f t="shared" si="15"/>
        <v>0</v>
      </c>
      <c r="ACK54" s="1137">
        <f t="shared" si="15"/>
        <v>0</v>
      </c>
      <c r="ACL54" s="1137">
        <f t="shared" si="15"/>
        <v>1</v>
      </c>
      <c r="ACM54" s="1137">
        <f t="shared" si="15"/>
        <v>1</v>
      </c>
      <c r="ACN54" s="1137">
        <f t="shared" si="15"/>
        <v>1</v>
      </c>
      <c r="ACO54" s="1137">
        <f t="shared" si="15"/>
        <v>1</v>
      </c>
      <c r="ACP54" s="1137">
        <f t="shared" si="15"/>
        <v>1</v>
      </c>
      <c r="ACQ54" s="1137">
        <f t="shared" si="15"/>
        <v>1</v>
      </c>
      <c r="ACR54" s="1137">
        <f t="shared" si="15"/>
        <v>1</v>
      </c>
      <c r="ACS54" s="1137">
        <f t="shared" si="15"/>
        <v>1</v>
      </c>
      <c r="ACT54" s="1137">
        <f t="shared" si="15"/>
        <v>1</v>
      </c>
      <c r="ACU54" s="1137">
        <f t="shared" si="12"/>
        <v>1</v>
      </c>
      <c r="ACV54" s="1137">
        <f t="shared" si="12"/>
        <v>1</v>
      </c>
      <c r="ACW54" s="1137">
        <f t="shared" si="12"/>
        <v>0</v>
      </c>
      <c r="ACX54" s="1137">
        <f t="shared" si="12"/>
        <v>0</v>
      </c>
      <c r="ACY54" s="1137">
        <f t="shared" si="12"/>
        <v>0</v>
      </c>
      <c r="ACZ54" s="1137">
        <f t="shared" si="12"/>
        <v>0</v>
      </c>
      <c r="ADA54" s="1137">
        <f t="shared" si="12"/>
        <v>0</v>
      </c>
      <c r="ADB54" s="1137">
        <f t="shared" si="16"/>
        <v>0</v>
      </c>
      <c r="ADC54" s="1137">
        <f t="shared" si="16"/>
        <v>1</v>
      </c>
    </row>
    <row r="55" spans="1:783" x14ac:dyDescent="0.25">
      <c r="A55" t="s">
        <v>1852</v>
      </c>
      <c r="B55" t="s">
        <v>173</v>
      </c>
      <c r="C55">
        <v>0</v>
      </c>
      <c r="D55">
        <v>0</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v>0</v>
      </c>
      <c r="BE55">
        <v>0</v>
      </c>
      <c r="BF55">
        <v>0</v>
      </c>
      <c r="BG55">
        <v>0</v>
      </c>
      <c r="BH55">
        <v>0</v>
      </c>
      <c r="BI55">
        <v>0</v>
      </c>
      <c r="BJ55">
        <v>0</v>
      </c>
      <c r="BK55">
        <v>0</v>
      </c>
      <c r="BL55">
        <v>0</v>
      </c>
      <c r="BM55">
        <v>0</v>
      </c>
      <c r="BN55">
        <v>0</v>
      </c>
      <c r="BO55">
        <v>0</v>
      </c>
      <c r="BP55">
        <v>0</v>
      </c>
      <c r="BQ55">
        <v>0</v>
      </c>
      <c r="BR55">
        <v>0</v>
      </c>
      <c r="BS55">
        <v>0</v>
      </c>
      <c r="BT55">
        <v>0</v>
      </c>
      <c r="BU55">
        <v>0</v>
      </c>
      <c r="BV55">
        <v>0</v>
      </c>
      <c r="BW55">
        <v>0</v>
      </c>
      <c r="BX55">
        <v>0</v>
      </c>
      <c r="BY55">
        <v>0</v>
      </c>
      <c r="BZ55">
        <v>0</v>
      </c>
      <c r="CA55">
        <v>2</v>
      </c>
      <c r="CB55">
        <v>2</v>
      </c>
      <c r="CC55">
        <v>2</v>
      </c>
      <c r="CD55">
        <v>2</v>
      </c>
      <c r="CE55">
        <v>2</v>
      </c>
      <c r="CF55">
        <v>2</v>
      </c>
      <c r="CG55">
        <v>2</v>
      </c>
      <c r="CH55">
        <v>2</v>
      </c>
      <c r="CI55">
        <v>2</v>
      </c>
      <c r="CJ55">
        <v>2</v>
      </c>
      <c r="CK55">
        <v>2</v>
      </c>
      <c r="CL55">
        <v>2</v>
      </c>
      <c r="CM55">
        <v>2</v>
      </c>
      <c r="CN55">
        <v>2</v>
      </c>
      <c r="CO55">
        <v>2</v>
      </c>
      <c r="CP55">
        <v>2</v>
      </c>
      <c r="CQ55">
        <v>2</v>
      </c>
      <c r="CR55">
        <v>2</v>
      </c>
      <c r="CS55">
        <v>2</v>
      </c>
      <c r="CT55">
        <v>2</v>
      </c>
      <c r="CU55">
        <v>2</v>
      </c>
      <c r="CV55">
        <v>2</v>
      </c>
      <c r="CW55">
        <v>2</v>
      </c>
      <c r="CX55">
        <v>2</v>
      </c>
      <c r="CY55">
        <v>2</v>
      </c>
      <c r="CZ55">
        <v>2</v>
      </c>
      <c r="DA55">
        <v>2</v>
      </c>
      <c r="DB55">
        <v>2</v>
      </c>
      <c r="DC55">
        <v>2</v>
      </c>
      <c r="DD55">
        <v>2</v>
      </c>
      <c r="DE55">
        <v>2</v>
      </c>
      <c r="DF55">
        <v>2</v>
      </c>
      <c r="DG55">
        <v>2</v>
      </c>
      <c r="DH55">
        <v>2</v>
      </c>
      <c r="DI55">
        <v>2</v>
      </c>
      <c r="DJ55">
        <v>2</v>
      </c>
      <c r="DK55">
        <v>2</v>
      </c>
      <c r="DL55">
        <v>2</v>
      </c>
      <c r="DM55">
        <v>2</v>
      </c>
      <c r="DN55">
        <v>2</v>
      </c>
      <c r="DO55">
        <v>2</v>
      </c>
      <c r="DP55">
        <v>2</v>
      </c>
      <c r="DQ55">
        <v>2</v>
      </c>
      <c r="DR55">
        <v>2</v>
      </c>
      <c r="DS55">
        <v>2</v>
      </c>
      <c r="DT55">
        <v>2</v>
      </c>
      <c r="DU55">
        <v>2</v>
      </c>
      <c r="DV55">
        <v>2</v>
      </c>
      <c r="DW55">
        <v>2</v>
      </c>
      <c r="DX55">
        <v>2</v>
      </c>
      <c r="DY55">
        <v>2</v>
      </c>
      <c r="DZ55">
        <v>2</v>
      </c>
      <c r="EA55">
        <v>2</v>
      </c>
      <c r="EB55">
        <v>2</v>
      </c>
      <c r="EC55">
        <v>2</v>
      </c>
      <c r="ED55">
        <v>2</v>
      </c>
      <c r="EE55">
        <v>2</v>
      </c>
      <c r="EF55">
        <v>2</v>
      </c>
      <c r="EG55">
        <v>2</v>
      </c>
      <c r="EH55">
        <v>2</v>
      </c>
      <c r="EI55">
        <v>2</v>
      </c>
      <c r="EJ55">
        <v>2</v>
      </c>
      <c r="EK55">
        <v>2</v>
      </c>
      <c r="EL55">
        <v>2</v>
      </c>
      <c r="EM55">
        <v>2</v>
      </c>
      <c r="EN55">
        <v>2</v>
      </c>
      <c r="EO55">
        <v>2</v>
      </c>
      <c r="EP55">
        <v>2</v>
      </c>
      <c r="EQ55">
        <v>2</v>
      </c>
      <c r="ER55">
        <v>2</v>
      </c>
      <c r="ES55">
        <v>2</v>
      </c>
      <c r="ET55">
        <v>2</v>
      </c>
      <c r="EU55">
        <v>2</v>
      </c>
      <c r="EV55">
        <v>2</v>
      </c>
      <c r="EW55">
        <v>2</v>
      </c>
      <c r="EX55">
        <v>2</v>
      </c>
      <c r="EY55">
        <v>2</v>
      </c>
      <c r="EZ55">
        <v>2</v>
      </c>
      <c r="FA55">
        <v>2</v>
      </c>
      <c r="FB55">
        <v>2</v>
      </c>
      <c r="FC55">
        <v>2</v>
      </c>
      <c r="FD55">
        <v>2</v>
      </c>
      <c r="FE55">
        <v>2</v>
      </c>
      <c r="FF55">
        <v>2</v>
      </c>
      <c r="FG55">
        <v>2</v>
      </c>
      <c r="FH55">
        <v>2</v>
      </c>
      <c r="FI55">
        <v>2</v>
      </c>
      <c r="FJ55">
        <v>2</v>
      </c>
      <c r="FK55">
        <v>2</v>
      </c>
      <c r="FL55">
        <v>2</v>
      </c>
      <c r="FM55">
        <v>2</v>
      </c>
      <c r="FN55">
        <v>2</v>
      </c>
      <c r="FO55">
        <v>2</v>
      </c>
      <c r="FP55">
        <v>2</v>
      </c>
      <c r="FQ55">
        <v>2</v>
      </c>
      <c r="FR55">
        <v>2</v>
      </c>
      <c r="FS55">
        <v>2</v>
      </c>
      <c r="FT55">
        <v>2</v>
      </c>
      <c r="FU55">
        <v>2</v>
      </c>
      <c r="FV55">
        <v>2</v>
      </c>
      <c r="FW55">
        <v>2</v>
      </c>
      <c r="FX55">
        <v>2</v>
      </c>
      <c r="FY55">
        <v>2</v>
      </c>
      <c r="FZ55">
        <v>2</v>
      </c>
      <c r="GA55">
        <v>2</v>
      </c>
      <c r="GB55">
        <v>2</v>
      </c>
      <c r="GC55">
        <v>2</v>
      </c>
      <c r="GD55">
        <v>2</v>
      </c>
      <c r="GE55">
        <v>2</v>
      </c>
      <c r="GF55">
        <v>2</v>
      </c>
      <c r="GG55">
        <v>2</v>
      </c>
      <c r="GH55">
        <v>2</v>
      </c>
      <c r="GI55">
        <v>2</v>
      </c>
      <c r="GJ55">
        <v>2</v>
      </c>
      <c r="GK55">
        <v>2</v>
      </c>
      <c r="GL55">
        <v>2</v>
      </c>
      <c r="GM55">
        <v>2</v>
      </c>
      <c r="GN55">
        <v>2</v>
      </c>
      <c r="GO55">
        <v>2</v>
      </c>
      <c r="GP55">
        <v>2</v>
      </c>
      <c r="GQ55">
        <v>2</v>
      </c>
      <c r="GR55">
        <v>2</v>
      </c>
      <c r="GS55">
        <v>2</v>
      </c>
      <c r="GT55">
        <v>2</v>
      </c>
      <c r="GU55">
        <v>2</v>
      </c>
      <c r="GV55">
        <v>2</v>
      </c>
      <c r="GW55">
        <v>2</v>
      </c>
      <c r="GX55">
        <v>2</v>
      </c>
      <c r="GY55">
        <v>2</v>
      </c>
      <c r="GZ55">
        <v>2</v>
      </c>
      <c r="HA55">
        <v>2</v>
      </c>
      <c r="HB55">
        <v>2</v>
      </c>
      <c r="HC55">
        <v>2</v>
      </c>
      <c r="HD55">
        <v>2</v>
      </c>
      <c r="HE55">
        <v>2</v>
      </c>
      <c r="HF55">
        <v>2</v>
      </c>
      <c r="HG55">
        <v>2</v>
      </c>
      <c r="HH55">
        <v>2</v>
      </c>
      <c r="HI55">
        <v>2</v>
      </c>
      <c r="HJ55">
        <v>2</v>
      </c>
      <c r="HK55">
        <v>2</v>
      </c>
      <c r="HL55">
        <v>2</v>
      </c>
      <c r="HM55">
        <v>2</v>
      </c>
      <c r="HN55">
        <v>2</v>
      </c>
      <c r="HO55">
        <v>2</v>
      </c>
      <c r="HP55">
        <v>2</v>
      </c>
      <c r="HQ55">
        <v>2</v>
      </c>
      <c r="HR55">
        <v>2</v>
      </c>
      <c r="HS55">
        <v>2</v>
      </c>
      <c r="HT55">
        <v>2</v>
      </c>
      <c r="HU55">
        <v>2</v>
      </c>
      <c r="HV55">
        <v>2</v>
      </c>
      <c r="HW55">
        <v>2</v>
      </c>
      <c r="HX55">
        <v>2</v>
      </c>
      <c r="HY55">
        <v>2</v>
      </c>
      <c r="HZ55">
        <v>2</v>
      </c>
      <c r="IA55">
        <v>2</v>
      </c>
      <c r="IB55">
        <v>2</v>
      </c>
      <c r="IC55">
        <v>2</v>
      </c>
      <c r="ID55">
        <v>2</v>
      </c>
      <c r="IE55">
        <v>2</v>
      </c>
      <c r="IF55">
        <v>2</v>
      </c>
      <c r="IG55">
        <v>2</v>
      </c>
      <c r="IH55">
        <v>2</v>
      </c>
      <c r="II55">
        <v>2</v>
      </c>
      <c r="IJ55">
        <v>2</v>
      </c>
      <c r="IK55">
        <v>2</v>
      </c>
      <c r="IL55">
        <v>2</v>
      </c>
      <c r="IM55">
        <v>2</v>
      </c>
      <c r="IN55">
        <v>2</v>
      </c>
      <c r="IO55">
        <v>2</v>
      </c>
      <c r="IP55">
        <v>2</v>
      </c>
      <c r="IQ55">
        <v>2</v>
      </c>
      <c r="IR55">
        <v>2</v>
      </c>
      <c r="IS55">
        <v>2</v>
      </c>
      <c r="IT55">
        <v>2</v>
      </c>
      <c r="IU55">
        <v>2</v>
      </c>
      <c r="IV55">
        <v>2</v>
      </c>
      <c r="IW55">
        <v>2</v>
      </c>
      <c r="IX55">
        <v>2</v>
      </c>
      <c r="IY55">
        <v>2</v>
      </c>
      <c r="IZ55">
        <v>0</v>
      </c>
      <c r="JA55">
        <v>0</v>
      </c>
      <c r="JB55">
        <v>0</v>
      </c>
      <c r="JC55">
        <v>0</v>
      </c>
      <c r="JD55">
        <v>0</v>
      </c>
      <c r="JE55">
        <v>0</v>
      </c>
      <c r="JF55">
        <v>0</v>
      </c>
      <c r="JG55">
        <v>0</v>
      </c>
      <c r="JH55">
        <v>0</v>
      </c>
      <c r="JI55">
        <v>0</v>
      </c>
      <c r="JJ55">
        <v>0</v>
      </c>
      <c r="JK55">
        <v>0</v>
      </c>
      <c r="JL55">
        <v>0</v>
      </c>
      <c r="JM55">
        <v>0</v>
      </c>
      <c r="JN55">
        <v>0</v>
      </c>
      <c r="JO55">
        <v>0</v>
      </c>
      <c r="JP55">
        <v>0</v>
      </c>
      <c r="JQ55">
        <v>0</v>
      </c>
      <c r="JR55">
        <v>0</v>
      </c>
      <c r="JS55">
        <v>0</v>
      </c>
      <c r="JT55">
        <v>0</v>
      </c>
      <c r="JU55">
        <v>0</v>
      </c>
      <c r="JV55">
        <v>0</v>
      </c>
      <c r="JW55">
        <v>0</v>
      </c>
      <c r="JX55">
        <v>0</v>
      </c>
      <c r="JY55">
        <v>0</v>
      </c>
      <c r="JZ55">
        <v>0</v>
      </c>
      <c r="KA55">
        <v>0</v>
      </c>
      <c r="KB55">
        <v>0</v>
      </c>
      <c r="KC55">
        <v>0</v>
      </c>
      <c r="KD55">
        <v>0</v>
      </c>
      <c r="KE55">
        <v>0</v>
      </c>
      <c r="KF55">
        <v>0</v>
      </c>
      <c r="KG55">
        <v>0</v>
      </c>
      <c r="KH55">
        <v>0</v>
      </c>
      <c r="KI55">
        <v>0</v>
      </c>
      <c r="KJ55">
        <v>0</v>
      </c>
      <c r="KK55">
        <v>0</v>
      </c>
      <c r="KL55">
        <v>0</v>
      </c>
      <c r="KM55">
        <v>0</v>
      </c>
      <c r="KN55">
        <v>0</v>
      </c>
      <c r="KO55">
        <v>0</v>
      </c>
      <c r="KP55">
        <v>0</v>
      </c>
      <c r="KQ55">
        <v>0</v>
      </c>
      <c r="KR55">
        <v>0</v>
      </c>
      <c r="KS55">
        <v>0</v>
      </c>
      <c r="KT55">
        <v>0</v>
      </c>
      <c r="KU55">
        <v>0</v>
      </c>
      <c r="KV55">
        <v>0</v>
      </c>
      <c r="KW55">
        <v>0</v>
      </c>
      <c r="KX55">
        <v>0</v>
      </c>
      <c r="KY55">
        <v>0</v>
      </c>
      <c r="KZ55">
        <v>0</v>
      </c>
      <c r="LA55">
        <v>0</v>
      </c>
      <c r="LB55">
        <v>0</v>
      </c>
      <c r="LC55">
        <v>0</v>
      </c>
      <c r="LD55">
        <v>0</v>
      </c>
      <c r="LE55">
        <v>0</v>
      </c>
      <c r="LF55">
        <v>0</v>
      </c>
      <c r="LG55">
        <v>0</v>
      </c>
      <c r="LH55">
        <v>0</v>
      </c>
      <c r="LI55">
        <v>0</v>
      </c>
      <c r="LJ55">
        <v>0</v>
      </c>
      <c r="LK55">
        <v>0</v>
      </c>
      <c r="LL55">
        <v>0</v>
      </c>
      <c r="LM55">
        <v>0</v>
      </c>
      <c r="LN55">
        <v>0</v>
      </c>
      <c r="LO55">
        <v>0</v>
      </c>
      <c r="LP55">
        <v>0</v>
      </c>
      <c r="LQ55">
        <v>0</v>
      </c>
      <c r="LR55">
        <v>0</v>
      </c>
      <c r="LS55">
        <v>0</v>
      </c>
      <c r="LT55">
        <v>0</v>
      </c>
      <c r="LU55">
        <v>0</v>
      </c>
      <c r="LV55">
        <v>0</v>
      </c>
      <c r="LW55">
        <v>0</v>
      </c>
      <c r="LX55">
        <v>0</v>
      </c>
      <c r="LY55">
        <v>0</v>
      </c>
      <c r="LZ55">
        <v>0</v>
      </c>
      <c r="MA55">
        <v>0</v>
      </c>
      <c r="MB55">
        <v>0</v>
      </c>
      <c r="MC55">
        <v>0</v>
      </c>
      <c r="MD55">
        <v>0</v>
      </c>
      <c r="ME55">
        <v>0</v>
      </c>
      <c r="MF55">
        <v>0</v>
      </c>
      <c r="MG55">
        <v>0</v>
      </c>
      <c r="MH55">
        <v>0</v>
      </c>
      <c r="MI55">
        <v>0</v>
      </c>
      <c r="MJ55">
        <v>0</v>
      </c>
      <c r="MK55">
        <v>0</v>
      </c>
      <c r="ML55">
        <v>0</v>
      </c>
      <c r="MM55">
        <v>0</v>
      </c>
      <c r="MN55">
        <v>0</v>
      </c>
      <c r="MO55">
        <v>0</v>
      </c>
      <c r="MP55">
        <v>0</v>
      </c>
      <c r="MQ55">
        <v>0</v>
      </c>
      <c r="MR55">
        <v>0</v>
      </c>
      <c r="MS55">
        <v>0</v>
      </c>
      <c r="MT55">
        <v>1</v>
      </c>
      <c r="MU55">
        <v>1</v>
      </c>
      <c r="MV55">
        <v>1</v>
      </c>
      <c r="MW55">
        <v>1</v>
      </c>
      <c r="MX55">
        <v>1</v>
      </c>
      <c r="MY55">
        <v>1</v>
      </c>
      <c r="MZ55">
        <v>1</v>
      </c>
      <c r="NA55">
        <v>1</v>
      </c>
      <c r="NB55">
        <v>1</v>
      </c>
      <c r="NC55">
        <v>1</v>
      </c>
      <c r="ND55">
        <v>1</v>
      </c>
      <c r="NE55">
        <v>1</v>
      </c>
      <c r="NF55">
        <v>1</v>
      </c>
      <c r="NG55">
        <v>1</v>
      </c>
      <c r="NH55">
        <v>1</v>
      </c>
      <c r="NI55">
        <v>1</v>
      </c>
      <c r="NJ55">
        <v>1</v>
      </c>
      <c r="NK55">
        <v>1</v>
      </c>
      <c r="NL55">
        <v>1</v>
      </c>
      <c r="NM55">
        <v>1</v>
      </c>
      <c r="NN55">
        <v>1</v>
      </c>
      <c r="NO55">
        <v>1</v>
      </c>
      <c r="NP55">
        <v>1</v>
      </c>
      <c r="NQ55">
        <v>1</v>
      </c>
      <c r="NR55">
        <v>1</v>
      </c>
      <c r="NS55">
        <v>1</v>
      </c>
      <c r="NT55">
        <v>1</v>
      </c>
      <c r="NU55">
        <v>1</v>
      </c>
      <c r="NV55">
        <v>1</v>
      </c>
      <c r="NW55">
        <v>1</v>
      </c>
      <c r="NX55">
        <v>1</v>
      </c>
      <c r="NY55">
        <v>1</v>
      </c>
      <c r="NZ55">
        <v>1</v>
      </c>
      <c r="OA55">
        <v>1</v>
      </c>
      <c r="OB55">
        <v>1</v>
      </c>
      <c r="OC55">
        <v>1</v>
      </c>
      <c r="OD55">
        <v>1</v>
      </c>
      <c r="OE55">
        <v>1</v>
      </c>
      <c r="OF55">
        <v>1</v>
      </c>
      <c r="OG55">
        <v>1</v>
      </c>
      <c r="OH55">
        <v>1</v>
      </c>
      <c r="OI55">
        <v>1</v>
      </c>
      <c r="OJ55">
        <v>1</v>
      </c>
      <c r="OK55">
        <v>1</v>
      </c>
      <c r="OL55">
        <v>1</v>
      </c>
      <c r="OM55">
        <v>1</v>
      </c>
      <c r="ON55">
        <v>1</v>
      </c>
      <c r="OO55">
        <v>1</v>
      </c>
      <c r="OP55">
        <v>1</v>
      </c>
      <c r="OQ55">
        <v>1</v>
      </c>
      <c r="OR55">
        <v>1</v>
      </c>
      <c r="OS55">
        <v>1</v>
      </c>
      <c r="OT55">
        <v>1</v>
      </c>
      <c r="OU55">
        <v>1</v>
      </c>
      <c r="OV55">
        <v>1</v>
      </c>
      <c r="OW55">
        <v>1</v>
      </c>
      <c r="OX55">
        <v>1</v>
      </c>
      <c r="OY55">
        <v>1</v>
      </c>
      <c r="OZ55">
        <v>1</v>
      </c>
      <c r="PA55">
        <v>1</v>
      </c>
      <c r="PB55">
        <v>1</v>
      </c>
      <c r="PC55">
        <v>1</v>
      </c>
      <c r="PD55">
        <v>1</v>
      </c>
      <c r="PE55">
        <v>1</v>
      </c>
      <c r="PF55">
        <v>1</v>
      </c>
      <c r="PG55">
        <v>1</v>
      </c>
      <c r="PH55">
        <v>1</v>
      </c>
      <c r="PI55">
        <v>1</v>
      </c>
      <c r="PJ55">
        <v>1</v>
      </c>
      <c r="PK55">
        <v>1</v>
      </c>
      <c r="PL55">
        <v>1</v>
      </c>
      <c r="PM55">
        <v>1</v>
      </c>
      <c r="PN55">
        <v>1</v>
      </c>
      <c r="PO55">
        <v>1</v>
      </c>
      <c r="PP55">
        <v>1</v>
      </c>
      <c r="PQ55">
        <v>1</v>
      </c>
      <c r="PR55">
        <v>1</v>
      </c>
      <c r="PS55">
        <v>1</v>
      </c>
      <c r="PT55">
        <v>1</v>
      </c>
      <c r="PU55">
        <v>1</v>
      </c>
      <c r="PV55">
        <v>1</v>
      </c>
      <c r="PW55">
        <v>1</v>
      </c>
      <c r="PX55">
        <v>1</v>
      </c>
      <c r="PY55">
        <v>1</v>
      </c>
      <c r="PZ55">
        <v>1</v>
      </c>
      <c r="QA55">
        <v>1</v>
      </c>
      <c r="QB55">
        <v>1</v>
      </c>
      <c r="QC55">
        <v>1</v>
      </c>
      <c r="QD55">
        <v>1</v>
      </c>
      <c r="QE55">
        <v>1</v>
      </c>
      <c r="QF55">
        <v>1</v>
      </c>
      <c r="QG55">
        <v>1</v>
      </c>
      <c r="QH55">
        <v>1</v>
      </c>
      <c r="QI55">
        <v>1</v>
      </c>
      <c r="QJ55">
        <v>1</v>
      </c>
      <c r="QK55">
        <v>1</v>
      </c>
      <c r="QL55">
        <v>1</v>
      </c>
      <c r="QM55">
        <v>1</v>
      </c>
      <c r="QN55">
        <v>1</v>
      </c>
      <c r="QO55">
        <v>1</v>
      </c>
      <c r="QP55">
        <v>1</v>
      </c>
      <c r="QQ55">
        <v>1</v>
      </c>
      <c r="QR55">
        <v>1</v>
      </c>
      <c r="QS55">
        <v>1</v>
      </c>
      <c r="QT55">
        <v>1</v>
      </c>
      <c r="QU55">
        <v>1</v>
      </c>
      <c r="QV55">
        <v>1</v>
      </c>
      <c r="QW55">
        <v>1</v>
      </c>
      <c r="QX55">
        <v>1</v>
      </c>
      <c r="QY55">
        <v>1</v>
      </c>
      <c r="QZ55">
        <v>1</v>
      </c>
      <c r="RA55">
        <v>1</v>
      </c>
      <c r="RB55">
        <v>1</v>
      </c>
      <c r="RC55">
        <v>1</v>
      </c>
      <c r="RD55">
        <v>1</v>
      </c>
      <c r="RE55">
        <v>1</v>
      </c>
      <c r="RF55">
        <v>1</v>
      </c>
      <c r="RG55">
        <v>1</v>
      </c>
      <c r="RH55">
        <v>1</v>
      </c>
      <c r="RI55">
        <v>1</v>
      </c>
      <c r="RJ55">
        <v>1</v>
      </c>
      <c r="RK55">
        <v>1</v>
      </c>
      <c r="RL55">
        <v>1</v>
      </c>
      <c r="RM55">
        <v>2</v>
      </c>
      <c r="RN55">
        <v>2</v>
      </c>
      <c r="RO55">
        <v>2</v>
      </c>
      <c r="RP55">
        <v>2</v>
      </c>
      <c r="RQ55">
        <v>2</v>
      </c>
      <c r="RR55">
        <v>2</v>
      </c>
      <c r="RS55">
        <v>2</v>
      </c>
      <c r="RT55">
        <v>2</v>
      </c>
      <c r="RU55">
        <v>2</v>
      </c>
      <c r="RV55">
        <v>2</v>
      </c>
      <c r="RW55">
        <v>2</v>
      </c>
      <c r="RX55">
        <v>2</v>
      </c>
      <c r="RY55">
        <v>2</v>
      </c>
      <c r="RZ55">
        <v>2</v>
      </c>
      <c r="SA55">
        <v>2</v>
      </c>
      <c r="SB55">
        <v>2</v>
      </c>
      <c r="SC55">
        <v>2</v>
      </c>
      <c r="SD55">
        <v>2</v>
      </c>
      <c r="SE55">
        <v>2</v>
      </c>
      <c r="SF55">
        <v>2</v>
      </c>
      <c r="SG55">
        <v>2</v>
      </c>
      <c r="SH55">
        <v>2</v>
      </c>
      <c r="SI55">
        <v>2</v>
      </c>
      <c r="SJ55">
        <v>2</v>
      </c>
      <c r="SK55">
        <v>2</v>
      </c>
      <c r="SL55">
        <v>2</v>
      </c>
      <c r="SM55">
        <v>2</v>
      </c>
      <c r="SN55">
        <v>2</v>
      </c>
      <c r="SO55">
        <v>2</v>
      </c>
      <c r="SP55">
        <v>2</v>
      </c>
      <c r="SQ55">
        <v>2</v>
      </c>
      <c r="SR55">
        <v>2</v>
      </c>
      <c r="SS55">
        <v>2</v>
      </c>
      <c r="ST55">
        <v>1</v>
      </c>
      <c r="SU55">
        <v>1</v>
      </c>
      <c r="SV55">
        <v>1</v>
      </c>
      <c r="SW55">
        <v>1</v>
      </c>
      <c r="SX55">
        <v>1</v>
      </c>
      <c r="SY55">
        <v>1</v>
      </c>
      <c r="SZ55">
        <v>1</v>
      </c>
      <c r="TA55">
        <v>1</v>
      </c>
      <c r="TB55">
        <v>1</v>
      </c>
      <c r="TC55">
        <v>1</v>
      </c>
      <c r="TD55">
        <v>1</v>
      </c>
      <c r="TE55">
        <v>1</v>
      </c>
      <c r="TF55">
        <v>1</v>
      </c>
      <c r="TG55">
        <v>1</v>
      </c>
      <c r="TH55">
        <v>1</v>
      </c>
      <c r="TI55">
        <v>1</v>
      </c>
      <c r="TJ55">
        <v>1</v>
      </c>
      <c r="TK55">
        <v>1</v>
      </c>
      <c r="TL55">
        <v>1</v>
      </c>
      <c r="TM55">
        <v>1</v>
      </c>
      <c r="TN55">
        <v>1</v>
      </c>
      <c r="TO55">
        <v>1</v>
      </c>
      <c r="TP55">
        <v>1</v>
      </c>
      <c r="TQ55">
        <v>1</v>
      </c>
      <c r="TR55">
        <v>1</v>
      </c>
      <c r="TS55">
        <v>1</v>
      </c>
      <c r="TT55">
        <v>1</v>
      </c>
      <c r="TU55">
        <v>1</v>
      </c>
      <c r="TV55">
        <v>1</v>
      </c>
      <c r="TW55">
        <v>1</v>
      </c>
      <c r="TX55">
        <v>1</v>
      </c>
      <c r="TY55">
        <v>1</v>
      </c>
      <c r="TZ55">
        <v>1</v>
      </c>
      <c r="UA55">
        <v>1</v>
      </c>
      <c r="UB55">
        <v>1</v>
      </c>
      <c r="UC55">
        <v>1</v>
      </c>
      <c r="UD55">
        <v>1</v>
      </c>
      <c r="UE55">
        <v>1</v>
      </c>
      <c r="UF55">
        <v>1</v>
      </c>
      <c r="UG55">
        <v>1</v>
      </c>
      <c r="UH55">
        <v>1</v>
      </c>
      <c r="UI55">
        <v>1</v>
      </c>
      <c r="UJ55">
        <v>1</v>
      </c>
      <c r="UK55">
        <v>1</v>
      </c>
      <c r="UL55">
        <v>1</v>
      </c>
      <c r="UM55">
        <v>1</v>
      </c>
      <c r="UN55">
        <v>1</v>
      </c>
      <c r="UO55">
        <v>1</v>
      </c>
      <c r="UP55">
        <v>1</v>
      </c>
      <c r="UQ55">
        <v>1</v>
      </c>
      <c r="UR55">
        <v>1</v>
      </c>
      <c r="US55">
        <v>1</v>
      </c>
      <c r="UT55">
        <v>1</v>
      </c>
      <c r="UU55">
        <v>1</v>
      </c>
      <c r="UV55">
        <v>1</v>
      </c>
      <c r="UW55">
        <v>1</v>
      </c>
      <c r="UX55">
        <v>1</v>
      </c>
      <c r="UY55">
        <v>1</v>
      </c>
      <c r="UZ55">
        <v>1</v>
      </c>
      <c r="VA55">
        <v>1</v>
      </c>
      <c r="VB55">
        <v>1</v>
      </c>
      <c r="VC55">
        <v>1</v>
      </c>
      <c r="VD55">
        <v>1</v>
      </c>
      <c r="VE55">
        <v>1</v>
      </c>
      <c r="VF55">
        <v>1</v>
      </c>
      <c r="VG55">
        <v>1</v>
      </c>
      <c r="VH55">
        <v>1</v>
      </c>
      <c r="VI55">
        <v>1</v>
      </c>
      <c r="VJ55">
        <v>1</v>
      </c>
      <c r="VK55">
        <v>1</v>
      </c>
      <c r="VL55">
        <v>1</v>
      </c>
      <c r="VM55">
        <v>1</v>
      </c>
      <c r="VN55">
        <v>1</v>
      </c>
      <c r="VO55">
        <v>1</v>
      </c>
      <c r="VP55">
        <v>1</v>
      </c>
      <c r="VQ55">
        <v>1</v>
      </c>
      <c r="VR55">
        <v>1</v>
      </c>
      <c r="VS55">
        <v>1</v>
      </c>
      <c r="VT55">
        <v>1</v>
      </c>
      <c r="VU55">
        <v>1</v>
      </c>
      <c r="VV55">
        <v>1</v>
      </c>
      <c r="VW55">
        <v>1</v>
      </c>
      <c r="VX55">
        <v>2</v>
      </c>
      <c r="VY55">
        <v>2</v>
      </c>
      <c r="VZ55">
        <v>2</v>
      </c>
      <c r="WA55">
        <v>2</v>
      </c>
      <c r="WB55">
        <v>2</v>
      </c>
      <c r="WC55">
        <v>2</v>
      </c>
      <c r="WD55">
        <v>2</v>
      </c>
      <c r="WE55">
        <v>2</v>
      </c>
      <c r="WF55">
        <v>2</v>
      </c>
      <c r="WG55">
        <v>2</v>
      </c>
      <c r="WH55">
        <v>2</v>
      </c>
      <c r="WI55">
        <v>2</v>
      </c>
      <c r="WJ55">
        <v>2</v>
      </c>
      <c r="WK55">
        <v>2</v>
      </c>
      <c r="WL55">
        <v>2</v>
      </c>
      <c r="WM55">
        <v>2</v>
      </c>
      <c r="WN55">
        <v>2</v>
      </c>
      <c r="WO55">
        <v>2</v>
      </c>
      <c r="WP55">
        <v>2</v>
      </c>
      <c r="WQ55">
        <v>2</v>
      </c>
      <c r="WR55">
        <v>2</v>
      </c>
      <c r="WS55">
        <v>2</v>
      </c>
      <c r="WT55">
        <v>2</v>
      </c>
      <c r="WU55">
        <v>2</v>
      </c>
      <c r="WV55">
        <v>2</v>
      </c>
      <c r="WW55">
        <v>2</v>
      </c>
      <c r="WX55">
        <v>2</v>
      </c>
      <c r="WY55">
        <v>2</v>
      </c>
      <c r="WZ55">
        <v>2</v>
      </c>
      <c r="XA55">
        <v>2</v>
      </c>
      <c r="XB55">
        <v>2</v>
      </c>
      <c r="XC55">
        <v>2</v>
      </c>
      <c r="XD55">
        <v>2</v>
      </c>
      <c r="XE55">
        <v>2</v>
      </c>
      <c r="XF55">
        <v>2</v>
      </c>
      <c r="XG55">
        <v>2</v>
      </c>
      <c r="XH55">
        <v>0</v>
      </c>
      <c r="XI55">
        <v>0</v>
      </c>
      <c r="XJ55">
        <v>0</v>
      </c>
      <c r="XK55">
        <v>0</v>
      </c>
      <c r="XL55">
        <v>0</v>
      </c>
      <c r="XM55">
        <v>0</v>
      </c>
      <c r="XN55">
        <v>0</v>
      </c>
      <c r="XO55">
        <v>0</v>
      </c>
      <c r="XP55">
        <v>0</v>
      </c>
      <c r="XQ55">
        <v>0</v>
      </c>
      <c r="XR55">
        <v>1</v>
      </c>
      <c r="XS55">
        <v>1</v>
      </c>
      <c r="XT55">
        <v>1</v>
      </c>
      <c r="XU55">
        <v>1</v>
      </c>
      <c r="XV55">
        <v>2</v>
      </c>
      <c r="XW55">
        <v>2</v>
      </c>
      <c r="XX55">
        <v>2</v>
      </c>
      <c r="XY55">
        <v>2</v>
      </c>
      <c r="XZ55">
        <v>2</v>
      </c>
      <c r="YA55">
        <v>2</v>
      </c>
      <c r="YB55">
        <v>2</v>
      </c>
      <c r="YC55">
        <v>2</v>
      </c>
      <c r="YD55">
        <v>2</v>
      </c>
      <c r="YE55">
        <v>2</v>
      </c>
      <c r="YF55">
        <v>2</v>
      </c>
      <c r="YG55">
        <v>2</v>
      </c>
      <c r="YH55">
        <v>2</v>
      </c>
      <c r="YI55">
        <v>2</v>
      </c>
      <c r="YJ55">
        <v>2</v>
      </c>
      <c r="YK55">
        <v>2</v>
      </c>
      <c r="YL55">
        <v>2</v>
      </c>
      <c r="YM55">
        <v>2</v>
      </c>
      <c r="YN55">
        <v>2</v>
      </c>
      <c r="YO55">
        <v>2</v>
      </c>
      <c r="YP55">
        <v>2</v>
      </c>
      <c r="YQ55">
        <v>2</v>
      </c>
      <c r="YR55">
        <v>2</v>
      </c>
      <c r="YS55">
        <v>2</v>
      </c>
      <c r="YT55">
        <v>2</v>
      </c>
      <c r="YU55">
        <v>2</v>
      </c>
      <c r="YV55">
        <v>2</v>
      </c>
      <c r="YW55">
        <v>2</v>
      </c>
      <c r="YX55">
        <v>2</v>
      </c>
      <c r="YY55">
        <v>2</v>
      </c>
      <c r="YZ55">
        <v>2</v>
      </c>
      <c r="ZA55">
        <v>2</v>
      </c>
      <c r="ZB55">
        <v>2</v>
      </c>
      <c r="ZC55">
        <v>2</v>
      </c>
      <c r="ZD55">
        <v>2</v>
      </c>
      <c r="ZE55">
        <v>2</v>
      </c>
      <c r="ZF55">
        <v>2</v>
      </c>
      <c r="ZG55">
        <v>2</v>
      </c>
      <c r="ZH55">
        <v>2</v>
      </c>
      <c r="ZI55">
        <v>2</v>
      </c>
      <c r="ZJ55">
        <v>2</v>
      </c>
      <c r="ZK55">
        <v>2</v>
      </c>
      <c r="ZL55">
        <v>2</v>
      </c>
      <c r="ZM55">
        <v>2</v>
      </c>
      <c r="ZN55">
        <v>2</v>
      </c>
      <c r="ZO55">
        <v>2</v>
      </c>
      <c r="ZP55">
        <v>2</v>
      </c>
      <c r="ZQ55">
        <v>2</v>
      </c>
      <c r="ZR55">
        <v>2</v>
      </c>
      <c r="ZS55">
        <v>2</v>
      </c>
      <c r="ZT55">
        <v>2</v>
      </c>
      <c r="ZU55">
        <v>2</v>
      </c>
      <c r="ZV55">
        <v>2</v>
      </c>
      <c r="ZW55">
        <v>2</v>
      </c>
      <c r="ZX55">
        <v>2</v>
      </c>
      <c r="ZY55">
        <v>2</v>
      </c>
      <c r="ZZ55">
        <v>2</v>
      </c>
      <c r="AAA55">
        <v>2</v>
      </c>
      <c r="AAB55">
        <v>2</v>
      </c>
      <c r="AAC55">
        <v>2</v>
      </c>
      <c r="AAD55">
        <v>2</v>
      </c>
      <c r="AAE55">
        <v>2</v>
      </c>
      <c r="AAF55">
        <v>2</v>
      </c>
      <c r="AAG55">
        <v>2</v>
      </c>
      <c r="AAH55">
        <v>2</v>
      </c>
      <c r="AAI55">
        <v>2</v>
      </c>
      <c r="AAJ55">
        <v>2</v>
      </c>
      <c r="AAK55">
        <v>2</v>
      </c>
      <c r="AAL55">
        <v>2</v>
      </c>
      <c r="AAM55">
        <v>2</v>
      </c>
      <c r="AAN55">
        <v>2</v>
      </c>
      <c r="AAO55">
        <v>2</v>
      </c>
      <c r="AAP55">
        <v>2</v>
      </c>
      <c r="AAQ55">
        <v>2</v>
      </c>
      <c r="AAR55">
        <v>2</v>
      </c>
      <c r="AAS55">
        <v>2</v>
      </c>
      <c r="AAT55">
        <v>2</v>
      </c>
      <c r="AAU55">
        <v>2</v>
      </c>
      <c r="AAV55">
        <v>2</v>
      </c>
      <c r="AAW55">
        <v>2</v>
      </c>
      <c r="AAX55">
        <v>2</v>
      </c>
      <c r="AAY55">
        <v>2</v>
      </c>
      <c r="AAZ55">
        <v>2</v>
      </c>
      <c r="ABA55">
        <v>2</v>
      </c>
      <c r="ABB55">
        <v>2</v>
      </c>
      <c r="ABC55">
        <v>2</v>
      </c>
      <c r="ABD55">
        <v>2</v>
      </c>
      <c r="ABE55">
        <v>2</v>
      </c>
      <c r="ABG55" s="1137">
        <f t="shared" si="13"/>
        <v>0</v>
      </c>
      <c r="ABH55" s="1137">
        <f t="shared" si="13"/>
        <v>0</v>
      </c>
      <c r="ABI55" s="1137">
        <f t="shared" si="13"/>
        <v>15</v>
      </c>
      <c r="ABJ55" s="1137">
        <f t="shared" si="13"/>
        <v>30</v>
      </c>
      <c r="ABK55" s="1137">
        <f t="shared" si="13"/>
        <v>31</v>
      </c>
      <c r="ABL55" s="1137">
        <f t="shared" si="13"/>
        <v>30</v>
      </c>
      <c r="ABM55" s="1137">
        <f t="shared" si="13"/>
        <v>31</v>
      </c>
      <c r="ABN55" s="1137">
        <f t="shared" si="13"/>
        <v>31</v>
      </c>
      <c r="ABO55" s="1137">
        <f t="shared" si="13"/>
        <v>13</v>
      </c>
      <c r="ABP55" s="1137">
        <f t="shared" si="13"/>
        <v>0</v>
      </c>
      <c r="ABQ55" s="1137">
        <f t="shared" si="13"/>
        <v>0</v>
      </c>
      <c r="ABR55" s="1137">
        <f t="shared" si="13"/>
        <v>11</v>
      </c>
      <c r="ABS55" s="1137">
        <f t="shared" si="13"/>
        <v>31</v>
      </c>
      <c r="ABT55" s="1137">
        <f t="shared" si="13"/>
        <v>28</v>
      </c>
      <c r="ABU55" s="1137">
        <f t="shared" si="13"/>
        <v>31</v>
      </c>
      <c r="ABV55" s="1137">
        <f t="shared" si="13"/>
        <v>30</v>
      </c>
      <c r="ABW55" s="1137">
        <f t="shared" si="17"/>
        <v>31</v>
      </c>
      <c r="ABX55" s="1137">
        <f t="shared" si="14"/>
        <v>30</v>
      </c>
      <c r="ABY55" s="1137">
        <f t="shared" si="14"/>
        <v>31</v>
      </c>
      <c r="ABZ55" s="1137">
        <f t="shared" si="14"/>
        <v>31</v>
      </c>
      <c r="ACA55" s="1137">
        <f t="shared" si="14"/>
        <v>20</v>
      </c>
      <c r="ACB55" s="1137">
        <f t="shared" si="14"/>
        <v>31</v>
      </c>
      <c r="ACC55" s="1137">
        <f t="shared" si="14"/>
        <v>30</v>
      </c>
      <c r="ACD55" s="1137">
        <f t="shared" si="14"/>
        <v>31</v>
      </c>
      <c r="ACE55" s="1137" t="s">
        <v>173</v>
      </c>
      <c r="ACF55" s="1137">
        <f t="shared" si="15"/>
        <v>0</v>
      </c>
      <c r="ACG55" s="1137">
        <f t="shared" si="15"/>
        <v>0</v>
      </c>
      <c r="ACH55" s="1137">
        <f t="shared" si="15"/>
        <v>1</v>
      </c>
      <c r="ACI55" s="1137">
        <f t="shared" si="15"/>
        <v>1</v>
      </c>
      <c r="ACJ55" s="1137">
        <f t="shared" si="15"/>
        <v>1</v>
      </c>
      <c r="ACK55" s="1137">
        <f t="shared" si="15"/>
        <v>1</v>
      </c>
      <c r="ACL55" s="1137">
        <f t="shared" si="15"/>
        <v>1</v>
      </c>
      <c r="ACM55" s="1137">
        <f t="shared" si="15"/>
        <v>1</v>
      </c>
      <c r="ACN55" s="1137">
        <f t="shared" si="15"/>
        <v>1</v>
      </c>
      <c r="ACO55" s="1137">
        <f t="shared" si="15"/>
        <v>0</v>
      </c>
      <c r="ACP55" s="1137">
        <f t="shared" si="15"/>
        <v>0</v>
      </c>
      <c r="ACQ55" s="1137">
        <f t="shared" si="15"/>
        <v>1</v>
      </c>
      <c r="ACR55" s="1137">
        <f t="shared" si="15"/>
        <v>1</v>
      </c>
      <c r="ACS55" s="1137">
        <f t="shared" si="15"/>
        <v>1</v>
      </c>
      <c r="ACT55" s="1137">
        <f t="shared" si="15"/>
        <v>1</v>
      </c>
      <c r="ACU55" s="1137">
        <f t="shared" si="12"/>
        <v>1</v>
      </c>
      <c r="ACV55" s="1137">
        <f t="shared" si="12"/>
        <v>1</v>
      </c>
      <c r="ACW55" s="1137">
        <f t="shared" si="12"/>
        <v>1</v>
      </c>
      <c r="ACX55" s="1137">
        <f t="shared" si="12"/>
        <v>1</v>
      </c>
      <c r="ACY55" s="1137">
        <f t="shared" si="12"/>
        <v>1</v>
      </c>
      <c r="ACZ55" s="1137">
        <f t="shared" si="12"/>
        <v>1</v>
      </c>
      <c r="ADA55" s="1137">
        <f t="shared" si="12"/>
        <v>1</v>
      </c>
      <c r="ADB55" s="1137">
        <f t="shared" si="16"/>
        <v>1</v>
      </c>
      <c r="ADC55" s="1137">
        <f t="shared" si="16"/>
        <v>1</v>
      </c>
    </row>
    <row r="56" spans="1:783" x14ac:dyDescent="0.25">
      <c r="A56" t="s">
        <v>1853</v>
      </c>
      <c r="B56" t="s">
        <v>27</v>
      </c>
      <c r="C56">
        <v>0</v>
      </c>
      <c r="D56">
        <v>0</v>
      </c>
      <c r="E56">
        <v>0</v>
      </c>
      <c r="F56">
        <v>0</v>
      </c>
      <c r="G56">
        <v>0</v>
      </c>
      <c r="H56">
        <v>0</v>
      </c>
      <c r="I56">
        <v>0</v>
      </c>
      <c r="J56">
        <v>0</v>
      </c>
      <c r="K56">
        <v>0</v>
      </c>
      <c r="L56">
        <v>0</v>
      </c>
      <c r="M56">
        <v>0</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c r="AP56">
        <v>0</v>
      </c>
      <c r="AQ56">
        <v>0</v>
      </c>
      <c r="AR56">
        <v>0</v>
      </c>
      <c r="AS56">
        <v>0</v>
      </c>
      <c r="AT56">
        <v>0</v>
      </c>
      <c r="AU56">
        <v>0</v>
      </c>
      <c r="AV56">
        <v>0</v>
      </c>
      <c r="AW56">
        <v>0</v>
      </c>
      <c r="AX56">
        <v>0</v>
      </c>
      <c r="AY56">
        <v>0</v>
      </c>
      <c r="AZ56">
        <v>0</v>
      </c>
      <c r="BA56">
        <v>0</v>
      </c>
      <c r="BB56">
        <v>0</v>
      </c>
      <c r="BC56">
        <v>0</v>
      </c>
      <c r="BD56">
        <v>0</v>
      </c>
      <c r="BE56">
        <v>0</v>
      </c>
      <c r="BF56">
        <v>0</v>
      </c>
      <c r="BG56">
        <v>0</v>
      </c>
      <c r="BH56">
        <v>0</v>
      </c>
      <c r="BI56">
        <v>0</v>
      </c>
      <c r="BJ56">
        <v>0</v>
      </c>
      <c r="BK56">
        <v>0</v>
      </c>
      <c r="BL56">
        <v>0</v>
      </c>
      <c r="BM56">
        <v>0</v>
      </c>
      <c r="BN56">
        <v>0</v>
      </c>
      <c r="BO56">
        <v>0</v>
      </c>
      <c r="BP56">
        <v>0</v>
      </c>
      <c r="BQ56">
        <v>0</v>
      </c>
      <c r="BR56">
        <v>0</v>
      </c>
      <c r="BS56">
        <v>0</v>
      </c>
      <c r="BT56">
        <v>0</v>
      </c>
      <c r="BU56">
        <v>0</v>
      </c>
      <c r="BV56">
        <v>0</v>
      </c>
      <c r="BW56">
        <v>0</v>
      </c>
      <c r="BX56">
        <v>0</v>
      </c>
      <c r="BY56">
        <v>0</v>
      </c>
      <c r="BZ56">
        <v>0</v>
      </c>
      <c r="CA56">
        <v>0</v>
      </c>
      <c r="CB56">
        <v>0</v>
      </c>
      <c r="CC56">
        <v>0</v>
      </c>
      <c r="CD56">
        <v>0</v>
      </c>
      <c r="CE56">
        <v>0</v>
      </c>
      <c r="CF56">
        <v>0</v>
      </c>
      <c r="CG56">
        <v>0</v>
      </c>
      <c r="CH56">
        <v>0</v>
      </c>
      <c r="CI56">
        <v>2</v>
      </c>
      <c r="CJ56">
        <v>2</v>
      </c>
      <c r="CK56">
        <v>2</v>
      </c>
      <c r="CL56">
        <v>2</v>
      </c>
      <c r="CM56">
        <v>2</v>
      </c>
      <c r="CN56">
        <v>2</v>
      </c>
      <c r="CO56">
        <v>2</v>
      </c>
      <c r="CP56">
        <v>2</v>
      </c>
      <c r="CQ56">
        <v>2</v>
      </c>
      <c r="CR56">
        <v>2</v>
      </c>
      <c r="CS56">
        <v>2</v>
      </c>
      <c r="CT56">
        <v>2</v>
      </c>
      <c r="CU56">
        <v>2</v>
      </c>
      <c r="CV56">
        <v>2</v>
      </c>
      <c r="CW56">
        <v>2</v>
      </c>
      <c r="CX56">
        <v>2</v>
      </c>
      <c r="CY56">
        <v>2</v>
      </c>
      <c r="CZ56">
        <v>2</v>
      </c>
      <c r="DA56">
        <v>2</v>
      </c>
      <c r="DB56">
        <v>2</v>
      </c>
      <c r="DC56">
        <v>2</v>
      </c>
      <c r="DD56">
        <v>2</v>
      </c>
      <c r="DE56">
        <v>2</v>
      </c>
      <c r="DF56">
        <v>2</v>
      </c>
      <c r="DG56">
        <v>2</v>
      </c>
      <c r="DH56">
        <v>2</v>
      </c>
      <c r="DI56">
        <v>2</v>
      </c>
      <c r="DJ56">
        <v>2</v>
      </c>
      <c r="DK56">
        <v>2</v>
      </c>
      <c r="DL56">
        <v>2</v>
      </c>
      <c r="DM56">
        <v>2</v>
      </c>
      <c r="DN56">
        <v>2</v>
      </c>
      <c r="DO56">
        <v>2</v>
      </c>
      <c r="DP56">
        <v>2</v>
      </c>
      <c r="DQ56">
        <v>2</v>
      </c>
      <c r="DR56">
        <v>2</v>
      </c>
      <c r="DS56">
        <v>2</v>
      </c>
      <c r="DT56">
        <v>2</v>
      </c>
      <c r="DU56">
        <v>2</v>
      </c>
      <c r="DV56">
        <v>2</v>
      </c>
      <c r="DW56">
        <v>2</v>
      </c>
      <c r="DX56">
        <v>2</v>
      </c>
      <c r="DY56">
        <v>2</v>
      </c>
      <c r="DZ56">
        <v>2</v>
      </c>
      <c r="EA56">
        <v>2</v>
      </c>
      <c r="EB56">
        <v>2</v>
      </c>
      <c r="EC56">
        <v>2</v>
      </c>
      <c r="ED56">
        <v>2</v>
      </c>
      <c r="EE56">
        <v>2</v>
      </c>
      <c r="EF56">
        <v>2</v>
      </c>
      <c r="EG56">
        <v>2</v>
      </c>
      <c r="EH56">
        <v>2</v>
      </c>
      <c r="EI56">
        <v>2</v>
      </c>
      <c r="EJ56">
        <v>2</v>
      </c>
      <c r="EK56">
        <v>2</v>
      </c>
      <c r="EL56">
        <v>2</v>
      </c>
      <c r="EM56">
        <v>2</v>
      </c>
      <c r="EN56">
        <v>2</v>
      </c>
      <c r="EO56">
        <v>2</v>
      </c>
      <c r="EP56">
        <v>2</v>
      </c>
      <c r="EQ56">
        <v>2</v>
      </c>
      <c r="ER56">
        <v>2</v>
      </c>
      <c r="ES56">
        <v>2</v>
      </c>
      <c r="ET56">
        <v>2</v>
      </c>
      <c r="EU56">
        <v>2</v>
      </c>
      <c r="EV56">
        <v>2</v>
      </c>
      <c r="EW56">
        <v>2</v>
      </c>
      <c r="EX56">
        <v>2</v>
      </c>
      <c r="EY56">
        <v>2</v>
      </c>
      <c r="EZ56">
        <v>2</v>
      </c>
      <c r="FA56">
        <v>2</v>
      </c>
      <c r="FB56">
        <v>2</v>
      </c>
      <c r="FC56">
        <v>2</v>
      </c>
      <c r="FD56">
        <v>2</v>
      </c>
      <c r="FE56">
        <v>2</v>
      </c>
      <c r="FF56">
        <v>2</v>
      </c>
      <c r="FG56">
        <v>2</v>
      </c>
      <c r="FH56">
        <v>2</v>
      </c>
      <c r="FI56">
        <v>2</v>
      </c>
      <c r="FJ56">
        <v>2</v>
      </c>
      <c r="FK56">
        <v>2</v>
      </c>
      <c r="FL56">
        <v>2</v>
      </c>
      <c r="FM56">
        <v>2</v>
      </c>
      <c r="FN56">
        <v>2</v>
      </c>
      <c r="FO56">
        <v>2</v>
      </c>
      <c r="FP56">
        <v>2</v>
      </c>
      <c r="FQ56">
        <v>2</v>
      </c>
      <c r="FR56">
        <v>2</v>
      </c>
      <c r="FS56">
        <v>2</v>
      </c>
      <c r="FT56">
        <v>2</v>
      </c>
      <c r="FU56">
        <v>2</v>
      </c>
      <c r="FV56">
        <v>2</v>
      </c>
      <c r="FW56">
        <v>2</v>
      </c>
      <c r="FX56">
        <v>2</v>
      </c>
      <c r="FY56">
        <v>2</v>
      </c>
      <c r="FZ56">
        <v>2</v>
      </c>
      <c r="GA56">
        <v>2</v>
      </c>
      <c r="GB56">
        <v>2</v>
      </c>
      <c r="GC56">
        <v>2</v>
      </c>
      <c r="GD56">
        <v>2</v>
      </c>
      <c r="GE56">
        <v>2</v>
      </c>
      <c r="GF56">
        <v>2</v>
      </c>
      <c r="GG56">
        <v>2</v>
      </c>
      <c r="GH56">
        <v>2</v>
      </c>
      <c r="GI56">
        <v>2</v>
      </c>
      <c r="GJ56">
        <v>2</v>
      </c>
      <c r="GK56">
        <v>2</v>
      </c>
      <c r="GL56">
        <v>2</v>
      </c>
      <c r="GM56">
        <v>2</v>
      </c>
      <c r="GN56">
        <v>2</v>
      </c>
      <c r="GO56">
        <v>2</v>
      </c>
      <c r="GP56">
        <v>2</v>
      </c>
      <c r="GQ56">
        <v>2</v>
      </c>
      <c r="GR56">
        <v>2</v>
      </c>
      <c r="GS56">
        <v>2</v>
      </c>
      <c r="GT56">
        <v>2</v>
      </c>
      <c r="GU56">
        <v>2</v>
      </c>
      <c r="GV56">
        <v>2</v>
      </c>
      <c r="GW56">
        <v>2</v>
      </c>
      <c r="GX56">
        <v>2</v>
      </c>
      <c r="GY56">
        <v>2</v>
      </c>
      <c r="GZ56">
        <v>2</v>
      </c>
      <c r="HA56">
        <v>2</v>
      </c>
      <c r="HB56">
        <v>2</v>
      </c>
      <c r="HC56">
        <v>2</v>
      </c>
      <c r="HD56">
        <v>2</v>
      </c>
      <c r="HE56">
        <v>2</v>
      </c>
      <c r="HF56">
        <v>2</v>
      </c>
      <c r="HG56">
        <v>2</v>
      </c>
      <c r="HH56">
        <v>2</v>
      </c>
      <c r="HI56">
        <v>2</v>
      </c>
      <c r="HJ56">
        <v>2</v>
      </c>
      <c r="HK56">
        <v>2</v>
      </c>
      <c r="HL56">
        <v>2</v>
      </c>
      <c r="HM56">
        <v>2</v>
      </c>
      <c r="HN56">
        <v>2</v>
      </c>
      <c r="HO56">
        <v>2</v>
      </c>
      <c r="HP56">
        <v>2</v>
      </c>
      <c r="HQ56">
        <v>2</v>
      </c>
      <c r="HR56">
        <v>2</v>
      </c>
      <c r="HS56">
        <v>2</v>
      </c>
      <c r="HT56">
        <v>2</v>
      </c>
      <c r="HU56">
        <v>2</v>
      </c>
      <c r="HV56">
        <v>2</v>
      </c>
      <c r="HW56">
        <v>2</v>
      </c>
      <c r="HX56">
        <v>2</v>
      </c>
      <c r="HY56">
        <v>2</v>
      </c>
      <c r="HZ56">
        <v>2</v>
      </c>
      <c r="IA56">
        <v>2</v>
      </c>
      <c r="IB56">
        <v>2</v>
      </c>
      <c r="IC56">
        <v>2</v>
      </c>
      <c r="ID56">
        <v>2</v>
      </c>
      <c r="IE56">
        <v>2</v>
      </c>
      <c r="IF56">
        <v>2</v>
      </c>
      <c r="IG56">
        <v>2</v>
      </c>
      <c r="IH56">
        <v>2</v>
      </c>
      <c r="II56">
        <v>2</v>
      </c>
      <c r="IJ56">
        <v>2</v>
      </c>
      <c r="IK56">
        <v>2</v>
      </c>
      <c r="IL56">
        <v>2</v>
      </c>
      <c r="IM56">
        <v>2</v>
      </c>
      <c r="IN56">
        <v>2</v>
      </c>
      <c r="IO56">
        <v>2</v>
      </c>
      <c r="IP56">
        <v>2</v>
      </c>
      <c r="IQ56">
        <v>2</v>
      </c>
      <c r="IR56">
        <v>2</v>
      </c>
      <c r="IS56">
        <v>2</v>
      </c>
      <c r="IT56">
        <v>2</v>
      </c>
      <c r="IU56">
        <v>2</v>
      </c>
      <c r="IV56">
        <v>2</v>
      </c>
      <c r="IW56">
        <v>2</v>
      </c>
      <c r="IX56">
        <v>2</v>
      </c>
      <c r="IY56">
        <v>2</v>
      </c>
      <c r="IZ56">
        <v>2</v>
      </c>
      <c r="JA56">
        <v>2</v>
      </c>
      <c r="JB56">
        <v>2</v>
      </c>
      <c r="JC56">
        <v>2</v>
      </c>
      <c r="JD56">
        <v>2</v>
      </c>
      <c r="JE56">
        <v>2</v>
      </c>
      <c r="JF56">
        <v>2</v>
      </c>
      <c r="JG56">
        <v>2</v>
      </c>
      <c r="JH56">
        <v>2</v>
      </c>
      <c r="JI56">
        <v>2</v>
      </c>
      <c r="JJ56">
        <v>2</v>
      </c>
      <c r="JK56">
        <v>2</v>
      </c>
      <c r="JL56">
        <v>2</v>
      </c>
      <c r="JM56">
        <v>2</v>
      </c>
      <c r="JN56">
        <v>2</v>
      </c>
      <c r="JO56">
        <v>2</v>
      </c>
      <c r="JP56">
        <v>2</v>
      </c>
      <c r="JQ56">
        <v>2</v>
      </c>
      <c r="JR56">
        <v>2</v>
      </c>
      <c r="JS56">
        <v>2</v>
      </c>
      <c r="JT56">
        <v>2</v>
      </c>
      <c r="JU56">
        <v>2</v>
      </c>
      <c r="JV56">
        <v>2</v>
      </c>
      <c r="JW56">
        <v>2</v>
      </c>
      <c r="JX56">
        <v>2</v>
      </c>
      <c r="JY56">
        <v>2</v>
      </c>
      <c r="JZ56">
        <v>2</v>
      </c>
      <c r="KA56">
        <v>2</v>
      </c>
      <c r="KB56">
        <v>2</v>
      </c>
      <c r="KC56">
        <v>2</v>
      </c>
      <c r="KD56">
        <v>2</v>
      </c>
      <c r="KE56">
        <v>2</v>
      </c>
      <c r="KF56">
        <v>2</v>
      </c>
      <c r="KG56">
        <v>2</v>
      </c>
      <c r="KH56">
        <v>2</v>
      </c>
      <c r="KI56">
        <v>2</v>
      </c>
      <c r="KJ56">
        <v>2</v>
      </c>
      <c r="KK56">
        <v>2</v>
      </c>
      <c r="KL56">
        <v>2</v>
      </c>
      <c r="KM56">
        <v>2</v>
      </c>
      <c r="KN56">
        <v>2</v>
      </c>
      <c r="KO56">
        <v>2</v>
      </c>
      <c r="KP56">
        <v>2</v>
      </c>
      <c r="KQ56">
        <v>2</v>
      </c>
      <c r="KR56">
        <v>2</v>
      </c>
      <c r="KS56">
        <v>2</v>
      </c>
      <c r="KT56">
        <v>2</v>
      </c>
      <c r="KU56">
        <v>2</v>
      </c>
      <c r="KV56">
        <v>2</v>
      </c>
      <c r="KW56">
        <v>2</v>
      </c>
      <c r="KX56">
        <v>2</v>
      </c>
      <c r="KY56">
        <v>2</v>
      </c>
      <c r="KZ56">
        <v>2</v>
      </c>
      <c r="LA56">
        <v>2</v>
      </c>
      <c r="LB56">
        <v>2</v>
      </c>
      <c r="LC56">
        <v>2</v>
      </c>
      <c r="LD56">
        <v>2</v>
      </c>
      <c r="LE56">
        <v>2</v>
      </c>
      <c r="LF56">
        <v>2</v>
      </c>
      <c r="LG56">
        <v>2</v>
      </c>
      <c r="LH56">
        <v>2</v>
      </c>
      <c r="LI56">
        <v>2</v>
      </c>
      <c r="LJ56">
        <v>2</v>
      </c>
      <c r="LK56">
        <v>2</v>
      </c>
      <c r="LL56">
        <v>2</v>
      </c>
      <c r="LM56">
        <v>2</v>
      </c>
      <c r="LN56">
        <v>2</v>
      </c>
      <c r="LO56">
        <v>2</v>
      </c>
      <c r="LP56">
        <v>2</v>
      </c>
      <c r="LQ56">
        <v>2</v>
      </c>
      <c r="LR56">
        <v>2</v>
      </c>
      <c r="LS56">
        <v>2</v>
      </c>
      <c r="LT56">
        <v>2</v>
      </c>
      <c r="LU56">
        <v>2</v>
      </c>
      <c r="LV56">
        <v>2</v>
      </c>
      <c r="LW56">
        <v>2</v>
      </c>
      <c r="LX56">
        <v>2</v>
      </c>
      <c r="LY56">
        <v>2</v>
      </c>
      <c r="LZ56">
        <v>2</v>
      </c>
      <c r="MA56">
        <v>2</v>
      </c>
      <c r="MB56">
        <v>2</v>
      </c>
      <c r="MC56">
        <v>2</v>
      </c>
      <c r="MD56">
        <v>2</v>
      </c>
      <c r="ME56">
        <v>2</v>
      </c>
      <c r="MF56">
        <v>2</v>
      </c>
      <c r="MG56">
        <v>2</v>
      </c>
      <c r="MH56">
        <v>2</v>
      </c>
      <c r="MI56">
        <v>2</v>
      </c>
      <c r="MJ56">
        <v>2</v>
      </c>
      <c r="MK56">
        <v>2</v>
      </c>
      <c r="ML56">
        <v>2</v>
      </c>
      <c r="MM56">
        <v>2</v>
      </c>
      <c r="MN56">
        <v>2</v>
      </c>
      <c r="MO56">
        <v>2</v>
      </c>
      <c r="MP56">
        <v>2</v>
      </c>
      <c r="MQ56">
        <v>2</v>
      </c>
      <c r="MR56">
        <v>2</v>
      </c>
      <c r="MS56">
        <v>2</v>
      </c>
      <c r="MT56">
        <v>2</v>
      </c>
      <c r="MU56">
        <v>2</v>
      </c>
      <c r="MV56">
        <v>2</v>
      </c>
      <c r="MW56">
        <v>2</v>
      </c>
      <c r="MX56">
        <v>2</v>
      </c>
      <c r="MY56">
        <v>2</v>
      </c>
      <c r="MZ56">
        <v>2</v>
      </c>
      <c r="NA56">
        <v>2</v>
      </c>
      <c r="NB56">
        <v>2</v>
      </c>
      <c r="NC56">
        <v>2</v>
      </c>
      <c r="ND56">
        <v>2</v>
      </c>
      <c r="NE56">
        <v>2</v>
      </c>
      <c r="NF56">
        <v>2</v>
      </c>
      <c r="NG56">
        <v>2</v>
      </c>
      <c r="NH56">
        <v>2</v>
      </c>
      <c r="NI56">
        <v>2</v>
      </c>
      <c r="NJ56">
        <v>2</v>
      </c>
      <c r="NK56">
        <v>2</v>
      </c>
      <c r="NL56">
        <v>2</v>
      </c>
      <c r="NM56">
        <v>2</v>
      </c>
      <c r="NN56">
        <v>2</v>
      </c>
      <c r="NO56">
        <v>2</v>
      </c>
      <c r="NP56">
        <v>2</v>
      </c>
      <c r="NQ56">
        <v>2</v>
      </c>
      <c r="NR56">
        <v>2</v>
      </c>
      <c r="NS56">
        <v>2</v>
      </c>
      <c r="NT56">
        <v>2</v>
      </c>
      <c r="NU56">
        <v>2</v>
      </c>
      <c r="NV56">
        <v>0</v>
      </c>
      <c r="NW56">
        <v>0</v>
      </c>
      <c r="NX56">
        <v>0</v>
      </c>
      <c r="NY56">
        <v>0</v>
      </c>
      <c r="NZ56">
        <v>0</v>
      </c>
      <c r="OA56">
        <v>0</v>
      </c>
      <c r="OB56">
        <v>0</v>
      </c>
      <c r="OC56">
        <v>0</v>
      </c>
      <c r="OD56">
        <v>0</v>
      </c>
      <c r="OE56">
        <v>0</v>
      </c>
      <c r="OF56">
        <v>0</v>
      </c>
      <c r="OG56">
        <v>0</v>
      </c>
      <c r="OH56">
        <v>0</v>
      </c>
      <c r="OI56">
        <v>0</v>
      </c>
      <c r="OJ56">
        <v>0</v>
      </c>
      <c r="OK56">
        <v>0</v>
      </c>
      <c r="OL56">
        <v>0</v>
      </c>
      <c r="OM56">
        <v>0</v>
      </c>
      <c r="ON56">
        <v>0</v>
      </c>
      <c r="OO56">
        <v>0</v>
      </c>
      <c r="OP56">
        <v>0</v>
      </c>
      <c r="OQ56">
        <v>0</v>
      </c>
      <c r="OR56">
        <v>0</v>
      </c>
      <c r="OS56">
        <v>0</v>
      </c>
      <c r="OT56">
        <v>0</v>
      </c>
      <c r="OU56">
        <v>0</v>
      </c>
      <c r="OV56">
        <v>0</v>
      </c>
      <c r="OW56">
        <v>0</v>
      </c>
      <c r="OX56">
        <v>0</v>
      </c>
      <c r="OY56">
        <v>0</v>
      </c>
      <c r="OZ56">
        <v>0</v>
      </c>
      <c r="PA56">
        <v>0</v>
      </c>
      <c r="PB56">
        <v>0</v>
      </c>
      <c r="PC56">
        <v>0</v>
      </c>
      <c r="PD56">
        <v>0</v>
      </c>
      <c r="PE56">
        <v>0</v>
      </c>
      <c r="PF56">
        <v>0</v>
      </c>
      <c r="PG56">
        <v>0</v>
      </c>
      <c r="PH56">
        <v>0</v>
      </c>
      <c r="PI56">
        <v>0</v>
      </c>
      <c r="PJ56">
        <v>0</v>
      </c>
      <c r="PK56">
        <v>0</v>
      </c>
      <c r="PL56">
        <v>0</v>
      </c>
      <c r="PM56">
        <v>0</v>
      </c>
      <c r="PN56">
        <v>0</v>
      </c>
      <c r="PO56">
        <v>0</v>
      </c>
      <c r="PP56">
        <v>0</v>
      </c>
      <c r="PQ56">
        <v>0</v>
      </c>
      <c r="PR56">
        <v>0</v>
      </c>
      <c r="PS56">
        <v>0</v>
      </c>
      <c r="PT56">
        <v>0</v>
      </c>
      <c r="PU56">
        <v>0</v>
      </c>
      <c r="PV56">
        <v>0</v>
      </c>
      <c r="PW56">
        <v>0</v>
      </c>
      <c r="PX56">
        <v>0</v>
      </c>
      <c r="PY56">
        <v>0</v>
      </c>
      <c r="PZ56">
        <v>0</v>
      </c>
      <c r="QA56">
        <v>0</v>
      </c>
      <c r="QB56">
        <v>0</v>
      </c>
      <c r="QC56">
        <v>0</v>
      </c>
      <c r="QD56">
        <v>0</v>
      </c>
      <c r="QE56">
        <v>0</v>
      </c>
      <c r="QF56">
        <v>0</v>
      </c>
      <c r="QG56">
        <v>0</v>
      </c>
      <c r="QH56">
        <v>0</v>
      </c>
      <c r="QI56">
        <v>0</v>
      </c>
      <c r="QJ56">
        <v>0</v>
      </c>
      <c r="QK56">
        <v>0</v>
      </c>
      <c r="QL56">
        <v>0</v>
      </c>
      <c r="QM56">
        <v>0</v>
      </c>
      <c r="QN56">
        <v>0</v>
      </c>
      <c r="QO56">
        <v>0</v>
      </c>
      <c r="QP56">
        <v>0</v>
      </c>
      <c r="QQ56">
        <v>0</v>
      </c>
      <c r="QR56">
        <v>0</v>
      </c>
      <c r="QS56">
        <v>0</v>
      </c>
      <c r="QT56">
        <v>0</v>
      </c>
      <c r="QU56">
        <v>0</v>
      </c>
      <c r="QV56">
        <v>0</v>
      </c>
      <c r="QW56">
        <v>0</v>
      </c>
      <c r="QX56">
        <v>0</v>
      </c>
      <c r="QY56">
        <v>0</v>
      </c>
      <c r="QZ56">
        <v>0</v>
      </c>
      <c r="RA56">
        <v>0</v>
      </c>
      <c r="RB56">
        <v>0</v>
      </c>
      <c r="RC56">
        <v>0</v>
      </c>
      <c r="RD56">
        <v>0</v>
      </c>
      <c r="RE56">
        <v>0</v>
      </c>
      <c r="RF56">
        <v>0</v>
      </c>
      <c r="RG56">
        <v>0</v>
      </c>
      <c r="RH56">
        <v>0</v>
      </c>
      <c r="RI56">
        <v>0</v>
      </c>
      <c r="RJ56">
        <v>0</v>
      </c>
      <c r="RK56">
        <v>0</v>
      </c>
      <c r="RL56">
        <v>0</v>
      </c>
      <c r="RM56">
        <v>0</v>
      </c>
      <c r="RN56">
        <v>0</v>
      </c>
      <c r="RO56">
        <v>0</v>
      </c>
      <c r="RP56">
        <v>0</v>
      </c>
      <c r="RQ56">
        <v>0</v>
      </c>
      <c r="RR56">
        <v>0</v>
      </c>
      <c r="RS56">
        <v>0</v>
      </c>
      <c r="RT56">
        <v>0</v>
      </c>
      <c r="RU56">
        <v>0</v>
      </c>
      <c r="RV56">
        <v>0</v>
      </c>
      <c r="RW56">
        <v>0</v>
      </c>
      <c r="RX56">
        <v>0</v>
      </c>
      <c r="RY56">
        <v>0</v>
      </c>
      <c r="RZ56">
        <v>0</v>
      </c>
      <c r="SA56">
        <v>0</v>
      </c>
      <c r="SB56">
        <v>0</v>
      </c>
      <c r="SC56">
        <v>0</v>
      </c>
      <c r="SD56">
        <v>0</v>
      </c>
      <c r="SE56">
        <v>0</v>
      </c>
      <c r="SF56">
        <v>0</v>
      </c>
      <c r="SG56">
        <v>0</v>
      </c>
      <c r="SH56">
        <v>0</v>
      </c>
      <c r="SI56">
        <v>0</v>
      </c>
      <c r="SJ56">
        <v>0</v>
      </c>
      <c r="SK56">
        <v>0</v>
      </c>
      <c r="SL56">
        <v>0</v>
      </c>
      <c r="SM56">
        <v>0</v>
      </c>
      <c r="SN56">
        <v>0</v>
      </c>
      <c r="SO56">
        <v>0</v>
      </c>
      <c r="SP56">
        <v>0</v>
      </c>
      <c r="SQ56">
        <v>0</v>
      </c>
      <c r="SR56">
        <v>0</v>
      </c>
      <c r="SS56">
        <v>0</v>
      </c>
      <c r="ST56">
        <v>0</v>
      </c>
      <c r="SU56">
        <v>0</v>
      </c>
      <c r="SV56">
        <v>0</v>
      </c>
      <c r="SW56">
        <v>0</v>
      </c>
      <c r="SX56">
        <v>0</v>
      </c>
      <c r="SY56">
        <v>0</v>
      </c>
      <c r="SZ56">
        <v>0</v>
      </c>
      <c r="TA56">
        <v>0</v>
      </c>
      <c r="TB56">
        <v>0</v>
      </c>
      <c r="TC56">
        <v>0</v>
      </c>
      <c r="TD56">
        <v>0</v>
      </c>
      <c r="TE56">
        <v>0</v>
      </c>
      <c r="TF56">
        <v>0</v>
      </c>
      <c r="TG56">
        <v>0</v>
      </c>
      <c r="TH56">
        <v>0</v>
      </c>
      <c r="TI56">
        <v>0</v>
      </c>
      <c r="TJ56">
        <v>0</v>
      </c>
      <c r="TK56">
        <v>0</v>
      </c>
      <c r="TL56">
        <v>0</v>
      </c>
      <c r="TM56">
        <v>0</v>
      </c>
      <c r="TN56">
        <v>0</v>
      </c>
      <c r="TO56">
        <v>0</v>
      </c>
      <c r="TP56">
        <v>0</v>
      </c>
      <c r="TQ56">
        <v>0</v>
      </c>
      <c r="TR56">
        <v>0</v>
      </c>
      <c r="TS56">
        <v>0</v>
      </c>
      <c r="TT56">
        <v>0</v>
      </c>
      <c r="TU56">
        <v>0</v>
      </c>
      <c r="TV56">
        <v>0</v>
      </c>
      <c r="TW56">
        <v>0</v>
      </c>
      <c r="TX56">
        <v>0</v>
      </c>
      <c r="TY56">
        <v>0</v>
      </c>
      <c r="TZ56">
        <v>0</v>
      </c>
      <c r="UA56">
        <v>0</v>
      </c>
      <c r="UB56">
        <v>0</v>
      </c>
      <c r="UC56">
        <v>0</v>
      </c>
      <c r="UD56">
        <v>0</v>
      </c>
      <c r="UE56">
        <v>0</v>
      </c>
      <c r="UF56">
        <v>0</v>
      </c>
      <c r="UG56">
        <v>0</v>
      </c>
      <c r="UH56">
        <v>0</v>
      </c>
      <c r="UI56">
        <v>0</v>
      </c>
      <c r="UJ56">
        <v>0</v>
      </c>
      <c r="UK56">
        <v>0</v>
      </c>
      <c r="UL56">
        <v>0</v>
      </c>
      <c r="UM56">
        <v>0</v>
      </c>
      <c r="UN56">
        <v>0</v>
      </c>
      <c r="UO56">
        <v>0</v>
      </c>
      <c r="UP56">
        <v>0</v>
      </c>
      <c r="UQ56">
        <v>0</v>
      </c>
      <c r="UR56">
        <v>0</v>
      </c>
      <c r="US56">
        <v>0</v>
      </c>
      <c r="UT56">
        <v>0</v>
      </c>
      <c r="UU56">
        <v>0</v>
      </c>
      <c r="UV56">
        <v>0</v>
      </c>
      <c r="UW56">
        <v>0</v>
      </c>
      <c r="UX56">
        <v>0</v>
      </c>
      <c r="UY56">
        <v>0</v>
      </c>
      <c r="UZ56">
        <v>0</v>
      </c>
      <c r="VA56">
        <v>0</v>
      </c>
      <c r="VB56">
        <v>0</v>
      </c>
      <c r="VC56">
        <v>0</v>
      </c>
      <c r="VD56">
        <v>0</v>
      </c>
      <c r="VE56">
        <v>0</v>
      </c>
      <c r="VF56">
        <v>0</v>
      </c>
      <c r="VG56">
        <v>0</v>
      </c>
      <c r="VH56">
        <v>0</v>
      </c>
      <c r="VI56">
        <v>0</v>
      </c>
      <c r="VJ56">
        <v>0</v>
      </c>
      <c r="VK56">
        <v>0</v>
      </c>
      <c r="VL56">
        <v>0</v>
      </c>
      <c r="VM56">
        <v>0</v>
      </c>
      <c r="VN56">
        <v>0</v>
      </c>
      <c r="VO56">
        <v>0</v>
      </c>
      <c r="VP56">
        <v>0</v>
      </c>
      <c r="VQ56">
        <v>0</v>
      </c>
      <c r="VR56">
        <v>0</v>
      </c>
      <c r="VS56">
        <v>0</v>
      </c>
      <c r="VT56">
        <v>0</v>
      </c>
      <c r="VU56">
        <v>0</v>
      </c>
      <c r="VV56">
        <v>0</v>
      </c>
      <c r="VW56">
        <v>0</v>
      </c>
      <c r="VX56">
        <v>0</v>
      </c>
      <c r="VY56">
        <v>0</v>
      </c>
      <c r="VZ56">
        <v>0</v>
      </c>
      <c r="WA56">
        <v>0</v>
      </c>
      <c r="WB56">
        <v>0</v>
      </c>
      <c r="WC56">
        <v>0</v>
      </c>
      <c r="WD56">
        <v>0</v>
      </c>
      <c r="WE56">
        <v>0</v>
      </c>
      <c r="WF56">
        <v>0</v>
      </c>
      <c r="WG56">
        <v>0</v>
      </c>
      <c r="WH56">
        <v>0</v>
      </c>
      <c r="WI56">
        <v>0</v>
      </c>
      <c r="WJ56">
        <v>0</v>
      </c>
      <c r="WK56">
        <v>0</v>
      </c>
      <c r="WL56">
        <v>0</v>
      </c>
      <c r="WM56">
        <v>0</v>
      </c>
      <c r="WN56">
        <v>0</v>
      </c>
      <c r="WO56">
        <v>0</v>
      </c>
      <c r="WP56">
        <v>0</v>
      </c>
      <c r="WQ56">
        <v>0</v>
      </c>
      <c r="WR56">
        <v>0</v>
      </c>
      <c r="WS56">
        <v>0</v>
      </c>
      <c r="WT56">
        <v>0</v>
      </c>
      <c r="WU56">
        <v>0</v>
      </c>
      <c r="WV56">
        <v>0</v>
      </c>
      <c r="WW56">
        <v>0</v>
      </c>
      <c r="WX56">
        <v>0</v>
      </c>
      <c r="WY56">
        <v>0</v>
      </c>
      <c r="WZ56">
        <v>0</v>
      </c>
      <c r="XA56">
        <v>0</v>
      </c>
      <c r="XB56">
        <v>0</v>
      </c>
      <c r="XC56">
        <v>0</v>
      </c>
      <c r="XD56">
        <v>0</v>
      </c>
      <c r="XE56">
        <v>0</v>
      </c>
      <c r="XF56">
        <v>0</v>
      </c>
      <c r="XG56">
        <v>0</v>
      </c>
      <c r="XH56">
        <v>0</v>
      </c>
      <c r="XI56">
        <v>0</v>
      </c>
      <c r="XJ56">
        <v>0</v>
      </c>
      <c r="XK56">
        <v>0</v>
      </c>
      <c r="XL56">
        <v>0</v>
      </c>
      <c r="XM56">
        <v>0</v>
      </c>
      <c r="XN56">
        <v>0</v>
      </c>
      <c r="XO56">
        <v>0</v>
      </c>
      <c r="XP56">
        <v>0</v>
      </c>
      <c r="XQ56">
        <v>0</v>
      </c>
      <c r="XR56">
        <v>0</v>
      </c>
      <c r="XS56">
        <v>0</v>
      </c>
      <c r="XT56">
        <v>0</v>
      </c>
      <c r="XU56">
        <v>0</v>
      </c>
      <c r="XV56">
        <v>0</v>
      </c>
      <c r="XW56">
        <v>0</v>
      </c>
      <c r="XX56">
        <v>0</v>
      </c>
      <c r="XY56">
        <v>0</v>
      </c>
      <c r="XZ56">
        <v>0</v>
      </c>
      <c r="YA56">
        <v>0</v>
      </c>
      <c r="YB56">
        <v>0</v>
      </c>
      <c r="YC56">
        <v>0</v>
      </c>
      <c r="YD56">
        <v>0</v>
      </c>
      <c r="YE56">
        <v>0</v>
      </c>
      <c r="YF56">
        <v>0</v>
      </c>
      <c r="YG56">
        <v>0</v>
      </c>
      <c r="YH56">
        <v>0</v>
      </c>
      <c r="YI56">
        <v>0</v>
      </c>
      <c r="YJ56">
        <v>0</v>
      </c>
      <c r="YK56">
        <v>0</v>
      </c>
      <c r="YL56">
        <v>0</v>
      </c>
      <c r="YM56">
        <v>0</v>
      </c>
      <c r="YN56">
        <v>0</v>
      </c>
      <c r="YO56">
        <v>0</v>
      </c>
      <c r="YP56">
        <v>0</v>
      </c>
      <c r="YQ56">
        <v>0</v>
      </c>
      <c r="YR56">
        <v>0</v>
      </c>
      <c r="YS56">
        <v>0</v>
      </c>
      <c r="YT56">
        <v>0</v>
      </c>
      <c r="YU56">
        <v>0</v>
      </c>
      <c r="YV56">
        <v>0</v>
      </c>
      <c r="YW56">
        <v>0</v>
      </c>
      <c r="YX56">
        <v>0</v>
      </c>
      <c r="YY56">
        <v>0</v>
      </c>
      <c r="YZ56">
        <v>0</v>
      </c>
      <c r="ZA56">
        <v>0</v>
      </c>
      <c r="ZB56">
        <v>0</v>
      </c>
      <c r="ZC56">
        <v>0</v>
      </c>
      <c r="ZD56">
        <v>0</v>
      </c>
      <c r="ZE56">
        <v>0</v>
      </c>
      <c r="ZF56">
        <v>0</v>
      </c>
      <c r="ZG56">
        <v>0</v>
      </c>
      <c r="ZH56">
        <v>0</v>
      </c>
      <c r="ZI56">
        <v>0</v>
      </c>
      <c r="ZJ56">
        <v>0</v>
      </c>
      <c r="ZK56">
        <v>0</v>
      </c>
      <c r="ZL56">
        <v>0</v>
      </c>
      <c r="ZM56">
        <v>0</v>
      </c>
      <c r="ZN56">
        <v>0</v>
      </c>
      <c r="ZO56">
        <v>0</v>
      </c>
      <c r="ZP56">
        <v>0</v>
      </c>
      <c r="ZQ56">
        <v>0</v>
      </c>
      <c r="ZR56">
        <v>0</v>
      </c>
      <c r="ZS56">
        <v>0</v>
      </c>
      <c r="ZT56">
        <v>0</v>
      </c>
      <c r="ZU56">
        <v>0</v>
      </c>
      <c r="ZV56">
        <v>0</v>
      </c>
      <c r="ZW56">
        <v>0</v>
      </c>
      <c r="ZX56">
        <v>0</v>
      </c>
      <c r="ZY56">
        <v>0</v>
      </c>
      <c r="ZZ56">
        <v>0</v>
      </c>
      <c r="AAA56">
        <v>0</v>
      </c>
      <c r="AAB56">
        <v>0</v>
      </c>
      <c r="AAC56">
        <v>0</v>
      </c>
      <c r="AAD56">
        <v>0</v>
      </c>
      <c r="AAE56">
        <v>0</v>
      </c>
      <c r="AAF56">
        <v>0</v>
      </c>
      <c r="AAG56">
        <v>0</v>
      </c>
      <c r="AAH56">
        <v>0</v>
      </c>
      <c r="AAI56">
        <v>0</v>
      </c>
      <c r="AAJ56">
        <v>0</v>
      </c>
      <c r="AAK56">
        <v>0</v>
      </c>
      <c r="AAL56">
        <v>0</v>
      </c>
      <c r="AAM56">
        <v>0</v>
      </c>
      <c r="AAN56">
        <v>0</v>
      </c>
      <c r="AAO56">
        <v>0</v>
      </c>
      <c r="AAP56">
        <v>0</v>
      </c>
      <c r="AAQ56">
        <v>0</v>
      </c>
      <c r="AAR56">
        <v>0</v>
      </c>
      <c r="AAS56">
        <v>0</v>
      </c>
      <c r="AAT56">
        <v>0</v>
      </c>
      <c r="AAU56">
        <v>0</v>
      </c>
      <c r="AAV56">
        <v>0</v>
      </c>
      <c r="AAW56">
        <v>0</v>
      </c>
      <c r="AAX56">
        <v>0</v>
      </c>
      <c r="AAY56">
        <v>0</v>
      </c>
      <c r="AAZ56">
        <v>0</v>
      </c>
      <c r="ABA56">
        <v>0</v>
      </c>
      <c r="ABB56">
        <v>0</v>
      </c>
      <c r="ABC56">
        <v>0</v>
      </c>
      <c r="ABD56">
        <v>0</v>
      </c>
      <c r="ABE56">
        <v>0</v>
      </c>
      <c r="ABG56" s="1137">
        <f t="shared" si="13"/>
        <v>0</v>
      </c>
      <c r="ABH56" s="1137">
        <f t="shared" si="13"/>
        <v>0</v>
      </c>
      <c r="ABI56" s="1137">
        <f t="shared" si="13"/>
        <v>7</v>
      </c>
      <c r="ABJ56" s="1137">
        <f t="shared" si="13"/>
        <v>30</v>
      </c>
      <c r="ABK56" s="1137">
        <f t="shared" si="13"/>
        <v>31</v>
      </c>
      <c r="ABL56" s="1137">
        <f t="shared" si="13"/>
        <v>30</v>
      </c>
      <c r="ABM56" s="1137">
        <f t="shared" si="13"/>
        <v>31</v>
      </c>
      <c r="ABN56" s="1137">
        <f t="shared" si="13"/>
        <v>31</v>
      </c>
      <c r="ABO56" s="1137">
        <f t="shared" si="13"/>
        <v>30</v>
      </c>
      <c r="ABP56" s="1137">
        <f t="shared" si="13"/>
        <v>31</v>
      </c>
      <c r="ABQ56" s="1137">
        <f t="shared" si="13"/>
        <v>30</v>
      </c>
      <c r="ABR56" s="1137">
        <f t="shared" si="13"/>
        <v>31</v>
      </c>
      <c r="ABS56" s="1137">
        <f t="shared" si="13"/>
        <v>17</v>
      </c>
      <c r="ABT56" s="1137">
        <f t="shared" si="13"/>
        <v>0</v>
      </c>
      <c r="ABU56" s="1137">
        <f t="shared" si="13"/>
        <v>0</v>
      </c>
      <c r="ABV56" s="1137">
        <f t="shared" si="13"/>
        <v>0</v>
      </c>
      <c r="ABW56" s="1137">
        <f t="shared" si="17"/>
        <v>0</v>
      </c>
      <c r="ABX56" s="1137">
        <f t="shared" si="14"/>
        <v>0</v>
      </c>
      <c r="ABY56" s="1137">
        <f t="shared" si="14"/>
        <v>0</v>
      </c>
      <c r="ABZ56" s="1137">
        <f t="shared" si="14"/>
        <v>0</v>
      </c>
      <c r="ACA56" s="1137">
        <f t="shared" si="14"/>
        <v>0</v>
      </c>
      <c r="ACB56" s="1137">
        <f t="shared" si="14"/>
        <v>0</v>
      </c>
      <c r="ACC56" s="1137">
        <f t="shared" si="14"/>
        <v>0</v>
      </c>
      <c r="ACD56" s="1137">
        <f t="shared" si="14"/>
        <v>0</v>
      </c>
      <c r="ACE56" s="1137" t="s">
        <v>27</v>
      </c>
      <c r="ACF56" s="1137">
        <f t="shared" si="15"/>
        <v>0</v>
      </c>
      <c r="ACG56" s="1137">
        <f t="shared" si="15"/>
        <v>0</v>
      </c>
      <c r="ACH56" s="1137">
        <f t="shared" si="15"/>
        <v>0</v>
      </c>
      <c r="ACI56" s="1137">
        <f t="shared" si="15"/>
        <v>1</v>
      </c>
      <c r="ACJ56" s="1137">
        <f t="shared" si="15"/>
        <v>1</v>
      </c>
      <c r="ACK56" s="1137">
        <f t="shared" si="15"/>
        <v>1</v>
      </c>
      <c r="ACL56" s="1137">
        <f t="shared" si="15"/>
        <v>1</v>
      </c>
      <c r="ACM56" s="1137">
        <f t="shared" si="15"/>
        <v>1</v>
      </c>
      <c r="ACN56" s="1137">
        <f t="shared" si="15"/>
        <v>1</v>
      </c>
      <c r="ACO56" s="1137">
        <f t="shared" si="15"/>
        <v>1</v>
      </c>
      <c r="ACP56" s="1137">
        <f t="shared" si="15"/>
        <v>1</v>
      </c>
      <c r="ACQ56" s="1137">
        <f t="shared" si="15"/>
        <v>1</v>
      </c>
      <c r="ACR56" s="1137">
        <f t="shared" si="15"/>
        <v>1</v>
      </c>
      <c r="ACS56" s="1137">
        <f t="shared" si="15"/>
        <v>0</v>
      </c>
      <c r="ACT56" s="1137">
        <f t="shared" si="15"/>
        <v>0</v>
      </c>
      <c r="ACU56" s="1137">
        <f t="shared" si="12"/>
        <v>0</v>
      </c>
      <c r="ACV56" s="1137">
        <f t="shared" si="12"/>
        <v>0</v>
      </c>
      <c r="ACW56" s="1137">
        <f t="shared" si="12"/>
        <v>0</v>
      </c>
      <c r="ACX56" s="1137">
        <f t="shared" si="12"/>
        <v>0</v>
      </c>
      <c r="ACY56" s="1137">
        <f t="shared" si="12"/>
        <v>0</v>
      </c>
      <c r="ACZ56" s="1137">
        <f t="shared" si="12"/>
        <v>0</v>
      </c>
      <c r="ADA56" s="1137">
        <f t="shared" si="12"/>
        <v>0</v>
      </c>
      <c r="ADB56" s="1137">
        <f t="shared" si="16"/>
        <v>0</v>
      </c>
      <c r="ADC56" s="1137">
        <f t="shared" si="16"/>
        <v>0</v>
      </c>
    </row>
    <row r="57" spans="1:783" x14ac:dyDescent="0.25">
      <c r="A57" t="s">
        <v>1854</v>
      </c>
      <c r="B57" t="s">
        <v>28</v>
      </c>
      <c r="C57">
        <v>0</v>
      </c>
      <c r="D57">
        <v>0</v>
      </c>
      <c r="E57">
        <v>0</v>
      </c>
      <c r="F57">
        <v>0</v>
      </c>
      <c r="G57">
        <v>0</v>
      </c>
      <c r="H57">
        <v>0</v>
      </c>
      <c r="I57">
        <v>0</v>
      </c>
      <c r="J57">
        <v>0</v>
      </c>
      <c r="K57">
        <v>0</v>
      </c>
      <c r="L57">
        <v>0</v>
      </c>
      <c r="M57">
        <v>0</v>
      </c>
      <c r="N57">
        <v>0</v>
      </c>
      <c r="O57">
        <v>0</v>
      </c>
      <c r="P57">
        <v>0</v>
      </c>
      <c r="Q57">
        <v>0</v>
      </c>
      <c r="R57">
        <v>0</v>
      </c>
      <c r="S57">
        <v>0</v>
      </c>
      <c r="T57">
        <v>0</v>
      </c>
      <c r="U57">
        <v>0</v>
      </c>
      <c r="V57">
        <v>0</v>
      </c>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v>0</v>
      </c>
      <c r="BE57">
        <v>0</v>
      </c>
      <c r="BF57">
        <v>0</v>
      </c>
      <c r="BG57">
        <v>0</v>
      </c>
      <c r="BH57">
        <v>0</v>
      </c>
      <c r="BI57">
        <v>0</v>
      </c>
      <c r="BJ57">
        <v>0</v>
      </c>
      <c r="BK57">
        <v>0</v>
      </c>
      <c r="BL57">
        <v>0</v>
      </c>
      <c r="BM57">
        <v>0</v>
      </c>
      <c r="BN57">
        <v>0</v>
      </c>
      <c r="BO57">
        <v>0</v>
      </c>
      <c r="BP57">
        <v>0</v>
      </c>
      <c r="BQ57">
        <v>0</v>
      </c>
      <c r="BR57">
        <v>0</v>
      </c>
      <c r="BS57">
        <v>0</v>
      </c>
      <c r="BT57">
        <v>0</v>
      </c>
      <c r="BU57">
        <v>0</v>
      </c>
      <c r="BV57">
        <v>0</v>
      </c>
      <c r="BW57">
        <v>0</v>
      </c>
      <c r="BX57">
        <v>0</v>
      </c>
      <c r="BY57">
        <v>0</v>
      </c>
      <c r="BZ57">
        <v>1</v>
      </c>
      <c r="CA57">
        <v>1</v>
      </c>
      <c r="CB57">
        <v>1</v>
      </c>
      <c r="CC57">
        <v>1</v>
      </c>
      <c r="CD57">
        <v>1</v>
      </c>
      <c r="CE57">
        <v>1</v>
      </c>
      <c r="CF57">
        <v>1</v>
      </c>
      <c r="CG57">
        <v>1</v>
      </c>
      <c r="CH57">
        <v>1</v>
      </c>
      <c r="CI57">
        <v>1</v>
      </c>
      <c r="CJ57">
        <v>1</v>
      </c>
      <c r="CK57">
        <v>1</v>
      </c>
      <c r="CL57">
        <v>1</v>
      </c>
      <c r="CM57">
        <v>1</v>
      </c>
      <c r="CN57">
        <v>1</v>
      </c>
      <c r="CO57">
        <v>1</v>
      </c>
      <c r="CP57">
        <v>2</v>
      </c>
      <c r="CQ57">
        <v>2</v>
      </c>
      <c r="CR57">
        <v>2</v>
      </c>
      <c r="CS57">
        <v>2</v>
      </c>
      <c r="CT57">
        <v>2</v>
      </c>
      <c r="CU57">
        <v>2</v>
      </c>
      <c r="CV57">
        <v>2</v>
      </c>
      <c r="CW57">
        <v>2</v>
      </c>
      <c r="CX57">
        <v>2</v>
      </c>
      <c r="CY57">
        <v>2</v>
      </c>
      <c r="CZ57">
        <v>2</v>
      </c>
      <c r="DA57">
        <v>2</v>
      </c>
      <c r="DB57">
        <v>2</v>
      </c>
      <c r="DC57">
        <v>2</v>
      </c>
      <c r="DD57">
        <v>2</v>
      </c>
      <c r="DE57">
        <v>2</v>
      </c>
      <c r="DF57">
        <v>2</v>
      </c>
      <c r="DG57">
        <v>2</v>
      </c>
      <c r="DH57">
        <v>2</v>
      </c>
      <c r="DI57">
        <v>2</v>
      </c>
      <c r="DJ57">
        <v>2</v>
      </c>
      <c r="DK57">
        <v>2</v>
      </c>
      <c r="DL57">
        <v>2</v>
      </c>
      <c r="DM57">
        <v>2</v>
      </c>
      <c r="DN57">
        <v>2</v>
      </c>
      <c r="DO57">
        <v>2</v>
      </c>
      <c r="DP57">
        <v>2</v>
      </c>
      <c r="DQ57">
        <v>2</v>
      </c>
      <c r="DR57">
        <v>2</v>
      </c>
      <c r="DS57">
        <v>2</v>
      </c>
      <c r="DT57">
        <v>2</v>
      </c>
      <c r="DU57">
        <v>2</v>
      </c>
      <c r="DV57">
        <v>2</v>
      </c>
      <c r="DW57">
        <v>2</v>
      </c>
      <c r="DX57">
        <v>2</v>
      </c>
      <c r="DY57">
        <v>2</v>
      </c>
      <c r="DZ57">
        <v>2</v>
      </c>
      <c r="EA57">
        <v>2</v>
      </c>
      <c r="EB57">
        <v>2</v>
      </c>
      <c r="EC57">
        <v>2</v>
      </c>
      <c r="ED57">
        <v>2</v>
      </c>
      <c r="EE57">
        <v>2</v>
      </c>
      <c r="EF57">
        <v>2</v>
      </c>
      <c r="EG57">
        <v>2</v>
      </c>
      <c r="EH57">
        <v>2</v>
      </c>
      <c r="EI57">
        <v>2</v>
      </c>
      <c r="EJ57">
        <v>2</v>
      </c>
      <c r="EK57">
        <v>2</v>
      </c>
      <c r="EL57">
        <v>2</v>
      </c>
      <c r="EM57">
        <v>2</v>
      </c>
      <c r="EN57">
        <v>2</v>
      </c>
      <c r="EO57">
        <v>2</v>
      </c>
      <c r="EP57">
        <v>2</v>
      </c>
      <c r="EQ57">
        <v>2</v>
      </c>
      <c r="ER57">
        <v>2</v>
      </c>
      <c r="ES57">
        <v>2</v>
      </c>
      <c r="ET57">
        <v>2</v>
      </c>
      <c r="EU57">
        <v>2</v>
      </c>
      <c r="EV57">
        <v>2</v>
      </c>
      <c r="EW57">
        <v>2</v>
      </c>
      <c r="EX57">
        <v>2</v>
      </c>
      <c r="EY57">
        <v>2</v>
      </c>
      <c r="EZ57">
        <v>2</v>
      </c>
      <c r="FA57">
        <v>2</v>
      </c>
      <c r="FB57">
        <v>2</v>
      </c>
      <c r="FC57">
        <v>2</v>
      </c>
      <c r="FD57">
        <v>2</v>
      </c>
      <c r="FE57">
        <v>2</v>
      </c>
      <c r="FF57">
        <v>2</v>
      </c>
      <c r="FG57">
        <v>2</v>
      </c>
      <c r="FH57">
        <v>2</v>
      </c>
      <c r="FI57">
        <v>2</v>
      </c>
      <c r="FJ57">
        <v>2</v>
      </c>
      <c r="FK57">
        <v>2</v>
      </c>
      <c r="FL57">
        <v>2</v>
      </c>
      <c r="FM57">
        <v>2</v>
      </c>
      <c r="FN57">
        <v>2</v>
      </c>
      <c r="FO57">
        <v>2</v>
      </c>
      <c r="FP57">
        <v>2</v>
      </c>
      <c r="FQ57">
        <v>2</v>
      </c>
      <c r="FR57">
        <v>2</v>
      </c>
      <c r="FS57">
        <v>2</v>
      </c>
      <c r="FT57">
        <v>2</v>
      </c>
      <c r="FU57">
        <v>2</v>
      </c>
      <c r="FV57">
        <v>2</v>
      </c>
      <c r="FW57">
        <v>2</v>
      </c>
      <c r="FX57">
        <v>2</v>
      </c>
      <c r="FY57">
        <v>2</v>
      </c>
      <c r="FZ57">
        <v>2</v>
      </c>
      <c r="GA57">
        <v>2</v>
      </c>
      <c r="GB57">
        <v>2</v>
      </c>
      <c r="GC57">
        <v>2</v>
      </c>
      <c r="GD57">
        <v>2</v>
      </c>
      <c r="GE57">
        <v>2</v>
      </c>
      <c r="GF57">
        <v>2</v>
      </c>
      <c r="GG57">
        <v>2</v>
      </c>
      <c r="GH57">
        <v>2</v>
      </c>
      <c r="GI57">
        <v>2</v>
      </c>
      <c r="GJ57">
        <v>2</v>
      </c>
      <c r="GK57">
        <v>2</v>
      </c>
      <c r="GL57">
        <v>2</v>
      </c>
      <c r="GM57">
        <v>2</v>
      </c>
      <c r="GN57">
        <v>2</v>
      </c>
      <c r="GO57">
        <v>2</v>
      </c>
      <c r="GP57">
        <v>2</v>
      </c>
      <c r="GQ57">
        <v>2</v>
      </c>
      <c r="GR57">
        <v>2</v>
      </c>
      <c r="GS57">
        <v>2</v>
      </c>
      <c r="GT57">
        <v>2</v>
      </c>
      <c r="GU57">
        <v>2</v>
      </c>
      <c r="GV57">
        <v>2</v>
      </c>
      <c r="GW57">
        <v>2</v>
      </c>
      <c r="GX57">
        <v>2</v>
      </c>
      <c r="GY57">
        <v>2</v>
      </c>
      <c r="GZ57">
        <v>2</v>
      </c>
      <c r="HA57">
        <v>2</v>
      </c>
      <c r="HB57">
        <v>2</v>
      </c>
      <c r="HC57">
        <v>2</v>
      </c>
      <c r="HD57">
        <v>2</v>
      </c>
      <c r="HE57">
        <v>2</v>
      </c>
      <c r="HF57">
        <v>2</v>
      </c>
      <c r="HG57">
        <v>2</v>
      </c>
      <c r="HH57">
        <v>2</v>
      </c>
      <c r="HI57">
        <v>2</v>
      </c>
      <c r="HJ57">
        <v>2</v>
      </c>
      <c r="HK57">
        <v>2</v>
      </c>
      <c r="HL57">
        <v>2</v>
      </c>
      <c r="HM57">
        <v>2</v>
      </c>
      <c r="HN57">
        <v>2</v>
      </c>
      <c r="HO57">
        <v>2</v>
      </c>
      <c r="HP57">
        <v>2</v>
      </c>
      <c r="HQ57">
        <v>2</v>
      </c>
      <c r="HR57">
        <v>2</v>
      </c>
      <c r="HS57">
        <v>2</v>
      </c>
      <c r="HT57">
        <v>2</v>
      </c>
      <c r="HU57">
        <v>2</v>
      </c>
      <c r="HV57">
        <v>2</v>
      </c>
      <c r="HW57">
        <v>2</v>
      </c>
      <c r="HX57">
        <v>2</v>
      </c>
      <c r="HY57">
        <v>2</v>
      </c>
      <c r="HZ57">
        <v>2</v>
      </c>
      <c r="IA57">
        <v>2</v>
      </c>
      <c r="IB57">
        <v>2</v>
      </c>
      <c r="IC57">
        <v>2</v>
      </c>
      <c r="ID57">
        <v>2</v>
      </c>
      <c r="IE57">
        <v>2</v>
      </c>
      <c r="IF57">
        <v>2</v>
      </c>
      <c r="IG57">
        <v>2</v>
      </c>
      <c r="IH57">
        <v>2</v>
      </c>
      <c r="II57">
        <v>2</v>
      </c>
      <c r="IJ57">
        <v>2</v>
      </c>
      <c r="IK57">
        <v>2</v>
      </c>
      <c r="IL57">
        <v>2</v>
      </c>
      <c r="IM57">
        <v>2</v>
      </c>
      <c r="IN57">
        <v>2</v>
      </c>
      <c r="IO57">
        <v>2</v>
      </c>
      <c r="IP57">
        <v>2</v>
      </c>
      <c r="IQ57">
        <v>2</v>
      </c>
      <c r="IR57">
        <v>2</v>
      </c>
      <c r="IS57">
        <v>2</v>
      </c>
      <c r="IT57">
        <v>2</v>
      </c>
      <c r="IU57">
        <v>2</v>
      </c>
      <c r="IV57">
        <v>2</v>
      </c>
      <c r="IW57">
        <v>2</v>
      </c>
      <c r="IX57">
        <v>2</v>
      </c>
      <c r="IY57">
        <v>2</v>
      </c>
      <c r="IZ57">
        <v>2</v>
      </c>
      <c r="JA57">
        <v>2</v>
      </c>
      <c r="JB57">
        <v>2</v>
      </c>
      <c r="JC57">
        <v>2</v>
      </c>
      <c r="JD57">
        <v>2</v>
      </c>
      <c r="JE57">
        <v>2</v>
      </c>
      <c r="JF57">
        <v>2</v>
      </c>
      <c r="JG57">
        <v>2</v>
      </c>
      <c r="JH57">
        <v>2</v>
      </c>
      <c r="JI57">
        <v>2</v>
      </c>
      <c r="JJ57">
        <v>2</v>
      </c>
      <c r="JK57">
        <v>2</v>
      </c>
      <c r="JL57">
        <v>2</v>
      </c>
      <c r="JM57">
        <v>2</v>
      </c>
      <c r="JN57">
        <v>2</v>
      </c>
      <c r="JO57">
        <v>2</v>
      </c>
      <c r="JP57">
        <v>2</v>
      </c>
      <c r="JQ57">
        <v>2</v>
      </c>
      <c r="JR57">
        <v>2</v>
      </c>
      <c r="JS57">
        <v>2</v>
      </c>
      <c r="JT57">
        <v>2</v>
      </c>
      <c r="JU57">
        <v>2</v>
      </c>
      <c r="JV57">
        <v>2</v>
      </c>
      <c r="JW57">
        <v>2</v>
      </c>
      <c r="JX57">
        <v>2</v>
      </c>
      <c r="JY57">
        <v>2</v>
      </c>
      <c r="JZ57">
        <v>2</v>
      </c>
      <c r="KA57">
        <v>2</v>
      </c>
      <c r="KB57">
        <v>2</v>
      </c>
      <c r="KC57">
        <v>2</v>
      </c>
      <c r="KD57">
        <v>2</v>
      </c>
      <c r="KE57">
        <v>2</v>
      </c>
      <c r="KF57">
        <v>2</v>
      </c>
      <c r="KG57">
        <v>2</v>
      </c>
      <c r="KH57">
        <v>2</v>
      </c>
      <c r="KI57">
        <v>2</v>
      </c>
      <c r="KJ57">
        <v>2</v>
      </c>
      <c r="KK57">
        <v>2</v>
      </c>
      <c r="KL57">
        <v>2</v>
      </c>
      <c r="KM57">
        <v>2</v>
      </c>
      <c r="KN57">
        <v>2</v>
      </c>
      <c r="KO57">
        <v>2</v>
      </c>
      <c r="KP57">
        <v>2</v>
      </c>
      <c r="KQ57">
        <v>2</v>
      </c>
      <c r="KR57">
        <v>2</v>
      </c>
      <c r="KS57">
        <v>2</v>
      </c>
      <c r="KT57">
        <v>2</v>
      </c>
      <c r="KU57">
        <v>2</v>
      </c>
      <c r="KV57">
        <v>2</v>
      </c>
      <c r="KW57">
        <v>2</v>
      </c>
      <c r="KX57">
        <v>2</v>
      </c>
      <c r="KY57">
        <v>2</v>
      </c>
      <c r="KZ57">
        <v>2</v>
      </c>
      <c r="LA57">
        <v>2</v>
      </c>
      <c r="LB57">
        <v>2</v>
      </c>
      <c r="LC57">
        <v>2</v>
      </c>
      <c r="LD57">
        <v>2</v>
      </c>
      <c r="LE57">
        <v>2</v>
      </c>
      <c r="LF57">
        <v>2</v>
      </c>
      <c r="LG57">
        <v>2</v>
      </c>
      <c r="LH57">
        <v>2</v>
      </c>
      <c r="LI57">
        <v>2</v>
      </c>
      <c r="LJ57">
        <v>2</v>
      </c>
      <c r="LK57">
        <v>2</v>
      </c>
      <c r="LL57">
        <v>2</v>
      </c>
      <c r="LM57">
        <v>2</v>
      </c>
      <c r="LN57">
        <v>2</v>
      </c>
      <c r="LO57">
        <v>2</v>
      </c>
      <c r="LP57">
        <v>2</v>
      </c>
      <c r="LQ57">
        <v>2</v>
      </c>
      <c r="LR57">
        <v>2</v>
      </c>
      <c r="LS57">
        <v>2</v>
      </c>
      <c r="LT57">
        <v>2</v>
      </c>
      <c r="LU57">
        <v>2</v>
      </c>
      <c r="LV57">
        <v>2</v>
      </c>
      <c r="LW57">
        <v>2</v>
      </c>
      <c r="LX57">
        <v>2</v>
      </c>
      <c r="LY57">
        <v>2</v>
      </c>
      <c r="LZ57">
        <v>2</v>
      </c>
      <c r="MA57">
        <v>2</v>
      </c>
      <c r="MB57">
        <v>2</v>
      </c>
      <c r="MC57">
        <v>2</v>
      </c>
      <c r="MD57">
        <v>2</v>
      </c>
      <c r="ME57">
        <v>2</v>
      </c>
      <c r="MF57">
        <v>2</v>
      </c>
      <c r="MG57">
        <v>2</v>
      </c>
      <c r="MH57">
        <v>2</v>
      </c>
      <c r="MI57">
        <v>2</v>
      </c>
      <c r="MJ57">
        <v>2</v>
      </c>
      <c r="MK57">
        <v>2</v>
      </c>
      <c r="ML57">
        <v>2</v>
      </c>
      <c r="MM57">
        <v>2</v>
      </c>
      <c r="MN57">
        <v>2</v>
      </c>
      <c r="MO57">
        <v>2</v>
      </c>
      <c r="MP57">
        <v>2</v>
      </c>
      <c r="MQ57">
        <v>2</v>
      </c>
      <c r="MR57">
        <v>2</v>
      </c>
      <c r="MS57">
        <v>2</v>
      </c>
      <c r="MT57">
        <v>2</v>
      </c>
      <c r="MU57">
        <v>2</v>
      </c>
      <c r="MV57">
        <v>2</v>
      </c>
      <c r="MW57">
        <v>2</v>
      </c>
      <c r="MX57">
        <v>2</v>
      </c>
      <c r="MY57">
        <v>2</v>
      </c>
      <c r="MZ57">
        <v>2</v>
      </c>
      <c r="NA57">
        <v>2</v>
      </c>
      <c r="NB57">
        <v>2</v>
      </c>
      <c r="NC57">
        <v>2</v>
      </c>
      <c r="ND57">
        <v>2</v>
      </c>
      <c r="NE57">
        <v>2</v>
      </c>
      <c r="NF57">
        <v>2</v>
      </c>
      <c r="NG57">
        <v>2</v>
      </c>
      <c r="NH57">
        <v>2</v>
      </c>
      <c r="NI57">
        <v>2</v>
      </c>
      <c r="NJ57">
        <v>2</v>
      </c>
      <c r="NK57">
        <v>2</v>
      </c>
      <c r="NL57">
        <v>2</v>
      </c>
      <c r="NM57">
        <v>2</v>
      </c>
      <c r="NN57">
        <v>2</v>
      </c>
      <c r="NO57">
        <v>2</v>
      </c>
      <c r="NP57">
        <v>2</v>
      </c>
      <c r="NQ57">
        <v>2</v>
      </c>
      <c r="NR57">
        <v>2</v>
      </c>
      <c r="NS57">
        <v>2</v>
      </c>
      <c r="NT57">
        <v>2</v>
      </c>
      <c r="NU57">
        <v>2</v>
      </c>
      <c r="NV57">
        <v>2</v>
      </c>
      <c r="NW57">
        <v>2</v>
      </c>
      <c r="NX57">
        <v>2</v>
      </c>
      <c r="NY57">
        <v>2</v>
      </c>
      <c r="NZ57">
        <v>2</v>
      </c>
      <c r="OA57">
        <v>2</v>
      </c>
      <c r="OB57">
        <v>2</v>
      </c>
      <c r="OC57">
        <v>2</v>
      </c>
      <c r="OD57">
        <v>2</v>
      </c>
      <c r="OE57">
        <v>2</v>
      </c>
      <c r="OF57">
        <v>2</v>
      </c>
      <c r="OG57">
        <v>2</v>
      </c>
      <c r="OH57">
        <v>2</v>
      </c>
      <c r="OI57">
        <v>2</v>
      </c>
      <c r="OJ57">
        <v>2</v>
      </c>
      <c r="OK57">
        <v>2</v>
      </c>
      <c r="OL57">
        <v>2</v>
      </c>
      <c r="OM57">
        <v>2</v>
      </c>
      <c r="ON57">
        <v>2</v>
      </c>
      <c r="OO57">
        <v>2</v>
      </c>
      <c r="OP57">
        <v>2</v>
      </c>
      <c r="OQ57">
        <v>2</v>
      </c>
      <c r="OR57">
        <v>2</v>
      </c>
      <c r="OS57">
        <v>2</v>
      </c>
      <c r="OT57">
        <v>2</v>
      </c>
      <c r="OU57">
        <v>2</v>
      </c>
      <c r="OV57">
        <v>2</v>
      </c>
      <c r="OW57">
        <v>2</v>
      </c>
      <c r="OX57">
        <v>2</v>
      </c>
      <c r="OY57">
        <v>2</v>
      </c>
      <c r="OZ57">
        <v>2</v>
      </c>
      <c r="PA57">
        <v>2</v>
      </c>
      <c r="PB57">
        <v>2</v>
      </c>
      <c r="PC57">
        <v>2</v>
      </c>
      <c r="PD57">
        <v>2</v>
      </c>
      <c r="PE57">
        <v>2</v>
      </c>
      <c r="PF57">
        <v>2</v>
      </c>
      <c r="PG57">
        <v>2</v>
      </c>
      <c r="PH57">
        <v>2</v>
      </c>
      <c r="PI57">
        <v>2</v>
      </c>
      <c r="PJ57">
        <v>2</v>
      </c>
      <c r="PK57">
        <v>2</v>
      </c>
      <c r="PL57">
        <v>2</v>
      </c>
      <c r="PM57">
        <v>2</v>
      </c>
      <c r="PN57">
        <v>2</v>
      </c>
      <c r="PO57">
        <v>2</v>
      </c>
      <c r="PP57">
        <v>2</v>
      </c>
      <c r="PQ57">
        <v>2</v>
      </c>
      <c r="PR57">
        <v>2</v>
      </c>
      <c r="PS57">
        <v>2</v>
      </c>
      <c r="PT57">
        <v>2</v>
      </c>
      <c r="PU57">
        <v>2</v>
      </c>
      <c r="PV57">
        <v>2</v>
      </c>
      <c r="PW57">
        <v>2</v>
      </c>
      <c r="PX57">
        <v>2</v>
      </c>
      <c r="PY57">
        <v>2</v>
      </c>
      <c r="PZ57">
        <v>2</v>
      </c>
      <c r="QA57">
        <v>2</v>
      </c>
      <c r="QB57">
        <v>2</v>
      </c>
      <c r="QC57">
        <v>2</v>
      </c>
      <c r="QD57">
        <v>2</v>
      </c>
      <c r="QE57">
        <v>2</v>
      </c>
      <c r="QF57">
        <v>2</v>
      </c>
      <c r="QG57">
        <v>2</v>
      </c>
      <c r="QH57">
        <v>2</v>
      </c>
      <c r="QI57">
        <v>2</v>
      </c>
      <c r="QJ57">
        <v>2</v>
      </c>
      <c r="QK57">
        <v>2</v>
      </c>
      <c r="QL57">
        <v>2</v>
      </c>
      <c r="QM57">
        <v>2</v>
      </c>
      <c r="QN57">
        <v>2</v>
      </c>
      <c r="QO57">
        <v>2</v>
      </c>
      <c r="QP57">
        <v>2</v>
      </c>
      <c r="QQ57">
        <v>2</v>
      </c>
      <c r="QR57">
        <v>2</v>
      </c>
      <c r="QS57">
        <v>2</v>
      </c>
      <c r="QT57">
        <v>2</v>
      </c>
      <c r="QU57">
        <v>2</v>
      </c>
      <c r="QV57">
        <v>2</v>
      </c>
      <c r="QW57">
        <v>2</v>
      </c>
      <c r="QX57">
        <v>2</v>
      </c>
      <c r="QY57">
        <v>2</v>
      </c>
      <c r="QZ57">
        <v>2</v>
      </c>
      <c r="RA57">
        <v>2</v>
      </c>
      <c r="RB57">
        <v>2</v>
      </c>
      <c r="RC57">
        <v>2</v>
      </c>
      <c r="RD57">
        <v>2</v>
      </c>
      <c r="RE57">
        <v>2</v>
      </c>
      <c r="RF57">
        <v>2</v>
      </c>
      <c r="RG57">
        <v>2</v>
      </c>
      <c r="RH57">
        <v>2</v>
      </c>
      <c r="RI57">
        <v>2</v>
      </c>
      <c r="RJ57">
        <v>2</v>
      </c>
      <c r="RK57">
        <v>2</v>
      </c>
      <c r="RL57">
        <v>2</v>
      </c>
      <c r="RM57">
        <v>2</v>
      </c>
      <c r="RN57">
        <v>2</v>
      </c>
      <c r="RO57">
        <v>2</v>
      </c>
      <c r="RP57">
        <v>2</v>
      </c>
      <c r="RQ57">
        <v>2</v>
      </c>
      <c r="RR57">
        <v>2</v>
      </c>
      <c r="RS57">
        <v>2</v>
      </c>
      <c r="RT57">
        <v>2</v>
      </c>
      <c r="RU57">
        <v>2</v>
      </c>
      <c r="RV57">
        <v>2</v>
      </c>
      <c r="RW57">
        <v>2</v>
      </c>
      <c r="RX57">
        <v>2</v>
      </c>
      <c r="RY57">
        <v>2</v>
      </c>
      <c r="RZ57">
        <v>2</v>
      </c>
      <c r="SA57">
        <v>2</v>
      </c>
      <c r="SB57">
        <v>2</v>
      </c>
      <c r="SC57">
        <v>2</v>
      </c>
      <c r="SD57">
        <v>2</v>
      </c>
      <c r="SE57">
        <v>2</v>
      </c>
      <c r="SF57">
        <v>2</v>
      </c>
      <c r="SG57">
        <v>2</v>
      </c>
      <c r="SH57">
        <v>2</v>
      </c>
      <c r="SI57">
        <v>2</v>
      </c>
      <c r="SJ57">
        <v>2</v>
      </c>
      <c r="SK57">
        <v>2</v>
      </c>
      <c r="SL57">
        <v>2</v>
      </c>
      <c r="SM57">
        <v>2</v>
      </c>
      <c r="SN57">
        <v>2</v>
      </c>
      <c r="SO57">
        <v>2</v>
      </c>
      <c r="SP57">
        <v>2</v>
      </c>
      <c r="SQ57">
        <v>2</v>
      </c>
      <c r="SR57">
        <v>2</v>
      </c>
      <c r="SS57">
        <v>2</v>
      </c>
      <c r="ST57">
        <v>2</v>
      </c>
      <c r="SU57">
        <v>2</v>
      </c>
      <c r="SV57">
        <v>2</v>
      </c>
      <c r="SW57">
        <v>2</v>
      </c>
      <c r="SX57">
        <v>2</v>
      </c>
      <c r="SY57">
        <v>2</v>
      </c>
      <c r="SZ57">
        <v>2</v>
      </c>
      <c r="TA57">
        <v>2</v>
      </c>
      <c r="TB57">
        <v>2</v>
      </c>
      <c r="TC57">
        <v>2</v>
      </c>
      <c r="TD57">
        <v>2</v>
      </c>
      <c r="TE57">
        <v>2</v>
      </c>
      <c r="TF57">
        <v>2</v>
      </c>
      <c r="TG57">
        <v>2</v>
      </c>
      <c r="TH57">
        <v>2</v>
      </c>
      <c r="TI57">
        <v>2</v>
      </c>
      <c r="TJ57">
        <v>2</v>
      </c>
      <c r="TK57">
        <v>2</v>
      </c>
      <c r="TL57">
        <v>2</v>
      </c>
      <c r="TM57">
        <v>2</v>
      </c>
      <c r="TN57">
        <v>2</v>
      </c>
      <c r="TO57">
        <v>2</v>
      </c>
      <c r="TP57">
        <v>2</v>
      </c>
      <c r="TQ57">
        <v>2</v>
      </c>
      <c r="TR57">
        <v>2</v>
      </c>
      <c r="TS57">
        <v>2</v>
      </c>
      <c r="TT57">
        <v>2</v>
      </c>
      <c r="TU57">
        <v>2</v>
      </c>
      <c r="TV57">
        <v>2</v>
      </c>
      <c r="TW57">
        <v>2</v>
      </c>
      <c r="TX57">
        <v>2</v>
      </c>
      <c r="TY57">
        <v>2</v>
      </c>
      <c r="TZ57">
        <v>2</v>
      </c>
      <c r="UA57">
        <v>2</v>
      </c>
      <c r="UB57">
        <v>2</v>
      </c>
      <c r="UC57">
        <v>2</v>
      </c>
      <c r="UD57">
        <v>2</v>
      </c>
      <c r="UE57">
        <v>2</v>
      </c>
      <c r="UF57">
        <v>2</v>
      </c>
      <c r="UG57">
        <v>2</v>
      </c>
      <c r="UH57">
        <v>2</v>
      </c>
      <c r="UI57">
        <v>2</v>
      </c>
      <c r="UJ57">
        <v>2</v>
      </c>
      <c r="UK57">
        <v>2</v>
      </c>
      <c r="UL57">
        <v>2</v>
      </c>
      <c r="UM57">
        <v>2</v>
      </c>
      <c r="UN57">
        <v>2</v>
      </c>
      <c r="UO57">
        <v>2</v>
      </c>
      <c r="UP57">
        <v>2</v>
      </c>
      <c r="UQ57">
        <v>2</v>
      </c>
      <c r="UR57">
        <v>2</v>
      </c>
      <c r="US57">
        <v>2</v>
      </c>
      <c r="UT57">
        <v>2</v>
      </c>
      <c r="UU57">
        <v>2</v>
      </c>
      <c r="UV57">
        <v>2</v>
      </c>
      <c r="UW57">
        <v>2</v>
      </c>
      <c r="UX57">
        <v>2</v>
      </c>
      <c r="UY57">
        <v>2</v>
      </c>
      <c r="UZ57">
        <v>2</v>
      </c>
      <c r="VA57">
        <v>2</v>
      </c>
      <c r="VB57">
        <v>2</v>
      </c>
      <c r="VC57">
        <v>2</v>
      </c>
      <c r="VD57">
        <v>2</v>
      </c>
      <c r="VE57">
        <v>2</v>
      </c>
      <c r="VF57">
        <v>2</v>
      </c>
      <c r="VG57">
        <v>2</v>
      </c>
      <c r="VH57">
        <v>2</v>
      </c>
      <c r="VI57">
        <v>2</v>
      </c>
      <c r="VJ57">
        <v>2</v>
      </c>
      <c r="VK57">
        <v>2</v>
      </c>
      <c r="VL57">
        <v>2</v>
      </c>
      <c r="VM57">
        <v>2</v>
      </c>
      <c r="VN57">
        <v>2</v>
      </c>
      <c r="VO57">
        <v>2</v>
      </c>
      <c r="VP57">
        <v>2</v>
      </c>
      <c r="VQ57">
        <v>2</v>
      </c>
      <c r="VR57">
        <v>2</v>
      </c>
      <c r="VS57">
        <v>2</v>
      </c>
      <c r="VT57">
        <v>2</v>
      </c>
      <c r="VU57">
        <v>2</v>
      </c>
      <c r="VV57">
        <v>2</v>
      </c>
      <c r="VW57">
        <v>2</v>
      </c>
      <c r="VX57">
        <v>2</v>
      </c>
      <c r="VY57">
        <v>0</v>
      </c>
      <c r="VZ57">
        <v>0</v>
      </c>
      <c r="WA57">
        <v>0</v>
      </c>
      <c r="WB57">
        <v>0</v>
      </c>
      <c r="WC57">
        <v>0</v>
      </c>
      <c r="WD57">
        <v>0</v>
      </c>
      <c r="WE57">
        <v>0</v>
      </c>
      <c r="WF57">
        <v>0</v>
      </c>
      <c r="WG57">
        <v>0</v>
      </c>
      <c r="WH57">
        <v>0</v>
      </c>
      <c r="WI57">
        <v>0</v>
      </c>
      <c r="WJ57">
        <v>0</v>
      </c>
      <c r="WK57">
        <v>0</v>
      </c>
      <c r="WL57">
        <v>0</v>
      </c>
      <c r="WM57">
        <v>0</v>
      </c>
      <c r="WN57">
        <v>0</v>
      </c>
      <c r="WO57">
        <v>0</v>
      </c>
      <c r="WP57">
        <v>0</v>
      </c>
      <c r="WQ57">
        <v>0</v>
      </c>
      <c r="WR57">
        <v>0</v>
      </c>
      <c r="WS57">
        <v>0</v>
      </c>
      <c r="WT57">
        <v>0</v>
      </c>
      <c r="WU57">
        <v>0</v>
      </c>
      <c r="WV57">
        <v>0</v>
      </c>
      <c r="WW57">
        <v>0</v>
      </c>
      <c r="WX57">
        <v>0</v>
      </c>
      <c r="WY57">
        <v>0</v>
      </c>
      <c r="WZ57">
        <v>0</v>
      </c>
      <c r="XA57">
        <v>0</v>
      </c>
      <c r="XB57">
        <v>0</v>
      </c>
      <c r="XC57">
        <v>0</v>
      </c>
      <c r="XD57">
        <v>0</v>
      </c>
      <c r="XE57">
        <v>0</v>
      </c>
      <c r="XF57">
        <v>0</v>
      </c>
      <c r="XG57">
        <v>0</v>
      </c>
      <c r="XH57">
        <v>0</v>
      </c>
      <c r="XI57">
        <v>0</v>
      </c>
      <c r="XJ57">
        <v>0</v>
      </c>
      <c r="XK57">
        <v>0</v>
      </c>
      <c r="XL57">
        <v>0</v>
      </c>
      <c r="XM57">
        <v>0</v>
      </c>
      <c r="XN57">
        <v>0</v>
      </c>
      <c r="XO57">
        <v>0</v>
      </c>
      <c r="XP57">
        <v>0</v>
      </c>
      <c r="XQ57">
        <v>0</v>
      </c>
      <c r="XR57">
        <v>0</v>
      </c>
      <c r="XS57">
        <v>0</v>
      </c>
      <c r="XT57">
        <v>0</v>
      </c>
      <c r="XU57">
        <v>0</v>
      </c>
      <c r="XV57">
        <v>0</v>
      </c>
      <c r="XW57">
        <v>0</v>
      </c>
      <c r="XX57">
        <v>0</v>
      </c>
      <c r="XY57">
        <v>0</v>
      </c>
      <c r="XZ57">
        <v>0</v>
      </c>
      <c r="YA57">
        <v>0</v>
      </c>
      <c r="YB57">
        <v>0</v>
      </c>
      <c r="YC57">
        <v>0</v>
      </c>
      <c r="YD57">
        <v>0</v>
      </c>
      <c r="YE57">
        <v>0</v>
      </c>
      <c r="YF57">
        <v>0</v>
      </c>
      <c r="YG57">
        <v>0</v>
      </c>
      <c r="YH57">
        <v>0</v>
      </c>
      <c r="YI57">
        <v>0</v>
      </c>
      <c r="YJ57">
        <v>0</v>
      </c>
      <c r="YK57">
        <v>0</v>
      </c>
      <c r="YL57">
        <v>0</v>
      </c>
      <c r="YM57">
        <v>0</v>
      </c>
      <c r="YN57">
        <v>0</v>
      </c>
      <c r="YO57">
        <v>0</v>
      </c>
      <c r="YP57">
        <v>0</v>
      </c>
      <c r="YQ57">
        <v>0</v>
      </c>
      <c r="YR57">
        <v>0</v>
      </c>
      <c r="YS57">
        <v>0</v>
      </c>
      <c r="YT57">
        <v>0</v>
      </c>
      <c r="YU57">
        <v>0</v>
      </c>
      <c r="YV57">
        <v>0</v>
      </c>
      <c r="YW57">
        <v>0</v>
      </c>
      <c r="YX57">
        <v>0</v>
      </c>
      <c r="YY57">
        <v>0</v>
      </c>
      <c r="YZ57">
        <v>0</v>
      </c>
      <c r="ZA57">
        <v>0</v>
      </c>
      <c r="ZB57">
        <v>0</v>
      </c>
      <c r="ZC57">
        <v>0</v>
      </c>
      <c r="ZD57">
        <v>0</v>
      </c>
      <c r="ZE57">
        <v>0</v>
      </c>
      <c r="ZF57">
        <v>0</v>
      </c>
      <c r="ZG57">
        <v>0</v>
      </c>
      <c r="ZH57">
        <v>0</v>
      </c>
      <c r="ZI57">
        <v>0</v>
      </c>
      <c r="ZJ57">
        <v>0</v>
      </c>
      <c r="ZK57">
        <v>0</v>
      </c>
      <c r="ZL57">
        <v>0</v>
      </c>
      <c r="ZM57">
        <v>0</v>
      </c>
      <c r="ZN57">
        <v>0</v>
      </c>
      <c r="ZO57">
        <v>0</v>
      </c>
      <c r="ZP57">
        <v>0</v>
      </c>
      <c r="ZQ57">
        <v>0</v>
      </c>
      <c r="ZR57">
        <v>0</v>
      </c>
      <c r="ZS57">
        <v>0</v>
      </c>
      <c r="ZT57">
        <v>0</v>
      </c>
      <c r="ZU57">
        <v>0</v>
      </c>
      <c r="ZV57">
        <v>0</v>
      </c>
      <c r="ZW57">
        <v>0</v>
      </c>
      <c r="ZX57">
        <v>0</v>
      </c>
      <c r="ZY57">
        <v>0</v>
      </c>
      <c r="ZZ57">
        <v>0</v>
      </c>
      <c r="AAA57">
        <v>0</v>
      </c>
      <c r="AAB57">
        <v>0</v>
      </c>
      <c r="AAC57">
        <v>0</v>
      </c>
      <c r="AAD57">
        <v>0</v>
      </c>
      <c r="AAE57">
        <v>0</v>
      </c>
      <c r="AAF57">
        <v>0</v>
      </c>
      <c r="AAG57">
        <v>0</v>
      </c>
      <c r="AAH57">
        <v>0</v>
      </c>
      <c r="AAI57">
        <v>0</v>
      </c>
      <c r="AAJ57">
        <v>0</v>
      </c>
      <c r="AAK57">
        <v>0</v>
      </c>
      <c r="AAL57">
        <v>0</v>
      </c>
      <c r="AAM57">
        <v>0</v>
      </c>
      <c r="AAN57">
        <v>0</v>
      </c>
      <c r="AAO57">
        <v>0</v>
      </c>
      <c r="AAP57">
        <v>0</v>
      </c>
      <c r="AAQ57">
        <v>0</v>
      </c>
      <c r="AAR57">
        <v>0</v>
      </c>
      <c r="AAS57">
        <v>0</v>
      </c>
      <c r="AAT57">
        <v>0</v>
      </c>
      <c r="AAU57">
        <v>0</v>
      </c>
      <c r="AAV57">
        <v>0</v>
      </c>
      <c r="AAW57">
        <v>0</v>
      </c>
      <c r="AAX57">
        <v>0</v>
      </c>
      <c r="AAY57">
        <v>0</v>
      </c>
      <c r="AAZ57">
        <v>0</v>
      </c>
      <c r="ABA57">
        <v>0</v>
      </c>
      <c r="ABB57">
        <v>0</v>
      </c>
      <c r="ABC57">
        <v>0</v>
      </c>
      <c r="ABD57">
        <v>0</v>
      </c>
      <c r="ABE57">
        <v>0</v>
      </c>
      <c r="ABG57" s="1137">
        <f t="shared" si="13"/>
        <v>0</v>
      </c>
      <c r="ABH57" s="1137">
        <f t="shared" si="13"/>
        <v>0</v>
      </c>
      <c r="ABI57" s="1137">
        <f t="shared" si="13"/>
        <v>16</v>
      </c>
      <c r="ABJ57" s="1137">
        <f t="shared" si="13"/>
        <v>30</v>
      </c>
      <c r="ABK57" s="1137">
        <f t="shared" si="13"/>
        <v>31</v>
      </c>
      <c r="ABL57" s="1137">
        <f t="shared" si="13"/>
        <v>30</v>
      </c>
      <c r="ABM57" s="1137">
        <f t="shared" si="13"/>
        <v>31</v>
      </c>
      <c r="ABN57" s="1137">
        <f t="shared" si="13"/>
        <v>31</v>
      </c>
      <c r="ABO57" s="1137">
        <f t="shared" si="13"/>
        <v>30</v>
      </c>
      <c r="ABP57" s="1137">
        <f t="shared" si="13"/>
        <v>31</v>
      </c>
      <c r="ABQ57" s="1137">
        <f t="shared" si="13"/>
        <v>30</v>
      </c>
      <c r="ABR57" s="1137">
        <f t="shared" si="13"/>
        <v>31</v>
      </c>
      <c r="ABS57" s="1137">
        <f t="shared" si="13"/>
        <v>31</v>
      </c>
      <c r="ABT57" s="1137">
        <f t="shared" si="13"/>
        <v>28</v>
      </c>
      <c r="ABU57" s="1137">
        <f t="shared" si="13"/>
        <v>31</v>
      </c>
      <c r="ABV57" s="1137">
        <f t="shared" si="13"/>
        <v>30</v>
      </c>
      <c r="ABW57" s="1137">
        <f t="shared" si="17"/>
        <v>31</v>
      </c>
      <c r="ABX57" s="1137">
        <f t="shared" si="14"/>
        <v>30</v>
      </c>
      <c r="ABY57" s="1137">
        <f t="shared" si="14"/>
        <v>31</v>
      </c>
      <c r="ABZ57" s="1137">
        <f t="shared" si="14"/>
        <v>16</v>
      </c>
      <c r="ACA57" s="1137">
        <f t="shared" si="14"/>
        <v>0</v>
      </c>
      <c r="ACB57" s="1137">
        <f t="shared" si="14"/>
        <v>0</v>
      </c>
      <c r="ACC57" s="1137">
        <f t="shared" si="14"/>
        <v>0</v>
      </c>
      <c r="ACD57" s="1137">
        <f t="shared" si="14"/>
        <v>0</v>
      </c>
      <c r="ACE57" s="1137" t="s">
        <v>28</v>
      </c>
      <c r="ACF57" s="1137">
        <f t="shared" si="15"/>
        <v>0</v>
      </c>
      <c r="ACG57" s="1137">
        <f t="shared" si="15"/>
        <v>0</v>
      </c>
      <c r="ACH57" s="1137">
        <f t="shared" si="15"/>
        <v>1</v>
      </c>
      <c r="ACI57" s="1137">
        <f t="shared" si="15"/>
        <v>1</v>
      </c>
      <c r="ACJ57" s="1137">
        <f t="shared" si="15"/>
        <v>1</v>
      </c>
      <c r="ACK57" s="1137">
        <f t="shared" si="15"/>
        <v>1</v>
      </c>
      <c r="ACL57" s="1137">
        <f t="shared" si="15"/>
        <v>1</v>
      </c>
      <c r="ACM57" s="1137">
        <f t="shared" si="15"/>
        <v>1</v>
      </c>
      <c r="ACN57" s="1137">
        <f t="shared" si="15"/>
        <v>1</v>
      </c>
      <c r="ACO57" s="1137">
        <f t="shared" si="15"/>
        <v>1</v>
      </c>
      <c r="ACP57" s="1137">
        <f t="shared" si="15"/>
        <v>1</v>
      </c>
      <c r="ACQ57" s="1137">
        <f t="shared" si="15"/>
        <v>1</v>
      </c>
      <c r="ACR57" s="1137">
        <f t="shared" si="15"/>
        <v>1</v>
      </c>
      <c r="ACS57" s="1137">
        <f t="shared" si="15"/>
        <v>1</v>
      </c>
      <c r="ACT57" s="1137">
        <f t="shared" si="15"/>
        <v>1</v>
      </c>
      <c r="ACU57" s="1137">
        <f t="shared" si="12"/>
        <v>1</v>
      </c>
      <c r="ACV57" s="1137">
        <f t="shared" si="12"/>
        <v>1</v>
      </c>
      <c r="ACW57" s="1137">
        <f t="shared" si="12"/>
        <v>1</v>
      </c>
      <c r="ACX57" s="1137">
        <f t="shared" si="12"/>
        <v>1</v>
      </c>
      <c r="ACY57" s="1137">
        <f t="shared" si="12"/>
        <v>1</v>
      </c>
      <c r="ACZ57" s="1137">
        <f t="shared" si="12"/>
        <v>0</v>
      </c>
      <c r="ADA57" s="1137">
        <f t="shared" si="12"/>
        <v>0</v>
      </c>
      <c r="ADB57" s="1137">
        <f t="shared" si="16"/>
        <v>0</v>
      </c>
      <c r="ADC57" s="1137">
        <f t="shared" si="16"/>
        <v>0</v>
      </c>
    </row>
    <row r="58" spans="1:783" x14ac:dyDescent="0.25">
      <c r="A58" t="s">
        <v>1855</v>
      </c>
      <c r="B58" t="s">
        <v>257</v>
      </c>
      <c r="C58">
        <v>0</v>
      </c>
      <c r="D58">
        <v>0</v>
      </c>
      <c r="E58">
        <v>0</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c r="AN58">
        <v>0</v>
      </c>
      <c r="AO58">
        <v>0</v>
      </c>
      <c r="AP58">
        <v>0</v>
      </c>
      <c r="AQ58">
        <v>0</v>
      </c>
      <c r="AR58">
        <v>0</v>
      </c>
      <c r="AS58">
        <v>0</v>
      </c>
      <c r="AT58">
        <v>0</v>
      </c>
      <c r="AU58">
        <v>0</v>
      </c>
      <c r="AV58">
        <v>0</v>
      </c>
      <c r="AW58">
        <v>0</v>
      </c>
      <c r="AX58">
        <v>0</v>
      </c>
      <c r="AY58">
        <v>0</v>
      </c>
      <c r="AZ58">
        <v>0</v>
      </c>
      <c r="BA58">
        <v>0</v>
      </c>
      <c r="BB58">
        <v>0</v>
      </c>
      <c r="BC58">
        <v>0</v>
      </c>
      <c r="BD58">
        <v>0</v>
      </c>
      <c r="BE58">
        <v>0</v>
      </c>
      <c r="BF58">
        <v>0</v>
      </c>
      <c r="BG58">
        <v>0</v>
      </c>
      <c r="BH58">
        <v>0</v>
      </c>
      <c r="BI58">
        <v>0</v>
      </c>
      <c r="BJ58">
        <v>0</v>
      </c>
      <c r="BK58">
        <v>0</v>
      </c>
      <c r="BL58">
        <v>0</v>
      </c>
      <c r="BM58">
        <v>0</v>
      </c>
      <c r="BN58">
        <v>0</v>
      </c>
      <c r="BO58">
        <v>0</v>
      </c>
      <c r="BP58">
        <v>0</v>
      </c>
      <c r="BQ58">
        <v>0</v>
      </c>
      <c r="BR58">
        <v>0</v>
      </c>
      <c r="BS58">
        <v>1</v>
      </c>
      <c r="BT58">
        <v>1</v>
      </c>
      <c r="BU58">
        <v>1</v>
      </c>
      <c r="BV58">
        <v>1</v>
      </c>
      <c r="BW58">
        <v>1</v>
      </c>
      <c r="BX58">
        <v>1</v>
      </c>
      <c r="BY58">
        <v>1</v>
      </c>
      <c r="BZ58">
        <v>1</v>
      </c>
      <c r="CA58">
        <v>1</v>
      </c>
      <c r="CB58">
        <v>1</v>
      </c>
      <c r="CC58">
        <v>1</v>
      </c>
      <c r="CD58">
        <v>1</v>
      </c>
      <c r="CE58">
        <v>1</v>
      </c>
      <c r="CF58">
        <v>1</v>
      </c>
      <c r="CG58">
        <v>1</v>
      </c>
      <c r="CH58">
        <v>1</v>
      </c>
      <c r="CI58">
        <v>1</v>
      </c>
      <c r="CJ58">
        <v>1</v>
      </c>
      <c r="CK58">
        <v>1</v>
      </c>
      <c r="CL58">
        <v>1</v>
      </c>
      <c r="CM58">
        <v>1</v>
      </c>
      <c r="CN58">
        <v>1</v>
      </c>
      <c r="CO58">
        <v>1</v>
      </c>
      <c r="CP58">
        <v>1</v>
      </c>
      <c r="CQ58">
        <v>1</v>
      </c>
      <c r="CR58">
        <v>1</v>
      </c>
      <c r="CS58">
        <v>1</v>
      </c>
      <c r="CT58">
        <v>1</v>
      </c>
      <c r="CU58">
        <v>1</v>
      </c>
      <c r="CV58">
        <v>1</v>
      </c>
      <c r="CW58">
        <v>1</v>
      </c>
      <c r="CX58">
        <v>1</v>
      </c>
      <c r="CY58">
        <v>1</v>
      </c>
      <c r="CZ58">
        <v>1</v>
      </c>
      <c r="DA58">
        <v>1</v>
      </c>
      <c r="DB58">
        <v>1</v>
      </c>
      <c r="DC58">
        <v>1</v>
      </c>
      <c r="DD58">
        <v>1</v>
      </c>
      <c r="DE58">
        <v>1</v>
      </c>
      <c r="DF58">
        <v>1</v>
      </c>
      <c r="DG58">
        <v>1</v>
      </c>
      <c r="DH58">
        <v>1</v>
      </c>
      <c r="DI58">
        <v>1</v>
      </c>
      <c r="DJ58">
        <v>1</v>
      </c>
      <c r="DK58">
        <v>1</v>
      </c>
      <c r="DL58">
        <v>1</v>
      </c>
      <c r="DM58">
        <v>1</v>
      </c>
      <c r="DN58">
        <v>1</v>
      </c>
      <c r="DO58">
        <v>1</v>
      </c>
      <c r="DP58">
        <v>1</v>
      </c>
      <c r="DQ58">
        <v>1</v>
      </c>
      <c r="DR58">
        <v>1</v>
      </c>
      <c r="DS58">
        <v>1</v>
      </c>
      <c r="DT58">
        <v>1</v>
      </c>
      <c r="DU58">
        <v>1</v>
      </c>
      <c r="DV58">
        <v>1</v>
      </c>
      <c r="DW58">
        <v>1</v>
      </c>
      <c r="DX58">
        <v>1</v>
      </c>
      <c r="DY58">
        <v>1</v>
      </c>
      <c r="DZ58">
        <v>1</v>
      </c>
      <c r="EA58">
        <v>1</v>
      </c>
      <c r="EB58">
        <v>1</v>
      </c>
      <c r="EC58">
        <v>1</v>
      </c>
      <c r="ED58">
        <v>1</v>
      </c>
      <c r="EE58">
        <v>1</v>
      </c>
      <c r="EF58">
        <v>1</v>
      </c>
      <c r="EG58">
        <v>1</v>
      </c>
      <c r="EH58">
        <v>1</v>
      </c>
      <c r="EI58">
        <v>1</v>
      </c>
      <c r="EJ58">
        <v>1</v>
      </c>
      <c r="EK58">
        <v>1</v>
      </c>
      <c r="EL58">
        <v>1</v>
      </c>
      <c r="EM58">
        <v>1</v>
      </c>
      <c r="EN58">
        <v>1</v>
      </c>
      <c r="EO58">
        <v>1</v>
      </c>
      <c r="EP58">
        <v>1</v>
      </c>
      <c r="EQ58">
        <v>1</v>
      </c>
      <c r="ER58">
        <v>1</v>
      </c>
      <c r="ES58">
        <v>1</v>
      </c>
      <c r="ET58">
        <v>1</v>
      </c>
      <c r="EU58">
        <v>1</v>
      </c>
      <c r="EV58">
        <v>1</v>
      </c>
      <c r="EW58">
        <v>1</v>
      </c>
      <c r="EX58">
        <v>1</v>
      </c>
      <c r="EY58">
        <v>1</v>
      </c>
      <c r="EZ58">
        <v>1</v>
      </c>
      <c r="FA58">
        <v>1</v>
      </c>
      <c r="FB58">
        <v>1</v>
      </c>
      <c r="FC58">
        <v>1</v>
      </c>
      <c r="FD58">
        <v>1</v>
      </c>
      <c r="FE58">
        <v>1</v>
      </c>
      <c r="FF58">
        <v>1</v>
      </c>
      <c r="FG58">
        <v>1</v>
      </c>
      <c r="FH58">
        <v>1</v>
      </c>
      <c r="FI58">
        <v>1</v>
      </c>
      <c r="FJ58">
        <v>1</v>
      </c>
      <c r="FK58">
        <v>1</v>
      </c>
      <c r="FL58">
        <v>1</v>
      </c>
      <c r="FM58">
        <v>1</v>
      </c>
      <c r="FN58">
        <v>1</v>
      </c>
      <c r="FO58">
        <v>1</v>
      </c>
      <c r="FP58">
        <v>1</v>
      </c>
      <c r="FQ58">
        <v>1</v>
      </c>
      <c r="FR58">
        <v>1</v>
      </c>
      <c r="FS58">
        <v>0</v>
      </c>
      <c r="FT58">
        <v>0</v>
      </c>
      <c r="FU58">
        <v>0</v>
      </c>
      <c r="FV58">
        <v>0</v>
      </c>
      <c r="FW58">
        <v>0</v>
      </c>
      <c r="FX58">
        <v>0</v>
      </c>
      <c r="FY58">
        <v>0</v>
      </c>
      <c r="FZ58">
        <v>0</v>
      </c>
      <c r="GA58">
        <v>0</v>
      </c>
      <c r="GB58">
        <v>0</v>
      </c>
      <c r="GC58">
        <v>0</v>
      </c>
      <c r="GD58">
        <v>0</v>
      </c>
      <c r="GE58">
        <v>0</v>
      </c>
      <c r="GF58">
        <v>2</v>
      </c>
      <c r="GG58">
        <v>2</v>
      </c>
      <c r="GH58">
        <v>2</v>
      </c>
      <c r="GI58">
        <v>2</v>
      </c>
      <c r="GJ58">
        <v>2</v>
      </c>
      <c r="GK58">
        <v>2</v>
      </c>
      <c r="GL58">
        <v>2</v>
      </c>
      <c r="GM58">
        <v>2</v>
      </c>
      <c r="GN58">
        <v>2</v>
      </c>
      <c r="GO58">
        <v>2</v>
      </c>
      <c r="GP58">
        <v>2</v>
      </c>
      <c r="GQ58">
        <v>2</v>
      </c>
      <c r="GR58">
        <v>2</v>
      </c>
      <c r="GS58">
        <v>2</v>
      </c>
      <c r="GT58">
        <v>2</v>
      </c>
      <c r="GU58">
        <v>2</v>
      </c>
      <c r="GV58">
        <v>2</v>
      </c>
      <c r="GW58">
        <v>2</v>
      </c>
      <c r="GX58">
        <v>2</v>
      </c>
      <c r="GY58">
        <v>2</v>
      </c>
      <c r="GZ58">
        <v>2</v>
      </c>
      <c r="HA58">
        <v>2</v>
      </c>
      <c r="HB58">
        <v>2</v>
      </c>
      <c r="HC58">
        <v>2</v>
      </c>
      <c r="HD58">
        <v>2</v>
      </c>
      <c r="HE58">
        <v>2</v>
      </c>
      <c r="HF58">
        <v>2</v>
      </c>
      <c r="HG58">
        <v>2</v>
      </c>
      <c r="HH58">
        <v>2</v>
      </c>
      <c r="HI58">
        <v>2</v>
      </c>
      <c r="HJ58">
        <v>2</v>
      </c>
      <c r="HK58">
        <v>2</v>
      </c>
      <c r="HL58">
        <v>2</v>
      </c>
      <c r="HM58">
        <v>2</v>
      </c>
      <c r="HN58">
        <v>2</v>
      </c>
      <c r="HO58">
        <v>2</v>
      </c>
      <c r="HP58">
        <v>2</v>
      </c>
      <c r="HQ58">
        <v>2</v>
      </c>
      <c r="HR58">
        <v>2</v>
      </c>
      <c r="HS58">
        <v>2</v>
      </c>
      <c r="HT58">
        <v>2</v>
      </c>
      <c r="HU58">
        <v>2</v>
      </c>
      <c r="HV58">
        <v>2</v>
      </c>
      <c r="HW58">
        <v>2</v>
      </c>
      <c r="HX58">
        <v>2</v>
      </c>
      <c r="HY58">
        <v>2</v>
      </c>
      <c r="HZ58">
        <v>2</v>
      </c>
      <c r="IA58">
        <v>2</v>
      </c>
      <c r="IB58">
        <v>2</v>
      </c>
      <c r="IC58">
        <v>2</v>
      </c>
      <c r="ID58">
        <v>2</v>
      </c>
      <c r="IE58">
        <v>2</v>
      </c>
      <c r="IF58">
        <v>2</v>
      </c>
      <c r="IG58">
        <v>2</v>
      </c>
      <c r="IH58">
        <v>2</v>
      </c>
      <c r="II58">
        <v>2</v>
      </c>
      <c r="IJ58">
        <v>2</v>
      </c>
      <c r="IK58">
        <v>2</v>
      </c>
      <c r="IL58">
        <v>2</v>
      </c>
      <c r="IM58">
        <v>2</v>
      </c>
      <c r="IN58">
        <v>2</v>
      </c>
      <c r="IO58">
        <v>2</v>
      </c>
      <c r="IP58">
        <v>2</v>
      </c>
      <c r="IQ58">
        <v>2</v>
      </c>
      <c r="IR58">
        <v>2</v>
      </c>
      <c r="IS58">
        <v>2</v>
      </c>
      <c r="IT58">
        <v>2</v>
      </c>
      <c r="IU58">
        <v>2</v>
      </c>
      <c r="IV58">
        <v>2</v>
      </c>
      <c r="IW58">
        <v>2</v>
      </c>
      <c r="IX58">
        <v>2</v>
      </c>
      <c r="IY58">
        <v>2</v>
      </c>
      <c r="IZ58">
        <v>2</v>
      </c>
      <c r="JA58">
        <v>2</v>
      </c>
      <c r="JB58">
        <v>2</v>
      </c>
      <c r="JC58">
        <v>2</v>
      </c>
      <c r="JD58">
        <v>2</v>
      </c>
      <c r="JE58">
        <v>2</v>
      </c>
      <c r="JF58">
        <v>2</v>
      </c>
      <c r="JG58">
        <v>2</v>
      </c>
      <c r="JH58">
        <v>2</v>
      </c>
      <c r="JI58">
        <v>2</v>
      </c>
      <c r="JJ58">
        <v>2</v>
      </c>
      <c r="JK58">
        <v>2</v>
      </c>
      <c r="JL58">
        <v>2</v>
      </c>
      <c r="JM58">
        <v>2</v>
      </c>
      <c r="JN58">
        <v>2</v>
      </c>
      <c r="JO58">
        <v>2</v>
      </c>
      <c r="JP58">
        <v>2</v>
      </c>
      <c r="JQ58">
        <v>2</v>
      </c>
      <c r="JR58">
        <v>2</v>
      </c>
      <c r="JS58">
        <v>2</v>
      </c>
      <c r="JT58">
        <v>2</v>
      </c>
      <c r="JU58">
        <v>2</v>
      </c>
      <c r="JV58">
        <v>2</v>
      </c>
      <c r="JW58">
        <v>2</v>
      </c>
      <c r="JX58">
        <v>2</v>
      </c>
      <c r="JY58">
        <v>2</v>
      </c>
      <c r="JZ58">
        <v>2</v>
      </c>
      <c r="KA58">
        <v>2</v>
      </c>
      <c r="KB58">
        <v>2</v>
      </c>
      <c r="KC58">
        <v>2</v>
      </c>
      <c r="KD58">
        <v>2</v>
      </c>
      <c r="KE58">
        <v>2</v>
      </c>
      <c r="KF58">
        <v>2</v>
      </c>
      <c r="KG58">
        <v>2</v>
      </c>
      <c r="KH58">
        <v>2</v>
      </c>
      <c r="KI58">
        <v>2</v>
      </c>
      <c r="KJ58">
        <v>2</v>
      </c>
      <c r="KK58">
        <v>2</v>
      </c>
      <c r="KL58">
        <v>2</v>
      </c>
      <c r="KM58">
        <v>2</v>
      </c>
      <c r="KN58">
        <v>2</v>
      </c>
      <c r="KO58">
        <v>2</v>
      </c>
      <c r="KP58">
        <v>2</v>
      </c>
      <c r="KQ58">
        <v>2</v>
      </c>
      <c r="KR58">
        <v>2</v>
      </c>
      <c r="KS58">
        <v>2</v>
      </c>
      <c r="KT58">
        <v>2</v>
      </c>
      <c r="KU58">
        <v>2</v>
      </c>
      <c r="KV58">
        <v>2</v>
      </c>
      <c r="KW58">
        <v>2</v>
      </c>
      <c r="KX58">
        <v>2</v>
      </c>
      <c r="KY58">
        <v>2</v>
      </c>
      <c r="KZ58">
        <v>2</v>
      </c>
      <c r="LA58">
        <v>2</v>
      </c>
      <c r="LB58">
        <v>2</v>
      </c>
      <c r="LC58">
        <v>2</v>
      </c>
      <c r="LD58">
        <v>2</v>
      </c>
      <c r="LE58">
        <v>2</v>
      </c>
      <c r="LF58">
        <v>2</v>
      </c>
      <c r="LG58">
        <v>2</v>
      </c>
      <c r="LH58">
        <v>2</v>
      </c>
      <c r="LI58">
        <v>2</v>
      </c>
      <c r="LJ58">
        <v>2</v>
      </c>
      <c r="LK58">
        <v>2</v>
      </c>
      <c r="LL58">
        <v>2</v>
      </c>
      <c r="LM58">
        <v>2</v>
      </c>
      <c r="LN58">
        <v>2</v>
      </c>
      <c r="LO58">
        <v>2</v>
      </c>
      <c r="LP58">
        <v>2</v>
      </c>
      <c r="LQ58">
        <v>2</v>
      </c>
      <c r="LR58">
        <v>2</v>
      </c>
      <c r="LS58">
        <v>2</v>
      </c>
      <c r="LT58">
        <v>2</v>
      </c>
      <c r="LU58">
        <v>2</v>
      </c>
      <c r="LV58">
        <v>2</v>
      </c>
      <c r="LW58">
        <v>2</v>
      </c>
      <c r="LX58">
        <v>2</v>
      </c>
      <c r="LY58">
        <v>2</v>
      </c>
      <c r="LZ58">
        <v>2</v>
      </c>
      <c r="MA58">
        <v>2</v>
      </c>
      <c r="MB58">
        <v>2</v>
      </c>
      <c r="MC58">
        <v>2</v>
      </c>
      <c r="MD58">
        <v>2</v>
      </c>
      <c r="ME58">
        <v>2</v>
      </c>
      <c r="MF58">
        <v>2</v>
      </c>
      <c r="MG58">
        <v>2</v>
      </c>
      <c r="MH58">
        <v>2</v>
      </c>
      <c r="MI58">
        <v>2</v>
      </c>
      <c r="MJ58">
        <v>2</v>
      </c>
      <c r="MK58">
        <v>2</v>
      </c>
      <c r="ML58">
        <v>2</v>
      </c>
      <c r="MM58">
        <v>2</v>
      </c>
      <c r="MN58">
        <v>2</v>
      </c>
      <c r="MO58">
        <v>2</v>
      </c>
      <c r="MP58">
        <v>2</v>
      </c>
      <c r="MQ58">
        <v>2</v>
      </c>
      <c r="MR58">
        <v>2</v>
      </c>
      <c r="MS58">
        <v>2</v>
      </c>
      <c r="MT58">
        <v>2</v>
      </c>
      <c r="MU58">
        <v>2</v>
      </c>
      <c r="MV58">
        <v>2</v>
      </c>
      <c r="MW58">
        <v>2</v>
      </c>
      <c r="MX58">
        <v>2</v>
      </c>
      <c r="MY58">
        <v>2</v>
      </c>
      <c r="MZ58">
        <v>2</v>
      </c>
      <c r="NA58">
        <v>2</v>
      </c>
      <c r="NB58">
        <v>2</v>
      </c>
      <c r="NC58">
        <v>2</v>
      </c>
      <c r="ND58">
        <v>2</v>
      </c>
      <c r="NE58">
        <v>2</v>
      </c>
      <c r="NF58">
        <v>2</v>
      </c>
      <c r="NG58">
        <v>2</v>
      </c>
      <c r="NH58">
        <v>2</v>
      </c>
      <c r="NI58">
        <v>2</v>
      </c>
      <c r="NJ58">
        <v>2</v>
      </c>
      <c r="NK58">
        <v>2</v>
      </c>
      <c r="NL58">
        <v>2</v>
      </c>
      <c r="NM58">
        <v>2</v>
      </c>
      <c r="NN58">
        <v>2</v>
      </c>
      <c r="NO58">
        <v>2</v>
      </c>
      <c r="NP58">
        <v>2</v>
      </c>
      <c r="NQ58">
        <v>2</v>
      </c>
      <c r="NR58">
        <v>2</v>
      </c>
      <c r="NS58">
        <v>2</v>
      </c>
      <c r="NT58">
        <v>2</v>
      </c>
      <c r="NU58">
        <v>2</v>
      </c>
      <c r="NV58">
        <v>2</v>
      </c>
      <c r="NW58">
        <v>2</v>
      </c>
      <c r="NX58">
        <v>2</v>
      </c>
      <c r="NY58">
        <v>2</v>
      </c>
      <c r="NZ58">
        <v>2</v>
      </c>
      <c r="OA58">
        <v>2</v>
      </c>
      <c r="OB58">
        <v>2</v>
      </c>
      <c r="OC58">
        <v>2</v>
      </c>
      <c r="OD58">
        <v>2</v>
      </c>
      <c r="OE58">
        <v>2</v>
      </c>
      <c r="OF58">
        <v>2</v>
      </c>
      <c r="OG58">
        <v>2</v>
      </c>
      <c r="OH58">
        <v>2</v>
      </c>
      <c r="OI58">
        <v>2</v>
      </c>
      <c r="OJ58">
        <v>2</v>
      </c>
      <c r="OK58">
        <v>2</v>
      </c>
      <c r="OL58">
        <v>2</v>
      </c>
      <c r="OM58">
        <v>2</v>
      </c>
      <c r="ON58">
        <v>2</v>
      </c>
      <c r="OO58">
        <v>2</v>
      </c>
      <c r="OP58">
        <v>2</v>
      </c>
      <c r="OQ58">
        <v>2</v>
      </c>
      <c r="OR58">
        <v>2</v>
      </c>
      <c r="OS58">
        <v>2</v>
      </c>
      <c r="OT58">
        <v>2</v>
      </c>
      <c r="OU58">
        <v>2</v>
      </c>
      <c r="OV58">
        <v>2</v>
      </c>
      <c r="OW58">
        <v>2</v>
      </c>
      <c r="OX58">
        <v>2</v>
      </c>
      <c r="OY58">
        <v>2</v>
      </c>
      <c r="OZ58">
        <v>2</v>
      </c>
      <c r="PA58">
        <v>2</v>
      </c>
      <c r="PB58">
        <v>2</v>
      </c>
      <c r="PC58">
        <v>2</v>
      </c>
      <c r="PD58">
        <v>2</v>
      </c>
      <c r="PE58">
        <v>2</v>
      </c>
      <c r="PF58">
        <v>2</v>
      </c>
      <c r="PG58">
        <v>2</v>
      </c>
      <c r="PH58">
        <v>2</v>
      </c>
      <c r="PI58">
        <v>2</v>
      </c>
      <c r="PJ58">
        <v>2</v>
      </c>
      <c r="PK58">
        <v>2</v>
      </c>
      <c r="PL58">
        <v>2</v>
      </c>
      <c r="PM58">
        <v>2</v>
      </c>
      <c r="PN58">
        <v>2</v>
      </c>
      <c r="PO58">
        <v>2</v>
      </c>
      <c r="PP58">
        <v>2</v>
      </c>
      <c r="PQ58">
        <v>2</v>
      </c>
      <c r="PR58">
        <v>2</v>
      </c>
      <c r="PS58">
        <v>2</v>
      </c>
      <c r="PT58">
        <v>2</v>
      </c>
      <c r="PU58">
        <v>2</v>
      </c>
      <c r="PV58">
        <v>2</v>
      </c>
      <c r="PW58">
        <v>2</v>
      </c>
      <c r="PX58">
        <v>2</v>
      </c>
      <c r="PY58">
        <v>2</v>
      </c>
      <c r="PZ58">
        <v>2</v>
      </c>
      <c r="QA58">
        <v>2</v>
      </c>
      <c r="QB58">
        <v>2</v>
      </c>
      <c r="QC58">
        <v>2</v>
      </c>
      <c r="QD58">
        <v>2</v>
      </c>
      <c r="QE58">
        <v>2</v>
      </c>
      <c r="QF58">
        <v>2</v>
      </c>
      <c r="QG58">
        <v>2</v>
      </c>
      <c r="QH58">
        <v>2</v>
      </c>
      <c r="QI58">
        <v>2</v>
      </c>
      <c r="QJ58">
        <v>2</v>
      </c>
      <c r="QK58">
        <v>2</v>
      </c>
      <c r="QL58">
        <v>2</v>
      </c>
      <c r="QM58">
        <v>2</v>
      </c>
      <c r="QN58">
        <v>2</v>
      </c>
      <c r="QO58">
        <v>2</v>
      </c>
      <c r="QP58">
        <v>2</v>
      </c>
      <c r="QQ58">
        <v>2</v>
      </c>
      <c r="QR58">
        <v>2</v>
      </c>
      <c r="QS58">
        <v>2</v>
      </c>
      <c r="QT58">
        <v>2</v>
      </c>
      <c r="QU58">
        <v>2</v>
      </c>
      <c r="QV58">
        <v>2</v>
      </c>
      <c r="QW58">
        <v>2</v>
      </c>
      <c r="QX58">
        <v>2</v>
      </c>
      <c r="QY58">
        <v>2</v>
      </c>
      <c r="QZ58">
        <v>2</v>
      </c>
      <c r="RA58">
        <v>2</v>
      </c>
      <c r="RB58">
        <v>2</v>
      </c>
      <c r="RC58">
        <v>2</v>
      </c>
      <c r="RD58">
        <v>2</v>
      </c>
      <c r="RE58">
        <v>2</v>
      </c>
      <c r="RF58">
        <v>2</v>
      </c>
      <c r="RG58">
        <v>2</v>
      </c>
      <c r="RH58">
        <v>2</v>
      </c>
      <c r="RI58">
        <v>2</v>
      </c>
      <c r="RJ58">
        <v>2</v>
      </c>
      <c r="RK58">
        <v>2</v>
      </c>
      <c r="RL58">
        <v>2</v>
      </c>
      <c r="RM58">
        <v>2</v>
      </c>
      <c r="RN58">
        <v>2</v>
      </c>
      <c r="RO58">
        <v>2</v>
      </c>
      <c r="RP58">
        <v>2</v>
      </c>
      <c r="RQ58">
        <v>2</v>
      </c>
      <c r="RR58">
        <v>2</v>
      </c>
      <c r="RS58">
        <v>2</v>
      </c>
      <c r="RT58">
        <v>2</v>
      </c>
      <c r="RU58">
        <v>2</v>
      </c>
      <c r="RV58">
        <v>2</v>
      </c>
      <c r="RW58">
        <v>2</v>
      </c>
      <c r="RX58">
        <v>2</v>
      </c>
      <c r="RY58">
        <v>2</v>
      </c>
      <c r="RZ58">
        <v>2</v>
      </c>
      <c r="SA58">
        <v>2</v>
      </c>
      <c r="SB58">
        <v>2</v>
      </c>
      <c r="SC58">
        <v>2</v>
      </c>
      <c r="SD58">
        <v>2</v>
      </c>
      <c r="SE58">
        <v>2</v>
      </c>
      <c r="SF58">
        <v>2</v>
      </c>
      <c r="SG58">
        <v>2</v>
      </c>
      <c r="SH58">
        <v>2</v>
      </c>
      <c r="SI58">
        <v>2</v>
      </c>
      <c r="SJ58">
        <v>2</v>
      </c>
      <c r="SK58">
        <v>2</v>
      </c>
      <c r="SL58">
        <v>2</v>
      </c>
      <c r="SM58">
        <v>2</v>
      </c>
      <c r="SN58">
        <v>2</v>
      </c>
      <c r="SO58">
        <v>2</v>
      </c>
      <c r="SP58">
        <v>2</v>
      </c>
      <c r="SQ58">
        <v>2</v>
      </c>
      <c r="SR58">
        <v>2</v>
      </c>
      <c r="SS58">
        <v>2</v>
      </c>
      <c r="ST58">
        <v>2</v>
      </c>
      <c r="SU58">
        <v>2</v>
      </c>
      <c r="SV58">
        <v>2</v>
      </c>
      <c r="SW58">
        <v>2</v>
      </c>
      <c r="SX58">
        <v>2</v>
      </c>
      <c r="SY58">
        <v>2</v>
      </c>
      <c r="SZ58">
        <v>2</v>
      </c>
      <c r="TA58">
        <v>2</v>
      </c>
      <c r="TB58">
        <v>2</v>
      </c>
      <c r="TC58">
        <v>2</v>
      </c>
      <c r="TD58">
        <v>2</v>
      </c>
      <c r="TE58">
        <v>2</v>
      </c>
      <c r="TF58">
        <v>2</v>
      </c>
      <c r="TG58">
        <v>0</v>
      </c>
      <c r="TH58">
        <v>0</v>
      </c>
      <c r="TI58">
        <v>0</v>
      </c>
      <c r="TJ58">
        <v>0</v>
      </c>
      <c r="TK58">
        <v>0</v>
      </c>
      <c r="TL58">
        <v>0</v>
      </c>
      <c r="TM58">
        <v>0</v>
      </c>
      <c r="TN58">
        <v>0</v>
      </c>
      <c r="TO58">
        <v>0</v>
      </c>
      <c r="TP58">
        <v>0</v>
      </c>
      <c r="TQ58">
        <v>0</v>
      </c>
      <c r="TR58">
        <v>0</v>
      </c>
      <c r="TS58">
        <v>0</v>
      </c>
      <c r="TT58">
        <v>0</v>
      </c>
      <c r="TU58">
        <v>0</v>
      </c>
      <c r="TV58">
        <v>0</v>
      </c>
      <c r="TW58">
        <v>0</v>
      </c>
      <c r="TX58">
        <v>0</v>
      </c>
      <c r="TY58">
        <v>0</v>
      </c>
      <c r="TZ58">
        <v>0</v>
      </c>
      <c r="UA58">
        <v>0</v>
      </c>
      <c r="UB58">
        <v>0</v>
      </c>
      <c r="UC58">
        <v>0</v>
      </c>
      <c r="UD58">
        <v>0</v>
      </c>
      <c r="UE58">
        <v>0</v>
      </c>
      <c r="UF58">
        <v>0</v>
      </c>
      <c r="UG58">
        <v>0</v>
      </c>
      <c r="UH58">
        <v>0</v>
      </c>
      <c r="UI58">
        <v>0</v>
      </c>
      <c r="UJ58">
        <v>0</v>
      </c>
      <c r="UK58">
        <v>0</v>
      </c>
      <c r="UL58">
        <v>0</v>
      </c>
      <c r="UM58">
        <v>0</v>
      </c>
      <c r="UN58">
        <v>0</v>
      </c>
      <c r="UO58">
        <v>0</v>
      </c>
      <c r="UP58">
        <v>0</v>
      </c>
      <c r="UQ58">
        <v>0</v>
      </c>
      <c r="UR58">
        <v>0</v>
      </c>
      <c r="US58">
        <v>0</v>
      </c>
      <c r="UT58">
        <v>0</v>
      </c>
      <c r="UU58">
        <v>0</v>
      </c>
      <c r="UV58">
        <v>0</v>
      </c>
      <c r="UW58">
        <v>0</v>
      </c>
      <c r="UX58">
        <v>0</v>
      </c>
      <c r="UY58">
        <v>0</v>
      </c>
      <c r="UZ58">
        <v>0</v>
      </c>
      <c r="VA58">
        <v>0</v>
      </c>
      <c r="VB58">
        <v>0</v>
      </c>
      <c r="VC58">
        <v>0</v>
      </c>
      <c r="VD58">
        <v>0</v>
      </c>
      <c r="VE58">
        <v>0</v>
      </c>
      <c r="VF58">
        <v>0</v>
      </c>
      <c r="VG58">
        <v>0</v>
      </c>
      <c r="VH58">
        <v>0</v>
      </c>
      <c r="VI58">
        <v>0</v>
      </c>
      <c r="VJ58">
        <v>0</v>
      </c>
      <c r="VK58">
        <v>0</v>
      </c>
      <c r="VL58">
        <v>0</v>
      </c>
      <c r="VM58">
        <v>0</v>
      </c>
      <c r="VN58">
        <v>0</v>
      </c>
      <c r="VO58">
        <v>0</v>
      </c>
      <c r="VP58">
        <v>0</v>
      </c>
      <c r="VQ58">
        <v>0</v>
      </c>
      <c r="VR58">
        <v>0</v>
      </c>
      <c r="VS58">
        <v>0</v>
      </c>
      <c r="VT58">
        <v>0</v>
      </c>
      <c r="VU58">
        <v>0</v>
      </c>
      <c r="VV58">
        <v>0</v>
      </c>
      <c r="VW58">
        <v>0</v>
      </c>
      <c r="VX58">
        <v>0</v>
      </c>
      <c r="VY58">
        <v>0</v>
      </c>
      <c r="VZ58">
        <v>0</v>
      </c>
      <c r="WA58">
        <v>0</v>
      </c>
      <c r="WB58">
        <v>0</v>
      </c>
      <c r="WC58">
        <v>0</v>
      </c>
      <c r="WD58">
        <v>0</v>
      </c>
      <c r="WE58">
        <v>0</v>
      </c>
      <c r="WF58">
        <v>0</v>
      </c>
      <c r="WG58">
        <v>0</v>
      </c>
      <c r="WH58">
        <v>0</v>
      </c>
      <c r="WI58">
        <v>0</v>
      </c>
      <c r="WJ58">
        <v>0</v>
      </c>
      <c r="WK58">
        <v>0</v>
      </c>
      <c r="WL58">
        <v>0</v>
      </c>
      <c r="WM58">
        <v>0</v>
      </c>
      <c r="WN58">
        <v>0</v>
      </c>
      <c r="WO58">
        <v>0</v>
      </c>
      <c r="WP58">
        <v>0</v>
      </c>
      <c r="WQ58">
        <v>0</v>
      </c>
      <c r="WR58">
        <v>0</v>
      </c>
      <c r="WS58">
        <v>0</v>
      </c>
      <c r="WT58">
        <v>0</v>
      </c>
      <c r="WU58">
        <v>0</v>
      </c>
      <c r="WV58">
        <v>0</v>
      </c>
      <c r="WW58">
        <v>0</v>
      </c>
      <c r="WX58">
        <v>0</v>
      </c>
      <c r="WY58">
        <v>0</v>
      </c>
      <c r="WZ58">
        <v>0</v>
      </c>
      <c r="XA58">
        <v>0</v>
      </c>
      <c r="XB58">
        <v>0</v>
      </c>
      <c r="XC58">
        <v>0</v>
      </c>
      <c r="XD58">
        <v>0</v>
      </c>
      <c r="XE58">
        <v>0</v>
      </c>
      <c r="XF58">
        <v>0</v>
      </c>
      <c r="XG58">
        <v>0</v>
      </c>
      <c r="XH58">
        <v>0</v>
      </c>
      <c r="XI58">
        <v>0</v>
      </c>
      <c r="XJ58">
        <v>0</v>
      </c>
      <c r="XK58">
        <v>0</v>
      </c>
      <c r="XL58">
        <v>0</v>
      </c>
      <c r="XM58">
        <v>0</v>
      </c>
      <c r="XN58">
        <v>0</v>
      </c>
      <c r="XO58">
        <v>0</v>
      </c>
      <c r="XP58">
        <v>0</v>
      </c>
      <c r="XQ58">
        <v>0</v>
      </c>
      <c r="XR58">
        <v>0</v>
      </c>
      <c r="XS58">
        <v>0</v>
      </c>
      <c r="XT58">
        <v>0</v>
      </c>
      <c r="XU58">
        <v>0</v>
      </c>
      <c r="XV58">
        <v>0</v>
      </c>
      <c r="XW58">
        <v>0</v>
      </c>
      <c r="XX58">
        <v>0</v>
      </c>
      <c r="XY58">
        <v>0</v>
      </c>
      <c r="XZ58">
        <v>0</v>
      </c>
      <c r="YA58">
        <v>0</v>
      </c>
      <c r="YB58">
        <v>0</v>
      </c>
      <c r="YC58">
        <v>0</v>
      </c>
      <c r="YD58">
        <v>0</v>
      </c>
      <c r="YE58">
        <v>0</v>
      </c>
      <c r="YF58">
        <v>0</v>
      </c>
      <c r="YG58">
        <v>0</v>
      </c>
      <c r="YH58">
        <v>0</v>
      </c>
      <c r="YI58">
        <v>0</v>
      </c>
      <c r="YJ58">
        <v>0</v>
      </c>
      <c r="YK58">
        <v>0</v>
      </c>
      <c r="YL58">
        <v>0</v>
      </c>
      <c r="YM58">
        <v>0</v>
      </c>
      <c r="YN58">
        <v>0</v>
      </c>
      <c r="YO58">
        <v>0</v>
      </c>
      <c r="YP58">
        <v>0</v>
      </c>
      <c r="YQ58">
        <v>0</v>
      </c>
      <c r="YR58">
        <v>0</v>
      </c>
      <c r="YS58">
        <v>0</v>
      </c>
      <c r="YT58">
        <v>0</v>
      </c>
      <c r="YU58">
        <v>0</v>
      </c>
      <c r="YV58">
        <v>0</v>
      </c>
      <c r="YW58">
        <v>0</v>
      </c>
      <c r="YX58">
        <v>0</v>
      </c>
      <c r="YY58">
        <v>0</v>
      </c>
      <c r="YZ58">
        <v>0</v>
      </c>
      <c r="ZA58">
        <v>0</v>
      </c>
      <c r="ZB58">
        <v>0</v>
      </c>
      <c r="ZC58">
        <v>0</v>
      </c>
      <c r="ZD58">
        <v>0</v>
      </c>
      <c r="ZE58">
        <v>0</v>
      </c>
      <c r="ZF58">
        <v>0</v>
      </c>
      <c r="ZG58">
        <v>0</v>
      </c>
      <c r="ZH58">
        <v>0</v>
      </c>
      <c r="ZI58">
        <v>0</v>
      </c>
      <c r="ZJ58">
        <v>0</v>
      </c>
      <c r="ZK58">
        <v>0</v>
      </c>
      <c r="ZL58">
        <v>0</v>
      </c>
      <c r="ZM58">
        <v>0</v>
      </c>
      <c r="ZN58">
        <v>0</v>
      </c>
      <c r="ZO58">
        <v>0</v>
      </c>
      <c r="ZP58">
        <v>0</v>
      </c>
      <c r="ZQ58">
        <v>0</v>
      </c>
      <c r="ZR58">
        <v>0</v>
      </c>
      <c r="ZS58">
        <v>0</v>
      </c>
      <c r="ZT58">
        <v>0</v>
      </c>
      <c r="ZU58">
        <v>0</v>
      </c>
      <c r="ZV58">
        <v>0</v>
      </c>
      <c r="ZW58">
        <v>0</v>
      </c>
      <c r="ZX58">
        <v>0</v>
      </c>
      <c r="ZY58">
        <v>0</v>
      </c>
      <c r="ZZ58">
        <v>0</v>
      </c>
      <c r="AAA58">
        <v>0</v>
      </c>
      <c r="AAB58">
        <v>0</v>
      </c>
      <c r="AAC58">
        <v>0</v>
      </c>
      <c r="AAD58">
        <v>0</v>
      </c>
      <c r="AAE58">
        <v>0</v>
      </c>
      <c r="AAF58">
        <v>0</v>
      </c>
      <c r="AAG58">
        <v>0</v>
      </c>
      <c r="AAH58">
        <v>0</v>
      </c>
      <c r="AAI58">
        <v>0</v>
      </c>
      <c r="AAJ58">
        <v>0</v>
      </c>
      <c r="AAK58">
        <v>0</v>
      </c>
      <c r="AAL58">
        <v>0</v>
      </c>
      <c r="AAM58">
        <v>0</v>
      </c>
      <c r="AAN58">
        <v>0</v>
      </c>
      <c r="AAO58">
        <v>0</v>
      </c>
      <c r="AAP58">
        <v>0</v>
      </c>
      <c r="AAQ58">
        <v>0</v>
      </c>
      <c r="AAR58">
        <v>0</v>
      </c>
      <c r="AAS58">
        <v>0</v>
      </c>
      <c r="AAT58">
        <v>0</v>
      </c>
      <c r="AAU58">
        <v>0</v>
      </c>
      <c r="AAV58">
        <v>0</v>
      </c>
      <c r="AAW58">
        <v>0</v>
      </c>
      <c r="AAX58">
        <v>2</v>
      </c>
      <c r="AAY58">
        <v>2</v>
      </c>
      <c r="AAZ58">
        <v>2</v>
      </c>
      <c r="ABA58">
        <v>2</v>
      </c>
      <c r="ABB58">
        <v>2</v>
      </c>
      <c r="ABC58">
        <v>2</v>
      </c>
      <c r="ABD58">
        <v>2</v>
      </c>
      <c r="ABE58">
        <v>2</v>
      </c>
      <c r="ABG58" s="1137">
        <f t="shared" si="13"/>
        <v>0</v>
      </c>
      <c r="ABH58" s="1137">
        <f t="shared" si="13"/>
        <v>0</v>
      </c>
      <c r="ABI58" s="1137">
        <f t="shared" si="13"/>
        <v>23</v>
      </c>
      <c r="ABJ58" s="1137">
        <f t="shared" si="13"/>
        <v>30</v>
      </c>
      <c r="ABK58" s="1137">
        <f t="shared" si="13"/>
        <v>31</v>
      </c>
      <c r="ABL58" s="1137">
        <f t="shared" si="13"/>
        <v>20</v>
      </c>
      <c r="ABM58" s="1137">
        <f t="shared" si="13"/>
        <v>28</v>
      </c>
      <c r="ABN58" s="1137">
        <f t="shared" si="13"/>
        <v>31</v>
      </c>
      <c r="ABO58" s="1137">
        <f t="shared" si="13"/>
        <v>30</v>
      </c>
      <c r="ABP58" s="1137">
        <f t="shared" si="13"/>
        <v>31</v>
      </c>
      <c r="ABQ58" s="1137">
        <f t="shared" si="13"/>
        <v>30</v>
      </c>
      <c r="ABR58" s="1137">
        <f t="shared" si="13"/>
        <v>31</v>
      </c>
      <c r="ABS58" s="1137">
        <f t="shared" si="13"/>
        <v>31</v>
      </c>
      <c r="ABT58" s="1137">
        <f t="shared" si="13"/>
        <v>28</v>
      </c>
      <c r="ABU58" s="1137">
        <f t="shared" si="13"/>
        <v>31</v>
      </c>
      <c r="ABV58" s="1137">
        <f t="shared" si="13"/>
        <v>30</v>
      </c>
      <c r="ABW58" s="1137">
        <f t="shared" si="17"/>
        <v>31</v>
      </c>
      <c r="ABX58" s="1137">
        <f t="shared" si="14"/>
        <v>7</v>
      </c>
      <c r="ABY58" s="1137">
        <f t="shared" si="14"/>
        <v>0</v>
      </c>
      <c r="ABZ58" s="1137">
        <f t="shared" si="14"/>
        <v>0</v>
      </c>
      <c r="ACA58" s="1137">
        <f t="shared" si="14"/>
        <v>0</v>
      </c>
      <c r="ACB58" s="1137">
        <f t="shared" si="14"/>
        <v>0</v>
      </c>
      <c r="ACC58" s="1137">
        <f t="shared" si="14"/>
        <v>0</v>
      </c>
      <c r="ACD58" s="1137">
        <f t="shared" si="14"/>
        <v>8</v>
      </c>
      <c r="ACE58" s="1137" t="s">
        <v>257</v>
      </c>
      <c r="ACF58" s="1137">
        <f t="shared" si="15"/>
        <v>0</v>
      </c>
      <c r="ACG58" s="1137">
        <f t="shared" si="15"/>
        <v>0</v>
      </c>
      <c r="ACH58" s="1137">
        <f t="shared" si="15"/>
        <v>1</v>
      </c>
      <c r="ACI58" s="1137">
        <f t="shared" si="15"/>
        <v>1</v>
      </c>
      <c r="ACJ58" s="1137">
        <f t="shared" si="15"/>
        <v>1</v>
      </c>
      <c r="ACK58" s="1137">
        <f t="shared" si="15"/>
        <v>1</v>
      </c>
      <c r="ACL58" s="1137">
        <f t="shared" si="15"/>
        <v>1</v>
      </c>
      <c r="ACM58" s="1137">
        <f t="shared" si="15"/>
        <v>1</v>
      </c>
      <c r="ACN58" s="1137">
        <f t="shared" si="15"/>
        <v>1</v>
      </c>
      <c r="ACO58" s="1137">
        <f t="shared" si="15"/>
        <v>1</v>
      </c>
      <c r="ACP58" s="1137">
        <f t="shared" si="15"/>
        <v>1</v>
      </c>
      <c r="ACQ58" s="1137">
        <f t="shared" si="15"/>
        <v>1</v>
      </c>
      <c r="ACR58" s="1137">
        <f t="shared" si="15"/>
        <v>1</v>
      </c>
      <c r="ACS58" s="1137">
        <f t="shared" si="15"/>
        <v>1</v>
      </c>
      <c r="ACT58" s="1137">
        <f t="shared" si="15"/>
        <v>1</v>
      </c>
      <c r="ACU58" s="1137">
        <f t="shared" si="12"/>
        <v>1</v>
      </c>
      <c r="ACV58" s="1137">
        <f t="shared" si="12"/>
        <v>1</v>
      </c>
      <c r="ACW58" s="1137">
        <f t="shared" si="12"/>
        <v>0</v>
      </c>
      <c r="ACX58" s="1137">
        <f t="shared" si="12"/>
        <v>0</v>
      </c>
      <c r="ACY58" s="1137">
        <f t="shared" si="12"/>
        <v>0</v>
      </c>
      <c r="ACZ58" s="1137">
        <f t="shared" si="12"/>
        <v>0</v>
      </c>
      <c r="ADA58" s="1137">
        <f t="shared" si="12"/>
        <v>0</v>
      </c>
      <c r="ADB58" s="1137">
        <f t="shared" si="16"/>
        <v>0</v>
      </c>
      <c r="ADC58" s="1137">
        <f t="shared" si="16"/>
        <v>0</v>
      </c>
    </row>
    <row r="59" spans="1:783" x14ac:dyDescent="0.25">
      <c r="A59" t="s">
        <v>1856</v>
      </c>
      <c r="B59" t="s">
        <v>176</v>
      </c>
      <c r="C59">
        <v>0</v>
      </c>
      <c r="D59">
        <v>0</v>
      </c>
      <c r="E59">
        <v>0</v>
      </c>
      <c r="F59">
        <v>0</v>
      </c>
      <c r="G59">
        <v>0</v>
      </c>
      <c r="H59">
        <v>0</v>
      </c>
      <c r="I59">
        <v>0</v>
      </c>
      <c r="J59">
        <v>0</v>
      </c>
      <c r="K59">
        <v>0</v>
      </c>
      <c r="L59">
        <v>0</v>
      </c>
      <c r="M59">
        <v>0</v>
      </c>
      <c r="N59">
        <v>0</v>
      </c>
      <c r="O59">
        <v>0</v>
      </c>
      <c r="P59">
        <v>0</v>
      </c>
      <c r="Q59">
        <v>0</v>
      </c>
      <c r="R59">
        <v>0</v>
      </c>
      <c r="S59">
        <v>0</v>
      </c>
      <c r="T59">
        <v>0</v>
      </c>
      <c r="U59">
        <v>0</v>
      </c>
      <c r="V59">
        <v>0</v>
      </c>
      <c r="W59">
        <v>0</v>
      </c>
      <c r="X59">
        <v>0</v>
      </c>
      <c r="Y59">
        <v>0</v>
      </c>
      <c r="Z59">
        <v>0</v>
      </c>
      <c r="AA59">
        <v>0</v>
      </c>
      <c r="AB59">
        <v>0</v>
      </c>
      <c r="AC59">
        <v>0</v>
      </c>
      <c r="AD59">
        <v>0</v>
      </c>
      <c r="AE59">
        <v>0</v>
      </c>
      <c r="AF59">
        <v>0</v>
      </c>
      <c r="AG59">
        <v>0</v>
      </c>
      <c r="AH59">
        <v>0</v>
      </c>
      <c r="AI59">
        <v>0</v>
      </c>
      <c r="AJ59">
        <v>0</v>
      </c>
      <c r="AK59">
        <v>0</v>
      </c>
      <c r="AL59">
        <v>0</v>
      </c>
      <c r="AM59">
        <v>0</v>
      </c>
      <c r="AN59">
        <v>0</v>
      </c>
      <c r="AO59">
        <v>0</v>
      </c>
      <c r="AP59">
        <v>0</v>
      </c>
      <c r="AQ59">
        <v>0</v>
      </c>
      <c r="AR59">
        <v>0</v>
      </c>
      <c r="AS59">
        <v>0</v>
      </c>
      <c r="AT59">
        <v>0</v>
      </c>
      <c r="AU59">
        <v>0</v>
      </c>
      <c r="AV59">
        <v>0</v>
      </c>
      <c r="AW59">
        <v>0</v>
      </c>
      <c r="AX59">
        <v>0</v>
      </c>
      <c r="AY59">
        <v>0</v>
      </c>
      <c r="AZ59">
        <v>0</v>
      </c>
      <c r="BA59">
        <v>0</v>
      </c>
      <c r="BB59">
        <v>0</v>
      </c>
      <c r="BC59">
        <v>0</v>
      </c>
      <c r="BD59">
        <v>0</v>
      </c>
      <c r="BE59">
        <v>0</v>
      </c>
      <c r="BF59">
        <v>0</v>
      </c>
      <c r="BG59">
        <v>0</v>
      </c>
      <c r="BH59">
        <v>0</v>
      </c>
      <c r="BI59">
        <v>0</v>
      </c>
      <c r="BJ59">
        <v>0</v>
      </c>
      <c r="BK59">
        <v>0</v>
      </c>
      <c r="BL59">
        <v>0</v>
      </c>
      <c r="BM59">
        <v>0</v>
      </c>
      <c r="BN59">
        <v>0</v>
      </c>
      <c r="BO59">
        <v>0</v>
      </c>
      <c r="BP59">
        <v>0</v>
      </c>
      <c r="BQ59">
        <v>0</v>
      </c>
      <c r="BR59">
        <v>0</v>
      </c>
      <c r="BS59">
        <v>0</v>
      </c>
      <c r="BT59">
        <v>0</v>
      </c>
      <c r="BU59">
        <v>0</v>
      </c>
      <c r="BV59">
        <v>0</v>
      </c>
      <c r="BW59">
        <v>0</v>
      </c>
      <c r="BX59">
        <v>2</v>
      </c>
      <c r="BY59">
        <v>2</v>
      </c>
      <c r="BZ59">
        <v>2</v>
      </c>
      <c r="CA59">
        <v>2</v>
      </c>
      <c r="CB59">
        <v>2</v>
      </c>
      <c r="CC59">
        <v>2</v>
      </c>
      <c r="CD59">
        <v>2</v>
      </c>
      <c r="CE59">
        <v>2</v>
      </c>
      <c r="CF59">
        <v>2</v>
      </c>
      <c r="CG59">
        <v>2</v>
      </c>
      <c r="CH59">
        <v>2</v>
      </c>
      <c r="CI59">
        <v>2</v>
      </c>
      <c r="CJ59">
        <v>2</v>
      </c>
      <c r="CK59">
        <v>2</v>
      </c>
      <c r="CL59">
        <v>2</v>
      </c>
      <c r="CM59">
        <v>2</v>
      </c>
      <c r="CN59">
        <v>2</v>
      </c>
      <c r="CO59">
        <v>2</v>
      </c>
      <c r="CP59">
        <v>2</v>
      </c>
      <c r="CQ59">
        <v>2</v>
      </c>
      <c r="CR59">
        <v>2</v>
      </c>
      <c r="CS59">
        <v>2</v>
      </c>
      <c r="CT59">
        <v>2</v>
      </c>
      <c r="CU59">
        <v>2</v>
      </c>
      <c r="CV59">
        <v>2</v>
      </c>
      <c r="CW59">
        <v>2</v>
      </c>
      <c r="CX59">
        <v>2</v>
      </c>
      <c r="CY59">
        <v>2</v>
      </c>
      <c r="CZ59">
        <v>2</v>
      </c>
      <c r="DA59">
        <v>2</v>
      </c>
      <c r="DB59">
        <v>2</v>
      </c>
      <c r="DC59">
        <v>2</v>
      </c>
      <c r="DD59">
        <v>2</v>
      </c>
      <c r="DE59">
        <v>2</v>
      </c>
      <c r="DF59">
        <v>2</v>
      </c>
      <c r="DG59">
        <v>2</v>
      </c>
      <c r="DH59">
        <v>2</v>
      </c>
      <c r="DI59">
        <v>2</v>
      </c>
      <c r="DJ59">
        <v>2</v>
      </c>
      <c r="DK59">
        <v>2</v>
      </c>
      <c r="DL59">
        <v>2</v>
      </c>
      <c r="DM59">
        <v>2</v>
      </c>
      <c r="DN59">
        <v>2</v>
      </c>
      <c r="DO59">
        <v>2</v>
      </c>
      <c r="DP59">
        <v>2</v>
      </c>
      <c r="DQ59">
        <v>2</v>
      </c>
      <c r="DR59">
        <v>2</v>
      </c>
      <c r="DS59">
        <v>2</v>
      </c>
      <c r="DT59">
        <v>2</v>
      </c>
      <c r="DU59">
        <v>2</v>
      </c>
      <c r="DV59">
        <v>2</v>
      </c>
      <c r="DW59">
        <v>2</v>
      </c>
      <c r="DX59">
        <v>2</v>
      </c>
      <c r="DY59">
        <v>2</v>
      </c>
      <c r="DZ59">
        <v>2</v>
      </c>
      <c r="EA59">
        <v>0</v>
      </c>
      <c r="EB59">
        <v>0</v>
      </c>
      <c r="EC59">
        <v>0</v>
      </c>
      <c r="ED59">
        <v>0</v>
      </c>
      <c r="EE59">
        <v>0</v>
      </c>
      <c r="EF59">
        <v>0</v>
      </c>
      <c r="EG59">
        <v>0</v>
      </c>
      <c r="EH59">
        <v>0</v>
      </c>
      <c r="EI59">
        <v>0</v>
      </c>
      <c r="EJ59">
        <v>0</v>
      </c>
      <c r="EK59">
        <v>0</v>
      </c>
      <c r="EL59">
        <v>0</v>
      </c>
      <c r="EM59">
        <v>0</v>
      </c>
      <c r="EN59">
        <v>0</v>
      </c>
      <c r="EO59">
        <v>0</v>
      </c>
      <c r="EP59">
        <v>0</v>
      </c>
      <c r="EQ59">
        <v>0</v>
      </c>
      <c r="ER59">
        <v>0</v>
      </c>
      <c r="ES59">
        <v>0</v>
      </c>
      <c r="ET59">
        <v>0</v>
      </c>
      <c r="EU59">
        <v>0</v>
      </c>
      <c r="EV59">
        <v>0</v>
      </c>
      <c r="EW59">
        <v>0</v>
      </c>
      <c r="EX59">
        <v>0</v>
      </c>
      <c r="EY59">
        <v>0</v>
      </c>
      <c r="EZ59">
        <v>0</v>
      </c>
      <c r="FA59">
        <v>0</v>
      </c>
      <c r="FB59">
        <v>0</v>
      </c>
      <c r="FC59">
        <v>0</v>
      </c>
      <c r="FD59">
        <v>0</v>
      </c>
      <c r="FE59">
        <v>0</v>
      </c>
      <c r="FF59">
        <v>0</v>
      </c>
      <c r="FG59">
        <v>0</v>
      </c>
      <c r="FH59">
        <v>0</v>
      </c>
      <c r="FI59">
        <v>0</v>
      </c>
      <c r="FJ59">
        <v>0</v>
      </c>
      <c r="FK59">
        <v>0</v>
      </c>
      <c r="FL59">
        <v>0</v>
      </c>
      <c r="FM59">
        <v>0</v>
      </c>
      <c r="FN59">
        <v>0</v>
      </c>
      <c r="FO59">
        <v>0</v>
      </c>
      <c r="FP59">
        <v>0</v>
      </c>
      <c r="FQ59">
        <v>0</v>
      </c>
      <c r="FR59">
        <v>0</v>
      </c>
      <c r="FS59">
        <v>0</v>
      </c>
      <c r="FT59">
        <v>0</v>
      </c>
      <c r="FU59">
        <v>0</v>
      </c>
      <c r="FV59">
        <v>0</v>
      </c>
      <c r="FW59">
        <v>0</v>
      </c>
      <c r="FX59">
        <v>0</v>
      </c>
      <c r="FY59">
        <v>0</v>
      </c>
      <c r="FZ59">
        <v>0</v>
      </c>
      <c r="GA59">
        <v>0</v>
      </c>
      <c r="GB59">
        <v>0</v>
      </c>
      <c r="GC59">
        <v>0</v>
      </c>
      <c r="GD59">
        <v>0</v>
      </c>
      <c r="GE59">
        <v>0</v>
      </c>
      <c r="GF59">
        <v>0</v>
      </c>
      <c r="GG59">
        <v>0</v>
      </c>
      <c r="GH59">
        <v>0</v>
      </c>
      <c r="GI59">
        <v>0</v>
      </c>
      <c r="GJ59">
        <v>0</v>
      </c>
      <c r="GK59">
        <v>0</v>
      </c>
      <c r="GL59">
        <v>0</v>
      </c>
      <c r="GM59">
        <v>0</v>
      </c>
      <c r="GN59">
        <v>0</v>
      </c>
      <c r="GO59">
        <v>0</v>
      </c>
      <c r="GP59">
        <v>0</v>
      </c>
      <c r="GQ59">
        <v>0</v>
      </c>
      <c r="GR59">
        <v>0</v>
      </c>
      <c r="GS59">
        <v>0</v>
      </c>
      <c r="GT59">
        <v>0</v>
      </c>
      <c r="GU59">
        <v>0</v>
      </c>
      <c r="GV59">
        <v>0</v>
      </c>
      <c r="GW59">
        <v>0</v>
      </c>
      <c r="GX59">
        <v>0</v>
      </c>
      <c r="GY59">
        <v>0</v>
      </c>
      <c r="GZ59">
        <v>0</v>
      </c>
      <c r="HA59">
        <v>0</v>
      </c>
      <c r="HB59">
        <v>0</v>
      </c>
      <c r="HC59">
        <v>0</v>
      </c>
      <c r="HD59">
        <v>0</v>
      </c>
      <c r="HE59">
        <v>0</v>
      </c>
      <c r="HF59">
        <v>0</v>
      </c>
      <c r="HG59">
        <v>0</v>
      </c>
      <c r="HH59">
        <v>0</v>
      </c>
      <c r="HI59">
        <v>0</v>
      </c>
      <c r="HJ59">
        <v>0</v>
      </c>
      <c r="HK59">
        <v>0</v>
      </c>
      <c r="HL59">
        <v>0</v>
      </c>
      <c r="HM59">
        <v>0</v>
      </c>
      <c r="HN59">
        <v>0</v>
      </c>
      <c r="HO59">
        <v>0</v>
      </c>
      <c r="HP59">
        <v>0</v>
      </c>
      <c r="HQ59">
        <v>0</v>
      </c>
      <c r="HR59">
        <v>0</v>
      </c>
      <c r="HS59">
        <v>0</v>
      </c>
      <c r="HT59">
        <v>0</v>
      </c>
      <c r="HU59">
        <v>0</v>
      </c>
      <c r="HV59">
        <v>0</v>
      </c>
      <c r="HW59">
        <v>0</v>
      </c>
      <c r="HX59">
        <v>0</v>
      </c>
      <c r="HY59">
        <v>0</v>
      </c>
      <c r="HZ59">
        <v>0</v>
      </c>
      <c r="IA59">
        <v>0</v>
      </c>
      <c r="IB59">
        <v>0</v>
      </c>
      <c r="IC59">
        <v>0</v>
      </c>
      <c r="ID59">
        <v>0</v>
      </c>
      <c r="IE59">
        <v>0</v>
      </c>
      <c r="IF59">
        <v>0</v>
      </c>
      <c r="IG59">
        <v>0</v>
      </c>
      <c r="IH59">
        <v>0</v>
      </c>
      <c r="II59">
        <v>0</v>
      </c>
      <c r="IJ59">
        <v>0</v>
      </c>
      <c r="IK59">
        <v>0</v>
      </c>
      <c r="IL59">
        <v>0</v>
      </c>
      <c r="IM59">
        <v>0</v>
      </c>
      <c r="IN59">
        <v>0</v>
      </c>
      <c r="IO59">
        <v>0</v>
      </c>
      <c r="IP59">
        <v>0</v>
      </c>
      <c r="IQ59">
        <v>0</v>
      </c>
      <c r="IR59">
        <v>0</v>
      </c>
      <c r="IS59">
        <v>0</v>
      </c>
      <c r="IT59">
        <v>0</v>
      </c>
      <c r="IU59">
        <v>0</v>
      </c>
      <c r="IV59">
        <v>0</v>
      </c>
      <c r="IW59">
        <v>0</v>
      </c>
      <c r="IX59">
        <v>0</v>
      </c>
      <c r="IY59">
        <v>0</v>
      </c>
      <c r="IZ59">
        <v>0</v>
      </c>
      <c r="JA59">
        <v>0</v>
      </c>
      <c r="JB59">
        <v>0</v>
      </c>
      <c r="JC59">
        <v>0</v>
      </c>
      <c r="JD59">
        <v>0</v>
      </c>
      <c r="JE59">
        <v>0</v>
      </c>
      <c r="JF59">
        <v>0</v>
      </c>
      <c r="JG59">
        <v>0</v>
      </c>
      <c r="JH59">
        <v>0</v>
      </c>
      <c r="JI59">
        <v>0</v>
      </c>
      <c r="JJ59">
        <v>0</v>
      </c>
      <c r="JK59">
        <v>0</v>
      </c>
      <c r="JL59">
        <v>0</v>
      </c>
      <c r="JM59">
        <v>0</v>
      </c>
      <c r="JN59">
        <v>0</v>
      </c>
      <c r="JO59">
        <v>0</v>
      </c>
      <c r="JP59">
        <v>0</v>
      </c>
      <c r="JQ59">
        <v>0</v>
      </c>
      <c r="JR59">
        <v>0</v>
      </c>
      <c r="JS59">
        <v>0</v>
      </c>
      <c r="JT59">
        <v>0</v>
      </c>
      <c r="JU59">
        <v>0</v>
      </c>
      <c r="JV59">
        <v>0</v>
      </c>
      <c r="JW59">
        <v>0</v>
      </c>
      <c r="JX59">
        <v>0</v>
      </c>
      <c r="JY59">
        <v>0</v>
      </c>
      <c r="JZ59">
        <v>0</v>
      </c>
      <c r="KA59">
        <v>0</v>
      </c>
      <c r="KB59">
        <v>0</v>
      </c>
      <c r="KC59">
        <v>0</v>
      </c>
      <c r="KD59">
        <v>0</v>
      </c>
      <c r="KE59">
        <v>0</v>
      </c>
      <c r="KF59">
        <v>0</v>
      </c>
      <c r="KG59">
        <v>0</v>
      </c>
      <c r="KH59">
        <v>0</v>
      </c>
      <c r="KI59">
        <v>0</v>
      </c>
      <c r="KJ59">
        <v>0</v>
      </c>
      <c r="KK59">
        <v>0</v>
      </c>
      <c r="KL59">
        <v>0</v>
      </c>
      <c r="KM59">
        <v>0</v>
      </c>
      <c r="KN59">
        <v>0</v>
      </c>
      <c r="KO59">
        <v>0</v>
      </c>
      <c r="KP59">
        <v>0</v>
      </c>
      <c r="KQ59">
        <v>0</v>
      </c>
      <c r="KR59">
        <v>0</v>
      </c>
      <c r="KS59">
        <v>0</v>
      </c>
      <c r="KT59">
        <v>0</v>
      </c>
      <c r="KU59">
        <v>0</v>
      </c>
      <c r="KV59">
        <v>0</v>
      </c>
      <c r="KW59">
        <v>0</v>
      </c>
      <c r="KX59">
        <v>0</v>
      </c>
      <c r="KY59">
        <v>0</v>
      </c>
      <c r="KZ59">
        <v>0</v>
      </c>
      <c r="LA59">
        <v>0</v>
      </c>
      <c r="LB59">
        <v>0</v>
      </c>
      <c r="LC59">
        <v>0</v>
      </c>
      <c r="LD59">
        <v>0</v>
      </c>
      <c r="LE59">
        <v>0</v>
      </c>
      <c r="LF59">
        <v>0</v>
      </c>
      <c r="LG59">
        <v>0</v>
      </c>
      <c r="LH59">
        <v>0</v>
      </c>
      <c r="LI59">
        <v>0</v>
      </c>
      <c r="LJ59">
        <v>0</v>
      </c>
      <c r="LK59">
        <v>0</v>
      </c>
      <c r="LL59">
        <v>0</v>
      </c>
      <c r="LM59">
        <v>0</v>
      </c>
      <c r="LN59">
        <v>0</v>
      </c>
      <c r="LO59">
        <v>0</v>
      </c>
      <c r="LP59">
        <v>0</v>
      </c>
      <c r="LQ59">
        <v>0</v>
      </c>
      <c r="LR59">
        <v>0</v>
      </c>
      <c r="LS59">
        <v>0</v>
      </c>
      <c r="LT59">
        <v>0</v>
      </c>
      <c r="LU59">
        <v>0</v>
      </c>
      <c r="LV59">
        <v>0</v>
      </c>
      <c r="LW59">
        <v>0</v>
      </c>
      <c r="LX59">
        <v>0</v>
      </c>
      <c r="LY59">
        <v>0</v>
      </c>
      <c r="LZ59">
        <v>0</v>
      </c>
      <c r="MA59">
        <v>0</v>
      </c>
      <c r="MB59">
        <v>0</v>
      </c>
      <c r="MC59">
        <v>0</v>
      </c>
      <c r="MD59">
        <v>0</v>
      </c>
      <c r="ME59">
        <v>0</v>
      </c>
      <c r="MF59">
        <v>0</v>
      </c>
      <c r="MG59">
        <v>0</v>
      </c>
      <c r="MH59">
        <v>0</v>
      </c>
      <c r="MI59">
        <v>0</v>
      </c>
      <c r="MJ59">
        <v>0</v>
      </c>
      <c r="MK59">
        <v>0</v>
      </c>
      <c r="ML59">
        <v>0</v>
      </c>
      <c r="MM59">
        <v>0</v>
      </c>
      <c r="MN59">
        <v>0</v>
      </c>
      <c r="MO59">
        <v>0</v>
      </c>
      <c r="MP59">
        <v>0</v>
      </c>
      <c r="MQ59">
        <v>0</v>
      </c>
      <c r="MR59">
        <v>0</v>
      </c>
      <c r="MS59">
        <v>0</v>
      </c>
      <c r="MT59">
        <v>0</v>
      </c>
      <c r="MU59">
        <v>0</v>
      </c>
      <c r="MV59">
        <v>0</v>
      </c>
      <c r="MW59">
        <v>0</v>
      </c>
      <c r="MX59">
        <v>0</v>
      </c>
      <c r="MY59">
        <v>0</v>
      </c>
      <c r="MZ59">
        <v>0</v>
      </c>
      <c r="NA59">
        <v>0</v>
      </c>
      <c r="NB59">
        <v>0</v>
      </c>
      <c r="NC59">
        <v>0</v>
      </c>
      <c r="ND59">
        <v>0</v>
      </c>
      <c r="NE59">
        <v>0</v>
      </c>
      <c r="NF59">
        <v>0</v>
      </c>
      <c r="NG59">
        <v>0</v>
      </c>
      <c r="NH59">
        <v>0</v>
      </c>
      <c r="NI59">
        <v>0</v>
      </c>
      <c r="NJ59">
        <v>0</v>
      </c>
      <c r="NK59">
        <v>0</v>
      </c>
      <c r="NL59">
        <v>0</v>
      </c>
      <c r="NM59">
        <v>0</v>
      </c>
      <c r="NN59">
        <v>0</v>
      </c>
      <c r="NO59">
        <v>0</v>
      </c>
      <c r="NP59">
        <v>0</v>
      </c>
      <c r="NQ59">
        <v>0</v>
      </c>
      <c r="NR59">
        <v>0</v>
      </c>
      <c r="NS59">
        <v>0</v>
      </c>
      <c r="NT59">
        <v>0</v>
      </c>
      <c r="NU59">
        <v>0</v>
      </c>
      <c r="NV59">
        <v>0</v>
      </c>
      <c r="NW59">
        <v>0</v>
      </c>
      <c r="NX59">
        <v>0</v>
      </c>
      <c r="NY59">
        <v>0</v>
      </c>
      <c r="NZ59">
        <v>0</v>
      </c>
      <c r="OA59">
        <v>0</v>
      </c>
      <c r="OB59">
        <v>0</v>
      </c>
      <c r="OC59">
        <v>0</v>
      </c>
      <c r="OD59">
        <v>0</v>
      </c>
      <c r="OE59">
        <v>0</v>
      </c>
      <c r="OF59">
        <v>0</v>
      </c>
      <c r="OG59">
        <v>0</v>
      </c>
      <c r="OH59">
        <v>0</v>
      </c>
      <c r="OI59">
        <v>0</v>
      </c>
      <c r="OJ59">
        <v>0</v>
      </c>
      <c r="OK59">
        <v>0</v>
      </c>
      <c r="OL59">
        <v>0</v>
      </c>
      <c r="OM59">
        <v>0</v>
      </c>
      <c r="ON59">
        <v>0</v>
      </c>
      <c r="OO59">
        <v>0</v>
      </c>
      <c r="OP59">
        <v>0</v>
      </c>
      <c r="OQ59">
        <v>0</v>
      </c>
      <c r="OR59">
        <v>0</v>
      </c>
      <c r="OS59">
        <v>0</v>
      </c>
      <c r="OT59">
        <v>0</v>
      </c>
      <c r="OU59">
        <v>0</v>
      </c>
      <c r="OV59">
        <v>0</v>
      </c>
      <c r="OW59">
        <v>0</v>
      </c>
      <c r="OX59">
        <v>0</v>
      </c>
      <c r="OY59">
        <v>0</v>
      </c>
      <c r="OZ59">
        <v>0</v>
      </c>
      <c r="PA59">
        <v>0</v>
      </c>
      <c r="PB59">
        <v>0</v>
      </c>
      <c r="PC59">
        <v>0</v>
      </c>
      <c r="PD59">
        <v>0</v>
      </c>
      <c r="PE59">
        <v>0</v>
      </c>
      <c r="PF59">
        <v>0</v>
      </c>
      <c r="PG59">
        <v>0</v>
      </c>
      <c r="PH59">
        <v>0</v>
      </c>
      <c r="PI59">
        <v>0</v>
      </c>
      <c r="PJ59">
        <v>0</v>
      </c>
      <c r="PK59">
        <v>0</v>
      </c>
      <c r="PL59">
        <v>0</v>
      </c>
      <c r="PM59">
        <v>0</v>
      </c>
      <c r="PN59">
        <v>0</v>
      </c>
      <c r="PO59">
        <v>0</v>
      </c>
      <c r="PP59">
        <v>0</v>
      </c>
      <c r="PQ59">
        <v>0</v>
      </c>
      <c r="PR59">
        <v>0</v>
      </c>
      <c r="PS59">
        <v>0</v>
      </c>
      <c r="PT59">
        <v>0</v>
      </c>
      <c r="PU59">
        <v>0</v>
      </c>
      <c r="PV59">
        <v>0</v>
      </c>
      <c r="PW59">
        <v>0</v>
      </c>
      <c r="PX59">
        <v>0</v>
      </c>
      <c r="PY59">
        <v>0</v>
      </c>
      <c r="PZ59">
        <v>0</v>
      </c>
      <c r="QA59">
        <v>0</v>
      </c>
      <c r="QB59">
        <v>0</v>
      </c>
      <c r="QC59">
        <v>0</v>
      </c>
      <c r="QD59">
        <v>0</v>
      </c>
      <c r="QE59">
        <v>0</v>
      </c>
      <c r="QF59">
        <v>0</v>
      </c>
      <c r="QG59">
        <v>0</v>
      </c>
      <c r="QH59">
        <v>0</v>
      </c>
      <c r="QI59">
        <v>0</v>
      </c>
      <c r="QJ59">
        <v>0</v>
      </c>
      <c r="QK59">
        <v>0</v>
      </c>
      <c r="QL59">
        <v>0</v>
      </c>
      <c r="QM59">
        <v>0</v>
      </c>
      <c r="QN59">
        <v>0</v>
      </c>
      <c r="QO59">
        <v>0</v>
      </c>
      <c r="QP59">
        <v>0</v>
      </c>
      <c r="QQ59">
        <v>0</v>
      </c>
      <c r="QR59">
        <v>0</v>
      </c>
      <c r="QS59">
        <v>0</v>
      </c>
      <c r="QT59">
        <v>0</v>
      </c>
      <c r="QU59">
        <v>0</v>
      </c>
      <c r="QV59">
        <v>0</v>
      </c>
      <c r="QW59">
        <v>0</v>
      </c>
      <c r="QX59">
        <v>0</v>
      </c>
      <c r="QY59">
        <v>0</v>
      </c>
      <c r="QZ59">
        <v>0</v>
      </c>
      <c r="RA59">
        <v>0</v>
      </c>
      <c r="RB59">
        <v>0</v>
      </c>
      <c r="RC59">
        <v>0</v>
      </c>
      <c r="RD59">
        <v>0</v>
      </c>
      <c r="RE59">
        <v>0</v>
      </c>
      <c r="RF59">
        <v>0</v>
      </c>
      <c r="RG59">
        <v>0</v>
      </c>
      <c r="RH59">
        <v>0</v>
      </c>
      <c r="RI59">
        <v>0</v>
      </c>
      <c r="RJ59">
        <v>0</v>
      </c>
      <c r="RK59">
        <v>0</v>
      </c>
      <c r="RL59">
        <v>0</v>
      </c>
      <c r="RM59">
        <v>0</v>
      </c>
      <c r="RN59">
        <v>0</v>
      </c>
      <c r="RO59">
        <v>0</v>
      </c>
      <c r="RP59">
        <v>0</v>
      </c>
      <c r="RQ59">
        <v>0</v>
      </c>
      <c r="RR59">
        <v>0</v>
      </c>
      <c r="RS59">
        <v>0</v>
      </c>
      <c r="RT59">
        <v>0</v>
      </c>
      <c r="RU59">
        <v>0</v>
      </c>
      <c r="RV59">
        <v>0</v>
      </c>
      <c r="RW59">
        <v>0</v>
      </c>
      <c r="RX59">
        <v>0</v>
      </c>
      <c r="RY59">
        <v>0</v>
      </c>
      <c r="RZ59">
        <v>0</v>
      </c>
      <c r="SA59">
        <v>0</v>
      </c>
      <c r="SB59">
        <v>0</v>
      </c>
      <c r="SC59">
        <v>0</v>
      </c>
      <c r="SD59">
        <v>0</v>
      </c>
      <c r="SE59">
        <v>0</v>
      </c>
      <c r="SF59">
        <v>0</v>
      </c>
      <c r="SG59">
        <v>0</v>
      </c>
      <c r="SH59">
        <v>0</v>
      </c>
      <c r="SI59">
        <v>0</v>
      </c>
      <c r="SJ59">
        <v>0</v>
      </c>
      <c r="SK59">
        <v>0</v>
      </c>
      <c r="SL59">
        <v>0</v>
      </c>
      <c r="SM59">
        <v>0</v>
      </c>
      <c r="SN59">
        <v>0</v>
      </c>
      <c r="SO59">
        <v>0</v>
      </c>
      <c r="SP59">
        <v>0</v>
      </c>
      <c r="SQ59">
        <v>0</v>
      </c>
      <c r="SR59">
        <v>0</v>
      </c>
      <c r="SS59">
        <v>0</v>
      </c>
      <c r="ST59">
        <v>0</v>
      </c>
      <c r="SU59">
        <v>0</v>
      </c>
      <c r="SV59">
        <v>0</v>
      </c>
      <c r="SW59">
        <v>0</v>
      </c>
      <c r="SX59">
        <v>0</v>
      </c>
      <c r="SY59">
        <v>0</v>
      </c>
      <c r="SZ59">
        <v>0</v>
      </c>
      <c r="TA59">
        <v>0</v>
      </c>
      <c r="TB59">
        <v>0</v>
      </c>
      <c r="TC59">
        <v>0</v>
      </c>
      <c r="TD59">
        <v>0</v>
      </c>
      <c r="TE59">
        <v>0</v>
      </c>
      <c r="TF59">
        <v>0</v>
      </c>
      <c r="TG59">
        <v>0</v>
      </c>
      <c r="TH59">
        <v>0</v>
      </c>
      <c r="TI59">
        <v>0</v>
      </c>
      <c r="TJ59">
        <v>0</v>
      </c>
      <c r="TK59">
        <v>0</v>
      </c>
      <c r="TL59">
        <v>0</v>
      </c>
      <c r="TM59">
        <v>0</v>
      </c>
      <c r="TN59">
        <v>0</v>
      </c>
      <c r="TO59">
        <v>0</v>
      </c>
      <c r="TP59">
        <v>0</v>
      </c>
      <c r="TQ59">
        <v>0</v>
      </c>
      <c r="TR59">
        <v>0</v>
      </c>
      <c r="TS59">
        <v>0</v>
      </c>
      <c r="TT59">
        <v>0</v>
      </c>
      <c r="TU59">
        <v>0</v>
      </c>
      <c r="TV59">
        <v>0</v>
      </c>
      <c r="TW59">
        <v>0</v>
      </c>
      <c r="TX59">
        <v>0</v>
      </c>
      <c r="TY59">
        <v>0</v>
      </c>
      <c r="TZ59">
        <v>0</v>
      </c>
      <c r="UA59">
        <v>0</v>
      </c>
      <c r="UB59">
        <v>0</v>
      </c>
      <c r="UC59">
        <v>0</v>
      </c>
      <c r="UD59">
        <v>0</v>
      </c>
      <c r="UE59">
        <v>0</v>
      </c>
      <c r="UF59">
        <v>0</v>
      </c>
      <c r="UG59">
        <v>0</v>
      </c>
      <c r="UH59">
        <v>0</v>
      </c>
      <c r="UI59">
        <v>0</v>
      </c>
      <c r="UJ59">
        <v>0</v>
      </c>
      <c r="UK59">
        <v>0</v>
      </c>
      <c r="UL59">
        <v>0</v>
      </c>
      <c r="UM59">
        <v>0</v>
      </c>
      <c r="UN59">
        <v>0</v>
      </c>
      <c r="UO59">
        <v>0</v>
      </c>
      <c r="UP59">
        <v>0</v>
      </c>
      <c r="UQ59">
        <v>0</v>
      </c>
      <c r="UR59">
        <v>0</v>
      </c>
      <c r="US59">
        <v>0</v>
      </c>
      <c r="UT59">
        <v>0</v>
      </c>
      <c r="UU59">
        <v>0</v>
      </c>
      <c r="UV59">
        <v>0</v>
      </c>
      <c r="UW59">
        <v>0</v>
      </c>
      <c r="UX59">
        <v>0</v>
      </c>
      <c r="UY59">
        <v>0</v>
      </c>
      <c r="UZ59">
        <v>0</v>
      </c>
      <c r="VA59">
        <v>0</v>
      </c>
      <c r="VB59">
        <v>0</v>
      </c>
      <c r="VC59">
        <v>0</v>
      </c>
      <c r="VD59">
        <v>0</v>
      </c>
      <c r="VE59">
        <v>0</v>
      </c>
      <c r="VF59">
        <v>0</v>
      </c>
      <c r="VG59">
        <v>0</v>
      </c>
      <c r="VH59">
        <v>0</v>
      </c>
      <c r="VI59">
        <v>0</v>
      </c>
      <c r="VJ59">
        <v>0</v>
      </c>
      <c r="VK59">
        <v>0</v>
      </c>
      <c r="VL59">
        <v>0</v>
      </c>
      <c r="VM59">
        <v>0</v>
      </c>
      <c r="VN59">
        <v>0</v>
      </c>
      <c r="VO59">
        <v>0</v>
      </c>
      <c r="VP59">
        <v>0</v>
      </c>
      <c r="VQ59">
        <v>0</v>
      </c>
      <c r="VR59">
        <v>0</v>
      </c>
      <c r="VS59">
        <v>0</v>
      </c>
      <c r="VT59">
        <v>0</v>
      </c>
      <c r="VU59">
        <v>0</v>
      </c>
      <c r="VV59">
        <v>0</v>
      </c>
      <c r="VW59">
        <v>0</v>
      </c>
      <c r="VX59">
        <v>0</v>
      </c>
      <c r="VY59">
        <v>0</v>
      </c>
      <c r="VZ59">
        <v>0</v>
      </c>
      <c r="WA59">
        <v>0</v>
      </c>
      <c r="WB59">
        <v>0</v>
      </c>
      <c r="WC59">
        <v>0</v>
      </c>
      <c r="WD59">
        <v>0</v>
      </c>
      <c r="WE59">
        <v>0</v>
      </c>
      <c r="WF59">
        <v>0</v>
      </c>
      <c r="WG59">
        <v>0</v>
      </c>
      <c r="WH59">
        <v>0</v>
      </c>
      <c r="WI59">
        <v>0</v>
      </c>
      <c r="WJ59">
        <v>0</v>
      </c>
      <c r="WK59">
        <v>0</v>
      </c>
      <c r="WL59">
        <v>0</v>
      </c>
      <c r="WM59">
        <v>0</v>
      </c>
      <c r="WN59">
        <v>0</v>
      </c>
      <c r="WO59">
        <v>0</v>
      </c>
      <c r="WP59">
        <v>0</v>
      </c>
      <c r="WQ59">
        <v>0</v>
      </c>
      <c r="WR59">
        <v>0</v>
      </c>
      <c r="WS59">
        <v>0</v>
      </c>
      <c r="WT59">
        <v>0</v>
      </c>
      <c r="WU59">
        <v>0</v>
      </c>
      <c r="WV59">
        <v>0</v>
      </c>
      <c r="WW59">
        <v>0</v>
      </c>
      <c r="WX59">
        <v>0</v>
      </c>
      <c r="WY59">
        <v>0</v>
      </c>
      <c r="WZ59">
        <v>0</v>
      </c>
      <c r="XA59">
        <v>0</v>
      </c>
      <c r="XB59">
        <v>0</v>
      </c>
      <c r="XC59">
        <v>0</v>
      </c>
      <c r="XD59">
        <v>0</v>
      </c>
      <c r="XE59">
        <v>0</v>
      </c>
      <c r="XF59">
        <v>0</v>
      </c>
      <c r="XG59">
        <v>0</v>
      </c>
      <c r="XH59">
        <v>0</v>
      </c>
      <c r="XI59">
        <v>0</v>
      </c>
      <c r="XJ59">
        <v>0</v>
      </c>
      <c r="XK59">
        <v>0</v>
      </c>
      <c r="XL59">
        <v>0</v>
      </c>
      <c r="XM59">
        <v>0</v>
      </c>
      <c r="XN59">
        <v>0</v>
      </c>
      <c r="XO59">
        <v>0</v>
      </c>
      <c r="XP59">
        <v>0</v>
      </c>
      <c r="XQ59">
        <v>0</v>
      </c>
      <c r="XR59">
        <v>0</v>
      </c>
      <c r="XS59">
        <v>0</v>
      </c>
      <c r="XT59">
        <v>0</v>
      </c>
      <c r="XU59">
        <v>0</v>
      </c>
      <c r="XV59">
        <v>0</v>
      </c>
      <c r="XW59">
        <v>0</v>
      </c>
      <c r="XX59">
        <v>0</v>
      </c>
      <c r="XY59">
        <v>0</v>
      </c>
      <c r="XZ59">
        <v>0</v>
      </c>
      <c r="YA59">
        <v>0</v>
      </c>
      <c r="YB59">
        <v>0</v>
      </c>
      <c r="YC59">
        <v>0</v>
      </c>
      <c r="YD59">
        <v>0</v>
      </c>
      <c r="YE59">
        <v>0</v>
      </c>
      <c r="YF59">
        <v>0</v>
      </c>
      <c r="YG59">
        <v>0</v>
      </c>
      <c r="YH59">
        <v>0</v>
      </c>
      <c r="YI59">
        <v>0</v>
      </c>
      <c r="YJ59">
        <v>0</v>
      </c>
      <c r="YK59">
        <v>0</v>
      </c>
      <c r="YL59">
        <v>0</v>
      </c>
      <c r="YM59">
        <v>0</v>
      </c>
      <c r="YN59">
        <v>0</v>
      </c>
      <c r="YO59">
        <v>0</v>
      </c>
      <c r="YP59">
        <v>0</v>
      </c>
      <c r="YQ59">
        <v>0</v>
      </c>
      <c r="YR59">
        <v>0</v>
      </c>
      <c r="YS59">
        <v>0</v>
      </c>
      <c r="YT59">
        <v>0</v>
      </c>
      <c r="YU59">
        <v>0</v>
      </c>
      <c r="YV59">
        <v>0</v>
      </c>
      <c r="YW59">
        <v>0</v>
      </c>
      <c r="YX59">
        <v>0</v>
      </c>
      <c r="YY59">
        <v>0</v>
      </c>
      <c r="YZ59">
        <v>0</v>
      </c>
      <c r="ZA59">
        <v>0</v>
      </c>
      <c r="ZB59">
        <v>0</v>
      </c>
      <c r="ZC59">
        <v>0</v>
      </c>
      <c r="ZD59">
        <v>0</v>
      </c>
      <c r="ZE59">
        <v>0</v>
      </c>
      <c r="ZF59">
        <v>0</v>
      </c>
      <c r="ZG59">
        <v>0</v>
      </c>
      <c r="ZH59">
        <v>0</v>
      </c>
      <c r="ZI59">
        <v>0</v>
      </c>
      <c r="ZJ59">
        <v>0</v>
      </c>
      <c r="ZK59">
        <v>0</v>
      </c>
      <c r="ZL59">
        <v>0</v>
      </c>
      <c r="ZM59">
        <v>0</v>
      </c>
      <c r="ZN59">
        <v>0</v>
      </c>
      <c r="ZO59">
        <v>0</v>
      </c>
      <c r="ZP59">
        <v>0</v>
      </c>
      <c r="ZQ59">
        <v>0</v>
      </c>
      <c r="ZR59">
        <v>0</v>
      </c>
      <c r="ZS59">
        <v>0</v>
      </c>
      <c r="ZT59">
        <v>0</v>
      </c>
      <c r="ZU59">
        <v>0</v>
      </c>
      <c r="ZV59">
        <v>0</v>
      </c>
      <c r="ZW59">
        <v>0</v>
      </c>
      <c r="ZX59">
        <v>0</v>
      </c>
      <c r="ZY59">
        <v>0</v>
      </c>
      <c r="ZZ59">
        <v>0</v>
      </c>
      <c r="AAA59">
        <v>0</v>
      </c>
      <c r="AAB59">
        <v>0</v>
      </c>
      <c r="AAC59">
        <v>0</v>
      </c>
      <c r="AAD59">
        <v>0</v>
      </c>
      <c r="AAE59">
        <v>0</v>
      </c>
      <c r="AAF59">
        <v>0</v>
      </c>
      <c r="AAG59">
        <v>0</v>
      </c>
      <c r="AAH59">
        <v>0</v>
      </c>
      <c r="AAI59">
        <v>0</v>
      </c>
      <c r="AAJ59">
        <v>0</v>
      </c>
      <c r="AAK59">
        <v>0</v>
      </c>
      <c r="AAL59">
        <v>0</v>
      </c>
      <c r="AAM59">
        <v>0</v>
      </c>
      <c r="AAN59">
        <v>0</v>
      </c>
      <c r="AAO59">
        <v>0</v>
      </c>
      <c r="AAP59">
        <v>0</v>
      </c>
      <c r="AAQ59">
        <v>0</v>
      </c>
      <c r="AAR59">
        <v>0</v>
      </c>
      <c r="AAS59">
        <v>0</v>
      </c>
      <c r="AAT59">
        <v>0</v>
      </c>
      <c r="AAU59">
        <v>0</v>
      </c>
      <c r="AAV59">
        <v>0</v>
      </c>
      <c r="AAW59">
        <v>0</v>
      </c>
      <c r="AAX59">
        <v>0</v>
      </c>
      <c r="AAY59">
        <v>0</v>
      </c>
      <c r="AAZ59">
        <v>0</v>
      </c>
      <c r="ABA59">
        <v>0</v>
      </c>
      <c r="ABB59">
        <v>0</v>
      </c>
      <c r="ABC59">
        <v>0</v>
      </c>
      <c r="ABD59">
        <v>0</v>
      </c>
      <c r="ABE59">
        <v>0</v>
      </c>
      <c r="ABG59" s="1137">
        <f t="shared" si="13"/>
        <v>0</v>
      </c>
      <c r="ABH59" s="1137">
        <f t="shared" si="13"/>
        <v>0</v>
      </c>
      <c r="ABI59" s="1137">
        <f t="shared" si="13"/>
        <v>18</v>
      </c>
      <c r="ABJ59" s="1137">
        <f t="shared" si="13"/>
        <v>30</v>
      </c>
      <c r="ABK59" s="1137">
        <f t="shared" si="13"/>
        <v>7</v>
      </c>
      <c r="ABL59" s="1137">
        <f t="shared" si="13"/>
        <v>0</v>
      </c>
      <c r="ABM59" s="1137">
        <f t="shared" si="13"/>
        <v>0</v>
      </c>
      <c r="ABN59" s="1137">
        <f t="shared" si="13"/>
        <v>0</v>
      </c>
      <c r="ABO59" s="1137">
        <f t="shared" si="13"/>
        <v>0</v>
      </c>
      <c r="ABP59" s="1137">
        <f t="shared" si="13"/>
        <v>0</v>
      </c>
      <c r="ABQ59" s="1137">
        <f t="shared" si="13"/>
        <v>0</v>
      </c>
      <c r="ABR59" s="1137">
        <f t="shared" si="13"/>
        <v>0</v>
      </c>
      <c r="ABS59" s="1137">
        <f t="shared" si="13"/>
        <v>0</v>
      </c>
      <c r="ABT59" s="1137">
        <f t="shared" si="13"/>
        <v>0</v>
      </c>
      <c r="ABU59" s="1137">
        <f t="shared" si="13"/>
        <v>0</v>
      </c>
      <c r="ABV59" s="1137">
        <f t="shared" si="13"/>
        <v>0</v>
      </c>
      <c r="ABW59" s="1137">
        <f t="shared" si="17"/>
        <v>0</v>
      </c>
      <c r="ABX59" s="1137">
        <f t="shared" si="14"/>
        <v>0</v>
      </c>
      <c r="ABY59" s="1137">
        <f t="shared" si="14"/>
        <v>0</v>
      </c>
      <c r="ABZ59" s="1137">
        <f t="shared" si="14"/>
        <v>0</v>
      </c>
      <c r="ACA59" s="1137">
        <f t="shared" si="14"/>
        <v>0</v>
      </c>
      <c r="ACB59" s="1137">
        <f t="shared" si="14"/>
        <v>0</v>
      </c>
      <c r="ACC59" s="1137">
        <f t="shared" si="14"/>
        <v>0</v>
      </c>
      <c r="ACD59" s="1137">
        <f t="shared" si="14"/>
        <v>0</v>
      </c>
      <c r="ACE59" s="1137" t="s">
        <v>176</v>
      </c>
      <c r="ACF59" s="1137">
        <f t="shared" si="15"/>
        <v>0</v>
      </c>
      <c r="ACG59" s="1137">
        <f t="shared" si="15"/>
        <v>0</v>
      </c>
      <c r="ACH59" s="1137">
        <f t="shared" si="15"/>
        <v>1</v>
      </c>
      <c r="ACI59" s="1137">
        <f t="shared" si="15"/>
        <v>1</v>
      </c>
      <c r="ACJ59" s="1137">
        <f t="shared" si="15"/>
        <v>0</v>
      </c>
      <c r="ACK59" s="1137">
        <f t="shared" si="15"/>
        <v>0</v>
      </c>
      <c r="ACL59" s="1137">
        <f t="shared" si="15"/>
        <v>0</v>
      </c>
      <c r="ACM59" s="1137">
        <f t="shared" si="15"/>
        <v>0</v>
      </c>
      <c r="ACN59" s="1137">
        <f t="shared" si="15"/>
        <v>0</v>
      </c>
      <c r="ACO59" s="1137">
        <f t="shared" si="15"/>
        <v>0</v>
      </c>
      <c r="ACP59" s="1137">
        <f t="shared" si="15"/>
        <v>0</v>
      </c>
      <c r="ACQ59" s="1137">
        <f t="shared" si="15"/>
        <v>0</v>
      </c>
      <c r="ACR59" s="1137">
        <f t="shared" si="15"/>
        <v>0</v>
      </c>
      <c r="ACS59" s="1137">
        <f t="shared" si="15"/>
        <v>0</v>
      </c>
      <c r="ACT59" s="1137">
        <f t="shared" si="15"/>
        <v>0</v>
      </c>
      <c r="ACU59" s="1137">
        <f t="shared" si="12"/>
        <v>0</v>
      </c>
      <c r="ACV59" s="1137">
        <f t="shared" si="12"/>
        <v>0</v>
      </c>
      <c r="ACW59" s="1137">
        <f t="shared" si="12"/>
        <v>0</v>
      </c>
      <c r="ACX59" s="1137">
        <f t="shared" si="12"/>
        <v>0</v>
      </c>
      <c r="ACY59" s="1137">
        <f t="shared" si="12"/>
        <v>0</v>
      </c>
      <c r="ACZ59" s="1137">
        <f t="shared" si="12"/>
        <v>0</v>
      </c>
      <c r="ADA59" s="1137">
        <f t="shared" si="12"/>
        <v>0</v>
      </c>
      <c r="ADB59" s="1137">
        <f t="shared" si="16"/>
        <v>0</v>
      </c>
      <c r="ADC59" s="1137">
        <f t="shared" si="16"/>
        <v>0</v>
      </c>
    </row>
    <row r="60" spans="1:783" x14ac:dyDescent="0.25">
      <c r="A60" t="s">
        <v>1857</v>
      </c>
      <c r="B60" t="s">
        <v>29</v>
      </c>
      <c r="C60">
        <v>0</v>
      </c>
      <c r="D60">
        <v>0</v>
      </c>
      <c r="E60">
        <v>0</v>
      </c>
      <c r="F60">
        <v>0</v>
      </c>
      <c r="G60">
        <v>0</v>
      </c>
      <c r="H60">
        <v>0</v>
      </c>
      <c r="I60">
        <v>0</v>
      </c>
      <c r="J60">
        <v>0</v>
      </c>
      <c r="K60">
        <v>0</v>
      </c>
      <c r="L60">
        <v>0</v>
      </c>
      <c r="M60">
        <v>0</v>
      </c>
      <c r="N60">
        <v>0</v>
      </c>
      <c r="O60">
        <v>0</v>
      </c>
      <c r="P60">
        <v>0</v>
      </c>
      <c r="Q60">
        <v>0</v>
      </c>
      <c r="R60">
        <v>0</v>
      </c>
      <c r="S60">
        <v>0</v>
      </c>
      <c r="T60">
        <v>0</v>
      </c>
      <c r="U60">
        <v>0</v>
      </c>
      <c r="V60">
        <v>0</v>
      </c>
      <c r="W60">
        <v>0</v>
      </c>
      <c r="X60">
        <v>0</v>
      </c>
      <c r="Y60">
        <v>0</v>
      </c>
      <c r="Z60">
        <v>0</v>
      </c>
      <c r="AA60">
        <v>0</v>
      </c>
      <c r="AB60">
        <v>0</v>
      </c>
      <c r="AC60">
        <v>0</v>
      </c>
      <c r="AD60">
        <v>0</v>
      </c>
      <c r="AE60">
        <v>0</v>
      </c>
      <c r="AF60">
        <v>0</v>
      </c>
      <c r="AG60">
        <v>0</v>
      </c>
      <c r="AH60">
        <v>0</v>
      </c>
      <c r="AI60">
        <v>0</v>
      </c>
      <c r="AJ60">
        <v>0</v>
      </c>
      <c r="AK60">
        <v>0</v>
      </c>
      <c r="AL60">
        <v>0</v>
      </c>
      <c r="AM60">
        <v>0</v>
      </c>
      <c r="AN60">
        <v>0</v>
      </c>
      <c r="AO60">
        <v>0</v>
      </c>
      <c r="AP60">
        <v>0</v>
      </c>
      <c r="AQ60">
        <v>0</v>
      </c>
      <c r="AR60">
        <v>0</v>
      </c>
      <c r="AS60">
        <v>0</v>
      </c>
      <c r="AT60">
        <v>0</v>
      </c>
      <c r="AU60">
        <v>0</v>
      </c>
      <c r="AV60">
        <v>0</v>
      </c>
      <c r="AW60">
        <v>0</v>
      </c>
      <c r="AX60">
        <v>0</v>
      </c>
      <c r="AY60">
        <v>0</v>
      </c>
      <c r="AZ60">
        <v>0</v>
      </c>
      <c r="BA60">
        <v>0</v>
      </c>
      <c r="BB60">
        <v>0</v>
      </c>
      <c r="BC60">
        <v>0</v>
      </c>
      <c r="BD60">
        <v>0</v>
      </c>
      <c r="BE60">
        <v>0</v>
      </c>
      <c r="BF60">
        <v>0</v>
      </c>
      <c r="BG60">
        <v>0</v>
      </c>
      <c r="BH60">
        <v>0</v>
      </c>
      <c r="BI60">
        <v>0</v>
      </c>
      <c r="BJ60">
        <v>0</v>
      </c>
      <c r="BK60">
        <v>0</v>
      </c>
      <c r="BL60">
        <v>0</v>
      </c>
      <c r="BM60">
        <v>0</v>
      </c>
      <c r="BN60">
        <v>0</v>
      </c>
      <c r="BO60">
        <v>0</v>
      </c>
      <c r="BP60">
        <v>0</v>
      </c>
      <c r="BQ60">
        <v>0</v>
      </c>
      <c r="BR60">
        <v>0</v>
      </c>
      <c r="BS60">
        <v>0</v>
      </c>
      <c r="BT60">
        <v>0</v>
      </c>
      <c r="BU60">
        <v>0</v>
      </c>
      <c r="BV60">
        <v>0</v>
      </c>
      <c r="BW60">
        <v>0</v>
      </c>
      <c r="BX60">
        <v>0</v>
      </c>
      <c r="BY60">
        <v>0</v>
      </c>
      <c r="BZ60">
        <v>0</v>
      </c>
      <c r="CA60">
        <v>0</v>
      </c>
      <c r="CB60">
        <v>0</v>
      </c>
      <c r="CC60">
        <v>0</v>
      </c>
      <c r="CD60">
        <v>0</v>
      </c>
      <c r="CE60">
        <v>0</v>
      </c>
      <c r="CF60">
        <v>0</v>
      </c>
      <c r="CG60">
        <v>0</v>
      </c>
      <c r="CH60">
        <v>0</v>
      </c>
      <c r="CI60">
        <v>0</v>
      </c>
      <c r="CJ60">
        <v>2</v>
      </c>
      <c r="CK60">
        <v>2</v>
      </c>
      <c r="CL60">
        <v>2</v>
      </c>
      <c r="CM60">
        <v>2</v>
      </c>
      <c r="CN60">
        <v>2</v>
      </c>
      <c r="CO60">
        <v>2</v>
      </c>
      <c r="CP60">
        <v>2</v>
      </c>
      <c r="CQ60">
        <v>2</v>
      </c>
      <c r="CR60">
        <v>2</v>
      </c>
      <c r="CS60">
        <v>2</v>
      </c>
      <c r="CT60">
        <v>2</v>
      </c>
      <c r="CU60">
        <v>2</v>
      </c>
      <c r="CV60">
        <v>2</v>
      </c>
      <c r="CW60">
        <v>2</v>
      </c>
      <c r="CX60">
        <v>2</v>
      </c>
      <c r="CY60">
        <v>2</v>
      </c>
      <c r="CZ60">
        <v>2</v>
      </c>
      <c r="DA60">
        <v>2</v>
      </c>
      <c r="DB60">
        <v>2</v>
      </c>
      <c r="DC60">
        <v>2</v>
      </c>
      <c r="DD60">
        <v>2</v>
      </c>
      <c r="DE60">
        <v>2</v>
      </c>
      <c r="DF60">
        <v>2</v>
      </c>
      <c r="DG60">
        <v>2</v>
      </c>
      <c r="DH60">
        <v>2</v>
      </c>
      <c r="DI60">
        <v>2</v>
      </c>
      <c r="DJ60">
        <v>2</v>
      </c>
      <c r="DK60">
        <v>2</v>
      </c>
      <c r="DL60">
        <v>2</v>
      </c>
      <c r="DM60">
        <v>2</v>
      </c>
      <c r="DN60">
        <v>2</v>
      </c>
      <c r="DO60">
        <v>2</v>
      </c>
      <c r="DP60">
        <v>2</v>
      </c>
      <c r="DQ60">
        <v>2</v>
      </c>
      <c r="DR60">
        <v>2</v>
      </c>
      <c r="DS60">
        <v>2</v>
      </c>
      <c r="DT60">
        <v>2</v>
      </c>
      <c r="DU60">
        <v>2</v>
      </c>
      <c r="DV60">
        <v>2</v>
      </c>
      <c r="DW60">
        <v>2</v>
      </c>
      <c r="DX60">
        <v>2</v>
      </c>
      <c r="DY60">
        <v>2</v>
      </c>
      <c r="DZ60">
        <v>2</v>
      </c>
      <c r="EA60">
        <v>2</v>
      </c>
      <c r="EB60">
        <v>2</v>
      </c>
      <c r="EC60">
        <v>2</v>
      </c>
      <c r="ED60">
        <v>2</v>
      </c>
      <c r="EE60">
        <v>2</v>
      </c>
      <c r="EF60">
        <v>2</v>
      </c>
      <c r="EG60">
        <v>2</v>
      </c>
      <c r="EH60">
        <v>2</v>
      </c>
      <c r="EI60">
        <v>2</v>
      </c>
      <c r="EJ60">
        <v>2</v>
      </c>
      <c r="EK60">
        <v>2</v>
      </c>
      <c r="EL60">
        <v>2</v>
      </c>
      <c r="EM60">
        <v>2</v>
      </c>
      <c r="EN60">
        <v>2</v>
      </c>
      <c r="EO60">
        <v>2</v>
      </c>
      <c r="EP60">
        <v>2</v>
      </c>
      <c r="EQ60">
        <v>2</v>
      </c>
      <c r="ER60">
        <v>2</v>
      </c>
      <c r="ES60">
        <v>2</v>
      </c>
      <c r="ET60">
        <v>2</v>
      </c>
      <c r="EU60">
        <v>2</v>
      </c>
      <c r="EV60">
        <v>2</v>
      </c>
      <c r="EW60">
        <v>2</v>
      </c>
      <c r="EX60">
        <v>2</v>
      </c>
      <c r="EY60">
        <v>2</v>
      </c>
      <c r="EZ60">
        <v>2</v>
      </c>
      <c r="FA60">
        <v>2</v>
      </c>
      <c r="FB60">
        <v>2</v>
      </c>
      <c r="FC60">
        <v>2</v>
      </c>
      <c r="FD60">
        <v>2</v>
      </c>
      <c r="FE60">
        <v>2</v>
      </c>
      <c r="FF60">
        <v>2</v>
      </c>
      <c r="FG60">
        <v>2</v>
      </c>
      <c r="FH60">
        <v>2</v>
      </c>
      <c r="FI60">
        <v>2</v>
      </c>
      <c r="FJ60">
        <v>2</v>
      </c>
      <c r="FK60">
        <v>2</v>
      </c>
      <c r="FL60">
        <v>2</v>
      </c>
      <c r="FM60">
        <v>2</v>
      </c>
      <c r="FN60">
        <v>2</v>
      </c>
      <c r="FO60">
        <v>2</v>
      </c>
      <c r="FP60">
        <v>2</v>
      </c>
      <c r="FQ60">
        <v>2</v>
      </c>
      <c r="FR60">
        <v>2</v>
      </c>
      <c r="FS60">
        <v>2</v>
      </c>
      <c r="FT60">
        <v>2</v>
      </c>
      <c r="FU60">
        <v>2</v>
      </c>
      <c r="FV60">
        <v>2</v>
      </c>
      <c r="FW60">
        <v>2</v>
      </c>
      <c r="FX60">
        <v>2</v>
      </c>
      <c r="FY60">
        <v>2</v>
      </c>
      <c r="FZ60">
        <v>2</v>
      </c>
      <c r="GA60">
        <v>2</v>
      </c>
      <c r="GB60">
        <v>2</v>
      </c>
      <c r="GC60">
        <v>2</v>
      </c>
      <c r="GD60">
        <v>2</v>
      </c>
      <c r="GE60">
        <v>2</v>
      </c>
      <c r="GF60">
        <v>2</v>
      </c>
      <c r="GG60">
        <v>2</v>
      </c>
      <c r="GH60">
        <v>2</v>
      </c>
      <c r="GI60">
        <v>2</v>
      </c>
      <c r="GJ60">
        <v>2</v>
      </c>
      <c r="GK60">
        <v>2</v>
      </c>
      <c r="GL60">
        <v>2</v>
      </c>
      <c r="GM60">
        <v>2</v>
      </c>
      <c r="GN60">
        <v>2</v>
      </c>
      <c r="GO60">
        <v>2</v>
      </c>
      <c r="GP60">
        <v>2</v>
      </c>
      <c r="GQ60">
        <v>2</v>
      </c>
      <c r="GR60">
        <v>2</v>
      </c>
      <c r="GS60">
        <v>2</v>
      </c>
      <c r="GT60">
        <v>2</v>
      </c>
      <c r="GU60">
        <v>2</v>
      </c>
      <c r="GV60">
        <v>2</v>
      </c>
      <c r="GW60">
        <v>2</v>
      </c>
      <c r="GX60">
        <v>2</v>
      </c>
      <c r="GY60">
        <v>2</v>
      </c>
      <c r="GZ60">
        <v>2</v>
      </c>
      <c r="HA60">
        <v>2</v>
      </c>
      <c r="HB60">
        <v>2</v>
      </c>
      <c r="HC60">
        <v>2</v>
      </c>
      <c r="HD60">
        <v>2</v>
      </c>
      <c r="HE60">
        <v>2</v>
      </c>
      <c r="HF60">
        <v>2</v>
      </c>
      <c r="HG60">
        <v>2</v>
      </c>
      <c r="HH60">
        <v>2</v>
      </c>
      <c r="HI60">
        <v>2</v>
      </c>
      <c r="HJ60">
        <v>2</v>
      </c>
      <c r="HK60">
        <v>2</v>
      </c>
      <c r="HL60">
        <v>2</v>
      </c>
      <c r="HM60">
        <v>2</v>
      </c>
      <c r="HN60">
        <v>2</v>
      </c>
      <c r="HO60">
        <v>2</v>
      </c>
      <c r="HP60">
        <v>2</v>
      </c>
      <c r="HQ60">
        <v>2</v>
      </c>
      <c r="HR60">
        <v>2</v>
      </c>
      <c r="HS60">
        <v>2</v>
      </c>
      <c r="HT60">
        <v>2</v>
      </c>
      <c r="HU60">
        <v>2</v>
      </c>
      <c r="HV60">
        <v>2</v>
      </c>
      <c r="HW60">
        <v>2</v>
      </c>
      <c r="HX60">
        <v>2</v>
      </c>
      <c r="HY60">
        <v>2</v>
      </c>
      <c r="HZ60">
        <v>2</v>
      </c>
      <c r="IA60">
        <v>2</v>
      </c>
      <c r="IB60">
        <v>2</v>
      </c>
      <c r="IC60">
        <v>2</v>
      </c>
      <c r="ID60">
        <v>2</v>
      </c>
      <c r="IE60">
        <v>2</v>
      </c>
      <c r="IF60">
        <v>2</v>
      </c>
      <c r="IG60">
        <v>2</v>
      </c>
      <c r="IH60">
        <v>2</v>
      </c>
      <c r="II60">
        <v>2</v>
      </c>
      <c r="IJ60">
        <v>2</v>
      </c>
      <c r="IK60">
        <v>2</v>
      </c>
      <c r="IL60">
        <v>2</v>
      </c>
      <c r="IM60">
        <v>2</v>
      </c>
      <c r="IN60">
        <v>2</v>
      </c>
      <c r="IO60">
        <v>2</v>
      </c>
      <c r="IP60">
        <v>2</v>
      </c>
      <c r="IQ60">
        <v>2</v>
      </c>
      <c r="IR60">
        <v>2</v>
      </c>
      <c r="IS60">
        <v>2</v>
      </c>
      <c r="IT60">
        <v>2</v>
      </c>
      <c r="IU60">
        <v>2</v>
      </c>
      <c r="IV60">
        <v>2</v>
      </c>
      <c r="IW60">
        <v>2</v>
      </c>
      <c r="IX60">
        <v>2</v>
      </c>
      <c r="IY60">
        <v>2</v>
      </c>
      <c r="IZ60">
        <v>2</v>
      </c>
      <c r="JA60">
        <v>2</v>
      </c>
      <c r="JB60">
        <v>2</v>
      </c>
      <c r="JC60">
        <v>2</v>
      </c>
      <c r="JD60">
        <v>2</v>
      </c>
      <c r="JE60">
        <v>2</v>
      </c>
      <c r="JF60">
        <v>2</v>
      </c>
      <c r="JG60">
        <v>2</v>
      </c>
      <c r="JH60">
        <v>2</v>
      </c>
      <c r="JI60">
        <v>2</v>
      </c>
      <c r="JJ60">
        <v>2</v>
      </c>
      <c r="JK60">
        <v>2</v>
      </c>
      <c r="JL60">
        <v>2</v>
      </c>
      <c r="JM60">
        <v>2</v>
      </c>
      <c r="JN60">
        <v>2</v>
      </c>
      <c r="JO60">
        <v>2</v>
      </c>
      <c r="JP60">
        <v>2</v>
      </c>
      <c r="JQ60">
        <v>2</v>
      </c>
      <c r="JR60">
        <v>2</v>
      </c>
      <c r="JS60">
        <v>2</v>
      </c>
      <c r="JT60">
        <v>2</v>
      </c>
      <c r="JU60">
        <v>2</v>
      </c>
      <c r="JV60">
        <v>2</v>
      </c>
      <c r="JW60">
        <v>2</v>
      </c>
      <c r="JX60">
        <v>2</v>
      </c>
      <c r="JY60">
        <v>2</v>
      </c>
      <c r="JZ60">
        <v>2</v>
      </c>
      <c r="KA60">
        <v>2</v>
      </c>
      <c r="KB60">
        <v>2</v>
      </c>
      <c r="KC60">
        <v>2</v>
      </c>
      <c r="KD60">
        <v>2</v>
      </c>
      <c r="KE60">
        <v>2</v>
      </c>
      <c r="KF60">
        <v>2</v>
      </c>
      <c r="KG60">
        <v>2</v>
      </c>
      <c r="KH60">
        <v>2</v>
      </c>
      <c r="KI60">
        <v>2</v>
      </c>
      <c r="KJ60">
        <v>2</v>
      </c>
      <c r="KK60">
        <v>2</v>
      </c>
      <c r="KL60">
        <v>2</v>
      </c>
      <c r="KM60">
        <v>2</v>
      </c>
      <c r="KN60">
        <v>2</v>
      </c>
      <c r="KO60">
        <v>2</v>
      </c>
      <c r="KP60">
        <v>2</v>
      </c>
      <c r="KQ60">
        <v>2</v>
      </c>
      <c r="KR60">
        <v>2</v>
      </c>
      <c r="KS60">
        <v>2</v>
      </c>
      <c r="KT60">
        <v>2</v>
      </c>
      <c r="KU60">
        <v>2</v>
      </c>
      <c r="KV60">
        <v>2</v>
      </c>
      <c r="KW60">
        <v>2</v>
      </c>
      <c r="KX60">
        <v>2</v>
      </c>
      <c r="KY60">
        <v>2</v>
      </c>
      <c r="KZ60">
        <v>2</v>
      </c>
      <c r="LA60">
        <v>2</v>
      </c>
      <c r="LB60">
        <v>2</v>
      </c>
      <c r="LC60">
        <v>2</v>
      </c>
      <c r="LD60">
        <v>2</v>
      </c>
      <c r="LE60">
        <v>2</v>
      </c>
      <c r="LF60">
        <v>2</v>
      </c>
      <c r="LG60">
        <v>2</v>
      </c>
      <c r="LH60">
        <v>2</v>
      </c>
      <c r="LI60">
        <v>2</v>
      </c>
      <c r="LJ60">
        <v>2</v>
      </c>
      <c r="LK60">
        <v>2</v>
      </c>
      <c r="LL60">
        <v>2</v>
      </c>
      <c r="LM60">
        <v>2</v>
      </c>
      <c r="LN60">
        <v>2</v>
      </c>
      <c r="LO60">
        <v>2</v>
      </c>
      <c r="LP60">
        <v>2</v>
      </c>
      <c r="LQ60">
        <v>2</v>
      </c>
      <c r="LR60">
        <v>2</v>
      </c>
      <c r="LS60">
        <v>2</v>
      </c>
      <c r="LT60">
        <v>2</v>
      </c>
      <c r="LU60">
        <v>2</v>
      </c>
      <c r="LV60">
        <v>2</v>
      </c>
      <c r="LW60">
        <v>2</v>
      </c>
      <c r="LX60">
        <v>2</v>
      </c>
      <c r="LY60">
        <v>2</v>
      </c>
      <c r="LZ60">
        <v>2</v>
      </c>
      <c r="MA60">
        <v>2</v>
      </c>
      <c r="MB60">
        <v>2</v>
      </c>
      <c r="MC60">
        <v>2</v>
      </c>
      <c r="MD60">
        <v>2</v>
      </c>
      <c r="ME60">
        <v>2</v>
      </c>
      <c r="MF60">
        <v>2</v>
      </c>
      <c r="MG60">
        <v>2</v>
      </c>
      <c r="MH60">
        <v>2</v>
      </c>
      <c r="MI60">
        <v>2</v>
      </c>
      <c r="MJ60">
        <v>2</v>
      </c>
      <c r="MK60">
        <v>2</v>
      </c>
      <c r="ML60">
        <v>2</v>
      </c>
      <c r="MM60">
        <v>2</v>
      </c>
      <c r="MN60">
        <v>2</v>
      </c>
      <c r="MO60">
        <v>2</v>
      </c>
      <c r="MP60">
        <v>2</v>
      </c>
      <c r="MQ60">
        <v>2</v>
      </c>
      <c r="MR60">
        <v>2</v>
      </c>
      <c r="MS60">
        <v>2</v>
      </c>
      <c r="MT60">
        <v>2</v>
      </c>
      <c r="MU60">
        <v>2</v>
      </c>
      <c r="MV60">
        <v>2</v>
      </c>
      <c r="MW60">
        <v>2</v>
      </c>
      <c r="MX60">
        <v>2</v>
      </c>
      <c r="MY60">
        <v>2</v>
      </c>
      <c r="MZ60">
        <v>2</v>
      </c>
      <c r="NA60">
        <v>2</v>
      </c>
      <c r="NB60">
        <v>2</v>
      </c>
      <c r="NC60">
        <v>2</v>
      </c>
      <c r="ND60">
        <v>2</v>
      </c>
      <c r="NE60">
        <v>2</v>
      </c>
      <c r="NF60">
        <v>2</v>
      </c>
      <c r="NG60">
        <v>2</v>
      </c>
      <c r="NH60">
        <v>2</v>
      </c>
      <c r="NI60">
        <v>2</v>
      </c>
      <c r="NJ60">
        <v>2</v>
      </c>
      <c r="NK60">
        <v>2</v>
      </c>
      <c r="NL60">
        <v>2</v>
      </c>
      <c r="NM60">
        <v>2</v>
      </c>
      <c r="NN60">
        <v>2</v>
      </c>
      <c r="NO60">
        <v>2</v>
      </c>
      <c r="NP60">
        <v>2</v>
      </c>
      <c r="NQ60">
        <v>2</v>
      </c>
      <c r="NR60">
        <v>2</v>
      </c>
      <c r="NS60">
        <v>2</v>
      </c>
      <c r="NT60">
        <v>2</v>
      </c>
      <c r="NU60">
        <v>2</v>
      </c>
      <c r="NV60">
        <v>2</v>
      </c>
      <c r="NW60">
        <v>2</v>
      </c>
      <c r="NX60">
        <v>2</v>
      </c>
      <c r="NY60">
        <v>2</v>
      </c>
      <c r="NZ60">
        <v>2</v>
      </c>
      <c r="OA60">
        <v>2</v>
      </c>
      <c r="OB60">
        <v>2</v>
      </c>
      <c r="OC60">
        <v>2</v>
      </c>
      <c r="OD60">
        <v>2</v>
      </c>
      <c r="OE60">
        <v>2</v>
      </c>
      <c r="OF60">
        <v>2</v>
      </c>
      <c r="OG60">
        <v>2</v>
      </c>
      <c r="OH60">
        <v>2</v>
      </c>
      <c r="OI60">
        <v>2</v>
      </c>
      <c r="OJ60">
        <v>2</v>
      </c>
      <c r="OK60">
        <v>2</v>
      </c>
      <c r="OL60">
        <v>2</v>
      </c>
      <c r="OM60">
        <v>2</v>
      </c>
      <c r="ON60">
        <v>2</v>
      </c>
      <c r="OO60">
        <v>2</v>
      </c>
      <c r="OP60">
        <v>2</v>
      </c>
      <c r="OQ60">
        <v>0</v>
      </c>
      <c r="OR60">
        <v>0</v>
      </c>
      <c r="OS60">
        <v>0</v>
      </c>
      <c r="OT60">
        <v>0</v>
      </c>
      <c r="OU60">
        <v>0</v>
      </c>
      <c r="OV60">
        <v>0</v>
      </c>
      <c r="OW60">
        <v>0</v>
      </c>
      <c r="OX60">
        <v>0</v>
      </c>
      <c r="OY60">
        <v>0</v>
      </c>
      <c r="OZ60">
        <v>0</v>
      </c>
      <c r="PA60">
        <v>0</v>
      </c>
      <c r="PB60">
        <v>0</v>
      </c>
      <c r="PC60">
        <v>0</v>
      </c>
      <c r="PD60">
        <v>0</v>
      </c>
      <c r="PE60">
        <v>0</v>
      </c>
      <c r="PF60">
        <v>0</v>
      </c>
      <c r="PG60">
        <v>0</v>
      </c>
      <c r="PH60">
        <v>0</v>
      </c>
      <c r="PI60">
        <v>0</v>
      </c>
      <c r="PJ60">
        <v>0</v>
      </c>
      <c r="PK60">
        <v>0</v>
      </c>
      <c r="PL60">
        <v>0</v>
      </c>
      <c r="PM60">
        <v>0</v>
      </c>
      <c r="PN60">
        <v>0</v>
      </c>
      <c r="PO60">
        <v>0</v>
      </c>
      <c r="PP60">
        <v>0</v>
      </c>
      <c r="PQ60">
        <v>0</v>
      </c>
      <c r="PR60">
        <v>0</v>
      </c>
      <c r="PS60">
        <v>0</v>
      </c>
      <c r="PT60">
        <v>0</v>
      </c>
      <c r="PU60">
        <v>0</v>
      </c>
      <c r="PV60">
        <v>0</v>
      </c>
      <c r="PW60">
        <v>0</v>
      </c>
      <c r="PX60">
        <v>0</v>
      </c>
      <c r="PY60">
        <v>0</v>
      </c>
      <c r="PZ60">
        <v>0</v>
      </c>
      <c r="QA60">
        <v>0</v>
      </c>
      <c r="QB60">
        <v>0</v>
      </c>
      <c r="QC60">
        <v>0</v>
      </c>
      <c r="QD60">
        <v>0</v>
      </c>
      <c r="QE60">
        <v>0</v>
      </c>
      <c r="QF60">
        <v>0</v>
      </c>
      <c r="QG60">
        <v>0</v>
      </c>
      <c r="QH60">
        <v>0</v>
      </c>
      <c r="QI60">
        <v>0</v>
      </c>
      <c r="QJ60">
        <v>0</v>
      </c>
      <c r="QK60">
        <v>0</v>
      </c>
      <c r="QL60">
        <v>0</v>
      </c>
      <c r="QM60">
        <v>0</v>
      </c>
      <c r="QN60">
        <v>0</v>
      </c>
      <c r="QO60">
        <v>0</v>
      </c>
      <c r="QP60">
        <v>0</v>
      </c>
      <c r="QQ60">
        <v>0</v>
      </c>
      <c r="QR60">
        <v>0</v>
      </c>
      <c r="QS60">
        <v>0</v>
      </c>
      <c r="QT60">
        <v>0</v>
      </c>
      <c r="QU60">
        <v>0</v>
      </c>
      <c r="QV60">
        <v>0</v>
      </c>
      <c r="QW60">
        <v>0</v>
      </c>
      <c r="QX60">
        <v>0</v>
      </c>
      <c r="QY60">
        <v>0</v>
      </c>
      <c r="QZ60">
        <v>0</v>
      </c>
      <c r="RA60">
        <v>0</v>
      </c>
      <c r="RB60">
        <v>0</v>
      </c>
      <c r="RC60">
        <v>0</v>
      </c>
      <c r="RD60">
        <v>0</v>
      </c>
      <c r="RE60">
        <v>0</v>
      </c>
      <c r="RF60">
        <v>0</v>
      </c>
      <c r="RG60">
        <v>0</v>
      </c>
      <c r="RH60">
        <v>0</v>
      </c>
      <c r="RI60">
        <v>0</v>
      </c>
      <c r="RJ60">
        <v>0</v>
      </c>
      <c r="RK60">
        <v>0</v>
      </c>
      <c r="RL60">
        <v>0</v>
      </c>
      <c r="RM60">
        <v>0</v>
      </c>
      <c r="RN60">
        <v>0</v>
      </c>
      <c r="RO60">
        <v>0</v>
      </c>
      <c r="RP60">
        <v>0</v>
      </c>
      <c r="RQ60">
        <v>0</v>
      </c>
      <c r="RR60">
        <v>0</v>
      </c>
      <c r="RS60">
        <v>0</v>
      </c>
      <c r="RT60">
        <v>0</v>
      </c>
      <c r="RU60">
        <v>0</v>
      </c>
      <c r="RV60">
        <v>0</v>
      </c>
      <c r="RW60">
        <v>0</v>
      </c>
      <c r="RX60">
        <v>0</v>
      </c>
      <c r="RY60">
        <v>0</v>
      </c>
      <c r="RZ60">
        <v>0</v>
      </c>
      <c r="SA60">
        <v>0</v>
      </c>
      <c r="SB60">
        <v>0</v>
      </c>
      <c r="SC60">
        <v>0</v>
      </c>
      <c r="SD60">
        <v>0</v>
      </c>
      <c r="SE60">
        <v>0</v>
      </c>
      <c r="SF60">
        <v>0</v>
      </c>
      <c r="SG60">
        <v>0</v>
      </c>
      <c r="SH60">
        <v>0</v>
      </c>
      <c r="SI60">
        <v>0</v>
      </c>
      <c r="SJ60">
        <v>0</v>
      </c>
      <c r="SK60">
        <v>0</v>
      </c>
      <c r="SL60">
        <v>0</v>
      </c>
      <c r="SM60">
        <v>0</v>
      </c>
      <c r="SN60">
        <v>0</v>
      </c>
      <c r="SO60">
        <v>0</v>
      </c>
      <c r="SP60">
        <v>0</v>
      </c>
      <c r="SQ60">
        <v>0</v>
      </c>
      <c r="SR60">
        <v>0</v>
      </c>
      <c r="SS60">
        <v>0</v>
      </c>
      <c r="ST60">
        <v>0</v>
      </c>
      <c r="SU60">
        <v>0</v>
      </c>
      <c r="SV60">
        <v>0</v>
      </c>
      <c r="SW60">
        <v>0</v>
      </c>
      <c r="SX60">
        <v>0</v>
      </c>
      <c r="SY60">
        <v>0</v>
      </c>
      <c r="SZ60">
        <v>0</v>
      </c>
      <c r="TA60">
        <v>0</v>
      </c>
      <c r="TB60">
        <v>0</v>
      </c>
      <c r="TC60">
        <v>0</v>
      </c>
      <c r="TD60">
        <v>0</v>
      </c>
      <c r="TE60">
        <v>0</v>
      </c>
      <c r="TF60">
        <v>0</v>
      </c>
      <c r="TG60">
        <v>0</v>
      </c>
      <c r="TH60">
        <v>0</v>
      </c>
      <c r="TI60">
        <v>0</v>
      </c>
      <c r="TJ60">
        <v>0</v>
      </c>
      <c r="TK60">
        <v>0</v>
      </c>
      <c r="TL60">
        <v>0</v>
      </c>
      <c r="TM60">
        <v>0</v>
      </c>
      <c r="TN60">
        <v>0</v>
      </c>
      <c r="TO60">
        <v>0</v>
      </c>
      <c r="TP60">
        <v>0</v>
      </c>
      <c r="TQ60">
        <v>0</v>
      </c>
      <c r="TR60">
        <v>0</v>
      </c>
      <c r="TS60">
        <v>0</v>
      </c>
      <c r="TT60">
        <v>0</v>
      </c>
      <c r="TU60">
        <v>0</v>
      </c>
      <c r="TV60">
        <v>0</v>
      </c>
      <c r="TW60">
        <v>0</v>
      </c>
      <c r="TX60">
        <v>0</v>
      </c>
      <c r="TY60">
        <v>0</v>
      </c>
      <c r="TZ60">
        <v>0</v>
      </c>
      <c r="UA60">
        <v>0</v>
      </c>
      <c r="UB60">
        <v>0</v>
      </c>
      <c r="UC60">
        <v>0</v>
      </c>
      <c r="UD60">
        <v>0</v>
      </c>
      <c r="UE60">
        <v>0</v>
      </c>
      <c r="UF60">
        <v>0</v>
      </c>
      <c r="UG60">
        <v>0</v>
      </c>
      <c r="UH60">
        <v>0</v>
      </c>
      <c r="UI60">
        <v>0</v>
      </c>
      <c r="UJ60">
        <v>0</v>
      </c>
      <c r="UK60">
        <v>0</v>
      </c>
      <c r="UL60">
        <v>0</v>
      </c>
      <c r="UM60">
        <v>0</v>
      </c>
      <c r="UN60">
        <v>0</v>
      </c>
      <c r="UO60">
        <v>0</v>
      </c>
      <c r="UP60">
        <v>0</v>
      </c>
      <c r="UQ60">
        <v>0</v>
      </c>
      <c r="UR60">
        <v>0</v>
      </c>
      <c r="US60">
        <v>0</v>
      </c>
      <c r="UT60">
        <v>0</v>
      </c>
      <c r="UU60">
        <v>0</v>
      </c>
      <c r="UV60">
        <v>0</v>
      </c>
      <c r="UW60">
        <v>0</v>
      </c>
      <c r="UX60">
        <v>0</v>
      </c>
      <c r="UY60">
        <v>0</v>
      </c>
      <c r="UZ60">
        <v>0</v>
      </c>
      <c r="VA60">
        <v>0</v>
      </c>
      <c r="VB60">
        <v>0</v>
      </c>
      <c r="VC60">
        <v>0</v>
      </c>
      <c r="VD60">
        <v>0</v>
      </c>
      <c r="VE60">
        <v>0</v>
      </c>
      <c r="VF60">
        <v>0</v>
      </c>
      <c r="VG60">
        <v>0</v>
      </c>
      <c r="VH60">
        <v>0</v>
      </c>
      <c r="VI60">
        <v>0</v>
      </c>
      <c r="VJ60">
        <v>0</v>
      </c>
      <c r="VK60">
        <v>0</v>
      </c>
      <c r="VL60">
        <v>0</v>
      </c>
      <c r="VM60">
        <v>0</v>
      </c>
      <c r="VN60">
        <v>0</v>
      </c>
      <c r="VO60">
        <v>0</v>
      </c>
      <c r="VP60">
        <v>0</v>
      </c>
      <c r="VQ60">
        <v>0</v>
      </c>
      <c r="VR60">
        <v>0</v>
      </c>
      <c r="VS60">
        <v>0</v>
      </c>
      <c r="VT60">
        <v>0</v>
      </c>
      <c r="VU60">
        <v>0</v>
      </c>
      <c r="VV60">
        <v>0</v>
      </c>
      <c r="VW60">
        <v>0</v>
      </c>
      <c r="VX60">
        <v>0</v>
      </c>
      <c r="VY60">
        <v>0</v>
      </c>
      <c r="VZ60">
        <v>0</v>
      </c>
      <c r="WA60">
        <v>0</v>
      </c>
      <c r="WB60">
        <v>0</v>
      </c>
      <c r="WC60">
        <v>0</v>
      </c>
      <c r="WD60">
        <v>0</v>
      </c>
      <c r="WE60">
        <v>0</v>
      </c>
      <c r="WF60">
        <v>0</v>
      </c>
      <c r="WG60">
        <v>0</v>
      </c>
      <c r="WH60">
        <v>0</v>
      </c>
      <c r="WI60">
        <v>0</v>
      </c>
      <c r="WJ60">
        <v>0</v>
      </c>
      <c r="WK60">
        <v>0</v>
      </c>
      <c r="WL60">
        <v>0</v>
      </c>
      <c r="WM60">
        <v>0</v>
      </c>
      <c r="WN60">
        <v>0</v>
      </c>
      <c r="WO60">
        <v>0</v>
      </c>
      <c r="WP60">
        <v>0</v>
      </c>
      <c r="WQ60">
        <v>0</v>
      </c>
      <c r="WR60">
        <v>0</v>
      </c>
      <c r="WS60">
        <v>0</v>
      </c>
      <c r="WT60">
        <v>0</v>
      </c>
      <c r="WU60">
        <v>0</v>
      </c>
      <c r="WV60">
        <v>0</v>
      </c>
      <c r="WW60">
        <v>0</v>
      </c>
      <c r="WX60">
        <v>0</v>
      </c>
      <c r="WY60">
        <v>0</v>
      </c>
      <c r="WZ60">
        <v>0</v>
      </c>
      <c r="XA60">
        <v>0</v>
      </c>
      <c r="XB60">
        <v>0</v>
      </c>
      <c r="XC60">
        <v>0</v>
      </c>
      <c r="XD60">
        <v>0</v>
      </c>
      <c r="XE60">
        <v>0</v>
      </c>
      <c r="XF60">
        <v>0</v>
      </c>
      <c r="XG60">
        <v>0</v>
      </c>
      <c r="XH60">
        <v>0</v>
      </c>
      <c r="XI60">
        <v>0</v>
      </c>
      <c r="XJ60">
        <v>0</v>
      </c>
      <c r="XK60">
        <v>0</v>
      </c>
      <c r="XL60">
        <v>0</v>
      </c>
      <c r="XM60">
        <v>0</v>
      </c>
      <c r="XN60">
        <v>0</v>
      </c>
      <c r="XO60">
        <v>0</v>
      </c>
      <c r="XP60">
        <v>0</v>
      </c>
      <c r="XQ60">
        <v>0</v>
      </c>
      <c r="XR60">
        <v>0</v>
      </c>
      <c r="XS60">
        <v>0</v>
      </c>
      <c r="XT60">
        <v>0</v>
      </c>
      <c r="XU60">
        <v>0</v>
      </c>
      <c r="XV60">
        <v>0</v>
      </c>
      <c r="XW60">
        <v>0</v>
      </c>
      <c r="XX60">
        <v>0</v>
      </c>
      <c r="XY60">
        <v>0</v>
      </c>
      <c r="XZ60">
        <v>0</v>
      </c>
      <c r="YA60">
        <v>0</v>
      </c>
      <c r="YB60">
        <v>0</v>
      </c>
      <c r="YC60">
        <v>0</v>
      </c>
      <c r="YD60">
        <v>0</v>
      </c>
      <c r="YE60">
        <v>0</v>
      </c>
      <c r="YF60">
        <v>0</v>
      </c>
      <c r="YG60">
        <v>0</v>
      </c>
      <c r="YH60">
        <v>0</v>
      </c>
      <c r="YI60">
        <v>0</v>
      </c>
      <c r="YJ60">
        <v>0</v>
      </c>
      <c r="YK60">
        <v>0</v>
      </c>
      <c r="YL60">
        <v>0</v>
      </c>
      <c r="YM60">
        <v>0</v>
      </c>
      <c r="YN60">
        <v>0</v>
      </c>
      <c r="YO60">
        <v>0</v>
      </c>
      <c r="YP60">
        <v>0</v>
      </c>
      <c r="YQ60">
        <v>0</v>
      </c>
      <c r="YR60">
        <v>0</v>
      </c>
      <c r="YS60">
        <v>0</v>
      </c>
      <c r="YT60">
        <v>0</v>
      </c>
      <c r="YU60">
        <v>0</v>
      </c>
      <c r="YV60">
        <v>0</v>
      </c>
      <c r="YW60">
        <v>0</v>
      </c>
      <c r="YX60">
        <v>0</v>
      </c>
      <c r="YY60">
        <v>0</v>
      </c>
      <c r="YZ60">
        <v>0</v>
      </c>
      <c r="ZA60">
        <v>0</v>
      </c>
      <c r="ZB60">
        <v>0</v>
      </c>
      <c r="ZC60">
        <v>0</v>
      </c>
      <c r="ZD60">
        <v>0</v>
      </c>
      <c r="ZE60">
        <v>0</v>
      </c>
      <c r="ZF60">
        <v>0</v>
      </c>
      <c r="ZG60">
        <v>0</v>
      </c>
      <c r="ZH60">
        <v>0</v>
      </c>
      <c r="ZI60">
        <v>0</v>
      </c>
      <c r="ZJ60">
        <v>0</v>
      </c>
      <c r="ZK60">
        <v>0</v>
      </c>
      <c r="ZL60">
        <v>0</v>
      </c>
      <c r="ZM60">
        <v>0</v>
      </c>
      <c r="ZN60">
        <v>0</v>
      </c>
      <c r="ZO60">
        <v>0</v>
      </c>
      <c r="ZP60">
        <v>0</v>
      </c>
      <c r="ZQ60">
        <v>0</v>
      </c>
      <c r="ZR60">
        <v>0</v>
      </c>
      <c r="ZS60">
        <v>0</v>
      </c>
      <c r="ZT60">
        <v>0</v>
      </c>
      <c r="ZU60">
        <v>0</v>
      </c>
      <c r="ZV60">
        <v>0</v>
      </c>
      <c r="ZW60">
        <v>0</v>
      </c>
      <c r="ZX60">
        <v>0</v>
      </c>
      <c r="ZY60">
        <v>0</v>
      </c>
      <c r="ZZ60">
        <v>0</v>
      </c>
      <c r="AAA60">
        <v>0</v>
      </c>
      <c r="AAB60">
        <v>0</v>
      </c>
      <c r="AAC60">
        <v>0</v>
      </c>
      <c r="AAD60">
        <v>0</v>
      </c>
      <c r="AAE60">
        <v>0</v>
      </c>
      <c r="AAF60">
        <v>0</v>
      </c>
      <c r="AAG60">
        <v>0</v>
      </c>
      <c r="AAH60">
        <v>0</v>
      </c>
      <c r="AAI60">
        <v>0</v>
      </c>
      <c r="AAJ60">
        <v>0</v>
      </c>
      <c r="AAK60">
        <v>0</v>
      </c>
      <c r="AAL60">
        <v>0</v>
      </c>
      <c r="AAM60">
        <v>0</v>
      </c>
      <c r="AAN60">
        <v>0</v>
      </c>
      <c r="AAO60">
        <v>0</v>
      </c>
      <c r="AAP60">
        <v>0</v>
      </c>
      <c r="AAQ60">
        <v>0</v>
      </c>
      <c r="AAR60">
        <v>0</v>
      </c>
      <c r="AAS60">
        <v>0</v>
      </c>
      <c r="AAT60">
        <v>0</v>
      </c>
      <c r="AAU60">
        <v>0</v>
      </c>
      <c r="AAV60">
        <v>0</v>
      </c>
      <c r="AAW60">
        <v>0</v>
      </c>
      <c r="AAX60">
        <v>0</v>
      </c>
      <c r="AAY60">
        <v>0</v>
      </c>
      <c r="AAZ60">
        <v>0</v>
      </c>
      <c r="ABA60">
        <v>0</v>
      </c>
      <c r="ABB60">
        <v>0</v>
      </c>
      <c r="ABC60">
        <v>0</v>
      </c>
      <c r="ABD60">
        <v>0</v>
      </c>
      <c r="ABE60">
        <v>0</v>
      </c>
      <c r="ABG60" s="1137">
        <f t="shared" si="13"/>
        <v>0</v>
      </c>
      <c r="ABH60" s="1137">
        <f t="shared" si="13"/>
        <v>0</v>
      </c>
      <c r="ABI60" s="1137">
        <f t="shared" si="13"/>
        <v>6</v>
      </c>
      <c r="ABJ60" s="1137">
        <f t="shared" si="13"/>
        <v>30</v>
      </c>
      <c r="ABK60" s="1137">
        <f t="shared" si="13"/>
        <v>31</v>
      </c>
      <c r="ABL60" s="1137">
        <f t="shared" si="13"/>
        <v>30</v>
      </c>
      <c r="ABM60" s="1137">
        <f t="shared" si="13"/>
        <v>31</v>
      </c>
      <c r="ABN60" s="1137">
        <f t="shared" si="13"/>
        <v>31</v>
      </c>
      <c r="ABO60" s="1137">
        <f t="shared" si="13"/>
        <v>30</v>
      </c>
      <c r="ABP60" s="1137">
        <f t="shared" si="13"/>
        <v>31</v>
      </c>
      <c r="ABQ60" s="1137">
        <f t="shared" si="13"/>
        <v>30</v>
      </c>
      <c r="ABR60" s="1137">
        <f t="shared" si="13"/>
        <v>31</v>
      </c>
      <c r="ABS60" s="1137">
        <f t="shared" si="13"/>
        <v>31</v>
      </c>
      <c r="ABT60" s="1137">
        <f t="shared" si="13"/>
        <v>7</v>
      </c>
      <c r="ABU60" s="1137">
        <f t="shared" si="13"/>
        <v>0</v>
      </c>
      <c r="ABV60" s="1137">
        <f t="shared" si="13"/>
        <v>0</v>
      </c>
      <c r="ABW60" s="1137">
        <f t="shared" si="17"/>
        <v>0</v>
      </c>
      <c r="ABX60" s="1137">
        <f t="shared" si="14"/>
        <v>0</v>
      </c>
      <c r="ABY60" s="1137">
        <f t="shared" si="14"/>
        <v>0</v>
      </c>
      <c r="ABZ60" s="1137">
        <f t="shared" si="14"/>
        <v>0</v>
      </c>
      <c r="ACA60" s="1137">
        <f t="shared" si="14"/>
        <v>0</v>
      </c>
      <c r="ACB60" s="1137">
        <f t="shared" si="14"/>
        <v>0</v>
      </c>
      <c r="ACC60" s="1137">
        <f t="shared" si="14"/>
        <v>0</v>
      </c>
      <c r="ACD60" s="1137">
        <f t="shared" si="14"/>
        <v>0</v>
      </c>
      <c r="ACE60" s="1137" t="s">
        <v>29</v>
      </c>
      <c r="ACF60" s="1137">
        <f t="shared" si="15"/>
        <v>0</v>
      </c>
      <c r="ACG60" s="1137">
        <f t="shared" si="15"/>
        <v>0</v>
      </c>
      <c r="ACH60" s="1137">
        <f t="shared" si="15"/>
        <v>0</v>
      </c>
      <c r="ACI60" s="1137">
        <f t="shared" si="15"/>
        <v>1</v>
      </c>
      <c r="ACJ60" s="1137">
        <f t="shared" si="15"/>
        <v>1</v>
      </c>
      <c r="ACK60" s="1137">
        <f t="shared" si="15"/>
        <v>1</v>
      </c>
      <c r="ACL60" s="1137">
        <f t="shared" si="15"/>
        <v>1</v>
      </c>
      <c r="ACM60" s="1137">
        <f t="shared" si="15"/>
        <v>1</v>
      </c>
      <c r="ACN60" s="1137">
        <f t="shared" si="15"/>
        <v>1</v>
      </c>
      <c r="ACO60" s="1137">
        <f t="shared" si="15"/>
        <v>1</v>
      </c>
      <c r="ACP60" s="1137">
        <f t="shared" si="15"/>
        <v>1</v>
      </c>
      <c r="ACQ60" s="1137">
        <f t="shared" si="15"/>
        <v>1</v>
      </c>
      <c r="ACR60" s="1137">
        <f t="shared" si="15"/>
        <v>1</v>
      </c>
      <c r="ACS60" s="1137">
        <f t="shared" si="15"/>
        <v>0</v>
      </c>
      <c r="ACT60" s="1137">
        <f t="shared" si="15"/>
        <v>0</v>
      </c>
      <c r="ACU60" s="1137">
        <f t="shared" si="12"/>
        <v>0</v>
      </c>
      <c r="ACV60" s="1137">
        <f t="shared" si="12"/>
        <v>0</v>
      </c>
      <c r="ACW60" s="1137">
        <f t="shared" si="12"/>
        <v>0</v>
      </c>
      <c r="ACX60" s="1137">
        <f t="shared" si="12"/>
        <v>0</v>
      </c>
      <c r="ACY60" s="1137">
        <f t="shared" si="12"/>
        <v>0</v>
      </c>
      <c r="ACZ60" s="1137">
        <f t="shared" si="12"/>
        <v>0</v>
      </c>
      <c r="ADA60" s="1137">
        <f t="shared" si="12"/>
        <v>0</v>
      </c>
      <c r="ADB60" s="1137">
        <f t="shared" si="16"/>
        <v>0</v>
      </c>
      <c r="ADC60" s="1137">
        <f t="shared" si="16"/>
        <v>0</v>
      </c>
    </row>
    <row r="61" spans="1:783" x14ac:dyDescent="0.25">
      <c r="A61" t="s">
        <v>1858</v>
      </c>
      <c r="B61" t="s">
        <v>180</v>
      </c>
      <c r="C61">
        <v>0</v>
      </c>
      <c r="D61">
        <v>0</v>
      </c>
      <c r="E61">
        <v>0</v>
      </c>
      <c r="F61">
        <v>0</v>
      </c>
      <c r="G61">
        <v>0</v>
      </c>
      <c r="H61">
        <v>0</v>
      </c>
      <c r="I61">
        <v>0</v>
      </c>
      <c r="J61">
        <v>0</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v>0</v>
      </c>
      <c r="BE61">
        <v>0</v>
      </c>
      <c r="BF61">
        <v>0</v>
      </c>
      <c r="BG61">
        <v>0</v>
      </c>
      <c r="BH61">
        <v>0</v>
      </c>
      <c r="BI61">
        <v>0</v>
      </c>
      <c r="BJ61">
        <v>0</v>
      </c>
      <c r="BK61">
        <v>0</v>
      </c>
      <c r="BL61">
        <v>0</v>
      </c>
      <c r="BM61">
        <v>0</v>
      </c>
      <c r="BN61">
        <v>0</v>
      </c>
      <c r="BO61">
        <v>0</v>
      </c>
      <c r="BP61">
        <v>0</v>
      </c>
      <c r="BQ61">
        <v>0</v>
      </c>
      <c r="BR61">
        <v>0</v>
      </c>
      <c r="BS61">
        <v>0</v>
      </c>
      <c r="BT61">
        <v>0</v>
      </c>
      <c r="BU61">
        <v>0</v>
      </c>
      <c r="BV61">
        <v>0</v>
      </c>
      <c r="BW61">
        <v>0</v>
      </c>
      <c r="BX61">
        <v>0</v>
      </c>
      <c r="BY61">
        <v>0</v>
      </c>
      <c r="BZ61">
        <v>1</v>
      </c>
      <c r="CA61">
        <v>1</v>
      </c>
      <c r="CB61">
        <v>1</v>
      </c>
      <c r="CC61">
        <v>1</v>
      </c>
      <c r="CD61">
        <v>1</v>
      </c>
      <c r="CE61">
        <v>1</v>
      </c>
      <c r="CF61">
        <v>1</v>
      </c>
      <c r="CG61">
        <v>1</v>
      </c>
      <c r="CH61">
        <v>1</v>
      </c>
      <c r="CI61">
        <v>1</v>
      </c>
      <c r="CJ61">
        <v>1</v>
      </c>
      <c r="CK61">
        <v>2</v>
      </c>
      <c r="CL61">
        <v>2</v>
      </c>
      <c r="CM61">
        <v>2</v>
      </c>
      <c r="CN61">
        <v>2</v>
      </c>
      <c r="CO61">
        <v>2</v>
      </c>
      <c r="CP61">
        <v>2</v>
      </c>
      <c r="CQ61">
        <v>2</v>
      </c>
      <c r="CR61">
        <v>2</v>
      </c>
      <c r="CS61">
        <v>2</v>
      </c>
      <c r="CT61">
        <v>2</v>
      </c>
      <c r="CU61">
        <v>2</v>
      </c>
      <c r="CV61">
        <v>2</v>
      </c>
      <c r="CW61">
        <v>2</v>
      </c>
      <c r="CX61">
        <v>2</v>
      </c>
      <c r="CY61">
        <v>2</v>
      </c>
      <c r="CZ61">
        <v>2</v>
      </c>
      <c r="DA61">
        <v>2</v>
      </c>
      <c r="DB61">
        <v>2</v>
      </c>
      <c r="DC61">
        <v>1</v>
      </c>
      <c r="DD61">
        <v>1</v>
      </c>
      <c r="DE61">
        <v>1</v>
      </c>
      <c r="DF61">
        <v>1</v>
      </c>
      <c r="DG61">
        <v>1</v>
      </c>
      <c r="DH61">
        <v>1</v>
      </c>
      <c r="DI61">
        <v>1</v>
      </c>
      <c r="DJ61">
        <v>1</v>
      </c>
      <c r="DK61">
        <v>1</v>
      </c>
      <c r="DL61">
        <v>1</v>
      </c>
      <c r="DM61">
        <v>1</v>
      </c>
      <c r="DN61">
        <v>1</v>
      </c>
      <c r="DO61">
        <v>1</v>
      </c>
      <c r="DP61">
        <v>1</v>
      </c>
      <c r="DQ61">
        <v>1</v>
      </c>
      <c r="DR61">
        <v>1</v>
      </c>
      <c r="DS61">
        <v>1</v>
      </c>
      <c r="DT61">
        <v>1</v>
      </c>
      <c r="DU61">
        <v>1</v>
      </c>
      <c r="DV61">
        <v>1</v>
      </c>
      <c r="DW61">
        <v>1</v>
      </c>
      <c r="DX61">
        <v>1</v>
      </c>
      <c r="DY61">
        <v>1</v>
      </c>
      <c r="DZ61">
        <v>1</v>
      </c>
      <c r="EA61">
        <v>1</v>
      </c>
      <c r="EB61">
        <v>1</v>
      </c>
      <c r="EC61">
        <v>1</v>
      </c>
      <c r="ED61">
        <v>1</v>
      </c>
      <c r="EE61">
        <v>1</v>
      </c>
      <c r="EF61">
        <v>1</v>
      </c>
      <c r="EG61">
        <v>1</v>
      </c>
      <c r="EH61">
        <v>1</v>
      </c>
      <c r="EI61">
        <v>1</v>
      </c>
      <c r="EJ61">
        <v>1</v>
      </c>
      <c r="EK61">
        <v>1</v>
      </c>
      <c r="EL61">
        <v>1</v>
      </c>
      <c r="EM61">
        <v>1</v>
      </c>
      <c r="EN61">
        <v>1</v>
      </c>
      <c r="EO61">
        <v>1</v>
      </c>
      <c r="EP61">
        <v>1</v>
      </c>
      <c r="EQ61">
        <v>1</v>
      </c>
      <c r="ER61">
        <v>1</v>
      </c>
      <c r="ES61">
        <v>1</v>
      </c>
      <c r="ET61">
        <v>1</v>
      </c>
      <c r="EU61">
        <v>1</v>
      </c>
      <c r="EV61">
        <v>0</v>
      </c>
      <c r="EW61">
        <v>0</v>
      </c>
      <c r="EX61">
        <v>0</v>
      </c>
      <c r="EY61">
        <v>0</v>
      </c>
      <c r="EZ61">
        <v>0</v>
      </c>
      <c r="FA61">
        <v>0</v>
      </c>
      <c r="FB61">
        <v>0</v>
      </c>
      <c r="FC61">
        <v>0</v>
      </c>
      <c r="FD61">
        <v>0</v>
      </c>
      <c r="FE61">
        <v>0</v>
      </c>
      <c r="FF61">
        <v>0</v>
      </c>
      <c r="FG61">
        <v>0</v>
      </c>
      <c r="FH61">
        <v>0</v>
      </c>
      <c r="FI61">
        <v>0</v>
      </c>
      <c r="FJ61">
        <v>0</v>
      </c>
      <c r="FK61">
        <v>0</v>
      </c>
      <c r="FL61">
        <v>0</v>
      </c>
      <c r="FM61">
        <v>0</v>
      </c>
      <c r="FN61">
        <v>0</v>
      </c>
      <c r="FO61">
        <v>0</v>
      </c>
      <c r="FP61">
        <v>0</v>
      </c>
      <c r="FQ61">
        <v>0</v>
      </c>
      <c r="FR61">
        <v>0</v>
      </c>
      <c r="FS61">
        <v>0</v>
      </c>
      <c r="FT61">
        <v>0</v>
      </c>
      <c r="FU61">
        <v>0</v>
      </c>
      <c r="FV61">
        <v>0</v>
      </c>
      <c r="FW61">
        <v>0</v>
      </c>
      <c r="FX61">
        <v>0</v>
      </c>
      <c r="FY61">
        <v>0</v>
      </c>
      <c r="FZ61">
        <v>0</v>
      </c>
      <c r="GA61">
        <v>0</v>
      </c>
      <c r="GB61">
        <v>0</v>
      </c>
      <c r="GC61">
        <v>0</v>
      </c>
      <c r="GD61">
        <v>0</v>
      </c>
      <c r="GE61">
        <v>0</v>
      </c>
      <c r="GF61">
        <v>0</v>
      </c>
      <c r="GG61">
        <v>0</v>
      </c>
      <c r="GH61">
        <v>0</v>
      </c>
      <c r="GI61">
        <v>0</v>
      </c>
      <c r="GJ61">
        <v>0</v>
      </c>
      <c r="GK61">
        <v>0</v>
      </c>
      <c r="GL61">
        <v>0</v>
      </c>
      <c r="GM61">
        <v>0</v>
      </c>
      <c r="GN61">
        <v>0</v>
      </c>
      <c r="GO61">
        <v>0</v>
      </c>
      <c r="GP61">
        <v>0</v>
      </c>
      <c r="GQ61">
        <v>0</v>
      </c>
      <c r="GR61">
        <v>0</v>
      </c>
      <c r="GS61">
        <v>0</v>
      </c>
      <c r="GT61">
        <v>0</v>
      </c>
      <c r="GU61">
        <v>0</v>
      </c>
      <c r="GV61">
        <v>0</v>
      </c>
      <c r="GW61">
        <v>0</v>
      </c>
      <c r="GX61">
        <v>0</v>
      </c>
      <c r="GY61">
        <v>0</v>
      </c>
      <c r="GZ61">
        <v>0</v>
      </c>
      <c r="HA61">
        <v>0</v>
      </c>
      <c r="HB61">
        <v>0</v>
      </c>
      <c r="HC61">
        <v>0</v>
      </c>
      <c r="HD61">
        <v>0</v>
      </c>
      <c r="HE61">
        <v>0</v>
      </c>
      <c r="HF61">
        <v>0</v>
      </c>
      <c r="HG61">
        <v>0</v>
      </c>
      <c r="HH61">
        <v>0</v>
      </c>
      <c r="HI61">
        <v>0</v>
      </c>
      <c r="HJ61">
        <v>0</v>
      </c>
      <c r="HK61">
        <v>0</v>
      </c>
      <c r="HL61">
        <v>0</v>
      </c>
      <c r="HM61">
        <v>0</v>
      </c>
      <c r="HN61">
        <v>0</v>
      </c>
      <c r="HO61">
        <v>0</v>
      </c>
      <c r="HP61">
        <v>0</v>
      </c>
      <c r="HQ61">
        <v>0</v>
      </c>
      <c r="HR61">
        <v>0</v>
      </c>
      <c r="HS61">
        <v>0</v>
      </c>
      <c r="HT61">
        <v>0</v>
      </c>
      <c r="HU61">
        <v>0</v>
      </c>
      <c r="HV61">
        <v>0</v>
      </c>
      <c r="HW61">
        <v>0</v>
      </c>
      <c r="HX61">
        <v>0</v>
      </c>
      <c r="HY61">
        <v>0</v>
      </c>
      <c r="HZ61">
        <v>0</v>
      </c>
      <c r="IA61">
        <v>0</v>
      </c>
      <c r="IB61">
        <v>0</v>
      </c>
      <c r="IC61">
        <v>0</v>
      </c>
      <c r="ID61">
        <v>0</v>
      </c>
      <c r="IE61">
        <v>0</v>
      </c>
      <c r="IF61">
        <v>0</v>
      </c>
      <c r="IG61">
        <v>0</v>
      </c>
      <c r="IH61">
        <v>0</v>
      </c>
      <c r="II61">
        <v>0</v>
      </c>
      <c r="IJ61">
        <v>0</v>
      </c>
      <c r="IK61">
        <v>0</v>
      </c>
      <c r="IL61">
        <v>0</v>
      </c>
      <c r="IM61">
        <v>0</v>
      </c>
      <c r="IN61">
        <v>0</v>
      </c>
      <c r="IO61">
        <v>0</v>
      </c>
      <c r="IP61">
        <v>0</v>
      </c>
      <c r="IQ61">
        <v>0</v>
      </c>
      <c r="IR61">
        <v>0</v>
      </c>
      <c r="IS61">
        <v>0</v>
      </c>
      <c r="IT61">
        <v>0</v>
      </c>
      <c r="IU61">
        <v>0</v>
      </c>
      <c r="IV61">
        <v>0</v>
      </c>
      <c r="IW61">
        <v>0</v>
      </c>
      <c r="IX61">
        <v>0</v>
      </c>
      <c r="IY61">
        <v>0</v>
      </c>
      <c r="IZ61">
        <v>0</v>
      </c>
      <c r="JA61">
        <v>0</v>
      </c>
      <c r="JB61">
        <v>0</v>
      </c>
      <c r="JC61">
        <v>0</v>
      </c>
      <c r="JD61">
        <v>0</v>
      </c>
      <c r="JE61">
        <v>0</v>
      </c>
      <c r="JF61">
        <v>0</v>
      </c>
      <c r="JG61">
        <v>0</v>
      </c>
      <c r="JH61">
        <v>0</v>
      </c>
      <c r="JI61">
        <v>0</v>
      </c>
      <c r="JJ61">
        <v>0</v>
      </c>
      <c r="JK61">
        <v>0</v>
      </c>
      <c r="JL61">
        <v>0</v>
      </c>
      <c r="JM61">
        <v>0</v>
      </c>
      <c r="JN61">
        <v>0</v>
      </c>
      <c r="JO61">
        <v>0</v>
      </c>
      <c r="JP61">
        <v>0</v>
      </c>
      <c r="JQ61">
        <v>0</v>
      </c>
      <c r="JR61">
        <v>0</v>
      </c>
      <c r="JS61">
        <v>0</v>
      </c>
      <c r="JT61">
        <v>0</v>
      </c>
      <c r="JU61">
        <v>0</v>
      </c>
      <c r="JV61">
        <v>0</v>
      </c>
      <c r="JW61">
        <v>0</v>
      </c>
      <c r="JX61">
        <v>0</v>
      </c>
      <c r="JY61">
        <v>0</v>
      </c>
      <c r="JZ61">
        <v>0</v>
      </c>
      <c r="KA61">
        <v>0</v>
      </c>
      <c r="KB61">
        <v>0</v>
      </c>
      <c r="KC61">
        <v>0</v>
      </c>
      <c r="KD61">
        <v>0</v>
      </c>
      <c r="KE61">
        <v>0</v>
      </c>
      <c r="KF61">
        <v>0</v>
      </c>
      <c r="KG61">
        <v>0</v>
      </c>
      <c r="KH61">
        <v>0</v>
      </c>
      <c r="KI61">
        <v>0</v>
      </c>
      <c r="KJ61">
        <v>0</v>
      </c>
      <c r="KK61">
        <v>0</v>
      </c>
      <c r="KL61">
        <v>0</v>
      </c>
      <c r="KM61">
        <v>0</v>
      </c>
      <c r="KN61">
        <v>0</v>
      </c>
      <c r="KO61">
        <v>0</v>
      </c>
      <c r="KP61">
        <v>0</v>
      </c>
      <c r="KQ61">
        <v>0</v>
      </c>
      <c r="KR61">
        <v>0</v>
      </c>
      <c r="KS61">
        <v>0</v>
      </c>
      <c r="KT61">
        <v>0</v>
      </c>
      <c r="KU61">
        <v>0</v>
      </c>
      <c r="KV61">
        <v>0</v>
      </c>
      <c r="KW61">
        <v>0</v>
      </c>
      <c r="KX61">
        <v>0</v>
      </c>
      <c r="KY61">
        <v>0</v>
      </c>
      <c r="KZ61">
        <v>0</v>
      </c>
      <c r="LA61">
        <v>0</v>
      </c>
      <c r="LB61">
        <v>0</v>
      </c>
      <c r="LC61">
        <v>0</v>
      </c>
      <c r="LD61">
        <v>0</v>
      </c>
      <c r="LE61">
        <v>0</v>
      </c>
      <c r="LF61">
        <v>0</v>
      </c>
      <c r="LG61">
        <v>0</v>
      </c>
      <c r="LH61">
        <v>0</v>
      </c>
      <c r="LI61">
        <v>0</v>
      </c>
      <c r="LJ61">
        <v>0</v>
      </c>
      <c r="LK61">
        <v>0</v>
      </c>
      <c r="LL61">
        <v>0</v>
      </c>
      <c r="LM61">
        <v>0</v>
      </c>
      <c r="LN61">
        <v>0</v>
      </c>
      <c r="LO61">
        <v>0</v>
      </c>
      <c r="LP61">
        <v>0</v>
      </c>
      <c r="LQ61">
        <v>0</v>
      </c>
      <c r="LR61">
        <v>0</v>
      </c>
      <c r="LS61">
        <v>0</v>
      </c>
      <c r="LT61">
        <v>0</v>
      </c>
      <c r="LU61">
        <v>0</v>
      </c>
      <c r="LV61">
        <v>0</v>
      </c>
      <c r="LW61">
        <v>0</v>
      </c>
      <c r="LX61">
        <v>0</v>
      </c>
      <c r="LY61">
        <v>0</v>
      </c>
      <c r="LZ61">
        <v>0</v>
      </c>
      <c r="MA61">
        <v>0</v>
      </c>
      <c r="MB61">
        <v>0</v>
      </c>
      <c r="MC61">
        <v>0</v>
      </c>
      <c r="MD61">
        <v>0</v>
      </c>
      <c r="ME61">
        <v>0</v>
      </c>
      <c r="MF61">
        <v>0</v>
      </c>
      <c r="MG61">
        <v>0</v>
      </c>
      <c r="MH61">
        <v>0</v>
      </c>
      <c r="MI61">
        <v>0</v>
      </c>
      <c r="MJ61">
        <v>0</v>
      </c>
      <c r="MK61">
        <v>0</v>
      </c>
      <c r="ML61">
        <v>0</v>
      </c>
      <c r="MM61">
        <v>0</v>
      </c>
      <c r="MN61">
        <v>0</v>
      </c>
      <c r="MO61">
        <v>0</v>
      </c>
      <c r="MP61">
        <v>0</v>
      </c>
      <c r="MQ61">
        <v>0</v>
      </c>
      <c r="MR61">
        <v>0</v>
      </c>
      <c r="MS61">
        <v>0</v>
      </c>
      <c r="MT61">
        <v>0</v>
      </c>
      <c r="MU61">
        <v>0</v>
      </c>
      <c r="MV61">
        <v>0</v>
      </c>
      <c r="MW61">
        <v>0</v>
      </c>
      <c r="MX61">
        <v>0</v>
      </c>
      <c r="MY61">
        <v>0</v>
      </c>
      <c r="MZ61">
        <v>0</v>
      </c>
      <c r="NA61">
        <v>0</v>
      </c>
      <c r="NB61">
        <v>0</v>
      </c>
      <c r="NC61">
        <v>0</v>
      </c>
      <c r="ND61">
        <v>0</v>
      </c>
      <c r="NE61">
        <v>0</v>
      </c>
      <c r="NF61">
        <v>0</v>
      </c>
      <c r="NG61">
        <v>0</v>
      </c>
      <c r="NH61">
        <v>0</v>
      </c>
      <c r="NI61">
        <v>0</v>
      </c>
      <c r="NJ61">
        <v>0</v>
      </c>
      <c r="NK61">
        <v>0</v>
      </c>
      <c r="NL61">
        <v>0</v>
      </c>
      <c r="NM61">
        <v>0</v>
      </c>
      <c r="NN61">
        <v>0</v>
      </c>
      <c r="NO61">
        <v>0</v>
      </c>
      <c r="NP61">
        <v>0</v>
      </c>
      <c r="NQ61">
        <v>0</v>
      </c>
      <c r="NR61">
        <v>0</v>
      </c>
      <c r="NS61">
        <v>0</v>
      </c>
      <c r="NT61">
        <v>0</v>
      </c>
      <c r="NU61">
        <v>0</v>
      </c>
      <c r="NV61">
        <v>0</v>
      </c>
      <c r="NW61">
        <v>0</v>
      </c>
      <c r="NX61">
        <v>0</v>
      </c>
      <c r="NY61">
        <v>0</v>
      </c>
      <c r="NZ61">
        <v>0</v>
      </c>
      <c r="OA61">
        <v>0</v>
      </c>
      <c r="OB61">
        <v>0</v>
      </c>
      <c r="OC61">
        <v>0</v>
      </c>
      <c r="OD61">
        <v>0</v>
      </c>
      <c r="OE61">
        <v>0</v>
      </c>
      <c r="OF61">
        <v>0</v>
      </c>
      <c r="OG61">
        <v>0</v>
      </c>
      <c r="OH61">
        <v>0</v>
      </c>
      <c r="OI61">
        <v>0</v>
      </c>
      <c r="OJ61">
        <v>0</v>
      </c>
      <c r="OK61">
        <v>0</v>
      </c>
      <c r="OL61">
        <v>0</v>
      </c>
      <c r="OM61">
        <v>0</v>
      </c>
      <c r="ON61">
        <v>0</v>
      </c>
      <c r="OO61">
        <v>0</v>
      </c>
      <c r="OP61">
        <v>0</v>
      </c>
      <c r="OQ61">
        <v>0</v>
      </c>
      <c r="OR61">
        <v>0</v>
      </c>
      <c r="OS61">
        <v>0</v>
      </c>
      <c r="OT61">
        <v>0</v>
      </c>
      <c r="OU61">
        <v>0</v>
      </c>
      <c r="OV61">
        <v>0</v>
      </c>
      <c r="OW61">
        <v>0</v>
      </c>
      <c r="OX61">
        <v>0</v>
      </c>
      <c r="OY61">
        <v>0</v>
      </c>
      <c r="OZ61">
        <v>0</v>
      </c>
      <c r="PA61">
        <v>0</v>
      </c>
      <c r="PB61">
        <v>0</v>
      </c>
      <c r="PC61">
        <v>0</v>
      </c>
      <c r="PD61">
        <v>0</v>
      </c>
      <c r="PE61">
        <v>0</v>
      </c>
      <c r="PF61">
        <v>0</v>
      </c>
      <c r="PG61">
        <v>0</v>
      </c>
      <c r="PH61">
        <v>0</v>
      </c>
      <c r="PI61">
        <v>0</v>
      </c>
      <c r="PJ61">
        <v>0</v>
      </c>
      <c r="PK61">
        <v>0</v>
      </c>
      <c r="PL61">
        <v>0</v>
      </c>
      <c r="PM61">
        <v>0</v>
      </c>
      <c r="PN61">
        <v>0</v>
      </c>
      <c r="PO61">
        <v>0</v>
      </c>
      <c r="PP61">
        <v>0</v>
      </c>
      <c r="PQ61">
        <v>0</v>
      </c>
      <c r="PR61">
        <v>0</v>
      </c>
      <c r="PS61">
        <v>0</v>
      </c>
      <c r="PT61">
        <v>0</v>
      </c>
      <c r="PU61">
        <v>0</v>
      </c>
      <c r="PV61">
        <v>0</v>
      </c>
      <c r="PW61">
        <v>0</v>
      </c>
      <c r="PX61">
        <v>0</v>
      </c>
      <c r="PY61">
        <v>0</v>
      </c>
      <c r="PZ61">
        <v>0</v>
      </c>
      <c r="QA61">
        <v>0</v>
      </c>
      <c r="QB61">
        <v>0</v>
      </c>
      <c r="QC61">
        <v>0</v>
      </c>
      <c r="QD61">
        <v>0</v>
      </c>
      <c r="QE61">
        <v>0</v>
      </c>
      <c r="QF61">
        <v>0</v>
      </c>
      <c r="QG61">
        <v>0</v>
      </c>
      <c r="QH61">
        <v>0</v>
      </c>
      <c r="QI61">
        <v>0</v>
      </c>
      <c r="QJ61">
        <v>0</v>
      </c>
      <c r="QK61">
        <v>0</v>
      </c>
      <c r="QL61">
        <v>0</v>
      </c>
      <c r="QM61">
        <v>0</v>
      </c>
      <c r="QN61">
        <v>0</v>
      </c>
      <c r="QO61">
        <v>0</v>
      </c>
      <c r="QP61">
        <v>0</v>
      </c>
      <c r="QQ61">
        <v>0</v>
      </c>
      <c r="QR61">
        <v>0</v>
      </c>
      <c r="QS61">
        <v>0</v>
      </c>
      <c r="QT61">
        <v>0</v>
      </c>
      <c r="QU61">
        <v>0</v>
      </c>
      <c r="QV61">
        <v>0</v>
      </c>
      <c r="QW61">
        <v>0</v>
      </c>
      <c r="QX61">
        <v>0</v>
      </c>
      <c r="QY61">
        <v>0</v>
      </c>
      <c r="QZ61">
        <v>0</v>
      </c>
      <c r="RA61">
        <v>0</v>
      </c>
      <c r="RB61">
        <v>0</v>
      </c>
      <c r="RC61">
        <v>0</v>
      </c>
      <c r="RD61">
        <v>0</v>
      </c>
      <c r="RE61">
        <v>0</v>
      </c>
      <c r="RF61">
        <v>0</v>
      </c>
      <c r="RG61">
        <v>0</v>
      </c>
      <c r="RH61">
        <v>0</v>
      </c>
      <c r="RI61">
        <v>0</v>
      </c>
      <c r="RJ61">
        <v>0</v>
      </c>
      <c r="RK61">
        <v>0</v>
      </c>
      <c r="RL61">
        <v>0</v>
      </c>
      <c r="RM61">
        <v>0</v>
      </c>
      <c r="RN61">
        <v>0</v>
      </c>
      <c r="RO61">
        <v>0</v>
      </c>
      <c r="RP61">
        <v>0</v>
      </c>
      <c r="RQ61">
        <v>0</v>
      </c>
      <c r="RR61">
        <v>0</v>
      </c>
      <c r="RS61">
        <v>0</v>
      </c>
      <c r="RT61">
        <v>0</v>
      </c>
      <c r="RU61">
        <v>0</v>
      </c>
      <c r="RV61">
        <v>0</v>
      </c>
      <c r="RW61">
        <v>0</v>
      </c>
      <c r="RX61">
        <v>0</v>
      </c>
      <c r="RY61">
        <v>0</v>
      </c>
      <c r="RZ61">
        <v>0</v>
      </c>
      <c r="SA61">
        <v>0</v>
      </c>
      <c r="SB61">
        <v>0</v>
      </c>
      <c r="SC61">
        <v>0</v>
      </c>
      <c r="SD61">
        <v>0</v>
      </c>
      <c r="SE61">
        <v>0</v>
      </c>
      <c r="SF61">
        <v>0</v>
      </c>
      <c r="SG61">
        <v>0</v>
      </c>
      <c r="SH61">
        <v>0</v>
      </c>
      <c r="SI61">
        <v>0</v>
      </c>
      <c r="SJ61">
        <v>0</v>
      </c>
      <c r="SK61">
        <v>0</v>
      </c>
      <c r="SL61">
        <v>0</v>
      </c>
      <c r="SM61">
        <v>0</v>
      </c>
      <c r="SN61">
        <v>0</v>
      </c>
      <c r="SO61">
        <v>0</v>
      </c>
      <c r="SP61">
        <v>0</v>
      </c>
      <c r="SQ61">
        <v>0</v>
      </c>
      <c r="SR61">
        <v>0</v>
      </c>
      <c r="SS61">
        <v>0</v>
      </c>
      <c r="ST61">
        <v>0</v>
      </c>
      <c r="SU61">
        <v>0</v>
      </c>
      <c r="SV61">
        <v>0</v>
      </c>
      <c r="SW61">
        <v>0</v>
      </c>
      <c r="SX61">
        <v>0</v>
      </c>
      <c r="SY61">
        <v>0</v>
      </c>
      <c r="SZ61">
        <v>0</v>
      </c>
      <c r="TA61">
        <v>0</v>
      </c>
      <c r="TB61">
        <v>0</v>
      </c>
      <c r="TC61">
        <v>0</v>
      </c>
      <c r="TD61">
        <v>0</v>
      </c>
      <c r="TE61">
        <v>0</v>
      </c>
      <c r="TF61">
        <v>0</v>
      </c>
      <c r="TG61">
        <v>0</v>
      </c>
      <c r="TH61">
        <v>0</v>
      </c>
      <c r="TI61">
        <v>0</v>
      </c>
      <c r="TJ61">
        <v>0</v>
      </c>
      <c r="TK61">
        <v>0</v>
      </c>
      <c r="TL61">
        <v>0</v>
      </c>
      <c r="TM61">
        <v>0</v>
      </c>
      <c r="TN61">
        <v>0</v>
      </c>
      <c r="TO61">
        <v>0</v>
      </c>
      <c r="TP61">
        <v>0</v>
      </c>
      <c r="TQ61">
        <v>0</v>
      </c>
      <c r="TR61">
        <v>0</v>
      </c>
      <c r="TS61">
        <v>0</v>
      </c>
      <c r="TT61">
        <v>0</v>
      </c>
      <c r="TU61">
        <v>0</v>
      </c>
      <c r="TV61">
        <v>0</v>
      </c>
      <c r="TW61">
        <v>0</v>
      </c>
      <c r="TX61">
        <v>0</v>
      </c>
      <c r="TY61">
        <v>0</v>
      </c>
      <c r="TZ61">
        <v>0</v>
      </c>
      <c r="UA61">
        <v>0</v>
      </c>
      <c r="UB61">
        <v>0</v>
      </c>
      <c r="UC61">
        <v>0</v>
      </c>
      <c r="UD61">
        <v>0</v>
      </c>
      <c r="UE61">
        <v>0</v>
      </c>
      <c r="UF61">
        <v>0</v>
      </c>
      <c r="UG61">
        <v>0</v>
      </c>
      <c r="UH61">
        <v>0</v>
      </c>
      <c r="UI61">
        <v>0</v>
      </c>
      <c r="UJ61">
        <v>0</v>
      </c>
      <c r="UK61">
        <v>0</v>
      </c>
      <c r="UL61">
        <v>0</v>
      </c>
      <c r="UM61">
        <v>0</v>
      </c>
      <c r="UN61">
        <v>0</v>
      </c>
      <c r="UO61">
        <v>0</v>
      </c>
      <c r="UP61">
        <v>0</v>
      </c>
      <c r="UQ61">
        <v>0</v>
      </c>
      <c r="UR61">
        <v>0</v>
      </c>
      <c r="US61">
        <v>0</v>
      </c>
      <c r="UT61">
        <v>0</v>
      </c>
      <c r="UU61">
        <v>0</v>
      </c>
      <c r="UV61">
        <v>0</v>
      </c>
      <c r="UW61">
        <v>0</v>
      </c>
      <c r="UX61">
        <v>0</v>
      </c>
      <c r="UY61">
        <v>0</v>
      </c>
      <c r="UZ61">
        <v>0</v>
      </c>
      <c r="VA61">
        <v>0</v>
      </c>
      <c r="VB61">
        <v>0</v>
      </c>
      <c r="VC61">
        <v>0</v>
      </c>
      <c r="VD61">
        <v>0</v>
      </c>
      <c r="VE61">
        <v>0</v>
      </c>
      <c r="VF61">
        <v>0</v>
      </c>
      <c r="VG61">
        <v>0</v>
      </c>
      <c r="VH61">
        <v>0</v>
      </c>
      <c r="VI61">
        <v>0</v>
      </c>
      <c r="VJ61">
        <v>0</v>
      </c>
      <c r="VK61">
        <v>0</v>
      </c>
      <c r="VL61">
        <v>0</v>
      </c>
      <c r="VM61">
        <v>0</v>
      </c>
      <c r="VN61">
        <v>0</v>
      </c>
      <c r="VO61">
        <v>0</v>
      </c>
      <c r="VP61">
        <v>0</v>
      </c>
      <c r="VQ61">
        <v>0</v>
      </c>
      <c r="VR61">
        <v>0</v>
      </c>
      <c r="VS61">
        <v>0</v>
      </c>
      <c r="VT61">
        <v>0</v>
      </c>
      <c r="VU61">
        <v>0</v>
      </c>
      <c r="VV61">
        <v>0</v>
      </c>
      <c r="VW61">
        <v>0</v>
      </c>
      <c r="VX61">
        <v>0</v>
      </c>
      <c r="VY61">
        <v>0</v>
      </c>
      <c r="VZ61">
        <v>0</v>
      </c>
      <c r="WA61">
        <v>0</v>
      </c>
      <c r="WB61">
        <v>0</v>
      </c>
      <c r="WC61">
        <v>0</v>
      </c>
      <c r="WD61">
        <v>0</v>
      </c>
      <c r="WE61">
        <v>0</v>
      </c>
      <c r="WF61">
        <v>0</v>
      </c>
      <c r="WG61">
        <v>0</v>
      </c>
      <c r="WH61">
        <v>0</v>
      </c>
      <c r="WI61">
        <v>0</v>
      </c>
      <c r="WJ61">
        <v>0</v>
      </c>
      <c r="WK61">
        <v>0</v>
      </c>
      <c r="WL61">
        <v>0</v>
      </c>
      <c r="WM61">
        <v>0</v>
      </c>
      <c r="WN61">
        <v>0</v>
      </c>
      <c r="WO61">
        <v>0</v>
      </c>
      <c r="WP61">
        <v>0</v>
      </c>
      <c r="WQ61">
        <v>0</v>
      </c>
      <c r="WR61">
        <v>0</v>
      </c>
      <c r="WS61">
        <v>0</v>
      </c>
      <c r="WT61">
        <v>0</v>
      </c>
      <c r="WU61">
        <v>0</v>
      </c>
      <c r="WV61">
        <v>0</v>
      </c>
      <c r="WW61">
        <v>0</v>
      </c>
      <c r="WX61">
        <v>0</v>
      </c>
      <c r="WY61">
        <v>0</v>
      </c>
      <c r="WZ61">
        <v>0</v>
      </c>
      <c r="XA61">
        <v>0</v>
      </c>
      <c r="XB61">
        <v>0</v>
      </c>
      <c r="XC61">
        <v>0</v>
      </c>
      <c r="XD61">
        <v>0</v>
      </c>
      <c r="XE61">
        <v>0</v>
      </c>
      <c r="XF61">
        <v>0</v>
      </c>
      <c r="XG61">
        <v>0</v>
      </c>
      <c r="XH61">
        <v>0</v>
      </c>
      <c r="XI61">
        <v>0</v>
      </c>
      <c r="XJ61">
        <v>0</v>
      </c>
      <c r="XK61">
        <v>0</v>
      </c>
      <c r="XL61">
        <v>0</v>
      </c>
      <c r="XM61">
        <v>0</v>
      </c>
      <c r="XN61">
        <v>0</v>
      </c>
      <c r="XO61">
        <v>0</v>
      </c>
      <c r="XP61">
        <v>0</v>
      </c>
      <c r="XQ61">
        <v>0</v>
      </c>
      <c r="XR61">
        <v>0</v>
      </c>
      <c r="XS61">
        <v>0</v>
      </c>
      <c r="XT61">
        <v>0</v>
      </c>
      <c r="XU61">
        <v>0</v>
      </c>
      <c r="XV61">
        <v>0</v>
      </c>
      <c r="XW61">
        <v>0</v>
      </c>
      <c r="XX61">
        <v>0</v>
      </c>
      <c r="XY61">
        <v>0</v>
      </c>
      <c r="XZ61">
        <v>0</v>
      </c>
      <c r="YA61">
        <v>0</v>
      </c>
      <c r="YB61">
        <v>0</v>
      </c>
      <c r="YC61">
        <v>0</v>
      </c>
      <c r="YD61">
        <v>0</v>
      </c>
      <c r="YE61">
        <v>0</v>
      </c>
      <c r="YF61">
        <v>0</v>
      </c>
      <c r="YG61">
        <v>0</v>
      </c>
      <c r="YH61">
        <v>0</v>
      </c>
      <c r="YI61">
        <v>0</v>
      </c>
      <c r="YJ61">
        <v>0</v>
      </c>
      <c r="YK61">
        <v>0</v>
      </c>
      <c r="YL61">
        <v>0</v>
      </c>
      <c r="YM61">
        <v>0</v>
      </c>
      <c r="YN61">
        <v>0</v>
      </c>
      <c r="YO61">
        <v>0</v>
      </c>
      <c r="YP61">
        <v>0</v>
      </c>
      <c r="YQ61">
        <v>0</v>
      </c>
      <c r="YR61">
        <v>0</v>
      </c>
      <c r="YS61">
        <v>0</v>
      </c>
      <c r="YT61">
        <v>0</v>
      </c>
      <c r="YU61">
        <v>0</v>
      </c>
      <c r="YV61">
        <v>0</v>
      </c>
      <c r="YW61">
        <v>0</v>
      </c>
      <c r="YX61">
        <v>0</v>
      </c>
      <c r="YY61">
        <v>0</v>
      </c>
      <c r="YZ61">
        <v>0</v>
      </c>
      <c r="ZA61">
        <v>0</v>
      </c>
      <c r="ZB61">
        <v>0</v>
      </c>
      <c r="ZC61">
        <v>0</v>
      </c>
      <c r="ZD61">
        <v>0</v>
      </c>
      <c r="ZE61">
        <v>0</v>
      </c>
      <c r="ZF61">
        <v>0</v>
      </c>
      <c r="ZG61">
        <v>0</v>
      </c>
      <c r="ZH61">
        <v>0</v>
      </c>
      <c r="ZI61">
        <v>0</v>
      </c>
      <c r="ZJ61">
        <v>0</v>
      </c>
      <c r="ZK61">
        <v>0</v>
      </c>
      <c r="ZL61">
        <v>0</v>
      </c>
      <c r="ZM61">
        <v>0</v>
      </c>
      <c r="ZN61">
        <v>0</v>
      </c>
      <c r="ZO61">
        <v>0</v>
      </c>
      <c r="ZP61">
        <v>0</v>
      </c>
      <c r="ZQ61">
        <v>0</v>
      </c>
      <c r="ZR61">
        <v>0</v>
      </c>
      <c r="ZS61">
        <v>0</v>
      </c>
      <c r="ZT61">
        <v>0</v>
      </c>
      <c r="ZU61">
        <v>0</v>
      </c>
      <c r="ZV61">
        <v>0</v>
      </c>
      <c r="ZW61">
        <v>0</v>
      </c>
      <c r="ZX61">
        <v>0</v>
      </c>
      <c r="ZY61">
        <v>0</v>
      </c>
      <c r="ZZ61">
        <v>0</v>
      </c>
      <c r="AAA61">
        <v>0</v>
      </c>
      <c r="AAB61">
        <v>0</v>
      </c>
      <c r="AAC61">
        <v>0</v>
      </c>
      <c r="AAD61">
        <v>0</v>
      </c>
      <c r="AAE61">
        <v>0</v>
      </c>
      <c r="AAF61">
        <v>0</v>
      </c>
      <c r="AAG61">
        <v>0</v>
      </c>
      <c r="AAH61">
        <v>0</v>
      </c>
      <c r="AAI61">
        <v>0</v>
      </c>
      <c r="AAJ61">
        <v>0</v>
      </c>
      <c r="AAK61">
        <v>0</v>
      </c>
      <c r="AAL61">
        <v>0</v>
      </c>
      <c r="AAM61">
        <v>0</v>
      </c>
      <c r="AAN61">
        <v>0</v>
      </c>
      <c r="AAO61">
        <v>0</v>
      </c>
      <c r="AAP61">
        <v>0</v>
      </c>
      <c r="AAQ61">
        <v>0</v>
      </c>
      <c r="AAR61">
        <v>0</v>
      </c>
      <c r="AAS61">
        <v>0</v>
      </c>
      <c r="AAT61">
        <v>0</v>
      </c>
      <c r="AAU61">
        <v>0</v>
      </c>
      <c r="AAV61">
        <v>0</v>
      </c>
      <c r="AAW61">
        <v>0</v>
      </c>
      <c r="AAX61">
        <v>0</v>
      </c>
      <c r="AAY61">
        <v>0</v>
      </c>
      <c r="AAZ61">
        <v>0</v>
      </c>
      <c r="ABA61">
        <v>0</v>
      </c>
      <c r="ABB61">
        <v>0</v>
      </c>
      <c r="ABC61">
        <v>0</v>
      </c>
      <c r="ABD61">
        <v>0</v>
      </c>
      <c r="ABE61">
        <v>0</v>
      </c>
      <c r="ABG61" s="1137">
        <f t="shared" si="13"/>
        <v>0</v>
      </c>
      <c r="ABH61" s="1137">
        <f t="shared" si="13"/>
        <v>0</v>
      </c>
      <c r="ABI61" s="1137">
        <f t="shared" si="13"/>
        <v>16</v>
      </c>
      <c r="ABJ61" s="1137">
        <f t="shared" si="13"/>
        <v>30</v>
      </c>
      <c r="ABK61" s="1137">
        <f t="shared" si="13"/>
        <v>28</v>
      </c>
      <c r="ABL61" s="1137">
        <f t="shared" si="13"/>
        <v>0</v>
      </c>
      <c r="ABM61" s="1137">
        <f t="shared" si="13"/>
        <v>0</v>
      </c>
      <c r="ABN61" s="1137">
        <f t="shared" si="13"/>
        <v>0</v>
      </c>
      <c r="ABO61" s="1137">
        <f t="shared" si="13"/>
        <v>0</v>
      </c>
      <c r="ABP61" s="1137">
        <f t="shared" si="13"/>
        <v>0</v>
      </c>
      <c r="ABQ61" s="1137">
        <f t="shared" si="13"/>
        <v>0</v>
      </c>
      <c r="ABR61" s="1137">
        <f t="shared" si="13"/>
        <v>0</v>
      </c>
      <c r="ABS61" s="1137">
        <f t="shared" si="13"/>
        <v>0</v>
      </c>
      <c r="ABT61" s="1137">
        <f t="shared" si="13"/>
        <v>0</v>
      </c>
      <c r="ABU61" s="1137">
        <f t="shared" si="13"/>
        <v>0</v>
      </c>
      <c r="ABV61" s="1137">
        <f t="shared" si="13"/>
        <v>0</v>
      </c>
      <c r="ABW61" s="1137">
        <f t="shared" si="17"/>
        <v>0</v>
      </c>
      <c r="ABX61" s="1137">
        <f t="shared" si="14"/>
        <v>0</v>
      </c>
      <c r="ABY61" s="1137">
        <f t="shared" si="14"/>
        <v>0</v>
      </c>
      <c r="ABZ61" s="1137">
        <f t="shared" si="14"/>
        <v>0</v>
      </c>
      <c r="ACA61" s="1137">
        <f t="shared" si="14"/>
        <v>0</v>
      </c>
      <c r="ACB61" s="1137">
        <f t="shared" si="14"/>
        <v>0</v>
      </c>
      <c r="ACC61" s="1137">
        <f t="shared" si="14"/>
        <v>0</v>
      </c>
      <c r="ACD61" s="1137">
        <f t="shared" si="14"/>
        <v>0</v>
      </c>
      <c r="ACE61" s="1137" t="s">
        <v>180</v>
      </c>
      <c r="ACF61" s="1137">
        <f t="shared" si="15"/>
        <v>0</v>
      </c>
      <c r="ACG61" s="1137">
        <f t="shared" si="15"/>
        <v>0</v>
      </c>
      <c r="ACH61" s="1137">
        <f t="shared" si="15"/>
        <v>1</v>
      </c>
      <c r="ACI61" s="1137">
        <f t="shared" si="15"/>
        <v>1</v>
      </c>
      <c r="ACJ61" s="1137">
        <f t="shared" si="15"/>
        <v>1</v>
      </c>
      <c r="ACK61" s="1137">
        <f t="shared" si="15"/>
        <v>0</v>
      </c>
      <c r="ACL61" s="1137">
        <f t="shared" si="15"/>
        <v>0</v>
      </c>
      <c r="ACM61" s="1137">
        <f t="shared" si="15"/>
        <v>0</v>
      </c>
      <c r="ACN61" s="1137">
        <f t="shared" si="15"/>
        <v>0</v>
      </c>
      <c r="ACO61" s="1137">
        <f t="shared" si="15"/>
        <v>0</v>
      </c>
      <c r="ACP61" s="1137">
        <f t="shared" si="15"/>
        <v>0</v>
      </c>
      <c r="ACQ61" s="1137">
        <f t="shared" si="15"/>
        <v>0</v>
      </c>
      <c r="ACR61" s="1137">
        <f t="shared" si="15"/>
        <v>0</v>
      </c>
      <c r="ACS61" s="1137">
        <f t="shared" si="15"/>
        <v>0</v>
      </c>
      <c r="ACT61" s="1137">
        <f t="shared" si="15"/>
        <v>0</v>
      </c>
      <c r="ACU61" s="1137">
        <f t="shared" si="12"/>
        <v>0</v>
      </c>
      <c r="ACV61" s="1137">
        <f t="shared" si="12"/>
        <v>0</v>
      </c>
      <c r="ACW61" s="1137">
        <f t="shared" si="12"/>
        <v>0</v>
      </c>
      <c r="ACX61" s="1137">
        <f t="shared" si="12"/>
        <v>0</v>
      </c>
      <c r="ACY61" s="1137">
        <f t="shared" si="12"/>
        <v>0</v>
      </c>
      <c r="ACZ61" s="1137">
        <f t="shared" si="12"/>
        <v>0</v>
      </c>
      <c r="ADA61" s="1137">
        <f t="shared" si="12"/>
        <v>0</v>
      </c>
      <c r="ADB61" s="1137">
        <f t="shared" si="16"/>
        <v>0</v>
      </c>
      <c r="ADC61" s="1137">
        <f t="shared" si="16"/>
        <v>0</v>
      </c>
    </row>
    <row r="62" spans="1:783" x14ac:dyDescent="0.25">
      <c r="A62" t="s">
        <v>1859</v>
      </c>
      <c r="B62" t="s">
        <v>179</v>
      </c>
      <c r="C62">
        <v>0</v>
      </c>
      <c r="D62">
        <v>0</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v>0</v>
      </c>
      <c r="BF62">
        <v>0</v>
      </c>
      <c r="BG62">
        <v>0</v>
      </c>
      <c r="BH62">
        <v>0</v>
      </c>
      <c r="BI62">
        <v>0</v>
      </c>
      <c r="BJ62">
        <v>0</v>
      </c>
      <c r="BK62">
        <v>0</v>
      </c>
      <c r="BL62">
        <v>0</v>
      </c>
      <c r="BM62">
        <v>0</v>
      </c>
      <c r="BN62">
        <v>0</v>
      </c>
      <c r="BO62">
        <v>0</v>
      </c>
      <c r="BP62">
        <v>0</v>
      </c>
      <c r="BQ62">
        <v>0</v>
      </c>
      <c r="BR62">
        <v>0</v>
      </c>
      <c r="BS62">
        <v>0</v>
      </c>
      <c r="BT62">
        <v>0</v>
      </c>
      <c r="BU62">
        <v>0</v>
      </c>
      <c r="BV62">
        <v>0</v>
      </c>
      <c r="BW62">
        <v>0</v>
      </c>
      <c r="BX62">
        <v>0</v>
      </c>
      <c r="BY62">
        <v>0</v>
      </c>
      <c r="BZ62">
        <v>0</v>
      </c>
      <c r="CA62">
        <v>0</v>
      </c>
      <c r="CB62">
        <v>0</v>
      </c>
      <c r="CC62">
        <v>2</v>
      </c>
      <c r="CD62">
        <v>2</v>
      </c>
      <c r="CE62">
        <v>2</v>
      </c>
      <c r="CF62">
        <v>2</v>
      </c>
      <c r="CG62">
        <v>2</v>
      </c>
      <c r="CH62">
        <v>2</v>
      </c>
      <c r="CI62">
        <v>2</v>
      </c>
      <c r="CJ62">
        <v>2</v>
      </c>
      <c r="CK62">
        <v>2</v>
      </c>
      <c r="CL62">
        <v>2</v>
      </c>
      <c r="CM62">
        <v>2</v>
      </c>
      <c r="CN62">
        <v>2</v>
      </c>
      <c r="CO62">
        <v>2</v>
      </c>
      <c r="CP62">
        <v>2</v>
      </c>
      <c r="CQ62">
        <v>2</v>
      </c>
      <c r="CR62">
        <v>2</v>
      </c>
      <c r="CS62">
        <v>2</v>
      </c>
      <c r="CT62">
        <v>2</v>
      </c>
      <c r="CU62">
        <v>2</v>
      </c>
      <c r="CV62">
        <v>2</v>
      </c>
      <c r="CW62">
        <v>2</v>
      </c>
      <c r="CX62">
        <v>2</v>
      </c>
      <c r="CY62">
        <v>2</v>
      </c>
      <c r="CZ62">
        <v>2</v>
      </c>
      <c r="DA62">
        <v>2</v>
      </c>
      <c r="DB62">
        <v>2</v>
      </c>
      <c r="DC62">
        <v>2</v>
      </c>
      <c r="DD62">
        <v>2</v>
      </c>
      <c r="DE62">
        <v>2</v>
      </c>
      <c r="DF62">
        <v>2</v>
      </c>
      <c r="DG62">
        <v>2</v>
      </c>
      <c r="DH62">
        <v>2</v>
      </c>
      <c r="DI62">
        <v>2</v>
      </c>
      <c r="DJ62">
        <v>2</v>
      </c>
      <c r="DK62">
        <v>2</v>
      </c>
      <c r="DL62">
        <v>2</v>
      </c>
      <c r="DM62">
        <v>2</v>
      </c>
      <c r="DN62">
        <v>2</v>
      </c>
      <c r="DO62">
        <v>1</v>
      </c>
      <c r="DP62">
        <v>1</v>
      </c>
      <c r="DQ62">
        <v>1</v>
      </c>
      <c r="DR62">
        <v>1</v>
      </c>
      <c r="DS62">
        <v>1</v>
      </c>
      <c r="DT62">
        <v>1</v>
      </c>
      <c r="DU62">
        <v>1</v>
      </c>
      <c r="DV62">
        <v>1</v>
      </c>
      <c r="DW62">
        <v>1</v>
      </c>
      <c r="DX62">
        <v>1</v>
      </c>
      <c r="DY62">
        <v>1</v>
      </c>
      <c r="DZ62">
        <v>1</v>
      </c>
      <c r="EA62">
        <v>1</v>
      </c>
      <c r="EB62">
        <v>1</v>
      </c>
      <c r="EC62">
        <v>1</v>
      </c>
      <c r="ED62">
        <v>1</v>
      </c>
      <c r="EE62">
        <v>1</v>
      </c>
      <c r="EF62">
        <v>1</v>
      </c>
      <c r="EG62">
        <v>1</v>
      </c>
      <c r="EH62">
        <v>1</v>
      </c>
      <c r="EI62">
        <v>1</v>
      </c>
      <c r="EJ62">
        <v>1</v>
      </c>
      <c r="EK62">
        <v>1</v>
      </c>
      <c r="EL62">
        <v>1</v>
      </c>
      <c r="EM62">
        <v>1</v>
      </c>
      <c r="EN62">
        <v>1</v>
      </c>
      <c r="EO62">
        <v>1</v>
      </c>
      <c r="EP62">
        <v>1</v>
      </c>
      <c r="EQ62">
        <v>1</v>
      </c>
      <c r="ER62">
        <v>1</v>
      </c>
      <c r="ES62">
        <v>1</v>
      </c>
      <c r="ET62">
        <v>1</v>
      </c>
      <c r="EU62">
        <v>1</v>
      </c>
      <c r="EV62">
        <v>1</v>
      </c>
      <c r="EW62">
        <v>1</v>
      </c>
      <c r="EX62">
        <v>1</v>
      </c>
      <c r="EY62">
        <v>1</v>
      </c>
      <c r="EZ62">
        <v>1</v>
      </c>
      <c r="FA62">
        <v>1</v>
      </c>
      <c r="FB62">
        <v>1</v>
      </c>
      <c r="FC62">
        <v>1</v>
      </c>
      <c r="FD62">
        <v>1</v>
      </c>
      <c r="FE62">
        <v>1</v>
      </c>
      <c r="FF62">
        <v>1</v>
      </c>
      <c r="FG62">
        <v>1</v>
      </c>
      <c r="FH62">
        <v>1</v>
      </c>
      <c r="FI62">
        <v>1</v>
      </c>
      <c r="FJ62">
        <v>1</v>
      </c>
      <c r="FK62">
        <v>1</v>
      </c>
      <c r="FL62">
        <v>1</v>
      </c>
      <c r="FM62">
        <v>1</v>
      </c>
      <c r="FN62">
        <v>1</v>
      </c>
      <c r="FO62">
        <v>1</v>
      </c>
      <c r="FP62">
        <v>1</v>
      </c>
      <c r="FQ62">
        <v>1</v>
      </c>
      <c r="FR62">
        <v>1</v>
      </c>
      <c r="FS62">
        <v>1</v>
      </c>
      <c r="FT62">
        <v>1</v>
      </c>
      <c r="FU62">
        <v>1</v>
      </c>
      <c r="FV62">
        <v>1</v>
      </c>
      <c r="FW62">
        <v>1</v>
      </c>
      <c r="FX62">
        <v>1</v>
      </c>
      <c r="FY62">
        <v>1</v>
      </c>
      <c r="FZ62">
        <v>1</v>
      </c>
      <c r="GA62">
        <v>1</v>
      </c>
      <c r="GB62">
        <v>1</v>
      </c>
      <c r="GC62">
        <v>1</v>
      </c>
      <c r="GD62">
        <v>1</v>
      </c>
      <c r="GE62">
        <v>1</v>
      </c>
      <c r="GF62">
        <v>1</v>
      </c>
      <c r="GG62">
        <v>1</v>
      </c>
      <c r="GH62">
        <v>1</v>
      </c>
      <c r="GI62">
        <v>1</v>
      </c>
      <c r="GJ62">
        <v>1</v>
      </c>
      <c r="GK62">
        <v>1</v>
      </c>
      <c r="GL62">
        <v>1</v>
      </c>
      <c r="GM62">
        <v>1</v>
      </c>
      <c r="GN62">
        <v>1</v>
      </c>
      <c r="GO62">
        <v>1</v>
      </c>
      <c r="GP62">
        <v>1</v>
      </c>
      <c r="GQ62">
        <v>1</v>
      </c>
      <c r="GR62">
        <v>1</v>
      </c>
      <c r="GS62">
        <v>0</v>
      </c>
      <c r="GT62">
        <v>0</v>
      </c>
      <c r="GU62">
        <v>0</v>
      </c>
      <c r="GV62">
        <v>0</v>
      </c>
      <c r="GW62">
        <v>0</v>
      </c>
      <c r="GX62">
        <v>0</v>
      </c>
      <c r="GY62">
        <v>0</v>
      </c>
      <c r="GZ62">
        <v>0</v>
      </c>
      <c r="HA62">
        <v>0</v>
      </c>
      <c r="HB62">
        <v>0</v>
      </c>
      <c r="HC62">
        <v>0</v>
      </c>
      <c r="HD62">
        <v>0</v>
      </c>
      <c r="HE62">
        <v>0</v>
      </c>
      <c r="HF62">
        <v>0</v>
      </c>
      <c r="HG62">
        <v>0</v>
      </c>
      <c r="HH62">
        <v>0</v>
      </c>
      <c r="HI62">
        <v>0</v>
      </c>
      <c r="HJ62">
        <v>0</v>
      </c>
      <c r="HK62">
        <v>0</v>
      </c>
      <c r="HL62">
        <v>0</v>
      </c>
      <c r="HM62">
        <v>0</v>
      </c>
      <c r="HN62">
        <v>0</v>
      </c>
      <c r="HO62">
        <v>0</v>
      </c>
      <c r="HP62">
        <v>0</v>
      </c>
      <c r="HQ62">
        <v>0</v>
      </c>
      <c r="HR62">
        <v>0</v>
      </c>
      <c r="HS62">
        <v>0</v>
      </c>
      <c r="HT62">
        <v>0</v>
      </c>
      <c r="HU62">
        <v>0</v>
      </c>
      <c r="HV62">
        <v>0</v>
      </c>
      <c r="HW62">
        <v>0</v>
      </c>
      <c r="HX62">
        <v>0</v>
      </c>
      <c r="HY62">
        <v>0</v>
      </c>
      <c r="HZ62">
        <v>0</v>
      </c>
      <c r="IA62">
        <v>0</v>
      </c>
      <c r="IB62">
        <v>0</v>
      </c>
      <c r="IC62">
        <v>0</v>
      </c>
      <c r="ID62">
        <v>0</v>
      </c>
      <c r="IE62">
        <v>0</v>
      </c>
      <c r="IF62">
        <v>0</v>
      </c>
      <c r="IG62">
        <v>0</v>
      </c>
      <c r="IH62">
        <v>0</v>
      </c>
      <c r="II62">
        <v>0</v>
      </c>
      <c r="IJ62">
        <v>0</v>
      </c>
      <c r="IK62">
        <v>0</v>
      </c>
      <c r="IL62">
        <v>0</v>
      </c>
      <c r="IM62">
        <v>0</v>
      </c>
      <c r="IN62">
        <v>0</v>
      </c>
      <c r="IO62">
        <v>0</v>
      </c>
      <c r="IP62">
        <v>0</v>
      </c>
      <c r="IQ62">
        <v>0</v>
      </c>
      <c r="IR62">
        <v>0</v>
      </c>
      <c r="IS62">
        <v>0</v>
      </c>
      <c r="IT62">
        <v>0</v>
      </c>
      <c r="IU62">
        <v>0</v>
      </c>
      <c r="IV62">
        <v>0</v>
      </c>
      <c r="IW62">
        <v>0</v>
      </c>
      <c r="IX62">
        <v>0</v>
      </c>
      <c r="IY62">
        <v>0</v>
      </c>
      <c r="IZ62">
        <v>0</v>
      </c>
      <c r="JA62">
        <v>0</v>
      </c>
      <c r="JB62">
        <v>0</v>
      </c>
      <c r="JC62">
        <v>0</v>
      </c>
      <c r="JD62">
        <v>0</v>
      </c>
      <c r="JE62">
        <v>0</v>
      </c>
      <c r="JF62">
        <v>0</v>
      </c>
      <c r="JG62">
        <v>0</v>
      </c>
      <c r="JH62">
        <v>0</v>
      </c>
      <c r="JI62">
        <v>0</v>
      </c>
      <c r="JJ62">
        <v>0</v>
      </c>
      <c r="JK62">
        <v>0</v>
      </c>
      <c r="JL62">
        <v>0</v>
      </c>
      <c r="JM62">
        <v>0</v>
      </c>
      <c r="JN62">
        <v>0</v>
      </c>
      <c r="JO62">
        <v>0</v>
      </c>
      <c r="JP62">
        <v>0</v>
      </c>
      <c r="JQ62">
        <v>0</v>
      </c>
      <c r="JR62">
        <v>0</v>
      </c>
      <c r="JS62">
        <v>0</v>
      </c>
      <c r="JT62">
        <v>0</v>
      </c>
      <c r="JU62">
        <v>0</v>
      </c>
      <c r="JV62">
        <v>0</v>
      </c>
      <c r="JW62">
        <v>0</v>
      </c>
      <c r="JX62">
        <v>0</v>
      </c>
      <c r="JY62">
        <v>0</v>
      </c>
      <c r="JZ62">
        <v>0</v>
      </c>
      <c r="KA62">
        <v>0</v>
      </c>
      <c r="KB62">
        <v>0</v>
      </c>
      <c r="KC62">
        <v>0</v>
      </c>
      <c r="KD62">
        <v>0</v>
      </c>
      <c r="KE62">
        <v>0</v>
      </c>
      <c r="KF62">
        <v>0</v>
      </c>
      <c r="KG62">
        <v>0</v>
      </c>
      <c r="KH62">
        <v>0</v>
      </c>
      <c r="KI62">
        <v>0</v>
      </c>
      <c r="KJ62">
        <v>0</v>
      </c>
      <c r="KK62">
        <v>0</v>
      </c>
      <c r="KL62">
        <v>0</v>
      </c>
      <c r="KM62">
        <v>0</v>
      </c>
      <c r="KN62">
        <v>0</v>
      </c>
      <c r="KO62">
        <v>0</v>
      </c>
      <c r="KP62">
        <v>0</v>
      </c>
      <c r="KQ62">
        <v>0</v>
      </c>
      <c r="KR62">
        <v>0</v>
      </c>
      <c r="KS62">
        <v>0</v>
      </c>
      <c r="KT62">
        <v>0</v>
      </c>
      <c r="KU62">
        <v>0</v>
      </c>
      <c r="KV62">
        <v>0</v>
      </c>
      <c r="KW62">
        <v>0</v>
      </c>
      <c r="KX62">
        <v>0</v>
      </c>
      <c r="KY62">
        <v>0</v>
      </c>
      <c r="KZ62">
        <v>0</v>
      </c>
      <c r="LA62">
        <v>0</v>
      </c>
      <c r="LB62">
        <v>0</v>
      </c>
      <c r="LC62">
        <v>0</v>
      </c>
      <c r="LD62">
        <v>0</v>
      </c>
      <c r="LE62">
        <v>0</v>
      </c>
      <c r="LF62">
        <v>0</v>
      </c>
      <c r="LG62">
        <v>0</v>
      </c>
      <c r="LH62">
        <v>0</v>
      </c>
      <c r="LI62">
        <v>0</v>
      </c>
      <c r="LJ62">
        <v>0</v>
      </c>
      <c r="LK62">
        <v>0</v>
      </c>
      <c r="LL62">
        <v>0</v>
      </c>
      <c r="LM62">
        <v>0</v>
      </c>
      <c r="LN62">
        <v>0</v>
      </c>
      <c r="LO62">
        <v>0</v>
      </c>
      <c r="LP62">
        <v>0</v>
      </c>
      <c r="LQ62">
        <v>0</v>
      </c>
      <c r="LR62">
        <v>0</v>
      </c>
      <c r="LS62">
        <v>0</v>
      </c>
      <c r="LT62">
        <v>0</v>
      </c>
      <c r="LU62">
        <v>0</v>
      </c>
      <c r="LV62">
        <v>0</v>
      </c>
      <c r="LW62">
        <v>0</v>
      </c>
      <c r="LX62">
        <v>0</v>
      </c>
      <c r="LY62">
        <v>0</v>
      </c>
      <c r="LZ62">
        <v>0</v>
      </c>
      <c r="MA62">
        <v>0</v>
      </c>
      <c r="MB62">
        <v>0</v>
      </c>
      <c r="MC62">
        <v>0</v>
      </c>
      <c r="MD62">
        <v>0</v>
      </c>
      <c r="ME62">
        <v>0</v>
      </c>
      <c r="MF62">
        <v>0</v>
      </c>
      <c r="MG62">
        <v>0</v>
      </c>
      <c r="MH62">
        <v>0</v>
      </c>
      <c r="MI62">
        <v>0</v>
      </c>
      <c r="MJ62">
        <v>0</v>
      </c>
      <c r="MK62">
        <v>0</v>
      </c>
      <c r="ML62">
        <v>0</v>
      </c>
      <c r="MM62">
        <v>0</v>
      </c>
      <c r="MN62">
        <v>0</v>
      </c>
      <c r="MO62">
        <v>0</v>
      </c>
      <c r="MP62">
        <v>0</v>
      </c>
      <c r="MQ62">
        <v>0</v>
      </c>
      <c r="MR62">
        <v>0</v>
      </c>
      <c r="MS62">
        <v>0</v>
      </c>
      <c r="MT62">
        <v>0</v>
      </c>
      <c r="MU62">
        <v>0</v>
      </c>
      <c r="MV62">
        <v>0</v>
      </c>
      <c r="MW62">
        <v>0</v>
      </c>
      <c r="MX62">
        <v>0</v>
      </c>
      <c r="MY62">
        <v>0</v>
      </c>
      <c r="MZ62">
        <v>0</v>
      </c>
      <c r="NA62">
        <v>0</v>
      </c>
      <c r="NB62">
        <v>0</v>
      </c>
      <c r="NC62">
        <v>0</v>
      </c>
      <c r="ND62">
        <v>0</v>
      </c>
      <c r="NE62">
        <v>0</v>
      </c>
      <c r="NF62">
        <v>0</v>
      </c>
      <c r="NG62">
        <v>0</v>
      </c>
      <c r="NH62">
        <v>0</v>
      </c>
      <c r="NI62">
        <v>0</v>
      </c>
      <c r="NJ62">
        <v>0</v>
      </c>
      <c r="NK62">
        <v>0</v>
      </c>
      <c r="NL62">
        <v>0</v>
      </c>
      <c r="NM62">
        <v>0</v>
      </c>
      <c r="NN62">
        <v>0</v>
      </c>
      <c r="NO62">
        <v>0</v>
      </c>
      <c r="NP62">
        <v>0</v>
      </c>
      <c r="NQ62">
        <v>0</v>
      </c>
      <c r="NR62">
        <v>0</v>
      </c>
      <c r="NS62">
        <v>0</v>
      </c>
      <c r="NT62">
        <v>0</v>
      </c>
      <c r="NU62">
        <v>0</v>
      </c>
      <c r="NV62">
        <v>0</v>
      </c>
      <c r="NW62">
        <v>0</v>
      </c>
      <c r="NX62">
        <v>0</v>
      </c>
      <c r="NY62">
        <v>0</v>
      </c>
      <c r="NZ62">
        <v>0</v>
      </c>
      <c r="OA62">
        <v>0</v>
      </c>
      <c r="OB62">
        <v>0</v>
      </c>
      <c r="OC62">
        <v>0</v>
      </c>
      <c r="OD62">
        <v>0</v>
      </c>
      <c r="OE62">
        <v>0</v>
      </c>
      <c r="OF62">
        <v>0</v>
      </c>
      <c r="OG62">
        <v>0</v>
      </c>
      <c r="OH62">
        <v>0</v>
      </c>
      <c r="OI62">
        <v>0</v>
      </c>
      <c r="OJ62">
        <v>0</v>
      </c>
      <c r="OK62">
        <v>0</v>
      </c>
      <c r="OL62">
        <v>0</v>
      </c>
      <c r="OM62">
        <v>0</v>
      </c>
      <c r="ON62">
        <v>0</v>
      </c>
      <c r="OO62">
        <v>0</v>
      </c>
      <c r="OP62">
        <v>0</v>
      </c>
      <c r="OQ62">
        <v>0</v>
      </c>
      <c r="OR62">
        <v>0</v>
      </c>
      <c r="OS62">
        <v>0</v>
      </c>
      <c r="OT62">
        <v>0</v>
      </c>
      <c r="OU62">
        <v>0</v>
      </c>
      <c r="OV62">
        <v>0</v>
      </c>
      <c r="OW62">
        <v>0</v>
      </c>
      <c r="OX62">
        <v>0</v>
      </c>
      <c r="OY62">
        <v>0</v>
      </c>
      <c r="OZ62">
        <v>0</v>
      </c>
      <c r="PA62">
        <v>0</v>
      </c>
      <c r="PB62">
        <v>0</v>
      </c>
      <c r="PC62">
        <v>0</v>
      </c>
      <c r="PD62">
        <v>0</v>
      </c>
      <c r="PE62">
        <v>0</v>
      </c>
      <c r="PF62">
        <v>0</v>
      </c>
      <c r="PG62">
        <v>0</v>
      </c>
      <c r="PH62">
        <v>0</v>
      </c>
      <c r="PI62">
        <v>0</v>
      </c>
      <c r="PJ62">
        <v>0</v>
      </c>
      <c r="PK62">
        <v>0</v>
      </c>
      <c r="PL62">
        <v>0</v>
      </c>
      <c r="PM62">
        <v>0</v>
      </c>
      <c r="PN62">
        <v>0</v>
      </c>
      <c r="PO62">
        <v>0</v>
      </c>
      <c r="PP62">
        <v>0</v>
      </c>
      <c r="PQ62">
        <v>0</v>
      </c>
      <c r="PR62">
        <v>0</v>
      </c>
      <c r="PS62">
        <v>0</v>
      </c>
      <c r="PT62">
        <v>0</v>
      </c>
      <c r="PU62">
        <v>0</v>
      </c>
      <c r="PV62">
        <v>0</v>
      </c>
      <c r="PW62">
        <v>0</v>
      </c>
      <c r="PX62">
        <v>0</v>
      </c>
      <c r="PY62">
        <v>0</v>
      </c>
      <c r="PZ62">
        <v>0</v>
      </c>
      <c r="QA62">
        <v>0</v>
      </c>
      <c r="QB62">
        <v>0</v>
      </c>
      <c r="QC62">
        <v>0</v>
      </c>
      <c r="QD62">
        <v>0</v>
      </c>
      <c r="QE62">
        <v>0</v>
      </c>
      <c r="QF62">
        <v>0</v>
      </c>
      <c r="QG62">
        <v>0</v>
      </c>
      <c r="QH62">
        <v>0</v>
      </c>
      <c r="QI62">
        <v>0</v>
      </c>
      <c r="QJ62">
        <v>0</v>
      </c>
      <c r="QK62">
        <v>0</v>
      </c>
      <c r="QL62">
        <v>0</v>
      </c>
      <c r="QM62">
        <v>0</v>
      </c>
      <c r="QN62">
        <v>0</v>
      </c>
      <c r="QO62">
        <v>0</v>
      </c>
      <c r="QP62">
        <v>0</v>
      </c>
      <c r="QQ62">
        <v>0</v>
      </c>
      <c r="QR62">
        <v>0</v>
      </c>
      <c r="QS62">
        <v>0</v>
      </c>
      <c r="QT62">
        <v>0</v>
      </c>
      <c r="QU62">
        <v>0</v>
      </c>
      <c r="QV62">
        <v>0</v>
      </c>
      <c r="QW62">
        <v>0</v>
      </c>
      <c r="QX62">
        <v>0</v>
      </c>
      <c r="QY62">
        <v>0</v>
      </c>
      <c r="QZ62">
        <v>0</v>
      </c>
      <c r="RA62">
        <v>0</v>
      </c>
      <c r="RB62">
        <v>0</v>
      </c>
      <c r="RC62">
        <v>0</v>
      </c>
      <c r="RD62">
        <v>0</v>
      </c>
      <c r="RE62">
        <v>0</v>
      </c>
      <c r="RF62">
        <v>0</v>
      </c>
      <c r="RG62">
        <v>0</v>
      </c>
      <c r="RH62">
        <v>0</v>
      </c>
      <c r="RI62">
        <v>0</v>
      </c>
      <c r="RJ62">
        <v>2</v>
      </c>
      <c r="RK62">
        <v>2</v>
      </c>
      <c r="RL62">
        <v>2</v>
      </c>
      <c r="RM62">
        <v>2</v>
      </c>
      <c r="RN62">
        <v>2</v>
      </c>
      <c r="RO62">
        <v>2</v>
      </c>
      <c r="RP62">
        <v>2</v>
      </c>
      <c r="RQ62">
        <v>2</v>
      </c>
      <c r="RR62">
        <v>2</v>
      </c>
      <c r="RS62">
        <v>2</v>
      </c>
      <c r="RT62">
        <v>2</v>
      </c>
      <c r="RU62">
        <v>2</v>
      </c>
      <c r="RV62">
        <v>2</v>
      </c>
      <c r="RW62">
        <v>2</v>
      </c>
      <c r="RX62">
        <v>2</v>
      </c>
      <c r="RY62">
        <v>2</v>
      </c>
      <c r="RZ62">
        <v>2</v>
      </c>
      <c r="SA62">
        <v>2</v>
      </c>
      <c r="SB62">
        <v>2</v>
      </c>
      <c r="SC62">
        <v>2</v>
      </c>
      <c r="SD62">
        <v>2</v>
      </c>
      <c r="SE62">
        <v>2</v>
      </c>
      <c r="SF62">
        <v>2</v>
      </c>
      <c r="SG62">
        <v>2</v>
      </c>
      <c r="SH62">
        <v>2</v>
      </c>
      <c r="SI62">
        <v>2</v>
      </c>
      <c r="SJ62">
        <v>2</v>
      </c>
      <c r="SK62">
        <v>2</v>
      </c>
      <c r="SL62">
        <v>2</v>
      </c>
      <c r="SM62">
        <v>2</v>
      </c>
      <c r="SN62">
        <v>2</v>
      </c>
      <c r="SO62">
        <v>2</v>
      </c>
      <c r="SP62">
        <v>2</v>
      </c>
      <c r="SQ62">
        <v>2</v>
      </c>
      <c r="SR62">
        <v>2</v>
      </c>
      <c r="SS62">
        <v>2</v>
      </c>
      <c r="ST62">
        <v>2</v>
      </c>
      <c r="SU62">
        <v>2</v>
      </c>
      <c r="SV62">
        <v>2</v>
      </c>
      <c r="SW62">
        <v>2</v>
      </c>
      <c r="SX62">
        <v>2</v>
      </c>
      <c r="SY62">
        <v>2</v>
      </c>
      <c r="SZ62">
        <v>2</v>
      </c>
      <c r="TA62">
        <v>2</v>
      </c>
      <c r="TB62">
        <v>2</v>
      </c>
      <c r="TC62">
        <v>2</v>
      </c>
      <c r="TD62">
        <v>2</v>
      </c>
      <c r="TE62">
        <v>2</v>
      </c>
      <c r="TF62">
        <v>2</v>
      </c>
      <c r="TG62">
        <v>2</v>
      </c>
      <c r="TH62">
        <v>2</v>
      </c>
      <c r="TI62">
        <v>2</v>
      </c>
      <c r="TJ62">
        <v>2</v>
      </c>
      <c r="TK62">
        <v>2</v>
      </c>
      <c r="TL62">
        <v>2</v>
      </c>
      <c r="TM62">
        <v>2</v>
      </c>
      <c r="TN62">
        <v>2</v>
      </c>
      <c r="TO62">
        <v>2</v>
      </c>
      <c r="TP62">
        <v>2</v>
      </c>
      <c r="TQ62">
        <v>2</v>
      </c>
      <c r="TR62">
        <v>2</v>
      </c>
      <c r="TS62">
        <v>2</v>
      </c>
      <c r="TT62">
        <v>2</v>
      </c>
      <c r="TU62">
        <v>2</v>
      </c>
      <c r="TV62">
        <v>2</v>
      </c>
      <c r="TW62">
        <v>2</v>
      </c>
      <c r="TX62">
        <v>2</v>
      </c>
      <c r="TY62">
        <v>2</v>
      </c>
      <c r="TZ62">
        <v>2</v>
      </c>
      <c r="UA62">
        <v>2</v>
      </c>
      <c r="UB62">
        <v>2</v>
      </c>
      <c r="UC62">
        <v>2</v>
      </c>
      <c r="UD62">
        <v>2</v>
      </c>
      <c r="UE62">
        <v>2</v>
      </c>
      <c r="UF62">
        <v>2</v>
      </c>
      <c r="UG62">
        <v>2</v>
      </c>
      <c r="UH62">
        <v>2</v>
      </c>
      <c r="UI62">
        <v>2</v>
      </c>
      <c r="UJ62">
        <v>2</v>
      </c>
      <c r="UK62">
        <v>2</v>
      </c>
      <c r="UL62">
        <v>2</v>
      </c>
      <c r="UM62">
        <v>2</v>
      </c>
      <c r="UN62">
        <v>2</v>
      </c>
      <c r="UO62">
        <v>2</v>
      </c>
      <c r="UP62">
        <v>2</v>
      </c>
      <c r="UQ62">
        <v>2</v>
      </c>
      <c r="UR62">
        <v>2</v>
      </c>
      <c r="US62">
        <v>2</v>
      </c>
      <c r="UT62">
        <v>2</v>
      </c>
      <c r="UU62">
        <v>2</v>
      </c>
      <c r="UV62">
        <v>2</v>
      </c>
      <c r="UW62">
        <v>2</v>
      </c>
      <c r="UX62">
        <v>2</v>
      </c>
      <c r="UY62">
        <v>2</v>
      </c>
      <c r="UZ62">
        <v>2</v>
      </c>
      <c r="VA62">
        <v>2</v>
      </c>
      <c r="VB62">
        <v>2</v>
      </c>
      <c r="VC62">
        <v>2</v>
      </c>
      <c r="VD62">
        <v>2</v>
      </c>
      <c r="VE62">
        <v>2</v>
      </c>
      <c r="VF62">
        <v>2</v>
      </c>
      <c r="VG62">
        <v>2</v>
      </c>
      <c r="VH62">
        <v>2</v>
      </c>
      <c r="VI62">
        <v>2</v>
      </c>
      <c r="VJ62">
        <v>2</v>
      </c>
      <c r="VK62">
        <v>2</v>
      </c>
      <c r="VL62">
        <v>2</v>
      </c>
      <c r="VM62">
        <v>2</v>
      </c>
      <c r="VN62">
        <v>2</v>
      </c>
      <c r="VO62">
        <v>2</v>
      </c>
      <c r="VP62">
        <v>2</v>
      </c>
      <c r="VQ62">
        <v>2</v>
      </c>
      <c r="VR62">
        <v>2</v>
      </c>
      <c r="VS62">
        <v>2</v>
      </c>
      <c r="VT62">
        <v>2</v>
      </c>
      <c r="VU62">
        <v>2</v>
      </c>
      <c r="VV62">
        <v>2</v>
      </c>
      <c r="VW62">
        <v>2</v>
      </c>
      <c r="VX62">
        <v>2</v>
      </c>
      <c r="VY62">
        <v>2</v>
      </c>
      <c r="VZ62">
        <v>2</v>
      </c>
      <c r="WA62">
        <v>2</v>
      </c>
      <c r="WB62">
        <v>2</v>
      </c>
      <c r="WC62">
        <v>2</v>
      </c>
      <c r="WD62">
        <v>2</v>
      </c>
      <c r="WE62">
        <v>2</v>
      </c>
      <c r="WF62">
        <v>2</v>
      </c>
      <c r="WG62">
        <v>2</v>
      </c>
      <c r="WH62">
        <v>2</v>
      </c>
      <c r="WI62">
        <v>2</v>
      </c>
      <c r="WJ62">
        <v>2</v>
      </c>
      <c r="WK62">
        <v>2</v>
      </c>
      <c r="WL62">
        <v>2</v>
      </c>
      <c r="WM62">
        <v>2</v>
      </c>
      <c r="WN62">
        <v>2</v>
      </c>
      <c r="WO62">
        <v>2</v>
      </c>
      <c r="WP62">
        <v>2</v>
      </c>
      <c r="WQ62">
        <v>2</v>
      </c>
      <c r="WR62">
        <v>2</v>
      </c>
      <c r="WS62">
        <v>2</v>
      </c>
      <c r="WT62">
        <v>2</v>
      </c>
      <c r="WU62">
        <v>2</v>
      </c>
      <c r="WV62">
        <v>2</v>
      </c>
      <c r="WW62">
        <v>2</v>
      </c>
      <c r="WX62">
        <v>2</v>
      </c>
      <c r="WY62">
        <v>2</v>
      </c>
      <c r="WZ62">
        <v>2</v>
      </c>
      <c r="XA62">
        <v>2</v>
      </c>
      <c r="XB62">
        <v>2</v>
      </c>
      <c r="XC62">
        <v>2</v>
      </c>
      <c r="XD62">
        <v>2</v>
      </c>
      <c r="XE62">
        <v>2</v>
      </c>
      <c r="XF62">
        <v>2</v>
      </c>
      <c r="XG62">
        <v>2</v>
      </c>
      <c r="XH62">
        <v>2</v>
      </c>
      <c r="XI62">
        <v>2</v>
      </c>
      <c r="XJ62">
        <v>2</v>
      </c>
      <c r="XK62">
        <v>2</v>
      </c>
      <c r="XL62">
        <v>2</v>
      </c>
      <c r="XM62">
        <v>2</v>
      </c>
      <c r="XN62">
        <v>2</v>
      </c>
      <c r="XO62">
        <v>2</v>
      </c>
      <c r="XP62">
        <v>2</v>
      </c>
      <c r="XQ62">
        <v>2</v>
      </c>
      <c r="XR62">
        <v>2</v>
      </c>
      <c r="XS62">
        <v>2</v>
      </c>
      <c r="XT62">
        <v>2</v>
      </c>
      <c r="XU62">
        <v>2</v>
      </c>
      <c r="XV62">
        <v>2</v>
      </c>
      <c r="XW62">
        <v>2</v>
      </c>
      <c r="XX62">
        <v>2</v>
      </c>
      <c r="XY62">
        <v>2</v>
      </c>
      <c r="XZ62">
        <v>2</v>
      </c>
      <c r="YA62">
        <v>2</v>
      </c>
      <c r="YB62">
        <v>2</v>
      </c>
      <c r="YC62">
        <v>2</v>
      </c>
      <c r="YD62">
        <v>2</v>
      </c>
      <c r="YE62">
        <v>2</v>
      </c>
      <c r="YF62">
        <v>2</v>
      </c>
      <c r="YG62">
        <v>2</v>
      </c>
      <c r="YH62">
        <v>2</v>
      </c>
      <c r="YI62">
        <v>2</v>
      </c>
      <c r="YJ62">
        <v>2</v>
      </c>
      <c r="YK62">
        <v>2</v>
      </c>
      <c r="YL62">
        <v>2</v>
      </c>
      <c r="YM62">
        <v>2</v>
      </c>
      <c r="YN62">
        <v>2</v>
      </c>
      <c r="YO62">
        <v>2</v>
      </c>
      <c r="YP62">
        <v>2</v>
      </c>
      <c r="YQ62">
        <v>2</v>
      </c>
      <c r="YR62">
        <v>2</v>
      </c>
      <c r="YS62">
        <v>2</v>
      </c>
      <c r="YT62">
        <v>2</v>
      </c>
      <c r="YU62">
        <v>2</v>
      </c>
      <c r="YV62">
        <v>2</v>
      </c>
      <c r="YW62">
        <v>2</v>
      </c>
      <c r="YX62">
        <v>2</v>
      </c>
      <c r="YY62">
        <v>2</v>
      </c>
      <c r="YZ62">
        <v>2</v>
      </c>
      <c r="ZA62">
        <v>2</v>
      </c>
      <c r="ZB62">
        <v>2</v>
      </c>
      <c r="ZC62">
        <v>2</v>
      </c>
      <c r="ZD62">
        <v>2</v>
      </c>
      <c r="ZE62">
        <v>2</v>
      </c>
      <c r="ZF62">
        <v>2</v>
      </c>
      <c r="ZG62">
        <v>2</v>
      </c>
      <c r="ZH62">
        <v>2</v>
      </c>
      <c r="ZI62">
        <v>2</v>
      </c>
      <c r="ZJ62">
        <v>2</v>
      </c>
      <c r="ZK62">
        <v>2</v>
      </c>
      <c r="ZL62">
        <v>2</v>
      </c>
      <c r="ZM62">
        <v>2</v>
      </c>
      <c r="ZN62">
        <v>2</v>
      </c>
      <c r="ZO62">
        <v>2</v>
      </c>
      <c r="ZP62">
        <v>2</v>
      </c>
      <c r="ZQ62">
        <v>2</v>
      </c>
      <c r="ZR62">
        <v>2</v>
      </c>
      <c r="ZS62">
        <v>2</v>
      </c>
      <c r="ZT62">
        <v>2</v>
      </c>
      <c r="ZU62">
        <v>2</v>
      </c>
      <c r="ZV62">
        <v>2</v>
      </c>
      <c r="ZW62">
        <v>2</v>
      </c>
      <c r="ZX62">
        <v>2</v>
      </c>
      <c r="ZY62">
        <v>2</v>
      </c>
      <c r="ZZ62">
        <v>2</v>
      </c>
      <c r="AAA62">
        <v>2</v>
      </c>
      <c r="AAB62">
        <v>2</v>
      </c>
      <c r="AAC62">
        <v>2</v>
      </c>
      <c r="AAD62">
        <v>2</v>
      </c>
      <c r="AAE62">
        <v>2</v>
      </c>
      <c r="AAF62">
        <v>2</v>
      </c>
      <c r="AAG62">
        <v>2</v>
      </c>
      <c r="AAH62">
        <v>2</v>
      </c>
      <c r="AAI62">
        <v>2</v>
      </c>
      <c r="AAJ62">
        <v>2</v>
      </c>
      <c r="AAK62">
        <v>2</v>
      </c>
      <c r="AAL62">
        <v>2</v>
      </c>
      <c r="AAM62">
        <v>2</v>
      </c>
      <c r="AAN62">
        <v>2</v>
      </c>
      <c r="AAO62">
        <v>2</v>
      </c>
      <c r="AAP62">
        <v>2</v>
      </c>
      <c r="AAQ62">
        <v>2</v>
      </c>
      <c r="AAR62">
        <v>2</v>
      </c>
      <c r="AAS62">
        <v>2</v>
      </c>
      <c r="AAT62">
        <v>2</v>
      </c>
      <c r="AAU62">
        <v>2</v>
      </c>
      <c r="AAV62">
        <v>2</v>
      </c>
      <c r="AAW62">
        <v>2</v>
      </c>
      <c r="AAX62">
        <v>2</v>
      </c>
      <c r="AAY62">
        <v>2</v>
      </c>
      <c r="AAZ62">
        <v>2</v>
      </c>
      <c r="ABA62">
        <v>2</v>
      </c>
      <c r="ABB62">
        <v>2</v>
      </c>
      <c r="ABC62">
        <v>2</v>
      </c>
      <c r="ABD62">
        <v>2</v>
      </c>
      <c r="ABE62">
        <v>2</v>
      </c>
      <c r="ABG62" s="1137">
        <f t="shared" si="13"/>
        <v>0</v>
      </c>
      <c r="ABH62" s="1137">
        <f t="shared" si="13"/>
        <v>0</v>
      </c>
      <c r="ABI62" s="1137">
        <f t="shared" si="13"/>
        <v>13</v>
      </c>
      <c r="ABJ62" s="1137">
        <f t="shared" si="13"/>
        <v>30</v>
      </c>
      <c r="ABK62" s="1137">
        <f t="shared" si="13"/>
        <v>31</v>
      </c>
      <c r="ABL62" s="1137">
        <f t="shared" si="13"/>
        <v>30</v>
      </c>
      <c r="ABM62" s="1137">
        <f t="shared" si="13"/>
        <v>16</v>
      </c>
      <c r="ABN62" s="1137">
        <f t="shared" si="13"/>
        <v>0</v>
      </c>
      <c r="ABO62" s="1137">
        <f t="shared" si="13"/>
        <v>0</v>
      </c>
      <c r="ABP62" s="1137">
        <f t="shared" si="13"/>
        <v>0</v>
      </c>
      <c r="ABQ62" s="1137">
        <f t="shared" si="13"/>
        <v>0</v>
      </c>
      <c r="ABR62" s="1137">
        <f t="shared" si="13"/>
        <v>0</v>
      </c>
      <c r="ABS62" s="1137">
        <f t="shared" si="13"/>
        <v>0</v>
      </c>
      <c r="ABT62" s="1137">
        <f t="shared" si="13"/>
        <v>0</v>
      </c>
      <c r="ABU62" s="1137">
        <f t="shared" si="13"/>
        <v>0</v>
      </c>
      <c r="ABV62" s="1137">
        <f t="shared" si="13"/>
        <v>11</v>
      </c>
      <c r="ABW62" s="1137">
        <f t="shared" si="17"/>
        <v>31</v>
      </c>
      <c r="ABX62" s="1137">
        <f t="shared" si="14"/>
        <v>30</v>
      </c>
      <c r="ABY62" s="1137">
        <f t="shared" si="14"/>
        <v>31</v>
      </c>
      <c r="ABZ62" s="1137">
        <f t="shared" si="14"/>
        <v>31</v>
      </c>
      <c r="ACA62" s="1137">
        <f t="shared" si="14"/>
        <v>30</v>
      </c>
      <c r="ACB62" s="1137">
        <f t="shared" si="14"/>
        <v>31</v>
      </c>
      <c r="ACC62" s="1137">
        <f t="shared" si="14"/>
        <v>30</v>
      </c>
      <c r="ACD62" s="1137">
        <f t="shared" si="14"/>
        <v>31</v>
      </c>
      <c r="ACE62" s="1137" t="s">
        <v>179</v>
      </c>
      <c r="ACF62" s="1137">
        <f t="shared" si="15"/>
        <v>0</v>
      </c>
      <c r="ACG62" s="1137">
        <f t="shared" si="15"/>
        <v>0</v>
      </c>
      <c r="ACH62" s="1137">
        <f t="shared" si="15"/>
        <v>1</v>
      </c>
      <c r="ACI62" s="1137">
        <f t="shared" si="15"/>
        <v>1</v>
      </c>
      <c r="ACJ62" s="1137">
        <f t="shared" si="15"/>
        <v>1</v>
      </c>
      <c r="ACK62" s="1137">
        <f t="shared" si="15"/>
        <v>1</v>
      </c>
      <c r="ACL62" s="1137">
        <f t="shared" si="15"/>
        <v>1</v>
      </c>
      <c r="ACM62" s="1137">
        <f t="shared" si="15"/>
        <v>0</v>
      </c>
      <c r="ACN62" s="1137">
        <f t="shared" si="15"/>
        <v>0</v>
      </c>
      <c r="ACO62" s="1137">
        <f t="shared" si="15"/>
        <v>0</v>
      </c>
      <c r="ACP62" s="1137">
        <f t="shared" si="15"/>
        <v>0</v>
      </c>
      <c r="ACQ62" s="1137">
        <f t="shared" si="15"/>
        <v>0</v>
      </c>
      <c r="ACR62" s="1137">
        <f t="shared" si="15"/>
        <v>0</v>
      </c>
      <c r="ACS62" s="1137">
        <f t="shared" si="15"/>
        <v>0</v>
      </c>
      <c r="ACT62" s="1137">
        <f t="shared" si="15"/>
        <v>0</v>
      </c>
      <c r="ACU62" s="1137">
        <f t="shared" si="12"/>
        <v>1</v>
      </c>
      <c r="ACV62" s="1137">
        <f t="shared" si="12"/>
        <v>1</v>
      </c>
      <c r="ACW62" s="1137">
        <f t="shared" si="12"/>
        <v>1</v>
      </c>
      <c r="ACX62" s="1137">
        <f t="shared" si="12"/>
        <v>1</v>
      </c>
      <c r="ACY62" s="1137">
        <f t="shared" si="12"/>
        <v>1</v>
      </c>
      <c r="ACZ62" s="1137">
        <f t="shared" si="12"/>
        <v>1</v>
      </c>
      <c r="ADA62" s="1137">
        <f t="shared" si="12"/>
        <v>1</v>
      </c>
      <c r="ADB62" s="1137">
        <f t="shared" si="16"/>
        <v>1</v>
      </c>
      <c r="ADC62" s="1137">
        <f t="shared" si="16"/>
        <v>1</v>
      </c>
    </row>
    <row r="63" spans="1:783" x14ac:dyDescent="0.25">
      <c r="A63" t="s">
        <v>1860</v>
      </c>
      <c r="B63" t="s">
        <v>181</v>
      </c>
      <c r="C63">
        <v>0</v>
      </c>
      <c r="D63">
        <v>0</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v>0</v>
      </c>
      <c r="BD63">
        <v>0</v>
      </c>
      <c r="BE63">
        <v>0</v>
      </c>
      <c r="BF63">
        <v>0</v>
      </c>
      <c r="BG63">
        <v>0</v>
      </c>
      <c r="BH63">
        <v>0</v>
      </c>
      <c r="BI63">
        <v>0</v>
      </c>
      <c r="BJ63">
        <v>0</v>
      </c>
      <c r="BK63">
        <v>0</v>
      </c>
      <c r="BL63">
        <v>0</v>
      </c>
      <c r="BM63">
        <v>0</v>
      </c>
      <c r="BN63">
        <v>0</v>
      </c>
      <c r="BO63">
        <v>0</v>
      </c>
      <c r="BP63">
        <v>0</v>
      </c>
      <c r="BQ63">
        <v>0</v>
      </c>
      <c r="BR63">
        <v>0</v>
      </c>
      <c r="BS63">
        <v>0</v>
      </c>
      <c r="BT63">
        <v>0</v>
      </c>
      <c r="BU63">
        <v>0</v>
      </c>
      <c r="BV63">
        <v>0</v>
      </c>
      <c r="BW63">
        <v>0</v>
      </c>
      <c r="BX63">
        <v>1</v>
      </c>
      <c r="BY63">
        <v>1</v>
      </c>
      <c r="BZ63">
        <v>1</v>
      </c>
      <c r="CA63">
        <v>2</v>
      </c>
      <c r="CB63">
        <v>2</v>
      </c>
      <c r="CC63">
        <v>2</v>
      </c>
      <c r="CD63">
        <v>2</v>
      </c>
      <c r="CE63">
        <v>2</v>
      </c>
      <c r="CF63">
        <v>2</v>
      </c>
      <c r="CG63">
        <v>2</v>
      </c>
      <c r="CH63">
        <v>2</v>
      </c>
      <c r="CI63">
        <v>2</v>
      </c>
      <c r="CJ63">
        <v>2</v>
      </c>
      <c r="CK63">
        <v>2</v>
      </c>
      <c r="CL63">
        <v>2</v>
      </c>
      <c r="CM63">
        <v>2</v>
      </c>
      <c r="CN63">
        <v>2</v>
      </c>
      <c r="CO63">
        <v>2</v>
      </c>
      <c r="CP63">
        <v>2</v>
      </c>
      <c r="CQ63">
        <v>2</v>
      </c>
      <c r="CR63">
        <v>2</v>
      </c>
      <c r="CS63">
        <v>2</v>
      </c>
      <c r="CT63">
        <v>2</v>
      </c>
      <c r="CU63">
        <v>2</v>
      </c>
      <c r="CV63">
        <v>2</v>
      </c>
      <c r="CW63">
        <v>2</v>
      </c>
      <c r="CX63">
        <v>2</v>
      </c>
      <c r="CY63">
        <v>2</v>
      </c>
      <c r="CZ63">
        <v>2</v>
      </c>
      <c r="DA63">
        <v>2</v>
      </c>
      <c r="DB63">
        <v>2</v>
      </c>
      <c r="DC63">
        <v>2</v>
      </c>
      <c r="DD63">
        <v>2</v>
      </c>
      <c r="DE63">
        <v>2</v>
      </c>
      <c r="DF63">
        <v>2</v>
      </c>
      <c r="DG63">
        <v>2</v>
      </c>
      <c r="DH63">
        <v>2</v>
      </c>
      <c r="DI63">
        <v>2</v>
      </c>
      <c r="DJ63">
        <v>2</v>
      </c>
      <c r="DK63">
        <v>2</v>
      </c>
      <c r="DL63">
        <v>2</v>
      </c>
      <c r="DM63">
        <v>2</v>
      </c>
      <c r="DN63">
        <v>2</v>
      </c>
      <c r="DO63">
        <v>2</v>
      </c>
      <c r="DP63">
        <v>2</v>
      </c>
      <c r="DQ63">
        <v>2</v>
      </c>
      <c r="DR63">
        <v>2</v>
      </c>
      <c r="DS63">
        <v>2</v>
      </c>
      <c r="DT63">
        <v>2</v>
      </c>
      <c r="DU63">
        <v>2</v>
      </c>
      <c r="DV63">
        <v>2</v>
      </c>
      <c r="DW63">
        <v>2</v>
      </c>
      <c r="DX63">
        <v>2</v>
      </c>
      <c r="DY63">
        <v>2</v>
      </c>
      <c r="DZ63">
        <v>2</v>
      </c>
      <c r="EA63">
        <v>2</v>
      </c>
      <c r="EB63">
        <v>2</v>
      </c>
      <c r="EC63">
        <v>2</v>
      </c>
      <c r="ED63">
        <v>2</v>
      </c>
      <c r="EE63">
        <v>2</v>
      </c>
      <c r="EF63">
        <v>2</v>
      </c>
      <c r="EG63">
        <v>2</v>
      </c>
      <c r="EH63">
        <v>2</v>
      </c>
      <c r="EI63">
        <v>2</v>
      </c>
      <c r="EJ63">
        <v>2</v>
      </c>
      <c r="EK63">
        <v>2</v>
      </c>
      <c r="EL63">
        <v>2</v>
      </c>
      <c r="EM63">
        <v>2</v>
      </c>
      <c r="EN63">
        <v>2</v>
      </c>
      <c r="EO63">
        <v>2</v>
      </c>
      <c r="EP63">
        <v>2</v>
      </c>
      <c r="EQ63">
        <v>2</v>
      </c>
      <c r="ER63">
        <v>2</v>
      </c>
      <c r="ES63">
        <v>2</v>
      </c>
      <c r="ET63">
        <v>2</v>
      </c>
      <c r="EU63">
        <v>2</v>
      </c>
      <c r="EV63">
        <v>2</v>
      </c>
      <c r="EW63">
        <v>2</v>
      </c>
      <c r="EX63">
        <v>2</v>
      </c>
      <c r="EY63">
        <v>2</v>
      </c>
      <c r="EZ63">
        <v>2</v>
      </c>
      <c r="FA63">
        <v>2</v>
      </c>
      <c r="FB63">
        <v>2</v>
      </c>
      <c r="FC63">
        <v>2</v>
      </c>
      <c r="FD63">
        <v>2</v>
      </c>
      <c r="FE63">
        <v>2</v>
      </c>
      <c r="FF63">
        <v>2</v>
      </c>
      <c r="FG63">
        <v>2</v>
      </c>
      <c r="FH63">
        <v>2</v>
      </c>
      <c r="FI63">
        <v>2</v>
      </c>
      <c r="FJ63">
        <v>2</v>
      </c>
      <c r="FK63">
        <v>2</v>
      </c>
      <c r="FL63">
        <v>2</v>
      </c>
      <c r="FM63">
        <v>2</v>
      </c>
      <c r="FN63">
        <v>2</v>
      </c>
      <c r="FO63">
        <v>2</v>
      </c>
      <c r="FP63">
        <v>2</v>
      </c>
      <c r="FQ63">
        <v>2</v>
      </c>
      <c r="FR63">
        <v>2</v>
      </c>
      <c r="FS63">
        <v>2</v>
      </c>
      <c r="FT63">
        <v>1</v>
      </c>
      <c r="FU63">
        <v>1</v>
      </c>
      <c r="FV63">
        <v>1</v>
      </c>
      <c r="FW63">
        <v>1</v>
      </c>
      <c r="FX63">
        <v>1</v>
      </c>
      <c r="FY63">
        <v>1</v>
      </c>
      <c r="FZ63">
        <v>1</v>
      </c>
      <c r="GA63">
        <v>1</v>
      </c>
      <c r="GB63">
        <v>1</v>
      </c>
      <c r="GC63">
        <v>1</v>
      </c>
      <c r="GD63">
        <v>1</v>
      </c>
      <c r="GE63">
        <v>1</v>
      </c>
      <c r="GF63">
        <v>1</v>
      </c>
      <c r="GG63">
        <v>1</v>
      </c>
      <c r="GH63">
        <v>1</v>
      </c>
      <c r="GI63">
        <v>1</v>
      </c>
      <c r="GJ63">
        <v>1</v>
      </c>
      <c r="GK63">
        <v>1</v>
      </c>
      <c r="GL63">
        <v>1</v>
      </c>
      <c r="GM63">
        <v>1</v>
      </c>
      <c r="GN63">
        <v>1</v>
      </c>
      <c r="GO63">
        <v>1</v>
      </c>
      <c r="GP63">
        <v>1</v>
      </c>
      <c r="GQ63">
        <v>1</v>
      </c>
      <c r="GR63">
        <v>1</v>
      </c>
      <c r="GS63">
        <v>1</v>
      </c>
      <c r="GT63">
        <v>1</v>
      </c>
      <c r="GU63">
        <v>1</v>
      </c>
      <c r="GV63">
        <v>1</v>
      </c>
      <c r="GW63">
        <v>1</v>
      </c>
      <c r="GX63">
        <v>1</v>
      </c>
      <c r="GY63">
        <v>1</v>
      </c>
      <c r="GZ63">
        <v>1</v>
      </c>
      <c r="HA63">
        <v>1</v>
      </c>
      <c r="HB63">
        <v>1</v>
      </c>
      <c r="HC63">
        <v>1</v>
      </c>
      <c r="HD63">
        <v>1</v>
      </c>
      <c r="HE63">
        <v>1</v>
      </c>
      <c r="HF63">
        <v>1</v>
      </c>
      <c r="HG63">
        <v>1</v>
      </c>
      <c r="HH63">
        <v>1</v>
      </c>
      <c r="HI63">
        <v>1</v>
      </c>
      <c r="HJ63">
        <v>1</v>
      </c>
      <c r="HK63">
        <v>1</v>
      </c>
      <c r="HL63">
        <v>1</v>
      </c>
      <c r="HM63">
        <v>1</v>
      </c>
      <c r="HN63">
        <v>1</v>
      </c>
      <c r="HO63">
        <v>1</v>
      </c>
      <c r="HP63">
        <v>1</v>
      </c>
      <c r="HQ63">
        <v>1</v>
      </c>
      <c r="HR63">
        <v>1</v>
      </c>
      <c r="HS63">
        <v>1</v>
      </c>
      <c r="HT63">
        <v>1</v>
      </c>
      <c r="HU63">
        <v>1</v>
      </c>
      <c r="HV63">
        <v>1</v>
      </c>
      <c r="HW63">
        <v>1</v>
      </c>
      <c r="HX63">
        <v>1</v>
      </c>
      <c r="HY63">
        <v>1</v>
      </c>
      <c r="HZ63">
        <v>1</v>
      </c>
      <c r="IA63">
        <v>1</v>
      </c>
      <c r="IB63">
        <v>1</v>
      </c>
      <c r="IC63">
        <v>1</v>
      </c>
      <c r="ID63">
        <v>1</v>
      </c>
      <c r="IE63">
        <v>1</v>
      </c>
      <c r="IF63">
        <v>1</v>
      </c>
      <c r="IG63">
        <v>1</v>
      </c>
      <c r="IH63">
        <v>1</v>
      </c>
      <c r="II63">
        <v>1</v>
      </c>
      <c r="IJ63">
        <v>1</v>
      </c>
      <c r="IK63">
        <v>1</v>
      </c>
      <c r="IL63">
        <v>1</v>
      </c>
      <c r="IM63">
        <v>1</v>
      </c>
      <c r="IN63">
        <v>1</v>
      </c>
      <c r="IO63">
        <v>1</v>
      </c>
      <c r="IP63">
        <v>1</v>
      </c>
      <c r="IQ63">
        <v>1</v>
      </c>
      <c r="IR63">
        <v>1</v>
      </c>
      <c r="IS63">
        <v>1</v>
      </c>
      <c r="IT63">
        <v>1</v>
      </c>
      <c r="IU63">
        <v>1</v>
      </c>
      <c r="IV63">
        <v>1</v>
      </c>
      <c r="IW63">
        <v>1</v>
      </c>
      <c r="IX63">
        <v>1</v>
      </c>
      <c r="IY63">
        <v>1</v>
      </c>
      <c r="IZ63">
        <v>1</v>
      </c>
      <c r="JA63">
        <v>1</v>
      </c>
      <c r="JB63">
        <v>1</v>
      </c>
      <c r="JC63">
        <v>1</v>
      </c>
      <c r="JD63">
        <v>1</v>
      </c>
      <c r="JE63">
        <v>1</v>
      </c>
      <c r="JF63">
        <v>1</v>
      </c>
      <c r="JG63">
        <v>1</v>
      </c>
      <c r="JH63">
        <v>1</v>
      </c>
      <c r="JI63">
        <v>1</v>
      </c>
      <c r="JJ63">
        <v>1</v>
      </c>
      <c r="JK63">
        <v>1</v>
      </c>
      <c r="JL63">
        <v>1</v>
      </c>
      <c r="JM63">
        <v>1</v>
      </c>
      <c r="JN63">
        <v>1</v>
      </c>
      <c r="JO63">
        <v>1</v>
      </c>
      <c r="JP63">
        <v>1</v>
      </c>
      <c r="JQ63">
        <v>1</v>
      </c>
      <c r="JR63">
        <v>1</v>
      </c>
      <c r="JS63">
        <v>1</v>
      </c>
      <c r="JT63">
        <v>1</v>
      </c>
      <c r="JU63">
        <v>1</v>
      </c>
      <c r="JV63">
        <v>1</v>
      </c>
      <c r="JW63">
        <v>1</v>
      </c>
      <c r="JX63">
        <v>1</v>
      </c>
      <c r="JY63">
        <v>1</v>
      </c>
      <c r="JZ63">
        <v>0</v>
      </c>
      <c r="KA63">
        <v>0</v>
      </c>
      <c r="KB63">
        <v>0</v>
      </c>
      <c r="KC63">
        <v>0</v>
      </c>
      <c r="KD63">
        <v>0</v>
      </c>
      <c r="KE63">
        <v>0</v>
      </c>
      <c r="KF63">
        <v>0</v>
      </c>
      <c r="KG63">
        <v>0</v>
      </c>
      <c r="KH63">
        <v>0</v>
      </c>
      <c r="KI63">
        <v>0</v>
      </c>
      <c r="KJ63">
        <v>0</v>
      </c>
      <c r="KK63">
        <v>0</v>
      </c>
      <c r="KL63">
        <v>0</v>
      </c>
      <c r="KM63">
        <v>0</v>
      </c>
      <c r="KN63">
        <v>0</v>
      </c>
      <c r="KO63">
        <v>0</v>
      </c>
      <c r="KP63">
        <v>0</v>
      </c>
      <c r="KQ63">
        <v>0</v>
      </c>
      <c r="KR63">
        <v>0</v>
      </c>
      <c r="KS63">
        <v>0</v>
      </c>
      <c r="KT63">
        <v>2</v>
      </c>
      <c r="KU63">
        <v>2</v>
      </c>
      <c r="KV63">
        <v>2</v>
      </c>
      <c r="KW63">
        <v>2</v>
      </c>
      <c r="KX63">
        <v>2</v>
      </c>
      <c r="KY63">
        <v>2</v>
      </c>
      <c r="KZ63">
        <v>2</v>
      </c>
      <c r="LA63">
        <v>2</v>
      </c>
      <c r="LB63">
        <v>2</v>
      </c>
      <c r="LC63">
        <v>2</v>
      </c>
      <c r="LD63">
        <v>2</v>
      </c>
      <c r="LE63">
        <v>2</v>
      </c>
      <c r="LF63">
        <v>2</v>
      </c>
      <c r="LG63">
        <v>2</v>
      </c>
      <c r="LH63">
        <v>2</v>
      </c>
      <c r="LI63">
        <v>2</v>
      </c>
      <c r="LJ63">
        <v>2</v>
      </c>
      <c r="LK63">
        <v>2</v>
      </c>
      <c r="LL63">
        <v>2</v>
      </c>
      <c r="LM63">
        <v>2</v>
      </c>
      <c r="LN63">
        <v>2</v>
      </c>
      <c r="LO63">
        <v>2</v>
      </c>
      <c r="LP63">
        <v>2</v>
      </c>
      <c r="LQ63">
        <v>2</v>
      </c>
      <c r="LR63">
        <v>2</v>
      </c>
      <c r="LS63">
        <v>2</v>
      </c>
      <c r="LT63">
        <v>2</v>
      </c>
      <c r="LU63">
        <v>2</v>
      </c>
      <c r="LV63">
        <v>2</v>
      </c>
      <c r="LW63">
        <v>2</v>
      </c>
      <c r="LX63">
        <v>2</v>
      </c>
      <c r="LY63">
        <v>2</v>
      </c>
      <c r="LZ63">
        <v>2</v>
      </c>
      <c r="MA63">
        <v>2</v>
      </c>
      <c r="MB63">
        <v>2</v>
      </c>
      <c r="MC63">
        <v>2</v>
      </c>
      <c r="MD63">
        <v>2</v>
      </c>
      <c r="ME63">
        <v>2</v>
      </c>
      <c r="MF63">
        <v>2</v>
      </c>
      <c r="MG63">
        <v>2</v>
      </c>
      <c r="MH63">
        <v>2</v>
      </c>
      <c r="MI63">
        <v>2</v>
      </c>
      <c r="MJ63">
        <v>2</v>
      </c>
      <c r="MK63">
        <v>2</v>
      </c>
      <c r="ML63">
        <v>2</v>
      </c>
      <c r="MM63">
        <v>2</v>
      </c>
      <c r="MN63">
        <v>0</v>
      </c>
      <c r="MO63">
        <v>0</v>
      </c>
      <c r="MP63">
        <v>0</v>
      </c>
      <c r="MQ63">
        <v>0</v>
      </c>
      <c r="MR63">
        <v>0</v>
      </c>
      <c r="MS63">
        <v>0</v>
      </c>
      <c r="MT63">
        <v>0</v>
      </c>
      <c r="MU63">
        <v>0</v>
      </c>
      <c r="MV63">
        <v>0</v>
      </c>
      <c r="MW63">
        <v>0</v>
      </c>
      <c r="MX63">
        <v>0</v>
      </c>
      <c r="MY63">
        <v>0</v>
      </c>
      <c r="MZ63">
        <v>0</v>
      </c>
      <c r="NA63">
        <v>0</v>
      </c>
      <c r="NB63">
        <v>0</v>
      </c>
      <c r="NC63">
        <v>0</v>
      </c>
      <c r="ND63">
        <v>0</v>
      </c>
      <c r="NE63">
        <v>0</v>
      </c>
      <c r="NF63">
        <v>0</v>
      </c>
      <c r="NG63">
        <v>0</v>
      </c>
      <c r="NH63">
        <v>0</v>
      </c>
      <c r="NI63">
        <v>0</v>
      </c>
      <c r="NJ63">
        <v>0</v>
      </c>
      <c r="NK63">
        <v>0</v>
      </c>
      <c r="NL63">
        <v>0</v>
      </c>
      <c r="NM63">
        <v>0</v>
      </c>
      <c r="NN63">
        <v>0</v>
      </c>
      <c r="NO63">
        <v>0</v>
      </c>
      <c r="NP63">
        <v>0</v>
      </c>
      <c r="NQ63">
        <v>0</v>
      </c>
      <c r="NR63">
        <v>0</v>
      </c>
      <c r="NS63">
        <v>0</v>
      </c>
      <c r="NT63">
        <v>0</v>
      </c>
      <c r="NU63">
        <v>0</v>
      </c>
      <c r="NV63">
        <v>0</v>
      </c>
      <c r="NW63">
        <v>0</v>
      </c>
      <c r="NX63">
        <v>0</v>
      </c>
      <c r="NY63">
        <v>0</v>
      </c>
      <c r="NZ63">
        <v>0</v>
      </c>
      <c r="OA63">
        <v>0</v>
      </c>
      <c r="OB63">
        <v>0</v>
      </c>
      <c r="OC63">
        <v>0</v>
      </c>
      <c r="OD63">
        <v>0</v>
      </c>
      <c r="OE63">
        <v>0</v>
      </c>
      <c r="OF63">
        <v>0</v>
      </c>
      <c r="OG63">
        <v>0</v>
      </c>
      <c r="OH63">
        <v>0</v>
      </c>
      <c r="OI63">
        <v>0</v>
      </c>
      <c r="OJ63">
        <v>0</v>
      </c>
      <c r="OK63">
        <v>0</v>
      </c>
      <c r="OL63">
        <v>0</v>
      </c>
      <c r="OM63">
        <v>0</v>
      </c>
      <c r="ON63">
        <v>0</v>
      </c>
      <c r="OO63">
        <v>0</v>
      </c>
      <c r="OP63">
        <v>0</v>
      </c>
      <c r="OQ63">
        <v>0</v>
      </c>
      <c r="OR63">
        <v>0</v>
      </c>
      <c r="OS63">
        <v>0</v>
      </c>
      <c r="OT63">
        <v>0</v>
      </c>
      <c r="OU63">
        <v>0</v>
      </c>
      <c r="OV63">
        <v>0</v>
      </c>
      <c r="OW63">
        <v>0</v>
      </c>
      <c r="OX63">
        <v>0</v>
      </c>
      <c r="OY63">
        <v>0</v>
      </c>
      <c r="OZ63">
        <v>0</v>
      </c>
      <c r="PA63">
        <v>0</v>
      </c>
      <c r="PB63">
        <v>0</v>
      </c>
      <c r="PC63">
        <v>0</v>
      </c>
      <c r="PD63">
        <v>0</v>
      </c>
      <c r="PE63">
        <v>0</v>
      </c>
      <c r="PF63">
        <v>0</v>
      </c>
      <c r="PG63">
        <v>0</v>
      </c>
      <c r="PH63">
        <v>0</v>
      </c>
      <c r="PI63">
        <v>2</v>
      </c>
      <c r="PJ63">
        <v>2</v>
      </c>
      <c r="PK63">
        <v>2</v>
      </c>
      <c r="PL63">
        <v>2</v>
      </c>
      <c r="PM63">
        <v>0</v>
      </c>
      <c r="PN63">
        <v>0</v>
      </c>
      <c r="PO63">
        <v>0</v>
      </c>
      <c r="PP63">
        <v>2</v>
      </c>
      <c r="PQ63">
        <v>2</v>
      </c>
      <c r="PR63">
        <v>2</v>
      </c>
      <c r="PS63">
        <v>2</v>
      </c>
      <c r="PT63">
        <v>0</v>
      </c>
      <c r="PU63">
        <v>0</v>
      </c>
      <c r="PV63">
        <v>0</v>
      </c>
      <c r="PW63">
        <v>0</v>
      </c>
      <c r="PX63">
        <v>2</v>
      </c>
      <c r="PY63">
        <v>2</v>
      </c>
      <c r="PZ63">
        <v>0</v>
      </c>
      <c r="QA63">
        <v>0</v>
      </c>
      <c r="QB63">
        <v>0</v>
      </c>
      <c r="QC63">
        <v>0</v>
      </c>
      <c r="QD63">
        <v>2</v>
      </c>
      <c r="QE63">
        <v>2</v>
      </c>
      <c r="QF63">
        <v>2</v>
      </c>
      <c r="QG63">
        <v>2</v>
      </c>
      <c r="QH63">
        <v>2</v>
      </c>
      <c r="QI63">
        <v>2</v>
      </c>
      <c r="QJ63">
        <v>2</v>
      </c>
      <c r="QK63">
        <v>2</v>
      </c>
      <c r="QL63">
        <v>2</v>
      </c>
      <c r="QM63">
        <v>2</v>
      </c>
      <c r="QN63">
        <v>2</v>
      </c>
      <c r="QO63">
        <v>2</v>
      </c>
      <c r="QP63">
        <v>2</v>
      </c>
      <c r="QQ63">
        <v>2</v>
      </c>
      <c r="QR63">
        <v>2</v>
      </c>
      <c r="QS63">
        <v>2</v>
      </c>
      <c r="QT63">
        <v>2</v>
      </c>
      <c r="QU63">
        <v>2</v>
      </c>
      <c r="QV63">
        <v>2</v>
      </c>
      <c r="QW63">
        <v>2</v>
      </c>
      <c r="QX63">
        <v>2</v>
      </c>
      <c r="QY63">
        <v>2</v>
      </c>
      <c r="QZ63">
        <v>2</v>
      </c>
      <c r="RA63">
        <v>2</v>
      </c>
      <c r="RB63">
        <v>2</v>
      </c>
      <c r="RC63">
        <v>2</v>
      </c>
      <c r="RD63">
        <v>2</v>
      </c>
      <c r="RE63">
        <v>2</v>
      </c>
      <c r="RF63">
        <v>2</v>
      </c>
      <c r="RG63">
        <v>2</v>
      </c>
      <c r="RH63">
        <v>2</v>
      </c>
      <c r="RI63">
        <v>2</v>
      </c>
      <c r="RJ63">
        <v>2</v>
      </c>
      <c r="RK63">
        <v>2</v>
      </c>
      <c r="RL63">
        <v>2</v>
      </c>
      <c r="RM63">
        <v>2</v>
      </c>
      <c r="RN63">
        <v>2</v>
      </c>
      <c r="RO63">
        <v>2</v>
      </c>
      <c r="RP63">
        <v>2</v>
      </c>
      <c r="RQ63">
        <v>2</v>
      </c>
      <c r="RR63">
        <v>2</v>
      </c>
      <c r="RS63">
        <v>2</v>
      </c>
      <c r="RT63">
        <v>2</v>
      </c>
      <c r="RU63">
        <v>2</v>
      </c>
      <c r="RV63">
        <v>2</v>
      </c>
      <c r="RW63">
        <v>0</v>
      </c>
      <c r="RX63">
        <v>0</v>
      </c>
      <c r="RY63">
        <v>0</v>
      </c>
      <c r="RZ63">
        <v>0</v>
      </c>
      <c r="SA63">
        <v>0</v>
      </c>
      <c r="SB63">
        <v>0</v>
      </c>
      <c r="SC63">
        <v>0</v>
      </c>
      <c r="SD63">
        <v>0</v>
      </c>
      <c r="SE63">
        <v>0</v>
      </c>
      <c r="SF63">
        <v>0</v>
      </c>
      <c r="SG63">
        <v>0</v>
      </c>
      <c r="SH63">
        <v>0</v>
      </c>
      <c r="SI63">
        <v>0</v>
      </c>
      <c r="SJ63">
        <v>0</v>
      </c>
      <c r="SK63">
        <v>0</v>
      </c>
      <c r="SL63">
        <v>0</v>
      </c>
      <c r="SM63">
        <v>0</v>
      </c>
      <c r="SN63">
        <v>0</v>
      </c>
      <c r="SO63">
        <v>0</v>
      </c>
      <c r="SP63">
        <v>0</v>
      </c>
      <c r="SQ63">
        <v>0</v>
      </c>
      <c r="SR63">
        <v>0</v>
      </c>
      <c r="SS63">
        <v>0</v>
      </c>
      <c r="ST63">
        <v>0</v>
      </c>
      <c r="SU63">
        <v>0</v>
      </c>
      <c r="SV63">
        <v>0</v>
      </c>
      <c r="SW63">
        <v>0</v>
      </c>
      <c r="SX63">
        <v>0</v>
      </c>
      <c r="SY63">
        <v>0</v>
      </c>
      <c r="SZ63">
        <v>0</v>
      </c>
      <c r="TA63">
        <v>0</v>
      </c>
      <c r="TB63">
        <v>0</v>
      </c>
      <c r="TC63">
        <v>0</v>
      </c>
      <c r="TD63">
        <v>0</v>
      </c>
      <c r="TE63">
        <v>0</v>
      </c>
      <c r="TF63">
        <v>0</v>
      </c>
      <c r="TG63">
        <v>0</v>
      </c>
      <c r="TH63">
        <v>0</v>
      </c>
      <c r="TI63">
        <v>0</v>
      </c>
      <c r="TJ63">
        <v>0</v>
      </c>
      <c r="TK63">
        <v>0</v>
      </c>
      <c r="TL63">
        <v>0</v>
      </c>
      <c r="TM63">
        <v>0</v>
      </c>
      <c r="TN63">
        <v>0</v>
      </c>
      <c r="TO63">
        <v>0</v>
      </c>
      <c r="TP63">
        <v>0</v>
      </c>
      <c r="TQ63">
        <v>0</v>
      </c>
      <c r="TR63">
        <v>0</v>
      </c>
      <c r="TS63">
        <v>0</v>
      </c>
      <c r="TT63">
        <v>0</v>
      </c>
      <c r="TU63">
        <v>0</v>
      </c>
      <c r="TV63">
        <v>0</v>
      </c>
      <c r="TW63">
        <v>0</v>
      </c>
      <c r="TX63">
        <v>0</v>
      </c>
      <c r="TY63">
        <v>0</v>
      </c>
      <c r="TZ63">
        <v>0</v>
      </c>
      <c r="UA63">
        <v>0</v>
      </c>
      <c r="UB63">
        <v>0</v>
      </c>
      <c r="UC63">
        <v>0</v>
      </c>
      <c r="UD63">
        <v>0</v>
      </c>
      <c r="UE63">
        <v>0</v>
      </c>
      <c r="UF63">
        <v>0</v>
      </c>
      <c r="UG63">
        <v>0</v>
      </c>
      <c r="UH63">
        <v>0</v>
      </c>
      <c r="UI63">
        <v>0</v>
      </c>
      <c r="UJ63">
        <v>0</v>
      </c>
      <c r="UK63">
        <v>0</v>
      </c>
      <c r="UL63">
        <v>0</v>
      </c>
      <c r="UM63">
        <v>0</v>
      </c>
      <c r="UN63">
        <v>0</v>
      </c>
      <c r="UO63">
        <v>0</v>
      </c>
      <c r="UP63">
        <v>0</v>
      </c>
      <c r="UQ63">
        <v>0</v>
      </c>
      <c r="UR63">
        <v>0</v>
      </c>
      <c r="US63">
        <v>0</v>
      </c>
      <c r="UT63">
        <v>0</v>
      </c>
      <c r="UU63">
        <v>0</v>
      </c>
      <c r="UV63">
        <v>0</v>
      </c>
      <c r="UW63">
        <v>0</v>
      </c>
      <c r="UX63">
        <v>0</v>
      </c>
      <c r="UY63">
        <v>0</v>
      </c>
      <c r="UZ63">
        <v>0</v>
      </c>
      <c r="VA63">
        <v>0</v>
      </c>
      <c r="VB63">
        <v>0</v>
      </c>
      <c r="VC63">
        <v>0</v>
      </c>
      <c r="VD63">
        <v>0</v>
      </c>
      <c r="VE63">
        <v>0</v>
      </c>
      <c r="VF63">
        <v>0</v>
      </c>
      <c r="VG63">
        <v>0</v>
      </c>
      <c r="VH63">
        <v>0</v>
      </c>
      <c r="VI63">
        <v>0</v>
      </c>
      <c r="VJ63">
        <v>0</v>
      </c>
      <c r="VK63">
        <v>0</v>
      </c>
      <c r="VL63">
        <v>0</v>
      </c>
      <c r="VM63">
        <v>0</v>
      </c>
      <c r="VN63">
        <v>0</v>
      </c>
      <c r="VO63">
        <v>0</v>
      </c>
      <c r="VP63">
        <v>0</v>
      </c>
      <c r="VQ63">
        <v>2</v>
      </c>
      <c r="VR63">
        <v>2</v>
      </c>
      <c r="VS63">
        <v>2</v>
      </c>
      <c r="VT63">
        <v>2</v>
      </c>
      <c r="VU63">
        <v>2</v>
      </c>
      <c r="VV63">
        <v>2</v>
      </c>
      <c r="VW63">
        <v>2</v>
      </c>
      <c r="VX63">
        <v>2</v>
      </c>
      <c r="VY63">
        <v>2</v>
      </c>
      <c r="VZ63">
        <v>2</v>
      </c>
      <c r="WA63">
        <v>2</v>
      </c>
      <c r="WB63">
        <v>2</v>
      </c>
      <c r="WC63">
        <v>2</v>
      </c>
      <c r="WD63">
        <v>2</v>
      </c>
      <c r="WE63">
        <v>2</v>
      </c>
      <c r="WF63">
        <v>2</v>
      </c>
      <c r="WG63">
        <v>2</v>
      </c>
      <c r="WH63">
        <v>2</v>
      </c>
      <c r="WI63">
        <v>2</v>
      </c>
      <c r="WJ63">
        <v>2</v>
      </c>
      <c r="WK63">
        <v>2</v>
      </c>
      <c r="WL63">
        <v>2</v>
      </c>
      <c r="WM63">
        <v>2</v>
      </c>
      <c r="WN63">
        <v>2</v>
      </c>
      <c r="WO63">
        <v>2</v>
      </c>
      <c r="WP63">
        <v>2</v>
      </c>
      <c r="WQ63">
        <v>2</v>
      </c>
      <c r="WR63">
        <v>2</v>
      </c>
      <c r="WS63">
        <v>2</v>
      </c>
      <c r="WT63">
        <v>2</v>
      </c>
      <c r="WU63">
        <v>2</v>
      </c>
      <c r="WV63">
        <v>2</v>
      </c>
      <c r="WW63">
        <v>2</v>
      </c>
      <c r="WX63">
        <v>2</v>
      </c>
      <c r="WY63">
        <v>2</v>
      </c>
      <c r="WZ63">
        <v>2</v>
      </c>
      <c r="XA63">
        <v>2</v>
      </c>
      <c r="XB63">
        <v>2</v>
      </c>
      <c r="XC63">
        <v>2</v>
      </c>
      <c r="XD63">
        <v>2</v>
      </c>
      <c r="XE63">
        <v>2</v>
      </c>
      <c r="XF63">
        <v>2</v>
      </c>
      <c r="XG63">
        <v>2</v>
      </c>
      <c r="XH63">
        <v>2</v>
      </c>
      <c r="XI63">
        <v>2</v>
      </c>
      <c r="XJ63">
        <v>2</v>
      </c>
      <c r="XK63">
        <v>2</v>
      </c>
      <c r="XL63">
        <v>2</v>
      </c>
      <c r="XM63">
        <v>2</v>
      </c>
      <c r="XN63">
        <v>2</v>
      </c>
      <c r="XO63">
        <v>2</v>
      </c>
      <c r="XP63">
        <v>2</v>
      </c>
      <c r="XQ63">
        <v>2</v>
      </c>
      <c r="XR63">
        <v>2</v>
      </c>
      <c r="XS63">
        <v>2</v>
      </c>
      <c r="XT63">
        <v>2</v>
      </c>
      <c r="XU63">
        <v>2</v>
      </c>
      <c r="XV63">
        <v>2</v>
      </c>
      <c r="XW63">
        <v>2</v>
      </c>
      <c r="XX63">
        <v>2</v>
      </c>
      <c r="XY63">
        <v>2</v>
      </c>
      <c r="XZ63">
        <v>2</v>
      </c>
      <c r="YA63">
        <v>2</v>
      </c>
      <c r="YB63">
        <v>2</v>
      </c>
      <c r="YC63">
        <v>2</v>
      </c>
      <c r="YD63">
        <v>2</v>
      </c>
      <c r="YE63">
        <v>2</v>
      </c>
      <c r="YF63">
        <v>2</v>
      </c>
      <c r="YG63">
        <v>2</v>
      </c>
      <c r="YH63">
        <v>2</v>
      </c>
      <c r="YI63">
        <v>2</v>
      </c>
      <c r="YJ63">
        <v>2</v>
      </c>
      <c r="YK63">
        <v>2</v>
      </c>
      <c r="YL63">
        <v>2</v>
      </c>
      <c r="YM63">
        <v>2</v>
      </c>
      <c r="YN63">
        <v>2</v>
      </c>
      <c r="YO63">
        <v>2</v>
      </c>
      <c r="YP63">
        <v>2</v>
      </c>
      <c r="YQ63">
        <v>2</v>
      </c>
      <c r="YR63">
        <v>2</v>
      </c>
      <c r="YS63">
        <v>2</v>
      </c>
      <c r="YT63">
        <v>2</v>
      </c>
      <c r="YU63">
        <v>2</v>
      </c>
      <c r="YV63">
        <v>2</v>
      </c>
      <c r="YW63">
        <v>2</v>
      </c>
      <c r="YX63">
        <v>2</v>
      </c>
      <c r="YY63">
        <v>2</v>
      </c>
      <c r="YZ63">
        <v>2</v>
      </c>
      <c r="ZA63">
        <v>2</v>
      </c>
      <c r="ZB63">
        <v>2</v>
      </c>
      <c r="ZC63">
        <v>2</v>
      </c>
      <c r="ZD63">
        <v>2</v>
      </c>
      <c r="ZE63">
        <v>2</v>
      </c>
      <c r="ZF63">
        <v>2</v>
      </c>
      <c r="ZG63">
        <v>2</v>
      </c>
      <c r="ZH63">
        <v>2</v>
      </c>
      <c r="ZI63">
        <v>2</v>
      </c>
      <c r="ZJ63">
        <v>2</v>
      </c>
      <c r="ZK63">
        <v>2</v>
      </c>
      <c r="ZL63">
        <v>2</v>
      </c>
      <c r="ZM63">
        <v>2</v>
      </c>
      <c r="ZN63">
        <v>2</v>
      </c>
      <c r="ZO63">
        <v>2</v>
      </c>
      <c r="ZP63">
        <v>2</v>
      </c>
      <c r="ZQ63">
        <v>2</v>
      </c>
      <c r="ZR63">
        <v>2</v>
      </c>
      <c r="ZS63">
        <v>2</v>
      </c>
      <c r="ZT63">
        <v>2</v>
      </c>
      <c r="ZU63">
        <v>2</v>
      </c>
      <c r="ZV63">
        <v>2</v>
      </c>
      <c r="ZW63">
        <v>2</v>
      </c>
      <c r="ZX63">
        <v>2</v>
      </c>
      <c r="ZY63">
        <v>2</v>
      </c>
      <c r="ZZ63">
        <v>2</v>
      </c>
      <c r="AAA63">
        <v>2</v>
      </c>
      <c r="AAB63">
        <v>2</v>
      </c>
      <c r="AAC63">
        <v>2</v>
      </c>
      <c r="AAD63">
        <v>2</v>
      </c>
      <c r="AAE63">
        <v>2</v>
      </c>
      <c r="AAF63">
        <v>2</v>
      </c>
      <c r="AAG63">
        <v>2</v>
      </c>
      <c r="AAH63">
        <v>2</v>
      </c>
      <c r="AAI63">
        <v>2</v>
      </c>
      <c r="AAJ63">
        <v>2</v>
      </c>
      <c r="AAK63">
        <v>2</v>
      </c>
      <c r="AAL63">
        <v>2</v>
      </c>
      <c r="AAM63">
        <v>2</v>
      </c>
      <c r="AAN63">
        <v>2</v>
      </c>
      <c r="AAO63">
        <v>2</v>
      </c>
      <c r="AAP63">
        <v>2</v>
      </c>
      <c r="AAQ63">
        <v>2</v>
      </c>
      <c r="AAR63">
        <v>2</v>
      </c>
      <c r="AAS63">
        <v>2</v>
      </c>
      <c r="AAT63">
        <v>2</v>
      </c>
      <c r="AAU63">
        <v>2</v>
      </c>
      <c r="AAV63">
        <v>2</v>
      </c>
      <c r="AAW63">
        <v>2</v>
      </c>
      <c r="AAX63">
        <v>2</v>
      </c>
      <c r="AAY63">
        <v>2</v>
      </c>
      <c r="AAZ63">
        <v>2</v>
      </c>
      <c r="ABA63">
        <v>2</v>
      </c>
      <c r="ABB63">
        <v>2</v>
      </c>
      <c r="ABC63">
        <v>2</v>
      </c>
      <c r="ABD63">
        <v>2</v>
      </c>
      <c r="ABE63">
        <v>2</v>
      </c>
      <c r="ABG63" s="1137">
        <f t="shared" si="13"/>
        <v>0</v>
      </c>
      <c r="ABH63" s="1137">
        <f t="shared" si="13"/>
        <v>0</v>
      </c>
      <c r="ABI63" s="1137">
        <f t="shared" si="13"/>
        <v>18</v>
      </c>
      <c r="ABJ63" s="1137">
        <f t="shared" si="13"/>
        <v>30</v>
      </c>
      <c r="ABK63" s="1137">
        <f t="shared" si="13"/>
        <v>31</v>
      </c>
      <c r="ABL63" s="1137">
        <f t="shared" si="13"/>
        <v>30</v>
      </c>
      <c r="ABM63" s="1137">
        <f t="shared" si="13"/>
        <v>31</v>
      </c>
      <c r="ABN63" s="1137">
        <f t="shared" si="13"/>
        <v>31</v>
      </c>
      <c r="ABO63" s="1137">
        <f t="shared" si="13"/>
        <v>30</v>
      </c>
      <c r="ABP63" s="1137">
        <f t="shared" si="13"/>
        <v>11</v>
      </c>
      <c r="ABQ63" s="1137">
        <f t="shared" si="13"/>
        <v>30</v>
      </c>
      <c r="ABR63" s="1137">
        <f t="shared" si="13"/>
        <v>14</v>
      </c>
      <c r="ABS63" s="1137">
        <f t="shared" si="13"/>
        <v>0</v>
      </c>
      <c r="ABT63" s="1137">
        <f t="shared" si="13"/>
        <v>3</v>
      </c>
      <c r="ABU63" s="1137">
        <f t="shared" si="13"/>
        <v>20</v>
      </c>
      <c r="ABV63" s="1137">
        <f t="shared" si="13"/>
        <v>30</v>
      </c>
      <c r="ABW63" s="1137">
        <f t="shared" si="17"/>
        <v>2</v>
      </c>
      <c r="ABX63" s="1137">
        <f t="shared" si="14"/>
        <v>0</v>
      </c>
      <c r="ABY63" s="1137">
        <f t="shared" si="14"/>
        <v>0</v>
      </c>
      <c r="ABZ63" s="1137">
        <f t="shared" si="14"/>
        <v>23</v>
      </c>
      <c r="ACA63" s="1137">
        <f t="shared" si="14"/>
        <v>30</v>
      </c>
      <c r="ACB63" s="1137">
        <f t="shared" si="14"/>
        <v>31</v>
      </c>
      <c r="ACC63" s="1137">
        <f t="shared" si="14"/>
        <v>30</v>
      </c>
      <c r="ACD63" s="1137">
        <f t="shared" si="14"/>
        <v>31</v>
      </c>
      <c r="ACE63" s="1137" t="s">
        <v>181</v>
      </c>
      <c r="ACF63" s="1137">
        <f t="shared" si="15"/>
        <v>0</v>
      </c>
      <c r="ACG63" s="1137">
        <f t="shared" si="15"/>
        <v>0</v>
      </c>
      <c r="ACH63" s="1137">
        <f t="shared" si="15"/>
        <v>1</v>
      </c>
      <c r="ACI63" s="1137">
        <f t="shared" si="15"/>
        <v>1</v>
      </c>
      <c r="ACJ63" s="1137">
        <f t="shared" si="15"/>
        <v>1</v>
      </c>
      <c r="ACK63" s="1137">
        <f t="shared" si="15"/>
        <v>1</v>
      </c>
      <c r="ACL63" s="1137">
        <f t="shared" si="15"/>
        <v>1</v>
      </c>
      <c r="ACM63" s="1137">
        <f t="shared" si="15"/>
        <v>1</v>
      </c>
      <c r="ACN63" s="1137">
        <f t="shared" si="15"/>
        <v>1</v>
      </c>
      <c r="ACO63" s="1137">
        <f t="shared" si="15"/>
        <v>1</v>
      </c>
      <c r="ACP63" s="1137">
        <f t="shared" si="15"/>
        <v>1</v>
      </c>
      <c r="ACQ63" s="1137">
        <f t="shared" si="15"/>
        <v>1</v>
      </c>
      <c r="ACR63" s="1137">
        <f t="shared" si="15"/>
        <v>0</v>
      </c>
      <c r="ACS63" s="1137">
        <f t="shared" si="15"/>
        <v>0</v>
      </c>
      <c r="ACT63" s="1137">
        <f t="shared" si="15"/>
        <v>1</v>
      </c>
      <c r="ACU63" s="1137">
        <f t="shared" si="12"/>
        <v>1</v>
      </c>
      <c r="ACV63" s="1137">
        <f t="shared" si="12"/>
        <v>0</v>
      </c>
      <c r="ACW63" s="1137">
        <f t="shared" si="12"/>
        <v>0</v>
      </c>
      <c r="ACX63" s="1137">
        <f t="shared" si="12"/>
        <v>0</v>
      </c>
      <c r="ACY63" s="1137">
        <f t="shared" si="12"/>
        <v>1</v>
      </c>
      <c r="ACZ63" s="1137">
        <f t="shared" si="12"/>
        <v>1</v>
      </c>
      <c r="ADA63" s="1137">
        <f t="shared" si="12"/>
        <v>1</v>
      </c>
      <c r="ADB63" s="1137">
        <f t="shared" si="16"/>
        <v>1</v>
      </c>
      <c r="ADC63" s="1137">
        <f t="shared" si="16"/>
        <v>1</v>
      </c>
    </row>
    <row r="64" spans="1:783" x14ac:dyDescent="0.25">
      <c r="A64" t="s">
        <v>1861</v>
      </c>
      <c r="B64" t="s">
        <v>177</v>
      </c>
      <c r="C64">
        <v>0</v>
      </c>
      <c r="D64">
        <v>0</v>
      </c>
      <c r="E64">
        <v>0</v>
      </c>
      <c r="F64">
        <v>0</v>
      </c>
      <c r="G64">
        <v>0</v>
      </c>
      <c r="H64">
        <v>0</v>
      </c>
      <c r="I64">
        <v>0</v>
      </c>
      <c r="J64">
        <v>0</v>
      </c>
      <c r="K64">
        <v>0</v>
      </c>
      <c r="L64">
        <v>0</v>
      </c>
      <c r="M64">
        <v>0</v>
      </c>
      <c r="N64">
        <v>0</v>
      </c>
      <c r="O64">
        <v>0</v>
      </c>
      <c r="P64">
        <v>0</v>
      </c>
      <c r="Q64">
        <v>0</v>
      </c>
      <c r="R64">
        <v>0</v>
      </c>
      <c r="S64">
        <v>0</v>
      </c>
      <c r="T64">
        <v>0</v>
      </c>
      <c r="U64">
        <v>0</v>
      </c>
      <c r="V64">
        <v>0</v>
      </c>
      <c r="W64">
        <v>0</v>
      </c>
      <c r="X64">
        <v>0</v>
      </c>
      <c r="Y64">
        <v>0</v>
      </c>
      <c r="Z64">
        <v>0</v>
      </c>
      <c r="AA64">
        <v>0</v>
      </c>
      <c r="AB64">
        <v>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0</v>
      </c>
      <c r="BD64">
        <v>0</v>
      </c>
      <c r="BE64">
        <v>0</v>
      </c>
      <c r="BF64">
        <v>0</v>
      </c>
      <c r="BG64">
        <v>0</v>
      </c>
      <c r="BH64">
        <v>0</v>
      </c>
      <c r="BI64">
        <v>0</v>
      </c>
      <c r="BJ64">
        <v>0</v>
      </c>
      <c r="BK64">
        <v>0</v>
      </c>
      <c r="BL64">
        <v>0</v>
      </c>
      <c r="BM64">
        <v>0</v>
      </c>
      <c r="BN64">
        <v>0</v>
      </c>
      <c r="BO64">
        <v>0</v>
      </c>
      <c r="BP64">
        <v>0</v>
      </c>
      <c r="BQ64">
        <v>0</v>
      </c>
      <c r="BR64">
        <v>0</v>
      </c>
      <c r="BS64">
        <v>0</v>
      </c>
      <c r="BT64">
        <v>0</v>
      </c>
      <c r="BU64">
        <v>0</v>
      </c>
      <c r="BV64">
        <v>0</v>
      </c>
      <c r="BW64">
        <v>0</v>
      </c>
      <c r="BX64">
        <v>0</v>
      </c>
      <c r="BY64">
        <v>0</v>
      </c>
      <c r="BZ64">
        <v>0</v>
      </c>
      <c r="CA64">
        <v>0</v>
      </c>
      <c r="CB64">
        <v>0</v>
      </c>
      <c r="CC64">
        <v>0</v>
      </c>
      <c r="CD64">
        <v>0</v>
      </c>
      <c r="CE64">
        <v>0</v>
      </c>
      <c r="CF64">
        <v>0</v>
      </c>
      <c r="CG64">
        <v>0</v>
      </c>
      <c r="CH64">
        <v>0</v>
      </c>
      <c r="CI64">
        <v>0</v>
      </c>
      <c r="CJ64">
        <v>0</v>
      </c>
      <c r="CK64">
        <v>0</v>
      </c>
      <c r="CL64">
        <v>0</v>
      </c>
      <c r="CM64">
        <v>0</v>
      </c>
      <c r="CN64">
        <v>0</v>
      </c>
      <c r="CO64">
        <v>0</v>
      </c>
      <c r="CP64">
        <v>0</v>
      </c>
      <c r="CQ64">
        <v>0</v>
      </c>
      <c r="CR64">
        <v>0</v>
      </c>
      <c r="CS64">
        <v>0</v>
      </c>
      <c r="CT64">
        <v>0</v>
      </c>
      <c r="CU64">
        <v>0</v>
      </c>
      <c r="CV64">
        <v>0</v>
      </c>
      <c r="CW64">
        <v>0</v>
      </c>
      <c r="CX64">
        <v>0</v>
      </c>
      <c r="CY64">
        <v>0</v>
      </c>
      <c r="CZ64">
        <v>0</v>
      </c>
      <c r="DA64">
        <v>0</v>
      </c>
      <c r="DB64">
        <v>0</v>
      </c>
      <c r="DC64">
        <v>0</v>
      </c>
      <c r="DD64">
        <v>0</v>
      </c>
      <c r="DE64">
        <v>0</v>
      </c>
      <c r="DF64">
        <v>0</v>
      </c>
      <c r="DG64">
        <v>0</v>
      </c>
      <c r="DH64">
        <v>0</v>
      </c>
      <c r="DI64">
        <v>0</v>
      </c>
      <c r="DJ64">
        <v>0</v>
      </c>
      <c r="DK64">
        <v>0</v>
      </c>
      <c r="DL64">
        <v>0</v>
      </c>
      <c r="DM64">
        <v>0</v>
      </c>
      <c r="DN64">
        <v>0</v>
      </c>
      <c r="DO64">
        <v>0</v>
      </c>
      <c r="DP64">
        <v>0</v>
      </c>
      <c r="DQ64">
        <v>0</v>
      </c>
      <c r="DR64">
        <v>0</v>
      </c>
      <c r="DS64">
        <v>0</v>
      </c>
      <c r="DT64">
        <v>0</v>
      </c>
      <c r="DU64">
        <v>0</v>
      </c>
      <c r="DV64">
        <v>0</v>
      </c>
      <c r="DW64">
        <v>0</v>
      </c>
      <c r="DX64">
        <v>0</v>
      </c>
      <c r="DY64">
        <v>0</v>
      </c>
      <c r="DZ64">
        <v>0</v>
      </c>
      <c r="EA64">
        <v>0</v>
      </c>
      <c r="EB64">
        <v>0</v>
      </c>
      <c r="EC64">
        <v>0</v>
      </c>
      <c r="ED64">
        <v>0</v>
      </c>
      <c r="EE64">
        <v>0</v>
      </c>
      <c r="EF64">
        <v>0</v>
      </c>
      <c r="EG64">
        <v>0</v>
      </c>
      <c r="EH64">
        <v>0</v>
      </c>
      <c r="EI64">
        <v>0</v>
      </c>
      <c r="EJ64">
        <v>0</v>
      </c>
      <c r="EK64">
        <v>0</v>
      </c>
      <c r="EL64">
        <v>0</v>
      </c>
      <c r="EM64">
        <v>0</v>
      </c>
      <c r="EN64">
        <v>0</v>
      </c>
      <c r="EO64">
        <v>0</v>
      </c>
      <c r="EP64">
        <v>0</v>
      </c>
      <c r="EQ64">
        <v>0</v>
      </c>
      <c r="ER64">
        <v>0</v>
      </c>
      <c r="ES64">
        <v>0</v>
      </c>
      <c r="ET64">
        <v>0</v>
      </c>
      <c r="EU64">
        <v>0</v>
      </c>
      <c r="EV64">
        <v>0</v>
      </c>
      <c r="EW64">
        <v>0</v>
      </c>
      <c r="EX64">
        <v>0</v>
      </c>
      <c r="EY64">
        <v>0</v>
      </c>
      <c r="EZ64">
        <v>0</v>
      </c>
      <c r="FA64">
        <v>0</v>
      </c>
      <c r="FB64">
        <v>0</v>
      </c>
      <c r="FC64">
        <v>0</v>
      </c>
      <c r="FD64">
        <v>0</v>
      </c>
      <c r="FE64">
        <v>0</v>
      </c>
      <c r="FF64">
        <v>0</v>
      </c>
      <c r="FG64">
        <v>0</v>
      </c>
      <c r="FH64">
        <v>0</v>
      </c>
      <c r="FI64">
        <v>0</v>
      </c>
      <c r="FJ64">
        <v>0</v>
      </c>
      <c r="FK64">
        <v>0</v>
      </c>
      <c r="FL64">
        <v>0</v>
      </c>
      <c r="FM64">
        <v>0</v>
      </c>
      <c r="FN64">
        <v>0</v>
      </c>
      <c r="FO64">
        <v>0</v>
      </c>
      <c r="FP64">
        <v>0</v>
      </c>
      <c r="FQ64">
        <v>0</v>
      </c>
      <c r="FR64">
        <v>0</v>
      </c>
      <c r="FS64">
        <v>0</v>
      </c>
      <c r="FT64">
        <v>0</v>
      </c>
      <c r="FU64">
        <v>0</v>
      </c>
      <c r="FV64">
        <v>0</v>
      </c>
      <c r="FW64">
        <v>0</v>
      </c>
      <c r="FX64">
        <v>0</v>
      </c>
      <c r="FY64">
        <v>0</v>
      </c>
      <c r="FZ64">
        <v>0</v>
      </c>
      <c r="GA64">
        <v>0</v>
      </c>
      <c r="GB64">
        <v>0</v>
      </c>
      <c r="GC64">
        <v>0</v>
      </c>
      <c r="GD64">
        <v>0</v>
      </c>
      <c r="GE64">
        <v>0</v>
      </c>
      <c r="GF64">
        <v>0</v>
      </c>
      <c r="GG64">
        <v>0</v>
      </c>
      <c r="GH64">
        <v>0</v>
      </c>
      <c r="GI64">
        <v>0</v>
      </c>
      <c r="GJ64">
        <v>0</v>
      </c>
      <c r="GK64">
        <v>0</v>
      </c>
      <c r="GL64">
        <v>0</v>
      </c>
      <c r="GM64">
        <v>0</v>
      </c>
      <c r="GN64">
        <v>0</v>
      </c>
      <c r="GO64">
        <v>0</v>
      </c>
      <c r="GP64">
        <v>0</v>
      </c>
      <c r="GQ64">
        <v>0</v>
      </c>
      <c r="GR64">
        <v>0</v>
      </c>
      <c r="GS64">
        <v>0</v>
      </c>
      <c r="GT64">
        <v>0</v>
      </c>
      <c r="GU64">
        <v>0</v>
      </c>
      <c r="GV64">
        <v>0</v>
      </c>
      <c r="GW64">
        <v>0</v>
      </c>
      <c r="GX64">
        <v>0</v>
      </c>
      <c r="GY64">
        <v>0</v>
      </c>
      <c r="GZ64">
        <v>0</v>
      </c>
      <c r="HA64">
        <v>0</v>
      </c>
      <c r="HB64">
        <v>0</v>
      </c>
      <c r="HC64">
        <v>0</v>
      </c>
      <c r="HD64">
        <v>0</v>
      </c>
      <c r="HE64">
        <v>0</v>
      </c>
      <c r="HF64">
        <v>0</v>
      </c>
      <c r="HG64">
        <v>0</v>
      </c>
      <c r="HH64">
        <v>0</v>
      </c>
      <c r="HI64">
        <v>0</v>
      </c>
      <c r="HJ64">
        <v>0</v>
      </c>
      <c r="HK64">
        <v>0</v>
      </c>
      <c r="HL64">
        <v>0</v>
      </c>
      <c r="HM64">
        <v>0</v>
      </c>
      <c r="HN64">
        <v>0</v>
      </c>
      <c r="HO64">
        <v>0</v>
      </c>
      <c r="HP64">
        <v>0</v>
      </c>
      <c r="HQ64">
        <v>0</v>
      </c>
      <c r="HR64">
        <v>0</v>
      </c>
      <c r="HS64">
        <v>0</v>
      </c>
      <c r="HT64">
        <v>0</v>
      </c>
      <c r="HU64">
        <v>0</v>
      </c>
      <c r="HV64">
        <v>0</v>
      </c>
      <c r="HW64">
        <v>0</v>
      </c>
      <c r="HX64">
        <v>0</v>
      </c>
      <c r="HY64">
        <v>0</v>
      </c>
      <c r="HZ64">
        <v>0</v>
      </c>
      <c r="IA64">
        <v>0</v>
      </c>
      <c r="IB64">
        <v>0</v>
      </c>
      <c r="IC64">
        <v>0</v>
      </c>
      <c r="ID64">
        <v>0</v>
      </c>
      <c r="IE64">
        <v>0</v>
      </c>
      <c r="IF64">
        <v>0</v>
      </c>
      <c r="IG64">
        <v>0</v>
      </c>
      <c r="IH64">
        <v>0</v>
      </c>
      <c r="II64">
        <v>0</v>
      </c>
      <c r="IJ64">
        <v>0</v>
      </c>
      <c r="IK64">
        <v>0</v>
      </c>
      <c r="IL64">
        <v>0</v>
      </c>
      <c r="IM64">
        <v>0</v>
      </c>
      <c r="IN64">
        <v>0</v>
      </c>
      <c r="IO64">
        <v>0</v>
      </c>
      <c r="IP64">
        <v>0</v>
      </c>
      <c r="IQ64">
        <v>0</v>
      </c>
      <c r="IR64">
        <v>0</v>
      </c>
      <c r="IS64">
        <v>0</v>
      </c>
      <c r="IT64">
        <v>0</v>
      </c>
      <c r="IU64">
        <v>0</v>
      </c>
      <c r="IV64">
        <v>0</v>
      </c>
      <c r="IW64">
        <v>0</v>
      </c>
      <c r="IX64">
        <v>0</v>
      </c>
      <c r="IY64">
        <v>0</v>
      </c>
      <c r="IZ64">
        <v>0</v>
      </c>
      <c r="JA64">
        <v>0</v>
      </c>
      <c r="JB64">
        <v>0</v>
      </c>
      <c r="JC64">
        <v>0</v>
      </c>
      <c r="JD64">
        <v>0</v>
      </c>
      <c r="JE64">
        <v>0</v>
      </c>
      <c r="JF64">
        <v>0</v>
      </c>
      <c r="JG64">
        <v>0</v>
      </c>
      <c r="JH64">
        <v>0</v>
      </c>
      <c r="JI64">
        <v>0</v>
      </c>
      <c r="JJ64">
        <v>0</v>
      </c>
      <c r="JK64">
        <v>0</v>
      </c>
      <c r="JL64">
        <v>0</v>
      </c>
      <c r="JM64">
        <v>0</v>
      </c>
      <c r="JN64">
        <v>0</v>
      </c>
      <c r="JO64">
        <v>0</v>
      </c>
      <c r="JP64">
        <v>0</v>
      </c>
      <c r="JQ64">
        <v>0</v>
      </c>
      <c r="JR64">
        <v>0</v>
      </c>
      <c r="JS64">
        <v>0</v>
      </c>
      <c r="JT64">
        <v>0</v>
      </c>
      <c r="JU64">
        <v>0</v>
      </c>
      <c r="JV64">
        <v>0</v>
      </c>
      <c r="JW64">
        <v>0</v>
      </c>
      <c r="JX64">
        <v>0</v>
      </c>
      <c r="JY64">
        <v>0</v>
      </c>
      <c r="JZ64">
        <v>0</v>
      </c>
      <c r="KA64">
        <v>0</v>
      </c>
      <c r="KB64">
        <v>0</v>
      </c>
      <c r="KC64">
        <v>0</v>
      </c>
      <c r="KD64">
        <v>0</v>
      </c>
      <c r="KE64">
        <v>0</v>
      </c>
      <c r="KF64">
        <v>0</v>
      </c>
      <c r="KG64">
        <v>0</v>
      </c>
      <c r="KH64">
        <v>0</v>
      </c>
      <c r="KI64">
        <v>0</v>
      </c>
      <c r="KJ64">
        <v>0</v>
      </c>
      <c r="KK64">
        <v>0</v>
      </c>
      <c r="KL64">
        <v>0</v>
      </c>
      <c r="KM64">
        <v>0</v>
      </c>
      <c r="KN64">
        <v>0</v>
      </c>
      <c r="KO64">
        <v>0</v>
      </c>
      <c r="KP64">
        <v>0</v>
      </c>
      <c r="KQ64">
        <v>0</v>
      </c>
      <c r="KR64">
        <v>0</v>
      </c>
      <c r="KS64">
        <v>0</v>
      </c>
      <c r="KT64">
        <v>0</v>
      </c>
      <c r="KU64">
        <v>0</v>
      </c>
      <c r="KV64">
        <v>0</v>
      </c>
      <c r="KW64">
        <v>0</v>
      </c>
      <c r="KX64">
        <v>0</v>
      </c>
      <c r="KY64">
        <v>0</v>
      </c>
      <c r="KZ64">
        <v>0</v>
      </c>
      <c r="LA64">
        <v>0</v>
      </c>
      <c r="LB64">
        <v>0</v>
      </c>
      <c r="LC64">
        <v>0</v>
      </c>
      <c r="LD64">
        <v>0</v>
      </c>
      <c r="LE64">
        <v>0</v>
      </c>
      <c r="LF64">
        <v>0</v>
      </c>
      <c r="LG64">
        <v>0</v>
      </c>
      <c r="LH64">
        <v>0</v>
      </c>
      <c r="LI64">
        <v>0</v>
      </c>
      <c r="LJ64">
        <v>0</v>
      </c>
      <c r="LK64">
        <v>0</v>
      </c>
      <c r="LL64">
        <v>0</v>
      </c>
      <c r="LM64">
        <v>0</v>
      </c>
      <c r="LN64">
        <v>0</v>
      </c>
      <c r="LO64">
        <v>0</v>
      </c>
      <c r="LP64">
        <v>0</v>
      </c>
      <c r="LQ64">
        <v>0</v>
      </c>
      <c r="LR64">
        <v>0</v>
      </c>
      <c r="LS64">
        <v>0</v>
      </c>
      <c r="LT64">
        <v>0</v>
      </c>
      <c r="LU64">
        <v>0</v>
      </c>
      <c r="LV64">
        <v>0</v>
      </c>
      <c r="LW64">
        <v>0</v>
      </c>
      <c r="LX64">
        <v>0</v>
      </c>
      <c r="LY64">
        <v>0</v>
      </c>
      <c r="LZ64">
        <v>0</v>
      </c>
      <c r="MA64">
        <v>0</v>
      </c>
      <c r="MB64">
        <v>0</v>
      </c>
      <c r="MC64">
        <v>0</v>
      </c>
      <c r="MD64">
        <v>0</v>
      </c>
      <c r="ME64">
        <v>0</v>
      </c>
      <c r="MF64">
        <v>0</v>
      </c>
      <c r="MG64">
        <v>0</v>
      </c>
      <c r="MH64">
        <v>0</v>
      </c>
      <c r="MI64">
        <v>0</v>
      </c>
      <c r="MJ64">
        <v>0</v>
      </c>
      <c r="MK64">
        <v>0</v>
      </c>
      <c r="ML64">
        <v>0</v>
      </c>
      <c r="MM64">
        <v>0</v>
      </c>
      <c r="MN64">
        <v>0</v>
      </c>
      <c r="MO64">
        <v>0</v>
      </c>
      <c r="MP64">
        <v>0</v>
      </c>
      <c r="MQ64">
        <v>0</v>
      </c>
      <c r="MR64">
        <v>0</v>
      </c>
      <c r="MS64">
        <v>0</v>
      </c>
      <c r="MT64">
        <v>0</v>
      </c>
      <c r="MU64">
        <v>0</v>
      </c>
      <c r="MV64">
        <v>0</v>
      </c>
      <c r="MW64">
        <v>0</v>
      </c>
      <c r="MX64">
        <v>0</v>
      </c>
      <c r="MY64">
        <v>0</v>
      </c>
      <c r="MZ64">
        <v>0</v>
      </c>
      <c r="NA64">
        <v>0</v>
      </c>
      <c r="NB64">
        <v>0</v>
      </c>
      <c r="NC64">
        <v>0</v>
      </c>
      <c r="ND64">
        <v>0</v>
      </c>
      <c r="NE64">
        <v>0</v>
      </c>
      <c r="NF64">
        <v>0</v>
      </c>
      <c r="NG64">
        <v>0</v>
      </c>
      <c r="NH64">
        <v>0</v>
      </c>
      <c r="NI64">
        <v>0</v>
      </c>
      <c r="NJ64">
        <v>0</v>
      </c>
      <c r="NK64">
        <v>0</v>
      </c>
      <c r="NL64">
        <v>0</v>
      </c>
      <c r="NM64">
        <v>0</v>
      </c>
      <c r="NN64">
        <v>0</v>
      </c>
      <c r="NO64">
        <v>0</v>
      </c>
      <c r="NP64">
        <v>0</v>
      </c>
      <c r="NQ64">
        <v>0</v>
      </c>
      <c r="NR64">
        <v>0</v>
      </c>
      <c r="NS64">
        <v>0</v>
      </c>
      <c r="NT64">
        <v>0</v>
      </c>
      <c r="NU64">
        <v>0</v>
      </c>
      <c r="NV64">
        <v>0</v>
      </c>
      <c r="NW64">
        <v>0</v>
      </c>
      <c r="NX64">
        <v>0</v>
      </c>
      <c r="NY64">
        <v>0</v>
      </c>
      <c r="NZ64">
        <v>0</v>
      </c>
      <c r="OA64">
        <v>0</v>
      </c>
      <c r="OB64">
        <v>0</v>
      </c>
      <c r="OC64">
        <v>0</v>
      </c>
      <c r="OD64">
        <v>0</v>
      </c>
      <c r="OE64">
        <v>0</v>
      </c>
      <c r="OF64">
        <v>0</v>
      </c>
      <c r="OG64">
        <v>0</v>
      </c>
      <c r="OH64">
        <v>0</v>
      </c>
      <c r="OI64">
        <v>0</v>
      </c>
      <c r="OJ64">
        <v>0</v>
      </c>
      <c r="OK64">
        <v>0</v>
      </c>
      <c r="OL64">
        <v>0</v>
      </c>
      <c r="OM64">
        <v>0</v>
      </c>
      <c r="ON64">
        <v>0</v>
      </c>
      <c r="OO64">
        <v>0</v>
      </c>
      <c r="OP64">
        <v>0</v>
      </c>
      <c r="OQ64">
        <v>0</v>
      </c>
      <c r="OR64">
        <v>0</v>
      </c>
      <c r="OS64">
        <v>0</v>
      </c>
      <c r="OT64">
        <v>0</v>
      </c>
      <c r="OU64">
        <v>0</v>
      </c>
      <c r="OV64">
        <v>0</v>
      </c>
      <c r="OW64">
        <v>0</v>
      </c>
      <c r="OX64">
        <v>0</v>
      </c>
      <c r="OY64">
        <v>1</v>
      </c>
      <c r="OZ64">
        <v>1</v>
      </c>
      <c r="PA64">
        <v>1</v>
      </c>
      <c r="PB64">
        <v>1</v>
      </c>
      <c r="PC64">
        <v>1</v>
      </c>
      <c r="PD64">
        <v>1</v>
      </c>
      <c r="PE64">
        <v>1</v>
      </c>
      <c r="PF64">
        <v>1</v>
      </c>
      <c r="PG64">
        <v>1</v>
      </c>
      <c r="PH64">
        <v>1</v>
      </c>
      <c r="PI64">
        <v>1</v>
      </c>
      <c r="PJ64">
        <v>1</v>
      </c>
      <c r="PK64">
        <v>1</v>
      </c>
      <c r="PL64">
        <v>1</v>
      </c>
      <c r="PM64">
        <v>1</v>
      </c>
      <c r="PN64">
        <v>1</v>
      </c>
      <c r="PO64">
        <v>1</v>
      </c>
      <c r="PP64">
        <v>1</v>
      </c>
      <c r="PQ64">
        <v>1</v>
      </c>
      <c r="PR64">
        <v>1</v>
      </c>
      <c r="PS64">
        <v>1</v>
      </c>
      <c r="PT64">
        <v>1</v>
      </c>
      <c r="PU64">
        <v>1</v>
      </c>
      <c r="PV64">
        <v>1</v>
      </c>
      <c r="PW64">
        <v>1</v>
      </c>
      <c r="PX64">
        <v>1</v>
      </c>
      <c r="PY64">
        <v>1</v>
      </c>
      <c r="PZ64">
        <v>1</v>
      </c>
      <c r="QA64">
        <v>1</v>
      </c>
      <c r="QB64">
        <v>1</v>
      </c>
      <c r="QC64">
        <v>1</v>
      </c>
      <c r="QD64">
        <v>1</v>
      </c>
      <c r="QE64">
        <v>1</v>
      </c>
      <c r="QF64">
        <v>1</v>
      </c>
      <c r="QG64">
        <v>1</v>
      </c>
      <c r="QH64">
        <v>1</v>
      </c>
      <c r="QI64">
        <v>1</v>
      </c>
      <c r="QJ64">
        <v>1</v>
      </c>
      <c r="QK64">
        <v>1</v>
      </c>
      <c r="QL64">
        <v>1</v>
      </c>
      <c r="QM64">
        <v>1</v>
      </c>
      <c r="QN64">
        <v>1</v>
      </c>
      <c r="QO64">
        <v>1</v>
      </c>
      <c r="QP64">
        <v>1</v>
      </c>
      <c r="QQ64">
        <v>1</v>
      </c>
      <c r="QR64">
        <v>1</v>
      </c>
      <c r="QS64">
        <v>1</v>
      </c>
      <c r="QT64">
        <v>1</v>
      </c>
      <c r="QU64">
        <v>1</v>
      </c>
      <c r="QV64">
        <v>1</v>
      </c>
      <c r="QW64">
        <v>1</v>
      </c>
      <c r="QX64">
        <v>1</v>
      </c>
      <c r="QY64">
        <v>1</v>
      </c>
      <c r="QZ64">
        <v>1</v>
      </c>
      <c r="RA64">
        <v>1</v>
      </c>
      <c r="RB64">
        <v>1</v>
      </c>
      <c r="RC64">
        <v>1</v>
      </c>
      <c r="RD64">
        <v>1</v>
      </c>
      <c r="RE64">
        <v>1</v>
      </c>
      <c r="RF64">
        <v>1</v>
      </c>
      <c r="RG64">
        <v>1</v>
      </c>
      <c r="RH64">
        <v>1</v>
      </c>
      <c r="RI64">
        <v>1</v>
      </c>
      <c r="RJ64">
        <v>1</v>
      </c>
      <c r="RK64">
        <v>1</v>
      </c>
      <c r="RL64">
        <v>1</v>
      </c>
      <c r="RM64">
        <v>1</v>
      </c>
      <c r="RN64">
        <v>1</v>
      </c>
      <c r="RO64">
        <v>1</v>
      </c>
      <c r="RP64">
        <v>0</v>
      </c>
      <c r="RQ64">
        <v>0</v>
      </c>
      <c r="RR64">
        <v>0</v>
      </c>
      <c r="RS64">
        <v>0</v>
      </c>
      <c r="RT64">
        <v>0</v>
      </c>
      <c r="RU64">
        <v>0</v>
      </c>
      <c r="RV64">
        <v>0</v>
      </c>
      <c r="RW64">
        <v>0</v>
      </c>
      <c r="RX64">
        <v>0</v>
      </c>
      <c r="RY64">
        <v>0</v>
      </c>
      <c r="RZ64">
        <v>0</v>
      </c>
      <c r="SA64">
        <v>0</v>
      </c>
      <c r="SB64">
        <v>0</v>
      </c>
      <c r="SC64">
        <v>0</v>
      </c>
      <c r="SD64">
        <v>0</v>
      </c>
      <c r="SE64">
        <v>0</v>
      </c>
      <c r="SF64">
        <v>0</v>
      </c>
      <c r="SG64">
        <v>0</v>
      </c>
      <c r="SH64">
        <v>0</v>
      </c>
      <c r="SI64">
        <v>0</v>
      </c>
      <c r="SJ64">
        <v>0</v>
      </c>
      <c r="SK64">
        <v>0</v>
      </c>
      <c r="SL64">
        <v>0</v>
      </c>
      <c r="SM64">
        <v>0</v>
      </c>
      <c r="SN64">
        <v>0</v>
      </c>
      <c r="SO64">
        <v>0</v>
      </c>
      <c r="SP64">
        <v>0</v>
      </c>
      <c r="SQ64">
        <v>0</v>
      </c>
      <c r="SR64">
        <v>0</v>
      </c>
      <c r="SS64">
        <v>0</v>
      </c>
      <c r="ST64">
        <v>0</v>
      </c>
      <c r="SU64">
        <v>0</v>
      </c>
      <c r="SV64">
        <v>0</v>
      </c>
      <c r="SW64">
        <v>0</v>
      </c>
      <c r="SX64">
        <v>0</v>
      </c>
      <c r="SY64">
        <v>0</v>
      </c>
      <c r="SZ64">
        <v>0</v>
      </c>
      <c r="TA64">
        <v>0</v>
      </c>
      <c r="TB64">
        <v>0</v>
      </c>
      <c r="TC64">
        <v>0</v>
      </c>
      <c r="TD64">
        <v>0</v>
      </c>
      <c r="TE64">
        <v>0</v>
      </c>
      <c r="TF64">
        <v>0</v>
      </c>
      <c r="TG64">
        <v>0</v>
      </c>
      <c r="TH64">
        <v>0</v>
      </c>
      <c r="TI64">
        <v>0</v>
      </c>
      <c r="TJ64">
        <v>0</v>
      </c>
      <c r="TK64">
        <v>0</v>
      </c>
      <c r="TL64">
        <v>0</v>
      </c>
      <c r="TM64">
        <v>0</v>
      </c>
      <c r="TN64">
        <v>0</v>
      </c>
      <c r="TO64">
        <v>0</v>
      </c>
      <c r="TP64">
        <v>0</v>
      </c>
      <c r="TQ64">
        <v>0</v>
      </c>
      <c r="TR64">
        <v>0</v>
      </c>
      <c r="TS64">
        <v>0</v>
      </c>
      <c r="TT64">
        <v>0</v>
      </c>
      <c r="TU64">
        <v>0</v>
      </c>
      <c r="TV64">
        <v>0</v>
      </c>
      <c r="TW64">
        <v>0</v>
      </c>
      <c r="TX64">
        <v>0</v>
      </c>
      <c r="TY64">
        <v>0</v>
      </c>
      <c r="TZ64">
        <v>0</v>
      </c>
      <c r="UA64">
        <v>0</v>
      </c>
      <c r="UB64">
        <v>0</v>
      </c>
      <c r="UC64">
        <v>0</v>
      </c>
      <c r="UD64">
        <v>0</v>
      </c>
      <c r="UE64">
        <v>0</v>
      </c>
      <c r="UF64">
        <v>0</v>
      </c>
      <c r="UG64">
        <v>0</v>
      </c>
      <c r="UH64">
        <v>0</v>
      </c>
      <c r="UI64">
        <v>0</v>
      </c>
      <c r="UJ64">
        <v>0</v>
      </c>
      <c r="UK64">
        <v>0</v>
      </c>
      <c r="UL64">
        <v>0</v>
      </c>
      <c r="UM64">
        <v>0</v>
      </c>
      <c r="UN64">
        <v>0</v>
      </c>
      <c r="UO64">
        <v>0</v>
      </c>
      <c r="UP64">
        <v>0</v>
      </c>
      <c r="UQ64">
        <v>0</v>
      </c>
      <c r="UR64">
        <v>0</v>
      </c>
      <c r="US64">
        <v>0</v>
      </c>
      <c r="UT64">
        <v>0</v>
      </c>
      <c r="UU64">
        <v>0</v>
      </c>
      <c r="UV64">
        <v>0</v>
      </c>
      <c r="UW64">
        <v>0</v>
      </c>
      <c r="UX64">
        <v>0</v>
      </c>
      <c r="UY64">
        <v>0</v>
      </c>
      <c r="UZ64">
        <v>0</v>
      </c>
      <c r="VA64">
        <v>0</v>
      </c>
      <c r="VB64">
        <v>0</v>
      </c>
      <c r="VC64">
        <v>0</v>
      </c>
      <c r="VD64">
        <v>0</v>
      </c>
      <c r="VE64">
        <v>0</v>
      </c>
      <c r="VF64">
        <v>0</v>
      </c>
      <c r="VG64">
        <v>0</v>
      </c>
      <c r="VH64">
        <v>0</v>
      </c>
      <c r="VI64">
        <v>0</v>
      </c>
      <c r="VJ64">
        <v>0</v>
      </c>
      <c r="VK64">
        <v>0</v>
      </c>
      <c r="VL64">
        <v>0</v>
      </c>
      <c r="VM64">
        <v>0</v>
      </c>
      <c r="VN64">
        <v>0</v>
      </c>
      <c r="VO64">
        <v>0</v>
      </c>
      <c r="VP64">
        <v>0</v>
      </c>
      <c r="VQ64">
        <v>0</v>
      </c>
      <c r="VR64">
        <v>0</v>
      </c>
      <c r="VS64">
        <v>0</v>
      </c>
      <c r="VT64">
        <v>0</v>
      </c>
      <c r="VU64">
        <v>0</v>
      </c>
      <c r="VV64">
        <v>0</v>
      </c>
      <c r="VW64">
        <v>0</v>
      </c>
      <c r="VX64">
        <v>0</v>
      </c>
      <c r="VY64">
        <v>0</v>
      </c>
      <c r="VZ64">
        <v>0</v>
      </c>
      <c r="WA64">
        <v>0</v>
      </c>
      <c r="WB64">
        <v>0</v>
      </c>
      <c r="WC64">
        <v>0</v>
      </c>
      <c r="WD64">
        <v>0</v>
      </c>
      <c r="WE64">
        <v>0</v>
      </c>
      <c r="WF64">
        <v>0</v>
      </c>
      <c r="WG64">
        <v>0</v>
      </c>
      <c r="WH64">
        <v>0</v>
      </c>
      <c r="WI64">
        <v>0</v>
      </c>
      <c r="WJ64">
        <v>0</v>
      </c>
      <c r="WK64">
        <v>0</v>
      </c>
      <c r="WL64">
        <v>0</v>
      </c>
      <c r="WM64">
        <v>0</v>
      </c>
      <c r="WN64">
        <v>0</v>
      </c>
      <c r="WO64">
        <v>0</v>
      </c>
      <c r="WP64">
        <v>0</v>
      </c>
      <c r="WQ64">
        <v>0</v>
      </c>
      <c r="WR64">
        <v>0</v>
      </c>
      <c r="WS64">
        <v>0</v>
      </c>
      <c r="WT64">
        <v>0</v>
      </c>
      <c r="WU64">
        <v>0</v>
      </c>
      <c r="WV64">
        <v>0</v>
      </c>
      <c r="WW64">
        <v>0</v>
      </c>
      <c r="WX64">
        <v>0</v>
      </c>
      <c r="WY64">
        <v>0</v>
      </c>
      <c r="WZ64">
        <v>0</v>
      </c>
      <c r="XA64">
        <v>0</v>
      </c>
      <c r="XB64">
        <v>0</v>
      </c>
      <c r="XC64">
        <v>0</v>
      </c>
      <c r="XD64">
        <v>0</v>
      </c>
      <c r="XE64">
        <v>0</v>
      </c>
      <c r="XF64">
        <v>0</v>
      </c>
      <c r="XG64">
        <v>0</v>
      </c>
      <c r="XH64">
        <v>0</v>
      </c>
      <c r="XI64">
        <v>0</v>
      </c>
      <c r="XJ64">
        <v>0</v>
      </c>
      <c r="XK64">
        <v>0</v>
      </c>
      <c r="XL64">
        <v>0</v>
      </c>
      <c r="XM64">
        <v>0</v>
      </c>
      <c r="XN64">
        <v>0</v>
      </c>
      <c r="XO64">
        <v>0</v>
      </c>
      <c r="XP64">
        <v>0</v>
      </c>
      <c r="XQ64">
        <v>0</v>
      </c>
      <c r="XR64">
        <v>0</v>
      </c>
      <c r="XS64">
        <v>0</v>
      </c>
      <c r="XT64">
        <v>0</v>
      </c>
      <c r="XU64">
        <v>0</v>
      </c>
      <c r="XV64">
        <v>0</v>
      </c>
      <c r="XW64">
        <v>0</v>
      </c>
      <c r="XX64">
        <v>0</v>
      </c>
      <c r="XY64">
        <v>0</v>
      </c>
      <c r="XZ64">
        <v>0</v>
      </c>
      <c r="YA64">
        <v>0</v>
      </c>
      <c r="YB64">
        <v>0</v>
      </c>
      <c r="YC64">
        <v>0</v>
      </c>
      <c r="YD64">
        <v>0</v>
      </c>
      <c r="YE64">
        <v>0</v>
      </c>
      <c r="YF64">
        <v>0</v>
      </c>
      <c r="YG64">
        <v>0</v>
      </c>
      <c r="YH64">
        <v>0</v>
      </c>
      <c r="YI64">
        <v>0</v>
      </c>
      <c r="YJ64">
        <v>0</v>
      </c>
      <c r="YK64">
        <v>0</v>
      </c>
      <c r="YL64">
        <v>0</v>
      </c>
      <c r="YM64">
        <v>0</v>
      </c>
      <c r="YN64">
        <v>0</v>
      </c>
      <c r="YO64">
        <v>0</v>
      </c>
      <c r="YP64">
        <v>0</v>
      </c>
      <c r="YQ64">
        <v>0</v>
      </c>
      <c r="YR64">
        <v>0</v>
      </c>
      <c r="YS64">
        <v>0</v>
      </c>
      <c r="YT64">
        <v>0</v>
      </c>
      <c r="YU64">
        <v>0</v>
      </c>
      <c r="YV64">
        <v>0</v>
      </c>
      <c r="YW64">
        <v>0</v>
      </c>
      <c r="YX64">
        <v>0</v>
      </c>
      <c r="YY64">
        <v>0</v>
      </c>
      <c r="YZ64">
        <v>0</v>
      </c>
      <c r="ZA64">
        <v>0</v>
      </c>
      <c r="ZB64">
        <v>0</v>
      </c>
      <c r="ZC64">
        <v>0</v>
      </c>
      <c r="ZD64">
        <v>0</v>
      </c>
      <c r="ZE64">
        <v>0</v>
      </c>
      <c r="ZF64">
        <v>0</v>
      </c>
      <c r="ZG64">
        <v>0</v>
      </c>
      <c r="ZH64">
        <v>0</v>
      </c>
      <c r="ZI64">
        <v>0</v>
      </c>
      <c r="ZJ64">
        <v>0</v>
      </c>
      <c r="ZK64">
        <v>0</v>
      </c>
      <c r="ZL64">
        <v>0</v>
      </c>
      <c r="ZM64">
        <v>0</v>
      </c>
      <c r="ZN64">
        <v>0</v>
      </c>
      <c r="ZO64">
        <v>0</v>
      </c>
      <c r="ZP64">
        <v>0</v>
      </c>
      <c r="ZQ64">
        <v>0</v>
      </c>
      <c r="ZR64">
        <v>0</v>
      </c>
      <c r="ZS64">
        <v>0</v>
      </c>
      <c r="ZT64">
        <v>0</v>
      </c>
      <c r="ZU64">
        <v>0</v>
      </c>
      <c r="ZV64">
        <v>0</v>
      </c>
      <c r="ZW64">
        <v>0</v>
      </c>
      <c r="ZX64">
        <v>0</v>
      </c>
      <c r="ZY64">
        <v>0</v>
      </c>
      <c r="ZZ64">
        <v>0</v>
      </c>
      <c r="AAA64">
        <v>0</v>
      </c>
      <c r="AAB64">
        <v>0</v>
      </c>
      <c r="AAC64">
        <v>0</v>
      </c>
      <c r="AAD64">
        <v>0</v>
      </c>
      <c r="AAE64">
        <v>0</v>
      </c>
      <c r="AAF64">
        <v>0</v>
      </c>
      <c r="AAG64">
        <v>0</v>
      </c>
      <c r="AAH64">
        <v>0</v>
      </c>
      <c r="AAI64">
        <v>0</v>
      </c>
      <c r="AAJ64">
        <v>0</v>
      </c>
      <c r="AAK64">
        <v>0</v>
      </c>
      <c r="AAL64">
        <v>0</v>
      </c>
      <c r="AAM64">
        <v>0</v>
      </c>
      <c r="AAN64">
        <v>0</v>
      </c>
      <c r="AAO64">
        <v>0</v>
      </c>
      <c r="AAP64">
        <v>0</v>
      </c>
      <c r="AAQ64">
        <v>0</v>
      </c>
      <c r="AAR64">
        <v>0</v>
      </c>
      <c r="AAS64">
        <v>0</v>
      </c>
      <c r="AAT64">
        <v>0</v>
      </c>
      <c r="AAU64">
        <v>0</v>
      </c>
      <c r="AAV64">
        <v>0</v>
      </c>
      <c r="AAW64">
        <v>0</v>
      </c>
      <c r="AAX64">
        <v>0</v>
      </c>
      <c r="AAY64">
        <v>0</v>
      </c>
      <c r="AAZ64">
        <v>0</v>
      </c>
      <c r="ABA64">
        <v>0</v>
      </c>
      <c r="ABB64">
        <v>0</v>
      </c>
      <c r="ABC64">
        <v>0</v>
      </c>
      <c r="ABD64">
        <v>0</v>
      </c>
      <c r="ABE64">
        <v>0</v>
      </c>
      <c r="ABG64" s="1137">
        <f t="shared" si="13"/>
        <v>0</v>
      </c>
      <c r="ABH64" s="1137">
        <f t="shared" si="13"/>
        <v>0</v>
      </c>
      <c r="ABI64" s="1137">
        <f t="shared" si="13"/>
        <v>0</v>
      </c>
      <c r="ABJ64" s="1137">
        <f t="shared" si="13"/>
        <v>0</v>
      </c>
      <c r="ABK64" s="1137">
        <f t="shared" si="13"/>
        <v>0</v>
      </c>
      <c r="ABL64" s="1137">
        <f t="shared" si="13"/>
        <v>0</v>
      </c>
      <c r="ABM64" s="1137">
        <f t="shared" si="13"/>
        <v>0</v>
      </c>
      <c r="ABN64" s="1137">
        <f t="shared" si="13"/>
        <v>0</v>
      </c>
      <c r="ABO64" s="1137">
        <f t="shared" si="13"/>
        <v>0</v>
      </c>
      <c r="ABP64" s="1137">
        <f t="shared" si="13"/>
        <v>0</v>
      </c>
      <c r="ABQ64" s="1137">
        <f t="shared" si="13"/>
        <v>0</v>
      </c>
      <c r="ABR64" s="1137">
        <f t="shared" si="13"/>
        <v>0</v>
      </c>
      <c r="ABS64" s="1137">
        <f t="shared" si="13"/>
        <v>0</v>
      </c>
      <c r="ABT64" s="1137">
        <f t="shared" si="13"/>
        <v>13</v>
      </c>
      <c r="ABU64" s="1137">
        <f t="shared" si="13"/>
        <v>31</v>
      </c>
      <c r="ABV64" s="1137">
        <f t="shared" si="13"/>
        <v>25</v>
      </c>
      <c r="ABW64" s="1137">
        <f t="shared" si="17"/>
        <v>0</v>
      </c>
      <c r="ABX64" s="1137">
        <f t="shared" si="14"/>
        <v>0</v>
      </c>
      <c r="ABY64" s="1137">
        <f t="shared" si="14"/>
        <v>0</v>
      </c>
      <c r="ABZ64" s="1137">
        <f t="shared" si="14"/>
        <v>0</v>
      </c>
      <c r="ACA64" s="1137">
        <f t="shared" si="14"/>
        <v>0</v>
      </c>
      <c r="ACB64" s="1137">
        <f t="shared" si="14"/>
        <v>0</v>
      </c>
      <c r="ACC64" s="1137">
        <f t="shared" si="14"/>
        <v>0</v>
      </c>
      <c r="ACD64" s="1137">
        <f t="shared" si="14"/>
        <v>0</v>
      </c>
      <c r="ACE64" s="1137" t="s">
        <v>177</v>
      </c>
      <c r="ACF64" s="1137">
        <f t="shared" si="15"/>
        <v>0</v>
      </c>
      <c r="ACG64" s="1137">
        <f t="shared" si="15"/>
        <v>0</v>
      </c>
      <c r="ACH64" s="1137">
        <f t="shared" si="15"/>
        <v>0</v>
      </c>
      <c r="ACI64" s="1137">
        <f t="shared" si="15"/>
        <v>0</v>
      </c>
      <c r="ACJ64" s="1137">
        <f t="shared" si="15"/>
        <v>0</v>
      </c>
      <c r="ACK64" s="1137">
        <f t="shared" si="15"/>
        <v>0</v>
      </c>
      <c r="ACL64" s="1137">
        <f t="shared" si="15"/>
        <v>0</v>
      </c>
      <c r="ACM64" s="1137">
        <f t="shared" si="15"/>
        <v>0</v>
      </c>
      <c r="ACN64" s="1137">
        <f t="shared" si="15"/>
        <v>0</v>
      </c>
      <c r="ACO64" s="1137">
        <f t="shared" si="15"/>
        <v>0</v>
      </c>
      <c r="ACP64" s="1137">
        <f t="shared" si="15"/>
        <v>0</v>
      </c>
      <c r="ACQ64" s="1137">
        <f t="shared" si="15"/>
        <v>0</v>
      </c>
      <c r="ACR64" s="1137">
        <f t="shared" si="15"/>
        <v>0</v>
      </c>
      <c r="ACS64" s="1137">
        <f t="shared" si="15"/>
        <v>1</v>
      </c>
      <c r="ACT64" s="1137">
        <f t="shared" si="15"/>
        <v>1</v>
      </c>
      <c r="ACU64" s="1137">
        <f t="shared" si="12"/>
        <v>1</v>
      </c>
      <c r="ACV64" s="1137">
        <f t="shared" si="12"/>
        <v>0</v>
      </c>
      <c r="ACW64" s="1137">
        <f t="shared" si="12"/>
        <v>0</v>
      </c>
      <c r="ACX64" s="1137">
        <f t="shared" si="12"/>
        <v>0</v>
      </c>
      <c r="ACY64" s="1137">
        <f t="shared" si="12"/>
        <v>0</v>
      </c>
      <c r="ACZ64" s="1137">
        <f t="shared" si="12"/>
        <v>0</v>
      </c>
      <c r="ADA64" s="1137">
        <f t="shared" si="12"/>
        <v>0</v>
      </c>
      <c r="ADB64" s="1137">
        <f t="shared" si="16"/>
        <v>0</v>
      </c>
      <c r="ADC64" s="1137">
        <f t="shared" si="16"/>
        <v>0</v>
      </c>
    </row>
    <row r="65" spans="1:783" x14ac:dyDescent="0.25">
      <c r="A65" t="s">
        <v>1862</v>
      </c>
      <c r="B65" t="s">
        <v>184</v>
      </c>
      <c r="C65">
        <v>0</v>
      </c>
      <c r="D65">
        <v>0</v>
      </c>
      <c r="E65">
        <v>0</v>
      </c>
      <c r="F65">
        <v>0</v>
      </c>
      <c r="G65">
        <v>0</v>
      </c>
      <c r="H65">
        <v>0</v>
      </c>
      <c r="I65">
        <v>0</v>
      </c>
      <c r="J65">
        <v>0</v>
      </c>
      <c r="K65">
        <v>0</v>
      </c>
      <c r="L65">
        <v>0</v>
      </c>
      <c r="M65">
        <v>0</v>
      </c>
      <c r="N65">
        <v>0</v>
      </c>
      <c r="O65">
        <v>0</v>
      </c>
      <c r="P65">
        <v>0</v>
      </c>
      <c r="Q65">
        <v>0</v>
      </c>
      <c r="R65">
        <v>0</v>
      </c>
      <c r="S65">
        <v>0</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v>0</v>
      </c>
      <c r="BF65">
        <v>0</v>
      </c>
      <c r="BG65">
        <v>0</v>
      </c>
      <c r="BH65">
        <v>0</v>
      </c>
      <c r="BI65">
        <v>0</v>
      </c>
      <c r="BJ65">
        <v>0</v>
      </c>
      <c r="BK65">
        <v>0</v>
      </c>
      <c r="BL65">
        <v>0</v>
      </c>
      <c r="BM65">
        <v>0</v>
      </c>
      <c r="BN65">
        <v>0</v>
      </c>
      <c r="BO65">
        <v>0</v>
      </c>
      <c r="BP65">
        <v>0</v>
      </c>
      <c r="BQ65">
        <v>0</v>
      </c>
      <c r="BR65">
        <v>0</v>
      </c>
      <c r="BS65">
        <v>0</v>
      </c>
      <c r="BT65">
        <v>0</v>
      </c>
      <c r="BU65">
        <v>0</v>
      </c>
      <c r="BV65">
        <v>0</v>
      </c>
      <c r="BW65">
        <v>0</v>
      </c>
      <c r="BX65">
        <v>0</v>
      </c>
      <c r="BY65">
        <v>0</v>
      </c>
      <c r="BZ65">
        <v>0</v>
      </c>
      <c r="CA65">
        <v>0</v>
      </c>
      <c r="CB65">
        <v>0</v>
      </c>
      <c r="CC65">
        <v>0</v>
      </c>
      <c r="CD65">
        <v>0</v>
      </c>
      <c r="CE65">
        <v>0</v>
      </c>
      <c r="CF65">
        <v>0</v>
      </c>
      <c r="CG65">
        <v>0</v>
      </c>
      <c r="CH65">
        <v>0</v>
      </c>
      <c r="CI65">
        <v>0</v>
      </c>
      <c r="CJ65">
        <v>0</v>
      </c>
      <c r="CK65">
        <v>0</v>
      </c>
      <c r="CL65">
        <v>0</v>
      </c>
      <c r="CM65">
        <v>0</v>
      </c>
      <c r="CN65">
        <v>0</v>
      </c>
      <c r="CO65">
        <v>0</v>
      </c>
      <c r="CP65">
        <v>0</v>
      </c>
      <c r="CQ65">
        <v>0</v>
      </c>
      <c r="CR65">
        <v>0</v>
      </c>
      <c r="CS65">
        <v>0</v>
      </c>
      <c r="CT65">
        <v>0</v>
      </c>
      <c r="CU65">
        <v>0</v>
      </c>
      <c r="CV65">
        <v>0</v>
      </c>
      <c r="CW65">
        <v>0</v>
      </c>
      <c r="CX65">
        <v>0</v>
      </c>
      <c r="CY65">
        <v>2</v>
      </c>
      <c r="CZ65">
        <v>2</v>
      </c>
      <c r="DA65">
        <v>2</v>
      </c>
      <c r="DB65">
        <v>2</v>
      </c>
      <c r="DC65">
        <v>2</v>
      </c>
      <c r="DD65">
        <v>2</v>
      </c>
      <c r="DE65">
        <v>2</v>
      </c>
      <c r="DF65">
        <v>2</v>
      </c>
      <c r="DG65">
        <v>2</v>
      </c>
      <c r="DH65">
        <v>2</v>
      </c>
      <c r="DI65">
        <v>2</v>
      </c>
      <c r="DJ65">
        <v>2</v>
      </c>
      <c r="DK65">
        <v>2</v>
      </c>
      <c r="DL65">
        <v>2</v>
      </c>
      <c r="DM65">
        <v>2</v>
      </c>
      <c r="DN65">
        <v>2</v>
      </c>
      <c r="DO65">
        <v>2</v>
      </c>
      <c r="DP65">
        <v>2</v>
      </c>
      <c r="DQ65">
        <v>2</v>
      </c>
      <c r="DR65">
        <v>2</v>
      </c>
      <c r="DS65">
        <v>2</v>
      </c>
      <c r="DT65">
        <v>2</v>
      </c>
      <c r="DU65">
        <v>2</v>
      </c>
      <c r="DV65">
        <v>2</v>
      </c>
      <c r="DW65">
        <v>2</v>
      </c>
      <c r="DX65">
        <v>2</v>
      </c>
      <c r="DY65">
        <v>2</v>
      </c>
      <c r="DZ65">
        <v>2</v>
      </c>
      <c r="EA65">
        <v>2</v>
      </c>
      <c r="EB65">
        <v>2</v>
      </c>
      <c r="EC65">
        <v>2</v>
      </c>
      <c r="ED65">
        <v>2</v>
      </c>
      <c r="EE65">
        <v>2</v>
      </c>
      <c r="EF65">
        <v>2</v>
      </c>
      <c r="EG65">
        <v>2</v>
      </c>
      <c r="EH65">
        <v>2</v>
      </c>
      <c r="EI65">
        <v>2</v>
      </c>
      <c r="EJ65">
        <v>2</v>
      </c>
      <c r="EK65">
        <v>2</v>
      </c>
      <c r="EL65">
        <v>2</v>
      </c>
      <c r="EM65">
        <v>2</v>
      </c>
      <c r="EN65">
        <v>2</v>
      </c>
      <c r="EO65">
        <v>2</v>
      </c>
      <c r="EP65">
        <v>2</v>
      </c>
      <c r="EQ65">
        <v>2</v>
      </c>
      <c r="ER65">
        <v>2</v>
      </c>
      <c r="ES65">
        <v>2</v>
      </c>
      <c r="ET65">
        <v>2</v>
      </c>
      <c r="EU65">
        <v>2</v>
      </c>
      <c r="EV65">
        <v>2</v>
      </c>
      <c r="EW65">
        <v>2</v>
      </c>
      <c r="EX65">
        <v>2</v>
      </c>
      <c r="EY65">
        <v>2</v>
      </c>
      <c r="EZ65">
        <v>2</v>
      </c>
      <c r="FA65">
        <v>2</v>
      </c>
      <c r="FB65">
        <v>2</v>
      </c>
      <c r="FC65">
        <v>2</v>
      </c>
      <c r="FD65">
        <v>2</v>
      </c>
      <c r="FE65">
        <v>2</v>
      </c>
      <c r="FF65">
        <v>2</v>
      </c>
      <c r="FG65">
        <v>2</v>
      </c>
      <c r="FH65">
        <v>2</v>
      </c>
      <c r="FI65">
        <v>2</v>
      </c>
      <c r="FJ65">
        <v>2</v>
      </c>
      <c r="FK65">
        <v>2</v>
      </c>
      <c r="FL65">
        <v>2</v>
      </c>
      <c r="FM65">
        <v>2</v>
      </c>
      <c r="FN65">
        <v>2</v>
      </c>
      <c r="FO65">
        <v>2</v>
      </c>
      <c r="FP65">
        <v>2</v>
      </c>
      <c r="FQ65">
        <v>2</v>
      </c>
      <c r="FR65">
        <v>2</v>
      </c>
      <c r="FS65">
        <v>2</v>
      </c>
      <c r="FT65">
        <v>2</v>
      </c>
      <c r="FU65">
        <v>2</v>
      </c>
      <c r="FV65">
        <v>2</v>
      </c>
      <c r="FW65">
        <v>2</v>
      </c>
      <c r="FX65">
        <v>2</v>
      </c>
      <c r="FY65">
        <v>2</v>
      </c>
      <c r="FZ65">
        <v>2</v>
      </c>
      <c r="GA65">
        <v>2</v>
      </c>
      <c r="GB65">
        <v>2</v>
      </c>
      <c r="GC65">
        <v>2</v>
      </c>
      <c r="GD65">
        <v>2</v>
      </c>
      <c r="GE65">
        <v>2</v>
      </c>
      <c r="GF65">
        <v>2</v>
      </c>
      <c r="GG65">
        <v>2</v>
      </c>
      <c r="GH65">
        <v>2</v>
      </c>
      <c r="GI65">
        <v>2</v>
      </c>
      <c r="GJ65">
        <v>2</v>
      </c>
      <c r="GK65">
        <v>2</v>
      </c>
      <c r="GL65">
        <v>2</v>
      </c>
      <c r="GM65">
        <v>2</v>
      </c>
      <c r="GN65">
        <v>2</v>
      </c>
      <c r="GO65">
        <v>2</v>
      </c>
      <c r="GP65">
        <v>2</v>
      </c>
      <c r="GQ65">
        <v>2</v>
      </c>
      <c r="GR65">
        <v>2</v>
      </c>
      <c r="GS65">
        <v>2</v>
      </c>
      <c r="GT65">
        <v>2</v>
      </c>
      <c r="GU65">
        <v>2</v>
      </c>
      <c r="GV65">
        <v>2</v>
      </c>
      <c r="GW65">
        <v>2</v>
      </c>
      <c r="GX65">
        <v>2</v>
      </c>
      <c r="GY65">
        <v>2</v>
      </c>
      <c r="GZ65">
        <v>2</v>
      </c>
      <c r="HA65">
        <v>2</v>
      </c>
      <c r="HB65">
        <v>2</v>
      </c>
      <c r="HC65">
        <v>2</v>
      </c>
      <c r="HD65">
        <v>2</v>
      </c>
      <c r="HE65">
        <v>2</v>
      </c>
      <c r="HF65">
        <v>2</v>
      </c>
      <c r="HG65">
        <v>2</v>
      </c>
      <c r="HH65">
        <v>2</v>
      </c>
      <c r="HI65">
        <v>2</v>
      </c>
      <c r="HJ65">
        <v>2</v>
      </c>
      <c r="HK65">
        <v>2</v>
      </c>
      <c r="HL65">
        <v>2</v>
      </c>
      <c r="HM65">
        <v>2</v>
      </c>
      <c r="HN65">
        <v>2</v>
      </c>
      <c r="HO65">
        <v>2</v>
      </c>
      <c r="HP65">
        <v>2</v>
      </c>
      <c r="HQ65">
        <v>2</v>
      </c>
      <c r="HR65">
        <v>2</v>
      </c>
      <c r="HS65">
        <v>2</v>
      </c>
      <c r="HT65">
        <v>2</v>
      </c>
      <c r="HU65">
        <v>2</v>
      </c>
      <c r="HV65">
        <v>2</v>
      </c>
      <c r="HW65">
        <v>2</v>
      </c>
      <c r="HX65">
        <v>2</v>
      </c>
      <c r="HY65">
        <v>2</v>
      </c>
      <c r="HZ65">
        <v>2</v>
      </c>
      <c r="IA65">
        <v>2</v>
      </c>
      <c r="IB65">
        <v>2</v>
      </c>
      <c r="IC65">
        <v>2</v>
      </c>
      <c r="ID65">
        <v>2</v>
      </c>
      <c r="IE65">
        <v>2</v>
      </c>
      <c r="IF65">
        <v>2</v>
      </c>
      <c r="IG65">
        <v>2</v>
      </c>
      <c r="IH65">
        <v>2</v>
      </c>
      <c r="II65">
        <v>2</v>
      </c>
      <c r="IJ65">
        <v>2</v>
      </c>
      <c r="IK65">
        <v>2</v>
      </c>
      <c r="IL65">
        <v>2</v>
      </c>
      <c r="IM65">
        <v>2</v>
      </c>
      <c r="IN65">
        <v>2</v>
      </c>
      <c r="IO65">
        <v>2</v>
      </c>
      <c r="IP65">
        <v>2</v>
      </c>
      <c r="IQ65">
        <v>2</v>
      </c>
      <c r="IR65">
        <v>2</v>
      </c>
      <c r="IS65">
        <v>2</v>
      </c>
      <c r="IT65">
        <v>2</v>
      </c>
      <c r="IU65">
        <v>2</v>
      </c>
      <c r="IV65">
        <v>2</v>
      </c>
      <c r="IW65">
        <v>2</v>
      </c>
      <c r="IX65">
        <v>2</v>
      </c>
      <c r="IY65">
        <v>2</v>
      </c>
      <c r="IZ65">
        <v>2</v>
      </c>
      <c r="JA65">
        <v>2</v>
      </c>
      <c r="JB65">
        <v>2</v>
      </c>
      <c r="JC65">
        <v>2</v>
      </c>
      <c r="JD65">
        <v>2</v>
      </c>
      <c r="JE65">
        <v>2</v>
      </c>
      <c r="JF65">
        <v>2</v>
      </c>
      <c r="JG65">
        <v>2</v>
      </c>
      <c r="JH65">
        <v>2</v>
      </c>
      <c r="JI65">
        <v>2</v>
      </c>
      <c r="JJ65">
        <v>2</v>
      </c>
      <c r="JK65">
        <v>2</v>
      </c>
      <c r="JL65">
        <v>2</v>
      </c>
      <c r="JM65">
        <v>2</v>
      </c>
      <c r="JN65">
        <v>2</v>
      </c>
      <c r="JO65">
        <v>2</v>
      </c>
      <c r="JP65">
        <v>2</v>
      </c>
      <c r="JQ65">
        <v>2</v>
      </c>
      <c r="JR65">
        <v>2</v>
      </c>
      <c r="JS65">
        <v>2</v>
      </c>
      <c r="JT65">
        <v>2</v>
      </c>
      <c r="JU65">
        <v>2</v>
      </c>
      <c r="JV65">
        <v>2</v>
      </c>
      <c r="JW65">
        <v>2</v>
      </c>
      <c r="JX65">
        <v>2</v>
      </c>
      <c r="JY65">
        <v>2</v>
      </c>
      <c r="JZ65">
        <v>2</v>
      </c>
      <c r="KA65">
        <v>2</v>
      </c>
      <c r="KB65">
        <v>2</v>
      </c>
      <c r="KC65">
        <v>2</v>
      </c>
      <c r="KD65">
        <v>2</v>
      </c>
      <c r="KE65">
        <v>2</v>
      </c>
      <c r="KF65">
        <v>2</v>
      </c>
      <c r="KG65">
        <v>2</v>
      </c>
      <c r="KH65">
        <v>2</v>
      </c>
      <c r="KI65">
        <v>2</v>
      </c>
      <c r="KJ65">
        <v>2</v>
      </c>
      <c r="KK65">
        <v>2</v>
      </c>
      <c r="KL65">
        <v>2</v>
      </c>
      <c r="KM65">
        <v>2</v>
      </c>
      <c r="KN65">
        <v>2</v>
      </c>
      <c r="KO65">
        <v>2</v>
      </c>
      <c r="KP65">
        <v>2</v>
      </c>
      <c r="KQ65">
        <v>2</v>
      </c>
      <c r="KR65">
        <v>2</v>
      </c>
      <c r="KS65">
        <v>2</v>
      </c>
      <c r="KT65">
        <v>2</v>
      </c>
      <c r="KU65">
        <v>2</v>
      </c>
      <c r="KV65">
        <v>2</v>
      </c>
      <c r="KW65">
        <v>2</v>
      </c>
      <c r="KX65">
        <v>2</v>
      </c>
      <c r="KY65">
        <v>2</v>
      </c>
      <c r="KZ65">
        <v>2</v>
      </c>
      <c r="LA65">
        <v>2</v>
      </c>
      <c r="LB65">
        <v>2</v>
      </c>
      <c r="LC65">
        <v>2</v>
      </c>
      <c r="LD65">
        <v>2</v>
      </c>
      <c r="LE65">
        <v>2</v>
      </c>
      <c r="LF65">
        <v>2</v>
      </c>
      <c r="LG65">
        <v>2</v>
      </c>
      <c r="LH65">
        <v>2</v>
      </c>
      <c r="LI65">
        <v>2</v>
      </c>
      <c r="LJ65">
        <v>2</v>
      </c>
      <c r="LK65">
        <v>2</v>
      </c>
      <c r="LL65">
        <v>2</v>
      </c>
      <c r="LM65">
        <v>2</v>
      </c>
      <c r="LN65">
        <v>2</v>
      </c>
      <c r="LO65">
        <v>2</v>
      </c>
      <c r="LP65">
        <v>2</v>
      </c>
      <c r="LQ65">
        <v>2</v>
      </c>
      <c r="LR65">
        <v>2</v>
      </c>
      <c r="LS65">
        <v>2</v>
      </c>
      <c r="LT65">
        <v>2</v>
      </c>
      <c r="LU65">
        <v>2</v>
      </c>
      <c r="LV65">
        <v>2</v>
      </c>
      <c r="LW65">
        <v>2</v>
      </c>
      <c r="LX65">
        <v>2</v>
      </c>
      <c r="LY65">
        <v>2</v>
      </c>
      <c r="LZ65">
        <v>2</v>
      </c>
      <c r="MA65">
        <v>2</v>
      </c>
      <c r="MB65">
        <v>2</v>
      </c>
      <c r="MC65">
        <v>2</v>
      </c>
      <c r="MD65">
        <v>2</v>
      </c>
      <c r="ME65">
        <v>2</v>
      </c>
      <c r="MF65">
        <v>2</v>
      </c>
      <c r="MG65">
        <v>2</v>
      </c>
      <c r="MH65">
        <v>2</v>
      </c>
      <c r="MI65">
        <v>2</v>
      </c>
      <c r="MJ65">
        <v>2</v>
      </c>
      <c r="MK65">
        <v>2</v>
      </c>
      <c r="ML65">
        <v>2</v>
      </c>
      <c r="MM65">
        <v>2</v>
      </c>
      <c r="MN65">
        <v>2</v>
      </c>
      <c r="MO65">
        <v>2</v>
      </c>
      <c r="MP65">
        <v>2</v>
      </c>
      <c r="MQ65">
        <v>2</v>
      </c>
      <c r="MR65">
        <v>2</v>
      </c>
      <c r="MS65">
        <v>2</v>
      </c>
      <c r="MT65">
        <v>2</v>
      </c>
      <c r="MU65">
        <v>2</v>
      </c>
      <c r="MV65">
        <v>2</v>
      </c>
      <c r="MW65">
        <v>2</v>
      </c>
      <c r="MX65">
        <v>2</v>
      </c>
      <c r="MY65">
        <v>2</v>
      </c>
      <c r="MZ65">
        <v>2</v>
      </c>
      <c r="NA65">
        <v>2</v>
      </c>
      <c r="NB65">
        <v>2</v>
      </c>
      <c r="NC65">
        <v>2</v>
      </c>
      <c r="ND65">
        <v>2</v>
      </c>
      <c r="NE65">
        <v>2</v>
      </c>
      <c r="NF65">
        <v>2</v>
      </c>
      <c r="NG65">
        <v>2</v>
      </c>
      <c r="NH65">
        <v>2</v>
      </c>
      <c r="NI65">
        <v>2</v>
      </c>
      <c r="NJ65">
        <v>2</v>
      </c>
      <c r="NK65">
        <v>2</v>
      </c>
      <c r="NL65">
        <v>2</v>
      </c>
      <c r="NM65">
        <v>2</v>
      </c>
      <c r="NN65">
        <v>2</v>
      </c>
      <c r="NO65">
        <v>2</v>
      </c>
      <c r="NP65">
        <v>2</v>
      </c>
      <c r="NQ65">
        <v>2</v>
      </c>
      <c r="NR65">
        <v>2</v>
      </c>
      <c r="NS65">
        <v>2</v>
      </c>
      <c r="NT65">
        <v>2</v>
      </c>
      <c r="NU65">
        <v>2</v>
      </c>
      <c r="NV65">
        <v>2</v>
      </c>
      <c r="NW65">
        <v>2</v>
      </c>
      <c r="NX65">
        <v>2</v>
      </c>
      <c r="NY65">
        <v>2</v>
      </c>
      <c r="NZ65">
        <v>2</v>
      </c>
      <c r="OA65">
        <v>2</v>
      </c>
      <c r="OB65">
        <v>2</v>
      </c>
      <c r="OC65">
        <v>2</v>
      </c>
      <c r="OD65">
        <v>2</v>
      </c>
      <c r="OE65">
        <v>2</v>
      </c>
      <c r="OF65">
        <v>2</v>
      </c>
      <c r="OG65">
        <v>2</v>
      </c>
      <c r="OH65">
        <v>2</v>
      </c>
      <c r="OI65">
        <v>2</v>
      </c>
      <c r="OJ65">
        <v>2</v>
      </c>
      <c r="OK65">
        <v>2</v>
      </c>
      <c r="OL65">
        <v>2</v>
      </c>
      <c r="OM65">
        <v>2</v>
      </c>
      <c r="ON65">
        <v>2</v>
      </c>
      <c r="OO65">
        <v>2</v>
      </c>
      <c r="OP65">
        <v>2</v>
      </c>
      <c r="OQ65">
        <v>2</v>
      </c>
      <c r="OR65">
        <v>2</v>
      </c>
      <c r="OS65">
        <v>2</v>
      </c>
      <c r="OT65">
        <v>2</v>
      </c>
      <c r="OU65">
        <v>2</v>
      </c>
      <c r="OV65">
        <v>2</v>
      </c>
      <c r="OW65">
        <v>2</v>
      </c>
      <c r="OX65">
        <v>2</v>
      </c>
      <c r="OY65">
        <v>2</v>
      </c>
      <c r="OZ65">
        <v>2</v>
      </c>
      <c r="PA65">
        <v>2</v>
      </c>
      <c r="PB65">
        <v>2</v>
      </c>
      <c r="PC65">
        <v>2</v>
      </c>
      <c r="PD65">
        <v>2</v>
      </c>
      <c r="PE65">
        <v>2</v>
      </c>
      <c r="PF65">
        <v>2</v>
      </c>
      <c r="PG65">
        <v>2</v>
      </c>
      <c r="PH65">
        <v>2</v>
      </c>
      <c r="PI65">
        <v>2</v>
      </c>
      <c r="PJ65">
        <v>2</v>
      </c>
      <c r="PK65">
        <v>2</v>
      </c>
      <c r="PL65">
        <v>2</v>
      </c>
      <c r="PM65">
        <v>2</v>
      </c>
      <c r="PN65">
        <v>2</v>
      </c>
      <c r="PO65">
        <v>2</v>
      </c>
      <c r="PP65">
        <v>2</v>
      </c>
      <c r="PQ65">
        <v>2</v>
      </c>
      <c r="PR65">
        <v>2</v>
      </c>
      <c r="PS65">
        <v>2</v>
      </c>
      <c r="PT65">
        <v>2</v>
      </c>
      <c r="PU65">
        <v>2</v>
      </c>
      <c r="PV65">
        <v>2</v>
      </c>
      <c r="PW65">
        <v>2</v>
      </c>
      <c r="PX65">
        <v>2</v>
      </c>
      <c r="PY65">
        <v>2</v>
      </c>
      <c r="PZ65">
        <v>2</v>
      </c>
      <c r="QA65">
        <v>2</v>
      </c>
      <c r="QB65">
        <v>2</v>
      </c>
      <c r="QC65">
        <v>2</v>
      </c>
      <c r="QD65">
        <v>2</v>
      </c>
      <c r="QE65">
        <v>2</v>
      </c>
      <c r="QF65">
        <v>2</v>
      </c>
      <c r="QG65">
        <v>2</v>
      </c>
      <c r="QH65">
        <v>2</v>
      </c>
      <c r="QI65">
        <v>2</v>
      </c>
      <c r="QJ65">
        <v>2</v>
      </c>
      <c r="QK65">
        <v>2</v>
      </c>
      <c r="QL65">
        <v>2</v>
      </c>
      <c r="QM65">
        <v>2</v>
      </c>
      <c r="QN65">
        <v>2</v>
      </c>
      <c r="QO65">
        <v>2</v>
      </c>
      <c r="QP65">
        <v>2</v>
      </c>
      <c r="QQ65">
        <v>2</v>
      </c>
      <c r="QR65">
        <v>2</v>
      </c>
      <c r="QS65">
        <v>2</v>
      </c>
      <c r="QT65">
        <v>2</v>
      </c>
      <c r="QU65">
        <v>2</v>
      </c>
      <c r="QV65">
        <v>2</v>
      </c>
      <c r="QW65">
        <v>2</v>
      </c>
      <c r="QX65">
        <v>2</v>
      </c>
      <c r="QY65">
        <v>2</v>
      </c>
      <c r="QZ65">
        <v>2</v>
      </c>
      <c r="RA65">
        <v>2</v>
      </c>
      <c r="RB65">
        <v>2</v>
      </c>
      <c r="RC65">
        <v>2</v>
      </c>
      <c r="RD65">
        <v>2</v>
      </c>
      <c r="RE65">
        <v>2</v>
      </c>
      <c r="RF65">
        <v>2</v>
      </c>
      <c r="RG65">
        <v>2</v>
      </c>
      <c r="RH65">
        <v>2</v>
      </c>
      <c r="RI65">
        <v>2</v>
      </c>
      <c r="RJ65">
        <v>2</v>
      </c>
      <c r="RK65">
        <v>2</v>
      </c>
      <c r="RL65">
        <v>2</v>
      </c>
      <c r="RM65">
        <v>2</v>
      </c>
      <c r="RN65">
        <v>2</v>
      </c>
      <c r="RO65">
        <v>2</v>
      </c>
      <c r="RP65">
        <v>2</v>
      </c>
      <c r="RQ65">
        <v>2</v>
      </c>
      <c r="RR65">
        <v>2</v>
      </c>
      <c r="RS65">
        <v>2</v>
      </c>
      <c r="RT65">
        <v>2</v>
      </c>
      <c r="RU65">
        <v>2</v>
      </c>
      <c r="RV65">
        <v>2</v>
      </c>
      <c r="RW65">
        <v>2</v>
      </c>
      <c r="RX65">
        <v>2</v>
      </c>
      <c r="RY65">
        <v>2</v>
      </c>
      <c r="RZ65">
        <v>2</v>
      </c>
      <c r="SA65">
        <v>2</v>
      </c>
      <c r="SB65">
        <v>2</v>
      </c>
      <c r="SC65">
        <v>2</v>
      </c>
      <c r="SD65">
        <v>2</v>
      </c>
      <c r="SE65">
        <v>2</v>
      </c>
      <c r="SF65">
        <v>2</v>
      </c>
      <c r="SG65">
        <v>2</v>
      </c>
      <c r="SH65">
        <v>2</v>
      </c>
      <c r="SI65">
        <v>2</v>
      </c>
      <c r="SJ65">
        <v>2</v>
      </c>
      <c r="SK65">
        <v>2</v>
      </c>
      <c r="SL65">
        <v>2</v>
      </c>
      <c r="SM65">
        <v>2</v>
      </c>
      <c r="SN65">
        <v>2</v>
      </c>
      <c r="SO65">
        <v>2</v>
      </c>
      <c r="SP65">
        <v>2</v>
      </c>
      <c r="SQ65">
        <v>2</v>
      </c>
      <c r="SR65">
        <v>2</v>
      </c>
      <c r="SS65">
        <v>2</v>
      </c>
      <c r="ST65">
        <v>2</v>
      </c>
      <c r="SU65">
        <v>2</v>
      </c>
      <c r="SV65">
        <v>2</v>
      </c>
      <c r="SW65">
        <v>2</v>
      </c>
      <c r="SX65">
        <v>2</v>
      </c>
      <c r="SY65">
        <v>2</v>
      </c>
      <c r="SZ65">
        <v>2</v>
      </c>
      <c r="TA65">
        <v>2</v>
      </c>
      <c r="TB65">
        <v>2</v>
      </c>
      <c r="TC65">
        <v>2</v>
      </c>
      <c r="TD65">
        <v>2</v>
      </c>
      <c r="TE65">
        <v>2</v>
      </c>
      <c r="TF65">
        <v>2</v>
      </c>
      <c r="TG65">
        <v>2</v>
      </c>
      <c r="TH65">
        <v>2</v>
      </c>
      <c r="TI65">
        <v>2</v>
      </c>
      <c r="TJ65">
        <v>2</v>
      </c>
      <c r="TK65">
        <v>2</v>
      </c>
      <c r="TL65">
        <v>2</v>
      </c>
      <c r="TM65">
        <v>2</v>
      </c>
      <c r="TN65">
        <v>2</v>
      </c>
      <c r="TO65">
        <v>2</v>
      </c>
      <c r="TP65">
        <v>2</v>
      </c>
      <c r="TQ65">
        <v>2</v>
      </c>
      <c r="TR65">
        <v>2</v>
      </c>
      <c r="TS65">
        <v>2</v>
      </c>
      <c r="TT65">
        <v>2</v>
      </c>
      <c r="TU65">
        <v>2</v>
      </c>
      <c r="TV65">
        <v>2</v>
      </c>
      <c r="TW65">
        <v>2</v>
      </c>
      <c r="TX65">
        <v>2</v>
      </c>
      <c r="TY65">
        <v>2</v>
      </c>
      <c r="TZ65">
        <v>2</v>
      </c>
      <c r="UA65">
        <v>2</v>
      </c>
      <c r="UB65">
        <v>2</v>
      </c>
      <c r="UC65">
        <v>2</v>
      </c>
      <c r="UD65">
        <v>2</v>
      </c>
      <c r="UE65">
        <v>2</v>
      </c>
      <c r="UF65">
        <v>2</v>
      </c>
      <c r="UG65">
        <v>2</v>
      </c>
      <c r="UH65">
        <v>2</v>
      </c>
      <c r="UI65">
        <v>2</v>
      </c>
      <c r="UJ65">
        <v>2</v>
      </c>
      <c r="UK65">
        <v>2</v>
      </c>
      <c r="UL65">
        <v>2</v>
      </c>
      <c r="UM65">
        <v>2</v>
      </c>
      <c r="UN65">
        <v>2</v>
      </c>
      <c r="UO65">
        <v>2</v>
      </c>
      <c r="UP65">
        <v>2</v>
      </c>
      <c r="UQ65">
        <v>2</v>
      </c>
      <c r="UR65">
        <v>2</v>
      </c>
      <c r="US65">
        <v>2</v>
      </c>
      <c r="UT65">
        <v>2</v>
      </c>
      <c r="UU65">
        <v>2</v>
      </c>
      <c r="UV65">
        <v>2</v>
      </c>
      <c r="UW65">
        <v>2</v>
      </c>
      <c r="UX65">
        <v>2</v>
      </c>
      <c r="UY65">
        <v>2</v>
      </c>
      <c r="UZ65">
        <v>2</v>
      </c>
      <c r="VA65">
        <v>2</v>
      </c>
      <c r="VB65">
        <v>2</v>
      </c>
      <c r="VC65">
        <v>2</v>
      </c>
      <c r="VD65">
        <v>2</v>
      </c>
      <c r="VE65">
        <v>2</v>
      </c>
      <c r="VF65">
        <v>2</v>
      </c>
      <c r="VG65">
        <v>2</v>
      </c>
      <c r="VH65">
        <v>2</v>
      </c>
      <c r="VI65">
        <v>2</v>
      </c>
      <c r="VJ65">
        <v>2</v>
      </c>
      <c r="VK65">
        <v>2</v>
      </c>
      <c r="VL65">
        <v>2</v>
      </c>
      <c r="VM65">
        <v>2</v>
      </c>
      <c r="VN65">
        <v>2</v>
      </c>
      <c r="VO65">
        <v>2</v>
      </c>
      <c r="VP65">
        <v>2</v>
      </c>
      <c r="VQ65">
        <v>2</v>
      </c>
      <c r="VR65">
        <v>2</v>
      </c>
      <c r="VS65">
        <v>2</v>
      </c>
      <c r="VT65">
        <v>2</v>
      </c>
      <c r="VU65">
        <v>2</v>
      </c>
      <c r="VV65">
        <v>2</v>
      </c>
      <c r="VW65">
        <v>2</v>
      </c>
      <c r="VX65">
        <v>2</v>
      </c>
      <c r="VY65">
        <v>2</v>
      </c>
      <c r="VZ65">
        <v>2</v>
      </c>
      <c r="WA65">
        <v>2</v>
      </c>
      <c r="WB65">
        <v>2</v>
      </c>
      <c r="WC65">
        <v>2</v>
      </c>
      <c r="WD65">
        <v>2</v>
      </c>
      <c r="WE65">
        <v>2</v>
      </c>
      <c r="WF65">
        <v>2</v>
      </c>
      <c r="WG65">
        <v>2</v>
      </c>
      <c r="WH65">
        <v>2</v>
      </c>
      <c r="WI65">
        <v>2</v>
      </c>
      <c r="WJ65">
        <v>2</v>
      </c>
      <c r="WK65">
        <v>2</v>
      </c>
      <c r="WL65">
        <v>2</v>
      </c>
      <c r="WM65">
        <v>2</v>
      </c>
      <c r="WN65">
        <v>2</v>
      </c>
      <c r="WO65">
        <v>2</v>
      </c>
      <c r="WP65">
        <v>2</v>
      </c>
      <c r="WQ65">
        <v>2</v>
      </c>
      <c r="WR65">
        <v>2</v>
      </c>
      <c r="WS65">
        <v>2</v>
      </c>
      <c r="WT65">
        <v>2</v>
      </c>
      <c r="WU65">
        <v>2</v>
      </c>
      <c r="WV65">
        <v>2</v>
      </c>
      <c r="WW65">
        <v>2</v>
      </c>
      <c r="WX65">
        <v>2</v>
      </c>
      <c r="WY65">
        <v>2</v>
      </c>
      <c r="WZ65">
        <v>2</v>
      </c>
      <c r="XA65">
        <v>2</v>
      </c>
      <c r="XB65">
        <v>2</v>
      </c>
      <c r="XC65">
        <v>2</v>
      </c>
      <c r="XD65">
        <v>2</v>
      </c>
      <c r="XE65">
        <v>2</v>
      </c>
      <c r="XF65">
        <v>2</v>
      </c>
      <c r="XG65">
        <v>2</v>
      </c>
      <c r="XH65">
        <v>2</v>
      </c>
      <c r="XI65">
        <v>2</v>
      </c>
      <c r="XJ65">
        <v>2</v>
      </c>
      <c r="XK65">
        <v>2</v>
      </c>
      <c r="XL65">
        <v>2</v>
      </c>
      <c r="XM65">
        <v>2</v>
      </c>
      <c r="XN65">
        <v>2</v>
      </c>
      <c r="XO65">
        <v>2</v>
      </c>
      <c r="XP65">
        <v>2</v>
      </c>
      <c r="XQ65">
        <v>2</v>
      </c>
      <c r="XR65">
        <v>1</v>
      </c>
      <c r="XS65">
        <v>1</v>
      </c>
      <c r="XT65">
        <v>1</v>
      </c>
      <c r="XU65">
        <v>1</v>
      </c>
      <c r="XV65">
        <v>1</v>
      </c>
      <c r="XW65">
        <v>1</v>
      </c>
      <c r="XX65">
        <v>1</v>
      </c>
      <c r="XY65">
        <v>1</v>
      </c>
      <c r="XZ65">
        <v>1</v>
      </c>
      <c r="YA65">
        <v>1</v>
      </c>
      <c r="YB65">
        <v>1</v>
      </c>
      <c r="YC65">
        <v>1</v>
      </c>
      <c r="YD65">
        <v>1</v>
      </c>
      <c r="YE65">
        <v>1</v>
      </c>
      <c r="YF65">
        <v>1</v>
      </c>
      <c r="YG65">
        <v>1</v>
      </c>
      <c r="YH65">
        <v>1</v>
      </c>
      <c r="YI65">
        <v>1</v>
      </c>
      <c r="YJ65">
        <v>1</v>
      </c>
      <c r="YK65">
        <v>1</v>
      </c>
      <c r="YL65">
        <v>1</v>
      </c>
      <c r="YM65">
        <v>1</v>
      </c>
      <c r="YN65">
        <v>1</v>
      </c>
      <c r="YO65">
        <v>1</v>
      </c>
      <c r="YP65">
        <v>1</v>
      </c>
      <c r="YQ65">
        <v>1</v>
      </c>
      <c r="YR65">
        <v>1</v>
      </c>
      <c r="YS65">
        <v>1</v>
      </c>
      <c r="YT65">
        <v>1</v>
      </c>
      <c r="YU65">
        <v>1</v>
      </c>
      <c r="YV65">
        <v>1</v>
      </c>
      <c r="YW65">
        <v>1</v>
      </c>
      <c r="YX65">
        <v>1</v>
      </c>
      <c r="YY65">
        <v>1</v>
      </c>
      <c r="YZ65">
        <v>1</v>
      </c>
      <c r="ZA65">
        <v>1</v>
      </c>
      <c r="ZB65">
        <v>1</v>
      </c>
      <c r="ZC65">
        <v>1</v>
      </c>
      <c r="ZD65">
        <v>2</v>
      </c>
      <c r="ZE65">
        <v>2</v>
      </c>
      <c r="ZF65">
        <v>2</v>
      </c>
      <c r="ZG65">
        <v>2</v>
      </c>
      <c r="ZH65">
        <v>2</v>
      </c>
      <c r="ZI65">
        <v>2</v>
      </c>
      <c r="ZJ65">
        <v>2</v>
      </c>
      <c r="ZK65">
        <v>2</v>
      </c>
      <c r="ZL65">
        <v>2</v>
      </c>
      <c r="ZM65">
        <v>2</v>
      </c>
      <c r="ZN65">
        <v>2</v>
      </c>
      <c r="ZO65">
        <v>2</v>
      </c>
      <c r="ZP65">
        <v>2</v>
      </c>
      <c r="ZQ65">
        <v>2</v>
      </c>
      <c r="ZR65">
        <v>2</v>
      </c>
      <c r="ZS65">
        <v>1</v>
      </c>
      <c r="ZT65">
        <v>1</v>
      </c>
      <c r="ZU65">
        <v>1</v>
      </c>
      <c r="ZV65">
        <v>1</v>
      </c>
      <c r="ZW65">
        <v>1</v>
      </c>
      <c r="ZX65">
        <v>1</v>
      </c>
      <c r="ZY65">
        <v>1</v>
      </c>
      <c r="ZZ65">
        <v>1</v>
      </c>
      <c r="AAA65">
        <v>1</v>
      </c>
      <c r="AAB65">
        <v>1</v>
      </c>
      <c r="AAC65">
        <v>1</v>
      </c>
      <c r="AAD65">
        <v>1</v>
      </c>
      <c r="AAE65">
        <v>1</v>
      </c>
      <c r="AAF65">
        <v>1</v>
      </c>
      <c r="AAG65">
        <v>1</v>
      </c>
      <c r="AAH65">
        <v>1</v>
      </c>
      <c r="AAI65">
        <v>1</v>
      </c>
      <c r="AAJ65">
        <v>1</v>
      </c>
      <c r="AAK65">
        <v>1</v>
      </c>
      <c r="AAL65">
        <v>1</v>
      </c>
      <c r="AAM65">
        <v>1</v>
      </c>
      <c r="AAN65">
        <v>1</v>
      </c>
      <c r="AAO65">
        <v>1</v>
      </c>
      <c r="AAP65">
        <v>1</v>
      </c>
      <c r="AAQ65">
        <v>1</v>
      </c>
      <c r="AAR65">
        <v>1</v>
      </c>
      <c r="AAS65">
        <v>1</v>
      </c>
      <c r="AAT65">
        <v>1</v>
      </c>
      <c r="AAU65">
        <v>1</v>
      </c>
      <c r="AAV65">
        <v>1</v>
      </c>
      <c r="AAW65">
        <v>1</v>
      </c>
      <c r="AAX65">
        <v>1</v>
      </c>
      <c r="AAY65">
        <v>1</v>
      </c>
      <c r="AAZ65">
        <v>1</v>
      </c>
      <c r="ABA65">
        <v>1</v>
      </c>
      <c r="ABB65">
        <v>1</v>
      </c>
      <c r="ABC65">
        <v>1</v>
      </c>
      <c r="ABD65">
        <v>1</v>
      </c>
      <c r="ABE65">
        <v>1</v>
      </c>
      <c r="ABG65" s="1137">
        <f t="shared" si="13"/>
        <v>0</v>
      </c>
      <c r="ABH65" s="1137">
        <f t="shared" si="13"/>
        <v>0</v>
      </c>
      <c r="ABI65" s="1137">
        <f t="shared" si="13"/>
        <v>0</v>
      </c>
      <c r="ABJ65" s="1137">
        <f t="shared" si="13"/>
        <v>21</v>
      </c>
      <c r="ABK65" s="1137">
        <f t="shared" si="13"/>
        <v>31</v>
      </c>
      <c r="ABL65" s="1137">
        <f t="shared" si="13"/>
        <v>30</v>
      </c>
      <c r="ABM65" s="1137">
        <f t="shared" si="13"/>
        <v>31</v>
      </c>
      <c r="ABN65" s="1137">
        <f t="shared" si="13"/>
        <v>31</v>
      </c>
      <c r="ABO65" s="1137">
        <f t="shared" si="13"/>
        <v>30</v>
      </c>
      <c r="ABP65" s="1137">
        <f t="shared" si="13"/>
        <v>31</v>
      </c>
      <c r="ABQ65" s="1137">
        <f t="shared" si="13"/>
        <v>30</v>
      </c>
      <c r="ABR65" s="1137">
        <f t="shared" si="13"/>
        <v>31</v>
      </c>
      <c r="ABS65" s="1137">
        <f t="shared" si="13"/>
        <v>31</v>
      </c>
      <c r="ABT65" s="1137">
        <f t="shared" si="13"/>
        <v>28</v>
      </c>
      <c r="ABU65" s="1137">
        <f t="shared" si="13"/>
        <v>31</v>
      </c>
      <c r="ABV65" s="1137">
        <f t="shared" si="13"/>
        <v>30</v>
      </c>
      <c r="ABW65" s="1137">
        <f t="shared" si="17"/>
        <v>31</v>
      </c>
      <c r="ABX65" s="1137">
        <f t="shared" si="14"/>
        <v>30</v>
      </c>
      <c r="ABY65" s="1137">
        <f t="shared" si="14"/>
        <v>31</v>
      </c>
      <c r="ABZ65" s="1137">
        <f t="shared" si="14"/>
        <v>31</v>
      </c>
      <c r="ACA65" s="1137">
        <f t="shared" si="14"/>
        <v>30</v>
      </c>
      <c r="ACB65" s="1137">
        <f t="shared" si="14"/>
        <v>31</v>
      </c>
      <c r="ACC65" s="1137">
        <f t="shared" si="14"/>
        <v>30</v>
      </c>
      <c r="ACD65" s="1137">
        <f t="shared" si="14"/>
        <v>31</v>
      </c>
      <c r="ACE65" s="1137" t="s">
        <v>184</v>
      </c>
      <c r="ACF65" s="1137">
        <f t="shared" si="15"/>
        <v>0</v>
      </c>
      <c r="ACG65" s="1137">
        <f t="shared" si="15"/>
        <v>0</v>
      </c>
      <c r="ACH65" s="1137">
        <f t="shared" si="15"/>
        <v>0</v>
      </c>
      <c r="ACI65" s="1137">
        <f t="shared" si="15"/>
        <v>1</v>
      </c>
      <c r="ACJ65" s="1137">
        <f t="shared" si="15"/>
        <v>1</v>
      </c>
      <c r="ACK65" s="1137">
        <f t="shared" si="15"/>
        <v>1</v>
      </c>
      <c r="ACL65" s="1137">
        <f t="shared" si="15"/>
        <v>1</v>
      </c>
      <c r="ACM65" s="1137">
        <f t="shared" si="15"/>
        <v>1</v>
      </c>
      <c r="ACN65" s="1137">
        <f t="shared" si="15"/>
        <v>1</v>
      </c>
      <c r="ACO65" s="1137">
        <f t="shared" si="15"/>
        <v>1</v>
      </c>
      <c r="ACP65" s="1137">
        <f t="shared" si="15"/>
        <v>1</v>
      </c>
      <c r="ACQ65" s="1137">
        <f t="shared" si="15"/>
        <v>1</v>
      </c>
      <c r="ACR65" s="1137">
        <f t="shared" si="15"/>
        <v>1</v>
      </c>
      <c r="ACS65" s="1137">
        <f t="shared" si="15"/>
        <v>1</v>
      </c>
      <c r="ACT65" s="1137">
        <f t="shared" si="15"/>
        <v>1</v>
      </c>
      <c r="ACU65" s="1137">
        <f t="shared" si="12"/>
        <v>1</v>
      </c>
      <c r="ACV65" s="1137">
        <f t="shared" si="12"/>
        <v>1</v>
      </c>
      <c r="ACW65" s="1137">
        <f t="shared" si="12"/>
        <v>1</v>
      </c>
      <c r="ACX65" s="1137">
        <f t="shared" si="12"/>
        <v>1</v>
      </c>
      <c r="ACY65" s="1137">
        <f t="shared" si="12"/>
        <v>1</v>
      </c>
      <c r="ACZ65" s="1137">
        <f t="shared" si="12"/>
        <v>1</v>
      </c>
      <c r="ADA65" s="1137">
        <f t="shared" si="12"/>
        <v>1</v>
      </c>
      <c r="ADB65" s="1137">
        <f t="shared" si="16"/>
        <v>1</v>
      </c>
      <c r="ADC65" s="1137">
        <f t="shared" si="16"/>
        <v>1</v>
      </c>
    </row>
    <row r="66" spans="1:783" x14ac:dyDescent="0.25">
      <c r="A66" t="s">
        <v>1863</v>
      </c>
      <c r="B66" t="s">
        <v>274</v>
      </c>
      <c r="C66">
        <v>0</v>
      </c>
      <c r="D66">
        <v>0</v>
      </c>
      <c r="E66">
        <v>0</v>
      </c>
      <c r="F66">
        <v>0</v>
      </c>
      <c r="G66">
        <v>0</v>
      </c>
      <c r="H66">
        <v>0</v>
      </c>
      <c r="I66">
        <v>0</v>
      </c>
      <c r="J66">
        <v>0</v>
      </c>
      <c r="K66">
        <v>0</v>
      </c>
      <c r="L66">
        <v>0</v>
      </c>
      <c r="M66">
        <v>0</v>
      </c>
      <c r="N66">
        <v>0</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0</v>
      </c>
      <c r="BB66">
        <v>0</v>
      </c>
      <c r="BC66">
        <v>0</v>
      </c>
      <c r="BD66">
        <v>0</v>
      </c>
      <c r="BE66">
        <v>0</v>
      </c>
      <c r="BF66">
        <v>0</v>
      </c>
      <c r="BG66">
        <v>0</v>
      </c>
      <c r="BH66">
        <v>0</v>
      </c>
      <c r="BI66">
        <v>0</v>
      </c>
      <c r="BJ66">
        <v>0</v>
      </c>
      <c r="BK66">
        <v>0</v>
      </c>
      <c r="BL66">
        <v>0</v>
      </c>
      <c r="BM66">
        <v>0</v>
      </c>
      <c r="BN66">
        <v>0</v>
      </c>
      <c r="BO66">
        <v>0</v>
      </c>
      <c r="BP66">
        <v>0</v>
      </c>
      <c r="BQ66">
        <v>0</v>
      </c>
      <c r="BR66">
        <v>0</v>
      </c>
      <c r="BS66">
        <v>0</v>
      </c>
      <c r="BT66">
        <v>0</v>
      </c>
      <c r="BU66">
        <v>0</v>
      </c>
      <c r="BV66">
        <v>0</v>
      </c>
      <c r="BW66">
        <v>0</v>
      </c>
      <c r="BX66">
        <v>0</v>
      </c>
      <c r="BY66">
        <v>0</v>
      </c>
      <c r="BZ66">
        <v>0</v>
      </c>
      <c r="CA66">
        <v>0</v>
      </c>
      <c r="CB66">
        <v>0</v>
      </c>
      <c r="CC66">
        <v>0</v>
      </c>
      <c r="CD66">
        <v>0</v>
      </c>
      <c r="CE66">
        <v>0</v>
      </c>
      <c r="CF66">
        <v>2</v>
      </c>
      <c r="CG66">
        <v>2</v>
      </c>
      <c r="CH66">
        <v>2</v>
      </c>
      <c r="CI66">
        <v>2</v>
      </c>
      <c r="CJ66">
        <v>2</v>
      </c>
      <c r="CK66">
        <v>2</v>
      </c>
      <c r="CL66">
        <v>2</v>
      </c>
      <c r="CM66">
        <v>2</v>
      </c>
      <c r="CN66">
        <v>2</v>
      </c>
      <c r="CO66">
        <v>2</v>
      </c>
      <c r="CP66">
        <v>2</v>
      </c>
      <c r="CQ66">
        <v>2</v>
      </c>
      <c r="CR66">
        <v>2</v>
      </c>
      <c r="CS66">
        <v>2</v>
      </c>
      <c r="CT66">
        <v>2</v>
      </c>
      <c r="CU66">
        <v>2</v>
      </c>
      <c r="CV66">
        <v>2</v>
      </c>
      <c r="CW66">
        <v>2</v>
      </c>
      <c r="CX66">
        <v>2</v>
      </c>
      <c r="CY66">
        <v>2</v>
      </c>
      <c r="CZ66">
        <v>2</v>
      </c>
      <c r="DA66">
        <v>2</v>
      </c>
      <c r="DB66">
        <v>2</v>
      </c>
      <c r="DC66">
        <v>2</v>
      </c>
      <c r="DD66">
        <v>2</v>
      </c>
      <c r="DE66">
        <v>2</v>
      </c>
      <c r="DF66">
        <v>2</v>
      </c>
      <c r="DG66">
        <v>2</v>
      </c>
      <c r="DH66">
        <v>2</v>
      </c>
      <c r="DI66">
        <v>2</v>
      </c>
      <c r="DJ66">
        <v>2</v>
      </c>
      <c r="DK66">
        <v>2</v>
      </c>
      <c r="DL66">
        <v>2</v>
      </c>
      <c r="DM66">
        <v>2</v>
      </c>
      <c r="DN66">
        <v>2</v>
      </c>
      <c r="DO66">
        <v>2</v>
      </c>
      <c r="DP66">
        <v>2</v>
      </c>
      <c r="DQ66">
        <v>2</v>
      </c>
      <c r="DR66">
        <v>2</v>
      </c>
      <c r="DS66">
        <v>2</v>
      </c>
      <c r="DT66">
        <v>2</v>
      </c>
      <c r="DU66">
        <v>2</v>
      </c>
      <c r="DV66">
        <v>2</v>
      </c>
      <c r="DW66">
        <v>2</v>
      </c>
      <c r="DX66">
        <v>2</v>
      </c>
      <c r="DY66">
        <v>2</v>
      </c>
      <c r="DZ66">
        <v>2</v>
      </c>
      <c r="EA66">
        <v>2</v>
      </c>
      <c r="EB66">
        <v>2</v>
      </c>
      <c r="EC66">
        <v>2</v>
      </c>
      <c r="ED66">
        <v>2</v>
      </c>
      <c r="EE66">
        <v>2</v>
      </c>
      <c r="EF66">
        <v>2</v>
      </c>
      <c r="EG66">
        <v>2</v>
      </c>
      <c r="EH66">
        <v>2</v>
      </c>
      <c r="EI66">
        <v>2</v>
      </c>
      <c r="EJ66">
        <v>2</v>
      </c>
      <c r="EK66">
        <v>2</v>
      </c>
      <c r="EL66">
        <v>2</v>
      </c>
      <c r="EM66">
        <v>2</v>
      </c>
      <c r="EN66">
        <v>2</v>
      </c>
      <c r="EO66">
        <v>2</v>
      </c>
      <c r="EP66">
        <v>2</v>
      </c>
      <c r="EQ66">
        <v>2</v>
      </c>
      <c r="ER66">
        <v>2</v>
      </c>
      <c r="ES66">
        <v>2</v>
      </c>
      <c r="ET66">
        <v>2</v>
      </c>
      <c r="EU66">
        <v>2</v>
      </c>
      <c r="EV66">
        <v>2</v>
      </c>
      <c r="EW66">
        <v>2</v>
      </c>
      <c r="EX66">
        <v>2</v>
      </c>
      <c r="EY66">
        <v>2</v>
      </c>
      <c r="EZ66">
        <v>2</v>
      </c>
      <c r="FA66">
        <v>2</v>
      </c>
      <c r="FB66">
        <v>2</v>
      </c>
      <c r="FC66">
        <v>2</v>
      </c>
      <c r="FD66">
        <v>2</v>
      </c>
      <c r="FE66">
        <v>2</v>
      </c>
      <c r="FF66">
        <v>2</v>
      </c>
      <c r="FG66">
        <v>2</v>
      </c>
      <c r="FH66">
        <v>2</v>
      </c>
      <c r="FI66">
        <v>2</v>
      </c>
      <c r="FJ66">
        <v>2</v>
      </c>
      <c r="FK66">
        <v>2</v>
      </c>
      <c r="FL66">
        <v>2</v>
      </c>
      <c r="FM66">
        <v>2</v>
      </c>
      <c r="FN66">
        <v>2</v>
      </c>
      <c r="FO66">
        <v>2</v>
      </c>
      <c r="FP66">
        <v>2</v>
      </c>
      <c r="FQ66">
        <v>2</v>
      </c>
      <c r="FR66">
        <v>2</v>
      </c>
      <c r="FS66">
        <v>2</v>
      </c>
      <c r="FT66">
        <v>2</v>
      </c>
      <c r="FU66">
        <v>2</v>
      </c>
      <c r="FV66">
        <v>2</v>
      </c>
      <c r="FW66">
        <v>2</v>
      </c>
      <c r="FX66">
        <v>2</v>
      </c>
      <c r="FY66">
        <v>2</v>
      </c>
      <c r="FZ66">
        <v>2</v>
      </c>
      <c r="GA66">
        <v>2</v>
      </c>
      <c r="GB66">
        <v>2</v>
      </c>
      <c r="GC66">
        <v>2</v>
      </c>
      <c r="GD66">
        <v>2</v>
      </c>
      <c r="GE66">
        <v>2</v>
      </c>
      <c r="GF66">
        <v>2</v>
      </c>
      <c r="GG66">
        <v>2</v>
      </c>
      <c r="GH66">
        <v>1</v>
      </c>
      <c r="GI66">
        <v>1</v>
      </c>
      <c r="GJ66">
        <v>1</v>
      </c>
      <c r="GK66">
        <v>1</v>
      </c>
      <c r="GL66">
        <v>1</v>
      </c>
      <c r="GM66">
        <v>1</v>
      </c>
      <c r="GN66">
        <v>1</v>
      </c>
      <c r="GO66">
        <v>1</v>
      </c>
      <c r="GP66">
        <v>1</v>
      </c>
      <c r="GQ66">
        <v>1</v>
      </c>
      <c r="GR66">
        <v>1</v>
      </c>
      <c r="GS66">
        <v>1</v>
      </c>
      <c r="GT66">
        <v>1</v>
      </c>
      <c r="GU66">
        <v>1</v>
      </c>
      <c r="GV66">
        <v>1</v>
      </c>
      <c r="GW66">
        <v>1</v>
      </c>
      <c r="GX66">
        <v>1</v>
      </c>
      <c r="GY66">
        <v>1</v>
      </c>
      <c r="GZ66">
        <v>1</v>
      </c>
      <c r="HA66">
        <v>1</v>
      </c>
      <c r="HB66">
        <v>1</v>
      </c>
      <c r="HC66">
        <v>1</v>
      </c>
      <c r="HD66">
        <v>1</v>
      </c>
      <c r="HE66">
        <v>1</v>
      </c>
      <c r="HF66">
        <v>1</v>
      </c>
      <c r="HG66">
        <v>1</v>
      </c>
      <c r="HH66">
        <v>2</v>
      </c>
      <c r="HI66">
        <v>2</v>
      </c>
      <c r="HJ66">
        <v>2</v>
      </c>
      <c r="HK66">
        <v>2</v>
      </c>
      <c r="HL66">
        <v>2</v>
      </c>
      <c r="HM66">
        <v>2</v>
      </c>
      <c r="HN66">
        <v>2</v>
      </c>
      <c r="HO66">
        <v>2</v>
      </c>
      <c r="HP66">
        <v>2</v>
      </c>
      <c r="HQ66">
        <v>2</v>
      </c>
      <c r="HR66">
        <v>2</v>
      </c>
      <c r="HS66">
        <v>2</v>
      </c>
      <c r="HT66">
        <v>2</v>
      </c>
      <c r="HU66">
        <v>2</v>
      </c>
      <c r="HV66">
        <v>2</v>
      </c>
      <c r="HW66">
        <v>2</v>
      </c>
      <c r="HX66">
        <v>2</v>
      </c>
      <c r="HY66">
        <v>2</v>
      </c>
      <c r="HZ66">
        <v>2</v>
      </c>
      <c r="IA66">
        <v>2</v>
      </c>
      <c r="IB66">
        <v>2</v>
      </c>
      <c r="IC66">
        <v>2</v>
      </c>
      <c r="ID66">
        <v>2</v>
      </c>
      <c r="IE66">
        <v>2</v>
      </c>
      <c r="IF66">
        <v>2</v>
      </c>
      <c r="IG66">
        <v>2</v>
      </c>
      <c r="IH66">
        <v>2</v>
      </c>
      <c r="II66">
        <v>2</v>
      </c>
      <c r="IJ66">
        <v>2</v>
      </c>
      <c r="IK66">
        <v>2</v>
      </c>
      <c r="IL66">
        <v>2</v>
      </c>
      <c r="IM66">
        <v>2</v>
      </c>
      <c r="IN66">
        <v>2</v>
      </c>
      <c r="IO66">
        <v>2</v>
      </c>
      <c r="IP66">
        <v>2</v>
      </c>
      <c r="IQ66">
        <v>2</v>
      </c>
      <c r="IR66">
        <v>2</v>
      </c>
      <c r="IS66">
        <v>2</v>
      </c>
      <c r="IT66">
        <v>2</v>
      </c>
      <c r="IU66">
        <v>2</v>
      </c>
      <c r="IV66">
        <v>2</v>
      </c>
      <c r="IW66">
        <v>2</v>
      </c>
      <c r="IX66">
        <v>2</v>
      </c>
      <c r="IY66">
        <v>2</v>
      </c>
      <c r="IZ66">
        <v>2</v>
      </c>
      <c r="JA66">
        <v>2</v>
      </c>
      <c r="JB66">
        <v>2</v>
      </c>
      <c r="JC66">
        <v>2</v>
      </c>
      <c r="JD66">
        <v>2</v>
      </c>
      <c r="JE66">
        <v>2</v>
      </c>
      <c r="JF66">
        <v>2</v>
      </c>
      <c r="JG66">
        <v>2</v>
      </c>
      <c r="JH66">
        <v>2</v>
      </c>
      <c r="JI66">
        <v>2</v>
      </c>
      <c r="JJ66">
        <v>2</v>
      </c>
      <c r="JK66">
        <v>2</v>
      </c>
      <c r="JL66">
        <v>2</v>
      </c>
      <c r="JM66">
        <v>2</v>
      </c>
      <c r="JN66">
        <v>2</v>
      </c>
      <c r="JO66">
        <v>2</v>
      </c>
      <c r="JP66">
        <v>2</v>
      </c>
      <c r="JQ66">
        <v>2</v>
      </c>
      <c r="JR66">
        <v>2</v>
      </c>
      <c r="JS66">
        <v>2</v>
      </c>
      <c r="JT66">
        <v>2</v>
      </c>
      <c r="JU66">
        <v>2</v>
      </c>
      <c r="JV66">
        <v>2</v>
      </c>
      <c r="JW66">
        <v>2</v>
      </c>
      <c r="JX66">
        <v>2</v>
      </c>
      <c r="JY66">
        <v>2</v>
      </c>
      <c r="JZ66">
        <v>2</v>
      </c>
      <c r="KA66">
        <v>2</v>
      </c>
      <c r="KB66">
        <v>1</v>
      </c>
      <c r="KC66">
        <v>1</v>
      </c>
      <c r="KD66">
        <v>1</v>
      </c>
      <c r="KE66">
        <v>1</v>
      </c>
      <c r="KF66">
        <v>1</v>
      </c>
      <c r="KG66">
        <v>1</v>
      </c>
      <c r="KH66">
        <v>1</v>
      </c>
      <c r="KI66">
        <v>1</v>
      </c>
      <c r="KJ66">
        <v>1</v>
      </c>
      <c r="KK66">
        <v>1</v>
      </c>
      <c r="KL66">
        <v>1</v>
      </c>
      <c r="KM66">
        <v>2</v>
      </c>
      <c r="KN66">
        <v>2</v>
      </c>
      <c r="KO66">
        <v>2</v>
      </c>
      <c r="KP66">
        <v>2</v>
      </c>
      <c r="KQ66">
        <v>2</v>
      </c>
      <c r="KR66">
        <v>2</v>
      </c>
      <c r="KS66">
        <v>2</v>
      </c>
      <c r="KT66">
        <v>2</v>
      </c>
      <c r="KU66">
        <v>2</v>
      </c>
      <c r="KV66">
        <v>2</v>
      </c>
      <c r="KW66">
        <v>2</v>
      </c>
      <c r="KX66">
        <v>2</v>
      </c>
      <c r="KY66">
        <v>2</v>
      </c>
      <c r="KZ66">
        <v>2</v>
      </c>
      <c r="LA66">
        <v>1</v>
      </c>
      <c r="LB66">
        <v>1</v>
      </c>
      <c r="LC66">
        <v>1</v>
      </c>
      <c r="LD66">
        <v>1</v>
      </c>
      <c r="LE66">
        <v>1</v>
      </c>
      <c r="LF66">
        <v>1</v>
      </c>
      <c r="LG66">
        <v>1</v>
      </c>
      <c r="LH66">
        <v>1</v>
      </c>
      <c r="LI66">
        <v>1</v>
      </c>
      <c r="LJ66">
        <v>1</v>
      </c>
      <c r="LK66">
        <v>1</v>
      </c>
      <c r="LL66">
        <v>1</v>
      </c>
      <c r="LM66">
        <v>1</v>
      </c>
      <c r="LN66">
        <v>1</v>
      </c>
      <c r="LO66">
        <v>2</v>
      </c>
      <c r="LP66">
        <v>2</v>
      </c>
      <c r="LQ66">
        <v>2</v>
      </c>
      <c r="LR66">
        <v>2</v>
      </c>
      <c r="LS66">
        <v>2</v>
      </c>
      <c r="LT66">
        <v>2</v>
      </c>
      <c r="LU66">
        <v>2</v>
      </c>
      <c r="LV66">
        <v>2</v>
      </c>
      <c r="LW66">
        <v>2</v>
      </c>
      <c r="LX66">
        <v>2</v>
      </c>
      <c r="LY66">
        <v>2</v>
      </c>
      <c r="LZ66">
        <v>2</v>
      </c>
      <c r="MA66">
        <v>2</v>
      </c>
      <c r="MB66">
        <v>2</v>
      </c>
      <c r="MC66">
        <v>2</v>
      </c>
      <c r="MD66">
        <v>2</v>
      </c>
      <c r="ME66">
        <v>2</v>
      </c>
      <c r="MF66">
        <v>2</v>
      </c>
      <c r="MG66">
        <v>2</v>
      </c>
      <c r="MH66">
        <v>2</v>
      </c>
      <c r="MI66">
        <v>2</v>
      </c>
      <c r="MJ66">
        <v>2</v>
      </c>
      <c r="MK66">
        <v>2</v>
      </c>
      <c r="ML66">
        <v>2</v>
      </c>
      <c r="MM66">
        <v>2</v>
      </c>
      <c r="MN66">
        <v>2</v>
      </c>
      <c r="MO66">
        <v>2</v>
      </c>
      <c r="MP66">
        <v>2</v>
      </c>
      <c r="MQ66">
        <v>2</v>
      </c>
      <c r="MR66">
        <v>2</v>
      </c>
      <c r="MS66">
        <v>2</v>
      </c>
      <c r="MT66">
        <v>2</v>
      </c>
      <c r="MU66">
        <v>2</v>
      </c>
      <c r="MV66">
        <v>2</v>
      </c>
      <c r="MW66">
        <v>2</v>
      </c>
      <c r="MX66">
        <v>2</v>
      </c>
      <c r="MY66">
        <v>2</v>
      </c>
      <c r="MZ66">
        <v>2</v>
      </c>
      <c r="NA66">
        <v>2</v>
      </c>
      <c r="NB66">
        <v>2</v>
      </c>
      <c r="NC66">
        <v>2</v>
      </c>
      <c r="ND66">
        <v>2</v>
      </c>
      <c r="NE66">
        <v>2</v>
      </c>
      <c r="NF66">
        <v>2</v>
      </c>
      <c r="NG66">
        <v>2</v>
      </c>
      <c r="NH66">
        <v>2</v>
      </c>
      <c r="NI66">
        <v>2</v>
      </c>
      <c r="NJ66">
        <v>2</v>
      </c>
      <c r="NK66">
        <v>2</v>
      </c>
      <c r="NL66">
        <v>2</v>
      </c>
      <c r="NM66">
        <v>2</v>
      </c>
      <c r="NN66">
        <v>2</v>
      </c>
      <c r="NO66">
        <v>2</v>
      </c>
      <c r="NP66">
        <v>2</v>
      </c>
      <c r="NQ66">
        <v>2</v>
      </c>
      <c r="NR66">
        <v>2</v>
      </c>
      <c r="NS66">
        <v>2</v>
      </c>
      <c r="NT66">
        <v>2</v>
      </c>
      <c r="NU66">
        <v>2</v>
      </c>
      <c r="NV66">
        <v>2</v>
      </c>
      <c r="NW66">
        <v>2</v>
      </c>
      <c r="NX66">
        <v>2</v>
      </c>
      <c r="NY66">
        <v>2</v>
      </c>
      <c r="NZ66">
        <v>2</v>
      </c>
      <c r="OA66">
        <v>2</v>
      </c>
      <c r="OB66">
        <v>2</v>
      </c>
      <c r="OC66">
        <v>2</v>
      </c>
      <c r="OD66">
        <v>2</v>
      </c>
      <c r="OE66">
        <v>2</v>
      </c>
      <c r="OF66">
        <v>2</v>
      </c>
      <c r="OG66">
        <v>2</v>
      </c>
      <c r="OH66">
        <v>2</v>
      </c>
      <c r="OI66">
        <v>2</v>
      </c>
      <c r="OJ66">
        <v>2</v>
      </c>
      <c r="OK66">
        <v>2</v>
      </c>
      <c r="OL66">
        <v>2</v>
      </c>
      <c r="OM66">
        <v>2</v>
      </c>
      <c r="ON66">
        <v>2</v>
      </c>
      <c r="OO66">
        <v>2</v>
      </c>
      <c r="OP66">
        <v>2</v>
      </c>
      <c r="OQ66">
        <v>2</v>
      </c>
      <c r="OR66">
        <v>2</v>
      </c>
      <c r="OS66">
        <v>2</v>
      </c>
      <c r="OT66">
        <v>2</v>
      </c>
      <c r="OU66">
        <v>2</v>
      </c>
      <c r="OV66">
        <v>2</v>
      </c>
      <c r="OW66">
        <v>2</v>
      </c>
      <c r="OX66">
        <v>2</v>
      </c>
      <c r="OY66">
        <v>2</v>
      </c>
      <c r="OZ66">
        <v>2</v>
      </c>
      <c r="PA66">
        <v>2</v>
      </c>
      <c r="PB66">
        <v>2</v>
      </c>
      <c r="PC66">
        <v>2</v>
      </c>
      <c r="PD66">
        <v>2</v>
      </c>
      <c r="PE66">
        <v>2</v>
      </c>
      <c r="PF66">
        <v>2</v>
      </c>
      <c r="PG66">
        <v>2</v>
      </c>
      <c r="PH66">
        <v>2</v>
      </c>
      <c r="PI66">
        <v>2</v>
      </c>
      <c r="PJ66">
        <v>2</v>
      </c>
      <c r="PK66">
        <v>2</v>
      </c>
      <c r="PL66">
        <v>2</v>
      </c>
      <c r="PM66">
        <v>2</v>
      </c>
      <c r="PN66">
        <v>2</v>
      </c>
      <c r="PO66">
        <v>2</v>
      </c>
      <c r="PP66">
        <v>2</v>
      </c>
      <c r="PQ66">
        <v>2</v>
      </c>
      <c r="PR66">
        <v>2</v>
      </c>
      <c r="PS66">
        <v>2</v>
      </c>
      <c r="PT66">
        <v>2</v>
      </c>
      <c r="PU66">
        <v>2</v>
      </c>
      <c r="PV66">
        <v>2</v>
      </c>
      <c r="PW66">
        <v>2</v>
      </c>
      <c r="PX66">
        <v>2</v>
      </c>
      <c r="PY66">
        <v>2</v>
      </c>
      <c r="PZ66">
        <v>2</v>
      </c>
      <c r="QA66">
        <v>2</v>
      </c>
      <c r="QB66">
        <v>2</v>
      </c>
      <c r="QC66">
        <v>2</v>
      </c>
      <c r="QD66">
        <v>2</v>
      </c>
      <c r="QE66">
        <v>2</v>
      </c>
      <c r="QF66">
        <v>2</v>
      </c>
      <c r="QG66">
        <v>2</v>
      </c>
      <c r="QH66">
        <v>2</v>
      </c>
      <c r="QI66">
        <v>2</v>
      </c>
      <c r="QJ66">
        <v>2</v>
      </c>
      <c r="QK66">
        <v>2</v>
      </c>
      <c r="QL66">
        <v>1</v>
      </c>
      <c r="QM66">
        <v>1</v>
      </c>
      <c r="QN66">
        <v>1</v>
      </c>
      <c r="QO66">
        <v>1</v>
      </c>
      <c r="QP66">
        <v>1</v>
      </c>
      <c r="QQ66">
        <v>1</v>
      </c>
      <c r="QR66">
        <v>1</v>
      </c>
      <c r="QS66">
        <v>1</v>
      </c>
      <c r="QT66">
        <v>1</v>
      </c>
      <c r="QU66">
        <v>1</v>
      </c>
      <c r="QV66">
        <v>1</v>
      </c>
      <c r="QW66">
        <v>1</v>
      </c>
      <c r="QX66">
        <v>1</v>
      </c>
      <c r="QY66">
        <v>1</v>
      </c>
      <c r="QZ66">
        <v>1</v>
      </c>
      <c r="RA66">
        <v>1</v>
      </c>
      <c r="RB66">
        <v>1</v>
      </c>
      <c r="RC66">
        <v>1</v>
      </c>
      <c r="RD66">
        <v>1</v>
      </c>
      <c r="RE66">
        <v>1</v>
      </c>
      <c r="RF66">
        <v>1</v>
      </c>
      <c r="RG66">
        <v>1</v>
      </c>
      <c r="RH66">
        <v>1</v>
      </c>
      <c r="RI66">
        <v>1</v>
      </c>
      <c r="RJ66">
        <v>1</v>
      </c>
      <c r="RK66">
        <v>1</v>
      </c>
      <c r="RL66">
        <v>1</v>
      </c>
      <c r="RM66">
        <v>1</v>
      </c>
      <c r="RN66">
        <v>1</v>
      </c>
      <c r="RO66">
        <v>1</v>
      </c>
      <c r="RP66">
        <v>1</v>
      </c>
      <c r="RQ66">
        <v>1</v>
      </c>
      <c r="RR66">
        <v>1</v>
      </c>
      <c r="RS66">
        <v>1</v>
      </c>
      <c r="RT66">
        <v>1</v>
      </c>
      <c r="RU66">
        <v>1</v>
      </c>
      <c r="RV66">
        <v>1</v>
      </c>
      <c r="RW66">
        <v>1</v>
      </c>
      <c r="RX66">
        <v>1</v>
      </c>
      <c r="RY66">
        <v>1</v>
      </c>
      <c r="RZ66">
        <v>1</v>
      </c>
      <c r="SA66">
        <v>1</v>
      </c>
      <c r="SB66">
        <v>1</v>
      </c>
      <c r="SC66">
        <v>1</v>
      </c>
      <c r="SD66">
        <v>1</v>
      </c>
      <c r="SE66">
        <v>1</v>
      </c>
      <c r="SF66">
        <v>1</v>
      </c>
      <c r="SG66">
        <v>1</v>
      </c>
      <c r="SH66">
        <v>1</v>
      </c>
      <c r="SI66">
        <v>1</v>
      </c>
      <c r="SJ66">
        <v>1</v>
      </c>
      <c r="SK66">
        <v>2</v>
      </c>
      <c r="SL66">
        <v>2</v>
      </c>
      <c r="SM66">
        <v>2</v>
      </c>
      <c r="SN66">
        <v>2</v>
      </c>
      <c r="SO66">
        <v>2</v>
      </c>
      <c r="SP66">
        <v>2</v>
      </c>
      <c r="SQ66">
        <v>2</v>
      </c>
      <c r="SR66">
        <v>2</v>
      </c>
      <c r="SS66">
        <v>2</v>
      </c>
      <c r="ST66">
        <v>2</v>
      </c>
      <c r="SU66">
        <v>2</v>
      </c>
      <c r="SV66">
        <v>2</v>
      </c>
      <c r="SW66">
        <v>2</v>
      </c>
      <c r="SX66">
        <v>2</v>
      </c>
      <c r="SY66">
        <v>2</v>
      </c>
      <c r="SZ66">
        <v>2</v>
      </c>
      <c r="TA66">
        <v>2</v>
      </c>
      <c r="TB66">
        <v>2</v>
      </c>
      <c r="TC66">
        <v>2</v>
      </c>
      <c r="TD66">
        <v>0</v>
      </c>
      <c r="TE66">
        <v>0</v>
      </c>
      <c r="TF66">
        <v>0</v>
      </c>
      <c r="TG66">
        <v>0</v>
      </c>
      <c r="TH66">
        <v>0</v>
      </c>
      <c r="TI66">
        <v>0</v>
      </c>
      <c r="TJ66">
        <v>0</v>
      </c>
      <c r="TK66">
        <v>0</v>
      </c>
      <c r="TL66">
        <v>0</v>
      </c>
      <c r="TM66">
        <v>0</v>
      </c>
      <c r="TN66">
        <v>0</v>
      </c>
      <c r="TO66">
        <v>0</v>
      </c>
      <c r="TP66">
        <v>0</v>
      </c>
      <c r="TQ66">
        <v>0</v>
      </c>
      <c r="TR66">
        <v>0</v>
      </c>
      <c r="TS66">
        <v>0</v>
      </c>
      <c r="TT66">
        <v>0</v>
      </c>
      <c r="TU66">
        <v>0</v>
      </c>
      <c r="TV66">
        <v>0</v>
      </c>
      <c r="TW66">
        <v>0</v>
      </c>
      <c r="TX66">
        <v>0</v>
      </c>
      <c r="TY66">
        <v>0</v>
      </c>
      <c r="TZ66">
        <v>0</v>
      </c>
      <c r="UA66">
        <v>0</v>
      </c>
      <c r="UB66">
        <v>0</v>
      </c>
      <c r="UC66">
        <v>0</v>
      </c>
      <c r="UD66">
        <v>0</v>
      </c>
      <c r="UE66">
        <v>0</v>
      </c>
      <c r="UF66">
        <v>0</v>
      </c>
      <c r="UG66">
        <v>0</v>
      </c>
      <c r="UH66">
        <v>0</v>
      </c>
      <c r="UI66">
        <v>0</v>
      </c>
      <c r="UJ66">
        <v>0</v>
      </c>
      <c r="UK66">
        <v>0</v>
      </c>
      <c r="UL66">
        <v>0</v>
      </c>
      <c r="UM66">
        <v>0</v>
      </c>
      <c r="UN66">
        <v>0</v>
      </c>
      <c r="UO66">
        <v>0</v>
      </c>
      <c r="UP66">
        <v>0</v>
      </c>
      <c r="UQ66">
        <v>0</v>
      </c>
      <c r="UR66">
        <v>0</v>
      </c>
      <c r="US66">
        <v>0</v>
      </c>
      <c r="UT66">
        <v>0</v>
      </c>
      <c r="UU66">
        <v>0</v>
      </c>
      <c r="UV66">
        <v>0</v>
      </c>
      <c r="UW66">
        <v>0</v>
      </c>
      <c r="UX66">
        <v>0</v>
      </c>
      <c r="UY66">
        <v>0</v>
      </c>
      <c r="UZ66">
        <v>0</v>
      </c>
      <c r="VA66">
        <v>0</v>
      </c>
      <c r="VB66">
        <v>0</v>
      </c>
      <c r="VC66">
        <v>0</v>
      </c>
      <c r="VD66">
        <v>0</v>
      </c>
      <c r="VE66">
        <v>0</v>
      </c>
      <c r="VF66">
        <v>0</v>
      </c>
      <c r="VG66">
        <v>0</v>
      </c>
      <c r="VH66">
        <v>0</v>
      </c>
      <c r="VI66">
        <v>0</v>
      </c>
      <c r="VJ66">
        <v>0</v>
      </c>
      <c r="VK66">
        <v>0</v>
      </c>
      <c r="VL66">
        <v>0</v>
      </c>
      <c r="VM66">
        <v>0</v>
      </c>
      <c r="VN66">
        <v>0</v>
      </c>
      <c r="VO66">
        <v>0</v>
      </c>
      <c r="VP66">
        <v>0</v>
      </c>
      <c r="VQ66">
        <v>0</v>
      </c>
      <c r="VR66">
        <v>0</v>
      </c>
      <c r="VS66">
        <v>0</v>
      </c>
      <c r="VT66">
        <v>0</v>
      </c>
      <c r="VU66">
        <v>0</v>
      </c>
      <c r="VV66">
        <v>0</v>
      </c>
      <c r="VW66">
        <v>0</v>
      </c>
      <c r="VX66">
        <v>0</v>
      </c>
      <c r="VY66">
        <v>0</v>
      </c>
      <c r="VZ66">
        <v>0</v>
      </c>
      <c r="WA66">
        <v>0</v>
      </c>
      <c r="WB66">
        <v>0</v>
      </c>
      <c r="WC66">
        <v>0</v>
      </c>
      <c r="WD66">
        <v>0</v>
      </c>
      <c r="WE66">
        <v>0</v>
      </c>
      <c r="WF66">
        <v>0</v>
      </c>
      <c r="WG66">
        <v>0</v>
      </c>
      <c r="WH66">
        <v>0</v>
      </c>
      <c r="WI66">
        <v>0</v>
      </c>
      <c r="WJ66">
        <v>0</v>
      </c>
      <c r="WK66">
        <v>0</v>
      </c>
      <c r="WL66">
        <v>0</v>
      </c>
      <c r="WM66">
        <v>0</v>
      </c>
      <c r="WN66">
        <v>0</v>
      </c>
      <c r="WO66">
        <v>0</v>
      </c>
      <c r="WP66">
        <v>0</v>
      </c>
      <c r="WQ66">
        <v>0</v>
      </c>
      <c r="WR66">
        <v>0</v>
      </c>
      <c r="WS66">
        <v>0</v>
      </c>
      <c r="WT66">
        <v>0</v>
      </c>
      <c r="WU66">
        <v>0</v>
      </c>
      <c r="WV66">
        <v>0</v>
      </c>
      <c r="WW66">
        <v>0</v>
      </c>
      <c r="WX66">
        <v>0</v>
      </c>
      <c r="WY66">
        <v>0</v>
      </c>
      <c r="WZ66">
        <v>0</v>
      </c>
      <c r="XA66">
        <v>0</v>
      </c>
      <c r="XB66">
        <v>0</v>
      </c>
      <c r="XC66">
        <v>0</v>
      </c>
      <c r="XD66">
        <v>0</v>
      </c>
      <c r="XE66">
        <v>0</v>
      </c>
      <c r="XF66">
        <v>0</v>
      </c>
      <c r="XG66">
        <v>0</v>
      </c>
      <c r="XH66">
        <v>0</v>
      </c>
      <c r="XI66">
        <v>0</v>
      </c>
      <c r="XJ66">
        <v>0</v>
      </c>
      <c r="XK66">
        <v>0</v>
      </c>
      <c r="XL66">
        <v>0</v>
      </c>
      <c r="XM66">
        <v>0</v>
      </c>
      <c r="XN66">
        <v>0</v>
      </c>
      <c r="XO66">
        <v>0</v>
      </c>
      <c r="XP66">
        <v>0</v>
      </c>
      <c r="XQ66">
        <v>0</v>
      </c>
      <c r="XR66">
        <v>0</v>
      </c>
      <c r="XS66">
        <v>0</v>
      </c>
      <c r="XT66">
        <v>0</v>
      </c>
      <c r="XU66">
        <v>0</v>
      </c>
      <c r="XV66">
        <v>0</v>
      </c>
      <c r="XW66">
        <v>0</v>
      </c>
      <c r="XX66">
        <v>0</v>
      </c>
      <c r="XY66">
        <v>0</v>
      </c>
      <c r="XZ66">
        <v>0</v>
      </c>
      <c r="YA66">
        <v>0</v>
      </c>
      <c r="YB66">
        <v>0</v>
      </c>
      <c r="YC66">
        <v>0</v>
      </c>
      <c r="YD66">
        <v>0</v>
      </c>
      <c r="YE66">
        <v>0</v>
      </c>
      <c r="YF66">
        <v>0</v>
      </c>
      <c r="YG66">
        <v>0</v>
      </c>
      <c r="YH66">
        <v>0</v>
      </c>
      <c r="YI66">
        <v>0</v>
      </c>
      <c r="YJ66">
        <v>0</v>
      </c>
      <c r="YK66">
        <v>0</v>
      </c>
      <c r="YL66">
        <v>0</v>
      </c>
      <c r="YM66">
        <v>0</v>
      </c>
      <c r="YN66">
        <v>0</v>
      </c>
      <c r="YO66">
        <v>0</v>
      </c>
      <c r="YP66">
        <v>0</v>
      </c>
      <c r="YQ66">
        <v>0</v>
      </c>
      <c r="YR66">
        <v>0</v>
      </c>
      <c r="YS66">
        <v>0</v>
      </c>
      <c r="YT66">
        <v>0</v>
      </c>
      <c r="YU66">
        <v>0</v>
      </c>
      <c r="YV66">
        <v>0</v>
      </c>
      <c r="YW66">
        <v>0</v>
      </c>
      <c r="YX66">
        <v>0</v>
      </c>
      <c r="YY66">
        <v>0</v>
      </c>
      <c r="YZ66">
        <v>0</v>
      </c>
      <c r="ZA66">
        <v>0</v>
      </c>
      <c r="ZB66">
        <v>0</v>
      </c>
      <c r="ZC66">
        <v>0</v>
      </c>
      <c r="ZD66">
        <v>0</v>
      </c>
      <c r="ZE66">
        <v>0</v>
      </c>
      <c r="ZF66">
        <v>0</v>
      </c>
      <c r="ZG66">
        <v>0</v>
      </c>
      <c r="ZH66">
        <v>0</v>
      </c>
      <c r="ZI66">
        <v>0</v>
      </c>
      <c r="ZJ66">
        <v>0</v>
      </c>
      <c r="ZK66">
        <v>0</v>
      </c>
      <c r="ZL66">
        <v>0</v>
      </c>
      <c r="ZM66">
        <v>0</v>
      </c>
      <c r="ZN66">
        <v>0</v>
      </c>
      <c r="ZO66">
        <v>0</v>
      </c>
      <c r="ZP66">
        <v>0</v>
      </c>
      <c r="ZQ66">
        <v>0</v>
      </c>
      <c r="ZR66">
        <v>0</v>
      </c>
      <c r="ZS66">
        <v>0</v>
      </c>
      <c r="ZT66">
        <v>0</v>
      </c>
      <c r="ZU66">
        <v>0</v>
      </c>
      <c r="ZV66">
        <v>0</v>
      </c>
      <c r="ZW66">
        <v>0</v>
      </c>
      <c r="ZX66">
        <v>0</v>
      </c>
      <c r="ZY66">
        <v>0</v>
      </c>
      <c r="ZZ66">
        <v>0</v>
      </c>
      <c r="AAA66">
        <v>0</v>
      </c>
      <c r="AAB66">
        <v>0</v>
      </c>
      <c r="AAC66">
        <v>0</v>
      </c>
      <c r="AAD66">
        <v>0</v>
      </c>
      <c r="AAE66">
        <v>0</v>
      </c>
      <c r="AAF66">
        <v>0</v>
      </c>
      <c r="AAG66">
        <v>0</v>
      </c>
      <c r="AAH66">
        <v>0</v>
      </c>
      <c r="AAI66">
        <v>0</v>
      </c>
      <c r="AAJ66">
        <v>0</v>
      </c>
      <c r="AAK66">
        <v>0</v>
      </c>
      <c r="AAL66">
        <v>0</v>
      </c>
      <c r="AAM66">
        <v>0</v>
      </c>
      <c r="AAN66">
        <v>0</v>
      </c>
      <c r="AAO66">
        <v>0</v>
      </c>
      <c r="AAP66">
        <v>0</v>
      </c>
      <c r="AAQ66">
        <v>0</v>
      </c>
      <c r="AAR66">
        <v>0</v>
      </c>
      <c r="AAS66">
        <v>0</v>
      </c>
      <c r="AAT66">
        <v>0</v>
      </c>
      <c r="AAU66">
        <v>0</v>
      </c>
      <c r="AAV66">
        <v>0</v>
      </c>
      <c r="AAW66">
        <v>0</v>
      </c>
      <c r="AAX66">
        <v>0</v>
      </c>
      <c r="AAY66">
        <v>0</v>
      </c>
      <c r="AAZ66">
        <v>0</v>
      </c>
      <c r="ABA66">
        <v>0</v>
      </c>
      <c r="ABB66">
        <v>0</v>
      </c>
      <c r="ABC66">
        <v>0</v>
      </c>
      <c r="ABD66">
        <v>0</v>
      </c>
      <c r="ABE66">
        <v>0</v>
      </c>
      <c r="ABG66" s="1137">
        <f t="shared" si="13"/>
        <v>0</v>
      </c>
      <c r="ABH66" s="1137">
        <f t="shared" si="13"/>
        <v>0</v>
      </c>
      <c r="ABI66" s="1137">
        <f t="shared" si="13"/>
        <v>10</v>
      </c>
      <c r="ABJ66" s="1137">
        <f t="shared" si="13"/>
        <v>30</v>
      </c>
      <c r="ABK66" s="1137">
        <f t="shared" si="13"/>
        <v>31</v>
      </c>
      <c r="ABL66" s="1137">
        <f t="shared" si="13"/>
        <v>30</v>
      </c>
      <c r="ABM66" s="1137">
        <f t="shared" si="13"/>
        <v>31</v>
      </c>
      <c r="ABN66" s="1137">
        <f t="shared" si="13"/>
        <v>31</v>
      </c>
      <c r="ABO66" s="1137">
        <f t="shared" si="13"/>
        <v>30</v>
      </c>
      <c r="ABP66" s="1137">
        <f t="shared" si="13"/>
        <v>31</v>
      </c>
      <c r="ABQ66" s="1137">
        <f t="shared" si="13"/>
        <v>30</v>
      </c>
      <c r="ABR66" s="1137">
        <f t="shared" si="13"/>
        <v>31</v>
      </c>
      <c r="ABS66" s="1137">
        <f t="shared" si="13"/>
        <v>31</v>
      </c>
      <c r="ABT66" s="1137">
        <f t="shared" si="13"/>
        <v>28</v>
      </c>
      <c r="ABU66" s="1137">
        <f t="shared" si="13"/>
        <v>31</v>
      </c>
      <c r="ABV66" s="1137">
        <f t="shared" si="13"/>
        <v>30</v>
      </c>
      <c r="ABW66" s="1137">
        <f t="shared" si="17"/>
        <v>31</v>
      </c>
      <c r="ABX66" s="1137">
        <f t="shared" si="14"/>
        <v>4</v>
      </c>
      <c r="ABY66" s="1137">
        <f t="shared" si="14"/>
        <v>0</v>
      </c>
      <c r="ABZ66" s="1137">
        <f t="shared" si="14"/>
        <v>0</v>
      </c>
      <c r="ACA66" s="1137">
        <f t="shared" si="14"/>
        <v>0</v>
      </c>
      <c r="ACB66" s="1137">
        <f t="shared" si="14"/>
        <v>0</v>
      </c>
      <c r="ACC66" s="1137">
        <f t="shared" si="14"/>
        <v>0</v>
      </c>
      <c r="ACD66" s="1137">
        <f t="shared" si="14"/>
        <v>0</v>
      </c>
      <c r="ACE66" s="1137" t="s">
        <v>274</v>
      </c>
      <c r="ACF66" s="1137">
        <f t="shared" si="15"/>
        <v>0</v>
      </c>
      <c r="ACG66" s="1137">
        <f t="shared" si="15"/>
        <v>0</v>
      </c>
      <c r="ACH66" s="1137">
        <f t="shared" si="15"/>
        <v>0</v>
      </c>
      <c r="ACI66" s="1137">
        <f t="shared" si="15"/>
        <v>1</v>
      </c>
      <c r="ACJ66" s="1137">
        <f t="shared" si="15"/>
        <v>1</v>
      </c>
      <c r="ACK66" s="1137">
        <f t="shared" si="15"/>
        <v>1</v>
      </c>
      <c r="ACL66" s="1137">
        <f t="shared" si="15"/>
        <v>1</v>
      </c>
      <c r="ACM66" s="1137">
        <f t="shared" si="15"/>
        <v>1</v>
      </c>
      <c r="ACN66" s="1137">
        <f t="shared" si="15"/>
        <v>1</v>
      </c>
      <c r="ACO66" s="1137">
        <f t="shared" si="15"/>
        <v>1</v>
      </c>
      <c r="ACP66" s="1137">
        <f t="shared" si="15"/>
        <v>1</v>
      </c>
      <c r="ACQ66" s="1137">
        <f t="shared" si="15"/>
        <v>1</v>
      </c>
      <c r="ACR66" s="1137">
        <f t="shared" si="15"/>
        <v>1</v>
      </c>
      <c r="ACS66" s="1137">
        <f t="shared" si="15"/>
        <v>1</v>
      </c>
      <c r="ACT66" s="1137">
        <f t="shared" si="15"/>
        <v>1</v>
      </c>
      <c r="ACU66" s="1137">
        <f t="shared" si="12"/>
        <v>1</v>
      </c>
      <c r="ACV66" s="1137">
        <f t="shared" si="12"/>
        <v>1</v>
      </c>
      <c r="ACW66" s="1137">
        <f t="shared" si="12"/>
        <v>0</v>
      </c>
      <c r="ACX66" s="1137">
        <f t="shared" si="12"/>
        <v>0</v>
      </c>
      <c r="ACY66" s="1137">
        <f t="shared" si="12"/>
        <v>0</v>
      </c>
      <c r="ACZ66" s="1137">
        <f t="shared" si="12"/>
        <v>0</v>
      </c>
      <c r="ADA66" s="1137">
        <f t="shared" si="12"/>
        <v>0</v>
      </c>
      <c r="ADB66" s="1137">
        <f t="shared" si="16"/>
        <v>0</v>
      </c>
      <c r="ADC66" s="1137">
        <f t="shared" si="16"/>
        <v>0</v>
      </c>
    </row>
    <row r="67" spans="1:783" x14ac:dyDescent="0.25">
      <c r="A67" t="s">
        <v>1864</v>
      </c>
      <c r="B67" t="s">
        <v>185</v>
      </c>
      <c r="C67">
        <v>0</v>
      </c>
      <c r="D67">
        <v>0</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0</v>
      </c>
      <c r="BF67">
        <v>0</v>
      </c>
      <c r="BG67">
        <v>0</v>
      </c>
      <c r="BH67">
        <v>0</v>
      </c>
      <c r="BI67">
        <v>0</v>
      </c>
      <c r="BJ67">
        <v>0</v>
      </c>
      <c r="BK67">
        <v>0</v>
      </c>
      <c r="BL67">
        <v>0</v>
      </c>
      <c r="BM67">
        <v>0</v>
      </c>
      <c r="BN67">
        <v>0</v>
      </c>
      <c r="BO67">
        <v>0</v>
      </c>
      <c r="BP67">
        <v>0</v>
      </c>
      <c r="BQ67">
        <v>0</v>
      </c>
      <c r="BR67">
        <v>0</v>
      </c>
      <c r="BS67">
        <v>0</v>
      </c>
      <c r="BT67">
        <v>0</v>
      </c>
      <c r="BU67">
        <v>0</v>
      </c>
      <c r="BV67">
        <v>0</v>
      </c>
      <c r="BW67">
        <v>0</v>
      </c>
      <c r="BX67">
        <v>0</v>
      </c>
      <c r="BY67">
        <v>0</v>
      </c>
      <c r="BZ67">
        <v>0</v>
      </c>
      <c r="CA67">
        <v>0</v>
      </c>
      <c r="CB67">
        <v>0</v>
      </c>
      <c r="CC67">
        <v>0</v>
      </c>
      <c r="CD67">
        <v>0</v>
      </c>
      <c r="CE67">
        <v>0</v>
      </c>
      <c r="CF67">
        <v>2</v>
      </c>
      <c r="CG67">
        <v>2</v>
      </c>
      <c r="CH67">
        <v>2</v>
      </c>
      <c r="CI67">
        <v>2</v>
      </c>
      <c r="CJ67">
        <v>2</v>
      </c>
      <c r="CK67">
        <v>2</v>
      </c>
      <c r="CL67">
        <v>2</v>
      </c>
      <c r="CM67">
        <v>2</v>
      </c>
      <c r="CN67">
        <v>2</v>
      </c>
      <c r="CO67">
        <v>2</v>
      </c>
      <c r="CP67">
        <v>2</v>
      </c>
      <c r="CQ67">
        <v>2</v>
      </c>
      <c r="CR67">
        <v>2</v>
      </c>
      <c r="CS67">
        <v>2</v>
      </c>
      <c r="CT67">
        <v>2</v>
      </c>
      <c r="CU67">
        <v>2</v>
      </c>
      <c r="CV67">
        <v>2</v>
      </c>
      <c r="CW67">
        <v>2</v>
      </c>
      <c r="CX67">
        <v>2</v>
      </c>
      <c r="CY67">
        <v>2</v>
      </c>
      <c r="CZ67">
        <v>2</v>
      </c>
      <c r="DA67">
        <v>2</v>
      </c>
      <c r="DB67">
        <v>2</v>
      </c>
      <c r="DC67">
        <v>2</v>
      </c>
      <c r="DD67">
        <v>2</v>
      </c>
      <c r="DE67">
        <v>2</v>
      </c>
      <c r="DF67">
        <v>2</v>
      </c>
      <c r="DG67">
        <v>2</v>
      </c>
      <c r="DH67">
        <v>2</v>
      </c>
      <c r="DI67">
        <v>2</v>
      </c>
      <c r="DJ67">
        <v>2</v>
      </c>
      <c r="DK67">
        <v>2</v>
      </c>
      <c r="DL67">
        <v>2</v>
      </c>
      <c r="DM67">
        <v>2</v>
      </c>
      <c r="DN67">
        <v>2</v>
      </c>
      <c r="DO67">
        <v>2</v>
      </c>
      <c r="DP67">
        <v>2</v>
      </c>
      <c r="DQ67">
        <v>2</v>
      </c>
      <c r="DR67">
        <v>2</v>
      </c>
      <c r="DS67">
        <v>2</v>
      </c>
      <c r="DT67">
        <v>2</v>
      </c>
      <c r="DU67">
        <v>2</v>
      </c>
      <c r="DV67">
        <v>2</v>
      </c>
      <c r="DW67">
        <v>2</v>
      </c>
      <c r="DX67">
        <v>2</v>
      </c>
      <c r="DY67">
        <v>2</v>
      </c>
      <c r="DZ67">
        <v>2</v>
      </c>
      <c r="EA67">
        <v>2</v>
      </c>
      <c r="EB67">
        <v>2</v>
      </c>
      <c r="EC67">
        <v>2</v>
      </c>
      <c r="ED67">
        <v>2</v>
      </c>
      <c r="EE67">
        <v>2</v>
      </c>
      <c r="EF67">
        <v>2</v>
      </c>
      <c r="EG67">
        <v>2</v>
      </c>
      <c r="EH67">
        <v>2</v>
      </c>
      <c r="EI67">
        <v>2</v>
      </c>
      <c r="EJ67">
        <v>2</v>
      </c>
      <c r="EK67">
        <v>2</v>
      </c>
      <c r="EL67">
        <v>2</v>
      </c>
      <c r="EM67">
        <v>2</v>
      </c>
      <c r="EN67">
        <v>2</v>
      </c>
      <c r="EO67">
        <v>2</v>
      </c>
      <c r="EP67">
        <v>2</v>
      </c>
      <c r="EQ67">
        <v>2</v>
      </c>
      <c r="ER67">
        <v>2</v>
      </c>
      <c r="ES67">
        <v>2</v>
      </c>
      <c r="ET67">
        <v>2</v>
      </c>
      <c r="EU67">
        <v>2</v>
      </c>
      <c r="EV67">
        <v>1</v>
      </c>
      <c r="EW67">
        <v>1</v>
      </c>
      <c r="EX67">
        <v>1</v>
      </c>
      <c r="EY67">
        <v>1</v>
      </c>
      <c r="EZ67">
        <v>1</v>
      </c>
      <c r="FA67">
        <v>1</v>
      </c>
      <c r="FB67">
        <v>1</v>
      </c>
      <c r="FC67">
        <v>1</v>
      </c>
      <c r="FD67">
        <v>1</v>
      </c>
      <c r="FE67">
        <v>1</v>
      </c>
      <c r="FF67">
        <v>1</v>
      </c>
      <c r="FG67">
        <v>1</v>
      </c>
      <c r="FH67">
        <v>1</v>
      </c>
      <c r="FI67">
        <v>1</v>
      </c>
      <c r="FJ67">
        <v>1</v>
      </c>
      <c r="FK67">
        <v>1</v>
      </c>
      <c r="FL67">
        <v>1</v>
      </c>
      <c r="FM67">
        <v>0</v>
      </c>
      <c r="FN67">
        <v>0</v>
      </c>
      <c r="FO67">
        <v>0</v>
      </c>
      <c r="FP67">
        <v>0</v>
      </c>
      <c r="FQ67">
        <v>0</v>
      </c>
      <c r="FR67">
        <v>0</v>
      </c>
      <c r="FS67">
        <v>0</v>
      </c>
      <c r="FT67">
        <v>0</v>
      </c>
      <c r="FU67">
        <v>0</v>
      </c>
      <c r="FV67">
        <v>0</v>
      </c>
      <c r="FW67">
        <v>0</v>
      </c>
      <c r="FX67">
        <v>0</v>
      </c>
      <c r="FY67">
        <v>0</v>
      </c>
      <c r="FZ67">
        <v>0</v>
      </c>
      <c r="GA67">
        <v>0</v>
      </c>
      <c r="GB67">
        <v>0</v>
      </c>
      <c r="GC67">
        <v>0</v>
      </c>
      <c r="GD67">
        <v>0</v>
      </c>
      <c r="GE67">
        <v>0</v>
      </c>
      <c r="GF67">
        <v>0</v>
      </c>
      <c r="GG67">
        <v>0</v>
      </c>
      <c r="GH67">
        <v>0</v>
      </c>
      <c r="GI67">
        <v>0</v>
      </c>
      <c r="GJ67">
        <v>0</v>
      </c>
      <c r="GK67">
        <v>0</v>
      </c>
      <c r="GL67">
        <v>1</v>
      </c>
      <c r="GM67">
        <v>1</v>
      </c>
      <c r="GN67">
        <v>1</v>
      </c>
      <c r="GO67">
        <v>1</v>
      </c>
      <c r="GP67">
        <v>1</v>
      </c>
      <c r="GQ67">
        <v>1</v>
      </c>
      <c r="GR67">
        <v>1</v>
      </c>
      <c r="GS67">
        <v>1</v>
      </c>
      <c r="GT67">
        <v>1</v>
      </c>
      <c r="GU67">
        <v>1</v>
      </c>
      <c r="GV67">
        <v>1</v>
      </c>
      <c r="GW67">
        <v>1</v>
      </c>
      <c r="GX67">
        <v>1</v>
      </c>
      <c r="GY67">
        <v>1</v>
      </c>
      <c r="GZ67">
        <v>1</v>
      </c>
      <c r="HA67">
        <v>1</v>
      </c>
      <c r="HB67">
        <v>1</v>
      </c>
      <c r="HC67">
        <v>1</v>
      </c>
      <c r="HD67">
        <v>1</v>
      </c>
      <c r="HE67">
        <v>1</v>
      </c>
      <c r="HF67">
        <v>1</v>
      </c>
      <c r="HG67">
        <v>1</v>
      </c>
      <c r="HH67">
        <v>1</v>
      </c>
      <c r="HI67">
        <v>1</v>
      </c>
      <c r="HJ67">
        <v>1</v>
      </c>
      <c r="HK67">
        <v>1</v>
      </c>
      <c r="HL67">
        <v>1</v>
      </c>
      <c r="HM67">
        <v>1</v>
      </c>
      <c r="HN67">
        <v>1</v>
      </c>
      <c r="HO67">
        <v>1</v>
      </c>
      <c r="HP67">
        <v>1</v>
      </c>
      <c r="HQ67">
        <v>1</v>
      </c>
      <c r="HR67">
        <v>2</v>
      </c>
      <c r="HS67">
        <v>2</v>
      </c>
      <c r="HT67">
        <v>2</v>
      </c>
      <c r="HU67">
        <v>2</v>
      </c>
      <c r="HV67">
        <v>2</v>
      </c>
      <c r="HW67">
        <v>2</v>
      </c>
      <c r="HX67">
        <v>2</v>
      </c>
      <c r="HY67">
        <v>2</v>
      </c>
      <c r="HZ67">
        <v>2</v>
      </c>
      <c r="IA67">
        <v>2</v>
      </c>
      <c r="IB67">
        <v>2</v>
      </c>
      <c r="IC67">
        <v>2</v>
      </c>
      <c r="ID67">
        <v>2</v>
      </c>
      <c r="IE67">
        <v>2</v>
      </c>
      <c r="IF67">
        <v>2</v>
      </c>
      <c r="IG67">
        <v>2</v>
      </c>
      <c r="IH67">
        <v>2</v>
      </c>
      <c r="II67">
        <v>2</v>
      </c>
      <c r="IJ67">
        <v>2</v>
      </c>
      <c r="IK67">
        <v>2</v>
      </c>
      <c r="IL67">
        <v>2</v>
      </c>
      <c r="IM67">
        <v>2</v>
      </c>
      <c r="IN67">
        <v>2</v>
      </c>
      <c r="IO67">
        <v>2</v>
      </c>
      <c r="IP67">
        <v>1</v>
      </c>
      <c r="IQ67">
        <v>1</v>
      </c>
      <c r="IR67">
        <v>1</v>
      </c>
      <c r="IS67">
        <v>1</v>
      </c>
      <c r="IT67">
        <v>1</v>
      </c>
      <c r="IU67">
        <v>1</v>
      </c>
      <c r="IV67">
        <v>1</v>
      </c>
      <c r="IW67">
        <v>1</v>
      </c>
      <c r="IX67">
        <v>1</v>
      </c>
      <c r="IY67">
        <v>1</v>
      </c>
      <c r="IZ67">
        <v>1</v>
      </c>
      <c r="JA67">
        <v>1</v>
      </c>
      <c r="JB67">
        <v>1</v>
      </c>
      <c r="JC67">
        <v>1</v>
      </c>
      <c r="JD67">
        <v>1</v>
      </c>
      <c r="JE67">
        <v>1</v>
      </c>
      <c r="JF67">
        <v>1</v>
      </c>
      <c r="JG67">
        <v>1</v>
      </c>
      <c r="JH67">
        <v>1</v>
      </c>
      <c r="JI67">
        <v>1</v>
      </c>
      <c r="JJ67">
        <v>1</v>
      </c>
      <c r="JK67">
        <v>1</v>
      </c>
      <c r="JL67">
        <v>1</v>
      </c>
      <c r="JM67">
        <v>1</v>
      </c>
      <c r="JN67">
        <v>1</v>
      </c>
      <c r="JO67">
        <v>1</v>
      </c>
      <c r="JP67">
        <v>1</v>
      </c>
      <c r="JQ67">
        <v>1</v>
      </c>
      <c r="JR67">
        <v>1</v>
      </c>
      <c r="JS67">
        <v>1</v>
      </c>
      <c r="JT67">
        <v>1</v>
      </c>
      <c r="JU67">
        <v>1</v>
      </c>
      <c r="JV67">
        <v>1</v>
      </c>
      <c r="JW67">
        <v>1</v>
      </c>
      <c r="JX67">
        <v>1</v>
      </c>
      <c r="JY67">
        <v>0</v>
      </c>
      <c r="JZ67">
        <v>0</v>
      </c>
      <c r="KA67">
        <v>0</v>
      </c>
      <c r="KB67">
        <v>0</v>
      </c>
      <c r="KC67">
        <v>0</v>
      </c>
      <c r="KD67">
        <v>0</v>
      </c>
      <c r="KE67">
        <v>0</v>
      </c>
      <c r="KF67">
        <v>0</v>
      </c>
      <c r="KG67">
        <v>0</v>
      </c>
      <c r="KH67">
        <v>0</v>
      </c>
      <c r="KI67">
        <v>0</v>
      </c>
      <c r="KJ67">
        <v>0</v>
      </c>
      <c r="KK67">
        <v>0</v>
      </c>
      <c r="KL67">
        <v>0</v>
      </c>
      <c r="KM67">
        <v>0</v>
      </c>
      <c r="KN67">
        <v>0</v>
      </c>
      <c r="KO67">
        <v>0</v>
      </c>
      <c r="KP67">
        <v>0</v>
      </c>
      <c r="KQ67">
        <v>0</v>
      </c>
      <c r="KR67">
        <v>0</v>
      </c>
      <c r="KS67">
        <v>0</v>
      </c>
      <c r="KT67">
        <v>0</v>
      </c>
      <c r="KU67">
        <v>0</v>
      </c>
      <c r="KV67">
        <v>0</v>
      </c>
      <c r="KW67">
        <v>0</v>
      </c>
      <c r="KX67">
        <v>0</v>
      </c>
      <c r="KY67">
        <v>0</v>
      </c>
      <c r="KZ67">
        <v>0</v>
      </c>
      <c r="LA67">
        <v>0</v>
      </c>
      <c r="LB67">
        <v>0</v>
      </c>
      <c r="LC67">
        <v>0</v>
      </c>
      <c r="LD67">
        <v>0</v>
      </c>
      <c r="LE67">
        <v>0</v>
      </c>
      <c r="LF67">
        <v>0</v>
      </c>
      <c r="LG67">
        <v>0</v>
      </c>
      <c r="LH67">
        <v>0</v>
      </c>
      <c r="LI67">
        <v>0</v>
      </c>
      <c r="LJ67">
        <v>0</v>
      </c>
      <c r="LK67">
        <v>0</v>
      </c>
      <c r="LL67">
        <v>0</v>
      </c>
      <c r="LM67">
        <v>0</v>
      </c>
      <c r="LN67">
        <v>0</v>
      </c>
      <c r="LO67">
        <v>0</v>
      </c>
      <c r="LP67">
        <v>0</v>
      </c>
      <c r="LQ67">
        <v>0</v>
      </c>
      <c r="LR67">
        <v>0</v>
      </c>
      <c r="LS67">
        <v>0</v>
      </c>
      <c r="LT67">
        <v>0</v>
      </c>
      <c r="LU67">
        <v>0</v>
      </c>
      <c r="LV67">
        <v>0</v>
      </c>
      <c r="LW67">
        <v>2</v>
      </c>
      <c r="LX67">
        <v>2</v>
      </c>
      <c r="LY67">
        <v>2</v>
      </c>
      <c r="LZ67">
        <v>2</v>
      </c>
      <c r="MA67">
        <v>2</v>
      </c>
      <c r="MB67">
        <v>2</v>
      </c>
      <c r="MC67">
        <v>2</v>
      </c>
      <c r="MD67">
        <v>2</v>
      </c>
      <c r="ME67">
        <v>2</v>
      </c>
      <c r="MF67">
        <v>2</v>
      </c>
      <c r="MG67">
        <v>2</v>
      </c>
      <c r="MH67">
        <v>2</v>
      </c>
      <c r="MI67">
        <v>2</v>
      </c>
      <c r="MJ67">
        <v>2</v>
      </c>
      <c r="MK67">
        <v>2</v>
      </c>
      <c r="ML67">
        <v>2</v>
      </c>
      <c r="MM67">
        <v>2</v>
      </c>
      <c r="MN67">
        <v>2</v>
      </c>
      <c r="MO67">
        <v>2</v>
      </c>
      <c r="MP67">
        <v>2</v>
      </c>
      <c r="MQ67">
        <v>2</v>
      </c>
      <c r="MR67">
        <v>2</v>
      </c>
      <c r="MS67">
        <v>2</v>
      </c>
      <c r="MT67">
        <v>2</v>
      </c>
      <c r="MU67">
        <v>2</v>
      </c>
      <c r="MV67">
        <v>2</v>
      </c>
      <c r="MW67">
        <v>2</v>
      </c>
      <c r="MX67">
        <v>2</v>
      </c>
      <c r="MY67">
        <v>2</v>
      </c>
      <c r="MZ67">
        <v>2</v>
      </c>
      <c r="NA67">
        <v>2</v>
      </c>
      <c r="NB67">
        <v>2</v>
      </c>
      <c r="NC67">
        <v>2</v>
      </c>
      <c r="ND67">
        <v>2</v>
      </c>
      <c r="NE67">
        <v>2</v>
      </c>
      <c r="NF67">
        <v>2</v>
      </c>
      <c r="NG67">
        <v>2</v>
      </c>
      <c r="NH67">
        <v>2</v>
      </c>
      <c r="NI67">
        <v>2</v>
      </c>
      <c r="NJ67">
        <v>2</v>
      </c>
      <c r="NK67">
        <v>2</v>
      </c>
      <c r="NL67">
        <v>2</v>
      </c>
      <c r="NM67">
        <v>2</v>
      </c>
      <c r="NN67">
        <v>2</v>
      </c>
      <c r="NO67">
        <v>2</v>
      </c>
      <c r="NP67">
        <v>2</v>
      </c>
      <c r="NQ67">
        <v>2</v>
      </c>
      <c r="NR67">
        <v>2</v>
      </c>
      <c r="NS67">
        <v>2</v>
      </c>
      <c r="NT67">
        <v>2</v>
      </c>
      <c r="NU67">
        <v>2</v>
      </c>
      <c r="NV67">
        <v>2</v>
      </c>
      <c r="NW67">
        <v>2</v>
      </c>
      <c r="NX67">
        <v>2</v>
      </c>
      <c r="NY67">
        <v>2</v>
      </c>
      <c r="NZ67">
        <v>2</v>
      </c>
      <c r="OA67">
        <v>2</v>
      </c>
      <c r="OB67">
        <v>2</v>
      </c>
      <c r="OC67">
        <v>2</v>
      </c>
      <c r="OD67">
        <v>2</v>
      </c>
      <c r="OE67">
        <v>2</v>
      </c>
      <c r="OF67">
        <v>2</v>
      </c>
      <c r="OG67">
        <v>2</v>
      </c>
      <c r="OH67">
        <v>2</v>
      </c>
      <c r="OI67">
        <v>2</v>
      </c>
      <c r="OJ67">
        <v>2</v>
      </c>
      <c r="OK67">
        <v>2</v>
      </c>
      <c r="OL67">
        <v>2</v>
      </c>
      <c r="OM67">
        <v>2</v>
      </c>
      <c r="ON67">
        <v>2</v>
      </c>
      <c r="OO67">
        <v>2</v>
      </c>
      <c r="OP67">
        <v>2</v>
      </c>
      <c r="OQ67">
        <v>2</v>
      </c>
      <c r="OR67">
        <v>2</v>
      </c>
      <c r="OS67">
        <v>2</v>
      </c>
      <c r="OT67">
        <v>2</v>
      </c>
      <c r="OU67">
        <v>2</v>
      </c>
      <c r="OV67">
        <v>2</v>
      </c>
      <c r="OW67">
        <v>2</v>
      </c>
      <c r="OX67">
        <v>2</v>
      </c>
      <c r="OY67">
        <v>2</v>
      </c>
      <c r="OZ67">
        <v>2</v>
      </c>
      <c r="PA67">
        <v>2</v>
      </c>
      <c r="PB67">
        <v>2</v>
      </c>
      <c r="PC67">
        <v>2</v>
      </c>
      <c r="PD67">
        <v>2</v>
      </c>
      <c r="PE67">
        <v>2</v>
      </c>
      <c r="PF67">
        <v>2</v>
      </c>
      <c r="PG67">
        <v>2</v>
      </c>
      <c r="PH67">
        <v>0</v>
      </c>
      <c r="PI67">
        <v>0</v>
      </c>
      <c r="PJ67">
        <v>0</v>
      </c>
      <c r="PK67">
        <v>0</v>
      </c>
      <c r="PL67">
        <v>0</v>
      </c>
      <c r="PM67">
        <v>2</v>
      </c>
      <c r="PN67">
        <v>2</v>
      </c>
      <c r="PO67">
        <v>2</v>
      </c>
      <c r="PP67">
        <v>2</v>
      </c>
      <c r="PQ67">
        <v>2</v>
      </c>
      <c r="PR67">
        <v>2</v>
      </c>
      <c r="PS67">
        <v>2</v>
      </c>
      <c r="PT67">
        <v>2</v>
      </c>
      <c r="PU67">
        <v>2</v>
      </c>
      <c r="PV67">
        <v>2</v>
      </c>
      <c r="PW67">
        <v>2</v>
      </c>
      <c r="PX67">
        <v>2</v>
      </c>
      <c r="PY67">
        <v>2</v>
      </c>
      <c r="PZ67">
        <v>2</v>
      </c>
      <c r="QA67">
        <v>2</v>
      </c>
      <c r="QB67">
        <v>2</v>
      </c>
      <c r="QC67">
        <v>2</v>
      </c>
      <c r="QD67">
        <v>2</v>
      </c>
      <c r="QE67">
        <v>2</v>
      </c>
      <c r="QF67">
        <v>2</v>
      </c>
      <c r="QG67">
        <v>2</v>
      </c>
      <c r="QH67">
        <v>2</v>
      </c>
      <c r="QI67">
        <v>2</v>
      </c>
      <c r="QJ67">
        <v>2</v>
      </c>
      <c r="QK67">
        <v>2</v>
      </c>
      <c r="QL67">
        <v>2</v>
      </c>
      <c r="QM67">
        <v>2</v>
      </c>
      <c r="QN67">
        <v>2</v>
      </c>
      <c r="QO67">
        <v>2</v>
      </c>
      <c r="QP67">
        <v>2</v>
      </c>
      <c r="QQ67">
        <v>2</v>
      </c>
      <c r="QR67">
        <v>2</v>
      </c>
      <c r="QS67">
        <v>2</v>
      </c>
      <c r="QT67">
        <v>2</v>
      </c>
      <c r="QU67">
        <v>2</v>
      </c>
      <c r="QV67">
        <v>2</v>
      </c>
      <c r="QW67">
        <v>2</v>
      </c>
      <c r="QX67">
        <v>2</v>
      </c>
      <c r="QY67">
        <v>2</v>
      </c>
      <c r="QZ67">
        <v>2</v>
      </c>
      <c r="RA67">
        <v>2</v>
      </c>
      <c r="RB67">
        <v>2</v>
      </c>
      <c r="RC67">
        <v>2</v>
      </c>
      <c r="RD67">
        <v>2</v>
      </c>
      <c r="RE67">
        <v>2</v>
      </c>
      <c r="RF67">
        <v>2</v>
      </c>
      <c r="RG67">
        <v>2</v>
      </c>
      <c r="RH67">
        <v>2</v>
      </c>
      <c r="RI67">
        <v>2</v>
      </c>
      <c r="RJ67">
        <v>2</v>
      </c>
      <c r="RK67">
        <v>2</v>
      </c>
      <c r="RL67">
        <v>2</v>
      </c>
      <c r="RM67">
        <v>2</v>
      </c>
      <c r="RN67">
        <v>2</v>
      </c>
      <c r="RO67">
        <v>2</v>
      </c>
      <c r="RP67">
        <v>2</v>
      </c>
      <c r="RQ67">
        <v>2</v>
      </c>
      <c r="RR67">
        <v>2</v>
      </c>
      <c r="RS67">
        <v>2</v>
      </c>
      <c r="RT67">
        <v>2</v>
      </c>
      <c r="RU67">
        <v>2</v>
      </c>
      <c r="RV67">
        <v>2</v>
      </c>
      <c r="RW67">
        <v>2</v>
      </c>
      <c r="RX67">
        <v>2</v>
      </c>
      <c r="RY67">
        <v>2</v>
      </c>
      <c r="RZ67">
        <v>2</v>
      </c>
      <c r="SA67">
        <v>2</v>
      </c>
      <c r="SB67">
        <v>2</v>
      </c>
      <c r="SC67">
        <v>2</v>
      </c>
      <c r="SD67">
        <v>2</v>
      </c>
      <c r="SE67">
        <v>2</v>
      </c>
      <c r="SF67">
        <v>2</v>
      </c>
      <c r="SG67">
        <v>2</v>
      </c>
      <c r="SH67">
        <v>2</v>
      </c>
      <c r="SI67">
        <v>2</v>
      </c>
      <c r="SJ67">
        <v>2</v>
      </c>
      <c r="SK67">
        <v>2</v>
      </c>
      <c r="SL67">
        <v>2</v>
      </c>
      <c r="SM67">
        <v>2</v>
      </c>
      <c r="SN67">
        <v>2</v>
      </c>
      <c r="SO67">
        <v>2</v>
      </c>
      <c r="SP67">
        <v>2</v>
      </c>
      <c r="SQ67">
        <v>2</v>
      </c>
      <c r="SR67">
        <v>2</v>
      </c>
      <c r="SS67">
        <v>2</v>
      </c>
      <c r="ST67">
        <v>2</v>
      </c>
      <c r="SU67">
        <v>2</v>
      </c>
      <c r="SV67">
        <v>2</v>
      </c>
      <c r="SW67">
        <v>2</v>
      </c>
      <c r="SX67">
        <v>2</v>
      </c>
      <c r="SY67">
        <v>2</v>
      </c>
      <c r="SZ67">
        <v>2</v>
      </c>
      <c r="TA67">
        <v>2</v>
      </c>
      <c r="TB67">
        <v>2</v>
      </c>
      <c r="TC67">
        <v>2</v>
      </c>
      <c r="TD67">
        <v>2</v>
      </c>
      <c r="TE67">
        <v>2</v>
      </c>
      <c r="TF67">
        <v>2</v>
      </c>
      <c r="TG67">
        <v>2</v>
      </c>
      <c r="TH67">
        <v>2</v>
      </c>
      <c r="TI67">
        <v>2</v>
      </c>
      <c r="TJ67">
        <v>2</v>
      </c>
      <c r="TK67">
        <v>2</v>
      </c>
      <c r="TL67">
        <v>2</v>
      </c>
      <c r="TM67">
        <v>2</v>
      </c>
      <c r="TN67">
        <v>2</v>
      </c>
      <c r="TO67">
        <v>2</v>
      </c>
      <c r="TP67">
        <v>2</v>
      </c>
      <c r="TQ67">
        <v>2</v>
      </c>
      <c r="TR67">
        <v>2</v>
      </c>
      <c r="TS67">
        <v>2</v>
      </c>
      <c r="TT67">
        <v>2</v>
      </c>
      <c r="TU67">
        <v>2</v>
      </c>
      <c r="TV67">
        <v>2</v>
      </c>
      <c r="TW67">
        <v>2</v>
      </c>
      <c r="TX67">
        <v>2</v>
      </c>
      <c r="TY67">
        <v>2</v>
      </c>
      <c r="TZ67">
        <v>2</v>
      </c>
      <c r="UA67">
        <v>2</v>
      </c>
      <c r="UB67">
        <v>2</v>
      </c>
      <c r="UC67">
        <v>0</v>
      </c>
      <c r="UD67">
        <v>0</v>
      </c>
      <c r="UE67">
        <v>0</v>
      </c>
      <c r="UF67">
        <v>0</v>
      </c>
      <c r="UG67">
        <v>0</v>
      </c>
      <c r="UH67">
        <v>0</v>
      </c>
      <c r="UI67">
        <v>0</v>
      </c>
      <c r="UJ67">
        <v>0</v>
      </c>
      <c r="UK67">
        <v>0</v>
      </c>
      <c r="UL67">
        <v>0</v>
      </c>
      <c r="UM67">
        <v>0</v>
      </c>
      <c r="UN67">
        <v>0</v>
      </c>
      <c r="UO67">
        <v>0</v>
      </c>
      <c r="UP67">
        <v>0</v>
      </c>
      <c r="UQ67">
        <v>0</v>
      </c>
      <c r="UR67">
        <v>0</v>
      </c>
      <c r="US67">
        <v>0</v>
      </c>
      <c r="UT67">
        <v>0</v>
      </c>
      <c r="UU67">
        <v>0</v>
      </c>
      <c r="UV67">
        <v>0</v>
      </c>
      <c r="UW67">
        <v>0</v>
      </c>
      <c r="UX67">
        <v>0</v>
      </c>
      <c r="UY67">
        <v>0</v>
      </c>
      <c r="UZ67">
        <v>0</v>
      </c>
      <c r="VA67">
        <v>0</v>
      </c>
      <c r="VB67">
        <v>0</v>
      </c>
      <c r="VC67">
        <v>0</v>
      </c>
      <c r="VD67">
        <v>0</v>
      </c>
      <c r="VE67">
        <v>0</v>
      </c>
      <c r="VF67">
        <v>0</v>
      </c>
      <c r="VG67">
        <v>0</v>
      </c>
      <c r="VH67">
        <v>0</v>
      </c>
      <c r="VI67">
        <v>0</v>
      </c>
      <c r="VJ67">
        <v>0</v>
      </c>
      <c r="VK67">
        <v>0</v>
      </c>
      <c r="VL67">
        <v>0</v>
      </c>
      <c r="VM67">
        <v>0</v>
      </c>
      <c r="VN67">
        <v>0</v>
      </c>
      <c r="VO67">
        <v>0</v>
      </c>
      <c r="VP67">
        <v>0</v>
      </c>
      <c r="VQ67">
        <v>0</v>
      </c>
      <c r="VR67">
        <v>0</v>
      </c>
      <c r="VS67">
        <v>0</v>
      </c>
      <c r="VT67">
        <v>0</v>
      </c>
      <c r="VU67">
        <v>0</v>
      </c>
      <c r="VV67">
        <v>0</v>
      </c>
      <c r="VW67">
        <v>0</v>
      </c>
      <c r="VX67">
        <v>0</v>
      </c>
      <c r="VY67">
        <v>0</v>
      </c>
      <c r="VZ67">
        <v>0</v>
      </c>
      <c r="WA67">
        <v>0</v>
      </c>
      <c r="WB67">
        <v>0</v>
      </c>
      <c r="WC67">
        <v>0</v>
      </c>
      <c r="WD67">
        <v>0</v>
      </c>
      <c r="WE67">
        <v>0</v>
      </c>
      <c r="WF67">
        <v>0</v>
      </c>
      <c r="WG67">
        <v>0</v>
      </c>
      <c r="WH67">
        <v>0</v>
      </c>
      <c r="WI67">
        <v>0</v>
      </c>
      <c r="WJ67">
        <v>0</v>
      </c>
      <c r="WK67">
        <v>0</v>
      </c>
      <c r="WL67">
        <v>0</v>
      </c>
      <c r="WM67">
        <v>0</v>
      </c>
      <c r="WN67">
        <v>0</v>
      </c>
      <c r="WO67">
        <v>0</v>
      </c>
      <c r="WP67">
        <v>0</v>
      </c>
      <c r="WQ67">
        <v>0</v>
      </c>
      <c r="WR67">
        <v>0</v>
      </c>
      <c r="WS67">
        <v>0</v>
      </c>
      <c r="WT67">
        <v>0</v>
      </c>
      <c r="WU67">
        <v>0</v>
      </c>
      <c r="WV67">
        <v>0</v>
      </c>
      <c r="WW67">
        <v>0</v>
      </c>
      <c r="WX67">
        <v>0</v>
      </c>
      <c r="WY67">
        <v>0</v>
      </c>
      <c r="WZ67">
        <v>0</v>
      </c>
      <c r="XA67">
        <v>0</v>
      </c>
      <c r="XB67">
        <v>0</v>
      </c>
      <c r="XC67">
        <v>0</v>
      </c>
      <c r="XD67">
        <v>0</v>
      </c>
      <c r="XE67">
        <v>0</v>
      </c>
      <c r="XF67">
        <v>0</v>
      </c>
      <c r="XG67">
        <v>0</v>
      </c>
      <c r="XH67">
        <v>0</v>
      </c>
      <c r="XI67">
        <v>0</v>
      </c>
      <c r="XJ67">
        <v>0</v>
      </c>
      <c r="XK67">
        <v>0</v>
      </c>
      <c r="XL67">
        <v>0</v>
      </c>
      <c r="XM67">
        <v>0</v>
      </c>
      <c r="XN67">
        <v>0</v>
      </c>
      <c r="XO67">
        <v>0</v>
      </c>
      <c r="XP67">
        <v>0</v>
      </c>
      <c r="XQ67">
        <v>0</v>
      </c>
      <c r="XR67">
        <v>0</v>
      </c>
      <c r="XS67">
        <v>0</v>
      </c>
      <c r="XT67">
        <v>0</v>
      </c>
      <c r="XU67">
        <v>0</v>
      </c>
      <c r="XV67">
        <v>0</v>
      </c>
      <c r="XW67">
        <v>0</v>
      </c>
      <c r="XX67">
        <v>0</v>
      </c>
      <c r="XY67">
        <v>0</v>
      </c>
      <c r="XZ67">
        <v>0</v>
      </c>
      <c r="YA67">
        <v>0</v>
      </c>
      <c r="YB67">
        <v>0</v>
      </c>
      <c r="YC67">
        <v>0</v>
      </c>
      <c r="YD67">
        <v>0</v>
      </c>
      <c r="YE67">
        <v>0</v>
      </c>
      <c r="YF67">
        <v>0</v>
      </c>
      <c r="YG67">
        <v>0</v>
      </c>
      <c r="YH67">
        <v>0</v>
      </c>
      <c r="YI67">
        <v>0</v>
      </c>
      <c r="YJ67">
        <v>0</v>
      </c>
      <c r="YK67">
        <v>0</v>
      </c>
      <c r="YL67">
        <v>0</v>
      </c>
      <c r="YM67">
        <v>0</v>
      </c>
      <c r="YN67">
        <v>0</v>
      </c>
      <c r="YO67">
        <v>0</v>
      </c>
      <c r="YP67">
        <v>0</v>
      </c>
      <c r="YQ67">
        <v>0</v>
      </c>
      <c r="YR67">
        <v>0</v>
      </c>
      <c r="YS67">
        <v>0</v>
      </c>
      <c r="YT67">
        <v>0</v>
      </c>
      <c r="YU67">
        <v>0</v>
      </c>
      <c r="YV67">
        <v>0</v>
      </c>
      <c r="YW67">
        <v>0</v>
      </c>
      <c r="YX67">
        <v>0</v>
      </c>
      <c r="YY67">
        <v>0</v>
      </c>
      <c r="YZ67">
        <v>0</v>
      </c>
      <c r="ZA67">
        <v>0</v>
      </c>
      <c r="ZB67">
        <v>0</v>
      </c>
      <c r="ZC67">
        <v>0</v>
      </c>
      <c r="ZD67">
        <v>0</v>
      </c>
      <c r="ZE67">
        <v>0</v>
      </c>
      <c r="ZF67">
        <v>0</v>
      </c>
      <c r="ZG67">
        <v>0</v>
      </c>
      <c r="ZH67">
        <v>0</v>
      </c>
      <c r="ZI67">
        <v>0</v>
      </c>
      <c r="ZJ67">
        <v>0</v>
      </c>
      <c r="ZK67">
        <v>0</v>
      </c>
      <c r="ZL67">
        <v>0</v>
      </c>
      <c r="ZM67">
        <v>0</v>
      </c>
      <c r="ZN67">
        <v>0</v>
      </c>
      <c r="ZO67">
        <v>0</v>
      </c>
      <c r="ZP67">
        <v>0</v>
      </c>
      <c r="ZQ67">
        <v>0</v>
      </c>
      <c r="ZR67">
        <v>0</v>
      </c>
      <c r="ZS67">
        <v>0</v>
      </c>
      <c r="ZT67">
        <v>0</v>
      </c>
      <c r="ZU67">
        <v>0</v>
      </c>
      <c r="ZV67">
        <v>0</v>
      </c>
      <c r="ZW67">
        <v>0</v>
      </c>
      <c r="ZX67">
        <v>0</v>
      </c>
      <c r="ZY67">
        <v>0</v>
      </c>
      <c r="ZZ67">
        <v>0</v>
      </c>
      <c r="AAA67">
        <v>0</v>
      </c>
      <c r="AAB67">
        <v>0</v>
      </c>
      <c r="AAC67">
        <v>0</v>
      </c>
      <c r="AAD67">
        <v>0</v>
      </c>
      <c r="AAE67">
        <v>0</v>
      </c>
      <c r="AAF67">
        <v>0</v>
      </c>
      <c r="AAG67">
        <v>0</v>
      </c>
      <c r="AAH67">
        <v>0</v>
      </c>
      <c r="AAI67">
        <v>0</v>
      </c>
      <c r="AAJ67">
        <v>0</v>
      </c>
      <c r="AAK67">
        <v>0</v>
      </c>
      <c r="AAL67">
        <v>0</v>
      </c>
      <c r="AAM67">
        <v>0</v>
      </c>
      <c r="AAN67">
        <v>0</v>
      </c>
      <c r="AAO67">
        <v>0</v>
      </c>
      <c r="AAP67">
        <v>0</v>
      </c>
      <c r="AAQ67">
        <v>0</v>
      </c>
      <c r="AAR67">
        <v>0</v>
      </c>
      <c r="AAS67">
        <v>0</v>
      </c>
      <c r="AAT67">
        <v>0</v>
      </c>
      <c r="AAU67">
        <v>0</v>
      </c>
      <c r="AAV67">
        <v>0</v>
      </c>
      <c r="AAW67">
        <v>0</v>
      </c>
      <c r="AAX67">
        <v>0</v>
      </c>
      <c r="AAY67">
        <v>0</v>
      </c>
      <c r="AAZ67">
        <v>0</v>
      </c>
      <c r="ABA67">
        <v>0</v>
      </c>
      <c r="ABB67">
        <v>0</v>
      </c>
      <c r="ABC67">
        <v>0</v>
      </c>
      <c r="ABD67">
        <v>0</v>
      </c>
      <c r="ABE67">
        <v>0</v>
      </c>
      <c r="ABG67" s="1137">
        <f t="shared" si="13"/>
        <v>0</v>
      </c>
      <c r="ABH67" s="1137">
        <f t="shared" si="13"/>
        <v>0</v>
      </c>
      <c r="ABI67" s="1137">
        <f t="shared" si="13"/>
        <v>10</v>
      </c>
      <c r="ABJ67" s="1137">
        <f t="shared" si="13"/>
        <v>30</v>
      </c>
      <c r="ABK67" s="1137">
        <f t="shared" si="13"/>
        <v>31</v>
      </c>
      <c r="ABL67" s="1137">
        <f t="shared" si="13"/>
        <v>14</v>
      </c>
      <c r="ABM67" s="1137">
        <f t="shared" si="13"/>
        <v>22</v>
      </c>
      <c r="ABN67" s="1137">
        <f t="shared" si="13"/>
        <v>31</v>
      </c>
      <c r="ABO67" s="1137">
        <f t="shared" si="13"/>
        <v>30</v>
      </c>
      <c r="ABP67" s="1137">
        <f t="shared" si="13"/>
        <v>8</v>
      </c>
      <c r="ABQ67" s="1137">
        <f t="shared" si="13"/>
        <v>3</v>
      </c>
      <c r="ABR67" s="1137">
        <f t="shared" si="13"/>
        <v>31</v>
      </c>
      <c r="ABS67" s="1137">
        <f t="shared" si="13"/>
        <v>31</v>
      </c>
      <c r="ABT67" s="1137">
        <f t="shared" si="13"/>
        <v>24</v>
      </c>
      <c r="ABU67" s="1137">
        <f t="shared" si="13"/>
        <v>30</v>
      </c>
      <c r="ABV67" s="1137">
        <f t="shared" ref="ABV67:ABV68" si="18">COUNTIFS($C$3:$ABE$3, ABV$3, $C$4:$ABE$4, ABV$4, $C67:$ABE67, "&gt;0")</f>
        <v>30</v>
      </c>
      <c r="ABW67" s="1137">
        <f t="shared" si="17"/>
        <v>31</v>
      </c>
      <c r="ABX67" s="1137">
        <f t="shared" si="14"/>
        <v>29</v>
      </c>
      <c r="ABY67" s="1137">
        <f t="shared" si="14"/>
        <v>0</v>
      </c>
      <c r="ABZ67" s="1137">
        <f t="shared" si="14"/>
        <v>0</v>
      </c>
      <c r="ACA67" s="1137">
        <f t="shared" si="14"/>
        <v>0</v>
      </c>
      <c r="ACB67" s="1137">
        <f t="shared" si="14"/>
        <v>0</v>
      </c>
      <c r="ACC67" s="1137">
        <f t="shared" si="14"/>
        <v>0</v>
      </c>
      <c r="ACD67" s="1137">
        <f t="shared" si="14"/>
        <v>0</v>
      </c>
      <c r="ACE67" s="1137" t="s">
        <v>185</v>
      </c>
      <c r="ACF67" s="1137">
        <f t="shared" si="15"/>
        <v>0</v>
      </c>
      <c r="ACG67" s="1137">
        <f t="shared" si="15"/>
        <v>0</v>
      </c>
      <c r="ACH67" s="1137">
        <f t="shared" si="15"/>
        <v>0</v>
      </c>
      <c r="ACI67" s="1137">
        <f t="shared" si="15"/>
        <v>1</v>
      </c>
      <c r="ACJ67" s="1137">
        <f t="shared" si="15"/>
        <v>1</v>
      </c>
      <c r="ACK67" s="1137">
        <f t="shared" si="15"/>
        <v>1</v>
      </c>
      <c r="ACL67" s="1137">
        <f t="shared" si="15"/>
        <v>1</v>
      </c>
      <c r="ACM67" s="1137">
        <f t="shared" si="15"/>
        <v>1</v>
      </c>
      <c r="ACN67" s="1137">
        <f t="shared" si="15"/>
        <v>1</v>
      </c>
      <c r="ACO67" s="1137">
        <f t="shared" si="15"/>
        <v>0</v>
      </c>
      <c r="ACP67" s="1137">
        <f t="shared" si="15"/>
        <v>0</v>
      </c>
      <c r="ACQ67" s="1137">
        <f t="shared" si="15"/>
        <v>1</v>
      </c>
      <c r="ACR67" s="1137">
        <f t="shared" si="15"/>
        <v>1</v>
      </c>
      <c r="ACS67" s="1137">
        <f t="shared" si="15"/>
        <v>1</v>
      </c>
      <c r="ACT67" s="1137">
        <f t="shared" si="15"/>
        <v>1</v>
      </c>
      <c r="ACU67" s="1137">
        <f t="shared" si="12"/>
        <v>1</v>
      </c>
      <c r="ACV67" s="1137">
        <f t="shared" si="12"/>
        <v>1</v>
      </c>
      <c r="ACW67" s="1137">
        <f t="shared" si="12"/>
        <v>1</v>
      </c>
      <c r="ACX67" s="1137">
        <f t="shared" si="12"/>
        <v>0</v>
      </c>
      <c r="ACY67" s="1137">
        <f t="shared" si="12"/>
        <v>0</v>
      </c>
      <c r="ACZ67" s="1137">
        <f t="shared" si="12"/>
        <v>0</v>
      </c>
      <c r="ADA67" s="1137">
        <f t="shared" si="12"/>
        <v>0</v>
      </c>
      <c r="ADB67" s="1137">
        <f t="shared" si="16"/>
        <v>0</v>
      </c>
      <c r="ADC67" s="1137">
        <f t="shared" si="16"/>
        <v>0</v>
      </c>
    </row>
    <row r="68" spans="1:783" x14ac:dyDescent="0.25">
      <c r="A68" t="s">
        <v>1865</v>
      </c>
      <c r="B68" t="s">
        <v>31</v>
      </c>
      <c r="C68">
        <v>0</v>
      </c>
      <c r="D68">
        <v>0</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0</v>
      </c>
      <c r="BA68">
        <v>0</v>
      </c>
      <c r="BB68">
        <v>0</v>
      </c>
      <c r="BC68">
        <v>0</v>
      </c>
      <c r="BD68">
        <v>0</v>
      </c>
      <c r="BE68">
        <v>0</v>
      </c>
      <c r="BF68">
        <v>0</v>
      </c>
      <c r="BG68">
        <v>0</v>
      </c>
      <c r="BH68">
        <v>0</v>
      </c>
      <c r="BI68">
        <v>0</v>
      </c>
      <c r="BJ68">
        <v>0</v>
      </c>
      <c r="BK68">
        <v>0</v>
      </c>
      <c r="BL68">
        <v>0</v>
      </c>
      <c r="BM68">
        <v>0</v>
      </c>
      <c r="BN68">
        <v>0</v>
      </c>
      <c r="BO68">
        <v>0</v>
      </c>
      <c r="BP68">
        <v>0</v>
      </c>
      <c r="BQ68">
        <v>0</v>
      </c>
      <c r="BR68">
        <v>0</v>
      </c>
      <c r="BS68">
        <v>0</v>
      </c>
      <c r="BT68">
        <v>0</v>
      </c>
      <c r="BU68">
        <v>0</v>
      </c>
      <c r="BV68">
        <v>0</v>
      </c>
      <c r="BW68">
        <v>0</v>
      </c>
      <c r="BX68">
        <v>0</v>
      </c>
      <c r="BY68">
        <v>0</v>
      </c>
      <c r="BZ68">
        <v>0</v>
      </c>
      <c r="CA68">
        <v>0</v>
      </c>
      <c r="CB68">
        <v>0</v>
      </c>
      <c r="CC68">
        <v>0</v>
      </c>
      <c r="CD68">
        <v>0</v>
      </c>
      <c r="CE68">
        <v>0</v>
      </c>
      <c r="CF68">
        <v>0</v>
      </c>
      <c r="CG68">
        <v>0</v>
      </c>
      <c r="CH68">
        <v>0</v>
      </c>
      <c r="CI68">
        <v>0</v>
      </c>
      <c r="CJ68">
        <v>0</v>
      </c>
      <c r="CK68">
        <v>0</v>
      </c>
      <c r="CL68">
        <v>0</v>
      </c>
      <c r="CM68">
        <v>0</v>
      </c>
      <c r="CN68">
        <v>2</v>
      </c>
      <c r="CO68">
        <v>2</v>
      </c>
      <c r="CP68">
        <v>2</v>
      </c>
      <c r="CQ68">
        <v>2</v>
      </c>
      <c r="CR68">
        <v>2</v>
      </c>
      <c r="CS68">
        <v>2</v>
      </c>
      <c r="CT68">
        <v>2</v>
      </c>
      <c r="CU68">
        <v>2</v>
      </c>
      <c r="CV68">
        <v>2</v>
      </c>
      <c r="CW68">
        <v>2</v>
      </c>
      <c r="CX68">
        <v>2</v>
      </c>
      <c r="CY68">
        <v>2</v>
      </c>
      <c r="CZ68">
        <v>2</v>
      </c>
      <c r="DA68">
        <v>2</v>
      </c>
      <c r="DB68">
        <v>2</v>
      </c>
      <c r="DC68">
        <v>2</v>
      </c>
      <c r="DD68">
        <v>2</v>
      </c>
      <c r="DE68">
        <v>2</v>
      </c>
      <c r="DF68">
        <v>2</v>
      </c>
      <c r="DG68">
        <v>2</v>
      </c>
      <c r="DH68">
        <v>0</v>
      </c>
      <c r="DI68">
        <v>0</v>
      </c>
      <c r="DJ68">
        <v>0</v>
      </c>
      <c r="DK68">
        <v>0</v>
      </c>
      <c r="DL68">
        <v>0</v>
      </c>
      <c r="DM68">
        <v>0</v>
      </c>
      <c r="DN68">
        <v>0</v>
      </c>
      <c r="DO68">
        <v>0</v>
      </c>
      <c r="DP68">
        <v>0</v>
      </c>
      <c r="DQ68">
        <v>0</v>
      </c>
      <c r="DR68">
        <v>0</v>
      </c>
      <c r="DS68">
        <v>0</v>
      </c>
      <c r="DT68">
        <v>0</v>
      </c>
      <c r="DU68">
        <v>0</v>
      </c>
      <c r="DV68">
        <v>0</v>
      </c>
      <c r="DW68">
        <v>0</v>
      </c>
      <c r="DX68">
        <v>0</v>
      </c>
      <c r="DY68">
        <v>0</v>
      </c>
      <c r="DZ68">
        <v>0</v>
      </c>
      <c r="EA68">
        <v>0</v>
      </c>
      <c r="EB68">
        <v>0</v>
      </c>
      <c r="EC68">
        <v>0</v>
      </c>
      <c r="ED68">
        <v>0</v>
      </c>
      <c r="EE68">
        <v>0</v>
      </c>
      <c r="EF68">
        <v>0</v>
      </c>
      <c r="EG68">
        <v>0</v>
      </c>
      <c r="EH68">
        <v>0</v>
      </c>
      <c r="EI68">
        <v>0</v>
      </c>
      <c r="EJ68">
        <v>0</v>
      </c>
      <c r="EK68">
        <v>0</v>
      </c>
      <c r="EL68">
        <v>0</v>
      </c>
      <c r="EM68">
        <v>0</v>
      </c>
      <c r="EN68">
        <v>0</v>
      </c>
      <c r="EO68">
        <v>0</v>
      </c>
      <c r="EP68">
        <v>0</v>
      </c>
      <c r="EQ68">
        <v>0</v>
      </c>
      <c r="ER68">
        <v>0</v>
      </c>
      <c r="ES68">
        <v>0</v>
      </c>
      <c r="ET68">
        <v>0</v>
      </c>
      <c r="EU68">
        <v>0</v>
      </c>
      <c r="EV68">
        <v>0</v>
      </c>
      <c r="EW68">
        <v>0</v>
      </c>
      <c r="EX68">
        <v>0</v>
      </c>
      <c r="EY68">
        <v>0</v>
      </c>
      <c r="EZ68">
        <v>0</v>
      </c>
      <c r="FA68">
        <v>0</v>
      </c>
      <c r="FB68">
        <v>0</v>
      </c>
      <c r="FC68">
        <v>0</v>
      </c>
      <c r="FD68">
        <v>0</v>
      </c>
      <c r="FE68">
        <v>0</v>
      </c>
      <c r="FF68">
        <v>0</v>
      </c>
      <c r="FG68">
        <v>0</v>
      </c>
      <c r="FH68">
        <v>0</v>
      </c>
      <c r="FI68">
        <v>0</v>
      </c>
      <c r="FJ68">
        <v>0</v>
      </c>
      <c r="FK68">
        <v>0</v>
      </c>
      <c r="FL68">
        <v>0</v>
      </c>
      <c r="FM68">
        <v>0</v>
      </c>
      <c r="FN68">
        <v>0</v>
      </c>
      <c r="FO68">
        <v>0</v>
      </c>
      <c r="FP68">
        <v>0</v>
      </c>
      <c r="FQ68">
        <v>0</v>
      </c>
      <c r="FR68">
        <v>0</v>
      </c>
      <c r="FS68">
        <v>0</v>
      </c>
      <c r="FT68">
        <v>0</v>
      </c>
      <c r="FU68">
        <v>0</v>
      </c>
      <c r="FV68">
        <v>0</v>
      </c>
      <c r="FW68">
        <v>0</v>
      </c>
      <c r="FX68">
        <v>0</v>
      </c>
      <c r="FY68">
        <v>0</v>
      </c>
      <c r="FZ68">
        <v>0</v>
      </c>
      <c r="GA68">
        <v>0</v>
      </c>
      <c r="GB68">
        <v>0</v>
      </c>
      <c r="GC68">
        <v>0</v>
      </c>
      <c r="GD68">
        <v>0</v>
      </c>
      <c r="GE68">
        <v>0</v>
      </c>
      <c r="GF68">
        <v>0</v>
      </c>
      <c r="GG68">
        <v>0</v>
      </c>
      <c r="GH68">
        <v>0</v>
      </c>
      <c r="GI68">
        <v>0</v>
      </c>
      <c r="GJ68">
        <v>0</v>
      </c>
      <c r="GK68">
        <v>0</v>
      </c>
      <c r="GL68">
        <v>0</v>
      </c>
      <c r="GM68">
        <v>0</v>
      </c>
      <c r="GN68">
        <v>0</v>
      </c>
      <c r="GO68">
        <v>0</v>
      </c>
      <c r="GP68">
        <v>0</v>
      </c>
      <c r="GQ68">
        <v>0</v>
      </c>
      <c r="GR68">
        <v>0</v>
      </c>
      <c r="GS68">
        <v>0</v>
      </c>
      <c r="GT68">
        <v>0</v>
      </c>
      <c r="GU68">
        <v>0</v>
      </c>
      <c r="GV68">
        <v>0</v>
      </c>
      <c r="GW68">
        <v>0</v>
      </c>
      <c r="GX68">
        <v>0</v>
      </c>
      <c r="GY68">
        <v>0</v>
      </c>
      <c r="GZ68">
        <v>0</v>
      </c>
      <c r="HA68">
        <v>0</v>
      </c>
      <c r="HB68">
        <v>0</v>
      </c>
      <c r="HC68">
        <v>0</v>
      </c>
      <c r="HD68">
        <v>0</v>
      </c>
      <c r="HE68">
        <v>0</v>
      </c>
      <c r="HF68">
        <v>0</v>
      </c>
      <c r="HG68">
        <v>0</v>
      </c>
      <c r="HH68">
        <v>0</v>
      </c>
      <c r="HI68">
        <v>0</v>
      </c>
      <c r="HJ68">
        <v>0</v>
      </c>
      <c r="HK68">
        <v>0</v>
      </c>
      <c r="HL68">
        <v>0</v>
      </c>
      <c r="HM68">
        <v>0</v>
      </c>
      <c r="HN68">
        <v>0</v>
      </c>
      <c r="HO68">
        <v>0</v>
      </c>
      <c r="HP68">
        <v>0</v>
      </c>
      <c r="HQ68">
        <v>0</v>
      </c>
      <c r="HR68">
        <v>0</v>
      </c>
      <c r="HS68">
        <v>0</v>
      </c>
      <c r="HT68">
        <v>0</v>
      </c>
      <c r="HU68">
        <v>0</v>
      </c>
      <c r="HV68">
        <v>0</v>
      </c>
      <c r="HW68">
        <v>0</v>
      </c>
      <c r="HX68">
        <v>0</v>
      </c>
      <c r="HY68">
        <v>0</v>
      </c>
      <c r="HZ68">
        <v>0</v>
      </c>
      <c r="IA68">
        <v>0</v>
      </c>
      <c r="IB68">
        <v>0</v>
      </c>
      <c r="IC68">
        <v>0</v>
      </c>
      <c r="ID68">
        <v>0</v>
      </c>
      <c r="IE68">
        <v>0</v>
      </c>
      <c r="IF68">
        <v>0</v>
      </c>
      <c r="IG68">
        <v>0</v>
      </c>
      <c r="IH68">
        <v>0</v>
      </c>
      <c r="II68">
        <v>0</v>
      </c>
      <c r="IJ68">
        <v>0</v>
      </c>
      <c r="IK68">
        <v>0</v>
      </c>
      <c r="IL68">
        <v>0</v>
      </c>
      <c r="IM68">
        <v>0</v>
      </c>
      <c r="IN68">
        <v>0</v>
      </c>
      <c r="IO68">
        <v>0</v>
      </c>
      <c r="IP68">
        <v>0</v>
      </c>
      <c r="IQ68">
        <v>0</v>
      </c>
      <c r="IR68">
        <v>0</v>
      </c>
      <c r="IS68">
        <v>0</v>
      </c>
      <c r="IT68">
        <v>0</v>
      </c>
      <c r="IU68">
        <v>0</v>
      </c>
      <c r="IV68">
        <v>0</v>
      </c>
      <c r="IW68">
        <v>0</v>
      </c>
      <c r="IX68">
        <v>0</v>
      </c>
      <c r="IY68">
        <v>0</v>
      </c>
      <c r="IZ68">
        <v>0</v>
      </c>
      <c r="JA68">
        <v>0</v>
      </c>
      <c r="JB68">
        <v>0</v>
      </c>
      <c r="JC68">
        <v>0</v>
      </c>
      <c r="JD68">
        <v>0</v>
      </c>
      <c r="JE68">
        <v>0</v>
      </c>
      <c r="JF68">
        <v>0</v>
      </c>
      <c r="JG68">
        <v>0</v>
      </c>
      <c r="JH68">
        <v>0</v>
      </c>
      <c r="JI68">
        <v>0</v>
      </c>
      <c r="JJ68">
        <v>0</v>
      </c>
      <c r="JK68">
        <v>0</v>
      </c>
      <c r="JL68">
        <v>0</v>
      </c>
      <c r="JM68">
        <v>0</v>
      </c>
      <c r="JN68">
        <v>0</v>
      </c>
      <c r="JO68">
        <v>0</v>
      </c>
      <c r="JP68">
        <v>0</v>
      </c>
      <c r="JQ68">
        <v>0</v>
      </c>
      <c r="JR68">
        <v>0</v>
      </c>
      <c r="JS68">
        <v>0</v>
      </c>
      <c r="JT68">
        <v>0</v>
      </c>
      <c r="JU68">
        <v>0</v>
      </c>
      <c r="JV68">
        <v>0</v>
      </c>
      <c r="JW68">
        <v>0</v>
      </c>
      <c r="JX68">
        <v>0</v>
      </c>
      <c r="JY68">
        <v>0</v>
      </c>
      <c r="JZ68">
        <v>0</v>
      </c>
      <c r="KA68">
        <v>0</v>
      </c>
      <c r="KB68">
        <v>0</v>
      </c>
      <c r="KC68">
        <v>0</v>
      </c>
      <c r="KD68">
        <v>0</v>
      </c>
      <c r="KE68">
        <v>0</v>
      </c>
      <c r="KF68">
        <v>0</v>
      </c>
      <c r="KG68">
        <v>0</v>
      </c>
      <c r="KH68">
        <v>0</v>
      </c>
      <c r="KI68">
        <v>0</v>
      </c>
      <c r="KJ68">
        <v>0</v>
      </c>
      <c r="KK68">
        <v>0</v>
      </c>
      <c r="KL68">
        <v>0</v>
      </c>
      <c r="KM68">
        <v>0</v>
      </c>
      <c r="KN68">
        <v>0</v>
      </c>
      <c r="KO68">
        <v>0</v>
      </c>
      <c r="KP68">
        <v>0</v>
      </c>
      <c r="KQ68">
        <v>0</v>
      </c>
      <c r="KR68">
        <v>0</v>
      </c>
      <c r="KS68">
        <v>0</v>
      </c>
      <c r="KT68">
        <v>0</v>
      </c>
      <c r="KU68">
        <v>0</v>
      </c>
      <c r="KV68">
        <v>0</v>
      </c>
      <c r="KW68">
        <v>0</v>
      </c>
      <c r="KX68">
        <v>0</v>
      </c>
      <c r="KY68">
        <v>0</v>
      </c>
      <c r="KZ68">
        <v>0</v>
      </c>
      <c r="LA68">
        <v>0</v>
      </c>
      <c r="LB68">
        <v>0</v>
      </c>
      <c r="LC68">
        <v>0</v>
      </c>
      <c r="LD68">
        <v>0</v>
      </c>
      <c r="LE68">
        <v>0</v>
      </c>
      <c r="LF68">
        <v>0</v>
      </c>
      <c r="LG68">
        <v>0</v>
      </c>
      <c r="LH68">
        <v>0</v>
      </c>
      <c r="LI68">
        <v>0</v>
      </c>
      <c r="LJ68">
        <v>0</v>
      </c>
      <c r="LK68">
        <v>0</v>
      </c>
      <c r="LL68">
        <v>0</v>
      </c>
      <c r="LM68">
        <v>0</v>
      </c>
      <c r="LN68">
        <v>0</v>
      </c>
      <c r="LO68">
        <v>0</v>
      </c>
      <c r="LP68">
        <v>0</v>
      </c>
      <c r="LQ68">
        <v>0</v>
      </c>
      <c r="LR68">
        <v>0</v>
      </c>
      <c r="LS68">
        <v>0</v>
      </c>
      <c r="LT68">
        <v>0</v>
      </c>
      <c r="LU68">
        <v>0</v>
      </c>
      <c r="LV68">
        <v>0</v>
      </c>
      <c r="LW68">
        <v>0</v>
      </c>
      <c r="LX68">
        <v>0</v>
      </c>
      <c r="LY68">
        <v>0</v>
      </c>
      <c r="LZ68">
        <v>0</v>
      </c>
      <c r="MA68">
        <v>0</v>
      </c>
      <c r="MB68">
        <v>0</v>
      </c>
      <c r="MC68">
        <v>0</v>
      </c>
      <c r="MD68">
        <v>0</v>
      </c>
      <c r="ME68">
        <v>0</v>
      </c>
      <c r="MF68">
        <v>0</v>
      </c>
      <c r="MG68">
        <v>0</v>
      </c>
      <c r="MH68">
        <v>0</v>
      </c>
      <c r="MI68">
        <v>0</v>
      </c>
      <c r="MJ68">
        <v>0</v>
      </c>
      <c r="MK68">
        <v>0</v>
      </c>
      <c r="ML68">
        <v>0</v>
      </c>
      <c r="MM68">
        <v>0</v>
      </c>
      <c r="MN68">
        <v>0</v>
      </c>
      <c r="MO68">
        <v>0</v>
      </c>
      <c r="MP68">
        <v>0</v>
      </c>
      <c r="MQ68">
        <v>0</v>
      </c>
      <c r="MR68">
        <v>0</v>
      </c>
      <c r="MS68">
        <v>0</v>
      </c>
      <c r="MT68">
        <v>0</v>
      </c>
      <c r="MU68">
        <v>0</v>
      </c>
      <c r="MV68">
        <v>0</v>
      </c>
      <c r="MW68">
        <v>0</v>
      </c>
      <c r="MX68">
        <v>0</v>
      </c>
      <c r="MY68">
        <v>0</v>
      </c>
      <c r="MZ68">
        <v>0</v>
      </c>
      <c r="NA68">
        <v>0</v>
      </c>
      <c r="NB68">
        <v>0</v>
      </c>
      <c r="NC68">
        <v>0</v>
      </c>
      <c r="ND68">
        <v>0</v>
      </c>
      <c r="NE68">
        <v>0</v>
      </c>
      <c r="NF68">
        <v>0</v>
      </c>
      <c r="NG68">
        <v>0</v>
      </c>
      <c r="NH68">
        <v>0</v>
      </c>
      <c r="NI68">
        <v>0</v>
      </c>
      <c r="NJ68">
        <v>0</v>
      </c>
      <c r="NK68">
        <v>0</v>
      </c>
      <c r="NL68">
        <v>0</v>
      </c>
      <c r="NM68">
        <v>0</v>
      </c>
      <c r="NN68">
        <v>0</v>
      </c>
      <c r="NO68">
        <v>0</v>
      </c>
      <c r="NP68">
        <v>0</v>
      </c>
      <c r="NQ68">
        <v>0</v>
      </c>
      <c r="NR68">
        <v>0</v>
      </c>
      <c r="NS68">
        <v>0</v>
      </c>
      <c r="NT68">
        <v>0</v>
      </c>
      <c r="NU68">
        <v>0</v>
      </c>
      <c r="NV68">
        <v>0</v>
      </c>
      <c r="NW68">
        <v>0</v>
      </c>
      <c r="NX68">
        <v>0</v>
      </c>
      <c r="NY68">
        <v>0</v>
      </c>
      <c r="NZ68">
        <v>0</v>
      </c>
      <c r="OA68">
        <v>0</v>
      </c>
      <c r="OB68">
        <v>0</v>
      </c>
      <c r="OC68">
        <v>0</v>
      </c>
      <c r="OD68">
        <v>0</v>
      </c>
      <c r="OE68">
        <v>0</v>
      </c>
      <c r="OF68">
        <v>0</v>
      </c>
      <c r="OG68">
        <v>0</v>
      </c>
      <c r="OH68">
        <v>0</v>
      </c>
      <c r="OI68">
        <v>0</v>
      </c>
      <c r="OJ68">
        <v>0</v>
      </c>
      <c r="OK68">
        <v>0</v>
      </c>
      <c r="OL68">
        <v>0</v>
      </c>
      <c r="OM68">
        <v>0</v>
      </c>
      <c r="ON68">
        <v>0</v>
      </c>
      <c r="OO68">
        <v>0</v>
      </c>
      <c r="OP68">
        <v>0</v>
      </c>
      <c r="OQ68">
        <v>0</v>
      </c>
      <c r="OR68">
        <v>0</v>
      </c>
      <c r="OS68">
        <v>0</v>
      </c>
      <c r="OT68">
        <v>0</v>
      </c>
      <c r="OU68">
        <v>0</v>
      </c>
      <c r="OV68">
        <v>0</v>
      </c>
      <c r="OW68">
        <v>0</v>
      </c>
      <c r="OX68">
        <v>0</v>
      </c>
      <c r="OY68">
        <v>0</v>
      </c>
      <c r="OZ68">
        <v>0</v>
      </c>
      <c r="PA68">
        <v>0</v>
      </c>
      <c r="PB68">
        <v>0</v>
      </c>
      <c r="PC68">
        <v>0</v>
      </c>
      <c r="PD68">
        <v>0</v>
      </c>
      <c r="PE68">
        <v>0</v>
      </c>
      <c r="PF68">
        <v>0</v>
      </c>
      <c r="PG68">
        <v>0</v>
      </c>
      <c r="PH68">
        <v>0</v>
      </c>
      <c r="PI68">
        <v>0</v>
      </c>
      <c r="PJ68">
        <v>0</v>
      </c>
      <c r="PK68">
        <v>0</v>
      </c>
      <c r="PL68">
        <v>0</v>
      </c>
      <c r="PM68">
        <v>0</v>
      </c>
      <c r="PN68">
        <v>0</v>
      </c>
      <c r="PO68">
        <v>0</v>
      </c>
      <c r="PP68">
        <v>0</v>
      </c>
      <c r="PQ68">
        <v>0</v>
      </c>
      <c r="PR68">
        <v>0</v>
      </c>
      <c r="PS68">
        <v>0</v>
      </c>
      <c r="PT68">
        <v>0</v>
      </c>
      <c r="PU68">
        <v>0</v>
      </c>
      <c r="PV68">
        <v>0</v>
      </c>
      <c r="PW68">
        <v>0</v>
      </c>
      <c r="PX68">
        <v>0</v>
      </c>
      <c r="PY68">
        <v>0</v>
      </c>
      <c r="PZ68">
        <v>0</v>
      </c>
      <c r="QA68">
        <v>0</v>
      </c>
      <c r="QB68">
        <v>0</v>
      </c>
      <c r="QC68">
        <v>0</v>
      </c>
      <c r="QD68">
        <v>0</v>
      </c>
      <c r="QE68">
        <v>0</v>
      </c>
      <c r="QF68">
        <v>0</v>
      </c>
      <c r="QG68">
        <v>0</v>
      </c>
      <c r="QH68">
        <v>0</v>
      </c>
      <c r="QI68">
        <v>0</v>
      </c>
      <c r="QJ68">
        <v>0</v>
      </c>
      <c r="QK68">
        <v>0</v>
      </c>
      <c r="QL68">
        <v>0</v>
      </c>
      <c r="QM68">
        <v>0</v>
      </c>
      <c r="QN68">
        <v>0</v>
      </c>
      <c r="QO68">
        <v>0</v>
      </c>
      <c r="QP68">
        <v>0</v>
      </c>
      <c r="QQ68">
        <v>0</v>
      </c>
      <c r="QR68">
        <v>0</v>
      </c>
      <c r="QS68">
        <v>0</v>
      </c>
      <c r="QT68">
        <v>0</v>
      </c>
      <c r="QU68">
        <v>0</v>
      </c>
      <c r="QV68">
        <v>0</v>
      </c>
      <c r="QW68">
        <v>0</v>
      </c>
      <c r="QX68">
        <v>0</v>
      </c>
      <c r="QY68">
        <v>0</v>
      </c>
      <c r="QZ68">
        <v>0</v>
      </c>
      <c r="RA68">
        <v>0</v>
      </c>
      <c r="RB68">
        <v>0</v>
      </c>
      <c r="RC68">
        <v>0</v>
      </c>
      <c r="RD68">
        <v>0</v>
      </c>
      <c r="RE68">
        <v>0</v>
      </c>
      <c r="RF68">
        <v>0</v>
      </c>
      <c r="RG68">
        <v>0</v>
      </c>
      <c r="RH68">
        <v>0</v>
      </c>
      <c r="RI68">
        <v>0</v>
      </c>
      <c r="RJ68">
        <v>0</v>
      </c>
      <c r="RK68">
        <v>0</v>
      </c>
      <c r="RL68">
        <v>0</v>
      </c>
      <c r="RM68">
        <v>0</v>
      </c>
      <c r="RN68">
        <v>0</v>
      </c>
      <c r="RO68">
        <v>0</v>
      </c>
      <c r="RP68">
        <v>0</v>
      </c>
      <c r="RQ68">
        <v>0</v>
      </c>
      <c r="RR68">
        <v>0</v>
      </c>
      <c r="RS68">
        <v>0</v>
      </c>
      <c r="RT68">
        <v>0</v>
      </c>
      <c r="RU68">
        <v>0</v>
      </c>
      <c r="RV68">
        <v>0</v>
      </c>
      <c r="RW68">
        <v>0</v>
      </c>
      <c r="RX68">
        <v>0</v>
      </c>
      <c r="RY68">
        <v>0</v>
      </c>
      <c r="RZ68">
        <v>0</v>
      </c>
      <c r="SA68">
        <v>0</v>
      </c>
      <c r="SB68">
        <v>0</v>
      </c>
      <c r="SC68">
        <v>0</v>
      </c>
      <c r="SD68">
        <v>0</v>
      </c>
      <c r="SE68">
        <v>0</v>
      </c>
      <c r="SF68">
        <v>0</v>
      </c>
      <c r="SG68">
        <v>0</v>
      </c>
      <c r="SH68">
        <v>0</v>
      </c>
      <c r="SI68">
        <v>0</v>
      </c>
      <c r="SJ68">
        <v>0</v>
      </c>
      <c r="SK68">
        <v>0</v>
      </c>
      <c r="SL68">
        <v>0</v>
      </c>
      <c r="SM68">
        <v>0</v>
      </c>
      <c r="SN68">
        <v>0</v>
      </c>
      <c r="SO68">
        <v>0</v>
      </c>
      <c r="SP68">
        <v>0</v>
      </c>
      <c r="SQ68">
        <v>0</v>
      </c>
      <c r="SR68">
        <v>0</v>
      </c>
      <c r="SS68">
        <v>0</v>
      </c>
      <c r="ST68">
        <v>0</v>
      </c>
      <c r="SU68">
        <v>0</v>
      </c>
      <c r="SV68">
        <v>0</v>
      </c>
      <c r="SW68">
        <v>0</v>
      </c>
      <c r="SX68">
        <v>0</v>
      </c>
      <c r="SY68">
        <v>0</v>
      </c>
      <c r="SZ68">
        <v>0</v>
      </c>
      <c r="TA68">
        <v>0</v>
      </c>
      <c r="TB68">
        <v>0</v>
      </c>
      <c r="TC68">
        <v>0</v>
      </c>
      <c r="TD68">
        <v>0</v>
      </c>
      <c r="TE68">
        <v>0</v>
      </c>
      <c r="TF68">
        <v>0</v>
      </c>
      <c r="TG68">
        <v>0</v>
      </c>
      <c r="TH68">
        <v>0</v>
      </c>
      <c r="TI68">
        <v>0</v>
      </c>
      <c r="TJ68">
        <v>0</v>
      </c>
      <c r="TK68">
        <v>0</v>
      </c>
      <c r="TL68">
        <v>0</v>
      </c>
      <c r="TM68">
        <v>0</v>
      </c>
      <c r="TN68">
        <v>0</v>
      </c>
      <c r="TO68">
        <v>0</v>
      </c>
      <c r="TP68">
        <v>0</v>
      </c>
      <c r="TQ68">
        <v>0</v>
      </c>
      <c r="TR68">
        <v>0</v>
      </c>
      <c r="TS68">
        <v>0</v>
      </c>
      <c r="TT68">
        <v>0</v>
      </c>
      <c r="TU68">
        <v>0</v>
      </c>
      <c r="TV68">
        <v>0</v>
      </c>
      <c r="TW68">
        <v>0</v>
      </c>
      <c r="TX68">
        <v>0</v>
      </c>
      <c r="TY68">
        <v>0</v>
      </c>
      <c r="TZ68">
        <v>0</v>
      </c>
      <c r="UA68">
        <v>0</v>
      </c>
      <c r="UB68">
        <v>0</v>
      </c>
      <c r="UC68">
        <v>0</v>
      </c>
      <c r="UD68">
        <v>0</v>
      </c>
      <c r="UE68">
        <v>0</v>
      </c>
      <c r="UF68">
        <v>0</v>
      </c>
      <c r="UG68">
        <v>0</v>
      </c>
      <c r="UH68">
        <v>0</v>
      </c>
      <c r="UI68">
        <v>0</v>
      </c>
      <c r="UJ68">
        <v>0</v>
      </c>
      <c r="UK68">
        <v>0</v>
      </c>
      <c r="UL68">
        <v>0</v>
      </c>
      <c r="UM68">
        <v>0</v>
      </c>
      <c r="UN68">
        <v>0</v>
      </c>
      <c r="UO68">
        <v>0</v>
      </c>
      <c r="UP68">
        <v>0</v>
      </c>
      <c r="UQ68">
        <v>0</v>
      </c>
      <c r="UR68">
        <v>0</v>
      </c>
      <c r="US68">
        <v>0</v>
      </c>
      <c r="UT68">
        <v>0</v>
      </c>
      <c r="UU68">
        <v>0</v>
      </c>
      <c r="UV68">
        <v>0</v>
      </c>
      <c r="UW68">
        <v>0</v>
      </c>
      <c r="UX68">
        <v>0</v>
      </c>
      <c r="UY68">
        <v>0</v>
      </c>
      <c r="UZ68">
        <v>0</v>
      </c>
      <c r="VA68">
        <v>0</v>
      </c>
      <c r="VB68">
        <v>0</v>
      </c>
      <c r="VC68">
        <v>0</v>
      </c>
      <c r="VD68">
        <v>0</v>
      </c>
      <c r="VE68">
        <v>0</v>
      </c>
      <c r="VF68">
        <v>0</v>
      </c>
      <c r="VG68">
        <v>0</v>
      </c>
      <c r="VH68">
        <v>0</v>
      </c>
      <c r="VI68">
        <v>0</v>
      </c>
      <c r="VJ68">
        <v>0</v>
      </c>
      <c r="VK68">
        <v>0</v>
      </c>
      <c r="VL68">
        <v>0</v>
      </c>
      <c r="VM68">
        <v>0</v>
      </c>
      <c r="VN68">
        <v>0</v>
      </c>
      <c r="VO68">
        <v>0</v>
      </c>
      <c r="VP68">
        <v>0</v>
      </c>
      <c r="VQ68">
        <v>0</v>
      </c>
      <c r="VR68">
        <v>0</v>
      </c>
      <c r="VS68">
        <v>0</v>
      </c>
      <c r="VT68">
        <v>0</v>
      </c>
      <c r="VU68">
        <v>0</v>
      </c>
      <c r="VV68">
        <v>0</v>
      </c>
      <c r="VW68">
        <v>0</v>
      </c>
      <c r="VX68">
        <v>0</v>
      </c>
      <c r="VY68">
        <v>0</v>
      </c>
      <c r="VZ68">
        <v>0</v>
      </c>
      <c r="WA68">
        <v>0</v>
      </c>
      <c r="WB68">
        <v>0</v>
      </c>
      <c r="WC68">
        <v>0</v>
      </c>
      <c r="WD68">
        <v>0</v>
      </c>
      <c r="WE68">
        <v>0</v>
      </c>
      <c r="WF68">
        <v>0</v>
      </c>
      <c r="WG68">
        <v>0</v>
      </c>
      <c r="WH68">
        <v>0</v>
      </c>
      <c r="WI68">
        <v>0</v>
      </c>
      <c r="WJ68">
        <v>0</v>
      </c>
      <c r="WK68">
        <v>0</v>
      </c>
      <c r="WL68">
        <v>0</v>
      </c>
      <c r="WM68">
        <v>0</v>
      </c>
      <c r="WN68">
        <v>0</v>
      </c>
      <c r="WO68">
        <v>0</v>
      </c>
      <c r="WP68">
        <v>0</v>
      </c>
      <c r="WQ68">
        <v>0</v>
      </c>
      <c r="WR68">
        <v>0</v>
      </c>
      <c r="WS68">
        <v>0</v>
      </c>
      <c r="WT68">
        <v>0</v>
      </c>
      <c r="WU68">
        <v>0</v>
      </c>
      <c r="WV68">
        <v>0</v>
      </c>
      <c r="WW68">
        <v>0</v>
      </c>
      <c r="WX68">
        <v>0</v>
      </c>
      <c r="WY68">
        <v>0</v>
      </c>
      <c r="WZ68">
        <v>0</v>
      </c>
      <c r="XA68">
        <v>0</v>
      </c>
      <c r="XB68">
        <v>0</v>
      </c>
      <c r="XC68">
        <v>0</v>
      </c>
      <c r="XD68">
        <v>0</v>
      </c>
      <c r="XE68">
        <v>0</v>
      </c>
      <c r="XF68">
        <v>0</v>
      </c>
      <c r="XG68">
        <v>0</v>
      </c>
      <c r="XH68">
        <v>0</v>
      </c>
      <c r="XI68">
        <v>0</v>
      </c>
      <c r="XJ68">
        <v>0</v>
      </c>
      <c r="XK68">
        <v>0</v>
      </c>
      <c r="XL68">
        <v>0</v>
      </c>
      <c r="XM68">
        <v>0</v>
      </c>
      <c r="XN68">
        <v>0</v>
      </c>
      <c r="XO68">
        <v>0</v>
      </c>
      <c r="XP68">
        <v>0</v>
      </c>
      <c r="XQ68">
        <v>0</v>
      </c>
      <c r="XR68">
        <v>0</v>
      </c>
      <c r="XS68">
        <v>0</v>
      </c>
      <c r="XT68">
        <v>0</v>
      </c>
      <c r="XU68">
        <v>0</v>
      </c>
      <c r="XV68">
        <v>0</v>
      </c>
      <c r="XW68">
        <v>0</v>
      </c>
      <c r="XX68">
        <v>0</v>
      </c>
      <c r="XY68">
        <v>0</v>
      </c>
      <c r="XZ68">
        <v>0</v>
      </c>
      <c r="YA68">
        <v>0</v>
      </c>
      <c r="YB68">
        <v>0</v>
      </c>
      <c r="YC68">
        <v>0</v>
      </c>
      <c r="YD68">
        <v>0</v>
      </c>
      <c r="YE68">
        <v>0</v>
      </c>
      <c r="YF68">
        <v>0</v>
      </c>
      <c r="YG68">
        <v>0</v>
      </c>
      <c r="YH68">
        <v>0</v>
      </c>
      <c r="YI68">
        <v>0</v>
      </c>
      <c r="YJ68">
        <v>0</v>
      </c>
      <c r="YK68">
        <v>0</v>
      </c>
      <c r="YL68">
        <v>0</v>
      </c>
      <c r="YM68">
        <v>0</v>
      </c>
      <c r="YN68">
        <v>0</v>
      </c>
      <c r="YO68">
        <v>0</v>
      </c>
      <c r="YP68">
        <v>0</v>
      </c>
      <c r="YQ68">
        <v>0</v>
      </c>
      <c r="YR68">
        <v>0</v>
      </c>
      <c r="YS68">
        <v>0</v>
      </c>
      <c r="YT68">
        <v>0</v>
      </c>
      <c r="YU68">
        <v>0</v>
      </c>
      <c r="YV68">
        <v>0</v>
      </c>
      <c r="YW68">
        <v>0</v>
      </c>
      <c r="YX68">
        <v>0</v>
      </c>
      <c r="YY68">
        <v>0</v>
      </c>
      <c r="YZ68">
        <v>0</v>
      </c>
      <c r="ZA68">
        <v>0</v>
      </c>
      <c r="ZB68">
        <v>0</v>
      </c>
      <c r="ZC68">
        <v>0</v>
      </c>
      <c r="ZD68">
        <v>0</v>
      </c>
      <c r="ZE68">
        <v>0</v>
      </c>
      <c r="ZF68">
        <v>0</v>
      </c>
      <c r="ZG68">
        <v>0</v>
      </c>
      <c r="ZH68">
        <v>0</v>
      </c>
      <c r="ZI68">
        <v>0</v>
      </c>
      <c r="ZJ68">
        <v>0</v>
      </c>
      <c r="ZK68">
        <v>0</v>
      </c>
      <c r="ZL68">
        <v>0</v>
      </c>
      <c r="ZM68">
        <v>0</v>
      </c>
      <c r="ZN68">
        <v>0</v>
      </c>
      <c r="ZO68">
        <v>0</v>
      </c>
      <c r="ZP68">
        <v>0</v>
      </c>
      <c r="ZQ68">
        <v>0</v>
      </c>
      <c r="ZR68">
        <v>0</v>
      </c>
      <c r="ZS68">
        <v>0</v>
      </c>
      <c r="ZT68">
        <v>0</v>
      </c>
      <c r="ZU68">
        <v>0</v>
      </c>
      <c r="ZV68">
        <v>0</v>
      </c>
      <c r="ZW68">
        <v>0</v>
      </c>
      <c r="ZX68">
        <v>0</v>
      </c>
      <c r="ZY68">
        <v>0</v>
      </c>
      <c r="ZZ68">
        <v>0</v>
      </c>
      <c r="AAA68">
        <v>0</v>
      </c>
      <c r="AAB68">
        <v>0</v>
      </c>
      <c r="AAC68">
        <v>0</v>
      </c>
      <c r="AAD68">
        <v>0</v>
      </c>
      <c r="AAE68">
        <v>0</v>
      </c>
      <c r="AAF68">
        <v>0</v>
      </c>
      <c r="AAG68">
        <v>0</v>
      </c>
      <c r="AAH68">
        <v>0</v>
      </c>
      <c r="AAI68">
        <v>0</v>
      </c>
      <c r="AAJ68">
        <v>0</v>
      </c>
      <c r="AAK68">
        <v>0</v>
      </c>
      <c r="AAL68">
        <v>0</v>
      </c>
      <c r="AAM68">
        <v>0</v>
      </c>
      <c r="AAN68">
        <v>0</v>
      </c>
      <c r="AAO68">
        <v>0</v>
      </c>
      <c r="AAP68">
        <v>0</v>
      </c>
      <c r="AAQ68">
        <v>0</v>
      </c>
      <c r="AAR68">
        <v>0</v>
      </c>
      <c r="AAS68">
        <v>0</v>
      </c>
      <c r="AAT68">
        <v>0</v>
      </c>
      <c r="AAU68">
        <v>0</v>
      </c>
      <c r="AAV68">
        <v>0</v>
      </c>
      <c r="AAW68">
        <v>0</v>
      </c>
      <c r="AAX68">
        <v>0</v>
      </c>
      <c r="AAY68">
        <v>0</v>
      </c>
      <c r="AAZ68">
        <v>0</v>
      </c>
      <c r="ABA68">
        <v>0</v>
      </c>
      <c r="ABB68">
        <v>0</v>
      </c>
      <c r="ABC68">
        <v>0</v>
      </c>
      <c r="ABD68">
        <v>0</v>
      </c>
      <c r="ABE68">
        <v>0</v>
      </c>
      <c r="ABG68" s="1137">
        <f t="shared" ref="ABG68:ABV83" si="19">COUNTIFS($C$3:$ABE$3, ABG$3, $C$4:$ABE$4, ABG$4, $C68:$ABE68, "&gt;0")</f>
        <v>0</v>
      </c>
      <c r="ABH68" s="1137">
        <f t="shared" si="19"/>
        <v>0</v>
      </c>
      <c r="ABI68" s="1137">
        <f t="shared" si="19"/>
        <v>2</v>
      </c>
      <c r="ABJ68" s="1137">
        <f t="shared" si="19"/>
        <v>18</v>
      </c>
      <c r="ABK68" s="1137">
        <f t="shared" si="19"/>
        <v>0</v>
      </c>
      <c r="ABL68" s="1137">
        <f t="shared" si="19"/>
        <v>0</v>
      </c>
      <c r="ABM68" s="1137">
        <f t="shared" si="19"/>
        <v>0</v>
      </c>
      <c r="ABN68" s="1137">
        <f t="shared" si="19"/>
        <v>0</v>
      </c>
      <c r="ABO68" s="1137">
        <f t="shared" si="19"/>
        <v>0</v>
      </c>
      <c r="ABP68" s="1137">
        <f t="shared" si="19"/>
        <v>0</v>
      </c>
      <c r="ABQ68" s="1137">
        <f t="shared" si="19"/>
        <v>0</v>
      </c>
      <c r="ABR68" s="1137">
        <f t="shared" si="19"/>
        <v>0</v>
      </c>
      <c r="ABS68" s="1137">
        <f t="shared" si="19"/>
        <v>0</v>
      </c>
      <c r="ABT68" s="1137">
        <f t="shared" si="19"/>
        <v>0</v>
      </c>
      <c r="ABU68" s="1137">
        <f t="shared" si="19"/>
        <v>0</v>
      </c>
      <c r="ABV68" s="1137">
        <f t="shared" si="18"/>
        <v>0</v>
      </c>
      <c r="ABW68" s="1137">
        <f t="shared" si="17"/>
        <v>0</v>
      </c>
      <c r="ABX68" s="1137">
        <f t="shared" si="14"/>
        <v>0</v>
      </c>
      <c r="ABY68" s="1137">
        <f t="shared" si="14"/>
        <v>0</v>
      </c>
      <c r="ABZ68" s="1137">
        <f t="shared" si="14"/>
        <v>0</v>
      </c>
      <c r="ACA68" s="1137">
        <f t="shared" si="14"/>
        <v>0</v>
      </c>
      <c r="ACB68" s="1137">
        <f t="shared" si="14"/>
        <v>0</v>
      </c>
      <c r="ACC68" s="1137">
        <f t="shared" si="14"/>
        <v>0</v>
      </c>
      <c r="ACD68" s="1137">
        <f t="shared" si="14"/>
        <v>0</v>
      </c>
      <c r="ACE68" s="1137" t="s">
        <v>31</v>
      </c>
      <c r="ACF68" s="1137">
        <f t="shared" si="15"/>
        <v>0</v>
      </c>
      <c r="ACG68" s="1137">
        <f t="shared" si="15"/>
        <v>0</v>
      </c>
      <c r="ACH68" s="1137">
        <f t="shared" si="15"/>
        <v>0</v>
      </c>
      <c r="ACI68" s="1137">
        <f t="shared" si="15"/>
        <v>1</v>
      </c>
      <c r="ACJ68" s="1137">
        <f t="shared" si="15"/>
        <v>0</v>
      </c>
      <c r="ACK68" s="1137">
        <f t="shared" si="15"/>
        <v>0</v>
      </c>
      <c r="ACL68" s="1137">
        <f t="shared" si="15"/>
        <v>0</v>
      </c>
      <c r="ACM68" s="1137">
        <f t="shared" si="15"/>
        <v>0</v>
      </c>
      <c r="ACN68" s="1137">
        <f t="shared" si="15"/>
        <v>0</v>
      </c>
      <c r="ACO68" s="1137">
        <f t="shared" si="15"/>
        <v>0</v>
      </c>
      <c r="ACP68" s="1137">
        <f t="shared" si="15"/>
        <v>0</v>
      </c>
      <c r="ACQ68" s="1137">
        <f t="shared" si="15"/>
        <v>0</v>
      </c>
      <c r="ACR68" s="1137">
        <f t="shared" si="15"/>
        <v>0</v>
      </c>
      <c r="ACS68" s="1137">
        <f t="shared" si="15"/>
        <v>0</v>
      </c>
      <c r="ACT68" s="1137">
        <f t="shared" si="15"/>
        <v>0</v>
      </c>
      <c r="ACU68" s="1137">
        <f t="shared" si="12"/>
        <v>0</v>
      </c>
      <c r="ACV68" s="1137">
        <f t="shared" si="12"/>
        <v>0</v>
      </c>
      <c r="ACW68" s="1137">
        <f t="shared" si="12"/>
        <v>0</v>
      </c>
      <c r="ACX68" s="1137">
        <f t="shared" si="12"/>
        <v>0</v>
      </c>
      <c r="ACY68" s="1137">
        <f t="shared" si="12"/>
        <v>0</v>
      </c>
      <c r="ACZ68" s="1137">
        <f t="shared" si="12"/>
        <v>0</v>
      </c>
      <c r="ADA68" s="1137">
        <f t="shared" si="12"/>
        <v>0</v>
      </c>
      <c r="ADB68" s="1137">
        <f t="shared" si="16"/>
        <v>0</v>
      </c>
      <c r="ADC68" s="1137">
        <f t="shared" si="16"/>
        <v>0</v>
      </c>
    </row>
    <row r="69" spans="1:783" x14ac:dyDescent="0.25">
      <c r="A69" t="s">
        <v>1866</v>
      </c>
      <c r="B69" t="s">
        <v>32</v>
      </c>
      <c r="C69">
        <v>0</v>
      </c>
      <c r="D69">
        <v>0</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v>0</v>
      </c>
      <c r="BE69">
        <v>0</v>
      </c>
      <c r="BF69">
        <v>0</v>
      </c>
      <c r="BG69">
        <v>0</v>
      </c>
      <c r="BH69">
        <v>0</v>
      </c>
      <c r="BI69">
        <v>0</v>
      </c>
      <c r="BJ69">
        <v>0</v>
      </c>
      <c r="BK69">
        <v>0</v>
      </c>
      <c r="BL69">
        <v>0</v>
      </c>
      <c r="BM69">
        <v>0</v>
      </c>
      <c r="BN69">
        <v>0</v>
      </c>
      <c r="BO69">
        <v>0</v>
      </c>
      <c r="BP69">
        <v>0</v>
      </c>
      <c r="BQ69">
        <v>0</v>
      </c>
      <c r="BR69">
        <v>0</v>
      </c>
      <c r="BS69">
        <v>0</v>
      </c>
      <c r="BT69">
        <v>0</v>
      </c>
      <c r="BU69">
        <v>0</v>
      </c>
      <c r="BV69">
        <v>0</v>
      </c>
      <c r="BW69">
        <v>0</v>
      </c>
      <c r="BX69">
        <v>0</v>
      </c>
      <c r="BY69">
        <v>0</v>
      </c>
      <c r="BZ69">
        <v>0</v>
      </c>
      <c r="CA69">
        <v>0</v>
      </c>
      <c r="CB69">
        <v>0</v>
      </c>
      <c r="CC69">
        <v>0</v>
      </c>
      <c r="CD69">
        <v>0</v>
      </c>
      <c r="CE69">
        <v>1</v>
      </c>
      <c r="CF69">
        <v>1</v>
      </c>
      <c r="CG69">
        <v>1</v>
      </c>
      <c r="CH69">
        <v>1</v>
      </c>
      <c r="CI69">
        <v>1</v>
      </c>
      <c r="CJ69">
        <v>1</v>
      </c>
      <c r="CK69">
        <v>2</v>
      </c>
      <c r="CL69">
        <v>2</v>
      </c>
      <c r="CM69">
        <v>2</v>
      </c>
      <c r="CN69">
        <v>2</v>
      </c>
      <c r="CO69">
        <v>2</v>
      </c>
      <c r="CP69">
        <v>2</v>
      </c>
      <c r="CQ69">
        <v>2</v>
      </c>
      <c r="CR69">
        <v>2</v>
      </c>
      <c r="CS69">
        <v>2</v>
      </c>
      <c r="CT69">
        <v>2</v>
      </c>
      <c r="CU69">
        <v>2</v>
      </c>
      <c r="CV69">
        <v>2</v>
      </c>
      <c r="CW69">
        <v>2</v>
      </c>
      <c r="CX69">
        <v>2</v>
      </c>
      <c r="CY69">
        <v>2</v>
      </c>
      <c r="CZ69">
        <v>2</v>
      </c>
      <c r="DA69">
        <v>2</v>
      </c>
      <c r="DB69">
        <v>2</v>
      </c>
      <c r="DC69">
        <v>2</v>
      </c>
      <c r="DD69">
        <v>2</v>
      </c>
      <c r="DE69">
        <v>2</v>
      </c>
      <c r="DF69">
        <v>2</v>
      </c>
      <c r="DG69">
        <v>2</v>
      </c>
      <c r="DH69">
        <v>2</v>
      </c>
      <c r="DI69">
        <v>2</v>
      </c>
      <c r="DJ69">
        <v>2</v>
      </c>
      <c r="DK69">
        <v>2</v>
      </c>
      <c r="DL69">
        <v>2</v>
      </c>
      <c r="DM69">
        <v>2</v>
      </c>
      <c r="DN69">
        <v>2</v>
      </c>
      <c r="DO69">
        <v>2</v>
      </c>
      <c r="DP69">
        <v>2</v>
      </c>
      <c r="DQ69">
        <v>2</v>
      </c>
      <c r="DR69">
        <v>2</v>
      </c>
      <c r="DS69">
        <v>2</v>
      </c>
      <c r="DT69">
        <v>2</v>
      </c>
      <c r="DU69">
        <v>2</v>
      </c>
      <c r="DV69">
        <v>2</v>
      </c>
      <c r="DW69">
        <v>2</v>
      </c>
      <c r="DX69">
        <v>2</v>
      </c>
      <c r="DY69">
        <v>2</v>
      </c>
      <c r="DZ69">
        <v>2</v>
      </c>
      <c r="EA69">
        <v>2</v>
      </c>
      <c r="EB69">
        <v>2</v>
      </c>
      <c r="EC69">
        <v>2</v>
      </c>
      <c r="ED69">
        <v>2</v>
      </c>
      <c r="EE69">
        <v>2</v>
      </c>
      <c r="EF69">
        <v>2</v>
      </c>
      <c r="EG69">
        <v>2</v>
      </c>
      <c r="EH69">
        <v>2</v>
      </c>
      <c r="EI69">
        <v>2</v>
      </c>
      <c r="EJ69">
        <v>2</v>
      </c>
      <c r="EK69">
        <v>2</v>
      </c>
      <c r="EL69">
        <v>2</v>
      </c>
      <c r="EM69">
        <v>2</v>
      </c>
      <c r="EN69">
        <v>2</v>
      </c>
      <c r="EO69">
        <v>2</v>
      </c>
      <c r="EP69">
        <v>2</v>
      </c>
      <c r="EQ69">
        <v>2</v>
      </c>
      <c r="ER69">
        <v>2</v>
      </c>
      <c r="ES69">
        <v>2</v>
      </c>
      <c r="ET69">
        <v>2</v>
      </c>
      <c r="EU69">
        <v>2</v>
      </c>
      <c r="EV69">
        <v>2</v>
      </c>
      <c r="EW69">
        <v>2</v>
      </c>
      <c r="EX69">
        <v>2</v>
      </c>
      <c r="EY69">
        <v>2</v>
      </c>
      <c r="EZ69">
        <v>2</v>
      </c>
      <c r="FA69">
        <v>2</v>
      </c>
      <c r="FB69">
        <v>2</v>
      </c>
      <c r="FC69">
        <v>2</v>
      </c>
      <c r="FD69">
        <v>2</v>
      </c>
      <c r="FE69">
        <v>2</v>
      </c>
      <c r="FF69">
        <v>2</v>
      </c>
      <c r="FG69">
        <v>2</v>
      </c>
      <c r="FH69">
        <v>2</v>
      </c>
      <c r="FI69">
        <v>2</v>
      </c>
      <c r="FJ69">
        <v>2</v>
      </c>
      <c r="FK69">
        <v>2</v>
      </c>
      <c r="FL69">
        <v>2</v>
      </c>
      <c r="FM69">
        <v>2</v>
      </c>
      <c r="FN69">
        <v>2</v>
      </c>
      <c r="FO69">
        <v>2</v>
      </c>
      <c r="FP69">
        <v>2</v>
      </c>
      <c r="FQ69">
        <v>2</v>
      </c>
      <c r="FR69">
        <v>2</v>
      </c>
      <c r="FS69">
        <v>2</v>
      </c>
      <c r="FT69">
        <v>2</v>
      </c>
      <c r="FU69">
        <v>2</v>
      </c>
      <c r="FV69">
        <v>2</v>
      </c>
      <c r="FW69">
        <v>2</v>
      </c>
      <c r="FX69">
        <v>2</v>
      </c>
      <c r="FY69">
        <v>2</v>
      </c>
      <c r="FZ69">
        <v>2</v>
      </c>
      <c r="GA69">
        <v>2</v>
      </c>
      <c r="GB69">
        <v>2</v>
      </c>
      <c r="GC69">
        <v>2</v>
      </c>
      <c r="GD69">
        <v>2</v>
      </c>
      <c r="GE69">
        <v>2</v>
      </c>
      <c r="GF69">
        <v>2</v>
      </c>
      <c r="GG69">
        <v>2</v>
      </c>
      <c r="GH69">
        <v>2</v>
      </c>
      <c r="GI69">
        <v>2</v>
      </c>
      <c r="GJ69">
        <v>2</v>
      </c>
      <c r="GK69">
        <v>2</v>
      </c>
      <c r="GL69">
        <v>2</v>
      </c>
      <c r="GM69">
        <v>2</v>
      </c>
      <c r="GN69">
        <v>2</v>
      </c>
      <c r="GO69">
        <v>2</v>
      </c>
      <c r="GP69">
        <v>2</v>
      </c>
      <c r="GQ69">
        <v>2</v>
      </c>
      <c r="GR69">
        <v>2</v>
      </c>
      <c r="GS69">
        <v>2</v>
      </c>
      <c r="GT69">
        <v>2</v>
      </c>
      <c r="GU69">
        <v>2</v>
      </c>
      <c r="GV69">
        <v>2</v>
      </c>
      <c r="GW69">
        <v>2</v>
      </c>
      <c r="GX69">
        <v>2</v>
      </c>
      <c r="GY69">
        <v>2</v>
      </c>
      <c r="GZ69">
        <v>2</v>
      </c>
      <c r="HA69">
        <v>2</v>
      </c>
      <c r="HB69">
        <v>2</v>
      </c>
      <c r="HC69">
        <v>2</v>
      </c>
      <c r="HD69">
        <v>2</v>
      </c>
      <c r="HE69">
        <v>2</v>
      </c>
      <c r="HF69">
        <v>2</v>
      </c>
      <c r="HG69">
        <v>2</v>
      </c>
      <c r="HH69">
        <v>2</v>
      </c>
      <c r="HI69">
        <v>2</v>
      </c>
      <c r="HJ69">
        <v>2</v>
      </c>
      <c r="HK69">
        <v>2</v>
      </c>
      <c r="HL69">
        <v>2</v>
      </c>
      <c r="HM69">
        <v>2</v>
      </c>
      <c r="HN69">
        <v>2</v>
      </c>
      <c r="HO69">
        <v>2</v>
      </c>
      <c r="HP69">
        <v>2</v>
      </c>
      <c r="HQ69">
        <v>2</v>
      </c>
      <c r="HR69">
        <v>2</v>
      </c>
      <c r="HS69">
        <v>2</v>
      </c>
      <c r="HT69">
        <v>2</v>
      </c>
      <c r="HU69">
        <v>2</v>
      </c>
      <c r="HV69">
        <v>2</v>
      </c>
      <c r="HW69">
        <v>2</v>
      </c>
      <c r="HX69">
        <v>2</v>
      </c>
      <c r="HY69">
        <v>2</v>
      </c>
      <c r="HZ69">
        <v>2</v>
      </c>
      <c r="IA69">
        <v>2</v>
      </c>
      <c r="IB69">
        <v>2</v>
      </c>
      <c r="IC69">
        <v>2</v>
      </c>
      <c r="ID69">
        <v>2</v>
      </c>
      <c r="IE69">
        <v>2</v>
      </c>
      <c r="IF69">
        <v>2</v>
      </c>
      <c r="IG69">
        <v>2</v>
      </c>
      <c r="IH69">
        <v>2</v>
      </c>
      <c r="II69">
        <v>2</v>
      </c>
      <c r="IJ69">
        <v>2</v>
      </c>
      <c r="IK69">
        <v>2</v>
      </c>
      <c r="IL69">
        <v>2</v>
      </c>
      <c r="IM69">
        <v>2</v>
      </c>
      <c r="IN69">
        <v>2</v>
      </c>
      <c r="IO69">
        <v>2</v>
      </c>
      <c r="IP69">
        <v>2</v>
      </c>
      <c r="IQ69">
        <v>2</v>
      </c>
      <c r="IR69">
        <v>2</v>
      </c>
      <c r="IS69">
        <v>2</v>
      </c>
      <c r="IT69">
        <v>2</v>
      </c>
      <c r="IU69">
        <v>2</v>
      </c>
      <c r="IV69">
        <v>2</v>
      </c>
      <c r="IW69">
        <v>2</v>
      </c>
      <c r="IX69">
        <v>2</v>
      </c>
      <c r="IY69">
        <v>2</v>
      </c>
      <c r="IZ69">
        <v>2</v>
      </c>
      <c r="JA69">
        <v>2</v>
      </c>
      <c r="JB69">
        <v>2</v>
      </c>
      <c r="JC69">
        <v>2</v>
      </c>
      <c r="JD69">
        <v>2</v>
      </c>
      <c r="JE69">
        <v>2</v>
      </c>
      <c r="JF69">
        <v>2</v>
      </c>
      <c r="JG69">
        <v>2</v>
      </c>
      <c r="JH69">
        <v>2</v>
      </c>
      <c r="JI69">
        <v>2</v>
      </c>
      <c r="JJ69">
        <v>2</v>
      </c>
      <c r="JK69">
        <v>2</v>
      </c>
      <c r="JL69">
        <v>2</v>
      </c>
      <c r="JM69">
        <v>2</v>
      </c>
      <c r="JN69">
        <v>2</v>
      </c>
      <c r="JO69">
        <v>2</v>
      </c>
      <c r="JP69">
        <v>2</v>
      </c>
      <c r="JQ69">
        <v>2</v>
      </c>
      <c r="JR69">
        <v>2</v>
      </c>
      <c r="JS69">
        <v>2</v>
      </c>
      <c r="JT69">
        <v>2</v>
      </c>
      <c r="JU69">
        <v>2</v>
      </c>
      <c r="JV69">
        <v>2</v>
      </c>
      <c r="JW69">
        <v>2</v>
      </c>
      <c r="JX69">
        <v>2</v>
      </c>
      <c r="JY69">
        <v>2</v>
      </c>
      <c r="JZ69">
        <v>2</v>
      </c>
      <c r="KA69">
        <v>2</v>
      </c>
      <c r="KB69">
        <v>2</v>
      </c>
      <c r="KC69">
        <v>2</v>
      </c>
      <c r="KD69">
        <v>2</v>
      </c>
      <c r="KE69">
        <v>0</v>
      </c>
      <c r="KF69">
        <v>0</v>
      </c>
      <c r="KG69">
        <v>0</v>
      </c>
      <c r="KH69">
        <v>0</v>
      </c>
      <c r="KI69">
        <v>0</v>
      </c>
      <c r="KJ69">
        <v>0</v>
      </c>
      <c r="KK69">
        <v>0</v>
      </c>
      <c r="KL69">
        <v>0</v>
      </c>
      <c r="KM69">
        <v>0</v>
      </c>
      <c r="KN69">
        <v>0</v>
      </c>
      <c r="KO69">
        <v>0</v>
      </c>
      <c r="KP69">
        <v>0</v>
      </c>
      <c r="KQ69">
        <v>0</v>
      </c>
      <c r="KR69">
        <v>0</v>
      </c>
      <c r="KS69">
        <v>0</v>
      </c>
      <c r="KT69">
        <v>0</v>
      </c>
      <c r="KU69">
        <v>0</v>
      </c>
      <c r="KV69">
        <v>0</v>
      </c>
      <c r="KW69">
        <v>0</v>
      </c>
      <c r="KX69">
        <v>0</v>
      </c>
      <c r="KY69">
        <v>0</v>
      </c>
      <c r="KZ69">
        <v>0</v>
      </c>
      <c r="LA69">
        <v>0</v>
      </c>
      <c r="LB69">
        <v>0</v>
      </c>
      <c r="LC69">
        <v>0</v>
      </c>
      <c r="LD69">
        <v>0</v>
      </c>
      <c r="LE69">
        <v>0</v>
      </c>
      <c r="LF69">
        <v>0</v>
      </c>
      <c r="LG69">
        <v>0</v>
      </c>
      <c r="LH69">
        <v>0</v>
      </c>
      <c r="LI69">
        <v>0</v>
      </c>
      <c r="LJ69">
        <v>0</v>
      </c>
      <c r="LK69">
        <v>0</v>
      </c>
      <c r="LL69">
        <v>0</v>
      </c>
      <c r="LM69">
        <v>0</v>
      </c>
      <c r="LN69">
        <v>0</v>
      </c>
      <c r="LO69">
        <v>0</v>
      </c>
      <c r="LP69">
        <v>0</v>
      </c>
      <c r="LQ69">
        <v>0</v>
      </c>
      <c r="LR69">
        <v>0</v>
      </c>
      <c r="LS69">
        <v>2</v>
      </c>
      <c r="LT69">
        <v>2</v>
      </c>
      <c r="LU69">
        <v>2</v>
      </c>
      <c r="LV69">
        <v>2</v>
      </c>
      <c r="LW69">
        <v>2</v>
      </c>
      <c r="LX69">
        <v>2</v>
      </c>
      <c r="LY69">
        <v>2</v>
      </c>
      <c r="LZ69">
        <v>2</v>
      </c>
      <c r="MA69">
        <v>2</v>
      </c>
      <c r="MB69">
        <v>2</v>
      </c>
      <c r="MC69">
        <v>2</v>
      </c>
      <c r="MD69">
        <v>2</v>
      </c>
      <c r="ME69">
        <v>2</v>
      </c>
      <c r="MF69">
        <v>2</v>
      </c>
      <c r="MG69">
        <v>2</v>
      </c>
      <c r="MH69">
        <v>2</v>
      </c>
      <c r="MI69">
        <v>2</v>
      </c>
      <c r="MJ69">
        <v>2</v>
      </c>
      <c r="MK69">
        <v>2</v>
      </c>
      <c r="ML69">
        <v>2</v>
      </c>
      <c r="MM69">
        <v>2</v>
      </c>
      <c r="MN69">
        <v>2</v>
      </c>
      <c r="MO69">
        <v>2</v>
      </c>
      <c r="MP69">
        <v>2</v>
      </c>
      <c r="MQ69">
        <v>2</v>
      </c>
      <c r="MR69">
        <v>2</v>
      </c>
      <c r="MS69">
        <v>2</v>
      </c>
      <c r="MT69">
        <v>2</v>
      </c>
      <c r="MU69">
        <v>2</v>
      </c>
      <c r="MV69">
        <v>2</v>
      </c>
      <c r="MW69">
        <v>2</v>
      </c>
      <c r="MX69">
        <v>2</v>
      </c>
      <c r="MY69">
        <v>2</v>
      </c>
      <c r="MZ69">
        <v>2</v>
      </c>
      <c r="NA69">
        <v>2</v>
      </c>
      <c r="NB69">
        <v>2</v>
      </c>
      <c r="NC69">
        <v>2</v>
      </c>
      <c r="ND69">
        <v>2</v>
      </c>
      <c r="NE69">
        <v>2</v>
      </c>
      <c r="NF69">
        <v>2</v>
      </c>
      <c r="NG69">
        <v>2</v>
      </c>
      <c r="NH69">
        <v>2</v>
      </c>
      <c r="NI69">
        <v>2</v>
      </c>
      <c r="NJ69">
        <v>2</v>
      </c>
      <c r="NK69">
        <v>2</v>
      </c>
      <c r="NL69">
        <v>2</v>
      </c>
      <c r="NM69">
        <v>2</v>
      </c>
      <c r="NN69">
        <v>2</v>
      </c>
      <c r="NO69">
        <v>2</v>
      </c>
      <c r="NP69">
        <v>2</v>
      </c>
      <c r="NQ69">
        <v>2</v>
      </c>
      <c r="NR69">
        <v>2</v>
      </c>
      <c r="NS69">
        <v>2</v>
      </c>
      <c r="NT69">
        <v>2</v>
      </c>
      <c r="NU69">
        <v>2</v>
      </c>
      <c r="NV69">
        <v>2</v>
      </c>
      <c r="NW69">
        <v>2</v>
      </c>
      <c r="NX69">
        <v>2</v>
      </c>
      <c r="NY69">
        <v>2</v>
      </c>
      <c r="NZ69">
        <v>2</v>
      </c>
      <c r="OA69">
        <v>2</v>
      </c>
      <c r="OB69">
        <v>2</v>
      </c>
      <c r="OC69">
        <v>2</v>
      </c>
      <c r="OD69">
        <v>2</v>
      </c>
      <c r="OE69">
        <v>2</v>
      </c>
      <c r="OF69">
        <v>2</v>
      </c>
      <c r="OG69">
        <v>2</v>
      </c>
      <c r="OH69">
        <v>2</v>
      </c>
      <c r="OI69">
        <v>2</v>
      </c>
      <c r="OJ69">
        <v>2</v>
      </c>
      <c r="OK69">
        <v>2</v>
      </c>
      <c r="OL69">
        <v>2</v>
      </c>
      <c r="OM69">
        <v>2</v>
      </c>
      <c r="ON69">
        <v>2</v>
      </c>
      <c r="OO69">
        <v>2</v>
      </c>
      <c r="OP69">
        <v>2</v>
      </c>
      <c r="OQ69">
        <v>2</v>
      </c>
      <c r="OR69">
        <v>2</v>
      </c>
      <c r="OS69">
        <v>2</v>
      </c>
      <c r="OT69">
        <v>2</v>
      </c>
      <c r="OU69">
        <v>2</v>
      </c>
      <c r="OV69">
        <v>2</v>
      </c>
      <c r="OW69">
        <v>2</v>
      </c>
      <c r="OX69">
        <v>2</v>
      </c>
      <c r="OY69">
        <v>2</v>
      </c>
      <c r="OZ69">
        <v>2</v>
      </c>
      <c r="PA69">
        <v>2</v>
      </c>
      <c r="PB69">
        <v>2</v>
      </c>
      <c r="PC69">
        <v>2</v>
      </c>
      <c r="PD69">
        <v>2</v>
      </c>
      <c r="PE69">
        <v>2</v>
      </c>
      <c r="PF69">
        <v>2</v>
      </c>
      <c r="PG69">
        <v>2</v>
      </c>
      <c r="PH69">
        <v>2</v>
      </c>
      <c r="PI69">
        <v>2</v>
      </c>
      <c r="PJ69">
        <v>2</v>
      </c>
      <c r="PK69">
        <v>2</v>
      </c>
      <c r="PL69">
        <v>2</v>
      </c>
      <c r="PM69">
        <v>2</v>
      </c>
      <c r="PN69">
        <v>2</v>
      </c>
      <c r="PO69">
        <v>2</v>
      </c>
      <c r="PP69">
        <v>2</v>
      </c>
      <c r="PQ69">
        <v>2</v>
      </c>
      <c r="PR69">
        <v>2</v>
      </c>
      <c r="PS69">
        <v>2</v>
      </c>
      <c r="PT69">
        <v>2</v>
      </c>
      <c r="PU69">
        <v>2</v>
      </c>
      <c r="PV69">
        <v>2</v>
      </c>
      <c r="PW69">
        <v>2</v>
      </c>
      <c r="PX69">
        <v>2</v>
      </c>
      <c r="PY69">
        <v>2</v>
      </c>
      <c r="PZ69">
        <v>2</v>
      </c>
      <c r="QA69">
        <v>2</v>
      </c>
      <c r="QB69">
        <v>2</v>
      </c>
      <c r="QC69">
        <v>2</v>
      </c>
      <c r="QD69">
        <v>2</v>
      </c>
      <c r="QE69">
        <v>2</v>
      </c>
      <c r="QF69">
        <v>2</v>
      </c>
      <c r="QG69">
        <v>2</v>
      </c>
      <c r="QH69">
        <v>2</v>
      </c>
      <c r="QI69">
        <v>2</v>
      </c>
      <c r="QJ69">
        <v>2</v>
      </c>
      <c r="QK69">
        <v>2</v>
      </c>
      <c r="QL69">
        <v>2</v>
      </c>
      <c r="QM69">
        <v>2</v>
      </c>
      <c r="QN69">
        <v>2</v>
      </c>
      <c r="QO69">
        <v>2</v>
      </c>
      <c r="QP69">
        <v>2</v>
      </c>
      <c r="QQ69">
        <v>2</v>
      </c>
      <c r="QR69">
        <v>2</v>
      </c>
      <c r="QS69">
        <v>2</v>
      </c>
      <c r="QT69">
        <v>2</v>
      </c>
      <c r="QU69">
        <v>2</v>
      </c>
      <c r="QV69">
        <v>2</v>
      </c>
      <c r="QW69">
        <v>2</v>
      </c>
      <c r="QX69">
        <v>2</v>
      </c>
      <c r="QY69">
        <v>2</v>
      </c>
      <c r="QZ69">
        <v>2</v>
      </c>
      <c r="RA69">
        <v>2</v>
      </c>
      <c r="RB69">
        <v>2</v>
      </c>
      <c r="RC69">
        <v>2</v>
      </c>
      <c r="RD69">
        <v>2</v>
      </c>
      <c r="RE69">
        <v>2</v>
      </c>
      <c r="RF69">
        <v>2</v>
      </c>
      <c r="RG69">
        <v>2</v>
      </c>
      <c r="RH69">
        <v>2</v>
      </c>
      <c r="RI69">
        <v>2</v>
      </c>
      <c r="RJ69">
        <v>2</v>
      </c>
      <c r="RK69">
        <v>2</v>
      </c>
      <c r="RL69">
        <v>2</v>
      </c>
      <c r="RM69">
        <v>2</v>
      </c>
      <c r="RN69">
        <v>2</v>
      </c>
      <c r="RO69">
        <v>2</v>
      </c>
      <c r="RP69">
        <v>2</v>
      </c>
      <c r="RQ69">
        <v>2</v>
      </c>
      <c r="RR69">
        <v>2</v>
      </c>
      <c r="RS69">
        <v>2</v>
      </c>
      <c r="RT69">
        <v>2</v>
      </c>
      <c r="RU69">
        <v>2</v>
      </c>
      <c r="RV69">
        <v>2</v>
      </c>
      <c r="RW69">
        <v>2</v>
      </c>
      <c r="RX69">
        <v>2</v>
      </c>
      <c r="RY69">
        <v>2</v>
      </c>
      <c r="RZ69">
        <v>2</v>
      </c>
      <c r="SA69">
        <v>2</v>
      </c>
      <c r="SB69">
        <v>2</v>
      </c>
      <c r="SC69">
        <v>2</v>
      </c>
      <c r="SD69">
        <v>2</v>
      </c>
      <c r="SE69">
        <v>2</v>
      </c>
      <c r="SF69">
        <v>2</v>
      </c>
      <c r="SG69">
        <v>2</v>
      </c>
      <c r="SH69">
        <v>2</v>
      </c>
      <c r="SI69">
        <v>2</v>
      </c>
      <c r="SJ69">
        <v>2</v>
      </c>
      <c r="SK69">
        <v>2</v>
      </c>
      <c r="SL69">
        <v>2</v>
      </c>
      <c r="SM69">
        <v>2</v>
      </c>
      <c r="SN69">
        <v>2</v>
      </c>
      <c r="SO69">
        <v>2</v>
      </c>
      <c r="SP69">
        <v>2</v>
      </c>
      <c r="SQ69">
        <v>2</v>
      </c>
      <c r="SR69">
        <v>2</v>
      </c>
      <c r="SS69">
        <v>2</v>
      </c>
      <c r="ST69">
        <v>2</v>
      </c>
      <c r="SU69">
        <v>2</v>
      </c>
      <c r="SV69">
        <v>2</v>
      </c>
      <c r="SW69">
        <v>2</v>
      </c>
      <c r="SX69">
        <v>2</v>
      </c>
      <c r="SY69">
        <v>2</v>
      </c>
      <c r="SZ69">
        <v>2</v>
      </c>
      <c r="TA69">
        <v>2</v>
      </c>
      <c r="TB69">
        <v>2</v>
      </c>
      <c r="TC69">
        <v>2</v>
      </c>
      <c r="TD69">
        <v>2</v>
      </c>
      <c r="TE69">
        <v>2</v>
      </c>
      <c r="TF69">
        <v>2</v>
      </c>
      <c r="TG69">
        <v>2</v>
      </c>
      <c r="TH69">
        <v>2</v>
      </c>
      <c r="TI69">
        <v>2</v>
      </c>
      <c r="TJ69">
        <v>2</v>
      </c>
      <c r="TK69">
        <v>2</v>
      </c>
      <c r="TL69">
        <v>2</v>
      </c>
      <c r="TM69">
        <v>2</v>
      </c>
      <c r="TN69">
        <v>2</v>
      </c>
      <c r="TO69">
        <v>2</v>
      </c>
      <c r="TP69">
        <v>2</v>
      </c>
      <c r="TQ69">
        <v>2</v>
      </c>
      <c r="TR69">
        <v>2</v>
      </c>
      <c r="TS69">
        <v>2</v>
      </c>
      <c r="TT69">
        <v>2</v>
      </c>
      <c r="TU69">
        <v>2</v>
      </c>
      <c r="TV69">
        <v>2</v>
      </c>
      <c r="TW69">
        <v>2</v>
      </c>
      <c r="TX69">
        <v>2</v>
      </c>
      <c r="TY69">
        <v>2</v>
      </c>
      <c r="TZ69">
        <v>2</v>
      </c>
      <c r="UA69">
        <v>2</v>
      </c>
      <c r="UB69">
        <v>2</v>
      </c>
      <c r="UC69">
        <v>2</v>
      </c>
      <c r="UD69">
        <v>2</v>
      </c>
      <c r="UE69">
        <v>2</v>
      </c>
      <c r="UF69">
        <v>2</v>
      </c>
      <c r="UG69">
        <v>2</v>
      </c>
      <c r="UH69">
        <v>2</v>
      </c>
      <c r="UI69">
        <v>2</v>
      </c>
      <c r="UJ69">
        <v>2</v>
      </c>
      <c r="UK69">
        <v>2</v>
      </c>
      <c r="UL69">
        <v>2</v>
      </c>
      <c r="UM69">
        <v>2</v>
      </c>
      <c r="UN69">
        <v>2</v>
      </c>
      <c r="UO69">
        <v>2</v>
      </c>
      <c r="UP69">
        <v>2</v>
      </c>
      <c r="UQ69">
        <v>2</v>
      </c>
      <c r="UR69">
        <v>2</v>
      </c>
      <c r="US69">
        <v>2</v>
      </c>
      <c r="UT69">
        <v>2</v>
      </c>
      <c r="UU69">
        <v>2</v>
      </c>
      <c r="UV69">
        <v>2</v>
      </c>
      <c r="UW69">
        <v>2</v>
      </c>
      <c r="UX69">
        <v>2</v>
      </c>
      <c r="UY69">
        <v>2</v>
      </c>
      <c r="UZ69">
        <v>2</v>
      </c>
      <c r="VA69">
        <v>2</v>
      </c>
      <c r="VB69">
        <v>2</v>
      </c>
      <c r="VC69">
        <v>2</v>
      </c>
      <c r="VD69">
        <v>2</v>
      </c>
      <c r="VE69">
        <v>2</v>
      </c>
      <c r="VF69">
        <v>2</v>
      </c>
      <c r="VG69">
        <v>2</v>
      </c>
      <c r="VH69">
        <v>2</v>
      </c>
      <c r="VI69">
        <v>2</v>
      </c>
      <c r="VJ69">
        <v>2</v>
      </c>
      <c r="VK69">
        <v>2</v>
      </c>
      <c r="VL69">
        <v>2</v>
      </c>
      <c r="VM69">
        <v>2</v>
      </c>
      <c r="VN69">
        <v>2</v>
      </c>
      <c r="VO69">
        <v>2</v>
      </c>
      <c r="VP69">
        <v>2</v>
      </c>
      <c r="VQ69">
        <v>2</v>
      </c>
      <c r="VR69">
        <v>2</v>
      </c>
      <c r="VS69">
        <v>2</v>
      </c>
      <c r="VT69">
        <v>2</v>
      </c>
      <c r="VU69">
        <v>2</v>
      </c>
      <c r="VV69">
        <v>2</v>
      </c>
      <c r="VW69">
        <v>2</v>
      </c>
      <c r="VX69">
        <v>2</v>
      </c>
      <c r="VY69">
        <v>2</v>
      </c>
      <c r="VZ69">
        <v>2</v>
      </c>
      <c r="WA69">
        <v>2</v>
      </c>
      <c r="WB69">
        <v>2</v>
      </c>
      <c r="WC69">
        <v>2</v>
      </c>
      <c r="WD69">
        <v>2</v>
      </c>
      <c r="WE69">
        <v>2</v>
      </c>
      <c r="WF69">
        <v>2</v>
      </c>
      <c r="WG69">
        <v>2</v>
      </c>
      <c r="WH69">
        <v>2</v>
      </c>
      <c r="WI69">
        <v>2</v>
      </c>
      <c r="WJ69">
        <v>2</v>
      </c>
      <c r="WK69">
        <v>2</v>
      </c>
      <c r="WL69">
        <v>2</v>
      </c>
      <c r="WM69">
        <v>2</v>
      </c>
      <c r="WN69">
        <v>2</v>
      </c>
      <c r="WO69">
        <v>2</v>
      </c>
      <c r="WP69">
        <v>2</v>
      </c>
      <c r="WQ69">
        <v>2</v>
      </c>
      <c r="WR69">
        <v>2</v>
      </c>
      <c r="WS69">
        <v>2</v>
      </c>
      <c r="WT69">
        <v>2</v>
      </c>
      <c r="WU69">
        <v>2</v>
      </c>
      <c r="WV69">
        <v>2</v>
      </c>
      <c r="WW69">
        <v>2</v>
      </c>
      <c r="WX69">
        <v>2</v>
      </c>
      <c r="WY69">
        <v>2</v>
      </c>
      <c r="WZ69">
        <v>2</v>
      </c>
      <c r="XA69">
        <v>2</v>
      </c>
      <c r="XB69">
        <v>2</v>
      </c>
      <c r="XC69">
        <v>2</v>
      </c>
      <c r="XD69">
        <v>2</v>
      </c>
      <c r="XE69">
        <v>2</v>
      </c>
      <c r="XF69">
        <v>2</v>
      </c>
      <c r="XG69">
        <v>2</v>
      </c>
      <c r="XH69">
        <v>2</v>
      </c>
      <c r="XI69">
        <v>2</v>
      </c>
      <c r="XJ69">
        <v>2</v>
      </c>
      <c r="XK69">
        <v>2</v>
      </c>
      <c r="XL69">
        <v>2</v>
      </c>
      <c r="XM69">
        <v>2</v>
      </c>
      <c r="XN69">
        <v>2</v>
      </c>
      <c r="XO69">
        <v>2</v>
      </c>
      <c r="XP69">
        <v>2</v>
      </c>
      <c r="XQ69">
        <v>2</v>
      </c>
      <c r="XR69">
        <v>2</v>
      </c>
      <c r="XS69">
        <v>2</v>
      </c>
      <c r="XT69">
        <v>2</v>
      </c>
      <c r="XU69">
        <v>2</v>
      </c>
      <c r="XV69">
        <v>2</v>
      </c>
      <c r="XW69">
        <v>2</v>
      </c>
      <c r="XX69">
        <v>2</v>
      </c>
      <c r="XY69">
        <v>2</v>
      </c>
      <c r="XZ69">
        <v>2</v>
      </c>
      <c r="YA69">
        <v>2</v>
      </c>
      <c r="YB69">
        <v>2</v>
      </c>
      <c r="YC69">
        <v>2</v>
      </c>
      <c r="YD69">
        <v>2</v>
      </c>
      <c r="YE69">
        <v>2</v>
      </c>
      <c r="YF69">
        <v>2</v>
      </c>
      <c r="YG69">
        <v>2</v>
      </c>
      <c r="YH69">
        <v>2</v>
      </c>
      <c r="YI69">
        <v>2</v>
      </c>
      <c r="YJ69">
        <v>1</v>
      </c>
      <c r="YK69">
        <v>1</v>
      </c>
      <c r="YL69">
        <v>1</v>
      </c>
      <c r="YM69">
        <v>1</v>
      </c>
      <c r="YN69">
        <v>1</v>
      </c>
      <c r="YO69">
        <v>1</v>
      </c>
      <c r="YP69">
        <v>1</v>
      </c>
      <c r="YQ69">
        <v>1</v>
      </c>
      <c r="YR69">
        <v>1</v>
      </c>
      <c r="YS69">
        <v>1</v>
      </c>
      <c r="YT69">
        <v>1</v>
      </c>
      <c r="YU69">
        <v>1</v>
      </c>
      <c r="YV69">
        <v>1</v>
      </c>
      <c r="YW69">
        <v>1</v>
      </c>
      <c r="YX69">
        <v>1</v>
      </c>
      <c r="YY69">
        <v>1</v>
      </c>
      <c r="YZ69">
        <v>1</v>
      </c>
      <c r="ZA69">
        <v>1</v>
      </c>
      <c r="ZB69">
        <v>1</v>
      </c>
      <c r="ZC69">
        <v>1</v>
      </c>
      <c r="ZD69">
        <v>1</v>
      </c>
      <c r="ZE69">
        <v>1</v>
      </c>
      <c r="ZF69">
        <v>1</v>
      </c>
      <c r="ZG69">
        <v>1</v>
      </c>
      <c r="ZH69">
        <v>1</v>
      </c>
      <c r="ZI69">
        <v>1</v>
      </c>
      <c r="ZJ69">
        <v>1</v>
      </c>
      <c r="ZK69">
        <v>1</v>
      </c>
      <c r="ZL69">
        <v>1</v>
      </c>
      <c r="ZM69">
        <v>1</v>
      </c>
      <c r="ZN69">
        <v>1</v>
      </c>
      <c r="ZO69">
        <v>1</v>
      </c>
      <c r="ZP69">
        <v>1</v>
      </c>
      <c r="ZQ69">
        <v>1</v>
      </c>
      <c r="ZR69">
        <v>1</v>
      </c>
      <c r="ZS69">
        <v>1</v>
      </c>
      <c r="ZT69">
        <v>1</v>
      </c>
      <c r="ZU69">
        <v>1</v>
      </c>
      <c r="ZV69">
        <v>1</v>
      </c>
      <c r="ZW69">
        <v>1</v>
      </c>
      <c r="ZX69">
        <v>1</v>
      </c>
      <c r="ZY69">
        <v>1</v>
      </c>
      <c r="ZZ69">
        <v>1</v>
      </c>
      <c r="AAA69">
        <v>1</v>
      </c>
      <c r="AAB69">
        <v>1</v>
      </c>
      <c r="AAC69">
        <v>1</v>
      </c>
      <c r="AAD69">
        <v>1</v>
      </c>
      <c r="AAE69">
        <v>1</v>
      </c>
      <c r="AAF69">
        <v>1</v>
      </c>
      <c r="AAG69">
        <v>1</v>
      </c>
      <c r="AAH69">
        <v>1</v>
      </c>
      <c r="AAI69">
        <v>1</v>
      </c>
      <c r="AAJ69">
        <v>1</v>
      </c>
      <c r="AAK69">
        <v>1</v>
      </c>
      <c r="AAL69">
        <v>1</v>
      </c>
      <c r="AAM69">
        <v>1</v>
      </c>
      <c r="AAN69">
        <v>1</v>
      </c>
      <c r="AAO69">
        <v>1</v>
      </c>
      <c r="AAP69">
        <v>1</v>
      </c>
      <c r="AAQ69">
        <v>1</v>
      </c>
      <c r="AAR69">
        <v>1</v>
      </c>
      <c r="AAS69">
        <v>1</v>
      </c>
      <c r="AAT69">
        <v>2</v>
      </c>
      <c r="AAU69">
        <v>2</v>
      </c>
      <c r="AAV69">
        <v>2</v>
      </c>
      <c r="AAW69">
        <v>2</v>
      </c>
      <c r="AAX69">
        <v>2</v>
      </c>
      <c r="AAY69">
        <v>2</v>
      </c>
      <c r="AAZ69">
        <v>2</v>
      </c>
      <c r="ABA69">
        <v>2</v>
      </c>
      <c r="ABB69">
        <v>2</v>
      </c>
      <c r="ABC69">
        <v>2</v>
      </c>
      <c r="ABD69">
        <v>2</v>
      </c>
      <c r="ABE69">
        <v>2</v>
      </c>
      <c r="ABG69" s="1137">
        <f t="shared" si="19"/>
        <v>0</v>
      </c>
      <c r="ABH69" s="1137">
        <f t="shared" si="19"/>
        <v>0</v>
      </c>
      <c r="ABI69" s="1137">
        <f t="shared" si="19"/>
        <v>11</v>
      </c>
      <c r="ABJ69" s="1137">
        <f t="shared" si="19"/>
        <v>30</v>
      </c>
      <c r="ABK69" s="1137">
        <f t="shared" si="19"/>
        <v>31</v>
      </c>
      <c r="ABL69" s="1137">
        <f t="shared" si="19"/>
        <v>30</v>
      </c>
      <c r="ABM69" s="1137">
        <f t="shared" si="19"/>
        <v>31</v>
      </c>
      <c r="ABN69" s="1137">
        <f t="shared" si="19"/>
        <v>31</v>
      </c>
      <c r="ABO69" s="1137">
        <f t="shared" si="19"/>
        <v>30</v>
      </c>
      <c r="ABP69" s="1137">
        <f t="shared" si="19"/>
        <v>14</v>
      </c>
      <c r="ABQ69" s="1137">
        <f t="shared" si="19"/>
        <v>7</v>
      </c>
      <c r="ABR69" s="1137">
        <f t="shared" si="19"/>
        <v>31</v>
      </c>
      <c r="ABS69" s="1137">
        <f t="shared" si="19"/>
        <v>31</v>
      </c>
      <c r="ABT69" s="1137">
        <f t="shared" si="19"/>
        <v>28</v>
      </c>
      <c r="ABU69" s="1137">
        <f t="shared" si="19"/>
        <v>31</v>
      </c>
      <c r="ABV69" s="1137">
        <f t="shared" si="19"/>
        <v>30</v>
      </c>
      <c r="ABW69" s="1137">
        <f t="shared" si="17"/>
        <v>31</v>
      </c>
      <c r="ABX69" s="1137">
        <f t="shared" si="14"/>
        <v>30</v>
      </c>
      <c r="ABY69" s="1137">
        <f t="shared" si="14"/>
        <v>31</v>
      </c>
      <c r="ABZ69" s="1137">
        <f t="shared" si="14"/>
        <v>31</v>
      </c>
      <c r="ACA69" s="1137">
        <f t="shared" si="14"/>
        <v>30</v>
      </c>
      <c r="ACB69" s="1137">
        <f t="shared" si="14"/>
        <v>31</v>
      </c>
      <c r="ACC69" s="1137">
        <f t="shared" si="14"/>
        <v>30</v>
      </c>
      <c r="ACD69" s="1137">
        <f t="shared" si="14"/>
        <v>31</v>
      </c>
      <c r="ACE69" s="1137" t="s">
        <v>32</v>
      </c>
      <c r="ACF69" s="1137">
        <f t="shared" ref="ACF69:ACT85" si="20">IF(ABG69&gt;10, 1, 0)</f>
        <v>0</v>
      </c>
      <c r="ACG69" s="1137">
        <f t="shared" si="20"/>
        <v>0</v>
      </c>
      <c r="ACH69" s="1137">
        <f t="shared" si="20"/>
        <v>1</v>
      </c>
      <c r="ACI69" s="1137">
        <f t="shared" si="20"/>
        <v>1</v>
      </c>
      <c r="ACJ69" s="1137">
        <f t="shared" si="20"/>
        <v>1</v>
      </c>
      <c r="ACK69" s="1137">
        <f t="shared" si="20"/>
        <v>1</v>
      </c>
      <c r="ACL69" s="1137">
        <f t="shared" si="20"/>
        <v>1</v>
      </c>
      <c r="ACM69" s="1137">
        <f t="shared" si="20"/>
        <v>1</v>
      </c>
      <c r="ACN69" s="1137">
        <f t="shared" si="20"/>
        <v>1</v>
      </c>
      <c r="ACO69" s="1137">
        <f t="shared" si="20"/>
        <v>1</v>
      </c>
      <c r="ACP69" s="1137">
        <f t="shared" si="20"/>
        <v>0</v>
      </c>
      <c r="ACQ69" s="1137">
        <f t="shared" si="20"/>
        <v>1</v>
      </c>
      <c r="ACR69" s="1137">
        <f t="shared" si="20"/>
        <v>1</v>
      </c>
      <c r="ACS69" s="1137">
        <f t="shared" si="20"/>
        <v>1</v>
      </c>
      <c r="ACT69" s="1137">
        <f t="shared" si="20"/>
        <v>1</v>
      </c>
      <c r="ACU69" s="1137">
        <f t="shared" si="12"/>
        <v>1</v>
      </c>
      <c r="ACV69" s="1137">
        <f t="shared" si="12"/>
        <v>1</v>
      </c>
      <c r="ACW69" s="1137">
        <f t="shared" si="12"/>
        <v>1</v>
      </c>
      <c r="ACX69" s="1137">
        <f t="shared" si="12"/>
        <v>1</v>
      </c>
      <c r="ACY69" s="1137">
        <f t="shared" si="12"/>
        <v>1</v>
      </c>
      <c r="ACZ69" s="1137">
        <f t="shared" si="12"/>
        <v>1</v>
      </c>
      <c r="ADA69" s="1137">
        <f t="shared" si="12"/>
        <v>1</v>
      </c>
      <c r="ADB69" s="1137">
        <f t="shared" si="16"/>
        <v>1</v>
      </c>
      <c r="ADC69" s="1137">
        <f t="shared" si="16"/>
        <v>1</v>
      </c>
    </row>
    <row r="70" spans="1:783" x14ac:dyDescent="0.25">
      <c r="A70" t="s">
        <v>1867</v>
      </c>
      <c r="B70" t="s">
        <v>30</v>
      </c>
      <c r="C70">
        <v>0</v>
      </c>
      <c r="D70">
        <v>0</v>
      </c>
      <c r="E70">
        <v>0</v>
      </c>
      <c r="F70">
        <v>0</v>
      </c>
      <c r="G70">
        <v>0</v>
      </c>
      <c r="H70">
        <v>0</v>
      </c>
      <c r="I70">
        <v>0</v>
      </c>
      <c r="J70">
        <v>0</v>
      </c>
      <c r="K70">
        <v>0</v>
      </c>
      <c r="L70">
        <v>0</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v>0</v>
      </c>
      <c r="BE70">
        <v>0</v>
      </c>
      <c r="BF70">
        <v>0</v>
      </c>
      <c r="BG70">
        <v>0</v>
      </c>
      <c r="BH70">
        <v>0</v>
      </c>
      <c r="BI70">
        <v>0</v>
      </c>
      <c r="BJ70">
        <v>0</v>
      </c>
      <c r="BK70">
        <v>0</v>
      </c>
      <c r="BL70">
        <v>0</v>
      </c>
      <c r="BM70">
        <v>0</v>
      </c>
      <c r="BN70">
        <v>0</v>
      </c>
      <c r="BO70">
        <v>0</v>
      </c>
      <c r="BP70">
        <v>0</v>
      </c>
      <c r="BQ70">
        <v>0</v>
      </c>
      <c r="BR70">
        <v>0</v>
      </c>
      <c r="BS70">
        <v>0</v>
      </c>
      <c r="BT70">
        <v>0</v>
      </c>
      <c r="BU70">
        <v>0</v>
      </c>
      <c r="BV70">
        <v>0</v>
      </c>
      <c r="BW70">
        <v>0</v>
      </c>
      <c r="BX70">
        <v>0</v>
      </c>
      <c r="BY70">
        <v>0</v>
      </c>
      <c r="BZ70">
        <v>0</v>
      </c>
      <c r="CA70">
        <v>0</v>
      </c>
      <c r="CB70">
        <v>1</v>
      </c>
      <c r="CC70">
        <v>1</v>
      </c>
      <c r="CD70">
        <v>1</v>
      </c>
      <c r="CE70">
        <v>1</v>
      </c>
      <c r="CF70">
        <v>1</v>
      </c>
      <c r="CG70">
        <v>1</v>
      </c>
      <c r="CH70">
        <v>1</v>
      </c>
      <c r="CI70">
        <v>1</v>
      </c>
      <c r="CJ70">
        <v>1</v>
      </c>
      <c r="CK70">
        <v>1</v>
      </c>
      <c r="CL70">
        <v>1</v>
      </c>
      <c r="CM70">
        <v>1</v>
      </c>
      <c r="CN70">
        <v>1</v>
      </c>
      <c r="CO70">
        <v>1</v>
      </c>
      <c r="CP70">
        <v>1</v>
      </c>
      <c r="CQ70">
        <v>1</v>
      </c>
      <c r="CR70">
        <v>1</v>
      </c>
      <c r="CS70">
        <v>1</v>
      </c>
      <c r="CT70">
        <v>1</v>
      </c>
      <c r="CU70">
        <v>1</v>
      </c>
      <c r="CV70">
        <v>1</v>
      </c>
      <c r="CW70">
        <v>1</v>
      </c>
      <c r="CX70">
        <v>1</v>
      </c>
      <c r="CY70">
        <v>1</v>
      </c>
      <c r="CZ70">
        <v>1</v>
      </c>
      <c r="DA70">
        <v>1</v>
      </c>
      <c r="DB70">
        <v>1</v>
      </c>
      <c r="DC70">
        <v>1</v>
      </c>
      <c r="DD70">
        <v>1</v>
      </c>
      <c r="DE70">
        <v>1</v>
      </c>
      <c r="DF70">
        <v>1</v>
      </c>
      <c r="DG70">
        <v>1</v>
      </c>
      <c r="DH70">
        <v>1</v>
      </c>
      <c r="DI70">
        <v>1</v>
      </c>
      <c r="DJ70">
        <v>1</v>
      </c>
      <c r="DK70">
        <v>1</v>
      </c>
      <c r="DL70">
        <v>1</v>
      </c>
      <c r="DM70">
        <v>1</v>
      </c>
      <c r="DN70">
        <v>1</v>
      </c>
      <c r="DO70">
        <v>1</v>
      </c>
      <c r="DP70">
        <v>1</v>
      </c>
      <c r="DQ70">
        <v>1</v>
      </c>
      <c r="DR70">
        <v>1</v>
      </c>
      <c r="DS70">
        <v>1</v>
      </c>
      <c r="DT70">
        <v>1</v>
      </c>
      <c r="DU70">
        <v>1</v>
      </c>
      <c r="DV70">
        <v>1</v>
      </c>
      <c r="DW70">
        <v>1</v>
      </c>
      <c r="DX70">
        <v>1</v>
      </c>
      <c r="DY70">
        <v>1</v>
      </c>
      <c r="DZ70">
        <v>1</v>
      </c>
      <c r="EA70">
        <v>1</v>
      </c>
      <c r="EB70">
        <v>1</v>
      </c>
      <c r="EC70">
        <v>1</v>
      </c>
      <c r="ED70">
        <v>1</v>
      </c>
      <c r="EE70">
        <v>1</v>
      </c>
      <c r="EF70">
        <v>1</v>
      </c>
      <c r="EG70">
        <v>1</v>
      </c>
      <c r="EH70">
        <v>1</v>
      </c>
      <c r="EI70">
        <v>1</v>
      </c>
      <c r="EJ70">
        <v>1</v>
      </c>
      <c r="EK70">
        <v>1</v>
      </c>
      <c r="EL70">
        <v>1</v>
      </c>
      <c r="EM70">
        <v>1</v>
      </c>
      <c r="EN70">
        <v>1</v>
      </c>
      <c r="EO70">
        <v>1</v>
      </c>
      <c r="EP70">
        <v>1</v>
      </c>
      <c r="EQ70">
        <v>1</v>
      </c>
      <c r="ER70">
        <v>1</v>
      </c>
      <c r="ES70">
        <v>1</v>
      </c>
      <c r="ET70">
        <v>1</v>
      </c>
      <c r="EU70">
        <v>1</v>
      </c>
      <c r="EV70">
        <v>1</v>
      </c>
      <c r="EW70">
        <v>1</v>
      </c>
      <c r="EX70">
        <v>1</v>
      </c>
      <c r="EY70">
        <v>1</v>
      </c>
      <c r="EZ70">
        <v>1</v>
      </c>
      <c r="FA70">
        <v>1</v>
      </c>
      <c r="FB70">
        <v>1</v>
      </c>
      <c r="FC70">
        <v>1</v>
      </c>
      <c r="FD70">
        <v>1</v>
      </c>
      <c r="FE70">
        <v>1</v>
      </c>
      <c r="FF70">
        <v>1</v>
      </c>
      <c r="FG70">
        <v>1</v>
      </c>
      <c r="FH70">
        <v>1</v>
      </c>
      <c r="FI70">
        <v>1</v>
      </c>
      <c r="FJ70">
        <v>1</v>
      </c>
      <c r="FK70">
        <v>1</v>
      </c>
      <c r="FL70">
        <v>1</v>
      </c>
      <c r="FM70">
        <v>1</v>
      </c>
      <c r="FN70">
        <v>1</v>
      </c>
      <c r="FO70">
        <v>1</v>
      </c>
      <c r="FP70">
        <v>1</v>
      </c>
      <c r="FQ70">
        <v>1</v>
      </c>
      <c r="FR70">
        <v>1</v>
      </c>
      <c r="FS70">
        <v>1</v>
      </c>
      <c r="FT70">
        <v>1</v>
      </c>
      <c r="FU70">
        <v>1</v>
      </c>
      <c r="FV70">
        <v>1</v>
      </c>
      <c r="FW70">
        <v>1</v>
      </c>
      <c r="FX70">
        <v>1</v>
      </c>
      <c r="FY70">
        <v>1</v>
      </c>
      <c r="FZ70">
        <v>1</v>
      </c>
      <c r="GA70">
        <v>1</v>
      </c>
      <c r="GB70">
        <v>1</v>
      </c>
      <c r="GC70">
        <v>1</v>
      </c>
      <c r="GD70">
        <v>1</v>
      </c>
      <c r="GE70">
        <v>1</v>
      </c>
      <c r="GF70">
        <v>1</v>
      </c>
      <c r="GG70">
        <v>1</v>
      </c>
      <c r="GH70">
        <v>1</v>
      </c>
      <c r="GI70">
        <v>1</v>
      </c>
      <c r="GJ70">
        <v>1</v>
      </c>
      <c r="GK70">
        <v>1</v>
      </c>
      <c r="GL70">
        <v>1</v>
      </c>
      <c r="GM70">
        <v>1</v>
      </c>
      <c r="GN70">
        <v>1</v>
      </c>
      <c r="GO70">
        <v>1</v>
      </c>
      <c r="GP70">
        <v>1</v>
      </c>
      <c r="GQ70">
        <v>1</v>
      </c>
      <c r="GR70">
        <v>1</v>
      </c>
      <c r="GS70">
        <v>1</v>
      </c>
      <c r="GT70">
        <v>1</v>
      </c>
      <c r="GU70">
        <v>1</v>
      </c>
      <c r="GV70">
        <v>1</v>
      </c>
      <c r="GW70">
        <v>1</v>
      </c>
      <c r="GX70">
        <v>0</v>
      </c>
      <c r="GY70">
        <v>0</v>
      </c>
      <c r="GZ70">
        <v>0</v>
      </c>
      <c r="HA70">
        <v>0</v>
      </c>
      <c r="HB70">
        <v>0</v>
      </c>
      <c r="HC70">
        <v>0</v>
      </c>
      <c r="HD70">
        <v>0</v>
      </c>
      <c r="HE70">
        <v>0</v>
      </c>
      <c r="HF70">
        <v>0</v>
      </c>
      <c r="HG70">
        <v>0</v>
      </c>
      <c r="HH70">
        <v>0</v>
      </c>
      <c r="HI70">
        <v>0</v>
      </c>
      <c r="HJ70">
        <v>0</v>
      </c>
      <c r="HK70">
        <v>0</v>
      </c>
      <c r="HL70">
        <v>0</v>
      </c>
      <c r="HM70">
        <v>0</v>
      </c>
      <c r="HN70">
        <v>0</v>
      </c>
      <c r="HO70">
        <v>0</v>
      </c>
      <c r="HP70">
        <v>0</v>
      </c>
      <c r="HQ70">
        <v>0</v>
      </c>
      <c r="HR70">
        <v>0</v>
      </c>
      <c r="HS70">
        <v>0</v>
      </c>
      <c r="HT70">
        <v>0</v>
      </c>
      <c r="HU70">
        <v>1</v>
      </c>
      <c r="HV70">
        <v>1</v>
      </c>
      <c r="HW70">
        <v>1</v>
      </c>
      <c r="HX70">
        <v>1</v>
      </c>
      <c r="HY70">
        <v>1</v>
      </c>
      <c r="HZ70">
        <v>1</v>
      </c>
      <c r="IA70">
        <v>1</v>
      </c>
      <c r="IB70">
        <v>1</v>
      </c>
      <c r="IC70">
        <v>1</v>
      </c>
      <c r="ID70">
        <v>1</v>
      </c>
      <c r="IE70">
        <v>1</v>
      </c>
      <c r="IF70">
        <v>1</v>
      </c>
      <c r="IG70">
        <v>1</v>
      </c>
      <c r="IH70">
        <v>0</v>
      </c>
      <c r="II70">
        <v>0</v>
      </c>
      <c r="IJ70">
        <v>0</v>
      </c>
      <c r="IK70">
        <v>0</v>
      </c>
      <c r="IL70">
        <v>0</v>
      </c>
      <c r="IM70">
        <v>0</v>
      </c>
      <c r="IN70">
        <v>0</v>
      </c>
      <c r="IO70">
        <v>0</v>
      </c>
      <c r="IP70">
        <v>0</v>
      </c>
      <c r="IQ70">
        <v>0</v>
      </c>
      <c r="IR70">
        <v>0</v>
      </c>
      <c r="IS70">
        <v>0</v>
      </c>
      <c r="IT70">
        <v>0</v>
      </c>
      <c r="IU70">
        <v>0</v>
      </c>
      <c r="IV70">
        <v>0</v>
      </c>
      <c r="IW70">
        <v>0</v>
      </c>
      <c r="IX70">
        <v>0</v>
      </c>
      <c r="IY70">
        <v>0</v>
      </c>
      <c r="IZ70">
        <v>0</v>
      </c>
      <c r="JA70">
        <v>0</v>
      </c>
      <c r="JB70">
        <v>0</v>
      </c>
      <c r="JC70">
        <v>0</v>
      </c>
      <c r="JD70">
        <v>0</v>
      </c>
      <c r="JE70">
        <v>0</v>
      </c>
      <c r="JF70">
        <v>0</v>
      </c>
      <c r="JG70">
        <v>0</v>
      </c>
      <c r="JH70">
        <v>0</v>
      </c>
      <c r="JI70">
        <v>0</v>
      </c>
      <c r="JJ70">
        <v>0</v>
      </c>
      <c r="JK70">
        <v>0</v>
      </c>
      <c r="JL70">
        <v>0</v>
      </c>
      <c r="JM70">
        <v>0</v>
      </c>
      <c r="JN70">
        <v>0</v>
      </c>
      <c r="JO70">
        <v>0</v>
      </c>
      <c r="JP70">
        <v>0</v>
      </c>
      <c r="JQ70">
        <v>0</v>
      </c>
      <c r="JR70">
        <v>0</v>
      </c>
      <c r="JS70">
        <v>0</v>
      </c>
      <c r="JT70">
        <v>0</v>
      </c>
      <c r="JU70">
        <v>0</v>
      </c>
      <c r="JV70">
        <v>0</v>
      </c>
      <c r="JW70">
        <v>0</v>
      </c>
      <c r="JX70">
        <v>0</v>
      </c>
      <c r="JY70">
        <v>0</v>
      </c>
      <c r="JZ70">
        <v>0</v>
      </c>
      <c r="KA70">
        <v>0</v>
      </c>
      <c r="KB70">
        <v>0</v>
      </c>
      <c r="KC70">
        <v>0</v>
      </c>
      <c r="KD70">
        <v>0</v>
      </c>
      <c r="KE70">
        <v>0</v>
      </c>
      <c r="KF70">
        <v>0</v>
      </c>
      <c r="KG70">
        <v>0</v>
      </c>
      <c r="KH70">
        <v>0</v>
      </c>
      <c r="KI70">
        <v>0</v>
      </c>
      <c r="KJ70">
        <v>0</v>
      </c>
      <c r="KK70">
        <v>0</v>
      </c>
      <c r="KL70">
        <v>0</v>
      </c>
      <c r="KM70">
        <v>0</v>
      </c>
      <c r="KN70">
        <v>0</v>
      </c>
      <c r="KO70">
        <v>0</v>
      </c>
      <c r="KP70">
        <v>0</v>
      </c>
      <c r="KQ70">
        <v>0</v>
      </c>
      <c r="KR70">
        <v>0</v>
      </c>
      <c r="KS70">
        <v>0</v>
      </c>
      <c r="KT70">
        <v>0</v>
      </c>
      <c r="KU70">
        <v>0</v>
      </c>
      <c r="KV70">
        <v>0</v>
      </c>
      <c r="KW70">
        <v>0</v>
      </c>
      <c r="KX70">
        <v>0</v>
      </c>
      <c r="KY70">
        <v>0</v>
      </c>
      <c r="KZ70">
        <v>0</v>
      </c>
      <c r="LA70">
        <v>0</v>
      </c>
      <c r="LB70">
        <v>0</v>
      </c>
      <c r="LC70">
        <v>0</v>
      </c>
      <c r="LD70">
        <v>0</v>
      </c>
      <c r="LE70">
        <v>0</v>
      </c>
      <c r="LF70">
        <v>0</v>
      </c>
      <c r="LG70">
        <v>0</v>
      </c>
      <c r="LH70">
        <v>0</v>
      </c>
      <c r="LI70">
        <v>0</v>
      </c>
      <c r="LJ70">
        <v>0</v>
      </c>
      <c r="LK70">
        <v>0</v>
      </c>
      <c r="LL70">
        <v>0</v>
      </c>
      <c r="LM70">
        <v>0</v>
      </c>
      <c r="LN70">
        <v>0</v>
      </c>
      <c r="LO70">
        <v>0</v>
      </c>
      <c r="LP70">
        <v>0</v>
      </c>
      <c r="LQ70">
        <v>0</v>
      </c>
      <c r="LR70">
        <v>0</v>
      </c>
      <c r="LS70">
        <v>0</v>
      </c>
      <c r="LT70">
        <v>0</v>
      </c>
      <c r="LU70">
        <v>0</v>
      </c>
      <c r="LV70">
        <v>0</v>
      </c>
      <c r="LW70">
        <v>0</v>
      </c>
      <c r="LX70">
        <v>0</v>
      </c>
      <c r="LY70">
        <v>0</v>
      </c>
      <c r="LZ70">
        <v>0</v>
      </c>
      <c r="MA70">
        <v>0</v>
      </c>
      <c r="MB70">
        <v>0</v>
      </c>
      <c r="MC70">
        <v>0</v>
      </c>
      <c r="MD70">
        <v>0</v>
      </c>
      <c r="ME70">
        <v>0</v>
      </c>
      <c r="MF70">
        <v>0</v>
      </c>
      <c r="MG70">
        <v>0</v>
      </c>
      <c r="MH70">
        <v>0</v>
      </c>
      <c r="MI70">
        <v>0</v>
      </c>
      <c r="MJ70">
        <v>0</v>
      </c>
      <c r="MK70">
        <v>0</v>
      </c>
      <c r="ML70">
        <v>0</v>
      </c>
      <c r="MM70">
        <v>0</v>
      </c>
      <c r="MN70">
        <v>0</v>
      </c>
      <c r="MO70">
        <v>0</v>
      </c>
      <c r="MP70">
        <v>0</v>
      </c>
      <c r="MQ70">
        <v>0</v>
      </c>
      <c r="MR70">
        <v>0</v>
      </c>
      <c r="MS70">
        <v>0</v>
      </c>
      <c r="MT70">
        <v>0</v>
      </c>
      <c r="MU70">
        <v>0</v>
      </c>
      <c r="MV70">
        <v>0</v>
      </c>
      <c r="MW70">
        <v>0</v>
      </c>
      <c r="MX70">
        <v>0</v>
      </c>
      <c r="MY70">
        <v>0</v>
      </c>
      <c r="MZ70">
        <v>0</v>
      </c>
      <c r="NA70">
        <v>0</v>
      </c>
      <c r="NB70">
        <v>0</v>
      </c>
      <c r="NC70">
        <v>0</v>
      </c>
      <c r="ND70">
        <v>0</v>
      </c>
      <c r="NE70">
        <v>0</v>
      </c>
      <c r="NF70">
        <v>0</v>
      </c>
      <c r="NG70">
        <v>0</v>
      </c>
      <c r="NH70">
        <v>0</v>
      </c>
      <c r="NI70">
        <v>0</v>
      </c>
      <c r="NJ70">
        <v>0</v>
      </c>
      <c r="NK70">
        <v>0</v>
      </c>
      <c r="NL70">
        <v>0</v>
      </c>
      <c r="NM70">
        <v>0</v>
      </c>
      <c r="NN70">
        <v>0</v>
      </c>
      <c r="NO70">
        <v>0</v>
      </c>
      <c r="NP70">
        <v>0</v>
      </c>
      <c r="NQ70">
        <v>0</v>
      </c>
      <c r="NR70">
        <v>0</v>
      </c>
      <c r="NS70">
        <v>0</v>
      </c>
      <c r="NT70">
        <v>0</v>
      </c>
      <c r="NU70">
        <v>0</v>
      </c>
      <c r="NV70">
        <v>0</v>
      </c>
      <c r="NW70">
        <v>0</v>
      </c>
      <c r="NX70">
        <v>0</v>
      </c>
      <c r="NY70">
        <v>0</v>
      </c>
      <c r="NZ70">
        <v>0</v>
      </c>
      <c r="OA70">
        <v>0</v>
      </c>
      <c r="OB70">
        <v>0</v>
      </c>
      <c r="OC70">
        <v>0</v>
      </c>
      <c r="OD70">
        <v>0</v>
      </c>
      <c r="OE70">
        <v>0</v>
      </c>
      <c r="OF70">
        <v>0</v>
      </c>
      <c r="OG70">
        <v>0</v>
      </c>
      <c r="OH70">
        <v>0</v>
      </c>
      <c r="OI70">
        <v>0</v>
      </c>
      <c r="OJ70">
        <v>0</v>
      </c>
      <c r="OK70">
        <v>0</v>
      </c>
      <c r="OL70">
        <v>0</v>
      </c>
      <c r="OM70">
        <v>0</v>
      </c>
      <c r="ON70">
        <v>0</v>
      </c>
      <c r="OO70">
        <v>0</v>
      </c>
      <c r="OP70">
        <v>0</v>
      </c>
      <c r="OQ70">
        <v>0</v>
      </c>
      <c r="OR70">
        <v>0</v>
      </c>
      <c r="OS70">
        <v>0</v>
      </c>
      <c r="OT70">
        <v>0</v>
      </c>
      <c r="OU70">
        <v>0</v>
      </c>
      <c r="OV70">
        <v>0</v>
      </c>
      <c r="OW70">
        <v>0</v>
      </c>
      <c r="OX70">
        <v>0</v>
      </c>
      <c r="OY70">
        <v>0</v>
      </c>
      <c r="OZ70">
        <v>0</v>
      </c>
      <c r="PA70">
        <v>0</v>
      </c>
      <c r="PB70">
        <v>0</v>
      </c>
      <c r="PC70">
        <v>0</v>
      </c>
      <c r="PD70">
        <v>0</v>
      </c>
      <c r="PE70">
        <v>0</v>
      </c>
      <c r="PF70">
        <v>0</v>
      </c>
      <c r="PG70">
        <v>0</v>
      </c>
      <c r="PH70">
        <v>0</v>
      </c>
      <c r="PI70">
        <v>0</v>
      </c>
      <c r="PJ70">
        <v>0</v>
      </c>
      <c r="PK70">
        <v>0</v>
      </c>
      <c r="PL70">
        <v>0</v>
      </c>
      <c r="PM70">
        <v>0</v>
      </c>
      <c r="PN70">
        <v>0</v>
      </c>
      <c r="PO70">
        <v>0</v>
      </c>
      <c r="PP70">
        <v>0</v>
      </c>
      <c r="PQ70">
        <v>0</v>
      </c>
      <c r="PR70">
        <v>0</v>
      </c>
      <c r="PS70">
        <v>0</v>
      </c>
      <c r="PT70">
        <v>0</v>
      </c>
      <c r="PU70">
        <v>0</v>
      </c>
      <c r="PV70">
        <v>0</v>
      </c>
      <c r="PW70">
        <v>0</v>
      </c>
      <c r="PX70">
        <v>0</v>
      </c>
      <c r="PY70">
        <v>0</v>
      </c>
      <c r="PZ70">
        <v>0</v>
      </c>
      <c r="QA70">
        <v>0</v>
      </c>
      <c r="QB70">
        <v>0</v>
      </c>
      <c r="QC70">
        <v>0</v>
      </c>
      <c r="QD70">
        <v>0</v>
      </c>
      <c r="QE70">
        <v>0</v>
      </c>
      <c r="QF70">
        <v>0</v>
      </c>
      <c r="QG70">
        <v>0</v>
      </c>
      <c r="QH70">
        <v>0</v>
      </c>
      <c r="QI70">
        <v>0</v>
      </c>
      <c r="QJ70">
        <v>0</v>
      </c>
      <c r="QK70">
        <v>0</v>
      </c>
      <c r="QL70">
        <v>0</v>
      </c>
      <c r="QM70">
        <v>0</v>
      </c>
      <c r="QN70">
        <v>0</v>
      </c>
      <c r="QO70">
        <v>0</v>
      </c>
      <c r="QP70">
        <v>0</v>
      </c>
      <c r="QQ70">
        <v>0</v>
      </c>
      <c r="QR70">
        <v>0</v>
      </c>
      <c r="QS70">
        <v>0</v>
      </c>
      <c r="QT70">
        <v>0</v>
      </c>
      <c r="QU70">
        <v>0</v>
      </c>
      <c r="QV70">
        <v>0</v>
      </c>
      <c r="QW70">
        <v>0</v>
      </c>
      <c r="QX70">
        <v>0</v>
      </c>
      <c r="QY70">
        <v>0</v>
      </c>
      <c r="QZ70">
        <v>0</v>
      </c>
      <c r="RA70">
        <v>0</v>
      </c>
      <c r="RB70">
        <v>0</v>
      </c>
      <c r="RC70">
        <v>0</v>
      </c>
      <c r="RD70">
        <v>0</v>
      </c>
      <c r="RE70">
        <v>0</v>
      </c>
      <c r="RF70">
        <v>0</v>
      </c>
      <c r="RG70">
        <v>0</v>
      </c>
      <c r="RH70">
        <v>0</v>
      </c>
      <c r="RI70">
        <v>0</v>
      </c>
      <c r="RJ70">
        <v>0</v>
      </c>
      <c r="RK70">
        <v>0</v>
      </c>
      <c r="RL70">
        <v>0</v>
      </c>
      <c r="RM70">
        <v>0</v>
      </c>
      <c r="RN70">
        <v>0</v>
      </c>
      <c r="RO70">
        <v>0</v>
      </c>
      <c r="RP70">
        <v>0</v>
      </c>
      <c r="RQ70">
        <v>0</v>
      </c>
      <c r="RR70">
        <v>0</v>
      </c>
      <c r="RS70">
        <v>0</v>
      </c>
      <c r="RT70">
        <v>0</v>
      </c>
      <c r="RU70">
        <v>0</v>
      </c>
      <c r="RV70">
        <v>0</v>
      </c>
      <c r="RW70">
        <v>0</v>
      </c>
      <c r="RX70">
        <v>0</v>
      </c>
      <c r="RY70">
        <v>0</v>
      </c>
      <c r="RZ70">
        <v>0</v>
      </c>
      <c r="SA70">
        <v>0</v>
      </c>
      <c r="SB70">
        <v>0</v>
      </c>
      <c r="SC70">
        <v>0</v>
      </c>
      <c r="SD70">
        <v>0</v>
      </c>
      <c r="SE70">
        <v>0</v>
      </c>
      <c r="SF70">
        <v>0</v>
      </c>
      <c r="SG70">
        <v>0</v>
      </c>
      <c r="SH70">
        <v>0</v>
      </c>
      <c r="SI70">
        <v>0</v>
      </c>
      <c r="SJ70">
        <v>0</v>
      </c>
      <c r="SK70">
        <v>0</v>
      </c>
      <c r="SL70">
        <v>0</v>
      </c>
      <c r="SM70">
        <v>0</v>
      </c>
      <c r="SN70">
        <v>0</v>
      </c>
      <c r="SO70">
        <v>0</v>
      </c>
      <c r="SP70">
        <v>0</v>
      </c>
      <c r="SQ70">
        <v>0</v>
      </c>
      <c r="SR70">
        <v>0</v>
      </c>
      <c r="SS70">
        <v>0</v>
      </c>
      <c r="ST70">
        <v>0</v>
      </c>
      <c r="SU70">
        <v>0</v>
      </c>
      <c r="SV70">
        <v>0</v>
      </c>
      <c r="SW70">
        <v>0</v>
      </c>
      <c r="SX70">
        <v>0</v>
      </c>
      <c r="SY70">
        <v>0</v>
      </c>
      <c r="SZ70">
        <v>0</v>
      </c>
      <c r="TA70">
        <v>0</v>
      </c>
      <c r="TB70">
        <v>0</v>
      </c>
      <c r="TC70">
        <v>0</v>
      </c>
      <c r="TD70">
        <v>0</v>
      </c>
      <c r="TE70">
        <v>0</v>
      </c>
      <c r="TF70">
        <v>0</v>
      </c>
      <c r="TG70">
        <v>0</v>
      </c>
      <c r="TH70">
        <v>0</v>
      </c>
      <c r="TI70">
        <v>0</v>
      </c>
      <c r="TJ70">
        <v>0</v>
      </c>
      <c r="TK70">
        <v>0</v>
      </c>
      <c r="TL70">
        <v>0</v>
      </c>
      <c r="TM70">
        <v>0</v>
      </c>
      <c r="TN70">
        <v>0</v>
      </c>
      <c r="TO70">
        <v>0</v>
      </c>
      <c r="TP70">
        <v>0</v>
      </c>
      <c r="TQ70">
        <v>0</v>
      </c>
      <c r="TR70">
        <v>0</v>
      </c>
      <c r="TS70">
        <v>0</v>
      </c>
      <c r="TT70">
        <v>0</v>
      </c>
      <c r="TU70">
        <v>0</v>
      </c>
      <c r="TV70">
        <v>0</v>
      </c>
      <c r="TW70">
        <v>0</v>
      </c>
      <c r="TX70">
        <v>0</v>
      </c>
      <c r="TY70">
        <v>0</v>
      </c>
      <c r="TZ70">
        <v>0</v>
      </c>
      <c r="UA70">
        <v>0</v>
      </c>
      <c r="UB70">
        <v>0</v>
      </c>
      <c r="UC70">
        <v>0</v>
      </c>
      <c r="UD70">
        <v>0</v>
      </c>
      <c r="UE70">
        <v>0</v>
      </c>
      <c r="UF70">
        <v>0</v>
      </c>
      <c r="UG70">
        <v>0</v>
      </c>
      <c r="UH70">
        <v>0</v>
      </c>
      <c r="UI70">
        <v>0</v>
      </c>
      <c r="UJ70">
        <v>0</v>
      </c>
      <c r="UK70">
        <v>0</v>
      </c>
      <c r="UL70">
        <v>0</v>
      </c>
      <c r="UM70">
        <v>0</v>
      </c>
      <c r="UN70">
        <v>0</v>
      </c>
      <c r="UO70">
        <v>0</v>
      </c>
      <c r="UP70">
        <v>0</v>
      </c>
      <c r="UQ70">
        <v>0</v>
      </c>
      <c r="UR70">
        <v>0</v>
      </c>
      <c r="US70">
        <v>0</v>
      </c>
      <c r="UT70">
        <v>0</v>
      </c>
      <c r="UU70">
        <v>0</v>
      </c>
      <c r="UV70">
        <v>0</v>
      </c>
      <c r="UW70">
        <v>0</v>
      </c>
      <c r="UX70">
        <v>0</v>
      </c>
      <c r="UY70">
        <v>0</v>
      </c>
      <c r="UZ70">
        <v>0</v>
      </c>
      <c r="VA70">
        <v>0</v>
      </c>
      <c r="VB70">
        <v>0</v>
      </c>
      <c r="VC70">
        <v>0</v>
      </c>
      <c r="VD70">
        <v>0</v>
      </c>
      <c r="VE70">
        <v>0</v>
      </c>
      <c r="VF70">
        <v>0</v>
      </c>
      <c r="VG70">
        <v>0</v>
      </c>
      <c r="VH70">
        <v>0</v>
      </c>
      <c r="VI70">
        <v>0</v>
      </c>
      <c r="VJ70">
        <v>0</v>
      </c>
      <c r="VK70">
        <v>0</v>
      </c>
      <c r="VL70">
        <v>0</v>
      </c>
      <c r="VM70">
        <v>0</v>
      </c>
      <c r="VN70">
        <v>0</v>
      </c>
      <c r="VO70">
        <v>0</v>
      </c>
      <c r="VP70">
        <v>0</v>
      </c>
      <c r="VQ70">
        <v>0</v>
      </c>
      <c r="VR70">
        <v>1</v>
      </c>
      <c r="VS70">
        <v>1</v>
      </c>
      <c r="VT70">
        <v>1</v>
      </c>
      <c r="VU70">
        <v>1</v>
      </c>
      <c r="VV70">
        <v>1</v>
      </c>
      <c r="VW70">
        <v>1</v>
      </c>
      <c r="VX70">
        <v>1</v>
      </c>
      <c r="VY70">
        <v>1</v>
      </c>
      <c r="VZ70">
        <v>1</v>
      </c>
      <c r="WA70">
        <v>1</v>
      </c>
      <c r="WB70">
        <v>1</v>
      </c>
      <c r="WC70">
        <v>1</v>
      </c>
      <c r="WD70">
        <v>1</v>
      </c>
      <c r="WE70">
        <v>1</v>
      </c>
      <c r="WF70">
        <v>1</v>
      </c>
      <c r="WG70">
        <v>1</v>
      </c>
      <c r="WH70">
        <v>1</v>
      </c>
      <c r="WI70">
        <v>1</v>
      </c>
      <c r="WJ70">
        <v>1</v>
      </c>
      <c r="WK70">
        <v>1</v>
      </c>
      <c r="WL70">
        <v>1</v>
      </c>
      <c r="WM70">
        <v>1</v>
      </c>
      <c r="WN70">
        <v>1</v>
      </c>
      <c r="WO70">
        <v>1</v>
      </c>
      <c r="WP70">
        <v>1</v>
      </c>
      <c r="WQ70">
        <v>1</v>
      </c>
      <c r="WR70">
        <v>1</v>
      </c>
      <c r="WS70">
        <v>1</v>
      </c>
      <c r="WT70">
        <v>1</v>
      </c>
      <c r="WU70">
        <v>1</v>
      </c>
      <c r="WV70">
        <v>1</v>
      </c>
      <c r="WW70">
        <v>1</v>
      </c>
      <c r="WX70">
        <v>1</v>
      </c>
      <c r="WY70">
        <v>1</v>
      </c>
      <c r="WZ70">
        <v>1</v>
      </c>
      <c r="XA70">
        <v>1</v>
      </c>
      <c r="XB70">
        <v>1</v>
      </c>
      <c r="XC70">
        <v>1</v>
      </c>
      <c r="XD70">
        <v>1</v>
      </c>
      <c r="XE70">
        <v>1</v>
      </c>
      <c r="XF70">
        <v>1</v>
      </c>
      <c r="XG70">
        <v>0</v>
      </c>
      <c r="XH70">
        <v>0</v>
      </c>
      <c r="XI70">
        <v>0</v>
      </c>
      <c r="XJ70">
        <v>0</v>
      </c>
      <c r="XK70">
        <v>0</v>
      </c>
      <c r="XL70">
        <v>0</v>
      </c>
      <c r="XM70">
        <v>0</v>
      </c>
      <c r="XN70">
        <v>0</v>
      </c>
      <c r="XO70">
        <v>0</v>
      </c>
      <c r="XP70">
        <v>0</v>
      </c>
      <c r="XQ70">
        <v>0</v>
      </c>
      <c r="XR70">
        <v>0</v>
      </c>
      <c r="XS70">
        <v>0</v>
      </c>
      <c r="XT70">
        <v>0</v>
      </c>
      <c r="XU70">
        <v>0</v>
      </c>
      <c r="XV70">
        <v>0</v>
      </c>
      <c r="XW70">
        <v>0</v>
      </c>
      <c r="XX70">
        <v>0</v>
      </c>
      <c r="XY70">
        <v>0</v>
      </c>
      <c r="XZ70">
        <v>0</v>
      </c>
      <c r="YA70">
        <v>0</v>
      </c>
      <c r="YB70">
        <v>0</v>
      </c>
      <c r="YC70">
        <v>0</v>
      </c>
      <c r="YD70">
        <v>0</v>
      </c>
      <c r="YE70">
        <v>0</v>
      </c>
      <c r="YF70">
        <v>0</v>
      </c>
      <c r="YG70">
        <v>0</v>
      </c>
      <c r="YH70">
        <v>0</v>
      </c>
      <c r="YI70">
        <v>0</v>
      </c>
      <c r="YJ70">
        <v>0</v>
      </c>
      <c r="YK70">
        <v>0</v>
      </c>
      <c r="YL70">
        <v>0</v>
      </c>
      <c r="YM70">
        <v>0</v>
      </c>
      <c r="YN70">
        <v>0</v>
      </c>
      <c r="YO70">
        <v>0</v>
      </c>
      <c r="YP70">
        <v>0</v>
      </c>
      <c r="YQ70">
        <v>0</v>
      </c>
      <c r="YR70">
        <v>0</v>
      </c>
      <c r="YS70">
        <v>0</v>
      </c>
      <c r="YT70">
        <v>0</v>
      </c>
      <c r="YU70">
        <v>0</v>
      </c>
      <c r="YV70">
        <v>0</v>
      </c>
      <c r="YW70">
        <v>0</v>
      </c>
      <c r="YX70">
        <v>0</v>
      </c>
      <c r="YY70">
        <v>0</v>
      </c>
      <c r="YZ70">
        <v>0</v>
      </c>
      <c r="ZA70">
        <v>0</v>
      </c>
      <c r="ZB70">
        <v>0</v>
      </c>
      <c r="ZC70">
        <v>0</v>
      </c>
      <c r="ZD70">
        <v>0</v>
      </c>
      <c r="ZE70">
        <v>0</v>
      </c>
      <c r="ZF70">
        <v>0</v>
      </c>
      <c r="ZG70">
        <v>0</v>
      </c>
      <c r="ZH70">
        <v>0</v>
      </c>
      <c r="ZI70">
        <v>0</v>
      </c>
      <c r="ZJ70">
        <v>0</v>
      </c>
      <c r="ZK70">
        <v>0</v>
      </c>
      <c r="ZL70">
        <v>0</v>
      </c>
      <c r="ZM70">
        <v>0</v>
      </c>
      <c r="ZN70">
        <v>0</v>
      </c>
      <c r="ZO70">
        <v>0</v>
      </c>
      <c r="ZP70">
        <v>0</v>
      </c>
      <c r="ZQ70">
        <v>0</v>
      </c>
      <c r="ZR70">
        <v>0</v>
      </c>
      <c r="ZS70">
        <v>0</v>
      </c>
      <c r="ZT70">
        <v>0</v>
      </c>
      <c r="ZU70">
        <v>0</v>
      </c>
      <c r="ZV70">
        <v>0</v>
      </c>
      <c r="ZW70">
        <v>0</v>
      </c>
      <c r="ZX70">
        <v>0</v>
      </c>
      <c r="ZY70">
        <v>0</v>
      </c>
      <c r="ZZ70">
        <v>0</v>
      </c>
      <c r="AAA70">
        <v>0</v>
      </c>
      <c r="AAB70">
        <v>0</v>
      </c>
      <c r="AAC70">
        <v>0</v>
      </c>
      <c r="AAD70">
        <v>0</v>
      </c>
      <c r="AAE70">
        <v>0</v>
      </c>
      <c r="AAF70">
        <v>0</v>
      </c>
      <c r="AAG70">
        <v>0</v>
      </c>
      <c r="AAH70">
        <v>0</v>
      </c>
      <c r="AAI70">
        <v>0</v>
      </c>
      <c r="AAJ70">
        <v>0</v>
      </c>
      <c r="AAK70">
        <v>0</v>
      </c>
      <c r="AAL70">
        <v>0</v>
      </c>
      <c r="AAM70">
        <v>0</v>
      </c>
      <c r="AAN70">
        <v>0</v>
      </c>
      <c r="AAO70">
        <v>0</v>
      </c>
      <c r="AAP70">
        <v>0</v>
      </c>
      <c r="AAQ70">
        <v>0</v>
      </c>
      <c r="AAR70">
        <v>0</v>
      </c>
      <c r="AAS70">
        <v>0</v>
      </c>
      <c r="AAT70">
        <v>0</v>
      </c>
      <c r="AAU70">
        <v>0</v>
      </c>
      <c r="AAV70">
        <v>0</v>
      </c>
      <c r="AAW70">
        <v>0</v>
      </c>
      <c r="AAX70">
        <v>0</v>
      </c>
      <c r="AAY70">
        <v>0</v>
      </c>
      <c r="AAZ70">
        <v>0</v>
      </c>
      <c r="ABA70">
        <v>0</v>
      </c>
      <c r="ABB70">
        <v>0</v>
      </c>
      <c r="ABC70">
        <v>0</v>
      </c>
      <c r="ABD70">
        <v>0</v>
      </c>
      <c r="ABE70">
        <v>0</v>
      </c>
      <c r="ABG70" s="1137">
        <f t="shared" si="19"/>
        <v>0</v>
      </c>
      <c r="ABH70" s="1137">
        <f t="shared" si="19"/>
        <v>0</v>
      </c>
      <c r="ABI70" s="1137">
        <f t="shared" si="19"/>
        <v>14</v>
      </c>
      <c r="ABJ70" s="1137">
        <f t="shared" si="19"/>
        <v>30</v>
      </c>
      <c r="ABK70" s="1137">
        <f t="shared" si="19"/>
        <v>31</v>
      </c>
      <c r="ABL70" s="1137">
        <f t="shared" si="19"/>
        <v>30</v>
      </c>
      <c r="ABM70" s="1137">
        <f t="shared" si="19"/>
        <v>21</v>
      </c>
      <c r="ABN70" s="1137">
        <f t="shared" si="19"/>
        <v>13</v>
      </c>
      <c r="ABO70" s="1137">
        <f t="shared" si="19"/>
        <v>0</v>
      </c>
      <c r="ABP70" s="1137">
        <f t="shared" si="19"/>
        <v>0</v>
      </c>
      <c r="ABQ70" s="1137">
        <f t="shared" si="19"/>
        <v>0</v>
      </c>
      <c r="ABR70" s="1137">
        <f t="shared" si="19"/>
        <v>0</v>
      </c>
      <c r="ABS70" s="1137">
        <f t="shared" si="19"/>
        <v>0</v>
      </c>
      <c r="ABT70" s="1137">
        <f t="shared" si="19"/>
        <v>0</v>
      </c>
      <c r="ABU70" s="1137">
        <f t="shared" si="19"/>
        <v>0</v>
      </c>
      <c r="ABV70" s="1137">
        <f t="shared" si="19"/>
        <v>0</v>
      </c>
      <c r="ABW70" s="1137">
        <f t="shared" si="17"/>
        <v>0</v>
      </c>
      <c r="ABX70" s="1137">
        <f t="shared" si="14"/>
        <v>0</v>
      </c>
      <c r="ABY70" s="1137">
        <f t="shared" si="14"/>
        <v>0</v>
      </c>
      <c r="ABZ70" s="1137">
        <f t="shared" si="14"/>
        <v>22</v>
      </c>
      <c r="ACA70" s="1137">
        <f t="shared" si="14"/>
        <v>19</v>
      </c>
      <c r="ACB70" s="1137">
        <f t="shared" si="14"/>
        <v>0</v>
      </c>
      <c r="ACC70" s="1137">
        <f t="shared" si="14"/>
        <v>0</v>
      </c>
      <c r="ACD70" s="1137">
        <f t="shared" si="14"/>
        <v>0</v>
      </c>
      <c r="ACE70" s="1137" t="s">
        <v>30</v>
      </c>
      <c r="ACF70" s="1137">
        <f t="shared" si="20"/>
        <v>0</v>
      </c>
      <c r="ACG70" s="1137">
        <f t="shared" si="20"/>
        <v>0</v>
      </c>
      <c r="ACH70" s="1137">
        <f t="shared" si="20"/>
        <v>1</v>
      </c>
      <c r="ACI70" s="1137">
        <f t="shared" si="20"/>
        <v>1</v>
      </c>
      <c r="ACJ70" s="1137">
        <f t="shared" si="20"/>
        <v>1</v>
      </c>
      <c r="ACK70" s="1137">
        <f t="shared" si="20"/>
        <v>1</v>
      </c>
      <c r="ACL70" s="1137">
        <f t="shared" si="20"/>
        <v>1</v>
      </c>
      <c r="ACM70" s="1137">
        <f t="shared" si="20"/>
        <v>1</v>
      </c>
      <c r="ACN70" s="1137">
        <f t="shared" si="20"/>
        <v>0</v>
      </c>
      <c r="ACO70" s="1137">
        <f t="shared" si="20"/>
        <v>0</v>
      </c>
      <c r="ACP70" s="1137">
        <f t="shared" si="20"/>
        <v>0</v>
      </c>
      <c r="ACQ70" s="1137">
        <f t="shared" si="20"/>
        <v>0</v>
      </c>
      <c r="ACR70" s="1137">
        <f t="shared" si="20"/>
        <v>0</v>
      </c>
      <c r="ACS70" s="1137">
        <f t="shared" si="20"/>
        <v>0</v>
      </c>
      <c r="ACT70" s="1137">
        <f t="shared" si="20"/>
        <v>0</v>
      </c>
      <c r="ACU70" s="1137">
        <f t="shared" si="12"/>
        <v>0</v>
      </c>
      <c r="ACV70" s="1137">
        <f t="shared" si="12"/>
        <v>0</v>
      </c>
      <c r="ACW70" s="1137">
        <f t="shared" si="12"/>
        <v>0</v>
      </c>
      <c r="ACX70" s="1137">
        <f t="shared" si="12"/>
        <v>0</v>
      </c>
      <c r="ACY70" s="1137">
        <f t="shared" si="12"/>
        <v>1</v>
      </c>
      <c r="ACZ70" s="1137">
        <f t="shared" si="12"/>
        <v>1</v>
      </c>
      <c r="ADA70" s="1137">
        <f t="shared" si="12"/>
        <v>0</v>
      </c>
      <c r="ADB70" s="1137">
        <f t="shared" si="16"/>
        <v>0</v>
      </c>
      <c r="ADC70" s="1137">
        <f t="shared" si="16"/>
        <v>0</v>
      </c>
    </row>
    <row r="71" spans="1:783" x14ac:dyDescent="0.25">
      <c r="A71" t="s">
        <v>1868</v>
      </c>
      <c r="B71" t="s">
        <v>188</v>
      </c>
      <c r="C71">
        <v>0</v>
      </c>
      <c r="D71">
        <v>0</v>
      </c>
      <c r="E71">
        <v>0</v>
      </c>
      <c r="F71">
        <v>0</v>
      </c>
      <c r="G71">
        <v>0</v>
      </c>
      <c r="H71">
        <v>0</v>
      </c>
      <c r="I71">
        <v>0</v>
      </c>
      <c r="J71">
        <v>0</v>
      </c>
      <c r="K71">
        <v>0</v>
      </c>
      <c r="L71">
        <v>0</v>
      </c>
      <c r="M71">
        <v>0</v>
      </c>
      <c r="N71">
        <v>0</v>
      </c>
      <c r="O71">
        <v>0</v>
      </c>
      <c r="P71">
        <v>0</v>
      </c>
      <c r="Q71">
        <v>0</v>
      </c>
      <c r="R71">
        <v>0</v>
      </c>
      <c r="S71">
        <v>0</v>
      </c>
      <c r="T71">
        <v>0</v>
      </c>
      <c r="U71">
        <v>0</v>
      </c>
      <c r="V71">
        <v>0</v>
      </c>
      <c r="W71">
        <v>0</v>
      </c>
      <c r="X71">
        <v>0</v>
      </c>
      <c r="Y71">
        <v>0</v>
      </c>
      <c r="Z71">
        <v>0</v>
      </c>
      <c r="AA71">
        <v>0</v>
      </c>
      <c r="AB71">
        <v>0</v>
      </c>
      <c r="AC71">
        <v>0</v>
      </c>
      <c r="AD71">
        <v>0</v>
      </c>
      <c r="AE71">
        <v>0</v>
      </c>
      <c r="AF71">
        <v>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v>0</v>
      </c>
      <c r="BD71">
        <v>0</v>
      </c>
      <c r="BE71">
        <v>0</v>
      </c>
      <c r="BF71">
        <v>0</v>
      </c>
      <c r="BG71">
        <v>0</v>
      </c>
      <c r="BH71">
        <v>0</v>
      </c>
      <c r="BI71">
        <v>0</v>
      </c>
      <c r="BJ71">
        <v>0</v>
      </c>
      <c r="BK71">
        <v>0</v>
      </c>
      <c r="BL71">
        <v>0</v>
      </c>
      <c r="BM71">
        <v>0</v>
      </c>
      <c r="BN71">
        <v>0</v>
      </c>
      <c r="BO71">
        <v>0</v>
      </c>
      <c r="BP71">
        <v>0</v>
      </c>
      <c r="BQ71">
        <v>0</v>
      </c>
      <c r="BR71">
        <v>0</v>
      </c>
      <c r="BS71">
        <v>0</v>
      </c>
      <c r="BT71">
        <v>0</v>
      </c>
      <c r="BU71">
        <v>0</v>
      </c>
      <c r="BV71">
        <v>0</v>
      </c>
      <c r="BW71">
        <v>0</v>
      </c>
      <c r="BX71">
        <v>0</v>
      </c>
      <c r="BY71">
        <v>0</v>
      </c>
      <c r="BZ71">
        <v>0</v>
      </c>
      <c r="CA71">
        <v>0</v>
      </c>
      <c r="CB71">
        <v>0</v>
      </c>
      <c r="CC71">
        <v>0</v>
      </c>
      <c r="CD71">
        <v>0</v>
      </c>
      <c r="CE71">
        <v>2</v>
      </c>
      <c r="CF71">
        <v>2</v>
      </c>
      <c r="CG71">
        <v>2</v>
      </c>
      <c r="CH71">
        <v>2</v>
      </c>
      <c r="CI71">
        <v>2</v>
      </c>
      <c r="CJ71">
        <v>2</v>
      </c>
      <c r="CK71">
        <v>2</v>
      </c>
      <c r="CL71">
        <v>2</v>
      </c>
      <c r="CM71">
        <v>2</v>
      </c>
      <c r="CN71">
        <v>2</v>
      </c>
      <c r="CO71">
        <v>2</v>
      </c>
      <c r="CP71">
        <v>2</v>
      </c>
      <c r="CQ71">
        <v>2</v>
      </c>
      <c r="CR71">
        <v>2</v>
      </c>
      <c r="CS71">
        <v>2</v>
      </c>
      <c r="CT71">
        <v>2</v>
      </c>
      <c r="CU71">
        <v>2</v>
      </c>
      <c r="CV71">
        <v>2</v>
      </c>
      <c r="CW71">
        <v>2</v>
      </c>
      <c r="CX71">
        <v>2</v>
      </c>
      <c r="CY71">
        <v>2</v>
      </c>
      <c r="CZ71">
        <v>2</v>
      </c>
      <c r="DA71">
        <v>2</v>
      </c>
      <c r="DB71">
        <v>2</v>
      </c>
      <c r="DC71">
        <v>2</v>
      </c>
      <c r="DD71">
        <v>2</v>
      </c>
      <c r="DE71">
        <v>2</v>
      </c>
      <c r="DF71">
        <v>2</v>
      </c>
      <c r="DG71">
        <v>2</v>
      </c>
      <c r="DH71">
        <v>2</v>
      </c>
      <c r="DI71">
        <v>2</v>
      </c>
      <c r="DJ71">
        <v>2</v>
      </c>
      <c r="DK71">
        <v>2</v>
      </c>
      <c r="DL71">
        <v>2</v>
      </c>
      <c r="DM71">
        <v>2</v>
      </c>
      <c r="DN71">
        <v>2</v>
      </c>
      <c r="DO71">
        <v>2</v>
      </c>
      <c r="DP71">
        <v>2</v>
      </c>
      <c r="DQ71">
        <v>2</v>
      </c>
      <c r="DR71">
        <v>2</v>
      </c>
      <c r="DS71">
        <v>2</v>
      </c>
      <c r="DT71">
        <v>2</v>
      </c>
      <c r="DU71">
        <v>2</v>
      </c>
      <c r="DV71">
        <v>2</v>
      </c>
      <c r="DW71">
        <v>2</v>
      </c>
      <c r="DX71">
        <v>2</v>
      </c>
      <c r="DY71">
        <v>2</v>
      </c>
      <c r="DZ71">
        <v>2</v>
      </c>
      <c r="EA71">
        <v>2</v>
      </c>
      <c r="EB71">
        <v>2</v>
      </c>
      <c r="EC71">
        <v>2</v>
      </c>
      <c r="ED71">
        <v>2</v>
      </c>
      <c r="EE71">
        <v>2</v>
      </c>
      <c r="EF71">
        <v>2</v>
      </c>
      <c r="EG71">
        <v>2</v>
      </c>
      <c r="EH71">
        <v>2</v>
      </c>
      <c r="EI71">
        <v>2</v>
      </c>
      <c r="EJ71">
        <v>2</v>
      </c>
      <c r="EK71">
        <v>2</v>
      </c>
      <c r="EL71">
        <v>2</v>
      </c>
      <c r="EM71">
        <v>2</v>
      </c>
      <c r="EN71">
        <v>2</v>
      </c>
      <c r="EO71">
        <v>2</v>
      </c>
      <c r="EP71">
        <v>2</v>
      </c>
      <c r="EQ71">
        <v>2</v>
      </c>
      <c r="ER71">
        <v>2</v>
      </c>
      <c r="ES71">
        <v>2</v>
      </c>
      <c r="ET71">
        <v>2</v>
      </c>
      <c r="EU71">
        <v>2</v>
      </c>
      <c r="EV71">
        <v>2</v>
      </c>
      <c r="EW71">
        <v>1</v>
      </c>
      <c r="EX71">
        <v>1</v>
      </c>
      <c r="EY71">
        <v>1</v>
      </c>
      <c r="EZ71">
        <v>1</v>
      </c>
      <c r="FA71">
        <v>1</v>
      </c>
      <c r="FB71">
        <v>1</v>
      </c>
      <c r="FC71">
        <v>1</v>
      </c>
      <c r="FD71">
        <v>1</v>
      </c>
      <c r="FE71">
        <v>1</v>
      </c>
      <c r="FF71">
        <v>1</v>
      </c>
      <c r="FG71">
        <v>1</v>
      </c>
      <c r="FH71">
        <v>1</v>
      </c>
      <c r="FI71">
        <v>1</v>
      </c>
      <c r="FJ71">
        <v>1</v>
      </c>
      <c r="FK71">
        <v>1</v>
      </c>
      <c r="FL71">
        <v>1</v>
      </c>
      <c r="FM71">
        <v>1</v>
      </c>
      <c r="FN71">
        <v>1</v>
      </c>
      <c r="FO71">
        <v>1</v>
      </c>
      <c r="FP71">
        <v>1</v>
      </c>
      <c r="FQ71">
        <v>1</v>
      </c>
      <c r="FR71">
        <v>1</v>
      </c>
      <c r="FS71">
        <v>1</v>
      </c>
      <c r="FT71">
        <v>1</v>
      </c>
      <c r="FU71">
        <v>1</v>
      </c>
      <c r="FV71">
        <v>1</v>
      </c>
      <c r="FW71">
        <v>1</v>
      </c>
      <c r="FX71">
        <v>1</v>
      </c>
      <c r="FY71">
        <v>1</v>
      </c>
      <c r="FZ71">
        <v>1</v>
      </c>
      <c r="GA71">
        <v>1</v>
      </c>
      <c r="GB71">
        <v>1</v>
      </c>
      <c r="GC71">
        <v>1</v>
      </c>
      <c r="GD71">
        <v>1</v>
      </c>
      <c r="GE71">
        <v>1</v>
      </c>
      <c r="GF71">
        <v>1</v>
      </c>
      <c r="GG71">
        <v>1</v>
      </c>
      <c r="GH71">
        <v>1</v>
      </c>
      <c r="GI71">
        <v>1</v>
      </c>
      <c r="GJ71">
        <v>1</v>
      </c>
      <c r="GK71">
        <v>1</v>
      </c>
      <c r="GL71">
        <v>1</v>
      </c>
      <c r="GM71">
        <v>1</v>
      </c>
      <c r="GN71">
        <v>1</v>
      </c>
      <c r="GO71">
        <v>1</v>
      </c>
      <c r="GP71">
        <v>1</v>
      </c>
      <c r="GQ71">
        <v>1</v>
      </c>
      <c r="GR71">
        <v>1</v>
      </c>
      <c r="GS71">
        <v>1</v>
      </c>
      <c r="GT71">
        <v>1</v>
      </c>
      <c r="GU71">
        <v>1</v>
      </c>
      <c r="GV71">
        <v>1</v>
      </c>
      <c r="GW71">
        <v>1</v>
      </c>
      <c r="GX71">
        <v>1</v>
      </c>
      <c r="GY71">
        <v>1</v>
      </c>
      <c r="GZ71">
        <v>1</v>
      </c>
      <c r="HA71">
        <v>1</v>
      </c>
      <c r="HB71">
        <v>1</v>
      </c>
      <c r="HC71">
        <v>1</v>
      </c>
      <c r="HD71">
        <v>1</v>
      </c>
      <c r="HE71">
        <v>1</v>
      </c>
      <c r="HF71">
        <v>1</v>
      </c>
      <c r="HG71">
        <v>1</v>
      </c>
      <c r="HH71">
        <v>1</v>
      </c>
      <c r="HI71">
        <v>1</v>
      </c>
      <c r="HJ71">
        <v>1</v>
      </c>
      <c r="HK71">
        <v>1</v>
      </c>
      <c r="HL71">
        <v>1</v>
      </c>
      <c r="HM71">
        <v>1</v>
      </c>
      <c r="HN71">
        <v>1</v>
      </c>
      <c r="HO71">
        <v>1</v>
      </c>
      <c r="HP71">
        <v>1</v>
      </c>
      <c r="HQ71">
        <v>1</v>
      </c>
      <c r="HR71">
        <v>1</v>
      </c>
      <c r="HS71">
        <v>1</v>
      </c>
      <c r="HT71">
        <v>1</v>
      </c>
      <c r="HU71">
        <v>1</v>
      </c>
      <c r="HV71">
        <v>1</v>
      </c>
      <c r="HW71">
        <v>1</v>
      </c>
      <c r="HX71">
        <v>1</v>
      </c>
      <c r="HY71">
        <v>1</v>
      </c>
      <c r="HZ71">
        <v>1</v>
      </c>
      <c r="IA71">
        <v>1</v>
      </c>
      <c r="IB71">
        <v>1</v>
      </c>
      <c r="IC71">
        <v>1</v>
      </c>
      <c r="ID71">
        <v>1</v>
      </c>
      <c r="IE71">
        <v>1</v>
      </c>
      <c r="IF71">
        <v>1</v>
      </c>
      <c r="IG71">
        <v>1</v>
      </c>
      <c r="IH71">
        <v>1</v>
      </c>
      <c r="II71">
        <v>1</v>
      </c>
      <c r="IJ71">
        <v>1</v>
      </c>
      <c r="IK71">
        <v>1</v>
      </c>
      <c r="IL71">
        <v>1</v>
      </c>
      <c r="IM71">
        <v>1</v>
      </c>
      <c r="IN71">
        <v>1</v>
      </c>
      <c r="IO71">
        <v>1</v>
      </c>
      <c r="IP71">
        <v>1</v>
      </c>
      <c r="IQ71">
        <v>1</v>
      </c>
      <c r="IR71">
        <v>1</v>
      </c>
      <c r="IS71">
        <v>1</v>
      </c>
      <c r="IT71">
        <v>1</v>
      </c>
      <c r="IU71">
        <v>1</v>
      </c>
      <c r="IV71">
        <v>1</v>
      </c>
      <c r="IW71">
        <v>1</v>
      </c>
      <c r="IX71">
        <v>1</v>
      </c>
      <c r="IY71">
        <v>1</v>
      </c>
      <c r="IZ71">
        <v>1</v>
      </c>
      <c r="JA71">
        <v>1</v>
      </c>
      <c r="JB71">
        <v>1</v>
      </c>
      <c r="JC71">
        <v>1</v>
      </c>
      <c r="JD71">
        <v>1</v>
      </c>
      <c r="JE71">
        <v>1</v>
      </c>
      <c r="JF71">
        <v>1</v>
      </c>
      <c r="JG71">
        <v>1</v>
      </c>
      <c r="JH71">
        <v>1</v>
      </c>
      <c r="JI71">
        <v>1</v>
      </c>
      <c r="JJ71">
        <v>1</v>
      </c>
      <c r="JK71">
        <v>1</v>
      </c>
      <c r="JL71">
        <v>1</v>
      </c>
      <c r="JM71">
        <v>1</v>
      </c>
      <c r="JN71">
        <v>1</v>
      </c>
      <c r="JO71">
        <v>1</v>
      </c>
      <c r="JP71">
        <v>1</v>
      </c>
      <c r="JQ71">
        <v>1</v>
      </c>
      <c r="JR71">
        <v>1</v>
      </c>
      <c r="JS71">
        <v>1</v>
      </c>
      <c r="JT71">
        <v>1</v>
      </c>
      <c r="JU71">
        <v>1</v>
      </c>
      <c r="JV71">
        <v>1</v>
      </c>
      <c r="JW71">
        <v>1</v>
      </c>
      <c r="JX71">
        <v>1</v>
      </c>
      <c r="JY71">
        <v>1</v>
      </c>
      <c r="JZ71">
        <v>1</v>
      </c>
      <c r="KA71">
        <v>1</v>
      </c>
      <c r="KB71">
        <v>2</v>
      </c>
      <c r="KC71">
        <v>2</v>
      </c>
      <c r="KD71">
        <v>2</v>
      </c>
      <c r="KE71">
        <v>2</v>
      </c>
      <c r="KF71">
        <v>2</v>
      </c>
      <c r="KG71">
        <v>2</v>
      </c>
      <c r="KH71">
        <v>2</v>
      </c>
      <c r="KI71">
        <v>2</v>
      </c>
      <c r="KJ71">
        <v>2</v>
      </c>
      <c r="KK71">
        <v>2</v>
      </c>
      <c r="KL71">
        <v>2</v>
      </c>
      <c r="KM71">
        <v>2</v>
      </c>
      <c r="KN71">
        <v>2</v>
      </c>
      <c r="KO71">
        <v>2</v>
      </c>
      <c r="KP71">
        <v>2</v>
      </c>
      <c r="KQ71">
        <v>2</v>
      </c>
      <c r="KR71">
        <v>2</v>
      </c>
      <c r="KS71">
        <v>2</v>
      </c>
      <c r="KT71">
        <v>2</v>
      </c>
      <c r="KU71">
        <v>2</v>
      </c>
      <c r="KV71">
        <v>2</v>
      </c>
      <c r="KW71">
        <v>2</v>
      </c>
      <c r="KX71">
        <v>2</v>
      </c>
      <c r="KY71">
        <v>2</v>
      </c>
      <c r="KZ71">
        <v>2</v>
      </c>
      <c r="LA71">
        <v>2</v>
      </c>
      <c r="LB71">
        <v>2</v>
      </c>
      <c r="LC71">
        <v>2</v>
      </c>
      <c r="LD71">
        <v>2</v>
      </c>
      <c r="LE71">
        <v>2</v>
      </c>
      <c r="LF71">
        <v>2</v>
      </c>
      <c r="LG71">
        <v>2</v>
      </c>
      <c r="LH71">
        <v>2</v>
      </c>
      <c r="LI71">
        <v>2</v>
      </c>
      <c r="LJ71">
        <v>2</v>
      </c>
      <c r="LK71">
        <v>2</v>
      </c>
      <c r="LL71">
        <v>2</v>
      </c>
      <c r="LM71">
        <v>2</v>
      </c>
      <c r="LN71">
        <v>2</v>
      </c>
      <c r="LO71">
        <v>2</v>
      </c>
      <c r="LP71">
        <v>2</v>
      </c>
      <c r="LQ71">
        <v>2</v>
      </c>
      <c r="LR71">
        <v>2</v>
      </c>
      <c r="LS71">
        <v>2</v>
      </c>
      <c r="LT71">
        <v>2</v>
      </c>
      <c r="LU71">
        <v>2</v>
      </c>
      <c r="LV71">
        <v>2</v>
      </c>
      <c r="LW71">
        <v>2</v>
      </c>
      <c r="LX71">
        <v>2</v>
      </c>
      <c r="LY71">
        <v>2</v>
      </c>
      <c r="LZ71">
        <v>2</v>
      </c>
      <c r="MA71">
        <v>2</v>
      </c>
      <c r="MB71">
        <v>2</v>
      </c>
      <c r="MC71">
        <v>2</v>
      </c>
      <c r="MD71">
        <v>2</v>
      </c>
      <c r="ME71">
        <v>2</v>
      </c>
      <c r="MF71">
        <v>2</v>
      </c>
      <c r="MG71">
        <v>2</v>
      </c>
      <c r="MH71">
        <v>2</v>
      </c>
      <c r="MI71">
        <v>2</v>
      </c>
      <c r="MJ71">
        <v>2</v>
      </c>
      <c r="MK71">
        <v>2</v>
      </c>
      <c r="ML71">
        <v>2</v>
      </c>
      <c r="MM71">
        <v>2</v>
      </c>
      <c r="MN71">
        <v>2</v>
      </c>
      <c r="MO71">
        <v>2</v>
      </c>
      <c r="MP71">
        <v>2</v>
      </c>
      <c r="MQ71">
        <v>2</v>
      </c>
      <c r="MR71">
        <v>2</v>
      </c>
      <c r="MS71">
        <v>2</v>
      </c>
      <c r="MT71">
        <v>2</v>
      </c>
      <c r="MU71">
        <v>2</v>
      </c>
      <c r="MV71">
        <v>2</v>
      </c>
      <c r="MW71">
        <v>2</v>
      </c>
      <c r="MX71">
        <v>2</v>
      </c>
      <c r="MY71">
        <v>2</v>
      </c>
      <c r="MZ71">
        <v>2</v>
      </c>
      <c r="NA71">
        <v>2</v>
      </c>
      <c r="NB71">
        <v>2</v>
      </c>
      <c r="NC71">
        <v>2</v>
      </c>
      <c r="ND71">
        <v>2</v>
      </c>
      <c r="NE71">
        <v>2</v>
      </c>
      <c r="NF71">
        <v>2</v>
      </c>
      <c r="NG71">
        <v>2</v>
      </c>
      <c r="NH71">
        <v>2</v>
      </c>
      <c r="NI71">
        <v>2</v>
      </c>
      <c r="NJ71">
        <v>2</v>
      </c>
      <c r="NK71">
        <v>2</v>
      </c>
      <c r="NL71">
        <v>2</v>
      </c>
      <c r="NM71">
        <v>2</v>
      </c>
      <c r="NN71">
        <v>2</v>
      </c>
      <c r="NO71">
        <v>2</v>
      </c>
      <c r="NP71">
        <v>2</v>
      </c>
      <c r="NQ71">
        <v>2</v>
      </c>
      <c r="NR71">
        <v>2</v>
      </c>
      <c r="NS71">
        <v>2</v>
      </c>
      <c r="NT71">
        <v>2</v>
      </c>
      <c r="NU71">
        <v>2</v>
      </c>
      <c r="NV71">
        <v>2</v>
      </c>
      <c r="NW71">
        <v>2</v>
      </c>
      <c r="NX71">
        <v>2</v>
      </c>
      <c r="NY71">
        <v>2</v>
      </c>
      <c r="NZ71">
        <v>2</v>
      </c>
      <c r="OA71">
        <v>2</v>
      </c>
      <c r="OB71">
        <v>2</v>
      </c>
      <c r="OC71">
        <v>2</v>
      </c>
      <c r="OD71">
        <v>2</v>
      </c>
      <c r="OE71">
        <v>2</v>
      </c>
      <c r="OF71">
        <v>2</v>
      </c>
      <c r="OG71">
        <v>2</v>
      </c>
      <c r="OH71">
        <v>2</v>
      </c>
      <c r="OI71">
        <v>2</v>
      </c>
      <c r="OJ71">
        <v>2</v>
      </c>
      <c r="OK71">
        <v>2</v>
      </c>
      <c r="OL71">
        <v>2</v>
      </c>
      <c r="OM71">
        <v>2</v>
      </c>
      <c r="ON71">
        <v>2</v>
      </c>
      <c r="OO71">
        <v>2</v>
      </c>
      <c r="OP71">
        <v>2</v>
      </c>
      <c r="OQ71">
        <v>2</v>
      </c>
      <c r="OR71">
        <v>2</v>
      </c>
      <c r="OS71">
        <v>2</v>
      </c>
      <c r="OT71">
        <v>2</v>
      </c>
      <c r="OU71">
        <v>2</v>
      </c>
      <c r="OV71">
        <v>2</v>
      </c>
      <c r="OW71">
        <v>2</v>
      </c>
      <c r="OX71">
        <v>2</v>
      </c>
      <c r="OY71">
        <v>2</v>
      </c>
      <c r="OZ71">
        <v>2</v>
      </c>
      <c r="PA71">
        <v>2</v>
      </c>
      <c r="PB71">
        <v>2</v>
      </c>
      <c r="PC71">
        <v>2</v>
      </c>
      <c r="PD71">
        <v>2</v>
      </c>
      <c r="PE71">
        <v>2</v>
      </c>
      <c r="PF71">
        <v>2</v>
      </c>
      <c r="PG71">
        <v>2</v>
      </c>
      <c r="PH71">
        <v>2</v>
      </c>
      <c r="PI71">
        <v>2</v>
      </c>
      <c r="PJ71">
        <v>2</v>
      </c>
      <c r="PK71">
        <v>2</v>
      </c>
      <c r="PL71">
        <v>2</v>
      </c>
      <c r="PM71">
        <v>2</v>
      </c>
      <c r="PN71">
        <v>2</v>
      </c>
      <c r="PO71">
        <v>2</v>
      </c>
      <c r="PP71">
        <v>2</v>
      </c>
      <c r="PQ71">
        <v>2</v>
      </c>
      <c r="PR71">
        <v>2</v>
      </c>
      <c r="PS71">
        <v>2</v>
      </c>
      <c r="PT71">
        <v>2</v>
      </c>
      <c r="PU71">
        <v>2</v>
      </c>
      <c r="PV71">
        <v>2</v>
      </c>
      <c r="PW71">
        <v>2</v>
      </c>
      <c r="PX71">
        <v>2</v>
      </c>
      <c r="PY71">
        <v>2</v>
      </c>
      <c r="PZ71">
        <v>2</v>
      </c>
      <c r="QA71">
        <v>2</v>
      </c>
      <c r="QB71">
        <v>2</v>
      </c>
      <c r="QC71">
        <v>2</v>
      </c>
      <c r="QD71">
        <v>2</v>
      </c>
      <c r="QE71">
        <v>2</v>
      </c>
      <c r="QF71">
        <v>2</v>
      </c>
      <c r="QG71">
        <v>2</v>
      </c>
      <c r="QH71">
        <v>2</v>
      </c>
      <c r="QI71">
        <v>2</v>
      </c>
      <c r="QJ71">
        <v>2</v>
      </c>
      <c r="QK71">
        <v>2</v>
      </c>
      <c r="QL71">
        <v>2</v>
      </c>
      <c r="QM71">
        <v>2</v>
      </c>
      <c r="QN71">
        <v>2</v>
      </c>
      <c r="QO71">
        <v>2</v>
      </c>
      <c r="QP71">
        <v>2</v>
      </c>
      <c r="QQ71">
        <v>2</v>
      </c>
      <c r="QR71">
        <v>2</v>
      </c>
      <c r="QS71">
        <v>2</v>
      </c>
      <c r="QT71">
        <v>2</v>
      </c>
      <c r="QU71">
        <v>2</v>
      </c>
      <c r="QV71">
        <v>2</v>
      </c>
      <c r="QW71">
        <v>2</v>
      </c>
      <c r="QX71">
        <v>2</v>
      </c>
      <c r="QY71">
        <v>2</v>
      </c>
      <c r="QZ71">
        <v>2</v>
      </c>
      <c r="RA71">
        <v>2</v>
      </c>
      <c r="RB71">
        <v>2</v>
      </c>
      <c r="RC71">
        <v>2</v>
      </c>
      <c r="RD71">
        <v>2</v>
      </c>
      <c r="RE71">
        <v>2</v>
      </c>
      <c r="RF71">
        <v>2</v>
      </c>
      <c r="RG71">
        <v>2</v>
      </c>
      <c r="RH71">
        <v>2</v>
      </c>
      <c r="RI71">
        <v>2</v>
      </c>
      <c r="RJ71">
        <v>2</v>
      </c>
      <c r="RK71">
        <v>2</v>
      </c>
      <c r="RL71">
        <v>2</v>
      </c>
      <c r="RM71">
        <v>2</v>
      </c>
      <c r="RN71">
        <v>2</v>
      </c>
      <c r="RO71">
        <v>2</v>
      </c>
      <c r="RP71">
        <v>2</v>
      </c>
      <c r="RQ71">
        <v>2</v>
      </c>
      <c r="RR71">
        <v>2</v>
      </c>
      <c r="RS71">
        <v>2</v>
      </c>
      <c r="RT71">
        <v>2</v>
      </c>
      <c r="RU71">
        <v>2</v>
      </c>
      <c r="RV71">
        <v>2</v>
      </c>
      <c r="RW71">
        <v>2</v>
      </c>
      <c r="RX71">
        <v>2</v>
      </c>
      <c r="RY71">
        <v>2</v>
      </c>
      <c r="RZ71">
        <v>2</v>
      </c>
      <c r="SA71">
        <v>2</v>
      </c>
      <c r="SB71">
        <v>2</v>
      </c>
      <c r="SC71">
        <v>2</v>
      </c>
      <c r="SD71">
        <v>2</v>
      </c>
      <c r="SE71">
        <v>2</v>
      </c>
      <c r="SF71">
        <v>2</v>
      </c>
      <c r="SG71">
        <v>2</v>
      </c>
      <c r="SH71">
        <v>2</v>
      </c>
      <c r="SI71">
        <v>2</v>
      </c>
      <c r="SJ71">
        <v>2</v>
      </c>
      <c r="SK71">
        <v>2</v>
      </c>
      <c r="SL71">
        <v>1</v>
      </c>
      <c r="SM71">
        <v>1</v>
      </c>
      <c r="SN71">
        <v>1</v>
      </c>
      <c r="SO71">
        <v>1</v>
      </c>
      <c r="SP71">
        <v>1</v>
      </c>
      <c r="SQ71">
        <v>1</v>
      </c>
      <c r="SR71">
        <v>1</v>
      </c>
      <c r="SS71">
        <v>1</v>
      </c>
      <c r="ST71">
        <v>1</v>
      </c>
      <c r="SU71">
        <v>1</v>
      </c>
      <c r="SV71">
        <v>1</v>
      </c>
      <c r="SW71">
        <v>1</v>
      </c>
      <c r="SX71">
        <v>1</v>
      </c>
      <c r="SY71">
        <v>1</v>
      </c>
      <c r="SZ71">
        <v>1</v>
      </c>
      <c r="TA71">
        <v>1</v>
      </c>
      <c r="TB71">
        <v>1</v>
      </c>
      <c r="TC71">
        <v>1</v>
      </c>
      <c r="TD71">
        <v>1</v>
      </c>
      <c r="TE71">
        <v>1</v>
      </c>
      <c r="TF71">
        <v>1</v>
      </c>
      <c r="TG71">
        <v>0</v>
      </c>
      <c r="TH71">
        <v>0</v>
      </c>
      <c r="TI71">
        <v>0</v>
      </c>
      <c r="TJ71">
        <v>0</v>
      </c>
      <c r="TK71">
        <v>0</v>
      </c>
      <c r="TL71">
        <v>0</v>
      </c>
      <c r="TM71">
        <v>0</v>
      </c>
      <c r="TN71">
        <v>0</v>
      </c>
      <c r="TO71">
        <v>0</v>
      </c>
      <c r="TP71">
        <v>0</v>
      </c>
      <c r="TQ71">
        <v>0</v>
      </c>
      <c r="TR71">
        <v>0</v>
      </c>
      <c r="TS71">
        <v>0</v>
      </c>
      <c r="TT71">
        <v>0</v>
      </c>
      <c r="TU71">
        <v>0</v>
      </c>
      <c r="TV71">
        <v>0</v>
      </c>
      <c r="TW71">
        <v>0</v>
      </c>
      <c r="TX71">
        <v>0</v>
      </c>
      <c r="TY71">
        <v>0</v>
      </c>
      <c r="TZ71">
        <v>0</v>
      </c>
      <c r="UA71">
        <v>0</v>
      </c>
      <c r="UB71">
        <v>0</v>
      </c>
      <c r="UC71">
        <v>0</v>
      </c>
      <c r="UD71">
        <v>0</v>
      </c>
      <c r="UE71">
        <v>0</v>
      </c>
      <c r="UF71">
        <v>0</v>
      </c>
      <c r="UG71">
        <v>0</v>
      </c>
      <c r="UH71">
        <v>0</v>
      </c>
      <c r="UI71">
        <v>1</v>
      </c>
      <c r="UJ71">
        <v>1</v>
      </c>
      <c r="UK71">
        <v>1</v>
      </c>
      <c r="UL71">
        <v>1</v>
      </c>
      <c r="UM71">
        <v>1</v>
      </c>
      <c r="UN71">
        <v>1</v>
      </c>
      <c r="UO71">
        <v>1</v>
      </c>
      <c r="UP71">
        <v>1</v>
      </c>
      <c r="UQ71">
        <v>1</v>
      </c>
      <c r="UR71">
        <v>1</v>
      </c>
      <c r="US71">
        <v>1</v>
      </c>
      <c r="UT71">
        <v>1</v>
      </c>
      <c r="UU71">
        <v>1</v>
      </c>
      <c r="UV71">
        <v>1</v>
      </c>
      <c r="UW71">
        <v>1</v>
      </c>
      <c r="UX71">
        <v>1</v>
      </c>
      <c r="UY71">
        <v>1</v>
      </c>
      <c r="UZ71">
        <v>1</v>
      </c>
      <c r="VA71">
        <v>1</v>
      </c>
      <c r="VB71">
        <v>1</v>
      </c>
      <c r="VC71">
        <v>1</v>
      </c>
      <c r="VD71">
        <v>1</v>
      </c>
      <c r="VE71">
        <v>1</v>
      </c>
      <c r="VF71">
        <v>1</v>
      </c>
      <c r="VG71">
        <v>1</v>
      </c>
      <c r="VH71">
        <v>1</v>
      </c>
      <c r="VI71">
        <v>1</v>
      </c>
      <c r="VJ71">
        <v>1</v>
      </c>
      <c r="VK71">
        <v>1</v>
      </c>
      <c r="VL71">
        <v>1</v>
      </c>
      <c r="VM71">
        <v>1</v>
      </c>
      <c r="VN71">
        <v>1</v>
      </c>
      <c r="VO71">
        <v>1</v>
      </c>
      <c r="VP71">
        <v>1</v>
      </c>
      <c r="VQ71">
        <v>1</v>
      </c>
      <c r="VR71">
        <v>2</v>
      </c>
      <c r="VS71">
        <v>2</v>
      </c>
      <c r="VT71">
        <v>2</v>
      </c>
      <c r="VU71">
        <v>2</v>
      </c>
      <c r="VV71">
        <v>2</v>
      </c>
      <c r="VW71">
        <v>2</v>
      </c>
      <c r="VX71">
        <v>2</v>
      </c>
      <c r="VY71">
        <v>2</v>
      </c>
      <c r="VZ71">
        <v>2</v>
      </c>
      <c r="WA71">
        <v>2</v>
      </c>
      <c r="WB71">
        <v>2</v>
      </c>
      <c r="WC71">
        <v>2</v>
      </c>
      <c r="WD71">
        <v>2</v>
      </c>
      <c r="WE71">
        <v>2</v>
      </c>
      <c r="WF71">
        <v>2</v>
      </c>
      <c r="WG71">
        <v>2</v>
      </c>
      <c r="WH71">
        <v>2</v>
      </c>
      <c r="WI71">
        <v>2</v>
      </c>
      <c r="WJ71">
        <v>2</v>
      </c>
      <c r="WK71">
        <v>2</v>
      </c>
      <c r="WL71">
        <v>2</v>
      </c>
      <c r="WM71">
        <v>2</v>
      </c>
      <c r="WN71">
        <v>2</v>
      </c>
      <c r="WO71">
        <v>2</v>
      </c>
      <c r="WP71">
        <v>2</v>
      </c>
      <c r="WQ71">
        <v>2</v>
      </c>
      <c r="WR71">
        <v>2</v>
      </c>
      <c r="WS71">
        <v>2</v>
      </c>
      <c r="WT71">
        <v>2</v>
      </c>
      <c r="WU71">
        <v>2</v>
      </c>
      <c r="WV71">
        <v>2</v>
      </c>
      <c r="WW71">
        <v>2</v>
      </c>
      <c r="WX71">
        <v>2</v>
      </c>
      <c r="WY71">
        <v>2</v>
      </c>
      <c r="WZ71">
        <v>2</v>
      </c>
      <c r="XA71">
        <v>2</v>
      </c>
      <c r="XB71">
        <v>2</v>
      </c>
      <c r="XC71">
        <v>2</v>
      </c>
      <c r="XD71">
        <v>2</v>
      </c>
      <c r="XE71">
        <v>2</v>
      </c>
      <c r="XF71">
        <v>2</v>
      </c>
      <c r="XG71">
        <v>2</v>
      </c>
      <c r="XH71">
        <v>2</v>
      </c>
      <c r="XI71">
        <v>2</v>
      </c>
      <c r="XJ71">
        <v>2</v>
      </c>
      <c r="XK71">
        <v>2</v>
      </c>
      <c r="XL71">
        <v>2</v>
      </c>
      <c r="XM71">
        <v>2</v>
      </c>
      <c r="XN71">
        <v>2</v>
      </c>
      <c r="XO71">
        <v>2</v>
      </c>
      <c r="XP71">
        <v>2</v>
      </c>
      <c r="XQ71">
        <v>2</v>
      </c>
      <c r="XR71">
        <v>2</v>
      </c>
      <c r="XS71">
        <v>2</v>
      </c>
      <c r="XT71">
        <v>2</v>
      </c>
      <c r="XU71">
        <v>2</v>
      </c>
      <c r="XV71">
        <v>2</v>
      </c>
      <c r="XW71">
        <v>2</v>
      </c>
      <c r="XX71">
        <v>2</v>
      </c>
      <c r="XY71">
        <v>2</v>
      </c>
      <c r="XZ71">
        <v>2</v>
      </c>
      <c r="YA71">
        <v>2</v>
      </c>
      <c r="YB71">
        <v>2</v>
      </c>
      <c r="YC71">
        <v>2</v>
      </c>
      <c r="YD71">
        <v>2</v>
      </c>
      <c r="YE71">
        <v>2</v>
      </c>
      <c r="YF71">
        <v>2</v>
      </c>
      <c r="YG71">
        <v>2</v>
      </c>
      <c r="YH71">
        <v>2</v>
      </c>
      <c r="YI71">
        <v>2</v>
      </c>
      <c r="YJ71">
        <v>2</v>
      </c>
      <c r="YK71">
        <v>2</v>
      </c>
      <c r="YL71">
        <v>2</v>
      </c>
      <c r="YM71">
        <v>2</v>
      </c>
      <c r="YN71">
        <v>2</v>
      </c>
      <c r="YO71">
        <v>2</v>
      </c>
      <c r="YP71">
        <v>2</v>
      </c>
      <c r="YQ71">
        <v>2</v>
      </c>
      <c r="YR71">
        <v>2</v>
      </c>
      <c r="YS71">
        <v>2</v>
      </c>
      <c r="YT71">
        <v>2</v>
      </c>
      <c r="YU71">
        <v>2</v>
      </c>
      <c r="YV71">
        <v>2</v>
      </c>
      <c r="YW71">
        <v>2</v>
      </c>
      <c r="YX71">
        <v>2</v>
      </c>
      <c r="YY71">
        <v>2</v>
      </c>
      <c r="YZ71">
        <v>2</v>
      </c>
      <c r="ZA71">
        <v>2</v>
      </c>
      <c r="ZB71">
        <v>2</v>
      </c>
      <c r="ZC71">
        <v>2</v>
      </c>
      <c r="ZD71">
        <v>2</v>
      </c>
      <c r="ZE71">
        <v>2</v>
      </c>
      <c r="ZF71">
        <v>2</v>
      </c>
      <c r="ZG71">
        <v>2</v>
      </c>
      <c r="ZH71">
        <v>2</v>
      </c>
      <c r="ZI71">
        <v>2</v>
      </c>
      <c r="ZJ71">
        <v>2</v>
      </c>
      <c r="ZK71">
        <v>2</v>
      </c>
      <c r="ZL71">
        <v>2</v>
      </c>
      <c r="ZM71">
        <v>2</v>
      </c>
      <c r="ZN71">
        <v>2</v>
      </c>
      <c r="ZO71">
        <v>2</v>
      </c>
      <c r="ZP71">
        <v>2</v>
      </c>
      <c r="ZQ71">
        <v>2</v>
      </c>
      <c r="ZR71">
        <v>2</v>
      </c>
      <c r="ZS71">
        <v>2</v>
      </c>
      <c r="ZT71">
        <v>2</v>
      </c>
      <c r="ZU71">
        <v>2</v>
      </c>
      <c r="ZV71">
        <v>2</v>
      </c>
      <c r="ZW71">
        <v>2</v>
      </c>
      <c r="ZX71">
        <v>2</v>
      </c>
      <c r="ZY71">
        <v>2</v>
      </c>
      <c r="ZZ71">
        <v>2</v>
      </c>
      <c r="AAA71">
        <v>2</v>
      </c>
      <c r="AAB71">
        <v>2</v>
      </c>
      <c r="AAC71">
        <v>2</v>
      </c>
      <c r="AAD71">
        <v>2</v>
      </c>
      <c r="AAE71">
        <v>2</v>
      </c>
      <c r="AAF71">
        <v>2</v>
      </c>
      <c r="AAG71">
        <v>2</v>
      </c>
      <c r="AAH71">
        <v>2</v>
      </c>
      <c r="AAI71">
        <v>2</v>
      </c>
      <c r="AAJ71">
        <v>2</v>
      </c>
      <c r="AAK71">
        <v>2</v>
      </c>
      <c r="AAL71">
        <v>2</v>
      </c>
      <c r="AAM71">
        <v>2</v>
      </c>
      <c r="AAN71">
        <v>2</v>
      </c>
      <c r="AAO71">
        <v>2</v>
      </c>
      <c r="AAP71">
        <v>2</v>
      </c>
      <c r="AAQ71">
        <v>2</v>
      </c>
      <c r="AAR71">
        <v>2</v>
      </c>
      <c r="AAS71">
        <v>2</v>
      </c>
      <c r="AAT71">
        <v>2</v>
      </c>
      <c r="AAU71">
        <v>2</v>
      </c>
      <c r="AAV71">
        <v>2</v>
      </c>
      <c r="AAW71">
        <v>2</v>
      </c>
      <c r="AAX71">
        <v>2</v>
      </c>
      <c r="AAY71">
        <v>2</v>
      </c>
      <c r="AAZ71">
        <v>2</v>
      </c>
      <c r="ABA71">
        <v>2</v>
      </c>
      <c r="ABB71">
        <v>2</v>
      </c>
      <c r="ABC71">
        <v>2</v>
      </c>
      <c r="ABD71">
        <v>2</v>
      </c>
      <c r="ABE71">
        <v>2</v>
      </c>
      <c r="ABG71" s="1137">
        <f t="shared" si="19"/>
        <v>0</v>
      </c>
      <c r="ABH71" s="1137">
        <f t="shared" si="19"/>
        <v>0</v>
      </c>
      <c r="ABI71" s="1137">
        <f t="shared" si="19"/>
        <v>11</v>
      </c>
      <c r="ABJ71" s="1137">
        <f t="shared" si="19"/>
        <v>30</v>
      </c>
      <c r="ABK71" s="1137">
        <f t="shared" si="19"/>
        <v>31</v>
      </c>
      <c r="ABL71" s="1137">
        <f t="shared" si="19"/>
        <v>30</v>
      </c>
      <c r="ABM71" s="1137">
        <f t="shared" si="19"/>
        <v>31</v>
      </c>
      <c r="ABN71" s="1137">
        <f t="shared" si="19"/>
        <v>31</v>
      </c>
      <c r="ABO71" s="1137">
        <f t="shared" si="19"/>
        <v>30</v>
      </c>
      <c r="ABP71" s="1137">
        <f t="shared" si="19"/>
        <v>31</v>
      </c>
      <c r="ABQ71" s="1137">
        <f t="shared" si="19"/>
        <v>30</v>
      </c>
      <c r="ABR71" s="1137">
        <f t="shared" si="19"/>
        <v>31</v>
      </c>
      <c r="ABS71" s="1137">
        <f t="shared" si="19"/>
        <v>31</v>
      </c>
      <c r="ABT71" s="1137">
        <f t="shared" si="19"/>
        <v>28</v>
      </c>
      <c r="ABU71" s="1137">
        <f t="shared" si="19"/>
        <v>31</v>
      </c>
      <c r="ABV71" s="1137">
        <f t="shared" si="19"/>
        <v>30</v>
      </c>
      <c r="ABW71" s="1137">
        <f t="shared" si="17"/>
        <v>31</v>
      </c>
      <c r="ABX71" s="1137">
        <f t="shared" si="14"/>
        <v>7</v>
      </c>
      <c r="ABY71" s="1137">
        <f t="shared" si="14"/>
        <v>26</v>
      </c>
      <c r="ABZ71" s="1137">
        <f t="shared" si="14"/>
        <v>31</v>
      </c>
      <c r="ACA71" s="1137">
        <f t="shared" si="14"/>
        <v>30</v>
      </c>
      <c r="ACB71" s="1137">
        <f t="shared" si="14"/>
        <v>31</v>
      </c>
      <c r="ACC71" s="1137">
        <f t="shared" si="14"/>
        <v>30</v>
      </c>
      <c r="ACD71" s="1137">
        <f t="shared" si="14"/>
        <v>31</v>
      </c>
      <c r="ACE71" s="1137" t="s">
        <v>188</v>
      </c>
      <c r="ACF71" s="1137">
        <f t="shared" si="20"/>
        <v>0</v>
      </c>
      <c r="ACG71" s="1137">
        <f t="shared" si="20"/>
        <v>0</v>
      </c>
      <c r="ACH71" s="1137">
        <f t="shared" si="20"/>
        <v>1</v>
      </c>
      <c r="ACI71" s="1137">
        <f t="shared" si="20"/>
        <v>1</v>
      </c>
      <c r="ACJ71" s="1137">
        <f t="shared" si="20"/>
        <v>1</v>
      </c>
      <c r="ACK71" s="1137">
        <f t="shared" si="20"/>
        <v>1</v>
      </c>
      <c r="ACL71" s="1137">
        <f t="shared" si="20"/>
        <v>1</v>
      </c>
      <c r="ACM71" s="1137">
        <f t="shared" si="20"/>
        <v>1</v>
      </c>
      <c r="ACN71" s="1137">
        <f t="shared" si="20"/>
        <v>1</v>
      </c>
      <c r="ACO71" s="1137">
        <f t="shared" si="20"/>
        <v>1</v>
      </c>
      <c r="ACP71" s="1137">
        <f t="shared" si="20"/>
        <v>1</v>
      </c>
      <c r="ACQ71" s="1137">
        <f t="shared" si="20"/>
        <v>1</v>
      </c>
      <c r="ACR71" s="1137">
        <f t="shared" si="20"/>
        <v>1</v>
      </c>
      <c r="ACS71" s="1137">
        <f t="shared" si="20"/>
        <v>1</v>
      </c>
      <c r="ACT71" s="1137">
        <f t="shared" si="20"/>
        <v>1</v>
      </c>
      <c r="ACU71" s="1137">
        <f t="shared" si="12"/>
        <v>1</v>
      </c>
      <c r="ACV71" s="1137">
        <f t="shared" si="12"/>
        <v>1</v>
      </c>
      <c r="ACW71" s="1137">
        <f t="shared" si="12"/>
        <v>0</v>
      </c>
      <c r="ACX71" s="1137">
        <f t="shared" si="12"/>
        <v>1</v>
      </c>
      <c r="ACY71" s="1137">
        <f t="shared" si="12"/>
        <v>1</v>
      </c>
      <c r="ACZ71" s="1137">
        <f t="shared" si="12"/>
        <v>1</v>
      </c>
      <c r="ADA71" s="1137">
        <f t="shared" si="12"/>
        <v>1</v>
      </c>
      <c r="ADB71" s="1137">
        <f t="shared" si="16"/>
        <v>1</v>
      </c>
      <c r="ADC71" s="1137">
        <f t="shared" si="16"/>
        <v>1</v>
      </c>
    </row>
    <row r="72" spans="1:783" x14ac:dyDescent="0.25">
      <c r="A72" t="s">
        <v>1869</v>
      </c>
      <c r="B72" t="s">
        <v>189</v>
      </c>
      <c r="C72">
        <v>0</v>
      </c>
      <c r="D72">
        <v>0</v>
      </c>
      <c r="E72">
        <v>0</v>
      </c>
      <c r="F72">
        <v>0</v>
      </c>
      <c r="G72">
        <v>0</v>
      </c>
      <c r="H72">
        <v>0</v>
      </c>
      <c r="I72">
        <v>0</v>
      </c>
      <c r="J72">
        <v>0</v>
      </c>
      <c r="K72">
        <v>0</v>
      </c>
      <c r="L72">
        <v>0</v>
      </c>
      <c r="M72">
        <v>0</v>
      </c>
      <c r="N72">
        <v>0</v>
      </c>
      <c r="O72">
        <v>0</v>
      </c>
      <c r="P72">
        <v>0</v>
      </c>
      <c r="Q72">
        <v>0</v>
      </c>
      <c r="R72">
        <v>0</v>
      </c>
      <c r="S72">
        <v>0</v>
      </c>
      <c r="T72">
        <v>0</v>
      </c>
      <c r="U72">
        <v>0</v>
      </c>
      <c r="V72">
        <v>0</v>
      </c>
      <c r="W72">
        <v>0</v>
      </c>
      <c r="X72">
        <v>0</v>
      </c>
      <c r="Y72">
        <v>0</v>
      </c>
      <c r="Z72">
        <v>0</v>
      </c>
      <c r="AA72">
        <v>0</v>
      </c>
      <c r="AB72">
        <v>0</v>
      </c>
      <c r="AC72">
        <v>0</v>
      </c>
      <c r="AD72">
        <v>0</v>
      </c>
      <c r="AE72">
        <v>0</v>
      </c>
      <c r="AF72">
        <v>0</v>
      </c>
      <c r="AG72">
        <v>0</v>
      </c>
      <c r="AH72">
        <v>0</v>
      </c>
      <c r="AI72">
        <v>0</v>
      </c>
      <c r="AJ72">
        <v>0</v>
      </c>
      <c r="AK72">
        <v>0</v>
      </c>
      <c r="AL72">
        <v>0</v>
      </c>
      <c r="AM72">
        <v>0</v>
      </c>
      <c r="AN72">
        <v>0</v>
      </c>
      <c r="AO72">
        <v>0</v>
      </c>
      <c r="AP72">
        <v>0</v>
      </c>
      <c r="AQ72">
        <v>0</v>
      </c>
      <c r="AR72">
        <v>0</v>
      </c>
      <c r="AS72">
        <v>0</v>
      </c>
      <c r="AT72">
        <v>0</v>
      </c>
      <c r="AU72">
        <v>0</v>
      </c>
      <c r="AV72">
        <v>0</v>
      </c>
      <c r="AW72">
        <v>0</v>
      </c>
      <c r="AX72">
        <v>0</v>
      </c>
      <c r="AY72">
        <v>0</v>
      </c>
      <c r="AZ72">
        <v>0</v>
      </c>
      <c r="BA72">
        <v>0</v>
      </c>
      <c r="BB72">
        <v>0</v>
      </c>
      <c r="BC72">
        <v>0</v>
      </c>
      <c r="BD72">
        <v>0</v>
      </c>
      <c r="BE72">
        <v>0</v>
      </c>
      <c r="BF72">
        <v>0</v>
      </c>
      <c r="BG72">
        <v>0</v>
      </c>
      <c r="BH72">
        <v>0</v>
      </c>
      <c r="BI72">
        <v>0</v>
      </c>
      <c r="BJ72">
        <v>0</v>
      </c>
      <c r="BK72">
        <v>0</v>
      </c>
      <c r="BL72">
        <v>0</v>
      </c>
      <c r="BM72">
        <v>0</v>
      </c>
      <c r="BN72">
        <v>0</v>
      </c>
      <c r="BO72">
        <v>0</v>
      </c>
      <c r="BP72">
        <v>0</v>
      </c>
      <c r="BQ72">
        <v>0</v>
      </c>
      <c r="BR72">
        <v>0</v>
      </c>
      <c r="BS72">
        <v>0</v>
      </c>
      <c r="BT72">
        <v>0</v>
      </c>
      <c r="BU72">
        <v>0</v>
      </c>
      <c r="BV72">
        <v>0</v>
      </c>
      <c r="BW72">
        <v>1</v>
      </c>
      <c r="BX72">
        <v>1</v>
      </c>
      <c r="BY72">
        <v>1</v>
      </c>
      <c r="BZ72">
        <v>1</v>
      </c>
      <c r="CA72">
        <v>1</v>
      </c>
      <c r="CB72">
        <v>2</v>
      </c>
      <c r="CC72">
        <v>2</v>
      </c>
      <c r="CD72">
        <v>2</v>
      </c>
      <c r="CE72">
        <v>2</v>
      </c>
      <c r="CF72">
        <v>2</v>
      </c>
      <c r="CG72">
        <v>2</v>
      </c>
      <c r="CH72">
        <v>2</v>
      </c>
      <c r="CI72">
        <v>2</v>
      </c>
      <c r="CJ72">
        <v>2</v>
      </c>
      <c r="CK72">
        <v>2</v>
      </c>
      <c r="CL72">
        <v>2</v>
      </c>
      <c r="CM72">
        <v>2</v>
      </c>
      <c r="CN72">
        <v>2</v>
      </c>
      <c r="CO72">
        <v>2</v>
      </c>
      <c r="CP72">
        <v>2</v>
      </c>
      <c r="CQ72">
        <v>2</v>
      </c>
      <c r="CR72">
        <v>2</v>
      </c>
      <c r="CS72">
        <v>2</v>
      </c>
      <c r="CT72">
        <v>2</v>
      </c>
      <c r="CU72">
        <v>2</v>
      </c>
      <c r="CV72">
        <v>2</v>
      </c>
      <c r="CW72">
        <v>2</v>
      </c>
      <c r="CX72">
        <v>2</v>
      </c>
      <c r="CY72">
        <v>2</v>
      </c>
      <c r="CZ72">
        <v>2</v>
      </c>
      <c r="DA72">
        <v>2</v>
      </c>
      <c r="DB72">
        <v>2</v>
      </c>
      <c r="DC72">
        <v>2</v>
      </c>
      <c r="DD72">
        <v>2</v>
      </c>
      <c r="DE72">
        <v>2</v>
      </c>
      <c r="DF72">
        <v>2</v>
      </c>
      <c r="DG72">
        <v>2</v>
      </c>
      <c r="DH72">
        <v>2</v>
      </c>
      <c r="DI72">
        <v>2</v>
      </c>
      <c r="DJ72">
        <v>2</v>
      </c>
      <c r="DK72">
        <v>1</v>
      </c>
      <c r="DL72">
        <v>1</v>
      </c>
      <c r="DM72">
        <v>1</v>
      </c>
      <c r="DN72">
        <v>1</v>
      </c>
      <c r="DO72">
        <v>1</v>
      </c>
      <c r="DP72">
        <v>1</v>
      </c>
      <c r="DQ72">
        <v>1</v>
      </c>
      <c r="DR72">
        <v>1</v>
      </c>
      <c r="DS72">
        <v>1</v>
      </c>
      <c r="DT72">
        <v>1</v>
      </c>
      <c r="DU72">
        <v>1</v>
      </c>
      <c r="DV72">
        <v>1</v>
      </c>
      <c r="DW72">
        <v>1</v>
      </c>
      <c r="DX72">
        <v>1</v>
      </c>
      <c r="DY72">
        <v>1</v>
      </c>
      <c r="DZ72">
        <v>1</v>
      </c>
      <c r="EA72">
        <v>1</v>
      </c>
      <c r="EB72">
        <v>1</v>
      </c>
      <c r="EC72">
        <v>1</v>
      </c>
      <c r="ED72">
        <v>1</v>
      </c>
      <c r="EE72">
        <v>1</v>
      </c>
      <c r="EF72">
        <v>1</v>
      </c>
      <c r="EG72">
        <v>1</v>
      </c>
      <c r="EH72">
        <v>1</v>
      </c>
      <c r="EI72">
        <v>1</v>
      </c>
      <c r="EJ72">
        <v>1</v>
      </c>
      <c r="EK72">
        <v>1</v>
      </c>
      <c r="EL72">
        <v>1</v>
      </c>
      <c r="EM72">
        <v>1</v>
      </c>
      <c r="EN72">
        <v>1</v>
      </c>
      <c r="EO72">
        <v>1</v>
      </c>
      <c r="EP72">
        <v>1</v>
      </c>
      <c r="EQ72">
        <v>1</v>
      </c>
      <c r="ER72">
        <v>1</v>
      </c>
      <c r="ES72">
        <v>1</v>
      </c>
      <c r="ET72">
        <v>1</v>
      </c>
      <c r="EU72">
        <v>1</v>
      </c>
      <c r="EV72">
        <v>1</v>
      </c>
      <c r="EW72">
        <v>1</v>
      </c>
      <c r="EX72">
        <v>1</v>
      </c>
      <c r="EY72">
        <v>1</v>
      </c>
      <c r="EZ72">
        <v>1</v>
      </c>
      <c r="FA72">
        <v>1</v>
      </c>
      <c r="FB72">
        <v>1</v>
      </c>
      <c r="FC72">
        <v>1</v>
      </c>
      <c r="FD72">
        <v>1</v>
      </c>
      <c r="FE72">
        <v>1</v>
      </c>
      <c r="FF72">
        <v>1</v>
      </c>
      <c r="FG72">
        <v>1</v>
      </c>
      <c r="FH72">
        <v>1</v>
      </c>
      <c r="FI72">
        <v>1</v>
      </c>
      <c r="FJ72">
        <v>1</v>
      </c>
      <c r="FK72">
        <v>1</v>
      </c>
      <c r="FL72">
        <v>1</v>
      </c>
      <c r="FM72">
        <v>1</v>
      </c>
      <c r="FN72">
        <v>1</v>
      </c>
      <c r="FO72">
        <v>1</v>
      </c>
      <c r="FP72">
        <v>1</v>
      </c>
      <c r="FQ72">
        <v>1</v>
      </c>
      <c r="FR72">
        <v>1</v>
      </c>
      <c r="FS72">
        <v>1</v>
      </c>
      <c r="FT72">
        <v>1</v>
      </c>
      <c r="FU72">
        <v>1</v>
      </c>
      <c r="FV72">
        <v>1</v>
      </c>
      <c r="FW72">
        <v>1</v>
      </c>
      <c r="FX72">
        <v>1</v>
      </c>
      <c r="FY72">
        <v>1</v>
      </c>
      <c r="FZ72">
        <v>1</v>
      </c>
      <c r="GA72">
        <v>1</v>
      </c>
      <c r="GB72">
        <v>1</v>
      </c>
      <c r="GC72">
        <v>1</v>
      </c>
      <c r="GD72">
        <v>1</v>
      </c>
      <c r="GE72">
        <v>1</v>
      </c>
      <c r="GF72">
        <v>1</v>
      </c>
      <c r="GG72">
        <v>1</v>
      </c>
      <c r="GH72">
        <v>1</v>
      </c>
      <c r="GI72">
        <v>1</v>
      </c>
      <c r="GJ72">
        <v>1</v>
      </c>
      <c r="GK72">
        <v>1</v>
      </c>
      <c r="GL72">
        <v>1</v>
      </c>
      <c r="GM72">
        <v>1</v>
      </c>
      <c r="GN72">
        <v>1</v>
      </c>
      <c r="GO72">
        <v>1</v>
      </c>
      <c r="GP72">
        <v>1</v>
      </c>
      <c r="GQ72">
        <v>1</v>
      </c>
      <c r="GR72">
        <v>1</v>
      </c>
      <c r="GS72">
        <v>1</v>
      </c>
      <c r="GT72">
        <v>1</v>
      </c>
      <c r="GU72">
        <v>1</v>
      </c>
      <c r="GV72">
        <v>1</v>
      </c>
      <c r="GW72">
        <v>0</v>
      </c>
      <c r="GX72">
        <v>0</v>
      </c>
      <c r="GY72">
        <v>0</v>
      </c>
      <c r="GZ72">
        <v>0</v>
      </c>
      <c r="HA72">
        <v>0</v>
      </c>
      <c r="HB72">
        <v>0</v>
      </c>
      <c r="HC72">
        <v>0</v>
      </c>
      <c r="HD72">
        <v>0</v>
      </c>
      <c r="HE72">
        <v>0</v>
      </c>
      <c r="HF72">
        <v>0</v>
      </c>
      <c r="HG72">
        <v>0</v>
      </c>
      <c r="HH72">
        <v>0</v>
      </c>
      <c r="HI72">
        <v>0</v>
      </c>
      <c r="HJ72">
        <v>0</v>
      </c>
      <c r="HK72">
        <v>0</v>
      </c>
      <c r="HL72">
        <v>0</v>
      </c>
      <c r="HM72">
        <v>0</v>
      </c>
      <c r="HN72">
        <v>0</v>
      </c>
      <c r="HO72">
        <v>0</v>
      </c>
      <c r="HP72">
        <v>0</v>
      </c>
      <c r="HQ72">
        <v>0</v>
      </c>
      <c r="HR72">
        <v>0</v>
      </c>
      <c r="HS72">
        <v>0</v>
      </c>
      <c r="HT72">
        <v>0</v>
      </c>
      <c r="HU72">
        <v>0</v>
      </c>
      <c r="HV72">
        <v>0</v>
      </c>
      <c r="HW72">
        <v>0</v>
      </c>
      <c r="HX72">
        <v>0</v>
      </c>
      <c r="HY72">
        <v>0</v>
      </c>
      <c r="HZ72">
        <v>0</v>
      </c>
      <c r="IA72">
        <v>0</v>
      </c>
      <c r="IB72">
        <v>0</v>
      </c>
      <c r="IC72">
        <v>0</v>
      </c>
      <c r="ID72">
        <v>0</v>
      </c>
      <c r="IE72">
        <v>0</v>
      </c>
      <c r="IF72">
        <v>0</v>
      </c>
      <c r="IG72">
        <v>0</v>
      </c>
      <c r="IH72">
        <v>0</v>
      </c>
      <c r="II72">
        <v>0</v>
      </c>
      <c r="IJ72">
        <v>0</v>
      </c>
      <c r="IK72">
        <v>0</v>
      </c>
      <c r="IL72">
        <v>0</v>
      </c>
      <c r="IM72">
        <v>0</v>
      </c>
      <c r="IN72">
        <v>0</v>
      </c>
      <c r="IO72">
        <v>0</v>
      </c>
      <c r="IP72">
        <v>0</v>
      </c>
      <c r="IQ72">
        <v>0</v>
      </c>
      <c r="IR72">
        <v>0</v>
      </c>
      <c r="IS72">
        <v>0</v>
      </c>
      <c r="IT72">
        <v>0</v>
      </c>
      <c r="IU72">
        <v>0</v>
      </c>
      <c r="IV72">
        <v>0</v>
      </c>
      <c r="IW72">
        <v>0</v>
      </c>
      <c r="IX72">
        <v>0</v>
      </c>
      <c r="IY72">
        <v>0</v>
      </c>
      <c r="IZ72">
        <v>0</v>
      </c>
      <c r="JA72">
        <v>0</v>
      </c>
      <c r="JB72">
        <v>0</v>
      </c>
      <c r="JC72">
        <v>0</v>
      </c>
      <c r="JD72">
        <v>0</v>
      </c>
      <c r="JE72">
        <v>0</v>
      </c>
      <c r="JF72">
        <v>0</v>
      </c>
      <c r="JG72">
        <v>0</v>
      </c>
      <c r="JH72">
        <v>0</v>
      </c>
      <c r="JI72">
        <v>0</v>
      </c>
      <c r="JJ72">
        <v>0</v>
      </c>
      <c r="JK72">
        <v>0</v>
      </c>
      <c r="JL72">
        <v>0</v>
      </c>
      <c r="JM72">
        <v>0</v>
      </c>
      <c r="JN72">
        <v>0</v>
      </c>
      <c r="JO72">
        <v>0</v>
      </c>
      <c r="JP72">
        <v>0</v>
      </c>
      <c r="JQ72">
        <v>0</v>
      </c>
      <c r="JR72">
        <v>0</v>
      </c>
      <c r="JS72">
        <v>0</v>
      </c>
      <c r="JT72">
        <v>0</v>
      </c>
      <c r="JU72">
        <v>0</v>
      </c>
      <c r="JV72">
        <v>0</v>
      </c>
      <c r="JW72">
        <v>0</v>
      </c>
      <c r="JX72">
        <v>0</v>
      </c>
      <c r="JY72">
        <v>0</v>
      </c>
      <c r="JZ72">
        <v>0</v>
      </c>
      <c r="KA72">
        <v>0</v>
      </c>
      <c r="KB72">
        <v>0</v>
      </c>
      <c r="KC72">
        <v>0</v>
      </c>
      <c r="KD72">
        <v>0</v>
      </c>
      <c r="KE72">
        <v>0</v>
      </c>
      <c r="KF72">
        <v>0</v>
      </c>
      <c r="KG72">
        <v>0</v>
      </c>
      <c r="KH72">
        <v>0</v>
      </c>
      <c r="KI72">
        <v>0</v>
      </c>
      <c r="KJ72">
        <v>0</v>
      </c>
      <c r="KK72">
        <v>0</v>
      </c>
      <c r="KL72">
        <v>0</v>
      </c>
      <c r="KM72">
        <v>0</v>
      </c>
      <c r="KN72">
        <v>0</v>
      </c>
      <c r="KO72">
        <v>0</v>
      </c>
      <c r="KP72">
        <v>0</v>
      </c>
      <c r="KQ72">
        <v>0</v>
      </c>
      <c r="KR72">
        <v>0</v>
      </c>
      <c r="KS72">
        <v>0</v>
      </c>
      <c r="KT72">
        <v>0</v>
      </c>
      <c r="KU72">
        <v>0</v>
      </c>
      <c r="KV72">
        <v>0</v>
      </c>
      <c r="KW72">
        <v>0</v>
      </c>
      <c r="KX72">
        <v>0</v>
      </c>
      <c r="KY72">
        <v>0</v>
      </c>
      <c r="KZ72">
        <v>0</v>
      </c>
      <c r="LA72">
        <v>0</v>
      </c>
      <c r="LB72">
        <v>0</v>
      </c>
      <c r="LC72">
        <v>0</v>
      </c>
      <c r="LD72">
        <v>0</v>
      </c>
      <c r="LE72">
        <v>0</v>
      </c>
      <c r="LF72">
        <v>0</v>
      </c>
      <c r="LG72">
        <v>0</v>
      </c>
      <c r="LH72">
        <v>0</v>
      </c>
      <c r="LI72">
        <v>0</v>
      </c>
      <c r="LJ72">
        <v>0</v>
      </c>
      <c r="LK72">
        <v>0</v>
      </c>
      <c r="LL72">
        <v>0</v>
      </c>
      <c r="LM72">
        <v>0</v>
      </c>
      <c r="LN72">
        <v>0</v>
      </c>
      <c r="LO72">
        <v>0</v>
      </c>
      <c r="LP72">
        <v>0</v>
      </c>
      <c r="LQ72">
        <v>0</v>
      </c>
      <c r="LR72">
        <v>0</v>
      </c>
      <c r="LS72">
        <v>0</v>
      </c>
      <c r="LT72">
        <v>0</v>
      </c>
      <c r="LU72">
        <v>0</v>
      </c>
      <c r="LV72">
        <v>0</v>
      </c>
      <c r="LW72">
        <v>0</v>
      </c>
      <c r="LX72">
        <v>0</v>
      </c>
      <c r="LY72">
        <v>0</v>
      </c>
      <c r="LZ72">
        <v>0</v>
      </c>
      <c r="MA72">
        <v>0</v>
      </c>
      <c r="MB72">
        <v>0</v>
      </c>
      <c r="MC72">
        <v>0</v>
      </c>
      <c r="MD72">
        <v>0</v>
      </c>
      <c r="ME72">
        <v>0</v>
      </c>
      <c r="MF72">
        <v>0</v>
      </c>
      <c r="MG72">
        <v>0</v>
      </c>
      <c r="MH72">
        <v>0</v>
      </c>
      <c r="MI72">
        <v>0</v>
      </c>
      <c r="MJ72">
        <v>0</v>
      </c>
      <c r="MK72">
        <v>0</v>
      </c>
      <c r="ML72">
        <v>0</v>
      </c>
      <c r="MM72">
        <v>0</v>
      </c>
      <c r="MN72">
        <v>0</v>
      </c>
      <c r="MO72">
        <v>0</v>
      </c>
      <c r="MP72">
        <v>0</v>
      </c>
      <c r="MQ72">
        <v>0</v>
      </c>
      <c r="MR72">
        <v>0</v>
      </c>
      <c r="MS72">
        <v>0</v>
      </c>
      <c r="MT72">
        <v>0</v>
      </c>
      <c r="MU72">
        <v>0</v>
      </c>
      <c r="MV72">
        <v>0</v>
      </c>
      <c r="MW72">
        <v>0</v>
      </c>
      <c r="MX72">
        <v>0</v>
      </c>
      <c r="MY72">
        <v>0</v>
      </c>
      <c r="MZ72">
        <v>0</v>
      </c>
      <c r="NA72">
        <v>0</v>
      </c>
      <c r="NB72">
        <v>0</v>
      </c>
      <c r="NC72">
        <v>0</v>
      </c>
      <c r="ND72">
        <v>0</v>
      </c>
      <c r="NE72">
        <v>0</v>
      </c>
      <c r="NF72">
        <v>0</v>
      </c>
      <c r="NG72">
        <v>0</v>
      </c>
      <c r="NH72">
        <v>0</v>
      </c>
      <c r="NI72">
        <v>0</v>
      </c>
      <c r="NJ72">
        <v>0</v>
      </c>
      <c r="NK72">
        <v>0</v>
      </c>
      <c r="NL72">
        <v>0</v>
      </c>
      <c r="NM72">
        <v>0</v>
      </c>
      <c r="NN72">
        <v>0</v>
      </c>
      <c r="NO72">
        <v>0</v>
      </c>
      <c r="NP72">
        <v>0</v>
      </c>
      <c r="NQ72">
        <v>0</v>
      </c>
      <c r="NR72">
        <v>0</v>
      </c>
      <c r="NS72">
        <v>0</v>
      </c>
      <c r="NT72">
        <v>0</v>
      </c>
      <c r="NU72">
        <v>0</v>
      </c>
      <c r="NV72">
        <v>0</v>
      </c>
      <c r="NW72">
        <v>0</v>
      </c>
      <c r="NX72">
        <v>0</v>
      </c>
      <c r="NY72">
        <v>0</v>
      </c>
      <c r="NZ72">
        <v>0</v>
      </c>
      <c r="OA72">
        <v>0</v>
      </c>
      <c r="OB72">
        <v>0</v>
      </c>
      <c r="OC72">
        <v>0</v>
      </c>
      <c r="OD72">
        <v>0</v>
      </c>
      <c r="OE72">
        <v>0</v>
      </c>
      <c r="OF72">
        <v>0</v>
      </c>
      <c r="OG72">
        <v>0</v>
      </c>
      <c r="OH72">
        <v>0</v>
      </c>
      <c r="OI72">
        <v>0</v>
      </c>
      <c r="OJ72">
        <v>0</v>
      </c>
      <c r="OK72">
        <v>0</v>
      </c>
      <c r="OL72">
        <v>0</v>
      </c>
      <c r="OM72">
        <v>0</v>
      </c>
      <c r="ON72">
        <v>0</v>
      </c>
      <c r="OO72">
        <v>0</v>
      </c>
      <c r="OP72">
        <v>0</v>
      </c>
      <c r="OQ72">
        <v>0</v>
      </c>
      <c r="OR72">
        <v>0</v>
      </c>
      <c r="OS72">
        <v>0</v>
      </c>
      <c r="OT72">
        <v>0</v>
      </c>
      <c r="OU72">
        <v>0</v>
      </c>
      <c r="OV72">
        <v>0</v>
      </c>
      <c r="OW72">
        <v>0</v>
      </c>
      <c r="OX72">
        <v>0</v>
      </c>
      <c r="OY72">
        <v>0</v>
      </c>
      <c r="OZ72">
        <v>0</v>
      </c>
      <c r="PA72">
        <v>0</v>
      </c>
      <c r="PB72">
        <v>0</v>
      </c>
      <c r="PC72">
        <v>0</v>
      </c>
      <c r="PD72">
        <v>0</v>
      </c>
      <c r="PE72">
        <v>0</v>
      </c>
      <c r="PF72">
        <v>0</v>
      </c>
      <c r="PG72">
        <v>0</v>
      </c>
      <c r="PH72">
        <v>0</v>
      </c>
      <c r="PI72">
        <v>0</v>
      </c>
      <c r="PJ72">
        <v>0</v>
      </c>
      <c r="PK72">
        <v>0</v>
      </c>
      <c r="PL72">
        <v>0</v>
      </c>
      <c r="PM72">
        <v>0</v>
      </c>
      <c r="PN72">
        <v>0</v>
      </c>
      <c r="PO72">
        <v>0</v>
      </c>
      <c r="PP72">
        <v>0</v>
      </c>
      <c r="PQ72">
        <v>0</v>
      </c>
      <c r="PR72">
        <v>0</v>
      </c>
      <c r="PS72">
        <v>0</v>
      </c>
      <c r="PT72">
        <v>0</v>
      </c>
      <c r="PU72">
        <v>0</v>
      </c>
      <c r="PV72">
        <v>0</v>
      </c>
      <c r="PW72">
        <v>0</v>
      </c>
      <c r="PX72">
        <v>0</v>
      </c>
      <c r="PY72">
        <v>0</v>
      </c>
      <c r="PZ72">
        <v>0</v>
      </c>
      <c r="QA72">
        <v>0</v>
      </c>
      <c r="QB72">
        <v>0</v>
      </c>
      <c r="QC72">
        <v>0</v>
      </c>
      <c r="QD72">
        <v>0</v>
      </c>
      <c r="QE72">
        <v>0</v>
      </c>
      <c r="QF72">
        <v>0</v>
      </c>
      <c r="QG72">
        <v>0</v>
      </c>
      <c r="QH72">
        <v>0</v>
      </c>
      <c r="QI72">
        <v>0</v>
      </c>
      <c r="QJ72">
        <v>0</v>
      </c>
      <c r="QK72">
        <v>0</v>
      </c>
      <c r="QL72">
        <v>0</v>
      </c>
      <c r="QM72">
        <v>0</v>
      </c>
      <c r="QN72">
        <v>0</v>
      </c>
      <c r="QO72">
        <v>0</v>
      </c>
      <c r="QP72">
        <v>0</v>
      </c>
      <c r="QQ72">
        <v>0</v>
      </c>
      <c r="QR72">
        <v>0</v>
      </c>
      <c r="QS72">
        <v>0</v>
      </c>
      <c r="QT72">
        <v>0</v>
      </c>
      <c r="QU72">
        <v>0</v>
      </c>
      <c r="QV72">
        <v>0</v>
      </c>
      <c r="QW72">
        <v>0</v>
      </c>
      <c r="QX72">
        <v>0</v>
      </c>
      <c r="QY72">
        <v>0</v>
      </c>
      <c r="QZ72">
        <v>0</v>
      </c>
      <c r="RA72">
        <v>0</v>
      </c>
      <c r="RB72">
        <v>0</v>
      </c>
      <c r="RC72">
        <v>0</v>
      </c>
      <c r="RD72">
        <v>0</v>
      </c>
      <c r="RE72">
        <v>0</v>
      </c>
      <c r="RF72">
        <v>0</v>
      </c>
      <c r="RG72">
        <v>0</v>
      </c>
      <c r="RH72">
        <v>0</v>
      </c>
      <c r="RI72">
        <v>0</v>
      </c>
      <c r="RJ72">
        <v>0</v>
      </c>
      <c r="RK72">
        <v>0</v>
      </c>
      <c r="RL72">
        <v>0</v>
      </c>
      <c r="RM72">
        <v>0</v>
      </c>
      <c r="RN72">
        <v>0</v>
      </c>
      <c r="RO72">
        <v>0</v>
      </c>
      <c r="RP72">
        <v>0</v>
      </c>
      <c r="RQ72">
        <v>0</v>
      </c>
      <c r="RR72">
        <v>0</v>
      </c>
      <c r="RS72">
        <v>0</v>
      </c>
      <c r="RT72">
        <v>0</v>
      </c>
      <c r="RU72">
        <v>0</v>
      </c>
      <c r="RV72">
        <v>0</v>
      </c>
      <c r="RW72">
        <v>0</v>
      </c>
      <c r="RX72">
        <v>0</v>
      </c>
      <c r="RY72">
        <v>0</v>
      </c>
      <c r="RZ72">
        <v>0</v>
      </c>
      <c r="SA72">
        <v>0</v>
      </c>
      <c r="SB72">
        <v>0</v>
      </c>
      <c r="SC72">
        <v>0</v>
      </c>
      <c r="SD72">
        <v>0</v>
      </c>
      <c r="SE72">
        <v>0</v>
      </c>
      <c r="SF72">
        <v>0</v>
      </c>
      <c r="SG72">
        <v>0</v>
      </c>
      <c r="SH72">
        <v>0</v>
      </c>
      <c r="SI72">
        <v>0</v>
      </c>
      <c r="SJ72">
        <v>0</v>
      </c>
      <c r="SK72">
        <v>0</v>
      </c>
      <c r="SL72">
        <v>0</v>
      </c>
      <c r="SM72">
        <v>0</v>
      </c>
      <c r="SN72">
        <v>0</v>
      </c>
      <c r="SO72">
        <v>0</v>
      </c>
      <c r="SP72">
        <v>0</v>
      </c>
      <c r="SQ72">
        <v>0</v>
      </c>
      <c r="SR72">
        <v>0</v>
      </c>
      <c r="SS72">
        <v>0</v>
      </c>
      <c r="ST72">
        <v>0</v>
      </c>
      <c r="SU72">
        <v>0</v>
      </c>
      <c r="SV72">
        <v>0</v>
      </c>
      <c r="SW72">
        <v>0</v>
      </c>
      <c r="SX72">
        <v>0</v>
      </c>
      <c r="SY72">
        <v>0</v>
      </c>
      <c r="SZ72">
        <v>0</v>
      </c>
      <c r="TA72">
        <v>0</v>
      </c>
      <c r="TB72">
        <v>0</v>
      </c>
      <c r="TC72">
        <v>0</v>
      </c>
      <c r="TD72">
        <v>0</v>
      </c>
      <c r="TE72">
        <v>0</v>
      </c>
      <c r="TF72">
        <v>0</v>
      </c>
      <c r="TG72">
        <v>0</v>
      </c>
      <c r="TH72">
        <v>0</v>
      </c>
      <c r="TI72">
        <v>0</v>
      </c>
      <c r="TJ72">
        <v>0</v>
      </c>
      <c r="TK72">
        <v>0</v>
      </c>
      <c r="TL72">
        <v>0</v>
      </c>
      <c r="TM72">
        <v>0</v>
      </c>
      <c r="TN72">
        <v>0</v>
      </c>
      <c r="TO72">
        <v>0</v>
      </c>
      <c r="TP72">
        <v>0</v>
      </c>
      <c r="TQ72">
        <v>0</v>
      </c>
      <c r="TR72">
        <v>0</v>
      </c>
      <c r="TS72">
        <v>0</v>
      </c>
      <c r="TT72">
        <v>0</v>
      </c>
      <c r="TU72">
        <v>0</v>
      </c>
      <c r="TV72">
        <v>0</v>
      </c>
      <c r="TW72">
        <v>0</v>
      </c>
      <c r="TX72">
        <v>0</v>
      </c>
      <c r="TY72">
        <v>0</v>
      </c>
      <c r="TZ72">
        <v>0</v>
      </c>
      <c r="UA72">
        <v>0</v>
      </c>
      <c r="UB72">
        <v>0</v>
      </c>
      <c r="UC72">
        <v>0</v>
      </c>
      <c r="UD72">
        <v>0</v>
      </c>
      <c r="UE72">
        <v>0</v>
      </c>
      <c r="UF72">
        <v>0</v>
      </c>
      <c r="UG72">
        <v>0</v>
      </c>
      <c r="UH72">
        <v>0</v>
      </c>
      <c r="UI72">
        <v>0</v>
      </c>
      <c r="UJ72">
        <v>0</v>
      </c>
      <c r="UK72">
        <v>0</v>
      </c>
      <c r="UL72">
        <v>0</v>
      </c>
      <c r="UM72">
        <v>0</v>
      </c>
      <c r="UN72">
        <v>0</v>
      </c>
      <c r="UO72">
        <v>0</v>
      </c>
      <c r="UP72">
        <v>0</v>
      </c>
      <c r="UQ72">
        <v>0</v>
      </c>
      <c r="UR72">
        <v>0</v>
      </c>
      <c r="US72">
        <v>0</v>
      </c>
      <c r="UT72">
        <v>0</v>
      </c>
      <c r="UU72">
        <v>0</v>
      </c>
      <c r="UV72">
        <v>0</v>
      </c>
      <c r="UW72">
        <v>0</v>
      </c>
      <c r="UX72">
        <v>0</v>
      </c>
      <c r="UY72">
        <v>0</v>
      </c>
      <c r="UZ72">
        <v>0</v>
      </c>
      <c r="VA72">
        <v>0</v>
      </c>
      <c r="VB72">
        <v>0</v>
      </c>
      <c r="VC72">
        <v>0</v>
      </c>
      <c r="VD72">
        <v>0</v>
      </c>
      <c r="VE72">
        <v>0</v>
      </c>
      <c r="VF72">
        <v>0</v>
      </c>
      <c r="VG72">
        <v>0</v>
      </c>
      <c r="VH72">
        <v>0</v>
      </c>
      <c r="VI72">
        <v>0</v>
      </c>
      <c r="VJ72">
        <v>0</v>
      </c>
      <c r="VK72">
        <v>0</v>
      </c>
      <c r="VL72">
        <v>0</v>
      </c>
      <c r="VM72">
        <v>0</v>
      </c>
      <c r="VN72">
        <v>0</v>
      </c>
      <c r="VO72">
        <v>0</v>
      </c>
      <c r="VP72">
        <v>0</v>
      </c>
      <c r="VQ72">
        <v>0</v>
      </c>
      <c r="VR72">
        <v>0</v>
      </c>
      <c r="VS72">
        <v>0</v>
      </c>
      <c r="VT72">
        <v>0</v>
      </c>
      <c r="VU72">
        <v>0</v>
      </c>
      <c r="VV72">
        <v>0</v>
      </c>
      <c r="VW72">
        <v>0</v>
      </c>
      <c r="VX72">
        <v>0</v>
      </c>
      <c r="VY72">
        <v>0</v>
      </c>
      <c r="VZ72">
        <v>0</v>
      </c>
      <c r="WA72">
        <v>0</v>
      </c>
      <c r="WB72">
        <v>0</v>
      </c>
      <c r="WC72">
        <v>0</v>
      </c>
      <c r="WD72">
        <v>0</v>
      </c>
      <c r="WE72">
        <v>0</v>
      </c>
      <c r="WF72">
        <v>0</v>
      </c>
      <c r="WG72">
        <v>0</v>
      </c>
      <c r="WH72">
        <v>0</v>
      </c>
      <c r="WI72">
        <v>0</v>
      </c>
      <c r="WJ72">
        <v>0</v>
      </c>
      <c r="WK72">
        <v>0</v>
      </c>
      <c r="WL72">
        <v>0</v>
      </c>
      <c r="WM72">
        <v>0</v>
      </c>
      <c r="WN72">
        <v>0</v>
      </c>
      <c r="WO72">
        <v>0</v>
      </c>
      <c r="WP72">
        <v>0</v>
      </c>
      <c r="WQ72">
        <v>0</v>
      </c>
      <c r="WR72">
        <v>0</v>
      </c>
      <c r="WS72">
        <v>0</v>
      </c>
      <c r="WT72">
        <v>0</v>
      </c>
      <c r="WU72">
        <v>0</v>
      </c>
      <c r="WV72">
        <v>0</v>
      </c>
      <c r="WW72">
        <v>0</v>
      </c>
      <c r="WX72">
        <v>0</v>
      </c>
      <c r="WY72">
        <v>0</v>
      </c>
      <c r="WZ72">
        <v>0</v>
      </c>
      <c r="XA72">
        <v>0</v>
      </c>
      <c r="XB72">
        <v>0</v>
      </c>
      <c r="XC72">
        <v>0</v>
      </c>
      <c r="XD72">
        <v>0</v>
      </c>
      <c r="XE72">
        <v>0</v>
      </c>
      <c r="XF72">
        <v>0</v>
      </c>
      <c r="XG72">
        <v>0</v>
      </c>
      <c r="XH72">
        <v>0</v>
      </c>
      <c r="XI72">
        <v>0</v>
      </c>
      <c r="XJ72">
        <v>0</v>
      </c>
      <c r="XK72">
        <v>0</v>
      </c>
      <c r="XL72">
        <v>0</v>
      </c>
      <c r="XM72">
        <v>0</v>
      </c>
      <c r="XN72">
        <v>0</v>
      </c>
      <c r="XO72">
        <v>0</v>
      </c>
      <c r="XP72">
        <v>0</v>
      </c>
      <c r="XQ72">
        <v>0</v>
      </c>
      <c r="XR72">
        <v>0</v>
      </c>
      <c r="XS72">
        <v>0</v>
      </c>
      <c r="XT72">
        <v>0</v>
      </c>
      <c r="XU72">
        <v>0</v>
      </c>
      <c r="XV72">
        <v>0</v>
      </c>
      <c r="XW72">
        <v>0</v>
      </c>
      <c r="XX72">
        <v>0</v>
      </c>
      <c r="XY72">
        <v>0</v>
      </c>
      <c r="XZ72">
        <v>0</v>
      </c>
      <c r="YA72">
        <v>0</v>
      </c>
      <c r="YB72">
        <v>0</v>
      </c>
      <c r="YC72">
        <v>0</v>
      </c>
      <c r="YD72">
        <v>0</v>
      </c>
      <c r="YE72">
        <v>0</v>
      </c>
      <c r="YF72">
        <v>0</v>
      </c>
      <c r="YG72">
        <v>0</v>
      </c>
      <c r="YH72">
        <v>0</v>
      </c>
      <c r="YI72">
        <v>0</v>
      </c>
      <c r="YJ72">
        <v>0</v>
      </c>
      <c r="YK72">
        <v>0</v>
      </c>
      <c r="YL72">
        <v>0</v>
      </c>
      <c r="YM72">
        <v>0</v>
      </c>
      <c r="YN72">
        <v>0</v>
      </c>
      <c r="YO72">
        <v>0</v>
      </c>
      <c r="YP72">
        <v>0</v>
      </c>
      <c r="YQ72">
        <v>1</v>
      </c>
      <c r="YR72">
        <v>1</v>
      </c>
      <c r="YS72">
        <v>1</v>
      </c>
      <c r="YT72">
        <v>1</v>
      </c>
      <c r="YU72">
        <v>1</v>
      </c>
      <c r="YV72">
        <v>1</v>
      </c>
      <c r="YW72">
        <v>1</v>
      </c>
      <c r="YX72">
        <v>1</v>
      </c>
      <c r="YY72">
        <v>1</v>
      </c>
      <c r="YZ72">
        <v>1</v>
      </c>
      <c r="ZA72">
        <v>1</v>
      </c>
      <c r="ZB72">
        <v>1</v>
      </c>
      <c r="ZC72">
        <v>1</v>
      </c>
      <c r="ZD72">
        <v>1</v>
      </c>
      <c r="ZE72">
        <v>1</v>
      </c>
      <c r="ZF72">
        <v>1</v>
      </c>
      <c r="ZG72">
        <v>1</v>
      </c>
      <c r="ZH72">
        <v>1</v>
      </c>
      <c r="ZI72">
        <v>1</v>
      </c>
      <c r="ZJ72">
        <v>1</v>
      </c>
      <c r="ZK72">
        <v>1</v>
      </c>
      <c r="ZL72">
        <v>1</v>
      </c>
      <c r="ZM72">
        <v>1</v>
      </c>
      <c r="ZN72">
        <v>1</v>
      </c>
      <c r="ZO72">
        <v>1</v>
      </c>
      <c r="ZP72">
        <v>1</v>
      </c>
      <c r="ZQ72">
        <v>1</v>
      </c>
      <c r="ZR72">
        <v>1</v>
      </c>
      <c r="ZS72">
        <v>1</v>
      </c>
      <c r="ZT72">
        <v>1</v>
      </c>
      <c r="ZU72">
        <v>1</v>
      </c>
      <c r="ZV72">
        <v>1</v>
      </c>
      <c r="ZW72">
        <v>1</v>
      </c>
      <c r="ZX72">
        <v>1</v>
      </c>
      <c r="ZY72">
        <v>1</v>
      </c>
      <c r="ZZ72">
        <v>1</v>
      </c>
      <c r="AAA72">
        <v>1</v>
      </c>
      <c r="AAB72">
        <v>1</v>
      </c>
      <c r="AAC72">
        <v>1</v>
      </c>
      <c r="AAD72">
        <v>1</v>
      </c>
      <c r="AAE72">
        <v>1</v>
      </c>
      <c r="AAF72">
        <v>1</v>
      </c>
      <c r="AAG72">
        <v>1</v>
      </c>
      <c r="AAH72">
        <v>1</v>
      </c>
      <c r="AAI72">
        <v>1</v>
      </c>
      <c r="AAJ72">
        <v>1</v>
      </c>
      <c r="AAK72">
        <v>1</v>
      </c>
      <c r="AAL72">
        <v>1</v>
      </c>
      <c r="AAM72">
        <v>1</v>
      </c>
      <c r="AAN72">
        <v>1</v>
      </c>
      <c r="AAO72">
        <v>1</v>
      </c>
      <c r="AAP72">
        <v>1</v>
      </c>
      <c r="AAQ72">
        <v>1</v>
      </c>
      <c r="AAR72">
        <v>1</v>
      </c>
      <c r="AAS72">
        <v>1</v>
      </c>
      <c r="AAT72">
        <v>1</v>
      </c>
      <c r="AAU72">
        <v>1</v>
      </c>
      <c r="AAV72">
        <v>1</v>
      </c>
      <c r="AAW72">
        <v>1</v>
      </c>
      <c r="AAX72">
        <v>1</v>
      </c>
      <c r="AAY72">
        <v>1</v>
      </c>
      <c r="AAZ72">
        <v>1</v>
      </c>
      <c r="ABA72">
        <v>1</v>
      </c>
      <c r="ABB72">
        <v>1</v>
      </c>
      <c r="ABC72">
        <v>1</v>
      </c>
      <c r="ABD72">
        <v>1</v>
      </c>
      <c r="ABE72">
        <v>1</v>
      </c>
      <c r="ABG72" s="1137">
        <f t="shared" si="19"/>
        <v>0</v>
      </c>
      <c r="ABH72" s="1137">
        <f t="shared" si="19"/>
        <v>0</v>
      </c>
      <c r="ABI72" s="1137">
        <f t="shared" si="19"/>
        <v>19</v>
      </c>
      <c r="ABJ72" s="1137">
        <f t="shared" si="19"/>
        <v>30</v>
      </c>
      <c r="ABK72" s="1137">
        <f t="shared" si="19"/>
        <v>31</v>
      </c>
      <c r="ABL72" s="1137">
        <f t="shared" si="19"/>
        <v>30</v>
      </c>
      <c r="ABM72" s="1137">
        <f t="shared" si="19"/>
        <v>20</v>
      </c>
      <c r="ABN72" s="1137">
        <f t="shared" si="19"/>
        <v>0</v>
      </c>
      <c r="ABO72" s="1137">
        <f t="shared" si="19"/>
        <v>0</v>
      </c>
      <c r="ABP72" s="1137">
        <f t="shared" si="19"/>
        <v>0</v>
      </c>
      <c r="ABQ72" s="1137">
        <f t="shared" si="19"/>
        <v>0</v>
      </c>
      <c r="ABR72" s="1137">
        <f t="shared" si="19"/>
        <v>0</v>
      </c>
      <c r="ABS72" s="1137">
        <f t="shared" si="19"/>
        <v>0</v>
      </c>
      <c r="ABT72" s="1137">
        <f t="shared" si="19"/>
        <v>0</v>
      </c>
      <c r="ABU72" s="1137">
        <f t="shared" si="19"/>
        <v>0</v>
      </c>
      <c r="ABV72" s="1137">
        <f t="shared" si="19"/>
        <v>0</v>
      </c>
      <c r="ABW72" s="1137">
        <f t="shared" si="17"/>
        <v>0</v>
      </c>
      <c r="ABX72" s="1137">
        <f t="shared" si="14"/>
        <v>0</v>
      </c>
      <c r="ABY72" s="1137">
        <f t="shared" si="14"/>
        <v>0</v>
      </c>
      <c r="ABZ72" s="1137">
        <f t="shared" si="14"/>
        <v>0</v>
      </c>
      <c r="ACA72" s="1137">
        <f t="shared" si="14"/>
        <v>0</v>
      </c>
      <c r="ACB72" s="1137">
        <f t="shared" si="14"/>
        <v>6</v>
      </c>
      <c r="ACC72" s="1137">
        <f t="shared" si="14"/>
        <v>30</v>
      </c>
      <c r="ACD72" s="1137">
        <f t="shared" si="14"/>
        <v>31</v>
      </c>
      <c r="ACE72" s="1137" t="s">
        <v>189</v>
      </c>
      <c r="ACF72" s="1137">
        <f t="shared" si="20"/>
        <v>0</v>
      </c>
      <c r="ACG72" s="1137">
        <f t="shared" si="20"/>
        <v>0</v>
      </c>
      <c r="ACH72" s="1137">
        <f t="shared" si="20"/>
        <v>1</v>
      </c>
      <c r="ACI72" s="1137">
        <f t="shared" si="20"/>
        <v>1</v>
      </c>
      <c r="ACJ72" s="1137">
        <f t="shared" si="20"/>
        <v>1</v>
      </c>
      <c r="ACK72" s="1137">
        <f t="shared" si="20"/>
        <v>1</v>
      </c>
      <c r="ACL72" s="1137">
        <f t="shared" si="20"/>
        <v>1</v>
      </c>
      <c r="ACM72" s="1137">
        <f t="shared" si="20"/>
        <v>0</v>
      </c>
      <c r="ACN72" s="1137">
        <f t="shared" si="20"/>
        <v>0</v>
      </c>
      <c r="ACO72" s="1137">
        <f t="shared" si="20"/>
        <v>0</v>
      </c>
      <c r="ACP72" s="1137">
        <f t="shared" si="20"/>
        <v>0</v>
      </c>
      <c r="ACQ72" s="1137">
        <f t="shared" si="20"/>
        <v>0</v>
      </c>
      <c r="ACR72" s="1137">
        <f t="shared" si="20"/>
        <v>0</v>
      </c>
      <c r="ACS72" s="1137">
        <f t="shared" si="20"/>
        <v>0</v>
      </c>
      <c r="ACT72" s="1137">
        <f t="shared" si="20"/>
        <v>0</v>
      </c>
      <c r="ACU72" s="1137">
        <f t="shared" si="12"/>
        <v>0</v>
      </c>
      <c r="ACV72" s="1137">
        <f t="shared" si="12"/>
        <v>0</v>
      </c>
      <c r="ACW72" s="1137">
        <f t="shared" si="12"/>
        <v>0</v>
      </c>
      <c r="ACX72" s="1137">
        <f t="shared" si="12"/>
        <v>0</v>
      </c>
      <c r="ACY72" s="1137">
        <f t="shared" si="12"/>
        <v>0</v>
      </c>
      <c r="ACZ72" s="1137">
        <f t="shared" si="12"/>
        <v>0</v>
      </c>
      <c r="ADA72" s="1137">
        <f t="shared" si="12"/>
        <v>0</v>
      </c>
      <c r="ADB72" s="1137">
        <f t="shared" si="16"/>
        <v>1</v>
      </c>
      <c r="ADC72" s="1137">
        <f t="shared" si="16"/>
        <v>1</v>
      </c>
    </row>
    <row r="73" spans="1:783" x14ac:dyDescent="0.25">
      <c r="A73" t="s">
        <v>1870</v>
      </c>
      <c r="B73" t="s">
        <v>193</v>
      </c>
      <c r="C73">
        <v>0</v>
      </c>
      <c r="D73">
        <v>0</v>
      </c>
      <c r="E73">
        <v>0</v>
      </c>
      <c r="F73">
        <v>0</v>
      </c>
      <c r="G73">
        <v>0</v>
      </c>
      <c r="H73">
        <v>0</v>
      </c>
      <c r="I73">
        <v>0</v>
      </c>
      <c r="J73">
        <v>0</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0</v>
      </c>
      <c r="AZ73">
        <v>0</v>
      </c>
      <c r="BA73">
        <v>0</v>
      </c>
      <c r="BB73">
        <v>0</v>
      </c>
      <c r="BC73">
        <v>0</v>
      </c>
      <c r="BD73">
        <v>0</v>
      </c>
      <c r="BE73">
        <v>0</v>
      </c>
      <c r="BF73">
        <v>0</v>
      </c>
      <c r="BG73">
        <v>0</v>
      </c>
      <c r="BH73">
        <v>0</v>
      </c>
      <c r="BI73">
        <v>0</v>
      </c>
      <c r="BJ73">
        <v>0</v>
      </c>
      <c r="BK73">
        <v>0</v>
      </c>
      <c r="BL73">
        <v>0</v>
      </c>
      <c r="BM73">
        <v>0</v>
      </c>
      <c r="BN73">
        <v>0</v>
      </c>
      <c r="BO73">
        <v>0</v>
      </c>
      <c r="BP73">
        <v>2</v>
      </c>
      <c r="BQ73">
        <v>2</v>
      </c>
      <c r="BR73">
        <v>2</v>
      </c>
      <c r="BS73">
        <v>2</v>
      </c>
      <c r="BT73">
        <v>2</v>
      </c>
      <c r="BU73">
        <v>2</v>
      </c>
      <c r="BV73">
        <v>2</v>
      </c>
      <c r="BW73">
        <v>2</v>
      </c>
      <c r="BX73">
        <v>2</v>
      </c>
      <c r="BY73">
        <v>2</v>
      </c>
      <c r="BZ73">
        <v>2</v>
      </c>
      <c r="CA73">
        <v>2</v>
      </c>
      <c r="CB73">
        <v>2</v>
      </c>
      <c r="CC73">
        <v>2</v>
      </c>
      <c r="CD73">
        <v>2</v>
      </c>
      <c r="CE73">
        <v>2</v>
      </c>
      <c r="CF73">
        <v>2</v>
      </c>
      <c r="CG73">
        <v>2</v>
      </c>
      <c r="CH73">
        <v>2</v>
      </c>
      <c r="CI73">
        <v>2</v>
      </c>
      <c r="CJ73">
        <v>2</v>
      </c>
      <c r="CK73">
        <v>2</v>
      </c>
      <c r="CL73">
        <v>2</v>
      </c>
      <c r="CM73">
        <v>2</v>
      </c>
      <c r="CN73">
        <v>2</v>
      </c>
      <c r="CO73">
        <v>2</v>
      </c>
      <c r="CP73">
        <v>2</v>
      </c>
      <c r="CQ73">
        <v>2</v>
      </c>
      <c r="CR73">
        <v>2</v>
      </c>
      <c r="CS73">
        <v>2</v>
      </c>
      <c r="CT73">
        <v>2</v>
      </c>
      <c r="CU73">
        <v>2</v>
      </c>
      <c r="CV73">
        <v>2</v>
      </c>
      <c r="CW73">
        <v>2</v>
      </c>
      <c r="CX73">
        <v>2</v>
      </c>
      <c r="CY73">
        <v>2</v>
      </c>
      <c r="CZ73">
        <v>2</v>
      </c>
      <c r="DA73">
        <v>2</v>
      </c>
      <c r="DB73">
        <v>2</v>
      </c>
      <c r="DC73">
        <v>2</v>
      </c>
      <c r="DD73">
        <v>2</v>
      </c>
      <c r="DE73">
        <v>2</v>
      </c>
      <c r="DF73">
        <v>2</v>
      </c>
      <c r="DG73">
        <v>2</v>
      </c>
      <c r="DH73">
        <v>2</v>
      </c>
      <c r="DI73">
        <v>2</v>
      </c>
      <c r="DJ73">
        <v>2</v>
      </c>
      <c r="DK73">
        <v>2</v>
      </c>
      <c r="DL73">
        <v>2</v>
      </c>
      <c r="DM73">
        <v>2</v>
      </c>
      <c r="DN73">
        <v>2</v>
      </c>
      <c r="DO73">
        <v>2</v>
      </c>
      <c r="DP73">
        <v>2</v>
      </c>
      <c r="DQ73">
        <v>2</v>
      </c>
      <c r="DR73">
        <v>2</v>
      </c>
      <c r="DS73">
        <v>2</v>
      </c>
      <c r="DT73">
        <v>2</v>
      </c>
      <c r="DU73">
        <v>2</v>
      </c>
      <c r="DV73">
        <v>2</v>
      </c>
      <c r="DW73">
        <v>2</v>
      </c>
      <c r="DX73">
        <v>2</v>
      </c>
      <c r="DY73">
        <v>2</v>
      </c>
      <c r="DZ73">
        <v>2</v>
      </c>
      <c r="EA73">
        <v>2</v>
      </c>
      <c r="EB73">
        <v>2</v>
      </c>
      <c r="EC73">
        <v>2</v>
      </c>
      <c r="ED73">
        <v>2</v>
      </c>
      <c r="EE73">
        <v>2</v>
      </c>
      <c r="EF73">
        <v>2</v>
      </c>
      <c r="EG73">
        <v>2</v>
      </c>
      <c r="EH73">
        <v>2</v>
      </c>
      <c r="EI73">
        <v>2</v>
      </c>
      <c r="EJ73">
        <v>2</v>
      </c>
      <c r="EK73">
        <v>2</v>
      </c>
      <c r="EL73">
        <v>2</v>
      </c>
      <c r="EM73">
        <v>2</v>
      </c>
      <c r="EN73">
        <v>2</v>
      </c>
      <c r="EO73">
        <v>2</v>
      </c>
      <c r="EP73">
        <v>2</v>
      </c>
      <c r="EQ73">
        <v>2</v>
      </c>
      <c r="ER73">
        <v>2</v>
      </c>
      <c r="ES73">
        <v>2</v>
      </c>
      <c r="ET73">
        <v>2</v>
      </c>
      <c r="EU73">
        <v>2</v>
      </c>
      <c r="EV73">
        <v>2</v>
      </c>
      <c r="EW73">
        <v>2</v>
      </c>
      <c r="EX73">
        <v>2</v>
      </c>
      <c r="EY73">
        <v>2</v>
      </c>
      <c r="EZ73">
        <v>2</v>
      </c>
      <c r="FA73">
        <v>2</v>
      </c>
      <c r="FB73">
        <v>2</v>
      </c>
      <c r="FC73">
        <v>2</v>
      </c>
      <c r="FD73">
        <v>2</v>
      </c>
      <c r="FE73">
        <v>2</v>
      </c>
      <c r="FF73">
        <v>2</v>
      </c>
      <c r="FG73">
        <v>2</v>
      </c>
      <c r="FH73">
        <v>2</v>
      </c>
      <c r="FI73">
        <v>2</v>
      </c>
      <c r="FJ73">
        <v>2</v>
      </c>
      <c r="FK73">
        <v>2</v>
      </c>
      <c r="FL73">
        <v>2</v>
      </c>
      <c r="FM73">
        <v>2</v>
      </c>
      <c r="FN73">
        <v>2</v>
      </c>
      <c r="FO73">
        <v>2</v>
      </c>
      <c r="FP73">
        <v>2</v>
      </c>
      <c r="FQ73">
        <v>2</v>
      </c>
      <c r="FR73">
        <v>2</v>
      </c>
      <c r="FS73">
        <v>2</v>
      </c>
      <c r="FT73">
        <v>2</v>
      </c>
      <c r="FU73">
        <v>2</v>
      </c>
      <c r="FV73">
        <v>2</v>
      </c>
      <c r="FW73">
        <v>2</v>
      </c>
      <c r="FX73">
        <v>2</v>
      </c>
      <c r="FY73">
        <v>2</v>
      </c>
      <c r="FZ73">
        <v>2</v>
      </c>
      <c r="GA73">
        <v>2</v>
      </c>
      <c r="GB73">
        <v>2</v>
      </c>
      <c r="GC73">
        <v>2</v>
      </c>
      <c r="GD73">
        <v>2</v>
      </c>
      <c r="GE73">
        <v>2</v>
      </c>
      <c r="GF73">
        <v>2</v>
      </c>
      <c r="GG73">
        <v>2</v>
      </c>
      <c r="GH73">
        <v>2</v>
      </c>
      <c r="GI73">
        <v>2</v>
      </c>
      <c r="GJ73">
        <v>2</v>
      </c>
      <c r="GK73">
        <v>2</v>
      </c>
      <c r="GL73">
        <v>2</v>
      </c>
      <c r="GM73">
        <v>2</v>
      </c>
      <c r="GN73">
        <v>2</v>
      </c>
      <c r="GO73">
        <v>2</v>
      </c>
      <c r="GP73">
        <v>2</v>
      </c>
      <c r="GQ73">
        <v>2</v>
      </c>
      <c r="GR73">
        <v>2</v>
      </c>
      <c r="GS73">
        <v>2</v>
      </c>
      <c r="GT73">
        <v>2</v>
      </c>
      <c r="GU73">
        <v>2</v>
      </c>
      <c r="GV73">
        <v>2</v>
      </c>
      <c r="GW73">
        <v>2</v>
      </c>
      <c r="GX73">
        <v>2</v>
      </c>
      <c r="GY73">
        <v>2</v>
      </c>
      <c r="GZ73">
        <v>2</v>
      </c>
      <c r="HA73">
        <v>2</v>
      </c>
      <c r="HB73">
        <v>2</v>
      </c>
      <c r="HC73">
        <v>2</v>
      </c>
      <c r="HD73">
        <v>2</v>
      </c>
      <c r="HE73">
        <v>2</v>
      </c>
      <c r="HF73">
        <v>2</v>
      </c>
      <c r="HG73">
        <v>2</v>
      </c>
      <c r="HH73">
        <v>2</v>
      </c>
      <c r="HI73">
        <v>2</v>
      </c>
      <c r="HJ73">
        <v>2</v>
      </c>
      <c r="HK73">
        <v>2</v>
      </c>
      <c r="HL73">
        <v>2</v>
      </c>
      <c r="HM73">
        <v>2</v>
      </c>
      <c r="HN73">
        <v>2</v>
      </c>
      <c r="HO73">
        <v>2</v>
      </c>
      <c r="HP73">
        <v>2</v>
      </c>
      <c r="HQ73">
        <v>2</v>
      </c>
      <c r="HR73">
        <v>2</v>
      </c>
      <c r="HS73">
        <v>2</v>
      </c>
      <c r="HT73">
        <v>2</v>
      </c>
      <c r="HU73">
        <v>2</v>
      </c>
      <c r="HV73">
        <v>2</v>
      </c>
      <c r="HW73">
        <v>2</v>
      </c>
      <c r="HX73">
        <v>2</v>
      </c>
      <c r="HY73">
        <v>2</v>
      </c>
      <c r="HZ73">
        <v>2</v>
      </c>
      <c r="IA73">
        <v>2</v>
      </c>
      <c r="IB73">
        <v>2</v>
      </c>
      <c r="IC73">
        <v>2</v>
      </c>
      <c r="ID73">
        <v>2</v>
      </c>
      <c r="IE73">
        <v>2</v>
      </c>
      <c r="IF73">
        <v>2</v>
      </c>
      <c r="IG73">
        <v>2</v>
      </c>
      <c r="IH73">
        <v>2</v>
      </c>
      <c r="II73">
        <v>2</v>
      </c>
      <c r="IJ73">
        <v>2</v>
      </c>
      <c r="IK73">
        <v>2</v>
      </c>
      <c r="IL73">
        <v>2</v>
      </c>
      <c r="IM73">
        <v>2</v>
      </c>
      <c r="IN73">
        <v>2</v>
      </c>
      <c r="IO73">
        <v>2</v>
      </c>
      <c r="IP73">
        <v>2</v>
      </c>
      <c r="IQ73">
        <v>2</v>
      </c>
      <c r="IR73">
        <v>2</v>
      </c>
      <c r="IS73">
        <v>2</v>
      </c>
      <c r="IT73">
        <v>2</v>
      </c>
      <c r="IU73">
        <v>2</v>
      </c>
      <c r="IV73">
        <v>2</v>
      </c>
      <c r="IW73">
        <v>2</v>
      </c>
      <c r="IX73">
        <v>2</v>
      </c>
      <c r="IY73">
        <v>2</v>
      </c>
      <c r="IZ73">
        <v>2</v>
      </c>
      <c r="JA73">
        <v>2</v>
      </c>
      <c r="JB73">
        <v>2</v>
      </c>
      <c r="JC73">
        <v>2</v>
      </c>
      <c r="JD73">
        <v>0</v>
      </c>
      <c r="JE73">
        <v>0</v>
      </c>
      <c r="JF73">
        <v>0</v>
      </c>
      <c r="JG73">
        <v>0</v>
      </c>
      <c r="JH73">
        <v>0</v>
      </c>
      <c r="JI73">
        <v>0</v>
      </c>
      <c r="JJ73">
        <v>0</v>
      </c>
      <c r="JK73">
        <v>0</v>
      </c>
      <c r="JL73">
        <v>0</v>
      </c>
      <c r="JM73">
        <v>0</v>
      </c>
      <c r="JN73">
        <v>0</v>
      </c>
      <c r="JO73">
        <v>0</v>
      </c>
      <c r="JP73">
        <v>0</v>
      </c>
      <c r="JQ73">
        <v>0</v>
      </c>
      <c r="JR73">
        <v>0</v>
      </c>
      <c r="JS73">
        <v>0</v>
      </c>
      <c r="JT73">
        <v>0</v>
      </c>
      <c r="JU73">
        <v>0</v>
      </c>
      <c r="JV73">
        <v>0</v>
      </c>
      <c r="JW73">
        <v>0</v>
      </c>
      <c r="JX73">
        <v>0</v>
      </c>
      <c r="JY73">
        <v>0</v>
      </c>
      <c r="JZ73">
        <v>0</v>
      </c>
      <c r="KA73">
        <v>0</v>
      </c>
      <c r="KB73">
        <v>0</v>
      </c>
      <c r="KC73">
        <v>0</v>
      </c>
      <c r="KD73">
        <v>0</v>
      </c>
      <c r="KE73">
        <v>0</v>
      </c>
      <c r="KF73">
        <v>0</v>
      </c>
      <c r="KG73">
        <v>0</v>
      </c>
      <c r="KH73">
        <v>0</v>
      </c>
      <c r="KI73">
        <v>0</v>
      </c>
      <c r="KJ73">
        <v>0</v>
      </c>
      <c r="KK73">
        <v>0</v>
      </c>
      <c r="KL73">
        <v>0</v>
      </c>
      <c r="KM73">
        <v>0</v>
      </c>
      <c r="KN73">
        <v>0</v>
      </c>
      <c r="KO73">
        <v>0</v>
      </c>
      <c r="KP73">
        <v>0</v>
      </c>
      <c r="KQ73">
        <v>0</v>
      </c>
      <c r="KR73">
        <v>0</v>
      </c>
      <c r="KS73">
        <v>0</v>
      </c>
      <c r="KT73">
        <v>0</v>
      </c>
      <c r="KU73">
        <v>0</v>
      </c>
      <c r="KV73">
        <v>0</v>
      </c>
      <c r="KW73">
        <v>0</v>
      </c>
      <c r="KX73">
        <v>0</v>
      </c>
      <c r="KY73">
        <v>0</v>
      </c>
      <c r="KZ73">
        <v>0</v>
      </c>
      <c r="LA73">
        <v>0</v>
      </c>
      <c r="LB73">
        <v>0</v>
      </c>
      <c r="LC73">
        <v>0</v>
      </c>
      <c r="LD73">
        <v>0</v>
      </c>
      <c r="LE73">
        <v>0</v>
      </c>
      <c r="LF73">
        <v>0</v>
      </c>
      <c r="LG73">
        <v>0</v>
      </c>
      <c r="LH73">
        <v>0</v>
      </c>
      <c r="LI73">
        <v>0</v>
      </c>
      <c r="LJ73">
        <v>0</v>
      </c>
      <c r="LK73">
        <v>0</v>
      </c>
      <c r="LL73">
        <v>0</v>
      </c>
      <c r="LM73">
        <v>0</v>
      </c>
      <c r="LN73">
        <v>0</v>
      </c>
      <c r="LO73">
        <v>0</v>
      </c>
      <c r="LP73">
        <v>0</v>
      </c>
      <c r="LQ73">
        <v>0</v>
      </c>
      <c r="LR73">
        <v>0</v>
      </c>
      <c r="LS73">
        <v>0</v>
      </c>
      <c r="LT73">
        <v>0</v>
      </c>
      <c r="LU73">
        <v>0</v>
      </c>
      <c r="LV73">
        <v>0</v>
      </c>
      <c r="LW73">
        <v>0</v>
      </c>
      <c r="LX73">
        <v>0</v>
      </c>
      <c r="LY73">
        <v>0</v>
      </c>
      <c r="LZ73">
        <v>0</v>
      </c>
      <c r="MA73">
        <v>0</v>
      </c>
      <c r="MB73">
        <v>0</v>
      </c>
      <c r="MC73">
        <v>0</v>
      </c>
      <c r="MD73">
        <v>0</v>
      </c>
      <c r="ME73">
        <v>0</v>
      </c>
      <c r="MF73">
        <v>0</v>
      </c>
      <c r="MG73">
        <v>0</v>
      </c>
      <c r="MH73">
        <v>0</v>
      </c>
      <c r="MI73">
        <v>0</v>
      </c>
      <c r="MJ73">
        <v>0</v>
      </c>
      <c r="MK73">
        <v>0</v>
      </c>
      <c r="ML73">
        <v>0</v>
      </c>
      <c r="MM73">
        <v>0</v>
      </c>
      <c r="MN73">
        <v>0</v>
      </c>
      <c r="MO73">
        <v>0</v>
      </c>
      <c r="MP73">
        <v>0</v>
      </c>
      <c r="MQ73">
        <v>0</v>
      </c>
      <c r="MR73">
        <v>0</v>
      </c>
      <c r="MS73">
        <v>0</v>
      </c>
      <c r="MT73">
        <v>0</v>
      </c>
      <c r="MU73">
        <v>0</v>
      </c>
      <c r="MV73">
        <v>0</v>
      </c>
      <c r="MW73">
        <v>0</v>
      </c>
      <c r="MX73">
        <v>0</v>
      </c>
      <c r="MY73">
        <v>0</v>
      </c>
      <c r="MZ73">
        <v>0</v>
      </c>
      <c r="NA73">
        <v>0</v>
      </c>
      <c r="NB73">
        <v>0</v>
      </c>
      <c r="NC73">
        <v>0</v>
      </c>
      <c r="ND73">
        <v>0</v>
      </c>
      <c r="NE73">
        <v>0</v>
      </c>
      <c r="NF73">
        <v>0</v>
      </c>
      <c r="NG73">
        <v>0</v>
      </c>
      <c r="NH73">
        <v>0</v>
      </c>
      <c r="NI73">
        <v>0</v>
      </c>
      <c r="NJ73">
        <v>0</v>
      </c>
      <c r="NK73">
        <v>0</v>
      </c>
      <c r="NL73">
        <v>0</v>
      </c>
      <c r="NM73">
        <v>0</v>
      </c>
      <c r="NN73">
        <v>0</v>
      </c>
      <c r="NO73">
        <v>0</v>
      </c>
      <c r="NP73">
        <v>0</v>
      </c>
      <c r="NQ73">
        <v>0</v>
      </c>
      <c r="NR73">
        <v>2</v>
      </c>
      <c r="NS73">
        <v>2</v>
      </c>
      <c r="NT73">
        <v>2</v>
      </c>
      <c r="NU73">
        <v>2</v>
      </c>
      <c r="NV73">
        <v>2</v>
      </c>
      <c r="NW73">
        <v>2</v>
      </c>
      <c r="NX73">
        <v>2</v>
      </c>
      <c r="NY73">
        <v>2</v>
      </c>
      <c r="NZ73">
        <v>2</v>
      </c>
      <c r="OA73">
        <v>2</v>
      </c>
      <c r="OB73">
        <v>2</v>
      </c>
      <c r="OC73">
        <v>2</v>
      </c>
      <c r="OD73">
        <v>2</v>
      </c>
      <c r="OE73">
        <v>2</v>
      </c>
      <c r="OF73">
        <v>2</v>
      </c>
      <c r="OG73">
        <v>0</v>
      </c>
      <c r="OH73">
        <v>0</v>
      </c>
      <c r="OI73">
        <v>0</v>
      </c>
      <c r="OJ73">
        <v>0</v>
      </c>
      <c r="OK73">
        <v>0</v>
      </c>
      <c r="OL73">
        <v>0</v>
      </c>
      <c r="OM73">
        <v>0</v>
      </c>
      <c r="ON73">
        <v>0</v>
      </c>
      <c r="OO73">
        <v>0</v>
      </c>
      <c r="OP73">
        <v>0</v>
      </c>
      <c r="OQ73">
        <v>0</v>
      </c>
      <c r="OR73">
        <v>0</v>
      </c>
      <c r="OS73">
        <v>0</v>
      </c>
      <c r="OT73">
        <v>0</v>
      </c>
      <c r="OU73">
        <v>0</v>
      </c>
      <c r="OV73">
        <v>0</v>
      </c>
      <c r="OW73">
        <v>0</v>
      </c>
      <c r="OX73">
        <v>0</v>
      </c>
      <c r="OY73">
        <v>0</v>
      </c>
      <c r="OZ73">
        <v>0</v>
      </c>
      <c r="PA73">
        <v>0</v>
      </c>
      <c r="PB73">
        <v>0</v>
      </c>
      <c r="PC73">
        <v>0</v>
      </c>
      <c r="PD73">
        <v>0</v>
      </c>
      <c r="PE73">
        <v>0</v>
      </c>
      <c r="PF73">
        <v>0</v>
      </c>
      <c r="PG73">
        <v>0</v>
      </c>
      <c r="PH73">
        <v>0</v>
      </c>
      <c r="PI73">
        <v>0</v>
      </c>
      <c r="PJ73">
        <v>0</v>
      </c>
      <c r="PK73">
        <v>0</v>
      </c>
      <c r="PL73">
        <v>0</v>
      </c>
      <c r="PM73">
        <v>0</v>
      </c>
      <c r="PN73">
        <v>0</v>
      </c>
      <c r="PO73">
        <v>0</v>
      </c>
      <c r="PP73">
        <v>0</v>
      </c>
      <c r="PQ73">
        <v>0</v>
      </c>
      <c r="PR73">
        <v>0</v>
      </c>
      <c r="PS73">
        <v>0</v>
      </c>
      <c r="PT73">
        <v>0</v>
      </c>
      <c r="PU73">
        <v>0</v>
      </c>
      <c r="PV73">
        <v>0</v>
      </c>
      <c r="PW73">
        <v>0</v>
      </c>
      <c r="PX73">
        <v>0</v>
      </c>
      <c r="PY73">
        <v>0</v>
      </c>
      <c r="PZ73">
        <v>0</v>
      </c>
      <c r="QA73">
        <v>0</v>
      </c>
      <c r="QB73">
        <v>0</v>
      </c>
      <c r="QC73">
        <v>0</v>
      </c>
      <c r="QD73">
        <v>0</v>
      </c>
      <c r="QE73">
        <v>0</v>
      </c>
      <c r="QF73">
        <v>0</v>
      </c>
      <c r="QG73">
        <v>0</v>
      </c>
      <c r="QH73">
        <v>0</v>
      </c>
      <c r="QI73">
        <v>0</v>
      </c>
      <c r="QJ73">
        <v>0</v>
      </c>
      <c r="QK73">
        <v>0</v>
      </c>
      <c r="QL73">
        <v>0</v>
      </c>
      <c r="QM73">
        <v>0</v>
      </c>
      <c r="QN73">
        <v>0</v>
      </c>
      <c r="QO73">
        <v>0</v>
      </c>
      <c r="QP73">
        <v>0</v>
      </c>
      <c r="QQ73">
        <v>0</v>
      </c>
      <c r="QR73">
        <v>0</v>
      </c>
      <c r="QS73">
        <v>0</v>
      </c>
      <c r="QT73">
        <v>0</v>
      </c>
      <c r="QU73">
        <v>0</v>
      </c>
      <c r="QV73">
        <v>0</v>
      </c>
      <c r="QW73">
        <v>0</v>
      </c>
      <c r="QX73">
        <v>0</v>
      </c>
      <c r="QY73">
        <v>0</v>
      </c>
      <c r="QZ73">
        <v>0</v>
      </c>
      <c r="RA73">
        <v>0</v>
      </c>
      <c r="RB73">
        <v>0</v>
      </c>
      <c r="RC73">
        <v>0</v>
      </c>
      <c r="RD73">
        <v>0</v>
      </c>
      <c r="RE73">
        <v>0</v>
      </c>
      <c r="RF73">
        <v>0</v>
      </c>
      <c r="RG73">
        <v>0</v>
      </c>
      <c r="RH73">
        <v>0</v>
      </c>
      <c r="RI73">
        <v>0</v>
      </c>
      <c r="RJ73">
        <v>0</v>
      </c>
      <c r="RK73">
        <v>0</v>
      </c>
      <c r="RL73">
        <v>0</v>
      </c>
      <c r="RM73">
        <v>0</v>
      </c>
      <c r="RN73">
        <v>0</v>
      </c>
      <c r="RO73">
        <v>0</v>
      </c>
      <c r="RP73">
        <v>0</v>
      </c>
      <c r="RQ73">
        <v>0</v>
      </c>
      <c r="RR73">
        <v>0</v>
      </c>
      <c r="RS73">
        <v>0</v>
      </c>
      <c r="RT73">
        <v>0</v>
      </c>
      <c r="RU73">
        <v>0</v>
      </c>
      <c r="RV73">
        <v>0</v>
      </c>
      <c r="RW73">
        <v>0</v>
      </c>
      <c r="RX73">
        <v>0</v>
      </c>
      <c r="RY73">
        <v>0</v>
      </c>
      <c r="RZ73">
        <v>0</v>
      </c>
      <c r="SA73">
        <v>0</v>
      </c>
      <c r="SB73">
        <v>0</v>
      </c>
      <c r="SC73">
        <v>0</v>
      </c>
      <c r="SD73">
        <v>0</v>
      </c>
      <c r="SE73">
        <v>0</v>
      </c>
      <c r="SF73">
        <v>0</v>
      </c>
      <c r="SG73">
        <v>0</v>
      </c>
      <c r="SH73">
        <v>0</v>
      </c>
      <c r="SI73">
        <v>0</v>
      </c>
      <c r="SJ73">
        <v>0</v>
      </c>
      <c r="SK73">
        <v>0</v>
      </c>
      <c r="SL73">
        <v>0</v>
      </c>
      <c r="SM73">
        <v>0</v>
      </c>
      <c r="SN73">
        <v>0</v>
      </c>
      <c r="SO73">
        <v>0</v>
      </c>
      <c r="SP73">
        <v>0</v>
      </c>
      <c r="SQ73">
        <v>0</v>
      </c>
      <c r="SR73">
        <v>0</v>
      </c>
      <c r="SS73">
        <v>0</v>
      </c>
      <c r="ST73">
        <v>0</v>
      </c>
      <c r="SU73">
        <v>0</v>
      </c>
      <c r="SV73">
        <v>0</v>
      </c>
      <c r="SW73">
        <v>0</v>
      </c>
      <c r="SX73">
        <v>0</v>
      </c>
      <c r="SY73">
        <v>0</v>
      </c>
      <c r="SZ73">
        <v>0</v>
      </c>
      <c r="TA73">
        <v>0</v>
      </c>
      <c r="TB73">
        <v>0</v>
      </c>
      <c r="TC73">
        <v>0</v>
      </c>
      <c r="TD73">
        <v>0</v>
      </c>
      <c r="TE73">
        <v>0</v>
      </c>
      <c r="TF73">
        <v>0</v>
      </c>
      <c r="TG73">
        <v>0</v>
      </c>
      <c r="TH73">
        <v>0</v>
      </c>
      <c r="TI73">
        <v>0</v>
      </c>
      <c r="TJ73">
        <v>0</v>
      </c>
      <c r="TK73">
        <v>0</v>
      </c>
      <c r="TL73">
        <v>0</v>
      </c>
      <c r="TM73">
        <v>0</v>
      </c>
      <c r="TN73">
        <v>0</v>
      </c>
      <c r="TO73">
        <v>0</v>
      </c>
      <c r="TP73">
        <v>0</v>
      </c>
      <c r="TQ73">
        <v>0</v>
      </c>
      <c r="TR73">
        <v>0</v>
      </c>
      <c r="TS73">
        <v>0</v>
      </c>
      <c r="TT73">
        <v>0</v>
      </c>
      <c r="TU73">
        <v>0</v>
      </c>
      <c r="TV73">
        <v>0</v>
      </c>
      <c r="TW73">
        <v>0</v>
      </c>
      <c r="TX73">
        <v>0</v>
      </c>
      <c r="TY73">
        <v>0</v>
      </c>
      <c r="TZ73">
        <v>0</v>
      </c>
      <c r="UA73">
        <v>0</v>
      </c>
      <c r="UB73">
        <v>0</v>
      </c>
      <c r="UC73">
        <v>0</v>
      </c>
      <c r="UD73">
        <v>0</v>
      </c>
      <c r="UE73">
        <v>0</v>
      </c>
      <c r="UF73">
        <v>0</v>
      </c>
      <c r="UG73">
        <v>0</v>
      </c>
      <c r="UH73">
        <v>0</v>
      </c>
      <c r="UI73">
        <v>0</v>
      </c>
      <c r="UJ73">
        <v>0</v>
      </c>
      <c r="UK73">
        <v>0</v>
      </c>
      <c r="UL73">
        <v>0</v>
      </c>
      <c r="UM73">
        <v>0</v>
      </c>
      <c r="UN73">
        <v>0</v>
      </c>
      <c r="UO73">
        <v>0</v>
      </c>
      <c r="UP73">
        <v>1</v>
      </c>
      <c r="UQ73">
        <v>1</v>
      </c>
      <c r="UR73">
        <v>1</v>
      </c>
      <c r="US73">
        <v>1</v>
      </c>
      <c r="UT73">
        <v>1</v>
      </c>
      <c r="UU73">
        <v>1</v>
      </c>
      <c r="UV73">
        <v>1</v>
      </c>
      <c r="UW73">
        <v>1</v>
      </c>
      <c r="UX73">
        <v>1</v>
      </c>
      <c r="UY73">
        <v>1</v>
      </c>
      <c r="UZ73">
        <v>1</v>
      </c>
      <c r="VA73">
        <v>1</v>
      </c>
      <c r="VB73">
        <v>1</v>
      </c>
      <c r="VC73">
        <v>1</v>
      </c>
      <c r="VD73">
        <v>1</v>
      </c>
      <c r="VE73">
        <v>1</v>
      </c>
      <c r="VF73">
        <v>1</v>
      </c>
      <c r="VG73">
        <v>1</v>
      </c>
      <c r="VH73">
        <v>1</v>
      </c>
      <c r="VI73">
        <v>1</v>
      </c>
      <c r="VJ73">
        <v>1</v>
      </c>
      <c r="VK73">
        <v>1</v>
      </c>
      <c r="VL73">
        <v>1</v>
      </c>
      <c r="VM73">
        <v>1</v>
      </c>
      <c r="VN73">
        <v>1</v>
      </c>
      <c r="VO73">
        <v>1</v>
      </c>
      <c r="VP73">
        <v>1</v>
      </c>
      <c r="VQ73">
        <v>1</v>
      </c>
      <c r="VR73">
        <v>1</v>
      </c>
      <c r="VS73">
        <v>1</v>
      </c>
      <c r="VT73">
        <v>1</v>
      </c>
      <c r="VU73">
        <v>1</v>
      </c>
      <c r="VV73">
        <v>1</v>
      </c>
      <c r="VW73">
        <v>1</v>
      </c>
      <c r="VX73">
        <v>1</v>
      </c>
      <c r="VY73">
        <v>1</v>
      </c>
      <c r="VZ73">
        <v>1</v>
      </c>
      <c r="WA73">
        <v>1</v>
      </c>
      <c r="WB73">
        <v>1</v>
      </c>
      <c r="WC73">
        <v>1</v>
      </c>
      <c r="WD73">
        <v>1</v>
      </c>
      <c r="WE73">
        <v>1</v>
      </c>
      <c r="WF73">
        <v>0</v>
      </c>
      <c r="WG73">
        <v>0</v>
      </c>
      <c r="WH73">
        <v>0</v>
      </c>
      <c r="WI73">
        <v>0</v>
      </c>
      <c r="WJ73">
        <v>0</v>
      </c>
      <c r="WK73">
        <v>0</v>
      </c>
      <c r="WL73">
        <v>0</v>
      </c>
      <c r="WM73">
        <v>0</v>
      </c>
      <c r="WN73">
        <v>0</v>
      </c>
      <c r="WO73">
        <v>0</v>
      </c>
      <c r="WP73">
        <v>0</v>
      </c>
      <c r="WQ73">
        <v>0</v>
      </c>
      <c r="WR73">
        <v>0</v>
      </c>
      <c r="WS73">
        <v>0</v>
      </c>
      <c r="WT73">
        <v>0</v>
      </c>
      <c r="WU73">
        <v>0</v>
      </c>
      <c r="WV73">
        <v>0</v>
      </c>
      <c r="WW73">
        <v>0</v>
      </c>
      <c r="WX73">
        <v>0</v>
      </c>
      <c r="WY73">
        <v>0</v>
      </c>
      <c r="WZ73">
        <v>0</v>
      </c>
      <c r="XA73">
        <v>0</v>
      </c>
      <c r="XB73">
        <v>0</v>
      </c>
      <c r="XC73">
        <v>0</v>
      </c>
      <c r="XD73">
        <v>0</v>
      </c>
      <c r="XE73">
        <v>0</v>
      </c>
      <c r="XF73">
        <v>0</v>
      </c>
      <c r="XG73">
        <v>0</v>
      </c>
      <c r="XH73">
        <v>0</v>
      </c>
      <c r="XI73">
        <v>0</v>
      </c>
      <c r="XJ73">
        <v>0</v>
      </c>
      <c r="XK73">
        <v>0</v>
      </c>
      <c r="XL73">
        <v>0</v>
      </c>
      <c r="XM73">
        <v>0</v>
      </c>
      <c r="XN73">
        <v>0</v>
      </c>
      <c r="XO73">
        <v>0</v>
      </c>
      <c r="XP73">
        <v>0</v>
      </c>
      <c r="XQ73">
        <v>0</v>
      </c>
      <c r="XR73">
        <v>0</v>
      </c>
      <c r="XS73">
        <v>0</v>
      </c>
      <c r="XT73">
        <v>0</v>
      </c>
      <c r="XU73">
        <v>0</v>
      </c>
      <c r="XV73">
        <v>0</v>
      </c>
      <c r="XW73">
        <v>0</v>
      </c>
      <c r="XX73">
        <v>0</v>
      </c>
      <c r="XY73">
        <v>0</v>
      </c>
      <c r="XZ73">
        <v>0</v>
      </c>
      <c r="YA73">
        <v>0</v>
      </c>
      <c r="YB73">
        <v>0</v>
      </c>
      <c r="YC73">
        <v>0</v>
      </c>
      <c r="YD73">
        <v>0</v>
      </c>
      <c r="YE73">
        <v>0</v>
      </c>
      <c r="YF73">
        <v>0</v>
      </c>
      <c r="YG73">
        <v>0</v>
      </c>
      <c r="YH73">
        <v>0</v>
      </c>
      <c r="YI73">
        <v>0</v>
      </c>
      <c r="YJ73">
        <v>0</v>
      </c>
      <c r="YK73">
        <v>0</v>
      </c>
      <c r="YL73">
        <v>0</v>
      </c>
      <c r="YM73">
        <v>0</v>
      </c>
      <c r="YN73">
        <v>0</v>
      </c>
      <c r="YO73">
        <v>0</v>
      </c>
      <c r="YP73">
        <v>0</v>
      </c>
      <c r="YQ73">
        <v>0</v>
      </c>
      <c r="YR73">
        <v>0</v>
      </c>
      <c r="YS73">
        <v>0</v>
      </c>
      <c r="YT73">
        <v>0</v>
      </c>
      <c r="YU73">
        <v>0</v>
      </c>
      <c r="YV73">
        <v>0</v>
      </c>
      <c r="YW73">
        <v>0</v>
      </c>
      <c r="YX73">
        <v>0</v>
      </c>
      <c r="YY73">
        <v>0</v>
      </c>
      <c r="YZ73">
        <v>0</v>
      </c>
      <c r="ZA73">
        <v>0</v>
      </c>
      <c r="ZB73">
        <v>0</v>
      </c>
      <c r="ZC73">
        <v>0</v>
      </c>
      <c r="ZD73">
        <v>0</v>
      </c>
      <c r="ZE73">
        <v>0</v>
      </c>
      <c r="ZF73">
        <v>0</v>
      </c>
      <c r="ZG73">
        <v>0</v>
      </c>
      <c r="ZH73">
        <v>0</v>
      </c>
      <c r="ZI73">
        <v>0</v>
      </c>
      <c r="ZJ73">
        <v>0</v>
      </c>
      <c r="ZK73">
        <v>0</v>
      </c>
      <c r="ZL73">
        <v>0</v>
      </c>
      <c r="ZM73">
        <v>0</v>
      </c>
      <c r="ZN73">
        <v>0</v>
      </c>
      <c r="ZO73">
        <v>0</v>
      </c>
      <c r="ZP73">
        <v>0</v>
      </c>
      <c r="ZQ73">
        <v>0</v>
      </c>
      <c r="ZR73">
        <v>0</v>
      </c>
      <c r="ZS73">
        <v>0</v>
      </c>
      <c r="ZT73">
        <v>0</v>
      </c>
      <c r="ZU73">
        <v>0</v>
      </c>
      <c r="ZV73">
        <v>0</v>
      </c>
      <c r="ZW73">
        <v>0</v>
      </c>
      <c r="ZX73">
        <v>0</v>
      </c>
      <c r="ZY73">
        <v>0</v>
      </c>
      <c r="ZZ73">
        <v>0</v>
      </c>
      <c r="AAA73">
        <v>0</v>
      </c>
      <c r="AAB73">
        <v>0</v>
      </c>
      <c r="AAC73">
        <v>0</v>
      </c>
      <c r="AAD73">
        <v>0</v>
      </c>
      <c r="AAE73">
        <v>0</v>
      </c>
      <c r="AAF73">
        <v>0</v>
      </c>
      <c r="AAG73">
        <v>0</v>
      </c>
      <c r="AAH73">
        <v>0</v>
      </c>
      <c r="AAI73">
        <v>0</v>
      </c>
      <c r="AAJ73">
        <v>0</v>
      </c>
      <c r="AAK73">
        <v>0</v>
      </c>
      <c r="AAL73">
        <v>0</v>
      </c>
      <c r="AAM73">
        <v>0</v>
      </c>
      <c r="AAN73">
        <v>0</v>
      </c>
      <c r="AAO73">
        <v>0</v>
      </c>
      <c r="AAP73">
        <v>0</v>
      </c>
      <c r="AAQ73">
        <v>0</v>
      </c>
      <c r="AAR73">
        <v>0</v>
      </c>
      <c r="AAS73">
        <v>0</v>
      </c>
      <c r="AAT73">
        <v>0</v>
      </c>
      <c r="AAU73">
        <v>0</v>
      </c>
      <c r="AAV73">
        <v>0</v>
      </c>
      <c r="AAW73">
        <v>0</v>
      </c>
      <c r="AAX73">
        <v>0</v>
      </c>
      <c r="AAY73">
        <v>0</v>
      </c>
      <c r="AAZ73">
        <v>0</v>
      </c>
      <c r="ABA73">
        <v>0</v>
      </c>
      <c r="ABB73">
        <v>0</v>
      </c>
      <c r="ABC73">
        <v>0</v>
      </c>
      <c r="ABD73">
        <v>0</v>
      </c>
      <c r="ABE73">
        <v>0</v>
      </c>
      <c r="ABG73" s="1137">
        <f t="shared" si="19"/>
        <v>0</v>
      </c>
      <c r="ABH73" s="1137">
        <f t="shared" si="19"/>
        <v>0</v>
      </c>
      <c r="ABI73" s="1137">
        <f t="shared" si="19"/>
        <v>26</v>
      </c>
      <c r="ABJ73" s="1137">
        <f t="shared" si="19"/>
        <v>30</v>
      </c>
      <c r="ABK73" s="1137">
        <f t="shared" si="19"/>
        <v>31</v>
      </c>
      <c r="ABL73" s="1137">
        <f t="shared" si="19"/>
        <v>30</v>
      </c>
      <c r="ABM73" s="1137">
        <f t="shared" si="19"/>
        <v>31</v>
      </c>
      <c r="ABN73" s="1137">
        <f t="shared" si="19"/>
        <v>31</v>
      </c>
      <c r="ABO73" s="1137">
        <f t="shared" si="19"/>
        <v>17</v>
      </c>
      <c r="ABP73" s="1137">
        <f t="shared" si="19"/>
        <v>0</v>
      </c>
      <c r="ABQ73" s="1137">
        <f t="shared" si="19"/>
        <v>0</v>
      </c>
      <c r="ABR73" s="1137">
        <f t="shared" si="19"/>
        <v>0</v>
      </c>
      <c r="ABS73" s="1137">
        <f t="shared" si="19"/>
        <v>15</v>
      </c>
      <c r="ABT73" s="1137">
        <f t="shared" si="19"/>
        <v>0</v>
      </c>
      <c r="ABU73" s="1137">
        <f t="shared" si="19"/>
        <v>0</v>
      </c>
      <c r="ABV73" s="1137">
        <f t="shared" si="19"/>
        <v>0</v>
      </c>
      <c r="ABW73" s="1137">
        <f t="shared" si="17"/>
        <v>0</v>
      </c>
      <c r="ABX73" s="1137">
        <f t="shared" si="14"/>
        <v>0</v>
      </c>
      <c r="ABY73" s="1137">
        <f t="shared" si="14"/>
        <v>19</v>
      </c>
      <c r="ABZ73" s="1137">
        <f t="shared" si="14"/>
        <v>23</v>
      </c>
      <c r="ACA73" s="1137">
        <f t="shared" si="14"/>
        <v>0</v>
      </c>
      <c r="ACB73" s="1137">
        <f t="shared" si="14"/>
        <v>0</v>
      </c>
      <c r="ACC73" s="1137">
        <f t="shared" si="14"/>
        <v>0</v>
      </c>
      <c r="ACD73" s="1137">
        <f t="shared" si="14"/>
        <v>0</v>
      </c>
      <c r="ACE73" s="1137" t="s">
        <v>193</v>
      </c>
      <c r="ACF73" s="1137">
        <f t="shared" si="20"/>
        <v>0</v>
      </c>
      <c r="ACG73" s="1137">
        <f t="shared" si="20"/>
        <v>0</v>
      </c>
      <c r="ACH73" s="1137">
        <f t="shared" si="20"/>
        <v>1</v>
      </c>
      <c r="ACI73" s="1137">
        <f t="shared" si="20"/>
        <v>1</v>
      </c>
      <c r="ACJ73" s="1137">
        <f t="shared" si="20"/>
        <v>1</v>
      </c>
      <c r="ACK73" s="1137">
        <f t="shared" si="20"/>
        <v>1</v>
      </c>
      <c r="ACL73" s="1137">
        <f t="shared" si="20"/>
        <v>1</v>
      </c>
      <c r="ACM73" s="1137">
        <f t="shared" si="20"/>
        <v>1</v>
      </c>
      <c r="ACN73" s="1137">
        <f t="shared" si="20"/>
        <v>1</v>
      </c>
      <c r="ACO73" s="1137">
        <f t="shared" si="20"/>
        <v>0</v>
      </c>
      <c r="ACP73" s="1137">
        <f t="shared" si="20"/>
        <v>0</v>
      </c>
      <c r="ACQ73" s="1137">
        <f t="shared" si="20"/>
        <v>0</v>
      </c>
      <c r="ACR73" s="1137">
        <f t="shared" si="20"/>
        <v>1</v>
      </c>
      <c r="ACS73" s="1137">
        <f t="shared" si="20"/>
        <v>0</v>
      </c>
      <c r="ACT73" s="1137">
        <f t="shared" si="20"/>
        <v>0</v>
      </c>
      <c r="ACU73" s="1137">
        <f t="shared" si="12"/>
        <v>0</v>
      </c>
      <c r="ACV73" s="1137">
        <f t="shared" si="12"/>
        <v>0</v>
      </c>
      <c r="ACW73" s="1137">
        <f t="shared" si="12"/>
        <v>0</v>
      </c>
      <c r="ACX73" s="1137">
        <f t="shared" si="12"/>
        <v>1</v>
      </c>
      <c r="ACY73" s="1137">
        <f t="shared" si="12"/>
        <v>1</v>
      </c>
      <c r="ACZ73" s="1137">
        <f t="shared" si="12"/>
        <v>0</v>
      </c>
      <c r="ADA73" s="1137">
        <f t="shared" si="12"/>
        <v>0</v>
      </c>
      <c r="ADB73" s="1137">
        <f t="shared" si="16"/>
        <v>0</v>
      </c>
      <c r="ADC73" s="1137">
        <f t="shared" si="16"/>
        <v>0</v>
      </c>
    </row>
    <row r="74" spans="1:783" x14ac:dyDescent="0.25">
      <c r="A74" t="s">
        <v>1871</v>
      </c>
      <c r="B74" t="s">
        <v>192</v>
      </c>
      <c r="C74">
        <v>0</v>
      </c>
      <c r="D74">
        <v>0</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v>0</v>
      </c>
      <c r="AW74">
        <v>0</v>
      </c>
      <c r="AX74">
        <v>0</v>
      </c>
      <c r="AY74">
        <v>0</v>
      </c>
      <c r="AZ74">
        <v>0</v>
      </c>
      <c r="BA74">
        <v>0</v>
      </c>
      <c r="BB74">
        <v>0</v>
      </c>
      <c r="BC74">
        <v>0</v>
      </c>
      <c r="BD74">
        <v>0</v>
      </c>
      <c r="BE74">
        <v>0</v>
      </c>
      <c r="BF74">
        <v>0</v>
      </c>
      <c r="BG74">
        <v>0</v>
      </c>
      <c r="BH74">
        <v>0</v>
      </c>
      <c r="BI74">
        <v>0</v>
      </c>
      <c r="BJ74">
        <v>0</v>
      </c>
      <c r="BK74">
        <v>0</v>
      </c>
      <c r="BL74">
        <v>0</v>
      </c>
      <c r="BM74">
        <v>0</v>
      </c>
      <c r="BN74">
        <v>0</v>
      </c>
      <c r="BO74">
        <v>0</v>
      </c>
      <c r="BP74">
        <v>0</v>
      </c>
      <c r="BQ74">
        <v>0</v>
      </c>
      <c r="BR74">
        <v>0</v>
      </c>
      <c r="BS74">
        <v>0</v>
      </c>
      <c r="BT74">
        <v>0</v>
      </c>
      <c r="BU74">
        <v>0</v>
      </c>
      <c r="BV74">
        <v>0</v>
      </c>
      <c r="BW74">
        <v>0</v>
      </c>
      <c r="BX74">
        <v>0</v>
      </c>
      <c r="BY74">
        <v>0</v>
      </c>
      <c r="BZ74">
        <v>0</v>
      </c>
      <c r="CA74">
        <v>0</v>
      </c>
      <c r="CB74">
        <v>0</v>
      </c>
      <c r="CC74">
        <v>0</v>
      </c>
      <c r="CD74">
        <v>0</v>
      </c>
      <c r="CE74">
        <v>0</v>
      </c>
      <c r="CF74">
        <v>0</v>
      </c>
      <c r="CG74">
        <v>0</v>
      </c>
      <c r="CH74">
        <v>0</v>
      </c>
      <c r="CI74">
        <v>0</v>
      </c>
      <c r="CJ74">
        <v>0</v>
      </c>
      <c r="CK74">
        <v>0</v>
      </c>
      <c r="CL74">
        <v>0</v>
      </c>
      <c r="CM74">
        <v>0</v>
      </c>
      <c r="CN74">
        <v>0</v>
      </c>
      <c r="CO74">
        <v>0</v>
      </c>
      <c r="CP74">
        <v>0</v>
      </c>
      <c r="CQ74">
        <v>0</v>
      </c>
      <c r="CR74">
        <v>0</v>
      </c>
      <c r="CS74">
        <v>0</v>
      </c>
      <c r="CT74">
        <v>0</v>
      </c>
      <c r="CU74">
        <v>0</v>
      </c>
      <c r="CV74">
        <v>0</v>
      </c>
      <c r="CW74">
        <v>0</v>
      </c>
      <c r="CX74">
        <v>0</v>
      </c>
      <c r="CY74">
        <v>0</v>
      </c>
      <c r="CZ74">
        <v>0</v>
      </c>
      <c r="DA74">
        <v>0</v>
      </c>
      <c r="DB74">
        <v>0</v>
      </c>
      <c r="DC74">
        <v>0</v>
      </c>
      <c r="DD74">
        <v>0</v>
      </c>
      <c r="DE74">
        <v>0</v>
      </c>
      <c r="DF74">
        <v>0</v>
      </c>
      <c r="DG74">
        <v>0</v>
      </c>
      <c r="DH74">
        <v>0</v>
      </c>
      <c r="DI74">
        <v>0</v>
      </c>
      <c r="DJ74">
        <v>0</v>
      </c>
      <c r="DK74">
        <v>0</v>
      </c>
      <c r="DL74">
        <v>0</v>
      </c>
      <c r="DM74">
        <v>0</v>
      </c>
      <c r="DN74">
        <v>0</v>
      </c>
      <c r="DO74">
        <v>0</v>
      </c>
      <c r="DP74">
        <v>0</v>
      </c>
      <c r="DQ74">
        <v>0</v>
      </c>
      <c r="DR74">
        <v>0</v>
      </c>
      <c r="DS74">
        <v>0</v>
      </c>
      <c r="DT74">
        <v>0</v>
      </c>
      <c r="DU74">
        <v>0</v>
      </c>
      <c r="DV74">
        <v>0</v>
      </c>
      <c r="DW74">
        <v>0</v>
      </c>
      <c r="DX74">
        <v>0</v>
      </c>
      <c r="DY74">
        <v>0</v>
      </c>
      <c r="DZ74">
        <v>0</v>
      </c>
      <c r="EA74">
        <v>0</v>
      </c>
      <c r="EB74">
        <v>0</v>
      </c>
      <c r="EC74">
        <v>0</v>
      </c>
      <c r="ED74">
        <v>0</v>
      </c>
      <c r="EE74">
        <v>0</v>
      </c>
      <c r="EF74">
        <v>0</v>
      </c>
      <c r="EG74">
        <v>0</v>
      </c>
      <c r="EH74">
        <v>0</v>
      </c>
      <c r="EI74">
        <v>0</v>
      </c>
      <c r="EJ74">
        <v>0</v>
      </c>
      <c r="EK74">
        <v>0</v>
      </c>
      <c r="EL74">
        <v>0</v>
      </c>
      <c r="EM74">
        <v>0</v>
      </c>
      <c r="EN74">
        <v>0</v>
      </c>
      <c r="EO74">
        <v>0</v>
      </c>
      <c r="EP74">
        <v>0</v>
      </c>
      <c r="EQ74">
        <v>0</v>
      </c>
      <c r="ER74">
        <v>0</v>
      </c>
      <c r="ES74">
        <v>0</v>
      </c>
      <c r="ET74">
        <v>0</v>
      </c>
      <c r="EU74">
        <v>0</v>
      </c>
      <c r="EV74">
        <v>0</v>
      </c>
      <c r="EW74">
        <v>0</v>
      </c>
      <c r="EX74">
        <v>0</v>
      </c>
      <c r="EY74">
        <v>0</v>
      </c>
      <c r="EZ74">
        <v>0</v>
      </c>
      <c r="FA74">
        <v>0</v>
      </c>
      <c r="FB74">
        <v>0</v>
      </c>
      <c r="FC74">
        <v>0</v>
      </c>
      <c r="FD74">
        <v>0</v>
      </c>
      <c r="FE74">
        <v>0</v>
      </c>
      <c r="FF74">
        <v>0</v>
      </c>
      <c r="FG74">
        <v>0</v>
      </c>
      <c r="FH74">
        <v>0</v>
      </c>
      <c r="FI74">
        <v>0</v>
      </c>
      <c r="FJ74">
        <v>0</v>
      </c>
      <c r="FK74">
        <v>0</v>
      </c>
      <c r="FL74">
        <v>0</v>
      </c>
      <c r="FM74">
        <v>0</v>
      </c>
      <c r="FN74">
        <v>0</v>
      </c>
      <c r="FO74">
        <v>0</v>
      </c>
      <c r="FP74">
        <v>0</v>
      </c>
      <c r="FQ74">
        <v>0</v>
      </c>
      <c r="FR74">
        <v>0</v>
      </c>
      <c r="FS74">
        <v>0</v>
      </c>
      <c r="FT74">
        <v>0</v>
      </c>
      <c r="FU74">
        <v>0</v>
      </c>
      <c r="FV74">
        <v>0</v>
      </c>
      <c r="FW74">
        <v>0</v>
      </c>
      <c r="FX74">
        <v>0</v>
      </c>
      <c r="FY74">
        <v>0</v>
      </c>
      <c r="FZ74">
        <v>0</v>
      </c>
      <c r="GA74">
        <v>0</v>
      </c>
      <c r="GB74">
        <v>0</v>
      </c>
      <c r="GC74">
        <v>0</v>
      </c>
      <c r="GD74">
        <v>0</v>
      </c>
      <c r="GE74">
        <v>0</v>
      </c>
      <c r="GF74">
        <v>0</v>
      </c>
      <c r="GG74">
        <v>0</v>
      </c>
      <c r="GH74">
        <v>0</v>
      </c>
      <c r="GI74">
        <v>0</v>
      </c>
      <c r="GJ74">
        <v>0</v>
      </c>
      <c r="GK74">
        <v>0</v>
      </c>
      <c r="GL74">
        <v>0</v>
      </c>
      <c r="GM74">
        <v>0</v>
      </c>
      <c r="GN74">
        <v>0</v>
      </c>
      <c r="GO74">
        <v>0</v>
      </c>
      <c r="GP74">
        <v>0</v>
      </c>
      <c r="GQ74">
        <v>0</v>
      </c>
      <c r="GR74">
        <v>0</v>
      </c>
      <c r="GS74">
        <v>0</v>
      </c>
      <c r="GT74">
        <v>0</v>
      </c>
      <c r="GU74">
        <v>0</v>
      </c>
      <c r="GV74">
        <v>0</v>
      </c>
      <c r="GW74">
        <v>0</v>
      </c>
      <c r="GX74">
        <v>0</v>
      </c>
      <c r="GY74">
        <v>0</v>
      </c>
      <c r="GZ74">
        <v>0</v>
      </c>
      <c r="HA74">
        <v>0</v>
      </c>
      <c r="HB74">
        <v>0</v>
      </c>
      <c r="HC74">
        <v>0</v>
      </c>
      <c r="HD74">
        <v>0</v>
      </c>
      <c r="HE74">
        <v>0</v>
      </c>
      <c r="HF74">
        <v>0</v>
      </c>
      <c r="HG74">
        <v>0</v>
      </c>
      <c r="HH74">
        <v>0</v>
      </c>
      <c r="HI74">
        <v>0</v>
      </c>
      <c r="HJ74">
        <v>0</v>
      </c>
      <c r="HK74">
        <v>0</v>
      </c>
      <c r="HL74">
        <v>0</v>
      </c>
      <c r="HM74">
        <v>0</v>
      </c>
      <c r="HN74">
        <v>0</v>
      </c>
      <c r="HO74">
        <v>0</v>
      </c>
      <c r="HP74">
        <v>0</v>
      </c>
      <c r="HQ74">
        <v>0</v>
      </c>
      <c r="HR74">
        <v>0</v>
      </c>
      <c r="HS74">
        <v>0</v>
      </c>
      <c r="HT74">
        <v>0</v>
      </c>
      <c r="HU74">
        <v>0</v>
      </c>
      <c r="HV74">
        <v>1</v>
      </c>
      <c r="HW74">
        <v>1</v>
      </c>
      <c r="HX74">
        <v>1</v>
      </c>
      <c r="HY74">
        <v>1</v>
      </c>
      <c r="HZ74">
        <v>1</v>
      </c>
      <c r="IA74">
        <v>1</v>
      </c>
      <c r="IB74">
        <v>1</v>
      </c>
      <c r="IC74">
        <v>1</v>
      </c>
      <c r="ID74">
        <v>1</v>
      </c>
      <c r="IE74">
        <v>1</v>
      </c>
      <c r="IF74">
        <v>1</v>
      </c>
      <c r="IG74">
        <v>1</v>
      </c>
      <c r="IH74">
        <v>1</v>
      </c>
      <c r="II74">
        <v>1</v>
      </c>
      <c r="IJ74">
        <v>1</v>
      </c>
      <c r="IK74">
        <v>1</v>
      </c>
      <c r="IL74">
        <v>1</v>
      </c>
      <c r="IM74">
        <v>1</v>
      </c>
      <c r="IN74">
        <v>1</v>
      </c>
      <c r="IO74">
        <v>1</v>
      </c>
      <c r="IP74">
        <v>1</v>
      </c>
      <c r="IQ74">
        <v>1</v>
      </c>
      <c r="IR74">
        <v>1</v>
      </c>
      <c r="IS74">
        <v>1</v>
      </c>
      <c r="IT74">
        <v>1</v>
      </c>
      <c r="IU74">
        <v>1</v>
      </c>
      <c r="IV74">
        <v>1</v>
      </c>
      <c r="IW74">
        <v>1</v>
      </c>
      <c r="IX74">
        <v>1</v>
      </c>
      <c r="IY74">
        <v>1</v>
      </c>
      <c r="IZ74">
        <v>1</v>
      </c>
      <c r="JA74">
        <v>1</v>
      </c>
      <c r="JB74">
        <v>1</v>
      </c>
      <c r="JC74">
        <v>1</v>
      </c>
      <c r="JD74">
        <v>1</v>
      </c>
      <c r="JE74">
        <v>1</v>
      </c>
      <c r="JF74">
        <v>1</v>
      </c>
      <c r="JG74">
        <v>1</v>
      </c>
      <c r="JH74">
        <v>1</v>
      </c>
      <c r="JI74">
        <v>1</v>
      </c>
      <c r="JJ74">
        <v>1</v>
      </c>
      <c r="JK74">
        <v>1</v>
      </c>
      <c r="JL74">
        <v>1</v>
      </c>
      <c r="JM74">
        <v>1</v>
      </c>
      <c r="JN74">
        <v>1</v>
      </c>
      <c r="JO74">
        <v>1</v>
      </c>
      <c r="JP74">
        <v>1</v>
      </c>
      <c r="JQ74">
        <v>1</v>
      </c>
      <c r="JR74">
        <v>1</v>
      </c>
      <c r="JS74">
        <v>1</v>
      </c>
      <c r="JT74">
        <v>1</v>
      </c>
      <c r="JU74">
        <v>1</v>
      </c>
      <c r="JV74">
        <v>1</v>
      </c>
      <c r="JW74">
        <v>1</v>
      </c>
      <c r="JX74">
        <v>1</v>
      </c>
      <c r="JY74">
        <v>1</v>
      </c>
      <c r="JZ74">
        <v>1</v>
      </c>
      <c r="KA74">
        <v>1</v>
      </c>
      <c r="KB74">
        <v>1</v>
      </c>
      <c r="KC74">
        <v>1</v>
      </c>
      <c r="KD74">
        <v>1</v>
      </c>
      <c r="KE74">
        <v>1</v>
      </c>
      <c r="KF74">
        <v>1</v>
      </c>
      <c r="KG74">
        <v>1</v>
      </c>
      <c r="KH74">
        <v>1</v>
      </c>
      <c r="KI74">
        <v>1</v>
      </c>
      <c r="KJ74">
        <v>1</v>
      </c>
      <c r="KK74">
        <v>1</v>
      </c>
      <c r="KL74">
        <v>1</v>
      </c>
      <c r="KM74">
        <v>1</v>
      </c>
      <c r="KN74">
        <v>1</v>
      </c>
      <c r="KO74">
        <v>1</v>
      </c>
      <c r="KP74">
        <v>1</v>
      </c>
      <c r="KQ74">
        <v>1</v>
      </c>
      <c r="KR74">
        <v>1</v>
      </c>
      <c r="KS74">
        <v>1</v>
      </c>
      <c r="KT74">
        <v>1</v>
      </c>
      <c r="KU74">
        <v>1</v>
      </c>
      <c r="KV74">
        <v>1</v>
      </c>
      <c r="KW74">
        <v>1</v>
      </c>
      <c r="KX74">
        <v>1</v>
      </c>
      <c r="KY74">
        <v>1</v>
      </c>
      <c r="KZ74">
        <v>1</v>
      </c>
      <c r="LA74">
        <v>1</v>
      </c>
      <c r="LB74">
        <v>1</v>
      </c>
      <c r="LC74">
        <v>1</v>
      </c>
      <c r="LD74">
        <v>1</v>
      </c>
      <c r="LE74">
        <v>1</v>
      </c>
      <c r="LF74">
        <v>1</v>
      </c>
      <c r="LG74">
        <v>1</v>
      </c>
      <c r="LH74">
        <v>1</v>
      </c>
      <c r="LI74">
        <v>1</v>
      </c>
      <c r="LJ74">
        <v>1</v>
      </c>
      <c r="LK74">
        <v>1</v>
      </c>
      <c r="LL74">
        <v>1</v>
      </c>
      <c r="LM74">
        <v>1</v>
      </c>
      <c r="LN74">
        <v>1</v>
      </c>
      <c r="LO74">
        <v>1</v>
      </c>
      <c r="LP74">
        <v>1</v>
      </c>
      <c r="LQ74">
        <v>1</v>
      </c>
      <c r="LR74">
        <v>1</v>
      </c>
      <c r="LS74">
        <v>1</v>
      </c>
      <c r="LT74">
        <v>1</v>
      </c>
      <c r="LU74">
        <v>1</v>
      </c>
      <c r="LV74">
        <v>1</v>
      </c>
      <c r="LW74">
        <v>1</v>
      </c>
      <c r="LX74">
        <v>1</v>
      </c>
      <c r="LY74">
        <v>1</v>
      </c>
      <c r="LZ74">
        <v>1</v>
      </c>
      <c r="MA74">
        <v>1</v>
      </c>
      <c r="MB74">
        <v>1</v>
      </c>
      <c r="MC74">
        <v>1</v>
      </c>
      <c r="MD74">
        <v>1</v>
      </c>
      <c r="ME74">
        <v>1</v>
      </c>
      <c r="MF74">
        <v>1</v>
      </c>
      <c r="MG74">
        <v>1</v>
      </c>
      <c r="MH74">
        <v>1</v>
      </c>
      <c r="MI74">
        <v>1</v>
      </c>
      <c r="MJ74">
        <v>1</v>
      </c>
      <c r="MK74">
        <v>1</v>
      </c>
      <c r="ML74">
        <v>1</v>
      </c>
      <c r="MM74">
        <v>1</v>
      </c>
      <c r="MN74">
        <v>1</v>
      </c>
      <c r="MO74">
        <v>1</v>
      </c>
      <c r="MP74">
        <v>1</v>
      </c>
      <c r="MQ74">
        <v>1</v>
      </c>
      <c r="MR74">
        <v>1</v>
      </c>
      <c r="MS74">
        <v>1</v>
      </c>
      <c r="MT74">
        <v>1</v>
      </c>
      <c r="MU74">
        <v>1</v>
      </c>
      <c r="MV74">
        <v>1</v>
      </c>
      <c r="MW74">
        <v>1</v>
      </c>
      <c r="MX74">
        <v>1</v>
      </c>
      <c r="MY74">
        <v>1</v>
      </c>
      <c r="MZ74">
        <v>1</v>
      </c>
      <c r="NA74">
        <v>1</v>
      </c>
      <c r="NB74">
        <v>1</v>
      </c>
      <c r="NC74">
        <v>1</v>
      </c>
      <c r="ND74">
        <v>1</v>
      </c>
      <c r="NE74">
        <v>1</v>
      </c>
      <c r="NF74">
        <v>1</v>
      </c>
      <c r="NG74">
        <v>1</v>
      </c>
      <c r="NH74">
        <v>1</v>
      </c>
      <c r="NI74">
        <v>1</v>
      </c>
      <c r="NJ74">
        <v>1</v>
      </c>
      <c r="NK74">
        <v>1</v>
      </c>
      <c r="NL74">
        <v>1</v>
      </c>
      <c r="NM74">
        <v>1</v>
      </c>
      <c r="NN74">
        <v>1</v>
      </c>
      <c r="NO74">
        <v>1</v>
      </c>
      <c r="NP74">
        <v>1</v>
      </c>
      <c r="NQ74">
        <v>1</v>
      </c>
      <c r="NR74">
        <v>1</v>
      </c>
      <c r="NS74">
        <v>1</v>
      </c>
      <c r="NT74">
        <v>1</v>
      </c>
      <c r="NU74">
        <v>1</v>
      </c>
      <c r="NV74">
        <v>1</v>
      </c>
      <c r="NW74">
        <v>1</v>
      </c>
      <c r="NX74">
        <v>1</v>
      </c>
      <c r="NY74">
        <v>1</v>
      </c>
      <c r="NZ74">
        <v>1</v>
      </c>
      <c r="OA74">
        <v>1</v>
      </c>
      <c r="OB74">
        <v>1</v>
      </c>
      <c r="OC74">
        <v>1</v>
      </c>
      <c r="OD74">
        <v>1</v>
      </c>
      <c r="OE74">
        <v>1</v>
      </c>
      <c r="OF74">
        <v>1</v>
      </c>
      <c r="OG74">
        <v>1</v>
      </c>
      <c r="OH74">
        <v>1</v>
      </c>
      <c r="OI74">
        <v>1</v>
      </c>
      <c r="OJ74">
        <v>1</v>
      </c>
      <c r="OK74">
        <v>1</v>
      </c>
      <c r="OL74">
        <v>1</v>
      </c>
      <c r="OM74">
        <v>1</v>
      </c>
      <c r="ON74">
        <v>1</v>
      </c>
      <c r="OO74">
        <v>1</v>
      </c>
      <c r="OP74">
        <v>1</v>
      </c>
      <c r="OQ74">
        <v>1</v>
      </c>
      <c r="OR74">
        <v>1</v>
      </c>
      <c r="OS74">
        <v>1</v>
      </c>
      <c r="OT74">
        <v>1</v>
      </c>
      <c r="OU74">
        <v>1</v>
      </c>
      <c r="OV74">
        <v>1</v>
      </c>
      <c r="OW74">
        <v>1</v>
      </c>
      <c r="OX74">
        <v>1</v>
      </c>
      <c r="OY74">
        <v>0</v>
      </c>
      <c r="OZ74">
        <v>0</v>
      </c>
      <c r="PA74">
        <v>0</v>
      </c>
      <c r="PB74">
        <v>0</v>
      </c>
      <c r="PC74">
        <v>0</v>
      </c>
      <c r="PD74">
        <v>0</v>
      </c>
      <c r="PE74">
        <v>0</v>
      </c>
      <c r="PF74">
        <v>0</v>
      </c>
      <c r="PG74">
        <v>0</v>
      </c>
      <c r="PH74">
        <v>0</v>
      </c>
      <c r="PI74">
        <v>0</v>
      </c>
      <c r="PJ74">
        <v>0</v>
      </c>
      <c r="PK74">
        <v>0</v>
      </c>
      <c r="PL74">
        <v>0</v>
      </c>
      <c r="PM74">
        <v>0</v>
      </c>
      <c r="PN74">
        <v>0</v>
      </c>
      <c r="PO74">
        <v>0</v>
      </c>
      <c r="PP74">
        <v>0</v>
      </c>
      <c r="PQ74">
        <v>0</v>
      </c>
      <c r="PR74">
        <v>0</v>
      </c>
      <c r="PS74">
        <v>0</v>
      </c>
      <c r="PT74">
        <v>0</v>
      </c>
      <c r="PU74">
        <v>0</v>
      </c>
      <c r="PV74">
        <v>0</v>
      </c>
      <c r="PW74">
        <v>0</v>
      </c>
      <c r="PX74">
        <v>0</v>
      </c>
      <c r="PY74">
        <v>0</v>
      </c>
      <c r="PZ74">
        <v>0</v>
      </c>
      <c r="QA74">
        <v>0</v>
      </c>
      <c r="QB74">
        <v>0</v>
      </c>
      <c r="QC74">
        <v>0</v>
      </c>
      <c r="QD74">
        <v>0</v>
      </c>
      <c r="QE74">
        <v>0</v>
      </c>
      <c r="QF74">
        <v>0</v>
      </c>
      <c r="QG74">
        <v>0</v>
      </c>
      <c r="QH74">
        <v>0</v>
      </c>
      <c r="QI74">
        <v>0</v>
      </c>
      <c r="QJ74">
        <v>0</v>
      </c>
      <c r="QK74">
        <v>0</v>
      </c>
      <c r="QL74">
        <v>0</v>
      </c>
      <c r="QM74">
        <v>0</v>
      </c>
      <c r="QN74">
        <v>0</v>
      </c>
      <c r="QO74">
        <v>0</v>
      </c>
      <c r="QP74">
        <v>0</v>
      </c>
      <c r="QQ74">
        <v>0</v>
      </c>
      <c r="QR74">
        <v>0</v>
      </c>
      <c r="QS74">
        <v>0</v>
      </c>
      <c r="QT74">
        <v>0</v>
      </c>
      <c r="QU74">
        <v>0</v>
      </c>
      <c r="QV74">
        <v>0</v>
      </c>
      <c r="QW74">
        <v>0</v>
      </c>
      <c r="QX74">
        <v>0</v>
      </c>
      <c r="QY74">
        <v>0</v>
      </c>
      <c r="QZ74">
        <v>0</v>
      </c>
      <c r="RA74">
        <v>0</v>
      </c>
      <c r="RB74">
        <v>0</v>
      </c>
      <c r="RC74">
        <v>0</v>
      </c>
      <c r="RD74">
        <v>0</v>
      </c>
      <c r="RE74">
        <v>0</v>
      </c>
      <c r="RF74">
        <v>0</v>
      </c>
      <c r="RG74">
        <v>0</v>
      </c>
      <c r="RH74">
        <v>0</v>
      </c>
      <c r="RI74">
        <v>0</v>
      </c>
      <c r="RJ74">
        <v>0</v>
      </c>
      <c r="RK74">
        <v>0</v>
      </c>
      <c r="RL74">
        <v>0</v>
      </c>
      <c r="RM74">
        <v>0</v>
      </c>
      <c r="RN74">
        <v>0</v>
      </c>
      <c r="RO74">
        <v>0</v>
      </c>
      <c r="RP74">
        <v>0</v>
      </c>
      <c r="RQ74">
        <v>0</v>
      </c>
      <c r="RR74">
        <v>0</v>
      </c>
      <c r="RS74">
        <v>0</v>
      </c>
      <c r="RT74">
        <v>0</v>
      </c>
      <c r="RU74">
        <v>0</v>
      </c>
      <c r="RV74">
        <v>0</v>
      </c>
      <c r="RW74">
        <v>0</v>
      </c>
      <c r="RX74">
        <v>0</v>
      </c>
      <c r="RY74">
        <v>0</v>
      </c>
      <c r="RZ74">
        <v>0</v>
      </c>
      <c r="SA74">
        <v>0</v>
      </c>
      <c r="SB74">
        <v>0</v>
      </c>
      <c r="SC74">
        <v>0</v>
      </c>
      <c r="SD74">
        <v>0</v>
      </c>
      <c r="SE74">
        <v>0</v>
      </c>
      <c r="SF74">
        <v>0</v>
      </c>
      <c r="SG74">
        <v>0</v>
      </c>
      <c r="SH74">
        <v>0</v>
      </c>
      <c r="SI74">
        <v>0</v>
      </c>
      <c r="SJ74">
        <v>0</v>
      </c>
      <c r="SK74">
        <v>0</v>
      </c>
      <c r="SL74">
        <v>0</v>
      </c>
      <c r="SM74">
        <v>0</v>
      </c>
      <c r="SN74">
        <v>0</v>
      </c>
      <c r="SO74">
        <v>0</v>
      </c>
      <c r="SP74">
        <v>0</v>
      </c>
      <c r="SQ74">
        <v>0</v>
      </c>
      <c r="SR74">
        <v>0</v>
      </c>
      <c r="SS74">
        <v>0</v>
      </c>
      <c r="ST74">
        <v>0</v>
      </c>
      <c r="SU74">
        <v>0</v>
      </c>
      <c r="SV74">
        <v>0</v>
      </c>
      <c r="SW74">
        <v>0</v>
      </c>
      <c r="SX74">
        <v>0</v>
      </c>
      <c r="SY74">
        <v>0</v>
      </c>
      <c r="SZ74">
        <v>0</v>
      </c>
      <c r="TA74">
        <v>0</v>
      </c>
      <c r="TB74">
        <v>0</v>
      </c>
      <c r="TC74">
        <v>0</v>
      </c>
      <c r="TD74">
        <v>0</v>
      </c>
      <c r="TE74">
        <v>0</v>
      </c>
      <c r="TF74">
        <v>0</v>
      </c>
      <c r="TG74">
        <v>0</v>
      </c>
      <c r="TH74">
        <v>0</v>
      </c>
      <c r="TI74">
        <v>0</v>
      </c>
      <c r="TJ74">
        <v>0</v>
      </c>
      <c r="TK74">
        <v>0</v>
      </c>
      <c r="TL74">
        <v>0</v>
      </c>
      <c r="TM74">
        <v>0</v>
      </c>
      <c r="TN74">
        <v>0</v>
      </c>
      <c r="TO74">
        <v>0</v>
      </c>
      <c r="TP74">
        <v>0</v>
      </c>
      <c r="TQ74">
        <v>0</v>
      </c>
      <c r="TR74">
        <v>0</v>
      </c>
      <c r="TS74">
        <v>0</v>
      </c>
      <c r="TT74">
        <v>0</v>
      </c>
      <c r="TU74">
        <v>0</v>
      </c>
      <c r="TV74">
        <v>0</v>
      </c>
      <c r="TW74">
        <v>0</v>
      </c>
      <c r="TX74">
        <v>0</v>
      </c>
      <c r="TY74">
        <v>0</v>
      </c>
      <c r="TZ74">
        <v>0</v>
      </c>
      <c r="UA74">
        <v>0</v>
      </c>
      <c r="UB74">
        <v>0</v>
      </c>
      <c r="UC74">
        <v>0</v>
      </c>
      <c r="UD74">
        <v>0</v>
      </c>
      <c r="UE74">
        <v>0</v>
      </c>
      <c r="UF74">
        <v>0</v>
      </c>
      <c r="UG74">
        <v>0</v>
      </c>
      <c r="UH74">
        <v>0</v>
      </c>
      <c r="UI74">
        <v>0</v>
      </c>
      <c r="UJ74">
        <v>0</v>
      </c>
      <c r="UK74">
        <v>0</v>
      </c>
      <c r="UL74">
        <v>0</v>
      </c>
      <c r="UM74">
        <v>0</v>
      </c>
      <c r="UN74">
        <v>0</v>
      </c>
      <c r="UO74">
        <v>0</v>
      </c>
      <c r="UP74">
        <v>0</v>
      </c>
      <c r="UQ74">
        <v>0</v>
      </c>
      <c r="UR74">
        <v>0</v>
      </c>
      <c r="US74">
        <v>0</v>
      </c>
      <c r="UT74">
        <v>0</v>
      </c>
      <c r="UU74">
        <v>0</v>
      </c>
      <c r="UV74">
        <v>0</v>
      </c>
      <c r="UW74">
        <v>0</v>
      </c>
      <c r="UX74">
        <v>0</v>
      </c>
      <c r="UY74">
        <v>0</v>
      </c>
      <c r="UZ74">
        <v>0</v>
      </c>
      <c r="VA74">
        <v>0</v>
      </c>
      <c r="VB74">
        <v>0</v>
      </c>
      <c r="VC74">
        <v>0</v>
      </c>
      <c r="VD74">
        <v>0</v>
      </c>
      <c r="VE74">
        <v>0</v>
      </c>
      <c r="VF74">
        <v>0</v>
      </c>
      <c r="VG74">
        <v>0</v>
      </c>
      <c r="VH74">
        <v>0</v>
      </c>
      <c r="VI74">
        <v>0</v>
      </c>
      <c r="VJ74">
        <v>0</v>
      </c>
      <c r="VK74">
        <v>0</v>
      </c>
      <c r="VL74">
        <v>0</v>
      </c>
      <c r="VM74">
        <v>0</v>
      </c>
      <c r="VN74">
        <v>0</v>
      </c>
      <c r="VO74">
        <v>0</v>
      </c>
      <c r="VP74">
        <v>0</v>
      </c>
      <c r="VQ74">
        <v>0</v>
      </c>
      <c r="VR74">
        <v>0</v>
      </c>
      <c r="VS74">
        <v>0</v>
      </c>
      <c r="VT74">
        <v>0</v>
      </c>
      <c r="VU74">
        <v>0</v>
      </c>
      <c r="VV74">
        <v>0</v>
      </c>
      <c r="VW74">
        <v>0</v>
      </c>
      <c r="VX74">
        <v>0</v>
      </c>
      <c r="VY74">
        <v>0</v>
      </c>
      <c r="VZ74">
        <v>0</v>
      </c>
      <c r="WA74">
        <v>0</v>
      </c>
      <c r="WB74">
        <v>0</v>
      </c>
      <c r="WC74">
        <v>0</v>
      </c>
      <c r="WD74">
        <v>0</v>
      </c>
      <c r="WE74">
        <v>0</v>
      </c>
      <c r="WF74">
        <v>0</v>
      </c>
      <c r="WG74">
        <v>0</v>
      </c>
      <c r="WH74">
        <v>0</v>
      </c>
      <c r="WI74">
        <v>0</v>
      </c>
      <c r="WJ74">
        <v>0</v>
      </c>
      <c r="WK74">
        <v>0</v>
      </c>
      <c r="WL74">
        <v>0</v>
      </c>
      <c r="WM74">
        <v>0</v>
      </c>
      <c r="WN74">
        <v>0</v>
      </c>
      <c r="WO74">
        <v>0</v>
      </c>
      <c r="WP74">
        <v>0</v>
      </c>
      <c r="WQ74">
        <v>0</v>
      </c>
      <c r="WR74">
        <v>0</v>
      </c>
      <c r="WS74">
        <v>0</v>
      </c>
      <c r="WT74">
        <v>0</v>
      </c>
      <c r="WU74">
        <v>0</v>
      </c>
      <c r="WV74">
        <v>0</v>
      </c>
      <c r="WW74">
        <v>0</v>
      </c>
      <c r="WX74">
        <v>0</v>
      </c>
      <c r="WY74">
        <v>0</v>
      </c>
      <c r="WZ74">
        <v>0</v>
      </c>
      <c r="XA74">
        <v>0</v>
      </c>
      <c r="XB74">
        <v>0</v>
      </c>
      <c r="XC74">
        <v>0</v>
      </c>
      <c r="XD74">
        <v>0</v>
      </c>
      <c r="XE74">
        <v>0</v>
      </c>
      <c r="XF74">
        <v>0</v>
      </c>
      <c r="XG74">
        <v>0</v>
      </c>
      <c r="XH74">
        <v>0</v>
      </c>
      <c r="XI74">
        <v>0</v>
      </c>
      <c r="XJ74">
        <v>0</v>
      </c>
      <c r="XK74">
        <v>0</v>
      </c>
      <c r="XL74">
        <v>0</v>
      </c>
      <c r="XM74">
        <v>0</v>
      </c>
      <c r="XN74">
        <v>0</v>
      </c>
      <c r="XO74">
        <v>0</v>
      </c>
      <c r="XP74">
        <v>0</v>
      </c>
      <c r="XQ74">
        <v>0</v>
      </c>
      <c r="XR74">
        <v>0</v>
      </c>
      <c r="XS74">
        <v>0</v>
      </c>
      <c r="XT74">
        <v>0</v>
      </c>
      <c r="XU74">
        <v>0</v>
      </c>
      <c r="XV74">
        <v>0</v>
      </c>
      <c r="XW74">
        <v>0</v>
      </c>
      <c r="XX74">
        <v>0</v>
      </c>
      <c r="XY74">
        <v>0</v>
      </c>
      <c r="XZ74">
        <v>0</v>
      </c>
      <c r="YA74">
        <v>0</v>
      </c>
      <c r="YB74">
        <v>0</v>
      </c>
      <c r="YC74">
        <v>0</v>
      </c>
      <c r="YD74">
        <v>0</v>
      </c>
      <c r="YE74">
        <v>0</v>
      </c>
      <c r="YF74">
        <v>0</v>
      </c>
      <c r="YG74">
        <v>0</v>
      </c>
      <c r="YH74">
        <v>0</v>
      </c>
      <c r="YI74">
        <v>0</v>
      </c>
      <c r="YJ74">
        <v>0</v>
      </c>
      <c r="YK74">
        <v>0</v>
      </c>
      <c r="YL74">
        <v>0</v>
      </c>
      <c r="YM74">
        <v>0</v>
      </c>
      <c r="YN74">
        <v>0</v>
      </c>
      <c r="YO74">
        <v>0</v>
      </c>
      <c r="YP74">
        <v>0</v>
      </c>
      <c r="YQ74">
        <v>0</v>
      </c>
      <c r="YR74">
        <v>0</v>
      </c>
      <c r="YS74">
        <v>0</v>
      </c>
      <c r="YT74">
        <v>0</v>
      </c>
      <c r="YU74">
        <v>0</v>
      </c>
      <c r="YV74">
        <v>0</v>
      </c>
      <c r="YW74">
        <v>0</v>
      </c>
      <c r="YX74">
        <v>0</v>
      </c>
      <c r="YY74">
        <v>0</v>
      </c>
      <c r="YZ74">
        <v>0</v>
      </c>
      <c r="ZA74">
        <v>0</v>
      </c>
      <c r="ZB74">
        <v>0</v>
      </c>
      <c r="ZC74">
        <v>0</v>
      </c>
      <c r="ZD74">
        <v>0</v>
      </c>
      <c r="ZE74">
        <v>0</v>
      </c>
      <c r="ZF74">
        <v>0</v>
      </c>
      <c r="ZG74">
        <v>0</v>
      </c>
      <c r="ZH74">
        <v>0</v>
      </c>
      <c r="ZI74">
        <v>0</v>
      </c>
      <c r="ZJ74">
        <v>0</v>
      </c>
      <c r="ZK74">
        <v>0</v>
      </c>
      <c r="ZL74">
        <v>0</v>
      </c>
      <c r="ZM74">
        <v>0</v>
      </c>
      <c r="ZN74">
        <v>0</v>
      </c>
      <c r="ZO74">
        <v>0</v>
      </c>
      <c r="ZP74">
        <v>0</v>
      </c>
      <c r="ZQ74">
        <v>0</v>
      </c>
      <c r="ZR74">
        <v>0</v>
      </c>
      <c r="ZS74">
        <v>0</v>
      </c>
      <c r="ZT74">
        <v>0</v>
      </c>
      <c r="ZU74">
        <v>0</v>
      </c>
      <c r="ZV74">
        <v>0</v>
      </c>
      <c r="ZW74">
        <v>0</v>
      </c>
      <c r="ZX74">
        <v>0</v>
      </c>
      <c r="ZY74">
        <v>0</v>
      </c>
      <c r="ZZ74">
        <v>0</v>
      </c>
      <c r="AAA74">
        <v>0</v>
      </c>
      <c r="AAB74">
        <v>0</v>
      </c>
      <c r="AAC74">
        <v>0</v>
      </c>
      <c r="AAD74">
        <v>0</v>
      </c>
      <c r="AAE74">
        <v>0</v>
      </c>
      <c r="AAF74">
        <v>0</v>
      </c>
      <c r="AAG74">
        <v>0</v>
      </c>
      <c r="AAH74">
        <v>0</v>
      </c>
      <c r="AAI74">
        <v>0</v>
      </c>
      <c r="AAJ74">
        <v>0</v>
      </c>
      <c r="AAK74">
        <v>0</v>
      </c>
      <c r="AAL74">
        <v>0</v>
      </c>
      <c r="AAM74">
        <v>0</v>
      </c>
      <c r="AAN74">
        <v>0</v>
      </c>
      <c r="AAO74">
        <v>0</v>
      </c>
      <c r="AAP74">
        <v>0</v>
      </c>
      <c r="AAQ74">
        <v>0</v>
      </c>
      <c r="AAR74">
        <v>0</v>
      </c>
      <c r="AAS74">
        <v>0</v>
      </c>
      <c r="AAT74">
        <v>0</v>
      </c>
      <c r="AAU74">
        <v>0</v>
      </c>
      <c r="AAV74">
        <v>0</v>
      </c>
      <c r="AAW74">
        <v>0</v>
      </c>
      <c r="AAX74">
        <v>0</v>
      </c>
      <c r="AAY74">
        <v>0</v>
      </c>
      <c r="AAZ74">
        <v>0</v>
      </c>
      <c r="ABA74">
        <v>0</v>
      </c>
      <c r="ABB74">
        <v>0</v>
      </c>
      <c r="ABC74">
        <v>0</v>
      </c>
      <c r="ABD74">
        <v>0</v>
      </c>
      <c r="ABE74">
        <v>0</v>
      </c>
      <c r="ABG74" s="1137">
        <f t="shared" si="19"/>
        <v>0</v>
      </c>
      <c r="ABH74" s="1137">
        <f t="shared" si="19"/>
        <v>0</v>
      </c>
      <c r="ABI74" s="1137">
        <f t="shared" si="19"/>
        <v>0</v>
      </c>
      <c r="ABJ74" s="1137">
        <f t="shared" si="19"/>
        <v>0</v>
      </c>
      <c r="ABK74" s="1137">
        <f t="shared" si="19"/>
        <v>0</v>
      </c>
      <c r="ABL74" s="1137">
        <f t="shared" si="19"/>
        <v>0</v>
      </c>
      <c r="ABM74" s="1137">
        <f t="shared" si="19"/>
        <v>0</v>
      </c>
      <c r="ABN74" s="1137">
        <f t="shared" si="19"/>
        <v>17</v>
      </c>
      <c r="ABO74" s="1137">
        <f t="shared" si="19"/>
        <v>30</v>
      </c>
      <c r="ABP74" s="1137">
        <f t="shared" si="19"/>
        <v>31</v>
      </c>
      <c r="ABQ74" s="1137">
        <f t="shared" si="19"/>
        <v>30</v>
      </c>
      <c r="ABR74" s="1137">
        <f t="shared" si="19"/>
        <v>31</v>
      </c>
      <c r="ABS74" s="1137">
        <f t="shared" si="19"/>
        <v>31</v>
      </c>
      <c r="ABT74" s="1137">
        <f t="shared" si="19"/>
        <v>15</v>
      </c>
      <c r="ABU74" s="1137">
        <f t="shared" si="19"/>
        <v>0</v>
      </c>
      <c r="ABV74" s="1137">
        <f t="shared" si="19"/>
        <v>0</v>
      </c>
      <c r="ABW74" s="1137">
        <f t="shared" si="17"/>
        <v>0</v>
      </c>
      <c r="ABX74" s="1137">
        <f t="shared" si="14"/>
        <v>0</v>
      </c>
      <c r="ABY74" s="1137">
        <f t="shared" si="14"/>
        <v>0</v>
      </c>
      <c r="ABZ74" s="1137">
        <f t="shared" si="14"/>
        <v>0</v>
      </c>
      <c r="ACA74" s="1137">
        <f t="shared" si="14"/>
        <v>0</v>
      </c>
      <c r="ACB74" s="1137">
        <f t="shared" si="14"/>
        <v>0</v>
      </c>
      <c r="ACC74" s="1137">
        <f t="shared" si="14"/>
        <v>0</v>
      </c>
      <c r="ACD74" s="1137">
        <f t="shared" si="14"/>
        <v>0</v>
      </c>
      <c r="ACE74" s="1137" t="s">
        <v>192</v>
      </c>
      <c r="ACF74" s="1137">
        <f t="shared" si="20"/>
        <v>0</v>
      </c>
      <c r="ACG74" s="1137">
        <f t="shared" si="20"/>
        <v>0</v>
      </c>
      <c r="ACH74" s="1137">
        <f t="shared" si="20"/>
        <v>0</v>
      </c>
      <c r="ACI74" s="1137">
        <f t="shared" si="20"/>
        <v>0</v>
      </c>
      <c r="ACJ74" s="1137">
        <f t="shared" si="20"/>
        <v>0</v>
      </c>
      <c r="ACK74" s="1137">
        <f t="shared" si="20"/>
        <v>0</v>
      </c>
      <c r="ACL74" s="1137">
        <f t="shared" si="20"/>
        <v>0</v>
      </c>
      <c r="ACM74" s="1137">
        <f t="shared" si="20"/>
        <v>1</v>
      </c>
      <c r="ACN74" s="1137">
        <f t="shared" si="20"/>
        <v>1</v>
      </c>
      <c r="ACO74" s="1137">
        <f t="shared" si="20"/>
        <v>1</v>
      </c>
      <c r="ACP74" s="1137">
        <f t="shared" si="20"/>
        <v>1</v>
      </c>
      <c r="ACQ74" s="1137">
        <f t="shared" si="20"/>
        <v>1</v>
      </c>
      <c r="ACR74" s="1137">
        <f t="shared" si="20"/>
        <v>1</v>
      </c>
      <c r="ACS74" s="1137">
        <f t="shared" si="20"/>
        <v>1</v>
      </c>
      <c r="ACT74" s="1137">
        <f t="shared" si="20"/>
        <v>0</v>
      </c>
      <c r="ACU74" s="1137">
        <f t="shared" si="12"/>
        <v>0</v>
      </c>
      <c r="ACV74" s="1137">
        <f t="shared" si="12"/>
        <v>0</v>
      </c>
      <c r="ACW74" s="1137">
        <f t="shared" si="12"/>
        <v>0</v>
      </c>
      <c r="ACX74" s="1137">
        <f t="shared" si="12"/>
        <v>0</v>
      </c>
      <c r="ACY74" s="1137">
        <f t="shared" si="12"/>
        <v>0</v>
      </c>
      <c r="ACZ74" s="1137">
        <f t="shared" si="12"/>
        <v>0</v>
      </c>
      <c r="ADA74" s="1137">
        <f t="shared" si="12"/>
        <v>0</v>
      </c>
      <c r="ADB74" s="1137">
        <f t="shared" si="16"/>
        <v>0</v>
      </c>
      <c r="ADC74" s="1137">
        <f t="shared" si="16"/>
        <v>0</v>
      </c>
    </row>
    <row r="75" spans="1:783" x14ac:dyDescent="0.25">
      <c r="A75" t="s">
        <v>1872</v>
      </c>
      <c r="B75" t="s">
        <v>194</v>
      </c>
      <c r="C75">
        <v>0</v>
      </c>
      <c r="D75">
        <v>0</v>
      </c>
      <c r="E75">
        <v>0</v>
      </c>
      <c r="F75">
        <v>0</v>
      </c>
      <c r="G75">
        <v>0</v>
      </c>
      <c r="H75">
        <v>0</v>
      </c>
      <c r="I75">
        <v>0</v>
      </c>
      <c r="J75">
        <v>0</v>
      </c>
      <c r="K75">
        <v>0</v>
      </c>
      <c r="L75">
        <v>0</v>
      </c>
      <c r="M75">
        <v>0</v>
      </c>
      <c r="N75">
        <v>0</v>
      </c>
      <c r="O75">
        <v>0</v>
      </c>
      <c r="P75">
        <v>0</v>
      </c>
      <c r="Q75">
        <v>0</v>
      </c>
      <c r="R75">
        <v>0</v>
      </c>
      <c r="S75">
        <v>0</v>
      </c>
      <c r="T75">
        <v>0</v>
      </c>
      <c r="U75">
        <v>0</v>
      </c>
      <c r="V75">
        <v>0</v>
      </c>
      <c r="W75">
        <v>0</v>
      </c>
      <c r="X75">
        <v>0</v>
      </c>
      <c r="Y75">
        <v>0</v>
      </c>
      <c r="Z75">
        <v>0</v>
      </c>
      <c r="AA75">
        <v>0</v>
      </c>
      <c r="AB75">
        <v>0</v>
      </c>
      <c r="AC75">
        <v>0</v>
      </c>
      <c r="AD75">
        <v>0</v>
      </c>
      <c r="AE75">
        <v>0</v>
      </c>
      <c r="AF75">
        <v>0</v>
      </c>
      <c r="AG75">
        <v>0</v>
      </c>
      <c r="AH75">
        <v>0</v>
      </c>
      <c r="AI75">
        <v>0</v>
      </c>
      <c r="AJ75">
        <v>0</v>
      </c>
      <c r="AK75">
        <v>0</v>
      </c>
      <c r="AL75">
        <v>0</v>
      </c>
      <c r="AM75">
        <v>0</v>
      </c>
      <c r="AN75">
        <v>0</v>
      </c>
      <c r="AO75">
        <v>0</v>
      </c>
      <c r="AP75">
        <v>0</v>
      </c>
      <c r="AQ75">
        <v>0</v>
      </c>
      <c r="AR75">
        <v>0</v>
      </c>
      <c r="AS75">
        <v>0</v>
      </c>
      <c r="AT75">
        <v>0</v>
      </c>
      <c r="AU75">
        <v>0</v>
      </c>
      <c r="AV75">
        <v>0</v>
      </c>
      <c r="AW75">
        <v>0</v>
      </c>
      <c r="AX75">
        <v>0</v>
      </c>
      <c r="AY75">
        <v>0</v>
      </c>
      <c r="AZ75">
        <v>0</v>
      </c>
      <c r="BA75">
        <v>0</v>
      </c>
      <c r="BB75">
        <v>0</v>
      </c>
      <c r="BC75">
        <v>0</v>
      </c>
      <c r="BD75">
        <v>0</v>
      </c>
      <c r="BE75">
        <v>0</v>
      </c>
      <c r="BF75">
        <v>0</v>
      </c>
      <c r="BG75">
        <v>0</v>
      </c>
      <c r="BH75">
        <v>0</v>
      </c>
      <c r="BI75">
        <v>0</v>
      </c>
      <c r="BJ75">
        <v>0</v>
      </c>
      <c r="BK75">
        <v>0</v>
      </c>
      <c r="BL75">
        <v>0</v>
      </c>
      <c r="BM75">
        <v>0</v>
      </c>
      <c r="BN75">
        <v>0</v>
      </c>
      <c r="BO75">
        <v>0</v>
      </c>
      <c r="BP75">
        <v>0</v>
      </c>
      <c r="BQ75">
        <v>0</v>
      </c>
      <c r="BR75">
        <v>0</v>
      </c>
      <c r="BS75">
        <v>0</v>
      </c>
      <c r="BT75">
        <v>0</v>
      </c>
      <c r="BU75">
        <v>1</v>
      </c>
      <c r="BV75">
        <v>1</v>
      </c>
      <c r="BW75">
        <v>1</v>
      </c>
      <c r="BX75">
        <v>1</v>
      </c>
      <c r="BY75">
        <v>1</v>
      </c>
      <c r="BZ75">
        <v>1</v>
      </c>
      <c r="CA75">
        <v>1</v>
      </c>
      <c r="CB75">
        <v>1</v>
      </c>
      <c r="CC75">
        <v>1</v>
      </c>
      <c r="CD75">
        <v>1</v>
      </c>
      <c r="CE75">
        <v>1</v>
      </c>
      <c r="CF75">
        <v>1</v>
      </c>
      <c r="CG75">
        <v>1</v>
      </c>
      <c r="CH75">
        <v>1</v>
      </c>
      <c r="CI75">
        <v>1</v>
      </c>
      <c r="CJ75">
        <v>1</v>
      </c>
      <c r="CK75">
        <v>1</v>
      </c>
      <c r="CL75">
        <v>1</v>
      </c>
      <c r="CM75">
        <v>1</v>
      </c>
      <c r="CN75">
        <v>1</v>
      </c>
      <c r="CO75">
        <v>1</v>
      </c>
      <c r="CP75">
        <v>1</v>
      </c>
      <c r="CQ75">
        <v>1</v>
      </c>
      <c r="CR75">
        <v>2</v>
      </c>
      <c r="CS75">
        <v>2</v>
      </c>
      <c r="CT75">
        <v>2</v>
      </c>
      <c r="CU75">
        <v>2</v>
      </c>
      <c r="CV75">
        <v>2</v>
      </c>
      <c r="CW75">
        <v>2</v>
      </c>
      <c r="CX75">
        <v>2</v>
      </c>
      <c r="CY75">
        <v>2</v>
      </c>
      <c r="CZ75">
        <v>2</v>
      </c>
      <c r="DA75">
        <v>2</v>
      </c>
      <c r="DB75">
        <v>2</v>
      </c>
      <c r="DC75">
        <v>2</v>
      </c>
      <c r="DD75">
        <v>2</v>
      </c>
      <c r="DE75">
        <v>2</v>
      </c>
      <c r="DF75">
        <v>2</v>
      </c>
      <c r="DG75">
        <v>2</v>
      </c>
      <c r="DH75">
        <v>2</v>
      </c>
      <c r="DI75">
        <v>2</v>
      </c>
      <c r="DJ75">
        <v>2</v>
      </c>
      <c r="DK75">
        <v>2</v>
      </c>
      <c r="DL75">
        <v>2</v>
      </c>
      <c r="DM75">
        <v>2</v>
      </c>
      <c r="DN75">
        <v>2</v>
      </c>
      <c r="DO75">
        <v>2</v>
      </c>
      <c r="DP75">
        <v>2</v>
      </c>
      <c r="DQ75">
        <v>2</v>
      </c>
      <c r="DR75">
        <v>2</v>
      </c>
      <c r="DS75">
        <v>2</v>
      </c>
      <c r="DT75">
        <v>2</v>
      </c>
      <c r="DU75">
        <v>2</v>
      </c>
      <c r="DV75">
        <v>2</v>
      </c>
      <c r="DW75">
        <v>2</v>
      </c>
      <c r="DX75">
        <v>2</v>
      </c>
      <c r="DY75">
        <v>2</v>
      </c>
      <c r="DZ75">
        <v>2</v>
      </c>
      <c r="EA75">
        <v>2</v>
      </c>
      <c r="EB75">
        <v>2</v>
      </c>
      <c r="EC75">
        <v>2</v>
      </c>
      <c r="ED75">
        <v>2</v>
      </c>
      <c r="EE75">
        <v>2</v>
      </c>
      <c r="EF75">
        <v>2</v>
      </c>
      <c r="EG75">
        <v>2</v>
      </c>
      <c r="EH75">
        <v>2</v>
      </c>
      <c r="EI75">
        <v>2</v>
      </c>
      <c r="EJ75">
        <v>2</v>
      </c>
      <c r="EK75">
        <v>2</v>
      </c>
      <c r="EL75">
        <v>2</v>
      </c>
      <c r="EM75">
        <v>2</v>
      </c>
      <c r="EN75">
        <v>2</v>
      </c>
      <c r="EO75">
        <v>2</v>
      </c>
      <c r="EP75">
        <v>2</v>
      </c>
      <c r="EQ75">
        <v>2</v>
      </c>
      <c r="ER75">
        <v>2</v>
      </c>
      <c r="ES75">
        <v>2</v>
      </c>
      <c r="ET75">
        <v>2</v>
      </c>
      <c r="EU75">
        <v>2</v>
      </c>
      <c r="EV75">
        <v>2</v>
      </c>
      <c r="EW75">
        <v>2</v>
      </c>
      <c r="EX75">
        <v>2</v>
      </c>
      <c r="EY75">
        <v>2</v>
      </c>
      <c r="EZ75">
        <v>2</v>
      </c>
      <c r="FA75">
        <v>2</v>
      </c>
      <c r="FB75">
        <v>2</v>
      </c>
      <c r="FC75">
        <v>2</v>
      </c>
      <c r="FD75">
        <v>2</v>
      </c>
      <c r="FE75">
        <v>2</v>
      </c>
      <c r="FF75">
        <v>2</v>
      </c>
      <c r="FG75">
        <v>2</v>
      </c>
      <c r="FH75">
        <v>2</v>
      </c>
      <c r="FI75">
        <v>2</v>
      </c>
      <c r="FJ75">
        <v>2</v>
      </c>
      <c r="FK75">
        <v>2</v>
      </c>
      <c r="FL75">
        <v>2</v>
      </c>
      <c r="FM75">
        <v>2</v>
      </c>
      <c r="FN75">
        <v>2</v>
      </c>
      <c r="FO75">
        <v>2</v>
      </c>
      <c r="FP75">
        <v>2</v>
      </c>
      <c r="FQ75">
        <v>2</v>
      </c>
      <c r="FR75">
        <v>2</v>
      </c>
      <c r="FS75">
        <v>2</v>
      </c>
      <c r="FT75">
        <v>2</v>
      </c>
      <c r="FU75">
        <v>2</v>
      </c>
      <c r="FV75">
        <v>2</v>
      </c>
      <c r="FW75">
        <v>2</v>
      </c>
      <c r="FX75">
        <v>2</v>
      </c>
      <c r="FY75">
        <v>2</v>
      </c>
      <c r="FZ75">
        <v>2</v>
      </c>
      <c r="GA75">
        <v>2</v>
      </c>
      <c r="GB75">
        <v>2</v>
      </c>
      <c r="GC75">
        <v>2</v>
      </c>
      <c r="GD75">
        <v>2</v>
      </c>
      <c r="GE75">
        <v>2</v>
      </c>
      <c r="GF75">
        <v>2</v>
      </c>
      <c r="GG75">
        <v>2</v>
      </c>
      <c r="GH75">
        <v>2</v>
      </c>
      <c r="GI75">
        <v>2</v>
      </c>
      <c r="GJ75">
        <v>2</v>
      </c>
      <c r="GK75">
        <v>2</v>
      </c>
      <c r="GL75">
        <v>2</v>
      </c>
      <c r="GM75">
        <v>2</v>
      </c>
      <c r="GN75">
        <v>2</v>
      </c>
      <c r="GO75">
        <v>2</v>
      </c>
      <c r="GP75">
        <v>2</v>
      </c>
      <c r="GQ75">
        <v>2</v>
      </c>
      <c r="GR75">
        <v>2</v>
      </c>
      <c r="GS75">
        <v>2</v>
      </c>
      <c r="GT75">
        <v>2</v>
      </c>
      <c r="GU75">
        <v>2</v>
      </c>
      <c r="GV75">
        <v>2</v>
      </c>
      <c r="GW75">
        <v>2</v>
      </c>
      <c r="GX75">
        <v>2</v>
      </c>
      <c r="GY75">
        <v>2</v>
      </c>
      <c r="GZ75">
        <v>2</v>
      </c>
      <c r="HA75">
        <v>2</v>
      </c>
      <c r="HB75">
        <v>2</v>
      </c>
      <c r="HC75">
        <v>2</v>
      </c>
      <c r="HD75">
        <v>2</v>
      </c>
      <c r="HE75">
        <v>2</v>
      </c>
      <c r="HF75">
        <v>2</v>
      </c>
      <c r="HG75">
        <v>2</v>
      </c>
      <c r="HH75">
        <v>2</v>
      </c>
      <c r="HI75">
        <v>2</v>
      </c>
      <c r="HJ75">
        <v>2</v>
      </c>
      <c r="HK75">
        <v>2</v>
      </c>
      <c r="HL75">
        <v>2</v>
      </c>
      <c r="HM75">
        <v>2</v>
      </c>
      <c r="HN75">
        <v>2</v>
      </c>
      <c r="HO75">
        <v>2</v>
      </c>
      <c r="HP75">
        <v>2</v>
      </c>
      <c r="HQ75">
        <v>2</v>
      </c>
      <c r="HR75">
        <v>2</v>
      </c>
      <c r="HS75">
        <v>2</v>
      </c>
      <c r="HT75">
        <v>2</v>
      </c>
      <c r="HU75">
        <v>2</v>
      </c>
      <c r="HV75">
        <v>2</v>
      </c>
      <c r="HW75">
        <v>2</v>
      </c>
      <c r="HX75">
        <v>2</v>
      </c>
      <c r="HY75">
        <v>2</v>
      </c>
      <c r="HZ75">
        <v>2</v>
      </c>
      <c r="IA75">
        <v>2</v>
      </c>
      <c r="IB75">
        <v>2</v>
      </c>
      <c r="IC75">
        <v>2</v>
      </c>
      <c r="ID75">
        <v>2</v>
      </c>
      <c r="IE75">
        <v>2</v>
      </c>
      <c r="IF75">
        <v>2</v>
      </c>
      <c r="IG75">
        <v>2</v>
      </c>
      <c r="IH75">
        <v>2</v>
      </c>
      <c r="II75">
        <v>2</v>
      </c>
      <c r="IJ75">
        <v>2</v>
      </c>
      <c r="IK75">
        <v>2</v>
      </c>
      <c r="IL75">
        <v>2</v>
      </c>
      <c r="IM75">
        <v>2</v>
      </c>
      <c r="IN75">
        <v>2</v>
      </c>
      <c r="IO75">
        <v>2</v>
      </c>
      <c r="IP75">
        <v>2</v>
      </c>
      <c r="IQ75">
        <v>2</v>
      </c>
      <c r="IR75">
        <v>2</v>
      </c>
      <c r="IS75">
        <v>2</v>
      </c>
      <c r="IT75">
        <v>2</v>
      </c>
      <c r="IU75">
        <v>1</v>
      </c>
      <c r="IV75">
        <v>1</v>
      </c>
      <c r="IW75">
        <v>1</v>
      </c>
      <c r="IX75">
        <v>1</v>
      </c>
      <c r="IY75">
        <v>1</v>
      </c>
      <c r="IZ75">
        <v>1</v>
      </c>
      <c r="JA75">
        <v>1</v>
      </c>
      <c r="JB75">
        <v>1</v>
      </c>
      <c r="JC75">
        <v>1</v>
      </c>
      <c r="JD75">
        <v>1</v>
      </c>
      <c r="JE75">
        <v>1</v>
      </c>
      <c r="JF75">
        <v>1</v>
      </c>
      <c r="JG75">
        <v>1</v>
      </c>
      <c r="JH75">
        <v>2</v>
      </c>
      <c r="JI75">
        <v>2</v>
      </c>
      <c r="JJ75">
        <v>2</v>
      </c>
      <c r="JK75">
        <v>2</v>
      </c>
      <c r="JL75">
        <v>2</v>
      </c>
      <c r="JM75">
        <v>2</v>
      </c>
      <c r="JN75">
        <v>2</v>
      </c>
      <c r="JO75">
        <v>2</v>
      </c>
      <c r="JP75">
        <v>2</v>
      </c>
      <c r="JQ75">
        <v>2</v>
      </c>
      <c r="JR75">
        <v>2</v>
      </c>
      <c r="JS75">
        <v>2</v>
      </c>
      <c r="JT75">
        <v>2</v>
      </c>
      <c r="JU75">
        <v>2</v>
      </c>
      <c r="JV75">
        <v>2</v>
      </c>
      <c r="JW75">
        <v>2</v>
      </c>
      <c r="JX75">
        <v>2</v>
      </c>
      <c r="JY75">
        <v>2</v>
      </c>
      <c r="JZ75">
        <v>2</v>
      </c>
      <c r="KA75">
        <v>2</v>
      </c>
      <c r="KB75">
        <v>2</v>
      </c>
      <c r="KC75">
        <v>2</v>
      </c>
      <c r="KD75">
        <v>2</v>
      </c>
      <c r="KE75">
        <v>2</v>
      </c>
      <c r="KF75">
        <v>2</v>
      </c>
      <c r="KG75">
        <v>2</v>
      </c>
      <c r="KH75">
        <v>2</v>
      </c>
      <c r="KI75">
        <v>2</v>
      </c>
      <c r="KJ75">
        <v>2</v>
      </c>
      <c r="KK75">
        <v>2</v>
      </c>
      <c r="KL75">
        <v>2</v>
      </c>
      <c r="KM75">
        <v>2</v>
      </c>
      <c r="KN75">
        <v>2</v>
      </c>
      <c r="KO75">
        <v>2</v>
      </c>
      <c r="KP75">
        <v>2</v>
      </c>
      <c r="KQ75">
        <v>2</v>
      </c>
      <c r="KR75">
        <v>2</v>
      </c>
      <c r="KS75">
        <v>2</v>
      </c>
      <c r="KT75">
        <v>2</v>
      </c>
      <c r="KU75">
        <v>2</v>
      </c>
      <c r="KV75">
        <v>2</v>
      </c>
      <c r="KW75">
        <v>2</v>
      </c>
      <c r="KX75">
        <v>2</v>
      </c>
      <c r="KY75">
        <v>2</v>
      </c>
      <c r="KZ75">
        <v>2</v>
      </c>
      <c r="LA75">
        <v>2</v>
      </c>
      <c r="LB75">
        <v>2</v>
      </c>
      <c r="LC75">
        <v>2</v>
      </c>
      <c r="LD75">
        <v>2</v>
      </c>
      <c r="LE75">
        <v>2</v>
      </c>
      <c r="LF75">
        <v>2</v>
      </c>
      <c r="LG75">
        <v>2</v>
      </c>
      <c r="LH75">
        <v>2</v>
      </c>
      <c r="LI75">
        <v>2</v>
      </c>
      <c r="LJ75">
        <v>2</v>
      </c>
      <c r="LK75">
        <v>2</v>
      </c>
      <c r="LL75">
        <v>2</v>
      </c>
      <c r="LM75">
        <v>2</v>
      </c>
      <c r="LN75">
        <v>2</v>
      </c>
      <c r="LO75">
        <v>2</v>
      </c>
      <c r="LP75">
        <v>2</v>
      </c>
      <c r="LQ75">
        <v>2</v>
      </c>
      <c r="LR75">
        <v>2</v>
      </c>
      <c r="LS75">
        <v>2</v>
      </c>
      <c r="LT75">
        <v>2</v>
      </c>
      <c r="LU75">
        <v>2</v>
      </c>
      <c r="LV75">
        <v>2</v>
      </c>
      <c r="LW75">
        <v>2</v>
      </c>
      <c r="LX75">
        <v>2</v>
      </c>
      <c r="LY75">
        <v>2</v>
      </c>
      <c r="LZ75">
        <v>2</v>
      </c>
      <c r="MA75">
        <v>2</v>
      </c>
      <c r="MB75">
        <v>2</v>
      </c>
      <c r="MC75">
        <v>2</v>
      </c>
      <c r="MD75">
        <v>2</v>
      </c>
      <c r="ME75">
        <v>2</v>
      </c>
      <c r="MF75">
        <v>2</v>
      </c>
      <c r="MG75">
        <v>2</v>
      </c>
      <c r="MH75">
        <v>2</v>
      </c>
      <c r="MI75">
        <v>2</v>
      </c>
      <c r="MJ75">
        <v>2</v>
      </c>
      <c r="MK75">
        <v>2</v>
      </c>
      <c r="ML75">
        <v>2</v>
      </c>
      <c r="MM75">
        <v>2</v>
      </c>
      <c r="MN75">
        <v>2</v>
      </c>
      <c r="MO75">
        <v>2</v>
      </c>
      <c r="MP75">
        <v>2</v>
      </c>
      <c r="MQ75">
        <v>2</v>
      </c>
      <c r="MR75">
        <v>2</v>
      </c>
      <c r="MS75">
        <v>2</v>
      </c>
      <c r="MT75">
        <v>2</v>
      </c>
      <c r="MU75">
        <v>2</v>
      </c>
      <c r="MV75">
        <v>2</v>
      </c>
      <c r="MW75">
        <v>2</v>
      </c>
      <c r="MX75">
        <v>2</v>
      </c>
      <c r="MY75">
        <v>2</v>
      </c>
      <c r="MZ75">
        <v>2</v>
      </c>
      <c r="NA75">
        <v>2</v>
      </c>
      <c r="NB75">
        <v>2</v>
      </c>
      <c r="NC75">
        <v>2</v>
      </c>
      <c r="ND75">
        <v>2</v>
      </c>
      <c r="NE75">
        <v>0</v>
      </c>
      <c r="NF75">
        <v>0</v>
      </c>
      <c r="NG75">
        <v>0</v>
      </c>
      <c r="NH75">
        <v>0</v>
      </c>
      <c r="NI75">
        <v>0</v>
      </c>
      <c r="NJ75">
        <v>0</v>
      </c>
      <c r="NK75">
        <v>0</v>
      </c>
      <c r="NL75">
        <v>0</v>
      </c>
      <c r="NM75">
        <v>0</v>
      </c>
      <c r="NN75">
        <v>0</v>
      </c>
      <c r="NO75">
        <v>0</v>
      </c>
      <c r="NP75">
        <v>0</v>
      </c>
      <c r="NQ75">
        <v>0</v>
      </c>
      <c r="NR75">
        <v>0</v>
      </c>
      <c r="NS75">
        <v>0</v>
      </c>
      <c r="NT75">
        <v>0</v>
      </c>
      <c r="NU75">
        <v>0</v>
      </c>
      <c r="NV75">
        <v>0</v>
      </c>
      <c r="NW75">
        <v>0</v>
      </c>
      <c r="NX75">
        <v>0</v>
      </c>
      <c r="NY75">
        <v>0</v>
      </c>
      <c r="NZ75">
        <v>0</v>
      </c>
      <c r="OA75">
        <v>0</v>
      </c>
      <c r="OB75">
        <v>0</v>
      </c>
      <c r="OC75">
        <v>0</v>
      </c>
      <c r="OD75">
        <v>0</v>
      </c>
      <c r="OE75">
        <v>0</v>
      </c>
      <c r="OF75">
        <v>0</v>
      </c>
      <c r="OG75">
        <v>0</v>
      </c>
      <c r="OH75">
        <v>0</v>
      </c>
      <c r="OI75">
        <v>0</v>
      </c>
      <c r="OJ75">
        <v>0</v>
      </c>
      <c r="OK75">
        <v>0</v>
      </c>
      <c r="OL75">
        <v>0</v>
      </c>
      <c r="OM75">
        <v>0</v>
      </c>
      <c r="ON75">
        <v>0</v>
      </c>
      <c r="OO75">
        <v>0</v>
      </c>
      <c r="OP75">
        <v>0</v>
      </c>
      <c r="OQ75">
        <v>0</v>
      </c>
      <c r="OR75">
        <v>0</v>
      </c>
      <c r="OS75">
        <v>0</v>
      </c>
      <c r="OT75">
        <v>0</v>
      </c>
      <c r="OU75">
        <v>0</v>
      </c>
      <c r="OV75">
        <v>0</v>
      </c>
      <c r="OW75">
        <v>0</v>
      </c>
      <c r="OX75">
        <v>0</v>
      </c>
      <c r="OY75">
        <v>0</v>
      </c>
      <c r="OZ75">
        <v>0</v>
      </c>
      <c r="PA75">
        <v>0</v>
      </c>
      <c r="PB75">
        <v>0</v>
      </c>
      <c r="PC75">
        <v>0</v>
      </c>
      <c r="PD75">
        <v>0</v>
      </c>
      <c r="PE75">
        <v>0</v>
      </c>
      <c r="PF75">
        <v>0</v>
      </c>
      <c r="PG75">
        <v>0</v>
      </c>
      <c r="PH75">
        <v>0</v>
      </c>
      <c r="PI75">
        <v>0</v>
      </c>
      <c r="PJ75">
        <v>0</v>
      </c>
      <c r="PK75">
        <v>0</v>
      </c>
      <c r="PL75">
        <v>0</v>
      </c>
      <c r="PM75">
        <v>0</v>
      </c>
      <c r="PN75">
        <v>0</v>
      </c>
      <c r="PO75">
        <v>0</v>
      </c>
      <c r="PP75">
        <v>0</v>
      </c>
      <c r="PQ75">
        <v>0</v>
      </c>
      <c r="PR75">
        <v>0</v>
      </c>
      <c r="PS75">
        <v>0</v>
      </c>
      <c r="PT75">
        <v>0</v>
      </c>
      <c r="PU75">
        <v>0</v>
      </c>
      <c r="PV75">
        <v>0</v>
      </c>
      <c r="PW75">
        <v>0</v>
      </c>
      <c r="PX75">
        <v>0</v>
      </c>
      <c r="PY75">
        <v>0</v>
      </c>
      <c r="PZ75">
        <v>0</v>
      </c>
      <c r="QA75">
        <v>0</v>
      </c>
      <c r="QB75">
        <v>0</v>
      </c>
      <c r="QC75">
        <v>0</v>
      </c>
      <c r="QD75">
        <v>0</v>
      </c>
      <c r="QE75">
        <v>0</v>
      </c>
      <c r="QF75">
        <v>0</v>
      </c>
      <c r="QG75">
        <v>0</v>
      </c>
      <c r="QH75">
        <v>0</v>
      </c>
      <c r="QI75">
        <v>0</v>
      </c>
      <c r="QJ75">
        <v>0</v>
      </c>
      <c r="QK75">
        <v>0</v>
      </c>
      <c r="QL75">
        <v>0</v>
      </c>
      <c r="QM75">
        <v>0</v>
      </c>
      <c r="QN75">
        <v>0</v>
      </c>
      <c r="QO75">
        <v>0</v>
      </c>
      <c r="QP75">
        <v>0</v>
      </c>
      <c r="QQ75">
        <v>0</v>
      </c>
      <c r="QR75">
        <v>0</v>
      </c>
      <c r="QS75">
        <v>0</v>
      </c>
      <c r="QT75">
        <v>0</v>
      </c>
      <c r="QU75">
        <v>0</v>
      </c>
      <c r="QV75">
        <v>0</v>
      </c>
      <c r="QW75">
        <v>0</v>
      </c>
      <c r="QX75">
        <v>0</v>
      </c>
      <c r="QY75">
        <v>0</v>
      </c>
      <c r="QZ75">
        <v>0</v>
      </c>
      <c r="RA75">
        <v>0</v>
      </c>
      <c r="RB75">
        <v>0</v>
      </c>
      <c r="RC75">
        <v>0</v>
      </c>
      <c r="RD75">
        <v>0</v>
      </c>
      <c r="RE75">
        <v>0</v>
      </c>
      <c r="RF75">
        <v>0</v>
      </c>
      <c r="RG75">
        <v>0</v>
      </c>
      <c r="RH75">
        <v>0</v>
      </c>
      <c r="RI75">
        <v>0</v>
      </c>
      <c r="RJ75">
        <v>0</v>
      </c>
      <c r="RK75">
        <v>0</v>
      </c>
      <c r="RL75">
        <v>0</v>
      </c>
      <c r="RM75">
        <v>0</v>
      </c>
      <c r="RN75">
        <v>0</v>
      </c>
      <c r="RO75">
        <v>0</v>
      </c>
      <c r="RP75">
        <v>0</v>
      </c>
      <c r="RQ75">
        <v>0</v>
      </c>
      <c r="RR75">
        <v>0</v>
      </c>
      <c r="RS75">
        <v>0</v>
      </c>
      <c r="RT75">
        <v>0</v>
      </c>
      <c r="RU75">
        <v>0</v>
      </c>
      <c r="RV75">
        <v>0</v>
      </c>
      <c r="RW75">
        <v>0</v>
      </c>
      <c r="RX75">
        <v>0</v>
      </c>
      <c r="RY75">
        <v>0</v>
      </c>
      <c r="RZ75">
        <v>0</v>
      </c>
      <c r="SA75">
        <v>0</v>
      </c>
      <c r="SB75">
        <v>0</v>
      </c>
      <c r="SC75">
        <v>0</v>
      </c>
      <c r="SD75">
        <v>0</v>
      </c>
      <c r="SE75">
        <v>0</v>
      </c>
      <c r="SF75">
        <v>2</v>
      </c>
      <c r="SG75">
        <v>2</v>
      </c>
      <c r="SH75">
        <v>2</v>
      </c>
      <c r="SI75">
        <v>2</v>
      </c>
      <c r="SJ75">
        <v>2</v>
      </c>
      <c r="SK75">
        <v>2</v>
      </c>
      <c r="SL75">
        <v>2</v>
      </c>
      <c r="SM75">
        <v>2</v>
      </c>
      <c r="SN75">
        <v>0</v>
      </c>
      <c r="SO75">
        <v>0</v>
      </c>
      <c r="SP75">
        <v>0</v>
      </c>
      <c r="SQ75">
        <v>0</v>
      </c>
      <c r="SR75">
        <v>0</v>
      </c>
      <c r="SS75">
        <v>0</v>
      </c>
      <c r="ST75">
        <v>0</v>
      </c>
      <c r="SU75">
        <v>0</v>
      </c>
      <c r="SV75">
        <v>0</v>
      </c>
      <c r="SW75">
        <v>0</v>
      </c>
      <c r="SX75">
        <v>0</v>
      </c>
      <c r="SY75">
        <v>0</v>
      </c>
      <c r="SZ75">
        <v>0</v>
      </c>
      <c r="TA75">
        <v>0</v>
      </c>
      <c r="TB75">
        <v>0</v>
      </c>
      <c r="TC75">
        <v>0</v>
      </c>
      <c r="TD75">
        <v>0</v>
      </c>
      <c r="TE75">
        <v>0</v>
      </c>
      <c r="TF75">
        <v>0</v>
      </c>
      <c r="TG75">
        <v>0</v>
      </c>
      <c r="TH75">
        <v>0</v>
      </c>
      <c r="TI75">
        <v>0</v>
      </c>
      <c r="TJ75">
        <v>0</v>
      </c>
      <c r="TK75">
        <v>0</v>
      </c>
      <c r="TL75">
        <v>0</v>
      </c>
      <c r="TM75">
        <v>0</v>
      </c>
      <c r="TN75">
        <v>0</v>
      </c>
      <c r="TO75">
        <v>0</v>
      </c>
      <c r="TP75">
        <v>0</v>
      </c>
      <c r="TQ75">
        <v>0</v>
      </c>
      <c r="TR75">
        <v>0</v>
      </c>
      <c r="TS75">
        <v>0</v>
      </c>
      <c r="TT75">
        <v>0</v>
      </c>
      <c r="TU75">
        <v>0</v>
      </c>
      <c r="TV75">
        <v>0</v>
      </c>
      <c r="TW75">
        <v>0</v>
      </c>
      <c r="TX75">
        <v>0</v>
      </c>
      <c r="TY75">
        <v>0</v>
      </c>
      <c r="TZ75">
        <v>0</v>
      </c>
      <c r="UA75">
        <v>0</v>
      </c>
      <c r="UB75">
        <v>0</v>
      </c>
      <c r="UC75">
        <v>0</v>
      </c>
      <c r="UD75">
        <v>0</v>
      </c>
      <c r="UE75">
        <v>0</v>
      </c>
      <c r="UF75">
        <v>0</v>
      </c>
      <c r="UG75">
        <v>0</v>
      </c>
      <c r="UH75">
        <v>0</v>
      </c>
      <c r="UI75">
        <v>0</v>
      </c>
      <c r="UJ75">
        <v>0</v>
      </c>
      <c r="UK75">
        <v>0</v>
      </c>
      <c r="UL75">
        <v>0</v>
      </c>
      <c r="UM75">
        <v>0</v>
      </c>
      <c r="UN75">
        <v>0</v>
      </c>
      <c r="UO75">
        <v>0</v>
      </c>
      <c r="UP75">
        <v>0</v>
      </c>
      <c r="UQ75">
        <v>0</v>
      </c>
      <c r="UR75">
        <v>0</v>
      </c>
      <c r="US75">
        <v>0</v>
      </c>
      <c r="UT75">
        <v>0</v>
      </c>
      <c r="UU75">
        <v>0</v>
      </c>
      <c r="UV75">
        <v>0</v>
      </c>
      <c r="UW75">
        <v>0</v>
      </c>
      <c r="UX75">
        <v>0</v>
      </c>
      <c r="UY75">
        <v>0</v>
      </c>
      <c r="UZ75">
        <v>0</v>
      </c>
      <c r="VA75">
        <v>0</v>
      </c>
      <c r="VB75">
        <v>0</v>
      </c>
      <c r="VC75">
        <v>0</v>
      </c>
      <c r="VD75">
        <v>0</v>
      </c>
      <c r="VE75">
        <v>0</v>
      </c>
      <c r="VF75">
        <v>0</v>
      </c>
      <c r="VG75">
        <v>0</v>
      </c>
      <c r="VH75">
        <v>0</v>
      </c>
      <c r="VI75">
        <v>0</v>
      </c>
      <c r="VJ75">
        <v>0</v>
      </c>
      <c r="VK75">
        <v>0</v>
      </c>
      <c r="VL75">
        <v>0</v>
      </c>
      <c r="VM75">
        <v>0</v>
      </c>
      <c r="VN75">
        <v>0</v>
      </c>
      <c r="VO75">
        <v>0</v>
      </c>
      <c r="VP75">
        <v>0</v>
      </c>
      <c r="VQ75">
        <v>0</v>
      </c>
      <c r="VR75">
        <v>0</v>
      </c>
      <c r="VS75">
        <v>0</v>
      </c>
      <c r="VT75">
        <v>0</v>
      </c>
      <c r="VU75">
        <v>0</v>
      </c>
      <c r="VV75">
        <v>0</v>
      </c>
      <c r="VW75">
        <v>0</v>
      </c>
      <c r="VX75">
        <v>0</v>
      </c>
      <c r="VY75">
        <v>0</v>
      </c>
      <c r="VZ75">
        <v>0</v>
      </c>
      <c r="WA75">
        <v>0</v>
      </c>
      <c r="WB75">
        <v>0</v>
      </c>
      <c r="WC75">
        <v>0</v>
      </c>
      <c r="WD75">
        <v>0</v>
      </c>
      <c r="WE75">
        <v>0</v>
      </c>
      <c r="WF75">
        <v>0</v>
      </c>
      <c r="WG75">
        <v>0</v>
      </c>
      <c r="WH75">
        <v>0</v>
      </c>
      <c r="WI75">
        <v>0</v>
      </c>
      <c r="WJ75">
        <v>0</v>
      </c>
      <c r="WK75">
        <v>0</v>
      </c>
      <c r="WL75">
        <v>0</v>
      </c>
      <c r="WM75">
        <v>0</v>
      </c>
      <c r="WN75">
        <v>0</v>
      </c>
      <c r="WO75">
        <v>0</v>
      </c>
      <c r="WP75">
        <v>0</v>
      </c>
      <c r="WQ75">
        <v>0</v>
      </c>
      <c r="WR75">
        <v>0</v>
      </c>
      <c r="WS75">
        <v>0</v>
      </c>
      <c r="WT75">
        <v>0</v>
      </c>
      <c r="WU75">
        <v>0</v>
      </c>
      <c r="WV75">
        <v>0</v>
      </c>
      <c r="WW75">
        <v>0</v>
      </c>
      <c r="WX75">
        <v>0</v>
      </c>
      <c r="WY75">
        <v>0</v>
      </c>
      <c r="WZ75">
        <v>0</v>
      </c>
      <c r="XA75">
        <v>0</v>
      </c>
      <c r="XB75">
        <v>0</v>
      </c>
      <c r="XC75">
        <v>0</v>
      </c>
      <c r="XD75">
        <v>0</v>
      </c>
      <c r="XE75">
        <v>0</v>
      </c>
      <c r="XF75">
        <v>0</v>
      </c>
      <c r="XG75">
        <v>0</v>
      </c>
      <c r="XH75">
        <v>0</v>
      </c>
      <c r="XI75">
        <v>0</v>
      </c>
      <c r="XJ75">
        <v>0</v>
      </c>
      <c r="XK75">
        <v>0</v>
      </c>
      <c r="XL75">
        <v>0</v>
      </c>
      <c r="XM75">
        <v>0</v>
      </c>
      <c r="XN75">
        <v>0</v>
      </c>
      <c r="XO75">
        <v>0</v>
      </c>
      <c r="XP75">
        <v>0</v>
      </c>
      <c r="XQ75">
        <v>0</v>
      </c>
      <c r="XR75">
        <v>0</v>
      </c>
      <c r="XS75">
        <v>0</v>
      </c>
      <c r="XT75">
        <v>0</v>
      </c>
      <c r="XU75">
        <v>0</v>
      </c>
      <c r="XV75">
        <v>0</v>
      </c>
      <c r="XW75">
        <v>0</v>
      </c>
      <c r="XX75">
        <v>0</v>
      </c>
      <c r="XY75">
        <v>0</v>
      </c>
      <c r="XZ75">
        <v>0</v>
      </c>
      <c r="YA75">
        <v>0</v>
      </c>
      <c r="YB75">
        <v>0</v>
      </c>
      <c r="YC75">
        <v>0</v>
      </c>
      <c r="YD75">
        <v>0</v>
      </c>
      <c r="YE75">
        <v>0</v>
      </c>
      <c r="YF75">
        <v>0</v>
      </c>
      <c r="YG75">
        <v>0</v>
      </c>
      <c r="YH75">
        <v>0</v>
      </c>
      <c r="YI75">
        <v>0</v>
      </c>
      <c r="YJ75">
        <v>0</v>
      </c>
      <c r="YK75">
        <v>0</v>
      </c>
      <c r="YL75">
        <v>0</v>
      </c>
      <c r="YM75">
        <v>0</v>
      </c>
      <c r="YN75">
        <v>0</v>
      </c>
      <c r="YO75">
        <v>0</v>
      </c>
      <c r="YP75">
        <v>0</v>
      </c>
      <c r="YQ75">
        <v>0</v>
      </c>
      <c r="YR75">
        <v>0</v>
      </c>
      <c r="YS75">
        <v>0</v>
      </c>
      <c r="YT75">
        <v>0</v>
      </c>
      <c r="YU75">
        <v>0</v>
      </c>
      <c r="YV75">
        <v>0</v>
      </c>
      <c r="YW75">
        <v>0</v>
      </c>
      <c r="YX75">
        <v>0</v>
      </c>
      <c r="YY75">
        <v>0</v>
      </c>
      <c r="YZ75">
        <v>0</v>
      </c>
      <c r="ZA75">
        <v>0</v>
      </c>
      <c r="ZB75">
        <v>0</v>
      </c>
      <c r="ZC75">
        <v>0</v>
      </c>
      <c r="ZD75">
        <v>0</v>
      </c>
      <c r="ZE75">
        <v>0</v>
      </c>
      <c r="ZF75">
        <v>0</v>
      </c>
      <c r="ZG75">
        <v>0</v>
      </c>
      <c r="ZH75">
        <v>0</v>
      </c>
      <c r="ZI75">
        <v>0</v>
      </c>
      <c r="ZJ75">
        <v>0</v>
      </c>
      <c r="ZK75">
        <v>0</v>
      </c>
      <c r="ZL75">
        <v>0</v>
      </c>
      <c r="ZM75">
        <v>0</v>
      </c>
      <c r="ZN75">
        <v>0</v>
      </c>
      <c r="ZO75">
        <v>0</v>
      </c>
      <c r="ZP75">
        <v>0</v>
      </c>
      <c r="ZQ75">
        <v>0</v>
      </c>
      <c r="ZR75">
        <v>0</v>
      </c>
      <c r="ZS75">
        <v>0</v>
      </c>
      <c r="ZT75">
        <v>0</v>
      </c>
      <c r="ZU75">
        <v>0</v>
      </c>
      <c r="ZV75">
        <v>0</v>
      </c>
      <c r="ZW75">
        <v>0</v>
      </c>
      <c r="ZX75">
        <v>0</v>
      </c>
      <c r="ZY75">
        <v>0</v>
      </c>
      <c r="ZZ75">
        <v>0</v>
      </c>
      <c r="AAA75">
        <v>0</v>
      </c>
      <c r="AAB75">
        <v>0</v>
      </c>
      <c r="AAC75">
        <v>0</v>
      </c>
      <c r="AAD75">
        <v>0</v>
      </c>
      <c r="AAE75">
        <v>0</v>
      </c>
      <c r="AAF75">
        <v>0</v>
      </c>
      <c r="AAG75">
        <v>0</v>
      </c>
      <c r="AAH75">
        <v>0</v>
      </c>
      <c r="AAI75">
        <v>0</v>
      </c>
      <c r="AAJ75">
        <v>0</v>
      </c>
      <c r="AAK75">
        <v>0</v>
      </c>
      <c r="AAL75">
        <v>0</v>
      </c>
      <c r="AAM75">
        <v>0</v>
      </c>
      <c r="AAN75">
        <v>0</v>
      </c>
      <c r="AAO75">
        <v>0</v>
      </c>
      <c r="AAP75">
        <v>0</v>
      </c>
      <c r="AAQ75">
        <v>0</v>
      </c>
      <c r="AAR75">
        <v>0</v>
      </c>
      <c r="AAS75">
        <v>0</v>
      </c>
      <c r="AAT75">
        <v>0</v>
      </c>
      <c r="AAU75">
        <v>0</v>
      </c>
      <c r="AAV75">
        <v>0</v>
      </c>
      <c r="AAW75">
        <v>0</v>
      </c>
      <c r="AAX75">
        <v>0</v>
      </c>
      <c r="AAY75">
        <v>0</v>
      </c>
      <c r="AAZ75">
        <v>0</v>
      </c>
      <c r="ABA75">
        <v>0</v>
      </c>
      <c r="ABB75">
        <v>0</v>
      </c>
      <c r="ABC75">
        <v>0</v>
      </c>
      <c r="ABD75">
        <v>0</v>
      </c>
      <c r="ABE75">
        <v>0</v>
      </c>
      <c r="ABG75" s="1137">
        <f t="shared" si="19"/>
        <v>0</v>
      </c>
      <c r="ABH75" s="1137">
        <f t="shared" si="19"/>
        <v>0</v>
      </c>
      <c r="ABI75" s="1137">
        <f t="shared" si="19"/>
        <v>21</v>
      </c>
      <c r="ABJ75" s="1137">
        <f t="shared" si="19"/>
        <v>30</v>
      </c>
      <c r="ABK75" s="1137">
        <f t="shared" si="19"/>
        <v>31</v>
      </c>
      <c r="ABL75" s="1137">
        <f t="shared" si="19"/>
        <v>30</v>
      </c>
      <c r="ABM75" s="1137">
        <f t="shared" si="19"/>
        <v>31</v>
      </c>
      <c r="ABN75" s="1137">
        <f t="shared" si="19"/>
        <v>31</v>
      </c>
      <c r="ABO75" s="1137">
        <f t="shared" si="19"/>
        <v>30</v>
      </c>
      <c r="ABP75" s="1137">
        <f t="shared" si="19"/>
        <v>31</v>
      </c>
      <c r="ABQ75" s="1137">
        <f t="shared" si="19"/>
        <v>30</v>
      </c>
      <c r="ABR75" s="1137">
        <f t="shared" si="19"/>
        <v>31</v>
      </c>
      <c r="ABS75" s="1137">
        <f t="shared" si="19"/>
        <v>0</v>
      </c>
      <c r="ABT75" s="1137">
        <f t="shared" si="19"/>
        <v>0</v>
      </c>
      <c r="ABU75" s="1137">
        <f t="shared" si="19"/>
        <v>0</v>
      </c>
      <c r="ABV75" s="1137">
        <f t="shared" si="19"/>
        <v>0</v>
      </c>
      <c r="ABW75" s="1137">
        <f t="shared" si="17"/>
        <v>8</v>
      </c>
      <c r="ABX75" s="1137">
        <f t="shared" si="14"/>
        <v>0</v>
      </c>
      <c r="ABY75" s="1137">
        <f t="shared" si="14"/>
        <v>0</v>
      </c>
      <c r="ABZ75" s="1137">
        <f t="shared" si="14"/>
        <v>0</v>
      </c>
      <c r="ACA75" s="1137">
        <f t="shared" si="14"/>
        <v>0</v>
      </c>
      <c r="ACB75" s="1137">
        <f t="shared" si="14"/>
        <v>0</v>
      </c>
      <c r="ACC75" s="1137">
        <f t="shared" si="14"/>
        <v>0</v>
      </c>
      <c r="ACD75" s="1137">
        <f t="shared" si="14"/>
        <v>0</v>
      </c>
      <c r="ACE75" s="1137" t="s">
        <v>194</v>
      </c>
      <c r="ACF75" s="1137">
        <f t="shared" si="20"/>
        <v>0</v>
      </c>
      <c r="ACG75" s="1137">
        <f t="shared" si="20"/>
        <v>0</v>
      </c>
      <c r="ACH75" s="1137">
        <f t="shared" si="20"/>
        <v>1</v>
      </c>
      <c r="ACI75" s="1137">
        <f t="shared" si="20"/>
        <v>1</v>
      </c>
      <c r="ACJ75" s="1137">
        <f t="shared" si="20"/>
        <v>1</v>
      </c>
      <c r="ACK75" s="1137">
        <f t="shared" si="20"/>
        <v>1</v>
      </c>
      <c r="ACL75" s="1137">
        <f t="shared" si="20"/>
        <v>1</v>
      </c>
      <c r="ACM75" s="1137">
        <f t="shared" si="20"/>
        <v>1</v>
      </c>
      <c r="ACN75" s="1137">
        <f t="shared" si="20"/>
        <v>1</v>
      </c>
      <c r="ACO75" s="1137">
        <f t="shared" si="20"/>
        <v>1</v>
      </c>
      <c r="ACP75" s="1137">
        <f t="shared" si="20"/>
        <v>1</v>
      </c>
      <c r="ACQ75" s="1137">
        <f t="shared" si="20"/>
        <v>1</v>
      </c>
      <c r="ACR75" s="1137">
        <f t="shared" si="20"/>
        <v>0</v>
      </c>
      <c r="ACS75" s="1137">
        <f t="shared" si="20"/>
        <v>0</v>
      </c>
      <c r="ACT75" s="1137">
        <f t="shared" si="20"/>
        <v>0</v>
      </c>
      <c r="ACU75" s="1137">
        <f t="shared" si="12"/>
        <v>0</v>
      </c>
      <c r="ACV75" s="1137">
        <f t="shared" si="12"/>
        <v>0</v>
      </c>
      <c r="ACW75" s="1137">
        <f t="shared" si="12"/>
        <v>0</v>
      </c>
      <c r="ACX75" s="1137">
        <f t="shared" si="12"/>
        <v>0</v>
      </c>
      <c r="ACY75" s="1137">
        <f t="shared" si="12"/>
        <v>0</v>
      </c>
      <c r="ACZ75" s="1137">
        <f t="shared" si="12"/>
        <v>0</v>
      </c>
      <c r="ADA75" s="1137">
        <f t="shared" si="12"/>
        <v>0</v>
      </c>
      <c r="ADB75" s="1137">
        <f t="shared" si="16"/>
        <v>0</v>
      </c>
      <c r="ADC75" s="1137">
        <f t="shared" si="16"/>
        <v>0</v>
      </c>
    </row>
    <row r="76" spans="1:783" x14ac:dyDescent="0.25">
      <c r="A76" t="s">
        <v>385</v>
      </c>
      <c r="B76" t="s">
        <v>1873</v>
      </c>
      <c r="C76">
        <v>0</v>
      </c>
      <c r="D76">
        <v>0</v>
      </c>
      <c r="E76">
        <v>0</v>
      </c>
      <c r="F76">
        <v>0</v>
      </c>
      <c r="G76">
        <v>0</v>
      </c>
      <c r="H76">
        <v>0</v>
      </c>
      <c r="I76">
        <v>0</v>
      </c>
      <c r="J76">
        <v>0</v>
      </c>
      <c r="K76">
        <v>0</v>
      </c>
      <c r="L76">
        <v>0</v>
      </c>
      <c r="M76">
        <v>0</v>
      </c>
      <c r="N76">
        <v>0</v>
      </c>
      <c r="O76">
        <v>0</v>
      </c>
      <c r="P76">
        <v>0</v>
      </c>
      <c r="Q76">
        <v>0</v>
      </c>
      <c r="R76">
        <v>0</v>
      </c>
      <c r="S76">
        <v>0</v>
      </c>
      <c r="T76">
        <v>0</v>
      </c>
      <c r="U76">
        <v>0</v>
      </c>
      <c r="V76">
        <v>0</v>
      </c>
      <c r="W76">
        <v>0</v>
      </c>
      <c r="X76">
        <v>0</v>
      </c>
      <c r="Y76">
        <v>0</v>
      </c>
      <c r="Z76">
        <v>0</v>
      </c>
      <c r="AA76">
        <v>0</v>
      </c>
      <c r="AB76">
        <v>0</v>
      </c>
      <c r="AC76">
        <v>0</v>
      </c>
      <c r="AD76">
        <v>0</v>
      </c>
      <c r="AE76">
        <v>0</v>
      </c>
      <c r="AF76">
        <v>0</v>
      </c>
      <c r="AG76">
        <v>0</v>
      </c>
      <c r="AH76">
        <v>0</v>
      </c>
      <c r="AI76">
        <v>0</v>
      </c>
      <c r="AJ76">
        <v>0</v>
      </c>
      <c r="AK76">
        <v>0</v>
      </c>
      <c r="AL76">
        <v>0</v>
      </c>
      <c r="AM76">
        <v>0</v>
      </c>
      <c r="AN76">
        <v>0</v>
      </c>
      <c r="AO76">
        <v>0</v>
      </c>
      <c r="AP76">
        <v>0</v>
      </c>
      <c r="AQ76">
        <v>0</v>
      </c>
      <c r="AR76">
        <v>0</v>
      </c>
      <c r="AS76">
        <v>0</v>
      </c>
      <c r="AT76">
        <v>0</v>
      </c>
      <c r="AU76">
        <v>0</v>
      </c>
      <c r="AV76">
        <v>0</v>
      </c>
      <c r="AW76">
        <v>0</v>
      </c>
      <c r="AX76">
        <v>0</v>
      </c>
      <c r="AY76">
        <v>0</v>
      </c>
      <c r="AZ76">
        <v>0</v>
      </c>
      <c r="BA76">
        <v>0</v>
      </c>
      <c r="BB76">
        <v>0</v>
      </c>
      <c r="BC76">
        <v>0</v>
      </c>
      <c r="BD76">
        <v>0</v>
      </c>
      <c r="BE76">
        <v>0</v>
      </c>
      <c r="BF76">
        <v>0</v>
      </c>
      <c r="BG76">
        <v>0</v>
      </c>
      <c r="BH76">
        <v>0</v>
      </c>
      <c r="BI76">
        <v>0</v>
      </c>
      <c r="BJ76">
        <v>0</v>
      </c>
      <c r="BK76">
        <v>0</v>
      </c>
      <c r="BL76">
        <v>0</v>
      </c>
      <c r="BM76">
        <v>0</v>
      </c>
      <c r="BN76">
        <v>0</v>
      </c>
      <c r="BO76">
        <v>0</v>
      </c>
      <c r="BP76">
        <v>0</v>
      </c>
      <c r="BQ76">
        <v>0</v>
      </c>
      <c r="BR76">
        <v>0</v>
      </c>
      <c r="BS76">
        <v>0</v>
      </c>
      <c r="BT76">
        <v>0</v>
      </c>
      <c r="BU76">
        <v>0</v>
      </c>
      <c r="BV76">
        <v>0</v>
      </c>
      <c r="BW76">
        <v>0</v>
      </c>
      <c r="BX76">
        <v>0</v>
      </c>
      <c r="BY76">
        <v>0</v>
      </c>
      <c r="BZ76">
        <v>0</v>
      </c>
      <c r="CA76">
        <v>0</v>
      </c>
      <c r="CB76">
        <v>0</v>
      </c>
      <c r="CC76">
        <v>0</v>
      </c>
      <c r="CD76">
        <v>0</v>
      </c>
      <c r="CE76">
        <v>0</v>
      </c>
      <c r="CF76">
        <v>0</v>
      </c>
      <c r="CG76">
        <v>0</v>
      </c>
      <c r="CH76">
        <v>0</v>
      </c>
      <c r="CI76">
        <v>0</v>
      </c>
      <c r="CJ76">
        <v>0</v>
      </c>
      <c r="CK76">
        <v>0</v>
      </c>
      <c r="CL76">
        <v>0</v>
      </c>
      <c r="CM76">
        <v>0</v>
      </c>
      <c r="CN76">
        <v>0</v>
      </c>
      <c r="CO76">
        <v>0</v>
      </c>
      <c r="CP76">
        <v>0</v>
      </c>
      <c r="CQ76">
        <v>0</v>
      </c>
      <c r="CR76">
        <v>0</v>
      </c>
      <c r="CS76">
        <v>0</v>
      </c>
      <c r="CT76">
        <v>0</v>
      </c>
      <c r="CU76">
        <v>0</v>
      </c>
      <c r="CV76">
        <v>0</v>
      </c>
      <c r="CW76">
        <v>0</v>
      </c>
      <c r="CX76">
        <v>0</v>
      </c>
      <c r="CY76">
        <v>0</v>
      </c>
      <c r="CZ76">
        <v>0</v>
      </c>
      <c r="DA76">
        <v>0</v>
      </c>
      <c r="DB76">
        <v>0</v>
      </c>
      <c r="DC76">
        <v>0</v>
      </c>
      <c r="DD76">
        <v>0</v>
      </c>
      <c r="DE76">
        <v>0</v>
      </c>
      <c r="DF76">
        <v>0</v>
      </c>
      <c r="DG76">
        <v>0</v>
      </c>
      <c r="DH76">
        <v>0</v>
      </c>
      <c r="DI76">
        <v>0</v>
      </c>
      <c r="DJ76">
        <v>0</v>
      </c>
      <c r="DK76">
        <v>0</v>
      </c>
      <c r="DL76">
        <v>0</v>
      </c>
      <c r="DM76">
        <v>0</v>
      </c>
      <c r="DN76">
        <v>0</v>
      </c>
      <c r="DO76">
        <v>0</v>
      </c>
      <c r="DP76">
        <v>0</v>
      </c>
      <c r="DQ76">
        <v>0</v>
      </c>
      <c r="DR76">
        <v>0</v>
      </c>
      <c r="DS76">
        <v>0</v>
      </c>
      <c r="DT76">
        <v>0</v>
      </c>
      <c r="DU76">
        <v>0</v>
      </c>
      <c r="DV76">
        <v>0</v>
      </c>
      <c r="DW76">
        <v>0</v>
      </c>
      <c r="DX76">
        <v>0</v>
      </c>
      <c r="DY76">
        <v>0</v>
      </c>
      <c r="DZ76">
        <v>0</v>
      </c>
      <c r="EA76">
        <v>0</v>
      </c>
      <c r="EB76">
        <v>0</v>
      </c>
      <c r="EC76">
        <v>0</v>
      </c>
      <c r="ED76">
        <v>0</v>
      </c>
      <c r="EE76">
        <v>0</v>
      </c>
      <c r="EF76">
        <v>0</v>
      </c>
      <c r="EG76">
        <v>0</v>
      </c>
      <c r="EH76">
        <v>0</v>
      </c>
      <c r="EI76">
        <v>0</v>
      </c>
      <c r="EJ76">
        <v>0</v>
      </c>
      <c r="EK76">
        <v>0</v>
      </c>
      <c r="EL76">
        <v>0</v>
      </c>
      <c r="EM76">
        <v>0</v>
      </c>
      <c r="EN76">
        <v>0</v>
      </c>
      <c r="EO76">
        <v>0</v>
      </c>
      <c r="EP76">
        <v>0</v>
      </c>
      <c r="EQ76">
        <v>0</v>
      </c>
      <c r="ER76">
        <v>0</v>
      </c>
      <c r="ES76">
        <v>0</v>
      </c>
      <c r="ET76">
        <v>0</v>
      </c>
      <c r="EU76">
        <v>0</v>
      </c>
      <c r="EV76">
        <v>0</v>
      </c>
      <c r="EW76">
        <v>0</v>
      </c>
      <c r="EX76">
        <v>0</v>
      </c>
      <c r="EY76">
        <v>0</v>
      </c>
      <c r="EZ76">
        <v>0</v>
      </c>
      <c r="FA76">
        <v>0</v>
      </c>
      <c r="FB76">
        <v>0</v>
      </c>
      <c r="FC76">
        <v>0</v>
      </c>
      <c r="FD76">
        <v>0</v>
      </c>
      <c r="FE76">
        <v>0</v>
      </c>
      <c r="FF76">
        <v>0</v>
      </c>
      <c r="FG76">
        <v>0</v>
      </c>
      <c r="FH76">
        <v>0</v>
      </c>
      <c r="FI76">
        <v>0</v>
      </c>
      <c r="FJ76">
        <v>0</v>
      </c>
      <c r="FK76">
        <v>0</v>
      </c>
      <c r="FL76">
        <v>0</v>
      </c>
      <c r="FM76">
        <v>0</v>
      </c>
      <c r="FN76">
        <v>0</v>
      </c>
      <c r="FO76">
        <v>0</v>
      </c>
      <c r="FP76">
        <v>0</v>
      </c>
      <c r="FQ76">
        <v>0</v>
      </c>
      <c r="FR76">
        <v>0</v>
      </c>
      <c r="FS76">
        <v>0</v>
      </c>
      <c r="FT76">
        <v>0</v>
      </c>
      <c r="FU76">
        <v>0</v>
      </c>
      <c r="FV76">
        <v>0</v>
      </c>
      <c r="FW76">
        <v>0</v>
      </c>
      <c r="FX76">
        <v>0</v>
      </c>
      <c r="FY76">
        <v>0</v>
      </c>
      <c r="FZ76">
        <v>0</v>
      </c>
      <c r="GA76">
        <v>0</v>
      </c>
      <c r="GB76">
        <v>0</v>
      </c>
      <c r="GC76">
        <v>0</v>
      </c>
      <c r="GD76">
        <v>0</v>
      </c>
      <c r="GE76">
        <v>0</v>
      </c>
      <c r="GF76">
        <v>0</v>
      </c>
      <c r="GG76">
        <v>0</v>
      </c>
      <c r="GH76">
        <v>0</v>
      </c>
      <c r="GI76">
        <v>0</v>
      </c>
      <c r="GJ76">
        <v>0</v>
      </c>
      <c r="GK76">
        <v>0</v>
      </c>
      <c r="GL76">
        <v>0</v>
      </c>
      <c r="GM76">
        <v>0</v>
      </c>
      <c r="GN76">
        <v>0</v>
      </c>
      <c r="GO76">
        <v>0</v>
      </c>
      <c r="GP76">
        <v>0</v>
      </c>
      <c r="GQ76">
        <v>0</v>
      </c>
      <c r="GR76">
        <v>0</v>
      </c>
      <c r="GS76">
        <v>0</v>
      </c>
      <c r="GT76">
        <v>0</v>
      </c>
      <c r="GU76">
        <v>0</v>
      </c>
      <c r="GV76">
        <v>0</v>
      </c>
      <c r="GW76">
        <v>0</v>
      </c>
      <c r="GX76">
        <v>0</v>
      </c>
      <c r="GY76">
        <v>0</v>
      </c>
      <c r="GZ76">
        <v>0</v>
      </c>
      <c r="HA76">
        <v>0</v>
      </c>
      <c r="HB76">
        <v>0</v>
      </c>
      <c r="HC76">
        <v>0</v>
      </c>
      <c r="HD76">
        <v>0</v>
      </c>
      <c r="HE76">
        <v>0</v>
      </c>
      <c r="HF76">
        <v>0</v>
      </c>
      <c r="HG76">
        <v>0</v>
      </c>
      <c r="HH76">
        <v>0</v>
      </c>
      <c r="HI76">
        <v>0</v>
      </c>
      <c r="HJ76">
        <v>0</v>
      </c>
      <c r="HK76">
        <v>0</v>
      </c>
      <c r="HL76">
        <v>0</v>
      </c>
      <c r="HM76">
        <v>0</v>
      </c>
      <c r="HN76">
        <v>0</v>
      </c>
      <c r="HO76">
        <v>0</v>
      </c>
      <c r="HP76">
        <v>0</v>
      </c>
      <c r="HQ76">
        <v>0</v>
      </c>
      <c r="HR76">
        <v>0</v>
      </c>
      <c r="HS76">
        <v>0</v>
      </c>
      <c r="HT76">
        <v>0</v>
      </c>
      <c r="HU76">
        <v>0</v>
      </c>
      <c r="HV76">
        <v>0</v>
      </c>
      <c r="HW76">
        <v>0</v>
      </c>
      <c r="HX76">
        <v>0</v>
      </c>
      <c r="HY76">
        <v>0</v>
      </c>
      <c r="HZ76">
        <v>0</v>
      </c>
      <c r="IA76">
        <v>0</v>
      </c>
      <c r="IB76">
        <v>0</v>
      </c>
      <c r="IC76">
        <v>0</v>
      </c>
      <c r="ID76">
        <v>0</v>
      </c>
      <c r="IE76">
        <v>0</v>
      </c>
      <c r="IF76">
        <v>0</v>
      </c>
      <c r="IG76">
        <v>0</v>
      </c>
      <c r="IH76">
        <v>0</v>
      </c>
      <c r="II76">
        <v>0</v>
      </c>
      <c r="IJ76">
        <v>0</v>
      </c>
      <c r="IK76">
        <v>0</v>
      </c>
      <c r="IL76">
        <v>0</v>
      </c>
      <c r="IM76">
        <v>0</v>
      </c>
      <c r="IN76">
        <v>0</v>
      </c>
      <c r="IO76">
        <v>0</v>
      </c>
      <c r="IP76">
        <v>0</v>
      </c>
      <c r="IQ76">
        <v>0</v>
      </c>
      <c r="IR76">
        <v>0</v>
      </c>
      <c r="IS76">
        <v>0</v>
      </c>
      <c r="IT76">
        <v>0</v>
      </c>
      <c r="IU76">
        <v>0</v>
      </c>
      <c r="IV76">
        <v>0</v>
      </c>
      <c r="IW76">
        <v>0</v>
      </c>
      <c r="IX76">
        <v>0</v>
      </c>
      <c r="IY76">
        <v>0</v>
      </c>
      <c r="IZ76">
        <v>0</v>
      </c>
      <c r="JA76">
        <v>0</v>
      </c>
      <c r="JB76">
        <v>0</v>
      </c>
      <c r="JC76">
        <v>0</v>
      </c>
      <c r="JD76">
        <v>0</v>
      </c>
      <c r="JE76">
        <v>0</v>
      </c>
      <c r="JF76">
        <v>0</v>
      </c>
      <c r="JG76">
        <v>0</v>
      </c>
      <c r="JH76">
        <v>0</v>
      </c>
      <c r="JI76">
        <v>0</v>
      </c>
      <c r="JJ76">
        <v>0</v>
      </c>
      <c r="JK76">
        <v>0</v>
      </c>
      <c r="JL76">
        <v>0</v>
      </c>
      <c r="JM76">
        <v>0</v>
      </c>
      <c r="JN76">
        <v>0</v>
      </c>
      <c r="JO76">
        <v>0</v>
      </c>
      <c r="JP76">
        <v>0</v>
      </c>
      <c r="JQ76">
        <v>0</v>
      </c>
      <c r="JR76">
        <v>0</v>
      </c>
      <c r="JS76">
        <v>0</v>
      </c>
      <c r="JT76">
        <v>0</v>
      </c>
      <c r="JU76">
        <v>0</v>
      </c>
      <c r="JV76">
        <v>0</v>
      </c>
      <c r="JW76">
        <v>0</v>
      </c>
      <c r="JX76">
        <v>0</v>
      </c>
      <c r="JY76">
        <v>0</v>
      </c>
      <c r="JZ76">
        <v>0</v>
      </c>
      <c r="KA76">
        <v>0</v>
      </c>
      <c r="KB76">
        <v>0</v>
      </c>
      <c r="KC76">
        <v>0</v>
      </c>
      <c r="KD76">
        <v>0</v>
      </c>
      <c r="KE76">
        <v>0</v>
      </c>
      <c r="KF76">
        <v>0</v>
      </c>
      <c r="KG76">
        <v>0</v>
      </c>
      <c r="KH76">
        <v>0</v>
      </c>
      <c r="KI76">
        <v>0</v>
      </c>
      <c r="KJ76">
        <v>0</v>
      </c>
      <c r="KK76">
        <v>0</v>
      </c>
      <c r="KL76">
        <v>0</v>
      </c>
      <c r="KM76">
        <v>0</v>
      </c>
      <c r="KN76">
        <v>0</v>
      </c>
      <c r="KO76">
        <v>0</v>
      </c>
      <c r="KP76">
        <v>0</v>
      </c>
      <c r="KQ76">
        <v>0</v>
      </c>
      <c r="KR76">
        <v>0</v>
      </c>
      <c r="KS76">
        <v>0</v>
      </c>
      <c r="KT76">
        <v>0</v>
      </c>
      <c r="KU76">
        <v>0</v>
      </c>
      <c r="KV76">
        <v>0</v>
      </c>
      <c r="KW76">
        <v>0</v>
      </c>
      <c r="KX76">
        <v>0</v>
      </c>
      <c r="KY76">
        <v>0</v>
      </c>
      <c r="KZ76">
        <v>0</v>
      </c>
      <c r="LA76">
        <v>0</v>
      </c>
      <c r="LB76">
        <v>0</v>
      </c>
      <c r="LC76">
        <v>0</v>
      </c>
      <c r="LD76">
        <v>0</v>
      </c>
      <c r="LE76">
        <v>0</v>
      </c>
      <c r="LF76">
        <v>0</v>
      </c>
      <c r="LG76">
        <v>0</v>
      </c>
      <c r="LH76">
        <v>0</v>
      </c>
      <c r="LI76">
        <v>0</v>
      </c>
      <c r="LJ76">
        <v>0</v>
      </c>
      <c r="LK76">
        <v>0</v>
      </c>
      <c r="LL76">
        <v>0</v>
      </c>
      <c r="LM76">
        <v>0</v>
      </c>
      <c r="LN76">
        <v>0</v>
      </c>
      <c r="LO76">
        <v>0</v>
      </c>
      <c r="LP76">
        <v>0</v>
      </c>
      <c r="LQ76">
        <v>0</v>
      </c>
      <c r="LR76">
        <v>0</v>
      </c>
      <c r="LS76">
        <v>0</v>
      </c>
      <c r="LT76">
        <v>0</v>
      </c>
      <c r="LU76">
        <v>0</v>
      </c>
      <c r="LV76">
        <v>0</v>
      </c>
      <c r="LW76">
        <v>0</v>
      </c>
      <c r="LX76">
        <v>0</v>
      </c>
      <c r="LY76">
        <v>1</v>
      </c>
      <c r="LZ76">
        <v>1</v>
      </c>
      <c r="MA76">
        <v>1</v>
      </c>
      <c r="MB76">
        <v>1</v>
      </c>
      <c r="MC76">
        <v>1</v>
      </c>
      <c r="MD76">
        <v>1</v>
      </c>
      <c r="ME76">
        <v>1</v>
      </c>
      <c r="MF76">
        <v>1</v>
      </c>
      <c r="MG76">
        <v>1</v>
      </c>
      <c r="MH76">
        <v>1</v>
      </c>
      <c r="MI76">
        <v>1</v>
      </c>
      <c r="MJ76">
        <v>1</v>
      </c>
      <c r="MK76">
        <v>1</v>
      </c>
      <c r="ML76">
        <v>1</v>
      </c>
      <c r="MM76">
        <v>1</v>
      </c>
      <c r="MN76">
        <v>1</v>
      </c>
      <c r="MO76">
        <v>1</v>
      </c>
      <c r="MP76">
        <v>1</v>
      </c>
      <c r="MQ76">
        <v>1</v>
      </c>
      <c r="MR76">
        <v>1</v>
      </c>
      <c r="MS76">
        <v>1</v>
      </c>
      <c r="MT76">
        <v>1</v>
      </c>
      <c r="MU76">
        <v>1</v>
      </c>
      <c r="MV76">
        <v>1</v>
      </c>
      <c r="MW76">
        <v>1</v>
      </c>
      <c r="MX76">
        <v>1</v>
      </c>
      <c r="MY76">
        <v>1</v>
      </c>
      <c r="MZ76">
        <v>1</v>
      </c>
      <c r="NA76">
        <v>1</v>
      </c>
      <c r="NB76">
        <v>1</v>
      </c>
      <c r="NC76">
        <v>1</v>
      </c>
      <c r="ND76">
        <v>1</v>
      </c>
      <c r="NE76">
        <v>1</v>
      </c>
      <c r="NF76">
        <v>1</v>
      </c>
      <c r="NG76">
        <v>1</v>
      </c>
      <c r="NH76">
        <v>1</v>
      </c>
      <c r="NI76">
        <v>1</v>
      </c>
      <c r="NJ76">
        <v>1</v>
      </c>
      <c r="NK76">
        <v>1</v>
      </c>
      <c r="NL76">
        <v>1</v>
      </c>
      <c r="NM76">
        <v>1</v>
      </c>
      <c r="NN76">
        <v>1</v>
      </c>
      <c r="NO76">
        <v>1</v>
      </c>
      <c r="NP76">
        <v>1</v>
      </c>
      <c r="NQ76">
        <v>1</v>
      </c>
      <c r="NR76">
        <v>1</v>
      </c>
      <c r="NS76">
        <v>1</v>
      </c>
      <c r="NT76">
        <v>1</v>
      </c>
      <c r="NU76">
        <v>1</v>
      </c>
      <c r="NV76">
        <v>1</v>
      </c>
      <c r="NW76">
        <v>1</v>
      </c>
      <c r="NX76">
        <v>1</v>
      </c>
      <c r="NY76">
        <v>1</v>
      </c>
      <c r="NZ76">
        <v>1</v>
      </c>
      <c r="OA76">
        <v>1</v>
      </c>
      <c r="OB76">
        <v>1</v>
      </c>
      <c r="OC76">
        <v>1</v>
      </c>
      <c r="OD76">
        <v>1</v>
      </c>
      <c r="OE76">
        <v>1</v>
      </c>
      <c r="OF76">
        <v>1</v>
      </c>
      <c r="OG76">
        <v>1</v>
      </c>
      <c r="OH76">
        <v>1</v>
      </c>
      <c r="OI76">
        <v>1</v>
      </c>
      <c r="OJ76">
        <v>1</v>
      </c>
      <c r="OK76">
        <v>1</v>
      </c>
      <c r="OL76">
        <v>1</v>
      </c>
      <c r="OM76">
        <v>1</v>
      </c>
      <c r="ON76">
        <v>1</v>
      </c>
      <c r="OO76">
        <v>1</v>
      </c>
      <c r="OP76">
        <v>1</v>
      </c>
      <c r="OQ76">
        <v>1</v>
      </c>
      <c r="OR76">
        <v>1</v>
      </c>
      <c r="OS76">
        <v>1</v>
      </c>
      <c r="OT76">
        <v>1</v>
      </c>
      <c r="OU76">
        <v>1</v>
      </c>
      <c r="OV76">
        <v>1</v>
      </c>
      <c r="OW76">
        <v>1</v>
      </c>
      <c r="OX76">
        <v>1</v>
      </c>
      <c r="OY76">
        <v>1</v>
      </c>
      <c r="OZ76">
        <v>1</v>
      </c>
      <c r="PA76">
        <v>1</v>
      </c>
      <c r="PB76">
        <v>1</v>
      </c>
      <c r="PC76">
        <v>1</v>
      </c>
      <c r="PD76">
        <v>1</v>
      </c>
      <c r="PE76">
        <v>1</v>
      </c>
      <c r="PF76">
        <v>1</v>
      </c>
      <c r="PG76">
        <v>1</v>
      </c>
      <c r="PH76">
        <v>1</v>
      </c>
      <c r="PI76">
        <v>1</v>
      </c>
      <c r="PJ76">
        <v>1</v>
      </c>
      <c r="PK76">
        <v>1</v>
      </c>
      <c r="PL76">
        <v>1</v>
      </c>
      <c r="PM76">
        <v>1</v>
      </c>
      <c r="PN76">
        <v>1</v>
      </c>
      <c r="PO76">
        <v>1</v>
      </c>
      <c r="PP76">
        <v>1</v>
      </c>
      <c r="PQ76">
        <v>1</v>
      </c>
      <c r="PR76">
        <v>1</v>
      </c>
      <c r="PS76">
        <v>1</v>
      </c>
      <c r="PT76">
        <v>1</v>
      </c>
      <c r="PU76">
        <v>1</v>
      </c>
      <c r="PV76">
        <v>1</v>
      </c>
      <c r="PW76">
        <v>1</v>
      </c>
      <c r="PX76">
        <v>1</v>
      </c>
      <c r="PY76">
        <v>1</v>
      </c>
      <c r="PZ76">
        <v>1</v>
      </c>
      <c r="QA76">
        <v>1</v>
      </c>
      <c r="QB76">
        <v>1</v>
      </c>
      <c r="QC76">
        <v>1</v>
      </c>
      <c r="QD76">
        <v>1</v>
      </c>
      <c r="QE76">
        <v>1</v>
      </c>
      <c r="QF76">
        <v>1</v>
      </c>
      <c r="QG76">
        <v>1</v>
      </c>
      <c r="QH76">
        <v>1</v>
      </c>
      <c r="QI76">
        <v>1</v>
      </c>
      <c r="QJ76">
        <v>1</v>
      </c>
      <c r="QK76">
        <v>1</v>
      </c>
      <c r="QL76">
        <v>1</v>
      </c>
      <c r="QM76">
        <v>1</v>
      </c>
      <c r="QN76">
        <v>1</v>
      </c>
      <c r="QO76">
        <v>1</v>
      </c>
      <c r="QP76">
        <v>1</v>
      </c>
      <c r="QQ76">
        <v>1</v>
      </c>
      <c r="QR76">
        <v>1</v>
      </c>
      <c r="QS76">
        <v>1</v>
      </c>
      <c r="QT76">
        <v>1</v>
      </c>
      <c r="QU76">
        <v>1</v>
      </c>
      <c r="QV76">
        <v>1</v>
      </c>
      <c r="QW76">
        <v>1</v>
      </c>
      <c r="QX76">
        <v>1</v>
      </c>
      <c r="QY76">
        <v>1</v>
      </c>
      <c r="QZ76">
        <v>1</v>
      </c>
      <c r="RA76">
        <v>1</v>
      </c>
      <c r="RB76">
        <v>1</v>
      </c>
      <c r="RC76">
        <v>1</v>
      </c>
      <c r="RD76">
        <v>1</v>
      </c>
      <c r="RE76">
        <v>1</v>
      </c>
      <c r="RF76">
        <v>1</v>
      </c>
      <c r="RG76">
        <v>1</v>
      </c>
      <c r="RH76">
        <v>1</v>
      </c>
      <c r="RI76">
        <v>1</v>
      </c>
      <c r="RJ76">
        <v>1</v>
      </c>
      <c r="RK76">
        <v>1</v>
      </c>
      <c r="RL76">
        <v>1</v>
      </c>
      <c r="RM76">
        <v>1</v>
      </c>
      <c r="RN76">
        <v>1</v>
      </c>
      <c r="RO76">
        <v>1</v>
      </c>
      <c r="RP76">
        <v>1</v>
      </c>
      <c r="RQ76">
        <v>1</v>
      </c>
      <c r="RR76">
        <v>1</v>
      </c>
      <c r="RS76">
        <v>1</v>
      </c>
      <c r="RT76">
        <v>1</v>
      </c>
      <c r="RU76">
        <v>1</v>
      </c>
      <c r="RV76">
        <v>1</v>
      </c>
      <c r="RW76">
        <v>1</v>
      </c>
      <c r="RX76">
        <v>1</v>
      </c>
      <c r="RY76">
        <v>1</v>
      </c>
      <c r="RZ76">
        <v>1</v>
      </c>
      <c r="SA76">
        <v>1</v>
      </c>
      <c r="SB76">
        <v>1</v>
      </c>
      <c r="SC76">
        <v>1</v>
      </c>
      <c r="SD76">
        <v>1</v>
      </c>
      <c r="SE76">
        <v>1</v>
      </c>
      <c r="SF76">
        <v>1</v>
      </c>
      <c r="SG76">
        <v>1</v>
      </c>
      <c r="SH76">
        <v>1</v>
      </c>
      <c r="SI76">
        <v>1</v>
      </c>
      <c r="SJ76">
        <v>1</v>
      </c>
      <c r="SK76">
        <v>1</v>
      </c>
      <c r="SL76">
        <v>1</v>
      </c>
      <c r="SM76">
        <v>1</v>
      </c>
      <c r="SN76">
        <v>1</v>
      </c>
      <c r="SO76">
        <v>1</v>
      </c>
      <c r="SP76">
        <v>1</v>
      </c>
      <c r="SQ76">
        <v>1</v>
      </c>
      <c r="SR76">
        <v>1</v>
      </c>
      <c r="SS76">
        <v>1</v>
      </c>
      <c r="ST76">
        <v>1</v>
      </c>
      <c r="SU76">
        <v>1</v>
      </c>
      <c r="SV76">
        <v>1</v>
      </c>
      <c r="SW76">
        <v>1</v>
      </c>
      <c r="SX76">
        <v>1</v>
      </c>
      <c r="SY76">
        <v>1</v>
      </c>
      <c r="SZ76">
        <v>1</v>
      </c>
      <c r="TA76">
        <v>1</v>
      </c>
      <c r="TB76">
        <v>1</v>
      </c>
      <c r="TC76">
        <v>1</v>
      </c>
      <c r="TD76">
        <v>1</v>
      </c>
      <c r="TE76">
        <v>1</v>
      </c>
      <c r="TF76">
        <v>1</v>
      </c>
      <c r="TG76">
        <v>1</v>
      </c>
      <c r="TH76">
        <v>1</v>
      </c>
      <c r="TI76">
        <v>1</v>
      </c>
      <c r="TJ76">
        <v>1</v>
      </c>
      <c r="TK76">
        <v>1</v>
      </c>
      <c r="TL76">
        <v>1</v>
      </c>
      <c r="TM76">
        <v>1</v>
      </c>
      <c r="TN76">
        <v>1</v>
      </c>
      <c r="TO76">
        <v>1</v>
      </c>
      <c r="TP76">
        <v>1</v>
      </c>
      <c r="TQ76">
        <v>1</v>
      </c>
      <c r="TR76">
        <v>1</v>
      </c>
      <c r="TS76">
        <v>1</v>
      </c>
      <c r="TT76">
        <v>1</v>
      </c>
      <c r="TU76">
        <v>1</v>
      </c>
      <c r="TV76">
        <v>1</v>
      </c>
      <c r="TW76">
        <v>1</v>
      </c>
      <c r="TX76">
        <v>1</v>
      </c>
      <c r="TY76">
        <v>1</v>
      </c>
      <c r="TZ76">
        <v>1</v>
      </c>
      <c r="UA76">
        <v>1</v>
      </c>
      <c r="UB76">
        <v>1</v>
      </c>
      <c r="UC76">
        <v>1</v>
      </c>
      <c r="UD76">
        <v>1</v>
      </c>
      <c r="UE76">
        <v>1</v>
      </c>
      <c r="UF76">
        <v>1</v>
      </c>
      <c r="UG76">
        <v>1</v>
      </c>
      <c r="UH76">
        <v>1</v>
      </c>
      <c r="UI76">
        <v>1</v>
      </c>
      <c r="UJ76">
        <v>1</v>
      </c>
      <c r="UK76">
        <v>1</v>
      </c>
      <c r="UL76">
        <v>1</v>
      </c>
      <c r="UM76">
        <v>1</v>
      </c>
      <c r="UN76">
        <v>1</v>
      </c>
      <c r="UO76">
        <v>1</v>
      </c>
      <c r="UP76">
        <v>1</v>
      </c>
      <c r="UQ76">
        <v>1</v>
      </c>
      <c r="UR76">
        <v>1</v>
      </c>
      <c r="US76">
        <v>1</v>
      </c>
      <c r="UT76">
        <v>1</v>
      </c>
      <c r="UU76">
        <v>1</v>
      </c>
      <c r="UV76">
        <v>1</v>
      </c>
      <c r="UW76">
        <v>1</v>
      </c>
      <c r="UX76">
        <v>1</v>
      </c>
      <c r="UY76">
        <v>1</v>
      </c>
      <c r="UZ76">
        <v>1</v>
      </c>
      <c r="VA76">
        <v>1</v>
      </c>
      <c r="VB76">
        <v>1</v>
      </c>
      <c r="VC76">
        <v>1</v>
      </c>
      <c r="VD76">
        <v>1</v>
      </c>
      <c r="VE76">
        <v>1</v>
      </c>
      <c r="VF76">
        <v>1</v>
      </c>
      <c r="VG76">
        <v>1</v>
      </c>
      <c r="VH76">
        <v>1</v>
      </c>
      <c r="VI76">
        <v>1</v>
      </c>
      <c r="VJ76">
        <v>1</v>
      </c>
      <c r="VK76">
        <v>1</v>
      </c>
      <c r="VL76">
        <v>1</v>
      </c>
      <c r="VM76">
        <v>1</v>
      </c>
      <c r="VN76">
        <v>1</v>
      </c>
      <c r="VO76">
        <v>1</v>
      </c>
      <c r="VP76">
        <v>1</v>
      </c>
      <c r="VQ76">
        <v>1</v>
      </c>
      <c r="VR76">
        <v>1</v>
      </c>
      <c r="VS76">
        <v>1</v>
      </c>
      <c r="VT76">
        <v>1</v>
      </c>
      <c r="VU76">
        <v>1</v>
      </c>
      <c r="VV76">
        <v>1</v>
      </c>
      <c r="VW76">
        <v>1</v>
      </c>
      <c r="VX76">
        <v>1</v>
      </c>
      <c r="VY76">
        <v>1</v>
      </c>
      <c r="VZ76">
        <v>1</v>
      </c>
      <c r="WA76">
        <v>1</v>
      </c>
      <c r="WB76">
        <v>1</v>
      </c>
      <c r="WC76">
        <v>1</v>
      </c>
      <c r="WD76">
        <v>1</v>
      </c>
      <c r="WE76">
        <v>1</v>
      </c>
      <c r="WF76">
        <v>1</v>
      </c>
      <c r="WG76">
        <v>1</v>
      </c>
      <c r="WH76">
        <v>1</v>
      </c>
      <c r="WI76">
        <v>1</v>
      </c>
      <c r="WJ76">
        <v>1</v>
      </c>
      <c r="WK76">
        <v>1</v>
      </c>
      <c r="WL76">
        <v>1</v>
      </c>
      <c r="WM76">
        <v>1</v>
      </c>
      <c r="WN76">
        <v>1</v>
      </c>
      <c r="WO76">
        <v>1</v>
      </c>
      <c r="WP76">
        <v>1</v>
      </c>
      <c r="WQ76">
        <v>1</v>
      </c>
      <c r="WR76">
        <v>1</v>
      </c>
      <c r="WS76">
        <v>1</v>
      </c>
      <c r="WT76">
        <v>1</v>
      </c>
      <c r="WU76">
        <v>1</v>
      </c>
      <c r="WV76">
        <v>1</v>
      </c>
      <c r="WW76">
        <v>1</v>
      </c>
      <c r="WX76">
        <v>1</v>
      </c>
      <c r="WY76">
        <v>1</v>
      </c>
      <c r="WZ76">
        <v>1</v>
      </c>
      <c r="XA76">
        <v>1</v>
      </c>
      <c r="XB76">
        <v>1</v>
      </c>
      <c r="XC76">
        <v>1</v>
      </c>
      <c r="XD76">
        <v>1</v>
      </c>
      <c r="XE76">
        <v>1</v>
      </c>
      <c r="XF76">
        <v>1</v>
      </c>
      <c r="XG76">
        <v>1</v>
      </c>
      <c r="XH76">
        <v>1</v>
      </c>
      <c r="XI76">
        <v>1</v>
      </c>
      <c r="XJ76">
        <v>1</v>
      </c>
      <c r="XK76">
        <v>1</v>
      </c>
      <c r="XL76">
        <v>1</v>
      </c>
      <c r="XM76">
        <v>1</v>
      </c>
      <c r="XN76">
        <v>1</v>
      </c>
      <c r="XO76">
        <v>1</v>
      </c>
      <c r="XP76">
        <v>1</v>
      </c>
      <c r="XQ76">
        <v>1</v>
      </c>
      <c r="XR76">
        <v>1</v>
      </c>
      <c r="XS76">
        <v>1</v>
      </c>
      <c r="XT76">
        <v>1</v>
      </c>
      <c r="XU76">
        <v>1</v>
      </c>
      <c r="XV76">
        <v>1</v>
      </c>
      <c r="XW76">
        <v>1</v>
      </c>
      <c r="XX76">
        <v>1</v>
      </c>
      <c r="XY76">
        <v>1</v>
      </c>
      <c r="XZ76">
        <v>1</v>
      </c>
      <c r="YA76">
        <v>1</v>
      </c>
      <c r="YB76">
        <v>1</v>
      </c>
      <c r="YC76">
        <v>1</v>
      </c>
      <c r="YD76">
        <v>1</v>
      </c>
      <c r="YE76">
        <v>1</v>
      </c>
      <c r="YF76">
        <v>1</v>
      </c>
      <c r="YG76">
        <v>1</v>
      </c>
      <c r="YH76">
        <v>1</v>
      </c>
      <c r="YI76">
        <v>1</v>
      </c>
      <c r="YJ76">
        <v>1</v>
      </c>
      <c r="YK76">
        <v>1</v>
      </c>
      <c r="YL76">
        <v>1</v>
      </c>
      <c r="YM76">
        <v>1</v>
      </c>
      <c r="YN76">
        <v>1</v>
      </c>
      <c r="YO76">
        <v>1</v>
      </c>
      <c r="YP76">
        <v>1</v>
      </c>
      <c r="YQ76">
        <v>1</v>
      </c>
      <c r="YR76">
        <v>1</v>
      </c>
      <c r="YS76">
        <v>1</v>
      </c>
      <c r="YT76">
        <v>1</v>
      </c>
      <c r="YU76">
        <v>1</v>
      </c>
      <c r="YV76">
        <v>1</v>
      </c>
      <c r="YW76">
        <v>1</v>
      </c>
      <c r="YX76">
        <v>1</v>
      </c>
      <c r="YY76">
        <v>1</v>
      </c>
      <c r="YZ76">
        <v>1</v>
      </c>
      <c r="ZA76">
        <v>1</v>
      </c>
      <c r="ZB76">
        <v>1</v>
      </c>
      <c r="ZC76">
        <v>1</v>
      </c>
      <c r="ZD76">
        <v>1</v>
      </c>
      <c r="ZE76">
        <v>1</v>
      </c>
      <c r="ZF76">
        <v>1</v>
      </c>
      <c r="ZG76">
        <v>1</v>
      </c>
      <c r="ZH76">
        <v>1</v>
      </c>
      <c r="ZI76">
        <v>1</v>
      </c>
      <c r="ZJ76">
        <v>1</v>
      </c>
      <c r="ZK76">
        <v>1</v>
      </c>
      <c r="ZL76">
        <v>1</v>
      </c>
      <c r="ZM76">
        <v>1</v>
      </c>
      <c r="ZN76">
        <v>1</v>
      </c>
      <c r="ZO76">
        <v>1</v>
      </c>
      <c r="ZP76">
        <v>1</v>
      </c>
      <c r="ZQ76">
        <v>1</v>
      </c>
      <c r="ZR76">
        <v>1</v>
      </c>
      <c r="ZS76">
        <v>1</v>
      </c>
      <c r="ZT76">
        <v>1</v>
      </c>
      <c r="ZU76">
        <v>1</v>
      </c>
      <c r="ZV76">
        <v>1</v>
      </c>
      <c r="ZW76">
        <v>1</v>
      </c>
      <c r="ZX76">
        <v>1</v>
      </c>
      <c r="ZY76">
        <v>1</v>
      </c>
      <c r="ZZ76">
        <v>1</v>
      </c>
      <c r="AAA76">
        <v>1</v>
      </c>
      <c r="AAB76">
        <v>1</v>
      </c>
      <c r="AAC76">
        <v>1</v>
      </c>
      <c r="AAD76">
        <v>1</v>
      </c>
      <c r="AAE76">
        <v>1</v>
      </c>
      <c r="AAF76">
        <v>1</v>
      </c>
      <c r="AAG76">
        <v>1</v>
      </c>
      <c r="AAH76">
        <v>1</v>
      </c>
      <c r="AAI76">
        <v>1</v>
      </c>
      <c r="AAJ76">
        <v>1</v>
      </c>
      <c r="AAK76">
        <v>1</v>
      </c>
      <c r="AAL76">
        <v>1</v>
      </c>
      <c r="AAM76">
        <v>1</v>
      </c>
      <c r="AAN76">
        <v>1</v>
      </c>
      <c r="AAO76">
        <v>1</v>
      </c>
      <c r="AAP76">
        <v>1</v>
      </c>
      <c r="AAQ76">
        <v>1</v>
      </c>
      <c r="AAR76">
        <v>1</v>
      </c>
      <c r="AAS76">
        <v>1</v>
      </c>
      <c r="AAT76">
        <v>1</v>
      </c>
      <c r="AAU76">
        <v>1</v>
      </c>
      <c r="AAV76">
        <v>1</v>
      </c>
      <c r="AAW76">
        <v>1</v>
      </c>
      <c r="AAX76">
        <v>1</v>
      </c>
      <c r="AAY76">
        <v>1</v>
      </c>
      <c r="AAZ76">
        <v>1</v>
      </c>
      <c r="ABA76">
        <v>1</v>
      </c>
      <c r="ABB76">
        <v>1</v>
      </c>
      <c r="ABC76">
        <v>1</v>
      </c>
      <c r="ABD76">
        <v>1</v>
      </c>
      <c r="ABE76">
        <v>1</v>
      </c>
      <c r="ABG76" s="1137">
        <f t="shared" si="19"/>
        <v>0</v>
      </c>
      <c r="ABH76" s="1137">
        <f t="shared" si="19"/>
        <v>0</v>
      </c>
      <c r="ABI76" s="1137">
        <f t="shared" si="19"/>
        <v>0</v>
      </c>
      <c r="ABJ76" s="1137">
        <f t="shared" si="19"/>
        <v>0</v>
      </c>
      <c r="ABK76" s="1137">
        <f t="shared" si="19"/>
        <v>0</v>
      </c>
      <c r="ABL76" s="1137">
        <f t="shared" si="19"/>
        <v>0</v>
      </c>
      <c r="ABM76" s="1137">
        <f t="shared" si="19"/>
        <v>0</v>
      </c>
      <c r="ABN76" s="1137">
        <f t="shared" si="19"/>
        <v>0</v>
      </c>
      <c r="ABO76" s="1137">
        <f t="shared" si="19"/>
        <v>0</v>
      </c>
      <c r="ABP76" s="1137">
        <f t="shared" si="19"/>
        <v>0</v>
      </c>
      <c r="ABQ76" s="1137">
        <f t="shared" si="19"/>
        <v>1</v>
      </c>
      <c r="ABR76" s="1137">
        <f t="shared" si="19"/>
        <v>31</v>
      </c>
      <c r="ABS76" s="1137">
        <f t="shared" si="19"/>
        <v>31</v>
      </c>
      <c r="ABT76" s="1137">
        <f t="shared" si="19"/>
        <v>28</v>
      </c>
      <c r="ABU76" s="1137">
        <f t="shared" si="19"/>
        <v>31</v>
      </c>
      <c r="ABV76" s="1137">
        <f t="shared" si="19"/>
        <v>30</v>
      </c>
      <c r="ABW76" s="1137">
        <f t="shared" si="17"/>
        <v>31</v>
      </c>
      <c r="ABX76" s="1137">
        <f t="shared" si="14"/>
        <v>30</v>
      </c>
      <c r="ABY76" s="1137">
        <f t="shared" si="14"/>
        <v>31</v>
      </c>
      <c r="ABZ76" s="1137">
        <f t="shared" si="14"/>
        <v>31</v>
      </c>
      <c r="ACA76" s="1137">
        <f t="shared" si="14"/>
        <v>30</v>
      </c>
      <c r="ACB76" s="1137">
        <f t="shared" si="14"/>
        <v>31</v>
      </c>
      <c r="ACC76" s="1137">
        <f t="shared" si="14"/>
        <v>30</v>
      </c>
      <c r="ACD76" s="1137">
        <f t="shared" si="14"/>
        <v>31</v>
      </c>
      <c r="ACE76" s="1137" t="s">
        <v>1873</v>
      </c>
      <c r="ACF76" s="1137">
        <f t="shared" si="20"/>
        <v>0</v>
      </c>
      <c r="ACG76" s="1137">
        <f t="shared" si="20"/>
        <v>0</v>
      </c>
      <c r="ACH76" s="1137">
        <f t="shared" si="20"/>
        <v>0</v>
      </c>
      <c r="ACI76" s="1137">
        <f t="shared" si="20"/>
        <v>0</v>
      </c>
      <c r="ACJ76" s="1137">
        <f t="shared" si="20"/>
        <v>0</v>
      </c>
      <c r="ACK76" s="1137">
        <f t="shared" si="20"/>
        <v>0</v>
      </c>
      <c r="ACL76" s="1137">
        <f t="shared" si="20"/>
        <v>0</v>
      </c>
      <c r="ACM76" s="1137">
        <f t="shared" si="20"/>
        <v>0</v>
      </c>
      <c r="ACN76" s="1137">
        <f t="shared" si="20"/>
        <v>0</v>
      </c>
      <c r="ACO76" s="1137">
        <f t="shared" si="20"/>
        <v>0</v>
      </c>
      <c r="ACP76" s="1137">
        <f t="shared" si="20"/>
        <v>0</v>
      </c>
      <c r="ACQ76" s="1137">
        <f t="shared" si="20"/>
        <v>1</v>
      </c>
      <c r="ACR76" s="1137">
        <f t="shared" si="20"/>
        <v>1</v>
      </c>
      <c r="ACS76" s="1137">
        <f t="shared" si="20"/>
        <v>1</v>
      </c>
      <c r="ACT76" s="1137">
        <f t="shared" si="20"/>
        <v>1</v>
      </c>
      <c r="ACU76" s="1137">
        <f t="shared" si="12"/>
        <v>1</v>
      </c>
      <c r="ACV76" s="1137">
        <f t="shared" si="12"/>
        <v>1</v>
      </c>
      <c r="ACW76" s="1137">
        <f t="shared" si="12"/>
        <v>1</v>
      </c>
      <c r="ACX76" s="1137">
        <f t="shared" si="12"/>
        <v>1</v>
      </c>
      <c r="ACY76" s="1137">
        <f t="shared" si="12"/>
        <v>1</v>
      </c>
      <c r="ACZ76" s="1137">
        <f t="shared" si="12"/>
        <v>1</v>
      </c>
      <c r="ADA76" s="1137">
        <f t="shared" si="12"/>
        <v>1</v>
      </c>
      <c r="ADB76" s="1137">
        <f t="shared" si="16"/>
        <v>1</v>
      </c>
      <c r="ADC76" s="1137">
        <f t="shared" si="16"/>
        <v>1</v>
      </c>
    </row>
    <row r="77" spans="1:783" x14ac:dyDescent="0.25">
      <c r="A77" t="s">
        <v>1874</v>
      </c>
      <c r="B77" t="s">
        <v>35</v>
      </c>
      <c r="C77">
        <v>0</v>
      </c>
      <c r="D77">
        <v>0</v>
      </c>
      <c r="E77">
        <v>0</v>
      </c>
      <c r="F77">
        <v>0</v>
      </c>
      <c r="G77">
        <v>0</v>
      </c>
      <c r="H77">
        <v>0</v>
      </c>
      <c r="I77">
        <v>0</v>
      </c>
      <c r="J77">
        <v>0</v>
      </c>
      <c r="K77">
        <v>0</v>
      </c>
      <c r="L77">
        <v>0</v>
      </c>
      <c r="M77">
        <v>0</v>
      </c>
      <c r="N77">
        <v>0</v>
      </c>
      <c r="O77">
        <v>0</v>
      </c>
      <c r="P77">
        <v>0</v>
      </c>
      <c r="Q77">
        <v>0</v>
      </c>
      <c r="R77">
        <v>0</v>
      </c>
      <c r="S77">
        <v>0</v>
      </c>
      <c r="T77">
        <v>0</v>
      </c>
      <c r="U77">
        <v>0</v>
      </c>
      <c r="V77">
        <v>0</v>
      </c>
      <c r="W77">
        <v>0</v>
      </c>
      <c r="X77">
        <v>0</v>
      </c>
      <c r="Y77">
        <v>0</v>
      </c>
      <c r="Z77">
        <v>0</v>
      </c>
      <c r="AA77">
        <v>0</v>
      </c>
      <c r="AB77">
        <v>0</v>
      </c>
      <c r="AC77">
        <v>0</v>
      </c>
      <c r="AD77">
        <v>0</v>
      </c>
      <c r="AE77">
        <v>0</v>
      </c>
      <c r="AF77">
        <v>0</v>
      </c>
      <c r="AG77">
        <v>0</v>
      </c>
      <c r="AH77">
        <v>0</v>
      </c>
      <c r="AI77">
        <v>0</v>
      </c>
      <c r="AJ77">
        <v>0</v>
      </c>
      <c r="AK77">
        <v>0</v>
      </c>
      <c r="AL77">
        <v>0</v>
      </c>
      <c r="AM77">
        <v>0</v>
      </c>
      <c r="AN77">
        <v>0</v>
      </c>
      <c r="AO77">
        <v>0</v>
      </c>
      <c r="AP77">
        <v>0</v>
      </c>
      <c r="AQ77">
        <v>0</v>
      </c>
      <c r="AR77">
        <v>0</v>
      </c>
      <c r="AS77">
        <v>0</v>
      </c>
      <c r="AT77">
        <v>0</v>
      </c>
      <c r="AU77">
        <v>0</v>
      </c>
      <c r="AV77">
        <v>0</v>
      </c>
      <c r="AW77">
        <v>0</v>
      </c>
      <c r="AX77">
        <v>0</v>
      </c>
      <c r="AY77">
        <v>0</v>
      </c>
      <c r="AZ77">
        <v>0</v>
      </c>
      <c r="BA77">
        <v>0</v>
      </c>
      <c r="BB77">
        <v>0</v>
      </c>
      <c r="BC77">
        <v>0</v>
      </c>
      <c r="BD77">
        <v>0</v>
      </c>
      <c r="BE77">
        <v>0</v>
      </c>
      <c r="BF77">
        <v>0</v>
      </c>
      <c r="BG77">
        <v>0</v>
      </c>
      <c r="BH77">
        <v>0</v>
      </c>
      <c r="BI77">
        <v>0</v>
      </c>
      <c r="BJ77">
        <v>0</v>
      </c>
      <c r="BK77">
        <v>0</v>
      </c>
      <c r="BL77">
        <v>0</v>
      </c>
      <c r="BM77">
        <v>0</v>
      </c>
      <c r="BN77">
        <v>0</v>
      </c>
      <c r="BO77">
        <v>0</v>
      </c>
      <c r="BP77">
        <v>0</v>
      </c>
      <c r="BQ77">
        <v>0</v>
      </c>
      <c r="BR77">
        <v>0</v>
      </c>
      <c r="BS77">
        <v>0</v>
      </c>
      <c r="BT77">
        <v>0</v>
      </c>
      <c r="BU77">
        <v>0</v>
      </c>
      <c r="BV77">
        <v>0</v>
      </c>
      <c r="BW77">
        <v>0</v>
      </c>
      <c r="BX77">
        <v>0</v>
      </c>
      <c r="BY77">
        <v>0</v>
      </c>
      <c r="BZ77">
        <v>2</v>
      </c>
      <c r="CA77">
        <v>2</v>
      </c>
      <c r="CB77">
        <v>2</v>
      </c>
      <c r="CC77">
        <v>2</v>
      </c>
      <c r="CD77">
        <v>2</v>
      </c>
      <c r="CE77">
        <v>2</v>
      </c>
      <c r="CF77">
        <v>2</v>
      </c>
      <c r="CG77">
        <v>2</v>
      </c>
      <c r="CH77">
        <v>2</v>
      </c>
      <c r="CI77">
        <v>2</v>
      </c>
      <c r="CJ77">
        <v>2</v>
      </c>
      <c r="CK77">
        <v>2</v>
      </c>
      <c r="CL77">
        <v>2</v>
      </c>
      <c r="CM77">
        <v>2</v>
      </c>
      <c r="CN77">
        <v>2</v>
      </c>
      <c r="CO77">
        <v>2</v>
      </c>
      <c r="CP77">
        <v>2</v>
      </c>
      <c r="CQ77">
        <v>2</v>
      </c>
      <c r="CR77">
        <v>2</v>
      </c>
      <c r="CS77">
        <v>2</v>
      </c>
      <c r="CT77">
        <v>2</v>
      </c>
      <c r="CU77">
        <v>2</v>
      </c>
      <c r="CV77">
        <v>2</v>
      </c>
      <c r="CW77">
        <v>2</v>
      </c>
      <c r="CX77">
        <v>2</v>
      </c>
      <c r="CY77">
        <v>2</v>
      </c>
      <c r="CZ77">
        <v>2</v>
      </c>
      <c r="DA77">
        <v>2</v>
      </c>
      <c r="DB77">
        <v>2</v>
      </c>
      <c r="DC77">
        <v>2</v>
      </c>
      <c r="DD77">
        <v>2</v>
      </c>
      <c r="DE77">
        <v>2</v>
      </c>
      <c r="DF77">
        <v>2</v>
      </c>
      <c r="DG77">
        <v>2</v>
      </c>
      <c r="DH77">
        <v>2</v>
      </c>
      <c r="DI77">
        <v>2</v>
      </c>
      <c r="DJ77">
        <v>2</v>
      </c>
      <c r="DK77">
        <v>2</v>
      </c>
      <c r="DL77">
        <v>2</v>
      </c>
      <c r="DM77">
        <v>2</v>
      </c>
      <c r="DN77">
        <v>2</v>
      </c>
      <c r="DO77">
        <v>2</v>
      </c>
      <c r="DP77">
        <v>2</v>
      </c>
      <c r="DQ77">
        <v>2</v>
      </c>
      <c r="DR77">
        <v>2</v>
      </c>
      <c r="DS77">
        <v>2</v>
      </c>
      <c r="DT77">
        <v>2</v>
      </c>
      <c r="DU77">
        <v>2</v>
      </c>
      <c r="DV77">
        <v>2</v>
      </c>
      <c r="DW77">
        <v>2</v>
      </c>
      <c r="DX77">
        <v>2</v>
      </c>
      <c r="DY77">
        <v>2</v>
      </c>
      <c r="DZ77">
        <v>2</v>
      </c>
      <c r="EA77">
        <v>2</v>
      </c>
      <c r="EB77">
        <v>2</v>
      </c>
      <c r="EC77">
        <v>2</v>
      </c>
      <c r="ED77">
        <v>2</v>
      </c>
      <c r="EE77">
        <v>2</v>
      </c>
      <c r="EF77">
        <v>2</v>
      </c>
      <c r="EG77">
        <v>2</v>
      </c>
      <c r="EH77">
        <v>2</v>
      </c>
      <c r="EI77">
        <v>2</v>
      </c>
      <c r="EJ77">
        <v>2</v>
      </c>
      <c r="EK77">
        <v>2</v>
      </c>
      <c r="EL77">
        <v>2</v>
      </c>
      <c r="EM77">
        <v>2</v>
      </c>
      <c r="EN77">
        <v>2</v>
      </c>
      <c r="EO77">
        <v>2</v>
      </c>
      <c r="EP77">
        <v>2</v>
      </c>
      <c r="EQ77">
        <v>2</v>
      </c>
      <c r="ER77">
        <v>2</v>
      </c>
      <c r="ES77">
        <v>2</v>
      </c>
      <c r="ET77">
        <v>2</v>
      </c>
      <c r="EU77">
        <v>2</v>
      </c>
      <c r="EV77">
        <v>2</v>
      </c>
      <c r="EW77">
        <v>2</v>
      </c>
      <c r="EX77">
        <v>2</v>
      </c>
      <c r="EY77">
        <v>2</v>
      </c>
      <c r="EZ77">
        <v>2</v>
      </c>
      <c r="FA77">
        <v>2</v>
      </c>
      <c r="FB77">
        <v>2</v>
      </c>
      <c r="FC77">
        <v>2</v>
      </c>
      <c r="FD77">
        <v>2</v>
      </c>
      <c r="FE77">
        <v>2</v>
      </c>
      <c r="FF77">
        <v>2</v>
      </c>
      <c r="FG77">
        <v>2</v>
      </c>
      <c r="FH77">
        <v>2</v>
      </c>
      <c r="FI77">
        <v>2</v>
      </c>
      <c r="FJ77">
        <v>2</v>
      </c>
      <c r="FK77">
        <v>2</v>
      </c>
      <c r="FL77">
        <v>2</v>
      </c>
      <c r="FM77">
        <v>2</v>
      </c>
      <c r="FN77">
        <v>2</v>
      </c>
      <c r="FO77">
        <v>2</v>
      </c>
      <c r="FP77">
        <v>2</v>
      </c>
      <c r="FQ77">
        <v>2</v>
      </c>
      <c r="FR77">
        <v>2</v>
      </c>
      <c r="FS77">
        <v>2</v>
      </c>
      <c r="FT77">
        <v>2</v>
      </c>
      <c r="FU77">
        <v>2</v>
      </c>
      <c r="FV77">
        <v>2</v>
      </c>
      <c r="FW77">
        <v>2</v>
      </c>
      <c r="FX77">
        <v>2</v>
      </c>
      <c r="FY77">
        <v>2</v>
      </c>
      <c r="FZ77">
        <v>2</v>
      </c>
      <c r="GA77">
        <v>2</v>
      </c>
      <c r="GB77">
        <v>2</v>
      </c>
      <c r="GC77">
        <v>2</v>
      </c>
      <c r="GD77">
        <v>2</v>
      </c>
      <c r="GE77">
        <v>2</v>
      </c>
      <c r="GF77">
        <v>2</v>
      </c>
      <c r="GG77">
        <v>2</v>
      </c>
      <c r="GH77">
        <v>2</v>
      </c>
      <c r="GI77">
        <v>2</v>
      </c>
      <c r="GJ77">
        <v>2</v>
      </c>
      <c r="GK77">
        <v>2</v>
      </c>
      <c r="GL77">
        <v>2</v>
      </c>
      <c r="GM77">
        <v>2</v>
      </c>
      <c r="GN77">
        <v>2</v>
      </c>
      <c r="GO77">
        <v>2</v>
      </c>
      <c r="GP77">
        <v>2</v>
      </c>
      <c r="GQ77">
        <v>2</v>
      </c>
      <c r="GR77">
        <v>2</v>
      </c>
      <c r="GS77">
        <v>2</v>
      </c>
      <c r="GT77">
        <v>2</v>
      </c>
      <c r="GU77">
        <v>2</v>
      </c>
      <c r="GV77">
        <v>2</v>
      </c>
      <c r="GW77">
        <v>2</v>
      </c>
      <c r="GX77">
        <v>2</v>
      </c>
      <c r="GY77">
        <v>2</v>
      </c>
      <c r="GZ77">
        <v>2</v>
      </c>
      <c r="HA77">
        <v>2</v>
      </c>
      <c r="HB77">
        <v>2</v>
      </c>
      <c r="HC77">
        <v>2</v>
      </c>
      <c r="HD77">
        <v>2</v>
      </c>
      <c r="HE77">
        <v>2</v>
      </c>
      <c r="HF77">
        <v>2</v>
      </c>
      <c r="HG77">
        <v>2</v>
      </c>
      <c r="HH77">
        <v>2</v>
      </c>
      <c r="HI77">
        <v>2</v>
      </c>
      <c r="HJ77">
        <v>2</v>
      </c>
      <c r="HK77">
        <v>2</v>
      </c>
      <c r="HL77">
        <v>2</v>
      </c>
      <c r="HM77">
        <v>2</v>
      </c>
      <c r="HN77">
        <v>2</v>
      </c>
      <c r="HO77">
        <v>2</v>
      </c>
      <c r="HP77">
        <v>2</v>
      </c>
      <c r="HQ77">
        <v>2</v>
      </c>
      <c r="HR77">
        <v>2</v>
      </c>
      <c r="HS77">
        <v>2</v>
      </c>
      <c r="HT77">
        <v>2</v>
      </c>
      <c r="HU77">
        <v>2</v>
      </c>
      <c r="HV77">
        <v>2</v>
      </c>
      <c r="HW77">
        <v>2</v>
      </c>
      <c r="HX77">
        <v>2</v>
      </c>
      <c r="HY77">
        <v>2</v>
      </c>
      <c r="HZ77">
        <v>2</v>
      </c>
      <c r="IA77">
        <v>2</v>
      </c>
      <c r="IB77">
        <v>2</v>
      </c>
      <c r="IC77">
        <v>2</v>
      </c>
      <c r="ID77">
        <v>2</v>
      </c>
      <c r="IE77">
        <v>2</v>
      </c>
      <c r="IF77">
        <v>2</v>
      </c>
      <c r="IG77">
        <v>2</v>
      </c>
      <c r="IH77">
        <v>2</v>
      </c>
      <c r="II77">
        <v>2</v>
      </c>
      <c r="IJ77">
        <v>2</v>
      </c>
      <c r="IK77">
        <v>2</v>
      </c>
      <c r="IL77">
        <v>2</v>
      </c>
      <c r="IM77">
        <v>2</v>
      </c>
      <c r="IN77">
        <v>2</v>
      </c>
      <c r="IO77">
        <v>2</v>
      </c>
      <c r="IP77">
        <v>2</v>
      </c>
      <c r="IQ77">
        <v>2</v>
      </c>
      <c r="IR77">
        <v>2</v>
      </c>
      <c r="IS77">
        <v>2</v>
      </c>
      <c r="IT77">
        <v>2</v>
      </c>
      <c r="IU77">
        <v>2</v>
      </c>
      <c r="IV77">
        <v>2</v>
      </c>
      <c r="IW77">
        <v>2</v>
      </c>
      <c r="IX77">
        <v>2</v>
      </c>
      <c r="IY77">
        <v>2</v>
      </c>
      <c r="IZ77">
        <v>2</v>
      </c>
      <c r="JA77">
        <v>2</v>
      </c>
      <c r="JB77">
        <v>2</v>
      </c>
      <c r="JC77">
        <v>2</v>
      </c>
      <c r="JD77">
        <v>2</v>
      </c>
      <c r="JE77">
        <v>2</v>
      </c>
      <c r="JF77">
        <v>2</v>
      </c>
      <c r="JG77">
        <v>2</v>
      </c>
      <c r="JH77">
        <v>2</v>
      </c>
      <c r="JI77">
        <v>2</v>
      </c>
      <c r="JJ77">
        <v>2</v>
      </c>
      <c r="JK77">
        <v>2</v>
      </c>
      <c r="JL77">
        <v>2</v>
      </c>
      <c r="JM77">
        <v>2</v>
      </c>
      <c r="JN77">
        <v>2</v>
      </c>
      <c r="JO77">
        <v>2</v>
      </c>
      <c r="JP77">
        <v>2</v>
      </c>
      <c r="JQ77">
        <v>2</v>
      </c>
      <c r="JR77">
        <v>2</v>
      </c>
      <c r="JS77">
        <v>2</v>
      </c>
      <c r="JT77">
        <v>2</v>
      </c>
      <c r="JU77">
        <v>2</v>
      </c>
      <c r="JV77">
        <v>2</v>
      </c>
      <c r="JW77">
        <v>2</v>
      </c>
      <c r="JX77">
        <v>2</v>
      </c>
      <c r="JY77">
        <v>2</v>
      </c>
      <c r="JZ77">
        <v>2</v>
      </c>
      <c r="KA77">
        <v>2</v>
      </c>
      <c r="KB77">
        <v>2</v>
      </c>
      <c r="KC77">
        <v>2</v>
      </c>
      <c r="KD77">
        <v>2</v>
      </c>
      <c r="KE77">
        <v>2</v>
      </c>
      <c r="KF77">
        <v>2</v>
      </c>
      <c r="KG77">
        <v>2</v>
      </c>
      <c r="KH77">
        <v>2</v>
      </c>
      <c r="KI77">
        <v>2</v>
      </c>
      <c r="KJ77">
        <v>2</v>
      </c>
      <c r="KK77">
        <v>2</v>
      </c>
      <c r="KL77">
        <v>2</v>
      </c>
      <c r="KM77">
        <v>2</v>
      </c>
      <c r="KN77">
        <v>2</v>
      </c>
      <c r="KO77">
        <v>2</v>
      </c>
      <c r="KP77">
        <v>2</v>
      </c>
      <c r="KQ77">
        <v>2</v>
      </c>
      <c r="KR77">
        <v>2</v>
      </c>
      <c r="KS77">
        <v>2</v>
      </c>
      <c r="KT77">
        <v>2</v>
      </c>
      <c r="KU77">
        <v>2</v>
      </c>
      <c r="KV77">
        <v>2</v>
      </c>
      <c r="KW77">
        <v>2</v>
      </c>
      <c r="KX77">
        <v>2</v>
      </c>
      <c r="KY77">
        <v>2</v>
      </c>
      <c r="KZ77">
        <v>2</v>
      </c>
      <c r="LA77">
        <v>2</v>
      </c>
      <c r="LB77">
        <v>2</v>
      </c>
      <c r="LC77">
        <v>2</v>
      </c>
      <c r="LD77">
        <v>2</v>
      </c>
      <c r="LE77">
        <v>2</v>
      </c>
      <c r="LF77">
        <v>2</v>
      </c>
      <c r="LG77">
        <v>2</v>
      </c>
      <c r="LH77">
        <v>2</v>
      </c>
      <c r="LI77">
        <v>2</v>
      </c>
      <c r="LJ77">
        <v>2</v>
      </c>
      <c r="LK77">
        <v>2</v>
      </c>
      <c r="LL77">
        <v>2</v>
      </c>
      <c r="LM77">
        <v>2</v>
      </c>
      <c r="LN77">
        <v>2</v>
      </c>
      <c r="LO77">
        <v>2</v>
      </c>
      <c r="LP77">
        <v>2</v>
      </c>
      <c r="LQ77">
        <v>2</v>
      </c>
      <c r="LR77">
        <v>2</v>
      </c>
      <c r="LS77">
        <v>2</v>
      </c>
      <c r="LT77">
        <v>2</v>
      </c>
      <c r="LU77">
        <v>2</v>
      </c>
      <c r="LV77">
        <v>2</v>
      </c>
      <c r="LW77">
        <v>2</v>
      </c>
      <c r="LX77">
        <v>2</v>
      </c>
      <c r="LY77">
        <v>2</v>
      </c>
      <c r="LZ77">
        <v>2</v>
      </c>
      <c r="MA77">
        <v>2</v>
      </c>
      <c r="MB77">
        <v>2</v>
      </c>
      <c r="MC77">
        <v>2</v>
      </c>
      <c r="MD77">
        <v>2</v>
      </c>
      <c r="ME77">
        <v>2</v>
      </c>
      <c r="MF77">
        <v>2</v>
      </c>
      <c r="MG77">
        <v>2</v>
      </c>
      <c r="MH77">
        <v>2</v>
      </c>
      <c r="MI77">
        <v>2</v>
      </c>
      <c r="MJ77">
        <v>2</v>
      </c>
      <c r="MK77">
        <v>2</v>
      </c>
      <c r="ML77">
        <v>2</v>
      </c>
      <c r="MM77">
        <v>2</v>
      </c>
      <c r="MN77">
        <v>2</v>
      </c>
      <c r="MO77">
        <v>2</v>
      </c>
      <c r="MP77">
        <v>2</v>
      </c>
      <c r="MQ77">
        <v>2</v>
      </c>
      <c r="MR77">
        <v>2</v>
      </c>
      <c r="MS77">
        <v>2</v>
      </c>
      <c r="MT77">
        <v>2</v>
      </c>
      <c r="MU77">
        <v>2</v>
      </c>
      <c r="MV77">
        <v>2</v>
      </c>
      <c r="MW77">
        <v>2</v>
      </c>
      <c r="MX77">
        <v>2</v>
      </c>
      <c r="MY77">
        <v>2</v>
      </c>
      <c r="MZ77">
        <v>2</v>
      </c>
      <c r="NA77">
        <v>2</v>
      </c>
      <c r="NB77">
        <v>2</v>
      </c>
      <c r="NC77">
        <v>2</v>
      </c>
      <c r="ND77">
        <v>2</v>
      </c>
      <c r="NE77">
        <v>2</v>
      </c>
      <c r="NF77">
        <v>2</v>
      </c>
      <c r="NG77">
        <v>2</v>
      </c>
      <c r="NH77">
        <v>2</v>
      </c>
      <c r="NI77">
        <v>2</v>
      </c>
      <c r="NJ77">
        <v>2</v>
      </c>
      <c r="NK77">
        <v>2</v>
      </c>
      <c r="NL77">
        <v>2</v>
      </c>
      <c r="NM77">
        <v>2</v>
      </c>
      <c r="NN77">
        <v>2</v>
      </c>
      <c r="NO77">
        <v>2</v>
      </c>
      <c r="NP77">
        <v>2</v>
      </c>
      <c r="NQ77">
        <v>2</v>
      </c>
      <c r="NR77">
        <v>2</v>
      </c>
      <c r="NS77">
        <v>2</v>
      </c>
      <c r="NT77">
        <v>2</v>
      </c>
      <c r="NU77">
        <v>2</v>
      </c>
      <c r="NV77">
        <v>2</v>
      </c>
      <c r="NW77">
        <v>2</v>
      </c>
      <c r="NX77">
        <v>2</v>
      </c>
      <c r="NY77">
        <v>2</v>
      </c>
      <c r="NZ77">
        <v>2</v>
      </c>
      <c r="OA77">
        <v>2</v>
      </c>
      <c r="OB77">
        <v>2</v>
      </c>
      <c r="OC77">
        <v>2</v>
      </c>
      <c r="OD77">
        <v>2</v>
      </c>
      <c r="OE77">
        <v>2</v>
      </c>
      <c r="OF77">
        <v>2</v>
      </c>
      <c r="OG77">
        <v>2</v>
      </c>
      <c r="OH77">
        <v>2</v>
      </c>
      <c r="OI77">
        <v>2</v>
      </c>
      <c r="OJ77">
        <v>2</v>
      </c>
      <c r="OK77">
        <v>2</v>
      </c>
      <c r="OL77">
        <v>2</v>
      </c>
      <c r="OM77">
        <v>2</v>
      </c>
      <c r="ON77">
        <v>2</v>
      </c>
      <c r="OO77">
        <v>2</v>
      </c>
      <c r="OP77">
        <v>2</v>
      </c>
      <c r="OQ77">
        <v>2</v>
      </c>
      <c r="OR77">
        <v>2</v>
      </c>
      <c r="OS77">
        <v>2</v>
      </c>
      <c r="OT77">
        <v>2</v>
      </c>
      <c r="OU77">
        <v>2</v>
      </c>
      <c r="OV77">
        <v>2</v>
      </c>
      <c r="OW77">
        <v>2</v>
      </c>
      <c r="OX77">
        <v>2</v>
      </c>
      <c r="OY77">
        <v>2</v>
      </c>
      <c r="OZ77">
        <v>2</v>
      </c>
      <c r="PA77">
        <v>2</v>
      </c>
      <c r="PB77">
        <v>2</v>
      </c>
      <c r="PC77">
        <v>2</v>
      </c>
      <c r="PD77">
        <v>2</v>
      </c>
      <c r="PE77">
        <v>2</v>
      </c>
      <c r="PF77">
        <v>2</v>
      </c>
      <c r="PG77">
        <v>2</v>
      </c>
      <c r="PH77">
        <v>2</v>
      </c>
      <c r="PI77">
        <v>2</v>
      </c>
      <c r="PJ77">
        <v>2</v>
      </c>
      <c r="PK77">
        <v>2</v>
      </c>
      <c r="PL77">
        <v>2</v>
      </c>
      <c r="PM77">
        <v>2</v>
      </c>
      <c r="PN77">
        <v>2</v>
      </c>
      <c r="PO77">
        <v>2</v>
      </c>
      <c r="PP77">
        <v>2</v>
      </c>
      <c r="PQ77">
        <v>2</v>
      </c>
      <c r="PR77">
        <v>2</v>
      </c>
      <c r="PS77">
        <v>2</v>
      </c>
      <c r="PT77">
        <v>2</v>
      </c>
      <c r="PU77">
        <v>2</v>
      </c>
      <c r="PV77">
        <v>2</v>
      </c>
      <c r="PW77">
        <v>2</v>
      </c>
      <c r="PX77">
        <v>2</v>
      </c>
      <c r="PY77">
        <v>2</v>
      </c>
      <c r="PZ77">
        <v>2</v>
      </c>
      <c r="QA77">
        <v>2</v>
      </c>
      <c r="QB77">
        <v>2</v>
      </c>
      <c r="QC77">
        <v>2</v>
      </c>
      <c r="QD77">
        <v>2</v>
      </c>
      <c r="QE77">
        <v>2</v>
      </c>
      <c r="QF77">
        <v>2</v>
      </c>
      <c r="QG77">
        <v>2</v>
      </c>
      <c r="QH77">
        <v>2</v>
      </c>
      <c r="QI77">
        <v>2</v>
      </c>
      <c r="QJ77">
        <v>2</v>
      </c>
      <c r="QK77">
        <v>2</v>
      </c>
      <c r="QL77">
        <v>2</v>
      </c>
      <c r="QM77">
        <v>2</v>
      </c>
      <c r="QN77">
        <v>2</v>
      </c>
      <c r="QO77">
        <v>2</v>
      </c>
      <c r="QP77">
        <v>2</v>
      </c>
      <c r="QQ77">
        <v>2</v>
      </c>
      <c r="QR77">
        <v>2</v>
      </c>
      <c r="QS77">
        <v>2</v>
      </c>
      <c r="QT77">
        <v>2</v>
      </c>
      <c r="QU77">
        <v>2</v>
      </c>
      <c r="QV77">
        <v>2</v>
      </c>
      <c r="QW77">
        <v>2</v>
      </c>
      <c r="QX77">
        <v>2</v>
      </c>
      <c r="QY77">
        <v>2</v>
      </c>
      <c r="QZ77">
        <v>2</v>
      </c>
      <c r="RA77">
        <v>2</v>
      </c>
      <c r="RB77">
        <v>2</v>
      </c>
      <c r="RC77">
        <v>2</v>
      </c>
      <c r="RD77">
        <v>2</v>
      </c>
      <c r="RE77">
        <v>2</v>
      </c>
      <c r="RF77">
        <v>2</v>
      </c>
      <c r="RG77">
        <v>2</v>
      </c>
      <c r="RH77">
        <v>2</v>
      </c>
      <c r="RI77">
        <v>2</v>
      </c>
      <c r="RJ77">
        <v>2</v>
      </c>
      <c r="RK77">
        <v>2</v>
      </c>
      <c r="RL77">
        <v>2</v>
      </c>
      <c r="RM77">
        <v>2</v>
      </c>
      <c r="RN77">
        <v>2</v>
      </c>
      <c r="RO77">
        <v>2</v>
      </c>
      <c r="RP77">
        <v>2</v>
      </c>
      <c r="RQ77">
        <v>2</v>
      </c>
      <c r="RR77">
        <v>2</v>
      </c>
      <c r="RS77">
        <v>2</v>
      </c>
      <c r="RT77">
        <v>2</v>
      </c>
      <c r="RU77">
        <v>2</v>
      </c>
      <c r="RV77">
        <v>2</v>
      </c>
      <c r="RW77">
        <v>2</v>
      </c>
      <c r="RX77">
        <v>2</v>
      </c>
      <c r="RY77">
        <v>2</v>
      </c>
      <c r="RZ77">
        <v>2</v>
      </c>
      <c r="SA77">
        <v>2</v>
      </c>
      <c r="SB77">
        <v>2</v>
      </c>
      <c r="SC77">
        <v>2</v>
      </c>
      <c r="SD77">
        <v>2</v>
      </c>
      <c r="SE77">
        <v>2</v>
      </c>
      <c r="SF77">
        <v>2</v>
      </c>
      <c r="SG77">
        <v>2</v>
      </c>
      <c r="SH77">
        <v>2</v>
      </c>
      <c r="SI77">
        <v>2</v>
      </c>
      <c r="SJ77">
        <v>2</v>
      </c>
      <c r="SK77">
        <v>2</v>
      </c>
      <c r="SL77">
        <v>2</v>
      </c>
      <c r="SM77">
        <v>2</v>
      </c>
      <c r="SN77">
        <v>2</v>
      </c>
      <c r="SO77">
        <v>2</v>
      </c>
      <c r="SP77">
        <v>2</v>
      </c>
      <c r="SQ77">
        <v>2</v>
      </c>
      <c r="SR77">
        <v>2</v>
      </c>
      <c r="SS77">
        <v>2</v>
      </c>
      <c r="ST77">
        <v>2</v>
      </c>
      <c r="SU77">
        <v>2</v>
      </c>
      <c r="SV77">
        <v>2</v>
      </c>
      <c r="SW77">
        <v>2</v>
      </c>
      <c r="SX77">
        <v>2</v>
      </c>
      <c r="SY77">
        <v>2</v>
      </c>
      <c r="SZ77">
        <v>2</v>
      </c>
      <c r="TA77">
        <v>2</v>
      </c>
      <c r="TB77">
        <v>2</v>
      </c>
      <c r="TC77">
        <v>2</v>
      </c>
      <c r="TD77">
        <v>2</v>
      </c>
      <c r="TE77">
        <v>2</v>
      </c>
      <c r="TF77">
        <v>2</v>
      </c>
      <c r="TG77">
        <v>2</v>
      </c>
      <c r="TH77">
        <v>2</v>
      </c>
      <c r="TI77">
        <v>2</v>
      </c>
      <c r="TJ77">
        <v>2</v>
      </c>
      <c r="TK77">
        <v>2</v>
      </c>
      <c r="TL77">
        <v>2</v>
      </c>
      <c r="TM77">
        <v>2</v>
      </c>
      <c r="TN77">
        <v>2</v>
      </c>
      <c r="TO77">
        <v>2</v>
      </c>
      <c r="TP77">
        <v>2</v>
      </c>
      <c r="TQ77">
        <v>2</v>
      </c>
      <c r="TR77">
        <v>2</v>
      </c>
      <c r="TS77">
        <v>2</v>
      </c>
      <c r="TT77">
        <v>2</v>
      </c>
      <c r="TU77">
        <v>2</v>
      </c>
      <c r="TV77">
        <v>2</v>
      </c>
      <c r="TW77">
        <v>2</v>
      </c>
      <c r="TX77">
        <v>2</v>
      </c>
      <c r="TY77">
        <v>2</v>
      </c>
      <c r="TZ77">
        <v>2</v>
      </c>
      <c r="UA77">
        <v>2</v>
      </c>
      <c r="UB77">
        <v>2</v>
      </c>
      <c r="UC77">
        <v>2</v>
      </c>
      <c r="UD77">
        <v>2</v>
      </c>
      <c r="UE77">
        <v>2</v>
      </c>
      <c r="UF77">
        <v>2</v>
      </c>
      <c r="UG77">
        <v>2</v>
      </c>
      <c r="UH77">
        <v>2</v>
      </c>
      <c r="UI77">
        <v>2</v>
      </c>
      <c r="UJ77">
        <v>2</v>
      </c>
      <c r="UK77">
        <v>2</v>
      </c>
      <c r="UL77">
        <v>2</v>
      </c>
      <c r="UM77">
        <v>2</v>
      </c>
      <c r="UN77">
        <v>2</v>
      </c>
      <c r="UO77">
        <v>2</v>
      </c>
      <c r="UP77">
        <v>2</v>
      </c>
      <c r="UQ77">
        <v>2</v>
      </c>
      <c r="UR77">
        <v>2</v>
      </c>
      <c r="US77">
        <v>2</v>
      </c>
      <c r="UT77">
        <v>2</v>
      </c>
      <c r="UU77">
        <v>2</v>
      </c>
      <c r="UV77">
        <v>2</v>
      </c>
      <c r="UW77">
        <v>2</v>
      </c>
      <c r="UX77">
        <v>2</v>
      </c>
      <c r="UY77">
        <v>2</v>
      </c>
      <c r="UZ77">
        <v>2</v>
      </c>
      <c r="VA77">
        <v>2</v>
      </c>
      <c r="VB77">
        <v>2</v>
      </c>
      <c r="VC77">
        <v>2</v>
      </c>
      <c r="VD77">
        <v>2</v>
      </c>
      <c r="VE77">
        <v>2</v>
      </c>
      <c r="VF77">
        <v>2</v>
      </c>
      <c r="VG77">
        <v>2</v>
      </c>
      <c r="VH77">
        <v>2</v>
      </c>
      <c r="VI77">
        <v>2</v>
      </c>
      <c r="VJ77">
        <v>2</v>
      </c>
      <c r="VK77">
        <v>2</v>
      </c>
      <c r="VL77">
        <v>2</v>
      </c>
      <c r="VM77">
        <v>2</v>
      </c>
      <c r="VN77">
        <v>2</v>
      </c>
      <c r="VO77">
        <v>2</v>
      </c>
      <c r="VP77">
        <v>2</v>
      </c>
      <c r="VQ77">
        <v>2</v>
      </c>
      <c r="VR77">
        <v>2</v>
      </c>
      <c r="VS77">
        <v>2</v>
      </c>
      <c r="VT77">
        <v>2</v>
      </c>
      <c r="VU77">
        <v>2</v>
      </c>
      <c r="VV77">
        <v>2</v>
      </c>
      <c r="VW77">
        <v>2</v>
      </c>
      <c r="VX77">
        <v>2</v>
      </c>
      <c r="VY77">
        <v>2</v>
      </c>
      <c r="VZ77">
        <v>2</v>
      </c>
      <c r="WA77">
        <v>2</v>
      </c>
      <c r="WB77">
        <v>2</v>
      </c>
      <c r="WC77">
        <v>2</v>
      </c>
      <c r="WD77">
        <v>2</v>
      </c>
      <c r="WE77">
        <v>2</v>
      </c>
      <c r="WF77">
        <v>2</v>
      </c>
      <c r="WG77">
        <v>2</v>
      </c>
      <c r="WH77">
        <v>2</v>
      </c>
      <c r="WI77">
        <v>2</v>
      </c>
      <c r="WJ77">
        <v>2</v>
      </c>
      <c r="WK77">
        <v>2</v>
      </c>
      <c r="WL77">
        <v>2</v>
      </c>
      <c r="WM77">
        <v>2</v>
      </c>
      <c r="WN77">
        <v>2</v>
      </c>
      <c r="WO77">
        <v>2</v>
      </c>
      <c r="WP77">
        <v>2</v>
      </c>
      <c r="WQ77">
        <v>2</v>
      </c>
      <c r="WR77">
        <v>2</v>
      </c>
      <c r="WS77">
        <v>2</v>
      </c>
      <c r="WT77">
        <v>2</v>
      </c>
      <c r="WU77">
        <v>2</v>
      </c>
      <c r="WV77">
        <v>2</v>
      </c>
      <c r="WW77">
        <v>2</v>
      </c>
      <c r="WX77">
        <v>2</v>
      </c>
      <c r="WY77">
        <v>2</v>
      </c>
      <c r="WZ77">
        <v>2</v>
      </c>
      <c r="XA77">
        <v>2</v>
      </c>
      <c r="XB77">
        <v>2</v>
      </c>
      <c r="XC77">
        <v>2</v>
      </c>
      <c r="XD77">
        <v>2</v>
      </c>
      <c r="XE77">
        <v>2</v>
      </c>
      <c r="XF77">
        <v>2</v>
      </c>
      <c r="XG77">
        <v>2</v>
      </c>
      <c r="XH77">
        <v>2</v>
      </c>
      <c r="XI77">
        <v>2</v>
      </c>
      <c r="XJ77">
        <v>2</v>
      </c>
      <c r="XK77">
        <v>2</v>
      </c>
      <c r="XL77">
        <v>2</v>
      </c>
      <c r="XM77">
        <v>2</v>
      </c>
      <c r="XN77">
        <v>2</v>
      </c>
      <c r="XO77">
        <v>2</v>
      </c>
      <c r="XP77">
        <v>2</v>
      </c>
      <c r="XQ77">
        <v>2</v>
      </c>
      <c r="XR77">
        <v>2</v>
      </c>
      <c r="XS77">
        <v>2</v>
      </c>
      <c r="XT77">
        <v>2</v>
      </c>
      <c r="XU77">
        <v>2</v>
      </c>
      <c r="XV77">
        <v>2</v>
      </c>
      <c r="XW77">
        <v>2</v>
      </c>
      <c r="XX77">
        <v>2</v>
      </c>
      <c r="XY77">
        <v>2</v>
      </c>
      <c r="XZ77">
        <v>2</v>
      </c>
      <c r="YA77">
        <v>2</v>
      </c>
      <c r="YB77">
        <v>2</v>
      </c>
      <c r="YC77">
        <v>2</v>
      </c>
      <c r="YD77">
        <v>2</v>
      </c>
      <c r="YE77">
        <v>2</v>
      </c>
      <c r="YF77">
        <v>2</v>
      </c>
      <c r="YG77">
        <v>2</v>
      </c>
      <c r="YH77">
        <v>2</v>
      </c>
      <c r="YI77">
        <v>2</v>
      </c>
      <c r="YJ77">
        <v>2</v>
      </c>
      <c r="YK77">
        <v>2</v>
      </c>
      <c r="YL77">
        <v>2</v>
      </c>
      <c r="YM77">
        <v>2</v>
      </c>
      <c r="YN77">
        <v>2</v>
      </c>
      <c r="YO77">
        <v>2</v>
      </c>
      <c r="YP77">
        <v>2</v>
      </c>
      <c r="YQ77">
        <v>2</v>
      </c>
      <c r="YR77">
        <v>2</v>
      </c>
      <c r="YS77">
        <v>2</v>
      </c>
      <c r="YT77">
        <v>2</v>
      </c>
      <c r="YU77">
        <v>2</v>
      </c>
      <c r="YV77">
        <v>2</v>
      </c>
      <c r="YW77">
        <v>2</v>
      </c>
      <c r="YX77">
        <v>2</v>
      </c>
      <c r="YY77">
        <v>2</v>
      </c>
      <c r="YZ77">
        <v>2</v>
      </c>
      <c r="ZA77">
        <v>2</v>
      </c>
      <c r="ZB77">
        <v>2</v>
      </c>
      <c r="ZC77">
        <v>2</v>
      </c>
      <c r="ZD77">
        <v>2</v>
      </c>
      <c r="ZE77">
        <v>2</v>
      </c>
      <c r="ZF77">
        <v>2</v>
      </c>
      <c r="ZG77">
        <v>2</v>
      </c>
      <c r="ZH77">
        <v>2</v>
      </c>
      <c r="ZI77">
        <v>2</v>
      </c>
      <c r="ZJ77">
        <v>2</v>
      </c>
      <c r="ZK77">
        <v>2</v>
      </c>
      <c r="ZL77">
        <v>2</v>
      </c>
      <c r="ZM77">
        <v>2</v>
      </c>
      <c r="ZN77">
        <v>2</v>
      </c>
      <c r="ZO77">
        <v>2</v>
      </c>
      <c r="ZP77">
        <v>2</v>
      </c>
      <c r="ZQ77">
        <v>2</v>
      </c>
      <c r="ZR77">
        <v>2</v>
      </c>
      <c r="ZS77">
        <v>2</v>
      </c>
      <c r="ZT77">
        <v>2</v>
      </c>
      <c r="ZU77">
        <v>2</v>
      </c>
      <c r="ZV77">
        <v>2</v>
      </c>
      <c r="ZW77">
        <v>2</v>
      </c>
      <c r="ZX77">
        <v>2</v>
      </c>
      <c r="ZY77">
        <v>2</v>
      </c>
      <c r="ZZ77">
        <v>2</v>
      </c>
      <c r="AAA77">
        <v>2</v>
      </c>
      <c r="AAB77">
        <v>2</v>
      </c>
      <c r="AAC77">
        <v>2</v>
      </c>
      <c r="AAD77">
        <v>2</v>
      </c>
      <c r="AAE77">
        <v>2</v>
      </c>
      <c r="AAF77">
        <v>2</v>
      </c>
      <c r="AAG77">
        <v>2</v>
      </c>
      <c r="AAH77">
        <v>2</v>
      </c>
      <c r="AAI77">
        <v>2</v>
      </c>
      <c r="AAJ77">
        <v>2</v>
      </c>
      <c r="AAK77">
        <v>2</v>
      </c>
      <c r="AAL77">
        <v>2</v>
      </c>
      <c r="AAM77">
        <v>2</v>
      </c>
      <c r="AAN77">
        <v>2</v>
      </c>
      <c r="AAO77">
        <v>2</v>
      </c>
      <c r="AAP77">
        <v>2</v>
      </c>
      <c r="AAQ77">
        <v>2</v>
      </c>
      <c r="AAR77">
        <v>2</v>
      </c>
      <c r="AAS77">
        <v>2</v>
      </c>
      <c r="AAT77">
        <v>2</v>
      </c>
      <c r="AAU77">
        <v>2</v>
      </c>
      <c r="AAV77">
        <v>2</v>
      </c>
      <c r="AAW77">
        <v>2</v>
      </c>
      <c r="AAX77">
        <v>2</v>
      </c>
      <c r="AAY77">
        <v>2</v>
      </c>
      <c r="AAZ77">
        <v>2</v>
      </c>
      <c r="ABA77">
        <v>2</v>
      </c>
      <c r="ABB77">
        <v>2</v>
      </c>
      <c r="ABC77">
        <v>2</v>
      </c>
      <c r="ABD77">
        <v>2</v>
      </c>
      <c r="ABE77">
        <v>2</v>
      </c>
      <c r="ABG77" s="1137">
        <f t="shared" si="19"/>
        <v>0</v>
      </c>
      <c r="ABH77" s="1137">
        <f t="shared" si="19"/>
        <v>0</v>
      </c>
      <c r="ABI77" s="1137">
        <f t="shared" si="19"/>
        <v>16</v>
      </c>
      <c r="ABJ77" s="1137">
        <f t="shared" si="19"/>
        <v>30</v>
      </c>
      <c r="ABK77" s="1137">
        <f t="shared" si="19"/>
        <v>31</v>
      </c>
      <c r="ABL77" s="1137">
        <f t="shared" si="19"/>
        <v>30</v>
      </c>
      <c r="ABM77" s="1137">
        <f t="shared" si="19"/>
        <v>31</v>
      </c>
      <c r="ABN77" s="1137">
        <f t="shared" si="19"/>
        <v>31</v>
      </c>
      <c r="ABO77" s="1137">
        <f t="shared" si="19"/>
        <v>30</v>
      </c>
      <c r="ABP77" s="1137">
        <f t="shared" si="19"/>
        <v>31</v>
      </c>
      <c r="ABQ77" s="1137">
        <f t="shared" si="19"/>
        <v>30</v>
      </c>
      <c r="ABR77" s="1137">
        <f t="shared" si="19"/>
        <v>31</v>
      </c>
      <c r="ABS77" s="1137">
        <f t="shared" si="19"/>
        <v>31</v>
      </c>
      <c r="ABT77" s="1137">
        <f t="shared" si="19"/>
        <v>28</v>
      </c>
      <c r="ABU77" s="1137">
        <f t="shared" si="19"/>
        <v>31</v>
      </c>
      <c r="ABV77" s="1137">
        <f t="shared" si="19"/>
        <v>30</v>
      </c>
      <c r="ABW77" s="1137">
        <f t="shared" si="17"/>
        <v>31</v>
      </c>
      <c r="ABX77" s="1137">
        <f t="shared" si="14"/>
        <v>30</v>
      </c>
      <c r="ABY77" s="1137">
        <f t="shared" si="14"/>
        <v>31</v>
      </c>
      <c r="ABZ77" s="1137">
        <f t="shared" si="14"/>
        <v>31</v>
      </c>
      <c r="ACA77" s="1137">
        <f t="shared" si="14"/>
        <v>30</v>
      </c>
      <c r="ACB77" s="1137">
        <f t="shared" si="14"/>
        <v>31</v>
      </c>
      <c r="ACC77" s="1137">
        <f t="shared" si="14"/>
        <v>30</v>
      </c>
      <c r="ACD77" s="1137">
        <f t="shared" si="14"/>
        <v>31</v>
      </c>
      <c r="ACE77" s="1137" t="s">
        <v>35</v>
      </c>
      <c r="ACF77" s="1137">
        <f t="shared" si="20"/>
        <v>0</v>
      </c>
      <c r="ACG77" s="1137">
        <f t="shared" si="20"/>
        <v>0</v>
      </c>
      <c r="ACH77" s="1137">
        <f t="shared" si="20"/>
        <v>1</v>
      </c>
      <c r="ACI77" s="1137">
        <f t="shared" si="20"/>
        <v>1</v>
      </c>
      <c r="ACJ77" s="1137">
        <f t="shared" si="20"/>
        <v>1</v>
      </c>
      <c r="ACK77" s="1137">
        <f t="shared" si="20"/>
        <v>1</v>
      </c>
      <c r="ACL77" s="1137">
        <f t="shared" si="20"/>
        <v>1</v>
      </c>
      <c r="ACM77" s="1137">
        <f t="shared" si="20"/>
        <v>1</v>
      </c>
      <c r="ACN77" s="1137">
        <f t="shared" si="20"/>
        <v>1</v>
      </c>
      <c r="ACO77" s="1137">
        <f t="shared" si="20"/>
        <v>1</v>
      </c>
      <c r="ACP77" s="1137">
        <f t="shared" si="20"/>
        <v>1</v>
      </c>
      <c r="ACQ77" s="1137">
        <f t="shared" si="20"/>
        <v>1</v>
      </c>
      <c r="ACR77" s="1137">
        <f t="shared" si="20"/>
        <v>1</v>
      </c>
      <c r="ACS77" s="1137">
        <f t="shared" si="20"/>
        <v>1</v>
      </c>
      <c r="ACT77" s="1137">
        <f t="shared" si="20"/>
        <v>1</v>
      </c>
      <c r="ACU77" s="1137">
        <f t="shared" si="12"/>
        <v>1</v>
      </c>
      <c r="ACV77" s="1137">
        <f t="shared" si="12"/>
        <v>1</v>
      </c>
      <c r="ACW77" s="1137">
        <f t="shared" si="12"/>
        <v>1</v>
      </c>
      <c r="ACX77" s="1137">
        <f t="shared" si="12"/>
        <v>1</v>
      </c>
      <c r="ACY77" s="1137">
        <f t="shared" si="12"/>
        <v>1</v>
      </c>
      <c r="ACZ77" s="1137">
        <f t="shared" si="12"/>
        <v>1</v>
      </c>
      <c r="ADA77" s="1137">
        <f t="shared" si="12"/>
        <v>1</v>
      </c>
      <c r="ADB77" s="1137">
        <f t="shared" si="16"/>
        <v>1</v>
      </c>
      <c r="ADC77" s="1137">
        <f t="shared" si="16"/>
        <v>1</v>
      </c>
    </row>
    <row r="78" spans="1:783" x14ac:dyDescent="0.25">
      <c r="A78" t="s">
        <v>1875</v>
      </c>
      <c r="B78" t="s">
        <v>166</v>
      </c>
      <c r="C78">
        <v>0</v>
      </c>
      <c r="D78">
        <v>0</v>
      </c>
      <c r="E78">
        <v>0</v>
      </c>
      <c r="F78">
        <v>0</v>
      </c>
      <c r="G78">
        <v>0</v>
      </c>
      <c r="H78">
        <v>0</v>
      </c>
      <c r="I78">
        <v>0</v>
      </c>
      <c r="J78">
        <v>0</v>
      </c>
      <c r="K78">
        <v>0</v>
      </c>
      <c r="L78">
        <v>0</v>
      </c>
      <c r="M78">
        <v>0</v>
      </c>
      <c r="N78">
        <v>0</v>
      </c>
      <c r="O78">
        <v>0</v>
      </c>
      <c r="P78">
        <v>0</v>
      </c>
      <c r="Q78">
        <v>0</v>
      </c>
      <c r="R78">
        <v>0</v>
      </c>
      <c r="S78">
        <v>0</v>
      </c>
      <c r="T78">
        <v>0</v>
      </c>
      <c r="U78">
        <v>0</v>
      </c>
      <c r="V78">
        <v>0</v>
      </c>
      <c r="W78">
        <v>0</v>
      </c>
      <c r="X78">
        <v>0</v>
      </c>
      <c r="Y78">
        <v>0</v>
      </c>
      <c r="Z78">
        <v>0</v>
      </c>
      <c r="AA78">
        <v>0</v>
      </c>
      <c r="AB78">
        <v>0</v>
      </c>
      <c r="AC78">
        <v>0</v>
      </c>
      <c r="AD78">
        <v>0</v>
      </c>
      <c r="AE78">
        <v>0</v>
      </c>
      <c r="AF78">
        <v>0</v>
      </c>
      <c r="AG78">
        <v>0</v>
      </c>
      <c r="AH78">
        <v>0</v>
      </c>
      <c r="AI78">
        <v>0</v>
      </c>
      <c r="AJ78">
        <v>0</v>
      </c>
      <c r="AK78">
        <v>0</v>
      </c>
      <c r="AL78">
        <v>0</v>
      </c>
      <c r="AM78">
        <v>0</v>
      </c>
      <c r="AN78">
        <v>0</v>
      </c>
      <c r="AO78">
        <v>0</v>
      </c>
      <c r="AP78">
        <v>0</v>
      </c>
      <c r="AQ78">
        <v>0</v>
      </c>
      <c r="AR78">
        <v>0</v>
      </c>
      <c r="AS78">
        <v>0</v>
      </c>
      <c r="AT78">
        <v>0</v>
      </c>
      <c r="AU78">
        <v>0</v>
      </c>
      <c r="AV78">
        <v>0</v>
      </c>
      <c r="AW78">
        <v>0</v>
      </c>
      <c r="AX78">
        <v>0</v>
      </c>
      <c r="AY78">
        <v>0</v>
      </c>
      <c r="AZ78">
        <v>0</v>
      </c>
      <c r="BA78">
        <v>0</v>
      </c>
      <c r="BB78">
        <v>0</v>
      </c>
      <c r="BC78">
        <v>0</v>
      </c>
      <c r="BD78">
        <v>0</v>
      </c>
      <c r="BE78">
        <v>0</v>
      </c>
      <c r="BF78">
        <v>0</v>
      </c>
      <c r="BG78">
        <v>0</v>
      </c>
      <c r="BH78">
        <v>0</v>
      </c>
      <c r="BI78">
        <v>0</v>
      </c>
      <c r="BJ78">
        <v>0</v>
      </c>
      <c r="BK78">
        <v>0</v>
      </c>
      <c r="BL78">
        <v>0</v>
      </c>
      <c r="BM78">
        <v>0</v>
      </c>
      <c r="BN78">
        <v>0</v>
      </c>
      <c r="BO78">
        <v>0</v>
      </c>
      <c r="BP78">
        <v>0</v>
      </c>
      <c r="BQ78">
        <v>0</v>
      </c>
      <c r="BR78">
        <v>0</v>
      </c>
      <c r="BS78">
        <v>0</v>
      </c>
      <c r="BT78">
        <v>0</v>
      </c>
      <c r="BU78">
        <v>0</v>
      </c>
      <c r="BV78">
        <v>0</v>
      </c>
      <c r="BW78">
        <v>0</v>
      </c>
      <c r="BX78">
        <v>0</v>
      </c>
      <c r="BY78">
        <v>0</v>
      </c>
      <c r="BZ78">
        <v>0</v>
      </c>
      <c r="CA78">
        <v>0</v>
      </c>
      <c r="CB78">
        <v>0</v>
      </c>
      <c r="CC78">
        <v>0</v>
      </c>
      <c r="CD78">
        <v>0</v>
      </c>
      <c r="CE78">
        <v>0</v>
      </c>
      <c r="CF78">
        <v>0</v>
      </c>
      <c r="CG78">
        <v>2</v>
      </c>
      <c r="CH78">
        <v>2</v>
      </c>
      <c r="CI78">
        <v>2</v>
      </c>
      <c r="CJ78">
        <v>2</v>
      </c>
      <c r="CK78">
        <v>2</v>
      </c>
      <c r="CL78">
        <v>2</v>
      </c>
      <c r="CM78">
        <v>2</v>
      </c>
      <c r="CN78">
        <v>2</v>
      </c>
      <c r="CO78">
        <v>2</v>
      </c>
      <c r="CP78">
        <v>2</v>
      </c>
      <c r="CQ78">
        <v>2</v>
      </c>
      <c r="CR78">
        <v>2</v>
      </c>
      <c r="CS78">
        <v>2</v>
      </c>
      <c r="CT78">
        <v>2</v>
      </c>
      <c r="CU78">
        <v>2</v>
      </c>
      <c r="CV78">
        <v>2</v>
      </c>
      <c r="CW78">
        <v>2</v>
      </c>
      <c r="CX78">
        <v>2</v>
      </c>
      <c r="CY78">
        <v>2</v>
      </c>
      <c r="CZ78">
        <v>2</v>
      </c>
      <c r="DA78">
        <v>2</v>
      </c>
      <c r="DB78">
        <v>2</v>
      </c>
      <c r="DC78">
        <v>2</v>
      </c>
      <c r="DD78">
        <v>2</v>
      </c>
      <c r="DE78">
        <v>2</v>
      </c>
      <c r="DF78">
        <v>2</v>
      </c>
      <c r="DG78">
        <v>2</v>
      </c>
      <c r="DH78">
        <v>2</v>
      </c>
      <c r="DI78">
        <v>2</v>
      </c>
      <c r="DJ78">
        <v>2</v>
      </c>
      <c r="DK78">
        <v>2</v>
      </c>
      <c r="DL78">
        <v>2</v>
      </c>
      <c r="DM78">
        <v>2</v>
      </c>
      <c r="DN78">
        <v>2</v>
      </c>
      <c r="DO78">
        <v>2</v>
      </c>
      <c r="DP78">
        <v>2</v>
      </c>
      <c r="DQ78">
        <v>2</v>
      </c>
      <c r="DR78">
        <v>2</v>
      </c>
      <c r="DS78">
        <v>2</v>
      </c>
      <c r="DT78">
        <v>2</v>
      </c>
      <c r="DU78">
        <v>2</v>
      </c>
      <c r="DV78">
        <v>2</v>
      </c>
      <c r="DW78">
        <v>2</v>
      </c>
      <c r="DX78">
        <v>2</v>
      </c>
      <c r="DY78">
        <v>2</v>
      </c>
      <c r="DZ78">
        <v>2</v>
      </c>
      <c r="EA78">
        <v>2</v>
      </c>
      <c r="EB78">
        <v>2</v>
      </c>
      <c r="EC78">
        <v>2</v>
      </c>
      <c r="ED78">
        <v>2</v>
      </c>
      <c r="EE78">
        <v>2</v>
      </c>
      <c r="EF78">
        <v>2</v>
      </c>
      <c r="EG78">
        <v>2</v>
      </c>
      <c r="EH78">
        <v>2</v>
      </c>
      <c r="EI78">
        <v>2</v>
      </c>
      <c r="EJ78">
        <v>2</v>
      </c>
      <c r="EK78">
        <v>2</v>
      </c>
      <c r="EL78">
        <v>2</v>
      </c>
      <c r="EM78">
        <v>2</v>
      </c>
      <c r="EN78">
        <v>2</v>
      </c>
      <c r="EO78">
        <v>2</v>
      </c>
      <c r="EP78">
        <v>2</v>
      </c>
      <c r="EQ78">
        <v>2</v>
      </c>
      <c r="ER78">
        <v>0</v>
      </c>
      <c r="ES78">
        <v>0</v>
      </c>
      <c r="ET78">
        <v>0</v>
      </c>
      <c r="EU78">
        <v>0</v>
      </c>
      <c r="EV78">
        <v>0</v>
      </c>
      <c r="EW78">
        <v>0</v>
      </c>
      <c r="EX78">
        <v>0</v>
      </c>
      <c r="EY78">
        <v>0</v>
      </c>
      <c r="EZ78">
        <v>0</v>
      </c>
      <c r="FA78">
        <v>0</v>
      </c>
      <c r="FB78">
        <v>0</v>
      </c>
      <c r="FC78">
        <v>0</v>
      </c>
      <c r="FD78">
        <v>0</v>
      </c>
      <c r="FE78">
        <v>0</v>
      </c>
      <c r="FF78">
        <v>0</v>
      </c>
      <c r="FG78">
        <v>0</v>
      </c>
      <c r="FH78">
        <v>0</v>
      </c>
      <c r="FI78">
        <v>0</v>
      </c>
      <c r="FJ78">
        <v>0</v>
      </c>
      <c r="FK78">
        <v>0</v>
      </c>
      <c r="FL78">
        <v>0</v>
      </c>
      <c r="FM78">
        <v>0</v>
      </c>
      <c r="FN78">
        <v>0</v>
      </c>
      <c r="FO78">
        <v>0</v>
      </c>
      <c r="FP78">
        <v>0</v>
      </c>
      <c r="FQ78">
        <v>0</v>
      </c>
      <c r="FR78">
        <v>0</v>
      </c>
      <c r="FS78">
        <v>0</v>
      </c>
      <c r="FT78">
        <v>0</v>
      </c>
      <c r="FU78">
        <v>0</v>
      </c>
      <c r="FV78">
        <v>0</v>
      </c>
      <c r="FW78">
        <v>0</v>
      </c>
      <c r="FX78">
        <v>0</v>
      </c>
      <c r="FY78">
        <v>0</v>
      </c>
      <c r="FZ78">
        <v>0</v>
      </c>
      <c r="GA78">
        <v>0</v>
      </c>
      <c r="GB78">
        <v>0</v>
      </c>
      <c r="GC78">
        <v>0</v>
      </c>
      <c r="GD78">
        <v>0</v>
      </c>
      <c r="GE78">
        <v>0</v>
      </c>
      <c r="GF78">
        <v>0</v>
      </c>
      <c r="GG78">
        <v>0</v>
      </c>
      <c r="GH78">
        <v>0</v>
      </c>
      <c r="GI78">
        <v>0</v>
      </c>
      <c r="GJ78">
        <v>0</v>
      </c>
      <c r="GK78">
        <v>0</v>
      </c>
      <c r="GL78">
        <v>0</v>
      </c>
      <c r="GM78">
        <v>0</v>
      </c>
      <c r="GN78">
        <v>0</v>
      </c>
      <c r="GO78">
        <v>0</v>
      </c>
      <c r="GP78">
        <v>0</v>
      </c>
      <c r="GQ78">
        <v>0</v>
      </c>
      <c r="GR78">
        <v>0</v>
      </c>
      <c r="GS78">
        <v>0</v>
      </c>
      <c r="GT78">
        <v>0</v>
      </c>
      <c r="GU78">
        <v>0</v>
      </c>
      <c r="GV78">
        <v>0</v>
      </c>
      <c r="GW78">
        <v>0</v>
      </c>
      <c r="GX78">
        <v>0</v>
      </c>
      <c r="GY78">
        <v>0</v>
      </c>
      <c r="GZ78">
        <v>0</v>
      </c>
      <c r="HA78">
        <v>0</v>
      </c>
      <c r="HB78">
        <v>0</v>
      </c>
      <c r="HC78">
        <v>0</v>
      </c>
      <c r="HD78">
        <v>0</v>
      </c>
      <c r="HE78">
        <v>0</v>
      </c>
      <c r="HF78">
        <v>0</v>
      </c>
      <c r="HG78">
        <v>0</v>
      </c>
      <c r="HH78">
        <v>0</v>
      </c>
      <c r="HI78">
        <v>0</v>
      </c>
      <c r="HJ78">
        <v>0</v>
      </c>
      <c r="HK78">
        <v>0</v>
      </c>
      <c r="HL78">
        <v>0</v>
      </c>
      <c r="HM78">
        <v>0</v>
      </c>
      <c r="HN78">
        <v>0</v>
      </c>
      <c r="HO78">
        <v>0</v>
      </c>
      <c r="HP78">
        <v>0</v>
      </c>
      <c r="HQ78">
        <v>0</v>
      </c>
      <c r="HR78">
        <v>0</v>
      </c>
      <c r="HS78">
        <v>0</v>
      </c>
      <c r="HT78">
        <v>0</v>
      </c>
      <c r="HU78">
        <v>0</v>
      </c>
      <c r="HV78">
        <v>0</v>
      </c>
      <c r="HW78">
        <v>0</v>
      </c>
      <c r="HX78">
        <v>0</v>
      </c>
      <c r="HY78">
        <v>0</v>
      </c>
      <c r="HZ78">
        <v>0</v>
      </c>
      <c r="IA78">
        <v>0</v>
      </c>
      <c r="IB78">
        <v>0</v>
      </c>
      <c r="IC78">
        <v>0</v>
      </c>
      <c r="ID78">
        <v>0</v>
      </c>
      <c r="IE78">
        <v>0</v>
      </c>
      <c r="IF78">
        <v>0</v>
      </c>
      <c r="IG78">
        <v>0</v>
      </c>
      <c r="IH78">
        <v>0</v>
      </c>
      <c r="II78">
        <v>0</v>
      </c>
      <c r="IJ78">
        <v>0</v>
      </c>
      <c r="IK78">
        <v>0</v>
      </c>
      <c r="IL78">
        <v>0</v>
      </c>
      <c r="IM78">
        <v>0</v>
      </c>
      <c r="IN78">
        <v>0</v>
      </c>
      <c r="IO78">
        <v>0</v>
      </c>
      <c r="IP78">
        <v>0</v>
      </c>
      <c r="IQ78">
        <v>0</v>
      </c>
      <c r="IR78">
        <v>0</v>
      </c>
      <c r="IS78">
        <v>0</v>
      </c>
      <c r="IT78">
        <v>0</v>
      </c>
      <c r="IU78">
        <v>0</v>
      </c>
      <c r="IV78">
        <v>0</v>
      </c>
      <c r="IW78">
        <v>0</v>
      </c>
      <c r="IX78">
        <v>0</v>
      </c>
      <c r="IY78">
        <v>0</v>
      </c>
      <c r="IZ78">
        <v>0</v>
      </c>
      <c r="JA78">
        <v>0</v>
      </c>
      <c r="JB78">
        <v>0</v>
      </c>
      <c r="JC78">
        <v>0</v>
      </c>
      <c r="JD78">
        <v>0</v>
      </c>
      <c r="JE78">
        <v>0</v>
      </c>
      <c r="JF78">
        <v>0</v>
      </c>
      <c r="JG78">
        <v>0</v>
      </c>
      <c r="JH78">
        <v>0</v>
      </c>
      <c r="JI78">
        <v>0</v>
      </c>
      <c r="JJ78">
        <v>0</v>
      </c>
      <c r="JK78">
        <v>0</v>
      </c>
      <c r="JL78">
        <v>0</v>
      </c>
      <c r="JM78">
        <v>0</v>
      </c>
      <c r="JN78">
        <v>0</v>
      </c>
      <c r="JO78">
        <v>0</v>
      </c>
      <c r="JP78">
        <v>0</v>
      </c>
      <c r="JQ78">
        <v>0</v>
      </c>
      <c r="JR78">
        <v>0</v>
      </c>
      <c r="JS78">
        <v>0</v>
      </c>
      <c r="JT78">
        <v>0</v>
      </c>
      <c r="JU78">
        <v>0</v>
      </c>
      <c r="JV78">
        <v>0</v>
      </c>
      <c r="JW78">
        <v>0</v>
      </c>
      <c r="JX78">
        <v>0</v>
      </c>
      <c r="JY78">
        <v>0</v>
      </c>
      <c r="JZ78">
        <v>0</v>
      </c>
      <c r="KA78">
        <v>0</v>
      </c>
      <c r="KB78">
        <v>0</v>
      </c>
      <c r="KC78">
        <v>0</v>
      </c>
      <c r="KD78">
        <v>0</v>
      </c>
      <c r="KE78">
        <v>0</v>
      </c>
      <c r="KF78">
        <v>0</v>
      </c>
      <c r="KG78">
        <v>0</v>
      </c>
      <c r="KH78">
        <v>0</v>
      </c>
      <c r="KI78">
        <v>0</v>
      </c>
      <c r="KJ78">
        <v>0</v>
      </c>
      <c r="KK78">
        <v>0</v>
      </c>
      <c r="KL78">
        <v>0</v>
      </c>
      <c r="KM78">
        <v>0</v>
      </c>
      <c r="KN78">
        <v>0</v>
      </c>
      <c r="KO78">
        <v>0</v>
      </c>
      <c r="KP78">
        <v>0</v>
      </c>
      <c r="KQ78">
        <v>0</v>
      </c>
      <c r="KR78">
        <v>0</v>
      </c>
      <c r="KS78">
        <v>0</v>
      </c>
      <c r="KT78">
        <v>0</v>
      </c>
      <c r="KU78">
        <v>0</v>
      </c>
      <c r="KV78">
        <v>0</v>
      </c>
      <c r="KW78">
        <v>0</v>
      </c>
      <c r="KX78">
        <v>0</v>
      </c>
      <c r="KY78">
        <v>0</v>
      </c>
      <c r="KZ78">
        <v>0</v>
      </c>
      <c r="LA78">
        <v>0</v>
      </c>
      <c r="LB78">
        <v>0</v>
      </c>
      <c r="LC78">
        <v>0</v>
      </c>
      <c r="LD78">
        <v>0</v>
      </c>
      <c r="LE78">
        <v>0</v>
      </c>
      <c r="LF78">
        <v>0</v>
      </c>
      <c r="LG78">
        <v>0</v>
      </c>
      <c r="LH78">
        <v>0</v>
      </c>
      <c r="LI78">
        <v>0</v>
      </c>
      <c r="LJ78">
        <v>0</v>
      </c>
      <c r="LK78">
        <v>0</v>
      </c>
      <c r="LL78">
        <v>0</v>
      </c>
      <c r="LM78">
        <v>0</v>
      </c>
      <c r="LN78">
        <v>0</v>
      </c>
      <c r="LO78">
        <v>0</v>
      </c>
      <c r="LP78">
        <v>0</v>
      </c>
      <c r="LQ78">
        <v>0</v>
      </c>
      <c r="LR78">
        <v>0</v>
      </c>
      <c r="LS78">
        <v>0</v>
      </c>
      <c r="LT78">
        <v>0</v>
      </c>
      <c r="LU78">
        <v>0</v>
      </c>
      <c r="LV78">
        <v>0</v>
      </c>
      <c r="LW78">
        <v>0</v>
      </c>
      <c r="LX78">
        <v>0</v>
      </c>
      <c r="LY78">
        <v>0</v>
      </c>
      <c r="LZ78">
        <v>0</v>
      </c>
      <c r="MA78">
        <v>0</v>
      </c>
      <c r="MB78">
        <v>0</v>
      </c>
      <c r="MC78">
        <v>0</v>
      </c>
      <c r="MD78">
        <v>0</v>
      </c>
      <c r="ME78">
        <v>0</v>
      </c>
      <c r="MF78">
        <v>0</v>
      </c>
      <c r="MG78">
        <v>0</v>
      </c>
      <c r="MH78">
        <v>0</v>
      </c>
      <c r="MI78">
        <v>0</v>
      </c>
      <c r="MJ78">
        <v>0</v>
      </c>
      <c r="MK78">
        <v>0</v>
      </c>
      <c r="ML78">
        <v>0</v>
      </c>
      <c r="MM78">
        <v>0</v>
      </c>
      <c r="MN78">
        <v>0</v>
      </c>
      <c r="MO78">
        <v>0</v>
      </c>
      <c r="MP78">
        <v>0</v>
      </c>
      <c r="MQ78">
        <v>0</v>
      </c>
      <c r="MR78">
        <v>0</v>
      </c>
      <c r="MS78">
        <v>0</v>
      </c>
      <c r="MT78">
        <v>0</v>
      </c>
      <c r="MU78">
        <v>0</v>
      </c>
      <c r="MV78">
        <v>2</v>
      </c>
      <c r="MW78">
        <v>2</v>
      </c>
      <c r="MX78">
        <v>2</v>
      </c>
      <c r="MY78">
        <v>2</v>
      </c>
      <c r="MZ78">
        <v>2</v>
      </c>
      <c r="NA78">
        <v>2</v>
      </c>
      <c r="NB78">
        <v>2</v>
      </c>
      <c r="NC78">
        <v>2</v>
      </c>
      <c r="ND78">
        <v>2</v>
      </c>
      <c r="NE78">
        <v>2</v>
      </c>
      <c r="NF78">
        <v>2</v>
      </c>
      <c r="NG78">
        <v>2</v>
      </c>
      <c r="NH78">
        <v>2</v>
      </c>
      <c r="NI78">
        <v>2</v>
      </c>
      <c r="NJ78">
        <v>2</v>
      </c>
      <c r="NK78">
        <v>2</v>
      </c>
      <c r="NL78">
        <v>2</v>
      </c>
      <c r="NM78">
        <v>0</v>
      </c>
      <c r="NN78">
        <v>0</v>
      </c>
      <c r="NO78">
        <v>0</v>
      </c>
      <c r="NP78">
        <v>0</v>
      </c>
      <c r="NQ78">
        <v>0</v>
      </c>
      <c r="NR78">
        <v>0</v>
      </c>
      <c r="NS78">
        <v>0</v>
      </c>
      <c r="NT78">
        <v>0</v>
      </c>
      <c r="NU78">
        <v>0</v>
      </c>
      <c r="NV78">
        <v>0</v>
      </c>
      <c r="NW78">
        <v>0</v>
      </c>
      <c r="NX78">
        <v>0</v>
      </c>
      <c r="NY78">
        <v>0</v>
      </c>
      <c r="NZ78">
        <v>0</v>
      </c>
      <c r="OA78">
        <v>0</v>
      </c>
      <c r="OB78">
        <v>0</v>
      </c>
      <c r="OC78">
        <v>0</v>
      </c>
      <c r="OD78">
        <v>0</v>
      </c>
      <c r="OE78">
        <v>0</v>
      </c>
      <c r="OF78">
        <v>0</v>
      </c>
      <c r="OG78">
        <v>0</v>
      </c>
      <c r="OH78">
        <v>0</v>
      </c>
      <c r="OI78">
        <v>0</v>
      </c>
      <c r="OJ78">
        <v>0</v>
      </c>
      <c r="OK78">
        <v>0</v>
      </c>
      <c r="OL78">
        <v>0</v>
      </c>
      <c r="OM78">
        <v>0</v>
      </c>
      <c r="ON78">
        <v>0</v>
      </c>
      <c r="OO78">
        <v>0</v>
      </c>
      <c r="OP78">
        <v>0</v>
      </c>
      <c r="OQ78">
        <v>0</v>
      </c>
      <c r="OR78">
        <v>0</v>
      </c>
      <c r="OS78">
        <v>0</v>
      </c>
      <c r="OT78">
        <v>0</v>
      </c>
      <c r="OU78">
        <v>0</v>
      </c>
      <c r="OV78">
        <v>0</v>
      </c>
      <c r="OW78">
        <v>0</v>
      </c>
      <c r="OX78">
        <v>0</v>
      </c>
      <c r="OY78">
        <v>0</v>
      </c>
      <c r="OZ78">
        <v>0</v>
      </c>
      <c r="PA78">
        <v>0</v>
      </c>
      <c r="PB78">
        <v>0</v>
      </c>
      <c r="PC78">
        <v>0</v>
      </c>
      <c r="PD78">
        <v>0</v>
      </c>
      <c r="PE78">
        <v>0</v>
      </c>
      <c r="PF78">
        <v>0</v>
      </c>
      <c r="PG78">
        <v>0</v>
      </c>
      <c r="PH78">
        <v>0</v>
      </c>
      <c r="PI78">
        <v>0</v>
      </c>
      <c r="PJ78">
        <v>0</v>
      </c>
      <c r="PK78">
        <v>0</v>
      </c>
      <c r="PL78">
        <v>0</v>
      </c>
      <c r="PM78">
        <v>0</v>
      </c>
      <c r="PN78">
        <v>0</v>
      </c>
      <c r="PO78">
        <v>0</v>
      </c>
      <c r="PP78">
        <v>0</v>
      </c>
      <c r="PQ78">
        <v>0</v>
      </c>
      <c r="PR78">
        <v>0</v>
      </c>
      <c r="PS78">
        <v>0</v>
      </c>
      <c r="PT78">
        <v>0</v>
      </c>
      <c r="PU78">
        <v>0</v>
      </c>
      <c r="PV78">
        <v>0</v>
      </c>
      <c r="PW78">
        <v>0</v>
      </c>
      <c r="PX78">
        <v>0</v>
      </c>
      <c r="PY78">
        <v>0</v>
      </c>
      <c r="PZ78">
        <v>0</v>
      </c>
      <c r="QA78">
        <v>0</v>
      </c>
      <c r="QB78">
        <v>0</v>
      </c>
      <c r="QC78">
        <v>0</v>
      </c>
      <c r="QD78">
        <v>0</v>
      </c>
      <c r="QE78">
        <v>0</v>
      </c>
      <c r="QF78">
        <v>0</v>
      </c>
      <c r="QG78">
        <v>0</v>
      </c>
      <c r="QH78">
        <v>0</v>
      </c>
      <c r="QI78">
        <v>0</v>
      </c>
      <c r="QJ78">
        <v>0</v>
      </c>
      <c r="QK78">
        <v>0</v>
      </c>
      <c r="QL78">
        <v>0</v>
      </c>
      <c r="QM78">
        <v>0</v>
      </c>
      <c r="QN78">
        <v>0</v>
      </c>
      <c r="QO78">
        <v>0</v>
      </c>
      <c r="QP78">
        <v>0</v>
      </c>
      <c r="QQ78">
        <v>0</v>
      </c>
      <c r="QR78">
        <v>0</v>
      </c>
      <c r="QS78">
        <v>0</v>
      </c>
      <c r="QT78">
        <v>0</v>
      </c>
      <c r="QU78">
        <v>0</v>
      </c>
      <c r="QV78">
        <v>0</v>
      </c>
      <c r="QW78">
        <v>0</v>
      </c>
      <c r="QX78">
        <v>0</v>
      </c>
      <c r="QY78">
        <v>0</v>
      </c>
      <c r="QZ78">
        <v>0</v>
      </c>
      <c r="RA78">
        <v>0</v>
      </c>
      <c r="RB78">
        <v>0</v>
      </c>
      <c r="RC78">
        <v>0</v>
      </c>
      <c r="RD78">
        <v>0</v>
      </c>
      <c r="RE78">
        <v>0</v>
      </c>
      <c r="RF78">
        <v>0</v>
      </c>
      <c r="RG78">
        <v>0</v>
      </c>
      <c r="RH78">
        <v>0</v>
      </c>
      <c r="RI78">
        <v>0</v>
      </c>
      <c r="RJ78">
        <v>0</v>
      </c>
      <c r="RK78">
        <v>0</v>
      </c>
      <c r="RL78">
        <v>0</v>
      </c>
      <c r="RM78">
        <v>0</v>
      </c>
      <c r="RN78">
        <v>0</v>
      </c>
      <c r="RO78">
        <v>0</v>
      </c>
      <c r="RP78">
        <v>0</v>
      </c>
      <c r="RQ78">
        <v>0</v>
      </c>
      <c r="RR78">
        <v>0</v>
      </c>
      <c r="RS78">
        <v>0</v>
      </c>
      <c r="RT78">
        <v>0</v>
      </c>
      <c r="RU78">
        <v>0</v>
      </c>
      <c r="RV78">
        <v>0</v>
      </c>
      <c r="RW78">
        <v>0</v>
      </c>
      <c r="RX78">
        <v>0</v>
      </c>
      <c r="RY78">
        <v>0</v>
      </c>
      <c r="RZ78">
        <v>0</v>
      </c>
      <c r="SA78">
        <v>0</v>
      </c>
      <c r="SB78">
        <v>0</v>
      </c>
      <c r="SC78">
        <v>0</v>
      </c>
      <c r="SD78">
        <v>0</v>
      </c>
      <c r="SE78">
        <v>0</v>
      </c>
      <c r="SF78">
        <v>0</v>
      </c>
      <c r="SG78">
        <v>0</v>
      </c>
      <c r="SH78">
        <v>0</v>
      </c>
      <c r="SI78">
        <v>0</v>
      </c>
      <c r="SJ78">
        <v>0</v>
      </c>
      <c r="SK78">
        <v>0</v>
      </c>
      <c r="SL78">
        <v>0</v>
      </c>
      <c r="SM78">
        <v>0</v>
      </c>
      <c r="SN78">
        <v>0</v>
      </c>
      <c r="SO78">
        <v>0</v>
      </c>
      <c r="SP78">
        <v>0</v>
      </c>
      <c r="SQ78">
        <v>0</v>
      </c>
      <c r="SR78">
        <v>0</v>
      </c>
      <c r="SS78">
        <v>0</v>
      </c>
      <c r="ST78">
        <v>0</v>
      </c>
      <c r="SU78">
        <v>0</v>
      </c>
      <c r="SV78">
        <v>0</v>
      </c>
      <c r="SW78">
        <v>0</v>
      </c>
      <c r="SX78">
        <v>0</v>
      </c>
      <c r="SY78">
        <v>0</v>
      </c>
      <c r="SZ78">
        <v>0</v>
      </c>
      <c r="TA78">
        <v>0</v>
      </c>
      <c r="TB78">
        <v>0</v>
      </c>
      <c r="TC78">
        <v>0</v>
      </c>
      <c r="TD78">
        <v>0</v>
      </c>
      <c r="TE78">
        <v>0</v>
      </c>
      <c r="TF78">
        <v>0</v>
      </c>
      <c r="TG78">
        <v>0</v>
      </c>
      <c r="TH78">
        <v>0</v>
      </c>
      <c r="TI78">
        <v>0</v>
      </c>
      <c r="TJ78">
        <v>0</v>
      </c>
      <c r="TK78">
        <v>0</v>
      </c>
      <c r="TL78">
        <v>0</v>
      </c>
      <c r="TM78">
        <v>0</v>
      </c>
      <c r="TN78">
        <v>0</v>
      </c>
      <c r="TO78">
        <v>0</v>
      </c>
      <c r="TP78">
        <v>0</v>
      </c>
      <c r="TQ78">
        <v>0</v>
      </c>
      <c r="TR78">
        <v>0</v>
      </c>
      <c r="TS78">
        <v>0</v>
      </c>
      <c r="TT78">
        <v>0</v>
      </c>
      <c r="TU78">
        <v>0</v>
      </c>
      <c r="TV78">
        <v>0</v>
      </c>
      <c r="TW78">
        <v>0</v>
      </c>
      <c r="TX78">
        <v>0</v>
      </c>
      <c r="TY78">
        <v>0</v>
      </c>
      <c r="TZ78">
        <v>0</v>
      </c>
      <c r="UA78">
        <v>0</v>
      </c>
      <c r="UB78">
        <v>0</v>
      </c>
      <c r="UC78">
        <v>0</v>
      </c>
      <c r="UD78">
        <v>0</v>
      </c>
      <c r="UE78">
        <v>0</v>
      </c>
      <c r="UF78">
        <v>0</v>
      </c>
      <c r="UG78">
        <v>0</v>
      </c>
      <c r="UH78">
        <v>0</v>
      </c>
      <c r="UI78">
        <v>0</v>
      </c>
      <c r="UJ78">
        <v>0</v>
      </c>
      <c r="UK78">
        <v>0</v>
      </c>
      <c r="UL78">
        <v>0</v>
      </c>
      <c r="UM78">
        <v>0</v>
      </c>
      <c r="UN78">
        <v>0</v>
      </c>
      <c r="UO78">
        <v>0</v>
      </c>
      <c r="UP78">
        <v>0</v>
      </c>
      <c r="UQ78">
        <v>0</v>
      </c>
      <c r="UR78">
        <v>0</v>
      </c>
      <c r="US78">
        <v>0</v>
      </c>
      <c r="UT78">
        <v>0</v>
      </c>
      <c r="UU78">
        <v>0</v>
      </c>
      <c r="UV78">
        <v>0</v>
      </c>
      <c r="UW78">
        <v>0</v>
      </c>
      <c r="UX78">
        <v>0</v>
      </c>
      <c r="UY78">
        <v>0</v>
      </c>
      <c r="UZ78">
        <v>0</v>
      </c>
      <c r="VA78">
        <v>0</v>
      </c>
      <c r="VB78">
        <v>0</v>
      </c>
      <c r="VC78">
        <v>0</v>
      </c>
      <c r="VD78">
        <v>0</v>
      </c>
      <c r="VE78">
        <v>0</v>
      </c>
      <c r="VF78">
        <v>0</v>
      </c>
      <c r="VG78">
        <v>0</v>
      </c>
      <c r="VH78">
        <v>0</v>
      </c>
      <c r="VI78">
        <v>0</v>
      </c>
      <c r="VJ78">
        <v>0</v>
      </c>
      <c r="VK78">
        <v>0</v>
      </c>
      <c r="VL78">
        <v>0</v>
      </c>
      <c r="VM78">
        <v>0</v>
      </c>
      <c r="VN78">
        <v>0</v>
      </c>
      <c r="VO78">
        <v>0</v>
      </c>
      <c r="VP78">
        <v>0</v>
      </c>
      <c r="VQ78">
        <v>0</v>
      </c>
      <c r="VR78">
        <v>0</v>
      </c>
      <c r="VS78">
        <v>0</v>
      </c>
      <c r="VT78">
        <v>0</v>
      </c>
      <c r="VU78">
        <v>0</v>
      </c>
      <c r="VV78">
        <v>0</v>
      </c>
      <c r="VW78">
        <v>0</v>
      </c>
      <c r="VX78">
        <v>0</v>
      </c>
      <c r="VY78">
        <v>0</v>
      </c>
      <c r="VZ78">
        <v>0</v>
      </c>
      <c r="WA78">
        <v>0</v>
      </c>
      <c r="WB78">
        <v>0</v>
      </c>
      <c r="WC78">
        <v>0</v>
      </c>
      <c r="WD78">
        <v>0</v>
      </c>
      <c r="WE78">
        <v>0</v>
      </c>
      <c r="WF78">
        <v>0</v>
      </c>
      <c r="WG78">
        <v>0</v>
      </c>
      <c r="WH78">
        <v>0</v>
      </c>
      <c r="WI78">
        <v>0</v>
      </c>
      <c r="WJ78">
        <v>0</v>
      </c>
      <c r="WK78">
        <v>0</v>
      </c>
      <c r="WL78">
        <v>0</v>
      </c>
      <c r="WM78">
        <v>0</v>
      </c>
      <c r="WN78">
        <v>0</v>
      </c>
      <c r="WO78">
        <v>0</v>
      </c>
      <c r="WP78">
        <v>0</v>
      </c>
      <c r="WQ78">
        <v>0</v>
      </c>
      <c r="WR78">
        <v>0</v>
      </c>
      <c r="WS78">
        <v>0</v>
      </c>
      <c r="WT78">
        <v>0</v>
      </c>
      <c r="WU78">
        <v>0</v>
      </c>
      <c r="WV78">
        <v>0</v>
      </c>
      <c r="WW78">
        <v>0</v>
      </c>
      <c r="WX78">
        <v>0</v>
      </c>
      <c r="WY78">
        <v>0</v>
      </c>
      <c r="WZ78">
        <v>0</v>
      </c>
      <c r="XA78">
        <v>0</v>
      </c>
      <c r="XB78">
        <v>0</v>
      </c>
      <c r="XC78">
        <v>0</v>
      </c>
      <c r="XD78">
        <v>0</v>
      </c>
      <c r="XE78">
        <v>0</v>
      </c>
      <c r="XF78">
        <v>0</v>
      </c>
      <c r="XG78">
        <v>0</v>
      </c>
      <c r="XH78">
        <v>0</v>
      </c>
      <c r="XI78">
        <v>0</v>
      </c>
      <c r="XJ78">
        <v>0</v>
      </c>
      <c r="XK78">
        <v>0</v>
      </c>
      <c r="XL78">
        <v>0</v>
      </c>
      <c r="XM78">
        <v>0</v>
      </c>
      <c r="XN78">
        <v>0</v>
      </c>
      <c r="XO78">
        <v>0</v>
      </c>
      <c r="XP78">
        <v>0</v>
      </c>
      <c r="XQ78">
        <v>0</v>
      </c>
      <c r="XR78">
        <v>0</v>
      </c>
      <c r="XS78">
        <v>0</v>
      </c>
      <c r="XT78">
        <v>0</v>
      </c>
      <c r="XU78">
        <v>0</v>
      </c>
      <c r="XV78">
        <v>0</v>
      </c>
      <c r="XW78">
        <v>0</v>
      </c>
      <c r="XX78">
        <v>0</v>
      </c>
      <c r="XY78">
        <v>0</v>
      </c>
      <c r="XZ78">
        <v>0</v>
      </c>
      <c r="YA78">
        <v>0</v>
      </c>
      <c r="YB78">
        <v>0</v>
      </c>
      <c r="YC78">
        <v>0</v>
      </c>
      <c r="YD78">
        <v>0</v>
      </c>
      <c r="YE78">
        <v>0</v>
      </c>
      <c r="YF78">
        <v>0</v>
      </c>
      <c r="YG78">
        <v>0</v>
      </c>
      <c r="YH78">
        <v>0</v>
      </c>
      <c r="YI78">
        <v>0</v>
      </c>
      <c r="YJ78">
        <v>0</v>
      </c>
      <c r="YK78">
        <v>0</v>
      </c>
      <c r="YL78">
        <v>0</v>
      </c>
      <c r="YM78">
        <v>0</v>
      </c>
      <c r="YN78">
        <v>0</v>
      </c>
      <c r="YO78">
        <v>0</v>
      </c>
      <c r="YP78">
        <v>0</v>
      </c>
      <c r="YQ78">
        <v>0</v>
      </c>
      <c r="YR78">
        <v>0</v>
      </c>
      <c r="YS78">
        <v>0</v>
      </c>
      <c r="YT78">
        <v>0</v>
      </c>
      <c r="YU78">
        <v>0</v>
      </c>
      <c r="YV78">
        <v>0</v>
      </c>
      <c r="YW78">
        <v>0</v>
      </c>
      <c r="YX78">
        <v>0</v>
      </c>
      <c r="YY78">
        <v>0</v>
      </c>
      <c r="YZ78">
        <v>0</v>
      </c>
      <c r="ZA78">
        <v>0</v>
      </c>
      <c r="ZB78">
        <v>0</v>
      </c>
      <c r="ZC78">
        <v>0</v>
      </c>
      <c r="ZD78">
        <v>0</v>
      </c>
      <c r="ZE78">
        <v>0</v>
      </c>
      <c r="ZF78">
        <v>0</v>
      </c>
      <c r="ZG78">
        <v>0</v>
      </c>
      <c r="ZH78">
        <v>0</v>
      </c>
      <c r="ZI78">
        <v>0</v>
      </c>
      <c r="ZJ78">
        <v>0</v>
      </c>
      <c r="ZK78">
        <v>0</v>
      </c>
      <c r="ZL78">
        <v>0</v>
      </c>
      <c r="ZM78">
        <v>0</v>
      </c>
      <c r="ZN78">
        <v>0</v>
      </c>
      <c r="ZO78">
        <v>0</v>
      </c>
      <c r="ZP78">
        <v>0</v>
      </c>
      <c r="ZQ78">
        <v>0</v>
      </c>
      <c r="ZR78">
        <v>0</v>
      </c>
      <c r="ZS78">
        <v>0</v>
      </c>
      <c r="ZT78">
        <v>0</v>
      </c>
      <c r="ZU78">
        <v>0</v>
      </c>
      <c r="ZV78">
        <v>0</v>
      </c>
      <c r="ZW78">
        <v>0</v>
      </c>
      <c r="ZX78">
        <v>0</v>
      </c>
      <c r="ZY78">
        <v>0</v>
      </c>
      <c r="ZZ78">
        <v>0</v>
      </c>
      <c r="AAA78">
        <v>0</v>
      </c>
      <c r="AAB78">
        <v>0</v>
      </c>
      <c r="AAC78">
        <v>0</v>
      </c>
      <c r="AAD78">
        <v>0</v>
      </c>
      <c r="AAE78">
        <v>0</v>
      </c>
      <c r="AAF78">
        <v>0</v>
      </c>
      <c r="AAG78">
        <v>0</v>
      </c>
      <c r="AAH78">
        <v>0</v>
      </c>
      <c r="AAI78">
        <v>0</v>
      </c>
      <c r="AAJ78">
        <v>0</v>
      </c>
      <c r="AAK78">
        <v>0</v>
      </c>
      <c r="AAL78">
        <v>0</v>
      </c>
      <c r="AAM78">
        <v>0</v>
      </c>
      <c r="AAN78">
        <v>0</v>
      </c>
      <c r="AAO78">
        <v>0</v>
      </c>
      <c r="AAP78">
        <v>0</v>
      </c>
      <c r="AAQ78">
        <v>0</v>
      </c>
      <c r="AAR78">
        <v>0</v>
      </c>
      <c r="AAS78">
        <v>0</v>
      </c>
      <c r="AAT78">
        <v>0</v>
      </c>
      <c r="AAU78">
        <v>0</v>
      </c>
      <c r="AAV78">
        <v>0</v>
      </c>
      <c r="AAW78">
        <v>0</v>
      </c>
      <c r="AAX78">
        <v>0</v>
      </c>
      <c r="AAY78">
        <v>0</v>
      </c>
      <c r="AAZ78">
        <v>0</v>
      </c>
      <c r="ABA78">
        <v>0</v>
      </c>
      <c r="ABB78">
        <v>0</v>
      </c>
      <c r="ABC78">
        <v>0</v>
      </c>
      <c r="ABD78">
        <v>0</v>
      </c>
      <c r="ABE78">
        <v>0</v>
      </c>
      <c r="ABG78" s="1137">
        <f t="shared" si="19"/>
        <v>0</v>
      </c>
      <c r="ABH78" s="1137">
        <f t="shared" si="19"/>
        <v>0</v>
      </c>
      <c r="ABI78" s="1137">
        <f t="shared" si="19"/>
        <v>9</v>
      </c>
      <c r="ABJ78" s="1137">
        <f t="shared" si="19"/>
        <v>30</v>
      </c>
      <c r="ABK78" s="1137">
        <f t="shared" si="19"/>
        <v>24</v>
      </c>
      <c r="ABL78" s="1137">
        <f t="shared" si="19"/>
        <v>0</v>
      </c>
      <c r="ABM78" s="1137">
        <f t="shared" si="19"/>
        <v>0</v>
      </c>
      <c r="ABN78" s="1137">
        <f t="shared" si="19"/>
        <v>0</v>
      </c>
      <c r="ABO78" s="1137">
        <f t="shared" si="19"/>
        <v>0</v>
      </c>
      <c r="ABP78" s="1137">
        <f t="shared" si="19"/>
        <v>0</v>
      </c>
      <c r="ABQ78" s="1137">
        <f t="shared" si="19"/>
        <v>0</v>
      </c>
      <c r="ABR78" s="1137">
        <f t="shared" si="19"/>
        <v>9</v>
      </c>
      <c r="ABS78" s="1137">
        <f t="shared" si="19"/>
        <v>8</v>
      </c>
      <c r="ABT78" s="1137">
        <f t="shared" si="19"/>
        <v>0</v>
      </c>
      <c r="ABU78" s="1137">
        <f t="shared" si="19"/>
        <v>0</v>
      </c>
      <c r="ABV78" s="1137">
        <f t="shared" si="19"/>
        <v>0</v>
      </c>
      <c r="ABW78" s="1137">
        <f t="shared" si="17"/>
        <v>0</v>
      </c>
      <c r="ABX78" s="1137">
        <f t="shared" si="14"/>
        <v>0</v>
      </c>
      <c r="ABY78" s="1137">
        <f t="shared" si="14"/>
        <v>0</v>
      </c>
      <c r="ABZ78" s="1137">
        <f t="shared" si="14"/>
        <v>0</v>
      </c>
      <c r="ACA78" s="1137">
        <f t="shared" si="14"/>
        <v>0</v>
      </c>
      <c r="ACB78" s="1137">
        <f t="shared" si="14"/>
        <v>0</v>
      </c>
      <c r="ACC78" s="1137">
        <f t="shared" si="14"/>
        <v>0</v>
      </c>
      <c r="ACD78" s="1137">
        <f t="shared" si="14"/>
        <v>0</v>
      </c>
      <c r="ACE78" s="1137" t="s">
        <v>166</v>
      </c>
      <c r="ACF78" s="1137">
        <f t="shared" si="20"/>
        <v>0</v>
      </c>
      <c r="ACG78" s="1137">
        <f t="shared" si="20"/>
        <v>0</v>
      </c>
      <c r="ACH78" s="1137">
        <f t="shared" si="20"/>
        <v>0</v>
      </c>
      <c r="ACI78" s="1137">
        <f t="shared" si="20"/>
        <v>1</v>
      </c>
      <c r="ACJ78" s="1137">
        <f t="shared" si="20"/>
        <v>1</v>
      </c>
      <c r="ACK78" s="1137">
        <f t="shared" si="20"/>
        <v>0</v>
      </c>
      <c r="ACL78" s="1137">
        <f t="shared" si="20"/>
        <v>0</v>
      </c>
      <c r="ACM78" s="1137">
        <f t="shared" si="20"/>
        <v>0</v>
      </c>
      <c r="ACN78" s="1137">
        <f t="shared" si="20"/>
        <v>0</v>
      </c>
      <c r="ACO78" s="1137">
        <f t="shared" si="20"/>
        <v>0</v>
      </c>
      <c r="ACP78" s="1137">
        <f t="shared" si="20"/>
        <v>0</v>
      </c>
      <c r="ACQ78" s="1137">
        <f t="shared" si="20"/>
        <v>0</v>
      </c>
      <c r="ACR78" s="1137">
        <f t="shared" si="20"/>
        <v>0</v>
      </c>
      <c r="ACS78" s="1137">
        <f t="shared" si="20"/>
        <v>0</v>
      </c>
      <c r="ACT78" s="1137">
        <f t="shared" si="20"/>
        <v>0</v>
      </c>
      <c r="ACU78" s="1137">
        <f t="shared" si="12"/>
        <v>0</v>
      </c>
      <c r="ACV78" s="1137">
        <f t="shared" si="12"/>
        <v>0</v>
      </c>
      <c r="ACW78" s="1137">
        <f t="shared" si="12"/>
        <v>0</v>
      </c>
      <c r="ACX78" s="1137">
        <f t="shared" si="12"/>
        <v>0</v>
      </c>
      <c r="ACY78" s="1137">
        <f t="shared" si="12"/>
        <v>0</v>
      </c>
      <c r="ACZ78" s="1137">
        <f t="shared" si="12"/>
        <v>0</v>
      </c>
      <c r="ADA78" s="1137">
        <f t="shared" si="12"/>
        <v>0</v>
      </c>
      <c r="ADB78" s="1137">
        <f t="shared" si="16"/>
        <v>0</v>
      </c>
      <c r="ADC78" s="1137">
        <f t="shared" si="16"/>
        <v>0</v>
      </c>
    </row>
    <row r="79" spans="1:783" x14ac:dyDescent="0.25">
      <c r="A79" t="s">
        <v>1876</v>
      </c>
      <c r="B79" t="s">
        <v>34</v>
      </c>
      <c r="C79">
        <v>0</v>
      </c>
      <c r="D79">
        <v>0</v>
      </c>
      <c r="E79">
        <v>0</v>
      </c>
      <c r="F79">
        <v>0</v>
      </c>
      <c r="G79">
        <v>0</v>
      </c>
      <c r="H79">
        <v>0</v>
      </c>
      <c r="I79">
        <v>0</v>
      </c>
      <c r="J79">
        <v>0</v>
      </c>
      <c r="K79">
        <v>0</v>
      </c>
      <c r="L79">
        <v>0</v>
      </c>
      <c r="M79">
        <v>0</v>
      </c>
      <c r="N79">
        <v>0</v>
      </c>
      <c r="O79">
        <v>0</v>
      </c>
      <c r="P79">
        <v>0</v>
      </c>
      <c r="Q79">
        <v>0</v>
      </c>
      <c r="R79">
        <v>0</v>
      </c>
      <c r="S79">
        <v>0</v>
      </c>
      <c r="T79">
        <v>0</v>
      </c>
      <c r="U79">
        <v>0</v>
      </c>
      <c r="V79">
        <v>0</v>
      </c>
      <c r="W79">
        <v>0</v>
      </c>
      <c r="X79">
        <v>0</v>
      </c>
      <c r="Y79">
        <v>0</v>
      </c>
      <c r="Z79">
        <v>0</v>
      </c>
      <c r="AA79">
        <v>0</v>
      </c>
      <c r="AB79">
        <v>0</v>
      </c>
      <c r="AC79">
        <v>0</v>
      </c>
      <c r="AD79">
        <v>0</v>
      </c>
      <c r="AE79">
        <v>0</v>
      </c>
      <c r="AF79">
        <v>0</v>
      </c>
      <c r="AG79">
        <v>0</v>
      </c>
      <c r="AH79">
        <v>0</v>
      </c>
      <c r="AI79">
        <v>0</v>
      </c>
      <c r="AJ79">
        <v>0</v>
      </c>
      <c r="AK79">
        <v>0</v>
      </c>
      <c r="AL79">
        <v>0</v>
      </c>
      <c r="AM79">
        <v>0</v>
      </c>
      <c r="AN79">
        <v>0</v>
      </c>
      <c r="AO79">
        <v>0</v>
      </c>
      <c r="AP79">
        <v>0</v>
      </c>
      <c r="AQ79">
        <v>0</v>
      </c>
      <c r="AR79">
        <v>0</v>
      </c>
      <c r="AS79">
        <v>0</v>
      </c>
      <c r="AT79">
        <v>0</v>
      </c>
      <c r="AU79">
        <v>0</v>
      </c>
      <c r="AV79">
        <v>0</v>
      </c>
      <c r="AW79">
        <v>0</v>
      </c>
      <c r="AX79">
        <v>0</v>
      </c>
      <c r="AY79">
        <v>0</v>
      </c>
      <c r="AZ79">
        <v>0</v>
      </c>
      <c r="BA79">
        <v>0</v>
      </c>
      <c r="BB79">
        <v>0</v>
      </c>
      <c r="BC79">
        <v>0</v>
      </c>
      <c r="BD79">
        <v>0</v>
      </c>
      <c r="BE79">
        <v>0</v>
      </c>
      <c r="BF79">
        <v>0</v>
      </c>
      <c r="BG79">
        <v>0</v>
      </c>
      <c r="BH79">
        <v>0</v>
      </c>
      <c r="BI79">
        <v>0</v>
      </c>
      <c r="BJ79">
        <v>0</v>
      </c>
      <c r="BK79">
        <v>0</v>
      </c>
      <c r="BL79">
        <v>0</v>
      </c>
      <c r="BM79">
        <v>0</v>
      </c>
      <c r="BN79">
        <v>0</v>
      </c>
      <c r="BO79">
        <v>0</v>
      </c>
      <c r="BP79">
        <v>0</v>
      </c>
      <c r="BQ79">
        <v>0</v>
      </c>
      <c r="BR79">
        <v>0</v>
      </c>
      <c r="BS79">
        <v>0</v>
      </c>
      <c r="BT79">
        <v>0</v>
      </c>
      <c r="BU79">
        <v>0</v>
      </c>
      <c r="BV79">
        <v>0</v>
      </c>
      <c r="BW79">
        <v>0</v>
      </c>
      <c r="BX79">
        <v>0</v>
      </c>
      <c r="BY79">
        <v>0</v>
      </c>
      <c r="BZ79">
        <v>0</v>
      </c>
      <c r="CA79">
        <v>0</v>
      </c>
      <c r="CB79">
        <v>0</v>
      </c>
      <c r="CC79">
        <v>2</v>
      </c>
      <c r="CD79">
        <v>2</v>
      </c>
      <c r="CE79">
        <v>2</v>
      </c>
      <c r="CF79">
        <v>2</v>
      </c>
      <c r="CG79">
        <v>2</v>
      </c>
      <c r="CH79">
        <v>2</v>
      </c>
      <c r="CI79">
        <v>2</v>
      </c>
      <c r="CJ79">
        <v>2</v>
      </c>
      <c r="CK79">
        <v>2</v>
      </c>
      <c r="CL79">
        <v>2</v>
      </c>
      <c r="CM79">
        <v>2</v>
      </c>
      <c r="CN79">
        <v>2</v>
      </c>
      <c r="CO79">
        <v>2</v>
      </c>
      <c r="CP79">
        <v>2</v>
      </c>
      <c r="CQ79">
        <v>2</v>
      </c>
      <c r="CR79">
        <v>2</v>
      </c>
      <c r="CS79">
        <v>2</v>
      </c>
      <c r="CT79">
        <v>2</v>
      </c>
      <c r="CU79">
        <v>2</v>
      </c>
      <c r="CV79">
        <v>2</v>
      </c>
      <c r="CW79">
        <v>2</v>
      </c>
      <c r="CX79">
        <v>2</v>
      </c>
      <c r="CY79">
        <v>2</v>
      </c>
      <c r="CZ79">
        <v>2</v>
      </c>
      <c r="DA79">
        <v>2</v>
      </c>
      <c r="DB79">
        <v>2</v>
      </c>
      <c r="DC79">
        <v>2</v>
      </c>
      <c r="DD79">
        <v>2</v>
      </c>
      <c r="DE79">
        <v>2</v>
      </c>
      <c r="DF79">
        <v>2</v>
      </c>
      <c r="DG79">
        <v>2</v>
      </c>
      <c r="DH79">
        <v>2</v>
      </c>
      <c r="DI79">
        <v>2</v>
      </c>
      <c r="DJ79">
        <v>2</v>
      </c>
      <c r="DK79">
        <v>2</v>
      </c>
      <c r="DL79">
        <v>2</v>
      </c>
      <c r="DM79">
        <v>2</v>
      </c>
      <c r="DN79">
        <v>2</v>
      </c>
      <c r="DO79">
        <v>2</v>
      </c>
      <c r="DP79">
        <v>2</v>
      </c>
      <c r="DQ79">
        <v>2</v>
      </c>
      <c r="DR79">
        <v>2</v>
      </c>
      <c r="DS79">
        <v>2</v>
      </c>
      <c r="DT79">
        <v>2</v>
      </c>
      <c r="DU79">
        <v>2</v>
      </c>
      <c r="DV79">
        <v>2</v>
      </c>
      <c r="DW79">
        <v>2</v>
      </c>
      <c r="DX79">
        <v>2</v>
      </c>
      <c r="DY79">
        <v>2</v>
      </c>
      <c r="DZ79">
        <v>2</v>
      </c>
      <c r="EA79">
        <v>2</v>
      </c>
      <c r="EB79">
        <v>2</v>
      </c>
      <c r="EC79">
        <v>2</v>
      </c>
      <c r="ED79">
        <v>2</v>
      </c>
      <c r="EE79">
        <v>2</v>
      </c>
      <c r="EF79">
        <v>2</v>
      </c>
      <c r="EG79">
        <v>2</v>
      </c>
      <c r="EH79">
        <v>2</v>
      </c>
      <c r="EI79">
        <v>2</v>
      </c>
      <c r="EJ79">
        <v>2</v>
      </c>
      <c r="EK79">
        <v>2</v>
      </c>
      <c r="EL79">
        <v>2</v>
      </c>
      <c r="EM79">
        <v>2</v>
      </c>
      <c r="EN79">
        <v>2</v>
      </c>
      <c r="EO79">
        <v>2</v>
      </c>
      <c r="EP79">
        <v>2</v>
      </c>
      <c r="EQ79">
        <v>2</v>
      </c>
      <c r="ER79">
        <v>2</v>
      </c>
      <c r="ES79">
        <v>2</v>
      </c>
      <c r="ET79">
        <v>2</v>
      </c>
      <c r="EU79">
        <v>2</v>
      </c>
      <c r="EV79">
        <v>2</v>
      </c>
      <c r="EW79">
        <v>2</v>
      </c>
      <c r="EX79">
        <v>2</v>
      </c>
      <c r="EY79">
        <v>2</v>
      </c>
      <c r="EZ79">
        <v>2</v>
      </c>
      <c r="FA79">
        <v>2</v>
      </c>
      <c r="FB79">
        <v>2</v>
      </c>
      <c r="FC79">
        <v>2</v>
      </c>
      <c r="FD79">
        <v>2</v>
      </c>
      <c r="FE79">
        <v>2</v>
      </c>
      <c r="FF79">
        <v>2</v>
      </c>
      <c r="FG79">
        <v>2</v>
      </c>
      <c r="FH79">
        <v>2</v>
      </c>
      <c r="FI79">
        <v>2</v>
      </c>
      <c r="FJ79">
        <v>2</v>
      </c>
      <c r="FK79">
        <v>2</v>
      </c>
      <c r="FL79">
        <v>2</v>
      </c>
      <c r="FM79">
        <v>2</v>
      </c>
      <c r="FN79">
        <v>2</v>
      </c>
      <c r="FO79">
        <v>2</v>
      </c>
      <c r="FP79">
        <v>2</v>
      </c>
      <c r="FQ79">
        <v>2</v>
      </c>
      <c r="FR79">
        <v>2</v>
      </c>
      <c r="FS79">
        <v>2</v>
      </c>
      <c r="FT79">
        <v>2</v>
      </c>
      <c r="FU79">
        <v>2</v>
      </c>
      <c r="FV79">
        <v>2</v>
      </c>
      <c r="FW79">
        <v>2</v>
      </c>
      <c r="FX79">
        <v>2</v>
      </c>
      <c r="FY79">
        <v>2</v>
      </c>
      <c r="FZ79">
        <v>2</v>
      </c>
      <c r="GA79">
        <v>2</v>
      </c>
      <c r="GB79">
        <v>2</v>
      </c>
      <c r="GC79">
        <v>2</v>
      </c>
      <c r="GD79">
        <v>2</v>
      </c>
      <c r="GE79">
        <v>2</v>
      </c>
      <c r="GF79">
        <v>2</v>
      </c>
      <c r="GG79">
        <v>2</v>
      </c>
      <c r="GH79">
        <v>2</v>
      </c>
      <c r="GI79">
        <v>2</v>
      </c>
      <c r="GJ79">
        <v>2</v>
      </c>
      <c r="GK79">
        <v>2</v>
      </c>
      <c r="GL79">
        <v>2</v>
      </c>
      <c r="GM79">
        <v>2</v>
      </c>
      <c r="GN79">
        <v>2</v>
      </c>
      <c r="GO79">
        <v>2</v>
      </c>
      <c r="GP79">
        <v>2</v>
      </c>
      <c r="GQ79">
        <v>2</v>
      </c>
      <c r="GR79">
        <v>2</v>
      </c>
      <c r="GS79">
        <v>2</v>
      </c>
      <c r="GT79">
        <v>2</v>
      </c>
      <c r="GU79">
        <v>2</v>
      </c>
      <c r="GV79">
        <v>0</v>
      </c>
      <c r="GW79">
        <v>0</v>
      </c>
      <c r="GX79">
        <v>0</v>
      </c>
      <c r="GY79">
        <v>0</v>
      </c>
      <c r="GZ79">
        <v>0</v>
      </c>
      <c r="HA79">
        <v>0</v>
      </c>
      <c r="HB79">
        <v>0</v>
      </c>
      <c r="HC79">
        <v>0</v>
      </c>
      <c r="HD79">
        <v>0</v>
      </c>
      <c r="HE79">
        <v>0</v>
      </c>
      <c r="HF79">
        <v>0</v>
      </c>
      <c r="HG79">
        <v>0</v>
      </c>
      <c r="HH79">
        <v>0</v>
      </c>
      <c r="HI79">
        <v>0</v>
      </c>
      <c r="HJ79">
        <v>0</v>
      </c>
      <c r="HK79">
        <v>0</v>
      </c>
      <c r="HL79">
        <v>0</v>
      </c>
      <c r="HM79">
        <v>0</v>
      </c>
      <c r="HN79">
        <v>0</v>
      </c>
      <c r="HO79">
        <v>0</v>
      </c>
      <c r="HP79">
        <v>0</v>
      </c>
      <c r="HQ79">
        <v>0</v>
      </c>
      <c r="HR79">
        <v>0</v>
      </c>
      <c r="HS79">
        <v>0</v>
      </c>
      <c r="HT79">
        <v>0</v>
      </c>
      <c r="HU79">
        <v>0</v>
      </c>
      <c r="HV79">
        <v>0</v>
      </c>
      <c r="HW79">
        <v>0</v>
      </c>
      <c r="HX79">
        <v>0</v>
      </c>
      <c r="HY79">
        <v>0</v>
      </c>
      <c r="HZ79">
        <v>0</v>
      </c>
      <c r="IA79">
        <v>0</v>
      </c>
      <c r="IB79">
        <v>0</v>
      </c>
      <c r="IC79">
        <v>0</v>
      </c>
      <c r="ID79">
        <v>0</v>
      </c>
      <c r="IE79">
        <v>0</v>
      </c>
      <c r="IF79">
        <v>0</v>
      </c>
      <c r="IG79">
        <v>0</v>
      </c>
      <c r="IH79">
        <v>0</v>
      </c>
      <c r="II79">
        <v>0</v>
      </c>
      <c r="IJ79">
        <v>0</v>
      </c>
      <c r="IK79">
        <v>0</v>
      </c>
      <c r="IL79">
        <v>0</v>
      </c>
      <c r="IM79">
        <v>0</v>
      </c>
      <c r="IN79">
        <v>0</v>
      </c>
      <c r="IO79">
        <v>0</v>
      </c>
      <c r="IP79">
        <v>0</v>
      </c>
      <c r="IQ79">
        <v>0</v>
      </c>
      <c r="IR79">
        <v>0</v>
      </c>
      <c r="IS79">
        <v>0</v>
      </c>
      <c r="IT79">
        <v>0</v>
      </c>
      <c r="IU79">
        <v>0</v>
      </c>
      <c r="IV79">
        <v>0</v>
      </c>
      <c r="IW79">
        <v>0</v>
      </c>
      <c r="IX79">
        <v>0</v>
      </c>
      <c r="IY79">
        <v>0</v>
      </c>
      <c r="IZ79">
        <v>0</v>
      </c>
      <c r="JA79">
        <v>0</v>
      </c>
      <c r="JB79">
        <v>0</v>
      </c>
      <c r="JC79">
        <v>0</v>
      </c>
      <c r="JD79">
        <v>0</v>
      </c>
      <c r="JE79">
        <v>0</v>
      </c>
      <c r="JF79">
        <v>0</v>
      </c>
      <c r="JG79">
        <v>0</v>
      </c>
      <c r="JH79">
        <v>0</v>
      </c>
      <c r="JI79">
        <v>0</v>
      </c>
      <c r="JJ79">
        <v>0</v>
      </c>
      <c r="JK79">
        <v>0</v>
      </c>
      <c r="JL79">
        <v>0</v>
      </c>
      <c r="JM79">
        <v>0</v>
      </c>
      <c r="JN79">
        <v>0</v>
      </c>
      <c r="JO79">
        <v>0</v>
      </c>
      <c r="JP79">
        <v>0</v>
      </c>
      <c r="JQ79">
        <v>0</v>
      </c>
      <c r="JR79">
        <v>0</v>
      </c>
      <c r="JS79">
        <v>0</v>
      </c>
      <c r="JT79">
        <v>0</v>
      </c>
      <c r="JU79">
        <v>0</v>
      </c>
      <c r="JV79">
        <v>0</v>
      </c>
      <c r="JW79">
        <v>0</v>
      </c>
      <c r="JX79">
        <v>0</v>
      </c>
      <c r="JY79">
        <v>0</v>
      </c>
      <c r="JZ79">
        <v>0</v>
      </c>
      <c r="KA79">
        <v>0</v>
      </c>
      <c r="KB79">
        <v>0</v>
      </c>
      <c r="KC79">
        <v>0</v>
      </c>
      <c r="KD79">
        <v>0</v>
      </c>
      <c r="KE79">
        <v>0</v>
      </c>
      <c r="KF79">
        <v>0</v>
      </c>
      <c r="KG79">
        <v>0</v>
      </c>
      <c r="KH79">
        <v>0</v>
      </c>
      <c r="KI79">
        <v>0</v>
      </c>
      <c r="KJ79">
        <v>0</v>
      </c>
      <c r="KK79">
        <v>0</v>
      </c>
      <c r="KL79">
        <v>0</v>
      </c>
      <c r="KM79">
        <v>0</v>
      </c>
      <c r="KN79">
        <v>0</v>
      </c>
      <c r="KO79">
        <v>0</v>
      </c>
      <c r="KP79">
        <v>0</v>
      </c>
      <c r="KQ79">
        <v>0</v>
      </c>
      <c r="KR79">
        <v>0</v>
      </c>
      <c r="KS79">
        <v>0</v>
      </c>
      <c r="KT79">
        <v>0</v>
      </c>
      <c r="KU79">
        <v>0</v>
      </c>
      <c r="KV79">
        <v>0</v>
      </c>
      <c r="KW79">
        <v>0</v>
      </c>
      <c r="KX79">
        <v>0</v>
      </c>
      <c r="KY79">
        <v>0</v>
      </c>
      <c r="KZ79">
        <v>0</v>
      </c>
      <c r="LA79">
        <v>0</v>
      </c>
      <c r="LB79">
        <v>0</v>
      </c>
      <c r="LC79">
        <v>0</v>
      </c>
      <c r="LD79">
        <v>0</v>
      </c>
      <c r="LE79">
        <v>0</v>
      </c>
      <c r="LF79">
        <v>0</v>
      </c>
      <c r="LG79">
        <v>0</v>
      </c>
      <c r="LH79">
        <v>0</v>
      </c>
      <c r="LI79">
        <v>0</v>
      </c>
      <c r="LJ79">
        <v>0</v>
      </c>
      <c r="LK79">
        <v>0</v>
      </c>
      <c r="LL79">
        <v>0</v>
      </c>
      <c r="LM79">
        <v>0</v>
      </c>
      <c r="LN79">
        <v>0</v>
      </c>
      <c r="LO79">
        <v>0</v>
      </c>
      <c r="LP79">
        <v>0</v>
      </c>
      <c r="LQ79">
        <v>0</v>
      </c>
      <c r="LR79">
        <v>0</v>
      </c>
      <c r="LS79">
        <v>0</v>
      </c>
      <c r="LT79">
        <v>0</v>
      </c>
      <c r="LU79">
        <v>0</v>
      </c>
      <c r="LV79">
        <v>0</v>
      </c>
      <c r="LW79">
        <v>0</v>
      </c>
      <c r="LX79">
        <v>0</v>
      </c>
      <c r="LY79">
        <v>0</v>
      </c>
      <c r="LZ79">
        <v>0</v>
      </c>
      <c r="MA79">
        <v>0</v>
      </c>
      <c r="MB79">
        <v>0</v>
      </c>
      <c r="MC79">
        <v>0</v>
      </c>
      <c r="MD79">
        <v>0</v>
      </c>
      <c r="ME79">
        <v>0</v>
      </c>
      <c r="MF79">
        <v>0</v>
      </c>
      <c r="MG79">
        <v>0</v>
      </c>
      <c r="MH79">
        <v>0</v>
      </c>
      <c r="MI79">
        <v>0</v>
      </c>
      <c r="MJ79">
        <v>0</v>
      </c>
      <c r="MK79">
        <v>0</v>
      </c>
      <c r="ML79">
        <v>0</v>
      </c>
      <c r="MM79">
        <v>0</v>
      </c>
      <c r="MN79">
        <v>0</v>
      </c>
      <c r="MO79">
        <v>0</v>
      </c>
      <c r="MP79">
        <v>0</v>
      </c>
      <c r="MQ79">
        <v>0</v>
      </c>
      <c r="MR79">
        <v>0</v>
      </c>
      <c r="MS79">
        <v>0</v>
      </c>
      <c r="MT79">
        <v>0</v>
      </c>
      <c r="MU79">
        <v>0</v>
      </c>
      <c r="MV79">
        <v>0</v>
      </c>
      <c r="MW79">
        <v>0</v>
      </c>
      <c r="MX79">
        <v>0</v>
      </c>
      <c r="MY79">
        <v>0</v>
      </c>
      <c r="MZ79">
        <v>0</v>
      </c>
      <c r="NA79">
        <v>0</v>
      </c>
      <c r="NB79">
        <v>0</v>
      </c>
      <c r="NC79">
        <v>0</v>
      </c>
      <c r="ND79">
        <v>0</v>
      </c>
      <c r="NE79">
        <v>0</v>
      </c>
      <c r="NF79">
        <v>0</v>
      </c>
      <c r="NG79">
        <v>0</v>
      </c>
      <c r="NH79">
        <v>0</v>
      </c>
      <c r="NI79">
        <v>0</v>
      </c>
      <c r="NJ79">
        <v>0</v>
      </c>
      <c r="NK79">
        <v>0</v>
      </c>
      <c r="NL79">
        <v>0</v>
      </c>
      <c r="NM79">
        <v>0</v>
      </c>
      <c r="NN79">
        <v>0</v>
      </c>
      <c r="NO79">
        <v>0</v>
      </c>
      <c r="NP79">
        <v>0</v>
      </c>
      <c r="NQ79">
        <v>0</v>
      </c>
      <c r="NR79">
        <v>0</v>
      </c>
      <c r="NS79">
        <v>0</v>
      </c>
      <c r="NT79">
        <v>0</v>
      </c>
      <c r="NU79">
        <v>0</v>
      </c>
      <c r="NV79">
        <v>0</v>
      </c>
      <c r="NW79">
        <v>0</v>
      </c>
      <c r="NX79">
        <v>0</v>
      </c>
      <c r="NY79">
        <v>0</v>
      </c>
      <c r="NZ79">
        <v>0</v>
      </c>
      <c r="OA79">
        <v>0</v>
      </c>
      <c r="OB79">
        <v>0</v>
      </c>
      <c r="OC79">
        <v>0</v>
      </c>
      <c r="OD79">
        <v>0</v>
      </c>
      <c r="OE79">
        <v>0</v>
      </c>
      <c r="OF79">
        <v>0</v>
      </c>
      <c r="OG79">
        <v>0</v>
      </c>
      <c r="OH79">
        <v>0</v>
      </c>
      <c r="OI79">
        <v>0</v>
      </c>
      <c r="OJ79">
        <v>0</v>
      </c>
      <c r="OK79">
        <v>0</v>
      </c>
      <c r="OL79">
        <v>0</v>
      </c>
      <c r="OM79">
        <v>0</v>
      </c>
      <c r="ON79">
        <v>0</v>
      </c>
      <c r="OO79">
        <v>0</v>
      </c>
      <c r="OP79">
        <v>0</v>
      </c>
      <c r="OQ79">
        <v>0</v>
      </c>
      <c r="OR79">
        <v>0</v>
      </c>
      <c r="OS79">
        <v>0</v>
      </c>
      <c r="OT79">
        <v>0</v>
      </c>
      <c r="OU79">
        <v>0</v>
      </c>
      <c r="OV79">
        <v>0</v>
      </c>
      <c r="OW79">
        <v>0</v>
      </c>
      <c r="OX79">
        <v>0</v>
      </c>
      <c r="OY79">
        <v>0</v>
      </c>
      <c r="OZ79">
        <v>0</v>
      </c>
      <c r="PA79">
        <v>0</v>
      </c>
      <c r="PB79">
        <v>0</v>
      </c>
      <c r="PC79">
        <v>0</v>
      </c>
      <c r="PD79">
        <v>0</v>
      </c>
      <c r="PE79">
        <v>0</v>
      </c>
      <c r="PF79">
        <v>0</v>
      </c>
      <c r="PG79">
        <v>0</v>
      </c>
      <c r="PH79">
        <v>0</v>
      </c>
      <c r="PI79">
        <v>0</v>
      </c>
      <c r="PJ79">
        <v>0</v>
      </c>
      <c r="PK79">
        <v>0</v>
      </c>
      <c r="PL79">
        <v>0</v>
      </c>
      <c r="PM79">
        <v>0</v>
      </c>
      <c r="PN79">
        <v>0</v>
      </c>
      <c r="PO79">
        <v>0</v>
      </c>
      <c r="PP79">
        <v>0</v>
      </c>
      <c r="PQ79">
        <v>0</v>
      </c>
      <c r="PR79">
        <v>0</v>
      </c>
      <c r="PS79">
        <v>0</v>
      </c>
      <c r="PT79">
        <v>0</v>
      </c>
      <c r="PU79">
        <v>0</v>
      </c>
      <c r="PV79">
        <v>0</v>
      </c>
      <c r="PW79">
        <v>0</v>
      </c>
      <c r="PX79">
        <v>0</v>
      </c>
      <c r="PY79">
        <v>0</v>
      </c>
      <c r="PZ79">
        <v>0</v>
      </c>
      <c r="QA79">
        <v>0</v>
      </c>
      <c r="QB79">
        <v>0</v>
      </c>
      <c r="QC79">
        <v>0</v>
      </c>
      <c r="QD79">
        <v>0</v>
      </c>
      <c r="QE79">
        <v>0</v>
      </c>
      <c r="QF79">
        <v>0</v>
      </c>
      <c r="QG79">
        <v>0</v>
      </c>
      <c r="QH79">
        <v>0</v>
      </c>
      <c r="QI79">
        <v>0</v>
      </c>
      <c r="QJ79">
        <v>0</v>
      </c>
      <c r="QK79">
        <v>0</v>
      </c>
      <c r="QL79">
        <v>0</v>
      </c>
      <c r="QM79">
        <v>0</v>
      </c>
      <c r="QN79">
        <v>0</v>
      </c>
      <c r="QO79">
        <v>0</v>
      </c>
      <c r="QP79">
        <v>0</v>
      </c>
      <c r="QQ79">
        <v>0</v>
      </c>
      <c r="QR79">
        <v>0</v>
      </c>
      <c r="QS79">
        <v>0</v>
      </c>
      <c r="QT79">
        <v>0</v>
      </c>
      <c r="QU79">
        <v>0</v>
      </c>
      <c r="QV79">
        <v>0</v>
      </c>
      <c r="QW79">
        <v>0</v>
      </c>
      <c r="QX79">
        <v>0</v>
      </c>
      <c r="QY79">
        <v>0</v>
      </c>
      <c r="QZ79">
        <v>0</v>
      </c>
      <c r="RA79">
        <v>0</v>
      </c>
      <c r="RB79">
        <v>0</v>
      </c>
      <c r="RC79">
        <v>0</v>
      </c>
      <c r="RD79">
        <v>0</v>
      </c>
      <c r="RE79">
        <v>0</v>
      </c>
      <c r="RF79">
        <v>0</v>
      </c>
      <c r="RG79">
        <v>0</v>
      </c>
      <c r="RH79">
        <v>0</v>
      </c>
      <c r="RI79">
        <v>0</v>
      </c>
      <c r="RJ79">
        <v>0</v>
      </c>
      <c r="RK79">
        <v>0</v>
      </c>
      <c r="RL79">
        <v>0</v>
      </c>
      <c r="RM79">
        <v>0</v>
      </c>
      <c r="RN79">
        <v>0</v>
      </c>
      <c r="RO79">
        <v>0</v>
      </c>
      <c r="RP79">
        <v>0</v>
      </c>
      <c r="RQ79">
        <v>0</v>
      </c>
      <c r="RR79">
        <v>0</v>
      </c>
      <c r="RS79">
        <v>0</v>
      </c>
      <c r="RT79">
        <v>0</v>
      </c>
      <c r="RU79">
        <v>0</v>
      </c>
      <c r="RV79">
        <v>0</v>
      </c>
      <c r="RW79">
        <v>0</v>
      </c>
      <c r="RX79">
        <v>0</v>
      </c>
      <c r="RY79">
        <v>0</v>
      </c>
      <c r="RZ79">
        <v>0</v>
      </c>
      <c r="SA79">
        <v>0</v>
      </c>
      <c r="SB79">
        <v>0</v>
      </c>
      <c r="SC79">
        <v>0</v>
      </c>
      <c r="SD79">
        <v>0</v>
      </c>
      <c r="SE79">
        <v>0</v>
      </c>
      <c r="SF79">
        <v>0</v>
      </c>
      <c r="SG79">
        <v>0</v>
      </c>
      <c r="SH79">
        <v>0</v>
      </c>
      <c r="SI79">
        <v>0</v>
      </c>
      <c r="SJ79">
        <v>0</v>
      </c>
      <c r="SK79">
        <v>0</v>
      </c>
      <c r="SL79">
        <v>0</v>
      </c>
      <c r="SM79">
        <v>0</v>
      </c>
      <c r="SN79">
        <v>0</v>
      </c>
      <c r="SO79">
        <v>0</v>
      </c>
      <c r="SP79">
        <v>0</v>
      </c>
      <c r="SQ79">
        <v>0</v>
      </c>
      <c r="SR79">
        <v>0</v>
      </c>
      <c r="SS79">
        <v>0</v>
      </c>
      <c r="ST79">
        <v>0</v>
      </c>
      <c r="SU79">
        <v>0</v>
      </c>
      <c r="SV79">
        <v>0</v>
      </c>
      <c r="SW79">
        <v>0</v>
      </c>
      <c r="SX79">
        <v>0</v>
      </c>
      <c r="SY79">
        <v>0</v>
      </c>
      <c r="SZ79">
        <v>0</v>
      </c>
      <c r="TA79">
        <v>0</v>
      </c>
      <c r="TB79">
        <v>0</v>
      </c>
      <c r="TC79">
        <v>0</v>
      </c>
      <c r="TD79">
        <v>0</v>
      </c>
      <c r="TE79">
        <v>0</v>
      </c>
      <c r="TF79">
        <v>0</v>
      </c>
      <c r="TG79">
        <v>0</v>
      </c>
      <c r="TH79">
        <v>0</v>
      </c>
      <c r="TI79">
        <v>0</v>
      </c>
      <c r="TJ79">
        <v>0</v>
      </c>
      <c r="TK79">
        <v>0</v>
      </c>
      <c r="TL79">
        <v>0</v>
      </c>
      <c r="TM79">
        <v>0</v>
      </c>
      <c r="TN79">
        <v>0</v>
      </c>
      <c r="TO79">
        <v>0</v>
      </c>
      <c r="TP79">
        <v>0</v>
      </c>
      <c r="TQ79">
        <v>0</v>
      </c>
      <c r="TR79">
        <v>0</v>
      </c>
      <c r="TS79">
        <v>0</v>
      </c>
      <c r="TT79">
        <v>0</v>
      </c>
      <c r="TU79">
        <v>0</v>
      </c>
      <c r="TV79">
        <v>0</v>
      </c>
      <c r="TW79">
        <v>0</v>
      </c>
      <c r="TX79">
        <v>0</v>
      </c>
      <c r="TY79">
        <v>0</v>
      </c>
      <c r="TZ79">
        <v>0</v>
      </c>
      <c r="UA79">
        <v>0</v>
      </c>
      <c r="UB79">
        <v>0</v>
      </c>
      <c r="UC79">
        <v>0</v>
      </c>
      <c r="UD79">
        <v>0</v>
      </c>
      <c r="UE79">
        <v>0</v>
      </c>
      <c r="UF79">
        <v>0</v>
      </c>
      <c r="UG79">
        <v>0</v>
      </c>
      <c r="UH79">
        <v>0</v>
      </c>
      <c r="UI79">
        <v>0</v>
      </c>
      <c r="UJ79">
        <v>0</v>
      </c>
      <c r="UK79">
        <v>0</v>
      </c>
      <c r="UL79">
        <v>0</v>
      </c>
      <c r="UM79">
        <v>0</v>
      </c>
      <c r="UN79">
        <v>0</v>
      </c>
      <c r="UO79">
        <v>0</v>
      </c>
      <c r="UP79">
        <v>0</v>
      </c>
      <c r="UQ79">
        <v>0</v>
      </c>
      <c r="UR79">
        <v>0</v>
      </c>
      <c r="US79">
        <v>0</v>
      </c>
      <c r="UT79">
        <v>0</v>
      </c>
      <c r="UU79">
        <v>0</v>
      </c>
      <c r="UV79">
        <v>0</v>
      </c>
      <c r="UW79">
        <v>0</v>
      </c>
      <c r="UX79">
        <v>0</v>
      </c>
      <c r="UY79">
        <v>0</v>
      </c>
      <c r="UZ79">
        <v>0</v>
      </c>
      <c r="VA79">
        <v>0</v>
      </c>
      <c r="VB79">
        <v>0</v>
      </c>
      <c r="VC79">
        <v>0</v>
      </c>
      <c r="VD79">
        <v>0</v>
      </c>
      <c r="VE79">
        <v>0</v>
      </c>
      <c r="VF79">
        <v>0</v>
      </c>
      <c r="VG79">
        <v>0</v>
      </c>
      <c r="VH79">
        <v>0</v>
      </c>
      <c r="VI79">
        <v>0</v>
      </c>
      <c r="VJ79">
        <v>0</v>
      </c>
      <c r="VK79">
        <v>0</v>
      </c>
      <c r="VL79">
        <v>0</v>
      </c>
      <c r="VM79">
        <v>0</v>
      </c>
      <c r="VN79">
        <v>0</v>
      </c>
      <c r="VO79">
        <v>0</v>
      </c>
      <c r="VP79">
        <v>0</v>
      </c>
      <c r="VQ79">
        <v>0</v>
      </c>
      <c r="VR79">
        <v>0</v>
      </c>
      <c r="VS79">
        <v>0</v>
      </c>
      <c r="VT79">
        <v>0</v>
      </c>
      <c r="VU79">
        <v>0</v>
      </c>
      <c r="VV79">
        <v>0</v>
      </c>
      <c r="VW79">
        <v>0</v>
      </c>
      <c r="VX79">
        <v>0</v>
      </c>
      <c r="VY79">
        <v>0</v>
      </c>
      <c r="VZ79">
        <v>0</v>
      </c>
      <c r="WA79">
        <v>0</v>
      </c>
      <c r="WB79">
        <v>0</v>
      </c>
      <c r="WC79">
        <v>0</v>
      </c>
      <c r="WD79">
        <v>0</v>
      </c>
      <c r="WE79">
        <v>0</v>
      </c>
      <c r="WF79">
        <v>0</v>
      </c>
      <c r="WG79">
        <v>0</v>
      </c>
      <c r="WH79">
        <v>0</v>
      </c>
      <c r="WI79">
        <v>0</v>
      </c>
      <c r="WJ79">
        <v>0</v>
      </c>
      <c r="WK79">
        <v>0</v>
      </c>
      <c r="WL79">
        <v>0</v>
      </c>
      <c r="WM79">
        <v>0</v>
      </c>
      <c r="WN79">
        <v>1</v>
      </c>
      <c r="WO79">
        <v>1</v>
      </c>
      <c r="WP79">
        <v>1</v>
      </c>
      <c r="WQ79">
        <v>1</v>
      </c>
      <c r="WR79">
        <v>1</v>
      </c>
      <c r="WS79">
        <v>1</v>
      </c>
      <c r="WT79">
        <v>1</v>
      </c>
      <c r="WU79">
        <v>1</v>
      </c>
      <c r="WV79">
        <v>1</v>
      </c>
      <c r="WW79">
        <v>1</v>
      </c>
      <c r="WX79">
        <v>1</v>
      </c>
      <c r="WY79">
        <v>1</v>
      </c>
      <c r="WZ79">
        <v>1</v>
      </c>
      <c r="XA79">
        <v>1</v>
      </c>
      <c r="XB79">
        <v>1</v>
      </c>
      <c r="XC79">
        <v>1</v>
      </c>
      <c r="XD79">
        <v>1</v>
      </c>
      <c r="XE79">
        <v>1</v>
      </c>
      <c r="XF79">
        <v>1</v>
      </c>
      <c r="XG79">
        <v>1</v>
      </c>
      <c r="XH79">
        <v>1</v>
      </c>
      <c r="XI79">
        <v>1</v>
      </c>
      <c r="XJ79">
        <v>1</v>
      </c>
      <c r="XK79">
        <v>1</v>
      </c>
      <c r="XL79">
        <v>1</v>
      </c>
      <c r="XM79">
        <v>1</v>
      </c>
      <c r="XN79">
        <v>1</v>
      </c>
      <c r="XO79">
        <v>1</v>
      </c>
      <c r="XP79">
        <v>1</v>
      </c>
      <c r="XQ79">
        <v>1</v>
      </c>
      <c r="XR79">
        <v>1</v>
      </c>
      <c r="XS79">
        <v>1</v>
      </c>
      <c r="XT79">
        <v>1</v>
      </c>
      <c r="XU79">
        <v>1</v>
      </c>
      <c r="XV79">
        <v>1</v>
      </c>
      <c r="XW79">
        <v>1</v>
      </c>
      <c r="XX79">
        <v>1</v>
      </c>
      <c r="XY79">
        <v>1</v>
      </c>
      <c r="XZ79">
        <v>1</v>
      </c>
      <c r="YA79">
        <v>1</v>
      </c>
      <c r="YB79">
        <v>1</v>
      </c>
      <c r="YC79">
        <v>1</v>
      </c>
      <c r="YD79">
        <v>1</v>
      </c>
      <c r="YE79">
        <v>1</v>
      </c>
      <c r="YF79">
        <v>1</v>
      </c>
      <c r="YG79">
        <v>1</v>
      </c>
      <c r="YH79">
        <v>1</v>
      </c>
      <c r="YI79">
        <v>1</v>
      </c>
      <c r="YJ79">
        <v>1</v>
      </c>
      <c r="YK79">
        <v>1</v>
      </c>
      <c r="YL79">
        <v>1</v>
      </c>
      <c r="YM79">
        <v>1</v>
      </c>
      <c r="YN79">
        <v>1</v>
      </c>
      <c r="YO79">
        <v>1</v>
      </c>
      <c r="YP79">
        <v>1</v>
      </c>
      <c r="YQ79">
        <v>1</v>
      </c>
      <c r="YR79">
        <v>1</v>
      </c>
      <c r="YS79">
        <v>1</v>
      </c>
      <c r="YT79">
        <v>1</v>
      </c>
      <c r="YU79">
        <v>1</v>
      </c>
      <c r="YV79">
        <v>1</v>
      </c>
      <c r="YW79">
        <v>1</v>
      </c>
      <c r="YX79">
        <v>1</v>
      </c>
      <c r="YY79">
        <v>1</v>
      </c>
      <c r="YZ79">
        <v>1</v>
      </c>
      <c r="ZA79">
        <v>1</v>
      </c>
      <c r="ZB79">
        <v>1</v>
      </c>
      <c r="ZC79">
        <v>1</v>
      </c>
      <c r="ZD79">
        <v>1</v>
      </c>
      <c r="ZE79">
        <v>1</v>
      </c>
      <c r="ZF79">
        <v>1</v>
      </c>
      <c r="ZG79">
        <v>1</v>
      </c>
      <c r="ZH79">
        <v>1</v>
      </c>
      <c r="ZI79">
        <v>1</v>
      </c>
      <c r="ZJ79">
        <v>1</v>
      </c>
      <c r="ZK79">
        <v>1</v>
      </c>
      <c r="ZL79">
        <v>1</v>
      </c>
      <c r="ZM79">
        <v>1</v>
      </c>
      <c r="ZN79">
        <v>1</v>
      </c>
      <c r="ZO79">
        <v>1</v>
      </c>
      <c r="ZP79">
        <v>1</v>
      </c>
      <c r="ZQ79">
        <v>1</v>
      </c>
      <c r="ZR79">
        <v>1</v>
      </c>
      <c r="ZS79">
        <v>1</v>
      </c>
      <c r="ZT79">
        <v>1</v>
      </c>
      <c r="ZU79">
        <v>1</v>
      </c>
      <c r="ZV79">
        <v>1</v>
      </c>
      <c r="ZW79">
        <v>1</v>
      </c>
      <c r="ZX79">
        <v>1</v>
      </c>
      <c r="ZY79">
        <v>1</v>
      </c>
      <c r="ZZ79">
        <v>1</v>
      </c>
      <c r="AAA79">
        <v>1</v>
      </c>
      <c r="AAB79">
        <v>1</v>
      </c>
      <c r="AAC79">
        <v>1</v>
      </c>
      <c r="AAD79">
        <v>1</v>
      </c>
      <c r="AAE79">
        <v>1</v>
      </c>
      <c r="AAF79">
        <v>1</v>
      </c>
      <c r="AAG79">
        <v>1</v>
      </c>
      <c r="AAH79">
        <v>1</v>
      </c>
      <c r="AAI79">
        <v>1</v>
      </c>
      <c r="AAJ79">
        <v>1</v>
      </c>
      <c r="AAK79">
        <v>1</v>
      </c>
      <c r="AAL79">
        <v>1</v>
      </c>
      <c r="AAM79">
        <v>1</v>
      </c>
      <c r="AAN79">
        <v>1</v>
      </c>
      <c r="AAO79">
        <v>1</v>
      </c>
      <c r="AAP79">
        <v>1</v>
      </c>
      <c r="AAQ79">
        <v>1</v>
      </c>
      <c r="AAR79">
        <v>1</v>
      </c>
      <c r="AAS79">
        <v>1</v>
      </c>
      <c r="AAT79">
        <v>1</v>
      </c>
      <c r="AAU79">
        <v>1</v>
      </c>
      <c r="AAV79">
        <v>0</v>
      </c>
      <c r="AAW79">
        <v>0</v>
      </c>
      <c r="AAX79">
        <v>0</v>
      </c>
      <c r="AAY79">
        <v>0</v>
      </c>
      <c r="AAZ79">
        <v>0</v>
      </c>
      <c r="ABA79">
        <v>0</v>
      </c>
      <c r="ABB79">
        <v>0</v>
      </c>
      <c r="ABC79">
        <v>0</v>
      </c>
      <c r="ABD79">
        <v>0</v>
      </c>
      <c r="ABE79">
        <v>0</v>
      </c>
      <c r="ABG79" s="1137">
        <f t="shared" si="19"/>
        <v>0</v>
      </c>
      <c r="ABH79" s="1137">
        <f t="shared" si="19"/>
        <v>0</v>
      </c>
      <c r="ABI79" s="1137">
        <f t="shared" si="19"/>
        <v>13</v>
      </c>
      <c r="ABJ79" s="1137">
        <f t="shared" si="19"/>
        <v>30</v>
      </c>
      <c r="ABK79" s="1137">
        <f t="shared" si="19"/>
        <v>31</v>
      </c>
      <c r="ABL79" s="1137">
        <f t="shared" si="19"/>
        <v>30</v>
      </c>
      <c r="ABM79" s="1137">
        <f t="shared" si="19"/>
        <v>19</v>
      </c>
      <c r="ABN79" s="1137">
        <f t="shared" si="19"/>
        <v>0</v>
      </c>
      <c r="ABO79" s="1137">
        <f t="shared" si="19"/>
        <v>0</v>
      </c>
      <c r="ABP79" s="1137">
        <f t="shared" si="19"/>
        <v>0</v>
      </c>
      <c r="ABQ79" s="1137">
        <f t="shared" si="19"/>
        <v>0</v>
      </c>
      <c r="ABR79" s="1137">
        <f t="shared" si="19"/>
        <v>0</v>
      </c>
      <c r="ABS79" s="1137">
        <f t="shared" si="19"/>
        <v>0</v>
      </c>
      <c r="ABT79" s="1137">
        <f t="shared" si="19"/>
        <v>0</v>
      </c>
      <c r="ABU79" s="1137">
        <f t="shared" si="19"/>
        <v>0</v>
      </c>
      <c r="ABV79" s="1137">
        <f t="shared" si="19"/>
        <v>0</v>
      </c>
      <c r="ABW79" s="1137">
        <f t="shared" si="17"/>
        <v>0</v>
      </c>
      <c r="ABX79" s="1137">
        <f t="shared" si="14"/>
        <v>0</v>
      </c>
      <c r="ABY79" s="1137">
        <f t="shared" si="14"/>
        <v>0</v>
      </c>
      <c r="ABZ79" s="1137">
        <f t="shared" si="14"/>
        <v>0</v>
      </c>
      <c r="ACA79" s="1137">
        <f t="shared" si="14"/>
        <v>30</v>
      </c>
      <c r="ACB79" s="1137">
        <f t="shared" si="14"/>
        <v>31</v>
      </c>
      <c r="ACC79" s="1137">
        <f t="shared" si="14"/>
        <v>30</v>
      </c>
      <c r="ACD79" s="1137">
        <f t="shared" si="14"/>
        <v>21</v>
      </c>
      <c r="ACE79" s="1137" t="s">
        <v>34</v>
      </c>
      <c r="ACF79" s="1137">
        <f t="shared" si="20"/>
        <v>0</v>
      </c>
      <c r="ACG79" s="1137">
        <f t="shared" si="20"/>
        <v>0</v>
      </c>
      <c r="ACH79" s="1137">
        <f t="shared" si="20"/>
        <v>1</v>
      </c>
      <c r="ACI79" s="1137">
        <f t="shared" si="20"/>
        <v>1</v>
      </c>
      <c r="ACJ79" s="1137">
        <f t="shared" si="20"/>
        <v>1</v>
      </c>
      <c r="ACK79" s="1137">
        <f t="shared" si="20"/>
        <v>1</v>
      </c>
      <c r="ACL79" s="1137">
        <f t="shared" si="20"/>
        <v>1</v>
      </c>
      <c r="ACM79" s="1137">
        <f t="shared" si="20"/>
        <v>0</v>
      </c>
      <c r="ACN79" s="1137">
        <f t="shared" si="20"/>
        <v>0</v>
      </c>
      <c r="ACO79" s="1137">
        <f t="shared" si="20"/>
        <v>0</v>
      </c>
      <c r="ACP79" s="1137">
        <f t="shared" si="20"/>
        <v>0</v>
      </c>
      <c r="ACQ79" s="1137">
        <f t="shared" si="20"/>
        <v>0</v>
      </c>
      <c r="ACR79" s="1137">
        <f t="shared" si="20"/>
        <v>0</v>
      </c>
      <c r="ACS79" s="1137">
        <f t="shared" si="20"/>
        <v>0</v>
      </c>
      <c r="ACT79" s="1137">
        <f t="shared" si="20"/>
        <v>0</v>
      </c>
      <c r="ACU79" s="1137">
        <f t="shared" si="12"/>
        <v>0</v>
      </c>
      <c r="ACV79" s="1137">
        <f t="shared" si="12"/>
        <v>0</v>
      </c>
      <c r="ACW79" s="1137">
        <f t="shared" si="12"/>
        <v>0</v>
      </c>
      <c r="ACX79" s="1137">
        <f t="shared" si="12"/>
        <v>0</v>
      </c>
      <c r="ACY79" s="1137">
        <f t="shared" si="12"/>
        <v>0</v>
      </c>
      <c r="ACZ79" s="1137">
        <f t="shared" si="12"/>
        <v>1</v>
      </c>
      <c r="ADA79" s="1137">
        <f t="shared" si="12"/>
        <v>1</v>
      </c>
      <c r="ADB79" s="1137">
        <f t="shared" si="16"/>
        <v>1</v>
      </c>
      <c r="ADC79" s="1137">
        <f t="shared" si="16"/>
        <v>1</v>
      </c>
    </row>
    <row r="80" spans="1:783" x14ac:dyDescent="0.25">
      <c r="A80" t="s">
        <v>1877</v>
      </c>
      <c r="B80" t="s">
        <v>195</v>
      </c>
      <c r="C80">
        <v>0</v>
      </c>
      <c r="D80">
        <v>0</v>
      </c>
      <c r="E80">
        <v>0</v>
      </c>
      <c r="F80">
        <v>0</v>
      </c>
      <c r="G80">
        <v>0</v>
      </c>
      <c r="H80">
        <v>0</v>
      </c>
      <c r="I80">
        <v>0</v>
      </c>
      <c r="J80">
        <v>0</v>
      </c>
      <c r="K80">
        <v>0</v>
      </c>
      <c r="L80">
        <v>0</v>
      </c>
      <c r="M80">
        <v>0</v>
      </c>
      <c r="N80">
        <v>0</v>
      </c>
      <c r="O80">
        <v>0</v>
      </c>
      <c r="P80">
        <v>0</v>
      </c>
      <c r="Q80">
        <v>0</v>
      </c>
      <c r="R80">
        <v>0</v>
      </c>
      <c r="S80">
        <v>0</v>
      </c>
      <c r="T80">
        <v>0</v>
      </c>
      <c r="U80">
        <v>0</v>
      </c>
      <c r="V80">
        <v>0</v>
      </c>
      <c r="W80">
        <v>0</v>
      </c>
      <c r="X80">
        <v>0</v>
      </c>
      <c r="Y80">
        <v>0</v>
      </c>
      <c r="Z80">
        <v>0</v>
      </c>
      <c r="AA80">
        <v>0</v>
      </c>
      <c r="AB80">
        <v>0</v>
      </c>
      <c r="AC80">
        <v>0</v>
      </c>
      <c r="AD80">
        <v>0</v>
      </c>
      <c r="AE80">
        <v>0</v>
      </c>
      <c r="AF80">
        <v>0</v>
      </c>
      <c r="AG80">
        <v>0</v>
      </c>
      <c r="AH80">
        <v>0</v>
      </c>
      <c r="AI80">
        <v>0</v>
      </c>
      <c r="AJ80">
        <v>0</v>
      </c>
      <c r="AK80">
        <v>0</v>
      </c>
      <c r="AL80">
        <v>0</v>
      </c>
      <c r="AM80">
        <v>0</v>
      </c>
      <c r="AN80">
        <v>0</v>
      </c>
      <c r="AO80">
        <v>0</v>
      </c>
      <c r="AP80">
        <v>0</v>
      </c>
      <c r="AQ80">
        <v>0</v>
      </c>
      <c r="AR80">
        <v>0</v>
      </c>
      <c r="AS80">
        <v>0</v>
      </c>
      <c r="AT80">
        <v>0</v>
      </c>
      <c r="AU80">
        <v>0</v>
      </c>
      <c r="AV80">
        <v>0</v>
      </c>
      <c r="AW80">
        <v>0</v>
      </c>
      <c r="AX80">
        <v>0</v>
      </c>
      <c r="AY80">
        <v>0</v>
      </c>
      <c r="AZ80">
        <v>0</v>
      </c>
      <c r="BA80">
        <v>0</v>
      </c>
      <c r="BB80">
        <v>0</v>
      </c>
      <c r="BC80">
        <v>0</v>
      </c>
      <c r="BD80">
        <v>0</v>
      </c>
      <c r="BE80">
        <v>0</v>
      </c>
      <c r="BF80">
        <v>0</v>
      </c>
      <c r="BG80">
        <v>0</v>
      </c>
      <c r="BH80">
        <v>0</v>
      </c>
      <c r="BI80">
        <v>0</v>
      </c>
      <c r="BJ80">
        <v>0</v>
      </c>
      <c r="BK80">
        <v>0</v>
      </c>
      <c r="BL80">
        <v>0</v>
      </c>
      <c r="BM80">
        <v>0</v>
      </c>
      <c r="BN80">
        <v>0</v>
      </c>
      <c r="BO80">
        <v>0</v>
      </c>
      <c r="BP80">
        <v>0</v>
      </c>
      <c r="BQ80">
        <v>0</v>
      </c>
      <c r="BR80">
        <v>0</v>
      </c>
      <c r="BS80">
        <v>0</v>
      </c>
      <c r="BT80">
        <v>0</v>
      </c>
      <c r="BU80">
        <v>1</v>
      </c>
      <c r="BV80">
        <v>1</v>
      </c>
      <c r="BW80">
        <v>1</v>
      </c>
      <c r="BX80">
        <v>1</v>
      </c>
      <c r="BY80">
        <v>1</v>
      </c>
      <c r="BZ80">
        <v>1</v>
      </c>
      <c r="CA80">
        <v>1</v>
      </c>
      <c r="CB80">
        <v>1</v>
      </c>
      <c r="CC80">
        <v>1</v>
      </c>
      <c r="CD80">
        <v>1</v>
      </c>
      <c r="CE80">
        <v>1</v>
      </c>
      <c r="CF80">
        <v>1</v>
      </c>
      <c r="CG80">
        <v>1</v>
      </c>
      <c r="CH80">
        <v>1</v>
      </c>
      <c r="CI80">
        <v>1</v>
      </c>
      <c r="CJ80">
        <v>1</v>
      </c>
      <c r="CK80">
        <v>1</v>
      </c>
      <c r="CL80">
        <v>2</v>
      </c>
      <c r="CM80">
        <v>2</v>
      </c>
      <c r="CN80">
        <v>2</v>
      </c>
      <c r="CO80">
        <v>2</v>
      </c>
      <c r="CP80">
        <v>2</v>
      </c>
      <c r="CQ80">
        <v>2</v>
      </c>
      <c r="CR80">
        <v>2</v>
      </c>
      <c r="CS80">
        <v>2</v>
      </c>
      <c r="CT80">
        <v>2</v>
      </c>
      <c r="CU80">
        <v>2</v>
      </c>
      <c r="CV80">
        <v>2</v>
      </c>
      <c r="CW80">
        <v>2</v>
      </c>
      <c r="CX80">
        <v>2</v>
      </c>
      <c r="CY80">
        <v>2</v>
      </c>
      <c r="CZ80">
        <v>2</v>
      </c>
      <c r="DA80">
        <v>2</v>
      </c>
      <c r="DB80">
        <v>2</v>
      </c>
      <c r="DC80">
        <v>2</v>
      </c>
      <c r="DD80">
        <v>2</v>
      </c>
      <c r="DE80">
        <v>2</v>
      </c>
      <c r="DF80">
        <v>2</v>
      </c>
      <c r="DG80">
        <v>2</v>
      </c>
      <c r="DH80">
        <v>2</v>
      </c>
      <c r="DI80">
        <v>2</v>
      </c>
      <c r="DJ80">
        <v>2</v>
      </c>
      <c r="DK80">
        <v>2</v>
      </c>
      <c r="DL80">
        <v>2</v>
      </c>
      <c r="DM80">
        <v>2</v>
      </c>
      <c r="DN80">
        <v>2</v>
      </c>
      <c r="DO80">
        <v>2</v>
      </c>
      <c r="DP80">
        <v>2</v>
      </c>
      <c r="DQ80">
        <v>2</v>
      </c>
      <c r="DR80">
        <v>2</v>
      </c>
      <c r="DS80">
        <v>2</v>
      </c>
      <c r="DT80">
        <v>2</v>
      </c>
      <c r="DU80">
        <v>2</v>
      </c>
      <c r="DV80">
        <v>2</v>
      </c>
      <c r="DW80">
        <v>1</v>
      </c>
      <c r="DX80">
        <v>1</v>
      </c>
      <c r="DY80">
        <v>1</v>
      </c>
      <c r="DZ80">
        <v>1</v>
      </c>
      <c r="EA80">
        <v>1</v>
      </c>
      <c r="EB80">
        <v>1</v>
      </c>
      <c r="EC80">
        <v>1</v>
      </c>
      <c r="ED80">
        <v>1</v>
      </c>
      <c r="EE80">
        <v>1</v>
      </c>
      <c r="EF80">
        <v>1</v>
      </c>
      <c r="EG80">
        <v>1</v>
      </c>
      <c r="EH80">
        <v>1</v>
      </c>
      <c r="EI80">
        <v>1</v>
      </c>
      <c r="EJ80">
        <v>1</v>
      </c>
      <c r="EK80">
        <v>1</v>
      </c>
      <c r="EL80">
        <v>1</v>
      </c>
      <c r="EM80">
        <v>1</v>
      </c>
      <c r="EN80">
        <v>1</v>
      </c>
      <c r="EO80">
        <v>1</v>
      </c>
      <c r="EP80">
        <v>1</v>
      </c>
      <c r="EQ80">
        <v>1</v>
      </c>
      <c r="ER80">
        <v>1</v>
      </c>
      <c r="ES80">
        <v>1</v>
      </c>
      <c r="ET80">
        <v>1</v>
      </c>
      <c r="EU80">
        <v>1</v>
      </c>
      <c r="EV80">
        <v>1</v>
      </c>
      <c r="EW80">
        <v>1</v>
      </c>
      <c r="EX80">
        <v>1</v>
      </c>
      <c r="EY80">
        <v>1</v>
      </c>
      <c r="EZ80">
        <v>1</v>
      </c>
      <c r="FA80">
        <v>1</v>
      </c>
      <c r="FB80">
        <v>1</v>
      </c>
      <c r="FC80">
        <v>1</v>
      </c>
      <c r="FD80">
        <v>1</v>
      </c>
      <c r="FE80">
        <v>1</v>
      </c>
      <c r="FF80">
        <v>1</v>
      </c>
      <c r="FG80">
        <v>1</v>
      </c>
      <c r="FH80">
        <v>1</v>
      </c>
      <c r="FI80">
        <v>1</v>
      </c>
      <c r="FJ80">
        <v>1</v>
      </c>
      <c r="FK80">
        <v>1</v>
      </c>
      <c r="FL80">
        <v>1</v>
      </c>
      <c r="FM80">
        <v>1</v>
      </c>
      <c r="FN80">
        <v>1</v>
      </c>
      <c r="FO80">
        <v>1</v>
      </c>
      <c r="FP80">
        <v>1</v>
      </c>
      <c r="FQ80">
        <v>1</v>
      </c>
      <c r="FR80">
        <v>1</v>
      </c>
      <c r="FS80">
        <v>1</v>
      </c>
      <c r="FT80">
        <v>1</v>
      </c>
      <c r="FU80">
        <v>1</v>
      </c>
      <c r="FV80">
        <v>1</v>
      </c>
      <c r="FW80">
        <v>1</v>
      </c>
      <c r="FX80">
        <v>1</v>
      </c>
      <c r="FY80">
        <v>1</v>
      </c>
      <c r="FZ80">
        <v>1</v>
      </c>
      <c r="GA80">
        <v>1</v>
      </c>
      <c r="GB80">
        <v>1</v>
      </c>
      <c r="GC80">
        <v>1</v>
      </c>
      <c r="GD80">
        <v>1</v>
      </c>
      <c r="GE80">
        <v>1</v>
      </c>
      <c r="GF80">
        <v>1</v>
      </c>
      <c r="GG80">
        <v>1</v>
      </c>
      <c r="GH80">
        <v>1</v>
      </c>
      <c r="GI80">
        <v>1</v>
      </c>
      <c r="GJ80">
        <v>1</v>
      </c>
      <c r="GK80">
        <v>1</v>
      </c>
      <c r="GL80">
        <v>1</v>
      </c>
      <c r="GM80">
        <v>1</v>
      </c>
      <c r="GN80">
        <v>1</v>
      </c>
      <c r="GO80">
        <v>1</v>
      </c>
      <c r="GP80">
        <v>1</v>
      </c>
      <c r="GQ80">
        <v>1</v>
      </c>
      <c r="GR80">
        <v>1</v>
      </c>
      <c r="GS80">
        <v>1</v>
      </c>
      <c r="GT80">
        <v>1</v>
      </c>
      <c r="GU80">
        <v>1</v>
      </c>
      <c r="GV80">
        <v>1</v>
      </c>
      <c r="GW80">
        <v>1</v>
      </c>
      <c r="GX80">
        <v>1</v>
      </c>
      <c r="GY80">
        <v>1</v>
      </c>
      <c r="GZ80">
        <v>1</v>
      </c>
      <c r="HA80">
        <v>1</v>
      </c>
      <c r="HB80">
        <v>1</v>
      </c>
      <c r="HC80">
        <v>1</v>
      </c>
      <c r="HD80">
        <v>1</v>
      </c>
      <c r="HE80">
        <v>1</v>
      </c>
      <c r="HF80">
        <v>1</v>
      </c>
      <c r="HG80">
        <v>1</v>
      </c>
      <c r="HH80">
        <v>1</v>
      </c>
      <c r="HI80">
        <v>1</v>
      </c>
      <c r="HJ80">
        <v>1</v>
      </c>
      <c r="HK80">
        <v>1</v>
      </c>
      <c r="HL80">
        <v>1</v>
      </c>
      <c r="HM80">
        <v>1</v>
      </c>
      <c r="HN80">
        <v>1</v>
      </c>
      <c r="HO80">
        <v>1</v>
      </c>
      <c r="HP80">
        <v>1</v>
      </c>
      <c r="HQ80">
        <v>1</v>
      </c>
      <c r="HR80">
        <v>1</v>
      </c>
      <c r="HS80">
        <v>1</v>
      </c>
      <c r="HT80">
        <v>1</v>
      </c>
      <c r="HU80">
        <v>1</v>
      </c>
      <c r="HV80">
        <v>1</v>
      </c>
      <c r="HW80">
        <v>1</v>
      </c>
      <c r="HX80">
        <v>1</v>
      </c>
      <c r="HY80">
        <v>1</v>
      </c>
      <c r="HZ80">
        <v>1</v>
      </c>
      <c r="IA80">
        <v>1</v>
      </c>
      <c r="IB80">
        <v>1</v>
      </c>
      <c r="IC80">
        <v>1</v>
      </c>
      <c r="ID80">
        <v>1</v>
      </c>
      <c r="IE80">
        <v>1</v>
      </c>
      <c r="IF80">
        <v>1</v>
      </c>
      <c r="IG80">
        <v>1</v>
      </c>
      <c r="IH80">
        <v>1</v>
      </c>
      <c r="II80">
        <v>1</v>
      </c>
      <c r="IJ80">
        <v>1</v>
      </c>
      <c r="IK80">
        <v>1</v>
      </c>
      <c r="IL80">
        <v>1</v>
      </c>
      <c r="IM80">
        <v>1</v>
      </c>
      <c r="IN80">
        <v>1</v>
      </c>
      <c r="IO80">
        <v>1</v>
      </c>
      <c r="IP80">
        <v>1</v>
      </c>
      <c r="IQ80">
        <v>1</v>
      </c>
      <c r="IR80">
        <v>1</v>
      </c>
      <c r="IS80">
        <v>1</v>
      </c>
      <c r="IT80">
        <v>1</v>
      </c>
      <c r="IU80">
        <v>1</v>
      </c>
      <c r="IV80">
        <v>1</v>
      </c>
      <c r="IW80">
        <v>0</v>
      </c>
      <c r="IX80">
        <v>0</v>
      </c>
      <c r="IY80">
        <v>0</v>
      </c>
      <c r="IZ80">
        <v>0</v>
      </c>
      <c r="JA80">
        <v>0</v>
      </c>
      <c r="JB80">
        <v>0</v>
      </c>
      <c r="JC80">
        <v>0</v>
      </c>
      <c r="JD80">
        <v>0</v>
      </c>
      <c r="JE80">
        <v>0</v>
      </c>
      <c r="JF80">
        <v>0</v>
      </c>
      <c r="JG80">
        <v>0</v>
      </c>
      <c r="JH80">
        <v>0</v>
      </c>
      <c r="JI80">
        <v>0</v>
      </c>
      <c r="JJ80">
        <v>0</v>
      </c>
      <c r="JK80">
        <v>0</v>
      </c>
      <c r="JL80">
        <v>0</v>
      </c>
      <c r="JM80">
        <v>0</v>
      </c>
      <c r="JN80">
        <v>0</v>
      </c>
      <c r="JO80">
        <v>0</v>
      </c>
      <c r="JP80">
        <v>0</v>
      </c>
      <c r="JQ80">
        <v>0</v>
      </c>
      <c r="JR80">
        <v>0</v>
      </c>
      <c r="JS80">
        <v>0</v>
      </c>
      <c r="JT80">
        <v>0</v>
      </c>
      <c r="JU80">
        <v>0</v>
      </c>
      <c r="JV80">
        <v>0</v>
      </c>
      <c r="JW80">
        <v>0</v>
      </c>
      <c r="JX80">
        <v>0</v>
      </c>
      <c r="JY80">
        <v>0</v>
      </c>
      <c r="JZ80">
        <v>0</v>
      </c>
      <c r="KA80">
        <v>0</v>
      </c>
      <c r="KB80">
        <v>0</v>
      </c>
      <c r="KC80">
        <v>0</v>
      </c>
      <c r="KD80">
        <v>0</v>
      </c>
      <c r="KE80">
        <v>0</v>
      </c>
      <c r="KF80">
        <v>0</v>
      </c>
      <c r="KG80">
        <v>0</v>
      </c>
      <c r="KH80">
        <v>0</v>
      </c>
      <c r="KI80">
        <v>0</v>
      </c>
      <c r="KJ80">
        <v>0</v>
      </c>
      <c r="KK80">
        <v>0</v>
      </c>
      <c r="KL80">
        <v>0</v>
      </c>
      <c r="KM80">
        <v>0</v>
      </c>
      <c r="KN80">
        <v>0</v>
      </c>
      <c r="KO80">
        <v>0</v>
      </c>
      <c r="KP80">
        <v>0</v>
      </c>
      <c r="KQ80">
        <v>0</v>
      </c>
      <c r="KR80">
        <v>0</v>
      </c>
      <c r="KS80">
        <v>0</v>
      </c>
      <c r="KT80">
        <v>0</v>
      </c>
      <c r="KU80">
        <v>0</v>
      </c>
      <c r="KV80">
        <v>0</v>
      </c>
      <c r="KW80">
        <v>0</v>
      </c>
      <c r="KX80">
        <v>0</v>
      </c>
      <c r="KY80">
        <v>0</v>
      </c>
      <c r="KZ80">
        <v>0</v>
      </c>
      <c r="LA80">
        <v>0</v>
      </c>
      <c r="LB80">
        <v>0</v>
      </c>
      <c r="LC80">
        <v>0</v>
      </c>
      <c r="LD80">
        <v>0</v>
      </c>
      <c r="LE80">
        <v>0</v>
      </c>
      <c r="LF80">
        <v>0</v>
      </c>
      <c r="LG80">
        <v>0</v>
      </c>
      <c r="LH80">
        <v>0</v>
      </c>
      <c r="LI80">
        <v>0</v>
      </c>
      <c r="LJ80">
        <v>0</v>
      </c>
      <c r="LK80">
        <v>0</v>
      </c>
      <c r="LL80">
        <v>0</v>
      </c>
      <c r="LM80">
        <v>0</v>
      </c>
      <c r="LN80">
        <v>0</v>
      </c>
      <c r="LO80">
        <v>0</v>
      </c>
      <c r="LP80">
        <v>0</v>
      </c>
      <c r="LQ80">
        <v>0</v>
      </c>
      <c r="LR80">
        <v>0</v>
      </c>
      <c r="LS80">
        <v>0</v>
      </c>
      <c r="LT80">
        <v>0</v>
      </c>
      <c r="LU80">
        <v>0</v>
      </c>
      <c r="LV80">
        <v>0</v>
      </c>
      <c r="LW80">
        <v>0</v>
      </c>
      <c r="LX80">
        <v>0</v>
      </c>
      <c r="LY80">
        <v>0</v>
      </c>
      <c r="LZ80">
        <v>0</v>
      </c>
      <c r="MA80">
        <v>0</v>
      </c>
      <c r="MB80">
        <v>0</v>
      </c>
      <c r="MC80">
        <v>0</v>
      </c>
      <c r="MD80">
        <v>0</v>
      </c>
      <c r="ME80">
        <v>0</v>
      </c>
      <c r="MF80">
        <v>0</v>
      </c>
      <c r="MG80">
        <v>0</v>
      </c>
      <c r="MH80">
        <v>0</v>
      </c>
      <c r="MI80">
        <v>0</v>
      </c>
      <c r="MJ80">
        <v>0</v>
      </c>
      <c r="MK80">
        <v>0</v>
      </c>
      <c r="ML80">
        <v>0</v>
      </c>
      <c r="MM80">
        <v>0</v>
      </c>
      <c r="MN80">
        <v>0</v>
      </c>
      <c r="MO80">
        <v>0</v>
      </c>
      <c r="MP80">
        <v>0</v>
      </c>
      <c r="MQ80">
        <v>0</v>
      </c>
      <c r="MR80">
        <v>0</v>
      </c>
      <c r="MS80">
        <v>0</v>
      </c>
      <c r="MT80">
        <v>0</v>
      </c>
      <c r="MU80">
        <v>0</v>
      </c>
      <c r="MV80">
        <v>0</v>
      </c>
      <c r="MW80">
        <v>0</v>
      </c>
      <c r="MX80">
        <v>0</v>
      </c>
      <c r="MY80">
        <v>0</v>
      </c>
      <c r="MZ80">
        <v>0</v>
      </c>
      <c r="NA80">
        <v>0</v>
      </c>
      <c r="NB80">
        <v>0</v>
      </c>
      <c r="NC80">
        <v>0</v>
      </c>
      <c r="ND80">
        <v>0</v>
      </c>
      <c r="NE80">
        <v>0</v>
      </c>
      <c r="NF80">
        <v>0</v>
      </c>
      <c r="NG80">
        <v>0</v>
      </c>
      <c r="NH80">
        <v>0</v>
      </c>
      <c r="NI80">
        <v>0</v>
      </c>
      <c r="NJ80">
        <v>0</v>
      </c>
      <c r="NK80">
        <v>0</v>
      </c>
      <c r="NL80">
        <v>0</v>
      </c>
      <c r="NM80">
        <v>0</v>
      </c>
      <c r="NN80">
        <v>0</v>
      </c>
      <c r="NO80">
        <v>0</v>
      </c>
      <c r="NP80">
        <v>0</v>
      </c>
      <c r="NQ80">
        <v>0</v>
      </c>
      <c r="NR80">
        <v>0</v>
      </c>
      <c r="NS80">
        <v>0</v>
      </c>
      <c r="NT80">
        <v>0</v>
      </c>
      <c r="NU80">
        <v>0</v>
      </c>
      <c r="NV80">
        <v>0</v>
      </c>
      <c r="NW80">
        <v>0</v>
      </c>
      <c r="NX80">
        <v>0</v>
      </c>
      <c r="NY80">
        <v>0</v>
      </c>
      <c r="NZ80">
        <v>0</v>
      </c>
      <c r="OA80">
        <v>0</v>
      </c>
      <c r="OB80">
        <v>0</v>
      </c>
      <c r="OC80">
        <v>0</v>
      </c>
      <c r="OD80">
        <v>0</v>
      </c>
      <c r="OE80">
        <v>0</v>
      </c>
      <c r="OF80">
        <v>0</v>
      </c>
      <c r="OG80">
        <v>0</v>
      </c>
      <c r="OH80">
        <v>0</v>
      </c>
      <c r="OI80">
        <v>0</v>
      </c>
      <c r="OJ80">
        <v>0</v>
      </c>
      <c r="OK80">
        <v>0</v>
      </c>
      <c r="OL80">
        <v>0</v>
      </c>
      <c r="OM80">
        <v>0</v>
      </c>
      <c r="ON80">
        <v>0</v>
      </c>
      <c r="OO80">
        <v>0</v>
      </c>
      <c r="OP80">
        <v>0</v>
      </c>
      <c r="OQ80">
        <v>0</v>
      </c>
      <c r="OR80">
        <v>0</v>
      </c>
      <c r="OS80">
        <v>0</v>
      </c>
      <c r="OT80">
        <v>0</v>
      </c>
      <c r="OU80">
        <v>0</v>
      </c>
      <c r="OV80">
        <v>0</v>
      </c>
      <c r="OW80">
        <v>0</v>
      </c>
      <c r="OX80">
        <v>0</v>
      </c>
      <c r="OY80">
        <v>0</v>
      </c>
      <c r="OZ80">
        <v>0</v>
      </c>
      <c r="PA80">
        <v>0</v>
      </c>
      <c r="PB80">
        <v>0</v>
      </c>
      <c r="PC80">
        <v>0</v>
      </c>
      <c r="PD80">
        <v>0</v>
      </c>
      <c r="PE80">
        <v>0</v>
      </c>
      <c r="PF80">
        <v>0</v>
      </c>
      <c r="PG80">
        <v>0</v>
      </c>
      <c r="PH80">
        <v>0</v>
      </c>
      <c r="PI80">
        <v>0</v>
      </c>
      <c r="PJ80">
        <v>0</v>
      </c>
      <c r="PK80">
        <v>0</v>
      </c>
      <c r="PL80">
        <v>0</v>
      </c>
      <c r="PM80">
        <v>0</v>
      </c>
      <c r="PN80">
        <v>0</v>
      </c>
      <c r="PO80">
        <v>0</v>
      </c>
      <c r="PP80">
        <v>0</v>
      </c>
      <c r="PQ80">
        <v>0</v>
      </c>
      <c r="PR80">
        <v>0</v>
      </c>
      <c r="PS80">
        <v>0</v>
      </c>
      <c r="PT80">
        <v>0</v>
      </c>
      <c r="PU80">
        <v>0</v>
      </c>
      <c r="PV80">
        <v>0</v>
      </c>
      <c r="PW80">
        <v>0</v>
      </c>
      <c r="PX80">
        <v>0</v>
      </c>
      <c r="PY80">
        <v>0</v>
      </c>
      <c r="PZ80">
        <v>0</v>
      </c>
      <c r="QA80">
        <v>0</v>
      </c>
      <c r="QB80">
        <v>0</v>
      </c>
      <c r="QC80">
        <v>0</v>
      </c>
      <c r="QD80">
        <v>0</v>
      </c>
      <c r="QE80">
        <v>0</v>
      </c>
      <c r="QF80">
        <v>0</v>
      </c>
      <c r="QG80">
        <v>0</v>
      </c>
      <c r="QH80">
        <v>0</v>
      </c>
      <c r="QI80">
        <v>0</v>
      </c>
      <c r="QJ80">
        <v>0</v>
      </c>
      <c r="QK80">
        <v>0</v>
      </c>
      <c r="QL80">
        <v>0</v>
      </c>
      <c r="QM80">
        <v>0</v>
      </c>
      <c r="QN80">
        <v>0</v>
      </c>
      <c r="QO80">
        <v>0</v>
      </c>
      <c r="QP80">
        <v>0</v>
      </c>
      <c r="QQ80">
        <v>0</v>
      </c>
      <c r="QR80">
        <v>0</v>
      </c>
      <c r="QS80">
        <v>0</v>
      </c>
      <c r="QT80">
        <v>0</v>
      </c>
      <c r="QU80">
        <v>0</v>
      </c>
      <c r="QV80">
        <v>0</v>
      </c>
      <c r="QW80">
        <v>0</v>
      </c>
      <c r="QX80">
        <v>0</v>
      </c>
      <c r="QY80">
        <v>0</v>
      </c>
      <c r="QZ80">
        <v>0</v>
      </c>
      <c r="RA80">
        <v>0</v>
      </c>
      <c r="RB80">
        <v>0</v>
      </c>
      <c r="RC80">
        <v>0</v>
      </c>
      <c r="RD80">
        <v>0</v>
      </c>
      <c r="RE80">
        <v>0</v>
      </c>
      <c r="RF80">
        <v>0</v>
      </c>
      <c r="RG80">
        <v>0</v>
      </c>
      <c r="RH80">
        <v>0</v>
      </c>
      <c r="RI80">
        <v>0</v>
      </c>
      <c r="RJ80">
        <v>0</v>
      </c>
      <c r="RK80">
        <v>0</v>
      </c>
      <c r="RL80">
        <v>0</v>
      </c>
      <c r="RM80">
        <v>0</v>
      </c>
      <c r="RN80">
        <v>0</v>
      </c>
      <c r="RO80">
        <v>0</v>
      </c>
      <c r="RP80">
        <v>0</v>
      </c>
      <c r="RQ80">
        <v>0</v>
      </c>
      <c r="RR80">
        <v>0</v>
      </c>
      <c r="RS80">
        <v>0</v>
      </c>
      <c r="RT80">
        <v>0</v>
      </c>
      <c r="RU80">
        <v>0</v>
      </c>
      <c r="RV80">
        <v>0</v>
      </c>
      <c r="RW80">
        <v>0</v>
      </c>
      <c r="RX80">
        <v>0</v>
      </c>
      <c r="RY80">
        <v>0</v>
      </c>
      <c r="RZ80">
        <v>0</v>
      </c>
      <c r="SA80">
        <v>0</v>
      </c>
      <c r="SB80">
        <v>0</v>
      </c>
      <c r="SC80">
        <v>0</v>
      </c>
      <c r="SD80">
        <v>0</v>
      </c>
      <c r="SE80">
        <v>0</v>
      </c>
      <c r="SF80">
        <v>0</v>
      </c>
      <c r="SG80">
        <v>0</v>
      </c>
      <c r="SH80">
        <v>0</v>
      </c>
      <c r="SI80">
        <v>0</v>
      </c>
      <c r="SJ80">
        <v>0</v>
      </c>
      <c r="SK80">
        <v>0</v>
      </c>
      <c r="SL80">
        <v>0</v>
      </c>
      <c r="SM80">
        <v>0</v>
      </c>
      <c r="SN80">
        <v>0</v>
      </c>
      <c r="SO80">
        <v>0</v>
      </c>
      <c r="SP80">
        <v>0</v>
      </c>
      <c r="SQ80">
        <v>0</v>
      </c>
      <c r="SR80">
        <v>0</v>
      </c>
      <c r="SS80">
        <v>0</v>
      </c>
      <c r="ST80">
        <v>0</v>
      </c>
      <c r="SU80">
        <v>0</v>
      </c>
      <c r="SV80">
        <v>0</v>
      </c>
      <c r="SW80">
        <v>0</v>
      </c>
      <c r="SX80">
        <v>0</v>
      </c>
      <c r="SY80">
        <v>0</v>
      </c>
      <c r="SZ80">
        <v>0</v>
      </c>
      <c r="TA80">
        <v>0</v>
      </c>
      <c r="TB80">
        <v>0</v>
      </c>
      <c r="TC80">
        <v>0</v>
      </c>
      <c r="TD80">
        <v>0</v>
      </c>
      <c r="TE80">
        <v>0</v>
      </c>
      <c r="TF80">
        <v>0</v>
      </c>
      <c r="TG80">
        <v>0</v>
      </c>
      <c r="TH80">
        <v>0</v>
      </c>
      <c r="TI80">
        <v>0</v>
      </c>
      <c r="TJ80">
        <v>0</v>
      </c>
      <c r="TK80">
        <v>0</v>
      </c>
      <c r="TL80">
        <v>0</v>
      </c>
      <c r="TM80">
        <v>0</v>
      </c>
      <c r="TN80">
        <v>0</v>
      </c>
      <c r="TO80">
        <v>0</v>
      </c>
      <c r="TP80">
        <v>0</v>
      </c>
      <c r="TQ80">
        <v>0</v>
      </c>
      <c r="TR80">
        <v>0</v>
      </c>
      <c r="TS80">
        <v>0</v>
      </c>
      <c r="TT80">
        <v>0</v>
      </c>
      <c r="TU80">
        <v>0</v>
      </c>
      <c r="TV80">
        <v>0</v>
      </c>
      <c r="TW80">
        <v>0</v>
      </c>
      <c r="TX80">
        <v>0</v>
      </c>
      <c r="TY80">
        <v>0</v>
      </c>
      <c r="TZ80">
        <v>0</v>
      </c>
      <c r="UA80">
        <v>0</v>
      </c>
      <c r="UB80">
        <v>0</v>
      </c>
      <c r="UC80">
        <v>0</v>
      </c>
      <c r="UD80">
        <v>0</v>
      </c>
      <c r="UE80">
        <v>0</v>
      </c>
      <c r="UF80">
        <v>0</v>
      </c>
      <c r="UG80">
        <v>0</v>
      </c>
      <c r="UH80">
        <v>0</v>
      </c>
      <c r="UI80">
        <v>0</v>
      </c>
      <c r="UJ80">
        <v>0</v>
      </c>
      <c r="UK80">
        <v>0</v>
      </c>
      <c r="UL80">
        <v>0</v>
      </c>
      <c r="UM80">
        <v>0</v>
      </c>
      <c r="UN80">
        <v>0</v>
      </c>
      <c r="UO80">
        <v>0</v>
      </c>
      <c r="UP80">
        <v>0</v>
      </c>
      <c r="UQ80">
        <v>0</v>
      </c>
      <c r="UR80">
        <v>0</v>
      </c>
      <c r="US80">
        <v>0</v>
      </c>
      <c r="UT80">
        <v>0</v>
      </c>
      <c r="UU80">
        <v>0</v>
      </c>
      <c r="UV80">
        <v>0</v>
      </c>
      <c r="UW80">
        <v>0</v>
      </c>
      <c r="UX80">
        <v>0</v>
      </c>
      <c r="UY80">
        <v>0</v>
      </c>
      <c r="UZ80">
        <v>0</v>
      </c>
      <c r="VA80">
        <v>0</v>
      </c>
      <c r="VB80">
        <v>0</v>
      </c>
      <c r="VC80">
        <v>0</v>
      </c>
      <c r="VD80">
        <v>0</v>
      </c>
      <c r="VE80">
        <v>0</v>
      </c>
      <c r="VF80">
        <v>0</v>
      </c>
      <c r="VG80">
        <v>0</v>
      </c>
      <c r="VH80">
        <v>0</v>
      </c>
      <c r="VI80">
        <v>0</v>
      </c>
      <c r="VJ80">
        <v>0</v>
      </c>
      <c r="VK80">
        <v>0</v>
      </c>
      <c r="VL80">
        <v>0</v>
      </c>
      <c r="VM80">
        <v>0</v>
      </c>
      <c r="VN80">
        <v>0</v>
      </c>
      <c r="VO80">
        <v>0</v>
      </c>
      <c r="VP80">
        <v>0</v>
      </c>
      <c r="VQ80">
        <v>0</v>
      </c>
      <c r="VR80">
        <v>0</v>
      </c>
      <c r="VS80">
        <v>0</v>
      </c>
      <c r="VT80">
        <v>0</v>
      </c>
      <c r="VU80">
        <v>0</v>
      </c>
      <c r="VV80">
        <v>0</v>
      </c>
      <c r="VW80">
        <v>0</v>
      </c>
      <c r="VX80">
        <v>0</v>
      </c>
      <c r="VY80">
        <v>0</v>
      </c>
      <c r="VZ80">
        <v>0</v>
      </c>
      <c r="WA80">
        <v>0</v>
      </c>
      <c r="WB80">
        <v>0</v>
      </c>
      <c r="WC80">
        <v>0</v>
      </c>
      <c r="WD80">
        <v>0</v>
      </c>
      <c r="WE80">
        <v>0</v>
      </c>
      <c r="WF80">
        <v>0</v>
      </c>
      <c r="WG80">
        <v>0</v>
      </c>
      <c r="WH80">
        <v>0</v>
      </c>
      <c r="WI80">
        <v>0</v>
      </c>
      <c r="WJ80">
        <v>0</v>
      </c>
      <c r="WK80">
        <v>0</v>
      </c>
      <c r="WL80">
        <v>0</v>
      </c>
      <c r="WM80">
        <v>0</v>
      </c>
      <c r="WN80">
        <v>0</v>
      </c>
      <c r="WO80">
        <v>0</v>
      </c>
      <c r="WP80">
        <v>0</v>
      </c>
      <c r="WQ80">
        <v>0</v>
      </c>
      <c r="WR80">
        <v>0</v>
      </c>
      <c r="WS80">
        <v>0</v>
      </c>
      <c r="WT80">
        <v>0</v>
      </c>
      <c r="WU80">
        <v>0</v>
      </c>
      <c r="WV80">
        <v>0</v>
      </c>
      <c r="WW80">
        <v>0</v>
      </c>
      <c r="WX80">
        <v>0</v>
      </c>
      <c r="WY80">
        <v>0</v>
      </c>
      <c r="WZ80">
        <v>0</v>
      </c>
      <c r="XA80">
        <v>0</v>
      </c>
      <c r="XB80">
        <v>0</v>
      </c>
      <c r="XC80">
        <v>0</v>
      </c>
      <c r="XD80">
        <v>0</v>
      </c>
      <c r="XE80">
        <v>0</v>
      </c>
      <c r="XF80">
        <v>0</v>
      </c>
      <c r="XG80">
        <v>0</v>
      </c>
      <c r="XH80">
        <v>0</v>
      </c>
      <c r="XI80">
        <v>0</v>
      </c>
      <c r="XJ80">
        <v>0</v>
      </c>
      <c r="XK80">
        <v>0</v>
      </c>
      <c r="XL80">
        <v>0</v>
      </c>
      <c r="XM80">
        <v>0</v>
      </c>
      <c r="XN80">
        <v>0</v>
      </c>
      <c r="XO80">
        <v>0</v>
      </c>
      <c r="XP80">
        <v>0</v>
      </c>
      <c r="XQ80">
        <v>0</v>
      </c>
      <c r="XR80">
        <v>0</v>
      </c>
      <c r="XS80">
        <v>0</v>
      </c>
      <c r="XT80">
        <v>0</v>
      </c>
      <c r="XU80">
        <v>0</v>
      </c>
      <c r="XV80">
        <v>0</v>
      </c>
      <c r="XW80">
        <v>0</v>
      </c>
      <c r="XX80">
        <v>0</v>
      </c>
      <c r="XY80">
        <v>0</v>
      </c>
      <c r="XZ80">
        <v>0</v>
      </c>
      <c r="YA80">
        <v>0</v>
      </c>
      <c r="YB80">
        <v>0</v>
      </c>
      <c r="YC80">
        <v>0</v>
      </c>
      <c r="YD80">
        <v>0</v>
      </c>
      <c r="YE80">
        <v>0</v>
      </c>
      <c r="YF80">
        <v>0</v>
      </c>
      <c r="YG80">
        <v>0</v>
      </c>
      <c r="YH80">
        <v>0</v>
      </c>
      <c r="YI80">
        <v>0</v>
      </c>
      <c r="YJ80">
        <v>0</v>
      </c>
      <c r="YK80">
        <v>0</v>
      </c>
      <c r="YL80">
        <v>0</v>
      </c>
      <c r="YM80">
        <v>0</v>
      </c>
      <c r="YN80">
        <v>0</v>
      </c>
      <c r="YO80">
        <v>0</v>
      </c>
      <c r="YP80">
        <v>0</v>
      </c>
      <c r="YQ80">
        <v>0</v>
      </c>
      <c r="YR80">
        <v>0</v>
      </c>
      <c r="YS80">
        <v>0</v>
      </c>
      <c r="YT80">
        <v>0</v>
      </c>
      <c r="YU80">
        <v>0</v>
      </c>
      <c r="YV80">
        <v>0</v>
      </c>
      <c r="YW80">
        <v>0</v>
      </c>
      <c r="YX80">
        <v>0</v>
      </c>
      <c r="YY80">
        <v>0</v>
      </c>
      <c r="YZ80">
        <v>0</v>
      </c>
      <c r="ZA80">
        <v>0</v>
      </c>
      <c r="ZB80">
        <v>0</v>
      </c>
      <c r="ZC80">
        <v>0</v>
      </c>
      <c r="ZD80">
        <v>0</v>
      </c>
      <c r="ZE80">
        <v>0</v>
      </c>
      <c r="ZF80">
        <v>0</v>
      </c>
      <c r="ZG80">
        <v>0</v>
      </c>
      <c r="ZH80">
        <v>0</v>
      </c>
      <c r="ZI80">
        <v>0</v>
      </c>
      <c r="ZJ80">
        <v>0</v>
      </c>
      <c r="ZK80">
        <v>0</v>
      </c>
      <c r="ZL80">
        <v>0</v>
      </c>
      <c r="ZM80">
        <v>0</v>
      </c>
      <c r="ZN80">
        <v>0</v>
      </c>
      <c r="ZO80">
        <v>0</v>
      </c>
      <c r="ZP80">
        <v>0</v>
      </c>
      <c r="ZQ80">
        <v>0</v>
      </c>
      <c r="ZR80">
        <v>0</v>
      </c>
      <c r="ZS80">
        <v>0</v>
      </c>
      <c r="ZT80">
        <v>0</v>
      </c>
      <c r="ZU80">
        <v>0</v>
      </c>
      <c r="ZV80">
        <v>0</v>
      </c>
      <c r="ZW80">
        <v>0</v>
      </c>
      <c r="ZX80">
        <v>0</v>
      </c>
      <c r="ZY80">
        <v>0</v>
      </c>
      <c r="ZZ80">
        <v>0</v>
      </c>
      <c r="AAA80">
        <v>0</v>
      </c>
      <c r="AAB80">
        <v>0</v>
      </c>
      <c r="AAC80">
        <v>0</v>
      </c>
      <c r="AAD80">
        <v>0</v>
      </c>
      <c r="AAE80">
        <v>0</v>
      </c>
      <c r="AAF80">
        <v>0</v>
      </c>
      <c r="AAG80">
        <v>0</v>
      </c>
      <c r="AAH80">
        <v>0</v>
      </c>
      <c r="AAI80">
        <v>0</v>
      </c>
      <c r="AAJ80">
        <v>0</v>
      </c>
      <c r="AAK80">
        <v>0</v>
      </c>
      <c r="AAL80">
        <v>0</v>
      </c>
      <c r="AAM80">
        <v>0</v>
      </c>
      <c r="AAN80">
        <v>0</v>
      </c>
      <c r="AAO80">
        <v>0</v>
      </c>
      <c r="AAP80">
        <v>0</v>
      </c>
      <c r="AAQ80">
        <v>0</v>
      </c>
      <c r="AAR80">
        <v>0</v>
      </c>
      <c r="AAS80">
        <v>0</v>
      </c>
      <c r="AAT80">
        <v>0</v>
      </c>
      <c r="AAU80">
        <v>0</v>
      </c>
      <c r="AAV80">
        <v>0</v>
      </c>
      <c r="AAW80">
        <v>0</v>
      </c>
      <c r="AAX80">
        <v>0</v>
      </c>
      <c r="AAY80">
        <v>0</v>
      </c>
      <c r="AAZ80">
        <v>0</v>
      </c>
      <c r="ABA80">
        <v>0</v>
      </c>
      <c r="ABB80">
        <v>0</v>
      </c>
      <c r="ABC80">
        <v>0</v>
      </c>
      <c r="ABD80">
        <v>0</v>
      </c>
      <c r="ABE80">
        <v>0</v>
      </c>
      <c r="ABG80" s="1137">
        <f t="shared" si="19"/>
        <v>0</v>
      </c>
      <c r="ABH80" s="1137">
        <f t="shared" si="19"/>
        <v>0</v>
      </c>
      <c r="ABI80" s="1137">
        <f t="shared" si="19"/>
        <v>21</v>
      </c>
      <c r="ABJ80" s="1137">
        <f t="shared" si="19"/>
        <v>30</v>
      </c>
      <c r="ABK80" s="1137">
        <f t="shared" si="19"/>
        <v>31</v>
      </c>
      <c r="ABL80" s="1137">
        <f t="shared" si="19"/>
        <v>30</v>
      </c>
      <c r="ABM80" s="1137">
        <f t="shared" si="19"/>
        <v>31</v>
      </c>
      <c r="ABN80" s="1137">
        <f t="shared" si="19"/>
        <v>31</v>
      </c>
      <c r="ABO80" s="1137">
        <f t="shared" si="19"/>
        <v>10</v>
      </c>
      <c r="ABP80" s="1137">
        <f t="shared" si="19"/>
        <v>0</v>
      </c>
      <c r="ABQ80" s="1137">
        <f t="shared" si="19"/>
        <v>0</v>
      </c>
      <c r="ABR80" s="1137">
        <f t="shared" si="19"/>
        <v>0</v>
      </c>
      <c r="ABS80" s="1137">
        <f t="shared" si="19"/>
        <v>0</v>
      </c>
      <c r="ABT80" s="1137">
        <f t="shared" si="19"/>
        <v>0</v>
      </c>
      <c r="ABU80" s="1137">
        <f t="shared" si="19"/>
        <v>0</v>
      </c>
      <c r="ABV80" s="1137">
        <f t="shared" si="19"/>
        <v>0</v>
      </c>
      <c r="ABW80" s="1137">
        <f t="shared" si="17"/>
        <v>0</v>
      </c>
      <c r="ABX80" s="1137">
        <f t="shared" si="14"/>
        <v>0</v>
      </c>
      <c r="ABY80" s="1137">
        <f t="shared" si="14"/>
        <v>0</v>
      </c>
      <c r="ABZ80" s="1137">
        <f t="shared" si="14"/>
        <v>0</v>
      </c>
      <c r="ACA80" s="1137">
        <f t="shared" si="14"/>
        <v>0</v>
      </c>
      <c r="ACB80" s="1137">
        <f t="shared" si="14"/>
        <v>0</v>
      </c>
      <c r="ACC80" s="1137">
        <f t="shared" si="14"/>
        <v>0</v>
      </c>
      <c r="ACD80" s="1137">
        <f t="shared" si="14"/>
        <v>0</v>
      </c>
      <c r="ACE80" s="1137" t="s">
        <v>195</v>
      </c>
      <c r="ACF80" s="1137">
        <f t="shared" si="20"/>
        <v>0</v>
      </c>
      <c r="ACG80" s="1137">
        <f t="shared" si="20"/>
        <v>0</v>
      </c>
      <c r="ACH80" s="1137">
        <f t="shared" si="20"/>
        <v>1</v>
      </c>
      <c r="ACI80" s="1137">
        <f t="shared" si="20"/>
        <v>1</v>
      </c>
      <c r="ACJ80" s="1137">
        <f t="shared" si="20"/>
        <v>1</v>
      </c>
      <c r="ACK80" s="1137">
        <f t="shared" si="20"/>
        <v>1</v>
      </c>
      <c r="ACL80" s="1137">
        <f t="shared" si="20"/>
        <v>1</v>
      </c>
      <c r="ACM80" s="1137">
        <f t="shared" si="20"/>
        <v>1</v>
      </c>
      <c r="ACN80" s="1137">
        <f t="shared" si="20"/>
        <v>0</v>
      </c>
      <c r="ACO80" s="1137">
        <f t="shared" si="20"/>
        <v>0</v>
      </c>
      <c r="ACP80" s="1137">
        <f t="shared" si="20"/>
        <v>0</v>
      </c>
      <c r="ACQ80" s="1137">
        <f t="shared" si="20"/>
        <v>0</v>
      </c>
      <c r="ACR80" s="1137">
        <f t="shared" si="20"/>
        <v>0</v>
      </c>
      <c r="ACS80" s="1137">
        <f t="shared" si="20"/>
        <v>0</v>
      </c>
      <c r="ACT80" s="1137">
        <f t="shared" si="20"/>
        <v>0</v>
      </c>
      <c r="ACU80" s="1137">
        <f t="shared" si="12"/>
        <v>0</v>
      </c>
      <c r="ACV80" s="1137">
        <f t="shared" si="12"/>
        <v>0</v>
      </c>
      <c r="ACW80" s="1137">
        <f t="shared" si="12"/>
        <v>0</v>
      </c>
      <c r="ACX80" s="1137">
        <f t="shared" si="12"/>
        <v>0</v>
      </c>
      <c r="ACY80" s="1137">
        <f t="shared" si="12"/>
        <v>0</v>
      </c>
      <c r="ACZ80" s="1137">
        <f t="shared" si="12"/>
        <v>0</v>
      </c>
      <c r="ADA80" s="1137">
        <f t="shared" si="12"/>
        <v>0</v>
      </c>
      <c r="ADB80" s="1137">
        <f t="shared" si="16"/>
        <v>0</v>
      </c>
      <c r="ADC80" s="1137">
        <f t="shared" si="16"/>
        <v>0</v>
      </c>
    </row>
    <row r="81" spans="1:783" x14ac:dyDescent="0.25">
      <c r="A81" t="s">
        <v>1878</v>
      </c>
      <c r="B81" t="s">
        <v>37</v>
      </c>
      <c r="C81">
        <v>0</v>
      </c>
      <c r="D81">
        <v>0</v>
      </c>
      <c r="E81">
        <v>0</v>
      </c>
      <c r="F81">
        <v>0</v>
      </c>
      <c r="G81">
        <v>0</v>
      </c>
      <c r="H81">
        <v>0</v>
      </c>
      <c r="I81">
        <v>0</v>
      </c>
      <c r="J81">
        <v>0</v>
      </c>
      <c r="K81">
        <v>0</v>
      </c>
      <c r="L81">
        <v>0</v>
      </c>
      <c r="M81">
        <v>0</v>
      </c>
      <c r="N81">
        <v>0</v>
      </c>
      <c r="O81">
        <v>0</v>
      </c>
      <c r="P81">
        <v>0</v>
      </c>
      <c r="Q81">
        <v>0</v>
      </c>
      <c r="R81">
        <v>0</v>
      </c>
      <c r="S81">
        <v>0</v>
      </c>
      <c r="T81">
        <v>0</v>
      </c>
      <c r="U81">
        <v>0</v>
      </c>
      <c r="V81">
        <v>0</v>
      </c>
      <c r="W81">
        <v>0</v>
      </c>
      <c r="X81">
        <v>0</v>
      </c>
      <c r="Y81">
        <v>0</v>
      </c>
      <c r="Z81">
        <v>0</v>
      </c>
      <c r="AA81">
        <v>0</v>
      </c>
      <c r="AB81">
        <v>0</v>
      </c>
      <c r="AC81">
        <v>0</v>
      </c>
      <c r="AD81">
        <v>0</v>
      </c>
      <c r="AE81">
        <v>0</v>
      </c>
      <c r="AF81">
        <v>0</v>
      </c>
      <c r="AG81">
        <v>0</v>
      </c>
      <c r="AH81">
        <v>0</v>
      </c>
      <c r="AI81">
        <v>0</v>
      </c>
      <c r="AJ81">
        <v>0</v>
      </c>
      <c r="AK81">
        <v>0</v>
      </c>
      <c r="AL81">
        <v>0</v>
      </c>
      <c r="AM81">
        <v>0</v>
      </c>
      <c r="AN81">
        <v>0</v>
      </c>
      <c r="AO81">
        <v>0</v>
      </c>
      <c r="AP81">
        <v>0</v>
      </c>
      <c r="AQ81">
        <v>0</v>
      </c>
      <c r="AR81">
        <v>0</v>
      </c>
      <c r="AS81">
        <v>0</v>
      </c>
      <c r="AT81">
        <v>0</v>
      </c>
      <c r="AU81">
        <v>0</v>
      </c>
      <c r="AV81">
        <v>0</v>
      </c>
      <c r="AW81">
        <v>0</v>
      </c>
      <c r="AX81">
        <v>0</v>
      </c>
      <c r="AY81">
        <v>0</v>
      </c>
      <c r="AZ81">
        <v>0</v>
      </c>
      <c r="BA81">
        <v>0</v>
      </c>
      <c r="BB81">
        <v>0</v>
      </c>
      <c r="BC81">
        <v>0</v>
      </c>
      <c r="BD81">
        <v>0</v>
      </c>
      <c r="BE81">
        <v>0</v>
      </c>
      <c r="BF81">
        <v>0</v>
      </c>
      <c r="BG81">
        <v>0</v>
      </c>
      <c r="BH81">
        <v>0</v>
      </c>
      <c r="BI81">
        <v>0</v>
      </c>
      <c r="BJ81">
        <v>0</v>
      </c>
      <c r="BK81">
        <v>0</v>
      </c>
      <c r="BL81">
        <v>0</v>
      </c>
      <c r="BM81">
        <v>0</v>
      </c>
      <c r="BN81">
        <v>0</v>
      </c>
      <c r="BO81">
        <v>0</v>
      </c>
      <c r="BP81">
        <v>0</v>
      </c>
      <c r="BQ81">
        <v>0</v>
      </c>
      <c r="BR81">
        <v>0</v>
      </c>
      <c r="BS81">
        <v>0</v>
      </c>
      <c r="BT81">
        <v>0</v>
      </c>
      <c r="BU81">
        <v>0</v>
      </c>
      <c r="BV81">
        <v>0</v>
      </c>
      <c r="BW81">
        <v>0</v>
      </c>
      <c r="BX81">
        <v>0</v>
      </c>
      <c r="BY81">
        <v>0</v>
      </c>
      <c r="BZ81">
        <v>0</v>
      </c>
      <c r="CA81">
        <v>0</v>
      </c>
      <c r="CB81">
        <v>0</v>
      </c>
      <c r="CC81">
        <v>0</v>
      </c>
      <c r="CD81">
        <v>0</v>
      </c>
      <c r="CE81">
        <v>0</v>
      </c>
      <c r="CF81">
        <v>0</v>
      </c>
      <c r="CG81">
        <v>0</v>
      </c>
      <c r="CH81">
        <v>0</v>
      </c>
      <c r="CI81">
        <v>0</v>
      </c>
      <c r="CJ81">
        <v>0</v>
      </c>
      <c r="CK81">
        <v>0</v>
      </c>
      <c r="CL81">
        <v>0</v>
      </c>
      <c r="CM81">
        <v>1</v>
      </c>
      <c r="CN81">
        <v>1</v>
      </c>
      <c r="CO81">
        <v>1</v>
      </c>
      <c r="CP81">
        <v>1</v>
      </c>
      <c r="CQ81">
        <v>1</v>
      </c>
      <c r="CR81">
        <v>1</v>
      </c>
      <c r="CS81">
        <v>1</v>
      </c>
      <c r="CT81">
        <v>1</v>
      </c>
      <c r="CU81">
        <v>1</v>
      </c>
      <c r="CV81">
        <v>1</v>
      </c>
      <c r="CW81">
        <v>1</v>
      </c>
      <c r="CX81">
        <v>1</v>
      </c>
      <c r="CY81">
        <v>1</v>
      </c>
      <c r="CZ81">
        <v>1</v>
      </c>
      <c r="DA81">
        <v>1</v>
      </c>
      <c r="DB81">
        <v>1</v>
      </c>
      <c r="DC81">
        <v>1</v>
      </c>
      <c r="DD81">
        <v>1</v>
      </c>
      <c r="DE81">
        <v>1</v>
      </c>
      <c r="DF81">
        <v>1</v>
      </c>
      <c r="DG81">
        <v>1</v>
      </c>
      <c r="DH81">
        <v>1</v>
      </c>
      <c r="DI81">
        <v>1</v>
      </c>
      <c r="DJ81">
        <v>1</v>
      </c>
      <c r="DK81">
        <v>1</v>
      </c>
      <c r="DL81">
        <v>1</v>
      </c>
      <c r="DM81">
        <v>2</v>
      </c>
      <c r="DN81">
        <v>2</v>
      </c>
      <c r="DO81">
        <v>2</v>
      </c>
      <c r="DP81">
        <v>2</v>
      </c>
      <c r="DQ81">
        <v>2</v>
      </c>
      <c r="DR81">
        <v>2</v>
      </c>
      <c r="DS81">
        <v>2</v>
      </c>
      <c r="DT81">
        <v>2</v>
      </c>
      <c r="DU81">
        <v>2</v>
      </c>
      <c r="DV81">
        <v>1</v>
      </c>
      <c r="DW81">
        <v>1</v>
      </c>
      <c r="DX81">
        <v>1</v>
      </c>
      <c r="DY81">
        <v>1</v>
      </c>
      <c r="DZ81">
        <v>1</v>
      </c>
      <c r="EA81">
        <v>1</v>
      </c>
      <c r="EB81">
        <v>1</v>
      </c>
      <c r="EC81">
        <v>1</v>
      </c>
      <c r="ED81">
        <v>1</v>
      </c>
      <c r="EE81">
        <v>1</v>
      </c>
      <c r="EF81">
        <v>1</v>
      </c>
      <c r="EG81">
        <v>1</v>
      </c>
      <c r="EH81">
        <v>1</v>
      </c>
      <c r="EI81">
        <v>1</v>
      </c>
      <c r="EJ81">
        <v>1</v>
      </c>
      <c r="EK81">
        <v>1</v>
      </c>
      <c r="EL81">
        <v>1</v>
      </c>
      <c r="EM81">
        <v>1</v>
      </c>
      <c r="EN81">
        <v>1</v>
      </c>
      <c r="EO81">
        <v>1</v>
      </c>
      <c r="EP81">
        <v>1</v>
      </c>
      <c r="EQ81">
        <v>1</v>
      </c>
      <c r="ER81">
        <v>1</v>
      </c>
      <c r="ES81">
        <v>1</v>
      </c>
      <c r="ET81">
        <v>1</v>
      </c>
      <c r="EU81">
        <v>1</v>
      </c>
      <c r="EV81">
        <v>1</v>
      </c>
      <c r="EW81">
        <v>1</v>
      </c>
      <c r="EX81">
        <v>1</v>
      </c>
      <c r="EY81">
        <v>1</v>
      </c>
      <c r="EZ81">
        <v>1</v>
      </c>
      <c r="FA81">
        <v>1</v>
      </c>
      <c r="FB81">
        <v>1</v>
      </c>
      <c r="FC81">
        <v>1</v>
      </c>
      <c r="FD81">
        <v>1</v>
      </c>
      <c r="FE81">
        <v>1</v>
      </c>
      <c r="FF81">
        <v>1</v>
      </c>
      <c r="FG81">
        <v>1</v>
      </c>
      <c r="FH81">
        <v>1</v>
      </c>
      <c r="FI81">
        <v>1</v>
      </c>
      <c r="FJ81">
        <v>1</v>
      </c>
      <c r="FK81">
        <v>1</v>
      </c>
      <c r="FL81">
        <v>1</v>
      </c>
      <c r="FM81">
        <v>1</v>
      </c>
      <c r="FN81">
        <v>1</v>
      </c>
      <c r="FO81">
        <v>1</v>
      </c>
      <c r="FP81">
        <v>1</v>
      </c>
      <c r="FQ81">
        <v>1</v>
      </c>
      <c r="FR81">
        <v>1</v>
      </c>
      <c r="FS81">
        <v>1</v>
      </c>
      <c r="FT81">
        <v>1</v>
      </c>
      <c r="FU81">
        <v>1</v>
      </c>
      <c r="FV81">
        <v>1</v>
      </c>
      <c r="FW81">
        <v>1</v>
      </c>
      <c r="FX81">
        <v>1</v>
      </c>
      <c r="FY81">
        <v>1</v>
      </c>
      <c r="FZ81">
        <v>1</v>
      </c>
      <c r="GA81">
        <v>1</v>
      </c>
      <c r="GB81">
        <v>1</v>
      </c>
      <c r="GC81">
        <v>1</v>
      </c>
      <c r="GD81">
        <v>1</v>
      </c>
      <c r="GE81">
        <v>1</v>
      </c>
      <c r="GF81">
        <v>1</v>
      </c>
      <c r="GG81">
        <v>1</v>
      </c>
      <c r="GH81">
        <v>1</v>
      </c>
      <c r="GI81">
        <v>1</v>
      </c>
      <c r="GJ81">
        <v>1</v>
      </c>
      <c r="GK81">
        <v>1</v>
      </c>
      <c r="GL81">
        <v>1</v>
      </c>
      <c r="GM81">
        <v>1</v>
      </c>
      <c r="GN81">
        <v>1</v>
      </c>
      <c r="GO81">
        <v>1</v>
      </c>
      <c r="GP81">
        <v>1</v>
      </c>
      <c r="GQ81">
        <v>1</v>
      </c>
      <c r="GR81">
        <v>1</v>
      </c>
      <c r="GS81">
        <v>1</v>
      </c>
      <c r="GT81">
        <v>1</v>
      </c>
      <c r="GU81">
        <v>1</v>
      </c>
      <c r="GV81">
        <v>1</v>
      </c>
      <c r="GW81">
        <v>1</v>
      </c>
      <c r="GX81">
        <v>1</v>
      </c>
      <c r="GY81">
        <v>1</v>
      </c>
      <c r="GZ81">
        <v>1</v>
      </c>
      <c r="HA81">
        <v>1</v>
      </c>
      <c r="HB81">
        <v>1</v>
      </c>
      <c r="HC81">
        <v>1</v>
      </c>
      <c r="HD81">
        <v>1</v>
      </c>
      <c r="HE81">
        <v>1</v>
      </c>
      <c r="HF81">
        <v>1</v>
      </c>
      <c r="HG81">
        <v>1</v>
      </c>
      <c r="HH81">
        <v>1</v>
      </c>
      <c r="HI81">
        <v>1</v>
      </c>
      <c r="HJ81">
        <v>1</v>
      </c>
      <c r="HK81">
        <v>1</v>
      </c>
      <c r="HL81">
        <v>1</v>
      </c>
      <c r="HM81">
        <v>1</v>
      </c>
      <c r="HN81">
        <v>1</v>
      </c>
      <c r="HO81">
        <v>1</v>
      </c>
      <c r="HP81">
        <v>1</v>
      </c>
      <c r="HQ81">
        <v>1</v>
      </c>
      <c r="HR81">
        <v>1</v>
      </c>
      <c r="HS81">
        <v>1</v>
      </c>
      <c r="HT81">
        <v>1</v>
      </c>
      <c r="HU81">
        <v>1</v>
      </c>
      <c r="HV81">
        <v>1</v>
      </c>
      <c r="HW81">
        <v>1</v>
      </c>
      <c r="HX81">
        <v>1</v>
      </c>
      <c r="HY81">
        <v>1</v>
      </c>
      <c r="HZ81">
        <v>1</v>
      </c>
      <c r="IA81">
        <v>1</v>
      </c>
      <c r="IB81">
        <v>1</v>
      </c>
      <c r="IC81">
        <v>1</v>
      </c>
      <c r="ID81">
        <v>1</v>
      </c>
      <c r="IE81">
        <v>1</v>
      </c>
      <c r="IF81">
        <v>1</v>
      </c>
      <c r="IG81">
        <v>1</v>
      </c>
      <c r="IH81">
        <v>1</v>
      </c>
      <c r="II81">
        <v>1</v>
      </c>
      <c r="IJ81">
        <v>1</v>
      </c>
      <c r="IK81">
        <v>1</v>
      </c>
      <c r="IL81">
        <v>1</v>
      </c>
      <c r="IM81">
        <v>1</v>
      </c>
      <c r="IN81">
        <v>1</v>
      </c>
      <c r="IO81">
        <v>1</v>
      </c>
      <c r="IP81">
        <v>1</v>
      </c>
      <c r="IQ81">
        <v>1</v>
      </c>
      <c r="IR81">
        <v>1</v>
      </c>
      <c r="IS81">
        <v>1</v>
      </c>
      <c r="IT81">
        <v>1</v>
      </c>
      <c r="IU81">
        <v>1</v>
      </c>
      <c r="IV81">
        <v>1</v>
      </c>
      <c r="IW81">
        <v>1</v>
      </c>
      <c r="IX81">
        <v>1</v>
      </c>
      <c r="IY81">
        <v>1</v>
      </c>
      <c r="IZ81">
        <v>2</v>
      </c>
      <c r="JA81">
        <v>2</v>
      </c>
      <c r="JB81">
        <v>2</v>
      </c>
      <c r="JC81">
        <v>2</v>
      </c>
      <c r="JD81">
        <v>2</v>
      </c>
      <c r="JE81">
        <v>2</v>
      </c>
      <c r="JF81">
        <v>2</v>
      </c>
      <c r="JG81">
        <v>2</v>
      </c>
      <c r="JH81">
        <v>2</v>
      </c>
      <c r="JI81">
        <v>2</v>
      </c>
      <c r="JJ81">
        <v>2</v>
      </c>
      <c r="JK81">
        <v>2</v>
      </c>
      <c r="JL81">
        <v>2</v>
      </c>
      <c r="JM81">
        <v>2</v>
      </c>
      <c r="JN81">
        <v>2</v>
      </c>
      <c r="JO81">
        <v>2</v>
      </c>
      <c r="JP81">
        <v>2</v>
      </c>
      <c r="JQ81">
        <v>2</v>
      </c>
      <c r="JR81">
        <v>2</v>
      </c>
      <c r="JS81">
        <v>2</v>
      </c>
      <c r="JT81">
        <v>2</v>
      </c>
      <c r="JU81">
        <v>2</v>
      </c>
      <c r="JV81">
        <v>2</v>
      </c>
      <c r="JW81">
        <v>2</v>
      </c>
      <c r="JX81">
        <v>2</v>
      </c>
      <c r="JY81">
        <v>2</v>
      </c>
      <c r="JZ81">
        <v>2</v>
      </c>
      <c r="KA81">
        <v>2</v>
      </c>
      <c r="KB81">
        <v>1</v>
      </c>
      <c r="KC81">
        <v>1</v>
      </c>
      <c r="KD81">
        <v>1</v>
      </c>
      <c r="KE81">
        <v>1</v>
      </c>
      <c r="KF81">
        <v>1</v>
      </c>
      <c r="KG81">
        <v>1</v>
      </c>
      <c r="KH81">
        <v>1</v>
      </c>
      <c r="KI81">
        <v>1</v>
      </c>
      <c r="KJ81">
        <v>1</v>
      </c>
      <c r="KK81">
        <v>1</v>
      </c>
      <c r="KL81">
        <v>1</v>
      </c>
      <c r="KM81">
        <v>1</v>
      </c>
      <c r="KN81">
        <v>1</v>
      </c>
      <c r="KO81">
        <v>1</v>
      </c>
      <c r="KP81">
        <v>1</v>
      </c>
      <c r="KQ81">
        <v>1</v>
      </c>
      <c r="KR81">
        <v>1</v>
      </c>
      <c r="KS81">
        <v>1</v>
      </c>
      <c r="KT81">
        <v>1</v>
      </c>
      <c r="KU81">
        <v>1</v>
      </c>
      <c r="KV81">
        <v>1</v>
      </c>
      <c r="KW81">
        <v>1</v>
      </c>
      <c r="KX81">
        <v>1</v>
      </c>
      <c r="KY81">
        <v>1</v>
      </c>
      <c r="KZ81">
        <v>1</v>
      </c>
      <c r="LA81">
        <v>1</v>
      </c>
      <c r="LB81">
        <v>1</v>
      </c>
      <c r="LC81">
        <v>1</v>
      </c>
      <c r="LD81">
        <v>1</v>
      </c>
      <c r="LE81">
        <v>1</v>
      </c>
      <c r="LF81">
        <v>1</v>
      </c>
      <c r="LG81">
        <v>1</v>
      </c>
      <c r="LH81">
        <v>1</v>
      </c>
      <c r="LI81">
        <v>1</v>
      </c>
      <c r="LJ81">
        <v>1</v>
      </c>
      <c r="LK81">
        <v>1</v>
      </c>
      <c r="LL81">
        <v>1</v>
      </c>
      <c r="LM81">
        <v>1</v>
      </c>
      <c r="LN81">
        <v>2</v>
      </c>
      <c r="LO81">
        <v>2</v>
      </c>
      <c r="LP81">
        <v>2</v>
      </c>
      <c r="LQ81">
        <v>2</v>
      </c>
      <c r="LR81">
        <v>2</v>
      </c>
      <c r="LS81">
        <v>2</v>
      </c>
      <c r="LT81">
        <v>2</v>
      </c>
      <c r="LU81">
        <v>2</v>
      </c>
      <c r="LV81">
        <v>2</v>
      </c>
      <c r="LW81">
        <v>2</v>
      </c>
      <c r="LX81">
        <v>2</v>
      </c>
      <c r="LY81">
        <v>2</v>
      </c>
      <c r="LZ81">
        <v>2</v>
      </c>
      <c r="MA81">
        <v>2</v>
      </c>
      <c r="MB81">
        <v>2</v>
      </c>
      <c r="MC81">
        <v>2</v>
      </c>
      <c r="MD81">
        <v>2</v>
      </c>
      <c r="ME81">
        <v>2</v>
      </c>
      <c r="MF81">
        <v>2</v>
      </c>
      <c r="MG81">
        <v>2</v>
      </c>
      <c r="MH81">
        <v>2</v>
      </c>
      <c r="MI81">
        <v>2</v>
      </c>
      <c r="MJ81">
        <v>2</v>
      </c>
      <c r="MK81">
        <v>2</v>
      </c>
      <c r="ML81">
        <v>2</v>
      </c>
      <c r="MM81">
        <v>2</v>
      </c>
      <c r="MN81">
        <v>2</v>
      </c>
      <c r="MO81">
        <v>2</v>
      </c>
      <c r="MP81">
        <v>2</v>
      </c>
      <c r="MQ81">
        <v>2</v>
      </c>
      <c r="MR81">
        <v>2</v>
      </c>
      <c r="MS81">
        <v>2</v>
      </c>
      <c r="MT81">
        <v>2</v>
      </c>
      <c r="MU81">
        <v>2</v>
      </c>
      <c r="MV81">
        <v>2</v>
      </c>
      <c r="MW81">
        <v>2</v>
      </c>
      <c r="MX81">
        <v>2</v>
      </c>
      <c r="MY81">
        <v>2</v>
      </c>
      <c r="MZ81">
        <v>2</v>
      </c>
      <c r="NA81">
        <v>2</v>
      </c>
      <c r="NB81">
        <v>2</v>
      </c>
      <c r="NC81">
        <v>2</v>
      </c>
      <c r="ND81">
        <v>2</v>
      </c>
      <c r="NE81">
        <v>2</v>
      </c>
      <c r="NF81">
        <v>2</v>
      </c>
      <c r="NG81">
        <v>2</v>
      </c>
      <c r="NH81">
        <v>2</v>
      </c>
      <c r="NI81">
        <v>2</v>
      </c>
      <c r="NJ81">
        <v>2</v>
      </c>
      <c r="NK81">
        <v>2</v>
      </c>
      <c r="NL81">
        <v>2</v>
      </c>
      <c r="NM81">
        <v>2</v>
      </c>
      <c r="NN81">
        <v>2</v>
      </c>
      <c r="NO81">
        <v>2</v>
      </c>
      <c r="NP81">
        <v>2</v>
      </c>
      <c r="NQ81">
        <v>2</v>
      </c>
      <c r="NR81">
        <v>2</v>
      </c>
      <c r="NS81">
        <v>2</v>
      </c>
      <c r="NT81">
        <v>2</v>
      </c>
      <c r="NU81">
        <v>2</v>
      </c>
      <c r="NV81">
        <v>2</v>
      </c>
      <c r="NW81">
        <v>2</v>
      </c>
      <c r="NX81">
        <v>2</v>
      </c>
      <c r="NY81">
        <v>2</v>
      </c>
      <c r="NZ81">
        <v>2</v>
      </c>
      <c r="OA81">
        <v>2</v>
      </c>
      <c r="OB81">
        <v>2</v>
      </c>
      <c r="OC81">
        <v>2</v>
      </c>
      <c r="OD81">
        <v>2</v>
      </c>
      <c r="OE81">
        <v>2</v>
      </c>
      <c r="OF81">
        <v>2</v>
      </c>
      <c r="OG81">
        <v>2</v>
      </c>
      <c r="OH81">
        <v>2</v>
      </c>
      <c r="OI81">
        <v>2</v>
      </c>
      <c r="OJ81">
        <v>2</v>
      </c>
      <c r="OK81">
        <v>2</v>
      </c>
      <c r="OL81">
        <v>2</v>
      </c>
      <c r="OM81">
        <v>2</v>
      </c>
      <c r="ON81">
        <v>2</v>
      </c>
      <c r="OO81">
        <v>2</v>
      </c>
      <c r="OP81">
        <v>2</v>
      </c>
      <c r="OQ81">
        <v>2</v>
      </c>
      <c r="OR81">
        <v>2</v>
      </c>
      <c r="OS81">
        <v>2</v>
      </c>
      <c r="OT81">
        <v>2</v>
      </c>
      <c r="OU81">
        <v>2</v>
      </c>
      <c r="OV81">
        <v>2</v>
      </c>
      <c r="OW81">
        <v>2</v>
      </c>
      <c r="OX81">
        <v>2</v>
      </c>
      <c r="OY81">
        <v>2</v>
      </c>
      <c r="OZ81">
        <v>2</v>
      </c>
      <c r="PA81">
        <v>2</v>
      </c>
      <c r="PB81">
        <v>2</v>
      </c>
      <c r="PC81">
        <v>2</v>
      </c>
      <c r="PD81">
        <v>2</v>
      </c>
      <c r="PE81">
        <v>2</v>
      </c>
      <c r="PF81">
        <v>2</v>
      </c>
      <c r="PG81">
        <v>2</v>
      </c>
      <c r="PH81">
        <v>2</v>
      </c>
      <c r="PI81">
        <v>2</v>
      </c>
      <c r="PJ81">
        <v>2</v>
      </c>
      <c r="PK81">
        <v>2</v>
      </c>
      <c r="PL81">
        <v>2</v>
      </c>
      <c r="PM81">
        <v>2</v>
      </c>
      <c r="PN81">
        <v>2</v>
      </c>
      <c r="PO81">
        <v>2</v>
      </c>
      <c r="PP81">
        <v>2</v>
      </c>
      <c r="PQ81">
        <v>2</v>
      </c>
      <c r="PR81">
        <v>2</v>
      </c>
      <c r="PS81">
        <v>2</v>
      </c>
      <c r="PT81">
        <v>2</v>
      </c>
      <c r="PU81">
        <v>2</v>
      </c>
      <c r="PV81">
        <v>2</v>
      </c>
      <c r="PW81">
        <v>2</v>
      </c>
      <c r="PX81">
        <v>2</v>
      </c>
      <c r="PY81">
        <v>2</v>
      </c>
      <c r="PZ81">
        <v>2</v>
      </c>
      <c r="QA81">
        <v>2</v>
      </c>
      <c r="QB81">
        <v>2</v>
      </c>
      <c r="QC81">
        <v>2</v>
      </c>
      <c r="QD81">
        <v>2</v>
      </c>
      <c r="QE81">
        <v>2</v>
      </c>
      <c r="QF81">
        <v>2</v>
      </c>
      <c r="QG81">
        <v>2</v>
      </c>
      <c r="QH81">
        <v>2</v>
      </c>
      <c r="QI81">
        <v>2</v>
      </c>
      <c r="QJ81">
        <v>2</v>
      </c>
      <c r="QK81">
        <v>2</v>
      </c>
      <c r="QL81">
        <v>2</v>
      </c>
      <c r="QM81">
        <v>2</v>
      </c>
      <c r="QN81">
        <v>2</v>
      </c>
      <c r="QO81">
        <v>2</v>
      </c>
      <c r="QP81">
        <v>2</v>
      </c>
      <c r="QQ81">
        <v>2</v>
      </c>
      <c r="QR81">
        <v>2</v>
      </c>
      <c r="QS81">
        <v>2</v>
      </c>
      <c r="QT81">
        <v>2</v>
      </c>
      <c r="QU81">
        <v>2</v>
      </c>
      <c r="QV81">
        <v>2</v>
      </c>
      <c r="QW81">
        <v>2</v>
      </c>
      <c r="QX81">
        <v>2</v>
      </c>
      <c r="QY81">
        <v>2</v>
      </c>
      <c r="QZ81">
        <v>2</v>
      </c>
      <c r="RA81">
        <v>2</v>
      </c>
      <c r="RB81">
        <v>2</v>
      </c>
      <c r="RC81">
        <v>2</v>
      </c>
      <c r="RD81">
        <v>2</v>
      </c>
      <c r="RE81">
        <v>2</v>
      </c>
      <c r="RF81">
        <v>2</v>
      </c>
      <c r="RG81">
        <v>2</v>
      </c>
      <c r="RH81">
        <v>2</v>
      </c>
      <c r="RI81">
        <v>2</v>
      </c>
      <c r="RJ81">
        <v>2</v>
      </c>
      <c r="RK81">
        <v>2</v>
      </c>
      <c r="RL81">
        <v>2</v>
      </c>
      <c r="RM81">
        <v>2</v>
      </c>
      <c r="RN81">
        <v>2</v>
      </c>
      <c r="RO81">
        <v>2</v>
      </c>
      <c r="RP81">
        <v>2</v>
      </c>
      <c r="RQ81">
        <v>2</v>
      </c>
      <c r="RR81">
        <v>2</v>
      </c>
      <c r="RS81">
        <v>2</v>
      </c>
      <c r="RT81">
        <v>2</v>
      </c>
      <c r="RU81">
        <v>2</v>
      </c>
      <c r="RV81">
        <v>2</v>
      </c>
      <c r="RW81">
        <v>2</v>
      </c>
      <c r="RX81">
        <v>2</v>
      </c>
      <c r="RY81">
        <v>2</v>
      </c>
      <c r="RZ81">
        <v>2</v>
      </c>
      <c r="SA81">
        <v>2</v>
      </c>
      <c r="SB81">
        <v>2</v>
      </c>
      <c r="SC81">
        <v>2</v>
      </c>
      <c r="SD81">
        <v>2</v>
      </c>
      <c r="SE81">
        <v>2</v>
      </c>
      <c r="SF81">
        <v>2</v>
      </c>
      <c r="SG81">
        <v>2</v>
      </c>
      <c r="SH81">
        <v>2</v>
      </c>
      <c r="SI81">
        <v>2</v>
      </c>
      <c r="SJ81">
        <v>2</v>
      </c>
      <c r="SK81">
        <v>2</v>
      </c>
      <c r="SL81">
        <v>2</v>
      </c>
      <c r="SM81">
        <v>2</v>
      </c>
      <c r="SN81">
        <v>2</v>
      </c>
      <c r="SO81">
        <v>2</v>
      </c>
      <c r="SP81">
        <v>2</v>
      </c>
      <c r="SQ81">
        <v>2</v>
      </c>
      <c r="SR81">
        <v>2</v>
      </c>
      <c r="SS81">
        <v>2</v>
      </c>
      <c r="ST81">
        <v>2</v>
      </c>
      <c r="SU81">
        <v>2</v>
      </c>
      <c r="SV81">
        <v>2</v>
      </c>
      <c r="SW81">
        <v>2</v>
      </c>
      <c r="SX81">
        <v>2</v>
      </c>
      <c r="SY81">
        <v>2</v>
      </c>
      <c r="SZ81">
        <v>2</v>
      </c>
      <c r="TA81">
        <v>2</v>
      </c>
      <c r="TB81">
        <v>2</v>
      </c>
      <c r="TC81">
        <v>2</v>
      </c>
      <c r="TD81">
        <v>2</v>
      </c>
      <c r="TE81">
        <v>2</v>
      </c>
      <c r="TF81">
        <v>2</v>
      </c>
      <c r="TG81">
        <v>2</v>
      </c>
      <c r="TH81">
        <v>2</v>
      </c>
      <c r="TI81">
        <v>2</v>
      </c>
      <c r="TJ81">
        <v>2</v>
      </c>
      <c r="TK81">
        <v>2</v>
      </c>
      <c r="TL81">
        <v>2</v>
      </c>
      <c r="TM81">
        <v>2</v>
      </c>
      <c r="TN81">
        <v>2</v>
      </c>
      <c r="TO81">
        <v>2</v>
      </c>
      <c r="TP81">
        <v>2</v>
      </c>
      <c r="TQ81">
        <v>2</v>
      </c>
      <c r="TR81">
        <v>2</v>
      </c>
      <c r="TS81">
        <v>2</v>
      </c>
      <c r="TT81">
        <v>2</v>
      </c>
      <c r="TU81">
        <v>2</v>
      </c>
      <c r="TV81">
        <v>2</v>
      </c>
      <c r="TW81">
        <v>2</v>
      </c>
      <c r="TX81">
        <v>2</v>
      </c>
      <c r="TY81">
        <v>2</v>
      </c>
      <c r="TZ81">
        <v>2</v>
      </c>
      <c r="UA81">
        <v>2</v>
      </c>
      <c r="UB81">
        <v>2</v>
      </c>
      <c r="UC81">
        <v>2</v>
      </c>
      <c r="UD81">
        <v>2</v>
      </c>
      <c r="UE81">
        <v>2</v>
      </c>
      <c r="UF81">
        <v>2</v>
      </c>
      <c r="UG81">
        <v>2</v>
      </c>
      <c r="UH81">
        <v>2</v>
      </c>
      <c r="UI81">
        <v>2</v>
      </c>
      <c r="UJ81">
        <v>2</v>
      </c>
      <c r="UK81">
        <v>2</v>
      </c>
      <c r="UL81">
        <v>2</v>
      </c>
      <c r="UM81">
        <v>2</v>
      </c>
      <c r="UN81">
        <v>2</v>
      </c>
      <c r="UO81">
        <v>2</v>
      </c>
      <c r="UP81">
        <v>2</v>
      </c>
      <c r="UQ81">
        <v>2</v>
      </c>
      <c r="UR81">
        <v>2</v>
      </c>
      <c r="US81">
        <v>2</v>
      </c>
      <c r="UT81">
        <v>2</v>
      </c>
      <c r="UU81">
        <v>2</v>
      </c>
      <c r="UV81">
        <v>2</v>
      </c>
      <c r="UW81">
        <v>2</v>
      </c>
      <c r="UX81">
        <v>2</v>
      </c>
      <c r="UY81">
        <v>2</v>
      </c>
      <c r="UZ81">
        <v>2</v>
      </c>
      <c r="VA81">
        <v>2</v>
      </c>
      <c r="VB81">
        <v>2</v>
      </c>
      <c r="VC81">
        <v>2</v>
      </c>
      <c r="VD81">
        <v>2</v>
      </c>
      <c r="VE81">
        <v>2</v>
      </c>
      <c r="VF81">
        <v>2</v>
      </c>
      <c r="VG81">
        <v>2</v>
      </c>
      <c r="VH81">
        <v>2</v>
      </c>
      <c r="VI81">
        <v>2</v>
      </c>
      <c r="VJ81">
        <v>2</v>
      </c>
      <c r="VK81">
        <v>2</v>
      </c>
      <c r="VL81">
        <v>2</v>
      </c>
      <c r="VM81">
        <v>2</v>
      </c>
      <c r="VN81">
        <v>2</v>
      </c>
      <c r="VO81">
        <v>2</v>
      </c>
      <c r="VP81">
        <v>2</v>
      </c>
      <c r="VQ81">
        <v>2</v>
      </c>
      <c r="VR81">
        <v>2</v>
      </c>
      <c r="VS81">
        <v>2</v>
      </c>
      <c r="VT81">
        <v>2</v>
      </c>
      <c r="VU81">
        <v>2</v>
      </c>
      <c r="VV81">
        <v>2</v>
      </c>
      <c r="VW81">
        <v>2</v>
      </c>
      <c r="VX81">
        <v>2</v>
      </c>
      <c r="VY81">
        <v>2</v>
      </c>
      <c r="VZ81">
        <v>2</v>
      </c>
      <c r="WA81">
        <v>2</v>
      </c>
      <c r="WB81">
        <v>2</v>
      </c>
      <c r="WC81">
        <v>2</v>
      </c>
      <c r="WD81">
        <v>2</v>
      </c>
      <c r="WE81">
        <v>2</v>
      </c>
      <c r="WF81">
        <v>2</v>
      </c>
      <c r="WG81">
        <v>2</v>
      </c>
      <c r="WH81">
        <v>2</v>
      </c>
      <c r="WI81">
        <v>2</v>
      </c>
      <c r="WJ81">
        <v>2</v>
      </c>
      <c r="WK81">
        <v>2</v>
      </c>
      <c r="WL81">
        <v>2</v>
      </c>
      <c r="WM81">
        <v>2</v>
      </c>
      <c r="WN81">
        <v>2</v>
      </c>
      <c r="WO81">
        <v>2</v>
      </c>
      <c r="WP81">
        <v>2</v>
      </c>
      <c r="WQ81">
        <v>2</v>
      </c>
      <c r="WR81">
        <v>2</v>
      </c>
      <c r="WS81">
        <v>2</v>
      </c>
      <c r="WT81">
        <v>2</v>
      </c>
      <c r="WU81">
        <v>2</v>
      </c>
      <c r="WV81">
        <v>2</v>
      </c>
      <c r="WW81">
        <v>2</v>
      </c>
      <c r="WX81">
        <v>2</v>
      </c>
      <c r="WY81">
        <v>2</v>
      </c>
      <c r="WZ81">
        <v>2</v>
      </c>
      <c r="XA81">
        <v>2</v>
      </c>
      <c r="XB81">
        <v>2</v>
      </c>
      <c r="XC81">
        <v>2</v>
      </c>
      <c r="XD81">
        <v>2</v>
      </c>
      <c r="XE81">
        <v>2</v>
      </c>
      <c r="XF81">
        <v>2</v>
      </c>
      <c r="XG81">
        <v>2</v>
      </c>
      <c r="XH81">
        <v>2</v>
      </c>
      <c r="XI81">
        <v>2</v>
      </c>
      <c r="XJ81">
        <v>2</v>
      </c>
      <c r="XK81">
        <v>2</v>
      </c>
      <c r="XL81">
        <v>2</v>
      </c>
      <c r="XM81">
        <v>2</v>
      </c>
      <c r="XN81">
        <v>2</v>
      </c>
      <c r="XO81">
        <v>2</v>
      </c>
      <c r="XP81">
        <v>2</v>
      </c>
      <c r="XQ81">
        <v>2</v>
      </c>
      <c r="XR81">
        <v>2</v>
      </c>
      <c r="XS81">
        <v>2</v>
      </c>
      <c r="XT81">
        <v>2</v>
      </c>
      <c r="XU81">
        <v>2</v>
      </c>
      <c r="XV81">
        <v>2</v>
      </c>
      <c r="XW81">
        <v>2</v>
      </c>
      <c r="XX81">
        <v>2</v>
      </c>
      <c r="XY81">
        <v>2</v>
      </c>
      <c r="XZ81">
        <v>2</v>
      </c>
      <c r="YA81">
        <v>2</v>
      </c>
      <c r="YB81">
        <v>2</v>
      </c>
      <c r="YC81">
        <v>2</v>
      </c>
      <c r="YD81">
        <v>2</v>
      </c>
      <c r="YE81">
        <v>2</v>
      </c>
      <c r="YF81">
        <v>2</v>
      </c>
      <c r="YG81">
        <v>2</v>
      </c>
      <c r="YH81">
        <v>2</v>
      </c>
      <c r="YI81">
        <v>2</v>
      </c>
      <c r="YJ81">
        <v>2</v>
      </c>
      <c r="YK81">
        <v>2</v>
      </c>
      <c r="YL81">
        <v>2</v>
      </c>
      <c r="YM81">
        <v>2</v>
      </c>
      <c r="YN81">
        <v>2</v>
      </c>
      <c r="YO81">
        <v>2</v>
      </c>
      <c r="YP81">
        <v>2</v>
      </c>
      <c r="YQ81">
        <v>2</v>
      </c>
      <c r="YR81">
        <v>2</v>
      </c>
      <c r="YS81">
        <v>2</v>
      </c>
      <c r="YT81">
        <v>2</v>
      </c>
      <c r="YU81">
        <v>2</v>
      </c>
      <c r="YV81">
        <v>2</v>
      </c>
      <c r="YW81">
        <v>2</v>
      </c>
      <c r="YX81">
        <v>2</v>
      </c>
      <c r="YY81">
        <v>2</v>
      </c>
      <c r="YZ81">
        <v>2</v>
      </c>
      <c r="ZA81">
        <v>2</v>
      </c>
      <c r="ZB81">
        <v>2</v>
      </c>
      <c r="ZC81">
        <v>2</v>
      </c>
      <c r="ZD81">
        <v>2</v>
      </c>
      <c r="ZE81">
        <v>2</v>
      </c>
      <c r="ZF81">
        <v>2</v>
      </c>
      <c r="ZG81">
        <v>2</v>
      </c>
      <c r="ZH81">
        <v>2</v>
      </c>
      <c r="ZI81">
        <v>2</v>
      </c>
      <c r="ZJ81">
        <v>2</v>
      </c>
      <c r="ZK81">
        <v>2</v>
      </c>
      <c r="ZL81">
        <v>2</v>
      </c>
      <c r="ZM81">
        <v>2</v>
      </c>
      <c r="ZN81">
        <v>2</v>
      </c>
      <c r="ZO81">
        <v>2</v>
      </c>
      <c r="ZP81">
        <v>2</v>
      </c>
      <c r="ZQ81">
        <v>2</v>
      </c>
      <c r="ZR81">
        <v>2</v>
      </c>
      <c r="ZS81">
        <v>2</v>
      </c>
      <c r="ZT81">
        <v>2</v>
      </c>
      <c r="ZU81">
        <v>2</v>
      </c>
      <c r="ZV81">
        <v>2</v>
      </c>
      <c r="ZW81">
        <v>2</v>
      </c>
      <c r="ZX81">
        <v>2</v>
      </c>
      <c r="ZY81">
        <v>2</v>
      </c>
      <c r="ZZ81">
        <v>2</v>
      </c>
      <c r="AAA81">
        <v>2</v>
      </c>
      <c r="AAB81">
        <v>2</v>
      </c>
      <c r="AAC81">
        <v>2</v>
      </c>
      <c r="AAD81">
        <v>2</v>
      </c>
      <c r="AAE81">
        <v>2</v>
      </c>
      <c r="AAF81">
        <v>2</v>
      </c>
      <c r="AAG81">
        <v>2</v>
      </c>
      <c r="AAH81">
        <v>2</v>
      </c>
      <c r="AAI81">
        <v>2</v>
      </c>
      <c r="AAJ81">
        <v>2</v>
      </c>
      <c r="AAK81">
        <v>2</v>
      </c>
      <c r="AAL81">
        <v>2</v>
      </c>
      <c r="AAM81">
        <v>2</v>
      </c>
      <c r="AAN81">
        <v>2</v>
      </c>
      <c r="AAO81">
        <v>2</v>
      </c>
      <c r="AAP81">
        <v>2</v>
      </c>
      <c r="AAQ81">
        <v>2</v>
      </c>
      <c r="AAR81">
        <v>2</v>
      </c>
      <c r="AAS81">
        <v>2</v>
      </c>
      <c r="AAT81">
        <v>2</v>
      </c>
      <c r="AAU81">
        <v>2</v>
      </c>
      <c r="AAV81">
        <v>2</v>
      </c>
      <c r="AAW81">
        <v>2</v>
      </c>
      <c r="AAX81">
        <v>2</v>
      </c>
      <c r="AAY81">
        <v>2</v>
      </c>
      <c r="AAZ81">
        <v>2</v>
      </c>
      <c r="ABA81">
        <v>2</v>
      </c>
      <c r="ABB81">
        <v>2</v>
      </c>
      <c r="ABC81">
        <v>2</v>
      </c>
      <c r="ABD81">
        <v>2</v>
      </c>
      <c r="ABE81">
        <v>2</v>
      </c>
      <c r="ABG81" s="1137">
        <f t="shared" si="19"/>
        <v>0</v>
      </c>
      <c r="ABH81" s="1137">
        <f t="shared" si="19"/>
        <v>0</v>
      </c>
      <c r="ABI81" s="1137">
        <f t="shared" si="19"/>
        <v>3</v>
      </c>
      <c r="ABJ81" s="1137">
        <f t="shared" si="19"/>
        <v>30</v>
      </c>
      <c r="ABK81" s="1137">
        <f t="shared" si="19"/>
        <v>31</v>
      </c>
      <c r="ABL81" s="1137">
        <f t="shared" si="19"/>
        <v>30</v>
      </c>
      <c r="ABM81" s="1137">
        <f t="shared" si="19"/>
        <v>31</v>
      </c>
      <c r="ABN81" s="1137">
        <f t="shared" si="19"/>
        <v>31</v>
      </c>
      <c r="ABO81" s="1137">
        <f t="shared" si="19"/>
        <v>30</v>
      </c>
      <c r="ABP81" s="1137">
        <f t="shared" si="19"/>
        <v>31</v>
      </c>
      <c r="ABQ81" s="1137">
        <f t="shared" si="19"/>
        <v>30</v>
      </c>
      <c r="ABR81" s="1137">
        <f t="shared" si="19"/>
        <v>31</v>
      </c>
      <c r="ABS81" s="1137">
        <f t="shared" si="19"/>
        <v>31</v>
      </c>
      <c r="ABT81" s="1137">
        <f t="shared" si="19"/>
        <v>28</v>
      </c>
      <c r="ABU81" s="1137">
        <f t="shared" si="19"/>
        <v>31</v>
      </c>
      <c r="ABV81" s="1137">
        <f t="shared" si="19"/>
        <v>30</v>
      </c>
      <c r="ABW81" s="1137">
        <f t="shared" si="17"/>
        <v>31</v>
      </c>
      <c r="ABX81" s="1137">
        <f t="shared" si="14"/>
        <v>30</v>
      </c>
      <c r="ABY81" s="1137">
        <f t="shared" si="14"/>
        <v>31</v>
      </c>
      <c r="ABZ81" s="1137">
        <f t="shared" si="14"/>
        <v>31</v>
      </c>
      <c r="ACA81" s="1137">
        <f t="shared" si="14"/>
        <v>30</v>
      </c>
      <c r="ACB81" s="1137">
        <f t="shared" si="14"/>
        <v>31</v>
      </c>
      <c r="ACC81" s="1137">
        <f t="shared" si="14"/>
        <v>30</v>
      </c>
      <c r="ACD81" s="1137">
        <f t="shared" si="14"/>
        <v>31</v>
      </c>
      <c r="ACE81" s="1137" t="s">
        <v>37</v>
      </c>
      <c r="ACF81" s="1137">
        <f t="shared" si="20"/>
        <v>0</v>
      </c>
      <c r="ACG81" s="1137">
        <f t="shared" si="20"/>
        <v>0</v>
      </c>
      <c r="ACH81" s="1137">
        <f t="shared" si="20"/>
        <v>0</v>
      </c>
      <c r="ACI81" s="1137">
        <f t="shared" si="20"/>
        <v>1</v>
      </c>
      <c r="ACJ81" s="1137">
        <f t="shared" si="20"/>
        <v>1</v>
      </c>
      <c r="ACK81" s="1137">
        <f t="shared" si="20"/>
        <v>1</v>
      </c>
      <c r="ACL81" s="1137">
        <f t="shared" si="20"/>
        <v>1</v>
      </c>
      <c r="ACM81" s="1137">
        <f t="shared" si="20"/>
        <v>1</v>
      </c>
      <c r="ACN81" s="1137">
        <f t="shared" si="20"/>
        <v>1</v>
      </c>
      <c r="ACO81" s="1137">
        <f t="shared" si="20"/>
        <v>1</v>
      </c>
      <c r="ACP81" s="1137">
        <f t="shared" si="20"/>
        <v>1</v>
      </c>
      <c r="ACQ81" s="1137">
        <f t="shared" si="20"/>
        <v>1</v>
      </c>
      <c r="ACR81" s="1137">
        <f t="shared" si="20"/>
        <v>1</v>
      </c>
      <c r="ACS81" s="1137">
        <f t="shared" si="20"/>
        <v>1</v>
      </c>
      <c r="ACT81" s="1137">
        <f t="shared" si="20"/>
        <v>1</v>
      </c>
      <c r="ACU81" s="1137">
        <f t="shared" si="12"/>
        <v>1</v>
      </c>
      <c r="ACV81" s="1137">
        <f t="shared" si="12"/>
        <v>1</v>
      </c>
      <c r="ACW81" s="1137">
        <f t="shared" si="12"/>
        <v>1</v>
      </c>
      <c r="ACX81" s="1137">
        <f t="shared" si="12"/>
        <v>1</v>
      </c>
      <c r="ACY81" s="1137">
        <f t="shared" si="12"/>
        <v>1</v>
      </c>
      <c r="ACZ81" s="1137">
        <f t="shared" si="12"/>
        <v>1</v>
      </c>
      <c r="ADA81" s="1137">
        <f t="shared" si="12"/>
        <v>1</v>
      </c>
      <c r="ADB81" s="1137">
        <f t="shared" si="16"/>
        <v>1</v>
      </c>
      <c r="ADC81" s="1137">
        <f t="shared" si="16"/>
        <v>1</v>
      </c>
    </row>
    <row r="82" spans="1:783" x14ac:dyDescent="0.25">
      <c r="A82" t="s">
        <v>1879</v>
      </c>
      <c r="B82" t="s">
        <v>36</v>
      </c>
      <c r="C82">
        <v>0</v>
      </c>
      <c r="D82">
        <v>0</v>
      </c>
      <c r="E82">
        <v>0</v>
      </c>
      <c r="F82">
        <v>0</v>
      </c>
      <c r="G82">
        <v>0</v>
      </c>
      <c r="H82">
        <v>0</v>
      </c>
      <c r="I82">
        <v>0</v>
      </c>
      <c r="J82">
        <v>0</v>
      </c>
      <c r="K82">
        <v>0</v>
      </c>
      <c r="L82">
        <v>0</v>
      </c>
      <c r="M82">
        <v>0</v>
      </c>
      <c r="N82">
        <v>0</v>
      </c>
      <c r="O82">
        <v>0</v>
      </c>
      <c r="P82">
        <v>0</v>
      </c>
      <c r="Q82">
        <v>0</v>
      </c>
      <c r="R82">
        <v>0</v>
      </c>
      <c r="S82">
        <v>0</v>
      </c>
      <c r="T82">
        <v>0</v>
      </c>
      <c r="U82">
        <v>0</v>
      </c>
      <c r="V82">
        <v>0</v>
      </c>
      <c r="W82">
        <v>0</v>
      </c>
      <c r="X82">
        <v>0</v>
      </c>
      <c r="Y82">
        <v>0</v>
      </c>
      <c r="Z82">
        <v>0</v>
      </c>
      <c r="AA82">
        <v>0</v>
      </c>
      <c r="AB82">
        <v>0</v>
      </c>
      <c r="AC82">
        <v>0</v>
      </c>
      <c r="AD82">
        <v>0</v>
      </c>
      <c r="AE82">
        <v>0</v>
      </c>
      <c r="AF82">
        <v>0</v>
      </c>
      <c r="AG82">
        <v>0</v>
      </c>
      <c r="AH82">
        <v>0</v>
      </c>
      <c r="AI82">
        <v>0</v>
      </c>
      <c r="AJ82">
        <v>0</v>
      </c>
      <c r="AK82">
        <v>0</v>
      </c>
      <c r="AL82">
        <v>0</v>
      </c>
      <c r="AM82">
        <v>0</v>
      </c>
      <c r="AN82">
        <v>0</v>
      </c>
      <c r="AO82">
        <v>0</v>
      </c>
      <c r="AP82">
        <v>0</v>
      </c>
      <c r="AQ82">
        <v>0</v>
      </c>
      <c r="AR82">
        <v>0</v>
      </c>
      <c r="AS82">
        <v>0</v>
      </c>
      <c r="AT82">
        <v>0</v>
      </c>
      <c r="AU82">
        <v>0</v>
      </c>
      <c r="AV82">
        <v>0</v>
      </c>
      <c r="AW82">
        <v>0</v>
      </c>
      <c r="AX82">
        <v>0</v>
      </c>
      <c r="AY82">
        <v>0</v>
      </c>
      <c r="AZ82">
        <v>0</v>
      </c>
      <c r="BA82">
        <v>0</v>
      </c>
      <c r="BB82">
        <v>0</v>
      </c>
      <c r="BC82">
        <v>0</v>
      </c>
      <c r="BD82">
        <v>0</v>
      </c>
      <c r="BE82">
        <v>0</v>
      </c>
      <c r="BF82">
        <v>0</v>
      </c>
      <c r="BG82">
        <v>0</v>
      </c>
      <c r="BH82">
        <v>0</v>
      </c>
      <c r="BI82">
        <v>0</v>
      </c>
      <c r="BJ82">
        <v>0</v>
      </c>
      <c r="BK82">
        <v>0</v>
      </c>
      <c r="BL82">
        <v>0</v>
      </c>
      <c r="BM82">
        <v>0</v>
      </c>
      <c r="BN82">
        <v>0</v>
      </c>
      <c r="BO82">
        <v>0</v>
      </c>
      <c r="BP82">
        <v>0</v>
      </c>
      <c r="BQ82">
        <v>0</v>
      </c>
      <c r="BR82">
        <v>0</v>
      </c>
      <c r="BS82">
        <v>0</v>
      </c>
      <c r="BT82">
        <v>0</v>
      </c>
      <c r="BU82">
        <v>0</v>
      </c>
      <c r="BV82">
        <v>0</v>
      </c>
      <c r="BW82">
        <v>0</v>
      </c>
      <c r="BX82">
        <v>0</v>
      </c>
      <c r="BY82">
        <v>0</v>
      </c>
      <c r="BZ82">
        <v>1</v>
      </c>
      <c r="CA82">
        <v>1</v>
      </c>
      <c r="CB82">
        <v>1</v>
      </c>
      <c r="CC82">
        <v>1</v>
      </c>
      <c r="CD82">
        <v>2</v>
      </c>
      <c r="CE82">
        <v>2</v>
      </c>
      <c r="CF82">
        <v>2</v>
      </c>
      <c r="CG82">
        <v>2</v>
      </c>
      <c r="CH82">
        <v>2</v>
      </c>
      <c r="CI82">
        <v>2</v>
      </c>
      <c r="CJ82">
        <v>2</v>
      </c>
      <c r="CK82">
        <v>2</v>
      </c>
      <c r="CL82">
        <v>2</v>
      </c>
      <c r="CM82">
        <v>2</v>
      </c>
      <c r="CN82">
        <v>2</v>
      </c>
      <c r="CO82">
        <v>2</v>
      </c>
      <c r="CP82">
        <v>2</v>
      </c>
      <c r="CQ82">
        <v>2</v>
      </c>
      <c r="CR82">
        <v>2</v>
      </c>
      <c r="CS82">
        <v>2</v>
      </c>
      <c r="CT82">
        <v>2</v>
      </c>
      <c r="CU82">
        <v>2</v>
      </c>
      <c r="CV82">
        <v>2</v>
      </c>
      <c r="CW82">
        <v>2</v>
      </c>
      <c r="CX82">
        <v>2</v>
      </c>
      <c r="CY82">
        <v>2</v>
      </c>
      <c r="CZ82">
        <v>2</v>
      </c>
      <c r="DA82">
        <v>2</v>
      </c>
      <c r="DB82">
        <v>2</v>
      </c>
      <c r="DC82">
        <v>2</v>
      </c>
      <c r="DD82">
        <v>2</v>
      </c>
      <c r="DE82">
        <v>2</v>
      </c>
      <c r="DF82">
        <v>2</v>
      </c>
      <c r="DG82">
        <v>2</v>
      </c>
      <c r="DH82">
        <v>2</v>
      </c>
      <c r="DI82">
        <v>2</v>
      </c>
      <c r="DJ82">
        <v>2</v>
      </c>
      <c r="DK82">
        <v>2</v>
      </c>
      <c r="DL82">
        <v>2</v>
      </c>
      <c r="DM82">
        <v>2</v>
      </c>
      <c r="DN82">
        <v>2</v>
      </c>
      <c r="DO82">
        <v>2</v>
      </c>
      <c r="DP82">
        <v>2</v>
      </c>
      <c r="DQ82">
        <v>2</v>
      </c>
      <c r="DR82">
        <v>2</v>
      </c>
      <c r="DS82">
        <v>2</v>
      </c>
      <c r="DT82">
        <v>2</v>
      </c>
      <c r="DU82">
        <v>2</v>
      </c>
      <c r="DV82">
        <v>2</v>
      </c>
      <c r="DW82">
        <v>2</v>
      </c>
      <c r="DX82">
        <v>2</v>
      </c>
      <c r="DY82">
        <v>2</v>
      </c>
      <c r="DZ82">
        <v>2</v>
      </c>
      <c r="EA82">
        <v>2</v>
      </c>
      <c r="EB82">
        <v>2</v>
      </c>
      <c r="EC82">
        <v>2</v>
      </c>
      <c r="ED82">
        <v>2</v>
      </c>
      <c r="EE82">
        <v>2</v>
      </c>
      <c r="EF82">
        <v>2</v>
      </c>
      <c r="EG82">
        <v>2</v>
      </c>
      <c r="EH82">
        <v>2</v>
      </c>
      <c r="EI82">
        <v>2</v>
      </c>
      <c r="EJ82">
        <v>2</v>
      </c>
      <c r="EK82">
        <v>2</v>
      </c>
      <c r="EL82">
        <v>2</v>
      </c>
      <c r="EM82">
        <v>2</v>
      </c>
      <c r="EN82">
        <v>2</v>
      </c>
      <c r="EO82">
        <v>2</v>
      </c>
      <c r="EP82">
        <v>2</v>
      </c>
      <c r="EQ82">
        <v>2</v>
      </c>
      <c r="ER82">
        <v>2</v>
      </c>
      <c r="ES82">
        <v>2</v>
      </c>
      <c r="ET82">
        <v>2</v>
      </c>
      <c r="EU82">
        <v>2</v>
      </c>
      <c r="EV82">
        <v>2</v>
      </c>
      <c r="EW82">
        <v>2</v>
      </c>
      <c r="EX82">
        <v>2</v>
      </c>
      <c r="EY82">
        <v>2</v>
      </c>
      <c r="EZ82">
        <v>2</v>
      </c>
      <c r="FA82">
        <v>2</v>
      </c>
      <c r="FB82">
        <v>2</v>
      </c>
      <c r="FC82">
        <v>2</v>
      </c>
      <c r="FD82">
        <v>2</v>
      </c>
      <c r="FE82">
        <v>2</v>
      </c>
      <c r="FF82">
        <v>2</v>
      </c>
      <c r="FG82">
        <v>2</v>
      </c>
      <c r="FH82">
        <v>2</v>
      </c>
      <c r="FI82">
        <v>2</v>
      </c>
      <c r="FJ82">
        <v>2</v>
      </c>
      <c r="FK82">
        <v>2</v>
      </c>
      <c r="FL82">
        <v>2</v>
      </c>
      <c r="FM82">
        <v>2</v>
      </c>
      <c r="FN82">
        <v>2</v>
      </c>
      <c r="FO82">
        <v>2</v>
      </c>
      <c r="FP82">
        <v>2</v>
      </c>
      <c r="FQ82">
        <v>2</v>
      </c>
      <c r="FR82">
        <v>2</v>
      </c>
      <c r="FS82">
        <v>2</v>
      </c>
      <c r="FT82">
        <v>2</v>
      </c>
      <c r="FU82">
        <v>2</v>
      </c>
      <c r="FV82">
        <v>2</v>
      </c>
      <c r="FW82">
        <v>2</v>
      </c>
      <c r="FX82">
        <v>2</v>
      </c>
      <c r="FY82">
        <v>2</v>
      </c>
      <c r="FZ82">
        <v>2</v>
      </c>
      <c r="GA82">
        <v>2</v>
      </c>
      <c r="GB82">
        <v>2</v>
      </c>
      <c r="GC82">
        <v>2</v>
      </c>
      <c r="GD82">
        <v>2</v>
      </c>
      <c r="GE82">
        <v>2</v>
      </c>
      <c r="GF82">
        <v>2</v>
      </c>
      <c r="GG82">
        <v>2</v>
      </c>
      <c r="GH82">
        <v>2</v>
      </c>
      <c r="GI82">
        <v>2</v>
      </c>
      <c r="GJ82">
        <v>2</v>
      </c>
      <c r="GK82">
        <v>2</v>
      </c>
      <c r="GL82">
        <v>2</v>
      </c>
      <c r="GM82">
        <v>2</v>
      </c>
      <c r="GN82">
        <v>2</v>
      </c>
      <c r="GO82">
        <v>2</v>
      </c>
      <c r="GP82">
        <v>2</v>
      </c>
      <c r="GQ82">
        <v>2</v>
      </c>
      <c r="GR82">
        <v>2</v>
      </c>
      <c r="GS82">
        <v>2</v>
      </c>
      <c r="GT82">
        <v>2</v>
      </c>
      <c r="GU82">
        <v>2</v>
      </c>
      <c r="GV82">
        <v>2</v>
      </c>
      <c r="GW82">
        <v>2</v>
      </c>
      <c r="GX82">
        <v>2</v>
      </c>
      <c r="GY82">
        <v>2</v>
      </c>
      <c r="GZ82">
        <v>2</v>
      </c>
      <c r="HA82">
        <v>2</v>
      </c>
      <c r="HB82">
        <v>2</v>
      </c>
      <c r="HC82">
        <v>2</v>
      </c>
      <c r="HD82">
        <v>2</v>
      </c>
      <c r="HE82">
        <v>2</v>
      </c>
      <c r="HF82">
        <v>2</v>
      </c>
      <c r="HG82">
        <v>2</v>
      </c>
      <c r="HH82">
        <v>2</v>
      </c>
      <c r="HI82">
        <v>2</v>
      </c>
      <c r="HJ82">
        <v>2</v>
      </c>
      <c r="HK82">
        <v>2</v>
      </c>
      <c r="HL82">
        <v>2</v>
      </c>
      <c r="HM82">
        <v>2</v>
      </c>
      <c r="HN82">
        <v>2</v>
      </c>
      <c r="HO82">
        <v>2</v>
      </c>
      <c r="HP82">
        <v>2</v>
      </c>
      <c r="HQ82">
        <v>2</v>
      </c>
      <c r="HR82">
        <v>2</v>
      </c>
      <c r="HS82">
        <v>2</v>
      </c>
      <c r="HT82">
        <v>2</v>
      </c>
      <c r="HU82">
        <v>2</v>
      </c>
      <c r="HV82">
        <v>2</v>
      </c>
      <c r="HW82">
        <v>2</v>
      </c>
      <c r="HX82">
        <v>2</v>
      </c>
      <c r="HY82">
        <v>2</v>
      </c>
      <c r="HZ82">
        <v>2</v>
      </c>
      <c r="IA82">
        <v>2</v>
      </c>
      <c r="IB82">
        <v>2</v>
      </c>
      <c r="IC82">
        <v>2</v>
      </c>
      <c r="ID82">
        <v>2</v>
      </c>
      <c r="IE82">
        <v>2</v>
      </c>
      <c r="IF82">
        <v>2</v>
      </c>
      <c r="IG82">
        <v>2</v>
      </c>
      <c r="IH82">
        <v>2</v>
      </c>
      <c r="II82">
        <v>2</v>
      </c>
      <c r="IJ82">
        <v>2</v>
      </c>
      <c r="IK82">
        <v>2</v>
      </c>
      <c r="IL82">
        <v>2</v>
      </c>
      <c r="IM82">
        <v>2</v>
      </c>
      <c r="IN82">
        <v>2</v>
      </c>
      <c r="IO82">
        <v>2</v>
      </c>
      <c r="IP82">
        <v>2</v>
      </c>
      <c r="IQ82">
        <v>2</v>
      </c>
      <c r="IR82">
        <v>2</v>
      </c>
      <c r="IS82">
        <v>2</v>
      </c>
      <c r="IT82">
        <v>2</v>
      </c>
      <c r="IU82">
        <v>2</v>
      </c>
      <c r="IV82">
        <v>2</v>
      </c>
      <c r="IW82">
        <v>2</v>
      </c>
      <c r="IX82">
        <v>2</v>
      </c>
      <c r="IY82">
        <v>2</v>
      </c>
      <c r="IZ82">
        <v>2</v>
      </c>
      <c r="JA82">
        <v>2</v>
      </c>
      <c r="JB82">
        <v>2</v>
      </c>
      <c r="JC82">
        <v>2</v>
      </c>
      <c r="JD82">
        <v>2</v>
      </c>
      <c r="JE82">
        <v>2</v>
      </c>
      <c r="JF82">
        <v>2</v>
      </c>
      <c r="JG82">
        <v>2</v>
      </c>
      <c r="JH82">
        <v>2</v>
      </c>
      <c r="JI82">
        <v>2</v>
      </c>
      <c r="JJ82">
        <v>2</v>
      </c>
      <c r="JK82">
        <v>2</v>
      </c>
      <c r="JL82">
        <v>2</v>
      </c>
      <c r="JM82">
        <v>2</v>
      </c>
      <c r="JN82">
        <v>2</v>
      </c>
      <c r="JO82">
        <v>2</v>
      </c>
      <c r="JP82">
        <v>2</v>
      </c>
      <c r="JQ82">
        <v>2</v>
      </c>
      <c r="JR82">
        <v>2</v>
      </c>
      <c r="JS82">
        <v>2</v>
      </c>
      <c r="JT82">
        <v>2</v>
      </c>
      <c r="JU82">
        <v>2</v>
      </c>
      <c r="JV82">
        <v>2</v>
      </c>
      <c r="JW82">
        <v>2</v>
      </c>
      <c r="JX82">
        <v>2</v>
      </c>
      <c r="JY82">
        <v>2</v>
      </c>
      <c r="JZ82">
        <v>2</v>
      </c>
      <c r="KA82">
        <v>2</v>
      </c>
      <c r="KB82">
        <v>2</v>
      </c>
      <c r="KC82">
        <v>2</v>
      </c>
      <c r="KD82">
        <v>2</v>
      </c>
      <c r="KE82">
        <v>2</v>
      </c>
      <c r="KF82">
        <v>2</v>
      </c>
      <c r="KG82">
        <v>2</v>
      </c>
      <c r="KH82">
        <v>2</v>
      </c>
      <c r="KI82">
        <v>2</v>
      </c>
      <c r="KJ82">
        <v>2</v>
      </c>
      <c r="KK82">
        <v>2</v>
      </c>
      <c r="KL82">
        <v>2</v>
      </c>
      <c r="KM82">
        <v>2</v>
      </c>
      <c r="KN82">
        <v>2</v>
      </c>
      <c r="KO82">
        <v>2</v>
      </c>
      <c r="KP82">
        <v>2</v>
      </c>
      <c r="KQ82">
        <v>2</v>
      </c>
      <c r="KR82">
        <v>2</v>
      </c>
      <c r="KS82">
        <v>2</v>
      </c>
      <c r="KT82">
        <v>2</v>
      </c>
      <c r="KU82">
        <v>2</v>
      </c>
      <c r="KV82">
        <v>2</v>
      </c>
      <c r="KW82">
        <v>2</v>
      </c>
      <c r="KX82">
        <v>2</v>
      </c>
      <c r="KY82">
        <v>2</v>
      </c>
      <c r="KZ82">
        <v>2</v>
      </c>
      <c r="LA82">
        <v>2</v>
      </c>
      <c r="LB82">
        <v>2</v>
      </c>
      <c r="LC82">
        <v>2</v>
      </c>
      <c r="LD82">
        <v>2</v>
      </c>
      <c r="LE82">
        <v>2</v>
      </c>
      <c r="LF82">
        <v>2</v>
      </c>
      <c r="LG82">
        <v>2</v>
      </c>
      <c r="LH82">
        <v>2</v>
      </c>
      <c r="LI82">
        <v>2</v>
      </c>
      <c r="LJ82">
        <v>2</v>
      </c>
      <c r="LK82">
        <v>2</v>
      </c>
      <c r="LL82">
        <v>2</v>
      </c>
      <c r="LM82">
        <v>2</v>
      </c>
      <c r="LN82">
        <v>2</v>
      </c>
      <c r="LO82">
        <v>2</v>
      </c>
      <c r="LP82">
        <v>1</v>
      </c>
      <c r="LQ82">
        <v>1</v>
      </c>
      <c r="LR82">
        <v>1</v>
      </c>
      <c r="LS82">
        <v>1</v>
      </c>
      <c r="LT82">
        <v>1</v>
      </c>
      <c r="LU82">
        <v>1</v>
      </c>
      <c r="LV82">
        <v>1</v>
      </c>
      <c r="LW82">
        <v>1</v>
      </c>
      <c r="LX82">
        <v>1</v>
      </c>
      <c r="LY82">
        <v>1</v>
      </c>
      <c r="LZ82">
        <v>1</v>
      </c>
      <c r="MA82">
        <v>1</v>
      </c>
      <c r="MB82">
        <v>1</v>
      </c>
      <c r="MC82">
        <v>1</v>
      </c>
      <c r="MD82">
        <v>1</v>
      </c>
      <c r="ME82">
        <v>1</v>
      </c>
      <c r="MF82">
        <v>1</v>
      </c>
      <c r="MG82">
        <v>1</v>
      </c>
      <c r="MH82">
        <v>1</v>
      </c>
      <c r="MI82">
        <v>1</v>
      </c>
      <c r="MJ82">
        <v>1</v>
      </c>
      <c r="MK82">
        <v>1</v>
      </c>
      <c r="ML82">
        <v>1</v>
      </c>
      <c r="MM82">
        <v>1</v>
      </c>
      <c r="MN82">
        <v>1</v>
      </c>
      <c r="MO82">
        <v>1</v>
      </c>
      <c r="MP82">
        <v>1</v>
      </c>
      <c r="MQ82">
        <v>1</v>
      </c>
      <c r="MR82">
        <v>1</v>
      </c>
      <c r="MS82">
        <v>1</v>
      </c>
      <c r="MT82">
        <v>1</v>
      </c>
      <c r="MU82">
        <v>1</v>
      </c>
      <c r="MV82">
        <v>1</v>
      </c>
      <c r="MW82">
        <v>1</v>
      </c>
      <c r="MX82">
        <v>1</v>
      </c>
      <c r="MY82">
        <v>1</v>
      </c>
      <c r="MZ82">
        <v>1</v>
      </c>
      <c r="NA82">
        <v>1</v>
      </c>
      <c r="NB82">
        <v>1</v>
      </c>
      <c r="NC82">
        <v>1</v>
      </c>
      <c r="ND82">
        <v>1</v>
      </c>
      <c r="NE82">
        <v>1</v>
      </c>
      <c r="NF82">
        <v>1</v>
      </c>
      <c r="NG82">
        <v>1</v>
      </c>
      <c r="NH82">
        <v>1</v>
      </c>
      <c r="NI82">
        <v>1</v>
      </c>
      <c r="NJ82">
        <v>1</v>
      </c>
      <c r="NK82">
        <v>1</v>
      </c>
      <c r="NL82">
        <v>1</v>
      </c>
      <c r="NM82">
        <v>1</v>
      </c>
      <c r="NN82">
        <v>1</v>
      </c>
      <c r="NO82">
        <v>1</v>
      </c>
      <c r="NP82">
        <v>1</v>
      </c>
      <c r="NQ82">
        <v>1</v>
      </c>
      <c r="NR82">
        <v>1</v>
      </c>
      <c r="NS82">
        <v>1</v>
      </c>
      <c r="NT82">
        <v>1</v>
      </c>
      <c r="NU82">
        <v>1</v>
      </c>
      <c r="NV82">
        <v>1</v>
      </c>
      <c r="NW82">
        <v>1</v>
      </c>
      <c r="NX82">
        <v>1</v>
      </c>
      <c r="NY82">
        <v>1</v>
      </c>
      <c r="NZ82">
        <v>1</v>
      </c>
      <c r="OA82">
        <v>1</v>
      </c>
      <c r="OB82">
        <v>1</v>
      </c>
      <c r="OC82">
        <v>1</v>
      </c>
      <c r="OD82">
        <v>1</v>
      </c>
      <c r="OE82">
        <v>0</v>
      </c>
      <c r="OF82">
        <v>0</v>
      </c>
      <c r="OG82">
        <v>0</v>
      </c>
      <c r="OH82">
        <v>0</v>
      </c>
      <c r="OI82">
        <v>0</v>
      </c>
      <c r="OJ82">
        <v>0</v>
      </c>
      <c r="OK82">
        <v>0</v>
      </c>
      <c r="OL82">
        <v>0</v>
      </c>
      <c r="OM82">
        <v>0</v>
      </c>
      <c r="ON82">
        <v>0</v>
      </c>
      <c r="OO82">
        <v>0</v>
      </c>
      <c r="OP82">
        <v>0</v>
      </c>
      <c r="OQ82">
        <v>0</v>
      </c>
      <c r="OR82">
        <v>0</v>
      </c>
      <c r="OS82">
        <v>0</v>
      </c>
      <c r="OT82">
        <v>0</v>
      </c>
      <c r="OU82">
        <v>0</v>
      </c>
      <c r="OV82">
        <v>0</v>
      </c>
      <c r="OW82">
        <v>0</v>
      </c>
      <c r="OX82">
        <v>0</v>
      </c>
      <c r="OY82">
        <v>0</v>
      </c>
      <c r="OZ82">
        <v>0</v>
      </c>
      <c r="PA82">
        <v>0</v>
      </c>
      <c r="PB82">
        <v>0</v>
      </c>
      <c r="PC82">
        <v>0</v>
      </c>
      <c r="PD82">
        <v>0</v>
      </c>
      <c r="PE82">
        <v>0</v>
      </c>
      <c r="PF82">
        <v>0</v>
      </c>
      <c r="PG82">
        <v>1</v>
      </c>
      <c r="PH82">
        <v>1</v>
      </c>
      <c r="PI82">
        <v>1</v>
      </c>
      <c r="PJ82">
        <v>1</v>
      </c>
      <c r="PK82">
        <v>1</v>
      </c>
      <c r="PL82">
        <v>1</v>
      </c>
      <c r="PM82">
        <v>1</v>
      </c>
      <c r="PN82">
        <v>1</v>
      </c>
      <c r="PO82">
        <v>1</v>
      </c>
      <c r="PP82">
        <v>1</v>
      </c>
      <c r="PQ82">
        <v>1</v>
      </c>
      <c r="PR82">
        <v>1</v>
      </c>
      <c r="PS82">
        <v>1</v>
      </c>
      <c r="PT82">
        <v>0</v>
      </c>
      <c r="PU82">
        <v>0</v>
      </c>
      <c r="PV82">
        <v>0</v>
      </c>
      <c r="PW82">
        <v>0</v>
      </c>
      <c r="PX82">
        <v>0</v>
      </c>
      <c r="PY82">
        <v>0</v>
      </c>
      <c r="PZ82">
        <v>0</v>
      </c>
      <c r="QA82">
        <v>0</v>
      </c>
      <c r="QB82">
        <v>0</v>
      </c>
      <c r="QC82">
        <v>0</v>
      </c>
      <c r="QD82">
        <v>0</v>
      </c>
      <c r="QE82">
        <v>0</v>
      </c>
      <c r="QF82">
        <v>0</v>
      </c>
      <c r="QG82">
        <v>0</v>
      </c>
      <c r="QH82">
        <v>0</v>
      </c>
      <c r="QI82">
        <v>0</v>
      </c>
      <c r="QJ82">
        <v>0</v>
      </c>
      <c r="QK82">
        <v>0</v>
      </c>
      <c r="QL82">
        <v>0</v>
      </c>
      <c r="QM82">
        <v>0</v>
      </c>
      <c r="QN82">
        <v>0</v>
      </c>
      <c r="QO82">
        <v>0</v>
      </c>
      <c r="QP82">
        <v>0</v>
      </c>
      <c r="QQ82">
        <v>0</v>
      </c>
      <c r="QR82">
        <v>0</v>
      </c>
      <c r="QS82">
        <v>2</v>
      </c>
      <c r="QT82">
        <v>2</v>
      </c>
      <c r="QU82">
        <v>2</v>
      </c>
      <c r="QV82">
        <v>2</v>
      </c>
      <c r="QW82">
        <v>2</v>
      </c>
      <c r="QX82">
        <v>2</v>
      </c>
      <c r="QY82">
        <v>2</v>
      </c>
      <c r="QZ82">
        <v>2</v>
      </c>
      <c r="RA82">
        <v>2</v>
      </c>
      <c r="RB82">
        <v>2</v>
      </c>
      <c r="RC82">
        <v>2</v>
      </c>
      <c r="RD82">
        <v>2</v>
      </c>
      <c r="RE82">
        <v>2</v>
      </c>
      <c r="RF82">
        <v>2</v>
      </c>
      <c r="RG82">
        <v>2</v>
      </c>
      <c r="RH82">
        <v>2</v>
      </c>
      <c r="RI82">
        <v>2</v>
      </c>
      <c r="RJ82">
        <v>2</v>
      </c>
      <c r="RK82">
        <v>2</v>
      </c>
      <c r="RL82">
        <v>2</v>
      </c>
      <c r="RM82">
        <v>2</v>
      </c>
      <c r="RN82">
        <v>2</v>
      </c>
      <c r="RO82">
        <v>2</v>
      </c>
      <c r="RP82">
        <v>2</v>
      </c>
      <c r="RQ82">
        <v>2</v>
      </c>
      <c r="RR82">
        <v>2</v>
      </c>
      <c r="RS82">
        <v>2</v>
      </c>
      <c r="RT82">
        <v>2</v>
      </c>
      <c r="RU82">
        <v>2</v>
      </c>
      <c r="RV82">
        <v>2</v>
      </c>
      <c r="RW82">
        <v>2</v>
      </c>
      <c r="RX82">
        <v>2</v>
      </c>
      <c r="RY82">
        <v>2</v>
      </c>
      <c r="RZ82">
        <v>2</v>
      </c>
      <c r="SA82">
        <v>2</v>
      </c>
      <c r="SB82">
        <v>2</v>
      </c>
      <c r="SC82">
        <v>2</v>
      </c>
      <c r="SD82">
        <v>2</v>
      </c>
      <c r="SE82">
        <v>2</v>
      </c>
      <c r="SF82">
        <v>2</v>
      </c>
      <c r="SG82">
        <v>2</v>
      </c>
      <c r="SH82">
        <v>2</v>
      </c>
      <c r="SI82">
        <v>2</v>
      </c>
      <c r="SJ82">
        <v>2</v>
      </c>
      <c r="SK82">
        <v>2</v>
      </c>
      <c r="SL82">
        <v>2</v>
      </c>
      <c r="SM82">
        <v>2</v>
      </c>
      <c r="SN82">
        <v>2</v>
      </c>
      <c r="SO82">
        <v>2</v>
      </c>
      <c r="SP82">
        <v>2</v>
      </c>
      <c r="SQ82">
        <v>2</v>
      </c>
      <c r="SR82">
        <v>2</v>
      </c>
      <c r="SS82">
        <v>2</v>
      </c>
      <c r="ST82">
        <v>2</v>
      </c>
      <c r="SU82">
        <v>2</v>
      </c>
      <c r="SV82">
        <v>2</v>
      </c>
      <c r="SW82">
        <v>2</v>
      </c>
      <c r="SX82">
        <v>2</v>
      </c>
      <c r="SY82">
        <v>2</v>
      </c>
      <c r="SZ82">
        <v>2</v>
      </c>
      <c r="TA82">
        <v>2</v>
      </c>
      <c r="TB82">
        <v>2</v>
      </c>
      <c r="TC82">
        <v>2</v>
      </c>
      <c r="TD82">
        <v>2</v>
      </c>
      <c r="TE82">
        <v>2</v>
      </c>
      <c r="TF82">
        <v>2</v>
      </c>
      <c r="TG82">
        <v>2</v>
      </c>
      <c r="TH82">
        <v>2</v>
      </c>
      <c r="TI82">
        <v>2</v>
      </c>
      <c r="TJ82">
        <v>2</v>
      </c>
      <c r="TK82">
        <v>2</v>
      </c>
      <c r="TL82">
        <v>2</v>
      </c>
      <c r="TM82">
        <v>2</v>
      </c>
      <c r="TN82">
        <v>2</v>
      </c>
      <c r="TO82">
        <v>2</v>
      </c>
      <c r="TP82">
        <v>2</v>
      </c>
      <c r="TQ82">
        <v>2</v>
      </c>
      <c r="TR82">
        <v>2</v>
      </c>
      <c r="TS82">
        <v>2</v>
      </c>
      <c r="TT82">
        <v>2</v>
      </c>
      <c r="TU82">
        <v>2</v>
      </c>
      <c r="TV82">
        <v>2</v>
      </c>
      <c r="TW82">
        <v>2</v>
      </c>
      <c r="TX82">
        <v>2</v>
      </c>
      <c r="TY82">
        <v>2</v>
      </c>
      <c r="TZ82">
        <v>2</v>
      </c>
      <c r="UA82">
        <v>2</v>
      </c>
      <c r="UB82">
        <v>2</v>
      </c>
      <c r="UC82">
        <v>2</v>
      </c>
      <c r="UD82">
        <v>2</v>
      </c>
      <c r="UE82">
        <v>2</v>
      </c>
      <c r="UF82">
        <v>2</v>
      </c>
      <c r="UG82">
        <v>2</v>
      </c>
      <c r="UH82">
        <v>2</v>
      </c>
      <c r="UI82">
        <v>2</v>
      </c>
      <c r="UJ82">
        <v>2</v>
      </c>
      <c r="UK82">
        <v>2</v>
      </c>
      <c r="UL82">
        <v>2</v>
      </c>
      <c r="UM82">
        <v>2</v>
      </c>
      <c r="UN82">
        <v>2</v>
      </c>
      <c r="UO82">
        <v>2</v>
      </c>
      <c r="UP82">
        <v>2</v>
      </c>
      <c r="UQ82">
        <v>2</v>
      </c>
      <c r="UR82">
        <v>2</v>
      </c>
      <c r="US82">
        <v>2</v>
      </c>
      <c r="UT82">
        <v>2</v>
      </c>
      <c r="UU82">
        <v>2</v>
      </c>
      <c r="UV82">
        <v>2</v>
      </c>
      <c r="UW82">
        <v>2</v>
      </c>
      <c r="UX82">
        <v>2</v>
      </c>
      <c r="UY82">
        <v>2</v>
      </c>
      <c r="UZ82">
        <v>2</v>
      </c>
      <c r="VA82">
        <v>2</v>
      </c>
      <c r="VB82">
        <v>2</v>
      </c>
      <c r="VC82">
        <v>2</v>
      </c>
      <c r="VD82">
        <v>2</v>
      </c>
      <c r="VE82">
        <v>2</v>
      </c>
      <c r="VF82">
        <v>2</v>
      </c>
      <c r="VG82">
        <v>2</v>
      </c>
      <c r="VH82">
        <v>2</v>
      </c>
      <c r="VI82">
        <v>2</v>
      </c>
      <c r="VJ82">
        <v>2</v>
      </c>
      <c r="VK82">
        <v>2</v>
      </c>
      <c r="VL82">
        <v>2</v>
      </c>
      <c r="VM82">
        <v>2</v>
      </c>
      <c r="VN82">
        <v>2</v>
      </c>
      <c r="VO82">
        <v>2</v>
      </c>
      <c r="VP82">
        <v>2</v>
      </c>
      <c r="VQ82">
        <v>2</v>
      </c>
      <c r="VR82">
        <v>2</v>
      </c>
      <c r="VS82">
        <v>2</v>
      </c>
      <c r="VT82">
        <v>2</v>
      </c>
      <c r="VU82">
        <v>2</v>
      </c>
      <c r="VV82">
        <v>2</v>
      </c>
      <c r="VW82">
        <v>2</v>
      </c>
      <c r="VX82">
        <v>2</v>
      </c>
      <c r="VY82">
        <v>2</v>
      </c>
      <c r="VZ82">
        <v>2</v>
      </c>
      <c r="WA82">
        <v>2</v>
      </c>
      <c r="WB82">
        <v>2</v>
      </c>
      <c r="WC82">
        <v>2</v>
      </c>
      <c r="WD82">
        <v>2</v>
      </c>
      <c r="WE82">
        <v>2</v>
      </c>
      <c r="WF82">
        <v>2</v>
      </c>
      <c r="WG82">
        <v>2</v>
      </c>
      <c r="WH82">
        <v>2</v>
      </c>
      <c r="WI82">
        <v>2</v>
      </c>
      <c r="WJ82">
        <v>2</v>
      </c>
      <c r="WK82">
        <v>2</v>
      </c>
      <c r="WL82">
        <v>2</v>
      </c>
      <c r="WM82">
        <v>2</v>
      </c>
      <c r="WN82">
        <v>2</v>
      </c>
      <c r="WO82">
        <v>2</v>
      </c>
      <c r="WP82">
        <v>2</v>
      </c>
      <c r="WQ82">
        <v>2</v>
      </c>
      <c r="WR82">
        <v>2</v>
      </c>
      <c r="WS82">
        <v>2</v>
      </c>
      <c r="WT82">
        <v>2</v>
      </c>
      <c r="WU82">
        <v>2</v>
      </c>
      <c r="WV82">
        <v>2</v>
      </c>
      <c r="WW82">
        <v>2</v>
      </c>
      <c r="WX82">
        <v>2</v>
      </c>
      <c r="WY82">
        <v>2</v>
      </c>
      <c r="WZ82">
        <v>2</v>
      </c>
      <c r="XA82">
        <v>2</v>
      </c>
      <c r="XB82">
        <v>2</v>
      </c>
      <c r="XC82">
        <v>2</v>
      </c>
      <c r="XD82">
        <v>2</v>
      </c>
      <c r="XE82">
        <v>2</v>
      </c>
      <c r="XF82">
        <v>2</v>
      </c>
      <c r="XG82">
        <v>2</v>
      </c>
      <c r="XH82">
        <v>2</v>
      </c>
      <c r="XI82">
        <v>2</v>
      </c>
      <c r="XJ82">
        <v>2</v>
      </c>
      <c r="XK82">
        <v>2</v>
      </c>
      <c r="XL82">
        <v>2</v>
      </c>
      <c r="XM82">
        <v>2</v>
      </c>
      <c r="XN82">
        <v>2</v>
      </c>
      <c r="XO82">
        <v>2</v>
      </c>
      <c r="XP82">
        <v>2</v>
      </c>
      <c r="XQ82">
        <v>2</v>
      </c>
      <c r="XR82">
        <v>2</v>
      </c>
      <c r="XS82">
        <v>2</v>
      </c>
      <c r="XT82">
        <v>2</v>
      </c>
      <c r="XU82">
        <v>2</v>
      </c>
      <c r="XV82">
        <v>2</v>
      </c>
      <c r="XW82">
        <v>2</v>
      </c>
      <c r="XX82">
        <v>2</v>
      </c>
      <c r="XY82">
        <v>2</v>
      </c>
      <c r="XZ82">
        <v>2</v>
      </c>
      <c r="YA82">
        <v>2</v>
      </c>
      <c r="YB82">
        <v>2</v>
      </c>
      <c r="YC82">
        <v>2</v>
      </c>
      <c r="YD82">
        <v>2</v>
      </c>
      <c r="YE82">
        <v>2</v>
      </c>
      <c r="YF82">
        <v>2</v>
      </c>
      <c r="YG82">
        <v>2</v>
      </c>
      <c r="YH82">
        <v>2</v>
      </c>
      <c r="YI82">
        <v>2</v>
      </c>
      <c r="YJ82">
        <v>2</v>
      </c>
      <c r="YK82">
        <v>2</v>
      </c>
      <c r="YL82">
        <v>2</v>
      </c>
      <c r="YM82">
        <v>2</v>
      </c>
      <c r="YN82">
        <v>2</v>
      </c>
      <c r="YO82">
        <v>2</v>
      </c>
      <c r="YP82">
        <v>2</v>
      </c>
      <c r="YQ82">
        <v>2</v>
      </c>
      <c r="YR82">
        <v>2</v>
      </c>
      <c r="YS82">
        <v>2</v>
      </c>
      <c r="YT82">
        <v>2</v>
      </c>
      <c r="YU82">
        <v>2</v>
      </c>
      <c r="YV82">
        <v>2</v>
      </c>
      <c r="YW82">
        <v>2</v>
      </c>
      <c r="YX82">
        <v>2</v>
      </c>
      <c r="YY82">
        <v>2</v>
      </c>
      <c r="YZ82">
        <v>2</v>
      </c>
      <c r="ZA82">
        <v>2</v>
      </c>
      <c r="ZB82">
        <v>2</v>
      </c>
      <c r="ZC82">
        <v>2</v>
      </c>
      <c r="ZD82">
        <v>2</v>
      </c>
      <c r="ZE82">
        <v>2</v>
      </c>
      <c r="ZF82">
        <v>2</v>
      </c>
      <c r="ZG82">
        <v>2</v>
      </c>
      <c r="ZH82">
        <v>2</v>
      </c>
      <c r="ZI82">
        <v>2</v>
      </c>
      <c r="ZJ82">
        <v>2</v>
      </c>
      <c r="ZK82">
        <v>2</v>
      </c>
      <c r="ZL82">
        <v>2</v>
      </c>
      <c r="ZM82">
        <v>2</v>
      </c>
      <c r="ZN82">
        <v>2</v>
      </c>
      <c r="ZO82">
        <v>2</v>
      </c>
      <c r="ZP82">
        <v>2</v>
      </c>
      <c r="ZQ82">
        <v>2</v>
      </c>
      <c r="ZR82">
        <v>2</v>
      </c>
      <c r="ZS82">
        <v>2</v>
      </c>
      <c r="ZT82">
        <v>2</v>
      </c>
      <c r="ZU82">
        <v>2</v>
      </c>
      <c r="ZV82">
        <v>2</v>
      </c>
      <c r="ZW82">
        <v>2</v>
      </c>
      <c r="ZX82">
        <v>2</v>
      </c>
      <c r="ZY82">
        <v>2</v>
      </c>
      <c r="ZZ82">
        <v>2</v>
      </c>
      <c r="AAA82">
        <v>2</v>
      </c>
      <c r="AAB82">
        <v>2</v>
      </c>
      <c r="AAC82">
        <v>2</v>
      </c>
      <c r="AAD82">
        <v>2</v>
      </c>
      <c r="AAE82">
        <v>2</v>
      </c>
      <c r="AAF82">
        <v>2</v>
      </c>
      <c r="AAG82">
        <v>2</v>
      </c>
      <c r="AAH82">
        <v>2</v>
      </c>
      <c r="AAI82">
        <v>2</v>
      </c>
      <c r="AAJ82">
        <v>2</v>
      </c>
      <c r="AAK82">
        <v>2</v>
      </c>
      <c r="AAL82">
        <v>2</v>
      </c>
      <c r="AAM82">
        <v>2</v>
      </c>
      <c r="AAN82">
        <v>2</v>
      </c>
      <c r="AAO82">
        <v>2</v>
      </c>
      <c r="AAP82">
        <v>2</v>
      </c>
      <c r="AAQ82">
        <v>2</v>
      </c>
      <c r="AAR82">
        <v>2</v>
      </c>
      <c r="AAS82">
        <v>2</v>
      </c>
      <c r="AAT82">
        <v>2</v>
      </c>
      <c r="AAU82">
        <v>2</v>
      </c>
      <c r="AAV82">
        <v>2</v>
      </c>
      <c r="AAW82">
        <v>2</v>
      </c>
      <c r="AAX82">
        <v>2</v>
      </c>
      <c r="AAY82">
        <v>2</v>
      </c>
      <c r="AAZ82">
        <v>2</v>
      </c>
      <c r="ABA82">
        <v>2</v>
      </c>
      <c r="ABB82">
        <v>2</v>
      </c>
      <c r="ABC82">
        <v>2</v>
      </c>
      <c r="ABD82">
        <v>2</v>
      </c>
      <c r="ABE82">
        <v>2</v>
      </c>
      <c r="ABG82" s="1137">
        <f t="shared" si="19"/>
        <v>0</v>
      </c>
      <c r="ABH82" s="1137">
        <f t="shared" si="19"/>
        <v>0</v>
      </c>
      <c r="ABI82" s="1137">
        <f t="shared" si="19"/>
        <v>16</v>
      </c>
      <c r="ABJ82" s="1137">
        <f t="shared" si="19"/>
        <v>30</v>
      </c>
      <c r="ABK82" s="1137">
        <f t="shared" si="19"/>
        <v>31</v>
      </c>
      <c r="ABL82" s="1137">
        <f t="shared" si="19"/>
        <v>30</v>
      </c>
      <c r="ABM82" s="1137">
        <f t="shared" si="19"/>
        <v>31</v>
      </c>
      <c r="ABN82" s="1137">
        <f t="shared" si="19"/>
        <v>31</v>
      </c>
      <c r="ABO82" s="1137">
        <f t="shared" si="19"/>
        <v>30</v>
      </c>
      <c r="ABP82" s="1137">
        <f t="shared" si="19"/>
        <v>31</v>
      </c>
      <c r="ABQ82" s="1137">
        <f t="shared" si="19"/>
        <v>30</v>
      </c>
      <c r="ABR82" s="1137">
        <f t="shared" si="19"/>
        <v>31</v>
      </c>
      <c r="ABS82" s="1137">
        <f t="shared" si="19"/>
        <v>26</v>
      </c>
      <c r="ABT82" s="1137">
        <f t="shared" si="19"/>
        <v>5</v>
      </c>
      <c r="ABU82" s="1137">
        <f t="shared" si="19"/>
        <v>8</v>
      </c>
      <c r="ABV82" s="1137">
        <f t="shared" si="19"/>
        <v>28</v>
      </c>
      <c r="ABW82" s="1137">
        <f t="shared" si="17"/>
        <v>31</v>
      </c>
      <c r="ABX82" s="1137">
        <f t="shared" si="14"/>
        <v>30</v>
      </c>
      <c r="ABY82" s="1137">
        <f t="shared" si="14"/>
        <v>31</v>
      </c>
      <c r="ABZ82" s="1137">
        <f t="shared" si="14"/>
        <v>31</v>
      </c>
      <c r="ACA82" s="1137">
        <f t="shared" si="14"/>
        <v>30</v>
      </c>
      <c r="ACB82" s="1137">
        <f t="shared" si="14"/>
        <v>31</v>
      </c>
      <c r="ACC82" s="1137">
        <f t="shared" si="14"/>
        <v>30</v>
      </c>
      <c r="ACD82" s="1137">
        <f t="shared" si="14"/>
        <v>31</v>
      </c>
      <c r="ACE82" s="1137" t="s">
        <v>36</v>
      </c>
      <c r="ACF82" s="1137">
        <f t="shared" si="20"/>
        <v>0</v>
      </c>
      <c r="ACG82" s="1137">
        <f t="shared" si="20"/>
        <v>0</v>
      </c>
      <c r="ACH82" s="1137">
        <f t="shared" si="20"/>
        <v>1</v>
      </c>
      <c r="ACI82" s="1137">
        <f t="shared" si="20"/>
        <v>1</v>
      </c>
      <c r="ACJ82" s="1137">
        <f t="shared" si="20"/>
        <v>1</v>
      </c>
      <c r="ACK82" s="1137">
        <f t="shared" si="20"/>
        <v>1</v>
      </c>
      <c r="ACL82" s="1137">
        <f t="shared" si="20"/>
        <v>1</v>
      </c>
      <c r="ACM82" s="1137">
        <f t="shared" si="20"/>
        <v>1</v>
      </c>
      <c r="ACN82" s="1137">
        <f t="shared" si="20"/>
        <v>1</v>
      </c>
      <c r="ACO82" s="1137">
        <f t="shared" si="20"/>
        <v>1</v>
      </c>
      <c r="ACP82" s="1137">
        <f t="shared" si="20"/>
        <v>1</v>
      </c>
      <c r="ACQ82" s="1137">
        <f t="shared" si="20"/>
        <v>1</v>
      </c>
      <c r="ACR82" s="1137">
        <f t="shared" si="20"/>
        <v>1</v>
      </c>
      <c r="ACS82" s="1137">
        <f t="shared" si="20"/>
        <v>0</v>
      </c>
      <c r="ACT82" s="1137">
        <f t="shared" si="20"/>
        <v>0</v>
      </c>
      <c r="ACU82" s="1137">
        <f t="shared" si="12"/>
        <v>1</v>
      </c>
      <c r="ACV82" s="1137">
        <f t="shared" si="12"/>
        <v>1</v>
      </c>
      <c r="ACW82" s="1137">
        <f t="shared" si="12"/>
        <v>1</v>
      </c>
      <c r="ACX82" s="1137">
        <f t="shared" si="12"/>
        <v>1</v>
      </c>
      <c r="ACY82" s="1137">
        <f t="shared" si="12"/>
        <v>1</v>
      </c>
      <c r="ACZ82" s="1137">
        <f t="shared" si="12"/>
        <v>1</v>
      </c>
      <c r="ADA82" s="1137">
        <f t="shared" si="12"/>
        <v>1</v>
      </c>
      <c r="ADB82" s="1137">
        <f t="shared" si="16"/>
        <v>1</v>
      </c>
      <c r="ADC82" s="1137">
        <f t="shared" si="16"/>
        <v>1</v>
      </c>
    </row>
    <row r="83" spans="1:783" x14ac:dyDescent="0.25">
      <c r="A83" t="s">
        <v>1880</v>
      </c>
      <c r="B83" t="s">
        <v>198</v>
      </c>
      <c r="C83">
        <v>0</v>
      </c>
      <c r="D83">
        <v>0</v>
      </c>
      <c r="E83">
        <v>0</v>
      </c>
      <c r="F83">
        <v>0</v>
      </c>
      <c r="G83">
        <v>0</v>
      </c>
      <c r="H83">
        <v>0</v>
      </c>
      <c r="I83">
        <v>0</v>
      </c>
      <c r="J83">
        <v>0</v>
      </c>
      <c r="K83">
        <v>0</v>
      </c>
      <c r="L83">
        <v>0</v>
      </c>
      <c r="M83">
        <v>0</v>
      </c>
      <c r="N83">
        <v>0</v>
      </c>
      <c r="O83">
        <v>0</v>
      </c>
      <c r="P83">
        <v>0</v>
      </c>
      <c r="Q83">
        <v>0</v>
      </c>
      <c r="R83">
        <v>0</v>
      </c>
      <c r="S83">
        <v>0</v>
      </c>
      <c r="T83">
        <v>0</v>
      </c>
      <c r="U83">
        <v>0</v>
      </c>
      <c r="V83">
        <v>0</v>
      </c>
      <c r="W83">
        <v>0</v>
      </c>
      <c r="X83">
        <v>0</v>
      </c>
      <c r="Y83">
        <v>0</v>
      </c>
      <c r="Z83">
        <v>0</v>
      </c>
      <c r="AA83">
        <v>0</v>
      </c>
      <c r="AB83">
        <v>0</v>
      </c>
      <c r="AC83">
        <v>0</v>
      </c>
      <c r="AD83">
        <v>0</v>
      </c>
      <c r="AE83">
        <v>0</v>
      </c>
      <c r="AF83">
        <v>0</v>
      </c>
      <c r="AG83">
        <v>0</v>
      </c>
      <c r="AH83">
        <v>0</v>
      </c>
      <c r="AI83">
        <v>0</v>
      </c>
      <c r="AJ83">
        <v>0</v>
      </c>
      <c r="AK83">
        <v>0</v>
      </c>
      <c r="AL83">
        <v>0</v>
      </c>
      <c r="AM83">
        <v>0</v>
      </c>
      <c r="AN83">
        <v>0</v>
      </c>
      <c r="AO83">
        <v>0</v>
      </c>
      <c r="AP83">
        <v>0</v>
      </c>
      <c r="AQ83">
        <v>0</v>
      </c>
      <c r="AR83">
        <v>0</v>
      </c>
      <c r="AS83">
        <v>0</v>
      </c>
      <c r="AT83">
        <v>0</v>
      </c>
      <c r="AU83">
        <v>0</v>
      </c>
      <c r="AV83">
        <v>0</v>
      </c>
      <c r="AW83">
        <v>0</v>
      </c>
      <c r="AX83">
        <v>0</v>
      </c>
      <c r="AY83">
        <v>0</v>
      </c>
      <c r="AZ83">
        <v>0</v>
      </c>
      <c r="BA83">
        <v>0</v>
      </c>
      <c r="BB83">
        <v>0</v>
      </c>
      <c r="BC83">
        <v>0</v>
      </c>
      <c r="BD83">
        <v>0</v>
      </c>
      <c r="BE83">
        <v>0</v>
      </c>
      <c r="BF83">
        <v>0</v>
      </c>
      <c r="BG83">
        <v>0</v>
      </c>
      <c r="BH83">
        <v>0</v>
      </c>
      <c r="BI83">
        <v>0</v>
      </c>
      <c r="BJ83">
        <v>0</v>
      </c>
      <c r="BK83">
        <v>0</v>
      </c>
      <c r="BL83">
        <v>0</v>
      </c>
      <c r="BM83">
        <v>0</v>
      </c>
      <c r="BN83">
        <v>0</v>
      </c>
      <c r="BO83">
        <v>0</v>
      </c>
      <c r="BP83">
        <v>0</v>
      </c>
      <c r="BQ83">
        <v>0</v>
      </c>
      <c r="BR83">
        <v>0</v>
      </c>
      <c r="BS83">
        <v>0</v>
      </c>
      <c r="BT83">
        <v>0</v>
      </c>
      <c r="BU83">
        <v>0</v>
      </c>
      <c r="BV83">
        <v>0</v>
      </c>
      <c r="BW83">
        <v>0</v>
      </c>
      <c r="BX83">
        <v>0</v>
      </c>
      <c r="BY83">
        <v>0</v>
      </c>
      <c r="BZ83">
        <v>0</v>
      </c>
      <c r="CA83">
        <v>0</v>
      </c>
      <c r="CB83">
        <v>0</v>
      </c>
      <c r="CC83">
        <v>0</v>
      </c>
      <c r="CD83">
        <v>0</v>
      </c>
      <c r="CE83">
        <v>0</v>
      </c>
      <c r="CF83">
        <v>0</v>
      </c>
      <c r="CG83">
        <v>0</v>
      </c>
      <c r="CH83">
        <v>0</v>
      </c>
      <c r="CI83">
        <v>0</v>
      </c>
      <c r="CJ83">
        <v>1</v>
      </c>
      <c r="CK83">
        <v>1</v>
      </c>
      <c r="CL83">
        <v>2</v>
      </c>
      <c r="CM83">
        <v>2</v>
      </c>
      <c r="CN83">
        <v>2</v>
      </c>
      <c r="CO83">
        <v>2</v>
      </c>
      <c r="CP83">
        <v>2</v>
      </c>
      <c r="CQ83">
        <v>2</v>
      </c>
      <c r="CR83">
        <v>2</v>
      </c>
      <c r="CS83">
        <v>2</v>
      </c>
      <c r="CT83">
        <v>2</v>
      </c>
      <c r="CU83">
        <v>2</v>
      </c>
      <c r="CV83">
        <v>2</v>
      </c>
      <c r="CW83">
        <v>2</v>
      </c>
      <c r="CX83">
        <v>2</v>
      </c>
      <c r="CY83">
        <v>2</v>
      </c>
      <c r="CZ83">
        <v>2</v>
      </c>
      <c r="DA83">
        <v>2</v>
      </c>
      <c r="DB83">
        <v>2</v>
      </c>
      <c r="DC83">
        <v>2</v>
      </c>
      <c r="DD83">
        <v>2</v>
      </c>
      <c r="DE83">
        <v>2</v>
      </c>
      <c r="DF83">
        <v>2</v>
      </c>
      <c r="DG83">
        <v>2</v>
      </c>
      <c r="DH83">
        <v>2</v>
      </c>
      <c r="DI83">
        <v>2</v>
      </c>
      <c r="DJ83">
        <v>2</v>
      </c>
      <c r="DK83">
        <v>2</v>
      </c>
      <c r="DL83">
        <v>2</v>
      </c>
      <c r="DM83">
        <v>2</v>
      </c>
      <c r="DN83">
        <v>2</v>
      </c>
      <c r="DO83">
        <v>2</v>
      </c>
      <c r="DP83">
        <v>2</v>
      </c>
      <c r="DQ83">
        <v>2</v>
      </c>
      <c r="DR83">
        <v>2</v>
      </c>
      <c r="DS83">
        <v>2</v>
      </c>
      <c r="DT83">
        <v>2</v>
      </c>
      <c r="DU83">
        <v>2</v>
      </c>
      <c r="DV83">
        <v>2</v>
      </c>
      <c r="DW83">
        <v>2</v>
      </c>
      <c r="DX83">
        <v>2</v>
      </c>
      <c r="DY83">
        <v>2</v>
      </c>
      <c r="DZ83">
        <v>2</v>
      </c>
      <c r="EA83">
        <v>2</v>
      </c>
      <c r="EB83">
        <v>2</v>
      </c>
      <c r="EC83">
        <v>2</v>
      </c>
      <c r="ED83">
        <v>2</v>
      </c>
      <c r="EE83">
        <v>2</v>
      </c>
      <c r="EF83">
        <v>2</v>
      </c>
      <c r="EG83">
        <v>2</v>
      </c>
      <c r="EH83">
        <v>2</v>
      </c>
      <c r="EI83">
        <v>2</v>
      </c>
      <c r="EJ83">
        <v>2</v>
      </c>
      <c r="EK83">
        <v>2</v>
      </c>
      <c r="EL83">
        <v>2</v>
      </c>
      <c r="EM83">
        <v>2</v>
      </c>
      <c r="EN83">
        <v>2</v>
      </c>
      <c r="EO83">
        <v>2</v>
      </c>
      <c r="EP83">
        <v>2</v>
      </c>
      <c r="EQ83">
        <v>2</v>
      </c>
      <c r="ER83">
        <v>2</v>
      </c>
      <c r="ES83">
        <v>2</v>
      </c>
      <c r="ET83">
        <v>2</v>
      </c>
      <c r="EU83">
        <v>2</v>
      </c>
      <c r="EV83">
        <v>2</v>
      </c>
      <c r="EW83">
        <v>2</v>
      </c>
      <c r="EX83">
        <v>2</v>
      </c>
      <c r="EY83">
        <v>2</v>
      </c>
      <c r="EZ83">
        <v>2</v>
      </c>
      <c r="FA83">
        <v>2</v>
      </c>
      <c r="FB83">
        <v>2</v>
      </c>
      <c r="FC83">
        <v>2</v>
      </c>
      <c r="FD83">
        <v>2</v>
      </c>
      <c r="FE83">
        <v>2</v>
      </c>
      <c r="FF83">
        <v>2</v>
      </c>
      <c r="FG83">
        <v>2</v>
      </c>
      <c r="FH83">
        <v>2</v>
      </c>
      <c r="FI83">
        <v>2</v>
      </c>
      <c r="FJ83">
        <v>2</v>
      </c>
      <c r="FK83">
        <v>2</v>
      </c>
      <c r="FL83">
        <v>2</v>
      </c>
      <c r="FM83">
        <v>2</v>
      </c>
      <c r="FN83">
        <v>2</v>
      </c>
      <c r="FO83">
        <v>2</v>
      </c>
      <c r="FP83">
        <v>2</v>
      </c>
      <c r="FQ83">
        <v>2</v>
      </c>
      <c r="FR83">
        <v>2</v>
      </c>
      <c r="FS83">
        <v>2</v>
      </c>
      <c r="FT83">
        <v>2</v>
      </c>
      <c r="FU83">
        <v>2</v>
      </c>
      <c r="FV83">
        <v>2</v>
      </c>
      <c r="FW83">
        <v>2</v>
      </c>
      <c r="FX83">
        <v>0</v>
      </c>
      <c r="FY83">
        <v>0</v>
      </c>
      <c r="FZ83">
        <v>0</v>
      </c>
      <c r="GA83">
        <v>0</v>
      </c>
      <c r="GB83">
        <v>0</v>
      </c>
      <c r="GC83">
        <v>0</v>
      </c>
      <c r="GD83">
        <v>0</v>
      </c>
      <c r="GE83">
        <v>0</v>
      </c>
      <c r="GF83">
        <v>0</v>
      </c>
      <c r="GG83">
        <v>0</v>
      </c>
      <c r="GH83">
        <v>0</v>
      </c>
      <c r="GI83">
        <v>0</v>
      </c>
      <c r="GJ83">
        <v>0</v>
      </c>
      <c r="GK83">
        <v>0</v>
      </c>
      <c r="GL83">
        <v>0</v>
      </c>
      <c r="GM83">
        <v>0</v>
      </c>
      <c r="GN83">
        <v>0</v>
      </c>
      <c r="GO83">
        <v>0</v>
      </c>
      <c r="GP83">
        <v>0</v>
      </c>
      <c r="GQ83">
        <v>0</v>
      </c>
      <c r="GR83">
        <v>0</v>
      </c>
      <c r="GS83">
        <v>0</v>
      </c>
      <c r="GT83">
        <v>0</v>
      </c>
      <c r="GU83">
        <v>0</v>
      </c>
      <c r="GV83">
        <v>0</v>
      </c>
      <c r="GW83">
        <v>0</v>
      </c>
      <c r="GX83">
        <v>0</v>
      </c>
      <c r="GY83">
        <v>0</v>
      </c>
      <c r="GZ83">
        <v>0</v>
      </c>
      <c r="HA83">
        <v>0</v>
      </c>
      <c r="HB83">
        <v>0</v>
      </c>
      <c r="HC83">
        <v>0</v>
      </c>
      <c r="HD83">
        <v>0</v>
      </c>
      <c r="HE83">
        <v>0</v>
      </c>
      <c r="HF83">
        <v>0</v>
      </c>
      <c r="HG83">
        <v>0</v>
      </c>
      <c r="HH83">
        <v>0</v>
      </c>
      <c r="HI83">
        <v>0</v>
      </c>
      <c r="HJ83">
        <v>0</v>
      </c>
      <c r="HK83">
        <v>0</v>
      </c>
      <c r="HL83">
        <v>0</v>
      </c>
      <c r="HM83">
        <v>0</v>
      </c>
      <c r="HN83">
        <v>0</v>
      </c>
      <c r="HO83">
        <v>2</v>
      </c>
      <c r="HP83">
        <v>2</v>
      </c>
      <c r="HQ83">
        <v>2</v>
      </c>
      <c r="HR83">
        <v>2</v>
      </c>
      <c r="HS83">
        <v>2</v>
      </c>
      <c r="HT83">
        <v>2</v>
      </c>
      <c r="HU83">
        <v>2</v>
      </c>
      <c r="HV83">
        <v>2</v>
      </c>
      <c r="HW83">
        <v>2</v>
      </c>
      <c r="HX83">
        <v>2</v>
      </c>
      <c r="HY83">
        <v>2</v>
      </c>
      <c r="HZ83">
        <v>2</v>
      </c>
      <c r="IA83">
        <v>2</v>
      </c>
      <c r="IB83">
        <v>2</v>
      </c>
      <c r="IC83">
        <v>2</v>
      </c>
      <c r="ID83">
        <v>2</v>
      </c>
      <c r="IE83">
        <v>2</v>
      </c>
      <c r="IF83">
        <v>2</v>
      </c>
      <c r="IG83">
        <v>2</v>
      </c>
      <c r="IH83">
        <v>2</v>
      </c>
      <c r="II83">
        <v>2</v>
      </c>
      <c r="IJ83">
        <v>2</v>
      </c>
      <c r="IK83">
        <v>2</v>
      </c>
      <c r="IL83">
        <v>2</v>
      </c>
      <c r="IM83">
        <v>2</v>
      </c>
      <c r="IN83">
        <v>2</v>
      </c>
      <c r="IO83">
        <v>2</v>
      </c>
      <c r="IP83">
        <v>2</v>
      </c>
      <c r="IQ83">
        <v>2</v>
      </c>
      <c r="IR83">
        <v>2</v>
      </c>
      <c r="IS83">
        <v>2</v>
      </c>
      <c r="IT83">
        <v>2</v>
      </c>
      <c r="IU83">
        <v>2</v>
      </c>
      <c r="IV83">
        <v>2</v>
      </c>
      <c r="IW83">
        <v>2</v>
      </c>
      <c r="IX83">
        <v>2</v>
      </c>
      <c r="IY83">
        <v>2</v>
      </c>
      <c r="IZ83">
        <v>2</v>
      </c>
      <c r="JA83">
        <v>2</v>
      </c>
      <c r="JB83">
        <v>2</v>
      </c>
      <c r="JC83">
        <v>2</v>
      </c>
      <c r="JD83">
        <v>1</v>
      </c>
      <c r="JE83">
        <v>1</v>
      </c>
      <c r="JF83">
        <v>1</v>
      </c>
      <c r="JG83">
        <v>1</v>
      </c>
      <c r="JH83">
        <v>1</v>
      </c>
      <c r="JI83">
        <v>1</v>
      </c>
      <c r="JJ83">
        <v>1</v>
      </c>
      <c r="JK83">
        <v>1</v>
      </c>
      <c r="JL83">
        <v>1</v>
      </c>
      <c r="JM83">
        <v>1</v>
      </c>
      <c r="JN83">
        <v>1</v>
      </c>
      <c r="JO83">
        <v>1</v>
      </c>
      <c r="JP83">
        <v>1</v>
      </c>
      <c r="JQ83">
        <v>1</v>
      </c>
      <c r="JR83">
        <v>1</v>
      </c>
      <c r="JS83">
        <v>1</v>
      </c>
      <c r="JT83">
        <v>1</v>
      </c>
      <c r="JU83">
        <v>1</v>
      </c>
      <c r="JV83">
        <v>1</v>
      </c>
      <c r="JW83">
        <v>1</v>
      </c>
      <c r="JX83">
        <v>1</v>
      </c>
      <c r="JY83">
        <v>1</v>
      </c>
      <c r="JZ83">
        <v>1</v>
      </c>
      <c r="KA83">
        <v>1</v>
      </c>
      <c r="KB83">
        <v>1</v>
      </c>
      <c r="KC83">
        <v>1</v>
      </c>
      <c r="KD83">
        <v>1</v>
      </c>
      <c r="KE83">
        <v>1</v>
      </c>
      <c r="KF83">
        <v>1</v>
      </c>
      <c r="KG83">
        <v>1</v>
      </c>
      <c r="KH83">
        <v>1</v>
      </c>
      <c r="KI83">
        <v>1</v>
      </c>
      <c r="KJ83">
        <v>1</v>
      </c>
      <c r="KK83">
        <v>2</v>
      </c>
      <c r="KL83">
        <v>2</v>
      </c>
      <c r="KM83">
        <v>2</v>
      </c>
      <c r="KN83">
        <v>2</v>
      </c>
      <c r="KO83">
        <v>2</v>
      </c>
      <c r="KP83">
        <v>2</v>
      </c>
      <c r="KQ83">
        <v>2</v>
      </c>
      <c r="KR83">
        <v>2</v>
      </c>
      <c r="KS83">
        <v>2</v>
      </c>
      <c r="KT83">
        <v>2</v>
      </c>
      <c r="KU83">
        <v>2</v>
      </c>
      <c r="KV83">
        <v>2</v>
      </c>
      <c r="KW83">
        <v>2</v>
      </c>
      <c r="KX83">
        <v>2</v>
      </c>
      <c r="KY83">
        <v>2</v>
      </c>
      <c r="KZ83">
        <v>2</v>
      </c>
      <c r="LA83">
        <v>2</v>
      </c>
      <c r="LB83">
        <v>2</v>
      </c>
      <c r="LC83">
        <v>2</v>
      </c>
      <c r="LD83">
        <v>2</v>
      </c>
      <c r="LE83">
        <v>2</v>
      </c>
      <c r="LF83">
        <v>2</v>
      </c>
      <c r="LG83">
        <v>2</v>
      </c>
      <c r="LH83">
        <v>2</v>
      </c>
      <c r="LI83">
        <v>2</v>
      </c>
      <c r="LJ83">
        <v>2</v>
      </c>
      <c r="LK83">
        <v>2</v>
      </c>
      <c r="LL83">
        <v>2</v>
      </c>
      <c r="LM83">
        <v>2</v>
      </c>
      <c r="LN83">
        <v>2</v>
      </c>
      <c r="LO83">
        <v>2</v>
      </c>
      <c r="LP83">
        <v>2</v>
      </c>
      <c r="LQ83">
        <v>2</v>
      </c>
      <c r="LR83">
        <v>2</v>
      </c>
      <c r="LS83">
        <v>2</v>
      </c>
      <c r="LT83">
        <v>2</v>
      </c>
      <c r="LU83">
        <v>2</v>
      </c>
      <c r="LV83">
        <v>2</v>
      </c>
      <c r="LW83">
        <v>2</v>
      </c>
      <c r="LX83">
        <v>2</v>
      </c>
      <c r="LY83">
        <v>2</v>
      </c>
      <c r="LZ83">
        <v>2</v>
      </c>
      <c r="MA83">
        <v>2</v>
      </c>
      <c r="MB83">
        <v>2</v>
      </c>
      <c r="MC83">
        <v>1</v>
      </c>
      <c r="MD83">
        <v>1</v>
      </c>
      <c r="ME83">
        <v>1</v>
      </c>
      <c r="MF83">
        <v>1</v>
      </c>
      <c r="MG83">
        <v>1</v>
      </c>
      <c r="MH83">
        <v>1</v>
      </c>
      <c r="MI83">
        <v>1</v>
      </c>
      <c r="MJ83">
        <v>1</v>
      </c>
      <c r="MK83">
        <v>1</v>
      </c>
      <c r="ML83">
        <v>1</v>
      </c>
      <c r="MM83">
        <v>1</v>
      </c>
      <c r="MN83">
        <v>1</v>
      </c>
      <c r="MO83">
        <v>1</v>
      </c>
      <c r="MP83">
        <v>1</v>
      </c>
      <c r="MQ83">
        <v>1</v>
      </c>
      <c r="MR83">
        <v>1</v>
      </c>
      <c r="MS83">
        <v>1</v>
      </c>
      <c r="MT83">
        <v>1</v>
      </c>
      <c r="MU83">
        <v>1</v>
      </c>
      <c r="MV83">
        <v>1</v>
      </c>
      <c r="MW83">
        <v>1</v>
      </c>
      <c r="MX83">
        <v>1</v>
      </c>
      <c r="MY83">
        <v>1</v>
      </c>
      <c r="MZ83">
        <v>2</v>
      </c>
      <c r="NA83">
        <v>2</v>
      </c>
      <c r="NB83">
        <v>2</v>
      </c>
      <c r="NC83">
        <v>2</v>
      </c>
      <c r="ND83">
        <v>2</v>
      </c>
      <c r="NE83">
        <v>2</v>
      </c>
      <c r="NF83">
        <v>2</v>
      </c>
      <c r="NG83">
        <v>2</v>
      </c>
      <c r="NH83">
        <v>2</v>
      </c>
      <c r="NI83">
        <v>2</v>
      </c>
      <c r="NJ83">
        <v>2</v>
      </c>
      <c r="NK83">
        <v>2</v>
      </c>
      <c r="NL83">
        <v>2</v>
      </c>
      <c r="NM83">
        <v>2</v>
      </c>
      <c r="NN83">
        <v>2</v>
      </c>
      <c r="NO83">
        <v>2</v>
      </c>
      <c r="NP83">
        <v>2</v>
      </c>
      <c r="NQ83">
        <v>2</v>
      </c>
      <c r="NR83">
        <v>2</v>
      </c>
      <c r="NS83">
        <v>2</v>
      </c>
      <c r="NT83">
        <v>2</v>
      </c>
      <c r="NU83">
        <v>2</v>
      </c>
      <c r="NV83">
        <v>2</v>
      </c>
      <c r="NW83">
        <v>2</v>
      </c>
      <c r="NX83">
        <v>2</v>
      </c>
      <c r="NY83">
        <v>2</v>
      </c>
      <c r="NZ83">
        <v>2</v>
      </c>
      <c r="OA83">
        <v>2</v>
      </c>
      <c r="OB83">
        <v>2</v>
      </c>
      <c r="OC83">
        <v>2</v>
      </c>
      <c r="OD83">
        <v>2</v>
      </c>
      <c r="OE83">
        <v>2</v>
      </c>
      <c r="OF83">
        <v>2</v>
      </c>
      <c r="OG83">
        <v>2</v>
      </c>
      <c r="OH83">
        <v>2</v>
      </c>
      <c r="OI83">
        <v>2</v>
      </c>
      <c r="OJ83">
        <v>2</v>
      </c>
      <c r="OK83">
        <v>2</v>
      </c>
      <c r="OL83">
        <v>2</v>
      </c>
      <c r="OM83">
        <v>2</v>
      </c>
      <c r="ON83">
        <v>2</v>
      </c>
      <c r="OO83">
        <v>2</v>
      </c>
      <c r="OP83">
        <v>2</v>
      </c>
      <c r="OQ83">
        <v>2</v>
      </c>
      <c r="OR83">
        <v>2</v>
      </c>
      <c r="OS83">
        <v>2</v>
      </c>
      <c r="OT83">
        <v>2</v>
      </c>
      <c r="OU83">
        <v>2</v>
      </c>
      <c r="OV83">
        <v>2</v>
      </c>
      <c r="OW83">
        <v>2</v>
      </c>
      <c r="OX83">
        <v>2</v>
      </c>
      <c r="OY83">
        <v>2</v>
      </c>
      <c r="OZ83">
        <v>2</v>
      </c>
      <c r="PA83">
        <v>2</v>
      </c>
      <c r="PB83">
        <v>2</v>
      </c>
      <c r="PC83">
        <v>2</v>
      </c>
      <c r="PD83">
        <v>2</v>
      </c>
      <c r="PE83">
        <v>2</v>
      </c>
      <c r="PF83">
        <v>2</v>
      </c>
      <c r="PG83">
        <v>2</v>
      </c>
      <c r="PH83">
        <v>2</v>
      </c>
      <c r="PI83">
        <v>2</v>
      </c>
      <c r="PJ83">
        <v>2</v>
      </c>
      <c r="PK83">
        <v>2</v>
      </c>
      <c r="PL83">
        <v>2</v>
      </c>
      <c r="PM83">
        <v>2</v>
      </c>
      <c r="PN83">
        <v>2</v>
      </c>
      <c r="PO83">
        <v>2</v>
      </c>
      <c r="PP83">
        <v>2</v>
      </c>
      <c r="PQ83">
        <v>2</v>
      </c>
      <c r="PR83">
        <v>2</v>
      </c>
      <c r="PS83">
        <v>2</v>
      </c>
      <c r="PT83">
        <v>2</v>
      </c>
      <c r="PU83">
        <v>2</v>
      </c>
      <c r="PV83">
        <v>2</v>
      </c>
      <c r="PW83">
        <v>2</v>
      </c>
      <c r="PX83">
        <v>2</v>
      </c>
      <c r="PY83">
        <v>2</v>
      </c>
      <c r="PZ83">
        <v>2</v>
      </c>
      <c r="QA83">
        <v>2</v>
      </c>
      <c r="QB83">
        <v>2</v>
      </c>
      <c r="QC83">
        <v>2</v>
      </c>
      <c r="QD83">
        <v>2</v>
      </c>
      <c r="QE83">
        <v>2</v>
      </c>
      <c r="QF83">
        <v>2</v>
      </c>
      <c r="QG83">
        <v>2</v>
      </c>
      <c r="QH83">
        <v>2</v>
      </c>
      <c r="QI83">
        <v>2</v>
      </c>
      <c r="QJ83">
        <v>2</v>
      </c>
      <c r="QK83">
        <v>2</v>
      </c>
      <c r="QL83">
        <v>2</v>
      </c>
      <c r="QM83">
        <v>2</v>
      </c>
      <c r="QN83">
        <v>2</v>
      </c>
      <c r="QO83">
        <v>2</v>
      </c>
      <c r="QP83">
        <v>2</v>
      </c>
      <c r="QQ83">
        <v>2</v>
      </c>
      <c r="QR83">
        <v>2</v>
      </c>
      <c r="QS83">
        <v>2</v>
      </c>
      <c r="QT83">
        <v>2</v>
      </c>
      <c r="QU83">
        <v>2</v>
      </c>
      <c r="QV83">
        <v>2</v>
      </c>
      <c r="QW83">
        <v>2</v>
      </c>
      <c r="QX83">
        <v>2</v>
      </c>
      <c r="QY83">
        <v>2</v>
      </c>
      <c r="QZ83">
        <v>2</v>
      </c>
      <c r="RA83">
        <v>2</v>
      </c>
      <c r="RB83">
        <v>2</v>
      </c>
      <c r="RC83">
        <v>2</v>
      </c>
      <c r="RD83">
        <v>2</v>
      </c>
      <c r="RE83">
        <v>2</v>
      </c>
      <c r="RF83">
        <v>2</v>
      </c>
      <c r="RG83">
        <v>2</v>
      </c>
      <c r="RH83">
        <v>2</v>
      </c>
      <c r="RI83">
        <v>2</v>
      </c>
      <c r="RJ83">
        <v>2</v>
      </c>
      <c r="RK83">
        <v>2</v>
      </c>
      <c r="RL83">
        <v>2</v>
      </c>
      <c r="RM83">
        <v>2</v>
      </c>
      <c r="RN83">
        <v>2</v>
      </c>
      <c r="RO83">
        <v>2</v>
      </c>
      <c r="RP83">
        <v>2</v>
      </c>
      <c r="RQ83">
        <v>2</v>
      </c>
      <c r="RR83">
        <v>2</v>
      </c>
      <c r="RS83">
        <v>2</v>
      </c>
      <c r="RT83">
        <v>2</v>
      </c>
      <c r="RU83">
        <v>2</v>
      </c>
      <c r="RV83">
        <v>2</v>
      </c>
      <c r="RW83">
        <v>2</v>
      </c>
      <c r="RX83">
        <v>2</v>
      </c>
      <c r="RY83">
        <v>2</v>
      </c>
      <c r="RZ83">
        <v>2</v>
      </c>
      <c r="SA83">
        <v>2</v>
      </c>
      <c r="SB83">
        <v>2</v>
      </c>
      <c r="SC83">
        <v>2</v>
      </c>
      <c r="SD83">
        <v>0</v>
      </c>
      <c r="SE83">
        <v>0</v>
      </c>
      <c r="SF83">
        <v>0</v>
      </c>
      <c r="SG83">
        <v>0</v>
      </c>
      <c r="SH83">
        <v>0</v>
      </c>
      <c r="SI83">
        <v>0</v>
      </c>
      <c r="SJ83">
        <v>0</v>
      </c>
      <c r="SK83">
        <v>0</v>
      </c>
      <c r="SL83">
        <v>0</v>
      </c>
      <c r="SM83">
        <v>0</v>
      </c>
      <c r="SN83">
        <v>0</v>
      </c>
      <c r="SO83">
        <v>0</v>
      </c>
      <c r="SP83">
        <v>0</v>
      </c>
      <c r="SQ83">
        <v>0</v>
      </c>
      <c r="SR83">
        <v>0</v>
      </c>
      <c r="SS83">
        <v>0</v>
      </c>
      <c r="ST83">
        <v>0</v>
      </c>
      <c r="SU83">
        <v>0</v>
      </c>
      <c r="SV83">
        <v>0</v>
      </c>
      <c r="SW83">
        <v>0</v>
      </c>
      <c r="SX83">
        <v>0</v>
      </c>
      <c r="SY83">
        <v>0</v>
      </c>
      <c r="SZ83">
        <v>0</v>
      </c>
      <c r="TA83">
        <v>0</v>
      </c>
      <c r="TB83">
        <v>0</v>
      </c>
      <c r="TC83">
        <v>0</v>
      </c>
      <c r="TD83">
        <v>0</v>
      </c>
      <c r="TE83">
        <v>0</v>
      </c>
      <c r="TF83">
        <v>0</v>
      </c>
      <c r="TG83">
        <v>0</v>
      </c>
      <c r="TH83">
        <v>0</v>
      </c>
      <c r="TI83">
        <v>0</v>
      </c>
      <c r="TJ83">
        <v>0</v>
      </c>
      <c r="TK83">
        <v>0</v>
      </c>
      <c r="TL83">
        <v>0</v>
      </c>
      <c r="TM83">
        <v>0</v>
      </c>
      <c r="TN83">
        <v>0</v>
      </c>
      <c r="TO83">
        <v>0</v>
      </c>
      <c r="TP83">
        <v>0</v>
      </c>
      <c r="TQ83">
        <v>0</v>
      </c>
      <c r="TR83">
        <v>0</v>
      </c>
      <c r="TS83">
        <v>0</v>
      </c>
      <c r="TT83">
        <v>0</v>
      </c>
      <c r="TU83">
        <v>0</v>
      </c>
      <c r="TV83">
        <v>0</v>
      </c>
      <c r="TW83">
        <v>0</v>
      </c>
      <c r="TX83">
        <v>0</v>
      </c>
      <c r="TY83">
        <v>0</v>
      </c>
      <c r="TZ83">
        <v>0</v>
      </c>
      <c r="UA83">
        <v>0</v>
      </c>
      <c r="UB83">
        <v>0</v>
      </c>
      <c r="UC83">
        <v>0</v>
      </c>
      <c r="UD83">
        <v>0</v>
      </c>
      <c r="UE83">
        <v>0</v>
      </c>
      <c r="UF83">
        <v>0</v>
      </c>
      <c r="UG83">
        <v>0</v>
      </c>
      <c r="UH83">
        <v>0</v>
      </c>
      <c r="UI83">
        <v>0</v>
      </c>
      <c r="UJ83">
        <v>0</v>
      </c>
      <c r="UK83">
        <v>0</v>
      </c>
      <c r="UL83">
        <v>0</v>
      </c>
      <c r="UM83">
        <v>0</v>
      </c>
      <c r="UN83">
        <v>0</v>
      </c>
      <c r="UO83">
        <v>0</v>
      </c>
      <c r="UP83">
        <v>0</v>
      </c>
      <c r="UQ83">
        <v>0</v>
      </c>
      <c r="UR83">
        <v>0</v>
      </c>
      <c r="US83">
        <v>0</v>
      </c>
      <c r="UT83">
        <v>0</v>
      </c>
      <c r="UU83">
        <v>0</v>
      </c>
      <c r="UV83">
        <v>0</v>
      </c>
      <c r="UW83">
        <v>0</v>
      </c>
      <c r="UX83">
        <v>0</v>
      </c>
      <c r="UY83">
        <v>0</v>
      </c>
      <c r="UZ83">
        <v>0</v>
      </c>
      <c r="VA83">
        <v>0</v>
      </c>
      <c r="VB83">
        <v>0</v>
      </c>
      <c r="VC83">
        <v>0</v>
      </c>
      <c r="VD83">
        <v>0</v>
      </c>
      <c r="VE83">
        <v>0</v>
      </c>
      <c r="VF83">
        <v>0</v>
      </c>
      <c r="VG83">
        <v>0</v>
      </c>
      <c r="VH83">
        <v>0</v>
      </c>
      <c r="VI83">
        <v>0</v>
      </c>
      <c r="VJ83">
        <v>0</v>
      </c>
      <c r="VK83">
        <v>0</v>
      </c>
      <c r="VL83">
        <v>0</v>
      </c>
      <c r="VM83">
        <v>0</v>
      </c>
      <c r="VN83">
        <v>0</v>
      </c>
      <c r="VO83">
        <v>0</v>
      </c>
      <c r="VP83">
        <v>0</v>
      </c>
      <c r="VQ83">
        <v>0</v>
      </c>
      <c r="VR83">
        <v>0</v>
      </c>
      <c r="VS83">
        <v>0</v>
      </c>
      <c r="VT83">
        <v>0</v>
      </c>
      <c r="VU83">
        <v>0</v>
      </c>
      <c r="VV83">
        <v>0</v>
      </c>
      <c r="VW83">
        <v>0</v>
      </c>
      <c r="VX83">
        <v>0</v>
      </c>
      <c r="VY83">
        <v>0</v>
      </c>
      <c r="VZ83">
        <v>0</v>
      </c>
      <c r="WA83">
        <v>0</v>
      </c>
      <c r="WB83">
        <v>0</v>
      </c>
      <c r="WC83">
        <v>0</v>
      </c>
      <c r="WD83">
        <v>0</v>
      </c>
      <c r="WE83">
        <v>0</v>
      </c>
      <c r="WF83">
        <v>0</v>
      </c>
      <c r="WG83">
        <v>0</v>
      </c>
      <c r="WH83">
        <v>0</v>
      </c>
      <c r="WI83">
        <v>0</v>
      </c>
      <c r="WJ83">
        <v>0</v>
      </c>
      <c r="WK83">
        <v>0</v>
      </c>
      <c r="WL83">
        <v>0</v>
      </c>
      <c r="WM83">
        <v>0</v>
      </c>
      <c r="WN83">
        <v>0</v>
      </c>
      <c r="WO83">
        <v>0</v>
      </c>
      <c r="WP83">
        <v>0</v>
      </c>
      <c r="WQ83">
        <v>0</v>
      </c>
      <c r="WR83">
        <v>0</v>
      </c>
      <c r="WS83">
        <v>0</v>
      </c>
      <c r="WT83">
        <v>0</v>
      </c>
      <c r="WU83">
        <v>0</v>
      </c>
      <c r="WV83">
        <v>0</v>
      </c>
      <c r="WW83">
        <v>0</v>
      </c>
      <c r="WX83">
        <v>0</v>
      </c>
      <c r="WY83">
        <v>0</v>
      </c>
      <c r="WZ83">
        <v>0</v>
      </c>
      <c r="XA83">
        <v>0</v>
      </c>
      <c r="XB83">
        <v>0</v>
      </c>
      <c r="XC83">
        <v>0</v>
      </c>
      <c r="XD83">
        <v>0</v>
      </c>
      <c r="XE83">
        <v>0</v>
      </c>
      <c r="XF83">
        <v>0</v>
      </c>
      <c r="XG83">
        <v>0</v>
      </c>
      <c r="XH83">
        <v>0</v>
      </c>
      <c r="XI83">
        <v>0</v>
      </c>
      <c r="XJ83">
        <v>0</v>
      </c>
      <c r="XK83">
        <v>0</v>
      </c>
      <c r="XL83">
        <v>0</v>
      </c>
      <c r="XM83">
        <v>0</v>
      </c>
      <c r="XN83">
        <v>0</v>
      </c>
      <c r="XO83">
        <v>0</v>
      </c>
      <c r="XP83">
        <v>0</v>
      </c>
      <c r="XQ83">
        <v>0</v>
      </c>
      <c r="XR83">
        <v>0</v>
      </c>
      <c r="XS83">
        <v>0</v>
      </c>
      <c r="XT83">
        <v>0</v>
      </c>
      <c r="XU83">
        <v>0</v>
      </c>
      <c r="XV83">
        <v>0</v>
      </c>
      <c r="XW83">
        <v>0</v>
      </c>
      <c r="XX83">
        <v>0</v>
      </c>
      <c r="XY83">
        <v>0</v>
      </c>
      <c r="XZ83">
        <v>0</v>
      </c>
      <c r="YA83">
        <v>0</v>
      </c>
      <c r="YB83">
        <v>0</v>
      </c>
      <c r="YC83">
        <v>0</v>
      </c>
      <c r="YD83">
        <v>0</v>
      </c>
      <c r="YE83">
        <v>0</v>
      </c>
      <c r="YF83">
        <v>0</v>
      </c>
      <c r="YG83">
        <v>0</v>
      </c>
      <c r="YH83">
        <v>0</v>
      </c>
      <c r="YI83">
        <v>0</v>
      </c>
      <c r="YJ83">
        <v>0</v>
      </c>
      <c r="YK83">
        <v>0</v>
      </c>
      <c r="YL83">
        <v>0</v>
      </c>
      <c r="YM83">
        <v>0</v>
      </c>
      <c r="YN83">
        <v>0</v>
      </c>
      <c r="YO83">
        <v>0</v>
      </c>
      <c r="YP83">
        <v>0</v>
      </c>
      <c r="YQ83">
        <v>0</v>
      </c>
      <c r="YR83">
        <v>0</v>
      </c>
      <c r="YS83">
        <v>0</v>
      </c>
      <c r="YT83">
        <v>0</v>
      </c>
      <c r="YU83">
        <v>0</v>
      </c>
      <c r="YV83">
        <v>0</v>
      </c>
      <c r="YW83">
        <v>0</v>
      </c>
      <c r="YX83">
        <v>0</v>
      </c>
      <c r="YY83">
        <v>0</v>
      </c>
      <c r="YZ83">
        <v>0</v>
      </c>
      <c r="ZA83">
        <v>0</v>
      </c>
      <c r="ZB83">
        <v>0</v>
      </c>
      <c r="ZC83">
        <v>0</v>
      </c>
      <c r="ZD83">
        <v>0</v>
      </c>
      <c r="ZE83">
        <v>0</v>
      </c>
      <c r="ZF83">
        <v>0</v>
      </c>
      <c r="ZG83">
        <v>0</v>
      </c>
      <c r="ZH83">
        <v>0</v>
      </c>
      <c r="ZI83">
        <v>0</v>
      </c>
      <c r="ZJ83">
        <v>0</v>
      </c>
      <c r="ZK83">
        <v>0</v>
      </c>
      <c r="ZL83">
        <v>0</v>
      </c>
      <c r="ZM83">
        <v>0</v>
      </c>
      <c r="ZN83">
        <v>0</v>
      </c>
      <c r="ZO83">
        <v>0</v>
      </c>
      <c r="ZP83">
        <v>0</v>
      </c>
      <c r="ZQ83">
        <v>0</v>
      </c>
      <c r="ZR83">
        <v>0</v>
      </c>
      <c r="ZS83">
        <v>0</v>
      </c>
      <c r="ZT83">
        <v>0</v>
      </c>
      <c r="ZU83">
        <v>0</v>
      </c>
      <c r="ZV83">
        <v>0</v>
      </c>
      <c r="ZW83">
        <v>0</v>
      </c>
      <c r="ZX83">
        <v>0</v>
      </c>
      <c r="ZY83">
        <v>0</v>
      </c>
      <c r="ZZ83">
        <v>0</v>
      </c>
      <c r="AAA83">
        <v>0</v>
      </c>
      <c r="AAB83">
        <v>0</v>
      </c>
      <c r="AAC83">
        <v>0</v>
      </c>
      <c r="AAD83">
        <v>0</v>
      </c>
      <c r="AAE83">
        <v>0</v>
      </c>
      <c r="AAF83">
        <v>0</v>
      </c>
      <c r="AAG83">
        <v>0</v>
      </c>
      <c r="AAH83">
        <v>0</v>
      </c>
      <c r="AAI83">
        <v>0</v>
      </c>
      <c r="AAJ83">
        <v>0</v>
      </c>
      <c r="AAK83">
        <v>0</v>
      </c>
      <c r="AAL83">
        <v>0</v>
      </c>
      <c r="AAM83">
        <v>0</v>
      </c>
      <c r="AAN83">
        <v>0</v>
      </c>
      <c r="AAO83">
        <v>0</v>
      </c>
      <c r="AAP83">
        <v>0</v>
      </c>
      <c r="AAQ83">
        <v>0</v>
      </c>
      <c r="AAR83">
        <v>0</v>
      </c>
      <c r="AAS83">
        <v>0</v>
      </c>
      <c r="AAT83">
        <v>0</v>
      </c>
      <c r="AAU83">
        <v>0</v>
      </c>
      <c r="AAV83">
        <v>0</v>
      </c>
      <c r="AAW83">
        <v>0</v>
      </c>
      <c r="AAX83">
        <v>0</v>
      </c>
      <c r="AAY83">
        <v>0</v>
      </c>
      <c r="AAZ83">
        <v>0</v>
      </c>
      <c r="ABA83">
        <v>0</v>
      </c>
      <c r="ABB83">
        <v>0</v>
      </c>
      <c r="ABC83">
        <v>0</v>
      </c>
      <c r="ABD83">
        <v>0</v>
      </c>
      <c r="ABE83">
        <v>0</v>
      </c>
      <c r="ABG83" s="1137">
        <f t="shared" si="19"/>
        <v>0</v>
      </c>
      <c r="ABH83" s="1137">
        <f t="shared" si="19"/>
        <v>0</v>
      </c>
      <c r="ABI83" s="1137">
        <f t="shared" si="19"/>
        <v>6</v>
      </c>
      <c r="ABJ83" s="1137">
        <f t="shared" si="19"/>
        <v>30</v>
      </c>
      <c r="ABK83" s="1137">
        <f t="shared" si="19"/>
        <v>31</v>
      </c>
      <c r="ABL83" s="1137">
        <f t="shared" si="19"/>
        <v>25</v>
      </c>
      <c r="ABM83" s="1137">
        <f t="shared" si="19"/>
        <v>0</v>
      </c>
      <c r="ABN83" s="1137">
        <f t="shared" si="19"/>
        <v>24</v>
      </c>
      <c r="ABO83" s="1137">
        <f t="shared" si="19"/>
        <v>30</v>
      </c>
      <c r="ABP83" s="1137">
        <f t="shared" si="19"/>
        <v>31</v>
      </c>
      <c r="ABQ83" s="1137">
        <f t="shared" si="19"/>
        <v>30</v>
      </c>
      <c r="ABR83" s="1137">
        <f t="shared" si="19"/>
        <v>31</v>
      </c>
      <c r="ABS83" s="1137">
        <f t="shared" si="19"/>
        <v>31</v>
      </c>
      <c r="ABT83" s="1137">
        <f t="shared" si="19"/>
        <v>28</v>
      </c>
      <c r="ABU83" s="1137">
        <f t="shared" si="19"/>
        <v>31</v>
      </c>
      <c r="ABV83" s="1137">
        <f t="shared" si="19"/>
        <v>30</v>
      </c>
      <c r="ABW83" s="1137">
        <f t="shared" si="17"/>
        <v>9</v>
      </c>
      <c r="ABX83" s="1137">
        <f t="shared" si="14"/>
        <v>0</v>
      </c>
      <c r="ABY83" s="1137">
        <f t="shared" si="14"/>
        <v>0</v>
      </c>
      <c r="ABZ83" s="1137">
        <f t="shared" si="14"/>
        <v>0</v>
      </c>
      <c r="ACA83" s="1137">
        <f t="shared" si="14"/>
        <v>0</v>
      </c>
      <c r="ACB83" s="1137">
        <f t="shared" si="14"/>
        <v>0</v>
      </c>
      <c r="ACC83" s="1137">
        <f t="shared" si="14"/>
        <v>0</v>
      </c>
      <c r="ACD83" s="1137">
        <f t="shared" si="14"/>
        <v>0</v>
      </c>
      <c r="ACE83" s="1137" t="s">
        <v>198</v>
      </c>
      <c r="ACF83" s="1137">
        <f t="shared" si="20"/>
        <v>0</v>
      </c>
      <c r="ACG83" s="1137">
        <f t="shared" si="20"/>
        <v>0</v>
      </c>
      <c r="ACH83" s="1137">
        <f t="shared" si="20"/>
        <v>0</v>
      </c>
      <c r="ACI83" s="1137">
        <f t="shared" si="20"/>
        <v>1</v>
      </c>
      <c r="ACJ83" s="1137">
        <f t="shared" si="20"/>
        <v>1</v>
      </c>
      <c r="ACK83" s="1137">
        <f t="shared" si="20"/>
        <v>1</v>
      </c>
      <c r="ACL83" s="1137">
        <f t="shared" si="20"/>
        <v>0</v>
      </c>
      <c r="ACM83" s="1137">
        <f t="shared" si="20"/>
        <v>1</v>
      </c>
      <c r="ACN83" s="1137">
        <f t="shared" si="20"/>
        <v>1</v>
      </c>
      <c r="ACO83" s="1137">
        <f t="shared" si="20"/>
        <v>1</v>
      </c>
      <c r="ACP83" s="1137">
        <f t="shared" si="20"/>
        <v>1</v>
      </c>
      <c r="ACQ83" s="1137">
        <f t="shared" si="20"/>
        <v>1</v>
      </c>
      <c r="ACR83" s="1137">
        <f t="shared" si="20"/>
        <v>1</v>
      </c>
      <c r="ACS83" s="1137">
        <f t="shared" si="20"/>
        <v>1</v>
      </c>
      <c r="ACT83" s="1137">
        <f t="shared" si="20"/>
        <v>1</v>
      </c>
      <c r="ACU83" s="1137">
        <f t="shared" si="12"/>
        <v>1</v>
      </c>
      <c r="ACV83" s="1137">
        <f t="shared" si="12"/>
        <v>0</v>
      </c>
      <c r="ACW83" s="1137">
        <f t="shared" si="12"/>
        <v>0</v>
      </c>
      <c r="ACX83" s="1137">
        <f t="shared" si="12"/>
        <v>0</v>
      </c>
      <c r="ACY83" s="1137">
        <f t="shared" si="12"/>
        <v>0</v>
      </c>
      <c r="ACZ83" s="1137">
        <f t="shared" si="12"/>
        <v>0</v>
      </c>
      <c r="ADA83" s="1137">
        <f t="shared" si="12"/>
        <v>0</v>
      </c>
      <c r="ADB83" s="1137">
        <f t="shared" si="16"/>
        <v>0</v>
      </c>
      <c r="ADC83" s="1137">
        <f t="shared" si="16"/>
        <v>0</v>
      </c>
    </row>
    <row r="84" spans="1:783" x14ac:dyDescent="0.25">
      <c r="A84" t="s">
        <v>1881</v>
      </c>
      <c r="B84" t="s">
        <v>665</v>
      </c>
      <c r="C84">
        <v>0</v>
      </c>
      <c r="D84">
        <v>0</v>
      </c>
      <c r="E84">
        <v>0</v>
      </c>
      <c r="F84">
        <v>0</v>
      </c>
      <c r="G84">
        <v>0</v>
      </c>
      <c r="H84">
        <v>0</v>
      </c>
      <c r="I84">
        <v>0</v>
      </c>
      <c r="J84">
        <v>0</v>
      </c>
      <c r="K84">
        <v>0</v>
      </c>
      <c r="L84">
        <v>0</v>
      </c>
      <c r="M84">
        <v>0</v>
      </c>
      <c r="N84">
        <v>0</v>
      </c>
      <c r="O84">
        <v>0</v>
      </c>
      <c r="P84">
        <v>0</v>
      </c>
      <c r="Q84">
        <v>0</v>
      </c>
      <c r="R84">
        <v>0</v>
      </c>
      <c r="S84">
        <v>0</v>
      </c>
      <c r="T84">
        <v>0</v>
      </c>
      <c r="U84">
        <v>0</v>
      </c>
      <c r="V84">
        <v>0</v>
      </c>
      <c r="W84">
        <v>0</v>
      </c>
      <c r="X84">
        <v>0</v>
      </c>
      <c r="Y84">
        <v>0</v>
      </c>
      <c r="Z84">
        <v>0</v>
      </c>
      <c r="AA84">
        <v>0</v>
      </c>
      <c r="AB84">
        <v>0</v>
      </c>
      <c r="AC84">
        <v>0</v>
      </c>
      <c r="AD84">
        <v>0</v>
      </c>
      <c r="AE84">
        <v>0</v>
      </c>
      <c r="AF84">
        <v>0</v>
      </c>
      <c r="AG84">
        <v>0</v>
      </c>
      <c r="AH84">
        <v>0</v>
      </c>
      <c r="AI84">
        <v>0</v>
      </c>
      <c r="AJ84">
        <v>0</v>
      </c>
      <c r="AK84">
        <v>0</v>
      </c>
      <c r="AL84">
        <v>0</v>
      </c>
      <c r="AM84">
        <v>0</v>
      </c>
      <c r="AN84">
        <v>0</v>
      </c>
      <c r="AO84">
        <v>0</v>
      </c>
      <c r="AP84">
        <v>0</v>
      </c>
      <c r="AQ84">
        <v>0</v>
      </c>
      <c r="AR84">
        <v>0</v>
      </c>
      <c r="AS84">
        <v>0</v>
      </c>
      <c r="AT84">
        <v>0</v>
      </c>
      <c r="AU84">
        <v>0</v>
      </c>
      <c r="AV84">
        <v>0</v>
      </c>
      <c r="AW84">
        <v>0</v>
      </c>
      <c r="AX84">
        <v>0</v>
      </c>
      <c r="AY84">
        <v>0</v>
      </c>
      <c r="AZ84">
        <v>0</v>
      </c>
      <c r="BA84">
        <v>0</v>
      </c>
      <c r="BB84">
        <v>0</v>
      </c>
      <c r="BC84">
        <v>0</v>
      </c>
      <c r="BD84">
        <v>0</v>
      </c>
      <c r="BE84">
        <v>0</v>
      </c>
      <c r="BF84">
        <v>0</v>
      </c>
      <c r="BG84">
        <v>0</v>
      </c>
      <c r="BH84">
        <v>0</v>
      </c>
      <c r="BI84">
        <v>0</v>
      </c>
      <c r="BJ84">
        <v>0</v>
      </c>
      <c r="BK84">
        <v>0</v>
      </c>
      <c r="BL84">
        <v>0</v>
      </c>
      <c r="BM84">
        <v>0</v>
      </c>
      <c r="BN84">
        <v>0</v>
      </c>
      <c r="BO84">
        <v>2</v>
      </c>
      <c r="BP84">
        <v>2</v>
      </c>
      <c r="BQ84">
        <v>2</v>
      </c>
      <c r="BR84">
        <v>2</v>
      </c>
      <c r="BS84">
        <v>2</v>
      </c>
      <c r="BT84">
        <v>2</v>
      </c>
      <c r="BU84">
        <v>2</v>
      </c>
      <c r="BV84">
        <v>2</v>
      </c>
      <c r="BW84">
        <v>2</v>
      </c>
      <c r="BX84">
        <v>2</v>
      </c>
      <c r="BY84">
        <v>2</v>
      </c>
      <c r="BZ84">
        <v>2</v>
      </c>
      <c r="CA84">
        <v>2</v>
      </c>
      <c r="CB84">
        <v>2</v>
      </c>
      <c r="CC84">
        <v>2</v>
      </c>
      <c r="CD84">
        <v>2</v>
      </c>
      <c r="CE84">
        <v>2</v>
      </c>
      <c r="CF84">
        <v>2</v>
      </c>
      <c r="CG84">
        <v>2</v>
      </c>
      <c r="CH84">
        <v>2</v>
      </c>
      <c r="CI84">
        <v>2</v>
      </c>
      <c r="CJ84">
        <v>2</v>
      </c>
      <c r="CK84">
        <v>2</v>
      </c>
      <c r="CL84">
        <v>2</v>
      </c>
      <c r="CM84">
        <v>2</v>
      </c>
      <c r="CN84">
        <v>2</v>
      </c>
      <c r="CO84">
        <v>2</v>
      </c>
      <c r="CP84">
        <v>2</v>
      </c>
      <c r="CQ84">
        <v>2</v>
      </c>
      <c r="CR84">
        <v>2</v>
      </c>
      <c r="CS84">
        <v>2</v>
      </c>
      <c r="CT84">
        <v>2</v>
      </c>
      <c r="CU84">
        <v>2</v>
      </c>
      <c r="CV84">
        <v>2</v>
      </c>
      <c r="CW84">
        <v>2</v>
      </c>
      <c r="CX84">
        <v>2</v>
      </c>
      <c r="CY84">
        <v>2</v>
      </c>
      <c r="CZ84">
        <v>2</v>
      </c>
      <c r="DA84">
        <v>2</v>
      </c>
      <c r="DB84">
        <v>2</v>
      </c>
      <c r="DC84">
        <v>2</v>
      </c>
      <c r="DD84">
        <v>2</v>
      </c>
      <c r="DE84">
        <v>2</v>
      </c>
      <c r="DF84">
        <v>2</v>
      </c>
      <c r="DG84">
        <v>2</v>
      </c>
      <c r="DH84">
        <v>2</v>
      </c>
      <c r="DI84">
        <v>2</v>
      </c>
      <c r="DJ84">
        <v>2</v>
      </c>
      <c r="DK84">
        <v>2</v>
      </c>
      <c r="DL84">
        <v>2</v>
      </c>
      <c r="DM84">
        <v>2</v>
      </c>
      <c r="DN84">
        <v>2</v>
      </c>
      <c r="DO84">
        <v>2</v>
      </c>
      <c r="DP84">
        <v>2</v>
      </c>
      <c r="DQ84">
        <v>2</v>
      </c>
      <c r="DR84">
        <v>2</v>
      </c>
      <c r="DS84">
        <v>2</v>
      </c>
      <c r="DT84">
        <v>2</v>
      </c>
      <c r="DU84">
        <v>2</v>
      </c>
      <c r="DV84">
        <v>2</v>
      </c>
      <c r="DW84">
        <v>2</v>
      </c>
      <c r="DX84">
        <v>2</v>
      </c>
      <c r="DY84">
        <v>2</v>
      </c>
      <c r="DZ84">
        <v>2</v>
      </c>
      <c r="EA84">
        <v>2</v>
      </c>
      <c r="EB84">
        <v>2</v>
      </c>
      <c r="EC84">
        <v>2</v>
      </c>
      <c r="ED84">
        <v>2</v>
      </c>
      <c r="EE84">
        <v>2</v>
      </c>
      <c r="EF84">
        <v>2</v>
      </c>
      <c r="EG84">
        <v>2</v>
      </c>
      <c r="EH84">
        <v>2</v>
      </c>
      <c r="EI84">
        <v>2</v>
      </c>
      <c r="EJ84">
        <v>2</v>
      </c>
      <c r="EK84">
        <v>2</v>
      </c>
      <c r="EL84">
        <v>2</v>
      </c>
      <c r="EM84">
        <v>2</v>
      </c>
      <c r="EN84">
        <v>2</v>
      </c>
      <c r="EO84">
        <v>2</v>
      </c>
      <c r="EP84">
        <v>2</v>
      </c>
      <c r="EQ84">
        <v>2</v>
      </c>
      <c r="ER84">
        <v>2</v>
      </c>
      <c r="ES84">
        <v>2</v>
      </c>
      <c r="ET84">
        <v>2</v>
      </c>
      <c r="EU84">
        <v>2</v>
      </c>
      <c r="EV84">
        <v>2</v>
      </c>
      <c r="EW84">
        <v>2</v>
      </c>
      <c r="EX84">
        <v>2</v>
      </c>
      <c r="EY84">
        <v>2</v>
      </c>
      <c r="EZ84">
        <v>2</v>
      </c>
      <c r="FA84">
        <v>2</v>
      </c>
      <c r="FB84">
        <v>2</v>
      </c>
      <c r="FC84">
        <v>2</v>
      </c>
      <c r="FD84">
        <v>2</v>
      </c>
      <c r="FE84">
        <v>2</v>
      </c>
      <c r="FF84">
        <v>2</v>
      </c>
      <c r="FG84">
        <v>2</v>
      </c>
      <c r="FH84">
        <v>2</v>
      </c>
      <c r="FI84">
        <v>2</v>
      </c>
      <c r="FJ84">
        <v>2</v>
      </c>
      <c r="FK84">
        <v>2</v>
      </c>
      <c r="FL84">
        <v>2</v>
      </c>
      <c r="FM84">
        <v>2</v>
      </c>
      <c r="FN84">
        <v>2</v>
      </c>
      <c r="FO84">
        <v>2</v>
      </c>
      <c r="FP84">
        <v>2</v>
      </c>
      <c r="FQ84">
        <v>2</v>
      </c>
      <c r="FR84">
        <v>2</v>
      </c>
      <c r="FS84">
        <v>2</v>
      </c>
      <c r="FT84">
        <v>2</v>
      </c>
      <c r="FU84">
        <v>2</v>
      </c>
      <c r="FV84">
        <v>2</v>
      </c>
      <c r="FW84">
        <v>2</v>
      </c>
      <c r="FX84">
        <v>2</v>
      </c>
      <c r="FY84">
        <v>2</v>
      </c>
      <c r="FZ84">
        <v>2</v>
      </c>
      <c r="GA84">
        <v>2</v>
      </c>
      <c r="GB84">
        <v>2</v>
      </c>
      <c r="GC84">
        <v>2</v>
      </c>
      <c r="GD84">
        <v>2</v>
      </c>
      <c r="GE84">
        <v>2</v>
      </c>
      <c r="GF84">
        <v>2</v>
      </c>
      <c r="GG84">
        <v>2</v>
      </c>
      <c r="GH84">
        <v>2</v>
      </c>
      <c r="GI84">
        <v>2</v>
      </c>
      <c r="GJ84">
        <v>2</v>
      </c>
      <c r="GK84">
        <v>2</v>
      </c>
      <c r="GL84">
        <v>2</v>
      </c>
      <c r="GM84">
        <v>2</v>
      </c>
      <c r="GN84">
        <v>2</v>
      </c>
      <c r="GO84">
        <v>2</v>
      </c>
      <c r="GP84">
        <v>2</v>
      </c>
      <c r="GQ84">
        <v>2</v>
      </c>
      <c r="GR84">
        <v>2</v>
      </c>
      <c r="GS84">
        <v>2</v>
      </c>
      <c r="GT84">
        <v>2</v>
      </c>
      <c r="GU84">
        <v>2</v>
      </c>
      <c r="GV84">
        <v>2</v>
      </c>
      <c r="GW84">
        <v>2</v>
      </c>
      <c r="GX84">
        <v>2</v>
      </c>
      <c r="GY84">
        <v>2</v>
      </c>
      <c r="GZ84">
        <v>2</v>
      </c>
      <c r="HA84">
        <v>2</v>
      </c>
      <c r="HB84">
        <v>2</v>
      </c>
      <c r="HC84">
        <v>2</v>
      </c>
      <c r="HD84">
        <v>2</v>
      </c>
      <c r="HE84">
        <v>2</v>
      </c>
      <c r="HF84">
        <v>2</v>
      </c>
      <c r="HG84">
        <v>2</v>
      </c>
      <c r="HH84">
        <v>2</v>
      </c>
      <c r="HI84">
        <v>2</v>
      </c>
      <c r="HJ84">
        <v>2</v>
      </c>
      <c r="HK84">
        <v>2</v>
      </c>
      <c r="HL84">
        <v>2</v>
      </c>
      <c r="HM84">
        <v>2</v>
      </c>
      <c r="HN84">
        <v>2</v>
      </c>
      <c r="HO84">
        <v>2</v>
      </c>
      <c r="HP84">
        <v>2</v>
      </c>
      <c r="HQ84">
        <v>2</v>
      </c>
      <c r="HR84">
        <v>2</v>
      </c>
      <c r="HS84">
        <v>2</v>
      </c>
      <c r="HT84">
        <v>2</v>
      </c>
      <c r="HU84">
        <v>2</v>
      </c>
      <c r="HV84">
        <v>2</v>
      </c>
      <c r="HW84">
        <v>2</v>
      </c>
      <c r="HX84">
        <v>2</v>
      </c>
      <c r="HY84">
        <v>2</v>
      </c>
      <c r="HZ84">
        <v>2</v>
      </c>
      <c r="IA84">
        <v>2</v>
      </c>
      <c r="IB84">
        <v>2</v>
      </c>
      <c r="IC84">
        <v>2</v>
      </c>
      <c r="ID84">
        <v>2</v>
      </c>
      <c r="IE84">
        <v>2</v>
      </c>
      <c r="IF84">
        <v>2</v>
      </c>
      <c r="IG84">
        <v>2</v>
      </c>
      <c r="IH84">
        <v>2</v>
      </c>
      <c r="II84">
        <v>2</v>
      </c>
      <c r="IJ84">
        <v>2</v>
      </c>
      <c r="IK84">
        <v>2</v>
      </c>
      <c r="IL84">
        <v>2</v>
      </c>
      <c r="IM84">
        <v>2</v>
      </c>
      <c r="IN84">
        <v>2</v>
      </c>
      <c r="IO84">
        <v>2</v>
      </c>
      <c r="IP84">
        <v>2</v>
      </c>
      <c r="IQ84">
        <v>2</v>
      </c>
      <c r="IR84">
        <v>2</v>
      </c>
      <c r="IS84">
        <v>2</v>
      </c>
      <c r="IT84">
        <v>2</v>
      </c>
      <c r="IU84">
        <v>2</v>
      </c>
      <c r="IV84">
        <v>2</v>
      </c>
      <c r="IW84">
        <v>2</v>
      </c>
      <c r="IX84">
        <v>2</v>
      </c>
      <c r="IY84">
        <v>2</v>
      </c>
      <c r="IZ84">
        <v>2</v>
      </c>
      <c r="JA84">
        <v>2</v>
      </c>
      <c r="JB84">
        <v>2</v>
      </c>
      <c r="JC84">
        <v>2</v>
      </c>
      <c r="JD84">
        <v>2</v>
      </c>
      <c r="JE84">
        <v>2</v>
      </c>
      <c r="JF84">
        <v>2</v>
      </c>
      <c r="JG84">
        <v>2</v>
      </c>
      <c r="JH84">
        <v>2</v>
      </c>
      <c r="JI84">
        <v>2</v>
      </c>
      <c r="JJ84">
        <v>2</v>
      </c>
      <c r="JK84">
        <v>2</v>
      </c>
      <c r="JL84">
        <v>2</v>
      </c>
      <c r="JM84">
        <v>2</v>
      </c>
      <c r="JN84">
        <v>2</v>
      </c>
      <c r="JO84">
        <v>2</v>
      </c>
      <c r="JP84">
        <v>2</v>
      </c>
      <c r="JQ84">
        <v>2</v>
      </c>
      <c r="JR84">
        <v>2</v>
      </c>
      <c r="JS84">
        <v>2</v>
      </c>
      <c r="JT84">
        <v>2</v>
      </c>
      <c r="JU84">
        <v>2</v>
      </c>
      <c r="JV84">
        <v>2</v>
      </c>
      <c r="JW84">
        <v>2</v>
      </c>
      <c r="JX84">
        <v>2</v>
      </c>
      <c r="JY84">
        <v>2</v>
      </c>
      <c r="JZ84">
        <v>2</v>
      </c>
      <c r="KA84">
        <v>2</v>
      </c>
      <c r="KB84">
        <v>2</v>
      </c>
      <c r="KC84">
        <v>2</v>
      </c>
      <c r="KD84">
        <v>2</v>
      </c>
      <c r="KE84">
        <v>2</v>
      </c>
      <c r="KF84">
        <v>2</v>
      </c>
      <c r="KG84">
        <v>2</v>
      </c>
      <c r="KH84">
        <v>2</v>
      </c>
      <c r="KI84">
        <v>2</v>
      </c>
      <c r="KJ84">
        <v>2</v>
      </c>
      <c r="KK84">
        <v>2</v>
      </c>
      <c r="KL84">
        <v>2</v>
      </c>
      <c r="KM84">
        <v>2</v>
      </c>
      <c r="KN84">
        <v>2</v>
      </c>
      <c r="KO84">
        <v>2</v>
      </c>
      <c r="KP84">
        <v>2</v>
      </c>
      <c r="KQ84">
        <v>2</v>
      </c>
      <c r="KR84">
        <v>2</v>
      </c>
      <c r="KS84">
        <v>2</v>
      </c>
      <c r="KT84">
        <v>2</v>
      </c>
      <c r="KU84">
        <v>2</v>
      </c>
      <c r="KV84">
        <v>2</v>
      </c>
      <c r="KW84">
        <v>2</v>
      </c>
      <c r="KX84">
        <v>2</v>
      </c>
      <c r="KY84">
        <v>2</v>
      </c>
      <c r="KZ84">
        <v>2</v>
      </c>
      <c r="LA84">
        <v>2</v>
      </c>
      <c r="LB84">
        <v>2</v>
      </c>
      <c r="LC84">
        <v>2</v>
      </c>
      <c r="LD84">
        <v>2</v>
      </c>
      <c r="LE84">
        <v>2</v>
      </c>
      <c r="LF84">
        <v>2</v>
      </c>
      <c r="LG84">
        <v>2</v>
      </c>
      <c r="LH84">
        <v>2</v>
      </c>
      <c r="LI84">
        <v>2</v>
      </c>
      <c r="LJ84">
        <v>2</v>
      </c>
      <c r="LK84">
        <v>2</v>
      </c>
      <c r="LL84">
        <v>2</v>
      </c>
      <c r="LM84">
        <v>2</v>
      </c>
      <c r="LN84">
        <v>2</v>
      </c>
      <c r="LO84">
        <v>2</v>
      </c>
      <c r="LP84">
        <v>2</v>
      </c>
      <c r="LQ84">
        <v>2</v>
      </c>
      <c r="LR84">
        <v>2</v>
      </c>
      <c r="LS84">
        <v>2</v>
      </c>
      <c r="LT84">
        <v>2</v>
      </c>
      <c r="LU84">
        <v>2</v>
      </c>
      <c r="LV84">
        <v>2</v>
      </c>
      <c r="LW84">
        <v>2</v>
      </c>
      <c r="LX84">
        <v>2</v>
      </c>
      <c r="LY84">
        <v>2</v>
      </c>
      <c r="LZ84">
        <v>2</v>
      </c>
      <c r="MA84">
        <v>2</v>
      </c>
      <c r="MB84">
        <v>2</v>
      </c>
      <c r="MC84">
        <v>2</v>
      </c>
      <c r="MD84">
        <v>2</v>
      </c>
      <c r="ME84">
        <v>2</v>
      </c>
      <c r="MF84">
        <v>2</v>
      </c>
      <c r="MG84">
        <v>2</v>
      </c>
      <c r="MH84">
        <v>2</v>
      </c>
      <c r="MI84">
        <v>2</v>
      </c>
      <c r="MJ84">
        <v>2</v>
      </c>
      <c r="MK84">
        <v>2</v>
      </c>
      <c r="ML84">
        <v>2</v>
      </c>
      <c r="MM84">
        <v>2</v>
      </c>
      <c r="MN84">
        <v>2</v>
      </c>
      <c r="MO84">
        <v>2</v>
      </c>
      <c r="MP84">
        <v>2</v>
      </c>
      <c r="MQ84">
        <v>2</v>
      </c>
      <c r="MR84">
        <v>2</v>
      </c>
      <c r="MS84">
        <v>2</v>
      </c>
      <c r="MT84">
        <v>2</v>
      </c>
      <c r="MU84">
        <v>2</v>
      </c>
      <c r="MV84">
        <v>2</v>
      </c>
      <c r="MW84">
        <v>2</v>
      </c>
      <c r="MX84">
        <v>2</v>
      </c>
      <c r="MY84">
        <v>2</v>
      </c>
      <c r="MZ84">
        <v>2</v>
      </c>
      <c r="NA84">
        <v>2</v>
      </c>
      <c r="NB84">
        <v>2</v>
      </c>
      <c r="NC84">
        <v>2</v>
      </c>
      <c r="ND84">
        <v>2</v>
      </c>
      <c r="NE84">
        <v>2</v>
      </c>
      <c r="NF84">
        <v>2</v>
      </c>
      <c r="NG84">
        <v>2</v>
      </c>
      <c r="NH84">
        <v>2</v>
      </c>
      <c r="NI84">
        <v>2</v>
      </c>
      <c r="NJ84">
        <v>2</v>
      </c>
      <c r="NK84">
        <v>2</v>
      </c>
      <c r="NL84">
        <v>2</v>
      </c>
      <c r="NM84">
        <v>2</v>
      </c>
      <c r="NN84">
        <v>2</v>
      </c>
      <c r="NO84">
        <v>2</v>
      </c>
      <c r="NP84">
        <v>2</v>
      </c>
      <c r="NQ84">
        <v>2</v>
      </c>
      <c r="NR84">
        <v>2</v>
      </c>
      <c r="NS84">
        <v>2</v>
      </c>
      <c r="NT84">
        <v>2</v>
      </c>
      <c r="NU84">
        <v>2</v>
      </c>
      <c r="NV84">
        <v>2</v>
      </c>
      <c r="NW84">
        <v>2</v>
      </c>
      <c r="NX84">
        <v>2</v>
      </c>
      <c r="NY84">
        <v>2</v>
      </c>
      <c r="NZ84">
        <v>2</v>
      </c>
      <c r="OA84">
        <v>2</v>
      </c>
      <c r="OB84">
        <v>2</v>
      </c>
      <c r="OC84">
        <v>2</v>
      </c>
      <c r="OD84">
        <v>2</v>
      </c>
      <c r="OE84">
        <v>2</v>
      </c>
      <c r="OF84">
        <v>2</v>
      </c>
      <c r="OG84">
        <v>2</v>
      </c>
      <c r="OH84">
        <v>2</v>
      </c>
      <c r="OI84">
        <v>2</v>
      </c>
      <c r="OJ84">
        <v>2</v>
      </c>
      <c r="OK84">
        <v>2</v>
      </c>
      <c r="OL84">
        <v>2</v>
      </c>
      <c r="OM84">
        <v>2</v>
      </c>
      <c r="ON84">
        <v>2</v>
      </c>
      <c r="OO84">
        <v>2</v>
      </c>
      <c r="OP84">
        <v>2</v>
      </c>
      <c r="OQ84">
        <v>2</v>
      </c>
      <c r="OR84">
        <v>2</v>
      </c>
      <c r="OS84">
        <v>2</v>
      </c>
      <c r="OT84">
        <v>2</v>
      </c>
      <c r="OU84">
        <v>2</v>
      </c>
      <c r="OV84">
        <v>2</v>
      </c>
      <c r="OW84">
        <v>2</v>
      </c>
      <c r="OX84">
        <v>2</v>
      </c>
      <c r="OY84">
        <v>2</v>
      </c>
      <c r="OZ84">
        <v>2</v>
      </c>
      <c r="PA84">
        <v>2</v>
      </c>
      <c r="PB84">
        <v>2</v>
      </c>
      <c r="PC84">
        <v>2</v>
      </c>
      <c r="PD84">
        <v>2</v>
      </c>
      <c r="PE84">
        <v>2</v>
      </c>
      <c r="PF84">
        <v>2</v>
      </c>
      <c r="PG84">
        <v>2</v>
      </c>
      <c r="PH84">
        <v>2</v>
      </c>
      <c r="PI84">
        <v>2</v>
      </c>
      <c r="PJ84">
        <v>2</v>
      </c>
      <c r="PK84">
        <v>2</v>
      </c>
      <c r="PL84">
        <v>2</v>
      </c>
      <c r="PM84">
        <v>2</v>
      </c>
      <c r="PN84">
        <v>2</v>
      </c>
      <c r="PO84">
        <v>2</v>
      </c>
      <c r="PP84">
        <v>2</v>
      </c>
      <c r="PQ84">
        <v>2</v>
      </c>
      <c r="PR84">
        <v>2</v>
      </c>
      <c r="PS84">
        <v>2</v>
      </c>
      <c r="PT84">
        <v>2</v>
      </c>
      <c r="PU84">
        <v>2</v>
      </c>
      <c r="PV84">
        <v>2</v>
      </c>
      <c r="PW84">
        <v>2</v>
      </c>
      <c r="PX84">
        <v>2</v>
      </c>
      <c r="PY84">
        <v>2</v>
      </c>
      <c r="PZ84">
        <v>2</v>
      </c>
      <c r="QA84">
        <v>2</v>
      </c>
      <c r="QB84">
        <v>2</v>
      </c>
      <c r="QC84">
        <v>2</v>
      </c>
      <c r="QD84">
        <v>2</v>
      </c>
      <c r="QE84">
        <v>2</v>
      </c>
      <c r="QF84">
        <v>2</v>
      </c>
      <c r="QG84">
        <v>2</v>
      </c>
      <c r="QH84">
        <v>2</v>
      </c>
      <c r="QI84">
        <v>2</v>
      </c>
      <c r="QJ84">
        <v>2</v>
      </c>
      <c r="QK84">
        <v>2</v>
      </c>
      <c r="QL84">
        <v>2</v>
      </c>
      <c r="QM84">
        <v>2</v>
      </c>
      <c r="QN84">
        <v>2</v>
      </c>
      <c r="QO84">
        <v>2</v>
      </c>
      <c r="QP84">
        <v>2</v>
      </c>
      <c r="QQ84">
        <v>2</v>
      </c>
      <c r="QR84">
        <v>2</v>
      </c>
      <c r="QS84">
        <v>2</v>
      </c>
      <c r="QT84">
        <v>2</v>
      </c>
      <c r="QU84">
        <v>2</v>
      </c>
      <c r="QV84">
        <v>2</v>
      </c>
      <c r="QW84">
        <v>2</v>
      </c>
      <c r="QX84">
        <v>2</v>
      </c>
      <c r="QY84">
        <v>2</v>
      </c>
      <c r="QZ84">
        <v>2</v>
      </c>
      <c r="RA84">
        <v>2</v>
      </c>
      <c r="RB84">
        <v>2</v>
      </c>
      <c r="RC84">
        <v>2</v>
      </c>
      <c r="RD84">
        <v>2</v>
      </c>
      <c r="RE84">
        <v>2</v>
      </c>
      <c r="RF84">
        <v>2</v>
      </c>
      <c r="RG84">
        <v>2</v>
      </c>
      <c r="RH84">
        <v>2</v>
      </c>
      <c r="RI84">
        <v>2</v>
      </c>
      <c r="RJ84">
        <v>2</v>
      </c>
      <c r="RK84">
        <v>2</v>
      </c>
      <c r="RL84">
        <v>2</v>
      </c>
      <c r="RM84">
        <v>2</v>
      </c>
      <c r="RN84">
        <v>2</v>
      </c>
      <c r="RO84">
        <v>2</v>
      </c>
      <c r="RP84">
        <v>2</v>
      </c>
      <c r="RQ84">
        <v>2</v>
      </c>
      <c r="RR84">
        <v>2</v>
      </c>
      <c r="RS84">
        <v>2</v>
      </c>
      <c r="RT84">
        <v>2</v>
      </c>
      <c r="RU84">
        <v>2</v>
      </c>
      <c r="RV84">
        <v>2</v>
      </c>
      <c r="RW84">
        <v>2</v>
      </c>
      <c r="RX84">
        <v>2</v>
      </c>
      <c r="RY84">
        <v>2</v>
      </c>
      <c r="RZ84">
        <v>2</v>
      </c>
      <c r="SA84">
        <v>2</v>
      </c>
      <c r="SB84">
        <v>2</v>
      </c>
      <c r="SC84">
        <v>2</v>
      </c>
      <c r="SD84">
        <v>2</v>
      </c>
      <c r="SE84">
        <v>2</v>
      </c>
      <c r="SF84">
        <v>2</v>
      </c>
      <c r="SG84">
        <v>2</v>
      </c>
      <c r="SH84">
        <v>2</v>
      </c>
      <c r="SI84">
        <v>2</v>
      </c>
      <c r="SJ84">
        <v>2</v>
      </c>
      <c r="SK84">
        <v>2</v>
      </c>
      <c r="SL84">
        <v>2</v>
      </c>
      <c r="SM84">
        <v>2</v>
      </c>
      <c r="SN84">
        <v>2</v>
      </c>
      <c r="SO84">
        <v>2</v>
      </c>
      <c r="SP84">
        <v>2</v>
      </c>
      <c r="SQ84">
        <v>2</v>
      </c>
      <c r="SR84">
        <v>2</v>
      </c>
      <c r="SS84">
        <v>2</v>
      </c>
      <c r="ST84">
        <v>2</v>
      </c>
      <c r="SU84">
        <v>2</v>
      </c>
      <c r="SV84">
        <v>2</v>
      </c>
      <c r="SW84">
        <v>2</v>
      </c>
      <c r="SX84">
        <v>2</v>
      </c>
      <c r="SY84">
        <v>2</v>
      </c>
      <c r="SZ84">
        <v>2</v>
      </c>
      <c r="TA84">
        <v>2</v>
      </c>
      <c r="TB84">
        <v>2</v>
      </c>
      <c r="TC84">
        <v>2</v>
      </c>
      <c r="TD84">
        <v>2</v>
      </c>
      <c r="TE84">
        <v>2</v>
      </c>
      <c r="TF84">
        <v>2</v>
      </c>
      <c r="TG84">
        <v>2</v>
      </c>
      <c r="TH84">
        <v>2</v>
      </c>
      <c r="TI84">
        <v>2</v>
      </c>
      <c r="TJ84">
        <v>2</v>
      </c>
      <c r="TK84">
        <v>2</v>
      </c>
      <c r="TL84">
        <v>2</v>
      </c>
      <c r="TM84">
        <v>2</v>
      </c>
      <c r="TN84">
        <v>2</v>
      </c>
      <c r="TO84">
        <v>2</v>
      </c>
      <c r="TP84">
        <v>2</v>
      </c>
      <c r="TQ84">
        <v>2</v>
      </c>
      <c r="TR84">
        <v>2</v>
      </c>
      <c r="TS84">
        <v>2</v>
      </c>
      <c r="TT84">
        <v>2</v>
      </c>
      <c r="TU84">
        <v>2</v>
      </c>
      <c r="TV84">
        <v>2</v>
      </c>
      <c r="TW84">
        <v>2</v>
      </c>
      <c r="TX84">
        <v>2</v>
      </c>
      <c r="TY84">
        <v>2</v>
      </c>
      <c r="TZ84">
        <v>2</v>
      </c>
      <c r="UA84">
        <v>2</v>
      </c>
      <c r="UB84">
        <v>2</v>
      </c>
      <c r="UC84">
        <v>2</v>
      </c>
      <c r="UD84">
        <v>2</v>
      </c>
      <c r="UE84">
        <v>2</v>
      </c>
      <c r="UF84">
        <v>2</v>
      </c>
      <c r="UG84">
        <v>2</v>
      </c>
      <c r="UH84">
        <v>2</v>
      </c>
      <c r="UI84">
        <v>2</v>
      </c>
      <c r="UJ84">
        <v>2</v>
      </c>
      <c r="UK84">
        <v>2</v>
      </c>
      <c r="UL84">
        <v>2</v>
      </c>
      <c r="UM84">
        <v>2</v>
      </c>
      <c r="UN84">
        <v>2</v>
      </c>
      <c r="UO84">
        <v>2</v>
      </c>
      <c r="UP84">
        <v>2</v>
      </c>
      <c r="UQ84">
        <v>2</v>
      </c>
      <c r="UR84">
        <v>2</v>
      </c>
      <c r="US84">
        <v>2</v>
      </c>
      <c r="UT84">
        <v>2</v>
      </c>
      <c r="UU84">
        <v>2</v>
      </c>
      <c r="UV84">
        <v>2</v>
      </c>
      <c r="UW84">
        <v>2</v>
      </c>
      <c r="UX84">
        <v>2</v>
      </c>
      <c r="UY84">
        <v>2</v>
      </c>
      <c r="UZ84">
        <v>2</v>
      </c>
      <c r="VA84">
        <v>2</v>
      </c>
      <c r="VB84">
        <v>2</v>
      </c>
      <c r="VC84">
        <v>2</v>
      </c>
      <c r="VD84">
        <v>2</v>
      </c>
      <c r="VE84">
        <v>2</v>
      </c>
      <c r="VF84">
        <v>2</v>
      </c>
      <c r="VG84">
        <v>2</v>
      </c>
      <c r="VH84">
        <v>2</v>
      </c>
      <c r="VI84">
        <v>2</v>
      </c>
      <c r="VJ84">
        <v>2</v>
      </c>
      <c r="VK84">
        <v>2</v>
      </c>
      <c r="VL84">
        <v>2</v>
      </c>
      <c r="VM84">
        <v>2</v>
      </c>
      <c r="VN84">
        <v>2</v>
      </c>
      <c r="VO84">
        <v>2</v>
      </c>
      <c r="VP84">
        <v>2</v>
      </c>
      <c r="VQ84">
        <v>2</v>
      </c>
      <c r="VR84">
        <v>2</v>
      </c>
      <c r="VS84">
        <v>2</v>
      </c>
      <c r="VT84">
        <v>2</v>
      </c>
      <c r="VU84">
        <v>2</v>
      </c>
      <c r="VV84">
        <v>2</v>
      </c>
      <c r="VW84">
        <v>2</v>
      </c>
      <c r="VX84">
        <v>2</v>
      </c>
      <c r="VY84">
        <v>2</v>
      </c>
      <c r="VZ84">
        <v>2</v>
      </c>
      <c r="WA84">
        <v>2</v>
      </c>
      <c r="WB84">
        <v>2</v>
      </c>
      <c r="WC84">
        <v>2</v>
      </c>
      <c r="WD84">
        <v>2</v>
      </c>
      <c r="WE84">
        <v>2</v>
      </c>
      <c r="WF84">
        <v>2</v>
      </c>
      <c r="WG84">
        <v>2</v>
      </c>
      <c r="WH84">
        <v>2</v>
      </c>
      <c r="WI84">
        <v>2</v>
      </c>
      <c r="WJ84">
        <v>2</v>
      </c>
      <c r="WK84">
        <v>2</v>
      </c>
      <c r="WL84">
        <v>2</v>
      </c>
      <c r="WM84">
        <v>2</v>
      </c>
      <c r="WN84">
        <v>2</v>
      </c>
      <c r="WO84">
        <v>2</v>
      </c>
      <c r="WP84">
        <v>2</v>
      </c>
      <c r="WQ84">
        <v>2</v>
      </c>
      <c r="WR84">
        <v>2</v>
      </c>
      <c r="WS84">
        <v>2</v>
      </c>
      <c r="WT84">
        <v>2</v>
      </c>
      <c r="WU84">
        <v>2</v>
      </c>
      <c r="WV84">
        <v>2</v>
      </c>
      <c r="WW84">
        <v>2</v>
      </c>
      <c r="WX84">
        <v>2</v>
      </c>
      <c r="WY84">
        <v>2</v>
      </c>
      <c r="WZ84">
        <v>2</v>
      </c>
      <c r="XA84">
        <v>2</v>
      </c>
      <c r="XB84">
        <v>2</v>
      </c>
      <c r="XC84">
        <v>2</v>
      </c>
      <c r="XD84">
        <v>2</v>
      </c>
      <c r="XE84">
        <v>2</v>
      </c>
      <c r="XF84">
        <v>2</v>
      </c>
      <c r="XG84">
        <v>2</v>
      </c>
      <c r="XH84">
        <v>2</v>
      </c>
      <c r="XI84">
        <v>2</v>
      </c>
      <c r="XJ84">
        <v>2</v>
      </c>
      <c r="XK84">
        <v>2</v>
      </c>
      <c r="XL84">
        <v>2</v>
      </c>
      <c r="XM84">
        <v>2</v>
      </c>
      <c r="XN84">
        <v>2</v>
      </c>
      <c r="XO84">
        <v>2</v>
      </c>
      <c r="XP84">
        <v>2</v>
      </c>
      <c r="XQ84">
        <v>2</v>
      </c>
      <c r="XR84">
        <v>2</v>
      </c>
      <c r="XS84">
        <v>2</v>
      </c>
      <c r="XT84">
        <v>2</v>
      </c>
      <c r="XU84">
        <v>2</v>
      </c>
      <c r="XV84">
        <v>2</v>
      </c>
      <c r="XW84">
        <v>2</v>
      </c>
      <c r="XX84">
        <v>2</v>
      </c>
      <c r="XY84">
        <v>2</v>
      </c>
      <c r="XZ84">
        <v>2</v>
      </c>
      <c r="YA84">
        <v>2</v>
      </c>
      <c r="YB84">
        <v>2</v>
      </c>
      <c r="YC84">
        <v>2</v>
      </c>
      <c r="YD84">
        <v>2</v>
      </c>
      <c r="YE84">
        <v>2</v>
      </c>
      <c r="YF84">
        <v>2</v>
      </c>
      <c r="YG84">
        <v>2</v>
      </c>
      <c r="YH84">
        <v>2</v>
      </c>
      <c r="YI84">
        <v>2</v>
      </c>
      <c r="YJ84">
        <v>2</v>
      </c>
      <c r="YK84">
        <v>2</v>
      </c>
      <c r="YL84">
        <v>2</v>
      </c>
      <c r="YM84">
        <v>2</v>
      </c>
      <c r="YN84">
        <v>2</v>
      </c>
      <c r="YO84">
        <v>2</v>
      </c>
      <c r="YP84">
        <v>2</v>
      </c>
      <c r="YQ84">
        <v>2</v>
      </c>
      <c r="YR84">
        <v>2</v>
      </c>
      <c r="YS84">
        <v>2</v>
      </c>
      <c r="YT84">
        <v>2</v>
      </c>
      <c r="YU84">
        <v>2</v>
      </c>
      <c r="YV84">
        <v>2</v>
      </c>
      <c r="YW84">
        <v>2</v>
      </c>
      <c r="YX84">
        <v>2</v>
      </c>
      <c r="YY84">
        <v>2</v>
      </c>
      <c r="YZ84">
        <v>2</v>
      </c>
      <c r="ZA84">
        <v>2</v>
      </c>
      <c r="ZB84">
        <v>2</v>
      </c>
      <c r="ZC84">
        <v>2</v>
      </c>
      <c r="ZD84">
        <v>2</v>
      </c>
      <c r="ZE84">
        <v>2</v>
      </c>
      <c r="ZF84">
        <v>2</v>
      </c>
      <c r="ZG84">
        <v>2</v>
      </c>
      <c r="ZH84">
        <v>2</v>
      </c>
      <c r="ZI84">
        <v>2</v>
      </c>
      <c r="ZJ84">
        <v>2</v>
      </c>
      <c r="ZK84">
        <v>2</v>
      </c>
      <c r="ZL84">
        <v>2</v>
      </c>
      <c r="ZM84">
        <v>2</v>
      </c>
      <c r="ZN84">
        <v>2</v>
      </c>
      <c r="ZO84">
        <v>2</v>
      </c>
      <c r="ZP84">
        <v>2</v>
      </c>
      <c r="ZQ84">
        <v>2</v>
      </c>
      <c r="ZR84">
        <v>2</v>
      </c>
      <c r="ZS84">
        <v>2</v>
      </c>
      <c r="ZT84">
        <v>2</v>
      </c>
      <c r="ZU84">
        <v>2</v>
      </c>
      <c r="ZV84">
        <v>2</v>
      </c>
      <c r="ZW84">
        <v>2</v>
      </c>
      <c r="ZX84">
        <v>2</v>
      </c>
      <c r="ZY84">
        <v>2</v>
      </c>
      <c r="ZZ84">
        <v>2</v>
      </c>
      <c r="AAA84">
        <v>2</v>
      </c>
      <c r="AAB84">
        <v>2</v>
      </c>
      <c r="AAC84">
        <v>2</v>
      </c>
      <c r="AAD84">
        <v>2</v>
      </c>
      <c r="AAE84">
        <v>2</v>
      </c>
      <c r="AAF84">
        <v>2</v>
      </c>
      <c r="AAG84">
        <v>2</v>
      </c>
      <c r="AAH84">
        <v>2</v>
      </c>
      <c r="AAI84">
        <v>2</v>
      </c>
      <c r="AAJ84">
        <v>2</v>
      </c>
      <c r="AAK84">
        <v>2</v>
      </c>
      <c r="AAL84">
        <v>2</v>
      </c>
      <c r="AAM84">
        <v>2</v>
      </c>
      <c r="AAN84">
        <v>2</v>
      </c>
      <c r="AAO84">
        <v>2</v>
      </c>
      <c r="AAP84">
        <v>2</v>
      </c>
      <c r="AAQ84">
        <v>2</v>
      </c>
      <c r="AAR84">
        <v>0</v>
      </c>
      <c r="AAS84">
        <v>0</v>
      </c>
      <c r="AAT84">
        <v>0</v>
      </c>
      <c r="AAU84">
        <v>0</v>
      </c>
      <c r="AAV84">
        <v>0</v>
      </c>
      <c r="AAW84">
        <v>0</v>
      </c>
      <c r="AAX84">
        <v>0</v>
      </c>
      <c r="AAY84">
        <v>0</v>
      </c>
      <c r="AAZ84">
        <v>0</v>
      </c>
      <c r="ABA84">
        <v>0</v>
      </c>
      <c r="ABB84">
        <v>0</v>
      </c>
      <c r="ABC84">
        <v>0</v>
      </c>
      <c r="ABD84">
        <v>0</v>
      </c>
      <c r="ABE84">
        <v>0</v>
      </c>
      <c r="ABG84" s="1137">
        <f t="shared" ref="ABG84:ABV99" si="21">COUNTIFS($C$3:$ABE$3, ABG$3, $C$4:$ABE$4, ABG$4, $C84:$ABE84, "&gt;0")</f>
        <v>0</v>
      </c>
      <c r="ABH84" s="1137">
        <f t="shared" si="21"/>
        <v>0</v>
      </c>
      <c r="ABI84" s="1137">
        <f t="shared" si="21"/>
        <v>27</v>
      </c>
      <c r="ABJ84" s="1137">
        <f t="shared" si="21"/>
        <v>30</v>
      </c>
      <c r="ABK84" s="1137">
        <f t="shared" si="21"/>
        <v>31</v>
      </c>
      <c r="ABL84" s="1137">
        <f t="shared" si="21"/>
        <v>30</v>
      </c>
      <c r="ABM84" s="1137">
        <f t="shared" si="21"/>
        <v>31</v>
      </c>
      <c r="ABN84" s="1137">
        <f t="shared" si="21"/>
        <v>31</v>
      </c>
      <c r="ABO84" s="1137">
        <f t="shared" si="21"/>
        <v>30</v>
      </c>
      <c r="ABP84" s="1137">
        <f t="shared" si="21"/>
        <v>31</v>
      </c>
      <c r="ABQ84" s="1137">
        <f t="shared" si="21"/>
        <v>30</v>
      </c>
      <c r="ABR84" s="1137">
        <f t="shared" si="21"/>
        <v>31</v>
      </c>
      <c r="ABS84" s="1137">
        <f t="shared" si="21"/>
        <v>31</v>
      </c>
      <c r="ABT84" s="1137">
        <f t="shared" si="21"/>
        <v>28</v>
      </c>
      <c r="ABU84" s="1137">
        <f t="shared" si="21"/>
        <v>31</v>
      </c>
      <c r="ABV84" s="1137">
        <f t="shared" si="21"/>
        <v>30</v>
      </c>
      <c r="ABW84" s="1137">
        <f t="shared" si="17"/>
        <v>31</v>
      </c>
      <c r="ABX84" s="1137">
        <f t="shared" si="14"/>
        <v>30</v>
      </c>
      <c r="ABY84" s="1137">
        <f t="shared" si="14"/>
        <v>31</v>
      </c>
      <c r="ABZ84" s="1137">
        <f t="shared" si="14"/>
        <v>31</v>
      </c>
      <c r="ACA84" s="1137">
        <f t="shared" si="14"/>
        <v>30</v>
      </c>
      <c r="ACB84" s="1137">
        <f t="shared" si="14"/>
        <v>31</v>
      </c>
      <c r="ACC84" s="1137">
        <f t="shared" si="14"/>
        <v>30</v>
      </c>
      <c r="ACD84" s="1137">
        <f t="shared" si="14"/>
        <v>17</v>
      </c>
      <c r="ACE84" s="1137" t="s">
        <v>665</v>
      </c>
      <c r="ACF84" s="1137">
        <f t="shared" si="20"/>
        <v>0</v>
      </c>
      <c r="ACG84" s="1137">
        <f t="shared" si="20"/>
        <v>0</v>
      </c>
      <c r="ACH84" s="1137">
        <f t="shared" si="20"/>
        <v>1</v>
      </c>
      <c r="ACI84" s="1137">
        <f t="shared" si="20"/>
        <v>1</v>
      </c>
      <c r="ACJ84" s="1137">
        <f t="shared" si="20"/>
        <v>1</v>
      </c>
      <c r="ACK84" s="1137">
        <f t="shared" si="20"/>
        <v>1</v>
      </c>
      <c r="ACL84" s="1137">
        <f t="shared" si="20"/>
        <v>1</v>
      </c>
      <c r="ACM84" s="1137">
        <f t="shared" si="20"/>
        <v>1</v>
      </c>
      <c r="ACN84" s="1137">
        <f t="shared" si="20"/>
        <v>1</v>
      </c>
      <c r="ACO84" s="1137">
        <f t="shared" si="20"/>
        <v>1</v>
      </c>
      <c r="ACP84" s="1137">
        <f t="shared" si="20"/>
        <v>1</v>
      </c>
      <c r="ACQ84" s="1137">
        <f t="shared" si="20"/>
        <v>1</v>
      </c>
      <c r="ACR84" s="1137">
        <f t="shared" si="20"/>
        <v>1</v>
      </c>
      <c r="ACS84" s="1137">
        <f t="shared" si="20"/>
        <v>1</v>
      </c>
      <c r="ACT84" s="1137">
        <f t="shared" si="20"/>
        <v>1</v>
      </c>
      <c r="ACU84" s="1137">
        <f t="shared" si="12"/>
        <v>1</v>
      </c>
      <c r="ACV84" s="1137">
        <f t="shared" si="12"/>
        <v>1</v>
      </c>
      <c r="ACW84" s="1137">
        <f t="shared" si="12"/>
        <v>1</v>
      </c>
      <c r="ACX84" s="1137">
        <f t="shared" si="12"/>
        <v>1</v>
      </c>
      <c r="ACY84" s="1137">
        <f t="shared" si="12"/>
        <v>1</v>
      </c>
      <c r="ACZ84" s="1137">
        <f t="shared" si="12"/>
        <v>1</v>
      </c>
      <c r="ADA84" s="1137">
        <f t="shared" si="12"/>
        <v>1</v>
      </c>
      <c r="ADB84" s="1137">
        <f t="shared" si="16"/>
        <v>1</v>
      </c>
      <c r="ADC84" s="1137">
        <f t="shared" si="16"/>
        <v>1</v>
      </c>
    </row>
    <row r="85" spans="1:783" x14ac:dyDescent="0.25">
      <c r="A85" t="s">
        <v>1882</v>
      </c>
      <c r="B85" t="s">
        <v>38</v>
      </c>
      <c r="C85">
        <v>0</v>
      </c>
      <c r="D85">
        <v>0</v>
      </c>
      <c r="E85">
        <v>0</v>
      </c>
      <c r="F85">
        <v>0</v>
      </c>
      <c r="G85">
        <v>0</v>
      </c>
      <c r="H85">
        <v>0</v>
      </c>
      <c r="I85">
        <v>0</v>
      </c>
      <c r="J85">
        <v>0</v>
      </c>
      <c r="K85">
        <v>0</v>
      </c>
      <c r="L85">
        <v>0</v>
      </c>
      <c r="M85">
        <v>0</v>
      </c>
      <c r="N85">
        <v>0</v>
      </c>
      <c r="O85">
        <v>0</v>
      </c>
      <c r="P85">
        <v>0</v>
      </c>
      <c r="Q85">
        <v>0</v>
      </c>
      <c r="R85">
        <v>0</v>
      </c>
      <c r="S85">
        <v>0</v>
      </c>
      <c r="T85">
        <v>0</v>
      </c>
      <c r="U85">
        <v>0</v>
      </c>
      <c r="V85">
        <v>0</v>
      </c>
      <c r="W85">
        <v>0</v>
      </c>
      <c r="X85">
        <v>0</v>
      </c>
      <c r="Y85">
        <v>0</v>
      </c>
      <c r="Z85">
        <v>0</v>
      </c>
      <c r="AA85">
        <v>0</v>
      </c>
      <c r="AB85">
        <v>0</v>
      </c>
      <c r="AC85">
        <v>0</v>
      </c>
      <c r="AD85">
        <v>0</v>
      </c>
      <c r="AE85">
        <v>0</v>
      </c>
      <c r="AF85">
        <v>0</v>
      </c>
      <c r="AG85">
        <v>0</v>
      </c>
      <c r="AH85">
        <v>0</v>
      </c>
      <c r="AI85">
        <v>0</v>
      </c>
      <c r="AJ85">
        <v>0</v>
      </c>
      <c r="AK85">
        <v>0</v>
      </c>
      <c r="AL85">
        <v>0</v>
      </c>
      <c r="AM85">
        <v>0</v>
      </c>
      <c r="AN85">
        <v>0</v>
      </c>
      <c r="AO85">
        <v>0</v>
      </c>
      <c r="AP85">
        <v>0</v>
      </c>
      <c r="AQ85">
        <v>0</v>
      </c>
      <c r="AR85">
        <v>0</v>
      </c>
      <c r="AS85">
        <v>0</v>
      </c>
      <c r="AT85">
        <v>0</v>
      </c>
      <c r="AU85">
        <v>0</v>
      </c>
      <c r="AV85">
        <v>0</v>
      </c>
      <c r="AW85">
        <v>0</v>
      </c>
      <c r="AX85">
        <v>0</v>
      </c>
      <c r="AY85">
        <v>0</v>
      </c>
      <c r="AZ85">
        <v>0</v>
      </c>
      <c r="BA85">
        <v>0</v>
      </c>
      <c r="BB85">
        <v>0</v>
      </c>
      <c r="BC85">
        <v>0</v>
      </c>
      <c r="BD85">
        <v>0</v>
      </c>
      <c r="BE85">
        <v>0</v>
      </c>
      <c r="BF85">
        <v>0</v>
      </c>
      <c r="BG85">
        <v>0</v>
      </c>
      <c r="BH85">
        <v>0</v>
      </c>
      <c r="BI85">
        <v>0</v>
      </c>
      <c r="BJ85">
        <v>0</v>
      </c>
      <c r="BK85">
        <v>0</v>
      </c>
      <c r="BL85">
        <v>0</v>
      </c>
      <c r="BM85">
        <v>0</v>
      </c>
      <c r="BN85">
        <v>0</v>
      </c>
      <c r="BO85">
        <v>0</v>
      </c>
      <c r="BP85">
        <v>0</v>
      </c>
      <c r="BQ85">
        <v>0</v>
      </c>
      <c r="BR85">
        <v>0</v>
      </c>
      <c r="BS85">
        <v>0</v>
      </c>
      <c r="BT85">
        <v>0</v>
      </c>
      <c r="BU85">
        <v>2</v>
      </c>
      <c r="BV85">
        <v>2</v>
      </c>
      <c r="BW85">
        <v>2</v>
      </c>
      <c r="BX85">
        <v>2</v>
      </c>
      <c r="BY85">
        <v>2</v>
      </c>
      <c r="BZ85">
        <v>2</v>
      </c>
      <c r="CA85">
        <v>2</v>
      </c>
      <c r="CB85">
        <v>2</v>
      </c>
      <c r="CC85">
        <v>2</v>
      </c>
      <c r="CD85">
        <v>2</v>
      </c>
      <c r="CE85">
        <v>2</v>
      </c>
      <c r="CF85">
        <v>2</v>
      </c>
      <c r="CG85">
        <v>2</v>
      </c>
      <c r="CH85">
        <v>2</v>
      </c>
      <c r="CI85">
        <v>2</v>
      </c>
      <c r="CJ85">
        <v>2</v>
      </c>
      <c r="CK85">
        <v>2</v>
      </c>
      <c r="CL85">
        <v>2</v>
      </c>
      <c r="CM85">
        <v>2</v>
      </c>
      <c r="CN85">
        <v>2</v>
      </c>
      <c r="CO85">
        <v>2</v>
      </c>
      <c r="CP85">
        <v>2</v>
      </c>
      <c r="CQ85">
        <v>2</v>
      </c>
      <c r="CR85">
        <v>2</v>
      </c>
      <c r="CS85">
        <v>2</v>
      </c>
      <c r="CT85">
        <v>2</v>
      </c>
      <c r="CU85">
        <v>2</v>
      </c>
      <c r="CV85">
        <v>2</v>
      </c>
      <c r="CW85">
        <v>2</v>
      </c>
      <c r="CX85">
        <v>2</v>
      </c>
      <c r="CY85">
        <v>2</v>
      </c>
      <c r="CZ85">
        <v>2</v>
      </c>
      <c r="DA85">
        <v>2</v>
      </c>
      <c r="DB85">
        <v>2</v>
      </c>
      <c r="DC85">
        <v>2</v>
      </c>
      <c r="DD85">
        <v>2</v>
      </c>
      <c r="DE85">
        <v>2</v>
      </c>
      <c r="DF85">
        <v>2</v>
      </c>
      <c r="DG85">
        <v>2</v>
      </c>
      <c r="DH85">
        <v>2</v>
      </c>
      <c r="DI85">
        <v>2</v>
      </c>
      <c r="DJ85">
        <v>2</v>
      </c>
      <c r="DK85">
        <v>2</v>
      </c>
      <c r="DL85">
        <v>2</v>
      </c>
      <c r="DM85">
        <v>2</v>
      </c>
      <c r="DN85">
        <v>2</v>
      </c>
      <c r="DO85">
        <v>2</v>
      </c>
      <c r="DP85">
        <v>2</v>
      </c>
      <c r="DQ85">
        <v>2</v>
      </c>
      <c r="DR85">
        <v>2</v>
      </c>
      <c r="DS85">
        <v>2</v>
      </c>
      <c r="DT85">
        <v>2</v>
      </c>
      <c r="DU85">
        <v>2</v>
      </c>
      <c r="DV85">
        <v>2</v>
      </c>
      <c r="DW85">
        <v>2</v>
      </c>
      <c r="DX85">
        <v>2</v>
      </c>
      <c r="DY85">
        <v>2</v>
      </c>
      <c r="DZ85">
        <v>2</v>
      </c>
      <c r="EA85">
        <v>2</v>
      </c>
      <c r="EB85">
        <v>2</v>
      </c>
      <c r="EC85">
        <v>2</v>
      </c>
      <c r="ED85">
        <v>2</v>
      </c>
      <c r="EE85">
        <v>2</v>
      </c>
      <c r="EF85">
        <v>2</v>
      </c>
      <c r="EG85">
        <v>2</v>
      </c>
      <c r="EH85">
        <v>2</v>
      </c>
      <c r="EI85">
        <v>2</v>
      </c>
      <c r="EJ85">
        <v>2</v>
      </c>
      <c r="EK85">
        <v>2</v>
      </c>
      <c r="EL85">
        <v>2</v>
      </c>
      <c r="EM85">
        <v>2</v>
      </c>
      <c r="EN85">
        <v>2</v>
      </c>
      <c r="EO85">
        <v>2</v>
      </c>
      <c r="EP85">
        <v>2</v>
      </c>
      <c r="EQ85">
        <v>2</v>
      </c>
      <c r="ER85">
        <v>2</v>
      </c>
      <c r="ES85">
        <v>2</v>
      </c>
      <c r="ET85">
        <v>2</v>
      </c>
      <c r="EU85">
        <v>2</v>
      </c>
      <c r="EV85">
        <v>2</v>
      </c>
      <c r="EW85">
        <v>2</v>
      </c>
      <c r="EX85">
        <v>2</v>
      </c>
      <c r="EY85">
        <v>2</v>
      </c>
      <c r="EZ85">
        <v>2</v>
      </c>
      <c r="FA85">
        <v>2</v>
      </c>
      <c r="FB85">
        <v>2</v>
      </c>
      <c r="FC85">
        <v>2</v>
      </c>
      <c r="FD85">
        <v>2</v>
      </c>
      <c r="FE85">
        <v>2</v>
      </c>
      <c r="FF85">
        <v>2</v>
      </c>
      <c r="FG85">
        <v>2</v>
      </c>
      <c r="FH85">
        <v>2</v>
      </c>
      <c r="FI85">
        <v>2</v>
      </c>
      <c r="FJ85">
        <v>2</v>
      </c>
      <c r="FK85">
        <v>2</v>
      </c>
      <c r="FL85">
        <v>2</v>
      </c>
      <c r="FM85">
        <v>2</v>
      </c>
      <c r="FN85">
        <v>2</v>
      </c>
      <c r="FO85">
        <v>2</v>
      </c>
      <c r="FP85">
        <v>2</v>
      </c>
      <c r="FQ85">
        <v>2</v>
      </c>
      <c r="FR85">
        <v>2</v>
      </c>
      <c r="FS85">
        <v>2</v>
      </c>
      <c r="FT85">
        <v>2</v>
      </c>
      <c r="FU85">
        <v>2</v>
      </c>
      <c r="FV85">
        <v>2</v>
      </c>
      <c r="FW85">
        <v>2</v>
      </c>
      <c r="FX85">
        <v>2</v>
      </c>
      <c r="FY85">
        <v>2</v>
      </c>
      <c r="FZ85">
        <v>2</v>
      </c>
      <c r="GA85">
        <v>2</v>
      </c>
      <c r="GB85">
        <v>2</v>
      </c>
      <c r="GC85">
        <v>2</v>
      </c>
      <c r="GD85">
        <v>2</v>
      </c>
      <c r="GE85">
        <v>2</v>
      </c>
      <c r="GF85">
        <v>2</v>
      </c>
      <c r="GG85">
        <v>2</v>
      </c>
      <c r="GH85">
        <v>2</v>
      </c>
      <c r="GI85">
        <v>2</v>
      </c>
      <c r="GJ85">
        <v>2</v>
      </c>
      <c r="GK85">
        <v>2</v>
      </c>
      <c r="GL85">
        <v>2</v>
      </c>
      <c r="GM85">
        <v>2</v>
      </c>
      <c r="GN85">
        <v>2</v>
      </c>
      <c r="GO85">
        <v>2</v>
      </c>
      <c r="GP85">
        <v>2</v>
      </c>
      <c r="GQ85">
        <v>2</v>
      </c>
      <c r="GR85">
        <v>2</v>
      </c>
      <c r="GS85">
        <v>2</v>
      </c>
      <c r="GT85">
        <v>2</v>
      </c>
      <c r="GU85">
        <v>2</v>
      </c>
      <c r="GV85">
        <v>2</v>
      </c>
      <c r="GW85">
        <v>2</v>
      </c>
      <c r="GX85">
        <v>2</v>
      </c>
      <c r="GY85">
        <v>2</v>
      </c>
      <c r="GZ85">
        <v>2</v>
      </c>
      <c r="HA85">
        <v>2</v>
      </c>
      <c r="HB85">
        <v>2</v>
      </c>
      <c r="HC85">
        <v>2</v>
      </c>
      <c r="HD85">
        <v>2</v>
      </c>
      <c r="HE85">
        <v>2</v>
      </c>
      <c r="HF85">
        <v>2</v>
      </c>
      <c r="HG85">
        <v>2</v>
      </c>
      <c r="HH85">
        <v>2</v>
      </c>
      <c r="HI85">
        <v>2</v>
      </c>
      <c r="HJ85">
        <v>2</v>
      </c>
      <c r="HK85">
        <v>2</v>
      </c>
      <c r="HL85">
        <v>2</v>
      </c>
      <c r="HM85">
        <v>2</v>
      </c>
      <c r="HN85">
        <v>2</v>
      </c>
      <c r="HO85">
        <v>2</v>
      </c>
      <c r="HP85">
        <v>2</v>
      </c>
      <c r="HQ85">
        <v>2</v>
      </c>
      <c r="HR85">
        <v>2</v>
      </c>
      <c r="HS85">
        <v>2</v>
      </c>
      <c r="HT85">
        <v>2</v>
      </c>
      <c r="HU85">
        <v>2</v>
      </c>
      <c r="HV85">
        <v>2</v>
      </c>
      <c r="HW85">
        <v>2</v>
      </c>
      <c r="HX85">
        <v>2</v>
      </c>
      <c r="HY85">
        <v>2</v>
      </c>
      <c r="HZ85">
        <v>2</v>
      </c>
      <c r="IA85">
        <v>2</v>
      </c>
      <c r="IB85">
        <v>2</v>
      </c>
      <c r="IC85">
        <v>2</v>
      </c>
      <c r="ID85">
        <v>2</v>
      </c>
      <c r="IE85">
        <v>2</v>
      </c>
      <c r="IF85">
        <v>2</v>
      </c>
      <c r="IG85">
        <v>2</v>
      </c>
      <c r="IH85">
        <v>2</v>
      </c>
      <c r="II85">
        <v>2</v>
      </c>
      <c r="IJ85">
        <v>2</v>
      </c>
      <c r="IK85">
        <v>2</v>
      </c>
      <c r="IL85">
        <v>2</v>
      </c>
      <c r="IM85">
        <v>2</v>
      </c>
      <c r="IN85">
        <v>2</v>
      </c>
      <c r="IO85">
        <v>2</v>
      </c>
      <c r="IP85">
        <v>2</v>
      </c>
      <c r="IQ85">
        <v>2</v>
      </c>
      <c r="IR85">
        <v>2</v>
      </c>
      <c r="IS85">
        <v>2</v>
      </c>
      <c r="IT85">
        <v>2</v>
      </c>
      <c r="IU85">
        <v>2</v>
      </c>
      <c r="IV85">
        <v>1</v>
      </c>
      <c r="IW85">
        <v>1</v>
      </c>
      <c r="IX85">
        <v>1</v>
      </c>
      <c r="IY85">
        <v>1</v>
      </c>
      <c r="IZ85">
        <v>1</v>
      </c>
      <c r="JA85">
        <v>1</v>
      </c>
      <c r="JB85">
        <v>1</v>
      </c>
      <c r="JC85">
        <v>1</v>
      </c>
      <c r="JD85">
        <v>1</v>
      </c>
      <c r="JE85">
        <v>1</v>
      </c>
      <c r="JF85">
        <v>1</v>
      </c>
      <c r="JG85">
        <v>1</v>
      </c>
      <c r="JH85">
        <v>1</v>
      </c>
      <c r="JI85">
        <v>1</v>
      </c>
      <c r="JJ85">
        <v>1</v>
      </c>
      <c r="JK85">
        <v>1</v>
      </c>
      <c r="JL85">
        <v>1</v>
      </c>
      <c r="JM85">
        <v>1</v>
      </c>
      <c r="JN85">
        <v>1</v>
      </c>
      <c r="JO85">
        <v>1</v>
      </c>
      <c r="JP85">
        <v>1</v>
      </c>
      <c r="JQ85">
        <v>1</v>
      </c>
      <c r="JR85">
        <v>1</v>
      </c>
      <c r="JS85">
        <v>1</v>
      </c>
      <c r="JT85">
        <v>1</v>
      </c>
      <c r="JU85">
        <v>1</v>
      </c>
      <c r="JV85">
        <v>1</v>
      </c>
      <c r="JW85">
        <v>1</v>
      </c>
      <c r="JX85">
        <v>1</v>
      </c>
      <c r="JY85">
        <v>1</v>
      </c>
      <c r="JZ85">
        <v>1</v>
      </c>
      <c r="KA85">
        <v>1</v>
      </c>
      <c r="KB85">
        <v>1</v>
      </c>
      <c r="KC85">
        <v>1</v>
      </c>
      <c r="KD85">
        <v>1</v>
      </c>
      <c r="KE85">
        <v>1</v>
      </c>
      <c r="KF85">
        <v>1</v>
      </c>
      <c r="KG85">
        <v>1</v>
      </c>
      <c r="KH85">
        <v>1</v>
      </c>
      <c r="KI85">
        <v>1</v>
      </c>
      <c r="KJ85">
        <v>1</v>
      </c>
      <c r="KK85">
        <v>1</v>
      </c>
      <c r="KL85">
        <v>1</v>
      </c>
      <c r="KM85">
        <v>1</v>
      </c>
      <c r="KN85">
        <v>1</v>
      </c>
      <c r="KO85">
        <v>1</v>
      </c>
      <c r="KP85">
        <v>1</v>
      </c>
      <c r="KQ85">
        <v>1</v>
      </c>
      <c r="KR85">
        <v>1</v>
      </c>
      <c r="KS85">
        <v>1</v>
      </c>
      <c r="KT85">
        <v>1</v>
      </c>
      <c r="KU85">
        <v>1</v>
      </c>
      <c r="KV85">
        <v>1</v>
      </c>
      <c r="KW85">
        <v>1</v>
      </c>
      <c r="KX85">
        <v>1</v>
      </c>
      <c r="KY85">
        <v>1</v>
      </c>
      <c r="KZ85">
        <v>1</v>
      </c>
      <c r="LA85">
        <v>1</v>
      </c>
      <c r="LB85">
        <v>1</v>
      </c>
      <c r="LC85">
        <v>1</v>
      </c>
      <c r="LD85">
        <v>1</v>
      </c>
      <c r="LE85">
        <v>1</v>
      </c>
      <c r="LF85">
        <v>1</v>
      </c>
      <c r="LG85">
        <v>1</v>
      </c>
      <c r="LH85">
        <v>1</v>
      </c>
      <c r="LI85">
        <v>1</v>
      </c>
      <c r="LJ85">
        <v>1</v>
      </c>
      <c r="LK85">
        <v>1</v>
      </c>
      <c r="LL85">
        <v>1</v>
      </c>
      <c r="LM85">
        <v>1</v>
      </c>
      <c r="LN85">
        <v>1</v>
      </c>
      <c r="LO85">
        <v>1</v>
      </c>
      <c r="LP85">
        <v>1</v>
      </c>
      <c r="LQ85">
        <v>1</v>
      </c>
      <c r="LR85">
        <v>1</v>
      </c>
      <c r="LS85">
        <v>1</v>
      </c>
      <c r="LT85">
        <v>1</v>
      </c>
      <c r="LU85">
        <v>1</v>
      </c>
      <c r="LV85">
        <v>1</v>
      </c>
      <c r="LW85">
        <v>1</v>
      </c>
      <c r="LX85">
        <v>1</v>
      </c>
      <c r="LY85">
        <v>1</v>
      </c>
      <c r="LZ85">
        <v>1</v>
      </c>
      <c r="MA85">
        <v>1</v>
      </c>
      <c r="MB85">
        <v>1</v>
      </c>
      <c r="MC85">
        <v>1</v>
      </c>
      <c r="MD85">
        <v>1</v>
      </c>
      <c r="ME85">
        <v>1</v>
      </c>
      <c r="MF85">
        <v>1</v>
      </c>
      <c r="MG85">
        <v>1</v>
      </c>
      <c r="MH85">
        <v>1</v>
      </c>
      <c r="MI85">
        <v>1</v>
      </c>
      <c r="MJ85">
        <v>1</v>
      </c>
      <c r="MK85">
        <v>1</v>
      </c>
      <c r="ML85">
        <v>1</v>
      </c>
      <c r="MM85">
        <v>1</v>
      </c>
      <c r="MN85">
        <v>1</v>
      </c>
      <c r="MO85">
        <v>1</v>
      </c>
      <c r="MP85">
        <v>1</v>
      </c>
      <c r="MQ85">
        <v>1</v>
      </c>
      <c r="MR85">
        <v>1</v>
      </c>
      <c r="MS85">
        <v>1</v>
      </c>
      <c r="MT85">
        <v>1</v>
      </c>
      <c r="MU85">
        <v>1</v>
      </c>
      <c r="MV85">
        <v>1</v>
      </c>
      <c r="MW85">
        <v>1</v>
      </c>
      <c r="MX85">
        <v>1</v>
      </c>
      <c r="MY85">
        <v>1</v>
      </c>
      <c r="MZ85">
        <v>1</v>
      </c>
      <c r="NA85">
        <v>1</v>
      </c>
      <c r="NB85">
        <v>1</v>
      </c>
      <c r="NC85">
        <v>1</v>
      </c>
      <c r="ND85">
        <v>1</v>
      </c>
      <c r="NE85">
        <v>1</v>
      </c>
      <c r="NF85">
        <v>1</v>
      </c>
      <c r="NG85">
        <v>1</v>
      </c>
      <c r="NH85">
        <v>1</v>
      </c>
      <c r="NI85">
        <v>1</v>
      </c>
      <c r="NJ85">
        <v>1</v>
      </c>
      <c r="NK85">
        <v>1</v>
      </c>
      <c r="NL85">
        <v>1</v>
      </c>
      <c r="NM85">
        <v>1</v>
      </c>
      <c r="NN85">
        <v>1</v>
      </c>
      <c r="NO85">
        <v>1</v>
      </c>
      <c r="NP85">
        <v>1</v>
      </c>
      <c r="NQ85">
        <v>1</v>
      </c>
      <c r="NR85">
        <v>1</v>
      </c>
      <c r="NS85">
        <v>1</v>
      </c>
      <c r="NT85">
        <v>1</v>
      </c>
      <c r="NU85">
        <v>1</v>
      </c>
      <c r="NV85">
        <v>1</v>
      </c>
      <c r="NW85">
        <v>1</v>
      </c>
      <c r="NX85">
        <v>1</v>
      </c>
      <c r="NY85">
        <v>1</v>
      </c>
      <c r="NZ85">
        <v>1</v>
      </c>
      <c r="OA85">
        <v>1</v>
      </c>
      <c r="OB85">
        <v>1</v>
      </c>
      <c r="OC85">
        <v>1</v>
      </c>
      <c r="OD85">
        <v>1</v>
      </c>
      <c r="OE85">
        <v>1</v>
      </c>
      <c r="OF85">
        <v>1</v>
      </c>
      <c r="OG85">
        <v>1</v>
      </c>
      <c r="OH85">
        <v>1</v>
      </c>
      <c r="OI85">
        <v>1</v>
      </c>
      <c r="OJ85">
        <v>1</v>
      </c>
      <c r="OK85">
        <v>1</v>
      </c>
      <c r="OL85">
        <v>1</v>
      </c>
      <c r="OM85">
        <v>1</v>
      </c>
      <c r="ON85">
        <v>1</v>
      </c>
      <c r="OO85">
        <v>1</v>
      </c>
      <c r="OP85">
        <v>1</v>
      </c>
      <c r="OQ85">
        <v>1</v>
      </c>
      <c r="OR85">
        <v>1</v>
      </c>
      <c r="OS85">
        <v>1</v>
      </c>
      <c r="OT85">
        <v>1</v>
      </c>
      <c r="OU85">
        <v>1</v>
      </c>
      <c r="OV85">
        <v>1</v>
      </c>
      <c r="OW85">
        <v>1</v>
      </c>
      <c r="OX85">
        <v>1</v>
      </c>
      <c r="OY85">
        <v>1</v>
      </c>
      <c r="OZ85">
        <v>1</v>
      </c>
      <c r="PA85">
        <v>1</v>
      </c>
      <c r="PB85">
        <v>1</v>
      </c>
      <c r="PC85">
        <v>1</v>
      </c>
      <c r="PD85">
        <v>1</v>
      </c>
      <c r="PE85">
        <v>1</v>
      </c>
      <c r="PF85">
        <v>2</v>
      </c>
      <c r="PG85">
        <v>2</v>
      </c>
      <c r="PH85">
        <v>2</v>
      </c>
      <c r="PI85">
        <v>2</v>
      </c>
      <c r="PJ85">
        <v>2</v>
      </c>
      <c r="PK85">
        <v>2</v>
      </c>
      <c r="PL85">
        <v>2</v>
      </c>
      <c r="PM85">
        <v>2</v>
      </c>
      <c r="PN85">
        <v>2</v>
      </c>
      <c r="PO85">
        <v>2</v>
      </c>
      <c r="PP85">
        <v>2</v>
      </c>
      <c r="PQ85">
        <v>2</v>
      </c>
      <c r="PR85">
        <v>2</v>
      </c>
      <c r="PS85">
        <v>2</v>
      </c>
      <c r="PT85">
        <v>2</v>
      </c>
      <c r="PU85">
        <v>2</v>
      </c>
      <c r="PV85">
        <v>2</v>
      </c>
      <c r="PW85">
        <v>2</v>
      </c>
      <c r="PX85">
        <v>2</v>
      </c>
      <c r="PY85">
        <v>2</v>
      </c>
      <c r="PZ85">
        <v>2</v>
      </c>
      <c r="QA85">
        <v>2</v>
      </c>
      <c r="QB85">
        <v>2</v>
      </c>
      <c r="QC85">
        <v>2</v>
      </c>
      <c r="QD85">
        <v>2</v>
      </c>
      <c r="QE85">
        <v>2</v>
      </c>
      <c r="QF85">
        <v>2</v>
      </c>
      <c r="QG85">
        <v>2</v>
      </c>
      <c r="QH85">
        <v>2</v>
      </c>
      <c r="QI85">
        <v>2</v>
      </c>
      <c r="QJ85">
        <v>2</v>
      </c>
      <c r="QK85">
        <v>2</v>
      </c>
      <c r="QL85">
        <v>2</v>
      </c>
      <c r="QM85">
        <v>2</v>
      </c>
      <c r="QN85">
        <v>2</v>
      </c>
      <c r="QO85">
        <v>2</v>
      </c>
      <c r="QP85">
        <v>2</v>
      </c>
      <c r="QQ85">
        <v>2</v>
      </c>
      <c r="QR85">
        <v>2</v>
      </c>
      <c r="QS85">
        <v>2</v>
      </c>
      <c r="QT85">
        <v>2</v>
      </c>
      <c r="QU85">
        <v>2</v>
      </c>
      <c r="QV85">
        <v>2</v>
      </c>
      <c r="QW85">
        <v>2</v>
      </c>
      <c r="QX85">
        <v>2</v>
      </c>
      <c r="QY85">
        <v>2</v>
      </c>
      <c r="QZ85">
        <v>2</v>
      </c>
      <c r="RA85">
        <v>2</v>
      </c>
      <c r="RB85">
        <v>2</v>
      </c>
      <c r="RC85">
        <v>2</v>
      </c>
      <c r="RD85">
        <v>2</v>
      </c>
      <c r="RE85">
        <v>2</v>
      </c>
      <c r="RF85">
        <v>2</v>
      </c>
      <c r="RG85">
        <v>2</v>
      </c>
      <c r="RH85">
        <v>2</v>
      </c>
      <c r="RI85">
        <v>2</v>
      </c>
      <c r="RJ85">
        <v>2</v>
      </c>
      <c r="RK85">
        <v>2</v>
      </c>
      <c r="RL85">
        <v>2</v>
      </c>
      <c r="RM85">
        <v>2</v>
      </c>
      <c r="RN85">
        <v>2</v>
      </c>
      <c r="RO85">
        <v>2</v>
      </c>
      <c r="RP85">
        <v>2</v>
      </c>
      <c r="RQ85">
        <v>2</v>
      </c>
      <c r="RR85">
        <v>2</v>
      </c>
      <c r="RS85">
        <v>2</v>
      </c>
      <c r="RT85">
        <v>2</v>
      </c>
      <c r="RU85">
        <v>2</v>
      </c>
      <c r="RV85">
        <v>2</v>
      </c>
      <c r="RW85">
        <v>2</v>
      </c>
      <c r="RX85">
        <v>2</v>
      </c>
      <c r="RY85">
        <v>2</v>
      </c>
      <c r="RZ85">
        <v>2</v>
      </c>
      <c r="SA85">
        <v>2</v>
      </c>
      <c r="SB85">
        <v>2</v>
      </c>
      <c r="SC85">
        <v>2</v>
      </c>
      <c r="SD85">
        <v>2</v>
      </c>
      <c r="SE85">
        <v>2</v>
      </c>
      <c r="SF85">
        <v>2</v>
      </c>
      <c r="SG85">
        <v>2</v>
      </c>
      <c r="SH85">
        <v>2</v>
      </c>
      <c r="SI85">
        <v>2</v>
      </c>
      <c r="SJ85">
        <v>2</v>
      </c>
      <c r="SK85">
        <v>2</v>
      </c>
      <c r="SL85">
        <v>2</v>
      </c>
      <c r="SM85">
        <v>2</v>
      </c>
      <c r="SN85">
        <v>2</v>
      </c>
      <c r="SO85">
        <v>2</v>
      </c>
      <c r="SP85">
        <v>2</v>
      </c>
      <c r="SQ85">
        <v>2</v>
      </c>
      <c r="SR85">
        <v>2</v>
      </c>
      <c r="SS85">
        <v>2</v>
      </c>
      <c r="ST85">
        <v>2</v>
      </c>
      <c r="SU85">
        <v>2</v>
      </c>
      <c r="SV85">
        <v>2</v>
      </c>
      <c r="SW85">
        <v>2</v>
      </c>
      <c r="SX85">
        <v>2</v>
      </c>
      <c r="SY85">
        <v>2</v>
      </c>
      <c r="SZ85">
        <v>2</v>
      </c>
      <c r="TA85">
        <v>2</v>
      </c>
      <c r="TB85">
        <v>2</v>
      </c>
      <c r="TC85">
        <v>2</v>
      </c>
      <c r="TD85">
        <v>2</v>
      </c>
      <c r="TE85">
        <v>2</v>
      </c>
      <c r="TF85">
        <v>2</v>
      </c>
      <c r="TG85">
        <v>1</v>
      </c>
      <c r="TH85">
        <v>1</v>
      </c>
      <c r="TI85">
        <v>1</v>
      </c>
      <c r="TJ85">
        <v>1</v>
      </c>
      <c r="TK85">
        <v>1</v>
      </c>
      <c r="TL85">
        <v>1</v>
      </c>
      <c r="TM85">
        <v>1</v>
      </c>
      <c r="TN85">
        <v>1</v>
      </c>
      <c r="TO85">
        <v>1</v>
      </c>
      <c r="TP85">
        <v>1</v>
      </c>
      <c r="TQ85">
        <v>1</v>
      </c>
      <c r="TR85">
        <v>1</v>
      </c>
      <c r="TS85">
        <v>1</v>
      </c>
      <c r="TT85">
        <v>1</v>
      </c>
      <c r="TU85">
        <v>1</v>
      </c>
      <c r="TV85">
        <v>1</v>
      </c>
      <c r="TW85">
        <v>1</v>
      </c>
      <c r="TX85">
        <v>1</v>
      </c>
      <c r="TY85">
        <v>1</v>
      </c>
      <c r="TZ85">
        <v>1</v>
      </c>
      <c r="UA85">
        <v>2</v>
      </c>
      <c r="UB85">
        <v>2</v>
      </c>
      <c r="UC85">
        <v>2</v>
      </c>
      <c r="UD85">
        <v>2</v>
      </c>
      <c r="UE85">
        <v>2</v>
      </c>
      <c r="UF85">
        <v>2</v>
      </c>
      <c r="UG85">
        <v>2</v>
      </c>
      <c r="UH85">
        <v>2</v>
      </c>
      <c r="UI85">
        <v>2</v>
      </c>
      <c r="UJ85">
        <v>2</v>
      </c>
      <c r="UK85">
        <v>2</v>
      </c>
      <c r="UL85">
        <v>2</v>
      </c>
      <c r="UM85">
        <v>2</v>
      </c>
      <c r="UN85">
        <v>2</v>
      </c>
      <c r="UO85">
        <v>2</v>
      </c>
      <c r="UP85">
        <v>2</v>
      </c>
      <c r="UQ85">
        <v>2</v>
      </c>
      <c r="UR85">
        <v>2</v>
      </c>
      <c r="US85">
        <v>2</v>
      </c>
      <c r="UT85">
        <v>2</v>
      </c>
      <c r="UU85">
        <v>2</v>
      </c>
      <c r="UV85">
        <v>2</v>
      </c>
      <c r="UW85">
        <v>2</v>
      </c>
      <c r="UX85">
        <v>2</v>
      </c>
      <c r="UY85">
        <v>2</v>
      </c>
      <c r="UZ85">
        <v>2</v>
      </c>
      <c r="VA85">
        <v>2</v>
      </c>
      <c r="VB85">
        <v>2</v>
      </c>
      <c r="VC85">
        <v>2</v>
      </c>
      <c r="VD85">
        <v>2</v>
      </c>
      <c r="VE85">
        <v>2</v>
      </c>
      <c r="VF85">
        <v>2</v>
      </c>
      <c r="VG85">
        <v>2</v>
      </c>
      <c r="VH85">
        <v>2</v>
      </c>
      <c r="VI85">
        <v>2</v>
      </c>
      <c r="VJ85">
        <v>2</v>
      </c>
      <c r="VK85">
        <v>2</v>
      </c>
      <c r="VL85">
        <v>2</v>
      </c>
      <c r="VM85">
        <v>2</v>
      </c>
      <c r="VN85">
        <v>2</v>
      </c>
      <c r="VO85">
        <v>2</v>
      </c>
      <c r="VP85">
        <v>2</v>
      </c>
      <c r="VQ85">
        <v>2</v>
      </c>
      <c r="VR85">
        <v>2</v>
      </c>
      <c r="VS85">
        <v>2</v>
      </c>
      <c r="VT85">
        <v>2</v>
      </c>
      <c r="VU85">
        <v>2</v>
      </c>
      <c r="VV85">
        <v>2</v>
      </c>
      <c r="VW85">
        <v>2</v>
      </c>
      <c r="VX85">
        <v>2</v>
      </c>
      <c r="VY85">
        <v>2</v>
      </c>
      <c r="VZ85">
        <v>2</v>
      </c>
      <c r="WA85">
        <v>2</v>
      </c>
      <c r="WB85">
        <v>2</v>
      </c>
      <c r="WC85">
        <v>2</v>
      </c>
      <c r="WD85">
        <v>2</v>
      </c>
      <c r="WE85">
        <v>2</v>
      </c>
      <c r="WF85">
        <v>2</v>
      </c>
      <c r="WG85">
        <v>2</v>
      </c>
      <c r="WH85">
        <v>2</v>
      </c>
      <c r="WI85">
        <v>2</v>
      </c>
      <c r="WJ85">
        <v>2</v>
      </c>
      <c r="WK85">
        <v>2</v>
      </c>
      <c r="WL85">
        <v>2</v>
      </c>
      <c r="WM85">
        <v>2</v>
      </c>
      <c r="WN85">
        <v>2</v>
      </c>
      <c r="WO85">
        <v>2</v>
      </c>
      <c r="WP85">
        <v>2</v>
      </c>
      <c r="WQ85">
        <v>2</v>
      </c>
      <c r="WR85">
        <v>2</v>
      </c>
      <c r="WS85">
        <v>2</v>
      </c>
      <c r="WT85">
        <v>2</v>
      </c>
      <c r="WU85">
        <v>2</v>
      </c>
      <c r="WV85">
        <v>2</v>
      </c>
      <c r="WW85">
        <v>2</v>
      </c>
      <c r="WX85">
        <v>2</v>
      </c>
      <c r="WY85">
        <v>2</v>
      </c>
      <c r="WZ85">
        <v>2</v>
      </c>
      <c r="XA85">
        <v>2</v>
      </c>
      <c r="XB85">
        <v>2</v>
      </c>
      <c r="XC85">
        <v>2</v>
      </c>
      <c r="XD85">
        <v>2</v>
      </c>
      <c r="XE85">
        <v>2</v>
      </c>
      <c r="XF85">
        <v>2</v>
      </c>
      <c r="XG85">
        <v>2</v>
      </c>
      <c r="XH85">
        <v>2</v>
      </c>
      <c r="XI85">
        <v>2</v>
      </c>
      <c r="XJ85">
        <v>2</v>
      </c>
      <c r="XK85">
        <v>2</v>
      </c>
      <c r="XL85">
        <v>2</v>
      </c>
      <c r="XM85">
        <v>2</v>
      </c>
      <c r="XN85">
        <v>2</v>
      </c>
      <c r="XO85">
        <v>2</v>
      </c>
      <c r="XP85">
        <v>2</v>
      </c>
      <c r="XQ85">
        <v>2</v>
      </c>
      <c r="XR85">
        <v>2</v>
      </c>
      <c r="XS85">
        <v>2</v>
      </c>
      <c r="XT85">
        <v>2</v>
      </c>
      <c r="XU85">
        <v>2</v>
      </c>
      <c r="XV85">
        <v>2</v>
      </c>
      <c r="XW85">
        <v>2</v>
      </c>
      <c r="XX85">
        <v>2</v>
      </c>
      <c r="XY85">
        <v>2</v>
      </c>
      <c r="XZ85">
        <v>2</v>
      </c>
      <c r="YA85">
        <v>2</v>
      </c>
      <c r="YB85">
        <v>2</v>
      </c>
      <c r="YC85">
        <v>2</v>
      </c>
      <c r="YD85">
        <v>2</v>
      </c>
      <c r="YE85">
        <v>2</v>
      </c>
      <c r="YF85">
        <v>2</v>
      </c>
      <c r="YG85">
        <v>2</v>
      </c>
      <c r="YH85">
        <v>2</v>
      </c>
      <c r="YI85">
        <v>2</v>
      </c>
      <c r="YJ85">
        <v>2</v>
      </c>
      <c r="YK85">
        <v>2</v>
      </c>
      <c r="YL85">
        <v>2</v>
      </c>
      <c r="YM85">
        <v>2</v>
      </c>
      <c r="YN85">
        <v>2</v>
      </c>
      <c r="YO85">
        <v>2</v>
      </c>
      <c r="YP85">
        <v>2</v>
      </c>
      <c r="YQ85">
        <v>2</v>
      </c>
      <c r="YR85">
        <v>2</v>
      </c>
      <c r="YS85">
        <v>2</v>
      </c>
      <c r="YT85">
        <v>2</v>
      </c>
      <c r="YU85">
        <v>2</v>
      </c>
      <c r="YV85">
        <v>2</v>
      </c>
      <c r="YW85">
        <v>2</v>
      </c>
      <c r="YX85">
        <v>2</v>
      </c>
      <c r="YY85">
        <v>2</v>
      </c>
      <c r="YZ85">
        <v>2</v>
      </c>
      <c r="ZA85">
        <v>2</v>
      </c>
      <c r="ZB85">
        <v>2</v>
      </c>
      <c r="ZC85">
        <v>2</v>
      </c>
      <c r="ZD85">
        <v>2</v>
      </c>
      <c r="ZE85">
        <v>2</v>
      </c>
      <c r="ZF85">
        <v>2</v>
      </c>
      <c r="ZG85">
        <v>2</v>
      </c>
      <c r="ZH85">
        <v>2</v>
      </c>
      <c r="ZI85">
        <v>2</v>
      </c>
      <c r="ZJ85">
        <v>2</v>
      </c>
      <c r="ZK85">
        <v>2</v>
      </c>
      <c r="ZL85">
        <v>2</v>
      </c>
      <c r="ZM85">
        <v>2</v>
      </c>
      <c r="ZN85">
        <v>2</v>
      </c>
      <c r="ZO85">
        <v>2</v>
      </c>
      <c r="ZP85">
        <v>2</v>
      </c>
      <c r="ZQ85">
        <v>2</v>
      </c>
      <c r="ZR85">
        <v>2</v>
      </c>
      <c r="ZS85">
        <v>2</v>
      </c>
      <c r="ZT85">
        <v>2</v>
      </c>
      <c r="ZU85">
        <v>2</v>
      </c>
      <c r="ZV85">
        <v>2</v>
      </c>
      <c r="ZW85">
        <v>2</v>
      </c>
      <c r="ZX85">
        <v>2</v>
      </c>
      <c r="ZY85">
        <v>2</v>
      </c>
      <c r="ZZ85">
        <v>2</v>
      </c>
      <c r="AAA85">
        <v>2</v>
      </c>
      <c r="AAB85">
        <v>2</v>
      </c>
      <c r="AAC85">
        <v>2</v>
      </c>
      <c r="AAD85">
        <v>2</v>
      </c>
      <c r="AAE85">
        <v>2</v>
      </c>
      <c r="AAF85">
        <v>2</v>
      </c>
      <c r="AAG85">
        <v>2</v>
      </c>
      <c r="AAH85">
        <v>2</v>
      </c>
      <c r="AAI85">
        <v>2</v>
      </c>
      <c r="AAJ85">
        <v>2</v>
      </c>
      <c r="AAK85">
        <v>2</v>
      </c>
      <c r="AAL85">
        <v>2</v>
      </c>
      <c r="AAM85">
        <v>2</v>
      </c>
      <c r="AAN85">
        <v>2</v>
      </c>
      <c r="AAO85">
        <v>2</v>
      </c>
      <c r="AAP85">
        <v>2</v>
      </c>
      <c r="AAQ85">
        <v>2</v>
      </c>
      <c r="AAR85">
        <v>2</v>
      </c>
      <c r="AAS85">
        <v>2</v>
      </c>
      <c r="AAT85">
        <v>2</v>
      </c>
      <c r="AAU85">
        <v>2</v>
      </c>
      <c r="AAV85">
        <v>2</v>
      </c>
      <c r="AAW85">
        <v>2</v>
      </c>
      <c r="AAX85">
        <v>2</v>
      </c>
      <c r="AAY85">
        <v>2</v>
      </c>
      <c r="AAZ85">
        <v>2</v>
      </c>
      <c r="ABA85">
        <v>2</v>
      </c>
      <c r="ABB85">
        <v>2</v>
      </c>
      <c r="ABC85">
        <v>2</v>
      </c>
      <c r="ABD85">
        <v>2</v>
      </c>
      <c r="ABE85">
        <v>2</v>
      </c>
      <c r="ABG85" s="1137">
        <f t="shared" si="21"/>
        <v>0</v>
      </c>
      <c r="ABH85" s="1137">
        <f t="shared" si="21"/>
        <v>0</v>
      </c>
      <c r="ABI85" s="1137">
        <f t="shared" si="21"/>
        <v>21</v>
      </c>
      <c r="ABJ85" s="1137">
        <f t="shared" si="21"/>
        <v>30</v>
      </c>
      <c r="ABK85" s="1137">
        <f t="shared" si="21"/>
        <v>31</v>
      </c>
      <c r="ABL85" s="1137">
        <f t="shared" si="21"/>
        <v>30</v>
      </c>
      <c r="ABM85" s="1137">
        <f t="shared" si="21"/>
        <v>31</v>
      </c>
      <c r="ABN85" s="1137">
        <f t="shared" si="21"/>
        <v>31</v>
      </c>
      <c r="ABO85" s="1137">
        <f t="shared" si="21"/>
        <v>30</v>
      </c>
      <c r="ABP85" s="1137">
        <f t="shared" si="21"/>
        <v>31</v>
      </c>
      <c r="ABQ85" s="1137">
        <f t="shared" si="21"/>
        <v>30</v>
      </c>
      <c r="ABR85" s="1137">
        <f t="shared" si="21"/>
        <v>31</v>
      </c>
      <c r="ABS85" s="1137">
        <f t="shared" si="21"/>
        <v>31</v>
      </c>
      <c r="ABT85" s="1137">
        <f t="shared" si="21"/>
        <v>28</v>
      </c>
      <c r="ABU85" s="1137">
        <f t="shared" si="21"/>
        <v>31</v>
      </c>
      <c r="ABV85" s="1137">
        <f t="shared" si="21"/>
        <v>30</v>
      </c>
      <c r="ABW85" s="1137">
        <f t="shared" si="17"/>
        <v>31</v>
      </c>
      <c r="ABX85" s="1137">
        <f t="shared" si="14"/>
        <v>30</v>
      </c>
      <c r="ABY85" s="1137">
        <f t="shared" si="14"/>
        <v>31</v>
      </c>
      <c r="ABZ85" s="1137">
        <f t="shared" si="14"/>
        <v>31</v>
      </c>
      <c r="ACA85" s="1137">
        <f t="shared" si="14"/>
        <v>30</v>
      </c>
      <c r="ACB85" s="1137">
        <f t="shared" si="14"/>
        <v>31</v>
      </c>
      <c r="ACC85" s="1137">
        <f t="shared" si="14"/>
        <v>30</v>
      </c>
      <c r="ACD85" s="1137">
        <f t="shared" si="14"/>
        <v>31</v>
      </c>
      <c r="ACE85" s="1137" t="s">
        <v>38</v>
      </c>
      <c r="ACF85" s="1137">
        <f t="shared" si="20"/>
        <v>0</v>
      </c>
      <c r="ACG85" s="1137">
        <f t="shared" si="20"/>
        <v>0</v>
      </c>
      <c r="ACH85" s="1137">
        <f t="shared" si="20"/>
        <v>1</v>
      </c>
      <c r="ACI85" s="1137">
        <f t="shared" si="20"/>
        <v>1</v>
      </c>
      <c r="ACJ85" s="1137">
        <f t="shared" si="20"/>
        <v>1</v>
      </c>
      <c r="ACK85" s="1137">
        <f t="shared" si="20"/>
        <v>1</v>
      </c>
      <c r="ACL85" s="1137">
        <f t="shared" si="20"/>
        <v>1</v>
      </c>
      <c r="ACM85" s="1137">
        <f t="shared" si="20"/>
        <v>1</v>
      </c>
      <c r="ACN85" s="1137">
        <f t="shared" si="20"/>
        <v>1</v>
      </c>
      <c r="ACO85" s="1137">
        <f t="shared" si="20"/>
        <v>1</v>
      </c>
      <c r="ACP85" s="1137">
        <f t="shared" si="20"/>
        <v>1</v>
      </c>
      <c r="ACQ85" s="1137">
        <f t="shared" si="20"/>
        <v>1</v>
      </c>
      <c r="ACR85" s="1137">
        <f t="shared" si="20"/>
        <v>1</v>
      </c>
      <c r="ACS85" s="1137">
        <f t="shared" si="20"/>
        <v>1</v>
      </c>
      <c r="ACT85" s="1137">
        <f t="shared" si="20"/>
        <v>1</v>
      </c>
      <c r="ACU85" s="1137">
        <f t="shared" si="12"/>
        <v>1</v>
      </c>
      <c r="ACV85" s="1137">
        <f t="shared" si="12"/>
        <v>1</v>
      </c>
      <c r="ACW85" s="1137">
        <f t="shared" si="12"/>
        <v>1</v>
      </c>
      <c r="ACX85" s="1137">
        <f t="shared" si="12"/>
        <v>1</v>
      </c>
      <c r="ACY85" s="1137">
        <f t="shared" si="12"/>
        <v>1</v>
      </c>
      <c r="ACZ85" s="1137">
        <f t="shared" si="12"/>
        <v>1</v>
      </c>
      <c r="ADA85" s="1137">
        <f t="shared" si="12"/>
        <v>1</v>
      </c>
      <c r="ADB85" s="1137">
        <f t="shared" si="16"/>
        <v>1</v>
      </c>
      <c r="ADC85" s="1137">
        <f t="shared" si="16"/>
        <v>1</v>
      </c>
    </row>
    <row r="86" spans="1:783" x14ac:dyDescent="0.25">
      <c r="A86" t="s">
        <v>1883</v>
      </c>
      <c r="B86" t="s">
        <v>196</v>
      </c>
      <c r="C86">
        <v>0</v>
      </c>
      <c r="D86">
        <v>0</v>
      </c>
      <c r="E86">
        <v>0</v>
      </c>
      <c r="F86">
        <v>0</v>
      </c>
      <c r="G86">
        <v>0</v>
      </c>
      <c r="H86">
        <v>0</v>
      </c>
      <c r="I86">
        <v>0</v>
      </c>
      <c r="J86">
        <v>0</v>
      </c>
      <c r="K86">
        <v>0</v>
      </c>
      <c r="L86">
        <v>0</v>
      </c>
      <c r="M86">
        <v>0</v>
      </c>
      <c r="N86">
        <v>0</v>
      </c>
      <c r="O86">
        <v>0</v>
      </c>
      <c r="P86">
        <v>0</v>
      </c>
      <c r="Q86">
        <v>0</v>
      </c>
      <c r="R86">
        <v>0</v>
      </c>
      <c r="S86">
        <v>0</v>
      </c>
      <c r="T86">
        <v>0</v>
      </c>
      <c r="U86">
        <v>0</v>
      </c>
      <c r="V86">
        <v>0</v>
      </c>
      <c r="W86">
        <v>0</v>
      </c>
      <c r="X86">
        <v>0</v>
      </c>
      <c r="Y86">
        <v>0</v>
      </c>
      <c r="Z86">
        <v>0</v>
      </c>
      <c r="AA86">
        <v>0</v>
      </c>
      <c r="AB86">
        <v>0</v>
      </c>
      <c r="AC86">
        <v>0</v>
      </c>
      <c r="AD86">
        <v>0</v>
      </c>
      <c r="AE86">
        <v>0</v>
      </c>
      <c r="AF86">
        <v>0</v>
      </c>
      <c r="AG86">
        <v>0</v>
      </c>
      <c r="AH86">
        <v>0</v>
      </c>
      <c r="AI86">
        <v>0</v>
      </c>
      <c r="AJ86">
        <v>0</v>
      </c>
      <c r="AK86">
        <v>0</v>
      </c>
      <c r="AL86">
        <v>0</v>
      </c>
      <c r="AM86">
        <v>0</v>
      </c>
      <c r="AN86">
        <v>0</v>
      </c>
      <c r="AO86">
        <v>0</v>
      </c>
      <c r="AP86">
        <v>0</v>
      </c>
      <c r="AQ86">
        <v>0</v>
      </c>
      <c r="AR86">
        <v>0</v>
      </c>
      <c r="AS86">
        <v>0</v>
      </c>
      <c r="AT86">
        <v>0</v>
      </c>
      <c r="AU86">
        <v>0</v>
      </c>
      <c r="AV86">
        <v>0</v>
      </c>
      <c r="AW86">
        <v>0</v>
      </c>
      <c r="AX86">
        <v>0</v>
      </c>
      <c r="AY86">
        <v>0</v>
      </c>
      <c r="AZ86">
        <v>0</v>
      </c>
      <c r="BA86">
        <v>0</v>
      </c>
      <c r="BB86">
        <v>0</v>
      </c>
      <c r="BC86">
        <v>0</v>
      </c>
      <c r="BD86">
        <v>0</v>
      </c>
      <c r="BE86">
        <v>0</v>
      </c>
      <c r="BF86">
        <v>0</v>
      </c>
      <c r="BG86">
        <v>0</v>
      </c>
      <c r="BH86">
        <v>0</v>
      </c>
      <c r="BI86">
        <v>0</v>
      </c>
      <c r="BJ86">
        <v>0</v>
      </c>
      <c r="BK86">
        <v>0</v>
      </c>
      <c r="BL86">
        <v>0</v>
      </c>
      <c r="BM86">
        <v>0</v>
      </c>
      <c r="BN86">
        <v>0</v>
      </c>
      <c r="BO86">
        <v>0</v>
      </c>
      <c r="BP86">
        <v>0</v>
      </c>
      <c r="BQ86">
        <v>0</v>
      </c>
      <c r="BR86">
        <v>0</v>
      </c>
      <c r="BS86">
        <v>0</v>
      </c>
      <c r="BT86">
        <v>0</v>
      </c>
      <c r="BU86">
        <v>0</v>
      </c>
      <c r="BV86">
        <v>0</v>
      </c>
      <c r="BW86">
        <v>0</v>
      </c>
      <c r="BX86">
        <v>0</v>
      </c>
      <c r="BY86">
        <v>0</v>
      </c>
      <c r="BZ86">
        <v>0</v>
      </c>
      <c r="CA86">
        <v>0</v>
      </c>
      <c r="CB86">
        <v>0</v>
      </c>
      <c r="CC86">
        <v>0</v>
      </c>
      <c r="CD86">
        <v>0</v>
      </c>
      <c r="CE86">
        <v>0</v>
      </c>
      <c r="CF86">
        <v>0</v>
      </c>
      <c r="CG86">
        <v>0</v>
      </c>
      <c r="CH86">
        <v>0</v>
      </c>
      <c r="CI86">
        <v>0</v>
      </c>
      <c r="CJ86">
        <v>0</v>
      </c>
      <c r="CK86">
        <v>0</v>
      </c>
      <c r="CL86">
        <v>0</v>
      </c>
      <c r="CM86">
        <v>0</v>
      </c>
      <c r="CN86">
        <v>0</v>
      </c>
      <c r="CO86">
        <v>0</v>
      </c>
      <c r="CP86">
        <v>0</v>
      </c>
      <c r="CQ86">
        <v>0</v>
      </c>
      <c r="CR86">
        <v>0</v>
      </c>
      <c r="CS86">
        <v>0</v>
      </c>
      <c r="CT86">
        <v>0</v>
      </c>
      <c r="CU86">
        <v>0</v>
      </c>
      <c r="CV86">
        <v>0</v>
      </c>
      <c r="CW86">
        <v>0</v>
      </c>
      <c r="CX86">
        <v>0</v>
      </c>
      <c r="CY86">
        <v>0</v>
      </c>
      <c r="CZ86">
        <v>0</v>
      </c>
      <c r="DA86">
        <v>0</v>
      </c>
      <c r="DB86">
        <v>0</v>
      </c>
      <c r="DC86">
        <v>0</v>
      </c>
      <c r="DD86">
        <v>0</v>
      </c>
      <c r="DE86">
        <v>0</v>
      </c>
      <c r="DF86">
        <v>0</v>
      </c>
      <c r="DG86">
        <v>0</v>
      </c>
      <c r="DH86">
        <v>0</v>
      </c>
      <c r="DI86">
        <v>0</v>
      </c>
      <c r="DJ86">
        <v>0</v>
      </c>
      <c r="DK86">
        <v>0</v>
      </c>
      <c r="DL86">
        <v>0</v>
      </c>
      <c r="DM86">
        <v>0</v>
      </c>
      <c r="DN86">
        <v>0</v>
      </c>
      <c r="DO86">
        <v>0</v>
      </c>
      <c r="DP86">
        <v>0</v>
      </c>
      <c r="DQ86">
        <v>0</v>
      </c>
      <c r="DR86">
        <v>0</v>
      </c>
      <c r="DS86">
        <v>0</v>
      </c>
      <c r="DT86">
        <v>0</v>
      </c>
      <c r="DU86">
        <v>0</v>
      </c>
      <c r="DV86">
        <v>0</v>
      </c>
      <c r="DW86">
        <v>0</v>
      </c>
      <c r="DX86">
        <v>0</v>
      </c>
      <c r="DY86">
        <v>0</v>
      </c>
      <c r="DZ86">
        <v>0</v>
      </c>
      <c r="EA86">
        <v>0</v>
      </c>
      <c r="EB86">
        <v>0</v>
      </c>
      <c r="EC86">
        <v>0</v>
      </c>
      <c r="ED86">
        <v>0</v>
      </c>
      <c r="EE86">
        <v>0</v>
      </c>
      <c r="EF86">
        <v>0</v>
      </c>
      <c r="EG86">
        <v>0</v>
      </c>
      <c r="EH86">
        <v>0</v>
      </c>
      <c r="EI86">
        <v>0</v>
      </c>
      <c r="EJ86">
        <v>0</v>
      </c>
      <c r="EK86">
        <v>0</v>
      </c>
      <c r="EL86">
        <v>0</v>
      </c>
      <c r="EM86">
        <v>0</v>
      </c>
      <c r="EN86">
        <v>0</v>
      </c>
      <c r="EO86">
        <v>0</v>
      </c>
      <c r="EP86">
        <v>0</v>
      </c>
      <c r="EQ86">
        <v>0</v>
      </c>
      <c r="ER86">
        <v>0</v>
      </c>
      <c r="ES86">
        <v>0</v>
      </c>
      <c r="ET86">
        <v>0</v>
      </c>
      <c r="EU86">
        <v>0</v>
      </c>
      <c r="EV86">
        <v>0</v>
      </c>
      <c r="EW86">
        <v>0</v>
      </c>
      <c r="EX86">
        <v>0</v>
      </c>
      <c r="EY86">
        <v>0</v>
      </c>
      <c r="EZ86">
        <v>0</v>
      </c>
      <c r="FA86">
        <v>0</v>
      </c>
      <c r="FB86">
        <v>0</v>
      </c>
      <c r="FC86">
        <v>0</v>
      </c>
      <c r="FD86">
        <v>0</v>
      </c>
      <c r="FE86">
        <v>0</v>
      </c>
      <c r="FF86">
        <v>0</v>
      </c>
      <c r="FG86">
        <v>0</v>
      </c>
      <c r="FH86">
        <v>0</v>
      </c>
      <c r="FI86">
        <v>0</v>
      </c>
      <c r="FJ86">
        <v>0</v>
      </c>
      <c r="FK86">
        <v>0</v>
      </c>
      <c r="FL86">
        <v>0</v>
      </c>
      <c r="FM86">
        <v>0</v>
      </c>
      <c r="FN86">
        <v>0</v>
      </c>
      <c r="FO86">
        <v>0</v>
      </c>
      <c r="FP86">
        <v>0</v>
      </c>
      <c r="FQ86">
        <v>0</v>
      </c>
      <c r="FR86">
        <v>0</v>
      </c>
      <c r="FS86">
        <v>0</v>
      </c>
      <c r="FT86">
        <v>0</v>
      </c>
      <c r="FU86">
        <v>0</v>
      </c>
      <c r="FV86">
        <v>0</v>
      </c>
      <c r="FW86">
        <v>0</v>
      </c>
      <c r="FX86">
        <v>0</v>
      </c>
      <c r="FY86">
        <v>0</v>
      </c>
      <c r="FZ86">
        <v>0</v>
      </c>
      <c r="GA86">
        <v>0</v>
      </c>
      <c r="GB86">
        <v>0</v>
      </c>
      <c r="GC86">
        <v>0</v>
      </c>
      <c r="GD86">
        <v>0</v>
      </c>
      <c r="GE86">
        <v>0</v>
      </c>
      <c r="GF86">
        <v>0</v>
      </c>
      <c r="GG86">
        <v>0</v>
      </c>
      <c r="GH86">
        <v>0</v>
      </c>
      <c r="GI86">
        <v>0</v>
      </c>
      <c r="GJ86">
        <v>0</v>
      </c>
      <c r="GK86">
        <v>0</v>
      </c>
      <c r="GL86">
        <v>0</v>
      </c>
      <c r="GM86">
        <v>0</v>
      </c>
      <c r="GN86">
        <v>0</v>
      </c>
      <c r="GO86">
        <v>0</v>
      </c>
      <c r="GP86">
        <v>0</v>
      </c>
      <c r="GQ86">
        <v>0</v>
      </c>
      <c r="GR86">
        <v>0</v>
      </c>
      <c r="GS86">
        <v>0</v>
      </c>
      <c r="GT86">
        <v>0</v>
      </c>
      <c r="GU86">
        <v>0</v>
      </c>
      <c r="GV86">
        <v>0</v>
      </c>
      <c r="GW86">
        <v>0</v>
      </c>
      <c r="GX86">
        <v>0</v>
      </c>
      <c r="GY86">
        <v>0</v>
      </c>
      <c r="GZ86">
        <v>0</v>
      </c>
      <c r="HA86">
        <v>0</v>
      </c>
      <c r="HB86">
        <v>0</v>
      </c>
      <c r="HC86">
        <v>0</v>
      </c>
      <c r="HD86">
        <v>0</v>
      </c>
      <c r="HE86">
        <v>0</v>
      </c>
      <c r="HF86">
        <v>0</v>
      </c>
      <c r="HG86">
        <v>0</v>
      </c>
      <c r="HH86">
        <v>0</v>
      </c>
      <c r="HI86">
        <v>0</v>
      </c>
      <c r="HJ86">
        <v>0</v>
      </c>
      <c r="HK86">
        <v>0</v>
      </c>
      <c r="HL86">
        <v>0</v>
      </c>
      <c r="HM86">
        <v>0</v>
      </c>
      <c r="HN86">
        <v>0</v>
      </c>
      <c r="HO86">
        <v>0</v>
      </c>
      <c r="HP86">
        <v>0</v>
      </c>
      <c r="HQ86">
        <v>0</v>
      </c>
      <c r="HR86">
        <v>0</v>
      </c>
      <c r="HS86">
        <v>0</v>
      </c>
      <c r="HT86">
        <v>0</v>
      </c>
      <c r="HU86">
        <v>0</v>
      </c>
      <c r="HV86">
        <v>0</v>
      </c>
      <c r="HW86">
        <v>0</v>
      </c>
      <c r="HX86">
        <v>0</v>
      </c>
      <c r="HY86">
        <v>0</v>
      </c>
      <c r="HZ86">
        <v>0</v>
      </c>
      <c r="IA86">
        <v>0</v>
      </c>
      <c r="IB86">
        <v>0</v>
      </c>
      <c r="IC86">
        <v>0</v>
      </c>
      <c r="ID86">
        <v>0</v>
      </c>
      <c r="IE86">
        <v>0</v>
      </c>
      <c r="IF86">
        <v>0</v>
      </c>
      <c r="IG86">
        <v>0</v>
      </c>
      <c r="IH86">
        <v>0</v>
      </c>
      <c r="II86">
        <v>0</v>
      </c>
      <c r="IJ86">
        <v>0</v>
      </c>
      <c r="IK86">
        <v>0</v>
      </c>
      <c r="IL86">
        <v>0</v>
      </c>
      <c r="IM86">
        <v>0</v>
      </c>
      <c r="IN86">
        <v>0</v>
      </c>
      <c r="IO86">
        <v>0</v>
      </c>
      <c r="IP86">
        <v>0</v>
      </c>
      <c r="IQ86">
        <v>0</v>
      </c>
      <c r="IR86">
        <v>0</v>
      </c>
      <c r="IS86">
        <v>0</v>
      </c>
      <c r="IT86">
        <v>0</v>
      </c>
      <c r="IU86">
        <v>0</v>
      </c>
      <c r="IV86">
        <v>0</v>
      </c>
      <c r="IW86">
        <v>0</v>
      </c>
      <c r="IX86">
        <v>0</v>
      </c>
      <c r="IY86">
        <v>0</v>
      </c>
      <c r="IZ86">
        <v>0</v>
      </c>
      <c r="JA86">
        <v>0</v>
      </c>
      <c r="JB86">
        <v>0</v>
      </c>
      <c r="JC86">
        <v>0</v>
      </c>
      <c r="JD86">
        <v>0</v>
      </c>
      <c r="JE86">
        <v>0</v>
      </c>
      <c r="JF86">
        <v>0</v>
      </c>
      <c r="JG86">
        <v>0</v>
      </c>
      <c r="JH86">
        <v>0</v>
      </c>
      <c r="JI86">
        <v>0</v>
      </c>
      <c r="JJ86">
        <v>0</v>
      </c>
      <c r="JK86">
        <v>0</v>
      </c>
      <c r="JL86">
        <v>0</v>
      </c>
      <c r="JM86">
        <v>0</v>
      </c>
      <c r="JN86">
        <v>0</v>
      </c>
      <c r="JO86">
        <v>0</v>
      </c>
      <c r="JP86">
        <v>0</v>
      </c>
      <c r="JQ86">
        <v>0</v>
      </c>
      <c r="JR86">
        <v>0</v>
      </c>
      <c r="JS86">
        <v>0</v>
      </c>
      <c r="JT86">
        <v>0</v>
      </c>
      <c r="JU86">
        <v>0</v>
      </c>
      <c r="JV86">
        <v>0</v>
      </c>
      <c r="JW86">
        <v>0</v>
      </c>
      <c r="JX86">
        <v>0</v>
      </c>
      <c r="JY86">
        <v>0</v>
      </c>
      <c r="JZ86">
        <v>0</v>
      </c>
      <c r="KA86">
        <v>0</v>
      </c>
      <c r="KB86">
        <v>0</v>
      </c>
      <c r="KC86">
        <v>0</v>
      </c>
      <c r="KD86">
        <v>0</v>
      </c>
      <c r="KE86">
        <v>0</v>
      </c>
      <c r="KF86">
        <v>0</v>
      </c>
      <c r="KG86">
        <v>0</v>
      </c>
      <c r="KH86">
        <v>0</v>
      </c>
      <c r="KI86">
        <v>0</v>
      </c>
      <c r="KJ86">
        <v>0</v>
      </c>
      <c r="KK86">
        <v>0</v>
      </c>
      <c r="KL86">
        <v>0</v>
      </c>
      <c r="KM86">
        <v>0</v>
      </c>
      <c r="KN86">
        <v>0</v>
      </c>
      <c r="KO86">
        <v>0</v>
      </c>
      <c r="KP86">
        <v>0</v>
      </c>
      <c r="KQ86">
        <v>0</v>
      </c>
      <c r="KR86">
        <v>0</v>
      </c>
      <c r="KS86">
        <v>0</v>
      </c>
      <c r="KT86">
        <v>0</v>
      </c>
      <c r="KU86">
        <v>0</v>
      </c>
      <c r="KV86">
        <v>0</v>
      </c>
      <c r="KW86">
        <v>0</v>
      </c>
      <c r="KX86">
        <v>0</v>
      </c>
      <c r="KY86">
        <v>0</v>
      </c>
      <c r="KZ86">
        <v>0</v>
      </c>
      <c r="LA86">
        <v>0</v>
      </c>
      <c r="LB86">
        <v>0</v>
      </c>
      <c r="LC86">
        <v>0</v>
      </c>
      <c r="LD86">
        <v>0</v>
      </c>
      <c r="LE86">
        <v>0</v>
      </c>
      <c r="LF86">
        <v>0</v>
      </c>
      <c r="LG86">
        <v>0</v>
      </c>
      <c r="LH86">
        <v>0</v>
      </c>
      <c r="LI86">
        <v>0</v>
      </c>
      <c r="LJ86">
        <v>0</v>
      </c>
      <c r="LK86">
        <v>0</v>
      </c>
      <c r="LL86">
        <v>0</v>
      </c>
      <c r="LM86">
        <v>0</v>
      </c>
      <c r="LN86">
        <v>0</v>
      </c>
      <c r="LO86">
        <v>0</v>
      </c>
      <c r="LP86">
        <v>0</v>
      </c>
      <c r="LQ86">
        <v>0</v>
      </c>
      <c r="LR86">
        <v>0</v>
      </c>
      <c r="LS86">
        <v>0</v>
      </c>
      <c r="LT86">
        <v>0</v>
      </c>
      <c r="LU86">
        <v>0</v>
      </c>
      <c r="LV86">
        <v>0</v>
      </c>
      <c r="LW86">
        <v>0</v>
      </c>
      <c r="LX86">
        <v>0</v>
      </c>
      <c r="LY86">
        <v>0</v>
      </c>
      <c r="LZ86">
        <v>0</v>
      </c>
      <c r="MA86">
        <v>0</v>
      </c>
      <c r="MB86">
        <v>0</v>
      </c>
      <c r="MC86">
        <v>0</v>
      </c>
      <c r="MD86">
        <v>0</v>
      </c>
      <c r="ME86">
        <v>0</v>
      </c>
      <c r="MF86">
        <v>0</v>
      </c>
      <c r="MG86">
        <v>0</v>
      </c>
      <c r="MH86">
        <v>0</v>
      </c>
      <c r="MI86">
        <v>0</v>
      </c>
      <c r="MJ86">
        <v>0</v>
      </c>
      <c r="MK86">
        <v>0</v>
      </c>
      <c r="ML86">
        <v>0</v>
      </c>
      <c r="MM86">
        <v>0</v>
      </c>
      <c r="MN86">
        <v>0</v>
      </c>
      <c r="MO86">
        <v>0</v>
      </c>
      <c r="MP86">
        <v>0</v>
      </c>
      <c r="MQ86">
        <v>0</v>
      </c>
      <c r="MR86">
        <v>0</v>
      </c>
      <c r="MS86">
        <v>0</v>
      </c>
      <c r="MT86">
        <v>0</v>
      </c>
      <c r="MU86">
        <v>0</v>
      </c>
      <c r="MV86">
        <v>0</v>
      </c>
      <c r="MW86">
        <v>0</v>
      </c>
      <c r="MX86">
        <v>0</v>
      </c>
      <c r="MY86">
        <v>0</v>
      </c>
      <c r="MZ86">
        <v>0</v>
      </c>
      <c r="NA86">
        <v>0</v>
      </c>
      <c r="NB86">
        <v>0</v>
      </c>
      <c r="NC86">
        <v>0</v>
      </c>
      <c r="ND86">
        <v>0</v>
      </c>
      <c r="NE86">
        <v>0</v>
      </c>
      <c r="NF86">
        <v>0</v>
      </c>
      <c r="NG86">
        <v>0</v>
      </c>
      <c r="NH86">
        <v>0</v>
      </c>
      <c r="NI86">
        <v>0</v>
      </c>
      <c r="NJ86">
        <v>0</v>
      </c>
      <c r="NK86">
        <v>0</v>
      </c>
      <c r="NL86">
        <v>0</v>
      </c>
      <c r="NM86">
        <v>0</v>
      </c>
      <c r="NN86">
        <v>0</v>
      </c>
      <c r="NO86">
        <v>0</v>
      </c>
      <c r="NP86">
        <v>0</v>
      </c>
      <c r="NQ86">
        <v>0</v>
      </c>
      <c r="NR86">
        <v>0</v>
      </c>
      <c r="NS86">
        <v>0</v>
      </c>
      <c r="NT86">
        <v>0</v>
      </c>
      <c r="NU86">
        <v>0</v>
      </c>
      <c r="NV86">
        <v>0</v>
      </c>
      <c r="NW86">
        <v>0</v>
      </c>
      <c r="NX86">
        <v>0</v>
      </c>
      <c r="NY86">
        <v>0</v>
      </c>
      <c r="NZ86">
        <v>0</v>
      </c>
      <c r="OA86">
        <v>0</v>
      </c>
      <c r="OB86">
        <v>0</v>
      </c>
      <c r="OC86">
        <v>0</v>
      </c>
      <c r="OD86">
        <v>0</v>
      </c>
      <c r="OE86">
        <v>0</v>
      </c>
      <c r="OF86">
        <v>0</v>
      </c>
      <c r="OG86">
        <v>0</v>
      </c>
      <c r="OH86">
        <v>0</v>
      </c>
      <c r="OI86">
        <v>0</v>
      </c>
      <c r="OJ86">
        <v>0</v>
      </c>
      <c r="OK86">
        <v>0</v>
      </c>
      <c r="OL86">
        <v>0</v>
      </c>
      <c r="OM86">
        <v>0</v>
      </c>
      <c r="ON86">
        <v>0</v>
      </c>
      <c r="OO86">
        <v>0</v>
      </c>
      <c r="OP86">
        <v>0</v>
      </c>
      <c r="OQ86">
        <v>0</v>
      </c>
      <c r="OR86">
        <v>0</v>
      </c>
      <c r="OS86">
        <v>0</v>
      </c>
      <c r="OT86">
        <v>0</v>
      </c>
      <c r="OU86">
        <v>0</v>
      </c>
      <c r="OV86">
        <v>0</v>
      </c>
      <c r="OW86">
        <v>0</v>
      </c>
      <c r="OX86">
        <v>0</v>
      </c>
      <c r="OY86">
        <v>0</v>
      </c>
      <c r="OZ86">
        <v>0</v>
      </c>
      <c r="PA86">
        <v>0</v>
      </c>
      <c r="PB86">
        <v>0</v>
      </c>
      <c r="PC86">
        <v>0</v>
      </c>
      <c r="PD86">
        <v>0</v>
      </c>
      <c r="PE86">
        <v>0</v>
      </c>
      <c r="PF86">
        <v>0</v>
      </c>
      <c r="PG86">
        <v>0</v>
      </c>
      <c r="PH86">
        <v>0</v>
      </c>
      <c r="PI86">
        <v>0</v>
      </c>
      <c r="PJ86">
        <v>0</v>
      </c>
      <c r="PK86">
        <v>0</v>
      </c>
      <c r="PL86">
        <v>0</v>
      </c>
      <c r="PM86">
        <v>0</v>
      </c>
      <c r="PN86">
        <v>0</v>
      </c>
      <c r="PO86">
        <v>0</v>
      </c>
      <c r="PP86">
        <v>0</v>
      </c>
      <c r="PQ86">
        <v>0</v>
      </c>
      <c r="PR86">
        <v>0</v>
      </c>
      <c r="PS86">
        <v>0</v>
      </c>
      <c r="PT86">
        <v>0</v>
      </c>
      <c r="PU86">
        <v>0</v>
      </c>
      <c r="PV86">
        <v>0</v>
      </c>
      <c r="PW86">
        <v>0</v>
      </c>
      <c r="PX86">
        <v>0</v>
      </c>
      <c r="PY86">
        <v>0</v>
      </c>
      <c r="PZ86">
        <v>0</v>
      </c>
      <c r="QA86">
        <v>0</v>
      </c>
      <c r="QB86">
        <v>0</v>
      </c>
      <c r="QC86">
        <v>0</v>
      </c>
      <c r="QD86">
        <v>0</v>
      </c>
      <c r="QE86">
        <v>0</v>
      </c>
      <c r="QF86">
        <v>0</v>
      </c>
      <c r="QG86">
        <v>0</v>
      </c>
      <c r="QH86">
        <v>0</v>
      </c>
      <c r="QI86">
        <v>0</v>
      </c>
      <c r="QJ86">
        <v>0</v>
      </c>
      <c r="QK86">
        <v>0</v>
      </c>
      <c r="QL86">
        <v>0</v>
      </c>
      <c r="QM86">
        <v>0</v>
      </c>
      <c r="QN86">
        <v>0</v>
      </c>
      <c r="QO86">
        <v>0</v>
      </c>
      <c r="QP86">
        <v>0</v>
      </c>
      <c r="QQ86">
        <v>0</v>
      </c>
      <c r="QR86">
        <v>0</v>
      </c>
      <c r="QS86">
        <v>0</v>
      </c>
      <c r="QT86">
        <v>0</v>
      </c>
      <c r="QU86">
        <v>0</v>
      </c>
      <c r="QV86">
        <v>0</v>
      </c>
      <c r="QW86">
        <v>0</v>
      </c>
      <c r="QX86">
        <v>0</v>
      </c>
      <c r="QY86">
        <v>0</v>
      </c>
      <c r="QZ86">
        <v>0</v>
      </c>
      <c r="RA86">
        <v>0</v>
      </c>
      <c r="RB86">
        <v>0</v>
      </c>
      <c r="RC86">
        <v>0</v>
      </c>
      <c r="RD86">
        <v>0</v>
      </c>
      <c r="RE86">
        <v>0</v>
      </c>
      <c r="RF86">
        <v>0</v>
      </c>
      <c r="RG86">
        <v>0</v>
      </c>
      <c r="RH86">
        <v>0</v>
      </c>
      <c r="RI86">
        <v>0</v>
      </c>
      <c r="RJ86">
        <v>0</v>
      </c>
      <c r="RK86">
        <v>0</v>
      </c>
      <c r="RL86">
        <v>0</v>
      </c>
      <c r="RM86">
        <v>0</v>
      </c>
      <c r="RN86">
        <v>0</v>
      </c>
      <c r="RO86">
        <v>0</v>
      </c>
      <c r="RP86">
        <v>0</v>
      </c>
      <c r="RQ86">
        <v>0</v>
      </c>
      <c r="RR86">
        <v>0</v>
      </c>
      <c r="RS86">
        <v>0</v>
      </c>
      <c r="RT86">
        <v>0</v>
      </c>
      <c r="RU86">
        <v>0</v>
      </c>
      <c r="RV86">
        <v>0</v>
      </c>
      <c r="RW86">
        <v>0</v>
      </c>
      <c r="RX86">
        <v>0</v>
      </c>
      <c r="RY86">
        <v>0</v>
      </c>
      <c r="RZ86">
        <v>0</v>
      </c>
      <c r="SA86">
        <v>0</v>
      </c>
      <c r="SB86">
        <v>0</v>
      </c>
      <c r="SC86">
        <v>0</v>
      </c>
      <c r="SD86">
        <v>0</v>
      </c>
      <c r="SE86">
        <v>0</v>
      </c>
      <c r="SF86">
        <v>0</v>
      </c>
      <c r="SG86">
        <v>0</v>
      </c>
      <c r="SH86">
        <v>0</v>
      </c>
      <c r="SI86">
        <v>0</v>
      </c>
      <c r="SJ86">
        <v>0</v>
      </c>
      <c r="SK86">
        <v>0</v>
      </c>
      <c r="SL86">
        <v>0</v>
      </c>
      <c r="SM86">
        <v>0</v>
      </c>
      <c r="SN86">
        <v>0</v>
      </c>
      <c r="SO86">
        <v>0</v>
      </c>
      <c r="SP86">
        <v>0</v>
      </c>
      <c r="SQ86">
        <v>0</v>
      </c>
      <c r="SR86">
        <v>0</v>
      </c>
      <c r="SS86">
        <v>0</v>
      </c>
      <c r="ST86">
        <v>0</v>
      </c>
      <c r="SU86">
        <v>0</v>
      </c>
      <c r="SV86">
        <v>0</v>
      </c>
      <c r="SW86">
        <v>0</v>
      </c>
      <c r="SX86">
        <v>0</v>
      </c>
      <c r="SY86">
        <v>0</v>
      </c>
      <c r="SZ86">
        <v>0</v>
      </c>
      <c r="TA86">
        <v>0</v>
      </c>
      <c r="TB86">
        <v>0</v>
      </c>
      <c r="TC86">
        <v>0</v>
      </c>
      <c r="TD86">
        <v>0</v>
      </c>
      <c r="TE86">
        <v>0</v>
      </c>
      <c r="TF86">
        <v>0</v>
      </c>
      <c r="TG86">
        <v>0</v>
      </c>
      <c r="TH86">
        <v>0</v>
      </c>
      <c r="TI86">
        <v>0</v>
      </c>
      <c r="TJ86">
        <v>0</v>
      </c>
      <c r="TK86">
        <v>0</v>
      </c>
      <c r="TL86">
        <v>0</v>
      </c>
      <c r="TM86">
        <v>0</v>
      </c>
      <c r="TN86">
        <v>0</v>
      </c>
      <c r="TO86">
        <v>0</v>
      </c>
      <c r="TP86">
        <v>0</v>
      </c>
      <c r="TQ86">
        <v>0</v>
      </c>
      <c r="TR86">
        <v>0</v>
      </c>
      <c r="TS86">
        <v>0</v>
      </c>
      <c r="TT86">
        <v>0</v>
      </c>
      <c r="TU86">
        <v>0</v>
      </c>
      <c r="TV86">
        <v>0</v>
      </c>
      <c r="TW86">
        <v>0</v>
      </c>
      <c r="TX86">
        <v>0</v>
      </c>
      <c r="TY86">
        <v>0</v>
      </c>
      <c r="TZ86">
        <v>0</v>
      </c>
      <c r="UA86">
        <v>0</v>
      </c>
      <c r="UB86">
        <v>0</v>
      </c>
      <c r="UC86">
        <v>0</v>
      </c>
      <c r="UD86">
        <v>0</v>
      </c>
      <c r="UE86">
        <v>0</v>
      </c>
      <c r="UF86">
        <v>0</v>
      </c>
      <c r="UG86">
        <v>0</v>
      </c>
      <c r="UH86">
        <v>0</v>
      </c>
      <c r="UI86">
        <v>0</v>
      </c>
      <c r="UJ86">
        <v>0</v>
      </c>
      <c r="UK86">
        <v>0</v>
      </c>
      <c r="UL86">
        <v>0</v>
      </c>
      <c r="UM86">
        <v>0</v>
      </c>
      <c r="UN86">
        <v>0</v>
      </c>
      <c r="UO86">
        <v>0</v>
      </c>
      <c r="UP86">
        <v>0</v>
      </c>
      <c r="UQ86">
        <v>0</v>
      </c>
      <c r="UR86">
        <v>0</v>
      </c>
      <c r="US86">
        <v>0</v>
      </c>
      <c r="UT86">
        <v>0</v>
      </c>
      <c r="UU86">
        <v>0</v>
      </c>
      <c r="UV86">
        <v>0</v>
      </c>
      <c r="UW86">
        <v>0</v>
      </c>
      <c r="UX86">
        <v>0</v>
      </c>
      <c r="UY86">
        <v>0</v>
      </c>
      <c r="UZ86">
        <v>0</v>
      </c>
      <c r="VA86">
        <v>0</v>
      </c>
      <c r="VB86">
        <v>0</v>
      </c>
      <c r="VC86">
        <v>0</v>
      </c>
      <c r="VD86">
        <v>0</v>
      </c>
      <c r="VE86">
        <v>0</v>
      </c>
      <c r="VF86">
        <v>0</v>
      </c>
      <c r="VG86">
        <v>0</v>
      </c>
      <c r="VH86">
        <v>0</v>
      </c>
      <c r="VI86">
        <v>0</v>
      </c>
      <c r="VJ86">
        <v>0</v>
      </c>
      <c r="VK86">
        <v>0</v>
      </c>
      <c r="VL86">
        <v>0</v>
      </c>
      <c r="VM86">
        <v>0</v>
      </c>
      <c r="VN86">
        <v>0</v>
      </c>
      <c r="VO86">
        <v>0</v>
      </c>
      <c r="VP86">
        <v>0</v>
      </c>
      <c r="VQ86">
        <v>0</v>
      </c>
      <c r="VR86">
        <v>0</v>
      </c>
      <c r="VS86">
        <v>0</v>
      </c>
      <c r="VT86">
        <v>0</v>
      </c>
      <c r="VU86">
        <v>0</v>
      </c>
      <c r="VV86">
        <v>0</v>
      </c>
      <c r="VW86">
        <v>0</v>
      </c>
      <c r="VX86">
        <v>0</v>
      </c>
      <c r="VY86">
        <v>0</v>
      </c>
      <c r="VZ86">
        <v>0</v>
      </c>
      <c r="WA86">
        <v>0</v>
      </c>
      <c r="WB86">
        <v>0</v>
      </c>
      <c r="WC86">
        <v>0</v>
      </c>
      <c r="WD86">
        <v>0</v>
      </c>
      <c r="WE86">
        <v>0</v>
      </c>
      <c r="WF86">
        <v>0</v>
      </c>
      <c r="WG86">
        <v>0</v>
      </c>
      <c r="WH86">
        <v>0</v>
      </c>
      <c r="WI86">
        <v>0</v>
      </c>
      <c r="WJ86">
        <v>0</v>
      </c>
      <c r="WK86">
        <v>0</v>
      </c>
      <c r="WL86">
        <v>0</v>
      </c>
      <c r="WM86">
        <v>0</v>
      </c>
      <c r="WN86">
        <v>0</v>
      </c>
      <c r="WO86">
        <v>0</v>
      </c>
      <c r="WP86">
        <v>0</v>
      </c>
      <c r="WQ86">
        <v>0</v>
      </c>
      <c r="WR86">
        <v>0</v>
      </c>
      <c r="WS86">
        <v>0</v>
      </c>
      <c r="WT86">
        <v>0</v>
      </c>
      <c r="WU86">
        <v>0</v>
      </c>
      <c r="WV86">
        <v>0</v>
      </c>
      <c r="WW86">
        <v>0</v>
      </c>
      <c r="WX86">
        <v>0</v>
      </c>
      <c r="WY86">
        <v>0</v>
      </c>
      <c r="WZ86">
        <v>0</v>
      </c>
      <c r="XA86">
        <v>0</v>
      </c>
      <c r="XB86">
        <v>0</v>
      </c>
      <c r="XC86">
        <v>0</v>
      </c>
      <c r="XD86">
        <v>0</v>
      </c>
      <c r="XE86">
        <v>0</v>
      </c>
      <c r="XF86">
        <v>0</v>
      </c>
      <c r="XG86">
        <v>0</v>
      </c>
      <c r="XH86">
        <v>0</v>
      </c>
      <c r="XI86">
        <v>0</v>
      </c>
      <c r="XJ86">
        <v>0</v>
      </c>
      <c r="XK86">
        <v>0</v>
      </c>
      <c r="XL86">
        <v>0</v>
      </c>
      <c r="XM86">
        <v>0</v>
      </c>
      <c r="XN86">
        <v>0</v>
      </c>
      <c r="XO86">
        <v>0</v>
      </c>
      <c r="XP86">
        <v>0</v>
      </c>
      <c r="XQ86">
        <v>0</v>
      </c>
      <c r="XR86">
        <v>0</v>
      </c>
      <c r="XS86">
        <v>0</v>
      </c>
      <c r="XT86">
        <v>0</v>
      </c>
      <c r="XU86">
        <v>0</v>
      </c>
      <c r="XV86">
        <v>0</v>
      </c>
      <c r="XW86">
        <v>0</v>
      </c>
      <c r="XX86">
        <v>0</v>
      </c>
      <c r="XY86">
        <v>0</v>
      </c>
      <c r="XZ86">
        <v>0</v>
      </c>
      <c r="YA86">
        <v>0</v>
      </c>
      <c r="YB86">
        <v>0</v>
      </c>
      <c r="YC86">
        <v>0</v>
      </c>
      <c r="YD86">
        <v>0</v>
      </c>
      <c r="YE86">
        <v>0</v>
      </c>
      <c r="YF86">
        <v>0</v>
      </c>
      <c r="YG86">
        <v>0</v>
      </c>
      <c r="YH86">
        <v>0</v>
      </c>
      <c r="YI86">
        <v>0</v>
      </c>
      <c r="YJ86">
        <v>0</v>
      </c>
      <c r="YK86">
        <v>0</v>
      </c>
      <c r="YL86">
        <v>0</v>
      </c>
      <c r="YM86">
        <v>0</v>
      </c>
      <c r="YN86">
        <v>0</v>
      </c>
      <c r="YO86">
        <v>0</v>
      </c>
      <c r="YP86">
        <v>0</v>
      </c>
      <c r="YQ86">
        <v>0</v>
      </c>
      <c r="YR86">
        <v>0</v>
      </c>
      <c r="YS86">
        <v>0</v>
      </c>
      <c r="YT86">
        <v>0</v>
      </c>
      <c r="YU86">
        <v>0</v>
      </c>
      <c r="YV86">
        <v>0</v>
      </c>
      <c r="YW86">
        <v>0</v>
      </c>
      <c r="YX86">
        <v>0</v>
      </c>
      <c r="YY86">
        <v>0</v>
      </c>
      <c r="YZ86">
        <v>0</v>
      </c>
      <c r="ZA86">
        <v>0</v>
      </c>
      <c r="ZB86">
        <v>0</v>
      </c>
      <c r="ZC86">
        <v>0</v>
      </c>
      <c r="ZD86">
        <v>0</v>
      </c>
      <c r="ZE86">
        <v>0</v>
      </c>
      <c r="ZF86">
        <v>0</v>
      </c>
      <c r="ZG86">
        <v>0</v>
      </c>
      <c r="ZH86">
        <v>0</v>
      </c>
      <c r="ZI86">
        <v>0</v>
      </c>
      <c r="ZJ86">
        <v>0</v>
      </c>
      <c r="ZK86">
        <v>0</v>
      </c>
      <c r="ZL86">
        <v>0</v>
      </c>
      <c r="ZM86">
        <v>0</v>
      </c>
      <c r="ZN86">
        <v>0</v>
      </c>
      <c r="ZO86">
        <v>0</v>
      </c>
      <c r="ZP86">
        <v>0</v>
      </c>
      <c r="ZQ86">
        <v>0</v>
      </c>
      <c r="ZR86">
        <v>0</v>
      </c>
      <c r="ZS86">
        <v>0</v>
      </c>
      <c r="ZT86">
        <v>0</v>
      </c>
      <c r="ZU86">
        <v>0</v>
      </c>
      <c r="ZV86">
        <v>0</v>
      </c>
      <c r="ZW86">
        <v>0</v>
      </c>
      <c r="ZX86">
        <v>0</v>
      </c>
      <c r="ZY86">
        <v>0</v>
      </c>
      <c r="ZZ86">
        <v>0</v>
      </c>
      <c r="AAA86">
        <v>0</v>
      </c>
      <c r="AAB86">
        <v>0</v>
      </c>
      <c r="AAC86">
        <v>0</v>
      </c>
      <c r="AAD86">
        <v>0</v>
      </c>
      <c r="AAE86">
        <v>0</v>
      </c>
      <c r="AAF86">
        <v>0</v>
      </c>
      <c r="AAG86">
        <v>0</v>
      </c>
      <c r="AAH86">
        <v>0</v>
      </c>
      <c r="AAI86">
        <v>0</v>
      </c>
      <c r="AAJ86">
        <v>0</v>
      </c>
      <c r="AAK86">
        <v>0</v>
      </c>
      <c r="AAL86">
        <v>0</v>
      </c>
      <c r="AAM86">
        <v>0</v>
      </c>
      <c r="AAN86">
        <v>0</v>
      </c>
      <c r="AAO86">
        <v>0</v>
      </c>
      <c r="AAP86">
        <v>0</v>
      </c>
      <c r="AAQ86">
        <v>0</v>
      </c>
      <c r="AAR86">
        <v>0</v>
      </c>
      <c r="AAS86">
        <v>0</v>
      </c>
      <c r="AAT86">
        <v>0</v>
      </c>
      <c r="AAU86">
        <v>0</v>
      </c>
      <c r="AAV86">
        <v>0</v>
      </c>
      <c r="AAW86">
        <v>0</v>
      </c>
      <c r="AAX86">
        <v>0</v>
      </c>
      <c r="AAY86">
        <v>0</v>
      </c>
      <c r="AAZ86">
        <v>0</v>
      </c>
      <c r="ABA86">
        <v>0</v>
      </c>
      <c r="ABB86">
        <v>0</v>
      </c>
      <c r="ABC86">
        <v>0</v>
      </c>
      <c r="ABD86">
        <v>0</v>
      </c>
      <c r="ABE86">
        <v>0</v>
      </c>
      <c r="ABG86" s="1137">
        <f t="shared" si="21"/>
        <v>0</v>
      </c>
      <c r="ABH86" s="1137">
        <f t="shared" si="21"/>
        <v>0</v>
      </c>
      <c r="ABI86" s="1137">
        <f t="shared" si="21"/>
        <v>0</v>
      </c>
      <c r="ABJ86" s="1137">
        <f t="shared" si="21"/>
        <v>0</v>
      </c>
      <c r="ABK86" s="1137">
        <f t="shared" si="21"/>
        <v>0</v>
      </c>
      <c r="ABL86" s="1137">
        <f t="shared" si="21"/>
        <v>0</v>
      </c>
      <c r="ABM86" s="1137">
        <f t="shared" si="21"/>
        <v>0</v>
      </c>
      <c r="ABN86" s="1137">
        <f t="shared" si="21"/>
        <v>0</v>
      </c>
      <c r="ABO86" s="1137">
        <f t="shared" si="21"/>
        <v>0</v>
      </c>
      <c r="ABP86" s="1137">
        <f t="shared" si="21"/>
        <v>0</v>
      </c>
      <c r="ABQ86" s="1137">
        <f t="shared" si="21"/>
        <v>0</v>
      </c>
      <c r="ABR86" s="1137">
        <f t="shared" si="21"/>
        <v>0</v>
      </c>
      <c r="ABS86" s="1137">
        <f t="shared" si="21"/>
        <v>0</v>
      </c>
      <c r="ABT86" s="1137">
        <f t="shared" si="21"/>
        <v>0</v>
      </c>
      <c r="ABU86" s="1137">
        <f t="shared" si="21"/>
        <v>0</v>
      </c>
      <c r="ABV86" s="1137">
        <f t="shared" si="21"/>
        <v>0</v>
      </c>
      <c r="ABW86" s="1137">
        <f t="shared" si="17"/>
        <v>0</v>
      </c>
      <c r="ABX86" s="1137">
        <f t="shared" si="14"/>
        <v>0</v>
      </c>
      <c r="ABY86" s="1137">
        <f t="shared" si="14"/>
        <v>0</v>
      </c>
      <c r="ABZ86" s="1137">
        <f t="shared" si="14"/>
        <v>0</v>
      </c>
      <c r="ACA86" s="1137">
        <f t="shared" si="14"/>
        <v>0</v>
      </c>
      <c r="ACB86" s="1137">
        <f t="shared" si="14"/>
        <v>0</v>
      </c>
      <c r="ACC86" s="1137">
        <f t="shared" si="14"/>
        <v>0</v>
      </c>
      <c r="ACD86" s="1137">
        <f t="shared" si="14"/>
        <v>0</v>
      </c>
      <c r="ACE86" s="1137" t="s">
        <v>196</v>
      </c>
      <c r="ACF86" s="1137">
        <f t="shared" ref="ACF86:ACU102" si="22">IF(ABG86&gt;10, 1, 0)</f>
        <v>0</v>
      </c>
      <c r="ACG86" s="1137">
        <f t="shared" si="22"/>
        <v>0</v>
      </c>
      <c r="ACH86" s="1137">
        <f t="shared" si="22"/>
        <v>0</v>
      </c>
      <c r="ACI86" s="1137">
        <f t="shared" si="22"/>
        <v>0</v>
      </c>
      <c r="ACJ86" s="1137">
        <f t="shared" si="22"/>
        <v>0</v>
      </c>
      <c r="ACK86" s="1137">
        <f t="shared" si="22"/>
        <v>0</v>
      </c>
      <c r="ACL86" s="1137">
        <f t="shared" si="22"/>
        <v>0</v>
      </c>
      <c r="ACM86" s="1137">
        <f t="shared" si="22"/>
        <v>0</v>
      </c>
      <c r="ACN86" s="1137">
        <f t="shared" si="22"/>
        <v>0</v>
      </c>
      <c r="ACO86" s="1137">
        <f t="shared" si="22"/>
        <v>0</v>
      </c>
      <c r="ACP86" s="1137">
        <f t="shared" si="22"/>
        <v>0</v>
      </c>
      <c r="ACQ86" s="1137">
        <f t="shared" si="22"/>
        <v>0</v>
      </c>
      <c r="ACR86" s="1137">
        <f t="shared" si="22"/>
        <v>0</v>
      </c>
      <c r="ACS86" s="1137">
        <f t="shared" si="22"/>
        <v>0</v>
      </c>
      <c r="ACT86" s="1137">
        <f t="shared" si="22"/>
        <v>0</v>
      </c>
      <c r="ACU86" s="1137">
        <f t="shared" si="12"/>
        <v>0</v>
      </c>
      <c r="ACV86" s="1137">
        <f t="shared" si="12"/>
        <v>0</v>
      </c>
      <c r="ACW86" s="1137">
        <f t="shared" si="12"/>
        <v>0</v>
      </c>
      <c r="ACX86" s="1137">
        <f t="shared" si="12"/>
        <v>0</v>
      </c>
      <c r="ACY86" s="1137">
        <f t="shared" si="12"/>
        <v>0</v>
      </c>
      <c r="ACZ86" s="1137">
        <f t="shared" si="12"/>
        <v>0</v>
      </c>
      <c r="ADA86" s="1137">
        <f t="shared" si="12"/>
        <v>0</v>
      </c>
      <c r="ADB86" s="1137">
        <f t="shared" si="16"/>
        <v>0</v>
      </c>
      <c r="ADC86" s="1137">
        <f t="shared" si="16"/>
        <v>0</v>
      </c>
    </row>
    <row r="87" spans="1:783" x14ac:dyDescent="0.25">
      <c r="A87" t="s">
        <v>1884</v>
      </c>
      <c r="B87" t="s">
        <v>199</v>
      </c>
      <c r="C87">
        <v>0</v>
      </c>
      <c r="D87">
        <v>0</v>
      </c>
      <c r="E87">
        <v>0</v>
      </c>
      <c r="F87">
        <v>0</v>
      </c>
      <c r="G87">
        <v>0</v>
      </c>
      <c r="H87">
        <v>0</v>
      </c>
      <c r="I87">
        <v>0</v>
      </c>
      <c r="J87">
        <v>0</v>
      </c>
      <c r="K87">
        <v>0</v>
      </c>
      <c r="L87">
        <v>0</v>
      </c>
      <c r="M87">
        <v>0</v>
      </c>
      <c r="N87">
        <v>0</v>
      </c>
      <c r="O87">
        <v>0</v>
      </c>
      <c r="P87">
        <v>0</v>
      </c>
      <c r="Q87">
        <v>0</v>
      </c>
      <c r="R87">
        <v>0</v>
      </c>
      <c r="S87">
        <v>0</v>
      </c>
      <c r="T87">
        <v>0</v>
      </c>
      <c r="U87">
        <v>0</v>
      </c>
      <c r="V87">
        <v>0</v>
      </c>
      <c r="W87">
        <v>0</v>
      </c>
      <c r="X87">
        <v>0</v>
      </c>
      <c r="Y87">
        <v>0</v>
      </c>
      <c r="Z87">
        <v>0</v>
      </c>
      <c r="AA87">
        <v>0</v>
      </c>
      <c r="AB87">
        <v>0</v>
      </c>
      <c r="AC87">
        <v>0</v>
      </c>
      <c r="AD87">
        <v>0</v>
      </c>
      <c r="AE87">
        <v>0</v>
      </c>
      <c r="AF87">
        <v>0</v>
      </c>
      <c r="AG87">
        <v>0</v>
      </c>
      <c r="AH87">
        <v>0</v>
      </c>
      <c r="AI87">
        <v>0</v>
      </c>
      <c r="AJ87">
        <v>0</v>
      </c>
      <c r="AK87">
        <v>0</v>
      </c>
      <c r="AL87">
        <v>0</v>
      </c>
      <c r="AM87">
        <v>0</v>
      </c>
      <c r="AN87">
        <v>0</v>
      </c>
      <c r="AO87">
        <v>0</v>
      </c>
      <c r="AP87">
        <v>0</v>
      </c>
      <c r="AQ87">
        <v>0</v>
      </c>
      <c r="AR87">
        <v>0</v>
      </c>
      <c r="AS87">
        <v>0</v>
      </c>
      <c r="AT87">
        <v>0</v>
      </c>
      <c r="AU87">
        <v>0</v>
      </c>
      <c r="AV87">
        <v>0</v>
      </c>
      <c r="AW87">
        <v>0</v>
      </c>
      <c r="AX87">
        <v>0</v>
      </c>
      <c r="AY87">
        <v>0</v>
      </c>
      <c r="AZ87">
        <v>0</v>
      </c>
      <c r="BA87">
        <v>0</v>
      </c>
      <c r="BB87">
        <v>0</v>
      </c>
      <c r="BC87">
        <v>0</v>
      </c>
      <c r="BD87">
        <v>0</v>
      </c>
      <c r="BE87">
        <v>0</v>
      </c>
      <c r="BF87">
        <v>0</v>
      </c>
      <c r="BG87">
        <v>0</v>
      </c>
      <c r="BH87">
        <v>0</v>
      </c>
      <c r="BI87">
        <v>0</v>
      </c>
      <c r="BJ87">
        <v>0</v>
      </c>
      <c r="BK87">
        <v>0</v>
      </c>
      <c r="BL87">
        <v>0</v>
      </c>
      <c r="BM87">
        <v>0</v>
      </c>
      <c r="BN87">
        <v>0</v>
      </c>
      <c r="BO87">
        <v>0</v>
      </c>
      <c r="BP87">
        <v>0</v>
      </c>
      <c r="BQ87">
        <v>0</v>
      </c>
      <c r="BR87">
        <v>0</v>
      </c>
      <c r="BS87">
        <v>0</v>
      </c>
      <c r="BT87">
        <v>0</v>
      </c>
      <c r="BU87">
        <v>0</v>
      </c>
      <c r="BV87">
        <v>0</v>
      </c>
      <c r="BW87">
        <v>0</v>
      </c>
      <c r="BX87">
        <v>0</v>
      </c>
      <c r="BY87">
        <v>0</v>
      </c>
      <c r="BZ87">
        <v>0</v>
      </c>
      <c r="CA87">
        <v>1</v>
      </c>
      <c r="CB87">
        <v>1</v>
      </c>
      <c r="CC87">
        <v>1</v>
      </c>
      <c r="CD87">
        <v>1</v>
      </c>
      <c r="CE87">
        <v>1</v>
      </c>
      <c r="CF87">
        <v>1</v>
      </c>
      <c r="CG87">
        <v>1</v>
      </c>
      <c r="CH87">
        <v>1</v>
      </c>
      <c r="CI87">
        <v>1</v>
      </c>
      <c r="CJ87">
        <v>1</v>
      </c>
      <c r="CK87">
        <v>1</v>
      </c>
      <c r="CL87">
        <v>1</v>
      </c>
      <c r="CM87">
        <v>1</v>
      </c>
      <c r="CN87">
        <v>1</v>
      </c>
      <c r="CO87">
        <v>1</v>
      </c>
      <c r="CP87">
        <v>1</v>
      </c>
      <c r="CQ87">
        <v>1</v>
      </c>
      <c r="CR87">
        <v>2</v>
      </c>
      <c r="CS87">
        <v>2</v>
      </c>
      <c r="CT87">
        <v>2</v>
      </c>
      <c r="CU87">
        <v>2</v>
      </c>
      <c r="CV87">
        <v>2</v>
      </c>
      <c r="CW87">
        <v>2</v>
      </c>
      <c r="CX87">
        <v>2</v>
      </c>
      <c r="CY87">
        <v>2</v>
      </c>
      <c r="CZ87">
        <v>2</v>
      </c>
      <c r="DA87">
        <v>2</v>
      </c>
      <c r="DB87">
        <v>2</v>
      </c>
      <c r="DC87">
        <v>2</v>
      </c>
      <c r="DD87">
        <v>2</v>
      </c>
      <c r="DE87">
        <v>2</v>
      </c>
      <c r="DF87">
        <v>2</v>
      </c>
      <c r="DG87">
        <v>2</v>
      </c>
      <c r="DH87">
        <v>2</v>
      </c>
      <c r="DI87">
        <v>2</v>
      </c>
      <c r="DJ87">
        <v>2</v>
      </c>
      <c r="DK87">
        <v>2</v>
      </c>
      <c r="DL87">
        <v>2</v>
      </c>
      <c r="DM87">
        <v>2</v>
      </c>
      <c r="DN87">
        <v>2</v>
      </c>
      <c r="DO87">
        <v>2</v>
      </c>
      <c r="DP87">
        <v>2</v>
      </c>
      <c r="DQ87">
        <v>2</v>
      </c>
      <c r="DR87">
        <v>2</v>
      </c>
      <c r="DS87">
        <v>2</v>
      </c>
      <c r="DT87">
        <v>2</v>
      </c>
      <c r="DU87">
        <v>2</v>
      </c>
      <c r="DV87">
        <v>2</v>
      </c>
      <c r="DW87">
        <v>2</v>
      </c>
      <c r="DX87">
        <v>2</v>
      </c>
      <c r="DY87">
        <v>2</v>
      </c>
      <c r="DZ87">
        <v>2</v>
      </c>
      <c r="EA87">
        <v>2</v>
      </c>
      <c r="EB87">
        <v>2</v>
      </c>
      <c r="EC87">
        <v>2</v>
      </c>
      <c r="ED87">
        <v>2</v>
      </c>
      <c r="EE87">
        <v>2</v>
      </c>
      <c r="EF87">
        <v>2</v>
      </c>
      <c r="EG87">
        <v>2</v>
      </c>
      <c r="EH87">
        <v>2</v>
      </c>
      <c r="EI87">
        <v>2</v>
      </c>
      <c r="EJ87">
        <v>2</v>
      </c>
      <c r="EK87">
        <v>2</v>
      </c>
      <c r="EL87">
        <v>2</v>
      </c>
      <c r="EM87">
        <v>2</v>
      </c>
      <c r="EN87">
        <v>2</v>
      </c>
      <c r="EO87">
        <v>2</v>
      </c>
      <c r="EP87">
        <v>2</v>
      </c>
      <c r="EQ87">
        <v>2</v>
      </c>
      <c r="ER87">
        <v>2</v>
      </c>
      <c r="ES87">
        <v>2</v>
      </c>
      <c r="ET87">
        <v>2</v>
      </c>
      <c r="EU87">
        <v>2</v>
      </c>
      <c r="EV87">
        <v>2</v>
      </c>
      <c r="EW87">
        <v>2</v>
      </c>
      <c r="EX87">
        <v>2</v>
      </c>
      <c r="EY87">
        <v>2</v>
      </c>
      <c r="EZ87">
        <v>2</v>
      </c>
      <c r="FA87">
        <v>2</v>
      </c>
      <c r="FB87">
        <v>2</v>
      </c>
      <c r="FC87">
        <v>2</v>
      </c>
      <c r="FD87">
        <v>2</v>
      </c>
      <c r="FE87">
        <v>2</v>
      </c>
      <c r="FF87">
        <v>2</v>
      </c>
      <c r="FG87">
        <v>2</v>
      </c>
      <c r="FH87">
        <v>2</v>
      </c>
      <c r="FI87">
        <v>2</v>
      </c>
      <c r="FJ87">
        <v>2</v>
      </c>
      <c r="FK87">
        <v>2</v>
      </c>
      <c r="FL87">
        <v>2</v>
      </c>
      <c r="FM87">
        <v>2</v>
      </c>
      <c r="FN87">
        <v>2</v>
      </c>
      <c r="FO87">
        <v>2</v>
      </c>
      <c r="FP87">
        <v>2</v>
      </c>
      <c r="FQ87">
        <v>2</v>
      </c>
      <c r="FR87">
        <v>2</v>
      </c>
      <c r="FS87">
        <v>2</v>
      </c>
      <c r="FT87">
        <v>2</v>
      </c>
      <c r="FU87">
        <v>2</v>
      </c>
      <c r="FV87">
        <v>2</v>
      </c>
      <c r="FW87">
        <v>2</v>
      </c>
      <c r="FX87">
        <v>2</v>
      </c>
      <c r="FY87">
        <v>2</v>
      </c>
      <c r="FZ87">
        <v>2</v>
      </c>
      <c r="GA87">
        <v>2</v>
      </c>
      <c r="GB87">
        <v>2</v>
      </c>
      <c r="GC87">
        <v>2</v>
      </c>
      <c r="GD87">
        <v>2</v>
      </c>
      <c r="GE87">
        <v>2</v>
      </c>
      <c r="GF87">
        <v>2</v>
      </c>
      <c r="GG87">
        <v>2</v>
      </c>
      <c r="GH87">
        <v>2</v>
      </c>
      <c r="GI87">
        <v>2</v>
      </c>
      <c r="GJ87">
        <v>2</v>
      </c>
      <c r="GK87">
        <v>2</v>
      </c>
      <c r="GL87">
        <v>2</v>
      </c>
      <c r="GM87">
        <v>2</v>
      </c>
      <c r="GN87">
        <v>2</v>
      </c>
      <c r="GO87">
        <v>2</v>
      </c>
      <c r="GP87">
        <v>2</v>
      </c>
      <c r="GQ87">
        <v>2</v>
      </c>
      <c r="GR87">
        <v>2</v>
      </c>
      <c r="GS87">
        <v>2</v>
      </c>
      <c r="GT87">
        <v>0</v>
      </c>
      <c r="GU87">
        <v>0</v>
      </c>
      <c r="GV87">
        <v>0</v>
      </c>
      <c r="GW87">
        <v>0</v>
      </c>
      <c r="GX87">
        <v>0</v>
      </c>
      <c r="GY87">
        <v>0</v>
      </c>
      <c r="GZ87">
        <v>0</v>
      </c>
      <c r="HA87">
        <v>0</v>
      </c>
      <c r="HB87">
        <v>0</v>
      </c>
      <c r="HC87">
        <v>0</v>
      </c>
      <c r="HD87">
        <v>0</v>
      </c>
      <c r="HE87">
        <v>0</v>
      </c>
      <c r="HF87">
        <v>0</v>
      </c>
      <c r="HG87">
        <v>0</v>
      </c>
      <c r="HH87">
        <v>0</v>
      </c>
      <c r="HI87">
        <v>0</v>
      </c>
      <c r="HJ87">
        <v>0</v>
      </c>
      <c r="HK87">
        <v>0</v>
      </c>
      <c r="HL87">
        <v>0</v>
      </c>
      <c r="HM87">
        <v>0</v>
      </c>
      <c r="HN87">
        <v>0</v>
      </c>
      <c r="HO87">
        <v>0</v>
      </c>
      <c r="HP87">
        <v>0</v>
      </c>
      <c r="HQ87">
        <v>0</v>
      </c>
      <c r="HR87">
        <v>0</v>
      </c>
      <c r="HS87">
        <v>0</v>
      </c>
      <c r="HT87">
        <v>0</v>
      </c>
      <c r="HU87">
        <v>0</v>
      </c>
      <c r="HV87">
        <v>0</v>
      </c>
      <c r="HW87">
        <v>0</v>
      </c>
      <c r="HX87">
        <v>0</v>
      </c>
      <c r="HY87">
        <v>0</v>
      </c>
      <c r="HZ87">
        <v>0</v>
      </c>
      <c r="IA87">
        <v>0</v>
      </c>
      <c r="IB87">
        <v>0</v>
      </c>
      <c r="IC87">
        <v>0</v>
      </c>
      <c r="ID87">
        <v>0</v>
      </c>
      <c r="IE87">
        <v>0</v>
      </c>
      <c r="IF87">
        <v>0</v>
      </c>
      <c r="IG87">
        <v>0</v>
      </c>
      <c r="IH87">
        <v>0</v>
      </c>
      <c r="II87">
        <v>0</v>
      </c>
      <c r="IJ87">
        <v>0</v>
      </c>
      <c r="IK87">
        <v>0</v>
      </c>
      <c r="IL87">
        <v>0</v>
      </c>
      <c r="IM87">
        <v>0</v>
      </c>
      <c r="IN87">
        <v>0</v>
      </c>
      <c r="IO87">
        <v>0</v>
      </c>
      <c r="IP87">
        <v>0</v>
      </c>
      <c r="IQ87">
        <v>0</v>
      </c>
      <c r="IR87">
        <v>0</v>
      </c>
      <c r="IS87">
        <v>0</v>
      </c>
      <c r="IT87">
        <v>0</v>
      </c>
      <c r="IU87">
        <v>0</v>
      </c>
      <c r="IV87">
        <v>0</v>
      </c>
      <c r="IW87">
        <v>0</v>
      </c>
      <c r="IX87">
        <v>0</v>
      </c>
      <c r="IY87">
        <v>0</v>
      </c>
      <c r="IZ87">
        <v>0</v>
      </c>
      <c r="JA87">
        <v>0</v>
      </c>
      <c r="JB87">
        <v>0</v>
      </c>
      <c r="JC87">
        <v>0</v>
      </c>
      <c r="JD87">
        <v>2</v>
      </c>
      <c r="JE87">
        <v>2</v>
      </c>
      <c r="JF87">
        <v>2</v>
      </c>
      <c r="JG87">
        <v>2</v>
      </c>
      <c r="JH87">
        <v>2</v>
      </c>
      <c r="JI87">
        <v>2</v>
      </c>
      <c r="JJ87">
        <v>2</v>
      </c>
      <c r="JK87">
        <v>2</v>
      </c>
      <c r="JL87">
        <v>2</v>
      </c>
      <c r="JM87">
        <v>2</v>
      </c>
      <c r="JN87">
        <v>2</v>
      </c>
      <c r="JO87">
        <v>2</v>
      </c>
      <c r="JP87">
        <v>2</v>
      </c>
      <c r="JQ87">
        <v>2</v>
      </c>
      <c r="JR87">
        <v>2</v>
      </c>
      <c r="JS87">
        <v>2</v>
      </c>
      <c r="JT87">
        <v>2</v>
      </c>
      <c r="JU87">
        <v>2</v>
      </c>
      <c r="JV87">
        <v>2</v>
      </c>
      <c r="JW87">
        <v>2</v>
      </c>
      <c r="JX87">
        <v>2</v>
      </c>
      <c r="JY87">
        <v>2</v>
      </c>
      <c r="JZ87">
        <v>2</v>
      </c>
      <c r="KA87">
        <v>2</v>
      </c>
      <c r="KB87">
        <v>2</v>
      </c>
      <c r="KC87">
        <v>2</v>
      </c>
      <c r="KD87">
        <v>2</v>
      </c>
      <c r="KE87">
        <v>2</v>
      </c>
      <c r="KF87">
        <v>2</v>
      </c>
      <c r="KG87">
        <v>2</v>
      </c>
      <c r="KH87">
        <v>2</v>
      </c>
      <c r="KI87">
        <v>2</v>
      </c>
      <c r="KJ87">
        <v>2</v>
      </c>
      <c r="KK87">
        <v>2</v>
      </c>
      <c r="KL87">
        <v>2</v>
      </c>
      <c r="KM87">
        <v>2</v>
      </c>
      <c r="KN87">
        <v>2</v>
      </c>
      <c r="KO87">
        <v>2</v>
      </c>
      <c r="KP87">
        <v>2</v>
      </c>
      <c r="KQ87">
        <v>2</v>
      </c>
      <c r="KR87">
        <v>0</v>
      </c>
      <c r="KS87">
        <v>0</v>
      </c>
      <c r="KT87">
        <v>0</v>
      </c>
      <c r="KU87">
        <v>0</v>
      </c>
      <c r="KV87">
        <v>0</v>
      </c>
      <c r="KW87">
        <v>0</v>
      </c>
      <c r="KX87">
        <v>0</v>
      </c>
      <c r="KY87">
        <v>2</v>
      </c>
      <c r="KZ87">
        <v>2</v>
      </c>
      <c r="LA87">
        <v>2</v>
      </c>
      <c r="LB87">
        <v>2</v>
      </c>
      <c r="LC87">
        <v>2</v>
      </c>
      <c r="LD87">
        <v>2</v>
      </c>
      <c r="LE87">
        <v>2</v>
      </c>
      <c r="LF87">
        <v>2</v>
      </c>
      <c r="LG87">
        <v>2</v>
      </c>
      <c r="LH87">
        <v>2</v>
      </c>
      <c r="LI87">
        <v>2</v>
      </c>
      <c r="LJ87">
        <v>2</v>
      </c>
      <c r="LK87">
        <v>2</v>
      </c>
      <c r="LL87">
        <v>2</v>
      </c>
      <c r="LM87">
        <v>2</v>
      </c>
      <c r="LN87">
        <v>2</v>
      </c>
      <c r="LO87">
        <v>2</v>
      </c>
      <c r="LP87">
        <v>2</v>
      </c>
      <c r="LQ87">
        <v>2</v>
      </c>
      <c r="LR87">
        <v>2</v>
      </c>
      <c r="LS87">
        <v>2</v>
      </c>
      <c r="LT87">
        <v>2</v>
      </c>
      <c r="LU87">
        <v>2</v>
      </c>
      <c r="LV87">
        <v>2</v>
      </c>
      <c r="LW87">
        <v>2</v>
      </c>
      <c r="LX87">
        <v>2</v>
      </c>
      <c r="LY87">
        <v>2</v>
      </c>
      <c r="LZ87">
        <v>2</v>
      </c>
      <c r="MA87">
        <v>2</v>
      </c>
      <c r="MB87">
        <v>2</v>
      </c>
      <c r="MC87">
        <v>2</v>
      </c>
      <c r="MD87">
        <v>2</v>
      </c>
      <c r="ME87">
        <v>2</v>
      </c>
      <c r="MF87">
        <v>2</v>
      </c>
      <c r="MG87">
        <v>2</v>
      </c>
      <c r="MH87">
        <v>2</v>
      </c>
      <c r="MI87">
        <v>2</v>
      </c>
      <c r="MJ87">
        <v>2</v>
      </c>
      <c r="MK87">
        <v>2</v>
      </c>
      <c r="ML87">
        <v>2</v>
      </c>
      <c r="MM87">
        <v>2</v>
      </c>
      <c r="MN87">
        <v>2</v>
      </c>
      <c r="MO87">
        <v>2</v>
      </c>
      <c r="MP87">
        <v>2</v>
      </c>
      <c r="MQ87">
        <v>2</v>
      </c>
      <c r="MR87">
        <v>2</v>
      </c>
      <c r="MS87">
        <v>2</v>
      </c>
      <c r="MT87">
        <v>2</v>
      </c>
      <c r="MU87">
        <v>2</v>
      </c>
      <c r="MV87">
        <v>2</v>
      </c>
      <c r="MW87">
        <v>2</v>
      </c>
      <c r="MX87">
        <v>2</v>
      </c>
      <c r="MY87">
        <v>2</v>
      </c>
      <c r="MZ87">
        <v>2</v>
      </c>
      <c r="NA87">
        <v>2</v>
      </c>
      <c r="NB87">
        <v>2</v>
      </c>
      <c r="NC87">
        <v>2</v>
      </c>
      <c r="ND87">
        <v>2</v>
      </c>
      <c r="NE87">
        <v>2</v>
      </c>
      <c r="NF87">
        <v>2</v>
      </c>
      <c r="NG87">
        <v>2</v>
      </c>
      <c r="NH87">
        <v>2</v>
      </c>
      <c r="NI87">
        <v>2</v>
      </c>
      <c r="NJ87">
        <v>2</v>
      </c>
      <c r="NK87">
        <v>2</v>
      </c>
      <c r="NL87">
        <v>2</v>
      </c>
      <c r="NM87">
        <v>2</v>
      </c>
      <c r="NN87">
        <v>2</v>
      </c>
      <c r="NO87">
        <v>2</v>
      </c>
      <c r="NP87">
        <v>2</v>
      </c>
      <c r="NQ87">
        <v>2</v>
      </c>
      <c r="NR87">
        <v>2</v>
      </c>
      <c r="NS87">
        <v>2</v>
      </c>
      <c r="NT87">
        <v>2</v>
      </c>
      <c r="NU87">
        <v>2</v>
      </c>
      <c r="NV87">
        <v>2</v>
      </c>
      <c r="NW87">
        <v>2</v>
      </c>
      <c r="NX87">
        <v>2</v>
      </c>
      <c r="NY87">
        <v>2</v>
      </c>
      <c r="NZ87">
        <v>2</v>
      </c>
      <c r="OA87">
        <v>2</v>
      </c>
      <c r="OB87">
        <v>2</v>
      </c>
      <c r="OC87">
        <v>2</v>
      </c>
      <c r="OD87">
        <v>2</v>
      </c>
      <c r="OE87">
        <v>2</v>
      </c>
      <c r="OF87">
        <v>2</v>
      </c>
      <c r="OG87">
        <v>2</v>
      </c>
      <c r="OH87">
        <v>2</v>
      </c>
      <c r="OI87">
        <v>2</v>
      </c>
      <c r="OJ87">
        <v>2</v>
      </c>
      <c r="OK87">
        <v>2</v>
      </c>
      <c r="OL87">
        <v>2</v>
      </c>
      <c r="OM87">
        <v>2</v>
      </c>
      <c r="ON87">
        <v>2</v>
      </c>
      <c r="OO87">
        <v>2</v>
      </c>
      <c r="OP87">
        <v>0</v>
      </c>
      <c r="OQ87">
        <v>0</v>
      </c>
      <c r="OR87">
        <v>0</v>
      </c>
      <c r="OS87">
        <v>0</v>
      </c>
      <c r="OT87">
        <v>0</v>
      </c>
      <c r="OU87">
        <v>0</v>
      </c>
      <c r="OV87">
        <v>0</v>
      </c>
      <c r="OW87">
        <v>0</v>
      </c>
      <c r="OX87">
        <v>0</v>
      </c>
      <c r="OY87">
        <v>0</v>
      </c>
      <c r="OZ87">
        <v>0</v>
      </c>
      <c r="PA87">
        <v>0</v>
      </c>
      <c r="PB87">
        <v>0</v>
      </c>
      <c r="PC87">
        <v>0</v>
      </c>
      <c r="PD87">
        <v>0</v>
      </c>
      <c r="PE87">
        <v>0</v>
      </c>
      <c r="PF87">
        <v>0</v>
      </c>
      <c r="PG87">
        <v>0</v>
      </c>
      <c r="PH87">
        <v>2</v>
      </c>
      <c r="PI87">
        <v>2</v>
      </c>
      <c r="PJ87">
        <v>2</v>
      </c>
      <c r="PK87">
        <v>0</v>
      </c>
      <c r="PL87">
        <v>0</v>
      </c>
      <c r="PM87">
        <v>0</v>
      </c>
      <c r="PN87">
        <v>0</v>
      </c>
      <c r="PO87">
        <v>0</v>
      </c>
      <c r="PP87">
        <v>0</v>
      </c>
      <c r="PQ87">
        <v>0</v>
      </c>
      <c r="PR87">
        <v>0</v>
      </c>
      <c r="PS87">
        <v>0</v>
      </c>
      <c r="PT87">
        <v>0</v>
      </c>
      <c r="PU87">
        <v>0</v>
      </c>
      <c r="PV87">
        <v>0</v>
      </c>
      <c r="PW87">
        <v>0</v>
      </c>
      <c r="PX87">
        <v>0</v>
      </c>
      <c r="PY87">
        <v>0</v>
      </c>
      <c r="PZ87">
        <v>0</v>
      </c>
      <c r="QA87">
        <v>0</v>
      </c>
      <c r="QB87">
        <v>0</v>
      </c>
      <c r="QC87">
        <v>0</v>
      </c>
      <c r="QD87">
        <v>0</v>
      </c>
      <c r="QE87">
        <v>0</v>
      </c>
      <c r="QF87">
        <v>0</v>
      </c>
      <c r="QG87">
        <v>0</v>
      </c>
      <c r="QH87">
        <v>0</v>
      </c>
      <c r="QI87">
        <v>0</v>
      </c>
      <c r="QJ87">
        <v>0</v>
      </c>
      <c r="QK87">
        <v>0</v>
      </c>
      <c r="QL87">
        <v>0</v>
      </c>
      <c r="QM87">
        <v>0</v>
      </c>
      <c r="QN87">
        <v>0</v>
      </c>
      <c r="QO87">
        <v>0</v>
      </c>
      <c r="QP87">
        <v>0</v>
      </c>
      <c r="QQ87">
        <v>0</v>
      </c>
      <c r="QR87">
        <v>0</v>
      </c>
      <c r="QS87">
        <v>0</v>
      </c>
      <c r="QT87">
        <v>0</v>
      </c>
      <c r="QU87">
        <v>0</v>
      </c>
      <c r="QV87">
        <v>0</v>
      </c>
      <c r="QW87">
        <v>0</v>
      </c>
      <c r="QX87">
        <v>0</v>
      </c>
      <c r="QY87">
        <v>0</v>
      </c>
      <c r="QZ87">
        <v>0</v>
      </c>
      <c r="RA87">
        <v>0</v>
      </c>
      <c r="RB87">
        <v>0</v>
      </c>
      <c r="RC87">
        <v>0</v>
      </c>
      <c r="RD87">
        <v>0</v>
      </c>
      <c r="RE87">
        <v>0</v>
      </c>
      <c r="RF87">
        <v>0</v>
      </c>
      <c r="RG87">
        <v>0</v>
      </c>
      <c r="RH87">
        <v>0</v>
      </c>
      <c r="RI87">
        <v>0</v>
      </c>
      <c r="RJ87">
        <v>0</v>
      </c>
      <c r="RK87">
        <v>0</v>
      </c>
      <c r="RL87">
        <v>0</v>
      </c>
      <c r="RM87">
        <v>0</v>
      </c>
      <c r="RN87">
        <v>0</v>
      </c>
      <c r="RO87">
        <v>0</v>
      </c>
      <c r="RP87">
        <v>0</v>
      </c>
      <c r="RQ87">
        <v>0</v>
      </c>
      <c r="RR87">
        <v>0</v>
      </c>
      <c r="RS87">
        <v>0</v>
      </c>
      <c r="RT87">
        <v>0</v>
      </c>
      <c r="RU87">
        <v>0</v>
      </c>
      <c r="RV87">
        <v>0</v>
      </c>
      <c r="RW87">
        <v>0</v>
      </c>
      <c r="RX87">
        <v>0</v>
      </c>
      <c r="RY87">
        <v>0</v>
      </c>
      <c r="RZ87">
        <v>0</v>
      </c>
      <c r="SA87">
        <v>0</v>
      </c>
      <c r="SB87">
        <v>0</v>
      </c>
      <c r="SC87">
        <v>0</v>
      </c>
      <c r="SD87">
        <v>0</v>
      </c>
      <c r="SE87">
        <v>0</v>
      </c>
      <c r="SF87">
        <v>0</v>
      </c>
      <c r="SG87">
        <v>0</v>
      </c>
      <c r="SH87">
        <v>0</v>
      </c>
      <c r="SI87">
        <v>0</v>
      </c>
      <c r="SJ87">
        <v>0</v>
      </c>
      <c r="SK87">
        <v>0</v>
      </c>
      <c r="SL87">
        <v>0</v>
      </c>
      <c r="SM87">
        <v>0</v>
      </c>
      <c r="SN87">
        <v>0</v>
      </c>
      <c r="SO87">
        <v>0</v>
      </c>
      <c r="SP87">
        <v>0</v>
      </c>
      <c r="SQ87">
        <v>0</v>
      </c>
      <c r="SR87">
        <v>0</v>
      </c>
      <c r="SS87">
        <v>0</v>
      </c>
      <c r="ST87">
        <v>0</v>
      </c>
      <c r="SU87">
        <v>0</v>
      </c>
      <c r="SV87">
        <v>0</v>
      </c>
      <c r="SW87">
        <v>0</v>
      </c>
      <c r="SX87">
        <v>0</v>
      </c>
      <c r="SY87">
        <v>0</v>
      </c>
      <c r="SZ87">
        <v>0</v>
      </c>
      <c r="TA87">
        <v>0</v>
      </c>
      <c r="TB87">
        <v>0</v>
      </c>
      <c r="TC87">
        <v>0</v>
      </c>
      <c r="TD87">
        <v>0</v>
      </c>
      <c r="TE87">
        <v>0</v>
      </c>
      <c r="TF87">
        <v>0</v>
      </c>
      <c r="TG87">
        <v>0</v>
      </c>
      <c r="TH87">
        <v>0</v>
      </c>
      <c r="TI87">
        <v>0</v>
      </c>
      <c r="TJ87">
        <v>0</v>
      </c>
      <c r="TK87">
        <v>0</v>
      </c>
      <c r="TL87">
        <v>0</v>
      </c>
      <c r="TM87">
        <v>0</v>
      </c>
      <c r="TN87">
        <v>0</v>
      </c>
      <c r="TO87">
        <v>0</v>
      </c>
      <c r="TP87">
        <v>0</v>
      </c>
      <c r="TQ87">
        <v>0</v>
      </c>
      <c r="TR87">
        <v>0</v>
      </c>
      <c r="TS87">
        <v>0</v>
      </c>
      <c r="TT87">
        <v>0</v>
      </c>
      <c r="TU87">
        <v>0</v>
      </c>
      <c r="TV87">
        <v>0</v>
      </c>
      <c r="TW87">
        <v>0</v>
      </c>
      <c r="TX87">
        <v>0</v>
      </c>
      <c r="TY87">
        <v>0</v>
      </c>
      <c r="TZ87">
        <v>0</v>
      </c>
      <c r="UA87">
        <v>0</v>
      </c>
      <c r="UB87">
        <v>0</v>
      </c>
      <c r="UC87">
        <v>0</v>
      </c>
      <c r="UD87">
        <v>0</v>
      </c>
      <c r="UE87">
        <v>0</v>
      </c>
      <c r="UF87">
        <v>0</v>
      </c>
      <c r="UG87">
        <v>0</v>
      </c>
      <c r="UH87">
        <v>0</v>
      </c>
      <c r="UI87">
        <v>0</v>
      </c>
      <c r="UJ87">
        <v>0</v>
      </c>
      <c r="UK87">
        <v>0</v>
      </c>
      <c r="UL87">
        <v>0</v>
      </c>
      <c r="UM87">
        <v>0</v>
      </c>
      <c r="UN87">
        <v>0</v>
      </c>
      <c r="UO87">
        <v>0</v>
      </c>
      <c r="UP87">
        <v>0</v>
      </c>
      <c r="UQ87">
        <v>0</v>
      </c>
      <c r="UR87">
        <v>0</v>
      </c>
      <c r="US87">
        <v>0</v>
      </c>
      <c r="UT87">
        <v>0</v>
      </c>
      <c r="UU87">
        <v>0</v>
      </c>
      <c r="UV87">
        <v>0</v>
      </c>
      <c r="UW87">
        <v>0</v>
      </c>
      <c r="UX87">
        <v>0</v>
      </c>
      <c r="UY87">
        <v>0</v>
      </c>
      <c r="UZ87">
        <v>0</v>
      </c>
      <c r="VA87">
        <v>0</v>
      </c>
      <c r="VB87">
        <v>0</v>
      </c>
      <c r="VC87">
        <v>0</v>
      </c>
      <c r="VD87">
        <v>0</v>
      </c>
      <c r="VE87">
        <v>0</v>
      </c>
      <c r="VF87">
        <v>0</v>
      </c>
      <c r="VG87">
        <v>0</v>
      </c>
      <c r="VH87">
        <v>0</v>
      </c>
      <c r="VI87">
        <v>0</v>
      </c>
      <c r="VJ87">
        <v>0</v>
      </c>
      <c r="VK87">
        <v>0</v>
      </c>
      <c r="VL87">
        <v>0</v>
      </c>
      <c r="VM87">
        <v>0</v>
      </c>
      <c r="VN87">
        <v>0</v>
      </c>
      <c r="VO87">
        <v>0</v>
      </c>
      <c r="VP87">
        <v>0</v>
      </c>
      <c r="VQ87">
        <v>0</v>
      </c>
      <c r="VR87">
        <v>0</v>
      </c>
      <c r="VS87">
        <v>0</v>
      </c>
      <c r="VT87">
        <v>0</v>
      </c>
      <c r="VU87">
        <v>0</v>
      </c>
      <c r="VV87">
        <v>0</v>
      </c>
      <c r="VW87">
        <v>0</v>
      </c>
      <c r="VX87">
        <v>0</v>
      </c>
      <c r="VY87">
        <v>0</v>
      </c>
      <c r="VZ87">
        <v>0</v>
      </c>
      <c r="WA87">
        <v>0</v>
      </c>
      <c r="WB87">
        <v>0</v>
      </c>
      <c r="WC87">
        <v>0</v>
      </c>
      <c r="WD87">
        <v>0</v>
      </c>
      <c r="WE87">
        <v>0</v>
      </c>
      <c r="WF87">
        <v>0</v>
      </c>
      <c r="WG87">
        <v>0</v>
      </c>
      <c r="WH87">
        <v>0</v>
      </c>
      <c r="WI87">
        <v>0</v>
      </c>
      <c r="WJ87">
        <v>0</v>
      </c>
      <c r="WK87">
        <v>0</v>
      </c>
      <c r="WL87">
        <v>0</v>
      </c>
      <c r="WM87">
        <v>0</v>
      </c>
      <c r="WN87">
        <v>0</v>
      </c>
      <c r="WO87">
        <v>0</v>
      </c>
      <c r="WP87">
        <v>0</v>
      </c>
      <c r="WQ87">
        <v>0</v>
      </c>
      <c r="WR87">
        <v>0</v>
      </c>
      <c r="WS87">
        <v>0</v>
      </c>
      <c r="WT87">
        <v>0</v>
      </c>
      <c r="WU87">
        <v>0</v>
      </c>
      <c r="WV87">
        <v>0</v>
      </c>
      <c r="WW87">
        <v>0</v>
      </c>
      <c r="WX87">
        <v>0</v>
      </c>
      <c r="WY87">
        <v>0</v>
      </c>
      <c r="WZ87">
        <v>0</v>
      </c>
      <c r="XA87">
        <v>0</v>
      </c>
      <c r="XB87">
        <v>0</v>
      </c>
      <c r="XC87">
        <v>0</v>
      </c>
      <c r="XD87">
        <v>0</v>
      </c>
      <c r="XE87">
        <v>0</v>
      </c>
      <c r="XF87">
        <v>0</v>
      </c>
      <c r="XG87">
        <v>0</v>
      </c>
      <c r="XH87">
        <v>0</v>
      </c>
      <c r="XI87">
        <v>0</v>
      </c>
      <c r="XJ87">
        <v>0</v>
      </c>
      <c r="XK87">
        <v>0</v>
      </c>
      <c r="XL87">
        <v>0</v>
      </c>
      <c r="XM87">
        <v>0</v>
      </c>
      <c r="XN87">
        <v>0</v>
      </c>
      <c r="XO87">
        <v>0</v>
      </c>
      <c r="XP87">
        <v>0</v>
      </c>
      <c r="XQ87">
        <v>0</v>
      </c>
      <c r="XR87">
        <v>0</v>
      </c>
      <c r="XS87">
        <v>0</v>
      </c>
      <c r="XT87">
        <v>0</v>
      </c>
      <c r="XU87">
        <v>0</v>
      </c>
      <c r="XV87">
        <v>0</v>
      </c>
      <c r="XW87">
        <v>0</v>
      </c>
      <c r="XX87">
        <v>0</v>
      </c>
      <c r="XY87">
        <v>0</v>
      </c>
      <c r="XZ87">
        <v>0</v>
      </c>
      <c r="YA87">
        <v>0</v>
      </c>
      <c r="YB87">
        <v>0</v>
      </c>
      <c r="YC87">
        <v>0</v>
      </c>
      <c r="YD87">
        <v>0</v>
      </c>
      <c r="YE87">
        <v>0</v>
      </c>
      <c r="YF87">
        <v>0</v>
      </c>
      <c r="YG87">
        <v>0</v>
      </c>
      <c r="YH87">
        <v>0</v>
      </c>
      <c r="YI87">
        <v>0</v>
      </c>
      <c r="YJ87">
        <v>0</v>
      </c>
      <c r="YK87">
        <v>0</v>
      </c>
      <c r="YL87">
        <v>0</v>
      </c>
      <c r="YM87">
        <v>0</v>
      </c>
      <c r="YN87">
        <v>0</v>
      </c>
      <c r="YO87">
        <v>0</v>
      </c>
      <c r="YP87">
        <v>0</v>
      </c>
      <c r="YQ87">
        <v>0</v>
      </c>
      <c r="YR87">
        <v>0</v>
      </c>
      <c r="YS87">
        <v>0</v>
      </c>
      <c r="YT87">
        <v>0</v>
      </c>
      <c r="YU87">
        <v>0</v>
      </c>
      <c r="YV87">
        <v>0</v>
      </c>
      <c r="YW87">
        <v>0</v>
      </c>
      <c r="YX87">
        <v>0</v>
      </c>
      <c r="YY87">
        <v>0</v>
      </c>
      <c r="YZ87">
        <v>0</v>
      </c>
      <c r="ZA87">
        <v>0</v>
      </c>
      <c r="ZB87">
        <v>0</v>
      </c>
      <c r="ZC87">
        <v>0</v>
      </c>
      <c r="ZD87">
        <v>0</v>
      </c>
      <c r="ZE87">
        <v>0</v>
      </c>
      <c r="ZF87">
        <v>0</v>
      </c>
      <c r="ZG87">
        <v>0</v>
      </c>
      <c r="ZH87">
        <v>0</v>
      </c>
      <c r="ZI87">
        <v>0</v>
      </c>
      <c r="ZJ87">
        <v>0</v>
      </c>
      <c r="ZK87">
        <v>0</v>
      </c>
      <c r="ZL87">
        <v>0</v>
      </c>
      <c r="ZM87">
        <v>0</v>
      </c>
      <c r="ZN87">
        <v>0</v>
      </c>
      <c r="ZO87">
        <v>0</v>
      </c>
      <c r="ZP87">
        <v>0</v>
      </c>
      <c r="ZQ87">
        <v>0</v>
      </c>
      <c r="ZR87">
        <v>0</v>
      </c>
      <c r="ZS87">
        <v>0</v>
      </c>
      <c r="ZT87">
        <v>0</v>
      </c>
      <c r="ZU87">
        <v>0</v>
      </c>
      <c r="ZV87">
        <v>0</v>
      </c>
      <c r="ZW87">
        <v>0</v>
      </c>
      <c r="ZX87">
        <v>0</v>
      </c>
      <c r="ZY87">
        <v>0</v>
      </c>
      <c r="ZZ87">
        <v>0</v>
      </c>
      <c r="AAA87">
        <v>0</v>
      </c>
      <c r="AAB87">
        <v>0</v>
      </c>
      <c r="AAC87">
        <v>0</v>
      </c>
      <c r="AAD87">
        <v>0</v>
      </c>
      <c r="AAE87">
        <v>0</v>
      </c>
      <c r="AAF87">
        <v>0</v>
      </c>
      <c r="AAG87">
        <v>0</v>
      </c>
      <c r="AAH87">
        <v>0</v>
      </c>
      <c r="AAI87">
        <v>0</v>
      </c>
      <c r="AAJ87">
        <v>0</v>
      </c>
      <c r="AAK87">
        <v>0</v>
      </c>
      <c r="AAL87">
        <v>0</v>
      </c>
      <c r="AAM87">
        <v>0</v>
      </c>
      <c r="AAN87">
        <v>0</v>
      </c>
      <c r="AAO87">
        <v>0</v>
      </c>
      <c r="AAP87">
        <v>0</v>
      </c>
      <c r="AAQ87">
        <v>0</v>
      </c>
      <c r="AAR87">
        <v>0</v>
      </c>
      <c r="AAS87">
        <v>0</v>
      </c>
      <c r="AAT87">
        <v>0</v>
      </c>
      <c r="AAU87">
        <v>0</v>
      </c>
      <c r="AAV87">
        <v>0</v>
      </c>
      <c r="AAW87">
        <v>0</v>
      </c>
      <c r="AAX87">
        <v>0</v>
      </c>
      <c r="AAY87">
        <v>0</v>
      </c>
      <c r="AAZ87">
        <v>0</v>
      </c>
      <c r="ABA87">
        <v>0</v>
      </c>
      <c r="ABB87">
        <v>0</v>
      </c>
      <c r="ABC87">
        <v>0</v>
      </c>
      <c r="ABD87">
        <v>0</v>
      </c>
      <c r="ABE87">
        <v>0</v>
      </c>
      <c r="ABG87" s="1137">
        <f t="shared" si="21"/>
        <v>0</v>
      </c>
      <c r="ABH87" s="1137">
        <f t="shared" si="21"/>
        <v>0</v>
      </c>
      <c r="ABI87" s="1137">
        <f t="shared" si="21"/>
        <v>15</v>
      </c>
      <c r="ABJ87" s="1137">
        <f t="shared" si="21"/>
        <v>30</v>
      </c>
      <c r="ABK87" s="1137">
        <f t="shared" si="21"/>
        <v>31</v>
      </c>
      <c r="ABL87" s="1137">
        <f t="shared" si="21"/>
        <v>30</v>
      </c>
      <c r="ABM87" s="1137">
        <f t="shared" si="21"/>
        <v>17</v>
      </c>
      <c r="ABN87" s="1137">
        <f t="shared" si="21"/>
        <v>0</v>
      </c>
      <c r="ABO87" s="1137">
        <f t="shared" si="21"/>
        <v>13</v>
      </c>
      <c r="ABP87" s="1137">
        <f t="shared" si="21"/>
        <v>27</v>
      </c>
      <c r="ABQ87" s="1137">
        <f t="shared" si="21"/>
        <v>27</v>
      </c>
      <c r="ABR87" s="1137">
        <f t="shared" si="21"/>
        <v>31</v>
      </c>
      <c r="ABS87" s="1137">
        <f t="shared" si="21"/>
        <v>31</v>
      </c>
      <c r="ABT87" s="1137">
        <f t="shared" si="21"/>
        <v>9</v>
      </c>
      <c r="ABU87" s="1137">
        <f t="shared" si="21"/>
        <v>0</v>
      </c>
      <c r="ABV87" s="1137">
        <f t="shared" si="21"/>
        <v>0</v>
      </c>
      <c r="ABW87" s="1137">
        <f t="shared" si="17"/>
        <v>0</v>
      </c>
      <c r="ABX87" s="1137">
        <f t="shared" si="14"/>
        <v>0</v>
      </c>
      <c r="ABY87" s="1137">
        <f t="shared" si="14"/>
        <v>0</v>
      </c>
      <c r="ABZ87" s="1137">
        <f t="shared" si="14"/>
        <v>0</v>
      </c>
      <c r="ACA87" s="1137">
        <f t="shared" si="14"/>
        <v>0</v>
      </c>
      <c r="ACB87" s="1137">
        <f t="shared" si="14"/>
        <v>0</v>
      </c>
      <c r="ACC87" s="1137">
        <f t="shared" si="14"/>
        <v>0</v>
      </c>
      <c r="ACD87" s="1137">
        <f t="shared" si="14"/>
        <v>0</v>
      </c>
      <c r="ACE87" s="1137" t="s">
        <v>199</v>
      </c>
      <c r="ACF87" s="1137">
        <f t="shared" si="22"/>
        <v>0</v>
      </c>
      <c r="ACG87" s="1137">
        <f t="shared" si="22"/>
        <v>0</v>
      </c>
      <c r="ACH87" s="1137">
        <f t="shared" si="22"/>
        <v>1</v>
      </c>
      <c r="ACI87" s="1137">
        <f t="shared" si="22"/>
        <v>1</v>
      </c>
      <c r="ACJ87" s="1137">
        <f t="shared" si="22"/>
        <v>1</v>
      </c>
      <c r="ACK87" s="1137">
        <f t="shared" si="22"/>
        <v>1</v>
      </c>
      <c r="ACL87" s="1137">
        <f t="shared" si="22"/>
        <v>1</v>
      </c>
      <c r="ACM87" s="1137">
        <f t="shared" si="22"/>
        <v>0</v>
      </c>
      <c r="ACN87" s="1137">
        <f t="shared" si="22"/>
        <v>1</v>
      </c>
      <c r="ACO87" s="1137">
        <f t="shared" si="22"/>
        <v>1</v>
      </c>
      <c r="ACP87" s="1137">
        <f t="shared" si="22"/>
        <v>1</v>
      </c>
      <c r="ACQ87" s="1137">
        <f t="shared" si="22"/>
        <v>1</v>
      </c>
      <c r="ACR87" s="1137">
        <f t="shared" si="22"/>
        <v>1</v>
      </c>
      <c r="ACS87" s="1137">
        <f t="shared" si="22"/>
        <v>0</v>
      </c>
      <c r="ACT87" s="1137">
        <f t="shared" si="22"/>
        <v>0</v>
      </c>
      <c r="ACU87" s="1137">
        <f t="shared" si="12"/>
        <v>0</v>
      </c>
      <c r="ACV87" s="1137">
        <f t="shared" si="12"/>
        <v>0</v>
      </c>
      <c r="ACW87" s="1137">
        <f t="shared" si="12"/>
        <v>0</v>
      </c>
      <c r="ACX87" s="1137">
        <f t="shared" si="12"/>
        <v>0</v>
      </c>
      <c r="ACY87" s="1137">
        <f t="shared" si="12"/>
        <v>0</v>
      </c>
      <c r="ACZ87" s="1137">
        <f t="shared" si="12"/>
        <v>0</v>
      </c>
      <c r="ADA87" s="1137">
        <f t="shared" si="12"/>
        <v>0</v>
      </c>
      <c r="ADB87" s="1137">
        <f t="shared" si="16"/>
        <v>0</v>
      </c>
      <c r="ADC87" s="1137">
        <f t="shared" si="16"/>
        <v>0</v>
      </c>
    </row>
    <row r="88" spans="1:783" x14ac:dyDescent="0.25">
      <c r="A88" t="s">
        <v>1885</v>
      </c>
      <c r="B88" t="s">
        <v>200</v>
      </c>
      <c r="C88">
        <v>0</v>
      </c>
      <c r="D88">
        <v>0</v>
      </c>
      <c r="E88">
        <v>0</v>
      </c>
      <c r="F88">
        <v>0</v>
      </c>
      <c r="G88">
        <v>0</v>
      </c>
      <c r="H88">
        <v>0</v>
      </c>
      <c r="I88">
        <v>0</v>
      </c>
      <c r="J88">
        <v>0</v>
      </c>
      <c r="K88">
        <v>0</v>
      </c>
      <c r="L88">
        <v>0</v>
      </c>
      <c r="M88">
        <v>0</v>
      </c>
      <c r="N88">
        <v>0</v>
      </c>
      <c r="O88">
        <v>0</v>
      </c>
      <c r="P88">
        <v>0</v>
      </c>
      <c r="Q88">
        <v>0</v>
      </c>
      <c r="R88">
        <v>0</v>
      </c>
      <c r="S88">
        <v>0</v>
      </c>
      <c r="T88">
        <v>0</v>
      </c>
      <c r="U88">
        <v>0</v>
      </c>
      <c r="V88">
        <v>0</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0</v>
      </c>
      <c r="AT88">
        <v>0</v>
      </c>
      <c r="AU88">
        <v>0</v>
      </c>
      <c r="AV88">
        <v>0</v>
      </c>
      <c r="AW88">
        <v>0</v>
      </c>
      <c r="AX88">
        <v>0</v>
      </c>
      <c r="AY88">
        <v>0</v>
      </c>
      <c r="AZ88">
        <v>0</v>
      </c>
      <c r="BA88">
        <v>0</v>
      </c>
      <c r="BB88">
        <v>2</v>
      </c>
      <c r="BC88">
        <v>2</v>
      </c>
      <c r="BD88">
        <v>1</v>
      </c>
      <c r="BE88">
        <v>1</v>
      </c>
      <c r="BF88">
        <v>1</v>
      </c>
      <c r="BG88">
        <v>1</v>
      </c>
      <c r="BH88">
        <v>1</v>
      </c>
      <c r="BI88">
        <v>1</v>
      </c>
      <c r="BJ88">
        <v>1</v>
      </c>
      <c r="BK88">
        <v>1</v>
      </c>
      <c r="BL88">
        <v>2</v>
      </c>
      <c r="BM88">
        <v>2</v>
      </c>
      <c r="BN88">
        <v>2</v>
      </c>
      <c r="BO88">
        <v>2</v>
      </c>
      <c r="BP88">
        <v>2</v>
      </c>
      <c r="BQ88">
        <v>2</v>
      </c>
      <c r="BR88">
        <v>2</v>
      </c>
      <c r="BS88">
        <v>2</v>
      </c>
      <c r="BT88">
        <v>2</v>
      </c>
      <c r="BU88">
        <v>2</v>
      </c>
      <c r="BV88">
        <v>2</v>
      </c>
      <c r="BW88">
        <v>2</v>
      </c>
      <c r="BX88">
        <v>2</v>
      </c>
      <c r="BY88">
        <v>2</v>
      </c>
      <c r="BZ88">
        <v>2</v>
      </c>
      <c r="CA88">
        <v>2</v>
      </c>
      <c r="CB88">
        <v>2</v>
      </c>
      <c r="CC88">
        <v>2</v>
      </c>
      <c r="CD88">
        <v>2</v>
      </c>
      <c r="CE88">
        <v>2</v>
      </c>
      <c r="CF88">
        <v>2</v>
      </c>
      <c r="CG88">
        <v>2</v>
      </c>
      <c r="CH88">
        <v>2</v>
      </c>
      <c r="CI88">
        <v>2</v>
      </c>
      <c r="CJ88">
        <v>2</v>
      </c>
      <c r="CK88">
        <v>2</v>
      </c>
      <c r="CL88">
        <v>2</v>
      </c>
      <c r="CM88">
        <v>2</v>
      </c>
      <c r="CN88">
        <v>2</v>
      </c>
      <c r="CO88">
        <v>2</v>
      </c>
      <c r="CP88">
        <v>2</v>
      </c>
      <c r="CQ88">
        <v>2</v>
      </c>
      <c r="CR88">
        <v>2</v>
      </c>
      <c r="CS88">
        <v>2</v>
      </c>
      <c r="CT88">
        <v>2</v>
      </c>
      <c r="CU88">
        <v>2</v>
      </c>
      <c r="CV88">
        <v>2</v>
      </c>
      <c r="CW88">
        <v>2</v>
      </c>
      <c r="CX88">
        <v>2</v>
      </c>
      <c r="CY88">
        <v>2</v>
      </c>
      <c r="CZ88">
        <v>2</v>
      </c>
      <c r="DA88">
        <v>2</v>
      </c>
      <c r="DB88">
        <v>2</v>
      </c>
      <c r="DC88">
        <v>2</v>
      </c>
      <c r="DD88">
        <v>2</v>
      </c>
      <c r="DE88">
        <v>2</v>
      </c>
      <c r="DF88">
        <v>2</v>
      </c>
      <c r="DG88">
        <v>2</v>
      </c>
      <c r="DH88">
        <v>2</v>
      </c>
      <c r="DI88">
        <v>2</v>
      </c>
      <c r="DJ88">
        <v>2</v>
      </c>
      <c r="DK88">
        <v>2</v>
      </c>
      <c r="DL88">
        <v>2</v>
      </c>
      <c r="DM88">
        <v>2</v>
      </c>
      <c r="DN88">
        <v>2</v>
      </c>
      <c r="DO88">
        <v>2</v>
      </c>
      <c r="DP88">
        <v>2</v>
      </c>
      <c r="DQ88">
        <v>2</v>
      </c>
      <c r="DR88">
        <v>2</v>
      </c>
      <c r="DS88">
        <v>2</v>
      </c>
      <c r="DT88">
        <v>2</v>
      </c>
      <c r="DU88">
        <v>2</v>
      </c>
      <c r="DV88">
        <v>2</v>
      </c>
      <c r="DW88">
        <v>2</v>
      </c>
      <c r="DX88">
        <v>2</v>
      </c>
      <c r="DY88">
        <v>2</v>
      </c>
      <c r="DZ88">
        <v>2</v>
      </c>
      <c r="EA88">
        <v>2</v>
      </c>
      <c r="EB88">
        <v>2</v>
      </c>
      <c r="EC88">
        <v>2</v>
      </c>
      <c r="ED88">
        <v>2</v>
      </c>
      <c r="EE88">
        <v>2</v>
      </c>
      <c r="EF88">
        <v>2</v>
      </c>
      <c r="EG88">
        <v>2</v>
      </c>
      <c r="EH88">
        <v>2</v>
      </c>
      <c r="EI88">
        <v>2</v>
      </c>
      <c r="EJ88">
        <v>2</v>
      </c>
      <c r="EK88">
        <v>2</v>
      </c>
      <c r="EL88">
        <v>2</v>
      </c>
      <c r="EM88">
        <v>2</v>
      </c>
      <c r="EN88">
        <v>2</v>
      </c>
      <c r="EO88">
        <v>2</v>
      </c>
      <c r="EP88">
        <v>2</v>
      </c>
      <c r="EQ88">
        <v>2</v>
      </c>
      <c r="ER88">
        <v>2</v>
      </c>
      <c r="ES88">
        <v>2</v>
      </c>
      <c r="ET88">
        <v>2</v>
      </c>
      <c r="EU88">
        <v>2</v>
      </c>
      <c r="EV88">
        <v>2</v>
      </c>
      <c r="EW88">
        <v>2</v>
      </c>
      <c r="EX88">
        <v>2</v>
      </c>
      <c r="EY88">
        <v>2</v>
      </c>
      <c r="EZ88">
        <v>2</v>
      </c>
      <c r="FA88">
        <v>2</v>
      </c>
      <c r="FB88">
        <v>2</v>
      </c>
      <c r="FC88">
        <v>2</v>
      </c>
      <c r="FD88">
        <v>2</v>
      </c>
      <c r="FE88">
        <v>2</v>
      </c>
      <c r="FF88">
        <v>2</v>
      </c>
      <c r="FG88">
        <v>2</v>
      </c>
      <c r="FH88">
        <v>2</v>
      </c>
      <c r="FI88">
        <v>2</v>
      </c>
      <c r="FJ88">
        <v>2</v>
      </c>
      <c r="FK88">
        <v>2</v>
      </c>
      <c r="FL88">
        <v>2</v>
      </c>
      <c r="FM88">
        <v>1</v>
      </c>
      <c r="FN88">
        <v>1</v>
      </c>
      <c r="FO88">
        <v>1</v>
      </c>
      <c r="FP88">
        <v>1</v>
      </c>
      <c r="FQ88">
        <v>1</v>
      </c>
      <c r="FR88">
        <v>1</v>
      </c>
      <c r="FS88">
        <v>1</v>
      </c>
      <c r="FT88">
        <v>1</v>
      </c>
      <c r="FU88">
        <v>1</v>
      </c>
      <c r="FV88">
        <v>1</v>
      </c>
      <c r="FW88">
        <v>1</v>
      </c>
      <c r="FX88">
        <v>1</v>
      </c>
      <c r="FY88">
        <v>1</v>
      </c>
      <c r="FZ88">
        <v>1</v>
      </c>
      <c r="GA88">
        <v>1</v>
      </c>
      <c r="GB88">
        <v>1</v>
      </c>
      <c r="GC88">
        <v>1</v>
      </c>
      <c r="GD88">
        <v>1</v>
      </c>
      <c r="GE88">
        <v>1</v>
      </c>
      <c r="GF88">
        <v>1</v>
      </c>
      <c r="GG88">
        <v>1</v>
      </c>
      <c r="GH88">
        <v>1</v>
      </c>
      <c r="GI88">
        <v>1</v>
      </c>
      <c r="GJ88">
        <v>1</v>
      </c>
      <c r="GK88">
        <v>1</v>
      </c>
      <c r="GL88">
        <v>1</v>
      </c>
      <c r="GM88">
        <v>1</v>
      </c>
      <c r="GN88">
        <v>1</v>
      </c>
      <c r="GO88">
        <v>1</v>
      </c>
      <c r="GP88">
        <v>1</v>
      </c>
      <c r="GQ88">
        <v>1</v>
      </c>
      <c r="GR88">
        <v>1</v>
      </c>
      <c r="GS88">
        <v>1</v>
      </c>
      <c r="GT88">
        <v>1</v>
      </c>
      <c r="GU88">
        <v>1</v>
      </c>
      <c r="GV88">
        <v>1</v>
      </c>
      <c r="GW88">
        <v>1</v>
      </c>
      <c r="GX88">
        <v>1</v>
      </c>
      <c r="GY88">
        <v>1</v>
      </c>
      <c r="GZ88">
        <v>1</v>
      </c>
      <c r="HA88">
        <v>1</v>
      </c>
      <c r="HB88">
        <v>1</v>
      </c>
      <c r="HC88">
        <v>1</v>
      </c>
      <c r="HD88">
        <v>1</v>
      </c>
      <c r="HE88">
        <v>1</v>
      </c>
      <c r="HF88">
        <v>1</v>
      </c>
      <c r="HG88">
        <v>1</v>
      </c>
      <c r="HH88">
        <v>2</v>
      </c>
      <c r="HI88">
        <v>2</v>
      </c>
      <c r="HJ88">
        <v>2</v>
      </c>
      <c r="HK88">
        <v>2</v>
      </c>
      <c r="HL88">
        <v>2</v>
      </c>
      <c r="HM88">
        <v>2</v>
      </c>
      <c r="HN88">
        <v>2</v>
      </c>
      <c r="HO88">
        <v>2</v>
      </c>
      <c r="HP88">
        <v>2</v>
      </c>
      <c r="HQ88">
        <v>2</v>
      </c>
      <c r="HR88">
        <v>2</v>
      </c>
      <c r="HS88">
        <v>2</v>
      </c>
      <c r="HT88">
        <v>2</v>
      </c>
      <c r="HU88">
        <v>2</v>
      </c>
      <c r="HV88">
        <v>2</v>
      </c>
      <c r="HW88">
        <v>2</v>
      </c>
      <c r="HX88">
        <v>2</v>
      </c>
      <c r="HY88">
        <v>2</v>
      </c>
      <c r="HZ88">
        <v>2</v>
      </c>
      <c r="IA88">
        <v>2</v>
      </c>
      <c r="IB88">
        <v>2</v>
      </c>
      <c r="IC88">
        <v>2</v>
      </c>
      <c r="ID88">
        <v>2</v>
      </c>
      <c r="IE88">
        <v>2</v>
      </c>
      <c r="IF88">
        <v>2</v>
      </c>
      <c r="IG88">
        <v>2</v>
      </c>
      <c r="IH88">
        <v>2</v>
      </c>
      <c r="II88">
        <v>2</v>
      </c>
      <c r="IJ88">
        <v>2</v>
      </c>
      <c r="IK88">
        <v>2</v>
      </c>
      <c r="IL88">
        <v>2</v>
      </c>
      <c r="IM88">
        <v>2</v>
      </c>
      <c r="IN88">
        <v>2</v>
      </c>
      <c r="IO88">
        <v>2</v>
      </c>
      <c r="IP88">
        <v>2</v>
      </c>
      <c r="IQ88">
        <v>2</v>
      </c>
      <c r="IR88">
        <v>2</v>
      </c>
      <c r="IS88">
        <v>2</v>
      </c>
      <c r="IT88">
        <v>2</v>
      </c>
      <c r="IU88">
        <v>2</v>
      </c>
      <c r="IV88">
        <v>2</v>
      </c>
      <c r="IW88">
        <v>2</v>
      </c>
      <c r="IX88">
        <v>2</v>
      </c>
      <c r="IY88">
        <v>2</v>
      </c>
      <c r="IZ88">
        <v>2</v>
      </c>
      <c r="JA88">
        <v>2</v>
      </c>
      <c r="JB88">
        <v>2</v>
      </c>
      <c r="JC88">
        <v>2</v>
      </c>
      <c r="JD88">
        <v>2</v>
      </c>
      <c r="JE88">
        <v>2</v>
      </c>
      <c r="JF88">
        <v>2</v>
      </c>
      <c r="JG88">
        <v>2</v>
      </c>
      <c r="JH88">
        <v>2</v>
      </c>
      <c r="JI88">
        <v>2</v>
      </c>
      <c r="JJ88">
        <v>2</v>
      </c>
      <c r="JK88">
        <v>2</v>
      </c>
      <c r="JL88">
        <v>2</v>
      </c>
      <c r="JM88">
        <v>2</v>
      </c>
      <c r="JN88">
        <v>2</v>
      </c>
      <c r="JO88">
        <v>2</v>
      </c>
      <c r="JP88">
        <v>2</v>
      </c>
      <c r="JQ88">
        <v>2</v>
      </c>
      <c r="JR88">
        <v>2</v>
      </c>
      <c r="JS88">
        <v>2</v>
      </c>
      <c r="JT88">
        <v>2</v>
      </c>
      <c r="JU88">
        <v>2</v>
      </c>
      <c r="JV88">
        <v>2</v>
      </c>
      <c r="JW88">
        <v>2</v>
      </c>
      <c r="JX88">
        <v>2</v>
      </c>
      <c r="JY88">
        <v>2</v>
      </c>
      <c r="JZ88">
        <v>2</v>
      </c>
      <c r="KA88">
        <v>2</v>
      </c>
      <c r="KB88">
        <v>2</v>
      </c>
      <c r="KC88">
        <v>2</v>
      </c>
      <c r="KD88">
        <v>2</v>
      </c>
      <c r="KE88">
        <v>2</v>
      </c>
      <c r="KF88">
        <v>2</v>
      </c>
      <c r="KG88">
        <v>2</v>
      </c>
      <c r="KH88">
        <v>2</v>
      </c>
      <c r="KI88">
        <v>2</v>
      </c>
      <c r="KJ88">
        <v>2</v>
      </c>
      <c r="KK88">
        <v>2</v>
      </c>
      <c r="KL88">
        <v>2</v>
      </c>
      <c r="KM88">
        <v>2</v>
      </c>
      <c r="KN88">
        <v>2</v>
      </c>
      <c r="KO88">
        <v>2</v>
      </c>
      <c r="KP88">
        <v>2</v>
      </c>
      <c r="KQ88">
        <v>2</v>
      </c>
      <c r="KR88">
        <v>2</v>
      </c>
      <c r="KS88">
        <v>2</v>
      </c>
      <c r="KT88">
        <v>2</v>
      </c>
      <c r="KU88">
        <v>2</v>
      </c>
      <c r="KV88">
        <v>2</v>
      </c>
      <c r="KW88">
        <v>2</v>
      </c>
      <c r="KX88">
        <v>2</v>
      </c>
      <c r="KY88">
        <v>2</v>
      </c>
      <c r="KZ88">
        <v>2</v>
      </c>
      <c r="LA88">
        <v>2</v>
      </c>
      <c r="LB88">
        <v>2</v>
      </c>
      <c r="LC88">
        <v>2</v>
      </c>
      <c r="LD88">
        <v>2</v>
      </c>
      <c r="LE88">
        <v>2</v>
      </c>
      <c r="LF88">
        <v>2</v>
      </c>
      <c r="LG88">
        <v>2</v>
      </c>
      <c r="LH88">
        <v>2</v>
      </c>
      <c r="LI88">
        <v>2</v>
      </c>
      <c r="LJ88">
        <v>2</v>
      </c>
      <c r="LK88">
        <v>2</v>
      </c>
      <c r="LL88">
        <v>2</v>
      </c>
      <c r="LM88">
        <v>2</v>
      </c>
      <c r="LN88">
        <v>2</v>
      </c>
      <c r="LO88">
        <v>2</v>
      </c>
      <c r="LP88">
        <v>2</v>
      </c>
      <c r="LQ88">
        <v>2</v>
      </c>
      <c r="LR88">
        <v>2</v>
      </c>
      <c r="LS88">
        <v>2</v>
      </c>
      <c r="LT88">
        <v>2</v>
      </c>
      <c r="LU88">
        <v>2</v>
      </c>
      <c r="LV88">
        <v>2</v>
      </c>
      <c r="LW88">
        <v>2</v>
      </c>
      <c r="LX88">
        <v>2</v>
      </c>
      <c r="LY88">
        <v>2</v>
      </c>
      <c r="LZ88">
        <v>2</v>
      </c>
      <c r="MA88">
        <v>2</v>
      </c>
      <c r="MB88">
        <v>2</v>
      </c>
      <c r="MC88">
        <v>2</v>
      </c>
      <c r="MD88">
        <v>2</v>
      </c>
      <c r="ME88">
        <v>2</v>
      </c>
      <c r="MF88">
        <v>2</v>
      </c>
      <c r="MG88">
        <v>2</v>
      </c>
      <c r="MH88">
        <v>2</v>
      </c>
      <c r="MI88">
        <v>2</v>
      </c>
      <c r="MJ88">
        <v>2</v>
      </c>
      <c r="MK88">
        <v>2</v>
      </c>
      <c r="ML88">
        <v>2</v>
      </c>
      <c r="MM88">
        <v>2</v>
      </c>
      <c r="MN88">
        <v>2</v>
      </c>
      <c r="MO88">
        <v>2</v>
      </c>
      <c r="MP88">
        <v>2</v>
      </c>
      <c r="MQ88">
        <v>2</v>
      </c>
      <c r="MR88">
        <v>2</v>
      </c>
      <c r="MS88">
        <v>2</v>
      </c>
      <c r="MT88">
        <v>2</v>
      </c>
      <c r="MU88">
        <v>2</v>
      </c>
      <c r="MV88">
        <v>2</v>
      </c>
      <c r="MW88">
        <v>2</v>
      </c>
      <c r="MX88">
        <v>2</v>
      </c>
      <c r="MY88">
        <v>2</v>
      </c>
      <c r="MZ88">
        <v>2</v>
      </c>
      <c r="NA88">
        <v>2</v>
      </c>
      <c r="NB88">
        <v>2</v>
      </c>
      <c r="NC88">
        <v>2</v>
      </c>
      <c r="ND88">
        <v>2</v>
      </c>
      <c r="NE88">
        <v>2</v>
      </c>
      <c r="NF88">
        <v>2</v>
      </c>
      <c r="NG88">
        <v>2</v>
      </c>
      <c r="NH88">
        <v>2</v>
      </c>
      <c r="NI88">
        <v>2</v>
      </c>
      <c r="NJ88">
        <v>2</v>
      </c>
      <c r="NK88">
        <v>2</v>
      </c>
      <c r="NL88">
        <v>2</v>
      </c>
      <c r="NM88">
        <v>2</v>
      </c>
      <c r="NN88">
        <v>2</v>
      </c>
      <c r="NO88">
        <v>2</v>
      </c>
      <c r="NP88">
        <v>2</v>
      </c>
      <c r="NQ88">
        <v>2</v>
      </c>
      <c r="NR88">
        <v>2</v>
      </c>
      <c r="NS88">
        <v>2</v>
      </c>
      <c r="NT88">
        <v>2</v>
      </c>
      <c r="NU88">
        <v>2</v>
      </c>
      <c r="NV88">
        <v>2</v>
      </c>
      <c r="NW88">
        <v>2</v>
      </c>
      <c r="NX88">
        <v>2</v>
      </c>
      <c r="NY88">
        <v>2</v>
      </c>
      <c r="NZ88">
        <v>2</v>
      </c>
      <c r="OA88">
        <v>2</v>
      </c>
      <c r="OB88">
        <v>2</v>
      </c>
      <c r="OC88">
        <v>2</v>
      </c>
      <c r="OD88">
        <v>2</v>
      </c>
      <c r="OE88">
        <v>2</v>
      </c>
      <c r="OF88">
        <v>2</v>
      </c>
      <c r="OG88">
        <v>2</v>
      </c>
      <c r="OH88">
        <v>2</v>
      </c>
      <c r="OI88">
        <v>2</v>
      </c>
      <c r="OJ88">
        <v>2</v>
      </c>
      <c r="OK88">
        <v>2</v>
      </c>
      <c r="OL88">
        <v>2</v>
      </c>
      <c r="OM88">
        <v>2</v>
      </c>
      <c r="ON88">
        <v>2</v>
      </c>
      <c r="OO88">
        <v>2</v>
      </c>
      <c r="OP88">
        <v>2</v>
      </c>
      <c r="OQ88">
        <v>2</v>
      </c>
      <c r="OR88">
        <v>2</v>
      </c>
      <c r="OS88">
        <v>2</v>
      </c>
      <c r="OT88">
        <v>2</v>
      </c>
      <c r="OU88">
        <v>2</v>
      </c>
      <c r="OV88">
        <v>2</v>
      </c>
      <c r="OW88">
        <v>2</v>
      </c>
      <c r="OX88">
        <v>2</v>
      </c>
      <c r="OY88">
        <v>2</v>
      </c>
      <c r="OZ88">
        <v>2</v>
      </c>
      <c r="PA88">
        <v>2</v>
      </c>
      <c r="PB88">
        <v>2</v>
      </c>
      <c r="PC88">
        <v>2</v>
      </c>
      <c r="PD88">
        <v>2</v>
      </c>
      <c r="PE88">
        <v>2</v>
      </c>
      <c r="PF88">
        <v>2</v>
      </c>
      <c r="PG88">
        <v>2</v>
      </c>
      <c r="PH88">
        <v>2</v>
      </c>
      <c r="PI88">
        <v>2</v>
      </c>
      <c r="PJ88">
        <v>2</v>
      </c>
      <c r="PK88">
        <v>2</v>
      </c>
      <c r="PL88">
        <v>2</v>
      </c>
      <c r="PM88">
        <v>2</v>
      </c>
      <c r="PN88">
        <v>2</v>
      </c>
      <c r="PO88">
        <v>2</v>
      </c>
      <c r="PP88">
        <v>2</v>
      </c>
      <c r="PQ88">
        <v>2</v>
      </c>
      <c r="PR88">
        <v>2</v>
      </c>
      <c r="PS88">
        <v>2</v>
      </c>
      <c r="PT88">
        <v>2</v>
      </c>
      <c r="PU88">
        <v>2</v>
      </c>
      <c r="PV88">
        <v>2</v>
      </c>
      <c r="PW88">
        <v>2</v>
      </c>
      <c r="PX88">
        <v>2</v>
      </c>
      <c r="PY88">
        <v>2</v>
      </c>
      <c r="PZ88">
        <v>2</v>
      </c>
      <c r="QA88">
        <v>2</v>
      </c>
      <c r="QB88">
        <v>2</v>
      </c>
      <c r="QC88">
        <v>2</v>
      </c>
      <c r="QD88">
        <v>2</v>
      </c>
      <c r="QE88">
        <v>2</v>
      </c>
      <c r="QF88">
        <v>2</v>
      </c>
      <c r="QG88">
        <v>2</v>
      </c>
      <c r="QH88">
        <v>2</v>
      </c>
      <c r="QI88">
        <v>2</v>
      </c>
      <c r="QJ88">
        <v>2</v>
      </c>
      <c r="QK88">
        <v>2</v>
      </c>
      <c r="QL88">
        <v>2</v>
      </c>
      <c r="QM88">
        <v>2</v>
      </c>
      <c r="QN88">
        <v>2</v>
      </c>
      <c r="QO88">
        <v>2</v>
      </c>
      <c r="QP88">
        <v>2</v>
      </c>
      <c r="QQ88">
        <v>2</v>
      </c>
      <c r="QR88">
        <v>2</v>
      </c>
      <c r="QS88">
        <v>2</v>
      </c>
      <c r="QT88">
        <v>2</v>
      </c>
      <c r="QU88">
        <v>2</v>
      </c>
      <c r="QV88">
        <v>2</v>
      </c>
      <c r="QW88">
        <v>2</v>
      </c>
      <c r="QX88">
        <v>2</v>
      </c>
      <c r="QY88">
        <v>2</v>
      </c>
      <c r="QZ88">
        <v>2</v>
      </c>
      <c r="RA88">
        <v>2</v>
      </c>
      <c r="RB88">
        <v>2</v>
      </c>
      <c r="RC88">
        <v>2</v>
      </c>
      <c r="RD88">
        <v>2</v>
      </c>
      <c r="RE88">
        <v>2</v>
      </c>
      <c r="RF88">
        <v>2</v>
      </c>
      <c r="RG88">
        <v>2</v>
      </c>
      <c r="RH88">
        <v>2</v>
      </c>
      <c r="RI88">
        <v>2</v>
      </c>
      <c r="RJ88">
        <v>2</v>
      </c>
      <c r="RK88">
        <v>2</v>
      </c>
      <c r="RL88">
        <v>2</v>
      </c>
      <c r="RM88">
        <v>2</v>
      </c>
      <c r="RN88">
        <v>2</v>
      </c>
      <c r="RO88">
        <v>2</v>
      </c>
      <c r="RP88">
        <v>2</v>
      </c>
      <c r="RQ88">
        <v>2</v>
      </c>
      <c r="RR88">
        <v>2</v>
      </c>
      <c r="RS88">
        <v>2</v>
      </c>
      <c r="RT88">
        <v>2</v>
      </c>
      <c r="RU88">
        <v>2</v>
      </c>
      <c r="RV88">
        <v>2</v>
      </c>
      <c r="RW88">
        <v>2</v>
      </c>
      <c r="RX88">
        <v>2</v>
      </c>
      <c r="RY88">
        <v>2</v>
      </c>
      <c r="RZ88">
        <v>2</v>
      </c>
      <c r="SA88">
        <v>2</v>
      </c>
      <c r="SB88">
        <v>2</v>
      </c>
      <c r="SC88">
        <v>2</v>
      </c>
      <c r="SD88">
        <v>2</v>
      </c>
      <c r="SE88">
        <v>2</v>
      </c>
      <c r="SF88">
        <v>2</v>
      </c>
      <c r="SG88">
        <v>2</v>
      </c>
      <c r="SH88">
        <v>2</v>
      </c>
      <c r="SI88">
        <v>2</v>
      </c>
      <c r="SJ88">
        <v>2</v>
      </c>
      <c r="SK88">
        <v>2</v>
      </c>
      <c r="SL88">
        <v>2</v>
      </c>
      <c r="SM88">
        <v>2</v>
      </c>
      <c r="SN88">
        <v>2</v>
      </c>
      <c r="SO88">
        <v>2</v>
      </c>
      <c r="SP88">
        <v>2</v>
      </c>
      <c r="SQ88">
        <v>2</v>
      </c>
      <c r="SR88">
        <v>2</v>
      </c>
      <c r="SS88">
        <v>2</v>
      </c>
      <c r="ST88">
        <v>2</v>
      </c>
      <c r="SU88">
        <v>2</v>
      </c>
      <c r="SV88">
        <v>2</v>
      </c>
      <c r="SW88">
        <v>2</v>
      </c>
      <c r="SX88">
        <v>2</v>
      </c>
      <c r="SY88">
        <v>2</v>
      </c>
      <c r="SZ88">
        <v>2</v>
      </c>
      <c r="TA88">
        <v>2</v>
      </c>
      <c r="TB88">
        <v>2</v>
      </c>
      <c r="TC88">
        <v>2</v>
      </c>
      <c r="TD88">
        <v>2</v>
      </c>
      <c r="TE88">
        <v>2</v>
      </c>
      <c r="TF88">
        <v>2</v>
      </c>
      <c r="TG88">
        <v>2</v>
      </c>
      <c r="TH88">
        <v>2</v>
      </c>
      <c r="TI88">
        <v>2</v>
      </c>
      <c r="TJ88">
        <v>2</v>
      </c>
      <c r="TK88">
        <v>2</v>
      </c>
      <c r="TL88">
        <v>2</v>
      </c>
      <c r="TM88">
        <v>2</v>
      </c>
      <c r="TN88">
        <v>2</v>
      </c>
      <c r="TO88">
        <v>2</v>
      </c>
      <c r="TP88">
        <v>2</v>
      </c>
      <c r="TQ88">
        <v>2</v>
      </c>
      <c r="TR88">
        <v>2</v>
      </c>
      <c r="TS88">
        <v>2</v>
      </c>
      <c r="TT88">
        <v>2</v>
      </c>
      <c r="TU88">
        <v>2</v>
      </c>
      <c r="TV88">
        <v>2</v>
      </c>
      <c r="TW88">
        <v>2</v>
      </c>
      <c r="TX88">
        <v>2</v>
      </c>
      <c r="TY88">
        <v>2</v>
      </c>
      <c r="TZ88">
        <v>2</v>
      </c>
      <c r="UA88">
        <v>2</v>
      </c>
      <c r="UB88">
        <v>2</v>
      </c>
      <c r="UC88">
        <v>2</v>
      </c>
      <c r="UD88">
        <v>0</v>
      </c>
      <c r="UE88">
        <v>0</v>
      </c>
      <c r="UF88">
        <v>0</v>
      </c>
      <c r="UG88">
        <v>0</v>
      </c>
      <c r="UH88">
        <v>0</v>
      </c>
      <c r="UI88">
        <v>0</v>
      </c>
      <c r="UJ88">
        <v>0</v>
      </c>
      <c r="UK88">
        <v>0</v>
      </c>
      <c r="UL88">
        <v>0</v>
      </c>
      <c r="UM88">
        <v>0</v>
      </c>
      <c r="UN88">
        <v>0</v>
      </c>
      <c r="UO88">
        <v>0</v>
      </c>
      <c r="UP88">
        <v>0</v>
      </c>
      <c r="UQ88">
        <v>2</v>
      </c>
      <c r="UR88">
        <v>2</v>
      </c>
      <c r="US88">
        <v>2</v>
      </c>
      <c r="UT88">
        <v>2</v>
      </c>
      <c r="UU88">
        <v>2</v>
      </c>
      <c r="UV88">
        <v>2</v>
      </c>
      <c r="UW88">
        <v>2</v>
      </c>
      <c r="UX88">
        <v>2</v>
      </c>
      <c r="UY88">
        <v>2</v>
      </c>
      <c r="UZ88">
        <v>2</v>
      </c>
      <c r="VA88">
        <v>2</v>
      </c>
      <c r="VB88">
        <v>2</v>
      </c>
      <c r="VC88">
        <v>2</v>
      </c>
      <c r="VD88">
        <v>2</v>
      </c>
      <c r="VE88">
        <v>2</v>
      </c>
      <c r="VF88">
        <v>2</v>
      </c>
      <c r="VG88">
        <v>2</v>
      </c>
      <c r="VH88">
        <v>2</v>
      </c>
      <c r="VI88">
        <v>2</v>
      </c>
      <c r="VJ88">
        <v>2</v>
      </c>
      <c r="VK88">
        <v>2</v>
      </c>
      <c r="VL88">
        <v>2</v>
      </c>
      <c r="VM88">
        <v>2</v>
      </c>
      <c r="VN88">
        <v>2</v>
      </c>
      <c r="VO88">
        <v>2</v>
      </c>
      <c r="VP88">
        <v>2</v>
      </c>
      <c r="VQ88">
        <v>2</v>
      </c>
      <c r="VR88">
        <v>2</v>
      </c>
      <c r="VS88">
        <v>2</v>
      </c>
      <c r="VT88">
        <v>2</v>
      </c>
      <c r="VU88">
        <v>2</v>
      </c>
      <c r="VV88">
        <v>2</v>
      </c>
      <c r="VW88">
        <v>2</v>
      </c>
      <c r="VX88">
        <v>2</v>
      </c>
      <c r="VY88">
        <v>2</v>
      </c>
      <c r="VZ88">
        <v>2</v>
      </c>
      <c r="WA88">
        <v>2</v>
      </c>
      <c r="WB88">
        <v>2</v>
      </c>
      <c r="WC88">
        <v>2</v>
      </c>
      <c r="WD88">
        <v>2</v>
      </c>
      <c r="WE88">
        <v>2</v>
      </c>
      <c r="WF88">
        <v>2</v>
      </c>
      <c r="WG88">
        <v>2</v>
      </c>
      <c r="WH88">
        <v>2</v>
      </c>
      <c r="WI88">
        <v>2</v>
      </c>
      <c r="WJ88">
        <v>2</v>
      </c>
      <c r="WK88">
        <v>2</v>
      </c>
      <c r="WL88">
        <v>2</v>
      </c>
      <c r="WM88">
        <v>2</v>
      </c>
      <c r="WN88">
        <v>2</v>
      </c>
      <c r="WO88">
        <v>2</v>
      </c>
      <c r="WP88">
        <v>2</v>
      </c>
      <c r="WQ88">
        <v>2</v>
      </c>
      <c r="WR88">
        <v>2</v>
      </c>
      <c r="WS88">
        <v>2</v>
      </c>
      <c r="WT88">
        <v>2</v>
      </c>
      <c r="WU88">
        <v>2</v>
      </c>
      <c r="WV88">
        <v>2</v>
      </c>
      <c r="WW88">
        <v>2</v>
      </c>
      <c r="WX88">
        <v>2</v>
      </c>
      <c r="WY88">
        <v>2</v>
      </c>
      <c r="WZ88">
        <v>2</v>
      </c>
      <c r="XA88">
        <v>2</v>
      </c>
      <c r="XB88">
        <v>2</v>
      </c>
      <c r="XC88">
        <v>2</v>
      </c>
      <c r="XD88">
        <v>2</v>
      </c>
      <c r="XE88">
        <v>2</v>
      </c>
      <c r="XF88">
        <v>2</v>
      </c>
      <c r="XG88">
        <v>2</v>
      </c>
      <c r="XH88">
        <v>2</v>
      </c>
      <c r="XI88">
        <v>2</v>
      </c>
      <c r="XJ88">
        <v>2</v>
      </c>
      <c r="XK88">
        <v>2</v>
      </c>
      <c r="XL88">
        <v>2</v>
      </c>
      <c r="XM88">
        <v>2</v>
      </c>
      <c r="XN88">
        <v>2</v>
      </c>
      <c r="XO88">
        <v>2</v>
      </c>
      <c r="XP88">
        <v>2</v>
      </c>
      <c r="XQ88">
        <v>2</v>
      </c>
      <c r="XR88">
        <v>2</v>
      </c>
      <c r="XS88">
        <v>2</v>
      </c>
      <c r="XT88">
        <v>2</v>
      </c>
      <c r="XU88">
        <v>2</v>
      </c>
      <c r="XV88">
        <v>2</v>
      </c>
      <c r="XW88">
        <v>2</v>
      </c>
      <c r="XX88">
        <v>2</v>
      </c>
      <c r="XY88">
        <v>2</v>
      </c>
      <c r="XZ88">
        <v>2</v>
      </c>
      <c r="YA88">
        <v>2</v>
      </c>
      <c r="YB88">
        <v>2</v>
      </c>
      <c r="YC88">
        <v>2</v>
      </c>
      <c r="YD88">
        <v>2</v>
      </c>
      <c r="YE88">
        <v>2</v>
      </c>
      <c r="YF88">
        <v>2</v>
      </c>
      <c r="YG88">
        <v>2</v>
      </c>
      <c r="YH88">
        <v>2</v>
      </c>
      <c r="YI88">
        <v>2</v>
      </c>
      <c r="YJ88">
        <v>1</v>
      </c>
      <c r="YK88">
        <v>1</v>
      </c>
      <c r="YL88">
        <v>1</v>
      </c>
      <c r="YM88">
        <v>1</v>
      </c>
      <c r="YN88">
        <v>1</v>
      </c>
      <c r="YO88">
        <v>1</v>
      </c>
      <c r="YP88">
        <v>2</v>
      </c>
      <c r="YQ88">
        <v>2</v>
      </c>
      <c r="YR88">
        <v>2</v>
      </c>
      <c r="YS88">
        <v>2</v>
      </c>
      <c r="YT88">
        <v>2</v>
      </c>
      <c r="YU88">
        <v>2</v>
      </c>
      <c r="YV88">
        <v>2</v>
      </c>
      <c r="YW88">
        <v>2</v>
      </c>
      <c r="YX88">
        <v>2</v>
      </c>
      <c r="YY88">
        <v>2</v>
      </c>
      <c r="YZ88">
        <v>2</v>
      </c>
      <c r="ZA88">
        <v>2</v>
      </c>
      <c r="ZB88">
        <v>2</v>
      </c>
      <c r="ZC88">
        <v>2</v>
      </c>
      <c r="ZD88">
        <v>2</v>
      </c>
      <c r="ZE88">
        <v>2</v>
      </c>
      <c r="ZF88">
        <v>2</v>
      </c>
      <c r="ZG88">
        <v>2</v>
      </c>
      <c r="ZH88">
        <v>2</v>
      </c>
      <c r="ZI88">
        <v>2</v>
      </c>
      <c r="ZJ88">
        <v>2</v>
      </c>
      <c r="ZK88">
        <v>2</v>
      </c>
      <c r="ZL88">
        <v>2</v>
      </c>
      <c r="ZM88">
        <v>2</v>
      </c>
      <c r="ZN88">
        <v>2</v>
      </c>
      <c r="ZO88">
        <v>2</v>
      </c>
      <c r="ZP88">
        <v>2</v>
      </c>
      <c r="ZQ88">
        <v>2</v>
      </c>
      <c r="ZR88">
        <v>2</v>
      </c>
      <c r="ZS88">
        <v>2</v>
      </c>
      <c r="ZT88">
        <v>2</v>
      </c>
      <c r="ZU88">
        <v>2</v>
      </c>
      <c r="ZV88">
        <v>2</v>
      </c>
      <c r="ZW88">
        <v>2</v>
      </c>
      <c r="ZX88">
        <v>2</v>
      </c>
      <c r="ZY88">
        <v>2</v>
      </c>
      <c r="ZZ88">
        <v>2</v>
      </c>
      <c r="AAA88">
        <v>2</v>
      </c>
      <c r="AAB88">
        <v>2</v>
      </c>
      <c r="AAC88">
        <v>2</v>
      </c>
      <c r="AAD88">
        <v>2</v>
      </c>
      <c r="AAE88">
        <v>2</v>
      </c>
      <c r="AAF88">
        <v>2</v>
      </c>
      <c r="AAG88">
        <v>2</v>
      </c>
      <c r="AAH88">
        <v>2</v>
      </c>
      <c r="AAI88">
        <v>2</v>
      </c>
      <c r="AAJ88">
        <v>2</v>
      </c>
      <c r="AAK88">
        <v>2</v>
      </c>
      <c r="AAL88">
        <v>2</v>
      </c>
      <c r="AAM88">
        <v>2</v>
      </c>
      <c r="AAN88">
        <v>2</v>
      </c>
      <c r="AAO88">
        <v>2</v>
      </c>
      <c r="AAP88">
        <v>2</v>
      </c>
      <c r="AAQ88">
        <v>2</v>
      </c>
      <c r="AAR88">
        <v>2</v>
      </c>
      <c r="AAS88">
        <v>2</v>
      </c>
      <c r="AAT88">
        <v>2</v>
      </c>
      <c r="AAU88">
        <v>2</v>
      </c>
      <c r="AAV88">
        <v>2</v>
      </c>
      <c r="AAW88">
        <v>2</v>
      </c>
      <c r="AAX88">
        <v>2</v>
      </c>
      <c r="AAY88">
        <v>2</v>
      </c>
      <c r="AAZ88">
        <v>2</v>
      </c>
      <c r="ABA88">
        <v>2</v>
      </c>
      <c r="ABB88">
        <v>2</v>
      </c>
      <c r="ABC88">
        <v>2</v>
      </c>
      <c r="ABD88">
        <v>2</v>
      </c>
      <c r="ABE88">
        <v>2</v>
      </c>
      <c r="ABG88" s="1137">
        <f t="shared" si="21"/>
        <v>0</v>
      </c>
      <c r="ABH88" s="1137">
        <f t="shared" si="21"/>
        <v>9</v>
      </c>
      <c r="ABI88" s="1137">
        <f t="shared" si="21"/>
        <v>31</v>
      </c>
      <c r="ABJ88" s="1137">
        <f t="shared" si="21"/>
        <v>30</v>
      </c>
      <c r="ABK88" s="1137">
        <f t="shared" si="21"/>
        <v>31</v>
      </c>
      <c r="ABL88" s="1137">
        <f t="shared" si="21"/>
        <v>30</v>
      </c>
      <c r="ABM88" s="1137">
        <f t="shared" si="21"/>
        <v>31</v>
      </c>
      <c r="ABN88" s="1137">
        <f t="shared" si="21"/>
        <v>31</v>
      </c>
      <c r="ABO88" s="1137">
        <f t="shared" si="21"/>
        <v>30</v>
      </c>
      <c r="ABP88" s="1137">
        <f t="shared" si="21"/>
        <v>31</v>
      </c>
      <c r="ABQ88" s="1137">
        <f t="shared" si="21"/>
        <v>30</v>
      </c>
      <c r="ABR88" s="1137">
        <f t="shared" si="21"/>
        <v>31</v>
      </c>
      <c r="ABS88" s="1137">
        <f t="shared" si="21"/>
        <v>31</v>
      </c>
      <c r="ABT88" s="1137">
        <f t="shared" si="21"/>
        <v>28</v>
      </c>
      <c r="ABU88" s="1137">
        <f t="shared" si="21"/>
        <v>31</v>
      </c>
      <c r="ABV88" s="1137">
        <f t="shared" si="21"/>
        <v>30</v>
      </c>
      <c r="ABW88" s="1137">
        <f t="shared" si="17"/>
        <v>31</v>
      </c>
      <c r="ABX88" s="1137">
        <f t="shared" si="14"/>
        <v>30</v>
      </c>
      <c r="ABY88" s="1137">
        <f t="shared" si="14"/>
        <v>18</v>
      </c>
      <c r="ABZ88" s="1137">
        <f t="shared" si="14"/>
        <v>31</v>
      </c>
      <c r="ACA88" s="1137">
        <f t="shared" si="14"/>
        <v>30</v>
      </c>
      <c r="ACB88" s="1137">
        <f t="shared" si="14"/>
        <v>31</v>
      </c>
      <c r="ACC88" s="1137">
        <f t="shared" si="14"/>
        <v>30</v>
      </c>
      <c r="ACD88" s="1137">
        <f t="shared" si="14"/>
        <v>31</v>
      </c>
      <c r="ACE88" s="1137" t="s">
        <v>200</v>
      </c>
      <c r="ACF88" s="1137">
        <f t="shared" si="22"/>
        <v>0</v>
      </c>
      <c r="ACG88" s="1137">
        <f t="shared" si="22"/>
        <v>0</v>
      </c>
      <c r="ACH88" s="1137">
        <f t="shared" si="22"/>
        <v>1</v>
      </c>
      <c r="ACI88" s="1137">
        <f t="shared" si="22"/>
        <v>1</v>
      </c>
      <c r="ACJ88" s="1137">
        <f t="shared" si="22"/>
        <v>1</v>
      </c>
      <c r="ACK88" s="1137">
        <f t="shared" si="22"/>
        <v>1</v>
      </c>
      <c r="ACL88" s="1137">
        <f t="shared" si="22"/>
        <v>1</v>
      </c>
      <c r="ACM88" s="1137">
        <f t="shared" si="22"/>
        <v>1</v>
      </c>
      <c r="ACN88" s="1137">
        <f t="shared" si="22"/>
        <v>1</v>
      </c>
      <c r="ACO88" s="1137">
        <f t="shared" si="22"/>
        <v>1</v>
      </c>
      <c r="ACP88" s="1137">
        <f t="shared" si="22"/>
        <v>1</v>
      </c>
      <c r="ACQ88" s="1137">
        <f t="shared" si="22"/>
        <v>1</v>
      </c>
      <c r="ACR88" s="1137">
        <f t="shared" si="22"/>
        <v>1</v>
      </c>
      <c r="ACS88" s="1137">
        <f t="shared" si="22"/>
        <v>1</v>
      </c>
      <c r="ACT88" s="1137">
        <f t="shared" si="22"/>
        <v>1</v>
      </c>
      <c r="ACU88" s="1137">
        <f t="shared" si="12"/>
        <v>1</v>
      </c>
      <c r="ACV88" s="1137">
        <f t="shared" si="12"/>
        <v>1</v>
      </c>
      <c r="ACW88" s="1137">
        <f t="shared" si="12"/>
        <v>1</v>
      </c>
      <c r="ACX88" s="1137">
        <f t="shared" si="12"/>
        <v>1</v>
      </c>
      <c r="ACY88" s="1137">
        <f t="shared" si="12"/>
        <v>1</v>
      </c>
      <c r="ACZ88" s="1137">
        <f t="shared" si="12"/>
        <v>1</v>
      </c>
      <c r="ADA88" s="1137">
        <f t="shared" si="12"/>
        <v>1</v>
      </c>
      <c r="ADB88" s="1137">
        <f t="shared" si="16"/>
        <v>1</v>
      </c>
      <c r="ADC88" s="1137">
        <f t="shared" si="16"/>
        <v>1</v>
      </c>
    </row>
    <row r="89" spans="1:783" x14ac:dyDescent="0.25">
      <c r="A89" t="s">
        <v>1886</v>
      </c>
      <c r="B89" t="s">
        <v>201</v>
      </c>
      <c r="C89">
        <v>0</v>
      </c>
      <c r="D89">
        <v>0</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c r="AZ89">
        <v>0</v>
      </c>
      <c r="BA89">
        <v>0</v>
      </c>
      <c r="BB89">
        <v>0</v>
      </c>
      <c r="BC89">
        <v>0</v>
      </c>
      <c r="BD89">
        <v>0</v>
      </c>
      <c r="BE89">
        <v>0</v>
      </c>
      <c r="BF89">
        <v>0</v>
      </c>
      <c r="BG89">
        <v>0</v>
      </c>
      <c r="BH89">
        <v>0</v>
      </c>
      <c r="BI89">
        <v>0</v>
      </c>
      <c r="BJ89">
        <v>0</v>
      </c>
      <c r="BK89">
        <v>0</v>
      </c>
      <c r="BL89">
        <v>0</v>
      </c>
      <c r="BM89">
        <v>0</v>
      </c>
      <c r="BN89">
        <v>0</v>
      </c>
      <c r="BO89">
        <v>0</v>
      </c>
      <c r="BP89">
        <v>0</v>
      </c>
      <c r="BQ89">
        <v>0</v>
      </c>
      <c r="BR89">
        <v>0</v>
      </c>
      <c r="BS89">
        <v>0</v>
      </c>
      <c r="BT89">
        <v>0</v>
      </c>
      <c r="BU89">
        <v>0</v>
      </c>
      <c r="BV89">
        <v>0</v>
      </c>
      <c r="BW89">
        <v>2</v>
      </c>
      <c r="BX89">
        <v>2</v>
      </c>
      <c r="BY89">
        <v>2</v>
      </c>
      <c r="BZ89">
        <v>2</v>
      </c>
      <c r="CA89">
        <v>2</v>
      </c>
      <c r="CB89">
        <v>2</v>
      </c>
      <c r="CC89">
        <v>2</v>
      </c>
      <c r="CD89">
        <v>2</v>
      </c>
      <c r="CE89">
        <v>2</v>
      </c>
      <c r="CF89">
        <v>2</v>
      </c>
      <c r="CG89">
        <v>2</v>
      </c>
      <c r="CH89">
        <v>2</v>
      </c>
      <c r="CI89">
        <v>2</v>
      </c>
      <c r="CJ89">
        <v>2</v>
      </c>
      <c r="CK89">
        <v>2</v>
      </c>
      <c r="CL89">
        <v>2</v>
      </c>
      <c r="CM89">
        <v>2</v>
      </c>
      <c r="CN89">
        <v>2</v>
      </c>
      <c r="CO89">
        <v>2</v>
      </c>
      <c r="CP89">
        <v>2</v>
      </c>
      <c r="CQ89">
        <v>2</v>
      </c>
      <c r="CR89">
        <v>2</v>
      </c>
      <c r="CS89">
        <v>2</v>
      </c>
      <c r="CT89">
        <v>2</v>
      </c>
      <c r="CU89">
        <v>2</v>
      </c>
      <c r="CV89">
        <v>2</v>
      </c>
      <c r="CW89">
        <v>2</v>
      </c>
      <c r="CX89">
        <v>2</v>
      </c>
      <c r="CY89">
        <v>2</v>
      </c>
      <c r="CZ89">
        <v>2</v>
      </c>
      <c r="DA89">
        <v>2</v>
      </c>
      <c r="DB89">
        <v>2</v>
      </c>
      <c r="DC89">
        <v>2</v>
      </c>
      <c r="DD89">
        <v>2</v>
      </c>
      <c r="DE89">
        <v>2</v>
      </c>
      <c r="DF89">
        <v>2</v>
      </c>
      <c r="DG89">
        <v>2</v>
      </c>
      <c r="DH89">
        <v>2</v>
      </c>
      <c r="DI89">
        <v>2</v>
      </c>
      <c r="DJ89">
        <v>2</v>
      </c>
      <c r="DK89">
        <v>2</v>
      </c>
      <c r="DL89">
        <v>2</v>
      </c>
      <c r="DM89">
        <v>2</v>
      </c>
      <c r="DN89">
        <v>2</v>
      </c>
      <c r="DO89">
        <v>2</v>
      </c>
      <c r="DP89">
        <v>2</v>
      </c>
      <c r="DQ89">
        <v>2</v>
      </c>
      <c r="DR89">
        <v>2</v>
      </c>
      <c r="DS89">
        <v>2</v>
      </c>
      <c r="DT89">
        <v>2</v>
      </c>
      <c r="DU89">
        <v>2</v>
      </c>
      <c r="DV89">
        <v>2</v>
      </c>
      <c r="DW89">
        <v>2</v>
      </c>
      <c r="DX89">
        <v>2</v>
      </c>
      <c r="DY89">
        <v>2</v>
      </c>
      <c r="DZ89">
        <v>2</v>
      </c>
      <c r="EA89">
        <v>2</v>
      </c>
      <c r="EB89">
        <v>2</v>
      </c>
      <c r="EC89">
        <v>2</v>
      </c>
      <c r="ED89">
        <v>2</v>
      </c>
      <c r="EE89">
        <v>2</v>
      </c>
      <c r="EF89">
        <v>2</v>
      </c>
      <c r="EG89">
        <v>2</v>
      </c>
      <c r="EH89">
        <v>2</v>
      </c>
      <c r="EI89">
        <v>2</v>
      </c>
      <c r="EJ89">
        <v>2</v>
      </c>
      <c r="EK89">
        <v>2</v>
      </c>
      <c r="EL89">
        <v>2</v>
      </c>
      <c r="EM89">
        <v>2</v>
      </c>
      <c r="EN89">
        <v>2</v>
      </c>
      <c r="EO89">
        <v>2</v>
      </c>
      <c r="EP89">
        <v>2</v>
      </c>
      <c r="EQ89">
        <v>2</v>
      </c>
      <c r="ER89">
        <v>2</v>
      </c>
      <c r="ES89">
        <v>2</v>
      </c>
      <c r="ET89">
        <v>2</v>
      </c>
      <c r="EU89">
        <v>2</v>
      </c>
      <c r="EV89">
        <v>2</v>
      </c>
      <c r="EW89">
        <v>2</v>
      </c>
      <c r="EX89">
        <v>2</v>
      </c>
      <c r="EY89">
        <v>2</v>
      </c>
      <c r="EZ89">
        <v>2</v>
      </c>
      <c r="FA89">
        <v>2</v>
      </c>
      <c r="FB89">
        <v>2</v>
      </c>
      <c r="FC89">
        <v>2</v>
      </c>
      <c r="FD89">
        <v>2</v>
      </c>
      <c r="FE89">
        <v>2</v>
      </c>
      <c r="FF89">
        <v>2</v>
      </c>
      <c r="FG89">
        <v>2</v>
      </c>
      <c r="FH89">
        <v>2</v>
      </c>
      <c r="FI89">
        <v>2</v>
      </c>
      <c r="FJ89">
        <v>2</v>
      </c>
      <c r="FK89">
        <v>2</v>
      </c>
      <c r="FL89">
        <v>2</v>
      </c>
      <c r="FM89">
        <v>2</v>
      </c>
      <c r="FN89">
        <v>2</v>
      </c>
      <c r="FO89">
        <v>2</v>
      </c>
      <c r="FP89">
        <v>2</v>
      </c>
      <c r="FQ89">
        <v>2</v>
      </c>
      <c r="FR89">
        <v>2</v>
      </c>
      <c r="FS89">
        <v>2</v>
      </c>
      <c r="FT89">
        <v>2</v>
      </c>
      <c r="FU89">
        <v>2</v>
      </c>
      <c r="FV89">
        <v>2</v>
      </c>
      <c r="FW89">
        <v>2</v>
      </c>
      <c r="FX89">
        <v>2</v>
      </c>
      <c r="FY89">
        <v>2</v>
      </c>
      <c r="FZ89">
        <v>2</v>
      </c>
      <c r="GA89">
        <v>2</v>
      </c>
      <c r="GB89">
        <v>2</v>
      </c>
      <c r="GC89">
        <v>2</v>
      </c>
      <c r="GD89">
        <v>2</v>
      </c>
      <c r="GE89">
        <v>2</v>
      </c>
      <c r="GF89">
        <v>2</v>
      </c>
      <c r="GG89">
        <v>2</v>
      </c>
      <c r="GH89">
        <v>2</v>
      </c>
      <c r="GI89">
        <v>2</v>
      </c>
      <c r="GJ89">
        <v>2</v>
      </c>
      <c r="GK89">
        <v>2</v>
      </c>
      <c r="GL89">
        <v>2</v>
      </c>
      <c r="GM89">
        <v>2</v>
      </c>
      <c r="GN89">
        <v>2</v>
      </c>
      <c r="GO89">
        <v>2</v>
      </c>
      <c r="GP89">
        <v>2</v>
      </c>
      <c r="GQ89">
        <v>2</v>
      </c>
      <c r="GR89">
        <v>2</v>
      </c>
      <c r="GS89">
        <v>2</v>
      </c>
      <c r="GT89">
        <v>2</v>
      </c>
      <c r="GU89">
        <v>2</v>
      </c>
      <c r="GV89">
        <v>2</v>
      </c>
      <c r="GW89">
        <v>2</v>
      </c>
      <c r="GX89">
        <v>2</v>
      </c>
      <c r="GY89">
        <v>2</v>
      </c>
      <c r="GZ89">
        <v>2</v>
      </c>
      <c r="HA89">
        <v>2</v>
      </c>
      <c r="HB89">
        <v>2</v>
      </c>
      <c r="HC89">
        <v>2</v>
      </c>
      <c r="HD89">
        <v>2</v>
      </c>
      <c r="HE89">
        <v>2</v>
      </c>
      <c r="HF89">
        <v>2</v>
      </c>
      <c r="HG89">
        <v>2</v>
      </c>
      <c r="HH89">
        <v>2</v>
      </c>
      <c r="HI89">
        <v>2</v>
      </c>
      <c r="HJ89">
        <v>2</v>
      </c>
      <c r="HK89">
        <v>2</v>
      </c>
      <c r="HL89">
        <v>2</v>
      </c>
      <c r="HM89">
        <v>2</v>
      </c>
      <c r="HN89">
        <v>2</v>
      </c>
      <c r="HO89">
        <v>2</v>
      </c>
      <c r="HP89">
        <v>2</v>
      </c>
      <c r="HQ89">
        <v>2</v>
      </c>
      <c r="HR89">
        <v>2</v>
      </c>
      <c r="HS89">
        <v>2</v>
      </c>
      <c r="HT89">
        <v>2</v>
      </c>
      <c r="HU89">
        <v>2</v>
      </c>
      <c r="HV89">
        <v>2</v>
      </c>
      <c r="HW89">
        <v>2</v>
      </c>
      <c r="HX89">
        <v>2</v>
      </c>
      <c r="HY89">
        <v>2</v>
      </c>
      <c r="HZ89">
        <v>2</v>
      </c>
      <c r="IA89">
        <v>2</v>
      </c>
      <c r="IB89">
        <v>2</v>
      </c>
      <c r="IC89">
        <v>2</v>
      </c>
      <c r="ID89">
        <v>2</v>
      </c>
      <c r="IE89">
        <v>2</v>
      </c>
      <c r="IF89">
        <v>2</v>
      </c>
      <c r="IG89">
        <v>2</v>
      </c>
      <c r="IH89">
        <v>2</v>
      </c>
      <c r="II89">
        <v>2</v>
      </c>
      <c r="IJ89">
        <v>2</v>
      </c>
      <c r="IK89">
        <v>2</v>
      </c>
      <c r="IL89">
        <v>2</v>
      </c>
      <c r="IM89">
        <v>2</v>
      </c>
      <c r="IN89">
        <v>2</v>
      </c>
      <c r="IO89">
        <v>2</v>
      </c>
      <c r="IP89">
        <v>2</v>
      </c>
      <c r="IQ89">
        <v>2</v>
      </c>
      <c r="IR89">
        <v>2</v>
      </c>
      <c r="IS89">
        <v>2</v>
      </c>
      <c r="IT89">
        <v>2</v>
      </c>
      <c r="IU89">
        <v>2</v>
      </c>
      <c r="IV89">
        <v>2</v>
      </c>
      <c r="IW89">
        <v>2</v>
      </c>
      <c r="IX89">
        <v>2</v>
      </c>
      <c r="IY89">
        <v>2</v>
      </c>
      <c r="IZ89">
        <v>2</v>
      </c>
      <c r="JA89">
        <v>2</v>
      </c>
      <c r="JB89">
        <v>2</v>
      </c>
      <c r="JC89">
        <v>2</v>
      </c>
      <c r="JD89">
        <v>2</v>
      </c>
      <c r="JE89">
        <v>2</v>
      </c>
      <c r="JF89">
        <v>2</v>
      </c>
      <c r="JG89">
        <v>2</v>
      </c>
      <c r="JH89">
        <v>2</v>
      </c>
      <c r="JI89">
        <v>2</v>
      </c>
      <c r="JJ89">
        <v>2</v>
      </c>
      <c r="JK89">
        <v>2</v>
      </c>
      <c r="JL89">
        <v>2</v>
      </c>
      <c r="JM89">
        <v>2</v>
      </c>
      <c r="JN89">
        <v>2</v>
      </c>
      <c r="JO89">
        <v>2</v>
      </c>
      <c r="JP89">
        <v>2</v>
      </c>
      <c r="JQ89">
        <v>2</v>
      </c>
      <c r="JR89">
        <v>2</v>
      </c>
      <c r="JS89">
        <v>2</v>
      </c>
      <c r="JT89">
        <v>2</v>
      </c>
      <c r="JU89">
        <v>2</v>
      </c>
      <c r="JV89">
        <v>2</v>
      </c>
      <c r="JW89">
        <v>2</v>
      </c>
      <c r="JX89">
        <v>2</v>
      </c>
      <c r="JY89">
        <v>2</v>
      </c>
      <c r="JZ89">
        <v>2</v>
      </c>
      <c r="KA89">
        <v>2</v>
      </c>
      <c r="KB89">
        <v>2</v>
      </c>
      <c r="KC89">
        <v>2</v>
      </c>
      <c r="KD89">
        <v>2</v>
      </c>
      <c r="KE89">
        <v>2</v>
      </c>
      <c r="KF89">
        <v>2</v>
      </c>
      <c r="KG89">
        <v>2</v>
      </c>
      <c r="KH89">
        <v>2</v>
      </c>
      <c r="KI89">
        <v>2</v>
      </c>
      <c r="KJ89">
        <v>2</v>
      </c>
      <c r="KK89">
        <v>2</v>
      </c>
      <c r="KL89">
        <v>2</v>
      </c>
      <c r="KM89">
        <v>2</v>
      </c>
      <c r="KN89">
        <v>2</v>
      </c>
      <c r="KO89">
        <v>2</v>
      </c>
      <c r="KP89">
        <v>2</v>
      </c>
      <c r="KQ89">
        <v>2</v>
      </c>
      <c r="KR89">
        <v>2</v>
      </c>
      <c r="KS89">
        <v>2</v>
      </c>
      <c r="KT89">
        <v>2</v>
      </c>
      <c r="KU89">
        <v>2</v>
      </c>
      <c r="KV89">
        <v>2</v>
      </c>
      <c r="KW89">
        <v>2</v>
      </c>
      <c r="KX89">
        <v>2</v>
      </c>
      <c r="KY89">
        <v>2</v>
      </c>
      <c r="KZ89">
        <v>2</v>
      </c>
      <c r="LA89">
        <v>2</v>
      </c>
      <c r="LB89">
        <v>2</v>
      </c>
      <c r="LC89">
        <v>2</v>
      </c>
      <c r="LD89">
        <v>2</v>
      </c>
      <c r="LE89">
        <v>2</v>
      </c>
      <c r="LF89">
        <v>2</v>
      </c>
      <c r="LG89">
        <v>2</v>
      </c>
      <c r="LH89">
        <v>2</v>
      </c>
      <c r="LI89">
        <v>2</v>
      </c>
      <c r="LJ89">
        <v>2</v>
      </c>
      <c r="LK89">
        <v>2</v>
      </c>
      <c r="LL89">
        <v>2</v>
      </c>
      <c r="LM89">
        <v>2</v>
      </c>
      <c r="LN89">
        <v>2</v>
      </c>
      <c r="LO89">
        <v>2</v>
      </c>
      <c r="LP89">
        <v>2</v>
      </c>
      <c r="LQ89">
        <v>2</v>
      </c>
      <c r="LR89">
        <v>2</v>
      </c>
      <c r="LS89">
        <v>2</v>
      </c>
      <c r="LT89">
        <v>2</v>
      </c>
      <c r="LU89">
        <v>2</v>
      </c>
      <c r="LV89">
        <v>2</v>
      </c>
      <c r="LW89">
        <v>2</v>
      </c>
      <c r="LX89">
        <v>2</v>
      </c>
      <c r="LY89">
        <v>2</v>
      </c>
      <c r="LZ89">
        <v>2</v>
      </c>
      <c r="MA89">
        <v>2</v>
      </c>
      <c r="MB89">
        <v>2</v>
      </c>
      <c r="MC89">
        <v>2</v>
      </c>
      <c r="MD89">
        <v>2</v>
      </c>
      <c r="ME89">
        <v>2</v>
      </c>
      <c r="MF89">
        <v>2</v>
      </c>
      <c r="MG89">
        <v>2</v>
      </c>
      <c r="MH89">
        <v>2</v>
      </c>
      <c r="MI89">
        <v>2</v>
      </c>
      <c r="MJ89">
        <v>2</v>
      </c>
      <c r="MK89">
        <v>2</v>
      </c>
      <c r="ML89">
        <v>2</v>
      </c>
      <c r="MM89">
        <v>2</v>
      </c>
      <c r="MN89">
        <v>2</v>
      </c>
      <c r="MO89">
        <v>2</v>
      </c>
      <c r="MP89">
        <v>2</v>
      </c>
      <c r="MQ89">
        <v>2</v>
      </c>
      <c r="MR89">
        <v>2</v>
      </c>
      <c r="MS89">
        <v>2</v>
      </c>
      <c r="MT89">
        <v>2</v>
      </c>
      <c r="MU89">
        <v>2</v>
      </c>
      <c r="MV89">
        <v>2</v>
      </c>
      <c r="MW89">
        <v>2</v>
      </c>
      <c r="MX89">
        <v>2</v>
      </c>
      <c r="MY89">
        <v>2</v>
      </c>
      <c r="MZ89">
        <v>2</v>
      </c>
      <c r="NA89">
        <v>2</v>
      </c>
      <c r="NB89">
        <v>2</v>
      </c>
      <c r="NC89">
        <v>2</v>
      </c>
      <c r="ND89">
        <v>2</v>
      </c>
      <c r="NE89">
        <v>2</v>
      </c>
      <c r="NF89">
        <v>2</v>
      </c>
      <c r="NG89">
        <v>2</v>
      </c>
      <c r="NH89">
        <v>2</v>
      </c>
      <c r="NI89">
        <v>2</v>
      </c>
      <c r="NJ89">
        <v>2</v>
      </c>
      <c r="NK89">
        <v>2</v>
      </c>
      <c r="NL89">
        <v>2</v>
      </c>
      <c r="NM89">
        <v>2</v>
      </c>
      <c r="NN89">
        <v>2</v>
      </c>
      <c r="NO89">
        <v>2</v>
      </c>
      <c r="NP89">
        <v>2</v>
      </c>
      <c r="NQ89">
        <v>2</v>
      </c>
      <c r="NR89">
        <v>2</v>
      </c>
      <c r="NS89">
        <v>2</v>
      </c>
      <c r="NT89">
        <v>2</v>
      </c>
      <c r="NU89">
        <v>2</v>
      </c>
      <c r="NV89">
        <v>2</v>
      </c>
      <c r="NW89">
        <v>2</v>
      </c>
      <c r="NX89">
        <v>2</v>
      </c>
      <c r="NY89">
        <v>2</v>
      </c>
      <c r="NZ89">
        <v>2</v>
      </c>
      <c r="OA89">
        <v>2</v>
      </c>
      <c r="OB89">
        <v>2</v>
      </c>
      <c r="OC89">
        <v>2</v>
      </c>
      <c r="OD89">
        <v>2</v>
      </c>
      <c r="OE89">
        <v>2</v>
      </c>
      <c r="OF89">
        <v>2</v>
      </c>
      <c r="OG89">
        <v>2</v>
      </c>
      <c r="OH89">
        <v>2</v>
      </c>
      <c r="OI89">
        <v>2</v>
      </c>
      <c r="OJ89">
        <v>1</v>
      </c>
      <c r="OK89">
        <v>1</v>
      </c>
      <c r="OL89">
        <v>1</v>
      </c>
      <c r="OM89">
        <v>1</v>
      </c>
      <c r="ON89">
        <v>1</v>
      </c>
      <c r="OO89">
        <v>2</v>
      </c>
      <c r="OP89">
        <v>2</v>
      </c>
      <c r="OQ89">
        <v>2</v>
      </c>
      <c r="OR89">
        <v>2</v>
      </c>
      <c r="OS89">
        <v>2</v>
      </c>
      <c r="OT89">
        <v>2</v>
      </c>
      <c r="OU89">
        <v>2</v>
      </c>
      <c r="OV89">
        <v>2</v>
      </c>
      <c r="OW89">
        <v>2</v>
      </c>
      <c r="OX89">
        <v>2</v>
      </c>
      <c r="OY89">
        <v>2</v>
      </c>
      <c r="OZ89">
        <v>2</v>
      </c>
      <c r="PA89">
        <v>2</v>
      </c>
      <c r="PB89">
        <v>2</v>
      </c>
      <c r="PC89">
        <v>2</v>
      </c>
      <c r="PD89">
        <v>2</v>
      </c>
      <c r="PE89">
        <v>2</v>
      </c>
      <c r="PF89">
        <v>2</v>
      </c>
      <c r="PG89">
        <v>2</v>
      </c>
      <c r="PH89">
        <v>2</v>
      </c>
      <c r="PI89">
        <v>2</v>
      </c>
      <c r="PJ89">
        <v>2</v>
      </c>
      <c r="PK89">
        <v>2</v>
      </c>
      <c r="PL89">
        <v>2</v>
      </c>
      <c r="PM89">
        <v>2</v>
      </c>
      <c r="PN89">
        <v>2</v>
      </c>
      <c r="PO89">
        <v>2</v>
      </c>
      <c r="PP89">
        <v>2</v>
      </c>
      <c r="PQ89">
        <v>2</v>
      </c>
      <c r="PR89">
        <v>2</v>
      </c>
      <c r="PS89">
        <v>2</v>
      </c>
      <c r="PT89">
        <v>2</v>
      </c>
      <c r="PU89">
        <v>2</v>
      </c>
      <c r="PV89">
        <v>2</v>
      </c>
      <c r="PW89">
        <v>2</v>
      </c>
      <c r="PX89">
        <v>2</v>
      </c>
      <c r="PY89">
        <v>2</v>
      </c>
      <c r="PZ89">
        <v>2</v>
      </c>
      <c r="QA89">
        <v>2</v>
      </c>
      <c r="QB89">
        <v>2</v>
      </c>
      <c r="QC89">
        <v>2</v>
      </c>
      <c r="QD89">
        <v>2</v>
      </c>
      <c r="QE89">
        <v>2</v>
      </c>
      <c r="QF89">
        <v>2</v>
      </c>
      <c r="QG89">
        <v>2</v>
      </c>
      <c r="QH89">
        <v>2</v>
      </c>
      <c r="QI89">
        <v>2</v>
      </c>
      <c r="QJ89">
        <v>2</v>
      </c>
      <c r="QK89">
        <v>2</v>
      </c>
      <c r="QL89">
        <v>2</v>
      </c>
      <c r="QM89">
        <v>2</v>
      </c>
      <c r="QN89">
        <v>2</v>
      </c>
      <c r="QO89">
        <v>2</v>
      </c>
      <c r="QP89">
        <v>2</v>
      </c>
      <c r="QQ89">
        <v>2</v>
      </c>
      <c r="QR89">
        <v>2</v>
      </c>
      <c r="QS89">
        <v>2</v>
      </c>
      <c r="QT89">
        <v>2</v>
      </c>
      <c r="QU89">
        <v>2</v>
      </c>
      <c r="QV89">
        <v>2</v>
      </c>
      <c r="QW89">
        <v>2</v>
      </c>
      <c r="QX89">
        <v>2</v>
      </c>
      <c r="QY89">
        <v>2</v>
      </c>
      <c r="QZ89">
        <v>2</v>
      </c>
      <c r="RA89">
        <v>2</v>
      </c>
      <c r="RB89">
        <v>2</v>
      </c>
      <c r="RC89">
        <v>2</v>
      </c>
      <c r="RD89">
        <v>2</v>
      </c>
      <c r="RE89">
        <v>2</v>
      </c>
      <c r="RF89">
        <v>2</v>
      </c>
      <c r="RG89">
        <v>2</v>
      </c>
      <c r="RH89">
        <v>2</v>
      </c>
      <c r="RI89">
        <v>2</v>
      </c>
      <c r="RJ89">
        <v>2</v>
      </c>
      <c r="RK89">
        <v>2</v>
      </c>
      <c r="RL89">
        <v>2</v>
      </c>
      <c r="RM89">
        <v>2</v>
      </c>
      <c r="RN89">
        <v>2</v>
      </c>
      <c r="RO89">
        <v>2</v>
      </c>
      <c r="RP89">
        <v>2</v>
      </c>
      <c r="RQ89">
        <v>2</v>
      </c>
      <c r="RR89">
        <v>2</v>
      </c>
      <c r="RS89">
        <v>2</v>
      </c>
      <c r="RT89">
        <v>2</v>
      </c>
      <c r="RU89">
        <v>2</v>
      </c>
      <c r="RV89">
        <v>2</v>
      </c>
      <c r="RW89">
        <v>2</v>
      </c>
      <c r="RX89">
        <v>2</v>
      </c>
      <c r="RY89">
        <v>2</v>
      </c>
      <c r="RZ89">
        <v>2</v>
      </c>
      <c r="SA89">
        <v>2</v>
      </c>
      <c r="SB89">
        <v>2</v>
      </c>
      <c r="SC89">
        <v>2</v>
      </c>
      <c r="SD89">
        <v>2</v>
      </c>
      <c r="SE89">
        <v>2</v>
      </c>
      <c r="SF89">
        <v>2</v>
      </c>
      <c r="SG89">
        <v>2</v>
      </c>
      <c r="SH89">
        <v>2</v>
      </c>
      <c r="SI89">
        <v>2</v>
      </c>
      <c r="SJ89">
        <v>2</v>
      </c>
      <c r="SK89">
        <v>2</v>
      </c>
      <c r="SL89">
        <v>2</v>
      </c>
      <c r="SM89">
        <v>2</v>
      </c>
      <c r="SN89">
        <v>2</v>
      </c>
      <c r="SO89">
        <v>2</v>
      </c>
      <c r="SP89">
        <v>2</v>
      </c>
      <c r="SQ89">
        <v>2</v>
      </c>
      <c r="SR89">
        <v>2</v>
      </c>
      <c r="SS89">
        <v>2</v>
      </c>
      <c r="ST89">
        <v>2</v>
      </c>
      <c r="SU89">
        <v>2</v>
      </c>
      <c r="SV89">
        <v>2</v>
      </c>
      <c r="SW89">
        <v>2</v>
      </c>
      <c r="SX89">
        <v>2</v>
      </c>
      <c r="SY89">
        <v>2</v>
      </c>
      <c r="SZ89">
        <v>2</v>
      </c>
      <c r="TA89">
        <v>2</v>
      </c>
      <c r="TB89">
        <v>2</v>
      </c>
      <c r="TC89">
        <v>2</v>
      </c>
      <c r="TD89">
        <v>2</v>
      </c>
      <c r="TE89">
        <v>2</v>
      </c>
      <c r="TF89">
        <v>2</v>
      </c>
      <c r="TG89">
        <v>2</v>
      </c>
      <c r="TH89">
        <v>2</v>
      </c>
      <c r="TI89">
        <v>2</v>
      </c>
      <c r="TJ89">
        <v>2</v>
      </c>
      <c r="TK89">
        <v>2</v>
      </c>
      <c r="TL89">
        <v>2</v>
      </c>
      <c r="TM89">
        <v>2</v>
      </c>
      <c r="TN89">
        <v>2</v>
      </c>
      <c r="TO89">
        <v>2</v>
      </c>
      <c r="TP89">
        <v>2</v>
      </c>
      <c r="TQ89">
        <v>2</v>
      </c>
      <c r="TR89">
        <v>2</v>
      </c>
      <c r="TS89">
        <v>2</v>
      </c>
      <c r="TT89">
        <v>2</v>
      </c>
      <c r="TU89">
        <v>2</v>
      </c>
      <c r="TV89">
        <v>2</v>
      </c>
      <c r="TW89">
        <v>2</v>
      </c>
      <c r="TX89">
        <v>2</v>
      </c>
      <c r="TY89">
        <v>2</v>
      </c>
      <c r="TZ89">
        <v>2</v>
      </c>
      <c r="UA89">
        <v>2</v>
      </c>
      <c r="UB89">
        <v>2</v>
      </c>
      <c r="UC89">
        <v>2</v>
      </c>
      <c r="UD89">
        <v>2</v>
      </c>
      <c r="UE89">
        <v>2</v>
      </c>
      <c r="UF89">
        <v>2</v>
      </c>
      <c r="UG89">
        <v>2</v>
      </c>
      <c r="UH89">
        <v>2</v>
      </c>
      <c r="UI89">
        <v>2</v>
      </c>
      <c r="UJ89">
        <v>2</v>
      </c>
      <c r="UK89">
        <v>2</v>
      </c>
      <c r="UL89">
        <v>2</v>
      </c>
      <c r="UM89">
        <v>2</v>
      </c>
      <c r="UN89">
        <v>2</v>
      </c>
      <c r="UO89">
        <v>2</v>
      </c>
      <c r="UP89">
        <v>2</v>
      </c>
      <c r="UQ89">
        <v>2</v>
      </c>
      <c r="UR89">
        <v>2</v>
      </c>
      <c r="US89">
        <v>2</v>
      </c>
      <c r="UT89">
        <v>2</v>
      </c>
      <c r="UU89">
        <v>2</v>
      </c>
      <c r="UV89">
        <v>2</v>
      </c>
      <c r="UW89">
        <v>2</v>
      </c>
      <c r="UX89">
        <v>2</v>
      </c>
      <c r="UY89">
        <v>2</v>
      </c>
      <c r="UZ89">
        <v>2</v>
      </c>
      <c r="VA89">
        <v>2</v>
      </c>
      <c r="VB89">
        <v>2</v>
      </c>
      <c r="VC89">
        <v>2</v>
      </c>
      <c r="VD89">
        <v>2</v>
      </c>
      <c r="VE89">
        <v>2</v>
      </c>
      <c r="VF89">
        <v>2</v>
      </c>
      <c r="VG89">
        <v>2</v>
      </c>
      <c r="VH89">
        <v>2</v>
      </c>
      <c r="VI89">
        <v>2</v>
      </c>
      <c r="VJ89">
        <v>2</v>
      </c>
      <c r="VK89">
        <v>2</v>
      </c>
      <c r="VL89">
        <v>2</v>
      </c>
      <c r="VM89">
        <v>2</v>
      </c>
      <c r="VN89">
        <v>2</v>
      </c>
      <c r="VO89">
        <v>2</v>
      </c>
      <c r="VP89">
        <v>2</v>
      </c>
      <c r="VQ89">
        <v>2</v>
      </c>
      <c r="VR89">
        <v>2</v>
      </c>
      <c r="VS89">
        <v>2</v>
      </c>
      <c r="VT89">
        <v>2</v>
      </c>
      <c r="VU89">
        <v>2</v>
      </c>
      <c r="VV89">
        <v>2</v>
      </c>
      <c r="VW89">
        <v>2</v>
      </c>
      <c r="VX89">
        <v>2</v>
      </c>
      <c r="VY89">
        <v>2</v>
      </c>
      <c r="VZ89">
        <v>2</v>
      </c>
      <c r="WA89">
        <v>2</v>
      </c>
      <c r="WB89">
        <v>2</v>
      </c>
      <c r="WC89">
        <v>2</v>
      </c>
      <c r="WD89">
        <v>2</v>
      </c>
      <c r="WE89">
        <v>2</v>
      </c>
      <c r="WF89">
        <v>2</v>
      </c>
      <c r="WG89">
        <v>2</v>
      </c>
      <c r="WH89">
        <v>2</v>
      </c>
      <c r="WI89">
        <v>2</v>
      </c>
      <c r="WJ89">
        <v>2</v>
      </c>
      <c r="WK89">
        <v>2</v>
      </c>
      <c r="WL89">
        <v>2</v>
      </c>
      <c r="WM89">
        <v>2</v>
      </c>
      <c r="WN89">
        <v>2</v>
      </c>
      <c r="WO89">
        <v>2</v>
      </c>
      <c r="WP89">
        <v>2</v>
      </c>
      <c r="WQ89">
        <v>2</v>
      </c>
      <c r="WR89">
        <v>2</v>
      </c>
      <c r="WS89">
        <v>2</v>
      </c>
      <c r="WT89">
        <v>2</v>
      </c>
      <c r="WU89">
        <v>2</v>
      </c>
      <c r="WV89">
        <v>2</v>
      </c>
      <c r="WW89">
        <v>2</v>
      </c>
      <c r="WX89">
        <v>2</v>
      </c>
      <c r="WY89">
        <v>2</v>
      </c>
      <c r="WZ89">
        <v>2</v>
      </c>
      <c r="XA89">
        <v>2</v>
      </c>
      <c r="XB89">
        <v>2</v>
      </c>
      <c r="XC89">
        <v>2</v>
      </c>
      <c r="XD89">
        <v>2</v>
      </c>
      <c r="XE89">
        <v>2</v>
      </c>
      <c r="XF89">
        <v>2</v>
      </c>
      <c r="XG89">
        <v>2</v>
      </c>
      <c r="XH89">
        <v>2</v>
      </c>
      <c r="XI89">
        <v>2</v>
      </c>
      <c r="XJ89">
        <v>2</v>
      </c>
      <c r="XK89">
        <v>2</v>
      </c>
      <c r="XL89">
        <v>2</v>
      </c>
      <c r="XM89">
        <v>2</v>
      </c>
      <c r="XN89">
        <v>2</v>
      </c>
      <c r="XO89">
        <v>2</v>
      </c>
      <c r="XP89">
        <v>2</v>
      </c>
      <c r="XQ89">
        <v>2</v>
      </c>
      <c r="XR89">
        <v>2</v>
      </c>
      <c r="XS89">
        <v>2</v>
      </c>
      <c r="XT89">
        <v>2</v>
      </c>
      <c r="XU89">
        <v>2</v>
      </c>
      <c r="XV89">
        <v>2</v>
      </c>
      <c r="XW89">
        <v>2</v>
      </c>
      <c r="XX89">
        <v>2</v>
      </c>
      <c r="XY89">
        <v>2</v>
      </c>
      <c r="XZ89">
        <v>2</v>
      </c>
      <c r="YA89">
        <v>2</v>
      </c>
      <c r="YB89">
        <v>2</v>
      </c>
      <c r="YC89">
        <v>2</v>
      </c>
      <c r="YD89">
        <v>2</v>
      </c>
      <c r="YE89">
        <v>2</v>
      </c>
      <c r="YF89">
        <v>2</v>
      </c>
      <c r="YG89">
        <v>2</v>
      </c>
      <c r="YH89">
        <v>2</v>
      </c>
      <c r="YI89">
        <v>2</v>
      </c>
      <c r="YJ89">
        <v>2</v>
      </c>
      <c r="YK89">
        <v>2</v>
      </c>
      <c r="YL89">
        <v>2</v>
      </c>
      <c r="YM89">
        <v>2</v>
      </c>
      <c r="YN89">
        <v>2</v>
      </c>
      <c r="YO89">
        <v>2</v>
      </c>
      <c r="YP89">
        <v>2</v>
      </c>
      <c r="YQ89">
        <v>2</v>
      </c>
      <c r="YR89">
        <v>2</v>
      </c>
      <c r="YS89">
        <v>2</v>
      </c>
      <c r="YT89">
        <v>2</v>
      </c>
      <c r="YU89">
        <v>2</v>
      </c>
      <c r="YV89">
        <v>2</v>
      </c>
      <c r="YW89">
        <v>2</v>
      </c>
      <c r="YX89">
        <v>2</v>
      </c>
      <c r="YY89">
        <v>2</v>
      </c>
      <c r="YZ89">
        <v>2</v>
      </c>
      <c r="ZA89">
        <v>2</v>
      </c>
      <c r="ZB89">
        <v>2</v>
      </c>
      <c r="ZC89">
        <v>2</v>
      </c>
      <c r="ZD89">
        <v>2</v>
      </c>
      <c r="ZE89">
        <v>2</v>
      </c>
      <c r="ZF89">
        <v>2</v>
      </c>
      <c r="ZG89">
        <v>2</v>
      </c>
      <c r="ZH89">
        <v>2</v>
      </c>
      <c r="ZI89">
        <v>2</v>
      </c>
      <c r="ZJ89">
        <v>2</v>
      </c>
      <c r="ZK89">
        <v>2</v>
      </c>
      <c r="ZL89">
        <v>2</v>
      </c>
      <c r="ZM89">
        <v>2</v>
      </c>
      <c r="ZN89">
        <v>2</v>
      </c>
      <c r="ZO89">
        <v>2</v>
      </c>
      <c r="ZP89">
        <v>2</v>
      </c>
      <c r="ZQ89">
        <v>2</v>
      </c>
      <c r="ZR89">
        <v>2</v>
      </c>
      <c r="ZS89">
        <v>2</v>
      </c>
      <c r="ZT89">
        <v>2</v>
      </c>
      <c r="ZU89">
        <v>2</v>
      </c>
      <c r="ZV89">
        <v>2</v>
      </c>
      <c r="ZW89">
        <v>2</v>
      </c>
      <c r="ZX89">
        <v>2</v>
      </c>
      <c r="ZY89">
        <v>2</v>
      </c>
      <c r="ZZ89">
        <v>2</v>
      </c>
      <c r="AAA89">
        <v>2</v>
      </c>
      <c r="AAB89">
        <v>2</v>
      </c>
      <c r="AAC89">
        <v>2</v>
      </c>
      <c r="AAD89">
        <v>2</v>
      </c>
      <c r="AAE89">
        <v>2</v>
      </c>
      <c r="AAF89">
        <v>2</v>
      </c>
      <c r="AAG89">
        <v>2</v>
      </c>
      <c r="AAH89">
        <v>2</v>
      </c>
      <c r="AAI89">
        <v>2</v>
      </c>
      <c r="AAJ89">
        <v>2</v>
      </c>
      <c r="AAK89">
        <v>2</v>
      </c>
      <c r="AAL89">
        <v>2</v>
      </c>
      <c r="AAM89">
        <v>2</v>
      </c>
      <c r="AAN89">
        <v>2</v>
      </c>
      <c r="AAO89">
        <v>2</v>
      </c>
      <c r="AAP89">
        <v>2</v>
      </c>
      <c r="AAQ89">
        <v>2</v>
      </c>
      <c r="AAR89">
        <v>2</v>
      </c>
      <c r="AAS89">
        <v>2</v>
      </c>
      <c r="AAT89">
        <v>2</v>
      </c>
      <c r="AAU89">
        <v>2</v>
      </c>
      <c r="AAV89">
        <v>2</v>
      </c>
      <c r="AAW89">
        <v>2</v>
      </c>
      <c r="AAX89">
        <v>2</v>
      </c>
      <c r="AAY89">
        <v>2</v>
      </c>
      <c r="AAZ89">
        <v>2</v>
      </c>
      <c r="ABA89">
        <v>2</v>
      </c>
      <c r="ABB89">
        <v>2</v>
      </c>
      <c r="ABC89">
        <v>2</v>
      </c>
      <c r="ABD89">
        <v>2</v>
      </c>
      <c r="ABE89">
        <v>2</v>
      </c>
      <c r="ABG89" s="1137">
        <f t="shared" si="21"/>
        <v>0</v>
      </c>
      <c r="ABH89" s="1137">
        <f t="shared" si="21"/>
        <v>0</v>
      </c>
      <c r="ABI89" s="1137">
        <f t="shared" si="21"/>
        <v>19</v>
      </c>
      <c r="ABJ89" s="1137">
        <f t="shared" si="21"/>
        <v>30</v>
      </c>
      <c r="ABK89" s="1137">
        <f t="shared" si="21"/>
        <v>31</v>
      </c>
      <c r="ABL89" s="1137">
        <f t="shared" si="21"/>
        <v>30</v>
      </c>
      <c r="ABM89" s="1137">
        <f t="shared" si="21"/>
        <v>31</v>
      </c>
      <c r="ABN89" s="1137">
        <f t="shared" si="21"/>
        <v>31</v>
      </c>
      <c r="ABO89" s="1137">
        <f t="shared" si="21"/>
        <v>30</v>
      </c>
      <c r="ABP89" s="1137">
        <f t="shared" si="21"/>
        <v>31</v>
      </c>
      <c r="ABQ89" s="1137">
        <f t="shared" si="21"/>
        <v>30</v>
      </c>
      <c r="ABR89" s="1137">
        <f t="shared" si="21"/>
        <v>31</v>
      </c>
      <c r="ABS89" s="1137">
        <f t="shared" si="21"/>
        <v>31</v>
      </c>
      <c r="ABT89" s="1137">
        <f t="shared" si="21"/>
        <v>28</v>
      </c>
      <c r="ABU89" s="1137">
        <f t="shared" si="21"/>
        <v>31</v>
      </c>
      <c r="ABV89" s="1137">
        <f t="shared" si="21"/>
        <v>30</v>
      </c>
      <c r="ABW89" s="1137">
        <f t="shared" si="17"/>
        <v>31</v>
      </c>
      <c r="ABX89" s="1137">
        <f t="shared" si="14"/>
        <v>30</v>
      </c>
      <c r="ABY89" s="1137">
        <f t="shared" ref="ABX89:ACD125" si="23">COUNTIFS($C$3:$ABE$3, ABY$3, $C$4:$ABE$4, ABY$4, $C89:$ABE89, "&gt;0")</f>
        <v>31</v>
      </c>
      <c r="ABZ89" s="1137">
        <f t="shared" si="23"/>
        <v>31</v>
      </c>
      <c r="ACA89" s="1137">
        <f t="shared" si="23"/>
        <v>30</v>
      </c>
      <c r="ACB89" s="1137">
        <f t="shared" si="23"/>
        <v>31</v>
      </c>
      <c r="ACC89" s="1137">
        <f t="shared" si="23"/>
        <v>30</v>
      </c>
      <c r="ACD89" s="1137">
        <f t="shared" si="23"/>
        <v>31</v>
      </c>
      <c r="ACE89" s="1137" t="s">
        <v>201</v>
      </c>
      <c r="ACF89" s="1137">
        <f t="shared" si="22"/>
        <v>0</v>
      </c>
      <c r="ACG89" s="1137">
        <f t="shared" si="22"/>
        <v>0</v>
      </c>
      <c r="ACH89" s="1137">
        <f t="shared" si="22"/>
        <v>1</v>
      </c>
      <c r="ACI89" s="1137">
        <f t="shared" si="22"/>
        <v>1</v>
      </c>
      <c r="ACJ89" s="1137">
        <f t="shared" si="22"/>
        <v>1</v>
      </c>
      <c r="ACK89" s="1137">
        <f t="shared" si="22"/>
        <v>1</v>
      </c>
      <c r="ACL89" s="1137">
        <f t="shared" si="22"/>
        <v>1</v>
      </c>
      <c r="ACM89" s="1137">
        <f t="shared" si="22"/>
        <v>1</v>
      </c>
      <c r="ACN89" s="1137">
        <f t="shared" si="22"/>
        <v>1</v>
      </c>
      <c r="ACO89" s="1137">
        <f t="shared" si="22"/>
        <v>1</v>
      </c>
      <c r="ACP89" s="1137">
        <f t="shared" si="22"/>
        <v>1</v>
      </c>
      <c r="ACQ89" s="1137">
        <f t="shared" si="22"/>
        <v>1</v>
      </c>
      <c r="ACR89" s="1137">
        <f t="shared" si="22"/>
        <v>1</v>
      </c>
      <c r="ACS89" s="1137">
        <f t="shared" si="22"/>
        <v>1</v>
      </c>
      <c r="ACT89" s="1137">
        <f t="shared" si="22"/>
        <v>1</v>
      </c>
      <c r="ACU89" s="1137">
        <f t="shared" si="12"/>
        <v>1</v>
      </c>
      <c r="ACV89" s="1137">
        <f t="shared" ref="ACV89:ADC127" si="24">IF(ABW89&gt;10, 1, 0)</f>
        <v>1</v>
      </c>
      <c r="ACW89" s="1137">
        <f t="shared" si="24"/>
        <v>1</v>
      </c>
      <c r="ACX89" s="1137">
        <f t="shared" si="24"/>
        <v>1</v>
      </c>
      <c r="ACY89" s="1137">
        <f t="shared" si="24"/>
        <v>1</v>
      </c>
      <c r="ACZ89" s="1137">
        <f t="shared" si="24"/>
        <v>1</v>
      </c>
      <c r="ADA89" s="1137">
        <f t="shared" si="24"/>
        <v>1</v>
      </c>
      <c r="ADB89" s="1137">
        <f t="shared" si="16"/>
        <v>1</v>
      </c>
      <c r="ADC89" s="1137">
        <f t="shared" si="16"/>
        <v>1</v>
      </c>
    </row>
    <row r="90" spans="1:783" x14ac:dyDescent="0.25">
      <c r="A90" t="s">
        <v>1887</v>
      </c>
      <c r="B90" t="s">
        <v>203</v>
      </c>
      <c r="C90">
        <v>0</v>
      </c>
      <c r="D90">
        <v>0</v>
      </c>
      <c r="E90">
        <v>0</v>
      </c>
      <c r="F90">
        <v>0</v>
      </c>
      <c r="G90">
        <v>0</v>
      </c>
      <c r="H90">
        <v>0</v>
      </c>
      <c r="I90">
        <v>0</v>
      </c>
      <c r="J90">
        <v>0</v>
      </c>
      <c r="K90">
        <v>0</v>
      </c>
      <c r="L90">
        <v>0</v>
      </c>
      <c r="M90">
        <v>0</v>
      </c>
      <c r="N90">
        <v>0</v>
      </c>
      <c r="O90">
        <v>0</v>
      </c>
      <c r="P90">
        <v>0</v>
      </c>
      <c r="Q90">
        <v>0</v>
      </c>
      <c r="R90">
        <v>0</v>
      </c>
      <c r="S90">
        <v>0</v>
      </c>
      <c r="T90">
        <v>0</v>
      </c>
      <c r="U90">
        <v>0</v>
      </c>
      <c r="V90">
        <v>0</v>
      </c>
      <c r="W90">
        <v>0</v>
      </c>
      <c r="X90">
        <v>0</v>
      </c>
      <c r="Y90">
        <v>0</v>
      </c>
      <c r="Z90">
        <v>0</v>
      </c>
      <c r="AA90">
        <v>0</v>
      </c>
      <c r="AB90">
        <v>0</v>
      </c>
      <c r="AC90">
        <v>0</v>
      </c>
      <c r="AD90">
        <v>0</v>
      </c>
      <c r="AE90">
        <v>0</v>
      </c>
      <c r="AF90">
        <v>0</v>
      </c>
      <c r="AG90">
        <v>0</v>
      </c>
      <c r="AH90">
        <v>0</v>
      </c>
      <c r="AI90">
        <v>0</v>
      </c>
      <c r="AJ90">
        <v>0</v>
      </c>
      <c r="AK90">
        <v>0</v>
      </c>
      <c r="AL90">
        <v>0</v>
      </c>
      <c r="AM90">
        <v>0</v>
      </c>
      <c r="AN90">
        <v>0</v>
      </c>
      <c r="AO90">
        <v>0</v>
      </c>
      <c r="AP90">
        <v>0</v>
      </c>
      <c r="AQ90">
        <v>0</v>
      </c>
      <c r="AR90">
        <v>0</v>
      </c>
      <c r="AS90">
        <v>0</v>
      </c>
      <c r="AT90">
        <v>0</v>
      </c>
      <c r="AU90">
        <v>0</v>
      </c>
      <c r="AV90">
        <v>0</v>
      </c>
      <c r="AW90">
        <v>0</v>
      </c>
      <c r="AX90">
        <v>0</v>
      </c>
      <c r="AY90">
        <v>0</v>
      </c>
      <c r="AZ90">
        <v>0</v>
      </c>
      <c r="BA90">
        <v>0</v>
      </c>
      <c r="BB90">
        <v>0</v>
      </c>
      <c r="BC90">
        <v>0</v>
      </c>
      <c r="BD90">
        <v>0</v>
      </c>
      <c r="BE90">
        <v>0</v>
      </c>
      <c r="BF90">
        <v>0</v>
      </c>
      <c r="BG90">
        <v>0</v>
      </c>
      <c r="BH90">
        <v>0</v>
      </c>
      <c r="BI90">
        <v>0</v>
      </c>
      <c r="BJ90">
        <v>0</v>
      </c>
      <c r="BK90">
        <v>0</v>
      </c>
      <c r="BL90">
        <v>0</v>
      </c>
      <c r="BM90">
        <v>0</v>
      </c>
      <c r="BN90">
        <v>0</v>
      </c>
      <c r="BO90">
        <v>0</v>
      </c>
      <c r="BP90">
        <v>0</v>
      </c>
      <c r="BQ90">
        <v>0</v>
      </c>
      <c r="BR90">
        <v>0</v>
      </c>
      <c r="BS90">
        <v>0</v>
      </c>
      <c r="BT90">
        <v>0</v>
      </c>
      <c r="BU90">
        <v>0</v>
      </c>
      <c r="BV90">
        <v>0</v>
      </c>
      <c r="BW90">
        <v>0</v>
      </c>
      <c r="BX90">
        <v>0</v>
      </c>
      <c r="BY90">
        <v>0</v>
      </c>
      <c r="BZ90">
        <v>0</v>
      </c>
      <c r="CA90">
        <v>0</v>
      </c>
      <c r="CB90">
        <v>2</v>
      </c>
      <c r="CC90">
        <v>2</v>
      </c>
      <c r="CD90">
        <v>2</v>
      </c>
      <c r="CE90">
        <v>2</v>
      </c>
      <c r="CF90">
        <v>2</v>
      </c>
      <c r="CG90">
        <v>2</v>
      </c>
      <c r="CH90">
        <v>2</v>
      </c>
      <c r="CI90">
        <v>2</v>
      </c>
      <c r="CJ90">
        <v>2</v>
      </c>
      <c r="CK90">
        <v>2</v>
      </c>
      <c r="CL90">
        <v>2</v>
      </c>
      <c r="CM90">
        <v>2</v>
      </c>
      <c r="CN90">
        <v>2</v>
      </c>
      <c r="CO90">
        <v>2</v>
      </c>
      <c r="CP90">
        <v>2</v>
      </c>
      <c r="CQ90">
        <v>2</v>
      </c>
      <c r="CR90">
        <v>2</v>
      </c>
      <c r="CS90">
        <v>2</v>
      </c>
      <c r="CT90">
        <v>2</v>
      </c>
      <c r="CU90">
        <v>2</v>
      </c>
      <c r="CV90">
        <v>2</v>
      </c>
      <c r="CW90">
        <v>2</v>
      </c>
      <c r="CX90">
        <v>2</v>
      </c>
      <c r="CY90">
        <v>2</v>
      </c>
      <c r="CZ90">
        <v>2</v>
      </c>
      <c r="DA90">
        <v>2</v>
      </c>
      <c r="DB90">
        <v>2</v>
      </c>
      <c r="DC90">
        <v>2</v>
      </c>
      <c r="DD90">
        <v>2</v>
      </c>
      <c r="DE90">
        <v>2</v>
      </c>
      <c r="DF90">
        <v>2</v>
      </c>
      <c r="DG90">
        <v>2</v>
      </c>
      <c r="DH90">
        <v>2</v>
      </c>
      <c r="DI90">
        <v>2</v>
      </c>
      <c r="DJ90">
        <v>2</v>
      </c>
      <c r="DK90">
        <v>2</v>
      </c>
      <c r="DL90">
        <v>2</v>
      </c>
      <c r="DM90">
        <v>2</v>
      </c>
      <c r="DN90">
        <v>2</v>
      </c>
      <c r="DO90">
        <v>2</v>
      </c>
      <c r="DP90">
        <v>2</v>
      </c>
      <c r="DQ90">
        <v>2</v>
      </c>
      <c r="DR90">
        <v>2</v>
      </c>
      <c r="DS90">
        <v>2</v>
      </c>
      <c r="DT90">
        <v>2</v>
      </c>
      <c r="DU90">
        <v>2</v>
      </c>
      <c r="DV90">
        <v>2</v>
      </c>
      <c r="DW90">
        <v>2</v>
      </c>
      <c r="DX90">
        <v>2</v>
      </c>
      <c r="DY90">
        <v>2</v>
      </c>
      <c r="DZ90">
        <v>2</v>
      </c>
      <c r="EA90">
        <v>2</v>
      </c>
      <c r="EB90">
        <v>2</v>
      </c>
      <c r="EC90">
        <v>2</v>
      </c>
      <c r="ED90">
        <v>2</v>
      </c>
      <c r="EE90">
        <v>2</v>
      </c>
      <c r="EF90">
        <v>2</v>
      </c>
      <c r="EG90">
        <v>2</v>
      </c>
      <c r="EH90">
        <v>2</v>
      </c>
      <c r="EI90">
        <v>2</v>
      </c>
      <c r="EJ90">
        <v>2</v>
      </c>
      <c r="EK90">
        <v>2</v>
      </c>
      <c r="EL90">
        <v>2</v>
      </c>
      <c r="EM90">
        <v>2</v>
      </c>
      <c r="EN90">
        <v>2</v>
      </c>
      <c r="EO90">
        <v>2</v>
      </c>
      <c r="EP90">
        <v>2</v>
      </c>
      <c r="EQ90">
        <v>2</v>
      </c>
      <c r="ER90">
        <v>2</v>
      </c>
      <c r="ES90">
        <v>2</v>
      </c>
      <c r="ET90">
        <v>2</v>
      </c>
      <c r="EU90">
        <v>2</v>
      </c>
      <c r="EV90">
        <v>2</v>
      </c>
      <c r="EW90">
        <v>2</v>
      </c>
      <c r="EX90">
        <v>2</v>
      </c>
      <c r="EY90">
        <v>2</v>
      </c>
      <c r="EZ90">
        <v>2</v>
      </c>
      <c r="FA90">
        <v>2</v>
      </c>
      <c r="FB90">
        <v>2</v>
      </c>
      <c r="FC90">
        <v>2</v>
      </c>
      <c r="FD90">
        <v>0</v>
      </c>
      <c r="FE90">
        <v>0</v>
      </c>
      <c r="FF90">
        <v>0</v>
      </c>
      <c r="FG90">
        <v>0</v>
      </c>
      <c r="FH90">
        <v>0</v>
      </c>
      <c r="FI90">
        <v>0</v>
      </c>
      <c r="FJ90">
        <v>0</v>
      </c>
      <c r="FK90">
        <v>0</v>
      </c>
      <c r="FL90">
        <v>0</v>
      </c>
      <c r="FM90">
        <v>0</v>
      </c>
      <c r="FN90">
        <v>0</v>
      </c>
      <c r="FO90">
        <v>0</v>
      </c>
      <c r="FP90">
        <v>0</v>
      </c>
      <c r="FQ90">
        <v>0</v>
      </c>
      <c r="FR90">
        <v>0</v>
      </c>
      <c r="FS90">
        <v>0</v>
      </c>
      <c r="FT90">
        <v>0</v>
      </c>
      <c r="FU90">
        <v>0</v>
      </c>
      <c r="FV90">
        <v>0</v>
      </c>
      <c r="FW90">
        <v>0</v>
      </c>
      <c r="FX90">
        <v>0</v>
      </c>
      <c r="FY90">
        <v>0</v>
      </c>
      <c r="FZ90">
        <v>0</v>
      </c>
      <c r="GA90">
        <v>0</v>
      </c>
      <c r="GB90">
        <v>0</v>
      </c>
      <c r="GC90">
        <v>0</v>
      </c>
      <c r="GD90">
        <v>0</v>
      </c>
      <c r="GE90">
        <v>0</v>
      </c>
      <c r="GF90">
        <v>0</v>
      </c>
      <c r="GG90">
        <v>0</v>
      </c>
      <c r="GH90">
        <v>0</v>
      </c>
      <c r="GI90">
        <v>0</v>
      </c>
      <c r="GJ90">
        <v>0</v>
      </c>
      <c r="GK90">
        <v>0</v>
      </c>
      <c r="GL90">
        <v>0</v>
      </c>
      <c r="GM90">
        <v>0</v>
      </c>
      <c r="GN90">
        <v>0</v>
      </c>
      <c r="GO90">
        <v>0</v>
      </c>
      <c r="GP90">
        <v>0</v>
      </c>
      <c r="GQ90">
        <v>0</v>
      </c>
      <c r="GR90">
        <v>0</v>
      </c>
      <c r="GS90">
        <v>0</v>
      </c>
      <c r="GT90">
        <v>0</v>
      </c>
      <c r="GU90">
        <v>0</v>
      </c>
      <c r="GV90">
        <v>0</v>
      </c>
      <c r="GW90">
        <v>0</v>
      </c>
      <c r="GX90">
        <v>0</v>
      </c>
      <c r="GY90">
        <v>0</v>
      </c>
      <c r="GZ90">
        <v>0</v>
      </c>
      <c r="HA90">
        <v>0</v>
      </c>
      <c r="HB90">
        <v>0</v>
      </c>
      <c r="HC90">
        <v>0</v>
      </c>
      <c r="HD90">
        <v>0</v>
      </c>
      <c r="HE90">
        <v>0</v>
      </c>
      <c r="HF90">
        <v>0</v>
      </c>
      <c r="HG90">
        <v>0</v>
      </c>
      <c r="HH90">
        <v>0</v>
      </c>
      <c r="HI90">
        <v>0</v>
      </c>
      <c r="HJ90">
        <v>0</v>
      </c>
      <c r="HK90">
        <v>0</v>
      </c>
      <c r="HL90">
        <v>0</v>
      </c>
      <c r="HM90">
        <v>0</v>
      </c>
      <c r="HN90">
        <v>0</v>
      </c>
      <c r="HO90">
        <v>0</v>
      </c>
      <c r="HP90">
        <v>0</v>
      </c>
      <c r="HQ90">
        <v>0</v>
      </c>
      <c r="HR90">
        <v>0</v>
      </c>
      <c r="HS90">
        <v>0</v>
      </c>
      <c r="HT90">
        <v>0</v>
      </c>
      <c r="HU90">
        <v>0</v>
      </c>
      <c r="HV90">
        <v>0</v>
      </c>
      <c r="HW90">
        <v>0</v>
      </c>
      <c r="HX90">
        <v>0</v>
      </c>
      <c r="HY90">
        <v>0</v>
      </c>
      <c r="HZ90">
        <v>0</v>
      </c>
      <c r="IA90">
        <v>0</v>
      </c>
      <c r="IB90">
        <v>0</v>
      </c>
      <c r="IC90">
        <v>0</v>
      </c>
      <c r="ID90">
        <v>0</v>
      </c>
      <c r="IE90">
        <v>0</v>
      </c>
      <c r="IF90">
        <v>0</v>
      </c>
      <c r="IG90">
        <v>0</v>
      </c>
      <c r="IH90">
        <v>0</v>
      </c>
      <c r="II90">
        <v>0</v>
      </c>
      <c r="IJ90">
        <v>0</v>
      </c>
      <c r="IK90">
        <v>0</v>
      </c>
      <c r="IL90">
        <v>0</v>
      </c>
      <c r="IM90">
        <v>0</v>
      </c>
      <c r="IN90">
        <v>0</v>
      </c>
      <c r="IO90">
        <v>0</v>
      </c>
      <c r="IP90">
        <v>0</v>
      </c>
      <c r="IQ90">
        <v>0</v>
      </c>
      <c r="IR90">
        <v>0</v>
      </c>
      <c r="IS90">
        <v>0</v>
      </c>
      <c r="IT90">
        <v>0</v>
      </c>
      <c r="IU90">
        <v>0</v>
      </c>
      <c r="IV90">
        <v>0</v>
      </c>
      <c r="IW90">
        <v>0</v>
      </c>
      <c r="IX90">
        <v>0</v>
      </c>
      <c r="IY90">
        <v>0</v>
      </c>
      <c r="IZ90">
        <v>0</v>
      </c>
      <c r="JA90">
        <v>0</v>
      </c>
      <c r="JB90">
        <v>0</v>
      </c>
      <c r="JC90">
        <v>0</v>
      </c>
      <c r="JD90">
        <v>0</v>
      </c>
      <c r="JE90">
        <v>0</v>
      </c>
      <c r="JF90">
        <v>0</v>
      </c>
      <c r="JG90">
        <v>0</v>
      </c>
      <c r="JH90">
        <v>0</v>
      </c>
      <c r="JI90">
        <v>0</v>
      </c>
      <c r="JJ90">
        <v>0</v>
      </c>
      <c r="JK90">
        <v>0</v>
      </c>
      <c r="JL90">
        <v>0</v>
      </c>
      <c r="JM90">
        <v>0</v>
      </c>
      <c r="JN90">
        <v>0</v>
      </c>
      <c r="JO90">
        <v>0</v>
      </c>
      <c r="JP90">
        <v>0</v>
      </c>
      <c r="JQ90">
        <v>0</v>
      </c>
      <c r="JR90">
        <v>0</v>
      </c>
      <c r="JS90">
        <v>0</v>
      </c>
      <c r="JT90">
        <v>0</v>
      </c>
      <c r="JU90">
        <v>0</v>
      </c>
      <c r="JV90">
        <v>2</v>
      </c>
      <c r="JW90">
        <v>2</v>
      </c>
      <c r="JX90">
        <v>2</v>
      </c>
      <c r="JY90">
        <v>2</v>
      </c>
      <c r="JZ90">
        <v>2</v>
      </c>
      <c r="KA90">
        <v>2</v>
      </c>
      <c r="KB90">
        <v>2</v>
      </c>
      <c r="KC90">
        <v>2</v>
      </c>
      <c r="KD90">
        <v>2</v>
      </c>
      <c r="KE90">
        <v>2</v>
      </c>
      <c r="KF90">
        <v>2</v>
      </c>
      <c r="KG90">
        <v>2</v>
      </c>
      <c r="KH90">
        <v>2</v>
      </c>
      <c r="KI90">
        <v>2</v>
      </c>
      <c r="KJ90">
        <v>2</v>
      </c>
      <c r="KK90">
        <v>2</v>
      </c>
      <c r="KL90">
        <v>2</v>
      </c>
      <c r="KM90">
        <v>2</v>
      </c>
      <c r="KN90">
        <v>2</v>
      </c>
      <c r="KO90">
        <v>2</v>
      </c>
      <c r="KP90">
        <v>2</v>
      </c>
      <c r="KQ90">
        <v>2</v>
      </c>
      <c r="KR90">
        <v>2</v>
      </c>
      <c r="KS90">
        <v>2</v>
      </c>
      <c r="KT90">
        <v>2</v>
      </c>
      <c r="KU90">
        <v>2</v>
      </c>
      <c r="KV90">
        <v>2</v>
      </c>
      <c r="KW90">
        <v>2</v>
      </c>
      <c r="KX90">
        <v>2</v>
      </c>
      <c r="KY90">
        <v>2</v>
      </c>
      <c r="KZ90">
        <v>2</v>
      </c>
      <c r="LA90">
        <v>2</v>
      </c>
      <c r="LB90">
        <v>2</v>
      </c>
      <c r="LC90">
        <v>2</v>
      </c>
      <c r="LD90">
        <v>2</v>
      </c>
      <c r="LE90">
        <v>2</v>
      </c>
      <c r="LF90">
        <v>2</v>
      </c>
      <c r="LG90">
        <v>2</v>
      </c>
      <c r="LH90">
        <v>2</v>
      </c>
      <c r="LI90">
        <v>2</v>
      </c>
      <c r="LJ90">
        <v>2</v>
      </c>
      <c r="LK90">
        <v>2</v>
      </c>
      <c r="LL90">
        <v>2</v>
      </c>
      <c r="LM90">
        <v>2</v>
      </c>
      <c r="LN90">
        <v>2</v>
      </c>
      <c r="LO90">
        <v>2</v>
      </c>
      <c r="LP90">
        <v>2</v>
      </c>
      <c r="LQ90">
        <v>2</v>
      </c>
      <c r="LR90">
        <v>2</v>
      </c>
      <c r="LS90">
        <v>2</v>
      </c>
      <c r="LT90">
        <v>2</v>
      </c>
      <c r="LU90">
        <v>2</v>
      </c>
      <c r="LV90">
        <v>2</v>
      </c>
      <c r="LW90">
        <v>2</v>
      </c>
      <c r="LX90">
        <v>2</v>
      </c>
      <c r="LY90">
        <v>2</v>
      </c>
      <c r="LZ90">
        <v>2</v>
      </c>
      <c r="MA90">
        <v>2</v>
      </c>
      <c r="MB90">
        <v>2</v>
      </c>
      <c r="MC90">
        <v>2</v>
      </c>
      <c r="MD90">
        <v>2</v>
      </c>
      <c r="ME90">
        <v>2</v>
      </c>
      <c r="MF90">
        <v>2</v>
      </c>
      <c r="MG90">
        <v>2</v>
      </c>
      <c r="MH90">
        <v>2</v>
      </c>
      <c r="MI90">
        <v>2</v>
      </c>
      <c r="MJ90">
        <v>2</v>
      </c>
      <c r="MK90">
        <v>2</v>
      </c>
      <c r="ML90">
        <v>2</v>
      </c>
      <c r="MM90">
        <v>2</v>
      </c>
      <c r="MN90">
        <v>2</v>
      </c>
      <c r="MO90">
        <v>2</v>
      </c>
      <c r="MP90">
        <v>2</v>
      </c>
      <c r="MQ90">
        <v>2</v>
      </c>
      <c r="MR90">
        <v>2</v>
      </c>
      <c r="MS90">
        <v>2</v>
      </c>
      <c r="MT90">
        <v>2</v>
      </c>
      <c r="MU90">
        <v>2</v>
      </c>
      <c r="MV90">
        <v>2</v>
      </c>
      <c r="MW90">
        <v>2</v>
      </c>
      <c r="MX90">
        <v>2</v>
      </c>
      <c r="MY90">
        <v>2</v>
      </c>
      <c r="MZ90">
        <v>2</v>
      </c>
      <c r="NA90">
        <v>2</v>
      </c>
      <c r="NB90">
        <v>2</v>
      </c>
      <c r="NC90">
        <v>2</v>
      </c>
      <c r="ND90">
        <v>2</v>
      </c>
      <c r="NE90">
        <v>2</v>
      </c>
      <c r="NF90">
        <v>2</v>
      </c>
      <c r="NG90">
        <v>2</v>
      </c>
      <c r="NH90">
        <v>2</v>
      </c>
      <c r="NI90">
        <v>2</v>
      </c>
      <c r="NJ90">
        <v>2</v>
      </c>
      <c r="NK90">
        <v>2</v>
      </c>
      <c r="NL90">
        <v>2</v>
      </c>
      <c r="NM90">
        <v>2</v>
      </c>
      <c r="NN90">
        <v>2</v>
      </c>
      <c r="NO90">
        <v>2</v>
      </c>
      <c r="NP90">
        <v>2</v>
      </c>
      <c r="NQ90">
        <v>2</v>
      </c>
      <c r="NR90">
        <v>2</v>
      </c>
      <c r="NS90">
        <v>2</v>
      </c>
      <c r="NT90">
        <v>2</v>
      </c>
      <c r="NU90">
        <v>2</v>
      </c>
      <c r="NV90">
        <v>2</v>
      </c>
      <c r="NW90">
        <v>1</v>
      </c>
      <c r="NX90">
        <v>1</v>
      </c>
      <c r="NY90">
        <v>1</v>
      </c>
      <c r="NZ90">
        <v>1</v>
      </c>
      <c r="OA90">
        <v>1</v>
      </c>
      <c r="OB90">
        <v>1</v>
      </c>
      <c r="OC90">
        <v>1</v>
      </c>
      <c r="OD90">
        <v>1</v>
      </c>
      <c r="OE90">
        <v>1</v>
      </c>
      <c r="OF90">
        <v>1</v>
      </c>
      <c r="OG90">
        <v>1</v>
      </c>
      <c r="OH90">
        <v>1</v>
      </c>
      <c r="OI90">
        <v>1</v>
      </c>
      <c r="OJ90">
        <v>1</v>
      </c>
      <c r="OK90">
        <v>0</v>
      </c>
      <c r="OL90">
        <v>0</v>
      </c>
      <c r="OM90">
        <v>0</v>
      </c>
      <c r="ON90">
        <v>0</v>
      </c>
      <c r="OO90">
        <v>0</v>
      </c>
      <c r="OP90">
        <v>0</v>
      </c>
      <c r="OQ90">
        <v>0</v>
      </c>
      <c r="OR90">
        <v>0</v>
      </c>
      <c r="OS90">
        <v>0</v>
      </c>
      <c r="OT90">
        <v>0</v>
      </c>
      <c r="OU90">
        <v>0</v>
      </c>
      <c r="OV90">
        <v>0</v>
      </c>
      <c r="OW90">
        <v>0</v>
      </c>
      <c r="OX90">
        <v>0</v>
      </c>
      <c r="OY90">
        <v>0</v>
      </c>
      <c r="OZ90">
        <v>0</v>
      </c>
      <c r="PA90">
        <v>0</v>
      </c>
      <c r="PB90">
        <v>0</v>
      </c>
      <c r="PC90">
        <v>0</v>
      </c>
      <c r="PD90">
        <v>0</v>
      </c>
      <c r="PE90">
        <v>0</v>
      </c>
      <c r="PF90">
        <v>1</v>
      </c>
      <c r="PG90">
        <v>1</v>
      </c>
      <c r="PH90">
        <v>1</v>
      </c>
      <c r="PI90">
        <v>1</v>
      </c>
      <c r="PJ90">
        <v>1</v>
      </c>
      <c r="PK90">
        <v>1</v>
      </c>
      <c r="PL90">
        <v>1</v>
      </c>
      <c r="PM90">
        <v>1</v>
      </c>
      <c r="PN90">
        <v>1</v>
      </c>
      <c r="PO90">
        <v>1</v>
      </c>
      <c r="PP90">
        <v>1</v>
      </c>
      <c r="PQ90">
        <v>1</v>
      </c>
      <c r="PR90">
        <v>1</v>
      </c>
      <c r="PS90">
        <v>1</v>
      </c>
      <c r="PT90">
        <v>2</v>
      </c>
      <c r="PU90">
        <v>2</v>
      </c>
      <c r="PV90">
        <v>2</v>
      </c>
      <c r="PW90">
        <v>2</v>
      </c>
      <c r="PX90">
        <v>2</v>
      </c>
      <c r="PY90">
        <v>2</v>
      </c>
      <c r="PZ90">
        <v>2</v>
      </c>
      <c r="QA90">
        <v>2</v>
      </c>
      <c r="QB90">
        <v>2</v>
      </c>
      <c r="QC90">
        <v>2</v>
      </c>
      <c r="QD90">
        <v>2</v>
      </c>
      <c r="QE90">
        <v>2</v>
      </c>
      <c r="QF90">
        <v>2</v>
      </c>
      <c r="QG90">
        <v>2</v>
      </c>
      <c r="QH90">
        <v>2</v>
      </c>
      <c r="QI90">
        <v>2</v>
      </c>
      <c r="QJ90">
        <v>2</v>
      </c>
      <c r="QK90">
        <v>2</v>
      </c>
      <c r="QL90">
        <v>2</v>
      </c>
      <c r="QM90">
        <v>2</v>
      </c>
      <c r="QN90">
        <v>2</v>
      </c>
      <c r="QO90">
        <v>2</v>
      </c>
      <c r="QP90">
        <v>2</v>
      </c>
      <c r="QQ90">
        <v>1</v>
      </c>
      <c r="QR90">
        <v>1</v>
      </c>
      <c r="QS90">
        <v>1</v>
      </c>
      <c r="QT90">
        <v>1</v>
      </c>
      <c r="QU90">
        <v>1</v>
      </c>
      <c r="QV90">
        <v>1</v>
      </c>
      <c r="QW90">
        <v>1</v>
      </c>
      <c r="QX90">
        <v>1</v>
      </c>
      <c r="QY90">
        <v>1</v>
      </c>
      <c r="QZ90">
        <v>1</v>
      </c>
      <c r="RA90">
        <v>1</v>
      </c>
      <c r="RB90">
        <v>1</v>
      </c>
      <c r="RC90">
        <v>1</v>
      </c>
      <c r="RD90">
        <v>1</v>
      </c>
      <c r="RE90">
        <v>1</v>
      </c>
      <c r="RF90">
        <v>1</v>
      </c>
      <c r="RG90">
        <v>1</v>
      </c>
      <c r="RH90">
        <v>1</v>
      </c>
      <c r="RI90">
        <v>1</v>
      </c>
      <c r="RJ90">
        <v>1</v>
      </c>
      <c r="RK90">
        <v>1</v>
      </c>
      <c r="RL90">
        <v>1</v>
      </c>
      <c r="RM90">
        <v>1</v>
      </c>
      <c r="RN90">
        <v>1</v>
      </c>
      <c r="RO90">
        <v>1</v>
      </c>
      <c r="RP90">
        <v>1</v>
      </c>
      <c r="RQ90">
        <v>1</v>
      </c>
      <c r="RR90">
        <v>1</v>
      </c>
      <c r="RS90">
        <v>1</v>
      </c>
      <c r="RT90">
        <v>1</v>
      </c>
      <c r="RU90">
        <v>1</v>
      </c>
      <c r="RV90">
        <v>1</v>
      </c>
      <c r="RW90">
        <v>1</v>
      </c>
      <c r="RX90">
        <v>1</v>
      </c>
      <c r="RY90">
        <v>1</v>
      </c>
      <c r="RZ90">
        <v>1</v>
      </c>
      <c r="SA90">
        <v>1</v>
      </c>
      <c r="SB90">
        <v>1</v>
      </c>
      <c r="SC90">
        <v>1</v>
      </c>
      <c r="SD90">
        <v>1</v>
      </c>
      <c r="SE90">
        <v>1</v>
      </c>
      <c r="SF90">
        <v>2</v>
      </c>
      <c r="SG90">
        <v>2</v>
      </c>
      <c r="SH90">
        <v>2</v>
      </c>
      <c r="SI90">
        <v>2</v>
      </c>
      <c r="SJ90">
        <v>2</v>
      </c>
      <c r="SK90">
        <v>2</v>
      </c>
      <c r="SL90">
        <v>2</v>
      </c>
      <c r="SM90">
        <v>2</v>
      </c>
      <c r="SN90">
        <v>2</v>
      </c>
      <c r="SO90">
        <v>2</v>
      </c>
      <c r="SP90">
        <v>2</v>
      </c>
      <c r="SQ90">
        <v>2</v>
      </c>
      <c r="SR90">
        <v>2</v>
      </c>
      <c r="SS90">
        <v>2</v>
      </c>
      <c r="ST90">
        <v>2</v>
      </c>
      <c r="SU90">
        <v>2</v>
      </c>
      <c r="SV90">
        <v>2</v>
      </c>
      <c r="SW90">
        <v>2</v>
      </c>
      <c r="SX90">
        <v>2</v>
      </c>
      <c r="SY90">
        <v>2</v>
      </c>
      <c r="SZ90">
        <v>2</v>
      </c>
      <c r="TA90">
        <v>0</v>
      </c>
      <c r="TB90">
        <v>0</v>
      </c>
      <c r="TC90">
        <v>0</v>
      </c>
      <c r="TD90">
        <v>0</v>
      </c>
      <c r="TE90">
        <v>0</v>
      </c>
      <c r="TF90">
        <v>0</v>
      </c>
      <c r="TG90">
        <v>0</v>
      </c>
      <c r="TH90">
        <v>0</v>
      </c>
      <c r="TI90">
        <v>0</v>
      </c>
      <c r="TJ90">
        <v>0</v>
      </c>
      <c r="TK90">
        <v>0</v>
      </c>
      <c r="TL90">
        <v>0</v>
      </c>
      <c r="TM90">
        <v>0</v>
      </c>
      <c r="TN90">
        <v>0</v>
      </c>
      <c r="TO90">
        <v>0</v>
      </c>
      <c r="TP90">
        <v>0</v>
      </c>
      <c r="TQ90">
        <v>0</v>
      </c>
      <c r="TR90">
        <v>0</v>
      </c>
      <c r="TS90">
        <v>0</v>
      </c>
      <c r="TT90">
        <v>0</v>
      </c>
      <c r="TU90">
        <v>0</v>
      </c>
      <c r="TV90">
        <v>0</v>
      </c>
      <c r="TW90">
        <v>0</v>
      </c>
      <c r="TX90">
        <v>0</v>
      </c>
      <c r="TY90">
        <v>0</v>
      </c>
      <c r="TZ90">
        <v>0</v>
      </c>
      <c r="UA90">
        <v>0</v>
      </c>
      <c r="UB90">
        <v>0</v>
      </c>
      <c r="UC90">
        <v>0</v>
      </c>
      <c r="UD90">
        <v>0</v>
      </c>
      <c r="UE90">
        <v>0</v>
      </c>
      <c r="UF90">
        <v>0</v>
      </c>
      <c r="UG90">
        <v>0</v>
      </c>
      <c r="UH90">
        <v>0</v>
      </c>
      <c r="UI90">
        <v>0</v>
      </c>
      <c r="UJ90">
        <v>0</v>
      </c>
      <c r="UK90">
        <v>0</v>
      </c>
      <c r="UL90">
        <v>0</v>
      </c>
      <c r="UM90">
        <v>0</v>
      </c>
      <c r="UN90">
        <v>0</v>
      </c>
      <c r="UO90">
        <v>0</v>
      </c>
      <c r="UP90">
        <v>0</v>
      </c>
      <c r="UQ90">
        <v>0</v>
      </c>
      <c r="UR90">
        <v>0</v>
      </c>
      <c r="US90">
        <v>0</v>
      </c>
      <c r="UT90">
        <v>0</v>
      </c>
      <c r="UU90">
        <v>0</v>
      </c>
      <c r="UV90">
        <v>0</v>
      </c>
      <c r="UW90">
        <v>0</v>
      </c>
      <c r="UX90">
        <v>0</v>
      </c>
      <c r="UY90">
        <v>0</v>
      </c>
      <c r="UZ90">
        <v>0</v>
      </c>
      <c r="VA90">
        <v>0</v>
      </c>
      <c r="VB90">
        <v>0</v>
      </c>
      <c r="VC90">
        <v>0</v>
      </c>
      <c r="VD90">
        <v>0</v>
      </c>
      <c r="VE90">
        <v>0</v>
      </c>
      <c r="VF90">
        <v>0</v>
      </c>
      <c r="VG90">
        <v>0</v>
      </c>
      <c r="VH90">
        <v>0</v>
      </c>
      <c r="VI90">
        <v>0</v>
      </c>
      <c r="VJ90">
        <v>0</v>
      </c>
      <c r="VK90">
        <v>1</v>
      </c>
      <c r="VL90">
        <v>1</v>
      </c>
      <c r="VM90">
        <v>1</v>
      </c>
      <c r="VN90">
        <v>1</v>
      </c>
      <c r="VO90">
        <v>1</v>
      </c>
      <c r="VP90">
        <v>1</v>
      </c>
      <c r="VQ90">
        <v>1</v>
      </c>
      <c r="VR90">
        <v>1</v>
      </c>
      <c r="VS90">
        <v>1</v>
      </c>
      <c r="VT90">
        <v>1</v>
      </c>
      <c r="VU90">
        <v>1</v>
      </c>
      <c r="VV90">
        <v>1</v>
      </c>
      <c r="VW90">
        <v>1</v>
      </c>
      <c r="VX90">
        <v>1</v>
      </c>
      <c r="VY90">
        <v>1</v>
      </c>
      <c r="VZ90">
        <v>1</v>
      </c>
      <c r="WA90">
        <v>1</v>
      </c>
      <c r="WB90">
        <v>1</v>
      </c>
      <c r="WC90">
        <v>1</v>
      </c>
      <c r="WD90">
        <v>1</v>
      </c>
      <c r="WE90">
        <v>1</v>
      </c>
      <c r="WF90">
        <v>1</v>
      </c>
      <c r="WG90">
        <v>1</v>
      </c>
      <c r="WH90">
        <v>1</v>
      </c>
      <c r="WI90">
        <v>1</v>
      </c>
      <c r="WJ90">
        <v>1</v>
      </c>
      <c r="WK90">
        <v>1</v>
      </c>
      <c r="WL90">
        <v>1</v>
      </c>
      <c r="WM90">
        <v>1</v>
      </c>
      <c r="WN90">
        <v>0</v>
      </c>
      <c r="WO90">
        <v>0</v>
      </c>
      <c r="WP90">
        <v>0</v>
      </c>
      <c r="WQ90">
        <v>0</v>
      </c>
      <c r="WR90">
        <v>0</v>
      </c>
      <c r="WS90">
        <v>0</v>
      </c>
      <c r="WT90">
        <v>0</v>
      </c>
      <c r="WU90">
        <v>0</v>
      </c>
      <c r="WV90">
        <v>0</v>
      </c>
      <c r="WW90">
        <v>0</v>
      </c>
      <c r="WX90">
        <v>0</v>
      </c>
      <c r="WY90">
        <v>0</v>
      </c>
      <c r="WZ90">
        <v>0</v>
      </c>
      <c r="XA90">
        <v>0</v>
      </c>
      <c r="XB90">
        <v>0</v>
      </c>
      <c r="XC90">
        <v>0</v>
      </c>
      <c r="XD90">
        <v>0</v>
      </c>
      <c r="XE90">
        <v>0</v>
      </c>
      <c r="XF90">
        <v>0</v>
      </c>
      <c r="XG90">
        <v>0</v>
      </c>
      <c r="XH90">
        <v>0</v>
      </c>
      <c r="XI90">
        <v>0</v>
      </c>
      <c r="XJ90">
        <v>0</v>
      </c>
      <c r="XK90">
        <v>0</v>
      </c>
      <c r="XL90">
        <v>0</v>
      </c>
      <c r="XM90">
        <v>0</v>
      </c>
      <c r="XN90">
        <v>0</v>
      </c>
      <c r="XO90">
        <v>0</v>
      </c>
      <c r="XP90">
        <v>0</v>
      </c>
      <c r="XQ90">
        <v>0</v>
      </c>
      <c r="XR90">
        <v>0</v>
      </c>
      <c r="XS90">
        <v>0</v>
      </c>
      <c r="XT90">
        <v>0</v>
      </c>
      <c r="XU90">
        <v>0</v>
      </c>
      <c r="XV90">
        <v>0</v>
      </c>
      <c r="XW90">
        <v>0</v>
      </c>
      <c r="XX90">
        <v>0</v>
      </c>
      <c r="XY90">
        <v>0</v>
      </c>
      <c r="XZ90">
        <v>0</v>
      </c>
      <c r="YA90">
        <v>0</v>
      </c>
      <c r="YB90">
        <v>0</v>
      </c>
      <c r="YC90">
        <v>0</v>
      </c>
      <c r="YD90">
        <v>0</v>
      </c>
      <c r="YE90">
        <v>0</v>
      </c>
      <c r="YF90">
        <v>0</v>
      </c>
      <c r="YG90">
        <v>0</v>
      </c>
      <c r="YH90">
        <v>0</v>
      </c>
      <c r="YI90">
        <v>0</v>
      </c>
      <c r="YJ90">
        <v>0</v>
      </c>
      <c r="YK90">
        <v>0</v>
      </c>
      <c r="YL90">
        <v>0</v>
      </c>
      <c r="YM90">
        <v>0</v>
      </c>
      <c r="YN90">
        <v>0</v>
      </c>
      <c r="YO90">
        <v>0</v>
      </c>
      <c r="YP90">
        <v>0</v>
      </c>
      <c r="YQ90">
        <v>0</v>
      </c>
      <c r="YR90">
        <v>0</v>
      </c>
      <c r="YS90">
        <v>0</v>
      </c>
      <c r="YT90">
        <v>0</v>
      </c>
      <c r="YU90">
        <v>0</v>
      </c>
      <c r="YV90">
        <v>0</v>
      </c>
      <c r="YW90">
        <v>0</v>
      </c>
      <c r="YX90">
        <v>0</v>
      </c>
      <c r="YY90">
        <v>0</v>
      </c>
      <c r="YZ90">
        <v>0</v>
      </c>
      <c r="ZA90">
        <v>0</v>
      </c>
      <c r="ZB90">
        <v>0</v>
      </c>
      <c r="ZC90">
        <v>0</v>
      </c>
      <c r="ZD90">
        <v>0</v>
      </c>
      <c r="ZE90">
        <v>0</v>
      </c>
      <c r="ZF90">
        <v>0</v>
      </c>
      <c r="ZG90">
        <v>0</v>
      </c>
      <c r="ZH90">
        <v>0</v>
      </c>
      <c r="ZI90">
        <v>0</v>
      </c>
      <c r="ZJ90">
        <v>0</v>
      </c>
      <c r="ZK90">
        <v>0</v>
      </c>
      <c r="ZL90">
        <v>0</v>
      </c>
      <c r="ZM90">
        <v>0</v>
      </c>
      <c r="ZN90">
        <v>0</v>
      </c>
      <c r="ZO90">
        <v>0</v>
      </c>
      <c r="ZP90">
        <v>0</v>
      </c>
      <c r="ZQ90">
        <v>0</v>
      </c>
      <c r="ZR90">
        <v>0</v>
      </c>
      <c r="ZS90">
        <v>0</v>
      </c>
      <c r="ZT90">
        <v>0</v>
      </c>
      <c r="ZU90">
        <v>0</v>
      </c>
      <c r="ZV90">
        <v>0</v>
      </c>
      <c r="ZW90">
        <v>0</v>
      </c>
      <c r="ZX90">
        <v>0</v>
      </c>
      <c r="ZY90">
        <v>0</v>
      </c>
      <c r="ZZ90">
        <v>0</v>
      </c>
      <c r="AAA90">
        <v>0</v>
      </c>
      <c r="AAB90">
        <v>0</v>
      </c>
      <c r="AAC90">
        <v>0</v>
      </c>
      <c r="AAD90">
        <v>0</v>
      </c>
      <c r="AAE90">
        <v>0</v>
      </c>
      <c r="AAF90">
        <v>0</v>
      </c>
      <c r="AAG90">
        <v>0</v>
      </c>
      <c r="AAH90">
        <v>0</v>
      </c>
      <c r="AAI90">
        <v>0</v>
      </c>
      <c r="AAJ90">
        <v>0</v>
      </c>
      <c r="AAK90">
        <v>0</v>
      </c>
      <c r="AAL90">
        <v>0</v>
      </c>
      <c r="AAM90">
        <v>0</v>
      </c>
      <c r="AAN90">
        <v>0</v>
      </c>
      <c r="AAO90">
        <v>0</v>
      </c>
      <c r="AAP90">
        <v>0</v>
      </c>
      <c r="AAQ90">
        <v>0</v>
      </c>
      <c r="AAR90">
        <v>0</v>
      </c>
      <c r="AAS90">
        <v>0</v>
      </c>
      <c r="AAT90">
        <v>0</v>
      </c>
      <c r="AAU90">
        <v>0</v>
      </c>
      <c r="AAV90">
        <v>0</v>
      </c>
      <c r="AAW90">
        <v>0</v>
      </c>
      <c r="AAX90">
        <v>0</v>
      </c>
      <c r="AAY90">
        <v>0</v>
      </c>
      <c r="AAZ90">
        <v>0</v>
      </c>
      <c r="ABA90">
        <v>0</v>
      </c>
      <c r="ABB90">
        <v>0</v>
      </c>
      <c r="ABC90">
        <v>0</v>
      </c>
      <c r="ABD90">
        <v>0</v>
      </c>
      <c r="ABE90">
        <v>0</v>
      </c>
      <c r="ABG90" s="1137">
        <f t="shared" si="21"/>
        <v>0</v>
      </c>
      <c r="ABH90" s="1137">
        <f t="shared" si="21"/>
        <v>0</v>
      </c>
      <c r="ABI90" s="1137">
        <f t="shared" si="21"/>
        <v>14</v>
      </c>
      <c r="ABJ90" s="1137">
        <f t="shared" si="21"/>
        <v>30</v>
      </c>
      <c r="ABK90" s="1137">
        <f t="shared" si="21"/>
        <v>31</v>
      </c>
      <c r="ABL90" s="1137">
        <f t="shared" si="21"/>
        <v>5</v>
      </c>
      <c r="ABM90" s="1137">
        <f t="shared" si="21"/>
        <v>0</v>
      </c>
      <c r="ABN90" s="1137">
        <f t="shared" si="21"/>
        <v>0</v>
      </c>
      <c r="ABO90" s="1137">
        <f t="shared" si="21"/>
        <v>0</v>
      </c>
      <c r="ABP90" s="1137">
        <f t="shared" si="21"/>
        <v>26</v>
      </c>
      <c r="ABQ90" s="1137">
        <f t="shared" si="21"/>
        <v>30</v>
      </c>
      <c r="ABR90" s="1137">
        <f t="shared" si="21"/>
        <v>31</v>
      </c>
      <c r="ABS90" s="1137">
        <f t="shared" si="21"/>
        <v>31</v>
      </c>
      <c r="ABT90" s="1137">
        <f t="shared" si="21"/>
        <v>7</v>
      </c>
      <c r="ABU90" s="1137">
        <f t="shared" si="21"/>
        <v>31</v>
      </c>
      <c r="ABV90" s="1137">
        <f t="shared" si="21"/>
        <v>30</v>
      </c>
      <c r="ABW90" s="1137">
        <f t="shared" si="17"/>
        <v>31</v>
      </c>
      <c r="ABX90" s="1137">
        <f t="shared" si="23"/>
        <v>1</v>
      </c>
      <c r="ABY90" s="1137">
        <f t="shared" si="23"/>
        <v>0</v>
      </c>
      <c r="ABZ90" s="1137">
        <f t="shared" si="23"/>
        <v>29</v>
      </c>
      <c r="ACA90" s="1137">
        <f t="shared" si="23"/>
        <v>0</v>
      </c>
      <c r="ACB90" s="1137">
        <f t="shared" si="23"/>
        <v>0</v>
      </c>
      <c r="ACC90" s="1137">
        <f t="shared" si="23"/>
        <v>0</v>
      </c>
      <c r="ACD90" s="1137">
        <f t="shared" si="23"/>
        <v>0</v>
      </c>
      <c r="ACE90" s="1137" t="s">
        <v>203</v>
      </c>
      <c r="ACF90" s="1137">
        <f t="shared" si="22"/>
        <v>0</v>
      </c>
      <c r="ACG90" s="1137">
        <f t="shared" si="22"/>
        <v>0</v>
      </c>
      <c r="ACH90" s="1137">
        <f t="shared" si="22"/>
        <v>1</v>
      </c>
      <c r="ACI90" s="1137">
        <f t="shared" si="22"/>
        <v>1</v>
      </c>
      <c r="ACJ90" s="1137">
        <f t="shared" si="22"/>
        <v>1</v>
      </c>
      <c r="ACK90" s="1137">
        <f t="shared" si="22"/>
        <v>0</v>
      </c>
      <c r="ACL90" s="1137">
        <f t="shared" si="22"/>
        <v>0</v>
      </c>
      <c r="ACM90" s="1137">
        <f t="shared" si="22"/>
        <v>0</v>
      </c>
      <c r="ACN90" s="1137">
        <f t="shared" si="22"/>
        <v>0</v>
      </c>
      <c r="ACO90" s="1137">
        <f t="shared" si="22"/>
        <v>1</v>
      </c>
      <c r="ACP90" s="1137">
        <f t="shared" si="22"/>
        <v>1</v>
      </c>
      <c r="ACQ90" s="1137">
        <f t="shared" si="22"/>
        <v>1</v>
      </c>
      <c r="ACR90" s="1137">
        <f t="shared" si="22"/>
        <v>1</v>
      </c>
      <c r="ACS90" s="1137">
        <f t="shared" si="22"/>
        <v>0</v>
      </c>
      <c r="ACT90" s="1137">
        <f t="shared" si="22"/>
        <v>1</v>
      </c>
      <c r="ACU90" s="1137">
        <f t="shared" si="22"/>
        <v>1</v>
      </c>
      <c r="ACV90" s="1137">
        <f t="shared" si="24"/>
        <v>1</v>
      </c>
      <c r="ACW90" s="1137">
        <f t="shared" si="24"/>
        <v>0</v>
      </c>
      <c r="ACX90" s="1137">
        <f t="shared" si="24"/>
        <v>0</v>
      </c>
      <c r="ACY90" s="1137">
        <f t="shared" si="24"/>
        <v>1</v>
      </c>
      <c r="ACZ90" s="1137">
        <f t="shared" si="24"/>
        <v>0</v>
      </c>
      <c r="ADA90" s="1137">
        <f t="shared" si="24"/>
        <v>0</v>
      </c>
      <c r="ADB90" s="1137">
        <f t="shared" si="16"/>
        <v>0</v>
      </c>
      <c r="ADC90" s="1137">
        <f t="shared" si="16"/>
        <v>0</v>
      </c>
    </row>
    <row r="91" spans="1:783" x14ac:dyDescent="0.25">
      <c r="A91" t="s">
        <v>1888</v>
      </c>
      <c r="B91" t="s">
        <v>202</v>
      </c>
      <c r="C91">
        <v>0</v>
      </c>
      <c r="D91">
        <v>0</v>
      </c>
      <c r="E91">
        <v>0</v>
      </c>
      <c r="F91">
        <v>0</v>
      </c>
      <c r="G91">
        <v>0</v>
      </c>
      <c r="H91">
        <v>0</v>
      </c>
      <c r="I91">
        <v>0</v>
      </c>
      <c r="J91">
        <v>0</v>
      </c>
      <c r="K91">
        <v>0</v>
      </c>
      <c r="L91">
        <v>0</v>
      </c>
      <c r="M91">
        <v>0</v>
      </c>
      <c r="N91">
        <v>0</v>
      </c>
      <c r="O91">
        <v>0</v>
      </c>
      <c r="P91">
        <v>0</v>
      </c>
      <c r="Q91">
        <v>0</v>
      </c>
      <c r="R91">
        <v>0</v>
      </c>
      <c r="S91">
        <v>0</v>
      </c>
      <c r="T91">
        <v>0</v>
      </c>
      <c r="U91">
        <v>0</v>
      </c>
      <c r="V91">
        <v>0</v>
      </c>
      <c r="W91">
        <v>0</v>
      </c>
      <c r="X91">
        <v>0</v>
      </c>
      <c r="Y91">
        <v>0</v>
      </c>
      <c r="Z91">
        <v>0</v>
      </c>
      <c r="AA91">
        <v>0</v>
      </c>
      <c r="AB91">
        <v>0</v>
      </c>
      <c r="AC91">
        <v>0</v>
      </c>
      <c r="AD91">
        <v>0</v>
      </c>
      <c r="AE91">
        <v>0</v>
      </c>
      <c r="AF91">
        <v>0</v>
      </c>
      <c r="AG91">
        <v>0</v>
      </c>
      <c r="AH91">
        <v>0</v>
      </c>
      <c r="AI91">
        <v>0</v>
      </c>
      <c r="AJ91">
        <v>0</v>
      </c>
      <c r="AK91">
        <v>0</v>
      </c>
      <c r="AL91">
        <v>0</v>
      </c>
      <c r="AM91">
        <v>0</v>
      </c>
      <c r="AN91">
        <v>0</v>
      </c>
      <c r="AO91">
        <v>0</v>
      </c>
      <c r="AP91">
        <v>0</v>
      </c>
      <c r="AQ91">
        <v>0</v>
      </c>
      <c r="AR91">
        <v>0</v>
      </c>
      <c r="AS91">
        <v>0</v>
      </c>
      <c r="AT91">
        <v>0</v>
      </c>
      <c r="AU91">
        <v>0</v>
      </c>
      <c r="AV91">
        <v>0</v>
      </c>
      <c r="AW91">
        <v>0</v>
      </c>
      <c r="AX91">
        <v>0</v>
      </c>
      <c r="AY91">
        <v>0</v>
      </c>
      <c r="AZ91">
        <v>0</v>
      </c>
      <c r="BA91">
        <v>0</v>
      </c>
      <c r="BB91">
        <v>0</v>
      </c>
      <c r="BC91">
        <v>0</v>
      </c>
      <c r="BD91">
        <v>0</v>
      </c>
      <c r="BE91">
        <v>0</v>
      </c>
      <c r="BF91">
        <v>1</v>
      </c>
      <c r="BG91">
        <v>1</v>
      </c>
      <c r="BH91">
        <v>1</v>
      </c>
      <c r="BI91">
        <v>1</v>
      </c>
      <c r="BJ91">
        <v>1</v>
      </c>
      <c r="BK91">
        <v>1</v>
      </c>
      <c r="BL91">
        <v>1</v>
      </c>
      <c r="BM91">
        <v>1</v>
      </c>
      <c r="BN91">
        <v>1</v>
      </c>
      <c r="BO91">
        <v>1</v>
      </c>
      <c r="BP91">
        <v>1</v>
      </c>
      <c r="BQ91">
        <v>1</v>
      </c>
      <c r="BR91">
        <v>1</v>
      </c>
      <c r="BS91">
        <v>1</v>
      </c>
      <c r="BT91">
        <v>1</v>
      </c>
      <c r="BU91">
        <v>1</v>
      </c>
      <c r="BV91">
        <v>1</v>
      </c>
      <c r="BW91">
        <v>1</v>
      </c>
      <c r="BX91">
        <v>1</v>
      </c>
      <c r="BY91">
        <v>1</v>
      </c>
      <c r="BZ91">
        <v>1</v>
      </c>
      <c r="CA91">
        <v>1</v>
      </c>
      <c r="CB91">
        <v>1</v>
      </c>
      <c r="CC91">
        <v>1</v>
      </c>
      <c r="CD91">
        <v>1</v>
      </c>
      <c r="CE91">
        <v>1</v>
      </c>
      <c r="CF91">
        <v>1</v>
      </c>
      <c r="CG91">
        <v>1</v>
      </c>
      <c r="CH91">
        <v>1</v>
      </c>
      <c r="CI91">
        <v>1</v>
      </c>
      <c r="CJ91">
        <v>1</v>
      </c>
      <c r="CK91">
        <v>1</v>
      </c>
      <c r="CL91">
        <v>1</v>
      </c>
      <c r="CM91">
        <v>1</v>
      </c>
      <c r="CN91">
        <v>1</v>
      </c>
      <c r="CO91">
        <v>1</v>
      </c>
      <c r="CP91">
        <v>1</v>
      </c>
      <c r="CQ91">
        <v>1</v>
      </c>
      <c r="CR91">
        <v>1</v>
      </c>
      <c r="CS91">
        <v>1</v>
      </c>
      <c r="CT91">
        <v>1</v>
      </c>
      <c r="CU91">
        <v>1</v>
      </c>
      <c r="CV91">
        <v>1</v>
      </c>
      <c r="CW91">
        <v>1</v>
      </c>
      <c r="CX91">
        <v>1</v>
      </c>
      <c r="CY91">
        <v>1</v>
      </c>
      <c r="CZ91">
        <v>1</v>
      </c>
      <c r="DA91">
        <v>1</v>
      </c>
      <c r="DB91">
        <v>1</v>
      </c>
      <c r="DC91">
        <v>1</v>
      </c>
      <c r="DD91">
        <v>1</v>
      </c>
      <c r="DE91">
        <v>1</v>
      </c>
      <c r="DF91">
        <v>1</v>
      </c>
      <c r="DG91">
        <v>1</v>
      </c>
      <c r="DH91">
        <v>1</v>
      </c>
      <c r="DI91">
        <v>1</v>
      </c>
      <c r="DJ91">
        <v>1</v>
      </c>
      <c r="DK91">
        <v>1</v>
      </c>
      <c r="DL91">
        <v>1</v>
      </c>
      <c r="DM91">
        <v>1</v>
      </c>
      <c r="DN91">
        <v>1</v>
      </c>
      <c r="DO91">
        <v>1</v>
      </c>
      <c r="DP91">
        <v>1</v>
      </c>
      <c r="DQ91">
        <v>1</v>
      </c>
      <c r="DR91">
        <v>1</v>
      </c>
      <c r="DS91">
        <v>1</v>
      </c>
      <c r="DT91">
        <v>1</v>
      </c>
      <c r="DU91">
        <v>1</v>
      </c>
      <c r="DV91">
        <v>1</v>
      </c>
      <c r="DW91">
        <v>1</v>
      </c>
      <c r="DX91">
        <v>1</v>
      </c>
      <c r="DY91">
        <v>1</v>
      </c>
      <c r="DZ91">
        <v>1</v>
      </c>
      <c r="EA91">
        <v>1</v>
      </c>
      <c r="EB91">
        <v>1</v>
      </c>
      <c r="EC91">
        <v>1</v>
      </c>
      <c r="ED91">
        <v>1</v>
      </c>
      <c r="EE91">
        <v>1</v>
      </c>
      <c r="EF91">
        <v>1</v>
      </c>
      <c r="EG91">
        <v>1</v>
      </c>
      <c r="EH91">
        <v>1</v>
      </c>
      <c r="EI91">
        <v>1</v>
      </c>
      <c r="EJ91">
        <v>1</v>
      </c>
      <c r="EK91">
        <v>1</v>
      </c>
      <c r="EL91">
        <v>1</v>
      </c>
      <c r="EM91">
        <v>1</v>
      </c>
      <c r="EN91">
        <v>1</v>
      </c>
      <c r="EO91">
        <v>1</v>
      </c>
      <c r="EP91">
        <v>1</v>
      </c>
      <c r="EQ91">
        <v>1</v>
      </c>
      <c r="ER91">
        <v>1</v>
      </c>
      <c r="ES91">
        <v>1</v>
      </c>
      <c r="ET91">
        <v>1</v>
      </c>
      <c r="EU91">
        <v>1</v>
      </c>
      <c r="EV91">
        <v>1</v>
      </c>
      <c r="EW91">
        <v>1</v>
      </c>
      <c r="EX91">
        <v>1</v>
      </c>
      <c r="EY91">
        <v>1</v>
      </c>
      <c r="EZ91">
        <v>1</v>
      </c>
      <c r="FA91">
        <v>1</v>
      </c>
      <c r="FB91">
        <v>1</v>
      </c>
      <c r="FC91">
        <v>1</v>
      </c>
      <c r="FD91">
        <v>1</v>
      </c>
      <c r="FE91">
        <v>1</v>
      </c>
      <c r="FF91">
        <v>1</v>
      </c>
      <c r="FG91">
        <v>1</v>
      </c>
      <c r="FH91">
        <v>1</v>
      </c>
      <c r="FI91">
        <v>1</v>
      </c>
      <c r="FJ91">
        <v>1</v>
      </c>
      <c r="FK91">
        <v>1</v>
      </c>
      <c r="FL91">
        <v>1</v>
      </c>
      <c r="FM91">
        <v>1</v>
      </c>
      <c r="FN91">
        <v>1</v>
      </c>
      <c r="FO91">
        <v>1</v>
      </c>
      <c r="FP91">
        <v>1</v>
      </c>
      <c r="FQ91">
        <v>1</v>
      </c>
      <c r="FR91">
        <v>1</v>
      </c>
      <c r="FS91">
        <v>0</v>
      </c>
      <c r="FT91">
        <v>0</v>
      </c>
      <c r="FU91">
        <v>0</v>
      </c>
      <c r="FV91">
        <v>0</v>
      </c>
      <c r="FW91">
        <v>0</v>
      </c>
      <c r="FX91">
        <v>0</v>
      </c>
      <c r="FY91">
        <v>0</v>
      </c>
      <c r="FZ91">
        <v>0</v>
      </c>
      <c r="GA91">
        <v>0</v>
      </c>
      <c r="GB91">
        <v>0</v>
      </c>
      <c r="GC91">
        <v>0</v>
      </c>
      <c r="GD91">
        <v>0</v>
      </c>
      <c r="GE91">
        <v>0</v>
      </c>
      <c r="GF91">
        <v>0</v>
      </c>
      <c r="GG91">
        <v>0</v>
      </c>
      <c r="GH91">
        <v>0</v>
      </c>
      <c r="GI91">
        <v>0</v>
      </c>
      <c r="GJ91">
        <v>0</v>
      </c>
      <c r="GK91">
        <v>0</v>
      </c>
      <c r="GL91">
        <v>0</v>
      </c>
      <c r="GM91">
        <v>0</v>
      </c>
      <c r="GN91">
        <v>0</v>
      </c>
      <c r="GO91">
        <v>0</v>
      </c>
      <c r="GP91">
        <v>0</v>
      </c>
      <c r="GQ91">
        <v>0</v>
      </c>
      <c r="GR91">
        <v>0</v>
      </c>
      <c r="GS91">
        <v>0</v>
      </c>
      <c r="GT91">
        <v>0</v>
      </c>
      <c r="GU91">
        <v>0</v>
      </c>
      <c r="GV91">
        <v>0</v>
      </c>
      <c r="GW91">
        <v>0</v>
      </c>
      <c r="GX91">
        <v>0</v>
      </c>
      <c r="GY91">
        <v>1</v>
      </c>
      <c r="GZ91">
        <v>1</v>
      </c>
      <c r="HA91">
        <v>1</v>
      </c>
      <c r="HB91">
        <v>1</v>
      </c>
      <c r="HC91">
        <v>1</v>
      </c>
      <c r="HD91">
        <v>1</v>
      </c>
      <c r="HE91">
        <v>1</v>
      </c>
      <c r="HF91">
        <v>1</v>
      </c>
      <c r="HG91">
        <v>1</v>
      </c>
      <c r="HH91">
        <v>1</v>
      </c>
      <c r="HI91">
        <v>1</v>
      </c>
      <c r="HJ91">
        <v>1</v>
      </c>
      <c r="HK91">
        <v>1</v>
      </c>
      <c r="HL91">
        <v>1</v>
      </c>
      <c r="HM91">
        <v>1</v>
      </c>
      <c r="HN91">
        <v>1</v>
      </c>
      <c r="HO91">
        <v>1</v>
      </c>
      <c r="HP91">
        <v>1</v>
      </c>
      <c r="HQ91">
        <v>1</v>
      </c>
      <c r="HR91">
        <v>1</v>
      </c>
      <c r="HS91">
        <v>1</v>
      </c>
      <c r="HT91">
        <v>1</v>
      </c>
      <c r="HU91">
        <v>1</v>
      </c>
      <c r="HV91">
        <v>1</v>
      </c>
      <c r="HW91">
        <v>1</v>
      </c>
      <c r="HX91">
        <v>1</v>
      </c>
      <c r="HY91">
        <v>1</v>
      </c>
      <c r="HZ91">
        <v>1</v>
      </c>
      <c r="IA91">
        <v>1</v>
      </c>
      <c r="IB91">
        <v>1</v>
      </c>
      <c r="IC91">
        <v>1</v>
      </c>
      <c r="ID91">
        <v>1</v>
      </c>
      <c r="IE91">
        <v>1</v>
      </c>
      <c r="IF91">
        <v>1</v>
      </c>
      <c r="IG91">
        <v>1</v>
      </c>
      <c r="IH91">
        <v>1</v>
      </c>
      <c r="II91">
        <v>1</v>
      </c>
      <c r="IJ91">
        <v>1</v>
      </c>
      <c r="IK91">
        <v>1</v>
      </c>
      <c r="IL91">
        <v>1</v>
      </c>
      <c r="IM91">
        <v>1</v>
      </c>
      <c r="IN91">
        <v>1</v>
      </c>
      <c r="IO91">
        <v>1</v>
      </c>
      <c r="IP91">
        <v>1</v>
      </c>
      <c r="IQ91">
        <v>1</v>
      </c>
      <c r="IR91">
        <v>1</v>
      </c>
      <c r="IS91">
        <v>1</v>
      </c>
      <c r="IT91">
        <v>1</v>
      </c>
      <c r="IU91">
        <v>1</v>
      </c>
      <c r="IV91">
        <v>1</v>
      </c>
      <c r="IW91">
        <v>1</v>
      </c>
      <c r="IX91">
        <v>1</v>
      </c>
      <c r="IY91">
        <v>1</v>
      </c>
      <c r="IZ91">
        <v>1</v>
      </c>
      <c r="JA91">
        <v>1</v>
      </c>
      <c r="JB91">
        <v>1</v>
      </c>
      <c r="JC91">
        <v>1</v>
      </c>
      <c r="JD91">
        <v>1</v>
      </c>
      <c r="JE91">
        <v>1</v>
      </c>
      <c r="JF91">
        <v>1</v>
      </c>
      <c r="JG91">
        <v>1</v>
      </c>
      <c r="JH91">
        <v>1</v>
      </c>
      <c r="JI91">
        <v>1</v>
      </c>
      <c r="JJ91">
        <v>1</v>
      </c>
      <c r="JK91">
        <v>1</v>
      </c>
      <c r="JL91">
        <v>1</v>
      </c>
      <c r="JM91">
        <v>1</v>
      </c>
      <c r="JN91">
        <v>1</v>
      </c>
      <c r="JO91">
        <v>1</v>
      </c>
      <c r="JP91">
        <v>1</v>
      </c>
      <c r="JQ91">
        <v>1</v>
      </c>
      <c r="JR91">
        <v>1</v>
      </c>
      <c r="JS91">
        <v>1</v>
      </c>
      <c r="JT91">
        <v>1</v>
      </c>
      <c r="JU91">
        <v>1</v>
      </c>
      <c r="JV91">
        <v>1</v>
      </c>
      <c r="JW91">
        <v>1</v>
      </c>
      <c r="JX91">
        <v>1</v>
      </c>
      <c r="JY91">
        <v>1</v>
      </c>
      <c r="JZ91">
        <v>1</v>
      </c>
      <c r="KA91">
        <v>1</v>
      </c>
      <c r="KB91">
        <v>1</v>
      </c>
      <c r="KC91">
        <v>1</v>
      </c>
      <c r="KD91">
        <v>1</v>
      </c>
      <c r="KE91">
        <v>1</v>
      </c>
      <c r="KF91">
        <v>1</v>
      </c>
      <c r="KG91">
        <v>1</v>
      </c>
      <c r="KH91">
        <v>1</v>
      </c>
      <c r="KI91">
        <v>1</v>
      </c>
      <c r="KJ91">
        <v>1</v>
      </c>
      <c r="KK91">
        <v>1</v>
      </c>
      <c r="KL91">
        <v>1</v>
      </c>
      <c r="KM91">
        <v>1</v>
      </c>
      <c r="KN91">
        <v>1</v>
      </c>
      <c r="KO91">
        <v>1</v>
      </c>
      <c r="KP91">
        <v>1</v>
      </c>
      <c r="KQ91">
        <v>1</v>
      </c>
      <c r="KR91">
        <v>1</v>
      </c>
      <c r="KS91">
        <v>1</v>
      </c>
      <c r="KT91">
        <v>1</v>
      </c>
      <c r="KU91">
        <v>1</v>
      </c>
      <c r="KV91">
        <v>1</v>
      </c>
      <c r="KW91">
        <v>1</v>
      </c>
      <c r="KX91">
        <v>1</v>
      </c>
      <c r="KY91">
        <v>1</v>
      </c>
      <c r="KZ91">
        <v>1</v>
      </c>
      <c r="LA91">
        <v>1</v>
      </c>
      <c r="LB91">
        <v>1</v>
      </c>
      <c r="LC91">
        <v>1</v>
      </c>
      <c r="LD91">
        <v>1</v>
      </c>
      <c r="LE91">
        <v>1</v>
      </c>
      <c r="LF91">
        <v>1</v>
      </c>
      <c r="LG91">
        <v>1</v>
      </c>
      <c r="LH91">
        <v>1</v>
      </c>
      <c r="LI91">
        <v>1</v>
      </c>
      <c r="LJ91">
        <v>1</v>
      </c>
      <c r="LK91">
        <v>1</v>
      </c>
      <c r="LL91">
        <v>1</v>
      </c>
      <c r="LM91">
        <v>1</v>
      </c>
      <c r="LN91">
        <v>1</v>
      </c>
      <c r="LO91">
        <v>1</v>
      </c>
      <c r="LP91">
        <v>1</v>
      </c>
      <c r="LQ91">
        <v>1</v>
      </c>
      <c r="LR91">
        <v>1</v>
      </c>
      <c r="LS91">
        <v>1</v>
      </c>
      <c r="LT91">
        <v>1</v>
      </c>
      <c r="LU91">
        <v>1</v>
      </c>
      <c r="LV91">
        <v>1</v>
      </c>
      <c r="LW91">
        <v>1</v>
      </c>
      <c r="LX91">
        <v>1</v>
      </c>
      <c r="LY91">
        <v>1</v>
      </c>
      <c r="LZ91">
        <v>1</v>
      </c>
      <c r="MA91">
        <v>1</v>
      </c>
      <c r="MB91">
        <v>1</v>
      </c>
      <c r="MC91">
        <v>1</v>
      </c>
      <c r="MD91">
        <v>1</v>
      </c>
      <c r="ME91">
        <v>1</v>
      </c>
      <c r="MF91">
        <v>1</v>
      </c>
      <c r="MG91">
        <v>1</v>
      </c>
      <c r="MH91">
        <v>1</v>
      </c>
      <c r="MI91">
        <v>1</v>
      </c>
      <c r="MJ91">
        <v>1</v>
      </c>
      <c r="MK91">
        <v>1</v>
      </c>
      <c r="ML91">
        <v>1</v>
      </c>
      <c r="MM91">
        <v>1</v>
      </c>
      <c r="MN91">
        <v>1</v>
      </c>
      <c r="MO91">
        <v>1</v>
      </c>
      <c r="MP91">
        <v>1</v>
      </c>
      <c r="MQ91">
        <v>1</v>
      </c>
      <c r="MR91">
        <v>1</v>
      </c>
      <c r="MS91">
        <v>1</v>
      </c>
      <c r="MT91">
        <v>1</v>
      </c>
      <c r="MU91">
        <v>1</v>
      </c>
      <c r="MV91">
        <v>1</v>
      </c>
      <c r="MW91">
        <v>1</v>
      </c>
      <c r="MX91">
        <v>1</v>
      </c>
      <c r="MY91">
        <v>1</v>
      </c>
      <c r="MZ91">
        <v>1</v>
      </c>
      <c r="NA91">
        <v>1</v>
      </c>
      <c r="NB91">
        <v>1</v>
      </c>
      <c r="NC91">
        <v>1</v>
      </c>
      <c r="ND91">
        <v>1</v>
      </c>
      <c r="NE91">
        <v>1</v>
      </c>
      <c r="NF91">
        <v>1</v>
      </c>
      <c r="NG91">
        <v>1</v>
      </c>
      <c r="NH91">
        <v>1</v>
      </c>
      <c r="NI91">
        <v>1</v>
      </c>
      <c r="NJ91">
        <v>1</v>
      </c>
      <c r="NK91">
        <v>1</v>
      </c>
      <c r="NL91">
        <v>1</v>
      </c>
      <c r="NM91">
        <v>1</v>
      </c>
      <c r="NN91">
        <v>1</v>
      </c>
      <c r="NO91">
        <v>1</v>
      </c>
      <c r="NP91">
        <v>1</v>
      </c>
      <c r="NQ91">
        <v>1</v>
      </c>
      <c r="NR91">
        <v>1</v>
      </c>
      <c r="NS91">
        <v>1</v>
      </c>
      <c r="NT91">
        <v>1</v>
      </c>
      <c r="NU91">
        <v>1</v>
      </c>
      <c r="NV91">
        <v>1</v>
      </c>
      <c r="NW91">
        <v>1</v>
      </c>
      <c r="NX91">
        <v>1</v>
      </c>
      <c r="NY91">
        <v>1</v>
      </c>
      <c r="NZ91">
        <v>1</v>
      </c>
      <c r="OA91">
        <v>1</v>
      </c>
      <c r="OB91">
        <v>1</v>
      </c>
      <c r="OC91">
        <v>1</v>
      </c>
      <c r="OD91">
        <v>1</v>
      </c>
      <c r="OE91">
        <v>1</v>
      </c>
      <c r="OF91">
        <v>1</v>
      </c>
      <c r="OG91">
        <v>1</v>
      </c>
      <c r="OH91">
        <v>1</v>
      </c>
      <c r="OI91">
        <v>1</v>
      </c>
      <c r="OJ91">
        <v>1</v>
      </c>
      <c r="OK91">
        <v>1</v>
      </c>
      <c r="OL91">
        <v>1</v>
      </c>
      <c r="OM91">
        <v>1</v>
      </c>
      <c r="ON91">
        <v>1</v>
      </c>
      <c r="OO91">
        <v>1</v>
      </c>
      <c r="OP91">
        <v>1</v>
      </c>
      <c r="OQ91">
        <v>1</v>
      </c>
      <c r="OR91">
        <v>1</v>
      </c>
      <c r="OS91">
        <v>1</v>
      </c>
      <c r="OT91">
        <v>1</v>
      </c>
      <c r="OU91">
        <v>1</v>
      </c>
      <c r="OV91">
        <v>1</v>
      </c>
      <c r="OW91">
        <v>1</v>
      </c>
      <c r="OX91">
        <v>1</v>
      </c>
      <c r="OY91">
        <v>1</v>
      </c>
      <c r="OZ91">
        <v>1</v>
      </c>
      <c r="PA91">
        <v>1</v>
      </c>
      <c r="PB91">
        <v>1</v>
      </c>
      <c r="PC91">
        <v>1</v>
      </c>
      <c r="PD91">
        <v>1</v>
      </c>
      <c r="PE91">
        <v>1</v>
      </c>
      <c r="PF91">
        <v>1</v>
      </c>
      <c r="PG91">
        <v>1</v>
      </c>
      <c r="PH91">
        <v>1</v>
      </c>
      <c r="PI91">
        <v>1</v>
      </c>
      <c r="PJ91">
        <v>1</v>
      </c>
      <c r="PK91">
        <v>1</v>
      </c>
      <c r="PL91">
        <v>1</v>
      </c>
      <c r="PM91">
        <v>1</v>
      </c>
      <c r="PN91">
        <v>1</v>
      </c>
      <c r="PO91">
        <v>1</v>
      </c>
      <c r="PP91">
        <v>1</v>
      </c>
      <c r="PQ91">
        <v>1</v>
      </c>
      <c r="PR91">
        <v>1</v>
      </c>
      <c r="PS91">
        <v>1</v>
      </c>
      <c r="PT91">
        <v>1</v>
      </c>
      <c r="PU91">
        <v>1</v>
      </c>
      <c r="PV91">
        <v>1</v>
      </c>
      <c r="PW91">
        <v>1</v>
      </c>
      <c r="PX91">
        <v>1</v>
      </c>
      <c r="PY91">
        <v>1</v>
      </c>
      <c r="PZ91">
        <v>1</v>
      </c>
      <c r="QA91">
        <v>1</v>
      </c>
      <c r="QB91">
        <v>1</v>
      </c>
      <c r="QC91">
        <v>1</v>
      </c>
      <c r="QD91">
        <v>1</v>
      </c>
      <c r="QE91">
        <v>1</v>
      </c>
      <c r="QF91">
        <v>1</v>
      </c>
      <c r="QG91">
        <v>1</v>
      </c>
      <c r="QH91">
        <v>1</v>
      </c>
      <c r="QI91">
        <v>1</v>
      </c>
      <c r="QJ91">
        <v>1</v>
      </c>
      <c r="QK91">
        <v>1</v>
      </c>
      <c r="QL91">
        <v>1</v>
      </c>
      <c r="QM91">
        <v>1</v>
      </c>
      <c r="QN91">
        <v>1</v>
      </c>
      <c r="QO91">
        <v>1</v>
      </c>
      <c r="QP91">
        <v>1</v>
      </c>
      <c r="QQ91">
        <v>1</v>
      </c>
      <c r="QR91">
        <v>1</v>
      </c>
      <c r="QS91">
        <v>1</v>
      </c>
      <c r="QT91">
        <v>1</v>
      </c>
      <c r="QU91">
        <v>1</v>
      </c>
      <c r="QV91">
        <v>1</v>
      </c>
      <c r="QW91">
        <v>1</v>
      </c>
      <c r="QX91">
        <v>1</v>
      </c>
      <c r="QY91">
        <v>1</v>
      </c>
      <c r="QZ91">
        <v>1</v>
      </c>
      <c r="RA91">
        <v>1</v>
      </c>
      <c r="RB91">
        <v>1</v>
      </c>
      <c r="RC91">
        <v>1</v>
      </c>
      <c r="RD91">
        <v>1</v>
      </c>
      <c r="RE91">
        <v>1</v>
      </c>
      <c r="RF91">
        <v>1</v>
      </c>
      <c r="RG91">
        <v>1</v>
      </c>
      <c r="RH91">
        <v>1</v>
      </c>
      <c r="RI91">
        <v>1</v>
      </c>
      <c r="RJ91">
        <v>1</v>
      </c>
      <c r="RK91">
        <v>1</v>
      </c>
      <c r="RL91">
        <v>1</v>
      </c>
      <c r="RM91">
        <v>1</v>
      </c>
      <c r="RN91">
        <v>1</v>
      </c>
      <c r="RO91">
        <v>1</v>
      </c>
      <c r="RP91">
        <v>1</v>
      </c>
      <c r="RQ91">
        <v>1</v>
      </c>
      <c r="RR91">
        <v>1</v>
      </c>
      <c r="RS91">
        <v>1</v>
      </c>
      <c r="RT91">
        <v>1</v>
      </c>
      <c r="RU91">
        <v>1</v>
      </c>
      <c r="RV91">
        <v>1</v>
      </c>
      <c r="RW91">
        <v>1</v>
      </c>
      <c r="RX91">
        <v>1</v>
      </c>
      <c r="RY91">
        <v>1</v>
      </c>
      <c r="RZ91">
        <v>1</v>
      </c>
      <c r="SA91">
        <v>1</v>
      </c>
      <c r="SB91">
        <v>1</v>
      </c>
      <c r="SC91">
        <v>1</v>
      </c>
      <c r="SD91">
        <v>1</v>
      </c>
      <c r="SE91">
        <v>1</v>
      </c>
      <c r="SF91">
        <v>1</v>
      </c>
      <c r="SG91">
        <v>1</v>
      </c>
      <c r="SH91">
        <v>1</v>
      </c>
      <c r="SI91">
        <v>1</v>
      </c>
      <c r="SJ91">
        <v>1</v>
      </c>
      <c r="SK91">
        <v>1</v>
      </c>
      <c r="SL91">
        <v>1</v>
      </c>
      <c r="SM91">
        <v>1</v>
      </c>
      <c r="SN91">
        <v>1</v>
      </c>
      <c r="SO91">
        <v>1</v>
      </c>
      <c r="SP91">
        <v>1</v>
      </c>
      <c r="SQ91">
        <v>1</v>
      </c>
      <c r="SR91">
        <v>1</v>
      </c>
      <c r="SS91">
        <v>1</v>
      </c>
      <c r="ST91">
        <v>1</v>
      </c>
      <c r="SU91">
        <v>1</v>
      </c>
      <c r="SV91">
        <v>1</v>
      </c>
      <c r="SW91">
        <v>1</v>
      </c>
      <c r="SX91">
        <v>1</v>
      </c>
      <c r="SY91">
        <v>1</v>
      </c>
      <c r="SZ91">
        <v>1</v>
      </c>
      <c r="TA91">
        <v>1</v>
      </c>
      <c r="TB91">
        <v>1</v>
      </c>
      <c r="TC91">
        <v>1</v>
      </c>
      <c r="TD91">
        <v>1</v>
      </c>
      <c r="TE91">
        <v>1</v>
      </c>
      <c r="TF91">
        <v>1</v>
      </c>
      <c r="TG91">
        <v>1</v>
      </c>
      <c r="TH91">
        <v>1</v>
      </c>
      <c r="TI91">
        <v>1</v>
      </c>
      <c r="TJ91">
        <v>1</v>
      </c>
      <c r="TK91">
        <v>1</v>
      </c>
      <c r="TL91">
        <v>1</v>
      </c>
      <c r="TM91">
        <v>1</v>
      </c>
      <c r="TN91">
        <v>1</v>
      </c>
      <c r="TO91">
        <v>1</v>
      </c>
      <c r="TP91">
        <v>1</v>
      </c>
      <c r="TQ91">
        <v>1</v>
      </c>
      <c r="TR91">
        <v>1</v>
      </c>
      <c r="TS91">
        <v>1</v>
      </c>
      <c r="TT91">
        <v>1</v>
      </c>
      <c r="TU91">
        <v>1</v>
      </c>
      <c r="TV91">
        <v>1</v>
      </c>
      <c r="TW91">
        <v>1</v>
      </c>
      <c r="TX91">
        <v>1</v>
      </c>
      <c r="TY91">
        <v>1</v>
      </c>
      <c r="TZ91">
        <v>1</v>
      </c>
      <c r="UA91">
        <v>1</v>
      </c>
      <c r="UB91">
        <v>1</v>
      </c>
      <c r="UC91">
        <v>1</v>
      </c>
      <c r="UD91">
        <v>1</v>
      </c>
      <c r="UE91">
        <v>1</v>
      </c>
      <c r="UF91">
        <v>1</v>
      </c>
      <c r="UG91">
        <v>1</v>
      </c>
      <c r="UH91">
        <v>1</v>
      </c>
      <c r="UI91">
        <v>1</v>
      </c>
      <c r="UJ91">
        <v>1</v>
      </c>
      <c r="UK91">
        <v>1</v>
      </c>
      <c r="UL91">
        <v>1</v>
      </c>
      <c r="UM91">
        <v>1</v>
      </c>
      <c r="UN91">
        <v>1</v>
      </c>
      <c r="UO91">
        <v>1</v>
      </c>
      <c r="UP91">
        <v>1</v>
      </c>
      <c r="UQ91">
        <v>1</v>
      </c>
      <c r="UR91">
        <v>1</v>
      </c>
      <c r="US91">
        <v>1</v>
      </c>
      <c r="UT91">
        <v>1</v>
      </c>
      <c r="UU91">
        <v>1</v>
      </c>
      <c r="UV91">
        <v>1</v>
      </c>
      <c r="UW91">
        <v>1</v>
      </c>
      <c r="UX91">
        <v>1</v>
      </c>
      <c r="UY91">
        <v>1</v>
      </c>
      <c r="UZ91">
        <v>1</v>
      </c>
      <c r="VA91">
        <v>1</v>
      </c>
      <c r="VB91">
        <v>1</v>
      </c>
      <c r="VC91">
        <v>1</v>
      </c>
      <c r="VD91">
        <v>1</v>
      </c>
      <c r="VE91">
        <v>1</v>
      </c>
      <c r="VF91">
        <v>1</v>
      </c>
      <c r="VG91">
        <v>1</v>
      </c>
      <c r="VH91">
        <v>1</v>
      </c>
      <c r="VI91">
        <v>1</v>
      </c>
      <c r="VJ91">
        <v>1</v>
      </c>
      <c r="VK91">
        <v>1</v>
      </c>
      <c r="VL91">
        <v>1</v>
      </c>
      <c r="VM91">
        <v>1</v>
      </c>
      <c r="VN91">
        <v>1</v>
      </c>
      <c r="VO91">
        <v>1</v>
      </c>
      <c r="VP91">
        <v>1</v>
      </c>
      <c r="VQ91">
        <v>1</v>
      </c>
      <c r="VR91">
        <v>1</v>
      </c>
      <c r="VS91">
        <v>1</v>
      </c>
      <c r="VT91">
        <v>1</v>
      </c>
      <c r="VU91">
        <v>1</v>
      </c>
      <c r="VV91">
        <v>1</v>
      </c>
      <c r="VW91">
        <v>1</v>
      </c>
      <c r="VX91">
        <v>1</v>
      </c>
      <c r="VY91">
        <v>1</v>
      </c>
      <c r="VZ91">
        <v>1</v>
      </c>
      <c r="WA91">
        <v>1</v>
      </c>
      <c r="WB91">
        <v>1</v>
      </c>
      <c r="WC91">
        <v>1</v>
      </c>
      <c r="WD91">
        <v>1</v>
      </c>
      <c r="WE91">
        <v>1</v>
      </c>
      <c r="WF91">
        <v>1</v>
      </c>
      <c r="WG91">
        <v>1</v>
      </c>
      <c r="WH91">
        <v>1</v>
      </c>
      <c r="WI91">
        <v>1</v>
      </c>
      <c r="WJ91">
        <v>1</v>
      </c>
      <c r="WK91">
        <v>1</v>
      </c>
      <c r="WL91">
        <v>1</v>
      </c>
      <c r="WM91">
        <v>1</v>
      </c>
      <c r="WN91">
        <v>1</v>
      </c>
      <c r="WO91">
        <v>1</v>
      </c>
      <c r="WP91">
        <v>1</v>
      </c>
      <c r="WQ91">
        <v>1</v>
      </c>
      <c r="WR91">
        <v>1</v>
      </c>
      <c r="WS91">
        <v>1</v>
      </c>
      <c r="WT91">
        <v>1</v>
      </c>
      <c r="WU91">
        <v>1</v>
      </c>
      <c r="WV91">
        <v>1</v>
      </c>
      <c r="WW91">
        <v>1</v>
      </c>
      <c r="WX91">
        <v>1</v>
      </c>
      <c r="WY91">
        <v>1</v>
      </c>
      <c r="WZ91">
        <v>1</v>
      </c>
      <c r="XA91">
        <v>1</v>
      </c>
      <c r="XB91">
        <v>1</v>
      </c>
      <c r="XC91">
        <v>1</v>
      </c>
      <c r="XD91">
        <v>1</v>
      </c>
      <c r="XE91">
        <v>1</v>
      </c>
      <c r="XF91">
        <v>1</v>
      </c>
      <c r="XG91">
        <v>1</v>
      </c>
      <c r="XH91">
        <v>1</v>
      </c>
      <c r="XI91">
        <v>1</v>
      </c>
      <c r="XJ91">
        <v>1</v>
      </c>
      <c r="XK91">
        <v>1</v>
      </c>
      <c r="XL91">
        <v>1</v>
      </c>
      <c r="XM91">
        <v>1</v>
      </c>
      <c r="XN91">
        <v>1</v>
      </c>
      <c r="XO91">
        <v>1</v>
      </c>
      <c r="XP91">
        <v>1</v>
      </c>
      <c r="XQ91">
        <v>1</v>
      </c>
      <c r="XR91">
        <v>1</v>
      </c>
      <c r="XS91">
        <v>1</v>
      </c>
      <c r="XT91">
        <v>1</v>
      </c>
      <c r="XU91">
        <v>1</v>
      </c>
      <c r="XV91">
        <v>1</v>
      </c>
      <c r="XW91">
        <v>1</v>
      </c>
      <c r="XX91">
        <v>1</v>
      </c>
      <c r="XY91">
        <v>1</v>
      </c>
      <c r="XZ91">
        <v>1</v>
      </c>
      <c r="YA91">
        <v>1</v>
      </c>
      <c r="YB91">
        <v>1</v>
      </c>
      <c r="YC91">
        <v>1</v>
      </c>
      <c r="YD91">
        <v>1</v>
      </c>
      <c r="YE91">
        <v>1</v>
      </c>
      <c r="YF91">
        <v>1</v>
      </c>
      <c r="YG91">
        <v>1</v>
      </c>
      <c r="YH91">
        <v>1</v>
      </c>
      <c r="YI91">
        <v>1</v>
      </c>
      <c r="YJ91">
        <v>1</v>
      </c>
      <c r="YK91">
        <v>1</v>
      </c>
      <c r="YL91">
        <v>1</v>
      </c>
      <c r="YM91">
        <v>1</v>
      </c>
      <c r="YN91">
        <v>1</v>
      </c>
      <c r="YO91">
        <v>1</v>
      </c>
      <c r="YP91">
        <v>1</v>
      </c>
      <c r="YQ91">
        <v>1</v>
      </c>
      <c r="YR91">
        <v>1</v>
      </c>
      <c r="YS91">
        <v>1</v>
      </c>
      <c r="YT91">
        <v>1</v>
      </c>
      <c r="YU91">
        <v>1</v>
      </c>
      <c r="YV91">
        <v>1</v>
      </c>
      <c r="YW91">
        <v>1</v>
      </c>
      <c r="YX91">
        <v>1</v>
      </c>
      <c r="YY91">
        <v>1</v>
      </c>
      <c r="YZ91">
        <v>1</v>
      </c>
      <c r="ZA91">
        <v>1</v>
      </c>
      <c r="ZB91">
        <v>1</v>
      </c>
      <c r="ZC91">
        <v>1</v>
      </c>
      <c r="ZD91">
        <v>1</v>
      </c>
      <c r="ZE91">
        <v>1</v>
      </c>
      <c r="ZF91">
        <v>1</v>
      </c>
      <c r="ZG91">
        <v>1</v>
      </c>
      <c r="ZH91">
        <v>1</v>
      </c>
      <c r="ZI91">
        <v>1</v>
      </c>
      <c r="ZJ91">
        <v>1</v>
      </c>
      <c r="ZK91">
        <v>1</v>
      </c>
      <c r="ZL91">
        <v>1</v>
      </c>
      <c r="ZM91">
        <v>1</v>
      </c>
      <c r="ZN91">
        <v>1</v>
      </c>
      <c r="ZO91">
        <v>1</v>
      </c>
      <c r="ZP91">
        <v>1</v>
      </c>
      <c r="ZQ91">
        <v>1</v>
      </c>
      <c r="ZR91">
        <v>1</v>
      </c>
      <c r="ZS91">
        <v>1</v>
      </c>
      <c r="ZT91">
        <v>1</v>
      </c>
      <c r="ZU91">
        <v>1</v>
      </c>
      <c r="ZV91">
        <v>1</v>
      </c>
      <c r="ZW91">
        <v>1</v>
      </c>
      <c r="ZX91">
        <v>1</v>
      </c>
      <c r="ZY91">
        <v>1</v>
      </c>
      <c r="ZZ91">
        <v>1</v>
      </c>
      <c r="AAA91">
        <v>1</v>
      </c>
      <c r="AAB91">
        <v>1</v>
      </c>
      <c r="AAC91">
        <v>1</v>
      </c>
      <c r="AAD91">
        <v>1</v>
      </c>
      <c r="AAE91">
        <v>1</v>
      </c>
      <c r="AAF91">
        <v>1</v>
      </c>
      <c r="AAG91">
        <v>1</v>
      </c>
      <c r="AAH91">
        <v>1</v>
      </c>
      <c r="AAI91">
        <v>1</v>
      </c>
      <c r="AAJ91">
        <v>1</v>
      </c>
      <c r="AAK91">
        <v>1</v>
      </c>
      <c r="AAL91">
        <v>1</v>
      </c>
      <c r="AAM91">
        <v>1</v>
      </c>
      <c r="AAN91">
        <v>1</v>
      </c>
      <c r="AAO91">
        <v>1</v>
      </c>
      <c r="AAP91">
        <v>1</v>
      </c>
      <c r="AAQ91">
        <v>1</v>
      </c>
      <c r="AAR91">
        <v>1</v>
      </c>
      <c r="AAS91">
        <v>1</v>
      </c>
      <c r="AAT91">
        <v>1</v>
      </c>
      <c r="AAU91">
        <v>1</v>
      </c>
      <c r="AAV91">
        <v>1</v>
      </c>
      <c r="AAW91">
        <v>1</v>
      </c>
      <c r="AAX91">
        <v>1</v>
      </c>
      <c r="AAY91">
        <v>1</v>
      </c>
      <c r="AAZ91">
        <v>1</v>
      </c>
      <c r="ABA91">
        <v>1</v>
      </c>
      <c r="ABB91">
        <v>1</v>
      </c>
      <c r="ABC91">
        <v>1</v>
      </c>
      <c r="ABD91">
        <v>1</v>
      </c>
      <c r="ABE91">
        <v>1</v>
      </c>
      <c r="ABG91" s="1137">
        <f t="shared" si="21"/>
        <v>0</v>
      </c>
      <c r="ABH91" s="1137">
        <f t="shared" si="21"/>
        <v>5</v>
      </c>
      <c r="ABI91" s="1137">
        <f t="shared" si="21"/>
        <v>31</v>
      </c>
      <c r="ABJ91" s="1137">
        <f t="shared" si="21"/>
        <v>30</v>
      </c>
      <c r="ABK91" s="1137">
        <f t="shared" si="21"/>
        <v>31</v>
      </c>
      <c r="ABL91" s="1137">
        <f t="shared" si="21"/>
        <v>20</v>
      </c>
      <c r="ABM91" s="1137">
        <f t="shared" si="21"/>
        <v>9</v>
      </c>
      <c r="ABN91" s="1137">
        <f t="shared" si="21"/>
        <v>31</v>
      </c>
      <c r="ABO91" s="1137">
        <f t="shared" si="21"/>
        <v>30</v>
      </c>
      <c r="ABP91" s="1137">
        <f t="shared" si="21"/>
        <v>31</v>
      </c>
      <c r="ABQ91" s="1137">
        <f t="shared" si="21"/>
        <v>30</v>
      </c>
      <c r="ABR91" s="1137">
        <f t="shared" si="21"/>
        <v>31</v>
      </c>
      <c r="ABS91" s="1137">
        <f t="shared" si="21"/>
        <v>31</v>
      </c>
      <c r="ABT91" s="1137">
        <f t="shared" si="21"/>
        <v>28</v>
      </c>
      <c r="ABU91" s="1137">
        <f t="shared" si="21"/>
        <v>31</v>
      </c>
      <c r="ABV91" s="1137">
        <f t="shared" si="21"/>
        <v>30</v>
      </c>
      <c r="ABW91" s="1137">
        <f t="shared" si="17"/>
        <v>31</v>
      </c>
      <c r="ABX91" s="1137">
        <f t="shared" si="23"/>
        <v>30</v>
      </c>
      <c r="ABY91" s="1137">
        <f t="shared" si="23"/>
        <v>31</v>
      </c>
      <c r="ABZ91" s="1137">
        <f t="shared" si="23"/>
        <v>31</v>
      </c>
      <c r="ACA91" s="1137">
        <f t="shared" si="23"/>
        <v>30</v>
      </c>
      <c r="ACB91" s="1137">
        <f t="shared" si="23"/>
        <v>31</v>
      </c>
      <c r="ACC91" s="1137">
        <f t="shared" si="23"/>
        <v>30</v>
      </c>
      <c r="ACD91" s="1137">
        <f t="shared" si="23"/>
        <v>31</v>
      </c>
      <c r="ACE91" s="1137" t="s">
        <v>202</v>
      </c>
      <c r="ACF91" s="1137">
        <f t="shared" si="22"/>
        <v>0</v>
      </c>
      <c r="ACG91" s="1137">
        <f t="shared" si="22"/>
        <v>0</v>
      </c>
      <c r="ACH91" s="1137">
        <f t="shared" si="22"/>
        <v>1</v>
      </c>
      <c r="ACI91" s="1137">
        <f t="shared" si="22"/>
        <v>1</v>
      </c>
      <c r="ACJ91" s="1137">
        <f t="shared" si="22"/>
        <v>1</v>
      </c>
      <c r="ACK91" s="1137">
        <f t="shared" si="22"/>
        <v>1</v>
      </c>
      <c r="ACL91" s="1137">
        <f t="shared" si="22"/>
        <v>0</v>
      </c>
      <c r="ACM91" s="1137">
        <f t="shared" si="22"/>
        <v>1</v>
      </c>
      <c r="ACN91" s="1137">
        <f t="shared" si="22"/>
        <v>1</v>
      </c>
      <c r="ACO91" s="1137">
        <f t="shared" si="22"/>
        <v>1</v>
      </c>
      <c r="ACP91" s="1137">
        <f t="shared" si="22"/>
        <v>1</v>
      </c>
      <c r="ACQ91" s="1137">
        <f t="shared" si="22"/>
        <v>1</v>
      </c>
      <c r="ACR91" s="1137">
        <f t="shared" si="22"/>
        <v>1</v>
      </c>
      <c r="ACS91" s="1137">
        <f t="shared" si="22"/>
        <v>1</v>
      </c>
      <c r="ACT91" s="1137">
        <f t="shared" si="22"/>
        <v>1</v>
      </c>
      <c r="ACU91" s="1137">
        <f t="shared" si="22"/>
        <v>1</v>
      </c>
      <c r="ACV91" s="1137">
        <f t="shared" si="24"/>
        <v>1</v>
      </c>
      <c r="ACW91" s="1137">
        <f t="shared" si="24"/>
        <v>1</v>
      </c>
      <c r="ACX91" s="1137">
        <f t="shared" si="24"/>
        <v>1</v>
      </c>
      <c r="ACY91" s="1137">
        <f t="shared" si="24"/>
        <v>1</v>
      </c>
      <c r="ACZ91" s="1137">
        <f t="shared" si="24"/>
        <v>1</v>
      </c>
      <c r="ADA91" s="1137">
        <f t="shared" si="24"/>
        <v>1</v>
      </c>
      <c r="ADB91" s="1137">
        <f t="shared" si="16"/>
        <v>1</v>
      </c>
      <c r="ADC91" s="1137">
        <f t="shared" si="16"/>
        <v>1</v>
      </c>
    </row>
    <row r="92" spans="1:783" x14ac:dyDescent="0.25">
      <c r="A92" t="s">
        <v>1889</v>
      </c>
      <c r="B92" t="s">
        <v>204</v>
      </c>
      <c r="C92">
        <v>0</v>
      </c>
      <c r="D92">
        <v>0</v>
      </c>
      <c r="E92">
        <v>0</v>
      </c>
      <c r="F92">
        <v>0</v>
      </c>
      <c r="G92">
        <v>0</v>
      </c>
      <c r="H92">
        <v>0</v>
      </c>
      <c r="I92">
        <v>0</v>
      </c>
      <c r="J92">
        <v>0</v>
      </c>
      <c r="K92">
        <v>0</v>
      </c>
      <c r="L92">
        <v>0</v>
      </c>
      <c r="M92">
        <v>0</v>
      </c>
      <c r="N92">
        <v>0</v>
      </c>
      <c r="O92">
        <v>0</v>
      </c>
      <c r="P92">
        <v>0</v>
      </c>
      <c r="Q92">
        <v>0</v>
      </c>
      <c r="R92">
        <v>0</v>
      </c>
      <c r="S92">
        <v>0</v>
      </c>
      <c r="T92">
        <v>0</v>
      </c>
      <c r="U92">
        <v>0</v>
      </c>
      <c r="V92">
        <v>0</v>
      </c>
      <c r="W92">
        <v>0</v>
      </c>
      <c r="X92">
        <v>0</v>
      </c>
      <c r="Y92">
        <v>0</v>
      </c>
      <c r="Z92">
        <v>0</v>
      </c>
      <c r="AA92">
        <v>0</v>
      </c>
      <c r="AB92">
        <v>0</v>
      </c>
      <c r="AC92">
        <v>0</v>
      </c>
      <c r="AD92">
        <v>0</v>
      </c>
      <c r="AE92">
        <v>0</v>
      </c>
      <c r="AF92">
        <v>0</v>
      </c>
      <c r="AG92">
        <v>0</v>
      </c>
      <c r="AH92">
        <v>0</v>
      </c>
      <c r="AI92">
        <v>0</v>
      </c>
      <c r="AJ92">
        <v>0</v>
      </c>
      <c r="AK92">
        <v>0</v>
      </c>
      <c r="AL92">
        <v>0</v>
      </c>
      <c r="AM92">
        <v>0</v>
      </c>
      <c r="AN92">
        <v>0</v>
      </c>
      <c r="AO92">
        <v>0</v>
      </c>
      <c r="AP92">
        <v>0</v>
      </c>
      <c r="AQ92">
        <v>0</v>
      </c>
      <c r="AR92">
        <v>0</v>
      </c>
      <c r="AS92">
        <v>0</v>
      </c>
      <c r="AT92">
        <v>0</v>
      </c>
      <c r="AU92">
        <v>0</v>
      </c>
      <c r="AV92">
        <v>0</v>
      </c>
      <c r="AW92">
        <v>0</v>
      </c>
      <c r="AX92">
        <v>0</v>
      </c>
      <c r="AY92">
        <v>0</v>
      </c>
      <c r="AZ92">
        <v>0</v>
      </c>
      <c r="BA92">
        <v>0</v>
      </c>
      <c r="BB92">
        <v>0</v>
      </c>
      <c r="BC92">
        <v>0</v>
      </c>
      <c r="BD92">
        <v>0</v>
      </c>
      <c r="BE92">
        <v>0</v>
      </c>
      <c r="BF92">
        <v>0</v>
      </c>
      <c r="BG92">
        <v>0</v>
      </c>
      <c r="BH92">
        <v>0</v>
      </c>
      <c r="BI92">
        <v>0</v>
      </c>
      <c r="BJ92">
        <v>0</v>
      </c>
      <c r="BK92">
        <v>0</v>
      </c>
      <c r="BL92">
        <v>0</v>
      </c>
      <c r="BM92">
        <v>0</v>
      </c>
      <c r="BN92">
        <v>0</v>
      </c>
      <c r="BO92">
        <v>0</v>
      </c>
      <c r="BP92">
        <v>0</v>
      </c>
      <c r="BQ92">
        <v>0</v>
      </c>
      <c r="BR92">
        <v>0</v>
      </c>
      <c r="BS92">
        <v>0</v>
      </c>
      <c r="BT92">
        <v>0</v>
      </c>
      <c r="BU92">
        <v>0</v>
      </c>
      <c r="BV92">
        <v>0</v>
      </c>
      <c r="BW92">
        <v>0</v>
      </c>
      <c r="BX92">
        <v>0</v>
      </c>
      <c r="BY92">
        <v>0</v>
      </c>
      <c r="BZ92">
        <v>0</v>
      </c>
      <c r="CA92">
        <v>0</v>
      </c>
      <c r="CB92">
        <v>2</v>
      </c>
      <c r="CC92">
        <v>2</v>
      </c>
      <c r="CD92">
        <v>2</v>
      </c>
      <c r="CE92">
        <v>2</v>
      </c>
      <c r="CF92">
        <v>2</v>
      </c>
      <c r="CG92">
        <v>2</v>
      </c>
      <c r="CH92">
        <v>2</v>
      </c>
      <c r="CI92">
        <v>2</v>
      </c>
      <c r="CJ92">
        <v>2</v>
      </c>
      <c r="CK92">
        <v>2</v>
      </c>
      <c r="CL92">
        <v>2</v>
      </c>
      <c r="CM92">
        <v>2</v>
      </c>
      <c r="CN92">
        <v>2</v>
      </c>
      <c r="CO92">
        <v>2</v>
      </c>
      <c r="CP92">
        <v>2</v>
      </c>
      <c r="CQ92">
        <v>2</v>
      </c>
      <c r="CR92">
        <v>2</v>
      </c>
      <c r="CS92">
        <v>2</v>
      </c>
      <c r="CT92">
        <v>2</v>
      </c>
      <c r="CU92">
        <v>2</v>
      </c>
      <c r="CV92">
        <v>2</v>
      </c>
      <c r="CW92">
        <v>2</v>
      </c>
      <c r="CX92">
        <v>2</v>
      </c>
      <c r="CY92">
        <v>2</v>
      </c>
      <c r="CZ92">
        <v>2</v>
      </c>
      <c r="DA92">
        <v>2</v>
      </c>
      <c r="DB92">
        <v>2</v>
      </c>
      <c r="DC92">
        <v>2</v>
      </c>
      <c r="DD92">
        <v>2</v>
      </c>
      <c r="DE92">
        <v>2</v>
      </c>
      <c r="DF92">
        <v>2</v>
      </c>
      <c r="DG92">
        <v>2</v>
      </c>
      <c r="DH92">
        <v>2</v>
      </c>
      <c r="DI92">
        <v>2</v>
      </c>
      <c r="DJ92">
        <v>2</v>
      </c>
      <c r="DK92">
        <v>2</v>
      </c>
      <c r="DL92">
        <v>2</v>
      </c>
      <c r="DM92">
        <v>2</v>
      </c>
      <c r="DN92">
        <v>2</v>
      </c>
      <c r="DO92">
        <v>2</v>
      </c>
      <c r="DP92">
        <v>2</v>
      </c>
      <c r="DQ92">
        <v>2</v>
      </c>
      <c r="DR92">
        <v>2</v>
      </c>
      <c r="DS92">
        <v>2</v>
      </c>
      <c r="DT92">
        <v>2</v>
      </c>
      <c r="DU92">
        <v>2</v>
      </c>
      <c r="DV92">
        <v>2</v>
      </c>
      <c r="DW92">
        <v>2</v>
      </c>
      <c r="DX92">
        <v>2</v>
      </c>
      <c r="DY92">
        <v>2</v>
      </c>
      <c r="DZ92">
        <v>2</v>
      </c>
      <c r="EA92">
        <v>2</v>
      </c>
      <c r="EB92">
        <v>2</v>
      </c>
      <c r="EC92">
        <v>2</v>
      </c>
      <c r="ED92">
        <v>2</v>
      </c>
      <c r="EE92">
        <v>2</v>
      </c>
      <c r="EF92">
        <v>2</v>
      </c>
      <c r="EG92">
        <v>2</v>
      </c>
      <c r="EH92">
        <v>2</v>
      </c>
      <c r="EI92">
        <v>2</v>
      </c>
      <c r="EJ92">
        <v>2</v>
      </c>
      <c r="EK92">
        <v>2</v>
      </c>
      <c r="EL92">
        <v>2</v>
      </c>
      <c r="EM92">
        <v>2</v>
      </c>
      <c r="EN92">
        <v>2</v>
      </c>
      <c r="EO92">
        <v>2</v>
      </c>
      <c r="EP92">
        <v>2</v>
      </c>
      <c r="EQ92">
        <v>2</v>
      </c>
      <c r="ER92">
        <v>2</v>
      </c>
      <c r="ES92">
        <v>2</v>
      </c>
      <c r="ET92">
        <v>2</v>
      </c>
      <c r="EU92">
        <v>2</v>
      </c>
      <c r="EV92">
        <v>2</v>
      </c>
      <c r="EW92">
        <v>2</v>
      </c>
      <c r="EX92">
        <v>2</v>
      </c>
      <c r="EY92">
        <v>1</v>
      </c>
      <c r="EZ92">
        <v>1</v>
      </c>
      <c r="FA92">
        <v>1</v>
      </c>
      <c r="FB92">
        <v>1</v>
      </c>
      <c r="FC92">
        <v>1</v>
      </c>
      <c r="FD92">
        <v>1</v>
      </c>
      <c r="FE92">
        <v>1</v>
      </c>
      <c r="FF92">
        <v>1</v>
      </c>
      <c r="FG92">
        <v>1</v>
      </c>
      <c r="FH92">
        <v>1</v>
      </c>
      <c r="FI92">
        <v>1</v>
      </c>
      <c r="FJ92">
        <v>1</v>
      </c>
      <c r="FK92">
        <v>1</v>
      </c>
      <c r="FL92">
        <v>1</v>
      </c>
      <c r="FM92">
        <v>1</v>
      </c>
      <c r="FN92">
        <v>1</v>
      </c>
      <c r="FO92">
        <v>1</v>
      </c>
      <c r="FP92">
        <v>1</v>
      </c>
      <c r="FQ92">
        <v>1</v>
      </c>
      <c r="FR92">
        <v>1</v>
      </c>
      <c r="FS92">
        <v>1</v>
      </c>
      <c r="FT92">
        <v>1</v>
      </c>
      <c r="FU92">
        <v>1</v>
      </c>
      <c r="FV92">
        <v>1</v>
      </c>
      <c r="FW92">
        <v>1</v>
      </c>
      <c r="FX92">
        <v>1</v>
      </c>
      <c r="FY92">
        <v>1</v>
      </c>
      <c r="FZ92">
        <v>1</v>
      </c>
      <c r="GA92">
        <v>1</v>
      </c>
      <c r="GB92">
        <v>1</v>
      </c>
      <c r="GC92">
        <v>1</v>
      </c>
      <c r="GD92">
        <v>1</v>
      </c>
      <c r="GE92">
        <v>1</v>
      </c>
      <c r="GF92">
        <v>1</v>
      </c>
      <c r="GG92">
        <v>2</v>
      </c>
      <c r="GH92">
        <v>2</v>
      </c>
      <c r="GI92">
        <v>2</v>
      </c>
      <c r="GJ92">
        <v>2</v>
      </c>
      <c r="GK92">
        <v>2</v>
      </c>
      <c r="GL92">
        <v>2</v>
      </c>
      <c r="GM92">
        <v>2</v>
      </c>
      <c r="GN92">
        <v>2</v>
      </c>
      <c r="GO92">
        <v>2</v>
      </c>
      <c r="GP92">
        <v>2</v>
      </c>
      <c r="GQ92">
        <v>2</v>
      </c>
      <c r="GR92">
        <v>2</v>
      </c>
      <c r="GS92">
        <v>2</v>
      </c>
      <c r="GT92">
        <v>2</v>
      </c>
      <c r="GU92">
        <v>2</v>
      </c>
      <c r="GV92">
        <v>2</v>
      </c>
      <c r="GW92">
        <v>2</v>
      </c>
      <c r="GX92">
        <v>2</v>
      </c>
      <c r="GY92">
        <v>2</v>
      </c>
      <c r="GZ92">
        <v>2</v>
      </c>
      <c r="HA92">
        <v>2</v>
      </c>
      <c r="HB92">
        <v>2</v>
      </c>
      <c r="HC92">
        <v>2</v>
      </c>
      <c r="HD92">
        <v>2</v>
      </c>
      <c r="HE92">
        <v>2</v>
      </c>
      <c r="HF92">
        <v>2</v>
      </c>
      <c r="HG92">
        <v>2</v>
      </c>
      <c r="HH92">
        <v>2</v>
      </c>
      <c r="HI92">
        <v>2</v>
      </c>
      <c r="HJ92">
        <v>2</v>
      </c>
      <c r="HK92">
        <v>2</v>
      </c>
      <c r="HL92">
        <v>2</v>
      </c>
      <c r="HM92">
        <v>2</v>
      </c>
      <c r="HN92">
        <v>2</v>
      </c>
      <c r="HO92">
        <v>2</v>
      </c>
      <c r="HP92">
        <v>2</v>
      </c>
      <c r="HQ92">
        <v>2</v>
      </c>
      <c r="HR92">
        <v>2</v>
      </c>
      <c r="HS92">
        <v>2</v>
      </c>
      <c r="HT92">
        <v>2</v>
      </c>
      <c r="HU92">
        <v>2</v>
      </c>
      <c r="HV92">
        <v>2</v>
      </c>
      <c r="HW92">
        <v>2</v>
      </c>
      <c r="HX92">
        <v>2</v>
      </c>
      <c r="HY92">
        <v>2</v>
      </c>
      <c r="HZ92">
        <v>2</v>
      </c>
      <c r="IA92">
        <v>2</v>
      </c>
      <c r="IB92">
        <v>2</v>
      </c>
      <c r="IC92">
        <v>2</v>
      </c>
      <c r="ID92">
        <v>2</v>
      </c>
      <c r="IE92">
        <v>2</v>
      </c>
      <c r="IF92">
        <v>2</v>
      </c>
      <c r="IG92">
        <v>2</v>
      </c>
      <c r="IH92">
        <v>2</v>
      </c>
      <c r="II92">
        <v>2</v>
      </c>
      <c r="IJ92">
        <v>2</v>
      </c>
      <c r="IK92">
        <v>2</v>
      </c>
      <c r="IL92">
        <v>2</v>
      </c>
      <c r="IM92">
        <v>2</v>
      </c>
      <c r="IN92">
        <v>2</v>
      </c>
      <c r="IO92">
        <v>2</v>
      </c>
      <c r="IP92">
        <v>2</v>
      </c>
      <c r="IQ92">
        <v>2</v>
      </c>
      <c r="IR92">
        <v>2</v>
      </c>
      <c r="IS92">
        <v>2</v>
      </c>
      <c r="IT92">
        <v>2</v>
      </c>
      <c r="IU92">
        <v>2</v>
      </c>
      <c r="IV92">
        <v>2</v>
      </c>
      <c r="IW92">
        <v>2</v>
      </c>
      <c r="IX92">
        <v>2</v>
      </c>
      <c r="IY92">
        <v>2</v>
      </c>
      <c r="IZ92">
        <v>2</v>
      </c>
      <c r="JA92">
        <v>2</v>
      </c>
      <c r="JB92">
        <v>2</v>
      </c>
      <c r="JC92">
        <v>2</v>
      </c>
      <c r="JD92">
        <v>2</v>
      </c>
      <c r="JE92">
        <v>2</v>
      </c>
      <c r="JF92">
        <v>2</v>
      </c>
      <c r="JG92">
        <v>2</v>
      </c>
      <c r="JH92">
        <v>2</v>
      </c>
      <c r="JI92">
        <v>2</v>
      </c>
      <c r="JJ92">
        <v>2</v>
      </c>
      <c r="JK92">
        <v>2</v>
      </c>
      <c r="JL92">
        <v>2</v>
      </c>
      <c r="JM92">
        <v>2</v>
      </c>
      <c r="JN92">
        <v>2</v>
      </c>
      <c r="JO92">
        <v>2</v>
      </c>
      <c r="JP92">
        <v>2</v>
      </c>
      <c r="JQ92">
        <v>2</v>
      </c>
      <c r="JR92">
        <v>2</v>
      </c>
      <c r="JS92">
        <v>2</v>
      </c>
      <c r="JT92">
        <v>2</v>
      </c>
      <c r="JU92">
        <v>2</v>
      </c>
      <c r="JV92">
        <v>2</v>
      </c>
      <c r="JW92">
        <v>2</v>
      </c>
      <c r="JX92">
        <v>2</v>
      </c>
      <c r="JY92">
        <v>2</v>
      </c>
      <c r="JZ92">
        <v>2</v>
      </c>
      <c r="KA92">
        <v>2</v>
      </c>
      <c r="KB92">
        <v>2</v>
      </c>
      <c r="KC92">
        <v>2</v>
      </c>
      <c r="KD92">
        <v>2</v>
      </c>
      <c r="KE92">
        <v>2</v>
      </c>
      <c r="KF92">
        <v>2</v>
      </c>
      <c r="KG92">
        <v>2</v>
      </c>
      <c r="KH92">
        <v>2</v>
      </c>
      <c r="KI92">
        <v>2</v>
      </c>
      <c r="KJ92">
        <v>2</v>
      </c>
      <c r="KK92">
        <v>2</v>
      </c>
      <c r="KL92">
        <v>2</v>
      </c>
      <c r="KM92">
        <v>2</v>
      </c>
      <c r="KN92">
        <v>2</v>
      </c>
      <c r="KO92">
        <v>2</v>
      </c>
      <c r="KP92">
        <v>2</v>
      </c>
      <c r="KQ92">
        <v>2</v>
      </c>
      <c r="KR92">
        <v>2</v>
      </c>
      <c r="KS92">
        <v>2</v>
      </c>
      <c r="KT92">
        <v>2</v>
      </c>
      <c r="KU92">
        <v>2</v>
      </c>
      <c r="KV92">
        <v>2</v>
      </c>
      <c r="KW92">
        <v>2</v>
      </c>
      <c r="KX92">
        <v>2</v>
      </c>
      <c r="KY92">
        <v>2</v>
      </c>
      <c r="KZ92">
        <v>2</v>
      </c>
      <c r="LA92">
        <v>2</v>
      </c>
      <c r="LB92">
        <v>2</v>
      </c>
      <c r="LC92">
        <v>2</v>
      </c>
      <c r="LD92">
        <v>2</v>
      </c>
      <c r="LE92">
        <v>2</v>
      </c>
      <c r="LF92">
        <v>2</v>
      </c>
      <c r="LG92">
        <v>2</v>
      </c>
      <c r="LH92">
        <v>2</v>
      </c>
      <c r="LI92">
        <v>2</v>
      </c>
      <c r="LJ92">
        <v>2</v>
      </c>
      <c r="LK92">
        <v>2</v>
      </c>
      <c r="LL92">
        <v>2</v>
      </c>
      <c r="LM92">
        <v>2</v>
      </c>
      <c r="LN92">
        <v>2</v>
      </c>
      <c r="LO92">
        <v>2</v>
      </c>
      <c r="LP92">
        <v>2</v>
      </c>
      <c r="LQ92">
        <v>2</v>
      </c>
      <c r="LR92">
        <v>2</v>
      </c>
      <c r="LS92">
        <v>2</v>
      </c>
      <c r="LT92">
        <v>2</v>
      </c>
      <c r="LU92">
        <v>2</v>
      </c>
      <c r="LV92">
        <v>2</v>
      </c>
      <c r="LW92">
        <v>2</v>
      </c>
      <c r="LX92">
        <v>2</v>
      </c>
      <c r="LY92">
        <v>2</v>
      </c>
      <c r="LZ92">
        <v>2</v>
      </c>
      <c r="MA92">
        <v>2</v>
      </c>
      <c r="MB92">
        <v>2</v>
      </c>
      <c r="MC92">
        <v>2</v>
      </c>
      <c r="MD92">
        <v>2</v>
      </c>
      <c r="ME92">
        <v>2</v>
      </c>
      <c r="MF92">
        <v>2</v>
      </c>
      <c r="MG92">
        <v>2</v>
      </c>
      <c r="MH92">
        <v>2</v>
      </c>
      <c r="MI92">
        <v>2</v>
      </c>
      <c r="MJ92">
        <v>2</v>
      </c>
      <c r="MK92">
        <v>2</v>
      </c>
      <c r="ML92">
        <v>2</v>
      </c>
      <c r="MM92">
        <v>2</v>
      </c>
      <c r="MN92">
        <v>2</v>
      </c>
      <c r="MO92">
        <v>2</v>
      </c>
      <c r="MP92">
        <v>2</v>
      </c>
      <c r="MQ92">
        <v>2</v>
      </c>
      <c r="MR92">
        <v>2</v>
      </c>
      <c r="MS92">
        <v>2</v>
      </c>
      <c r="MT92">
        <v>2</v>
      </c>
      <c r="MU92">
        <v>2</v>
      </c>
      <c r="MV92">
        <v>2</v>
      </c>
      <c r="MW92">
        <v>2</v>
      </c>
      <c r="MX92">
        <v>2</v>
      </c>
      <c r="MY92">
        <v>2</v>
      </c>
      <c r="MZ92">
        <v>2</v>
      </c>
      <c r="NA92">
        <v>2</v>
      </c>
      <c r="NB92">
        <v>2</v>
      </c>
      <c r="NC92">
        <v>2</v>
      </c>
      <c r="ND92">
        <v>2</v>
      </c>
      <c r="NE92">
        <v>2</v>
      </c>
      <c r="NF92">
        <v>2</v>
      </c>
      <c r="NG92">
        <v>2</v>
      </c>
      <c r="NH92">
        <v>2</v>
      </c>
      <c r="NI92">
        <v>2</v>
      </c>
      <c r="NJ92">
        <v>2</v>
      </c>
      <c r="NK92">
        <v>2</v>
      </c>
      <c r="NL92">
        <v>2</v>
      </c>
      <c r="NM92">
        <v>2</v>
      </c>
      <c r="NN92">
        <v>2</v>
      </c>
      <c r="NO92">
        <v>2</v>
      </c>
      <c r="NP92">
        <v>2</v>
      </c>
      <c r="NQ92">
        <v>2</v>
      </c>
      <c r="NR92">
        <v>2</v>
      </c>
      <c r="NS92">
        <v>2</v>
      </c>
      <c r="NT92">
        <v>2</v>
      </c>
      <c r="NU92">
        <v>2</v>
      </c>
      <c r="NV92">
        <v>2</v>
      </c>
      <c r="NW92">
        <v>2</v>
      </c>
      <c r="NX92">
        <v>2</v>
      </c>
      <c r="NY92">
        <v>2</v>
      </c>
      <c r="NZ92">
        <v>2</v>
      </c>
      <c r="OA92">
        <v>2</v>
      </c>
      <c r="OB92">
        <v>2</v>
      </c>
      <c r="OC92">
        <v>2</v>
      </c>
      <c r="OD92">
        <v>2</v>
      </c>
      <c r="OE92">
        <v>2</v>
      </c>
      <c r="OF92">
        <v>2</v>
      </c>
      <c r="OG92">
        <v>2</v>
      </c>
      <c r="OH92">
        <v>2</v>
      </c>
      <c r="OI92">
        <v>2</v>
      </c>
      <c r="OJ92">
        <v>2</v>
      </c>
      <c r="OK92">
        <v>1</v>
      </c>
      <c r="OL92">
        <v>1</v>
      </c>
      <c r="OM92">
        <v>1</v>
      </c>
      <c r="ON92">
        <v>1</v>
      </c>
      <c r="OO92">
        <v>1</v>
      </c>
      <c r="OP92">
        <v>1</v>
      </c>
      <c r="OQ92">
        <v>1</v>
      </c>
      <c r="OR92">
        <v>1</v>
      </c>
      <c r="OS92">
        <v>1</v>
      </c>
      <c r="OT92">
        <v>1</v>
      </c>
      <c r="OU92">
        <v>1</v>
      </c>
      <c r="OV92">
        <v>1</v>
      </c>
      <c r="OW92">
        <v>1</v>
      </c>
      <c r="OX92">
        <v>1</v>
      </c>
      <c r="OY92">
        <v>1</v>
      </c>
      <c r="OZ92">
        <v>1</v>
      </c>
      <c r="PA92">
        <v>1</v>
      </c>
      <c r="PB92">
        <v>1</v>
      </c>
      <c r="PC92">
        <v>1</v>
      </c>
      <c r="PD92">
        <v>1</v>
      </c>
      <c r="PE92">
        <v>1</v>
      </c>
      <c r="PF92">
        <v>1</v>
      </c>
      <c r="PG92">
        <v>1</v>
      </c>
      <c r="PH92">
        <v>1</v>
      </c>
      <c r="PI92">
        <v>1</v>
      </c>
      <c r="PJ92">
        <v>1</v>
      </c>
      <c r="PK92">
        <v>1</v>
      </c>
      <c r="PL92">
        <v>1</v>
      </c>
      <c r="PM92">
        <v>1</v>
      </c>
      <c r="PN92">
        <v>1</v>
      </c>
      <c r="PO92">
        <v>1</v>
      </c>
      <c r="PP92">
        <v>1</v>
      </c>
      <c r="PQ92">
        <v>1</v>
      </c>
      <c r="PR92">
        <v>1</v>
      </c>
      <c r="PS92">
        <v>1</v>
      </c>
      <c r="PT92">
        <v>1</v>
      </c>
      <c r="PU92">
        <v>1</v>
      </c>
      <c r="PV92">
        <v>1</v>
      </c>
      <c r="PW92">
        <v>1</v>
      </c>
      <c r="PX92">
        <v>1</v>
      </c>
      <c r="PY92">
        <v>1</v>
      </c>
      <c r="PZ92">
        <v>1</v>
      </c>
      <c r="QA92">
        <v>1</v>
      </c>
      <c r="QB92">
        <v>1</v>
      </c>
      <c r="QC92">
        <v>1</v>
      </c>
      <c r="QD92">
        <v>1</v>
      </c>
      <c r="QE92">
        <v>1</v>
      </c>
      <c r="QF92">
        <v>1</v>
      </c>
      <c r="QG92">
        <v>1</v>
      </c>
      <c r="QH92">
        <v>1</v>
      </c>
      <c r="QI92">
        <v>1</v>
      </c>
      <c r="QJ92">
        <v>1</v>
      </c>
      <c r="QK92">
        <v>1</v>
      </c>
      <c r="QL92">
        <v>2</v>
      </c>
      <c r="QM92">
        <v>2</v>
      </c>
      <c r="QN92">
        <v>2</v>
      </c>
      <c r="QO92">
        <v>2</v>
      </c>
      <c r="QP92">
        <v>2</v>
      </c>
      <c r="QQ92">
        <v>2</v>
      </c>
      <c r="QR92">
        <v>2</v>
      </c>
      <c r="QS92">
        <v>2</v>
      </c>
      <c r="QT92">
        <v>2</v>
      </c>
      <c r="QU92">
        <v>2</v>
      </c>
      <c r="QV92">
        <v>2</v>
      </c>
      <c r="QW92">
        <v>2</v>
      </c>
      <c r="QX92">
        <v>2</v>
      </c>
      <c r="QY92">
        <v>2</v>
      </c>
      <c r="QZ92">
        <v>2</v>
      </c>
      <c r="RA92">
        <v>2</v>
      </c>
      <c r="RB92">
        <v>2</v>
      </c>
      <c r="RC92">
        <v>2</v>
      </c>
      <c r="RD92">
        <v>2</v>
      </c>
      <c r="RE92">
        <v>2</v>
      </c>
      <c r="RF92">
        <v>2</v>
      </c>
      <c r="RG92">
        <v>2</v>
      </c>
      <c r="RH92">
        <v>2</v>
      </c>
      <c r="RI92">
        <v>2</v>
      </c>
      <c r="RJ92">
        <v>2</v>
      </c>
      <c r="RK92">
        <v>2</v>
      </c>
      <c r="RL92">
        <v>2</v>
      </c>
      <c r="RM92">
        <v>2</v>
      </c>
      <c r="RN92">
        <v>2</v>
      </c>
      <c r="RO92">
        <v>2</v>
      </c>
      <c r="RP92">
        <v>2</v>
      </c>
      <c r="RQ92">
        <v>2</v>
      </c>
      <c r="RR92">
        <v>2</v>
      </c>
      <c r="RS92">
        <v>2</v>
      </c>
      <c r="RT92">
        <v>2</v>
      </c>
      <c r="RU92">
        <v>2</v>
      </c>
      <c r="RV92">
        <v>2</v>
      </c>
      <c r="RW92">
        <v>2</v>
      </c>
      <c r="RX92">
        <v>2</v>
      </c>
      <c r="RY92">
        <v>2</v>
      </c>
      <c r="RZ92">
        <v>2</v>
      </c>
      <c r="SA92">
        <v>2</v>
      </c>
      <c r="SB92">
        <v>2</v>
      </c>
      <c r="SC92">
        <v>2</v>
      </c>
      <c r="SD92">
        <v>2</v>
      </c>
      <c r="SE92">
        <v>2</v>
      </c>
      <c r="SF92">
        <v>2</v>
      </c>
      <c r="SG92">
        <v>2</v>
      </c>
      <c r="SH92">
        <v>2</v>
      </c>
      <c r="SI92">
        <v>2</v>
      </c>
      <c r="SJ92">
        <v>2</v>
      </c>
      <c r="SK92">
        <v>2</v>
      </c>
      <c r="SL92">
        <v>2</v>
      </c>
      <c r="SM92">
        <v>2</v>
      </c>
      <c r="SN92">
        <v>2</v>
      </c>
      <c r="SO92">
        <v>2</v>
      </c>
      <c r="SP92">
        <v>2</v>
      </c>
      <c r="SQ92">
        <v>2</v>
      </c>
      <c r="SR92">
        <v>2</v>
      </c>
      <c r="SS92">
        <v>2</v>
      </c>
      <c r="ST92">
        <v>2</v>
      </c>
      <c r="SU92">
        <v>2</v>
      </c>
      <c r="SV92">
        <v>2</v>
      </c>
      <c r="SW92">
        <v>2</v>
      </c>
      <c r="SX92">
        <v>2</v>
      </c>
      <c r="SY92">
        <v>2</v>
      </c>
      <c r="SZ92">
        <v>2</v>
      </c>
      <c r="TA92">
        <v>2</v>
      </c>
      <c r="TB92">
        <v>2</v>
      </c>
      <c r="TC92">
        <v>2</v>
      </c>
      <c r="TD92">
        <v>2</v>
      </c>
      <c r="TE92">
        <v>2</v>
      </c>
      <c r="TF92">
        <v>2</v>
      </c>
      <c r="TG92">
        <v>2</v>
      </c>
      <c r="TH92">
        <v>2</v>
      </c>
      <c r="TI92">
        <v>2</v>
      </c>
      <c r="TJ92">
        <v>2</v>
      </c>
      <c r="TK92">
        <v>2</v>
      </c>
      <c r="TL92">
        <v>2</v>
      </c>
      <c r="TM92">
        <v>2</v>
      </c>
      <c r="TN92">
        <v>2</v>
      </c>
      <c r="TO92">
        <v>2</v>
      </c>
      <c r="TP92">
        <v>2</v>
      </c>
      <c r="TQ92">
        <v>2</v>
      </c>
      <c r="TR92">
        <v>2</v>
      </c>
      <c r="TS92">
        <v>2</v>
      </c>
      <c r="TT92">
        <v>2</v>
      </c>
      <c r="TU92">
        <v>2</v>
      </c>
      <c r="TV92">
        <v>2</v>
      </c>
      <c r="TW92">
        <v>2</v>
      </c>
      <c r="TX92">
        <v>2</v>
      </c>
      <c r="TY92">
        <v>2</v>
      </c>
      <c r="TZ92">
        <v>2</v>
      </c>
      <c r="UA92">
        <v>2</v>
      </c>
      <c r="UB92">
        <v>2</v>
      </c>
      <c r="UC92">
        <v>2</v>
      </c>
      <c r="UD92">
        <v>2</v>
      </c>
      <c r="UE92">
        <v>2</v>
      </c>
      <c r="UF92">
        <v>2</v>
      </c>
      <c r="UG92">
        <v>2</v>
      </c>
      <c r="UH92">
        <v>2</v>
      </c>
      <c r="UI92">
        <v>2</v>
      </c>
      <c r="UJ92">
        <v>2</v>
      </c>
      <c r="UK92">
        <v>2</v>
      </c>
      <c r="UL92">
        <v>2</v>
      </c>
      <c r="UM92">
        <v>2</v>
      </c>
      <c r="UN92">
        <v>2</v>
      </c>
      <c r="UO92">
        <v>2</v>
      </c>
      <c r="UP92">
        <v>2</v>
      </c>
      <c r="UQ92">
        <v>2</v>
      </c>
      <c r="UR92">
        <v>2</v>
      </c>
      <c r="US92">
        <v>2</v>
      </c>
      <c r="UT92">
        <v>2</v>
      </c>
      <c r="UU92">
        <v>2</v>
      </c>
      <c r="UV92">
        <v>0</v>
      </c>
      <c r="UW92">
        <v>0</v>
      </c>
      <c r="UX92">
        <v>0</v>
      </c>
      <c r="UY92">
        <v>0</v>
      </c>
      <c r="UZ92">
        <v>0</v>
      </c>
      <c r="VA92">
        <v>0</v>
      </c>
      <c r="VB92">
        <v>0</v>
      </c>
      <c r="VC92">
        <v>0</v>
      </c>
      <c r="VD92">
        <v>0</v>
      </c>
      <c r="VE92">
        <v>0</v>
      </c>
      <c r="VF92">
        <v>0</v>
      </c>
      <c r="VG92">
        <v>0</v>
      </c>
      <c r="VH92">
        <v>0</v>
      </c>
      <c r="VI92">
        <v>0</v>
      </c>
      <c r="VJ92">
        <v>0</v>
      </c>
      <c r="VK92">
        <v>0</v>
      </c>
      <c r="VL92">
        <v>0</v>
      </c>
      <c r="VM92">
        <v>0</v>
      </c>
      <c r="VN92">
        <v>0</v>
      </c>
      <c r="VO92">
        <v>0</v>
      </c>
      <c r="VP92">
        <v>0</v>
      </c>
      <c r="VQ92">
        <v>0</v>
      </c>
      <c r="VR92">
        <v>0</v>
      </c>
      <c r="VS92">
        <v>0</v>
      </c>
      <c r="VT92">
        <v>0</v>
      </c>
      <c r="VU92">
        <v>0</v>
      </c>
      <c r="VV92">
        <v>0</v>
      </c>
      <c r="VW92">
        <v>0</v>
      </c>
      <c r="VX92">
        <v>1</v>
      </c>
      <c r="VY92">
        <v>1</v>
      </c>
      <c r="VZ92">
        <v>1</v>
      </c>
      <c r="WA92">
        <v>1</v>
      </c>
      <c r="WB92">
        <v>1</v>
      </c>
      <c r="WC92">
        <v>1</v>
      </c>
      <c r="WD92">
        <v>1</v>
      </c>
      <c r="WE92">
        <v>1</v>
      </c>
      <c r="WF92">
        <v>1</v>
      </c>
      <c r="WG92">
        <v>1</v>
      </c>
      <c r="WH92">
        <v>1</v>
      </c>
      <c r="WI92">
        <v>1</v>
      </c>
      <c r="WJ92">
        <v>1</v>
      </c>
      <c r="WK92">
        <v>1</v>
      </c>
      <c r="WL92">
        <v>1</v>
      </c>
      <c r="WM92">
        <v>2</v>
      </c>
      <c r="WN92">
        <v>2</v>
      </c>
      <c r="WO92">
        <v>2</v>
      </c>
      <c r="WP92">
        <v>2</v>
      </c>
      <c r="WQ92">
        <v>2</v>
      </c>
      <c r="WR92">
        <v>2</v>
      </c>
      <c r="WS92">
        <v>2</v>
      </c>
      <c r="WT92">
        <v>2</v>
      </c>
      <c r="WU92">
        <v>2</v>
      </c>
      <c r="WV92">
        <v>2</v>
      </c>
      <c r="WW92">
        <v>2</v>
      </c>
      <c r="WX92">
        <v>2</v>
      </c>
      <c r="WY92">
        <v>2</v>
      </c>
      <c r="WZ92">
        <v>2</v>
      </c>
      <c r="XA92">
        <v>2</v>
      </c>
      <c r="XB92">
        <v>2</v>
      </c>
      <c r="XC92">
        <v>2</v>
      </c>
      <c r="XD92">
        <v>2</v>
      </c>
      <c r="XE92">
        <v>2</v>
      </c>
      <c r="XF92">
        <v>2</v>
      </c>
      <c r="XG92">
        <v>2</v>
      </c>
      <c r="XH92">
        <v>2</v>
      </c>
      <c r="XI92">
        <v>2</v>
      </c>
      <c r="XJ92">
        <v>2</v>
      </c>
      <c r="XK92">
        <v>2</v>
      </c>
      <c r="XL92">
        <v>2</v>
      </c>
      <c r="XM92">
        <v>2</v>
      </c>
      <c r="XN92">
        <v>2</v>
      </c>
      <c r="XO92">
        <v>2</v>
      </c>
      <c r="XP92">
        <v>2</v>
      </c>
      <c r="XQ92">
        <v>2</v>
      </c>
      <c r="XR92">
        <v>2</v>
      </c>
      <c r="XS92">
        <v>2</v>
      </c>
      <c r="XT92">
        <v>2</v>
      </c>
      <c r="XU92">
        <v>2</v>
      </c>
      <c r="XV92">
        <v>2</v>
      </c>
      <c r="XW92">
        <v>2</v>
      </c>
      <c r="XX92">
        <v>2</v>
      </c>
      <c r="XY92">
        <v>2</v>
      </c>
      <c r="XZ92">
        <v>2</v>
      </c>
      <c r="YA92">
        <v>2</v>
      </c>
      <c r="YB92">
        <v>2</v>
      </c>
      <c r="YC92">
        <v>2</v>
      </c>
      <c r="YD92">
        <v>2</v>
      </c>
      <c r="YE92">
        <v>2</v>
      </c>
      <c r="YF92">
        <v>2</v>
      </c>
      <c r="YG92">
        <v>2</v>
      </c>
      <c r="YH92">
        <v>2</v>
      </c>
      <c r="YI92">
        <v>2</v>
      </c>
      <c r="YJ92">
        <v>2</v>
      </c>
      <c r="YK92">
        <v>2</v>
      </c>
      <c r="YL92">
        <v>2</v>
      </c>
      <c r="YM92">
        <v>2</v>
      </c>
      <c r="YN92">
        <v>2</v>
      </c>
      <c r="YO92">
        <v>2</v>
      </c>
      <c r="YP92">
        <v>2</v>
      </c>
      <c r="YQ92">
        <v>2</v>
      </c>
      <c r="YR92">
        <v>2</v>
      </c>
      <c r="YS92">
        <v>2</v>
      </c>
      <c r="YT92">
        <v>2</v>
      </c>
      <c r="YU92">
        <v>2</v>
      </c>
      <c r="YV92">
        <v>2</v>
      </c>
      <c r="YW92">
        <v>2</v>
      </c>
      <c r="YX92">
        <v>2</v>
      </c>
      <c r="YY92">
        <v>2</v>
      </c>
      <c r="YZ92">
        <v>2</v>
      </c>
      <c r="ZA92">
        <v>2</v>
      </c>
      <c r="ZB92">
        <v>2</v>
      </c>
      <c r="ZC92">
        <v>2</v>
      </c>
      <c r="ZD92">
        <v>2</v>
      </c>
      <c r="ZE92">
        <v>2</v>
      </c>
      <c r="ZF92">
        <v>2</v>
      </c>
      <c r="ZG92">
        <v>2</v>
      </c>
      <c r="ZH92">
        <v>2</v>
      </c>
      <c r="ZI92">
        <v>2</v>
      </c>
      <c r="ZJ92">
        <v>2</v>
      </c>
      <c r="ZK92">
        <v>2</v>
      </c>
      <c r="ZL92">
        <v>2</v>
      </c>
      <c r="ZM92">
        <v>2</v>
      </c>
      <c r="ZN92">
        <v>2</v>
      </c>
      <c r="ZO92">
        <v>2</v>
      </c>
      <c r="ZP92">
        <v>2</v>
      </c>
      <c r="ZQ92">
        <v>2</v>
      </c>
      <c r="ZR92">
        <v>2</v>
      </c>
      <c r="ZS92">
        <v>2</v>
      </c>
      <c r="ZT92">
        <v>2</v>
      </c>
      <c r="ZU92">
        <v>2</v>
      </c>
      <c r="ZV92">
        <v>2</v>
      </c>
      <c r="ZW92">
        <v>2</v>
      </c>
      <c r="ZX92">
        <v>2</v>
      </c>
      <c r="ZY92">
        <v>2</v>
      </c>
      <c r="ZZ92">
        <v>2</v>
      </c>
      <c r="AAA92">
        <v>2</v>
      </c>
      <c r="AAB92">
        <v>2</v>
      </c>
      <c r="AAC92">
        <v>2</v>
      </c>
      <c r="AAD92">
        <v>2</v>
      </c>
      <c r="AAE92">
        <v>2</v>
      </c>
      <c r="AAF92">
        <v>2</v>
      </c>
      <c r="AAG92">
        <v>2</v>
      </c>
      <c r="AAH92">
        <v>2</v>
      </c>
      <c r="AAI92">
        <v>2</v>
      </c>
      <c r="AAJ92">
        <v>2</v>
      </c>
      <c r="AAK92">
        <v>2</v>
      </c>
      <c r="AAL92">
        <v>2</v>
      </c>
      <c r="AAM92">
        <v>2</v>
      </c>
      <c r="AAN92">
        <v>2</v>
      </c>
      <c r="AAO92">
        <v>2</v>
      </c>
      <c r="AAP92">
        <v>2</v>
      </c>
      <c r="AAQ92">
        <v>2</v>
      </c>
      <c r="AAR92">
        <v>2</v>
      </c>
      <c r="AAS92">
        <v>2</v>
      </c>
      <c r="AAT92">
        <v>2</v>
      </c>
      <c r="AAU92">
        <v>2</v>
      </c>
      <c r="AAV92">
        <v>2</v>
      </c>
      <c r="AAW92">
        <v>2</v>
      </c>
      <c r="AAX92">
        <v>2</v>
      </c>
      <c r="AAY92">
        <v>2</v>
      </c>
      <c r="AAZ92">
        <v>2</v>
      </c>
      <c r="ABA92">
        <v>2</v>
      </c>
      <c r="ABB92">
        <v>2</v>
      </c>
      <c r="ABC92">
        <v>2</v>
      </c>
      <c r="ABD92">
        <v>2</v>
      </c>
      <c r="ABE92">
        <v>2</v>
      </c>
      <c r="ABG92" s="1137">
        <f t="shared" si="21"/>
        <v>0</v>
      </c>
      <c r="ABH92" s="1137">
        <f t="shared" si="21"/>
        <v>0</v>
      </c>
      <c r="ABI92" s="1137">
        <f t="shared" si="21"/>
        <v>14</v>
      </c>
      <c r="ABJ92" s="1137">
        <f t="shared" si="21"/>
        <v>30</v>
      </c>
      <c r="ABK92" s="1137">
        <f t="shared" si="21"/>
        <v>31</v>
      </c>
      <c r="ABL92" s="1137">
        <f t="shared" si="21"/>
        <v>30</v>
      </c>
      <c r="ABM92" s="1137">
        <f t="shared" si="21"/>
        <v>31</v>
      </c>
      <c r="ABN92" s="1137">
        <f t="shared" si="21"/>
        <v>31</v>
      </c>
      <c r="ABO92" s="1137">
        <f t="shared" si="21"/>
        <v>30</v>
      </c>
      <c r="ABP92" s="1137">
        <f t="shared" si="21"/>
        <v>31</v>
      </c>
      <c r="ABQ92" s="1137">
        <f t="shared" si="21"/>
        <v>30</v>
      </c>
      <c r="ABR92" s="1137">
        <f t="shared" si="21"/>
        <v>31</v>
      </c>
      <c r="ABS92" s="1137">
        <f t="shared" si="21"/>
        <v>31</v>
      </c>
      <c r="ABT92" s="1137">
        <f t="shared" si="21"/>
        <v>28</v>
      </c>
      <c r="ABU92" s="1137">
        <f t="shared" si="21"/>
        <v>31</v>
      </c>
      <c r="ABV92" s="1137">
        <f t="shared" si="21"/>
        <v>30</v>
      </c>
      <c r="ABW92" s="1137">
        <f t="shared" si="17"/>
        <v>31</v>
      </c>
      <c r="ABX92" s="1137">
        <f t="shared" si="23"/>
        <v>30</v>
      </c>
      <c r="ABY92" s="1137">
        <f t="shared" si="23"/>
        <v>18</v>
      </c>
      <c r="ABZ92" s="1137">
        <f t="shared" si="23"/>
        <v>16</v>
      </c>
      <c r="ACA92" s="1137">
        <f t="shared" si="23"/>
        <v>30</v>
      </c>
      <c r="ACB92" s="1137">
        <f t="shared" si="23"/>
        <v>31</v>
      </c>
      <c r="ACC92" s="1137">
        <f t="shared" si="23"/>
        <v>30</v>
      </c>
      <c r="ACD92" s="1137">
        <f t="shared" si="23"/>
        <v>31</v>
      </c>
      <c r="ACE92" s="1137" t="s">
        <v>204</v>
      </c>
      <c r="ACF92" s="1137">
        <f t="shared" si="22"/>
        <v>0</v>
      </c>
      <c r="ACG92" s="1137">
        <f t="shared" si="22"/>
        <v>0</v>
      </c>
      <c r="ACH92" s="1137">
        <f t="shared" si="22"/>
        <v>1</v>
      </c>
      <c r="ACI92" s="1137">
        <f t="shared" si="22"/>
        <v>1</v>
      </c>
      <c r="ACJ92" s="1137">
        <f t="shared" si="22"/>
        <v>1</v>
      </c>
      <c r="ACK92" s="1137">
        <f t="shared" si="22"/>
        <v>1</v>
      </c>
      <c r="ACL92" s="1137">
        <f t="shared" si="22"/>
        <v>1</v>
      </c>
      <c r="ACM92" s="1137">
        <f t="shared" si="22"/>
        <v>1</v>
      </c>
      <c r="ACN92" s="1137">
        <f t="shared" si="22"/>
        <v>1</v>
      </c>
      <c r="ACO92" s="1137">
        <f t="shared" si="22"/>
        <v>1</v>
      </c>
      <c r="ACP92" s="1137">
        <f t="shared" si="22"/>
        <v>1</v>
      </c>
      <c r="ACQ92" s="1137">
        <f t="shared" si="22"/>
        <v>1</v>
      </c>
      <c r="ACR92" s="1137">
        <f t="shared" si="22"/>
        <v>1</v>
      </c>
      <c r="ACS92" s="1137">
        <f t="shared" si="22"/>
        <v>1</v>
      </c>
      <c r="ACT92" s="1137">
        <f t="shared" si="22"/>
        <v>1</v>
      </c>
      <c r="ACU92" s="1137">
        <f t="shared" si="22"/>
        <v>1</v>
      </c>
      <c r="ACV92" s="1137">
        <f t="shared" si="24"/>
        <v>1</v>
      </c>
      <c r="ACW92" s="1137">
        <f t="shared" si="24"/>
        <v>1</v>
      </c>
      <c r="ACX92" s="1137">
        <f t="shared" si="24"/>
        <v>1</v>
      </c>
      <c r="ACY92" s="1137">
        <f t="shared" si="24"/>
        <v>1</v>
      </c>
      <c r="ACZ92" s="1137">
        <f t="shared" si="24"/>
        <v>1</v>
      </c>
      <c r="ADA92" s="1137">
        <f t="shared" si="24"/>
        <v>1</v>
      </c>
      <c r="ADB92" s="1137">
        <f t="shared" si="16"/>
        <v>1</v>
      </c>
      <c r="ADC92" s="1137">
        <f t="shared" si="16"/>
        <v>1</v>
      </c>
    </row>
    <row r="93" spans="1:783" x14ac:dyDescent="0.25">
      <c r="A93" t="s">
        <v>1890</v>
      </c>
      <c r="B93" t="s">
        <v>39</v>
      </c>
      <c r="C93">
        <v>0</v>
      </c>
      <c r="D93">
        <v>0</v>
      </c>
      <c r="E93">
        <v>0</v>
      </c>
      <c r="F93">
        <v>0</v>
      </c>
      <c r="G93">
        <v>0</v>
      </c>
      <c r="H93">
        <v>0</v>
      </c>
      <c r="I93">
        <v>0</v>
      </c>
      <c r="J93">
        <v>0</v>
      </c>
      <c r="K93">
        <v>0</v>
      </c>
      <c r="L93">
        <v>0</v>
      </c>
      <c r="M93">
        <v>0</v>
      </c>
      <c r="N93">
        <v>0</v>
      </c>
      <c r="O93">
        <v>0</v>
      </c>
      <c r="P93">
        <v>0</v>
      </c>
      <c r="Q93">
        <v>0</v>
      </c>
      <c r="R93">
        <v>0</v>
      </c>
      <c r="S93">
        <v>0</v>
      </c>
      <c r="T93">
        <v>0</v>
      </c>
      <c r="U93">
        <v>0</v>
      </c>
      <c r="V93">
        <v>0</v>
      </c>
      <c r="W93">
        <v>0</v>
      </c>
      <c r="X93">
        <v>0</v>
      </c>
      <c r="Y93">
        <v>0</v>
      </c>
      <c r="Z93">
        <v>0</v>
      </c>
      <c r="AA93">
        <v>0</v>
      </c>
      <c r="AB93">
        <v>0</v>
      </c>
      <c r="AC93">
        <v>0</v>
      </c>
      <c r="AD93">
        <v>0</v>
      </c>
      <c r="AE93">
        <v>0</v>
      </c>
      <c r="AF93">
        <v>0</v>
      </c>
      <c r="AG93">
        <v>0</v>
      </c>
      <c r="AH93">
        <v>0</v>
      </c>
      <c r="AI93">
        <v>0</v>
      </c>
      <c r="AJ93">
        <v>0</v>
      </c>
      <c r="AK93">
        <v>0</v>
      </c>
      <c r="AL93">
        <v>0</v>
      </c>
      <c r="AM93">
        <v>0</v>
      </c>
      <c r="AN93">
        <v>0</v>
      </c>
      <c r="AO93">
        <v>0</v>
      </c>
      <c r="AP93">
        <v>0</v>
      </c>
      <c r="AQ93">
        <v>0</v>
      </c>
      <c r="AR93">
        <v>0</v>
      </c>
      <c r="AS93">
        <v>0</v>
      </c>
      <c r="AT93">
        <v>0</v>
      </c>
      <c r="AU93">
        <v>0</v>
      </c>
      <c r="AV93">
        <v>0</v>
      </c>
      <c r="AW93">
        <v>0</v>
      </c>
      <c r="AX93">
        <v>0</v>
      </c>
      <c r="AY93">
        <v>0</v>
      </c>
      <c r="AZ93">
        <v>0</v>
      </c>
      <c r="BA93">
        <v>0</v>
      </c>
      <c r="BB93">
        <v>0</v>
      </c>
      <c r="BC93">
        <v>0</v>
      </c>
      <c r="BD93">
        <v>0</v>
      </c>
      <c r="BE93">
        <v>0</v>
      </c>
      <c r="BF93">
        <v>0</v>
      </c>
      <c r="BG93">
        <v>0</v>
      </c>
      <c r="BH93">
        <v>0</v>
      </c>
      <c r="BI93">
        <v>0</v>
      </c>
      <c r="BJ93">
        <v>0</v>
      </c>
      <c r="BK93">
        <v>0</v>
      </c>
      <c r="BL93">
        <v>0</v>
      </c>
      <c r="BM93">
        <v>0</v>
      </c>
      <c r="BN93">
        <v>0</v>
      </c>
      <c r="BO93">
        <v>0</v>
      </c>
      <c r="BP93">
        <v>0</v>
      </c>
      <c r="BQ93">
        <v>0</v>
      </c>
      <c r="BR93">
        <v>0</v>
      </c>
      <c r="BS93">
        <v>0</v>
      </c>
      <c r="BT93">
        <v>0</v>
      </c>
      <c r="BU93">
        <v>0</v>
      </c>
      <c r="BV93">
        <v>0</v>
      </c>
      <c r="BW93">
        <v>0</v>
      </c>
      <c r="BX93">
        <v>0</v>
      </c>
      <c r="BY93">
        <v>0</v>
      </c>
      <c r="BZ93">
        <v>0</v>
      </c>
      <c r="CA93">
        <v>0</v>
      </c>
      <c r="CB93">
        <v>0</v>
      </c>
      <c r="CC93">
        <v>0</v>
      </c>
      <c r="CD93">
        <v>0</v>
      </c>
      <c r="CE93">
        <v>0</v>
      </c>
      <c r="CF93">
        <v>0</v>
      </c>
      <c r="CG93">
        <v>0</v>
      </c>
      <c r="CH93">
        <v>0</v>
      </c>
      <c r="CI93">
        <v>0</v>
      </c>
      <c r="CJ93">
        <v>0</v>
      </c>
      <c r="CK93">
        <v>2</v>
      </c>
      <c r="CL93">
        <v>2</v>
      </c>
      <c r="CM93">
        <v>2</v>
      </c>
      <c r="CN93">
        <v>2</v>
      </c>
      <c r="CO93">
        <v>2</v>
      </c>
      <c r="CP93">
        <v>2</v>
      </c>
      <c r="CQ93">
        <v>2</v>
      </c>
      <c r="CR93">
        <v>2</v>
      </c>
      <c r="CS93">
        <v>2</v>
      </c>
      <c r="CT93">
        <v>2</v>
      </c>
      <c r="CU93">
        <v>2</v>
      </c>
      <c r="CV93">
        <v>2</v>
      </c>
      <c r="CW93">
        <v>2</v>
      </c>
      <c r="CX93">
        <v>2</v>
      </c>
      <c r="CY93">
        <v>2</v>
      </c>
      <c r="CZ93">
        <v>2</v>
      </c>
      <c r="DA93">
        <v>2</v>
      </c>
      <c r="DB93">
        <v>2</v>
      </c>
      <c r="DC93">
        <v>2</v>
      </c>
      <c r="DD93">
        <v>2</v>
      </c>
      <c r="DE93">
        <v>2</v>
      </c>
      <c r="DF93">
        <v>2</v>
      </c>
      <c r="DG93">
        <v>2</v>
      </c>
      <c r="DH93">
        <v>2</v>
      </c>
      <c r="DI93">
        <v>2</v>
      </c>
      <c r="DJ93">
        <v>2</v>
      </c>
      <c r="DK93">
        <v>2</v>
      </c>
      <c r="DL93">
        <v>2</v>
      </c>
      <c r="DM93">
        <v>2</v>
      </c>
      <c r="DN93">
        <v>2</v>
      </c>
      <c r="DO93">
        <v>2</v>
      </c>
      <c r="DP93">
        <v>2</v>
      </c>
      <c r="DQ93">
        <v>2</v>
      </c>
      <c r="DR93">
        <v>2</v>
      </c>
      <c r="DS93">
        <v>2</v>
      </c>
      <c r="DT93">
        <v>2</v>
      </c>
      <c r="DU93">
        <v>2</v>
      </c>
      <c r="DV93">
        <v>2</v>
      </c>
      <c r="DW93">
        <v>2</v>
      </c>
      <c r="DX93">
        <v>2</v>
      </c>
      <c r="DY93">
        <v>2</v>
      </c>
      <c r="DZ93">
        <v>2</v>
      </c>
      <c r="EA93">
        <v>2</v>
      </c>
      <c r="EB93">
        <v>2</v>
      </c>
      <c r="EC93">
        <v>2</v>
      </c>
      <c r="ED93">
        <v>2</v>
      </c>
      <c r="EE93">
        <v>2</v>
      </c>
      <c r="EF93">
        <v>2</v>
      </c>
      <c r="EG93">
        <v>2</v>
      </c>
      <c r="EH93">
        <v>2</v>
      </c>
      <c r="EI93">
        <v>2</v>
      </c>
      <c r="EJ93">
        <v>2</v>
      </c>
      <c r="EK93">
        <v>2</v>
      </c>
      <c r="EL93">
        <v>2</v>
      </c>
      <c r="EM93">
        <v>2</v>
      </c>
      <c r="EN93">
        <v>2</v>
      </c>
      <c r="EO93">
        <v>2</v>
      </c>
      <c r="EP93">
        <v>2</v>
      </c>
      <c r="EQ93">
        <v>2</v>
      </c>
      <c r="ER93">
        <v>2</v>
      </c>
      <c r="ES93">
        <v>2</v>
      </c>
      <c r="ET93">
        <v>2</v>
      </c>
      <c r="EU93">
        <v>2</v>
      </c>
      <c r="EV93">
        <v>2</v>
      </c>
      <c r="EW93">
        <v>2</v>
      </c>
      <c r="EX93">
        <v>2</v>
      </c>
      <c r="EY93">
        <v>2</v>
      </c>
      <c r="EZ93">
        <v>2</v>
      </c>
      <c r="FA93">
        <v>2</v>
      </c>
      <c r="FB93">
        <v>2</v>
      </c>
      <c r="FC93">
        <v>2</v>
      </c>
      <c r="FD93">
        <v>2</v>
      </c>
      <c r="FE93">
        <v>2</v>
      </c>
      <c r="FF93">
        <v>2</v>
      </c>
      <c r="FG93">
        <v>2</v>
      </c>
      <c r="FH93">
        <v>2</v>
      </c>
      <c r="FI93">
        <v>2</v>
      </c>
      <c r="FJ93">
        <v>2</v>
      </c>
      <c r="FK93">
        <v>2</v>
      </c>
      <c r="FL93">
        <v>2</v>
      </c>
      <c r="FM93">
        <v>2</v>
      </c>
      <c r="FN93">
        <v>2</v>
      </c>
      <c r="FO93">
        <v>2</v>
      </c>
      <c r="FP93">
        <v>2</v>
      </c>
      <c r="FQ93">
        <v>2</v>
      </c>
      <c r="FR93">
        <v>2</v>
      </c>
      <c r="FS93">
        <v>2</v>
      </c>
      <c r="FT93">
        <v>2</v>
      </c>
      <c r="FU93">
        <v>2</v>
      </c>
      <c r="FV93">
        <v>2</v>
      </c>
      <c r="FW93">
        <v>2</v>
      </c>
      <c r="FX93">
        <v>2</v>
      </c>
      <c r="FY93">
        <v>2</v>
      </c>
      <c r="FZ93">
        <v>2</v>
      </c>
      <c r="GA93">
        <v>2</v>
      </c>
      <c r="GB93">
        <v>2</v>
      </c>
      <c r="GC93">
        <v>2</v>
      </c>
      <c r="GD93">
        <v>2</v>
      </c>
      <c r="GE93">
        <v>2</v>
      </c>
      <c r="GF93">
        <v>2</v>
      </c>
      <c r="GG93">
        <v>2</v>
      </c>
      <c r="GH93">
        <v>2</v>
      </c>
      <c r="GI93">
        <v>1</v>
      </c>
      <c r="GJ93">
        <v>1</v>
      </c>
      <c r="GK93">
        <v>1</v>
      </c>
      <c r="GL93">
        <v>1</v>
      </c>
      <c r="GM93">
        <v>1</v>
      </c>
      <c r="GN93">
        <v>1</v>
      </c>
      <c r="GO93">
        <v>1</v>
      </c>
      <c r="GP93">
        <v>1</v>
      </c>
      <c r="GQ93">
        <v>1</v>
      </c>
      <c r="GR93">
        <v>1</v>
      </c>
      <c r="GS93">
        <v>1</v>
      </c>
      <c r="GT93">
        <v>1</v>
      </c>
      <c r="GU93">
        <v>1</v>
      </c>
      <c r="GV93">
        <v>1</v>
      </c>
      <c r="GW93">
        <v>1</v>
      </c>
      <c r="GX93">
        <v>1</v>
      </c>
      <c r="GY93">
        <v>1</v>
      </c>
      <c r="GZ93">
        <v>1</v>
      </c>
      <c r="HA93">
        <v>1</v>
      </c>
      <c r="HB93">
        <v>1</v>
      </c>
      <c r="HC93">
        <v>1</v>
      </c>
      <c r="HD93">
        <v>1</v>
      </c>
      <c r="HE93">
        <v>1</v>
      </c>
      <c r="HF93">
        <v>1</v>
      </c>
      <c r="HG93">
        <v>1</v>
      </c>
      <c r="HH93">
        <v>1</v>
      </c>
      <c r="HI93">
        <v>1</v>
      </c>
      <c r="HJ93">
        <v>1</v>
      </c>
      <c r="HK93">
        <v>1</v>
      </c>
      <c r="HL93">
        <v>1</v>
      </c>
      <c r="HM93">
        <v>1</v>
      </c>
      <c r="HN93">
        <v>1</v>
      </c>
      <c r="HO93">
        <v>1</v>
      </c>
      <c r="HP93">
        <v>1</v>
      </c>
      <c r="HQ93">
        <v>1</v>
      </c>
      <c r="HR93">
        <v>1</v>
      </c>
      <c r="HS93">
        <v>1</v>
      </c>
      <c r="HT93">
        <v>1</v>
      </c>
      <c r="HU93">
        <v>1</v>
      </c>
      <c r="HV93">
        <v>1</v>
      </c>
      <c r="HW93">
        <v>1</v>
      </c>
      <c r="HX93">
        <v>1</v>
      </c>
      <c r="HY93">
        <v>1</v>
      </c>
      <c r="HZ93">
        <v>1</v>
      </c>
      <c r="IA93">
        <v>1</v>
      </c>
      <c r="IB93">
        <v>1</v>
      </c>
      <c r="IC93">
        <v>1</v>
      </c>
      <c r="ID93">
        <v>1</v>
      </c>
      <c r="IE93">
        <v>1</v>
      </c>
      <c r="IF93">
        <v>1</v>
      </c>
      <c r="IG93">
        <v>1</v>
      </c>
      <c r="IH93">
        <v>1</v>
      </c>
      <c r="II93">
        <v>1</v>
      </c>
      <c r="IJ93">
        <v>1</v>
      </c>
      <c r="IK93">
        <v>1</v>
      </c>
      <c r="IL93">
        <v>1</v>
      </c>
      <c r="IM93">
        <v>1</v>
      </c>
      <c r="IN93">
        <v>1</v>
      </c>
      <c r="IO93">
        <v>1</v>
      </c>
      <c r="IP93">
        <v>1</v>
      </c>
      <c r="IQ93">
        <v>1</v>
      </c>
      <c r="IR93">
        <v>1</v>
      </c>
      <c r="IS93">
        <v>1</v>
      </c>
      <c r="IT93">
        <v>1</v>
      </c>
      <c r="IU93">
        <v>1</v>
      </c>
      <c r="IV93">
        <v>1</v>
      </c>
      <c r="IW93">
        <v>1</v>
      </c>
      <c r="IX93">
        <v>1</v>
      </c>
      <c r="IY93">
        <v>1</v>
      </c>
      <c r="IZ93">
        <v>1</v>
      </c>
      <c r="JA93">
        <v>1</v>
      </c>
      <c r="JB93">
        <v>1</v>
      </c>
      <c r="JC93">
        <v>1</v>
      </c>
      <c r="JD93">
        <v>1</v>
      </c>
      <c r="JE93">
        <v>1</v>
      </c>
      <c r="JF93">
        <v>1</v>
      </c>
      <c r="JG93">
        <v>1</v>
      </c>
      <c r="JH93">
        <v>1</v>
      </c>
      <c r="JI93">
        <v>1</v>
      </c>
      <c r="JJ93">
        <v>1</v>
      </c>
      <c r="JK93">
        <v>1</v>
      </c>
      <c r="JL93">
        <v>1</v>
      </c>
      <c r="JM93">
        <v>1</v>
      </c>
      <c r="JN93">
        <v>1</v>
      </c>
      <c r="JO93">
        <v>1</v>
      </c>
      <c r="JP93">
        <v>1</v>
      </c>
      <c r="JQ93">
        <v>1</v>
      </c>
      <c r="JR93">
        <v>1</v>
      </c>
      <c r="JS93">
        <v>1</v>
      </c>
      <c r="JT93">
        <v>1</v>
      </c>
      <c r="JU93">
        <v>1</v>
      </c>
      <c r="JV93">
        <v>1</v>
      </c>
      <c r="JW93">
        <v>1</v>
      </c>
      <c r="JX93">
        <v>1</v>
      </c>
      <c r="JY93">
        <v>1</v>
      </c>
      <c r="JZ93">
        <v>1</v>
      </c>
      <c r="KA93">
        <v>1</v>
      </c>
      <c r="KB93">
        <v>1</v>
      </c>
      <c r="KC93">
        <v>1</v>
      </c>
      <c r="KD93">
        <v>1</v>
      </c>
      <c r="KE93">
        <v>1</v>
      </c>
      <c r="KF93">
        <v>1</v>
      </c>
      <c r="KG93">
        <v>1</v>
      </c>
      <c r="KH93">
        <v>1</v>
      </c>
      <c r="KI93">
        <v>1</v>
      </c>
      <c r="KJ93">
        <v>1</v>
      </c>
      <c r="KK93">
        <v>1</v>
      </c>
      <c r="KL93">
        <v>1</v>
      </c>
      <c r="KM93">
        <v>1</v>
      </c>
      <c r="KN93">
        <v>1</v>
      </c>
      <c r="KO93">
        <v>1</v>
      </c>
      <c r="KP93">
        <v>1</v>
      </c>
      <c r="KQ93">
        <v>1</v>
      </c>
      <c r="KR93">
        <v>1</v>
      </c>
      <c r="KS93">
        <v>1</v>
      </c>
      <c r="KT93">
        <v>1</v>
      </c>
      <c r="KU93">
        <v>1</v>
      </c>
      <c r="KV93">
        <v>1</v>
      </c>
      <c r="KW93">
        <v>1</v>
      </c>
      <c r="KX93">
        <v>1</v>
      </c>
      <c r="KY93">
        <v>1</v>
      </c>
      <c r="KZ93">
        <v>0</v>
      </c>
      <c r="LA93">
        <v>0</v>
      </c>
      <c r="LB93">
        <v>0</v>
      </c>
      <c r="LC93">
        <v>0</v>
      </c>
      <c r="LD93">
        <v>0</v>
      </c>
      <c r="LE93">
        <v>0</v>
      </c>
      <c r="LF93">
        <v>0</v>
      </c>
      <c r="LG93">
        <v>0</v>
      </c>
      <c r="LH93">
        <v>0</v>
      </c>
      <c r="LI93">
        <v>0</v>
      </c>
      <c r="LJ93">
        <v>0</v>
      </c>
      <c r="LK93">
        <v>0</v>
      </c>
      <c r="LL93">
        <v>0</v>
      </c>
      <c r="LM93">
        <v>0</v>
      </c>
      <c r="LN93">
        <v>0</v>
      </c>
      <c r="LO93">
        <v>0</v>
      </c>
      <c r="LP93">
        <v>0</v>
      </c>
      <c r="LQ93">
        <v>0</v>
      </c>
      <c r="LR93">
        <v>0</v>
      </c>
      <c r="LS93">
        <v>0</v>
      </c>
      <c r="LT93">
        <v>0</v>
      </c>
      <c r="LU93">
        <v>0</v>
      </c>
      <c r="LV93">
        <v>0</v>
      </c>
      <c r="LW93">
        <v>0</v>
      </c>
      <c r="LX93">
        <v>0</v>
      </c>
      <c r="LY93">
        <v>0</v>
      </c>
      <c r="LZ93">
        <v>0</v>
      </c>
      <c r="MA93">
        <v>0</v>
      </c>
      <c r="MB93">
        <v>0</v>
      </c>
      <c r="MC93">
        <v>0</v>
      </c>
      <c r="MD93">
        <v>0</v>
      </c>
      <c r="ME93">
        <v>0</v>
      </c>
      <c r="MF93">
        <v>0</v>
      </c>
      <c r="MG93">
        <v>0</v>
      </c>
      <c r="MH93">
        <v>0</v>
      </c>
      <c r="MI93">
        <v>0</v>
      </c>
      <c r="MJ93">
        <v>0</v>
      </c>
      <c r="MK93">
        <v>0</v>
      </c>
      <c r="ML93">
        <v>0</v>
      </c>
      <c r="MM93">
        <v>0</v>
      </c>
      <c r="MN93">
        <v>0</v>
      </c>
      <c r="MO93">
        <v>0</v>
      </c>
      <c r="MP93">
        <v>0</v>
      </c>
      <c r="MQ93">
        <v>0</v>
      </c>
      <c r="MR93">
        <v>0</v>
      </c>
      <c r="MS93">
        <v>0</v>
      </c>
      <c r="MT93">
        <v>0</v>
      </c>
      <c r="MU93">
        <v>0</v>
      </c>
      <c r="MV93">
        <v>0</v>
      </c>
      <c r="MW93">
        <v>0</v>
      </c>
      <c r="MX93">
        <v>0</v>
      </c>
      <c r="MY93">
        <v>0</v>
      </c>
      <c r="MZ93">
        <v>0</v>
      </c>
      <c r="NA93">
        <v>0</v>
      </c>
      <c r="NB93">
        <v>0</v>
      </c>
      <c r="NC93">
        <v>0</v>
      </c>
      <c r="ND93">
        <v>0</v>
      </c>
      <c r="NE93">
        <v>0</v>
      </c>
      <c r="NF93">
        <v>0</v>
      </c>
      <c r="NG93">
        <v>0</v>
      </c>
      <c r="NH93">
        <v>0</v>
      </c>
      <c r="NI93">
        <v>0</v>
      </c>
      <c r="NJ93">
        <v>0</v>
      </c>
      <c r="NK93">
        <v>0</v>
      </c>
      <c r="NL93">
        <v>0</v>
      </c>
      <c r="NM93">
        <v>0</v>
      </c>
      <c r="NN93">
        <v>0</v>
      </c>
      <c r="NO93">
        <v>0</v>
      </c>
      <c r="NP93">
        <v>0</v>
      </c>
      <c r="NQ93">
        <v>0</v>
      </c>
      <c r="NR93">
        <v>0</v>
      </c>
      <c r="NS93">
        <v>0</v>
      </c>
      <c r="NT93">
        <v>0</v>
      </c>
      <c r="NU93">
        <v>0</v>
      </c>
      <c r="NV93">
        <v>0</v>
      </c>
      <c r="NW93">
        <v>0</v>
      </c>
      <c r="NX93">
        <v>0</v>
      </c>
      <c r="NY93">
        <v>0</v>
      </c>
      <c r="NZ93">
        <v>0</v>
      </c>
      <c r="OA93">
        <v>0</v>
      </c>
      <c r="OB93">
        <v>0</v>
      </c>
      <c r="OC93">
        <v>0</v>
      </c>
      <c r="OD93">
        <v>0</v>
      </c>
      <c r="OE93">
        <v>0</v>
      </c>
      <c r="OF93">
        <v>0</v>
      </c>
      <c r="OG93">
        <v>0</v>
      </c>
      <c r="OH93">
        <v>0</v>
      </c>
      <c r="OI93">
        <v>0</v>
      </c>
      <c r="OJ93">
        <v>0</v>
      </c>
      <c r="OK93">
        <v>0</v>
      </c>
      <c r="OL93">
        <v>0</v>
      </c>
      <c r="OM93">
        <v>0</v>
      </c>
      <c r="ON93">
        <v>0</v>
      </c>
      <c r="OO93">
        <v>0</v>
      </c>
      <c r="OP93">
        <v>0</v>
      </c>
      <c r="OQ93">
        <v>0</v>
      </c>
      <c r="OR93">
        <v>0</v>
      </c>
      <c r="OS93">
        <v>0</v>
      </c>
      <c r="OT93">
        <v>0</v>
      </c>
      <c r="OU93">
        <v>0</v>
      </c>
      <c r="OV93">
        <v>0</v>
      </c>
      <c r="OW93">
        <v>0</v>
      </c>
      <c r="OX93">
        <v>0</v>
      </c>
      <c r="OY93">
        <v>0</v>
      </c>
      <c r="OZ93">
        <v>0</v>
      </c>
      <c r="PA93">
        <v>0</v>
      </c>
      <c r="PB93">
        <v>0</v>
      </c>
      <c r="PC93">
        <v>0</v>
      </c>
      <c r="PD93">
        <v>0</v>
      </c>
      <c r="PE93">
        <v>0</v>
      </c>
      <c r="PF93">
        <v>0</v>
      </c>
      <c r="PG93">
        <v>0</v>
      </c>
      <c r="PH93">
        <v>0</v>
      </c>
      <c r="PI93">
        <v>0</v>
      </c>
      <c r="PJ93">
        <v>0</v>
      </c>
      <c r="PK93">
        <v>0</v>
      </c>
      <c r="PL93">
        <v>0</v>
      </c>
      <c r="PM93">
        <v>0</v>
      </c>
      <c r="PN93">
        <v>0</v>
      </c>
      <c r="PO93">
        <v>0</v>
      </c>
      <c r="PP93">
        <v>0</v>
      </c>
      <c r="PQ93">
        <v>0</v>
      </c>
      <c r="PR93">
        <v>0</v>
      </c>
      <c r="PS93">
        <v>0</v>
      </c>
      <c r="PT93">
        <v>0</v>
      </c>
      <c r="PU93">
        <v>0</v>
      </c>
      <c r="PV93">
        <v>0</v>
      </c>
      <c r="PW93">
        <v>0</v>
      </c>
      <c r="PX93">
        <v>0</v>
      </c>
      <c r="PY93">
        <v>0</v>
      </c>
      <c r="PZ93">
        <v>0</v>
      </c>
      <c r="QA93">
        <v>0</v>
      </c>
      <c r="QB93">
        <v>0</v>
      </c>
      <c r="QC93">
        <v>0</v>
      </c>
      <c r="QD93">
        <v>0</v>
      </c>
      <c r="QE93">
        <v>0</v>
      </c>
      <c r="QF93">
        <v>0</v>
      </c>
      <c r="QG93">
        <v>0</v>
      </c>
      <c r="QH93">
        <v>0</v>
      </c>
      <c r="QI93">
        <v>0</v>
      </c>
      <c r="QJ93">
        <v>0</v>
      </c>
      <c r="QK93">
        <v>0</v>
      </c>
      <c r="QL93">
        <v>0</v>
      </c>
      <c r="QM93">
        <v>2</v>
      </c>
      <c r="QN93">
        <v>2</v>
      </c>
      <c r="QO93">
        <v>2</v>
      </c>
      <c r="QP93">
        <v>2</v>
      </c>
      <c r="QQ93">
        <v>2</v>
      </c>
      <c r="QR93">
        <v>2</v>
      </c>
      <c r="QS93">
        <v>2</v>
      </c>
      <c r="QT93">
        <v>2</v>
      </c>
      <c r="QU93">
        <v>2</v>
      </c>
      <c r="QV93">
        <v>2</v>
      </c>
      <c r="QW93">
        <v>2</v>
      </c>
      <c r="QX93">
        <v>2</v>
      </c>
      <c r="QY93">
        <v>2</v>
      </c>
      <c r="QZ93">
        <v>2</v>
      </c>
      <c r="RA93">
        <v>2</v>
      </c>
      <c r="RB93">
        <v>2</v>
      </c>
      <c r="RC93">
        <v>2</v>
      </c>
      <c r="RD93">
        <v>2</v>
      </c>
      <c r="RE93">
        <v>2</v>
      </c>
      <c r="RF93">
        <v>2</v>
      </c>
      <c r="RG93">
        <v>2</v>
      </c>
      <c r="RH93">
        <v>2</v>
      </c>
      <c r="RI93">
        <v>2</v>
      </c>
      <c r="RJ93">
        <v>2</v>
      </c>
      <c r="RK93">
        <v>2</v>
      </c>
      <c r="RL93">
        <v>2</v>
      </c>
      <c r="RM93">
        <v>2</v>
      </c>
      <c r="RN93">
        <v>2</v>
      </c>
      <c r="RO93">
        <v>2</v>
      </c>
      <c r="RP93">
        <v>2</v>
      </c>
      <c r="RQ93">
        <v>2</v>
      </c>
      <c r="RR93">
        <v>2</v>
      </c>
      <c r="RS93">
        <v>2</v>
      </c>
      <c r="RT93">
        <v>2</v>
      </c>
      <c r="RU93">
        <v>2</v>
      </c>
      <c r="RV93">
        <v>2</v>
      </c>
      <c r="RW93">
        <v>2</v>
      </c>
      <c r="RX93">
        <v>2</v>
      </c>
      <c r="RY93">
        <v>2</v>
      </c>
      <c r="RZ93">
        <v>2</v>
      </c>
      <c r="SA93">
        <v>2</v>
      </c>
      <c r="SB93">
        <v>2</v>
      </c>
      <c r="SC93">
        <v>2</v>
      </c>
      <c r="SD93">
        <v>2</v>
      </c>
      <c r="SE93">
        <v>2</v>
      </c>
      <c r="SF93">
        <v>2</v>
      </c>
      <c r="SG93">
        <v>2</v>
      </c>
      <c r="SH93">
        <v>2</v>
      </c>
      <c r="SI93">
        <v>2</v>
      </c>
      <c r="SJ93">
        <v>2</v>
      </c>
      <c r="SK93">
        <v>2</v>
      </c>
      <c r="SL93">
        <v>2</v>
      </c>
      <c r="SM93">
        <v>2</v>
      </c>
      <c r="SN93">
        <v>2</v>
      </c>
      <c r="SO93">
        <v>2</v>
      </c>
      <c r="SP93">
        <v>2</v>
      </c>
      <c r="SQ93">
        <v>2</v>
      </c>
      <c r="SR93">
        <v>2</v>
      </c>
      <c r="SS93">
        <v>2</v>
      </c>
      <c r="ST93">
        <v>2</v>
      </c>
      <c r="SU93">
        <v>2</v>
      </c>
      <c r="SV93">
        <v>2</v>
      </c>
      <c r="SW93">
        <v>2</v>
      </c>
      <c r="SX93">
        <v>2</v>
      </c>
      <c r="SY93">
        <v>2</v>
      </c>
      <c r="SZ93">
        <v>2</v>
      </c>
      <c r="TA93">
        <v>2</v>
      </c>
      <c r="TB93">
        <v>2</v>
      </c>
      <c r="TC93">
        <v>2</v>
      </c>
      <c r="TD93">
        <v>2</v>
      </c>
      <c r="TE93">
        <v>2</v>
      </c>
      <c r="TF93">
        <v>2</v>
      </c>
      <c r="TG93">
        <v>2</v>
      </c>
      <c r="TH93">
        <v>2</v>
      </c>
      <c r="TI93">
        <v>2</v>
      </c>
      <c r="TJ93">
        <v>2</v>
      </c>
      <c r="TK93">
        <v>2</v>
      </c>
      <c r="TL93">
        <v>2</v>
      </c>
      <c r="TM93">
        <v>2</v>
      </c>
      <c r="TN93">
        <v>2</v>
      </c>
      <c r="TO93">
        <v>2</v>
      </c>
      <c r="TP93">
        <v>2</v>
      </c>
      <c r="TQ93">
        <v>2</v>
      </c>
      <c r="TR93">
        <v>2</v>
      </c>
      <c r="TS93">
        <v>2</v>
      </c>
      <c r="TT93">
        <v>2</v>
      </c>
      <c r="TU93">
        <v>2</v>
      </c>
      <c r="TV93">
        <v>2</v>
      </c>
      <c r="TW93">
        <v>2</v>
      </c>
      <c r="TX93">
        <v>2</v>
      </c>
      <c r="TY93">
        <v>2</v>
      </c>
      <c r="TZ93">
        <v>2</v>
      </c>
      <c r="UA93">
        <v>2</v>
      </c>
      <c r="UB93">
        <v>2</v>
      </c>
      <c r="UC93">
        <v>2</v>
      </c>
      <c r="UD93">
        <v>2</v>
      </c>
      <c r="UE93">
        <v>2</v>
      </c>
      <c r="UF93">
        <v>2</v>
      </c>
      <c r="UG93">
        <v>2</v>
      </c>
      <c r="UH93">
        <v>2</v>
      </c>
      <c r="UI93">
        <v>2</v>
      </c>
      <c r="UJ93">
        <v>2</v>
      </c>
      <c r="UK93">
        <v>2</v>
      </c>
      <c r="UL93">
        <v>2</v>
      </c>
      <c r="UM93">
        <v>2</v>
      </c>
      <c r="UN93">
        <v>2</v>
      </c>
      <c r="UO93">
        <v>2</v>
      </c>
      <c r="UP93">
        <v>2</v>
      </c>
      <c r="UQ93">
        <v>2</v>
      </c>
      <c r="UR93">
        <v>2</v>
      </c>
      <c r="US93">
        <v>2</v>
      </c>
      <c r="UT93">
        <v>2</v>
      </c>
      <c r="UU93">
        <v>2</v>
      </c>
      <c r="UV93">
        <v>2</v>
      </c>
      <c r="UW93">
        <v>2</v>
      </c>
      <c r="UX93">
        <v>2</v>
      </c>
      <c r="UY93">
        <v>2</v>
      </c>
      <c r="UZ93">
        <v>2</v>
      </c>
      <c r="VA93">
        <v>2</v>
      </c>
      <c r="VB93">
        <v>2</v>
      </c>
      <c r="VC93">
        <v>2</v>
      </c>
      <c r="VD93">
        <v>2</v>
      </c>
      <c r="VE93">
        <v>2</v>
      </c>
      <c r="VF93">
        <v>2</v>
      </c>
      <c r="VG93">
        <v>2</v>
      </c>
      <c r="VH93">
        <v>2</v>
      </c>
      <c r="VI93">
        <v>2</v>
      </c>
      <c r="VJ93">
        <v>2</v>
      </c>
      <c r="VK93">
        <v>2</v>
      </c>
      <c r="VL93">
        <v>2</v>
      </c>
      <c r="VM93">
        <v>2</v>
      </c>
      <c r="VN93">
        <v>2</v>
      </c>
      <c r="VO93">
        <v>2</v>
      </c>
      <c r="VP93">
        <v>2</v>
      </c>
      <c r="VQ93">
        <v>2</v>
      </c>
      <c r="VR93">
        <v>2</v>
      </c>
      <c r="VS93">
        <v>2</v>
      </c>
      <c r="VT93">
        <v>2</v>
      </c>
      <c r="VU93">
        <v>2</v>
      </c>
      <c r="VV93">
        <v>2</v>
      </c>
      <c r="VW93">
        <v>2</v>
      </c>
      <c r="VX93">
        <v>2</v>
      </c>
      <c r="VY93">
        <v>2</v>
      </c>
      <c r="VZ93">
        <v>2</v>
      </c>
      <c r="WA93">
        <v>2</v>
      </c>
      <c r="WB93">
        <v>2</v>
      </c>
      <c r="WC93">
        <v>2</v>
      </c>
      <c r="WD93">
        <v>2</v>
      </c>
      <c r="WE93">
        <v>2</v>
      </c>
      <c r="WF93">
        <v>2</v>
      </c>
      <c r="WG93">
        <v>2</v>
      </c>
      <c r="WH93">
        <v>2</v>
      </c>
      <c r="WI93">
        <v>2</v>
      </c>
      <c r="WJ93">
        <v>2</v>
      </c>
      <c r="WK93">
        <v>2</v>
      </c>
      <c r="WL93">
        <v>2</v>
      </c>
      <c r="WM93">
        <v>2</v>
      </c>
      <c r="WN93">
        <v>2</v>
      </c>
      <c r="WO93">
        <v>2</v>
      </c>
      <c r="WP93">
        <v>2</v>
      </c>
      <c r="WQ93">
        <v>2</v>
      </c>
      <c r="WR93">
        <v>2</v>
      </c>
      <c r="WS93">
        <v>2</v>
      </c>
      <c r="WT93">
        <v>2</v>
      </c>
      <c r="WU93">
        <v>2</v>
      </c>
      <c r="WV93">
        <v>2</v>
      </c>
      <c r="WW93">
        <v>2</v>
      </c>
      <c r="WX93">
        <v>2</v>
      </c>
      <c r="WY93">
        <v>2</v>
      </c>
      <c r="WZ93">
        <v>2</v>
      </c>
      <c r="XA93">
        <v>2</v>
      </c>
      <c r="XB93">
        <v>2</v>
      </c>
      <c r="XC93">
        <v>2</v>
      </c>
      <c r="XD93">
        <v>2</v>
      </c>
      <c r="XE93">
        <v>2</v>
      </c>
      <c r="XF93">
        <v>2</v>
      </c>
      <c r="XG93">
        <v>2</v>
      </c>
      <c r="XH93">
        <v>2</v>
      </c>
      <c r="XI93">
        <v>2</v>
      </c>
      <c r="XJ93">
        <v>2</v>
      </c>
      <c r="XK93">
        <v>2</v>
      </c>
      <c r="XL93">
        <v>2</v>
      </c>
      <c r="XM93">
        <v>2</v>
      </c>
      <c r="XN93">
        <v>2</v>
      </c>
      <c r="XO93">
        <v>2</v>
      </c>
      <c r="XP93">
        <v>2</v>
      </c>
      <c r="XQ93">
        <v>2</v>
      </c>
      <c r="XR93">
        <v>2</v>
      </c>
      <c r="XS93">
        <v>2</v>
      </c>
      <c r="XT93">
        <v>2</v>
      </c>
      <c r="XU93">
        <v>2</v>
      </c>
      <c r="XV93">
        <v>2</v>
      </c>
      <c r="XW93">
        <v>2</v>
      </c>
      <c r="XX93">
        <v>2</v>
      </c>
      <c r="XY93">
        <v>2</v>
      </c>
      <c r="XZ93">
        <v>2</v>
      </c>
      <c r="YA93">
        <v>2</v>
      </c>
      <c r="YB93">
        <v>2</v>
      </c>
      <c r="YC93">
        <v>0</v>
      </c>
      <c r="YD93">
        <v>0</v>
      </c>
      <c r="YE93">
        <v>0</v>
      </c>
      <c r="YF93">
        <v>0</v>
      </c>
      <c r="YG93">
        <v>0</v>
      </c>
      <c r="YH93">
        <v>0</v>
      </c>
      <c r="YI93">
        <v>0</v>
      </c>
      <c r="YJ93">
        <v>0</v>
      </c>
      <c r="YK93">
        <v>0</v>
      </c>
      <c r="YL93">
        <v>0</v>
      </c>
      <c r="YM93">
        <v>0</v>
      </c>
      <c r="YN93">
        <v>0</v>
      </c>
      <c r="YO93">
        <v>0</v>
      </c>
      <c r="YP93">
        <v>0</v>
      </c>
      <c r="YQ93">
        <v>0</v>
      </c>
      <c r="YR93">
        <v>0</v>
      </c>
      <c r="YS93">
        <v>0</v>
      </c>
      <c r="YT93">
        <v>0</v>
      </c>
      <c r="YU93">
        <v>0</v>
      </c>
      <c r="YV93">
        <v>0</v>
      </c>
      <c r="YW93">
        <v>0</v>
      </c>
      <c r="YX93">
        <v>0</v>
      </c>
      <c r="YY93">
        <v>0</v>
      </c>
      <c r="YZ93">
        <v>0</v>
      </c>
      <c r="ZA93">
        <v>0</v>
      </c>
      <c r="ZB93">
        <v>0</v>
      </c>
      <c r="ZC93">
        <v>0</v>
      </c>
      <c r="ZD93">
        <v>0</v>
      </c>
      <c r="ZE93">
        <v>0</v>
      </c>
      <c r="ZF93">
        <v>0</v>
      </c>
      <c r="ZG93">
        <v>0</v>
      </c>
      <c r="ZH93">
        <v>0</v>
      </c>
      <c r="ZI93">
        <v>0</v>
      </c>
      <c r="ZJ93">
        <v>0</v>
      </c>
      <c r="ZK93">
        <v>0</v>
      </c>
      <c r="ZL93">
        <v>0</v>
      </c>
      <c r="ZM93">
        <v>0</v>
      </c>
      <c r="ZN93">
        <v>0</v>
      </c>
      <c r="ZO93">
        <v>0</v>
      </c>
      <c r="ZP93">
        <v>0</v>
      </c>
      <c r="ZQ93">
        <v>0</v>
      </c>
      <c r="ZR93">
        <v>0</v>
      </c>
      <c r="ZS93">
        <v>0</v>
      </c>
      <c r="ZT93">
        <v>0</v>
      </c>
      <c r="ZU93">
        <v>0</v>
      </c>
      <c r="ZV93">
        <v>0</v>
      </c>
      <c r="ZW93">
        <v>0</v>
      </c>
      <c r="ZX93">
        <v>0</v>
      </c>
      <c r="ZY93">
        <v>0</v>
      </c>
      <c r="ZZ93">
        <v>0</v>
      </c>
      <c r="AAA93">
        <v>0</v>
      </c>
      <c r="AAB93">
        <v>0</v>
      </c>
      <c r="AAC93">
        <v>0</v>
      </c>
      <c r="AAD93">
        <v>0</v>
      </c>
      <c r="AAE93">
        <v>0</v>
      </c>
      <c r="AAF93">
        <v>0</v>
      </c>
      <c r="AAG93">
        <v>0</v>
      </c>
      <c r="AAH93">
        <v>0</v>
      </c>
      <c r="AAI93">
        <v>0</v>
      </c>
      <c r="AAJ93">
        <v>0</v>
      </c>
      <c r="AAK93">
        <v>0</v>
      </c>
      <c r="AAL93">
        <v>0</v>
      </c>
      <c r="AAM93">
        <v>0</v>
      </c>
      <c r="AAN93">
        <v>0</v>
      </c>
      <c r="AAO93">
        <v>0</v>
      </c>
      <c r="AAP93">
        <v>0</v>
      </c>
      <c r="AAQ93">
        <v>0</v>
      </c>
      <c r="AAR93">
        <v>0</v>
      </c>
      <c r="AAS93">
        <v>0</v>
      </c>
      <c r="AAT93">
        <v>0</v>
      </c>
      <c r="AAU93">
        <v>0</v>
      </c>
      <c r="AAV93">
        <v>0</v>
      </c>
      <c r="AAW93">
        <v>0</v>
      </c>
      <c r="AAX93">
        <v>0</v>
      </c>
      <c r="AAY93">
        <v>0</v>
      </c>
      <c r="AAZ93">
        <v>0</v>
      </c>
      <c r="ABA93">
        <v>0</v>
      </c>
      <c r="ABB93">
        <v>0</v>
      </c>
      <c r="ABC93">
        <v>0</v>
      </c>
      <c r="ABD93">
        <v>0</v>
      </c>
      <c r="ABE93">
        <v>0</v>
      </c>
      <c r="ABG93" s="1137">
        <f t="shared" si="21"/>
        <v>0</v>
      </c>
      <c r="ABH93" s="1137">
        <f t="shared" si="21"/>
        <v>0</v>
      </c>
      <c r="ABI93" s="1137">
        <f t="shared" si="21"/>
        <v>5</v>
      </c>
      <c r="ABJ93" s="1137">
        <f t="shared" si="21"/>
        <v>30</v>
      </c>
      <c r="ABK93" s="1137">
        <f t="shared" si="21"/>
        <v>31</v>
      </c>
      <c r="ABL93" s="1137">
        <f t="shared" si="21"/>
        <v>30</v>
      </c>
      <c r="ABM93" s="1137">
        <f t="shared" si="21"/>
        <v>31</v>
      </c>
      <c r="ABN93" s="1137">
        <f t="shared" si="21"/>
        <v>31</v>
      </c>
      <c r="ABO93" s="1137">
        <f t="shared" si="21"/>
        <v>30</v>
      </c>
      <c r="ABP93" s="1137">
        <f t="shared" si="21"/>
        <v>31</v>
      </c>
      <c r="ABQ93" s="1137">
        <f t="shared" si="21"/>
        <v>4</v>
      </c>
      <c r="ABR93" s="1137">
        <f t="shared" si="21"/>
        <v>0</v>
      </c>
      <c r="ABS93" s="1137">
        <f t="shared" si="21"/>
        <v>0</v>
      </c>
      <c r="ABT93" s="1137">
        <f t="shared" si="21"/>
        <v>0</v>
      </c>
      <c r="ABU93" s="1137">
        <f t="shared" si="21"/>
        <v>4</v>
      </c>
      <c r="ABV93" s="1137">
        <f t="shared" si="21"/>
        <v>30</v>
      </c>
      <c r="ABW93" s="1137">
        <f t="shared" si="17"/>
        <v>31</v>
      </c>
      <c r="ABX93" s="1137">
        <f t="shared" si="23"/>
        <v>30</v>
      </c>
      <c r="ABY93" s="1137">
        <f t="shared" si="23"/>
        <v>31</v>
      </c>
      <c r="ABZ93" s="1137">
        <f t="shared" si="23"/>
        <v>31</v>
      </c>
      <c r="ACA93" s="1137">
        <f t="shared" si="23"/>
        <v>30</v>
      </c>
      <c r="ACB93" s="1137">
        <f t="shared" si="23"/>
        <v>11</v>
      </c>
      <c r="ACC93" s="1137">
        <f t="shared" si="23"/>
        <v>0</v>
      </c>
      <c r="ACD93" s="1137">
        <f t="shared" si="23"/>
        <v>0</v>
      </c>
      <c r="ACE93" s="1137" t="s">
        <v>39</v>
      </c>
      <c r="ACF93" s="1137">
        <f t="shared" si="22"/>
        <v>0</v>
      </c>
      <c r="ACG93" s="1137">
        <f t="shared" si="22"/>
        <v>0</v>
      </c>
      <c r="ACH93" s="1137">
        <f t="shared" si="22"/>
        <v>0</v>
      </c>
      <c r="ACI93" s="1137">
        <f t="shared" si="22"/>
        <v>1</v>
      </c>
      <c r="ACJ93" s="1137">
        <f t="shared" si="22"/>
        <v>1</v>
      </c>
      <c r="ACK93" s="1137">
        <f t="shared" si="22"/>
        <v>1</v>
      </c>
      <c r="ACL93" s="1137">
        <f t="shared" si="22"/>
        <v>1</v>
      </c>
      <c r="ACM93" s="1137">
        <f t="shared" si="22"/>
        <v>1</v>
      </c>
      <c r="ACN93" s="1137">
        <f t="shared" si="22"/>
        <v>1</v>
      </c>
      <c r="ACO93" s="1137">
        <f t="shared" si="22"/>
        <v>1</v>
      </c>
      <c r="ACP93" s="1137">
        <f t="shared" si="22"/>
        <v>0</v>
      </c>
      <c r="ACQ93" s="1137">
        <f t="shared" si="22"/>
        <v>0</v>
      </c>
      <c r="ACR93" s="1137">
        <f t="shared" si="22"/>
        <v>0</v>
      </c>
      <c r="ACS93" s="1137">
        <f t="shared" si="22"/>
        <v>0</v>
      </c>
      <c r="ACT93" s="1137">
        <f t="shared" si="22"/>
        <v>0</v>
      </c>
      <c r="ACU93" s="1137">
        <f t="shared" si="22"/>
        <v>1</v>
      </c>
      <c r="ACV93" s="1137">
        <f t="shared" si="24"/>
        <v>1</v>
      </c>
      <c r="ACW93" s="1137">
        <f t="shared" si="24"/>
        <v>1</v>
      </c>
      <c r="ACX93" s="1137">
        <f t="shared" si="24"/>
        <v>1</v>
      </c>
      <c r="ACY93" s="1137">
        <f t="shared" si="24"/>
        <v>1</v>
      </c>
      <c r="ACZ93" s="1137">
        <f t="shared" si="24"/>
        <v>1</v>
      </c>
      <c r="ADA93" s="1137">
        <f t="shared" si="24"/>
        <v>1</v>
      </c>
      <c r="ADB93" s="1137">
        <f t="shared" si="16"/>
        <v>0</v>
      </c>
      <c r="ADC93" s="1137">
        <f t="shared" si="16"/>
        <v>0</v>
      </c>
    </row>
    <row r="94" spans="1:783" x14ac:dyDescent="0.25">
      <c r="A94" t="s">
        <v>1891</v>
      </c>
      <c r="B94" t="s">
        <v>2018</v>
      </c>
      <c r="C94">
        <v>0</v>
      </c>
      <c r="D94">
        <v>0</v>
      </c>
      <c r="E94">
        <v>0</v>
      </c>
      <c r="F94">
        <v>0</v>
      </c>
      <c r="G94">
        <v>0</v>
      </c>
      <c r="H94">
        <v>0</v>
      </c>
      <c r="I94">
        <v>0</v>
      </c>
      <c r="J94">
        <v>0</v>
      </c>
      <c r="K94">
        <v>0</v>
      </c>
      <c r="L94">
        <v>0</v>
      </c>
      <c r="M94">
        <v>0</v>
      </c>
      <c r="N94">
        <v>0</v>
      </c>
      <c r="O94">
        <v>0</v>
      </c>
      <c r="P94">
        <v>0</v>
      </c>
      <c r="Q94">
        <v>0</v>
      </c>
      <c r="R94">
        <v>0</v>
      </c>
      <c r="S94">
        <v>0</v>
      </c>
      <c r="T94">
        <v>0</v>
      </c>
      <c r="U94">
        <v>0</v>
      </c>
      <c r="V94">
        <v>0</v>
      </c>
      <c r="W94">
        <v>0</v>
      </c>
      <c r="X94">
        <v>0</v>
      </c>
      <c r="Y94">
        <v>0</v>
      </c>
      <c r="Z94">
        <v>0</v>
      </c>
      <c r="AA94">
        <v>0</v>
      </c>
      <c r="AB94">
        <v>0</v>
      </c>
      <c r="AC94">
        <v>0</v>
      </c>
      <c r="AD94">
        <v>0</v>
      </c>
      <c r="AE94">
        <v>0</v>
      </c>
      <c r="AF94">
        <v>0</v>
      </c>
      <c r="AG94">
        <v>0</v>
      </c>
      <c r="AH94">
        <v>0</v>
      </c>
      <c r="AI94">
        <v>0</v>
      </c>
      <c r="AJ94">
        <v>0</v>
      </c>
      <c r="AK94">
        <v>0</v>
      </c>
      <c r="AL94">
        <v>0</v>
      </c>
      <c r="AM94">
        <v>0</v>
      </c>
      <c r="AN94">
        <v>0</v>
      </c>
      <c r="AO94">
        <v>0</v>
      </c>
      <c r="AP94">
        <v>0</v>
      </c>
      <c r="AQ94">
        <v>0</v>
      </c>
      <c r="AR94">
        <v>0</v>
      </c>
      <c r="AS94">
        <v>0</v>
      </c>
      <c r="AT94">
        <v>0</v>
      </c>
      <c r="AU94">
        <v>0</v>
      </c>
      <c r="AV94">
        <v>0</v>
      </c>
      <c r="AW94">
        <v>0</v>
      </c>
      <c r="AX94">
        <v>0</v>
      </c>
      <c r="AY94">
        <v>0</v>
      </c>
      <c r="AZ94">
        <v>0</v>
      </c>
      <c r="BA94">
        <v>0</v>
      </c>
      <c r="BB94">
        <v>0</v>
      </c>
      <c r="BC94">
        <v>0</v>
      </c>
      <c r="BD94">
        <v>0</v>
      </c>
      <c r="BE94">
        <v>0</v>
      </c>
      <c r="BF94">
        <v>0</v>
      </c>
      <c r="BG94">
        <v>0</v>
      </c>
      <c r="BH94">
        <v>0</v>
      </c>
      <c r="BI94">
        <v>0</v>
      </c>
      <c r="BJ94">
        <v>0</v>
      </c>
      <c r="BK94">
        <v>0</v>
      </c>
      <c r="BL94">
        <v>0</v>
      </c>
      <c r="BM94">
        <v>0</v>
      </c>
      <c r="BN94">
        <v>0</v>
      </c>
      <c r="BO94">
        <v>0</v>
      </c>
      <c r="BP94">
        <v>0</v>
      </c>
      <c r="BQ94">
        <v>0</v>
      </c>
      <c r="BR94">
        <v>0</v>
      </c>
      <c r="BS94">
        <v>0</v>
      </c>
      <c r="BT94">
        <v>0</v>
      </c>
      <c r="BU94">
        <v>0</v>
      </c>
      <c r="BV94">
        <v>0</v>
      </c>
      <c r="BW94">
        <v>0</v>
      </c>
      <c r="BX94">
        <v>0</v>
      </c>
      <c r="BY94">
        <v>0</v>
      </c>
      <c r="BZ94">
        <v>0</v>
      </c>
      <c r="CA94">
        <v>0</v>
      </c>
      <c r="CB94">
        <v>0</v>
      </c>
      <c r="CC94">
        <v>0</v>
      </c>
      <c r="CD94">
        <v>0</v>
      </c>
      <c r="CE94">
        <v>0</v>
      </c>
      <c r="CF94">
        <v>1</v>
      </c>
      <c r="CG94">
        <v>1</v>
      </c>
      <c r="CH94">
        <v>1</v>
      </c>
      <c r="CI94">
        <v>2</v>
      </c>
      <c r="CJ94">
        <v>2</v>
      </c>
      <c r="CK94">
        <v>2</v>
      </c>
      <c r="CL94">
        <v>2</v>
      </c>
      <c r="CM94">
        <v>2</v>
      </c>
      <c r="CN94">
        <v>2</v>
      </c>
      <c r="CO94">
        <v>2</v>
      </c>
      <c r="CP94">
        <v>2</v>
      </c>
      <c r="CQ94">
        <v>2</v>
      </c>
      <c r="CR94">
        <v>2</v>
      </c>
      <c r="CS94">
        <v>2</v>
      </c>
      <c r="CT94">
        <v>2</v>
      </c>
      <c r="CU94">
        <v>2</v>
      </c>
      <c r="CV94">
        <v>2</v>
      </c>
      <c r="CW94">
        <v>2</v>
      </c>
      <c r="CX94">
        <v>2</v>
      </c>
      <c r="CY94">
        <v>2</v>
      </c>
      <c r="CZ94">
        <v>2</v>
      </c>
      <c r="DA94">
        <v>2</v>
      </c>
      <c r="DB94">
        <v>2</v>
      </c>
      <c r="DC94">
        <v>2</v>
      </c>
      <c r="DD94">
        <v>2</v>
      </c>
      <c r="DE94">
        <v>2</v>
      </c>
      <c r="DF94">
        <v>2</v>
      </c>
      <c r="DG94">
        <v>2</v>
      </c>
      <c r="DH94">
        <v>2</v>
      </c>
      <c r="DI94">
        <v>2</v>
      </c>
      <c r="DJ94">
        <v>2</v>
      </c>
      <c r="DK94">
        <v>2</v>
      </c>
      <c r="DL94">
        <v>2</v>
      </c>
      <c r="DM94">
        <v>2</v>
      </c>
      <c r="DN94">
        <v>2</v>
      </c>
      <c r="DO94">
        <v>2</v>
      </c>
      <c r="DP94">
        <v>2</v>
      </c>
      <c r="DQ94">
        <v>2</v>
      </c>
      <c r="DR94">
        <v>2</v>
      </c>
      <c r="DS94">
        <v>2</v>
      </c>
      <c r="DT94">
        <v>2</v>
      </c>
      <c r="DU94">
        <v>2</v>
      </c>
      <c r="DV94">
        <v>2</v>
      </c>
      <c r="DW94">
        <v>2</v>
      </c>
      <c r="DX94">
        <v>2</v>
      </c>
      <c r="DY94">
        <v>2</v>
      </c>
      <c r="DZ94">
        <v>2</v>
      </c>
      <c r="EA94">
        <v>2</v>
      </c>
      <c r="EB94">
        <v>2</v>
      </c>
      <c r="EC94">
        <v>2</v>
      </c>
      <c r="ED94">
        <v>2</v>
      </c>
      <c r="EE94">
        <v>2</v>
      </c>
      <c r="EF94">
        <v>2</v>
      </c>
      <c r="EG94">
        <v>2</v>
      </c>
      <c r="EH94">
        <v>2</v>
      </c>
      <c r="EI94">
        <v>2</v>
      </c>
      <c r="EJ94">
        <v>2</v>
      </c>
      <c r="EK94">
        <v>2</v>
      </c>
      <c r="EL94">
        <v>2</v>
      </c>
      <c r="EM94">
        <v>2</v>
      </c>
      <c r="EN94">
        <v>2</v>
      </c>
      <c r="EO94">
        <v>2</v>
      </c>
      <c r="EP94">
        <v>2</v>
      </c>
      <c r="EQ94">
        <v>2</v>
      </c>
      <c r="ER94">
        <v>2</v>
      </c>
      <c r="ES94">
        <v>2</v>
      </c>
      <c r="ET94">
        <v>2</v>
      </c>
      <c r="EU94">
        <v>2</v>
      </c>
      <c r="EV94">
        <v>2</v>
      </c>
      <c r="EW94">
        <v>2</v>
      </c>
      <c r="EX94">
        <v>2</v>
      </c>
      <c r="EY94">
        <v>2</v>
      </c>
      <c r="EZ94">
        <v>2</v>
      </c>
      <c r="FA94">
        <v>2</v>
      </c>
      <c r="FB94">
        <v>2</v>
      </c>
      <c r="FC94">
        <v>2</v>
      </c>
      <c r="FD94">
        <v>2</v>
      </c>
      <c r="FE94">
        <v>2</v>
      </c>
      <c r="FF94">
        <v>2</v>
      </c>
      <c r="FG94">
        <v>2</v>
      </c>
      <c r="FH94">
        <v>2</v>
      </c>
      <c r="FI94">
        <v>2</v>
      </c>
      <c r="FJ94">
        <v>2</v>
      </c>
      <c r="FK94">
        <v>2</v>
      </c>
      <c r="FL94">
        <v>2</v>
      </c>
      <c r="FM94">
        <v>2</v>
      </c>
      <c r="FN94">
        <v>2</v>
      </c>
      <c r="FO94">
        <v>2</v>
      </c>
      <c r="FP94">
        <v>2</v>
      </c>
      <c r="FQ94">
        <v>2</v>
      </c>
      <c r="FR94">
        <v>2</v>
      </c>
      <c r="FS94">
        <v>2</v>
      </c>
      <c r="FT94">
        <v>2</v>
      </c>
      <c r="FU94">
        <v>2</v>
      </c>
      <c r="FV94">
        <v>2</v>
      </c>
      <c r="FW94">
        <v>2</v>
      </c>
      <c r="FX94">
        <v>2</v>
      </c>
      <c r="FY94">
        <v>2</v>
      </c>
      <c r="FZ94">
        <v>2</v>
      </c>
      <c r="GA94">
        <v>2</v>
      </c>
      <c r="GB94">
        <v>2</v>
      </c>
      <c r="GC94">
        <v>2</v>
      </c>
      <c r="GD94">
        <v>2</v>
      </c>
      <c r="GE94">
        <v>2</v>
      </c>
      <c r="GF94">
        <v>2</v>
      </c>
      <c r="GG94">
        <v>2</v>
      </c>
      <c r="GH94">
        <v>2</v>
      </c>
      <c r="GI94">
        <v>2</v>
      </c>
      <c r="GJ94">
        <v>2</v>
      </c>
      <c r="GK94">
        <v>2</v>
      </c>
      <c r="GL94">
        <v>2</v>
      </c>
      <c r="GM94">
        <v>2</v>
      </c>
      <c r="GN94">
        <v>2</v>
      </c>
      <c r="GO94">
        <v>2</v>
      </c>
      <c r="GP94">
        <v>2</v>
      </c>
      <c r="GQ94">
        <v>2</v>
      </c>
      <c r="GR94">
        <v>2</v>
      </c>
      <c r="GS94">
        <v>2</v>
      </c>
      <c r="GT94">
        <v>2</v>
      </c>
      <c r="GU94">
        <v>2</v>
      </c>
      <c r="GV94">
        <v>2</v>
      </c>
      <c r="GW94">
        <v>2</v>
      </c>
      <c r="GX94">
        <v>2</v>
      </c>
      <c r="GY94">
        <v>2</v>
      </c>
      <c r="GZ94">
        <v>2</v>
      </c>
      <c r="HA94">
        <v>2</v>
      </c>
      <c r="HB94">
        <v>2</v>
      </c>
      <c r="HC94">
        <v>2</v>
      </c>
      <c r="HD94">
        <v>2</v>
      </c>
      <c r="HE94">
        <v>2</v>
      </c>
      <c r="HF94">
        <v>2</v>
      </c>
      <c r="HG94">
        <v>2</v>
      </c>
      <c r="HH94">
        <v>2</v>
      </c>
      <c r="HI94">
        <v>2</v>
      </c>
      <c r="HJ94">
        <v>2</v>
      </c>
      <c r="HK94">
        <v>2</v>
      </c>
      <c r="HL94">
        <v>2</v>
      </c>
      <c r="HM94">
        <v>2</v>
      </c>
      <c r="HN94">
        <v>2</v>
      </c>
      <c r="HO94">
        <v>2</v>
      </c>
      <c r="HP94">
        <v>2</v>
      </c>
      <c r="HQ94">
        <v>2</v>
      </c>
      <c r="HR94">
        <v>2</v>
      </c>
      <c r="HS94">
        <v>2</v>
      </c>
      <c r="HT94">
        <v>2</v>
      </c>
      <c r="HU94">
        <v>2</v>
      </c>
      <c r="HV94">
        <v>2</v>
      </c>
      <c r="HW94">
        <v>2</v>
      </c>
      <c r="HX94">
        <v>2</v>
      </c>
      <c r="HY94">
        <v>2</v>
      </c>
      <c r="HZ94">
        <v>2</v>
      </c>
      <c r="IA94">
        <v>2</v>
      </c>
      <c r="IB94">
        <v>2</v>
      </c>
      <c r="IC94">
        <v>2</v>
      </c>
      <c r="ID94">
        <v>2</v>
      </c>
      <c r="IE94">
        <v>2</v>
      </c>
      <c r="IF94">
        <v>2</v>
      </c>
      <c r="IG94">
        <v>2</v>
      </c>
      <c r="IH94">
        <v>2</v>
      </c>
      <c r="II94">
        <v>2</v>
      </c>
      <c r="IJ94">
        <v>2</v>
      </c>
      <c r="IK94">
        <v>2</v>
      </c>
      <c r="IL94">
        <v>2</v>
      </c>
      <c r="IM94">
        <v>2</v>
      </c>
      <c r="IN94">
        <v>2</v>
      </c>
      <c r="IO94">
        <v>2</v>
      </c>
      <c r="IP94">
        <v>2</v>
      </c>
      <c r="IQ94">
        <v>2</v>
      </c>
      <c r="IR94">
        <v>2</v>
      </c>
      <c r="IS94">
        <v>2</v>
      </c>
      <c r="IT94">
        <v>2</v>
      </c>
      <c r="IU94">
        <v>2</v>
      </c>
      <c r="IV94">
        <v>2</v>
      </c>
      <c r="IW94">
        <v>2</v>
      </c>
      <c r="IX94">
        <v>2</v>
      </c>
      <c r="IY94">
        <v>2</v>
      </c>
      <c r="IZ94">
        <v>2</v>
      </c>
      <c r="JA94">
        <v>2</v>
      </c>
      <c r="JB94">
        <v>2</v>
      </c>
      <c r="JC94">
        <v>2</v>
      </c>
      <c r="JD94">
        <v>2</v>
      </c>
      <c r="JE94">
        <v>2</v>
      </c>
      <c r="JF94">
        <v>2</v>
      </c>
      <c r="JG94">
        <v>2</v>
      </c>
      <c r="JH94">
        <v>2</v>
      </c>
      <c r="JI94">
        <v>2</v>
      </c>
      <c r="JJ94">
        <v>2</v>
      </c>
      <c r="JK94">
        <v>2</v>
      </c>
      <c r="JL94">
        <v>2</v>
      </c>
      <c r="JM94">
        <v>2</v>
      </c>
      <c r="JN94">
        <v>2</v>
      </c>
      <c r="JO94">
        <v>2</v>
      </c>
      <c r="JP94">
        <v>2</v>
      </c>
      <c r="JQ94">
        <v>2</v>
      </c>
      <c r="JR94">
        <v>2</v>
      </c>
      <c r="JS94">
        <v>2</v>
      </c>
      <c r="JT94">
        <v>2</v>
      </c>
      <c r="JU94">
        <v>2</v>
      </c>
      <c r="JV94">
        <v>2</v>
      </c>
      <c r="JW94">
        <v>2</v>
      </c>
      <c r="JX94">
        <v>2</v>
      </c>
      <c r="JY94">
        <v>2</v>
      </c>
      <c r="JZ94">
        <v>2</v>
      </c>
      <c r="KA94">
        <v>2</v>
      </c>
      <c r="KB94">
        <v>2</v>
      </c>
      <c r="KC94">
        <v>2</v>
      </c>
      <c r="KD94">
        <v>2</v>
      </c>
      <c r="KE94">
        <v>2</v>
      </c>
      <c r="KF94">
        <v>2</v>
      </c>
      <c r="KG94">
        <v>1</v>
      </c>
      <c r="KH94">
        <v>1</v>
      </c>
      <c r="KI94">
        <v>1</v>
      </c>
      <c r="KJ94">
        <v>1</v>
      </c>
      <c r="KK94">
        <v>1</v>
      </c>
      <c r="KL94">
        <v>1</v>
      </c>
      <c r="KM94">
        <v>1</v>
      </c>
      <c r="KN94">
        <v>1</v>
      </c>
      <c r="KO94">
        <v>1</v>
      </c>
      <c r="KP94">
        <v>1</v>
      </c>
      <c r="KQ94">
        <v>1</v>
      </c>
      <c r="KR94">
        <v>1</v>
      </c>
      <c r="KS94">
        <v>1</v>
      </c>
      <c r="KT94">
        <v>1</v>
      </c>
      <c r="KU94">
        <v>1</v>
      </c>
      <c r="KV94">
        <v>1</v>
      </c>
      <c r="KW94">
        <v>1</v>
      </c>
      <c r="KX94">
        <v>1</v>
      </c>
      <c r="KY94">
        <v>1</v>
      </c>
      <c r="KZ94">
        <v>1</v>
      </c>
      <c r="LA94">
        <v>1</v>
      </c>
      <c r="LB94">
        <v>1</v>
      </c>
      <c r="LC94">
        <v>1</v>
      </c>
      <c r="LD94">
        <v>1</v>
      </c>
      <c r="LE94">
        <v>1</v>
      </c>
      <c r="LF94">
        <v>1</v>
      </c>
      <c r="LG94">
        <v>1</v>
      </c>
      <c r="LH94">
        <v>1</v>
      </c>
      <c r="LI94">
        <v>1</v>
      </c>
      <c r="LJ94">
        <v>1</v>
      </c>
      <c r="LK94">
        <v>1</v>
      </c>
      <c r="LL94">
        <v>1</v>
      </c>
      <c r="LM94">
        <v>1</v>
      </c>
      <c r="LN94">
        <v>1</v>
      </c>
      <c r="LO94">
        <v>1</v>
      </c>
      <c r="LP94">
        <v>1</v>
      </c>
      <c r="LQ94">
        <v>1</v>
      </c>
      <c r="LR94">
        <v>1</v>
      </c>
      <c r="LS94">
        <v>1</v>
      </c>
      <c r="LT94">
        <v>1</v>
      </c>
      <c r="LU94">
        <v>1</v>
      </c>
      <c r="LV94">
        <v>1</v>
      </c>
      <c r="LW94">
        <v>1</v>
      </c>
      <c r="LX94">
        <v>1</v>
      </c>
      <c r="LY94">
        <v>1</v>
      </c>
      <c r="LZ94">
        <v>1</v>
      </c>
      <c r="MA94">
        <v>1</v>
      </c>
      <c r="MB94">
        <v>1</v>
      </c>
      <c r="MC94">
        <v>1</v>
      </c>
      <c r="MD94">
        <v>1</v>
      </c>
      <c r="ME94">
        <v>1</v>
      </c>
      <c r="MF94">
        <v>1</v>
      </c>
      <c r="MG94">
        <v>1</v>
      </c>
      <c r="MH94">
        <v>1</v>
      </c>
      <c r="MI94">
        <v>1</v>
      </c>
      <c r="MJ94">
        <v>0</v>
      </c>
      <c r="MK94">
        <v>0</v>
      </c>
      <c r="ML94">
        <v>0</v>
      </c>
      <c r="MM94">
        <v>0</v>
      </c>
      <c r="MN94">
        <v>0</v>
      </c>
      <c r="MO94">
        <v>0</v>
      </c>
      <c r="MP94">
        <v>0</v>
      </c>
      <c r="MQ94">
        <v>0</v>
      </c>
      <c r="MR94">
        <v>0</v>
      </c>
      <c r="MS94">
        <v>0</v>
      </c>
      <c r="MT94">
        <v>0</v>
      </c>
      <c r="MU94">
        <v>0</v>
      </c>
      <c r="MV94">
        <v>0</v>
      </c>
      <c r="MW94">
        <v>0</v>
      </c>
      <c r="MX94">
        <v>0</v>
      </c>
      <c r="MY94">
        <v>0</v>
      </c>
      <c r="MZ94">
        <v>0</v>
      </c>
      <c r="NA94">
        <v>0</v>
      </c>
      <c r="NB94">
        <v>0</v>
      </c>
      <c r="NC94">
        <v>0</v>
      </c>
      <c r="ND94">
        <v>0</v>
      </c>
      <c r="NE94">
        <v>0</v>
      </c>
      <c r="NF94">
        <v>0</v>
      </c>
      <c r="NG94">
        <v>0</v>
      </c>
      <c r="NH94">
        <v>0</v>
      </c>
      <c r="NI94">
        <v>0</v>
      </c>
      <c r="NJ94">
        <v>0</v>
      </c>
      <c r="NK94">
        <v>0</v>
      </c>
      <c r="NL94">
        <v>0</v>
      </c>
      <c r="NM94">
        <v>0</v>
      </c>
      <c r="NN94">
        <v>0</v>
      </c>
      <c r="NO94">
        <v>0</v>
      </c>
      <c r="NP94">
        <v>0</v>
      </c>
      <c r="NQ94">
        <v>0</v>
      </c>
      <c r="NR94">
        <v>0</v>
      </c>
      <c r="NS94">
        <v>0</v>
      </c>
      <c r="NT94">
        <v>0</v>
      </c>
      <c r="NU94">
        <v>0</v>
      </c>
      <c r="NV94">
        <v>0</v>
      </c>
      <c r="NW94">
        <v>0</v>
      </c>
      <c r="NX94">
        <v>0</v>
      </c>
      <c r="NY94">
        <v>0</v>
      </c>
      <c r="NZ94">
        <v>0</v>
      </c>
      <c r="OA94">
        <v>0</v>
      </c>
      <c r="OB94">
        <v>0</v>
      </c>
      <c r="OC94">
        <v>0</v>
      </c>
      <c r="OD94">
        <v>0</v>
      </c>
      <c r="OE94">
        <v>0</v>
      </c>
      <c r="OF94">
        <v>0</v>
      </c>
      <c r="OG94">
        <v>0</v>
      </c>
      <c r="OH94">
        <v>0</v>
      </c>
      <c r="OI94">
        <v>0</v>
      </c>
      <c r="OJ94">
        <v>0</v>
      </c>
      <c r="OK94">
        <v>0</v>
      </c>
      <c r="OL94">
        <v>0</v>
      </c>
      <c r="OM94">
        <v>0</v>
      </c>
      <c r="ON94">
        <v>0</v>
      </c>
      <c r="OO94">
        <v>0</v>
      </c>
      <c r="OP94">
        <v>0</v>
      </c>
      <c r="OQ94">
        <v>0</v>
      </c>
      <c r="OR94">
        <v>0</v>
      </c>
      <c r="OS94">
        <v>0</v>
      </c>
      <c r="OT94">
        <v>0</v>
      </c>
      <c r="OU94">
        <v>0</v>
      </c>
      <c r="OV94">
        <v>0</v>
      </c>
      <c r="OW94">
        <v>0</v>
      </c>
      <c r="OX94">
        <v>0</v>
      </c>
      <c r="OY94">
        <v>0</v>
      </c>
      <c r="OZ94">
        <v>0</v>
      </c>
      <c r="PA94">
        <v>0</v>
      </c>
      <c r="PB94">
        <v>0</v>
      </c>
      <c r="PC94">
        <v>0</v>
      </c>
      <c r="PD94">
        <v>0</v>
      </c>
      <c r="PE94">
        <v>0</v>
      </c>
      <c r="PF94">
        <v>0</v>
      </c>
      <c r="PG94">
        <v>0</v>
      </c>
      <c r="PH94">
        <v>0</v>
      </c>
      <c r="PI94">
        <v>0</v>
      </c>
      <c r="PJ94">
        <v>0</v>
      </c>
      <c r="PK94">
        <v>0</v>
      </c>
      <c r="PL94">
        <v>0</v>
      </c>
      <c r="PM94">
        <v>0</v>
      </c>
      <c r="PN94">
        <v>0</v>
      </c>
      <c r="PO94">
        <v>0</v>
      </c>
      <c r="PP94">
        <v>0</v>
      </c>
      <c r="PQ94">
        <v>0</v>
      </c>
      <c r="PR94">
        <v>0</v>
      </c>
      <c r="PS94">
        <v>0</v>
      </c>
      <c r="PT94">
        <v>0</v>
      </c>
      <c r="PU94">
        <v>0</v>
      </c>
      <c r="PV94">
        <v>0</v>
      </c>
      <c r="PW94">
        <v>0</v>
      </c>
      <c r="PX94">
        <v>0</v>
      </c>
      <c r="PY94">
        <v>0</v>
      </c>
      <c r="PZ94">
        <v>0</v>
      </c>
      <c r="QA94">
        <v>0</v>
      </c>
      <c r="QB94">
        <v>0</v>
      </c>
      <c r="QC94">
        <v>0</v>
      </c>
      <c r="QD94">
        <v>0</v>
      </c>
      <c r="QE94">
        <v>0</v>
      </c>
      <c r="QF94">
        <v>0</v>
      </c>
      <c r="QG94">
        <v>0</v>
      </c>
      <c r="QH94">
        <v>0</v>
      </c>
      <c r="QI94">
        <v>0</v>
      </c>
      <c r="QJ94">
        <v>0</v>
      </c>
      <c r="QK94">
        <v>0</v>
      </c>
      <c r="QL94">
        <v>0</v>
      </c>
      <c r="QM94">
        <v>0</v>
      </c>
      <c r="QN94">
        <v>0</v>
      </c>
      <c r="QO94">
        <v>0</v>
      </c>
      <c r="QP94">
        <v>0</v>
      </c>
      <c r="QQ94">
        <v>0</v>
      </c>
      <c r="QR94">
        <v>0</v>
      </c>
      <c r="QS94">
        <v>0</v>
      </c>
      <c r="QT94">
        <v>0</v>
      </c>
      <c r="QU94">
        <v>1</v>
      </c>
      <c r="QV94">
        <v>1</v>
      </c>
      <c r="QW94">
        <v>1</v>
      </c>
      <c r="QX94">
        <v>1</v>
      </c>
      <c r="QY94">
        <v>1</v>
      </c>
      <c r="QZ94">
        <v>1</v>
      </c>
      <c r="RA94">
        <v>1</v>
      </c>
      <c r="RB94">
        <v>1</v>
      </c>
      <c r="RC94">
        <v>1</v>
      </c>
      <c r="RD94">
        <v>1</v>
      </c>
      <c r="RE94">
        <v>1</v>
      </c>
      <c r="RF94">
        <v>1</v>
      </c>
      <c r="RG94">
        <v>1</v>
      </c>
      <c r="RH94">
        <v>0</v>
      </c>
      <c r="RI94">
        <v>0</v>
      </c>
      <c r="RJ94">
        <v>0</v>
      </c>
      <c r="RK94">
        <v>0</v>
      </c>
      <c r="RL94">
        <v>0</v>
      </c>
      <c r="RM94">
        <v>0</v>
      </c>
      <c r="RN94">
        <v>0</v>
      </c>
      <c r="RO94">
        <v>0</v>
      </c>
      <c r="RP94">
        <v>0</v>
      </c>
      <c r="RQ94">
        <v>0</v>
      </c>
      <c r="RR94">
        <v>0</v>
      </c>
      <c r="RS94">
        <v>0</v>
      </c>
      <c r="RT94">
        <v>0</v>
      </c>
      <c r="RU94">
        <v>0</v>
      </c>
      <c r="RV94">
        <v>0</v>
      </c>
      <c r="RW94">
        <v>0</v>
      </c>
      <c r="RX94">
        <v>0</v>
      </c>
      <c r="RY94">
        <v>0</v>
      </c>
      <c r="RZ94">
        <v>0</v>
      </c>
      <c r="SA94">
        <v>0</v>
      </c>
      <c r="SB94">
        <v>0</v>
      </c>
      <c r="SC94">
        <v>0</v>
      </c>
      <c r="SD94">
        <v>0</v>
      </c>
      <c r="SE94">
        <v>0</v>
      </c>
      <c r="SF94">
        <v>0</v>
      </c>
      <c r="SG94">
        <v>0</v>
      </c>
      <c r="SH94">
        <v>0</v>
      </c>
      <c r="SI94">
        <v>0</v>
      </c>
      <c r="SJ94">
        <v>0</v>
      </c>
      <c r="SK94">
        <v>0</v>
      </c>
      <c r="SL94">
        <v>0</v>
      </c>
      <c r="SM94">
        <v>0</v>
      </c>
      <c r="SN94">
        <v>0</v>
      </c>
      <c r="SO94">
        <v>0</v>
      </c>
      <c r="SP94">
        <v>0</v>
      </c>
      <c r="SQ94">
        <v>0</v>
      </c>
      <c r="SR94">
        <v>0</v>
      </c>
      <c r="SS94">
        <v>0</v>
      </c>
      <c r="ST94">
        <v>0</v>
      </c>
      <c r="SU94">
        <v>0</v>
      </c>
      <c r="SV94">
        <v>0</v>
      </c>
      <c r="SW94">
        <v>0</v>
      </c>
      <c r="SX94">
        <v>0</v>
      </c>
      <c r="SY94">
        <v>0</v>
      </c>
      <c r="SZ94">
        <v>0</v>
      </c>
      <c r="TA94">
        <v>0</v>
      </c>
      <c r="TB94">
        <v>0</v>
      </c>
      <c r="TC94">
        <v>0</v>
      </c>
      <c r="TD94">
        <v>0</v>
      </c>
      <c r="TE94">
        <v>0</v>
      </c>
      <c r="TF94">
        <v>0</v>
      </c>
      <c r="TG94">
        <v>0</v>
      </c>
      <c r="TH94">
        <v>0</v>
      </c>
      <c r="TI94">
        <v>0</v>
      </c>
      <c r="TJ94">
        <v>0</v>
      </c>
      <c r="TK94">
        <v>0</v>
      </c>
      <c r="TL94">
        <v>0</v>
      </c>
      <c r="TM94">
        <v>0</v>
      </c>
      <c r="TN94">
        <v>0</v>
      </c>
      <c r="TO94">
        <v>0</v>
      </c>
      <c r="TP94">
        <v>0</v>
      </c>
      <c r="TQ94">
        <v>0</v>
      </c>
      <c r="TR94">
        <v>0</v>
      </c>
      <c r="TS94">
        <v>0</v>
      </c>
      <c r="TT94">
        <v>0</v>
      </c>
      <c r="TU94">
        <v>0</v>
      </c>
      <c r="TV94">
        <v>0</v>
      </c>
      <c r="TW94">
        <v>0</v>
      </c>
      <c r="TX94">
        <v>0</v>
      </c>
      <c r="TY94">
        <v>1</v>
      </c>
      <c r="TZ94">
        <v>1</v>
      </c>
      <c r="UA94">
        <v>1</v>
      </c>
      <c r="UB94">
        <v>1</v>
      </c>
      <c r="UC94">
        <v>1</v>
      </c>
      <c r="UD94">
        <v>1</v>
      </c>
      <c r="UE94">
        <v>1</v>
      </c>
      <c r="UF94">
        <v>1</v>
      </c>
      <c r="UG94">
        <v>1</v>
      </c>
      <c r="UH94">
        <v>1</v>
      </c>
      <c r="UI94">
        <v>1</v>
      </c>
      <c r="UJ94">
        <v>1</v>
      </c>
      <c r="UK94">
        <v>1</v>
      </c>
      <c r="UL94">
        <v>1</v>
      </c>
      <c r="UM94">
        <v>1</v>
      </c>
      <c r="UN94">
        <v>1</v>
      </c>
      <c r="UO94">
        <v>1</v>
      </c>
      <c r="UP94">
        <v>1</v>
      </c>
      <c r="UQ94">
        <v>1</v>
      </c>
      <c r="UR94">
        <v>1</v>
      </c>
      <c r="US94">
        <v>1</v>
      </c>
      <c r="UT94">
        <v>1</v>
      </c>
      <c r="UU94">
        <v>1</v>
      </c>
      <c r="UV94">
        <v>1</v>
      </c>
      <c r="UW94">
        <v>1</v>
      </c>
      <c r="UX94">
        <v>1</v>
      </c>
      <c r="UY94">
        <v>1</v>
      </c>
      <c r="UZ94">
        <v>1</v>
      </c>
      <c r="VA94">
        <v>1</v>
      </c>
      <c r="VB94">
        <v>1</v>
      </c>
      <c r="VC94">
        <v>1</v>
      </c>
      <c r="VD94">
        <v>1</v>
      </c>
      <c r="VE94">
        <v>1</v>
      </c>
      <c r="VF94">
        <v>1</v>
      </c>
      <c r="VG94">
        <v>1</v>
      </c>
      <c r="VH94">
        <v>1</v>
      </c>
      <c r="VI94">
        <v>1</v>
      </c>
      <c r="VJ94">
        <v>1</v>
      </c>
      <c r="VK94">
        <v>1</v>
      </c>
      <c r="VL94">
        <v>1</v>
      </c>
      <c r="VM94">
        <v>1</v>
      </c>
      <c r="VN94">
        <v>1</v>
      </c>
      <c r="VO94">
        <v>1</v>
      </c>
      <c r="VP94">
        <v>1</v>
      </c>
      <c r="VQ94">
        <v>1</v>
      </c>
      <c r="VR94">
        <v>1</v>
      </c>
      <c r="VS94">
        <v>1</v>
      </c>
      <c r="VT94">
        <v>1</v>
      </c>
      <c r="VU94">
        <v>1</v>
      </c>
      <c r="VV94">
        <v>1</v>
      </c>
      <c r="VW94">
        <v>1</v>
      </c>
      <c r="VX94">
        <v>1</v>
      </c>
      <c r="VY94">
        <v>1</v>
      </c>
      <c r="VZ94">
        <v>1</v>
      </c>
      <c r="WA94">
        <v>1</v>
      </c>
      <c r="WB94">
        <v>1</v>
      </c>
      <c r="WC94">
        <v>1</v>
      </c>
      <c r="WD94">
        <v>1</v>
      </c>
      <c r="WE94">
        <v>1</v>
      </c>
      <c r="WF94">
        <v>1</v>
      </c>
      <c r="WG94">
        <v>1</v>
      </c>
      <c r="WH94">
        <v>1</v>
      </c>
      <c r="WI94">
        <v>1</v>
      </c>
      <c r="WJ94">
        <v>1</v>
      </c>
      <c r="WK94">
        <v>1</v>
      </c>
      <c r="WL94">
        <v>1</v>
      </c>
      <c r="WM94">
        <v>1</v>
      </c>
      <c r="WN94">
        <v>1</v>
      </c>
      <c r="WO94">
        <v>1</v>
      </c>
      <c r="WP94">
        <v>1</v>
      </c>
      <c r="WQ94">
        <v>1</v>
      </c>
      <c r="WR94">
        <v>1</v>
      </c>
      <c r="WS94">
        <v>1</v>
      </c>
      <c r="WT94">
        <v>1</v>
      </c>
      <c r="WU94">
        <v>1</v>
      </c>
      <c r="WV94">
        <v>1</v>
      </c>
      <c r="WW94">
        <v>1</v>
      </c>
      <c r="WX94">
        <v>1</v>
      </c>
      <c r="WY94">
        <v>1</v>
      </c>
      <c r="WZ94">
        <v>1</v>
      </c>
      <c r="XA94">
        <v>1</v>
      </c>
      <c r="XB94">
        <v>1</v>
      </c>
      <c r="XC94">
        <v>1</v>
      </c>
      <c r="XD94">
        <v>1</v>
      </c>
      <c r="XE94">
        <v>1</v>
      </c>
      <c r="XF94">
        <v>1</v>
      </c>
      <c r="XG94">
        <v>1</v>
      </c>
      <c r="XH94">
        <v>1</v>
      </c>
      <c r="XI94">
        <v>1</v>
      </c>
      <c r="XJ94">
        <v>1</v>
      </c>
      <c r="XK94">
        <v>1</v>
      </c>
      <c r="XL94">
        <v>1</v>
      </c>
      <c r="XM94">
        <v>1</v>
      </c>
      <c r="XN94">
        <v>1</v>
      </c>
      <c r="XO94">
        <v>1</v>
      </c>
      <c r="XP94">
        <v>1</v>
      </c>
      <c r="XQ94">
        <v>1</v>
      </c>
      <c r="XR94">
        <v>1</v>
      </c>
      <c r="XS94">
        <v>1</v>
      </c>
      <c r="XT94">
        <v>1</v>
      </c>
      <c r="XU94">
        <v>1</v>
      </c>
      <c r="XV94">
        <v>1</v>
      </c>
      <c r="XW94">
        <v>1</v>
      </c>
      <c r="XX94">
        <v>1</v>
      </c>
      <c r="XY94">
        <v>1</v>
      </c>
      <c r="XZ94">
        <v>1</v>
      </c>
      <c r="YA94">
        <v>1</v>
      </c>
      <c r="YB94">
        <v>1</v>
      </c>
      <c r="YC94">
        <v>1</v>
      </c>
      <c r="YD94">
        <v>1</v>
      </c>
      <c r="YE94">
        <v>1</v>
      </c>
      <c r="YF94">
        <v>1</v>
      </c>
      <c r="YG94">
        <v>1</v>
      </c>
      <c r="YH94">
        <v>1</v>
      </c>
      <c r="YI94">
        <v>1</v>
      </c>
      <c r="YJ94">
        <v>1</v>
      </c>
      <c r="YK94">
        <v>1</v>
      </c>
      <c r="YL94">
        <v>1</v>
      </c>
      <c r="YM94">
        <v>1</v>
      </c>
      <c r="YN94">
        <v>1</v>
      </c>
      <c r="YO94">
        <v>1</v>
      </c>
      <c r="YP94">
        <v>1</v>
      </c>
      <c r="YQ94">
        <v>1</v>
      </c>
      <c r="YR94">
        <v>1</v>
      </c>
      <c r="YS94">
        <v>1</v>
      </c>
      <c r="YT94">
        <v>1</v>
      </c>
      <c r="YU94">
        <v>1</v>
      </c>
      <c r="YV94">
        <v>1</v>
      </c>
      <c r="YW94">
        <v>1</v>
      </c>
      <c r="YX94">
        <v>1</v>
      </c>
      <c r="YY94">
        <v>1</v>
      </c>
      <c r="YZ94">
        <v>1</v>
      </c>
      <c r="ZA94">
        <v>1</v>
      </c>
      <c r="ZB94">
        <v>1</v>
      </c>
      <c r="ZC94">
        <v>1</v>
      </c>
      <c r="ZD94">
        <v>1</v>
      </c>
      <c r="ZE94">
        <v>0</v>
      </c>
      <c r="ZF94">
        <v>0</v>
      </c>
      <c r="ZG94">
        <v>0</v>
      </c>
      <c r="ZH94">
        <v>0</v>
      </c>
      <c r="ZI94">
        <v>0</v>
      </c>
      <c r="ZJ94">
        <v>0</v>
      </c>
      <c r="ZK94">
        <v>0</v>
      </c>
      <c r="ZL94">
        <v>0</v>
      </c>
      <c r="ZM94">
        <v>0</v>
      </c>
      <c r="ZN94">
        <v>0</v>
      </c>
      <c r="ZO94">
        <v>0</v>
      </c>
      <c r="ZP94">
        <v>0</v>
      </c>
      <c r="ZQ94">
        <v>0</v>
      </c>
      <c r="ZR94">
        <v>0</v>
      </c>
      <c r="ZS94">
        <v>0</v>
      </c>
      <c r="ZT94">
        <v>0</v>
      </c>
      <c r="ZU94">
        <v>0</v>
      </c>
      <c r="ZV94">
        <v>0</v>
      </c>
      <c r="ZW94">
        <v>0</v>
      </c>
      <c r="ZX94">
        <v>0</v>
      </c>
      <c r="ZY94">
        <v>0</v>
      </c>
      <c r="ZZ94">
        <v>0</v>
      </c>
      <c r="AAA94">
        <v>0</v>
      </c>
      <c r="AAB94">
        <v>0</v>
      </c>
      <c r="AAC94">
        <v>0</v>
      </c>
      <c r="AAD94">
        <v>0</v>
      </c>
      <c r="AAE94">
        <v>0</v>
      </c>
      <c r="AAF94">
        <v>0</v>
      </c>
      <c r="AAG94">
        <v>0</v>
      </c>
      <c r="AAH94">
        <v>0</v>
      </c>
      <c r="AAI94">
        <v>0</v>
      </c>
      <c r="AAJ94">
        <v>0</v>
      </c>
      <c r="AAK94">
        <v>0</v>
      </c>
      <c r="AAL94">
        <v>0</v>
      </c>
      <c r="AAM94">
        <v>0</v>
      </c>
      <c r="AAN94">
        <v>0</v>
      </c>
      <c r="AAO94">
        <v>0</v>
      </c>
      <c r="AAP94">
        <v>0</v>
      </c>
      <c r="AAQ94">
        <v>0</v>
      </c>
      <c r="AAR94">
        <v>0</v>
      </c>
      <c r="AAS94">
        <v>0</v>
      </c>
      <c r="AAT94">
        <v>0</v>
      </c>
      <c r="AAU94">
        <v>0</v>
      </c>
      <c r="AAV94">
        <v>0</v>
      </c>
      <c r="AAW94">
        <v>0</v>
      </c>
      <c r="AAX94">
        <v>0</v>
      </c>
      <c r="AAY94">
        <v>0</v>
      </c>
      <c r="AAZ94">
        <v>0</v>
      </c>
      <c r="ABA94">
        <v>0</v>
      </c>
      <c r="ABB94">
        <v>0</v>
      </c>
      <c r="ABC94">
        <v>0</v>
      </c>
      <c r="ABD94">
        <v>0</v>
      </c>
      <c r="ABE94">
        <v>0</v>
      </c>
      <c r="ABG94" s="1137">
        <f t="shared" si="21"/>
        <v>0</v>
      </c>
      <c r="ABH94" s="1137">
        <f t="shared" si="21"/>
        <v>0</v>
      </c>
      <c r="ABI94" s="1137">
        <f t="shared" si="21"/>
        <v>10</v>
      </c>
      <c r="ABJ94" s="1137">
        <f t="shared" si="21"/>
        <v>30</v>
      </c>
      <c r="ABK94" s="1137">
        <f t="shared" si="21"/>
        <v>31</v>
      </c>
      <c r="ABL94" s="1137">
        <f t="shared" si="21"/>
        <v>30</v>
      </c>
      <c r="ABM94" s="1137">
        <f t="shared" si="21"/>
        <v>31</v>
      </c>
      <c r="ABN94" s="1137">
        <f t="shared" si="21"/>
        <v>31</v>
      </c>
      <c r="ABO94" s="1137">
        <f t="shared" si="21"/>
        <v>30</v>
      </c>
      <c r="ABP94" s="1137">
        <f t="shared" si="21"/>
        <v>31</v>
      </c>
      <c r="ABQ94" s="1137">
        <f t="shared" si="21"/>
        <v>30</v>
      </c>
      <c r="ABR94" s="1137">
        <f t="shared" si="21"/>
        <v>10</v>
      </c>
      <c r="ABS94" s="1137">
        <f t="shared" si="21"/>
        <v>0</v>
      </c>
      <c r="ABT94" s="1137">
        <f t="shared" si="21"/>
        <v>0</v>
      </c>
      <c r="ABU94" s="1137">
        <f t="shared" si="21"/>
        <v>0</v>
      </c>
      <c r="ABV94" s="1137">
        <f t="shared" si="21"/>
        <v>13</v>
      </c>
      <c r="ABW94" s="1137">
        <f t="shared" si="17"/>
        <v>0</v>
      </c>
      <c r="ABX94" s="1137">
        <f t="shared" si="23"/>
        <v>5</v>
      </c>
      <c r="ABY94" s="1137">
        <f t="shared" si="23"/>
        <v>31</v>
      </c>
      <c r="ABZ94" s="1137">
        <f t="shared" si="23"/>
        <v>31</v>
      </c>
      <c r="ACA94" s="1137">
        <f t="shared" si="23"/>
        <v>30</v>
      </c>
      <c r="ACB94" s="1137">
        <f t="shared" si="23"/>
        <v>31</v>
      </c>
      <c r="ACC94" s="1137">
        <f t="shared" si="23"/>
        <v>8</v>
      </c>
      <c r="ACD94" s="1137">
        <f t="shared" si="23"/>
        <v>0</v>
      </c>
      <c r="ACE94" s="1137" t="s">
        <v>2018</v>
      </c>
      <c r="ACF94" s="1137">
        <f t="shared" si="22"/>
        <v>0</v>
      </c>
      <c r="ACG94" s="1137">
        <f t="shared" si="22"/>
        <v>0</v>
      </c>
      <c r="ACH94" s="1137">
        <f t="shared" si="22"/>
        <v>0</v>
      </c>
      <c r="ACI94" s="1137">
        <f t="shared" si="22"/>
        <v>1</v>
      </c>
      <c r="ACJ94" s="1137">
        <f t="shared" si="22"/>
        <v>1</v>
      </c>
      <c r="ACK94" s="1137">
        <f t="shared" si="22"/>
        <v>1</v>
      </c>
      <c r="ACL94" s="1137">
        <f t="shared" si="22"/>
        <v>1</v>
      </c>
      <c r="ACM94" s="1137">
        <f t="shared" si="22"/>
        <v>1</v>
      </c>
      <c r="ACN94" s="1137">
        <f t="shared" si="22"/>
        <v>1</v>
      </c>
      <c r="ACO94" s="1137">
        <f t="shared" si="22"/>
        <v>1</v>
      </c>
      <c r="ACP94" s="1137">
        <f t="shared" si="22"/>
        <v>1</v>
      </c>
      <c r="ACQ94" s="1137">
        <f t="shared" si="22"/>
        <v>0</v>
      </c>
      <c r="ACR94" s="1137">
        <f t="shared" si="22"/>
        <v>0</v>
      </c>
      <c r="ACS94" s="1137">
        <f t="shared" si="22"/>
        <v>0</v>
      </c>
      <c r="ACT94" s="1137">
        <f t="shared" si="22"/>
        <v>0</v>
      </c>
      <c r="ACU94" s="1137">
        <f t="shared" si="22"/>
        <v>1</v>
      </c>
      <c r="ACV94" s="1137">
        <f t="shared" si="24"/>
        <v>0</v>
      </c>
      <c r="ACW94" s="1137">
        <f t="shared" si="24"/>
        <v>0</v>
      </c>
      <c r="ACX94" s="1137">
        <f t="shared" si="24"/>
        <v>1</v>
      </c>
      <c r="ACY94" s="1137">
        <f t="shared" si="24"/>
        <v>1</v>
      </c>
      <c r="ACZ94" s="1137">
        <f t="shared" si="24"/>
        <v>1</v>
      </c>
      <c r="ADA94" s="1137">
        <f t="shared" si="24"/>
        <v>1</v>
      </c>
      <c r="ADB94" s="1137">
        <f t="shared" si="16"/>
        <v>0</v>
      </c>
      <c r="ADC94" s="1137">
        <f t="shared" si="16"/>
        <v>0</v>
      </c>
    </row>
    <row r="95" spans="1:783" x14ac:dyDescent="0.25">
      <c r="A95" t="s">
        <v>1892</v>
      </c>
      <c r="B95" t="s">
        <v>18</v>
      </c>
      <c r="C95">
        <v>0</v>
      </c>
      <c r="D95">
        <v>0</v>
      </c>
      <c r="E95">
        <v>0</v>
      </c>
      <c r="F95">
        <v>0</v>
      </c>
      <c r="G95">
        <v>0</v>
      </c>
      <c r="H95">
        <v>0</v>
      </c>
      <c r="I95">
        <v>0</v>
      </c>
      <c r="J95">
        <v>0</v>
      </c>
      <c r="K95">
        <v>0</v>
      </c>
      <c r="L95">
        <v>0</v>
      </c>
      <c r="M95">
        <v>0</v>
      </c>
      <c r="N95">
        <v>0</v>
      </c>
      <c r="O95">
        <v>0</v>
      </c>
      <c r="P95">
        <v>0</v>
      </c>
      <c r="Q95">
        <v>0</v>
      </c>
      <c r="R95">
        <v>0</v>
      </c>
      <c r="S95">
        <v>0</v>
      </c>
      <c r="T95">
        <v>0</v>
      </c>
      <c r="U95">
        <v>0</v>
      </c>
      <c r="V95">
        <v>0</v>
      </c>
      <c r="W95">
        <v>0</v>
      </c>
      <c r="X95">
        <v>0</v>
      </c>
      <c r="Y95">
        <v>0</v>
      </c>
      <c r="Z95">
        <v>0</v>
      </c>
      <c r="AA95">
        <v>0</v>
      </c>
      <c r="AB95">
        <v>0</v>
      </c>
      <c r="AC95">
        <v>0</v>
      </c>
      <c r="AD95">
        <v>0</v>
      </c>
      <c r="AE95">
        <v>0</v>
      </c>
      <c r="AF95">
        <v>0</v>
      </c>
      <c r="AG95">
        <v>0</v>
      </c>
      <c r="AH95">
        <v>0</v>
      </c>
      <c r="AI95">
        <v>0</v>
      </c>
      <c r="AJ95">
        <v>0</v>
      </c>
      <c r="AK95">
        <v>0</v>
      </c>
      <c r="AL95">
        <v>0</v>
      </c>
      <c r="AM95">
        <v>0</v>
      </c>
      <c r="AN95">
        <v>0</v>
      </c>
      <c r="AO95">
        <v>0</v>
      </c>
      <c r="AP95">
        <v>0</v>
      </c>
      <c r="AQ95">
        <v>0</v>
      </c>
      <c r="AR95">
        <v>0</v>
      </c>
      <c r="AS95">
        <v>0</v>
      </c>
      <c r="AT95">
        <v>0</v>
      </c>
      <c r="AU95">
        <v>0</v>
      </c>
      <c r="AV95">
        <v>0</v>
      </c>
      <c r="AW95">
        <v>0</v>
      </c>
      <c r="AX95">
        <v>0</v>
      </c>
      <c r="AY95">
        <v>0</v>
      </c>
      <c r="AZ95">
        <v>0</v>
      </c>
      <c r="BA95">
        <v>0</v>
      </c>
      <c r="BB95">
        <v>0</v>
      </c>
      <c r="BC95">
        <v>0</v>
      </c>
      <c r="BD95">
        <v>0</v>
      </c>
      <c r="BE95">
        <v>0</v>
      </c>
      <c r="BF95">
        <v>0</v>
      </c>
      <c r="BG95">
        <v>0</v>
      </c>
      <c r="BH95">
        <v>0</v>
      </c>
      <c r="BI95">
        <v>0</v>
      </c>
      <c r="BJ95">
        <v>0</v>
      </c>
      <c r="BK95">
        <v>0</v>
      </c>
      <c r="BL95">
        <v>0</v>
      </c>
      <c r="BM95">
        <v>0</v>
      </c>
      <c r="BN95">
        <v>0</v>
      </c>
      <c r="BO95">
        <v>0</v>
      </c>
      <c r="BP95">
        <v>0</v>
      </c>
      <c r="BQ95">
        <v>0</v>
      </c>
      <c r="BR95">
        <v>0</v>
      </c>
      <c r="BS95">
        <v>0</v>
      </c>
      <c r="BT95">
        <v>0</v>
      </c>
      <c r="BU95">
        <v>0</v>
      </c>
      <c r="BV95">
        <v>0</v>
      </c>
      <c r="BW95">
        <v>0</v>
      </c>
      <c r="BX95">
        <v>0</v>
      </c>
      <c r="BY95">
        <v>0</v>
      </c>
      <c r="BZ95">
        <v>0</v>
      </c>
      <c r="CA95">
        <v>0</v>
      </c>
      <c r="CB95">
        <v>0</v>
      </c>
      <c r="CC95">
        <v>0</v>
      </c>
      <c r="CD95">
        <v>0</v>
      </c>
      <c r="CE95">
        <v>0</v>
      </c>
      <c r="CF95">
        <v>0</v>
      </c>
      <c r="CG95">
        <v>0</v>
      </c>
      <c r="CH95">
        <v>0</v>
      </c>
      <c r="CI95">
        <v>0</v>
      </c>
      <c r="CJ95">
        <v>0</v>
      </c>
      <c r="CK95">
        <v>0</v>
      </c>
      <c r="CL95">
        <v>0</v>
      </c>
      <c r="CM95">
        <v>0</v>
      </c>
      <c r="CN95">
        <v>0</v>
      </c>
      <c r="CO95">
        <v>0</v>
      </c>
      <c r="CP95">
        <v>0</v>
      </c>
      <c r="CQ95">
        <v>0</v>
      </c>
      <c r="CR95">
        <v>0</v>
      </c>
      <c r="CS95">
        <v>0</v>
      </c>
      <c r="CT95">
        <v>0</v>
      </c>
      <c r="CU95">
        <v>0</v>
      </c>
      <c r="CV95">
        <v>0</v>
      </c>
      <c r="CW95">
        <v>0</v>
      </c>
      <c r="CX95">
        <v>2</v>
      </c>
      <c r="CY95">
        <v>2</v>
      </c>
      <c r="CZ95">
        <v>2</v>
      </c>
      <c r="DA95">
        <v>2</v>
      </c>
      <c r="DB95">
        <v>2</v>
      </c>
      <c r="DC95">
        <v>2</v>
      </c>
      <c r="DD95">
        <v>2</v>
      </c>
      <c r="DE95">
        <v>2</v>
      </c>
      <c r="DF95">
        <v>0</v>
      </c>
      <c r="DG95">
        <v>0</v>
      </c>
      <c r="DH95">
        <v>0</v>
      </c>
      <c r="DI95">
        <v>0</v>
      </c>
      <c r="DJ95">
        <v>0</v>
      </c>
      <c r="DK95">
        <v>0</v>
      </c>
      <c r="DL95">
        <v>0</v>
      </c>
      <c r="DM95">
        <v>0</v>
      </c>
      <c r="DN95">
        <v>0</v>
      </c>
      <c r="DO95">
        <v>0</v>
      </c>
      <c r="DP95">
        <v>0</v>
      </c>
      <c r="DQ95">
        <v>0</v>
      </c>
      <c r="DR95">
        <v>0</v>
      </c>
      <c r="DS95">
        <v>0</v>
      </c>
      <c r="DT95">
        <v>0</v>
      </c>
      <c r="DU95">
        <v>0</v>
      </c>
      <c r="DV95">
        <v>0</v>
      </c>
      <c r="DW95">
        <v>0</v>
      </c>
      <c r="DX95">
        <v>0</v>
      </c>
      <c r="DY95">
        <v>0</v>
      </c>
      <c r="DZ95">
        <v>0</v>
      </c>
      <c r="EA95">
        <v>0</v>
      </c>
      <c r="EB95">
        <v>0</v>
      </c>
      <c r="EC95">
        <v>0</v>
      </c>
      <c r="ED95">
        <v>0</v>
      </c>
      <c r="EE95">
        <v>0</v>
      </c>
      <c r="EF95">
        <v>0</v>
      </c>
      <c r="EG95">
        <v>0</v>
      </c>
      <c r="EH95">
        <v>0</v>
      </c>
      <c r="EI95">
        <v>0</v>
      </c>
      <c r="EJ95">
        <v>0</v>
      </c>
      <c r="EK95">
        <v>0</v>
      </c>
      <c r="EL95">
        <v>0</v>
      </c>
      <c r="EM95">
        <v>0</v>
      </c>
      <c r="EN95">
        <v>0</v>
      </c>
      <c r="EO95">
        <v>0</v>
      </c>
      <c r="EP95">
        <v>0</v>
      </c>
      <c r="EQ95">
        <v>0</v>
      </c>
      <c r="ER95">
        <v>0</v>
      </c>
      <c r="ES95">
        <v>0</v>
      </c>
      <c r="ET95">
        <v>0</v>
      </c>
      <c r="EU95">
        <v>0</v>
      </c>
      <c r="EV95">
        <v>0</v>
      </c>
      <c r="EW95">
        <v>0</v>
      </c>
      <c r="EX95">
        <v>0</v>
      </c>
      <c r="EY95">
        <v>0</v>
      </c>
      <c r="EZ95">
        <v>0</v>
      </c>
      <c r="FA95">
        <v>0</v>
      </c>
      <c r="FB95">
        <v>0</v>
      </c>
      <c r="FC95">
        <v>0</v>
      </c>
      <c r="FD95">
        <v>0</v>
      </c>
      <c r="FE95">
        <v>0</v>
      </c>
      <c r="FF95">
        <v>0</v>
      </c>
      <c r="FG95">
        <v>0</v>
      </c>
      <c r="FH95">
        <v>0</v>
      </c>
      <c r="FI95">
        <v>0</v>
      </c>
      <c r="FJ95">
        <v>0</v>
      </c>
      <c r="FK95">
        <v>0</v>
      </c>
      <c r="FL95">
        <v>0</v>
      </c>
      <c r="FM95">
        <v>0</v>
      </c>
      <c r="FN95">
        <v>0</v>
      </c>
      <c r="FO95">
        <v>0</v>
      </c>
      <c r="FP95">
        <v>0</v>
      </c>
      <c r="FQ95">
        <v>0</v>
      </c>
      <c r="FR95">
        <v>0</v>
      </c>
      <c r="FS95">
        <v>0</v>
      </c>
      <c r="FT95">
        <v>0</v>
      </c>
      <c r="FU95">
        <v>0</v>
      </c>
      <c r="FV95">
        <v>0</v>
      </c>
      <c r="FW95">
        <v>0</v>
      </c>
      <c r="FX95">
        <v>0</v>
      </c>
      <c r="FY95">
        <v>0</v>
      </c>
      <c r="FZ95">
        <v>0</v>
      </c>
      <c r="GA95">
        <v>0</v>
      </c>
      <c r="GB95">
        <v>0</v>
      </c>
      <c r="GC95">
        <v>0</v>
      </c>
      <c r="GD95">
        <v>0</v>
      </c>
      <c r="GE95">
        <v>0</v>
      </c>
      <c r="GF95">
        <v>0</v>
      </c>
      <c r="GG95">
        <v>0</v>
      </c>
      <c r="GH95">
        <v>0</v>
      </c>
      <c r="GI95">
        <v>0</v>
      </c>
      <c r="GJ95">
        <v>0</v>
      </c>
      <c r="GK95">
        <v>0</v>
      </c>
      <c r="GL95">
        <v>0</v>
      </c>
      <c r="GM95">
        <v>0</v>
      </c>
      <c r="GN95">
        <v>0</v>
      </c>
      <c r="GO95">
        <v>0</v>
      </c>
      <c r="GP95">
        <v>0</v>
      </c>
      <c r="GQ95">
        <v>0</v>
      </c>
      <c r="GR95">
        <v>0</v>
      </c>
      <c r="GS95">
        <v>0</v>
      </c>
      <c r="GT95">
        <v>0</v>
      </c>
      <c r="GU95">
        <v>0</v>
      </c>
      <c r="GV95">
        <v>0</v>
      </c>
      <c r="GW95">
        <v>0</v>
      </c>
      <c r="GX95">
        <v>0</v>
      </c>
      <c r="GY95">
        <v>0</v>
      </c>
      <c r="GZ95">
        <v>0</v>
      </c>
      <c r="HA95">
        <v>0</v>
      </c>
      <c r="HB95">
        <v>0</v>
      </c>
      <c r="HC95">
        <v>0</v>
      </c>
      <c r="HD95">
        <v>0</v>
      </c>
      <c r="HE95">
        <v>0</v>
      </c>
      <c r="HF95">
        <v>0</v>
      </c>
      <c r="HG95">
        <v>0</v>
      </c>
      <c r="HH95">
        <v>0</v>
      </c>
      <c r="HI95">
        <v>0</v>
      </c>
      <c r="HJ95">
        <v>0</v>
      </c>
      <c r="HK95">
        <v>0</v>
      </c>
      <c r="HL95">
        <v>0</v>
      </c>
      <c r="HM95">
        <v>0</v>
      </c>
      <c r="HN95">
        <v>0</v>
      </c>
      <c r="HO95">
        <v>0</v>
      </c>
      <c r="HP95">
        <v>0</v>
      </c>
      <c r="HQ95">
        <v>0</v>
      </c>
      <c r="HR95">
        <v>0</v>
      </c>
      <c r="HS95">
        <v>0</v>
      </c>
      <c r="HT95">
        <v>0</v>
      </c>
      <c r="HU95">
        <v>0</v>
      </c>
      <c r="HV95">
        <v>0</v>
      </c>
      <c r="HW95">
        <v>0</v>
      </c>
      <c r="HX95">
        <v>0</v>
      </c>
      <c r="HY95">
        <v>0</v>
      </c>
      <c r="HZ95">
        <v>0</v>
      </c>
      <c r="IA95">
        <v>0</v>
      </c>
      <c r="IB95">
        <v>0</v>
      </c>
      <c r="IC95">
        <v>0</v>
      </c>
      <c r="ID95">
        <v>0</v>
      </c>
      <c r="IE95">
        <v>0</v>
      </c>
      <c r="IF95">
        <v>0</v>
      </c>
      <c r="IG95">
        <v>0</v>
      </c>
      <c r="IH95">
        <v>0</v>
      </c>
      <c r="II95">
        <v>0</v>
      </c>
      <c r="IJ95">
        <v>0</v>
      </c>
      <c r="IK95">
        <v>0</v>
      </c>
      <c r="IL95">
        <v>0</v>
      </c>
      <c r="IM95">
        <v>0</v>
      </c>
      <c r="IN95">
        <v>0</v>
      </c>
      <c r="IO95">
        <v>0</v>
      </c>
      <c r="IP95">
        <v>0</v>
      </c>
      <c r="IQ95">
        <v>0</v>
      </c>
      <c r="IR95">
        <v>0</v>
      </c>
      <c r="IS95">
        <v>0</v>
      </c>
      <c r="IT95">
        <v>0</v>
      </c>
      <c r="IU95">
        <v>0</v>
      </c>
      <c r="IV95">
        <v>0</v>
      </c>
      <c r="IW95">
        <v>0</v>
      </c>
      <c r="IX95">
        <v>0</v>
      </c>
      <c r="IY95">
        <v>0</v>
      </c>
      <c r="IZ95">
        <v>0</v>
      </c>
      <c r="JA95">
        <v>0</v>
      </c>
      <c r="JB95">
        <v>0</v>
      </c>
      <c r="JC95">
        <v>0</v>
      </c>
      <c r="JD95">
        <v>0</v>
      </c>
      <c r="JE95">
        <v>0</v>
      </c>
      <c r="JF95">
        <v>0</v>
      </c>
      <c r="JG95">
        <v>0</v>
      </c>
      <c r="JH95">
        <v>0</v>
      </c>
      <c r="JI95">
        <v>0</v>
      </c>
      <c r="JJ95">
        <v>0</v>
      </c>
      <c r="JK95">
        <v>0</v>
      </c>
      <c r="JL95">
        <v>0</v>
      </c>
      <c r="JM95">
        <v>0</v>
      </c>
      <c r="JN95">
        <v>0</v>
      </c>
      <c r="JO95">
        <v>0</v>
      </c>
      <c r="JP95">
        <v>0</v>
      </c>
      <c r="JQ95">
        <v>0</v>
      </c>
      <c r="JR95">
        <v>0</v>
      </c>
      <c r="JS95">
        <v>0</v>
      </c>
      <c r="JT95">
        <v>0</v>
      </c>
      <c r="JU95">
        <v>0</v>
      </c>
      <c r="JV95">
        <v>0</v>
      </c>
      <c r="JW95">
        <v>0</v>
      </c>
      <c r="JX95">
        <v>0</v>
      </c>
      <c r="JY95">
        <v>0</v>
      </c>
      <c r="JZ95">
        <v>0</v>
      </c>
      <c r="KA95">
        <v>0</v>
      </c>
      <c r="KB95">
        <v>0</v>
      </c>
      <c r="KC95">
        <v>0</v>
      </c>
      <c r="KD95">
        <v>0</v>
      </c>
      <c r="KE95">
        <v>0</v>
      </c>
      <c r="KF95">
        <v>0</v>
      </c>
      <c r="KG95">
        <v>0</v>
      </c>
      <c r="KH95">
        <v>0</v>
      </c>
      <c r="KI95">
        <v>0</v>
      </c>
      <c r="KJ95">
        <v>0</v>
      </c>
      <c r="KK95">
        <v>0</v>
      </c>
      <c r="KL95">
        <v>0</v>
      </c>
      <c r="KM95">
        <v>0</v>
      </c>
      <c r="KN95">
        <v>0</v>
      </c>
      <c r="KO95">
        <v>0</v>
      </c>
      <c r="KP95">
        <v>0</v>
      </c>
      <c r="KQ95">
        <v>0</v>
      </c>
      <c r="KR95">
        <v>0</v>
      </c>
      <c r="KS95">
        <v>0</v>
      </c>
      <c r="KT95">
        <v>0</v>
      </c>
      <c r="KU95">
        <v>0</v>
      </c>
      <c r="KV95">
        <v>0</v>
      </c>
      <c r="KW95">
        <v>0</v>
      </c>
      <c r="KX95">
        <v>0</v>
      </c>
      <c r="KY95">
        <v>0</v>
      </c>
      <c r="KZ95">
        <v>0</v>
      </c>
      <c r="LA95">
        <v>0</v>
      </c>
      <c r="LB95">
        <v>0</v>
      </c>
      <c r="LC95">
        <v>0</v>
      </c>
      <c r="LD95">
        <v>0</v>
      </c>
      <c r="LE95">
        <v>0</v>
      </c>
      <c r="LF95">
        <v>0</v>
      </c>
      <c r="LG95">
        <v>0</v>
      </c>
      <c r="LH95">
        <v>0</v>
      </c>
      <c r="LI95">
        <v>0</v>
      </c>
      <c r="LJ95">
        <v>0</v>
      </c>
      <c r="LK95">
        <v>0</v>
      </c>
      <c r="LL95">
        <v>0</v>
      </c>
      <c r="LM95">
        <v>0</v>
      </c>
      <c r="LN95">
        <v>0</v>
      </c>
      <c r="LO95">
        <v>0</v>
      </c>
      <c r="LP95">
        <v>0</v>
      </c>
      <c r="LQ95">
        <v>0</v>
      </c>
      <c r="LR95">
        <v>0</v>
      </c>
      <c r="LS95">
        <v>0</v>
      </c>
      <c r="LT95">
        <v>0</v>
      </c>
      <c r="LU95">
        <v>0</v>
      </c>
      <c r="LV95">
        <v>0</v>
      </c>
      <c r="LW95">
        <v>0</v>
      </c>
      <c r="LX95">
        <v>0</v>
      </c>
      <c r="LY95">
        <v>0</v>
      </c>
      <c r="LZ95">
        <v>0</v>
      </c>
      <c r="MA95">
        <v>0</v>
      </c>
      <c r="MB95">
        <v>0</v>
      </c>
      <c r="MC95">
        <v>0</v>
      </c>
      <c r="MD95">
        <v>0</v>
      </c>
      <c r="ME95">
        <v>0</v>
      </c>
      <c r="MF95">
        <v>0</v>
      </c>
      <c r="MG95">
        <v>0</v>
      </c>
      <c r="MH95">
        <v>0</v>
      </c>
      <c r="MI95">
        <v>0</v>
      </c>
      <c r="MJ95">
        <v>0</v>
      </c>
      <c r="MK95">
        <v>0</v>
      </c>
      <c r="ML95">
        <v>0</v>
      </c>
      <c r="MM95">
        <v>0</v>
      </c>
      <c r="MN95">
        <v>0</v>
      </c>
      <c r="MO95">
        <v>0</v>
      </c>
      <c r="MP95">
        <v>0</v>
      </c>
      <c r="MQ95">
        <v>0</v>
      </c>
      <c r="MR95">
        <v>0</v>
      </c>
      <c r="MS95">
        <v>0</v>
      </c>
      <c r="MT95">
        <v>0</v>
      </c>
      <c r="MU95">
        <v>0</v>
      </c>
      <c r="MV95">
        <v>0</v>
      </c>
      <c r="MW95">
        <v>0</v>
      </c>
      <c r="MX95">
        <v>0</v>
      </c>
      <c r="MY95">
        <v>0</v>
      </c>
      <c r="MZ95">
        <v>0</v>
      </c>
      <c r="NA95">
        <v>0</v>
      </c>
      <c r="NB95">
        <v>0</v>
      </c>
      <c r="NC95">
        <v>0</v>
      </c>
      <c r="ND95">
        <v>0</v>
      </c>
      <c r="NE95">
        <v>0</v>
      </c>
      <c r="NF95">
        <v>0</v>
      </c>
      <c r="NG95">
        <v>0</v>
      </c>
      <c r="NH95">
        <v>0</v>
      </c>
      <c r="NI95">
        <v>0</v>
      </c>
      <c r="NJ95">
        <v>0</v>
      </c>
      <c r="NK95">
        <v>0</v>
      </c>
      <c r="NL95">
        <v>0</v>
      </c>
      <c r="NM95">
        <v>0</v>
      </c>
      <c r="NN95">
        <v>0</v>
      </c>
      <c r="NO95">
        <v>0</v>
      </c>
      <c r="NP95">
        <v>0</v>
      </c>
      <c r="NQ95">
        <v>0</v>
      </c>
      <c r="NR95">
        <v>0</v>
      </c>
      <c r="NS95">
        <v>0</v>
      </c>
      <c r="NT95">
        <v>0</v>
      </c>
      <c r="NU95">
        <v>0</v>
      </c>
      <c r="NV95">
        <v>0</v>
      </c>
      <c r="NW95">
        <v>0</v>
      </c>
      <c r="NX95">
        <v>0</v>
      </c>
      <c r="NY95">
        <v>0</v>
      </c>
      <c r="NZ95">
        <v>0</v>
      </c>
      <c r="OA95">
        <v>0</v>
      </c>
      <c r="OB95">
        <v>0</v>
      </c>
      <c r="OC95">
        <v>0</v>
      </c>
      <c r="OD95">
        <v>0</v>
      </c>
      <c r="OE95">
        <v>0</v>
      </c>
      <c r="OF95">
        <v>0</v>
      </c>
      <c r="OG95">
        <v>0</v>
      </c>
      <c r="OH95">
        <v>0</v>
      </c>
      <c r="OI95">
        <v>0</v>
      </c>
      <c r="OJ95">
        <v>0</v>
      </c>
      <c r="OK95">
        <v>0</v>
      </c>
      <c r="OL95">
        <v>0</v>
      </c>
      <c r="OM95">
        <v>0</v>
      </c>
      <c r="ON95">
        <v>0</v>
      </c>
      <c r="OO95">
        <v>0</v>
      </c>
      <c r="OP95">
        <v>0</v>
      </c>
      <c r="OQ95">
        <v>0</v>
      </c>
      <c r="OR95">
        <v>1</v>
      </c>
      <c r="OS95">
        <v>1</v>
      </c>
      <c r="OT95">
        <v>1</v>
      </c>
      <c r="OU95">
        <v>1</v>
      </c>
      <c r="OV95">
        <v>1</v>
      </c>
      <c r="OW95">
        <v>1</v>
      </c>
      <c r="OX95">
        <v>1</v>
      </c>
      <c r="OY95">
        <v>1</v>
      </c>
      <c r="OZ95">
        <v>1</v>
      </c>
      <c r="PA95">
        <v>1</v>
      </c>
      <c r="PB95">
        <v>1</v>
      </c>
      <c r="PC95">
        <v>1</v>
      </c>
      <c r="PD95">
        <v>1</v>
      </c>
      <c r="PE95">
        <v>1</v>
      </c>
      <c r="PF95">
        <v>1</v>
      </c>
      <c r="PG95">
        <v>1</v>
      </c>
      <c r="PH95">
        <v>1</v>
      </c>
      <c r="PI95">
        <v>1</v>
      </c>
      <c r="PJ95">
        <v>1</v>
      </c>
      <c r="PK95">
        <v>1</v>
      </c>
      <c r="PL95">
        <v>1</v>
      </c>
      <c r="PM95">
        <v>1</v>
      </c>
      <c r="PN95">
        <v>1</v>
      </c>
      <c r="PO95">
        <v>2</v>
      </c>
      <c r="PP95">
        <v>2</v>
      </c>
      <c r="PQ95">
        <v>2</v>
      </c>
      <c r="PR95">
        <v>2</v>
      </c>
      <c r="PS95">
        <v>2</v>
      </c>
      <c r="PT95">
        <v>2</v>
      </c>
      <c r="PU95">
        <v>2</v>
      </c>
      <c r="PV95">
        <v>2</v>
      </c>
      <c r="PW95">
        <v>2</v>
      </c>
      <c r="PX95">
        <v>2</v>
      </c>
      <c r="PY95">
        <v>2</v>
      </c>
      <c r="PZ95">
        <v>2</v>
      </c>
      <c r="QA95">
        <v>2</v>
      </c>
      <c r="QB95">
        <v>2</v>
      </c>
      <c r="QC95">
        <v>2</v>
      </c>
      <c r="QD95">
        <v>2</v>
      </c>
      <c r="QE95">
        <v>2</v>
      </c>
      <c r="QF95">
        <v>2</v>
      </c>
      <c r="QG95">
        <v>2</v>
      </c>
      <c r="QH95">
        <v>2</v>
      </c>
      <c r="QI95">
        <v>2</v>
      </c>
      <c r="QJ95">
        <v>2</v>
      </c>
      <c r="QK95">
        <v>2</v>
      </c>
      <c r="QL95">
        <v>2</v>
      </c>
      <c r="QM95">
        <v>2</v>
      </c>
      <c r="QN95">
        <v>2</v>
      </c>
      <c r="QO95">
        <v>2</v>
      </c>
      <c r="QP95">
        <v>2</v>
      </c>
      <c r="QQ95">
        <v>2</v>
      </c>
      <c r="QR95">
        <v>2</v>
      </c>
      <c r="QS95">
        <v>2</v>
      </c>
      <c r="QT95">
        <v>2</v>
      </c>
      <c r="QU95">
        <v>2</v>
      </c>
      <c r="QV95">
        <v>2</v>
      </c>
      <c r="QW95">
        <v>2</v>
      </c>
      <c r="QX95">
        <v>2</v>
      </c>
      <c r="QY95">
        <v>2</v>
      </c>
      <c r="QZ95">
        <v>2</v>
      </c>
      <c r="RA95">
        <v>2</v>
      </c>
      <c r="RB95">
        <v>2</v>
      </c>
      <c r="RC95">
        <v>2</v>
      </c>
      <c r="RD95">
        <v>2</v>
      </c>
      <c r="RE95">
        <v>2</v>
      </c>
      <c r="RF95">
        <v>2</v>
      </c>
      <c r="RG95">
        <v>2</v>
      </c>
      <c r="RH95">
        <v>2</v>
      </c>
      <c r="RI95">
        <v>2</v>
      </c>
      <c r="RJ95">
        <v>2</v>
      </c>
      <c r="RK95">
        <v>2</v>
      </c>
      <c r="RL95">
        <v>2</v>
      </c>
      <c r="RM95">
        <v>2</v>
      </c>
      <c r="RN95">
        <v>2</v>
      </c>
      <c r="RO95">
        <v>2</v>
      </c>
      <c r="RP95">
        <v>2</v>
      </c>
      <c r="RQ95">
        <v>2</v>
      </c>
      <c r="RR95">
        <v>2</v>
      </c>
      <c r="RS95">
        <v>2</v>
      </c>
      <c r="RT95">
        <v>2</v>
      </c>
      <c r="RU95">
        <v>2</v>
      </c>
      <c r="RV95">
        <v>2</v>
      </c>
      <c r="RW95">
        <v>2</v>
      </c>
      <c r="RX95">
        <v>2</v>
      </c>
      <c r="RY95">
        <v>2</v>
      </c>
      <c r="RZ95">
        <v>2</v>
      </c>
      <c r="SA95">
        <v>2</v>
      </c>
      <c r="SB95">
        <v>2</v>
      </c>
      <c r="SC95">
        <v>2</v>
      </c>
      <c r="SD95">
        <v>2</v>
      </c>
      <c r="SE95">
        <v>2</v>
      </c>
      <c r="SF95">
        <v>2</v>
      </c>
      <c r="SG95">
        <v>2</v>
      </c>
      <c r="SH95">
        <v>2</v>
      </c>
      <c r="SI95">
        <v>2</v>
      </c>
      <c r="SJ95">
        <v>2</v>
      </c>
      <c r="SK95">
        <v>2</v>
      </c>
      <c r="SL95">
        <v>0</v>
      </c>
      <c r="SM95">
        <v>0</v>
      </c>
      <c r="SN95">
        <v>0</v>
      </c>
      <c r="SO95">
        <v>0</v>
      </c>
      <c r="SP95">
        <v>0</v>
      </c>
      <c r="SQ95">
        <v>0</v>
      </c>
      <c r="SR95">
        <v>0</v>
      </c>
      <c r="SS95">
        <v>0</v>
      </c>
      <c r="ST95">
        <v>0</v>
      </c>
      <c r="SU95">
        <v>0</v>
      </c>
      <c r="SV95">
        <v>0</v>
      </c>
      <c r="SW95">
        <v>0</v>
      </c>
      <c r="SX95">
        <v>0</v>
      </c>
      <c r="SY95">
        <v>0</v>
      </c>
      <c r="SZ95">
        <v>1</v>
      </c>
      <c r="TA95">
        <v>1</v>
      </c>
      <c r="TB95">
        <v>1</v>
      </c>
      <c r="TC95">
        <v>1</v>
      </c>
      <c r="TD95">
        <v>1</v>
      </c>
      <c r="TE95">
        <v>1</v>
      </c>
      <c r="TF95">
        <v>1</v>
      </c>
      <c r="TG95">
        <v>1</v>
      </c>
      <c r="TH95">
        <v>1</v>
      </c>
      <c r="TI95">
        <v>1</v>
      </c>
      <c r="TJ95">
        <v>1</v>
      </c>
      <c r="TK95">
        <v>1</v>
      </c>
      <c r="TL95">
        <v>1</v>
      </c>
      <c r="TM95">
        <v>1</v>
      </c>
      <c r="TN95">
        <v>2</v>
      </c>
      <c r="TO95">
        <v>2</v>
      </c>
      <c r="TP95">
        <v>2</v>
      </c>
      <c r="TQ95">
        <v>2</v>
      </c>
      <c r="TR95">
        <v>2</v>
      </c>
      <c r="TS95">
        <v>2</v>
      </c>
      <c r="TT95">
        <v>2</v>
      </c>
      <c r="TU95">
        <v>2</v>
      </c>
      <c r="TV95">
        <v>2</v>
      </c>
      <c r="TW95">
        <v>2</v>
      </c>
      <c r="TX95">
        <v>2</v>
      </c>
      <c r="TY95">
        <v>2</v>
      </c>
      <c r="TZ95">
        <v>2</v>
      </c>
      <c r="UA95">
        <v>2</v>
      </c>
      <c r="UB95">
        <v>2</v>
      </c>
      <c r="UC95">
        <v>2</v>
      </c>
      <c r="UD95">
        <v>2</v>
      </c>
      <c r="UE95">
        <v>2</v>
      </c>
      <c r="UF95">
        <v>2</v>
      </c>
      <c r="UG95">
        <v>2</v>
      </c>
      <c r="UH95">
        <v>2</v>
      </c>
      <c r="UI95">
        <v>2</v>
      </c>
      <c r="UJ95">
        <v>2</v>
      </c>
      <c r="UK95">
        <v>2</v>
      </c>
      <c r="UL95">
        <v>2</v>
      </c>
      <c r="UM95">
        <v>2</v>
      </c>
      <c r="UN95">
        <v>2</v>
      </c>
      <c r="UO95">
        <v>2</v>
      </c>
      <c r="UP95">
        <v>2</v>
      </c>
      <c r="UQ95">
        <v>2</v>
      </c>
      <c r="UR95">
        <v>2</v>
      </c>
      <c r="US95">
        <v>2</v>
      </c>
      <c r="UT95">
        <v>2</v>
      </c>
      <c r="UU95">
        <v>2</v>
      </c>
      <c r="UV95">
        <v>2</v>
      </c>
      <c r="UW95">
        <v>2</v>
      </c>
      <c r="UX95">
        <v>2</v>
      </c>
      <c r="UY95">
        <v>2</v>
      </c>
      <c r="UZ95">
        <v>2</v>
      </c>
      <c r="VA95">
        <v>2</v>
      </c>
      <c r="VB95">
        <v>2</v>
      </c>
      <c r="VC95">
        <v>2</v>
      </c>
      <c r="VD95">
        <v>2</v>
      </c>
      <c r="VE95">
        <v>2</v>
      </c>
      <c r="VF95">
        <v>2</v>
      </c>
      <c r="VG95">
        <v>2</v>
      </c>
      <c r="VH95">
        <v>2</v>
      </c>
      <c r="VI95">
        <v>2</v>
      </c>
      <c r="VJ95">
        <v>2</v>
      </c>
      <c r="VK95">
        <v>2</v>
      </c>
      <c r="VL95">
        <v>2</v>
      </c>
      <c r="VM95">
        <v>2</v>
      </c>
      <c r="VN95">
        <v>2</v>
      </c>
      <c r="VO95">
        <v>2</v>
      </c>
      <c r="VP95">
        <v>2</v>
      </c>
      <c r="VQ95">
        <v>2</v>
      </c>
      <c r="VR95">
        <v>2</v>
      </c>
      <c r="VS95">
        <v>2</v>
      </c>
      <c r="VT95">
        <v>2</v>
      </c>
      <c r="VU95">
        <v>2</v>
      </c>
      <c r="VV95">
        <v>2</v>
      </c>
      <c r="VW95">
        <v>2</v>
      </c>
      <c r="VX95">
        <v>2</v>
      </c>
      <c r="VY95">
        <v>2</v>
      </c>
      <c r="VZ95">
        <v>2</v>
      </c>
      <c r="WA95">
        <v>2</v>
      </c>
      <c r="WB95">
        <v>2</v>
      </c>
      <c r="WC95">
        <v>2</v>
      </c>
      <c r="WD95">
        <v>2</v>
      </c>
      <c r="WE95">
        <v>2</v>
      </c>
      <c r="WF95">
        <v>2</v>
      </c>
      <c r="WG95">
        <v>2</v>
      </c>
      <c r="WH95">
        <v>2</v>
      </c>
      <c r="WI95">
        <v>2</v>
      </c>
      <c r="WJ95">
        <v>2</v>
      </c>
      <c r="WK95">
        <v>2</v>
      </c>
      <c r="WL95">
        <v>2</v>
      </c>
      <c r="WM95">
        <v>2</v>
      </c>
      <c r="WN95">
        <v>2</v>
      </c>
      <c r="WO95">
        <v>2</v>
      </c>
      <c r="WP95">
        <v>2</v>
      </c>
      <c r="WQ95">
        <v>2</v>
      </c>
      <c r="WR95">
        <v>2</v>
      </c>
      <c r="WS95">
        <v>2</v>
      </c>
      <c r="WT95">
        <v>2</v>
      </c>
      <c r="WU95">
        <v>2</v>
      </c>
      <c r="WV95">
        <v>2</v>
      </c>
      <c r="WW95">
        <v>2</v>
      </c>
      <c r="WX95">
        <v>2</v>
      </c>
      <c r="WY95">
        <v>2</v>
      </c>
      <c r="WZ95">
        <v>2</v>
      </c>
      <c r="XA95">
        <v>2</v>
      </c>
      <c r="XB95">
        <v>2</v>
      </c>
      <c r="XC95">
        <v>2</v>
      </c>
      <c r="XD95">
        <v>2</v>
      </c>
      <c r="XE95">
        <v>2</v>
      </c>
      <c r="XF95">
        <v>2</v>
      </c>
      <c r="XG95">
        <v>2</v>
      </c>
      <c r="XH95">
        <v>2</v>
      </c>
      <c r="XI95">
        <v>2</v>
      </c>
      <c r="XJ95">
        <v>2</v>
      </c>
      <c r="XK95">
        <v>2</v>
      </c>
      <c r="XL95">
        <v>2</v>
      </c>
      <c r="XM95">
        <v>2</v>
      </c>
      <c r="XN95">
        <v>2</v>
      </c>
      <c r="XO95">
        <v>2</v>
      </c>
      <c r="XP95">
        <v>2</v>
      </c>
      <c r="XQ95">
        <v>2</v>
      </c>
      <c r="XR95">
        <v>2</v>
      </c>
      <c r="XS95">
        <v>2</v>
      </c>
      <c r="XT95">
        <v>2</v>
      </c>
      <c r="XU95">
        <v>2</v>
      </c>
      <c r="XV95">
        <v>2</v>
      </c>
      <c r="XW95">
        <v>2</v>
      </c>
      <c r="XX95">
        <v>2</v>
      </c>
      <c r="XY95">
        <v>2</v>
      </c>
      <c r="XZ95">
        <v>2</v>
      </c>
      <c r="YA95">
        <v>2</v>
      </c>
      <c r="YB95">
        <v>2</v>
      </c>
      <c r="YC95">
        <v>2</v>
      </c>
      <c r="YD95">
        <v>2</v>
      </c>
      <c r="YE95">
        <v>2</v>
      </c>
      <c r="YF95">
        <v>2</v>
      </c>
      <c r="YG95">
        <v>2</v>
      </c>
      <c r="YH95">
        <v>2</v>
      </c>
      <c r="YI95">
        <v>2</v>
      </c>
      <c r="YJ95">
        <v>2</v>
      </c>
      <c r="YK95">
        <v>2</v>
      </c>
      <c r="YL95">
        <v>2</v>
      </c>
      <c r="YM95">
        <v>2</v>
      </c>
      <c r="YN95">
        <v>2</v>
      </c>
      <c r="YO95">
        <v>2</v>
      </c>
      <c r="YP95">
        <v>2</v>
      </c>
      <c r="YQ95">
        <v>2</v>
      </c>
      <c r="YR95">
        <v>2</v>
      </c>
      <c r="YS95">
        <v>2</v>
      </c>
      <c r="YT95">
        <v>2</v>
      </c>
      <c r="YU95">
        <v>2</v>
      </c>
      <c r="YV95">
        <v>2</v>
      </c>
      <c r="YW95">
        <v>2</v>
      </c>
      <c r="YX95">
        <v>2</v>
      </c>
      <c r="YY95">
        <v>2</v>
      </c>
      <c r="YZ95">
        <v>2</v>
      </c>
      <c r="ZA95">
        <v>2</v>
      </c>
      <c r="ZB95">
        <v>2</v>
      </c>
      <c r="ZC95">
        <v>2</v>
      </c>
      <c r="ZD95">
        <v>2</v>
      </c>
      <c r="ZE95">
        <v>2</v>
      </c>
      <c r="ZF95">
        <v>2</v>
      </c>
      <c r="ZG95">
        <v>2</v>
      </c>
      <c r="ZH95">
        <v>2</v>
      </c>
      <c r="ZI95">
        <v>2</v>
      </c>
      <c r="ZJ95">
        <v>2</v>
      </c>
      <c r="ZK95">
        <v>2</v>
      </c>
      <c r="ZL95">
        <v>2</v>
      </c>
      <c r="ZM95">
        <v>2</v>
      </c>
      <c r="ZN95">
        <v>2</v>
      </c>
      <c r="ZO95">
        <v>2</v>
      </c>
      <c r="ZP95">
        <v>2</v>
      </c>
      <c r="ZQ95">
        <v>2</v>
      </c>
      <c r="ZR95">
        <v>2</v>
      </c>
      <c r="ZS95">
        <v>2</v>
      </c>
      <c r="ZT95">
        <v>2</v>
      </c>
      <c r="ZU95">
        <v>2</v>
      </c>
      <c r="ZV95">
        <v>2</v>
      </c>
      <c r="ZW95">
        <v>2</v>
      </c>
      <c r="ZX95">
        <v>2</v>
      </c>
      <c r="ZY95">
        <v>2</v>
      </c>
      <c r="ZZ95">
        <v>2</v>
      </c>
      <c r="AAA95">
        <v>2</v>
      </c>
      <c r="AAB95">
        <v>2</v>
      </c>
      <c r="AAC95">
        <v>2</v>
      </c>
      <c r="AAD95">
        <v>2</v>
      </c>
      <c r="AAE95">
        <v>0</v>
      </c>
      <c r="AAF95">
        <v>0</v>
      </c>
      <c r="AAG95">
        <v>0</v>
      </c>
      <c r="AAH95">
        <v>0</v>
      </c>
      <c r="AAI95">
        <v>0</v>
      </c>
      <c r="AAJ95">
        <v>0</v>
      </c>
      <c r="AAK95">
        <v>0</v>
      </c>
      <c r="AAL95">
        <v>0</v>
      </c>
      <c r="AAM95">
        <v>0</v>
      </c>
      <c r="AAN95">
        <v>0</v>
      </c>
      <c r="AAO95">
        <v>0</v>
      </c>
      <c r="AAP95">
        <v>0</v>
      </c>
      <c r="AAQ95">
        <v>0</v>
      </c>
      <c r="AAR95">
        <v>0</v>
      </c>
      <c r="AAS95">
        <v>0</v>
      </c>
      <c r="AAT95">
        <v>0</v>
      </c>
      <c r="AAU95">
        <v>0</v>
      </c>
      <c r="AAV95">
        <v>0</v>
      </c>
      <c r="AAW95">
        <v>0</v>
      </c>
      <c r="AAX95">
        <v>0</v>
      </c>
      <c r="AAY95">
        <v>0</v>
      </c>
      <c r="AAZ95">
        <v>0</v>
      </c>
      <c r="ABA95">
        <v>0</v>
      </c>
      <c r="ABB95">
        <v>0</v>
      </c>
      <c r="ABC95">
        <v>0</v>
      </c>
      <c r="ABD95">
        <v>0</v>
      </c>
      <c r="ABE95">
        <v>0</v>
      </c>
      <c r="ABG95" s="1137">
        <f t="shared" si="21"/>
        <v>0</v>
      </c>
      <c r="ABH95" s="1137">
        <f t="shared" si="21"/>
        <v>0</v>
      </c>
      <c r="ABI95" s="1137">
        <f t="shared" si="21"/>
        <v>0</v>
      </c>
      <c r="ABJ95" s="1137">
        <f t="shared" si="21"/>
        <v>8</v>
      </c>
      <c r="ABK95" s="1137">
        <f t="shared" si="21"/>
        <v>0</v>
      </c>
      <c r="ABL95" s="1137">
        <f t="shared" si="21"/>
        <v>0</v>
      </c>
      <c r="ABM95" s="1137">
        <f t="shared" si="21"/>
        <v>0</v>
      </c>
      <c r="ABN95" s="1137">
        <f t="shared" si="21"/>
        <v>0</v>
      </c>
      <c r="ABO95" s="1137">
        <f t="shared" si="21"/>
        <v>0</v>
      </c>
      <c r="ABP95" s="1137">
        <f t="shared" si="21"/>
        <v>0</v>
      </c>
      <c r="ABQ95" s="1137">
        <f t="shared" si="21"/>
        <v>0</v>
      </c>
      <c r="ABR95" s="1137">
        <f t="shared" si="21"/>
        <v>0</v>
      </c>
      <c r="ABS95" s="1137">
        <f t="shared" si="21"/>
        <v>0</v>
      </c>
      <c r="ABT95" s="1137">
        <f t="shared" si="21"/>
        <v>20</v>
      </c>
      <c r="ABU95" s="1137">
        <f t="shared" si="21"/>
        <v>31</v>
      </c>
      <c r="ABV95" s="1137">
        <f t="shared" si="21"/>
        <v>30</v>
      </c>
      <c r="ABW95" s="1137">
        <f t="shared" si="17"/>
        <v>17</v>
      </c>
      <c r="ABX95" s="1137">
        <f t="shared" si="23"/>
        <v>30</v>
      </c>
      <c r="ABY95" s="1137">
        <f t="shared" si="23"/>
        <v>31</v>
      </c>
      <c r="ABZ95" s="1137">
        <f t="shared" si="23"/>
        <v>31</v>
      </c>
      <c r="ACA95" s="1137">
        <f t="shared" si="23"/>
        <v>30</v>
      </c>
      <c r="ACB95" s="1137">
        <f t="shared" si="23"/>
        <v>31</v>
      </c>
      <c r="ACC95" s="1137">
        <f t="shared" si="23"/>
        <v>30</v>
      </c>
      <c r="ACD95" s="1137">
        <f t="shared" si="23"/>
        <v>4</v>
      </c>
      <c r="ACE95" s="1137" t="s">
        <v>18</v>
      </c>
      <c r="ACF95" s="1137">
        <f t="shared" si="22"/>
        <v>0</v>
      </c>
      <c r="ACG95" s="1137">
        <f t="shared" si="22"/>
        <v>0</v>
      </c>
      <c r="ACH95" s="1137">
        <f t="shared" si="22"/>
        <v>0</v>
      </c>
      <c r="ACI95" s="1137">
        <f t="shared" si="22"/>
        <v>0</v>
      </c>
      <c r="ACJ95" s="1137">
        <f t="shared" si="22"/>
        <v>0</v>
      </c>
      <c r="ACK95" s="1137">
        <f t="shared" si="22"/>
        <v>0</v>
      </c>
      <c r="ACL95" s="1137">
        <f t="shared" si="22"/>
        <v>0</v>
      </c>
      <c r="ACM95" s="1137">
        <f t="shared" si="22"/>
        <v>0</v>
      </c>
      <c r="ACN95" s="1137">
        <f t="shared" si="22"/>
        <v>0</v>
      </c>
      <c r="ACO95" s="1137">
        <f t="shared" si="22"/>
        <v>0</v>
      </c>
      <c r="ACP95" s="1137">
        <f t="shared" si="22"/>
        <v>0</v>
      </c>
      <c r="ACQ95" s="1137">
        <f t="shared" si="22"/>
        <v>0</v>
      </c>
      <c r="ACR95" s="1137">
        <f t="shared" si="22"/>
        <v>0</v>
      </c>
      <c r="ACS95" s="1137">
        <f t="shared" si="22"/>
        <v>1</v>
      </c>
      <c r="ACT95" s="1137">
        <f t="shared" si="22"/>
        <v>1</v>
      </c>
      <c r="ACU95" s="1137">
        <f t="shared" si="22"/>
        <v>1</v>
      </c>
      <c r="ACV95" s="1137">
        <f t="shared" si="24"/>
        <v>1</v>
      </c>
      <c r="ACW95" s="1137">
        <f t="shared" si="24"/>
        <v>1</v>
      </c>
      <c r="ACX95" s="1137">
        <f t="shared" si="24"/>
        <v>1</v>
      </c>
      <c r="ACY95" s="1137">
        <f t="shared" si="24"/>
        <v>1</v>
      </c>
      <c r="ACZ95" s="1137">
        <f t="shared" si="24"/>
        <v>1</v>
      </c>
      <c r="ADA95" s="1137">
        <f t="shared" si="24"/>
        <v>1</v>
      </c>
      <c r="ADB95" s="1137">
        <f t="shared" si="16"/>
        <v>1</v>
      </c>
      <c r="ADC95" s="1137">
        <f t="shared" si="16"/>
        <v>0</v>
      </c>
    </row>
    <row r="96" spans="1:783" x14ac:dyDescent="0.25">
      <c r="A96" t="s">
        <v>1893</v>
      </c>
      <c r="B96" t="s">
        <v>205</v>
      </c>
      <c r="C96">
        <v>0</v>
      </c>
      <c r="D96">
        <v>0</v>
      </c>
      <c r="E96">
        <v>0</v>
      </c>
      <c r="F96">
        <v>0</v>
      </c>
      <c r="G96">
        <v>0</v>
      </c>
      <c r="H96">
        <v>0</v>
      </c>
      <c r="I96">
        <v>0</v>
      </c>
      <c r="J96">
        <v>0</v>
      </c>
      <c r="K96">
        <v>0</v>
      </c>
      <c r="L96">
        <v>0</v>
      </c>
      <c r="M96">
        <v>0</v>
      </c>
      <c r="N96">
        <v>0</v>
      </c>
      <c r="O96">
        <v>0</v>
      </c>
      <c r="P96">
        <v>0</v>
      </c>
      <c r="Q96">
        <v>0</v>
      </c>
      <c r="R96">
        <v>0</v>
      </c>
      <c r="S96">
        <v>0</v>
      </c>
      <c r="T96">
        <v>0</v>
      </c>
      <c r="U96">
        <v>0</v>
      </c>
      <c r="V96">
        <v>0</v>
      </c>
      <c r="W96">
        <v>0</v>
      </c>
      <c r="X96">
        <v>0</v>
      </c>
      <c r="Y96">
        <v>0</v>
      </c>
      <c r="Z96">
        <v>0</v>
      </c>
      <c r="AA96">
        <v>0</v>
      </c>
      <c r="AB96">
        <v>0</v>
      </c>
      <c r="AC96">
        <v>0</v>
      </c>
      <c r="AD96">
        <v>0</v>
      </c>
      <c r="AE96">
        <v>0</v>
      </c>
      <c r="AF96">
        <v>0</v>
      </c>
      <c r="AG96">
        <v>0</v>
      </c>
      <c r="AH96">
        <v>0</v>
      </c>
      <c r="AI96">
        <v>0</v>
      </c>
      <c r="AJ96">
        <v>0</v>
      </c>
      <c r="AK96">
        <v>0</v>
      </c>
      <c r="AL96">
        <v>0</v>
      </c>
      <c r="AM96">
        <v>0</v>
      </c>
      <c r="AN96">
        <v>0</v>
      </c>
      <c r="AO96">
        <v>0</v>
      </c>
      <c r="AP96">
        <v>0</v>
      </c>
      <c r="AQ96">
        <v>0</v>
      </c>
      <c r="AR96">
        <v>0</v>
      </c>
      <c r="AS96">
        <v>0</v>
      </c>
      <c r="AT96">
        <v>0</v>
      </c>
      <c r="AU96">
        <v>0</v>
      </c>
      <c r="AV96">
        <v>0</v>
      </c>
      <c r="AW96">
        <v>0</v>
      </c>
      <c r="AX96">
        <v>0</v>
      </c>
      <c r="AY96">
        <v>0</v>
      </c>
      <c r="AZ96">
        <v>0</v>
      </c>
      <c r="BA96">
        <v>0</v>
      </c>
      <c r="BB96">
        <v>0</v>
      </c>
      <c r="BC96">
        <v>0</v>
      </c>
      <c r="BD96">
        <v>0</v>
      </c>
      <c r="BE96">
        <v>0</v>
      </c>
      <c r="BF96">
        <v>0</v>
      </c>
      <c r="BG96">
        <v>0</v>
      </c>
      <c r="BH96">
        <v>0</v>
      </c>
      <c r="BI96">
        <v>0</v>
      </c>
      <c r="BJ96">
        <v>0</v>
      </c>
      <c r="BK96">
        <v>0</v>
      </c>
      <c r="BL96">
        <v>0</v>
      </c>
      <c r="BM96">
        <v>0</v>
      </c>
      <c r="BN96">
        <v>0</v>
      </c>
      <c r="BO96">
        <v>0</v>
      </c>
      <c r="BP96">
        <v>0</v>
      </c>
      <c r="BQ96">
        <v>0</v>
      </c>
      <c r="BR96">
        <v>0</v>
      </c>
      <c r="BS96">
        <v>0</v>
      </c>
      <c r="BT96">
        <v>0</v>
      </c>
      <c r="BU96">
        <v>0</v>
      </c>
      <c r="BV96">
        <v>0</v>
      </c>
      <c r="BW96">
        <v>0</v>
      </c>
      <c r="BX96">
        <v>0</v>
      </c>
      <c r="BY96">
        <v>0</v>
      </c>
      <c r="BZ96">
        <v>0</v>
      </c>
      <c r="CA96">
        <v>0</v>
      </c>
      <c r="CB96">
        <v>0</v>
      </c>
      <c r="CC96">
        <v>0</v>
      </c>
      <c r="CD96">
        <v>0</v>
      </c>
      <c r="CE96">
        <v>0</v>
      </c>
      <c r="CF96">
        <v>0</v>
      </c>
      <c r="CG96">
        <v>0</v>
      </c>
      <c r="CH96">
        <v>0</v>
      </c>
      <c r="CI96">
        <v>0</v>
      </c>
      <c r="CJ96">
        <v>0</v>
      </c>
      <c r="CK96">
        <v>0</v>
      </c>
      <c r="CL96">
        <v>0</v>
      </c>
      <c r="CM96">
        <v>0</v>
      </c>
      <c r="CN96">
        <v>0</v>
      </c>
      <c r="CO96">
        <v>0</v>
      </c>
      <c r="CP96">
        <v>0</v>
      </c>
      <c r="CQ96">
        <v>0</v>
      </c>
      <c r="CR96">
        <v>0</v>
      </c>
      <c r="CS96">
        <v>0</v>
      </c>
      <c r="CT96">
        <v>0</v>
      </c>
      <c r="CU96">
        <v>0</v>
      </c>
      <c r="CV96">
        <v>0</v>
      </c>
      <c r="CW96">
        <v>0</v>
      </c>
      <c r="CX96">
        <v>0</v>
      </c>
      <c r="CY96">
        <v>0</v>
      </c>
      <c r="CZ96">
        <v>0</v>
      </c>
      <c r="DA96">
        <v>0</v>
      </c>
      <c r="DB96">
        <v>0</v>
      </c>
      <c r="DC96">
        <v>0</v>
      </c>
      <c r="DD96">
        <v>0</v>
      </c>
      <c r="DE96">
        <v>0</v>
      </c>
      <c r="DF96">
        <v>0</v>
      </c>
      <c r="DG96">
        <v>0</v>
      </c>
      <c r="DH96">
        <v>0</v>
      </c>
      <c r="DI96">
        <v>0</v>
      </c>
      <c r="DJ96">
        <v>0</v>
      </c>
      <c r="DK96">
        <v>0</v>
      </c>
      <c r="DL96">
        <v>0</v>
      </c>
      <c r="DM96">
        <v>0</v>
      </c>
      <c r="DN96">
        <v>0</v>
      </c>
      <c r="DO96">
        <v>0</v>
      </c>
      <c r="DP96">
        <v>0</v>
      </c>
      <c r="DQ96">
        <v>0</v>
      </c>
      <c r="DR96">
        <v>0</v>
      </c>
      <c r="DS96">
        <v>0</v>
      </c>
      <c r="DT96">
        <v>0</v>
      </c>
      <c r="DU96">
        <v>0</v>
      </c>
      <c r="DV96">
        <v>0</v>
      </c>
      <c r="DW96">
        <v>0</v>
      </c>
      <c r="DX96">
        <v>0</v>
      </c>
      <c r="DY96">
        <v>0</v>
      </c>
      <c r="DZ96">
        <v>0</v>
      </c>
      <c r="EA96">
        <v>0</v>
      </c>
      <c r="EB96">
        <v>0</v>
      </c>
      <c r="EC96">
        <v>0</v>
      </c>
      <c r="ED96">
        <v>0</v>
      </c>
      <c r="EE96">
        <v>0</v>
      </c>
      <c r="EF96">
        <v>0</v>
      </c>
      <c r="EG96">
        <v>0</v>
      </c>
      <c r="EH96">
        <v>0</v>
      </c>
      <c r="EI96">
        <v>0</v>
      </c>
      <c r="EJ96">
        <v>0</v>
      </c>
      <c r="EK96">
        <v>0</v>
      </c>
      <c r="EL96">
        <v>0</v>
      </c>
      <c r="EM96">
        <v>0</v>
      </c>
      <c r="EN96">
        <v>0</v>
      </c>
      <c r="EO96">
        <v>0</v>
      </c>
      <c r="EP96">
        <v>0</v>
      </c>
      <c r="EQ96">
        <v>0</v>
      </c>
      <c r="ER96">
        <v>0</v>
      </c>
      <c r="ES96">
        <v>0</v>
      </c>
      <c r="ET96">
        <v>0</v>
      </c>
      <c r="EU96">
        <v>0</v>
      </c>
      <c r="EV96">
        <v>0</v>
      </c>
      <c r="EW96">
        <v>0</v>
      </c>
      <c r="EX96">
        <v>0</v>
      </c>
      <c r="EY96">
        <v>0</v>
      </c>
      <c r="EZ96">
        <v>0</v>
      </c>
      <c r="FA96">
        <v>0</v>
      </c>
      <c r="FB96">
        <v>0</v>
      </c>
      <c r="FC96">
        <v>0</v>
      </c>
      <c r="FD96">
        <v>0</v>
      </c>
      <c r="FE96">
        <v>0</v>
      </c>
      <c r="FF96">
        <v>0</v>
      </c>
      <c r="FG96">
        <v>0</v>
      </c>
      <c r="FH96">
        <v>0</v>
      </c>
      <c r="FI96">
        <v>0</v>
      </c>
      <c r="FJ96">
        <v>0</v>
      </c>
      <c r="FK96">
        <v>0</v>
      </c>
      <c r="FL96">
        <v>0</v>
      </c>
      <c r="FM96">
        <v>0</v>
      </c>
      <c r="FN96">
        <v>0</v>
      </c>
      <c r="FO96">
        <v>0</v>
      </c>
      <c r="FP96">
        <v>0</v>
      </c>
      <c r="FQ96">
        <v>0</v>
      </c>
      <c r="FR96">
        <v>0</v>
      </c>
      <c r="FS96">
        <v>0</v>
      </c>
      <c r="FT96">
        <v>0</v>
      </c>
      <c r="FU96">
        <v>0</v>
      </c>
      <c r="FV96">
        <v>0</v>
      </c>
      <c r="FW96">
        <v>0</v>
      </c>
      <c r="FX96">
        <v>0</v>
      </c>
      <c r="FY96">
        <v>0</v>
      </c>
      <c r="FZ96">
        <v>0</v>
      </c>
      <c r="GA96">
        <v>0</v>
      </c>
      <c r="GB96">
        <v>0</v>
      </c>
      <c r="GC96">
        <v>0</v>
      </c>
      <c r="GD96">
        <v>0</v>
      </c>
      <c r="GE96">
        <v>0</v>
      </c>
      <c r="GF96">
        <v>0</v>
      </c>
      <c r="GG96">
        <v>0</v>
      </c>
      <c r="GH96">
        <v>0</v>
      </c>
      <c r="GI96">
        <v>0</v>
      </c>
      <c r="GJ96">
        <v>0</v>
      </c>
      <c r="GK96">
        <v>0</v>
      </c>
      <c r="GL96">
        <v>0</v>
      </c>
      <c r="GM96">
        <v>0</v>
      </c>
      <c r="GN96">
        <v>0</v>
      </c>
      <c r="GO96">
        <v>0</v>
      </c>
      <c r="GP96">
        <v>0</v>
      </c>
      <c r="GQ96">
        <v>0</v>
      </c>
      <c r="GR96">
        <v>0</v>
      </c>
      <c r="GS96">
        <v>0</v>
      </c>
      <c r="GT96">
        <v>0</v>
      </c>
      <c r="GU96">
        <v>0</v>
      </c>
      <c r="GV96">
        <v>0</v>
      </c>
      <c r="GW96">
        <v>0</v>
      </c>
      <c r="GX96">
        <v>0</v>
      </c>
      <c r="GY96">
        <v>0</v>
      </c>
      <c r="GZ96">
        <v>0</v>
      </c>
      <c r="HA96">
        <v>0</v>
      </c>
      <c r="HB96">
        <v>0</v>
      </c>
      <c r="HC96">
        <v>0</v>
      </c>
      <c r="HD96">
        <v>0</v>
      </c>
      <c r="HE96">
        <v>0</v>
      </c>
      <c r="HF96">
        <v>0</v>
      </c>
      <c r="HG96">
        <v>0</v>
      </c>
      <c r="HH96">
        <v>0</v>
      </c>
      <c r="HI96">
        <v>0</v>
      </c>
      <c r="HJ96">
        <v>0</v>
      </c>
      <c r="HK96">
        <v>0</v>
      </c>
      <c r="HL96">
        <v>0</v>
      </c>
      <c r="HM96">
        <v>0</v>
      </c>
      <c r="HN96">
        <v>0</v>
      </c>
      <c r="HO96">
        <v>0</v>
      </c>
      <c r="HP96">
        <v>0</v>
      </c>
      <c r="HQ96">
        <v>0</v>
      </c>
      <c r="HR96">
        <v>0</v>
      </c>
      <c r="HS96">
        <v>0</v>
      </c>
      <c r="HT96">
        <v>0</v>
      </c>
      <c r="HU96">
        <v>0</v>
      </c>
      <c r="HV96">
        <v>0</v>
      </c>
      <c r="HW96">
        <v>0</v>
      </c>
      <c r="HX96">
        <v>0</v>
      </c>
      <c r="HY96">
        <v>0</v>
      </c>
      <c r="HZ96">
        <v>0</v>
      </c>
      <c r="IA96">
        <v>0</v>
      </c>
      <c r="IB96">
        <v>0</v>
      </c>
      <c r="IC96">
        <v>0</v>
      </c>
      <c r="ID96">
        <v>0</v>
      </c>
      <c r="IE96">
        <v>0</v>
      </c>
      <c r="IF96">
        <v>0</v>
      </c>
      <c r="IG96">
        <v>0</v>
      </c>
      <c r="IH96">
        <v>0</v>
      </c>
      <c r="II96">
        <v>0</v>
      </c>
      <c r="IJ96">
        <v>0</v>
      </c>
      <c r="IK96">
        <v>0</v>
      </c>
      <c r="IL96">
        <v>0</v>
      </c>
      <c r="IM96">
        <v>0</v>
      </c>
      <c r="IN96">
        <v>0</v>
      </c>
      <c r="IO96">
        <v>0</v>
      </c>
      <c r="IP96">
        <v>0</v>
      </c>
      <c r="IQ96">
        <v>0</v>
      </c>
      <c r="IR96">
        <v>0</v>
      </c>
      <c r="IS96">
        <v>0</v>
      </c>
      <c r="IT96">
        <v>0</v>
      </c>
      <c r="IU96">
        <v>0</v>
      </c>
      <c r="IV96">
        <v>0</v>
      </c>
      <c r="IW96">
        <v>0</v>
      </c>
      <c r="IX96">
        <v>0</v>
      </c>
      <c r="IY96">
        <v>0</v>
      </c>
      <c r="IZ96">
        <v>0</v>
      </c>
      <c r="JA96">
        <v>0</v>
      </c>
      <c r="JB96">
        <v>0</v>
      </c>
      <c r="JC96">
        <v>0</v>
      </c>
      <c r="JD96">
        <v>0</v>
      </c>
      <c r="JE96">
        <v>0</v>
      </c>
      <c r="JF96">
        <v>0</v>
      </c>
      <c r="JG96">
        <v>0</v>
      </c>
      <c r="JH96">
        <v>0</v>
      </c>
      <c r="JI96">
        <v>0</v>
      </c>
      <c r="JJ96">
        <v>0</v>
      </c>
      <c r="JK96">
        <v>0</v>
      </c>
      <c r="JL96">
        <v>0</v>
      </c>
      <c r="JM96">
        <v>0</v>
      </c>
      <c r="JN96">
        <v>0</v>
      </c>
      <c r="JO96">
        <v>0</v>
      </c>
      <c r="JP96">
        <v>0</v>
      </c>
      <c r="JQ96">
        <v>0</v>
      </c>
      <c r="JR96">
        <v>0</v>
      </c>
      <c r="JS96">
        <v>0</v>
      </c>
      <c r="JT96">
        <v>0</v>
      </c>
      <c r="JU96">
        <v>0</v>
      </c>
      <c r="JV96">
        <v>0</v>
      </c>
      <c r="JW96">
        <v>0</v>
      </c>
      <c r="JX96">
        <v>0</v>
      </c>
      <c r="JY96">
        <v>0</v>
      </c>
      <c r="JZ96">
        <v>0</v>
      </c>
      <c r="KA96">
        <v>0</v>
      </c>
      <c r="KB96">
        <v>0</v>
      </c>
      <c r="KC96">
        <v>0</v>
      </c>
      <c r="KD96">
        <v>0</v>
      </c>
      <c r="KE96">
        <v>0</v>
      </c>
      <c r="KF96">
        <v>0</v>
      </c>
      <c r="KG96">
        <v>0</v>
      </c>
      <c r="KH96">
        <v>0</v>
      </c>
      <c r="KI96">
        <v>0</v>
      </c>
      <c r="KJ96">
        <v>0</v>
      </c>
      <c r="KK96">
        <v>0</v>
      </c>
      <c r="KL96">
        <v>0</v>
      </c>
      <c r="KM96">
        <v>0</v>
      </c>
      <c r="KN96">
        <v>0</v>
      </c>
      <c r="KO96">
        <v>0</v>
      </c>
      <c r="KP96">
        <v>0</v>
      </c>
      <c r="KQ96">
        <v>0</v>
      </c>
      <c r="KR96">
        <v>0</v>
      </c>
      <c r="KS96">
        <v>0</v>
      </c>
      <c r="KT96">
        <v>0</v>
      </c>
      <c r="KU96">
        <v>0</v>
      </c>
      <c r="KV96">
        <v>0</v>
      </c>
      <c r="KW96">
        <v>0</v>
      </c>
      <c r="KX96">
        <v>0</v>
      </c>
      <c r="KY96">
        <v>0</v>
      </c>
      <c r="KZ96">
        <v>0</v>
      </c>
      <c r="LA96">
        <v>0</v>
      </c>
      <c r="LB96">
        <v>0</v>
      </c>
      <c r="LC96">
        <v>0</v>
      </c>
      <c r="LD96">
        <v>0</v>
      </c>
      <c r="LE96">
        <v>0</v>
      </c>
      <c r="LF96">
        <v>0</v>
      </c>
      <c r="LG96">
        <v>0</v>
      </c>
      <c r="LH96">
        <v>0</v>
      </c>
      <c r="LI96">
        <v>0</v>
      </c>
      <c r="LJ96">
        <v>0</v>
      </c>
      <c r="LK96">
        <v>0</v>
      </c>
      <c r="LL96">
        <v>0</v>
      </c>
      <c r="LM96">
        <v>0</v>
      </c>
      <c r="LN96">
        <v>0</v>
      </c>
      <c r="LO96">
        <v>0</v>
      </c>
      <c r="LP96">
        <v>0</v>
      </c>
      <c r="LQ96">
        <v>0</v>
      </c>
      <c r="LR96">
        <v>0</v>
      </c>
      <c r="LS96">
        <v>0</v>
      </c>
      <c r="LT96">
        <v>0</v>
      </c>
      <c r="LU96">
        <v>0</v>
      </c>
      <c r="LV96">
        <v>0</v>
      </c>
      <c r="LW96">
        <v>0</v>
      </c>
      <c r="LX96">
        <v>0</v>
      </c>
      <c r="LY96">
        <v>0</v>
      </c>
      <c r="LZ96">
        <v>0</v>
      </c>
      <c r="MA96">
        <v>0</v>
      </c>
      <c r="MB96">
        <v>0</v>
      </c>
      <c r="MC96">
        <v>0</v>
      </c>
      <c r="MD96">
        <v>0</v>
      </c>
      <c r="ME96">
        <v>0</v>
      </c>
      <c r="MF96">
        <v>0</v>
      </c>
      <c r="MG96">
        <v>0</v>
      </c>
      <c r="MH96">
        <v>0</v>
      </c>
      <c r="MI96">
        <v>0</v>
      </c>
      <c r="MJ96">
        <v>0</v>
      </c>
      <c r="MK96">
        <v>0</v>
      </c>
      <c r="ML96">
        <v>0</v>
      </c>
      <c r="MM96">
        <v>0</v>
      </c>
      <c r="MN96">
        <v>0</v>
      </c>
      <c r="MO96">
        <v>0</v>
      </c>
      <c r="MP96">
        <v>0</v>
      </c>
      <c r="MQ96">
        <v>0</v>
      </c>
      <c r="MR96">
        <v>0</v>
      </c>
      <c r="MS96">
        <v>0</v>
      </c>
      <c r="MT96">
        <v>0</v>
      </c>
      <c r="MU96">
        <v>0</v>
      </c>
      <c r="MV96">
        <v>0</v>
      </c>
      <c r="MW96">
        <v>0</v>
      </c>
      <c r="MX96">
        <v>0</v>
      </c>
      <c r="MY96">
        <v>0</v>
      </c>
      <c r="MZ96">
        <v>0</v>
      </c>
      <c r="NA96">
        <v>0</v>
      </c>
      <c r="NB96">
        <v>0</v>
      </c>
      <c r="NC96">
        <v>0</v>
      </c>
      <c r="ND96">
        <v>0</v>
      </c>
      <c r="NE96">
        <v>0</v>
      </c>
      <c r="NF96">
        <v>0</v>
      </c>
      <c r="NG96">
        <v>0</v>
      </c>
      <c r="NH96">
        <v>0</v>
      </c>
      <c r="NI96">
        <v>0</v>
      </c>
      <c r="NJ96">
        <v>0</v>
      </c>
      <c r="NK96">
        <v>0</v>
      </c>
      <c r="NL96">
        <v>0</v>
      </c>
      <c r="NM96">
        <v>0</v>
      </c>
      <c r="NN96">
        <v>0</v>
      </c>
      <c r="NO96">
        <v>0</v>
      </c>
      <c r="NP96">
        <v>0</v>
      </c>
      <c r="NQ96">
        <v>0</v>
      </c>
      <c r="NR96">
        <v>0</v>
      </c>
      <c r="NS96">
        <v>0</v>
      </c>
      <c r="NT96">
        <v>0</v>
      </c>
      <c r="NU96">
        <v>0</v>
      </c>
      <c r="NV96">
        <v>0</v>
      </c>
      <c r="NW96">
        <v>0</v>
      </c>
      <c r="NX96">
        <v>0</v>
      </c>
      <c r="NY96">
        <v>0</v>
      </c>
      <c r="NZ96">
        <v>0</v>
      </c>
      <c r="OA96">
        <v>0</v>
      </c>
      <c r="OB96">
        <v>0</v>
      </c>
      <c r="OC96">
        <v>0</v>
      </c>
      <c r="OD96">
        <v>0</v>
      </c>
      <c r="OE96">
        <v>0</v>
      </c>
      <c r="OF96">
        <v>0</v>
      </c>
      <c r="OG96">
        <v>0</v>
      </c>
      <c r="OH96">
        <v>0</v>
      </c>
      <c r="OI96">
        <v>0</v>
      </c>
      <c r="OJ96">
        <v>0</v>
      </c>
      <c r="OK96">
        <v>0</v>
      </c>
      <c r="OL96">
        <v>0</v>
      </c>
      <c r="OM96">
        <v>0</v>
      </c>
      <c r="ON96">
        <v>0</v>
      </c>
      <c r="OO96">
        <v>0</v>
      </c>
      <c r="OP96">
        <v>0</v>
      </c>
      <c r="OQ96">
        <v>0</v>
      </c>
      <c r="OR96">
        <v>0</v>
      </c>
      <c r="OS96">
        <v>0</v>
      </c>
      <c r="OT96">
        <v>0</v>
      </c>
      <c r="OU96">
        <v>0</v>
      </c>
      <c r="OV96">
        <v>0</v>
      </c>
      <c r="OW96">
        <v>0</v>
      </c>
      <c r="OX96">
        <v>0</v>
      </c>
      <c r="OY96">
        <v>0</v>
      </c>
      <c r="OZ96">
        <v>0</v>
      </c>
      <c r="PA96">
        <v>0</v>
      </c>
      <c r="PB96">
        <v>0</v>
      </c>
      <c r="PC96">
        <v>0</v>
      </c>
      <c r="PD96">
        <v>0</v>
      </c>
      <c r="PE96">
        <v>0</v>
      </c>
      <c r="PF96">
        <v>0</v>
      </c>
      <c r="PG96">
        <v>0</v>
      </c>
      <c r="PH96">
        <v>0</v>
      </c>
      <c r="PI96">
        <v>0</v>
      </c>
      <c r="PJ96">
        <v>0</v>
      </c>
      <c r="PK96">
        <v>0</v>
      </c>
      <c r="PL96">
        <v>0</v>
      </c>
      <c r="PM96">
        <v>0</v>
      </c>
      <c r="PN96">
        <v>0</v>
      </c>
      <c r="PO96">
        <v>0</v>
      </c>
      <c r="PP96">
        <v>0</v>
      </c>
      <c r="PQ96">
        <v>0</v>
      </c>
      <c r="PR96">
        <v>0</v>
      </c>
      <c r="PS96">
        <v>0</v>
      </c>
      <c r="PT96">
        <v>0</v>
      </c>
      <c r="PU96">
        <v>0</v>
      </c>
      <c r="PV96">
        <v>0</v>
      </c>
      <c r="PW96">
        <v>0</v>
      </c>
      <c r="PX96">
        <v>0</v>
      </c>
      <c r="PY96">
        <v>0</v>
      </c>
      <c r="PZ96">
        <v>0</v>
      </c>
      <c r="QA96">
        <v>0</v>
      </c>
      <c r="QB96">
        <v>0</v>
      </c>
      <c r="QC96">
        <v>0</v>
      </c>
      <c r="QD96">
        <v>0</v>
      </c>
      <c r="QE96">
        <v>0</v>
      </c>
      <c r="QF96">
        <v>0</v>
      </c>
      <c r="QG96">
        <v>0</v>
      </c>
      <c r="QH96">
        <v>0</v>
      </c>
      <c r="QI96">
        <v>0</v>
      </c>
      <c r="QJ96">
        <v>0</v>
      </c>
      <c r="QK96">
        <v>0</v>
      </c>
      <c r="QL96">
        <v>0</v>
      </c>
      <c r="QM96">
        <v>0</v>
      </c>
      <c r="QN96">
        <v>0</v>
      </c>
      <c r="QO96">
        <v>0</v>
      </c>
      <c r="QP96">
        <v>0</v>
      </c>
      <c r="QQ96">
        <v>0</v>
      </c>
      <c r="QR96">
        <v>0</v>
      </c>
      <c r="QS96">
        <v>0</v>
      </c>
      <c r="QT96">
        <v>0</v>
      </c>
      <c r="QU96">
        <v>0</v>
      </c>
      <c r="QV96">
        <v>0</v>
      </c>
      <c r="QW96">
        <v>0</v>
      </c>
      <c r="QX96">
        <v>0</v>
      </c>
      <c r="QY96">
        <v>0</v>
      </c>
      <c r="QZ96">
        <v>0</v>
      </c>
      <c r="RA96">
        <v>0</v>
      </c>
      <c r="RB96">
        <v>0</v>
      </c>
      <c r="RC96">
        <v>0</v>
      </c>
      <c r="RD96">
        <v>0</v>
      </c>
      <c r="RE96">
        <v>0</v>
      </c>
      <c r="RF96">
        <v>0</v>
      </c>
      <c r="RG96">
        <v>0</v>
      </c>
      <c r="RH96">
        <v>0</v>
      </c>
      <c r="RI96">
        <v>0</v>
      </c>
      <c r="RJ96">
        <v>0</v>
      </c>
      <c r="RK96">
        <v>0</v>
      </c>
      <c r="RL96">
        <v>0</v>
      </c>
      <c r="RM96">
        <v>0</v>
      </c>
      <c r="RN96">
        <v>0</v>
      </c>
      <c r="RO96">
        <v>0</v>
      </c>
      <c r="RP96">
        <v>0</v>
      </c>
      <c r="RQ96">
        <v>0</v>
      </c>
      <c r="RR96">
        <v>0</v>
      </c>
      <c r="RS96">
        <v>0</v>
      </c>
      <c r="RT96">
        <v>0</v>
      </c>
      <c r="RU96">
        <v>0</v>
      </c>
      <c r="RV96">
        <v>0</v>
      </c>
      <c r="RW96">
        <v>0</v>
      </c>
      <c r="RX96">
        <v>0</v>
      </c>
      <c r="RY96">
        <v>0</v>
      </c>
      <c r="RZ96">
        <v>0</v>
      </c>
      <c r="SA96">
        <v>0</v>
      </c>
      <c r="SB96">
        <v>0</v>
      </c>
      <c r="SC96">
        <v>0</v>
      </c>
      <c r="SD96">
        <v>0</v>
      </c>
      <c r="SE96">
        <v>0</v>
      </c>
      <c r="SF96">
        <v>0</v>
      </c>
      <c r="SG96">
        <v>0</v>
      </c>
      <c r="SH96">
        <v>0</v>
      </c>
      <c r="SI96">
        <v>0</v>
      </c>
      <c r="SJ96">
        <v>0</v>
      </c>
      <c r="SK96">
        <v>0</v>
      </c>
      <c r="SL96">
        <v>0</v>
      </c>
      <c r="SM96">
        <v>0</v>
      </c>
      <c r="SN96">
        <v>0</v>
      </c>
      <c r="SO96">
        <v>0</v>
      </c>
      <c r="SP96">
        <v>0</v>
      </c>
      <c r="SQ96">
        <v>0</v>
      </c>
      <c r="SR96">
        <v>0</v>
      </c>
      <c r="SS96">
        <v>0</v>
      </c>
      <c r="ST96">
        <v>0</v>
      </c>
      <c r="SU96">
        <v>0</v>
      </c>
      <c r="SV96">
        <v>0</v>
      </c>
      <c r="SW96">
        <v>0</v>
      </c>
      <c r="SX96">
        <v>0</v>
      </c>
      <c r="SY96">
        <v>0</v>
      </c>
      <c r="SZ96">
        <v>0</v>
      </c>
      <c r="TA96">
        <v>0</v>
      </c>
      <c r="TB96">
        <v>0</v>
      </c>
      <c r="TC96">
        <v>0</v>
      </c>
      <c r="TD96">
        <v>0</v>
      </c>
      <c r="TE96">
        <v>0</v>
      </c>
      <c r="TF96">
        <v>0</v>
      </c>
      <c r="TG96">
        <v>0</v>
      </c>
      <c r="TH96">
        <v>0</v>
      </c>
      <c r="TI96">
        <v>0</v>
      </c>
      <c r="TJ96">
        <v>0</v>
      </c>
      <c r="TK96">
        <v>0</v>
      </c>
      <c r="TL96">
        <v>0</v>
      </c>
      <c r="TM96">
        <v>0</v>
      </c>
      <c r="TN96">
        <v>0</v>
      </c>
      <c r="TO96">
        <v>0</v>
      </c>
      <c r="TP96">
        <v>0</v>
      </c>
      <c r="TQ96">
        <v>0</v>
      </c>
      <c r="TR96">
        <v>0</v>
      </c>
      <c r="TS96">
        <v>0</v>
      </c>
      <c r="TT96">
        <v>0</v>
      </c>
      <c r="TU96">
        <v>0</v>
      </c>
      <c r="TV96">
        <v>0</v>
      </c>
      <c r="TW96">
        <v>0</v>
      </c>
      <c r="TX96">
        <v>0</v>
      </c>
      <c r="TY96">
        <v>0</v>
      </c>
      <c r="TZ96">
        <v>0</v>
      </c>
      <c r="UA96">
        <v>0</v>
      </c>
      <c r="UB96">
        <v>0</v>
      </c>
      <c r="UC96">
        <v>0</v>
      </c>
      <c r="UD96">
        <v>0</v>
      </c>
      <c r="UE96">
        <v>0</v>
      </c>
      <c r="UF96">
        <v>0</v>
      </c>
      <c r="UG96">
        <v>0</v>
      </c>
      <c r="UH96">
        <v>0</v>
      </c>
      <c r="UI96">
        <v>0</v>
      </c>
      <c r="UJ96">
        <v>0</v>
      </c>
      <c r="UK96">
        <v>0</v>
      </c>
      <c r="UL96">
        <v>0</v>
      </c>
      <c r="UM96">
        <v>0</v>
      </c>
      <c r="UN96">
        <v>0</v>
      </c>
      <c r="UO96">
        <v>0</v>
      </c>
      <c r="UP96">
        <v>0</v>
      </c>
      <c r="UQ96">
        <v>0</v>
      </c>
      <c r="UR96">
        <v>0</v>
      </c>
      <c r="US96">
        <v>0</v>
      </c>
      <c r="UT96">
        <v>0</v>
      </c>
      <c r="UU96">
        <v>0</v>
      </c>
      <c r="UV96">
        <v>0</v>
      </c>
      <c r="UW96">
        <v>0</v>
      </c>
      <c r="UX96">
        <v>0</v>
      </c>
      <c r="UY96">
        <v>0</v>
      </c>
      <c r="UZ96">
        <v>0</v>
      </c>
      <c r="VA96">
        <v>0</v>
      </c>
      <c r="VB96">
        <v>0</v>
      </c>
      <c r="VC96">
        <v>0</v>
      </c>
      <c r="VD96">
        <v>0</v>
      </c>
      <c r="VE96">
        <v>0</v>
      </c>
      <c r="VF96">
        <v>0</v>
      </c>
      <c r="VG96">
        <v>0</v>
      </c>
      <c r="VH96">
        <v>0</v>
      </c>
      <c r="VI96">
        <v>0</v>
      </c>
      <c r="VJ96">
        <v>0</v>
      </c>
      <c r="VK96">
        <v>0</v>
      </c>
      <c r="VL96">
        <v>0</v>
      </c>
      <c r="VM96">
        <v>0</v>
      </c>
      <c r="VN96">
        <v>0</v>
      </c>
      <c r="VO96">
        <v>0</v>
      </c>
      <c r="VP96">
        <v>0</v>
      </c>
      <c r="VQ96">
        <v>0</v>
      </c>
      <c r="VR96">
        <v>0</v>
      </c>
      <c r="VS96">
        <v>0</v>
      </c>
      <c r="VT96">
        <v>0</v>
      </c>
      <c r="VU96">
        <v>0</v>
      </c>
      <c r="VV96">
        <v>0</v>
      </c>
      <c r="VW96">
        <v>0</v>
      </c>
      <c r="VX96">
        <v>0</v>
      </c>
      <c r="VY96">
        <v>0</v>
      </c>
      <c r="VZ96">
        <v>0</v>
      </c>
      <c r="WA96">
        <v>0</v>
      </c>
      <c r="WB96">
        <v>0</v>
      </c>
      <c r="WC96">
        <v>0</v>
      </c>
      <c r="WD96">
        <v>0</v>
      </c>
      <c r="WE96">
        <v>0</v>
      </c>
      <c r="WF96">
        <v>0</v>
      </c>
      <c r="WG96">
        <v>0</v>
      </c>
      <c r="WH96">
        <v>0</v>
      </c>
      <c r="WI96">
        <v>0</v>
      </c>
      <c r="WJ96">
        <v>0</v>
      </c>
      <c r="WK96">
        <v>0</v>
      </c>
      <c r="WL96">
        <v>0</v>
      </c>
      <c r="WM96">
        <v>0</v>
      </c>
      <c r="WN96">
        <v>0</v>
      </c>
      <c r="WO96">
        <v>0</v>
      </c>
      <c r="WP96">
        <v>0</v>
      </c>
      <c r="WQ96">
        <v>0</v>
      </c>
      <c r="WR96">
        <v>0</v>
      </c>
      <c r="WS96">
        <v>0</v>
      </c>
      <c r="WT96">
        <v>0</v>
      </c>
      <c r="WU96">
        <v>0</v>
      </c>
      <c r="WV96">
        <v>0</v>
      </c>
      <c r="WW96">
        <v>0</v>
      </c>
      <c r="WX96">
        <v>0</v>
      </c>
      <c r="WY96">
        <v>0</v>
      </c>
      <c r="WZ96">
        <v>0</v>
      </c>
      <c r="XA96">
        <v>0</v>
      </c>
      <c r="XB96">
        <v>0</v>
      </c>
      <c r="XC96">
        <v>0</v>
      </c>
      <c r="XD96">
        <v>0</v>
      </c>
      <c r="XE96">
        <v>0</v>
      </c>
      <c r="XF96">
        <v>0</v>
      </c>
      <c r="XG96">
        <v>0</v>
      </c>
      <c r="XH96">
        <v>0</v>
      </c>
      <c r="XI96">
        <v>0</v>
      </c>
      <c r="XJ96">
        <v>0</v>
      </c>
      <c r="XK96">
        <v>0</v>
      </c>
      <c r="XL96">
        <v>0</v>
      </c>
      <c r="XM96">
        <v>0</v>
      </c>
      <c r="XN96">
        <v>0</v>
      </c>
      <c r="XO96">
        <v>0</v>
      </c>
      <c r="XP96">
        <v>0</v>
      </c>
      <c r="XQ96">
        <v>0</v>
      </c>
      <c r="XR96">
        <v>0</v>
      </c>
      <c r="XS96">
        <v>0</v>
      </c>
      <c r="XT96">
        <v>0</v>
      </c>
      <c r="XU96">
        <v>0</v>
      </c>
      <c r="XV96">
        <v>0</v>
      </c>
      <c r="XW96">
        <v>0</v>
      </c>
      <c r="XX96">
        <v>0</v>
      </c>
      <c r="XY96">
        <v>0</v>
      </c>
      <c r="XZ96">
        <v>0</v>
      </c>
      <c r="YA96">
        <v>0</v>
      </c>
      <c r="YB96">
        <v>0</v>
      </c>
      <c r="YC96">
        <v>0</v>
      </c>
      <c r="YD96">
        <v>0</v>
      </c>
      <c r="YE96">
        <v>0</v>
      </c>
      <c r="YF96">
        <v>0</v>
      </c>
      <c r="YG96">
        <v>0</v>
      </c>
      <c r="YH96">
        <v>0</v>
      </c>
      <c r="YI96">
        <v>0</v>
      </c>
      <c r="YJ96">
        <v>0</v>
      </c>
      <c r="YK96">
        <v>0</v>
      </c>
      <c r="YL96">
        <v>0</v>
      </c>
      <c r="YM96">
        <v>0</v>
      </c>
      <c r="YN96">
        <v>0</v>
      </c>
      <c r="YO96">
        <v>0</v>
      </c>
      <c r="YP96">
        <v>0</v>
      </c>
      <c r="YQ96">
        <v>0</v>
      </c>
      <c r="YR96">
        <v>0</v>
      </c>
      <c r="YS96">
        <v>0</v>
      </c>
      <c r="YT96">
        <v>0</v>
      </c>
      <c r="YU96">
        <v>0</v>
      </c>
      <c r="YV96">
        <v>0</v>
      </c>
      <c r="YW96">
        <v>0</v>
      </c>
      <c r="YX96">
        <v>0</v>
      </c>
      <c r="YY96">
        <v>0</v>
      </c>
      <c r="YZ96">
        <v>0</v>
      </c>
      <c r="ZA96">
        <v>0</v>
      </c>
      <c r="ZB96">
        <v>0</v>
      </c>
      <c r="ZC96">
        <v>0</v>
      </c>
      <c r="ZD96">
        <v>0</v>
      </c>
      <c r="ZE96">
        <v>0</v>
      </c>
      <c r="ZF96">
        <v>0</v>
      </c>
      <c r="ZG96">
        <v>0</v>
      </c>
      <c r="ZH96">
        <v>0</v>
      </c>
      <c r="ZI96">
        <v>0</v>
      </c>
      <c r="ZJ96">
        <v>0</v>
      </c>
      <c r="ZK96">
        <v>0</v>
      </c>
      <c r="ZL96">
        <v>0</v>
      </c>
      <c r="ZM96">
        <v>0</v>
      </c>
      <c r="ZN96">
        <v>0</v>
      </c>
      <c r="ZO96">
        <v>0</v>
      </c>
      <c r="ZP96">
        <v>0</v>
      </c>
      <c r="ZQ96">
        <v>0</v>
      </c>
      <c r="ZR96">
        <v>0</v>
      </c>
      <c r="ZS96">
        <v>0</v>
      </c>
      <c r="ZT96">
        <v>0</v>
      </c>
      <c r="ZU96">
        <v>0</v>
      </c>
      <c r="ZV96">
        <v>0</v>
      </c>
      <c r="ZW96">
        <v>0</v>
      </c>
      <c r="ZX96">
        <v>0</v>
      </c>
      <c r="ZY96">
        <v>0</v>
      </c>
      <c r="ZZ96">
        <v>0</v>
      </c>
      <c r="AAA96">
        <v>0</v>
      </c>
      <c r="AAB96">
        <v>0</v>
      </c>
      <c r="AAC96">
        <v>0</v>
      </c>
      <c r="AAD96">
        <v>0</v>
      </c>
      <c r="AAE96">
        <v>0</v>
      </c>
      <c r="AAF96">
        <v>0</v>
      </c>
      <c r="AAG96">
        <v>0</v>
      </c>
      <c r="AAH96">
        <v>0</v>
      </c>
      <c r="AAI96">
        <v>0</v>
      </c>
      <c r="AAJ96">
        <v>0</v>
      </c>
      <c r="AAK96">
        <v>0</v>
      </c>
      <c r="AAL96">
        <v>0</v>
      </c>
      <c r="AAM96">
        <v>0</v>
      </c>
      <c r="AAN96">
        <v>0</v>
      </c>
      <c r="AAO96">
        <v>0</v>
      </c>
      <c r="AAP96">
        <v>0</v>
      </c>
      <c r="AAQ96">
        <v>0</v>
      </c>
      <c r="AAR96">
        <v>0</v>
      </c>
      <c r="AAS96">
        <v>0</v>
      </c>
      <c r="AAT96">
        <v>0</v>
      </c>
      <c r="AAU96">
        <v>0</v>
      </c>
      <c r="AAV96">
        <v>0</v>
      </c>
      <c r="AAW96">
        <v>0</v>
      </c>
      <c r="AAX96">
        <v>0</v>
      </c>
      <c r="AAY96">
        <v>0</v>
      </c>
      <c r="AAZ96">
        <v>0</v>
      </c>
      <c r="ABA96">
        <v>0</v>
      </c>
      <c r="ABB96">
        <v>0</v>
      </c>
      <c r="ABC96">
        <v>0</v>
      </c>
      <c r="ABD96">
        <v>0</v>
      </c>
      <c r="ABE96">
        <v>0</v>
      </c>
      <c r="ABG96" s="1137">
        <f t="shared" si="21"/>
        <v>0</v>
      </c>
      <c r="ABH96" s="1137">
        <f t="shared" si="21"/>
        <v>0</v>
      </c>
      <c r="ABI96" s="1137">
        <f t="shared" si="21"/>
        <v>0</v>
      </c>
      <c r="ABJ96" s="1137">
        <f t="shared" si="21"/>
        <v>0</v>
      </c>
      <c r="ABK96" s="1137">
        <f t="shared" si="21"/>
        <v>0</v>
      </c>
      <c r="ABL96" s="1137">
        <f t="shared" si="21"/>
        <v>0</v>
      </c>
      <c r="ABM96" s="1137">
        <f t="shared" si="21"/>
        <v>0</v>
      </c>
      <c r="ABN96" s="1137">
        <f t="shared" si="21"/>
        <v>0</v>
      </c>
      <c r="ABO96" s="1137">
        <f t="shared" si="21"/>
        <v>0</v>
      </c>
      <c r="ABP96" s="1137">
        <f t="shared" si="21"/>
        <v>0</v>
      </c>
      <c r="ABQ96" s="1137">
        <f t="shared" si="21"/>
        <v>0</v>
      </c>
      <c r="ABR96" s="1137">
        <f t="shared" si="21"/>
        <v>0</v>
      </c>
      <c r="ABS96" s="1137">
        <f t="shared" si="21"/>
        <v>0</v>
      </c>
      <c r="ABT96" s="1137">
        <f t="shared" si="21"/>
        <v>0</v>
      </c>
      <c r="ABU96" s="1137">
        <f t="shared" si="21"/>
        <v>0</v>
      </c>
      <c r="ABV96" s="1137">
        <f t="shared" si="21"/>
        <v>0</v>
      </c>
      <c r="ABW96" s="1137">
        <f t="shared" si="17"/>
        <v>0</v>
      </c>
      <c r="ABX96" s="1137">
        <f t="shared" si="23"/>
        <v>0</v>
      </c>
      <c r="ABY96" s="1137">
        <f t="shared" si="23"/>
        <v>0</v>
      </c>
      <c r="ABZ96" s="1137">
        <f t="shared" si="23"/>
        <v>0</v>
      </c>
      <c r="ACA96" s="1137">
        <f t="shared" si="23"/>
        <v>0</v>
      </c>
      <c r="ACB96" s="1137">
        <f t="shared" si="23"/>
        <v>0</v>
      </c>
      <c r="ACC96" s="1137">
        <f t="shared" si="23"/>
        <v>0</v>
      </c>
      <c r="ACD96" s="1137">
        <f t="shared" si="23"/>
        <v>0</v>
      </c>
      <c r="ACE96" s="1137" t="s">
        <v>205</v>
      </c>
      <c r="ACF96" s="1137">
        <f t="shared" si="22"/>
        <v>0</v>
      </c>
      <c r="ACG96" s="1137">
        <f t="shared" si="22"/>
        <v>0</v>
      </c>
      <c r="ACH96" s="1137">
        <f t="shared" si="22"/>
        <v>0</v>
      </c>
      <c r="ACI96" s="1137">
        <f t="shared" si="22"/>
        <v>0</v>
      </c>
      <c r="ACJ96" s="1137">
        <f t="shared" si="22"/>
        <v>0</v>
      </c>
      <c r="ACK96" s="1137">
        <f t="shared" si="22"/>
        <v>0</v>
      </c>
      <c r="ACL96" s="1137">
        <f t="shared" si="22"/>
        <v>0</v>
      </c>
      <c r="ACM96" s="1137">
        <f t="shared" si="22"/>
        <v>0</v>
      </c>
      <c r="ACN96" s="1137">
        <f t="shared" si="22"/>
        <v>0</v>
      </c>
      <c r="ACO96" s="1137">
        <f t="shared" si="22"/>
        <v>0</v>
      </c>
      <c r="ACP96" s="1137">
        <f t="shared" si="22"/>
        <v>0</v>
      </c>
      <c r="ACQ96" s="1137">
        <f t="shared" si="22"/>
        <v>0</v>
      </c>
      <c r="ACR96" s="1137">
        <f t="shared" si="22"/>
        <v>0</v>
      </c>
      <c r="ACS96" s="1137">
        <f t="shared" si="22"/>
        <v>0</v>
      </c>
      <c r="ACT96" s="1137">
        <f t="shared" si="22"/>
        <v>0</v>
      </c>
      <c r="ACU96" s="1137">
        <f t="shared" si="22"/>
        <v>0</v>
      </c>
      <c r="ACV96" s="1137">
        <f t="shared" si="24"/>
        <v>0</v>
      </c>
      <c r="ACW96" s="1137">
        <f t="shared" si="24"/>
        <v>0</v>
      </c>
      <c r="ACX96" s="1137">
        <f t="shared" si="24"/>
        <v>0</v>
      </c>
      <c r="ACY96" s="1137">
        <f t="shared" si="24"/>
        <v>0</v>
      </c>
      <c r="ACZ96" s="1137">
        <f t="shared" si="24"/>
        <v>0</v>
      </c>
      <c r="ADA96" s="1137">
        <f t="shared" si="24"/>
        <v>0</v>
      </c>
      <c r="ADB96" s="1137">
        <f t="shared" si="16"/>
        <v>0</v>
      </c>
      <c r="ADC96" s="1137">
        <f t="shared" si="16"/>
        <v>0</v>
      </c>
    </row>
    <row r="97" spans="1:783" x14ac:dyDescent="0.25">
      <c r="A97" t="s">
        <v>1894</v>
      </c>
      <c r="B97" t="s">
        <v>1895</v>
      </c>
      <c r="C97">
        <v>0</v>
      </c>
      <c r="D97">
        <v>0</v>
      </c>
      <c r="E97">
        <v>0</v>
      </c>
      <c r="F97">
        <v>0</v>
      </c>
      <c r="G97">
        <v>0</v>
      </c>
      <c r="H97">
        <v>0</v>
      </c>
      <c r="I97">
        <v>0</v>
      </c>
      <c r="J97">
        <v>0</v>
      </c>
      <c r="K97">
        <v>0</v>
      </c>
      <c r="L97">
        <v>0</v>
      </c>
      <c r="M97">
        <v>0</v>
      </c>
      <c r="N97">
        <v>0</v>
      </c>
      <c r="O97">
        <v>0</v>
      </c>
      <c r="P97">
        <v>0</v>
      </c>
      <c r="Q97">
        <v>0</v>
      </c>
      <c r="R97">
        <v>0</v>
      </c>
      <c r="S97">
        <v>0</v>
      </c>
      <c r="T97">
        <v>0</v>
      </c>
      <c r="U97">
        <v>0</v>
      </c>
      <c r="V97">
        <v>0</v>
      </c>
      <c r="W97">
        <v>0</v>
      </c>
      <c r="X97">
        <v>0</v>
      </c>
      <c r="Y97">
        <v>0</v>
      </c>
      <c r="Z97">
        <v>0</v>
      </c>
      <c r="AA97">
        <v>0</v>
      </c>
      <c r="AB97">
        <v>0</v>
      </c>
      <c r="AC97">
        <v>0</v>
      </c>
      <c r="AD97">
        <v>0</v>
      </c>
      <c r="AE97">
        <v>0</v>
      </c>
      <c r="AF97">
        <v>0</v>
      </c>
      <c r="AG97">
        <v>0</v>
      </c>
      <c r="AH97">
        <v>0</v>
      </c>
      <c r="AI97">
        <v>0</v>
      </c>
      <c r="AJ97">
        <v>0</v>
      </c>
      <c r="AK97">
        <v>0</v>
      </c>
      <c r="AL97">
        <v>0</v>
      </c>
      <c r="AM97">
        <v>0</v>
      </c>
      <c r="AN97">
        <v>0</v>
      </c>
      <c r="AO97">
        <v>0</v>
      </c>
      <c r="AP97">
        <v>0</v>
      </c>
      <c r="AQ97">
        <v>0</v>
      </c>
      <c r="AR97">
        <v>0</v>
      </c>
      <c r="AS97">
        <v>0</v>
      </c>
      <c r="AT97">
        <v>0</v>
      </c>
      <c r="AU97">
        <v>0</v>
      </c>
      <c r="AV97">
        <v>0</v>
      </c>
      <c r="AW97">
        <v>0</v>
      </c>
      <c r="AX97">
        <v>0</v>
      </c>
      <c r="AY97">
        <v>0</v>
      </c>
      <c r="AZ97">
        <v>0</v>
      </c>
      <c r="BA97">
        <v>0</v>
      </c>
      <c r="BB97">
        <v>0</v>
      </c>
      <c r="BC97">
        <v>0</v>
      </c>
      <c r="BD97">
        <v>1</v>
      </c>
      <c r="BE97">
        <v>1</v>
      </c>
      <c r="BF97">
        <v>1</v>
      </c>
      <c r="BG97">
        <v>1</v>
      </c>
      <c r="BH97">
        <v>1</v>
      </c>
      <c r="BI97">
        <v>1</v>
      </c>
      <c r="BJ97">
        <v>1</v>
      </c>
      <c r="BK97">
        <v>1</v>
      </c>
      <c r="BL97">
        <v>1</v>
      </c>
      <c r="BM97">
        <v>1</v>
      </c>
      <c r="BN97">
        <v>1</v>
      </c>
      <c r="BO97">
        <v>1</v>
      </c>
      <c r="BP97">
        <v>1</v>
      </c>
      <c r="BQ97">
        <v>1</v>
      </c>
      <c r="BR97">
        <v>1</v>
      </c>
      <c r="BS97">
        <v>1</v>
      </c>
      <c r="BT97">
        <v>1</v>
      </c>
      <c r="BU97">
        <v>1</v>
      </c>
      <c r="BV97">
        <v>1</v>
      </c>
      <c r="BW97">
        <v>1</v>
      </c>
      <c r="BX97">
        <v>1</v>
      </c>
      <c r="BY97">
        <v>1</v>
      </c>
      <c r="BZ97">
        <v>1</v>
      </c>
      <c r="CA97">
        <v>1</v>
      </c>
      <c r="CB97">
        <v>1</v>
      </c>
      <c r="CC97">
        <v>1</v>
      </c>
      <c r="CD97">
        <v>1</v>
      </c>
      <c r="CE97">
        <v>2</v>
      </c>
      <c r="CF97">
        <v>2</v>
      </c>
      <c r="CG97">
        <v>2</v>
      </c>
      <c r="CH97">
        <v>2</v>
      </c>
      <c r="CI97">
        <v>2</v>
      </c>
      <c r="CJ97">
        <v>2</v>
      </c>
      <c r="CK97">
        <v>2</v>
      </c>
      <c r="CL97">
        <v>2</v>
      </c>
      <c r="CM97">
        <v>2</v>
      </c>
      <c r="CN97">
        <v>2</v>
      </c>
      <c r="CO97">
        <v>2</v>
      </c>
      <c r="CP97">
        <v>2</v>
      </c>
      <c r="CQ97">
        <v>2</v>
      </c>
      <c r="CR97">
        <v>2</v>
      </c>
      <c r="CS97">
        <v>2</v>
      </c>
      <c r="CT97">
        <v>2</v>
      </c>
      <c r="CU97">
        <v>2</v>
      </c>
      <c r="CV97">
        <v>2</v>
      </c>
      <c r="CW97">
        <v>2</v>
      </c>
      <c r="CX97">
        <v>2</v>
      </c>
      <c r="CY97">
        <v>2</v>
      </c>
      <c r="CZ97">
        <v>2</v>
      </c>
      <c r="DA97">
        <v>2</v>
      </c>
      <c r="DB97">
        <v>2</v>
      </c>
      <c r="DC97">
        <v>2</v>
      </c>
      <c r="DD97">
        <v>2</v>
      </c>
      <c r="DE97">
        <v>2</v>
      </c>
      <c r="DF97">
        <v>2</v>
      </c>
      <c r="DG97">
        <v>1</v>
      </c>
      <c r="DH97">
        <v>1</v>
      </c>
      <c r="DI97">
        <v>0</v>
      </c>
      <c r="DJ97">
        <v>0</v>
      </c>
      <c r="DK97">
        <v>0</v>
      </c>
      <c r="DL97">
        <v>0</v>
      </c>
      <c r="DM97">
        <v>0</v>
      </c>
      <c r="DN97">
        <v>0</v>
      </c>
      <c r="DO97">
        <v>0</v>
      </c>
      <c r="DP97">
        <v>0</v>
      </c>
      <c r="DQ97">
        <v>0</v>
      </c>
      <c r="DR97">
        <v>0</v>
      </c>
      <c r="DS97">
        <v>0</v>
      </c>
      <c r="DT97">
        <v>0</v>
      </c>
      <c r="DU97">
        <v>0</v>
      </c>
      <c r="DV97">
        <v>0</v>
      </c>
      <c r="DW97">
        <v>0</v>
      </c>
      <c r="DX97">
        <v>0</v>
      </c>
      <c r="DY97">
        <v>0</v>
      </c>
      <c r="DZ97">
        <v>0</v>
      </c>
      <c r="EA97">
        <v>0</v>
      </c>
      <c r="EB97">
        <v>0</v>
      </c>
      <c r="EC97">
        <v>0</v>
      </c>
      <c r="ED97">
        <v>0</v>
      </c>
      <c r="EE97">
        <v>0</v>
      </c>
      <c r="EF97">
        <v>0</v>
      </c>
      <c r="EG97">
        <v>0</v>
      </c>
      <c r="EH97">
        <v>0</v>
      </c>
      <c r="EI97">
        <v>0</v>
      </c>
      <c r="EJ97">
        <v>0</v>
      </c>
      <c r="EK97">
        <v>0</v>
      </c>
      <c r="EL97">
        <v>0</v>
      </c>
      <c r="EM97">
        <v>0</v>
      </c>
      <c r="EN97">
        <v>0</v>
      </c>
      <c r="EO97">
        <v>0</v>
      </c>
      <c r="EP97">
        <v>0</v>
      </c>
      <c r="EQ97">
        <v>0</v>
      </c>
      <c r="ER97">
        <v>0</v>
      </c>
      <c r="ES97">
        <v>0</v>
      </c>
      <c r="ET97">
        <v>0</v>
      </c>
      <c r="EU97">
        <v>0</v>
      </c>
      <c r="EV97">
        <v>1</v>
      </c>
      <c r="EW97">
        <v>1</v>
      </c>
      <c r="EX97">
        <v>1</v>
      </c>
      <c r="EY97">
        <v>1</v>
      </c>
      <c r="EZ97">
        <v>1</v>
      </c>
      <c r="FA97">
        <v>1</v>
      </c>
      <c r="FB97">
        <v>1</v>
      </c>
      <c r="FC97">
        <v>1</v>
      </c>
      <c r="FD97">
        <v>1</v>
      </c>
      <c r="FE97">
        <v>1</v>
      </c>
      <c r="FF97">
        <v>1</v>
      </c>
      <c r="FG97">
        <v>1</v>
      </c>
      <c r="FH97">
        <v>1</v>
      </c>
      <c r="FI97">
        <v>1</v>
      </c>
      <c r="FJ97">
        <v>1</v>
      </c>
      <c r="FK97">
        <v>1</v>
      </c>
      <c r="FL97">
        <v>1</v>
      </c>
      <c r="FM97">
        <v>1</v>
      </c>
      <c r="FN97">
        <v>1</v>
      </c>
      <c r="FO97">
        <v>1</v>
      </c>
      <c r="FP97">
        <v>1</v>
      </c>
      <c r="FQ97">
        <v>1</v>
      </c>
      <c r="FR97">
        <v>1</v>
      </c>
      <c r="FS97">
        <v>1</v>
      </c>
      <c r="FT97">
        <v>1</v>
      </c>
      <c r="FU97">
        <v>1</v>
      </c>
      <c r="FV97">
        <v>1</v>
      </c>
      <c r="FW97">
        <v>1</v>
      </c>
      <c r="FX97">
        <v>1</v>
      </c>
      <c r="FY97">
        <v>1</v>
      </c>
      <c r="FZ97">
        <v>1</v>
      </c>
      <c r="GA97">
        <v>1</v>
      </c>
      <c r="GB97">
        <v>1</v>
      </c>
      <c r="GC97">
        <v>1</v>
      </c>
      <c r="GD97">
        <v>1</v>
      </c>
      <c r="GE97">
        <v>1</v>
      </c>
      <c r="GF97">
        <v>1</v>
      </c>
      <c r="GG97">
        <v>1</v>
      </c>
      <c r="GH97">
        <v>1</v>
      </c>
      <c r="GI97">
        <v>1</v>
      </c>
      <c r="GJ97">
        <v>1</v>
      </c>
      <c r="GK97">
        <v>1</v>
      </c>
      <c r="GL97">
        <v>1</v>
      </c>
      <c r="GM97">
        <v>1</v>
      </c>
      <c r="GN97">
        <v>1</v>
      </c>
      <c r="GO97">
        <v>1</v>
      </c>
      <c r="GP97">
        <v>1</v>
      </c>
      <c r="GQ97">
        <v>1</v>
      </c>
      <c r="GR97">
        <v>1</v>
      </c>
      <c r="GS97">
        <v>1</v>
      </c>
      <c r="GT97">
        <v>1</v>
      </c>
      <c r="GU97">
        <v>1</v>
      </c>
      <c r="GV97">
        <v>1</v>
      </c>
      <c r="GW97">
        <v>1</v>
      </c>
      <c r="GX97">
        <v>1</v>
      </c>
      <c r="GY97">
        <v>1</v>
      </c>
      <c r="GZ97">
        <v>1</v>
      </c>
      <c r="HA97">
        <v>1</v>
      </c>
      <c r="HB97">
        <v>1</v>
      </c>
      <c r="HC97">
        <v>1</v>
      </c>
      <c r="HD97">
        <v>1</v>
      </c>
      <c r="HE97">
        <v>1</v>
      </c>
      <c r="HF97">
        <v>1</v>
      </c>
      <c r="HG97">
        <v>1</v>
      </c>
      <c r="HH97">
        <v>1</v>
      </c>
      <c r="HI97">
        <v>1</v>
      </c>
      <c r="HJ97">
        <v>1</v>
      </c>
      <c r="HK97">
        <v>1</v>
      </c>
      <c r="HL97">
        <v>1</v>
      </c>
      <c r="HM97">
        <v>1</v>
      </c>
      <c r="HN97">
        <v>1</v>
      </c>
      <c r="HO97">
        <v>1</v>
      </c>
      <c r="HP97">
        <v>1</v>
      </c>
      <c r="HQ97">
        <v>1</v>
      </c>
      <c r="HR97">
        <v>1</v>
      </c>
      <c r="HS97">
        <v>1</v>
      </c>
      <c r="HT97">
        <v>1</v>
      </c>
      <c r="HU97">
        <v>1</v>
      </c>
      <c r="HV97">
        <v>1</v>
      </c>
      <c r="HW97">
        <v>1</v>
      </c>
      <c r="HX97">
        <v>1</v>
      </c>
      <c r="HY97">
        <v>1</v>
      </c>
      <c r="HZ97">
        <v>1</v>
      </c>
      <c r="IA97">
        <v>1</v>
      </c>
      <c r="IB97">
        <v>1</v>
      </c>
      <c r="IC97">
        <v>1</v>
      </c>
      <c r="ID97">
        <v>1</v>
      </c>
      <c r="IE97">
        <v>1</v>
      </c>
      <c r="IF97">
        <v>1</v>
      </c>
      <c r="IG97">
        <v>1</v>
      </c>
      <c r="IH97">
        <v>1</v>
      </c>
      <c r="II97">
        <v>1</v>
      </c>
      <c r="IJ97">
        <v>1</v>
      </c>
      <c r="IK97">
        <v>1</v>
      </c>
      <c r="IL97">
        <v>1</v>
      </c>
      <c r="IM97">
        <v>1</v>
      </c>
      <c r="IN97">
        <v>1</v>
      </c>
      <c r="IO97">
        <v>1</v>
      </c>
      <c r="IP97">
        <v>1</v>
      </c>
      <c r="IQ97">
        <v>1</v>
      </c>
      <c r="IR97">
        <v>1</v>
      </c>
      <c r="IS97">
        <v>1</v>
      </c>
      <c r="IT97">
        <v>1</v>
      </c>
      <c r="IU97">
        <v>1</v>
      </c>
      <c r="IV97">
        <v>1</v>
      </c>
      <c r="IW97">
        <v>1</v>
      </c>
      <c r="IX97">
        <v>1</v>
      </c>
      <c r="IY97">
        <v>1</v>
      </c>
      <c r="IZ97">
        <v>1</v>
      </c>
      <c r="JA97">
        <v>1</v>
      </c>
      <c r="JB97">
        <v>1</v>
      </c>
      <c r="JC97">
        <v>1</v>
      </c>
      <c r="JD97">
        <v>1</v>
      </c>
      <c r="JE97">
        <v>1</v>
      </c>
      <c r="JF97">
        <v>1</v>
      </c>
      <c r="JG97">
        <v>1</v>
      </c>
      <c r="JH97">
        <v>1</v>
      </c>
      <c r="JI97">
        <v>1</v>
      </c>
      <c r="JJ97">
        <v>1</v>
      </c>
      <c r="JK97">
        <v>1</v>
      </c>
      <c r="JL97">
        <v>1</v>
      </c>
      <c r="JM97">
        <v>1</v>
      </c>
      <c r="JN97">
        <v>2</v>
      </c>
      <c r="JO97">
        <v>2</v>
      </c>
      <c r="JP97">
        <v>2</v>
      </c>
      <c r="JQ97">
        <v>2</v>
      </c>
      <c r="JR97">
        <v>2</v>
      </c>
      <c r="JS97">
        <v>2</v>
      </c>
      <c r="JT97">
        <v>2</v>
      </c>
      <c r="JU97">
        <v>2</v>
      </c>
      <c r="JV97">
        <v>2</v>
      </c>
      <c r="JW97">
        <v>2</v>
      </c>
      <c r="JX97">
        <v>2</v>
      </c>
      <c r="JY97">
        <v>2</v>
      </c>
      <c r="JZ97">
        <v>2</v>
      </c>
      <c r="KA97">
        <v>2</v>
      </c>
      <c r="KB97">
        <v>2</v>
      </c>
      <c r="KC97">
        <v>2</v>
      </c>
      <c r="KD97">
        <v>2</v>
      </c>
      <c r="KE97">
        <v>2</v>
      </c>
      <c r="KF97">
        <v>2</v>
      </c>
      <c r="KG97">
        <v>2</v>
      </c>
      <c r="KH97">
        <v>2</v>
      </c>
      <c r="KI97">
        <v>2</v>
      </c>
      <c r="KJ97">
        <v>2</v>
      </c>
      <c r="KK97">
        <v>2</v>
      </c>
      <c r="KL97">
        <v>2</v>
      </c>
      <c r="KM97">
        <v>2</v>
      </c>
      <c r="KN97">
        <v>2</v>
      </c>
      <c r="KO97">
        <v>2</v>
      </c>
      <c r="KP97">
        <v>2</v>
      </c>
      <c r="KQ97">
        <v>2</v>
      </c>
      <c r="KR97">
        <v>2</v>
      </c>
      <c r="KS97">
        <v>2</v>
      </c>
      <c r="KT97">
        <v>2</v>
      </c>
      <c r="KU97">
        <v>2</v>
      </c>
      <c r="KV97">
        <v>2</v>
      </c>
      <c r="KW97">
        <v>2</v>
      </c>
      <c r="KX97">
        <v>2</v>
      </c>
      <c r="KY97">
        <v>2</v>
      </c>
      <c r="KZ97">
        <v>2</v>
      </c>
      <c r="LA97">
        <v>2</v>
      </c>
      <c r="LB97">
        <v>2</v>
      </c>
      <c r="LC97">
        <v>2</v>
      </c>
      <c r="LD97">
        <v>2</v>
      </c>
      <c r="LE97">
        <v>2</v>
      </c>
      <c r="LF97">
        <v>2</v>
      </c>
      <c r="LG97">
        <v>2</v>
      </c>
      <c r="LH97">
        <v>2</v>
      </c>
      <c r="LI97">
        <v>2</v>
      </c>
      <c r="LJ97">
        <v>2</v>
      </c>
      <c r="LK97">
        <v>2</v>
      </c>
      <c r="LL97">
        <v>2</v>
      </c>
      <c r="LM97">
        <v>2</v>
      </c>
      <c r="LN97">
        <v>2</v>
      </c>
      <c r="LO97">
        <v>2</v>
      </c>
      <c r="LP97">
        <v>2</v>
      </c>
      <c r="LQ97">
        <v>2</v>
      </c>
      <c r="LR97">
        <v>2</v>
      </c>
      <c r="LS97">
        <v>2</v>
      </c>
      <c r="LT97">
        <v>2</v>
      </c>
      <c r="LU97">
        <v>2</v>
      </c>
      <c r="LV97">
        <v>2</v>
      </c>
      <c r="LW97">
        <v>2</v>
      </c>
      <c r="LX97">
        <v>2</v>
      </c>
      <c r="LY97">
        <v>2</v>
      </c>
      <c r="LZ97">
        <v>2</v>
      </c>
      <c r="MA97">
        <v>2</v>
      </c>
      <c r="MB97">
        <v>2</v>
      </c>
      <c r="MC97">
        <v>2</v>
      </c>
      <c r="MD97">
        <v>2</v>
      </c>
      <c r="ME97">
        <v>2</v>
      </c>
      <c r="MF97">
        <v>2</v>
      </c>
      <c r="MG97">
        <v>2</v>
      </c>
      <c r="MH97">
        <v>2</v>
      </c>
      <c r="MI97">
        <v>2</v>
      </c>
      <c r="MJ97">
        <v>2</v>
      </c>
      <c r="MK97">
        <v>2</v>
      </c>
      <c r="ML97">
        <v>2</v>
      </c>
      <c r="MM97">
        <v>2</v>
      </c>
      <c r="MN97">
        <v>2</v>
      </c>
      <c r="MO97">
        <v>2</v>
      </c>
      <c r="MP97">
        <v>2</v>
      </c>
      <c r="MQ97">
        <v>2</v>
      </c>
      <c r="MR97">
        <v>2</v>
      </c>
      <c r="MS97">
        <v>2</v>
      </c>
      <c r="MT97">
        <v>2</v>
      </c>
      <c r="MU97">
        <v>2</v>
      </c>
      <c r="MV97">
        <v>2</v>
      </c>
      <c r="MW97">
        <v>2</v>
      </c>
      <c r="MX97">
        <v>2</v>
      </c>
      <c r="MY97">
        <v>2</v>
      </c>
      <c r="MZ97">
        <v>2</v>
      </c>
      <c r="NA97">
        <v>2</v>
      </c>
      <c r="NB97">
        <v>2</v>
      </c>
      <c r="NC97">
        <v>2</v>
      </c>
      <c r="ND97">
        <v>2</v>
      </c>
      <c r="NE97">
        <v>1</v>
      </c>
      <c r="NF97">
        <v>1</v>
      </c>
      <c r="NG97">
        <v>1</v>
      </c>
      <c r="NH97">
        <v>1</v>
      </c>
      <c r="NI97">
        <v>1</v>
      </c>
      <c r="NJ97">
        <v>1</v>
      </c>
      <c r="NK97">
        <v>1</v>
      </c>
      <c r="NL97">
        <v>1</v>
      </c>
      <c r="NM97">
        <v>1</v>
      </c>
      <c r="NN97">
        <v>1</v>
      </c>
      <c r="NO97">
        <v>1</v>
      </c>
      <c r="NP97">
        <v>1</v>
      </c>
      <c r="NQ97">
        <v>1</v>
      </c>
      <c r="NR97">
        <v>1</v>
      </c>
      <c r="NS97">
        <v>1</v>
      </c>
      <c r="NT97">
        <v>1</v>
      </c>
      <c r="NU97">
        <v>1</v>
      </c>
      <c r="NV97">
        <v>1</v>
      </c>
      <c r="NW97">
        <v>1</v>
      </c>
      <c r="NX97">
        <v>1</v>
      </c>
      <c r="NY97">
        <v>1</v>
      </c>
      <c r="NZ97">
        <v>1</v>
      </c>
      <c r="OA97">
        <v>1</v>
      </c>
      <c r="OB97">
        <v>1</v>
      </c>
      <c r="OC97">
        <v>1</v>
      </c>
      <c r="OD97">
        <v>1</v>
      </c>
      <c r="OE97">
        <v>1</v>
      </c>
      <c r="OF97">
        <v>1</v>
      </c>
      <c r="OG97">
        <v>1</v>
      </c>
      <c r="OH97">
        <v>1</v>
      </c>
      <c r="OI97">
        <v>1</v>
      </c>
      <c r="OJ97">
        <v>1</v>
      </c>
      <c r="OK97">
        <v>1</v>
      </c>
      <c r="OL97">
        <v>1</v>
      </c>
      <c r="OM97">
        <v>1</v>
      </c>
      <c r="ON97">
        <v>1</v>
      </c>
      <c r="OO97">
        <v>1</v>
      </c>
      <c r="OP97">
        <v>1</v>
      </c>
      <c r="OQ97">
        <v>1</v>
      </c>
      <c r="OR97">
        <v>1</v>
      </c>
      <c r="OS97">
        <v>1</v>
      </c>
      <c r="OT97">
        <v>1</v>
      </c>
      <c r="OU97">
        <v>1</v>
      </c>
      <c r="OV97">
        <v>1</v>
      </c>
      <c r="OW97">
        <v>1</v>
      </c>
      <c r="OX97">
        <v>1</v>
      </c>
      <c r="OY97">
        <v>1</v>
      </c>
      <c r="OZ97">
        <v>1</v>
      </c>
      <c r="PA97">
        <v>1</v>
      </c>
      <c r="PB97">
        <v>1</v>
      </c>
      <c r="PC97">
        <v>1</v>
      </c>
      <c r="PD97">
        <v>1</v>
      </c>
      <c r="PE97">
        <v>1</v>
      </c>
      <c r="PF97">
        <v>1</v>
      </c>
      <c r="PG97">
        <v>1</v>
      </c>
      <c r="PH97">
        <v>1</v>
      </c>
      <c r="PI97">
        <v>1</v>
      </c>
      <c r="PJ97">
        <v>1</v>
      </c>
      <c r="PK97">
        <v>1</v>
      </c>
      <c r="PL97">
        <v>1</v>
      </c>
      <c r="PM97">
        <v>1</v>
      </c>
      <c r="PN97">
        <v>1</v>
      </c>
      <c r="PO97">
        <v>1</v>
      </c>
      <c r="PP97">
        <v>1</v>
      </c>
      <c r="PQ97">
        <v>1</v>
      </c>
      <c r="PR97">
        <v>1</v>
      </c>
      <c r="PS97">
        <v>1</v>
      </c>
      <c r="PT97">
        <v>1</v>
      </c>
      <c r="PU97">
        <v>1</v>
      </c>
      <c r="PV97">
        <v>1</v>
      </c>
      <c r="PW97">
        <v>1</v>
      </c>
      <c r="PX97">
        <v>1</v>
      </c>
      <c r="PY97">
        <v>1</v>
      </c>
      <c r="PZ97">
        <v>1</v>
      </c>
      <c r="QA97">
        <v>1</v>
      </c>
      <c r="QB97">
        <v>1</v>
      </c>
      <c r="QC97">
        <v>1</v>
      </c>
      <c r="QD97">
        <v>1</v>
      </c>
      <c r="QE97">
        <v>1</v>
      </c>
      <c r="QF97">
        <v>1</v>
      </c>
      <c r="QG97">
        <v>1</v>
      </c>
      <c r="QH97">
        <v>1</v>
      </c>
      <c r="QI97">
        <v>1</v>
      </c>
      <c r="QJ97">
        <v>1</v>
      </c>
      <c r="QK97">
        <v>1</v>
      </c>
      <c r="QL97">
        <v>1</v>
      </c>
      <c r="QM97">
        <v>1</v>
      </c>
      <c r="QN97">
        <v>1</v>
      </c>
      <c r="QO97">
        <v>1</v>
      </c>
      <c r="QP97">
        <v>1</v>
      </c>
      <c r="QQ97">
        <v>1</v>
      </c>
      <c r="QR97">
        <v>1</v>
      </c>
      <c r="QS97">
        <v>1</v>
      </c>
      <c r="QT97">
        <v>1</v>
      </c>
      <c r="QU97">
        <v>1</v>
      </c>
      <c r="QV97">
        <v>1</v>
      </c>
      <c r="QW97">
        <v>1</v>
      </c>
      <c r="QX97">
        <v>1</v>
      </c>
      <c r="QY97">
        <v>1</v>
      </c>
      <c r="QZ97">
        <v>1</v>
      </c>
      <c r="RA97">
        <v>1</v>
      </c>
      <c r="RB97">
        <v>1</v>
      </c>
      <c r="RC97">
        <v>1</v>
      </c>
      <c r="RD97">
        <v>1</v>
      </c>
      <c r="RE97">
        <v>1</v>
      </c>
      <c r="RF97">
        <v>1</v>
      </c>
      <c r="RG97">
        <v>1</v>
      </c>
      <c r="RH97">
        <v>1</v>
      </c>
      <c r="RI97">
        <v>1</v>
      </c>
      <c r="RJ97">
        <v>1</v>
      </c>
      <c r="RK97">
        <v>1</v>
      </c>
      <c r="RL97">
        <v>1</v>
      </c>
      <c r="RM97">
        <v>1</v>
      </c>
      <c r="RN97">
        <v>1</v>
      </c>
      <c r="RO97">
        <v>1</v>
      </c>
      <c r="RP97">
        <v>1</v>
      </c>
      <c r="RQ97">
        <v>1</v>
      </c>
      <c r="RR97">
        <v>1</v>
      </c>
      <c r="RS97">
        <v>1</v>
      </c>
      <c r="RT97">
        <v>1</v>
      </c>
      <c r="RU97">
        <v>1</v>
      </c>
      <c r="RV97">
        <v>1</v>
      </c>
      <c r="RW97">
        <v>1</v>
      </c>
      <c r="RX97">
        <v>1</v>
      </c>
      <c r="RY97">
        <v>1</v>
      </c>
      <c r="RZ97">
        <v>1</v>
      </c>
      <c r="SA97">
        <v>1</v>
      </c>
      <c r="SB97">
        <v>1</v>
      </c>
      <c r="SC97">
        <v>1</v>
      </c>
      <c r="SD97">
        <v>1</v>
      </c>
      <c r="SE97">
        <v>1</v>
      </c>
      <c r="SF97">
        <v>1</v>
      </c>
      <c r="SG97">
        <v>1</v>
      </c>
      <c r="SH97">
        <v>1</v>
      </c>
      <c r="SI97">
        <v>1</v>
      </c>
      <c r="SJ97">
        <v>1</v>
      </c>
      <c r="SK97">
        <v>1</v>
      </c>
      <c r="SL97">
        <v>1</v>
      </c>
      <c r="SM97">
        <v>1</v>
      </c>
      <c r="SN97">
        <v>1</v>
      </c>
      <c r="SO97">
        <v>1</v>
      </c>
      <c r="SP97">
        <v>1</v>
      </c>
      <c r="SQ97">
        <v>1</v>
      </c>
      <c r="SR97">
        <v>1</v>
      </c>
      <c r="SS97">
        <v>1</v>
      </c>
      <c r="ST97">
        <v>1</v>
      </c>
      <c r="SU97">
        <v>1</v>
      </c>
      <c r="SV97">
        <v>1</v>
      </c>
      <c r="SW97">
        <v>1</v>
      </c>
      <c r="SX97">
        <v>1</v>
      </c>
      <c r="SY97">
        <v>1</v>
      </c>
      <c r="SZ97">
        <v>1</v>
      </c>
      <c r="TA97">
        <v>1</v>
      </c>
      <c r="TB97">
        <v>1</v>
      </c>
      <c r="TC97">
        <v>1</v>
      </c>
      <c r="TD97">
        <v>1</v>
      </c>
      <c r="TE97">
        <v>1</v>
      </c>
      <c r="TF97">
        <v>1</v>
      </c>
      <c r="TG97">
        <v>1</v>
      </c>
      <c r="TH97">
        <v>1</v>
      </c>
      <c r="TI97">
        <v>1</v>
      </c>
      <c r="TJ97">
        <v>1</v>
      </c>
      <c r="TK97">
        <v>1</v>
      </c>
      <c r="TL97">
        <v>1</v>
      </c>
      <c r="TM97">
        <v>1</v>
      </c>
      <c r="TN97">
        <v>1</v>
      </c>
      <c r="TO97">
        <v>1</v>
      </c>
      <c r="TP97">
        <v>1</v>
      </c>
      <c r="TQ97">
        <v>1</v>
      </c>
      <c r="TR97">
        <v>1</v>
      </c>
      <c r="TS97">
        <v>1</v>
      </c>
      <c r="TT97">
        <v>1</v>
      </c>
      <c r="TU97">
        <v>1</v>
      </c>
      <c r="TV97">
        <v>1</v>
      </c>
      <c r="TW97">
        <v>1</v>
      </c>
      <c r="TX97">
        <v>1</v>
      </c>
      <c r="TY97">
        <v>1</v>
      </c>
      <c r="TZ97">
        <v>1</v>
      </c>
      <c r="UA97">
        <v>1</v>
      </c>
      <c r="UB97">
        <v>1</v>
      </c>
      <c r="UC97">
        <v>1</v>
      </c>
      <c r="UD97">
        <v>0</v>
      </c>
      <c r="UE97">
        <v>0</v>
      </c>
      <c r="UF97">
        <v>0</v>
      </c>
      <c r="UG97">
        <v>0</v>
      </c>
      <c r="UH97">
        <v>0</v>
      </c>
      <c r="UI97">
        <v>0</v>
      </c>
      <c r="UJ97">
        <v>0</v>
      </c>
      <c r="UK97">
        <v>0</v>
      </c>
      <c r="UL97">
        <v>0</v>
      </c>
      <c r="UM97">
        <v>0</v>
      </c>
      <c r="UN97">
        <v>0</v>
      </c>
      <c r="UO97">
        <v>0</v>
      </c>
      <c r="UP97">
        <v>0</v>
      </c>
      <c r="UQ97">
        <v>0</v>
      </c>
      <c r="UR97">
        <v>0</v>
      </c>
      <c r="US97">
        <v>0</v>
      </c>
      <c r="UT97">
        <v>0</v>
      </c>
      <c r="UU97">
        <v>0</v>
      </c>
      <c r="UV97">
        <v>0</v>
      </c>
      <c r="UW97">
        <v>0</v>
      </c>
      <c r="UX97">
        <v>0</v>
      </c>
      <c r="UY97">
        <v>0</v>
      </c>
      <c r="UZ97">
        <v>0</v>
      </c>
      <c r="VA97">
        <v>0</v>
      </c>
      <c r="VB97">
        <v>0</v>
      </c>
      <c r="VC97">
        <v>0</v>
      </c>
      <c r="VD97">
        <v>0</v>
      </c>
      <c r="VE97">
        <v>0</v>
      </c>
      <c r="VF97">
        <v>0</v>
      </c>
      <c r="VG97">
        <v>0</v>
      </c>
      <c r="VH97">
        <v>0</v>
      </c>
      <c r="VI97">
        <v>0</v>
      </c>
      <c r="VJ97">
        <v>0</v>
      </c>
      <c r="VK97">
        <v>0</v>
      </c>
      <c r="VL97">
        <v>0</v>
      </c>
      <c r="VM97">
        <v>0</v>
      </c>
      <c r="VN97">
        <v>0</v>
      </c>
      <c r="VO97">
        <v>0</v>
      </c>
      <c r="VP97">
        <v>0</v>
      </c>
      <c r="VQ97">
        <v>0</v>
      </c>
      <c r="VR97">
        <v>0</v>
      </c>
      <c r="VS97">
        <v>0</v>
      </c>
      <c r="VT97">
        <v>0</v>
      </c>
      <c r="VU97">
        <v>0</v>
      </c>
      <c r="VV97">
        <v>0</v>
      </c>
      <c r="VW97">
        <v>0</v>
      </c>
      <c r="VX97">
        <v>0</v>
      </c>
      <c r="VY97">
        <v>0</v>
      </c>
      <c r="VZ97">
        <v>0</v>
      </c>
      <c r="WA97">
        <v>0</v>
      </c>
      <c r="WB97">
        <v>0</v>
      </c>
      <c r="WC97">
        <v>0</v>
      </c>
      <c r="WD97">
        <v>0</v>
      </c>
      <c r="WE97">
        <v>0</v>
      </c>
      <c r="WF97">
        <v>0</v>
      </c>
      <c r="WG97">
        <v>0</v>
      </c>
      <c r="WH97">
        <v>0</v>
      </c>
      <c r="WI97">
        <v>0</v>
      </c>
      <c r="WJ97">
        <v>0</v>
      </c>
      <c r="WK97">
        <v>0</v>
      </c>
      <c r="WL97">
        <v>0</v>
      </c>
      <c r="WM97">
        <v>0</v>
      </c>
      <c r="WN97">
        <v>0</v>
      </c>
      <c r="WO97">
        <v>0</v>
      </c>
      <c r="WP97">
        <v>0</v>
      </c>
      <c r="WQ97">
        <v>0</v>
      </c>
      <c r="WR97">
        <v>0</v>
      </c>
      <c r="WS97">
        <v>0</v>
      </c>
      <c r="WT97">
        <v>0</v>
      </c>
      <c r="WU97">
        <v>0</v>
      </c>
      <c r="WV97">
        <v>0</v>
      </c>
      <c r="WW97">
        <v>0</v>
      </c>
      <c r="WX97">
        <v>0</v>
      </c>
      <c r="WY97">
        <v>0</v>
      </c>
      <c r="WZ97">
        <v>0</v>
      </c>
      <c r="XA97">
        <v>0</v>
      </c>
      <c r="XB97">
        <v>0</v>
      </c>
      <c r="XC97">
        <v>0</v>
      </c>
      <c r="XD97">
        <v>0</v>
      </c>
      <c r="XE97">
        <v>0</v>
      </c>
      <c r="XF97">
        <v>0</v>
      </c>
      <c r="XG97">
        <v>0</v>
      </c>
      <c r="XH97">
        <v>0</v>
      </c>
      <c r="XI97">
        <v>0</v>
      </c>
      <c r="XJ97">
        <v>0</v>
      </c>
      <c r="XK97">
        <v>0</v>
      </c>
      <c r="XL97">
        <v>0</v>
      </c>
      <c r="XM97">
        <v>0</v>
      </c>
      <c r="XN97">
        <v>0</v>
      </c>
      <c r="XO97">
        <v>0</v>
      </c>
      <c r="XP97">
        <v>0</v>
      </c>
      <c r="XQ97">
        <v>0</v>
      </c>
      <c r="XR97">
        <v>0</v>
      </c>
      <c r="XS97">
        <v>0</v>
      </c>
      <c r="XT97">
        <v>0</v>
      </c>
      <c r="XU97">
        <v>0</v>
      </c>
      <c r="XV97">
        <v>0</v>
      </c>
      <c r="XW97">
        <v>0</v>
      </c>
      <c r="XX97">
        <v>0</v>
      </c>
      <c r="XY97">
        <v>0</v>
      </c>
      <c r="XZ97">
        <v>0</v>
      </c>
      <c r="YA97">
        <v>0</v>
      </c>
      <c r="YB97">
        <v>0</v>
      </c>
      <c r="YC97">
        <v>0</v>
      </c>
      <c r="YD97">
        <v>0</v>
      </c>
      <c r="YE97">
        <v>0</v>
      </c>
      <c r="YF97">
        <v>0</v>
      </c>
      <c r="YG97">
        <v>0</v>
      </c>
      <c r="YH97">
        <v>0</v>
      </c>
      <c r="YI97">
        <v>0</v>
      </c>
      <c r="YJ97">
        <v>0</v>
      </c>
      <c r="YK97">
        <v>0</v>
      </c>
      <c r="YL97">
        <v>0</v>
      </c>
      <c r="YM97">
        <v>0</v>
      </c>
      <c r="YN97">
        <v>0</v>
      </c>
      <c r="YO97">
        <v>0</v>
      </c>
      <c r="YP97">
        <v>0</v>
      </c>
      <c r="YQ97">
        <v>0</v>
      </c>
      <c r="YR97">
        <v>0</v>
      </c>
      <c r="YS97">
        <v>0</v>
      </c>
      <c r="YT97">
        <v>0</v>
      </c>
      <c r="YU97">
        <v>0</v>
      </c>
      <c r="YV97">
        <v>0</v>
      </c>
      <c r="YW97">
        <v>0</v>
      </c>
      <c r="YX97">
        <v>0</v>
      </c>
      <c r="YY97">
        <v>0</v>
      </c>
      <c r="YZ97">
        <v>0</v>
      </c>
      <c r="ZA97">
        <v>0</v>
      </c>
      <c r="ZB97">
        <v>0</v>
      </c>
      <c r="ZC97">
        <v>0</v>
      </c>
      <c r="ZD97">
        <v>0</v>
      </c>
      <c r="ZE97">
        <v>0</v>
      </c>
      <c r="ZF97">
        <v>0</v>
      </c>
      <c r="ZG97">
        <v>0</v>
      </c>
      <c r="ZH97">
        <v>0</v>
      </c>
      <c r="ZI97">
        <v>0</v>
      </c>
      <c r="ZJ97">
        <v>0</v>
      </c>
      <c r="ZK97">
        <v>0</v>
      </c>
      <c r="ZL97">
        <v>0</v>
      </c>
      <c r="ZM97">
        <v>0</v>
      </c>
      <c r="ZN97">
        <v>0</v>
      </c>
      <c r="ZO97">
        <v>0</v>
      </c>
      <c r="ZP97">
        <v>0</v>
      </c>
      <c r="ZQ97">
        <v>0</v>
      </c>
      <c r="ZR97">
        <v>0</v>
      </c>
      <c r="ZS97">
        <v>0</v>
      </c>
      <c r="ZT97">
        <v>0</v>
      </c>
      <c r="ZU97">
        <v>0</v>
      </c>
      <c r="ZV97">
        <v>0</v>
      </c>
      <c r="ZW97">
        <v>0</v>
      </c>
      <c r="ZX97">
        <v>0</v>
      </c>
      <c r="ZY97">
        <v>0</v>
      </c>
      <c r="ZZ97">
        <v>0</v>
      </c>
      <c r="AAA97">
        <v>0</v>
      </c>
      <c r="AAB97">
        <v>0</v>
      </c>
      <c r="AAC97">
        <v>0</v>
      </c>
      <c r="AAD97">
        <v>0</v>
      </c>
      <c r="AAE97">
        <v>0</v>
      </c>
      <c r="AAF97">
        <v>0</v>
      </c>
      <c r="AAG97">
        <v>0</v>
      </c>
      <c r="AAH97">
        <v>0</v>
      </c>
      <c r="AAI97">
        <v>0</v>
      </c>
      <c r="AAJ97">
        <v>0</v>
      </c>
      <c r="AAK97">
        <v>0</v>
      </c>
      <c r="AAL97">
        <v>0</v>
      </c>
      <c r="AAM97">
        <v>0</v>
      </c>
      <c r="AAN97">
        <v>0</v>
      </c>
      <c r="AAO97">
        <v>0</v>
      </c>
      <c r="AAP97">
        <v>0</v>
      </c>
      <c r="AAQ97">
        <v>0</v>
      </c>
      <c r="AAR97">
        <v>0</v>
      </c>
      <c r="AAS97">
        <v>0</v>
      </c>
      <c r="AAT97">
        <v>0</v>
      </c>
      <c r="AAU97">
        <v>0</v>
      </c>
      <c r="AAV97">
        <v>0</v>
      </c>
      <c r="AAW97">
        <v>0</v>
      </c>
      <c r="AAX97">
        <v>0</v>
      </c>
      <c r="AAY97">
        <v>0</v>
      </c>
      <c r="AAZ97">
        <v>0</v>
      </c>
      <c r="ABA97">
        <v>0</v>
      </c>
      <c r="ABB97">
        <v>0</v>
      </c>
      <c r="ABC97">
        <v>0</v>
      </c>
      <c r="ABD97">
        <v>0</v>
      </c>
      <c r="ABE97">
        <v>0</v>
      </c>
      <c r="ABG97" s="1137">
        <f t="shared" si="21"/>
        <v>0</v>
      </c>
      <c r="ABH97" s="1137">
        <f t="shared" si="21"/>
        <v>7</v>
      </c>
      <c r="ABI97" s="1137">
        <f t="shared" si="21"/>
        <v>31</v>
      </c>
      <c r="ABJ97" s="1137">
        <f t="shared" si="21"/>
        <v>19</v>
      </c>
      <c r="ABK97" s="1137">
        <f t="shared" si="21"/>
        <v>3</v>
      </c>
      <c r="ABL97" s="1137">
        <f t="shared" si="21"/>
        <v>30</v>
      </c>
      <c r="ABM97" s="1137">
        <f t="shared" si="21"/>
        <v>31</v>
      </c>
      <c r="ABN97" s="1137">
        <f t="shared" si="21"/>
        <v>31</v>
      </c>
      <c r="ABO97" s="1137">
        <f t="shared" si="21"/>
        <v>30</v>
      </c>
      <c r="ABP97" s="1137">
        <f t="shared" si="21"/>
        <v>31</v>
      </c>
      <c r="ABQ97" s="1137">
        <f t="shared" si="21"/>
        <v>30</v>
      </c>
      <c r="ABR97" s="1137">
        <f t="shared" si="21"/>
        <v>31</v>
      </c>
      <c r="ABS97" s="1137">
        <f t="shared" si="21"/>
        <v>31</v>
      </c>
      <c r="ABT97" s="1137">
        <f t="shared" si="21"/>
        <v>28</v>
      </c>
      <c r="ABU97" s="1137">
        <f t="shared" si="21"/>
        <v>31</v>
      </c>
      <c r="ABV97" s="1137">
        <f t="shared" si="21"/>
        <v>30</v>
      </c>
      <c r="ABW97" s="1137">
        <f t="shared" si="17"/>
        <v>31</v>
      </c>
      <c r="ABX97" s="1137">
        <f t="shared" si="23"/>
        <v>30</v>
      </c>
      <c r="ABY97" s="1137">
        <f t="shared" si="23"/>
        <v>0</v>
      </c>
      <c r="ABZ97" s="1137">
        <f t="shared" si="23"/>
        <v>0</v>
      </c>
      <c r="ACA97" s="1137">
        <f t="shared" si="23"/>
        <v>0</v>
      </c>
      <c r="ACB97" s="1137">
        <f t="shared" si="23"/>
        <v>0</v>
      </c>
      <c r="ACC97" s="1137">
        <f t="shared" si="23"/>
        <v>0</v>
      </c>
      <c r="ACD97" s="1137">
        <f t="shared" si="23"/>
        <v>0</v>
      </c>
      <c r="ACE97" s="1137" t="s">
        <v>1895</v>
      </c>
      <c r="ACF97" s="1137">
        <f t="shared" si="22"/>
        <v>0</v>
      </c>
      <c r="ACG97" s="1137">
        <f t="shared" si="22"/>
        <v>0</v>
      </c>
      <c r="ACH97" s="1137">
        <f t="shared" si="22"/>
        <v>1</v>
      </c>
      <c r="ACI97" s="1137">
        <f t="shared" si="22"/>
        <v>1</v>
      </c>
      <c r="ACJ97" s="1137">
        <f t="shared" si="22"/>
        <v>0</v>
      </c>
      <c r="ACK97" s="1137">
        <f t="shared" si="22"/>
        <v>1</v>
      </c>
      <c r="ACL97" s="1137">
        <f t="shared" si="22"/>
        <v>1</v>
      </c>
      <c r="ACM97" s="1137">
        <f t="shared" si="22"/>
        <v>1</v>
      </c>
      <c r="ACN97" s="1137">
        <f t="shared" si="22"/>
        <v>1</v>
      </c>
      <c r="ACO97" s="1137">
        <f t="shared" si="22"/>
        <v>1</v>
      </c>
      <c r="ACP97" s="1137">
        <f t="shared" si="22"/>
        <v>1</v>
      </c>
      <c r="ACQ97" s="1137">
        <f t="shared" si="22"/>
        <v>1</v>
      </c>
      <c r="ACR97" s="1137">
        <f t="shared" si="22"/>
        <v>1</v>
      </c>
      <c r="ACS97" s="1137">
        <f t="shared" si="22"/>
        <v>1</v>
      </c>
      <c r="ACT97" s="1137">
        <f t="shared" si="22"/>
        <v>1</v>
      </c>
      <c r="ACU97" s="1137">
        <f t="shared" si="22"/>
        <v>1</v>
      </c>
      <c r="ACV97" s="1137">
        <f t="shared" si="24"/>
        <v>1</v>
      </c>
      <c r="ACW97" s="1137">
        <f t="shared" si="24"/>
        <v>1</v>
      </c>
      <c r="ACX97" s="1137">
        <f t="shared" si="24"/>
        <v>0</v>
      </c>
      <c r="ACY97" s="1137">
        <f t="shared" si="24"/>
        <v>0</v>
      </c>
      <c r="ACZ97" s="1137">
        <f t="shared" si="24"/>
        <v>0</v>
      </c>
      <c r="ADA97" s="1137">
        <f t="shared" si="24"/>
        <v>0</v>
      </c>
      <c r="ADB97" s="1137">
        <f t="shared" si="16"/>
        <v>0</v>
      </c>
      <c r="ADC97" s="1137">
        <f t="shared" si="16"/>
        <v>0</v>
      </c>
    </row>
    <row r="98" spans="1:783" x14ac:dyDescent="0.25">
      <c r="A98" t="s">
        <v>1896</v>
      </c>
      <c r="B98" t="s">
        <v>206</v>
      </c>
      <c r="C98">
        <v>0</v>
      </c>
      <c r="D98">
        <v>0</v>
      </c>
      <c r="E98">
        <v>0</v>
      </c>
      <c r="F98">
        <v>0</v>
      </c>
      <c r="G98">
        <v>0</v>
      </c>
      <c r="H98">
        <v>0</v>
      </c>
      <c r="I98">
        <v>0</v>
      </c>
      <c r="J98">
        <v>0</v>
      </c>
      <c r="K98">
        <v>0</v>
      </c>
      <c r="L98">
        <v>0</v>
      </c>
      <c r="M98">
        <v>0</v>
      </c>
      <c r="N98">
        <v>0</v>
      </c>
      <c r="O98">
        <v>0</v>
      </c>
      <c r="P98">
        <v>0</v>
      </c>
      <c r="Q98">
        <v>0</v>
      </c>
      <c r="R98">
        <v>0</v>
      </c>
      <c r="S98">
        <v>0</v>
      </c>
      <c r="T98">
        <v>0</v>
      </c>
      <c r="U98">
        <v>0</v>
      </c>
      <c r="V98">
        <v>0</v>
      </c>
      <c r="W98">
        <v>0</v>
      </c>
      <c r="X98">
        <v>0</v>
      </c>
      <c r="Y98">
        <v>0</v>
      </c>
      <c r="Z98">
        <v>0</v>
      </c>
      <c r="AA98">
        <v>0</v>
      </c>
      <c r="AB98">
        <v>0</v>
      </c>
      <c r="AC98">
        <v>0</v>
      </c>
      <c r="AD98">
        <v>0</v>
      </c>
      <c r="AE98">
        <v>0</v>
      </c>
      <c r="AF98">
        <v>0</v>
      </c>
      <c r="AG98">
        <v>0</v>
      </c>
      <c r="AH98">
        <v>0</v>
      </c>
      <c r="AI98">
        <v>0</v>
      </c>
      <c r="AJ98">
        <v>0</v>
      </c>
      <c r="AK98">
        <v>0</v>
      </c>
      <c r="AL98">
        <v>0</v>
      </c>
      <c r="AM98">
        <v>0</v>
      </c>
      <c r="AN98">
        <v>0</v>
      </c>
      <c r="AO98">
        <v>0</v>
      </c>
      <c r="AP98">
        <v>0</v>
      </c>
      <c r="AQ98">
        <v>0</v>
      </c>
      <c r="AR98">
        <v>0</v>
      </c>
      <c r="AS98">
        <v>0</v>
      </c>
      <c r="AT98">
        <v>0</v>
      </c>
      <c r="AU98">
        <v>0</v>
      </c>
      <c r="AV98">
        <v>0</v>
      </c>
      <c r="AW98">
        <v>0</v>
      </c>
      <c r="AX98">
        <v>0</v>
      </c>
      <c r="AY98">
        <v>0</v>
      </c>
      <c r="AZ98">
        <v>0</v>
      </c>
      <c r="BA98">
        <v>0</v>
      </c>
      <c r="BB98">
        <v>0</v>
      </c>
      <c r="BC98">
        <v>0</v>
      </c>
      <c r="BD98">
        <v>0</v>
      </c>
      <c r="BE98">
        <v>0</v>
      </c>
      <c r="BF98">
        <v>0</v>
      </c>
      <c r="BG98">
        <v>0</v>
      </c>
      <c r="BH98">
        <v>0</v>
      </c>
      <c r="BI98">
        <v>0</v>
      </c>
      <c r="BJ98">
        <v>0</v>
      </c>
      <c r="BK98">
        <v>0</v>
      </c>
      <c r="BL98">
        <v>0</v>
      </c>
      <c r="BM98">
        <v>0</v>
      </c>
      <c r="BN98">
        <v>0</v>
      </c>
      <c r="BO98">
        <v>0</v>
      </c>
      <c r="BP98">
        <v>0</v>
      </c>
      <c r="BQ98">
        <v>0</v>
      </c>
      <c r="BR98">
        <v>0</v>
      </c>
      <c r="BS98">
        <v>0</v>
      </c>
      <c r="BT98">
        <v>0</v>
      </c>
      <c r="BU98">
        <v>0</v>
      </c>
      <c r="BV98">
        <v>0</v>
      </c>
      <c r="BW98">
        <v>0</v>
      </c>
      <c r="BX98">
        <v>0</v>
      </c>
      <c r="BY98">
        <v>0</v>
      </c>
      <c r="BZ98">
        <v>0</v>
      </c>
      <c r="CA98">
        <v>0</v>
      </c>
      <c r="CB98">
        <v>0</v>
      </c>
      <c r="CC98">
        <v>0</v>
      </c>
      <c r="CD98">
        <v>0</v>
      </c>
      <c r="CE98">
        <v>0</v>
      </c>
      <c r="CF98">
        <v>0</v>
      </c>
      <c r="CG98">
        <v>0</v>
      </c>
      <c r="CH98">
        <v>0</v>
      </c>
      <c r="CI98">
        <v>0</v>
      </c>
      <c r="CJ98">
        <v>0</v>
      </c>
      <c r="CK98">
        <v>0</v>
      </c>
      <c r="CL98">
        <v>0</v>
      </c>
      <c r="CM98">
        <v>0</v>
      </c>
      <c r="CN98">
        <v>0</v>
      </c>
      <c r="CO98">
        <v>0</v>
      </c>
      <c r="CP98">
        <v>0</v>
      </c>
      <c r="CQ98">
        <v>0</v>
      </c>
      <c r="CR98">
        <v>0</v>
      </c>
      <c r="CS98">
        <v>0</v>
      </c>
      <c r="CT98">
        <v>0</v>
      </c>
      <c r="CU98">
        <v>2</v>
      </c>
      <c r="CV98">
        <v>2</v>
      </c>
      <c r="CW98">
        <v>2</v>
      </c>
      <c r="CX98">
        <v>2</v>
      </c>
      <c r="CY98">
        <v>2</v>
      </c>
      <c r="CZ98">
        <v>2</v>
      </c>
      <c r="DA98">
        <v>2</v>
      </c>
      <c r="DB98">
        <v>2</v>
      </c>
      <c r="DC98">
        <v>2</v>
      </c>
      <c r="DD98">
        <v>2</v>
      </c>
      <c r="DE98">
        <v>2</v>
      </c>
      <c r="DF98">
        <v>2</v>
      </c>
      <c r="DG98">
        <v>2</v>
      </c>
      <c r="DH98">
        <v>2</v>
      </c>
      <c r="DI98">
        <v>2</v>
      </c>
      <c r="DJ98">
        <v>1</v>
      </c>
      <c r="DK98">
        <v>1</v>
      </c>
      <c r="DL98">
        <v>1</v>
      </c>
      <c r="DM98">
        <v>1</v>
      </c>
      <c r="DN98">
        <v>1</v>
      </c>
      <c r="DO98">
        <v>1</v>
      </c>
      <c r="DP98">
        <v>1</v>
      </c>
      <c r="DQ98">
        <v>1</v>
      </c>
      <c r="DR98">
        <v>1</v>
      </c>
      <c r="DS98">
        <v>1</v>
      </c>
      <c r="DT98">
        <v>1</v>
      </c>
      <c r="DU98">
        <v>1</v>
      </c>
      <c r="DV98">
        <v>1</v>
      </c>
      <c r="DW98">
        <v>1</v>
      </c>
      <c r="DX98">
        <v>1</v>
      </c>
      <c r="DY98">
        <v>1</v>
      </c>
      <c r="DZ98">
        <v>1</v>
      </c>
      <c r="EA98">
        <v>1</v>
      </c>
      <c r="EB98">
        <v>1</v>
      </c>
      <c r="EC98">
        <v>2</v>
      </c>
      <c r="ED98">
        <v>2</v>
      </c>
      <c r="EE98">
        <v>2</v>
      </c>
      <c r="EF98">
        <v>2</v>
      </c>
      <c r="EG98">
        <v>2</v>
      </c>
      <c r="EH98">
        <v>2</v>
      </c>
      <c r="EI98">
        <v>2</v>
      </c>
      <c r="EJ98">
        <v>2</v>
      </c>
      <c r="EK98">
        <v>2</v>
      </c>
      <c r="EL98">
        <v>2</v>
      </c>
      <c r="EM98">
        <v>2</v>
      </c>
      <c r="EN98">
        <v>2</v>
      </c>
      <c r="EO98">
        <v>2</v>
      </c>
      <c r="EP98">
        <v>2</v>
      </c>
      <c r="EQ98">
        <v>2</v>
      </c>
      <c r="ER98">
        <v>2</v>
      </c>
      <c r="ES98">
        <v>2</v>
      </c>
      <c r="ET98">
        <v>2</v>
      </c>
      <c r="EU98">
        <v>2</v>
      </c>
      <c r="EV98">
        <v>2</v>
      </c>
      <c r="EW98">
        <v>2</v>
      </c>
      <c r="EX98">
        <v>2</v>
      </c>
      <c r="EY98">
        <v>2</v>
      </c>
      <c r="EZ98">
        <v>2</v>
      </c>
      <c r="FA98">
        <v>2</v>
      </c>
      <c r="FB98">
        <v>2</v>
      </c>
      <c r="FC98">
        <v>2</v>
      </c>
      <c r="FD98">
        <v>2</v>
      </c>
      <c r="FE98">
        <v>2</v>
      </c>
      <c r="FF98">
        <v>2</v>
      </c>
      <c r="FG98">
        <v>2</v>
      </c>
      <c r="FH98">
        <v>2</v>
      </c>
      <c r="FI98">
        <v>2</v>
      </c>
      <c r="FJ98">
        <v>2</v>
      </c>
      <c r="FK98">
        <v>2</v>
      </c>
      <c r="FL98">
        <v>2</v>
      </c>
      <c r="FM98">
        <v>2</v>
      </c>
      <c r="FN98">
        <v>2</v>
      </c>
      <c r="FO98">
        <v>2</v>
      </c>
      <c r="FP98">
        <v>2</v>
      </c>
      <c r="FQ98">
        <v>2</v>
      </c>
      <c r="FR98">
        <v>2</v>
      </c>
      <c r="FS98">
        <v>2</v>
      </c>
      <c r="FT98">
        <v>2</v>
      </c>
      <c r="FU98">
        <v>2</v>
      </c>
      <c r="FV98">
        <v>2</v>
      </c>
      <c r="FW98">
        <v>2</v>
      </c>
      <c r="FX98">
        <v>2</v>
      </c>
      <c r="FY98">
        <v>2</v>
      </c>
      <c r="FZ98">
        <v>2</v>
      </c>
      <c r="GA98">
        <v>2</v>
      </c>
      <c r="GB98">
        <v>2</v>
      </c>
      <c r="GC98">
        <v>2</v>
      </c>
      <c r="GD98">
        <v>2</v>
      </c>
      <c r="GE98">
        <v>2</v>
      </c>
      <c r="GF98">
        <v>2</v>
      </c>
      <c r="GG98">
        <v>2</v>
      </c>
      <c r="GH98">
        <v>2</v>
      </c>
      <c r="GI98">
        <v>2</v>
      </c>
      <c r="GJ98">
        <v>2</v>
      </c>
      <c r="GK98">
        <v>2</v>
      </c>
      <c r="GL98">
        <v>2</v>
      </c>
      <c r="GM98">
        <v>2</v>
      </c>
      <c r="GN98">
        <v>2</v>
      </c>
      <c r="GO98">
        <v>2</v>
      </c>
      <c r="GP98">
        <v>2</v>
      </c>
      <c r="GQ98">
        <v>2</v>
      </c>
      <c r="GR98">
        <v>2</v>
      </c>
      <c r="GS98">
        <v>2</v>
      </c>
      <c r="GT98">
        <v>2</v>
      </c>
      <c r="GU98">
        <v>2</v>
      </c>
      <c r="GV98">
        <v>2</v>
      </c>
      <c r="GW98">
        <v>2</v>
      </c>
      <c r="GX98">
        <v>2</v>
      </c>
      <c r="GY98">
        <v>2</v>
      </c>
      <c r="GZ98">
        <v>2</v>
      </c>
      <c r="HA98">
        <v>2</v>
      </c>
      <c r="HB98">
        <v>2</v>
      </c>
      <c r="HC98">
        <v>2</v>
      </c>
      <c r="HD98">
        <v>2</v>
      </c>
      <c r="HE98">
        <v>2</v>
      </c>
      <c r="HF98">
        <v>2</v>
      </c>
      <c r="HG98">
        <v>2</v>
      </c>
      <c r="HH98">
        <v>2</v>
      </c>
      <c r="HI98">
        <v>2</v>
      </c>
      <c r="HJ98">
        <v>2</v>
      </c>
      <c r="HK98">
        <v>2</v>
      </c>
      <c r="HL98">
        <v>2</v>
      </c>
      <c r="HM98">
        <v>2</v>
      </c>
      <c r="HN98">
        <v>2</v>
      </c>
      <c r="HO98">
        <v>2</v>
      </c>
      <c r="HP98">
        <v>2</v>
      </c>
      <c r="HQ98">
        <v>2</v>
      </c>
      <c r="HR98">
        <v>2</v>
      </c>
      <c r="HS98">
        <v>2</v>
      </c>
      <c r="HT98">
        <v>2</v>
      </c>
      <c r="HU98">
        <v>2</v>
      </c>
      <c r="HV98">
        <v>2</v>
      </c>
      <c r="HW98">
        <v>2</v>
      </c>
      <c r="HX98">
        <v>2</v>
      </c>
      <c r="HY98">
        <v>2</v>
      </c>
      <c r="HZ98">
        <v>2</v>
      </c>
      <c r="IA98">
        <v>2</v>
      </c>
      <c r="IB98">
        <v>2</v>
      </c>
      <c r="IC98">
        <v>2</v>
      </c>
      <c r="ID98">
        <v>2</v>
      </c>
      <c r="IE98">
        <v>2</v>
      </c>
      <c r="IF98">
        <v>2</v>
      </c>
      <c r="IG98">
        <v>2</v>
      </c>
      <c r="IH98">
        <v>2</v>
      </c>
      <c r="II98">
        <v>2</v>
      </c>
      <c r="IJ98">
        <v>2</v>
      </c>
      <c r="IK98">
        <v>2</v>
      </c>
      <c r="IL98">
        <v>2</v>
      </c>
      <c r="IM98">
        <v>2</v>
      </c>
      <c r="IN98">
        <v>2</v>
      </c>
      <c r="IO98">
        <v>2</v>
      </c>
      <c r="IP98">
        <v>2</v>
      </c>
      <c r="IQ98">
        <v>2</v>
      </c>
      <c r="IR98">
        <v>2</v>
      </c>
      <c r="IS98">
        <v>2</v>
      </c>
      <c r="IT98">
        <v>2</v>
      </c>
      <c r="IU98">
        <v>2</v>
      </c>
      <c r="IV98">
        <v>2</v>
      </c>
      <c r="IW98">
        <v>2</v>
      </c>
      <c r="IX98">
        <v>2</v>
      </c>
      <c r="IY98">
        <v>2</v>
      </c>
      <c r="IZ98">
        <v>2</v>
      </c>
      <c r="JA98">
        <v>2</v>
      </c>
      <c r="JB98">
        <v>2</v>
      </c>
      <c r="JC98">
        <v>2</v>
      </c>
      <c r="JD98">
        <v>2</v>
      </c>
      <c r="JE98">
        <v>2</v>
      </c>
      <c r="JF98">
        <v>2</v>
      </c>
      <c r="JG98">
        <v>2</v>
      </c>
      <c r="JH98">
        <v>2</v>
      </c>
      <c r="JI98">
        <v>2</v>
      </c>
      <c r="JJ98">
        <v>2</v>
      </c>
      <c r="JK98">
        <v>2</v>
      </c>
      <c r="JL98">
        <v>2</v>
      </c>
      <c r="JM98">
        <v>2</v>
      </c>
      <c r="JN98">
        <v>2</v>
      </c>
      <c r="JO98">
        <v>2</v>
      </c>
      <c r="JP98">
        <v>2</v>
      </c>
      <c r="JQ98">
        <v>2</v>
      </c>
      <c r="JR98">
        <v>2</v>
      </c>
      <c r="JS98">
        <v>1</v>
      </c>
      <c r="JT98">
        <v>1</v>
      </c>
      <c r="JU98">
        <v>1</v>
      </c>
      <c r="JV98">
        <v>1</v>
      </c>
      <c r="JW98">
        <v>1</v>
      </c>
      <c r="JX98">
        <v>1</v>
      </c>
      <c r="JY98">
        <v>1</v>
      </c>
      <c r="JZ98">
        <v>1</v>
      </c>
      <c r="KA98">
        <v>1</v>
      </c>
      <c r="KB98">
        <v>1</v>
      </c>
      <c r="KC98">
        <v>1</v>
      </c>
      <c r="KD98">
        <v>1</v>
      </c>
      <c r="KE98">
        <v>1</v>
      </c>
      <c r="KF98">
        <v>1</v>
      </c>
      <c r="KG98">
        <v>1</v>
      </c>
      <c r="KH98">
        <v>1</v>
      </c>
      <c r="KI98">
        <v>1</v>
      </c>
      <c r="KJ98">
        <v>1</v>
      </c>
      <c r="KK98">
        <v>1</v>
      </c>
      <c r="KL98">
        <v>1</v>
      </c>
      <c r="KM98">
        <v>1</v>
      </c>
      <c r="KN98">
        <v>1</v>
      </c>
      <c r="KO98">
        <v>1</v>
      </c>
      <c r="KP98">
        <v>1</v>
      </c>
      <c r="KQ98">
        <v>1</v>
      </c>
      <c r="KR98">
        <v>1</v>
      </c>
      <c r="KS98">
        <v>1</v>
      </c>
      <c r="KT98">
        <v>1</v>
      </c>
      <c r="KU98">
        <v>1</v>
      </c>
      <c r="KV98">
        <v>1</v>
      </c>
      <c r="KW98">
        <v>1</v>
      </c>
      <c r="KX98">
        <v>1</v>
      </c>
      <c r="KY98">
        <v>1</v>
      </c>
      <c r="KZ98">
        <v>1</v>
      </c>
      <c r="LA98">
        <v>1</v>
      </c>
      <c r="LB98">
        <v>1</v>
      </c>
      <c r="LC98">
        <v>1</v>
      </c>
      <c r="LD98">
        <v>1</v>
      </c>
      <c r="LE98">
        <v>1</v>
      </c>
      <c r="LF98">
        <v>1</v>
      </c>
      <c r="LG98">
        <v>1</v>
      </c>
      <c r="LH98">
        <v>1</v>
      </c>
      <c r="LI98">
        <v>1</v>
      </c>
      <c r="LJ98">
        <v>1</v>
      </c>
      <c r="LK98">
        <v>1</v>
      </c>
      <c r="LL98">
        <v>1</v>
      </c>
      <c r="LM98">
        <v>1</v>
      </c>
      <c r="LN98">
        <v>1</v>
      </c>
      <c r="LO98">
        <v>1</v>
      </c>
      <c r="LP98">
        <v>1</v>
      </c>
      <c r="LQ98">
        <v>1</v>
      </c>
      <c r="LR98">
        <v>1</v>
      </c>
      <c r="LS98">
        <v>1</v>
      </c>
      <c r="LT98">
        <v>1</v>
      </c>
      <c r="LU98">
        <v>1</v>
      </c>
      <c r="LV98">
        <v>1</v>
      </c>
      <c r="LW98">
        <v>1</v>
      </c>
      <c r="LX98">
        <v>1</v>
      </c>
      <c r="LY98">
        <v>1</v>
      </c>
      <c r="LZ98">
        <v>1</v>
      </c>
      <c r="MA98">
        <v>1</v>
      </c>
      <c r="MB98">
        <v>1</v>
      </c>
      <c r="MC98">
        <v>1</v>
      </c>
      <c r="MD98">
        <v>1</v>
      </c>
      <c r="ME98">
        <v>1</v>
      </c>
      <c r="MF98">
        <v>1</v>
      </c>
      <c r="MG98">
        <v>1</v>
      </c>
      <c r="MH98">
        <v>1</v>
      </c>
      <c r="MI98">
        <v>1</v>
      </c>
      <c r="MJ98">
        <v>1</v>
      </c>
      <c r="MK98">
        <v>1</v>
      </c>
      <c r="ML98">
        <v>1</v>
      </c>
      <c r="MM98">
        <v>1</v>
      </c>
      <c r="MN98">
        <v>1</v>
      </c>
      <c r="MO98">
        <v>1</v>
      </c>
      <c r="MP98">
        <v>1</v>
      </c>
      <c r="MQ98">
        <v>1</v>
      </c>
      <c r="MR98">
        <v>1</v>
      </c>
      <c r="MS98">
        <v>1</v>
      </c>
      <c r="MT98">
        <v>1</v>
      </c>
      <c r="MU98">
        <v>1</v>
      </c>
      <c r="MV98">
        <v>1</v>
      </c>
      <c r="MW98">
        <v>1</v>
      </c>
      <c r="MX98">
        <v>1</v>
      </c>
      <c r="MY98">
        <v>1</v>
      </c>
      <c r="MZ98">
        <v>1</v>
      </c>
      <c r="NA98">
        <v>1</v>
      </c>
      <c r="NB98">
        <v>1</v>
      </c>
      <c r="NC98">
        <v>1</v>
      </c>
      <c r="ND98">
        <v>1</v>
      </c>
      <c r="NE98">
        <v>1</v>
      </c>
      <c r="NF98">
        <v>1</v>
      </c>
      <c r="NG98">
        <v>1</v>
      </c>
      <c r="NH98">
        <v>1</v>
      </c>
      <c r="NI98">
        <v>1</v>
      </c>
      <c r="NJ98">
        <v>1</v>
      </c>
      <c r="NK98">
        <v>1</v>
      </c>
      <c r="NL98">
        <v>1</v>
      </c>
      <c r="NM98">
        <v>1</v>
      </c>
      <c r="NN98">
        <v>1</v>
      </c>
      <c r="NO98">
        <v>1</v>
      </c>
      <c r="NP98">
        <v>1</v>
      </c>
      <c r="NQ98">
        <v>1</v>
      </c>
      <c r="NR98">
        <v>1</v>
      </c>
      <c r="NS98">
        <v>1</v>
      </c>
      <c r="NT98">
        <v>1</v>
      </c>
      <c r="NU98">
        <v>1</v>
      </c>
      <c r="NV98">
        <v>1</v>
      </c>
      <c r="NW98">
        <v>1</v>
      </c>
      <c r="NX98">
        <v>1</v>
      </c>
      <c r="NY98">
        <v>1</v>
      </c>
      <c r="NZ98">
        <v>1</v>
      </c>
      <c r="OA98">
        <v>1</v>
      </c>
      <c r="OB98">
        <v>1</v>
      </c>
      <c r="OC98">
        <v>1</v>
      </c>
      <c r="OD98">
        <v>1</v>
      </c>
      <c r="OE98">
        <v>1</v>
      </c>
      <c r="OF98">
        <v>1</v>
      </c>
      <c r="OG98">
        <v>1</v>
      </c>
      <c r="OH98">
        <v>1</v>
      </c>
      <c r="OI98">
        <v>1</v>
      </c>
      <c r="OJ98">
        <v>1</v>
      </c>
      <c r="OK98">
        <v>1</v>
      </c>
      <c r="OL98">
        <v>1</v>
      </c>
      <c r="OM98">
        <v>1</v>
      </c>
      <c r="ON98">
        <v>1</v>
      </c>
      <c r="OO98">
        <v>1</v>
      </c>
      <c r="OP98">
        <v>1</v>
      </c>
      <c r="OQ98">
        <v>1</v>
      </c>
      <c r="OR98">
        <v>1</v>
      </c>
      <c r="OS98">
        <v>1</v>
      </c>
      <c r="OT98">
        <v>1</v>
      </c>
      <c r="OU98">
        <v>1</v>
      </c>
      <c r="OV98">
        <v>1</v>
      </c>
      <c r="OW98">
        <v>1</v>
      </c>
      <c r="OX98">
        <v>1</v>
      </c>
      <c r="OY98">
        <v>1</v>
      </c>
      <c r="OZ98">
        <v>1</v>
      </c>
      <c r="PA98">
        <v>1</v>
      </c>
      <c r="PB98">
        <v>1</v>
      </c>
      <c r="PC98">
        <v>1</v>
      </c>
      <c r="PD98">
        <v>1</v>
      </c>
      <c r="PE98">
        <v>1</v>
      </c>
      <c r="PF98">
        <v>1</v>
      </c>
      <c r="PG98">
        <v>1</v>
      </c>
      <c r="PH98">
        <v>1</v>
      </c>
      <c r="PI98">
        <v>1</v>
      </c>
      <c r="PJ98">
        <v>1</v>
      </c>
      <c r="PK98">
        <v>1</v>
      </c>
      <c r="PL98">
        <v>1</v>
      </c>
      <c r="PM98">
        <v>1</v>
      </c>
      <c r="PN98">
        <v>1</v>
      </c>
      <c r="PO98">
        <v>1</v>
      </c>
      <c r="PP98">
        <v>1</v>
      </c>
      <c r="PQ98">
        <v>1</v>
      </c>
      <c r="PR98">
        <v>1</v>
      </c>
      <c r="PS98">
        <v>1</v>
      </c>
      <c r="PT98">
        <v>1</v>
      </c>
      <c r="PU98">
        <v>1</v>
      </c>
      <c r="PV98">
        <v>1</v>
      </c>
      <c r="PW98">
        <v>1</v>
      </c>
      <c r="PX98">
        <v>1</v>
      </c>
      <c r="PY98">
        <v>1</v>
      </c>
      <c r="PZ98">
        <v>1</v>
      </c>
      <c r="QA98">
        <v>1</v>
      </c>
      <c r="QB98">
        <v>1</v>
      </c>
      <c r="QC98">
        <v>1</v>
      </c>
      <c r="QD98">
        <v>1</v>
      </c>
      <c r="QE98">
        <v>1</v>
      </c>
      <c r="QF98">
        <v>1</v>
      </c>
      <c r="QG98">
        <v>1</v>
      </c>
      <c r="QH98">
        <v>1</v>
      </c>
      <c r="QI98">
        <v>1</v>
      </c>
      <c r="QJ98">
        <v>1</v>
      </c>
      <c r="QK98">
        <v>1</v>
      </c>
      <c r="QL98">
        <v>1</v>
      </c>
      <c r="QM98">
        <v>1</v>
      </c>
      <c r="QN98">
        <v>1</v>
      </c>
      <c r="QO98">
        <v>1</v>
      </c>
      <c r="QP98">
        <v>1</v>
      </c>
      <c r="QQ98">
        <v>1</v>
      </c>
      <c r="QR98">
        <v>1</v>
      </c>
      <c r="QS98">
        <v>1</v>
      </c>
      <c r="QT98">
        <v>1</v>
      </c>
      <c r="QU98">
        <v>1</v>
      </c>
      <c r="QV98">
        <v>1</v>
      </c>
      <c r="QW98">
        <v>1</v>
      </c>
      <c r="QX98">
        <v>1</v>
      </c>
      <c r="QY98">
        <v>1</v>
      </c>
      <c r="QZ98">
        <v>1</v>
      </c>
      <c r="RA98">
        <v>1</v>
      </c>
      <c r="RB98">
        <v>1</v>
      </c>
      <c r="RC98">
        <v>1</v>
      </c>
      <c r="RD98">
        <v>1</v>
      </c>
      <c r="RE98">
        <v>1</v>
      </c>
      <c r="RF98">
        <v>1</v>
      </c>
      <c r="RG98">
        <v>1</v>
      </c>
      <c r="RH98">
        <v>1</v>
      </c>
      <c r="RI98">
        <v>1</v>
      </c>
      <c r="RJ98">
        <v>1</v>
      </c>
      <c r="RK98">
        <v>1</v>
      </c>
      <c r="RL98">
        <v>1</v>
      </c>
      <c r="RM98">
        <v>1</v>
      </c>
      <c r="RN98">
        <v>1</v>
      </c>
      <c r="RO98">
        <v>1</v>
      </c>
      <c r="RP98">
        <v>1</v>
      </c>
      <c r="RQ98">
        <v>1</v>
      </c>
      <c r="RR98">
        <v>1</v>
      </c>
      <c r="RS98">
        <v>1</v>
      </c>
      <c r="RT98">
        <v>1</v>
      </c>
      <c r="RU98">
        <v>1</v>
      </c>
      <c r="RV98">
        <v>1</v>
      </c>
      <c r="RW98">
        <v>1</v>
      </c>
      <c r="RX98">
        <v>1</v>
      </c>
      <c r="RY98">
        <v>1</v>
      </c>
      <c r="RZ98">
        <v>1</v>
      </c>
      <c r="SA98">
        <v>1</v>
      </c>
      <c r="SB98">
        <v>1</v>
      </c>
      <c r="SC98">
        <v>1</v>
      </c>
      <c r="SD98">
        <v>1</v>
      </c>
      <c r="SE98">
        <v>1</v>
      </c>
      <c r="SF98">
        <v>1</v>
      </c>
      <c r="SG98">
        <v>1</v>
      </c>
      <c r="SH98">
        <v>1</v>
      </c>
      <c r="SI98">
        <v>1</v>
      </c>
      <c r="SJ98">
        <v>0</v>
      </c>
      <c r="SK98">
        <v>0</v>
      </c>
      <c r="SL98">
        <v>0</v>
      </c>
      <c r="SM98">
        <v>0</v>
      </c>
      <c r="SN98">
        <v>0</v>
      </c>
      <c r="SO98">
        <v>0</v>
      </c>
      <c r="SP98">
        <v>0</v>
      </c>
      <c r="SQ98">
        <v>0</v>
      </c>
      <c r="SR98">
        <v>0</v>
      </c>
      <c r="SS98">
        <v>0</v>
      </c>
      <c r="ST98">
        <v>0</v>
      </c>
      <c r="SU98">
        <v>0</v>
      </c>
      <c r="SV98">
        <v>0</v>
      </c>
      <c r="SW98">
        <v>0</v>
      </c>
      <c r="SX98">
        <v>0</v>
      </c>
      <c r="SY98">
        <v>0</v>
      </c>
      <c r="SZ98">
        <v>0</v>
      </c>
      <c r="TA98">
        <v>0</v>
      </c>
      <c r="TB98">
        <v>0</v>
      </c>
      <c r="TC98">
        <v>0</v>
      </c>
      <c r="TD98">
        <v>0</v>
      </c>
      <c r="TE98">
        <v>0</v>
      </c>
      <c r="TF98">
        <v>0</v>
      </c>
      <c r="TG98">
        <v>0</v>
      </c>
      <c r="TH98">
        <v>0</v>
      </c>
      <c r="TI98">
        <v>0</v>
      </c>
      <c r="TJ98">
        <v>0</v>
      </c>
      <c r="TK98">
        <v>0</v>
      </c>
      <c r="TL98">
        <v>0</v>
      </c>
      <c r="TM98">
        <v>0</v>
      </c>
      <c r="TN98">
        <v>0</v>
      </c>
      <c r="TO98">
        <v>0</v>
      </c>
      <c r="TP98">
        <v>0</v>
      </c>
      <c r="TQ98">
        <v>0</v>
      </c>
      <c r="TR98">
        <v>0</v>
      </c>
      <c r="TS98">
        <v>0</v>
      </c>
      <c r="TT98">
        <v>0</v>
      </c>
      <c r="TU98">
        <v>0</v>
      </c>
      <c r="TV98">
        <v>0</v>
      </c>
      <c r="TW98">
        <v>0</v>
      </c>
      <c r="TX98">
        <v>0</v>
      </c>
      <c r="TY98">
        <v>0</v>
      </c>
      <c r="TZ98">
        <v>0</v>
      </c>
      <c r="UA98">
        <v>0</v>
      </c>
      <c r="UB98">
        <v>0</v>
      </c>
      <c r="UC98">
        <v>0</v>
      </c>
      <c r="UD98">
        <v>0</v>
      </c>
      <c r="UE98">
        <v>0</v>
      </c>
      <c r="UF98">
        <v>0</v>
      </c>
      <c r="UG98">
        <v>0</v>
      </c>
      <c r="UH98">
        <v>0</v>
      </c>
      <c r="UI98">
        <v>0</v>
      </c>
      <c r="UJ98">
        <v>0</v>
      </c>
      <c r="UK98">
        <v>0</v>
      </c>
      <c r="UL98">
        <v>0</v>
      </c>
      <c r="UM98">
        <v>0</v>
      </c>
      <c r="UN98">
        <v>0</v>
      </c>
      <c r="UO98">
        <v>0</v>
      </c>
      <c r="UP98">
        <v>0</v>
      </c>
      <c r="UQ98">
        <v>0</v>
      </c>
      <c r="UR98">
        <v>0</v>
      </c>
      <c r="US98">
        <v>0</v>
      </c>
      <c r="UT98">
        <v>0</v>
      </c>
      <c r="UU98">
        <v>0</v>
      </c>
      <c r="UV98">
        <v>0</v>
      </c>
      <c r="UW98">
        <v>0</v>
      </c>
      <c r="UX98">
        <v>0</v>
      </c>
      <c r="UY98">
        <v>0</v>
      </c>
      <c r="UZ98">
        <v>0</v>
      </c>
      <c r="VA98">
        <v>0</v>
      </c>
      <c r="VB98">
        <v>0</v>
      </c>
      <c r="VC98">
        <v>0</v>
      </c>
      <c r="VD98">
        <v>0</v>
      </c>
      <c r="VE98">
        <v>0</v>
      </c>
      <c r="VF98">
        <v>0</v>
      </c>
      <c r="VG98">
        <v>0</v>
      </c>
      <c r="VH98">
        <v>0</v>
      </c>
      <c r="VI98">
        <v>0</v>
      </c>
      <c r="VJ98">
        <v>0</v>
      </c>
      <c r="VK98">
        <v>0</v>
      </c>
      <c r="VL98">
        <v>0</v>
      </c>
      <c r="VM98">
        <v>0</v>
      </c>
      <c r="VN98">
        <v>0</v>
      </c>
      <c r="VO98">
        <v>0</v>
      </c>
      <c r="VP98">
        <v>0</v>
      </c>
      <c r="VQ98">
        <v>0</v>
      </c>
      <c r="VR98">
        <v>0</v>
      </c>
      <c r="VS98">
        <v>0</v>
      </c>
      <c r="VT98">
        <v>0</v>
      </c>
      <c r="VU98">
        <v>0</v>
      </c>
      <c r="VV98">
        <v>0</v>
      </c>
      <c r="VW98">
        <v>0</v>
      </c>
      <c r="VX98">
        <v>0</v>
      </c>
      <c r="VY98">
        <v>0</v>
      </c>
      <c r="VZ98">
        <v>0</v>
      </c>
      <c r="WA98">
        <v>0</v>
      </c>
      <c r="WB98">
        <v>0</v>
      </c>
      <c r="WC98">
        <v>0</v>
      </c>
      <c r="WD98">
        <v>0</v>
      </c>
      <c r="WE98">
        <v>0</v>
      </c>
      <c r="WF98">
        <v>0</v>
      </c>
      <c r="WG98">
        <v>0</v>
      </c>
      <c r="WH98">
        <v>0</v>
      </c>
      <c r="WI98">
        <v>0</v>
      </c>
      <c r="WJ98">
        <v>0</v>
      </c>
      <c r="WK98">
        <v>0</v>
      </c>
      <c r="WL98">
        <v>0</v>
      </c>
      <c r="WM98">
        <v>0</v>
      </c>
      <c r="WN98">
        <v>0</v>
      </c>
      <c r="WO98">
        <v>0</v>
      </c>
      <c r="WP98">
        <v>0</v>
      </c>
      <c r="WQ98">
        <v>0</v>
      </c>
      <c r="WR98">
        <v>0</v>
      </c>
      <c r="WS98">
        <v>0</v>
      </c>
      <c r="WT98">
        <v>0</v>
      </c>
      <c r="WU98">
        <v>0</v>
      </c>
      <c r="WV98">
        <v>0</v>
      </c>
      <c r="WW98">
        <v>0</v>
      </c>
      <c r="WX98">
        <v>0</v>
      </c>
      <c r="WY98">
        <v>0</v>
      </c>
      <c r="WZ98">
        <v>0</v>
      </c>
      <c r="XA98">
        <v>0</v>
      </c>
      <c r="XB98">
        <v>0</v>
      </c>
      <c r="XC98">
        <v>0</v>
      </c>
      <c r="XD98">
        <v>0</v>
      </c>
      <c r="XE98">
        <v>0</v>
      </c>
      <c r="XF98">
        <v>0</v>
      </c>
      <c r="XG98">
        <v>0</v>
      </c>
      <c r="XH98">
        <v>0</v>
      </c>
      <c r="XI98">
        <v>0</v>
      </c>
      <c r="XJ98">
        <v>0</v>
      </c>
      <c r="XK98">
        <v>0</v>
      </c>
      <c r="XL98">
        <v>0</v>
      </c>
      <c r="XM98">
        <v>0</v>
      </c>
      <c r="XN98">
        <v>0</v>
      </c>
      <c r="XO98">
        <v>0</v>
      </c>
      <c r="XP98">
        <v>0</v>
      </c>
      <c r="XQ98">
        <v>0</v>
      </c>
      <c r="XR98">
        <v>0</v>
      </c>
      <c r="XS98">
        <v>0</v>
      </c>
      <c r="XT98">
        <v>0</v>
      </c>
      <c r="XU98">
        <v>0</v>
      </c>
      <c r="XV98">
        <v>0</v>
      </c>
      <c r="XW98">
        <v>0</v>
      </c>
      <c r="XX98">
        <v>0</v>
      </c>
      <c r="XY98">
        <v>0</v>
      </c>
      <c r="XZ98">
        <v>0</v>
      </c>
      <c r="YA98">
        <v>0</v>
      </c>
      <c r="YB98">
        <v>0</v>
      </c>
      <c r="YC98">
        <v>0</v>
      </c>
      <c r="YD98">
        <v>0</v>
      </c>
      <c r="YE98">
        <v>0</v>
      </c>
      <c r="YF98">
        <v>0</v>
      </c>
      <c r="YG98">
        <v>0</v>
      </c>
      <c r="YH98">
        <v>0</v>
      </c>
      <c r="YI98">
        <v>0</v>
      </c>
      <c r="YJ98">
        <v>0</v>
      </c>
      <c r="YK98">
        <v>0</v>
      </c>
      <c r="YL98">
        <v>0</v>
      </c>
      <c r="YM98">
        <v>0</v>
      </c>
      <c r="YN98">
        <v>0</v>
      </c>
      <c r="YO98">
        <v>2</v>
      </c>
      <c r="YP98">
        <v>2</v>
      </c>
      <c r="YQ98">
        <v>2</v>
      </c>
      <c r="YR98">
        <v>2</v>
      </c>
      <c r="YS98">
        <v>2</v>
      </c>
      <c r="YT98">
        <v>2</v>
      </c>
      <c r="YU98">
        <v>2</v>
      </c>
      <c r="YV98">
        <v>2</v>
      </c>
      <c r="YW98">
        <v>2</v>
      </c>
      <c r="YX98">
        <v>2</v>
      </c>
      <c r="YY98">
        <v>2</v>
      </c>
      <c r="YZ98">
        <v>2</v>
      </c>
      <c r="ZA98">
        <v>2</v>
      </c>
      <c r="ZB98">
        <v>2</v>
      </c>
      <c r="ZC98">
        <v>2</v>
      </c>
      <c r="ZD98">
        <v>2</v>
      </c>
      <c r="ZE98">
        <v>2</v>
      </c>
      <c r="ZF98">
        <v>2</v>
      </c>
      <c r="ZG98">
        <v>2</v>
      </c>
      <c r="ZH98">
        <v>2</v>
      </c>
      <c r="ZI98">
        <v>2</v>
      </c>
      <c r="ZJ98">
        <v>2</v>
      </c>
      <c r="ZK98">
        <v>2</v>
      </c>
      <c r="ZL98">
        <v>0</v>
      </c>
      <c r="ZM98">
        <v>0</v>
      </c>
      <c r="ZN98">
        <v>0</v>
      </c>
      <c r="ZO98">
        <v>0</v>
      </c>
      <c r="ZP98">
        <v>0</v>
      </c>
      <c r="ZQ98">
        <v>0</v>
      </c>
      <c r="ZR98">
        <v>0</v>
      </c>
      <c r="ZS98">
        <v>0</v>
      </c>
      <c r="ZT98">
        <v>0</v>
      </c>
      <c r="ZU98">
        <v>0</v>
      </c>
      <c r="ZV98">
        <v>0</v>
      </c>
      <c r="ZW98">
        <v>0</v>
      </c>
      <c r="ZX98">
        <v>0</v>
      </c>
      <c r="ZY98">
        <v>0</v>
      </c>
      <c r="ZZ98">
        <v>0</v>
      </c>
      <c r="AAA98">
        <v>0</v>
      </c>
      <c r="AAB98">
        <v>0</v>
      </c>
      <c r="AAC98">
        <v>0</v>
      </c>
      <c r="AAD98">
        <v>0</v>
      </c>
      <c r="AAE98">
        <v>0</v>
      </c>
      <c r="AAF98">
        <v>0</v>
      </c>
      <c r="AAG98">
        <v>0</v>
      </c>
      <c r="AAH98">
        <v>0</v>
      </c>
      <c r="AAI98">
        <v>0</v>
      </c>
      <c r="AAJ98">
        <v>0</v>
      </c>
      <c r="AAK98">
        <v>0</v>
      </c>
      <c r="AAL98">
        <v>0</v>
      </c>
      <c r="AAM98">
        <v>0</v>
      </c>
      <c r="AAN98">
        <v>0</v>
      </c>
      <c r="AAO98">
        <v>0</v>
      </c>
      <c r="AAP98">
        <v>0</v>
      </c>
      <c r="AAQ98">
        <v>0</v>
      </c>
      <c r="AAR98">
        <v>0</v>
      </c>
      <c r="AAS98">
        <v>0</v>
      </c>
      <c r="AAT98">
        <v>0</v>
      </c>
      <c r="AAU98">
        <v>0</v>
      </c>
      <c r="AAV98">
        <v>0</v>
      </c>
      <c r="AAW98">
        <v>0</v>
      </c>
      <c r="AAX98">
        <v>0</v>
      </c>
      <c r="AAY98">
        <v>0</v>
      </c>
      <c r="AAZ98">
        <v>0</v>
      </c>
      <c r="ABA98">
        <v>0</v>
      </c>
      <c r="ABB98">
        <v>0</v>
      </c>
      <c r="ABC98">
        <v>0</v>
      </c>
      <c r="ABD98">
        <v>0</v>
      </c>
      <c r="ABE98">
        <v>0</v>
      </c>
      <c r="ABG98" s="1137">
        <f t="shared" si="21"/>
        <v>0</v>
      </c>
      <c r="ABH98" s="1137">
        <f t="shared" si="21"/>
        <v>0</v>
      </c>
      <c r="ABI98" s="1137">
        <f t="shared" si="21"/>
        <v>0</v>
      </c>
      <c r="ABJ98" s="1137">
        <f t="shared" si="21"/>
        <v>25</v>
      </c>
      <c r="ABK98" s="1137">
        <f t="shared" si="21"/>
        <v>31</v>
      </c>
      <c r="ABL98" s="1137">
        <f t="shared" si="21"/>
        <v>30</v>
      </c>
      <c r="ABM98" s="1137">
        <f t="shared" si="21"/>
        <v>31</v>
      </c>
      <c r="ABN98" s="1137">
        <f t="shared" si="21"/>
        <v>31</v>
      </c>
      <c r="ABO98" s="1137">
        <f t="shared" si="21"/>
        <v>30</v>
      </c>
      <c r="ABP98" s="1137">
        <f t="shared" si="21"/>
        <v>31</v>
      </c>
      <c r="ABQ98" s="1137">
        <f t="shared" si="21"/>
        <v>30</v>
      </c>
      <c r="ABR98" s="1137">
        <f t="shared" si="21"/>
        <v>31</v>
      </c>
      <c r="ABS98" s="1137">
        <f t="shared" si="21"/>
        <v>31</v>
      </c>
      <c r="ABT98" s="1137">
        <f t="shared" si="21"/>
        <v>28</v>
      </c>
      <c r="ABU98" s="1137">
        <f t="shared" si="21"/>
        <v>31</v>
      </c>
      <c r="ABV98" s="1137">
        <f t="shared" si="21"/>
        <v>30</v>
      </c>
      <c r="ABW98" s="1137">
        <f t="shared" si="17"/>
        <v>15</v>
      </c>
      <c r="ABX98" s="1137">
        <f t="shared" si="23"/>
        <v>0</v>
      </c>
      <c r="ABY98" s="1137">
        <f t="shared" si="23"/>
        <v>0</v>
      </c>
      <c r="ABZ98" s="1137">
        <f t="shared" si="23"/>
        <v>0</v>
      </c>
      <c r="ACA98" s="1137">
        <f t="shared" si="23"/>
        <v>0</v>
      </c>
      <c r="ACB98" s="1137">
        <f t="shared" si="23"/>
        <v>8</v>
      </c>
      <c r="ACC98" s="1137">
        <f t="shared" si="23"/>
        <v>15</v>
      </c>
      <c r="ACD98" s="1137">
        <f t="shared" si="23"/>
        <v>0</v>
      </c>
      <c r="ACE98" s="1137" t="s">
        <v>206</v>
      </c>
      <c r="ACF98" s="1137">
        <f t="shared" si="22"/>
        <v>0</v>
      </c>
      <c r="ACG98" s="1137">
        <f t="shared" si="22"/>
        <v>0</v>
      </c>
      <c r="ACH98" s="1137">
        <f t="shared" si="22"/>
        <v>0</v>
      </c>
      <c r="ACI98" s="1137">
        <f t="shared" si="22"/>
        <v>1</v>
      </c>
      <c r="ACJ98" s="1137">
        <f t="shared" si="22"/>
        <v>1</v>
      </c>
      <c r="ACK98" s="1137">
        <f t="shared" si="22"/>
        <v>1</v>
      </c>
      <c r="ACL98" s="1137">
        <f t="shared" si="22"/>
        <v>1</v>
      </c>
      <c r="ACM98" s="1137">
        <f t="shared" si="22"/>
        <v>1</v>
      </c>
      <c r="ACN98" s="1137">
        <f t="shared" si="22"/>
        <v>1</v>
      </c>
      <c r="ACO98" s="1137">
        <f t="shared" si="22"/>
        <v>1</v>
      </c>
      <c r="ACP98" s="1137">
        <f t="shared" si="22"/>
        <v>1</v>
      </c>
      <c r="ACQ98" s="1137">
        <f t="shared" si="22"/>
        <v>1</v>
      </c>
      <c r="ACR98" s="1137">
        <f t="shared" si="22"/>
        <v>1</v>
      </c>
      <c r="ACS98" s="1137">
        <f t="shared" si="22"/>
        <v>1</v>
      </c>
      <c r="ACT98" s="1137">
        <f t="shared" si="22"/>
        <v>1</v>
      </c>
      <c r="ACU98" s="1137">
        <f t="shared" si="22"/>
        <v>1</v>
      </c>
      <c r="ACV98" s="1137">
        <f t="shared" si="24"/>
        <v>1</v>
      </c>
      <c r="ACW98" s="1137">
        <f t="shared" si="24"/>
        <v>0</v>
      </c>
      <c r="ACX98" s="1137">
        <f t="shared" si="24"/>
        <v>0</v>
      </c>
      <c r="ACY98" s="1137">
        <f t="shared" si="24"/>
        <v>0</v>
      </c>
      <c r="ACZ98" s="1137">
        <f t="shared" si="24"/>
        <v>0</v>
      </c>
      <c r="ADA98" s="1137">
        <f t="shared" si="24"/>
        <v>0</v>
      </c>
      <c r="ADB98" s="1137">
        <f t="shared" si="16"/>
        <v>1</v>
      </c>
      <c r="ADC98" s="1137">
        <f t="shared" si="16"/>
        <v>0</v>
      </c>
    </row>
    <row r="99" spans="1:783" x14ac:dyDescent="0.25">
      <c r="A99" t="s">
        <v>1897</v>
      </c>
      <c r="B99" t="s">
        <v>2379</v>
      </c>
      <c r="C99">
        <v>0</v>
      </c>
      <c r="D99">
        <v>0</v>
      </c>
      <c r="E99">
        <v>0</v>
      </c>
      <c r="F99">
        <v>0</v>
      </c>
      <c r="G99">
        <v>0</v>
      </c>
      <c r="H99">
        <v>0</v>
      </c>
      <c r="I99">
        <v>0</v>
      </c>
      <c r="J99">
        <v>0</v>
      </c>
      <c r="K99">
        <v>0</v>
      </c>
      <c r="L99">
        <v>0</v>
      </c>
      <c r="M99">
        <v>0</v>
      </c>
      <c r="N99">
        <v>0</v>
      </c>
      <c r="O99">
        <v>0</v>
      </c>
      <c r="P99">
        <v>0</v>
      </c>
      <c r="Q99">
        <v>0</v>
      </c>
      <c r="R99">
        <v>0</v>
      </c>
      <c r="S99">
        <v>0</v>
      </c>
      <c r="T99">
        <v>0</v>
      </c>
      <c r="U99">
        <v>0</v>
      </c>
      <c r="V99">
        <v>0</v>
      </c>
      <c r="W99">
        <v>0</v>
      </c>
      <c r="X99">
        <v>0</v>
      </c>
      <c r="Y99">
        <v>0</v>
      </c>
      <c r="Z99">
        <v>0</v>
      </c>
      <c r="AA99">
        <v>0</v>
      </c>
      <c r="AB99">
        <v>0</v>
      </c>
      <c r="AC99">
        <v>0</v>
      </c>
      <c r="AD99">
        <v>0</v>
      </c>
      <c r="AE99">
        <v>0</v>
      </c>
      <c r="AF99">
        <v>0</v>
      </c>
      <c r="AG99">
        <v>0</v>
      </c>
      <c r="AH99">
        <v>0</v>
      </c>
      <c r="AI99">
        <v>0</v>
      </c>
      <c r="AJ99">
        <v>0</v>
      </c>
      <c r="AK99">
        <v>0</v>
      </c>
      <c r="AL99">
        <v>0</v>
      </c>
      <c r="AM99">
        <v>0</v>
      </c>
      <c r="AN99">
        <v>0</v>
      </c>
      <c r="AO99">
        <v>0</v>
      </c>
      <c r="AP99">
        <v>0</v>
      </c>
      <c r="AQ99">
        <v>0</v>
      </c>
      <c r="AR99">
        <v>0</v>
      </c>
      <c r="AS99">
        <v>0</v>
      </c>
      <c r="AT99">
        <v>0</v>
      </c>
      <c r="AU99">
        <v>0</v>
      </c>
      <c r="AV99">
        <v>0</v>
      </c>
      <c r="AW99">
        <v>0</v>
      </c>
      <c r="AX99">
        <v>0</v>
      </c>
      <c r="AY99">
        <v>0</v>
      </c>
      <c r="AZ99">
        <v>0</v>
      </c>
      <c r="BA99">
        <v>0</v>
      </c>
      <c r="BB99">
        <v>0</v>
      </c>
      <c r="BC99">
        <v>0</v>
      </c>
      <c r="BD99">
        <v>0</v>
      </c>
      <c r="BE99">
        <v>0</v>
      </c>
      <c r="BF99">
        <v>0</v>
      </c>
      <c r="BG99">
        <v>0</v>
      </c>
      <c r="BH99">
        <v>0</v>
      </c>
      <c r="BI99">
        <v>0</v>
      </c>
      <c r="BJ99">
        <v>0</v>
      </c>
      <c r="BK99">
        <v>0</v>
      </c>
      <c r="BL99">
        <v>0</v>
      </c>
      <c r="BM99">
        <v>0</v>
      </c>
      <c r="BN99">
        <v>0</v>
      </c>
      <c r="BO99">
        <v>0</v>
      </c>
      <c r="BP99">
        <v>0</v>
      </c>
      <c r="BQ99">
        <v>0</v>
      </c>
      <c r="BR99">
        <v>0</v>
      </c>
      <c r="BS99">
        <v>0</v>
      </c>
      <c r="BT99">
        <v>0</v>
      </c>
      <c r="BU99">
        <v>0</v>
      </c>
      <c r="BV99">
        <v>0</v>
      </c>
      <c r="BW99">
        <v>0</v>
      </c>
      <c r="BX99">
        <v>0</v>
      </c>
      <c r="BY99">
        <v>0</v>
      </c>
      <c r="BZ99">
        <v>0</v>
      </c>
      <c r="CA99">
        <v>0</v>
      </c>
      <c r="CB99">
        <v>0</v>
      </c>
      <c r="CC99">
        <v>0</v>
      </c>
      <c r="CD99">
        <v>0</v>
      </c>
      <c r="CE99">
        <v>0</v>
      </c>
      <c r="CF99">
        <v>0</v>
      </c>
      <c r="CG99">
        <v>0</v>
      </c>
      <c r="CH99">
        <v>0</v>
      </c>
      <c r="CI99">
        <v>0</v>
      </c>
      <c r="CJ99">
        <v>0</v>
      </c>
      <c r="CK99">
        <v>0</v>
      </c>
      <c r="CL99">
        <v>0</v>
      </c>
      <c r="CM99">
        <v>0</v>
      </c>
      <c r="CN99">
        <v>2</v>
      </c>
      <c r="CO99">
        <v>2</v>
      </c>
      <c r="CP99">
        <v>2</v>
      </c>
      <c r="CQ99">
        <v>2</v>
      </c>
      <c r="CR99">
        <v>2</v>
      </c>
      <c r="CS99">
        <v>2</v>
      </c>
      <c r="CT99">
        <v>2</v>
      </c>
      <c r="CU99">
        <v>2</v>
      </c>
      <c r="CV99">
        <v>2</v>
      </c>
      <c r="CW99">
        <v>2</v>
      </c>
      <c r="CX99">
        <v>2</v>
      </c>
      <c r="CY99">
        <v>2</v>
      </c>
      <c r="CZ99">
        <v>2</v>
      </c>
      <c r="DA99">
        <v>2</v>
      </c>
      <c r="DB99">
        <v>2</v>
      </c>
      <c r="DC99">
        <v>2</v>
      </c>
      <c r="DD99">
        <v>2</v>
      </c>
      <c r="DE99">
        <v>2</v>
      </c>
      <c r="DF99">
        <v>2</v>
      </c>
      <c r="DG99">
        <v>2</v>
      </c>
      <c r="DH99">
        <v>2</v>
      </c>
      <c r="DI99">
        <v>2</v>
      </c>
      <c r="DJ99">
        <v>2</v>
      </c>
      <c r="DK99">
        <v>2</v>
      </c>
      <c r="DL99">
        <v>2</v>
      </c>
      <c r="DM99">
        <v>2</v>
      </c>
      <c r="DN99">
        <v>2</v>
      </c>
      <c r="DO99">
        <v>2</v>
      </c>
      <c r="DP99">
        <v>2</v>
      </c>
      <c r="DQ99">
        <v>2</v>
      </c>
      <c r="DR99">
        <v>2</v>
      </c>
      <c r="DS99">
        <v>2</v>
      </c>
      <c r="DT99">
        <v>2</v>
      </c>
      <c r="DU99">
        <v>2</v>
      </c>
      <c r="DV99">
        <v>2</v>
      </c>
      <c r="DW99">
        <v>2</v>
      </c>
      <c r="DX99">
        <v>2</v>
      </c>
      <c r="DY99">
        <v>2</v>
      </c>
      <c r="DZ99">
        <v>2</v>
      </c>
      <c r="EA99">
        <v>2</v>
      </c>
      <c r="EB99">
        <v>2</v>
      </c>
      <c r="EC99">
        <v>2</v>
      </c>
      <c r="ED99">
        <v>2</v>
      </c>
      <c r="EE99">
        <v>2</v>
      </c>
      <c r="EF99">
        <v>2</v>
      </c>
      <c r="EG99">
        <v>2</v>
      </c>
      <c r="EH99">
        <v>2</v>
      </c>
      <c r="EI99">
        <v>2</v>
      </c>
      <c r="EJ99">
        <v>2</v>
      </c>
      <c r="EK99">
        <v>0</v>
      </c>
      <c r="EL99">
        <v>0</v>
      </c>
      <c r="EM99">
        <v>0</v>
      </c>
      <c r="EN99">
        <v>0</v>
      </c>
      <c r="EO99">
        <v>0</v>
      </c>
      <c r="EP99">
        <v>0</v>
      </c>
      <c r="EQ99">
        <v>0</v>
      </c>
      <c r="ER99">
        <v>0</v>
      </c>
      <c r="ES99">
        <v>0</v>
      </c>
      <c r="ET99">
        <v>0</v>
      </c>
      <c r="EU99">
        <v>0</v>
      </c>
      <c r="EV99">
        <v>0</v>
      </c>
      <c r="EW99">
        <v>0</v>
      </c>
      <c r="EX99">
        <v>0</v>
      </c>
      <c r="EY99">
        <v>0</v>
      </c>
      <c r="EZ99">
        <v>0</v>
      </c>
      <c r="FA99">
        <v>0</v>
      </c>
      <c r="FB99">
        <v>0</v>
      </c>
      <c r="FC99">
        <v>0</v>
      </c>
      <c r="FD99">
        <v>0</v>
      </c>
      <c r="FE99">
        <v>0</v>
      </c>
      <c r="FF99">
        <v>0</v>
      </c>
      <c r="FG99">
        <v>0</v>
      </c>
      <c r="FH99">
        <v>0</v>
      </c>
      <c r="FI99">
        <v>0</v>
      </c>
      <c r="FJ99">
        <v>0</v>
      </c>
      <c r="FK99">
        <v>0</v>
      </c>
      <c r="FL99">
        <v>0</v>
      </c>
      <c r="FM99">
        <v>0</v>
      </c>
      <c r="FN99">
        <v>0</v>
      </c>
      <c r="FO99">
        <v>0</v>
      </c>
      <c r="FP99">
        <v>0</v>
      </c>
      <c r="FQ99">
        <v>0</v>
      </c>
      <c r="FR99">
        <v>0</v>
      </c>
      <c r="FS99">
        <v>0</v>
      </c>
      <c r="FT99">
        <v>0</v>
      </c>
      <c r="FU99">
        <v>0</v>
      </c>
      <c r="FV99">
        <v>0</v>
      </c>
      <c r="FW99">
        <v>0</v>
      </c>
      <c r="FX99">
        <v>0</v>
      </c>
      <c r="FY99">
        <v>0</v>
      </c>
      <c r="FZ99">
        <v>0</v>
      </c>
      <c r="GA99">
        <v>0</v>
      </c>
      <c r="GB99">
        <v>0</v>
      </c>
      <c r="GC99">
        <v>0</v>
      </c>
      <c r="GD99">
        <v>0</v>
      </c>
      <c r="GE99">
        <v>0</v>
      </c>
      <c r="GF99">
        <v>0</v>
      </c>
      <c r="GG99">
        <v>0</v>
      </c>
      <c r="GH99">
        <v>0</v>
      </c>
      <c r="GI99">
        <v>0</v>
      </c>
      <c r="GJ99">
        <v>0</v>
      </c>
      <c r="GK99">
        <v>0</v>
      </c>
      <c r="GL99">
        <v>0</v>
      </c>
      <c r="GM99">
        <v>0</v>
      </c>
      <c r="GN99">
        <v>0</v>
      </c>
      <c r="GO99">
        <v>0</v>
      </c>
      <c r="GP99">
        <v>0</v>
      </c>
      <c r="GQ99">
        <v>0</v>
      </c>
      <c r="GR99">
        <v>0</v>
      </c>
      <c r="GS99">
        <v>0</v>
      </c>
      <c r="GT99">
        <v>0</v>
      </c>
      <c r="GU99">
        <v>0</v>
      </c>
      <c r="GV99">
        <v>0</v>
      </c>
      <c r="GW99">
        <v>0</v>
      </c>
      <c r="GX99">
        <v>0</v>
      </c>
      <c r="GY99">
        <v>0</v>
      </c>
      <c r="GZ99">
        <v>0</v>
      </c>
      <c r="HA99">
        <v>0</v>
      </c>
      <c r="HB99">
        <v>0</v>
      </c>
      <c r="HC99">
        <v>0</v>
      </c>
      <c r="HD99">
        <v>0</v>
      </c>
      <c r="HE99">
        <v>0</v>
      </c>
      <c r="HF99">
        <v>0</v>
      </c>
      <c r="HG99">
        <v>0</v>
      </c>
      <c r="HH99">
        <v>0</v>
      </c>
      <c r="HI99">
        <v>0</v>
      </c>
      <c r="HJ99">
        <v>0</v>
      </c>
      <c r="HK99">
        <v>0</v>
      </c>
      <c r="HL99">
        <v>0</v>
      </c>
      <c r="HM99">
        <v>0</v>
      </c>
      <c r="HN99">
        <v>0</v>
      </c>
      <c r="HO99">
        <v>0</v>
      </c>
      <c r="HP99">
        <v>0</v>
      </c>
      <c r="HQ99">
        <v>0</v>
      </c>
      <c r="HR99">
        <v>0</v>
      </c>
      <c r="HS99">
        <v>0</v>
      </c>
      <c r="HT99">
        <v>0</v>
      </c>
      <c r="HU99">
        <v>0</v>
      </c>
      <c r="HV99">
        <v>0</v>
      </c>
      <c r="HW99">
        <v>0</v>
      </c>
      <c r="HX99">
        <v>0</v>
      </c>
      <c r="HY99">
        <v>0</v>
      </c>
      <c r="HZ99">
        <v>0</v>
      </c>
      <c r="IA99">
        <v>0</v>
      </c>
      <c r="IB99">
        <v>0</v>
      </c>
      <c r="IC99">
        <v>0</v>
      </c>
      <c r="ID99">
        <v>0</v>
      </c>
      <c r="IE99">
        <v>0</v>
      </c>
      <c r="IF99">
        <v>0</v>
      </c>
      <c r="IG99">
        <v>0</v>
      </c>
      <c r="IH99">
        <v>0</v>
      </c>
      <c r="II99">
        <v>0</v>
      </c>
      <c r="IJ99">
        <v>0</v>
      </c>
      <c r="IK99">
        <v>0</v>
      </c>
      <c r="IL99">
        <v>0</v>
      </c>
      <c r="IM99">
        <v>0</v>
      </c>
      <c r="IN99">
        <v>0</v>
      </c>
      <c r="IO99">
        <v>0</v>
      </c>
      <c r="IP99">
        <v>0</v>
      </c>
      <c r="IQ99">
        <v>0</v>
      </c>
      <c r="IR99">
        <v>0</v>
      </c>
      <c r="IS99">
        <v>0</v>
      </c>
      <c r="IT99">
        <v>0</v>
      </c>
      <c r="IU99">
        <v>0</v>
      </c>
      <c r="IV99">
        <v>0</v>
      </c>
      <c r="IW99">
        <v>0</v>
      </c>
      <c r="IX99">
        <v>0</v>
      </c>
      <c r="IY99">
        <v>0</v>
      </c>
      <c r="IZ99">
        <v>0</v>
      </c>
      <c r="JA99">
        <v>0</v>
      </c>
      <c r="JB99">
        <v>0</v>
      </c>
      <c r="JC99">
        <v>0</v>
      </c>
      <c r="JD99">
        <v>0</v>
      </c>
      <c r="JE99">
        <v>0</v>
      </c>
      <c r="JF99">
        <v>0</v>
      </c>
      <c r="JG99">
        <v>0</v>
      </c>
      <c r="JH99">
        <v>0</v>
      </c>
      <c r="JI99">
        <v>0</v>
      </c>
      <c r="JJ99">
        <v>0</v>
      </c>
      <c r="JK99">
        <v>0</v>
      </c>
      <c r="JL99">
        <v>0</v>
      </c>
      <c r="JM99">
        <v>0</v>
      </c>
      <c r="JN99">
        <v>0</v>
      </c>
      <c r="JO99">
        <v>0</v>
      </c>
      <c r="JP99">
        <v>0</v>
      </c>
      <c r="JQ99">
        <v>0</v>
      </c>
      <c r="JR99">
        <v>0</v>
      </c>
      <c r="JS99">
        <v>0</v>
      </c>
      <c r="JT99">
        <v>0</v>
      </c>
      <c r="JU99">
        <v>0</v>
      </c>
      <c r="JV99">
        <v>0</v>
      </c>
      <c r="JW99">
        <v>0</v>
      </c>
      <c r="JX99">
        <v>0</v>
      </c>
      <c r="JY99">
        <v>0</v>
      </c>
      <c r="JZ99">
        <v>0</v>
      </c>
      <c r="KA99">
        <v>0</v>
      </c>
      <c r="KB99">
        <v>0</v>
      </c>
      <c r="KC99">
        <v>0</v>
      </c>
      <c r="KD99">
        <v>0</v>
      </c>
      <c r="KE99">
        <v>0</v>
      </c>
      <c r="KF99">
        <v>0</v>
      </c>
      <c r="KG99">
        <v>0</v>
      </c>
      <c r="KH99">
        <v>0</v>
      </c>
      <c r="KI99">
        <v>0</v>
      </c>
      <c r="KJ99">
        <v>0</v>
      </c>
      <c r="KK99">
        <v>0</v>
      </c>
      <c r="KL99">
        <v>0</v>
      </c>
      <c r="KM99">
        <v>0</v>
      </c>
      <c r="KN99">
        <v>0</v>
      </c>
      <c r="KO99">
        <v>0</v>
      </c>
      <c r="KP99">
        <v>0</v>
      </c>
      <c r="KQ99">
        <v>0</v>
      </c>
      <c r="KR99">
        <v>0</v>
      </c>
      <c r="KS99">
        <v>0</v>
      </c>
      <c r="KT99">
        <v>0</v>
      </c>
      <c r="KU99">
        <v>0</v>
      </c>
      <c r="KV99">
        <v>0</v>
      </c>
      <c r="KW99">
        <v>0</v>
      </c>
      <c r="KX99">
        <v>0</v>
      </c>
      <c r="KY99">
        <v>0</v>
      </c>
      <c r="KZ99">
        <v>0</v>
      </c>
      <c r="LA99">
        <v>0</v>
      </c>
      <c r="LB99">
        <v>0</v>
      </c>
      <c r="LC99">
        <v>0</v>
      </c>
      <c r="LD99">
        <v>0</v>
      </c>
      <c r="LE99">
        <v>0</v>
      </c>
      <c r="LF99">
        <v>0</v>
      </c>
      <c r="LG99">
        <v>0</v>
      </c>
      <c r="LH99">
        <v>0</v>
      </c>
      <c r="LI99">
        <v>0</v>
      </c>
      <c r="LJ99">
        <v>0</v>
      </c>
      <c r="LK99">
        <v>0</v>
      </c>
      <c r="LL99">
        <v>0</v>
      </c>
      <c r="LM99">
        <v>0</v>
      </c>
      <c r="LN99">
        <v>0</v>
      </c>
      <c r="LO99">
        <v>0</v>
      </c>
      <c r="LP99">
        <v>0</v>
      </c>
      <c r="LQ99">
        <v>0</v>
      </c>
      <c r="LR99">
        <v>0</v>
      </c>
      <c r="LS99">
        <v>0</v>
      </c>
      <c r="LT99">
        <v>0</v>
      </c>
      <c r="LU99">
        <v>0</v>
      </c>
      <c r="LV99">
        <v>0</v>
      </c>
      <c r="LW99">
        <v>0</v>
      </c>
      <c r="LX99">
        <v>0</v>
      </c>
      <c r="LY99">
        <v>0</v>
      </c>
      <c r="LZ99">
        <v>0</v>
      </c>
      <c r="MA99">
        <v>0</v>
      </c>
      <c r="MB99">
        <v>0</v>
      </c>
      <c r="MC99">
        <v>0</v>
      </c>
      <c r="MD99">
        <v>0</v>
      </c>
      <c r="ME99">
        <v>0</v>
      </c>
      <c r="MF99">
        <v>0</v>
      </c>
      <c r="MG99">
        <v>0</v>
      </c>
      <c r="MH99">
        <v>0</v>
      </c>
      <c r="MI99">
        <v>0</v>
      </c>
      <c r="MJ99">
        <v>0</v>
      </c>
      <c r="MK99">
        <v>0</v>
      </c>
      <c r="ML99">
        <v>0</v>
      </c>
      <c r="MM99">
        <v>0</v>
      </c>
      <c r="MN99">
        <v>0</v>
      </c>
      <c r="MO99">
        <v>0</v>
      </c>
      <c r="MP99">
        <v>0</v>
      </c>
      <c r="MQ99">
        <v>0</v>
      </c>
      <c r="MR99">
        <v>0</v>
      </c>
      <c r="MS99">
        <v>0</v>
      </c>
      <c r="MT99">
        <v>0</v>
      </c>
      <c r="MU99">
        <v>0</v>
      </c>
      <c r="MV99">
        <v>0</v>
      </c>
      <c r="MW99">
        <v>0</v>
      </c>
      <c r="MX99">
        <v>0</v>
      </c>
      <c r="MY99">
        <v>0</v>
      </c>
      <c r="MZ99">
        <v>0</v>
      </c>
      <c r="NA99">
        <v>0</v>
      </c>
      <c r="NB99">
        <v>0</v>
      </c>
      <c r="NC99">
        <v>0</v>
      </c>
      <c r="ND99">
        <v>0</v>
      </c>
      <c r="NE99">
        <v>0</v>
      </c>
      <c r="NF99">
        <v>0</v>
      </c>
      <c r="NG99">
        <v>0</v>
      </c>
      <c r="NH99">
        <v>0</v>
      </c>
      <c r="NI99">
        <v>0</v>
      </c>
      <c r="NJ99">
        <v>0</v>
      </c>
      <c r="NK99">
        <v>0</v>
      </c>
      <c r="NL99">
        <v>0</v>
      </c>
      <c r="NM99">
        <v>0</v>
      </c>
      <c r="NN99">
        <v>0</v>
      </c>
      <c r="NO99">
        <v>0</v>
      </c>
      <c r="NP99">
        <v>0</v>
      </c>
      <c r="NQ99">
        <v>0</v>
      </c>
      <c r="NR99">
        <v>0</v>
      </c>
      <c r="NS99">
        <v>0</v>
      </c>
      <c r="NT99">
        <v>0</v>
      </c>
      <c r="NU99">
        <v>0</v>
      </c>
      <c r="NV99">
        <v>0</v>
      </c>
      <c r="NW99">
        <v>0</v>
      </c>
      <c r="NX99">
        <v>0</v>
      </c>
      <c r="NY99">
        <v>0</v>
      </c>
      <c r="NZ99">
        <v>0</v>
      </c>
      <c r="OA99">
        <v>0</v>
      </c>
      <c r="OB99">
        <v>0</v>
      </c>
      <c r="OC99">
        <v>0</v>
      </c>
      <c r="OD99">
        <v>0</v>
      </c>
      <c r="OE99">
        <v>0</v>
      </c>
      <c r="OF99">
        <v>0</v>
      </c>
      <c r="OG99">
        <v>0</v>
      </c>
      <c r="OH99">
        <v>0</v>
      </c>
      <c r="OI99">
        <v>0</v>
      </c>
      <c r="OJ99">
        <v>0</v>
      </c>
      <c r="OK99">
        <v>0</v>
      </c>
      <c r="OL99">
        <v>0</v>
      </c>
      <c r="OM99">
        <v>0</v>
      </c>
      <c r="ON99">
        <v>0</v>
      </c>
      <c r="OO99">
        <v>0</v>
      </c>
      <c r="OP99">
        <v>0</v>
      </c>
      <c r="OQ99">
        <v>0</v>
      </c>
      <c r="OR99">
        <v>0</v>
      </c>
      <c r="OS99">
        <v>0</v>
      </c>
      <c r="OT99">
        <v>0</v>
      </c>
      <c r="OU99">
        <v>0</v>
      </c>
      <c r="OV99">
        <v>0</v>
      </c>
      <c r="OW99">
        <v>0</v>
      </c>
      <c r="OX99">
        <v>0</v>
      </c>
      <c r="OY99">
        <v>0</v>
      </c>
      <c r="OZ99">
        <v>0</v>
      </c>
      <c r="PA99">
        <v>0</v>
      </c>
      <c r="PB99">
        <v>0</v>
      </c>
      <c r="PC99">
        <v>0</v>
      </c>
      <c r="PD99">
        <v>0</v>
      </c>
      <c r="PE99">
        <v>0</v>
      </c>
      <c r="PF99">
        <v>0</v>
      </c>
      <c r="PG99">
        <v>0</v>
      </c>
      <c r="PH99">
        <v>0</v>
      </c>
      <c r="PI99">
        <v>0</v>
      </c>
      <c r="PJ99">
        <v>0</v>
      </c>
      <c r="PK99">
        <v>0</v>
      </c>
      <c r="PL99">
        <v>0</v>
      </c>
      <c r="PM99">
        <v>0</v>
      </c>
      <c r="PN99">
        <v>0</v>
      </c>
      <c r="PO99">
        <v>0</v>
      </c>
      <c r="PP99">
        <v>0</v>
      </c>
      <c r="PQ99">
        <v>0</v>
      </c>
      <c r="PR99">
        <v>0</v>
      </c>
      <c r="PS99">
        <v>0</v>
      </c>
      <c r="PT99">
        <v>0</v>
      </c>
      <c r="PU99">
        <v>0</v>
      </c>
      <c r="PV99">
        <v>0</v>
      </c>
      <c r="PW99">
        <v>0</v>
      </c>
      <c r="PX99">
        <v>0</v>
      </c>
      <c r="PY99">
        <v>0</v>
      </c>
      <c r="PZ99">
        <v>0</v>
      </c>
      <c r="QA99">
        <v>0</v>
      </c>
      <c r="QB99">
        <v>0</v>
      </c>
      <c r="QC99">
        <v>0</v>
      </c>
      <c r="QD99">
        <v>0</v>
      </c>
      <c r="QE99">
        <v>0</v>
      </c>
      <c r="QF99">
        <v>0</v>
      </c>
      <c r="QG99">
        <v>0</v>
      </c>
      <c r="QH99">
        <v>0</v>
      </c>
      <c r="QI99">
        <v>0</v>
      </c>
      <c r="QJ99">
        <v>0</v>
      </c>
      <c r="QK99">
        <v>0</v>
      </c>
      <c r="QL99">
        <v>0</v>
      </c>
      <c r="QM99">
        <v>0</v>
      </c>
      <c r="QN99">
        <v>0</v>
      </c>
      <c r="QO99">
        <v>0</v>
      </c>
      <c r="QP99">
        <v>0</v>
      </c>
      <c r="QQ99">
        <v>0</v>
      </c>
      <c r="QR99">
        <v>0</v>
      </c>
      <c r="QS99">
        <v>0</v>
      </c>
      <c r="QT99">
        <v>0</v>
      </c>
      <c r="QU99">
        <v>0</v>
      </c>
      <c r="QV99">
        <v>0</v>
      </c>
      <c r="QW99">
        <v>0</v>
      </c>
      <c r="QX99">
        <v>0</v>
      </c>
      <c r="QY99">
        <v>0</v>
      </c>
      <c r="QZ99">
        <v>0</v>
      </c>
      <c r="RA99">
        <v>0</v>
      </c>
      <c r="RB99">
        <v>0</v>
      </c>
      <c r="RC99">
        <v>0</v>
      </c>
      <c r="RD99">
        <v>0</v>
      </c>
      <c r="RE99">
        <v>0</v>
      </c>
      <c r="RF99">
        <v>0</v>
      </c>
      <c r="RG99">
        <v>0</v>
      </c>
      <c r="RH99">
        <v>0</v>
      </c>
      <c r="RI99">
        <v>0</v>
      </c>
      <c r="RJ99">
        <v>0</v>
      </c>
      <c r="RK99">
        <v>0</v>
      </c>
      <c r="RL99">
        <v>2</v>
      </c>
      <c r="RM99">
        <v>2</v>
      </c>
      <c r="RN99">
        <v>2</v>
      </c>
      <c r="RO99">
        <v>2</v>
      </c>
      <c r="RP99">
        <v>2</v>
      </c>
      <c r="RQ99">
        <v>2</v>
      </c>
      <c r="RR99">
        <v>2</v>
      </c>
      <c r="RS99">
        <v>2</v>
      </c>
      <c r="RT99">
        <v>2</v>
      </c>
      <c r="RU99">
        <v>2</v>
      </c>
      <c r="RV99">
        <v>2</v>
      </c>
      <c r="RW99">
        <v>2</v>
      </c>
      <c r="RX99">
        <v>2</v>
      </c>
      <c r="RY99">
        <v>2</v>
      </c>
      <c r="RZ99">
        <v>2</v>
      </c>
      <c r="SA99">
        <v>2</v>
      </c>
      <c r="SB99">
        <v>2</v>
      </c>
      <c r="SC99">
        <v>2</v>
      </c>
      <c r="SD99">
        <v>2</v>
      </c>
      <c r="SE99">
        <v>2</v>
      </c>
      <c r="SF99">
        <v>2</v>
      </c>
      <c r="SG99">
        <v>2</v>
      </c>
      <c r="SH99">
        <v>2</v>
      </c>
      <c r="SI99">
        <v>2</v>
      </c>
      <c r="SJ99">
        <v>2</v>
      </c>
      <c r="SK99">
        <v>2</v>
      </c>
      <c r="SL99">
        <v>1</v>
      </c>
      <c r="SM99">
        <v>1</v>
      </c>
      <c r="SN99">
        <v>1</v>
      </c>
      <c r="SO99">
        <v>1</v>
      </c>
      <c r="SP99">
        <v>1</v>
      </c>
      <c r="SQ99">
        <v>1</v>
      </c>
      <c r="SR99">
        <v>1</v>
      </c>
      <c r="SS99">
        <v>2</v>
      </c>
      <c r="ST99">
        <v>2</v>
      </c>
      <c r="SU99">
        <v>2</v>
      </c>
      <c r="SV99">
        <v>2</v>
      </c>
      <c r="SW99">
        <v>2</v>
      </c>
      <c r="SX99">
        <v>2</v>
      </c>
      <c r="SY99">
        <v>2</v>
      </c>
      <c r="SZ99">
        <v>2</v>
      </c>
      <c r="TA99">
        <v>2</v>
      </c>
      <c r="TB99">
        <v>2</v>
      </c>
      <c r="TC99">
        <v>2</v>
      </c>
      <c r="TD99">
        <v>2</v>
      </c>
      <c r="TE99">
        <v>2</v>
      </c>
      <c r="TF99">
        <v>2</v>
      </c>
      <c r="TG99">
        <v>1</v>
      </c>
      <c r="TH99">
        <v>1</v>
      </c>
      <c r="TI99">
        <v>1</v>
      </c>
      <c r="TJ99">
        <v>1</v>
      </c>
      <c r="TK99">
        <v>1</v>
      </c>
      <c r="TL99">
        <v>1</v>
      </c>
      <c r="TM99">
        <v>1</v>
      </c>
      <c r="TN99">
        <v>1</v>
      </c>
      <c r="TO99">
        <v>1</v>
      </c>
      <c r="TP99">
        <v>1</v>
      </c>
      <c r="TQ99">
        <v>1</v>
      </c>
      <c r="TR99">
        <v>1</v>
      </c>
      <c r="TS99">
        <v>1</v>
      </c>
      <c r="TT99">
        <v>1</v>
      </c>
      <c r="TU99">
        <v>1</v>
      </c>
      <c r="TV99">
        <v>1</v>
      </c>
      <c r="TW99">
        <v>1</v>
      </c>
      <c r="TX99">
        <v>1</v>
      </c>
      <c r="TY99">
        <v>1</v>
      </c>
      <c r="TZ99">
        <v>1</v>
      </c>
      <c r="UA99">
        <v>1</v>
      </c>
      <c r="UB99">
        <v>1</v>
      </c>
      <c r="UC99">
        <v>1</v>
      </c>
      <c r="UD99">
        <v>1</v>
      </c>
      <c r="UE99">
        <v>1</v>
      </c>
      <c r="UF99">
        <v>1</v>
      </c>
      <c r="UG99">
        <v>1</v>
      </c>
      <c r="UH99">
        <v>1</v>
      </c>
      <c r="UI99">
        <v>2</v>
      </c>
      <c r="UJ99">
        <v>2</v>
      </c>
      <c r="UK99">
        <v>2</v>
      </c>
      <c r="UL99">
        <v>2</v>
      </c>
      <c r="UM99">
        <v>2</v>
      </c>
      <c r="UN99">
        <v>2</v>
      </c>
      <c r="UO99">
        <v>2</v>
      </c>
      <c r="UP99">
        <v>2</v>
      </c>
      <c r="UQ99">
        <v>2</v>
      </c>
      <c r="UR99">
        <v>1</v>
      </c>
      <c r="US99">
        <v>1</v>
      </c>
      <c r="UT99">
        <v>1</v>
      </c>
      <c r="UU99">
        <v>1</v>
      </c>
      <c r="UV99">
        <v>1</v>
      </c>
      <c r="UW99">
        <v>1</v>
      </c>
      <c r="UX99">
        <v>1</v>
      </c>
      <c r="UY99">
        <v>1</v>
      </c>
      <c r="UZ99">
        <v>1</v>
      </c>
      <c r="VA99">
        <v>1</v>
      </c>
      <c r="VB99">
        <v>1</v>
      </c>
      <c r="VC99">
        <v>1</v>
      </c>
      <c r="VD99">
        <v>1</v>
      </c>
      <c r="VE99">
        <v>1</v>
      </c>
      <c r="VF99">
        <v>1</v>
      </c>
      <c r="VG99">
        <v>1</v>
      </c>
      <c r="VH99">
        <v>1</v>
      </c>
      <c r="VI99">
        <v>1</v>
      </c>
      <c r="VJ99">
        <v>1</v>
      </c>
      <c r="VK99">
        <v>1</v>
      </c>
      <c r="VL99">
        <v>1</v>
      </c>
      <c r="VM99">
        <v>1</v>
      </c>
      <c r="VN99">
        <v>1</v>
      </c>
      <c r="VO99">
        <v>1</v>
      </c>
      <c r="VP99">
        <v>1</v>
      </c>
      <c r="VQ99">
        <v>1</v>
      </c>
      <c r="VR99">
        <v>1</v>
      </c>
      <c r="VS99">
        <v>1</v>
      </c>
      <c r="VT99">
        <v>1</v>
      </c>
      <c r="VU99">
        <v>1</v>
      </c>
      <c r="VV99">
        <v>1</v>
      </c>
      <c r="VW99">
        <v>1</v>
      </c>
      <c r="VX99">
        <v>1</v>
      </c>
      <c r="VY99">
        <v>1</v>
      </c>
      <c r="VZ99">
        <v>1</v>
      </c>
      <c r="WA99">
        <v>1</v>
      </c>
      <c r="WB99">
        <v>1</v>
      </c>
      <c r="WC99">
        <v>1</v>
      </c>
      <c r="WD99">
        <v>1</v>
      </c>
      <c r="WE99">
        <v>1</v>
      </c>
      <c r="WF99">
        <v>1</v>
      </c>
      <c r="WG99">
        <v>1</v>
      </c>
      <c r="WH99">
        <v>1</v>
      </c>
      <c r="WI99">
        <v>1</v>
      </c>
      <c r="WJ99">
        <v>1</v>
      </c>
      <c r="WK99">
        <v>1</v>
      </c>
      <c r="WL99">
        <v>1</v>
      </c>
      <c r="WM99">
        <v>1</v>
      </c>
      <c r="WN99">
        <v>1</v>
      </c>
      <c r="WO99">
        <v>1</v>
      </c>
      <c r="WP99">
        <v>1</v>
      </c>
      <c r="WQ99">
        <v>1</v>
      </c>
      <c r="WR99">
        <v>1</v>
      </c>
      <c r="WS99">
        <v>1</v>
      </c>
      <c r="WT99">
        <v>1</v>
      </c>
      <c r="WU99">
        <v>1</v>
      </c>
      <c r="WV99">
        <v>1</v>
      </c>
      <c r="WW99">
        <v>1</v>
      </c>
      <c r="WX99">
        <v>1</v>
      </c>
      <c r="WY99">
        <v>1</v>
      </c>
      <c r="WZ99">
        <v>1</v>
      </c>
      <c r="XA99">
        <v>2</v>
      </c>
      <c r="XB99">
        <v>2</v>
      </c>
      <c r="XC99">
        <v>2</v>
      </c>
      <c r="XD99">
        <v>2</v>
      </c>
      <c r="XE99">
        <v>2</v>
      </c>
      <c r="XF99">
        <v>2</v>
      </c>
      <c r="XG99">
        <v>2</v>
      </c>
      <c r="XH99">
        <v>2</v>
      </c>
      <c r="XI99">
        <v>2</v>
      </c>
      <c r="XJ99">
        <v>2</v>
      </c>
      <c r="XK99">
        <v>2</v>
      </c>
      <c r="XL99">
        <v>2</v>
      </c>
      <c r="XM99">
        <v>2</v>
      </c>
      <c r="XN99">
        <v>2</v>
      </c>
      <c r="XO99">
        <v>2</v>
      </c>
      <c r="XP99">
        <v>2</v>
      </c>
      <c r="XQ99">
        <v>2</v>
      </c>
      <c r="XR99">
        <v>2</v>
      </c>
      <c r="XS99">
        <v>2</v>
      </c>
      <c r="XT99">
        <v>2</v>
      </c>
      <c r="XU99">
        <v>2</v>
      </c>
      <c r="XV99">
        <v>2</v>
      </c>
      <c r="XW99">
        <v>2</v>
      </c>
      <c r="XX99">
        <v>2</v>
      </c>
      <c r="XY99">
        <v>2</v>
      </c>
      <c r="XZ99">
        <v>2</v>
      </c>
      <c r="YA99">
        <v>2</v>
      </c>
      <c r="YB99">
        <v>2</v>
      </c>
      <c r="YC99">
        <v>2</v>
      </c>
      <c r="YD99">
        <v>2</v>
      </c>
      <c r="YE99">
        <v>2</v>
      </c>
      <c r="YF99">
        <v>2</v>
      </c>
      <c r="YG99">
        <v>2</v>
      </c>
      <c r="YH99">
        <v>2</v>
      </c>
      <c r="YI99">
        <v>2</v>
      </c>
      <c r="YJ99">
        <v>2</v>
      </c>
      <c r="YK99">
        <v>2</v>
      </c>
      <c r="YL99">
        <v>2</v>
      </c>
      <c r="YM99">
        <v>2</v>
      </c>
      <c r="YN99">
        <v>2</v>
      </c>
      <c r="YO99">
        <v>2</v>
      </c>
      <c r="YP99">
        <v>2</v>
      </c>
      <c r="YQ99">
        <v>2</v>
      </c>
      <c r="YR99">
        <v>2</v>
      </c>
      <c r="YS99">
        <v>2</v>
      </c>
      <c r="YT99">
        <v>2</v>
      </c>
      <c r="YU99">
        <v>2</v>
      </c>
      <c r="YV99">
        <v>2</v>
      </c>
      <c r="YW99">
        <v>2</v>
      </c>
      <c r="YX99">
        <v>2</v>
      </c>
      <c r="YY99">
        <v>2</v>
      </c>
      <c r="YZ99">
        <v>2</v>
      </c>
      <c r="ZA99">
        <v>2</v>
      </c>
      <c r="ZB99">
        <v>2</v>
      </c>
      <c r="ZC99">
        <v>2</v>
      </c>
      <c r="ZD99">
        <v>2</v>
      </c>
      <c r="ZE99">
        <v>2</v>
      </c>
      <c r="ZF99">
        <v>2</v>
      </c>
      <c r="ZG99">
        <v>2</v>
      </c>
      <c r="ZH99">
        <v>2</v>
      </c>
      <c r="ZI99">
        <v>2</v>
      </c>
      <c r="ZJ99">
        <v>2</v>
      </c>
      <c r="ZK99">
        <v>2</v>
      </c>
      <c r="ZL99">
        <v>2</v>
      </c>
      <c r="ZM99">
        <v>2</v>
      </c>
      <c r="ZN99">
        <v>2</v>
      </c>
      <c r="ZO99">
        <v>2</v>
      </c>
      <c r="ZP99">
        <v>2</v>
      </c>
      <c r="ZQ99">
        <v>2</v>
      </c>
      <c r="ZR99">
        <v>2</v>
      </c>
      <c r="ZS99">
        <v>2</v>
      </c>
      <c r="ZT99">
        <v>2</v>
      </c>
      <c r="ZU99">
        <v>2</v>
      </c>
      <c r="ZV99">
        <v>2</v>
      </c>
      <c r="ZW99">
        <v>2</v>
      </c>
      <c r="ZX99">
        <v>2</v>
      </c>
      <c r="ZY99">
        <v>2</v>
      </c>
      <c r="ZZ99">
        <v>2</v>
      </c>
      <c r="AAA99">
        <v>2</v>
      </c>
      <c r="AAB99">
        <v>2</v>
      </c>
      <c r="AAC99">
        <v>2</v>
      </c>
      <c r="AAD99">
        <v>2</v>
      </c>
      <c r="AAE99">
        <v>2</v>
      </c>
      <c r="AAF99">
        <v>2</v>
      </c>
      <c r="AAG99">
        <v>2</v>
      </c>
      <c r="AAH99">
        <v>2</v>
      </c>
      <c r="AAI99">
        <v>2</v>
      </c>
      <c r="AAJ99">
        <v>2</v>
      </c>
      <c r="AAK99">
        <v>2</v>
      </c>
      <c r="AAL99">
        <v>2</v>
      </c>
      <c r="AAM99">
        <v>2</v>
      </c>
      <c r="AAN99">
        <v>2</v>
      </c>
      <c r="AAO99">
        <v>2</v>
      </c>
      <c r="AAP99">
        <v>2</v>
      </c>
      <c r="AAQ99">
        <v>2</v>
      </c>
      <c r="AAR99">
        <v>2</v>
      </c>
      <c r="AAS99">
        <v>2</v>
      </c>
      <c r="AAT99">
        <v>2</v>
      </c>
      <c r="AAU99">
        <v>2</v>
      </c>
      <c r="AAV99">
        <v>2</v>
      </c>
      <c r="AAW99">
        <v>2</v>
      </c>
      <c r="AAX99">
        <v>2</v>
      </c>
      <c r="AAY99">
        <v>2</v>
      </c>
      <c r="AAZ99">
        <v>2</v>
      </c>
      <c r="ABA99">
        <v>2</v>
      </c>
      <c r="ABB99">
        <v>2</v>
      </c>
      <c r="ABC99">
        <v>2</v>
      </c>
      <c r="ABD99">
        <v>2</v>
      </c>
      <c r="ABE99">
        <v>2</v>
      </c>
      <c r="ABG99" s="1137">
        <f t="shared" si="21"/>
        <v>0</v>
      </c>
      <c r="ABH99" s="1137">
        <f t="shared" si="21"/>
        <v>0</v>
      </c>
      <c r="ABI99" s="1137">
        <f t="shared" si="21"/>
        <v>2</v>
      </c>
      <c r="ABJ99" s="1137">
        <f t="shared" si="21"/>
        <v>30</v>
      </c>
      <c r="ABK99" s="1137">
        <f t="shared" si="21"/>
        <v>17</v>
      </c>
      <c r="ABL99" s="1137">
        <f t="shared" si="21"/>
        <v>0</v>
      </c>
      <c r="ABM99" s="1137">
        <f t="shared" si="21"/>
        <v>0</v>
      </c>
      <c r="ABN99" s="1137">
        <f t="shared" si="21"/>
        <v>0</v>
      </c>
      <c r="ABO99" s="1137">
        <f t="shared" si="21"/>
        <v>0</v>
      </c>
      <c r="ABP99" s="1137">
        <f t="shared" si="21"/>
        <v>0</v>
      </c>
      <c r="ABQ99" s="1137">
        <f t="shared" si="21"/>
        <v>0</v>
      </c>
      <c r="ABR99" s="1137">
        <f t="shared" si="21"/>
        <v>0</v>
      </c>
      <c r="ABS99" s="1137">
        <f t="shared" si="21"/>
        <v>0</v>
      </c>
      <c r="ABT99" s="1137">
        <f t="shared" si="21"/>
        <v>0</v>
      </c>
      <c r="ABU99" s="1137">
        <f t="shared" si="21"/>
        <v>0</v>
      </c>
      <c r="ABV99" s="1137">
        <f t="shared" ref="ABV99" si="25">COUNTIFS($C$3:$ABE$3, ABV$3, $C$4:$ABE$4, ABV$4, $C99:$ABE99, "&gt;0")</f>
        <v>9</v>
      </c>
      <c r="ABW99" s="1137">
        <f t="shared" si="17"/>
        <v>31</v>
      </c>
      <c r="ABX99" s="1137">
        <f t="shared" si="23"/>
        <v>30</v>
      </c>
      <c r="ABY99" s="1137">
        <f t="shared" si="23"/>
        <v>31</v>
      </c>
      <c r="ABZ99" s="1137">
        <f t="shared" si="23"/>
        <v>31</v>
      </c>
      <c r="ACA99" s="1137">
        <f t="shared" si="23"/>
        <v>30</v>
      </c>
      <c r="ACB99" s="1137">
        <f t="shared" si="23"/>
        <v>31</v>
      </c>
      <c r="ACC99" s="1137">
        <f t="shared" si="23"/>
        <v>30</v>
      </c>
      <c r="ACD99" s="1137">
        <f t="shared" si="23"/>
        <v>31</v>
      </c>
      <c r="ACE99" s="1137" t="s">
        <v>41</v>
      </c>
      <c r="ACF99" s="1137">
        <f t="shared" si="22"/>
        <v>0</v>
      </c>
      <c r="ACG99" s="1137">
        <f t="shared" si="22"/>
        <v>0</v>
      </c>
      <c r="ACH99" s="1137">
        <f t="shared" si="22"/>
        <v>0</v>
      </c>
      <c r="ACI99" s="1137">
        <f t="shared" si="22"/>
        <v>1</v>
      </c>
      <c r="ACJ99" s="1137">
        <f t="shared" si="22"/>
        <v>1</v>
      </c>
      <c r="ACK99" s="1137">
        <f t="shared" si="22"/>
        <v>0</v>
      </c>
      <c r="ACL99" s="1137">
        <f t="shared" si="22"/>
        <v>0</v>
      </c>
      <c r="ACM99" s="1137">
        <f t="shared" si="22"/>
        <v>0</v>
      </c>
      <c r="ACN99" s="1137">
        <f t="shared" si="22"/>
        <v>0</v>
      </c>
      <c r="ACO99" s="1137">
        <f t="shared" si="22"/>
        <v>0</v>
      </c>
      <c r="ACP99" s="1137">
        <f t="shared" si="22"/>
        <v>0</v>
      </c>
      <c r="ACQ99" s="1137">
        <f t="shared" si="22"/>
        <v>0</v>
      </c>
      <c r="ACR99" s="1137">
        <f t="shared" si="22"/>
        <v>0</v>
      </c>
      <c r="ACS99" s="1137">
        <f t="shared" si="22"/>
        <v>0</v>
      </c>
      <c r="ACT99" s="1137">
        <f t="shared" si="22"/>
        <v>0</v>
      </c>
      <c r="ACU99" s="1137">
        <f t="shared" si="22"/>
        <v>0</v>
      </c>
      <c r="ACV99" s="1137">
        <f t="shared" si="24"/>
        <v>1</v>
      </c>
      <c r="ACW99" s="1137">
        <f t="shared" si="24"/>
        <v>1</v>
      </c>
      <c r="ACX99" s="1137">
        <f t="shared" si="24"/>
        <v>1</v>
      </c>
      <c r="ACY99" s="1137">
        <f t="shared" si="24"/>
        <v>1</v>
      </c>
      <c r="ACZ99" s="1137">
        <f t="shared" si="24"/>
        <v>1</v>
      </c>
      <c r="ADA99" s="1137">
        <f t="shared" si="24"/>
        <v>1</v>
      </c>
      <c r="ADB99" s="1137">
        <f t="shared" si="16"/>
        <v>1</v>
      </c>
      <c r="ADC99" s="1137">
        <f t="shared" si="16"/>
        <v>1</v>
      </c>
    </row>
    <row r="100" spans="1:783" x14ac:dyDescent="0.25">
      <c r="A100" t="s">
        <v>1898</v>
      </c>
      <c r="B100" t="s">
        <v>208</v>
      </c>
      <c r="C100">
        <v>0</v>
      </c>
      <c r="D100">
        <v>0</v>
      </c>
      <c r="E100">
        <v>0</v>
      </c>
      <c r="F100">
        <v>0</v>
      </c>
      <c r="G100">
        <v>0</v>
      </c>
      <c r="H100">
        <v>0</v>
      </c>
      <c r="I100">
        <v>0</v>
      </c>
      <c r="J100">
        <v>0</v>
      </c>
      <c r="K100">
        <v>0</v>
      </c>
      <c r="L100">
        <v>0</v>
      </c>
      <c r="M100">
        <v>0</v>
      </c>
      <c r="N100">
        <v>0</v>
      </c>
      <c r="O100">
        <v>0</v>
      </c>
      <c r="P100">
        <v>0</v>
      </c>
      <c r="Q100">
        <v>0</v>
      </c>
      <c r="R100">
        <v>0</v>
      </c>
      <c r="S100">
        <v>0</v>
      </c>
      <c r="T100">
        <v>0</v>
      </c>
      <c r="U100">
        <v>0</v>
      </c>
      <c r="V100">
        <v>0</v>
      </c>
      <c r="W100">
        <v>0</v>
      </c>
      <c r="X100">
        <v>0</v>
      </c>
      <c r="Y100">
        <v>0</v>
      </c>
      <c r="Z100">
        <v>0</v>
      </c>
      <c r="AA100">
        <v>0</v>
      </c>
      <c r="AB100">
        <v>0</v>
      </c>
      <c r="AC100">
        <v>0</v>
      </c>
      <c r="AD100">
        <v>0</v>
      </c>
      <c r="AE100">
        <v>0</v>
      </c>
      <c r="AF100">
        <v>0</v>
      </c>
      <c r="AG100">
        <v>0</v>
      </c>
      <c r="AH100">
        <v>0</v>
      </c>
      <c r="AI100">
        <v>0</v>
      </c>
      <c r="AJ100">
        <v>0</v>
      </c>
      <c r="AK100">
        <v>0</v>
      </c>
      <c r="AL100">
        <v>0</v>
      </c>
      <c r="AM100">
        <v>0</v>
      </c>
      <c r="AN100">
        <v>0</v>
      </c>
      <c r="AO100">
        <v>0</v>
      </c>
      <c r="AP100">
        <v>0</v>
      </c>
      <c r="AQ100">
        <v>0</v>
      </c>
      <c r="AR100">
        <v>0</v>
      </c>
      <c r="AS100">
        <v>0</v>
      </c>
      <c r="AT100">
        <v>0</v>
      </c>
      <c r="AU100">
        <v>0</v>
      </c>
      <c r="AV100">
        <v>0</v>
      </c>
      <c r="AW100">
        <v>0</v>
      </c>
      <c r="AX100">
        <v>0</v>
      </c>
      <c r="AY100">
        <v>0</v>
      </c>
      <c r="AZ100">
        <v>0</v>
      </c>
      <c r="BA100">
        <v>0</v>
      </c>
      <c r="BB100">
        <v>0</v>
      </c>
      <c r="BC100">
        <v>0</v>
      </c>
      <c r="BD100">
        <v>0</v>
      </c>
      <c r="BE100">
        <v>0</v>
      </c>
      <c r="BF100">
        <v>0</v>
      </c>
      <c r="BG100">
        <v>0</v>
      </c>
      <c r="BH100">
        <v>0</v>
      </c>
      <c r="BI100">
        <v>0</v>
      </c>
      <c r="BJ100">
        <v>0</v>
      </c>
      <c r="BK100">
        <v>0</v>
      </c>
      <c r="BL100">
        <v>0</v>
      </c>
      <c r="BM100">
        <v>0</v>
      </c>
      <c r="BN100">
        <v>0</v>
      </c>
      <c r="BO100">
        <v>0</v>
      </c>
      <c r="BP100">
        <v>0</v>
      </c>
      <c r="BQ100">
        <v>0</v>
      </c>
      <c r="BR100">
        <v>0</v>
      </c>
      <c r="BS100">
        <v>0</v>
      </c>
      <c r="BT100">
        <v>0</v>
      </c>
      <c r="BU100">
        <v>0</v>
      </c>
      <c r="BV100">
        <v>0</v>
      </c>
      <c r="BW100">
        <v>0</v>
      </c>
      <c r="BX100">
        <v>0</v>
      </c>
      <c r="BY100">
        <v>0</v>
      </c>
      <c r="BZ100">
        <v>1</v>
      </c>
      <c r="CA100">
        <v>1</v>
      </c>
      <c r="CB100">
        <v>1</v>
      </c>
      <c r="CC100">
        <v>1</v>
      </c>
      <c r="CD100">
        <v>1</v>
      </c>
      <c r="CE100">
        <v>1</v>
      </c>
      <c r="CF100">
        <v>1</v>
      </c>
      <c r="CG100">
        <v>1</v>
      </c>
      <c r="CH100">
        <v>1</v>
      </c>
      <c r="CI100">
        <v>1</v>
      </c>
      <c r="CJ100">
        <v>1</v>
      </c>
      <c r="CK100">
        <v>1</v>
      </c>
      <c r="CL100">
        <v>1</v>
      </c>
      <c r="CM100">
        <v>1</v>
      </c>
      <c r="CN100">
        <v>1</v>
      </c>
      <c r="CO100">
        <v>1</v>
      </c>
      <c r="CP100">
        <v>1</v>
      </c>
      <c r="CQ100">
        <v>1</v>
      </c>
      <c r="CR100">
        <v>1</v>
      </c>
      <c r="CS100">
        <v>1</v>
      </c>
      <c r="CT100">
        <v>1</v>
      </c>
      <c r="CU100">
        <v>1</v>
      </c>
      <c r="CV100">
        <v>1</v>
      </c>
      <c r="CW100">
        <v>1</v>
      </c>
      <c r="CX100">
        <v>1</v>
      </c>
      <c r="CY100">
        <v>1</v>
      </c>
      <c r="CZ100">
        <v>1</v>
      </c>
      <c r="DA100">
        <v>1</v>
      </c>
      <c r="DB100">
        <v>1</v>
      </c>
      <c r="DC100">
        <v>1</v>
      </c>
      <c r="DD100">
        <v>1</v>
      </c>
      <c r="DE100">
        <v>1</v>
      </c>
      <c r="DF100">
        <v>1</v>
      </c>
      <c r="DG100">
        <v>1</v>
      </c>
      <c r="DH100">
        <v>1</v>
      </c>
      <c r="DI100">
        <v>1</v>
      </c>
      <c r="DJ100">
        <v>1</v>
      </c>
      <c r="DK100">
        <v>1</v>
      </c>
      <c r="DL100">
        <v>1</v>
      </c>
      <c r="DM100">
        <v>1</v>
      </c>
      <c r="DN100">
        <v>1</v>
      </c>
      <c r="DO100">
        <v>1</v>
      </c>
      <c r="DP100">
        <v>1</v>
      </c>
      <c r="DQ100">
        <v>1</v>
      </c>
      <c r="DR100">
        <v>1</v>
      </c>
      <c r="DS100">
        <v>1</v>
      </c>
      <c r="DT100">
        <v>1</v>
      </c>
      <c r="DU100">
        <v>1</v>
      </c>
      <c r="DV100">
        <v>1</v>
      </c>
      <c r="DW100">
        <v>1</v>
      </c>
      <c r="DX100">
        <v>1</v>
      </c>
      <c r="DY100">
        <v>1</v>
      </c>
      <c r="DZ100">
        <v>1</v>
      </c>
      <c r="EA100">
        <v>1</v>
      </c>
      <c r="EB100">
        <v>1</v>
      </c>
      <c r="EC100">
        <v>1</v>
      </c>
      <c r="ED100">
        <v>1</v>
      </c>
      <c r="EE100">
        <v>1</v>
      </c>
      <c r="EF100">
        <v>1</v>
      </c>
      <c r="EG100">
        <v>1</v>
      </c>
      <c r="EH100">
        <v>1</v>
      </c>
      <c r="EI100">
        <v>1</v>
      </c>
      <c r="EJ100">
        <v>1</v>
      </c>
      <c r="EK100">
        <v>1</v>
      </c>
      <c r="EL100">
        <v>1</v>
      </c>
      <c r="EM100">
        <v>1</v>
      </c>
      <c r="EN100">
        <v>1</v>
      </c>
      <c r="EO100">
        <v>1</v>
      </c>
      <c r="EP100">
        <v>1</v>
      </c>
      <c r="EQ100">
        <v>1</v>
      </c>
      <c r="ER100">
        <v>1</v>
      </c>
      <c r="ES100">
        <v>1</v>
      </c>
      <c r="ET100">
        <v>1</v>
      </c>
      <c r="EU100">
        <v>1</v>
      </c>
      <c r="EV100">
        <v>1</v>
      </c>
      <c r="EW100">
        <v>1</v>
      </c>
      <c r="EX100">
        <v>1</v>
      </c>
      <c r="EY100">
        <v>1</v>
      </c>
      <c r="EZ100">
        <v>1</v>
      </c>
      <c r="FA100">
        <v>1</v>
      </c>
      <c r="FB100">
        <v>1</v>
      </c>
      <c r="FC100">
        <v>1</v>
      </c>
      <c r="FD100">
        <v>1</v>
      </c>
      <c r="FE100">
        <v>1</v>
      </c>
      <c r="FF100">
        <v>1</v>
      </c>
      <c r="FG100">
        <v>1</v>
      </c>
      <c r="FH100">
        <v>1</v>
      </c>
      <c r="FI100">
        <v>1</v>
      </c>
      <c r="FJ100">
        <v>1</v>
      </c>
      <c r="FK100">
        <v>1</v>
      </c>
      <c r="FL100">
        <v>1</v>
      </c>
      <c r="FM100">
        <v>1</v>
      </c>
      <c r="FN100">
        <v>1</v>
      </c>
      <c r="FO100">
        <v>1</v>
      </c>
      <c r="FP100">
        <v>1</v>
      </c>
      <c r="FQ100">
        <v>1</v>
      </c>
      <c r="FR100">
        <v>1</v>
      </c>
      <c r="FS100">
        <v>1</v>
      </c>
      <c r="FT100">
        <v>1</v>
      </c>
      <c r="FU100">
        <v>1</v>
      </c>
      <c r="FV100">
        <v>1</v>
      </c>
      <c r="FW100">
        <v>1</v>
      </c>
      <c r="FX100">
        <v>1</v>
      </c>
      <c r="FY100">
        <v>1</v>
      </c>
      <c r="FZ100">
        <v>1</v>
      </c>
      <c r="GA100">
        <v>1</v>
      </c>
      <c r="GB100">
        <v>1</v>
      </c>
      <c r="GC100">
        <v>1</v>
      </c>
      <c r="GD100">
        <v>1</v>
      </c>
      <c r="GE100">
        <v>1</v>
      </c>
      <c r="GF100">
        <v>1</v>
      </c>
      <c r="GG100">
        <v>1</v>
      </c>
      <c r="GH100">
        <v>1</v>
      </c>
      <c r="GI100">
        <v>1</v>
      </c>
      <c r="GJ100">
        <v>1</v>
      </c>
      <c r="GK100">
        <v>1</v>
      </c>
      <c r="GL100">
        <v>1</v>
      </c>
      <c r="GM100">
        <v>1</v>
      </c>
      <c r="GN100">
        <v>1</v>
      </c>
      <c r="GO100">
        <v>1</v>
      </c>
      <c r="GP100">
        <v>1</v>
      </c>
      <c r="GQ100">
        <v>1</v>
      </c>
      <c r="GR100">
        <v>1</v>
      </c>
      <c r="GS100">
        <v>1</v>
      </c>
      <c r="GT100">
        <v>1</v>
      </c>
      <c r="GU100">
        <v>1</v>
      </c>
      <c r="GV100">
        <v>0</v>
      </c>
      <c r="GW100">
        <v>0</v>
      </c>
      <c r="GX100">
        <v>0</v>
      </c>
      <c r="GY100">
        <v>0</v>
      </c>
      <c r="GZ100">
        <v>0</v>
      </c>
      <c r="HA100">
        <v>0</v>
      </c>
      <c r="HB100">
        <v>0</v>
      </c>
      <c r="HC100">
        <v>0</v>
      </c>
      <c r="HD100">
        <v>0</v>
      </c>
      <c r="HE100">
        <v>0</v>
      </c>
      <c r="HF100">
        <v>0</v>
      </c>
      <c r="HG100">
        <v>0</v>
      </c>
      <c r="HH100">
        <v>0</v>
      </c>
      <c r="HI100">
        <v>0</v>
      </c>
      <c r="HJ100">
        <v>0</v>
      </c>
      <c r="HK100">
        <v>0</v>
      </c>
      <c r="HL100">
        <v>0</v>
      </c>
      <c r="HM100">
        <v>0</v>
      </c>
      <c r="HN100">
        <v>0</v>
      </c>
      <c r="HO100">
        <v>0</v>
      </c>
      <c r="HP100">
        <v>0</v>
      </c>
      <c r="HQ100">
        <v>0</v>
      </c>
      <c r="HR100">
        <v>0</v>
      </c>
      <c r="HS100">
        <v>0</v>
      </c>
      <c r="HT100">
        <v>0</v>
      </c>
      <c r="HU100">
        <v>0</v>
      </c>
      <c r="HV100">
        <v>0</v>
      </c>
      <c r="HW100">
        <v>0</v>
      </c>
      <c r="HX100">
        <v>0</v>
      </c>
      <c r="HY100">
        <v>0</v>
      </c>
      <c r="HZ100">
        <v>0</v>
      </c>
      <c r="IA100">
        <v>0</v>
      </c>
      <c r="IB100">
        <v>2</v>
      </c>
      <c r="IC100">
        <v>2</v>
      </c>
      <c r="ID100">
        <v>2</v>
      </c>
      <c r="IE100">
        <v>2</v>
      </c>
      <c r="IF100">
        <v>2</v>
      </c>
      <c r="IG100">
        <v>2</v>
      </c>
      <c r="IH100">
        <v>2</v>
      </c>
      <c r="II100">
        <v>2</v>
      </c>
      <c r="IJ100">
        <v>2</v>
      </c>
      <c r="IK100">
        <v>2</v>
      </c>
      <c r="IL100">
        <v>2</v>
      </c>
      <c r="IM100">
        <v>2</v>
      </c>
      <c r="IN100">
        <v>2</v>
      </c>
      <c r="IO100">
        <v>2</v>
      </c>
      <c r="IP100">
        <v>2</v>
      </c>
      <c r="IQ100">
        <v>2</v>
      </c>
      <c r="IR100">
        <v>2</v>
      </c>
      <c r="IS100">
        <v>2</v>
      </c>
      <c r="IT100">
        <v>2</v>
      </c>
      <c r="IU100">
        <v>2</v>
      </c>
      <c r="IV100">
        <v>2</v>
      </c>
      <c r="IW100">
        <v>2</v>
      </c>
      <c r="IX100">
        <v>2</v>
      </c>
      <c r="IY100">
        <v>2</v>
      </c>
      <c r="IZ100">
        <v>2</v>
      </c>
      <c r="JA100">
        <v>2</v>
      </c>
      <c r="JB100">
        <v>2</v>
      </c>
      <c r="JC100">
        <v>2</v>
      </c>
      <c r="JD100">
        <v>2</v>
      </c>
      <c r="JE100">
        <v>2</v>
      </c>
      <c r="JF100">
        <v>2</v>
      </c>
      <c r="JG100">
        <v>2</v>
      </c>
      <c r="JH100">
        <v>2</v>
      </c>
      <c r="JI100">
        <v>2</v>
      </c>
      <c r="JJ100">
        <v>2</v>
      </c>
      <c r="JK100">
        <v>2</v>
      </c>
      <c r="JL100">
        <v>2</v>
      </c>
      <c r="JM100">
        <v>2</v>
      </c>
      <c r="JN100">
        <v>2</v>
      </c>
      <c r="JO100">
        <v>2</v>
      </c>
      <c r="JP100">
        <v>2</v>
      </c>
      <c r="JQ100">
        <v>2</v>
      </c>
      <c r="JR100">
        <v>2</v>
      </c>
      <c r="JS100">
        <v>2</v>
      </c>
      <c r="JT100">
        <v>2</v>
      </c>
      <c r="JU100">
        <v>2</v>
      </c>
      <c r="JV100">
        <v>2</v>
      </c>
      <c r="JW100">
        <v>2</v>
      </c>
      <c r="JX100">
        <v>2</v>
      </c>
      <c r="JY100">
        <v>2</v>
      </c>
      <c r="JZ100">
        <v>2</v>
      </c>
      <c r="KA100">
        <v>2</v>
      </c>
      <c r="KB100">
        <v>2</v>
      </c>
      <c r="KC100">
        <v>2</v>
      </c>
      <c r="KD100">
        <v>2</v>
      </c>
      <c r="KE100">
        <v>2</v>
      </c>
      <c r="KF100">
        <v>2</v>
      </c>
      <c r="KG100">
        <v>2</v>
      </c>
      <c r="KH100">
        <v>2</v>
      </c>
      <c r="KI100">
        <v>2</v>
      </c>
      <c r="KJ100">
        <v>2</v>
      </c>
      <c r="KK100">
        <v>2</v>
      </c>
      <c r="KL100">
        <v>2</v>
      </c>
      <c r="KM100">
        <v>2</v>
      </c>
      <c r="KN100">
        <v>2</v>
      </c>
      <c r="KO100">
        <v>2</v>
      </c>
      <c r="KP100">
        <v>2</v>
      </c>
      <c r="KQ100">
        <v>2</v>
      </c>
      <c r="KR100">
        <v>2</v>
      </c>
      <c r="KS100">
        <v>2</v>
      </c>
      <c r="KT100">
        <v>2</v>
      </c>
      <c r="KU100">
        <v>2</v>
      </c>
      <c r="KV100">
        <v>2</v>
      </c>
      <c r="KW100">
        <v>2</v>
      </c>
      <c r="KX100">
        <v>2</v>
      </c>
      <c r="KY100">
        <v>2</v>
      </c>
      <c r="KZ100">
        <v>2</v>
      </c>
      <c r="LA100">
        <v>2</v>
      </c>
      <c r="LB100">
        <v>2</v>
      </c>
      <c r="LC100">
        <v>2</v>
      </c>
      <c r="LD100">
        <v>2</v>
      </c>
      <c r="LE100">
        <v>2</v>
      </c>
      <c r="LF100">
        <v>2</v>
      </c>
      <c r="LG100">
        <v>2</v>
      </c>
      <c r="LH100">
        <v>2</v>
      </c>
      <c r="LI100">
        <v>2</v>
      </c>
      <c r="LJ100">
        <v>2</v>
      </c>
      <c r="LK100">
        <v>2</v>
      </c>
      <c r="LL100">
        <v>2</v>
      </c>
      <c r="LM100">
        <v>2</v>
      </c>
      <c r="LN100">
        <v>2</v>
      </c>
      <c r="LO100">
        <v>2</v>
      </c>
      <c r="LP100">
        <v>2</v>
      </c>
      <c r="LQ100">
        <v>2</v>
      </c>
      <c r="LR100">
        <v>2</v>
      </c>
      <c r="LS100">
        <v>2</v>
      </c>
      <c r="LT100">
        <v>2</v>
      </c>
      <c r="LU100">
        <v>2</v>
      </c>
      <c r="LV100">
        <v>2</v>
      </c>
      <c r="LW100">
        <v>2</v>
      </c>
      <c r="LX100">
        <v>2</v>
      </c>
      <c r="LY100">
        <v>2</v>
      </c>
      <c r="LZ100">
        <v>2</v>
      </c>
      <c r="MA100">
        <v>2</v>
      </c>
      <c r="MB100">
        <v>2</v>
      </c>
      <c r="MC100">
        <v>2</v>
      </c>
      <c r="MD100">
        <v>2</v>
      </c>
      <c r="ME100">
        <v>2</v>
      </c>
      <c r="MF100">
        <v>2</v>
      </c>
      <c r="MG100">
        <v>2</v>
      </c>
      <c r="MH100">
        <v>2</v>
      </c>
      <c r="MI100">
        <v>2</v>
      </c>
      <c r="MJ100">
        <v>2</v>
      </c>
      <c r="MK100">
        <v>2</v>
      </c>
      <c r="ML100">
        <v>2</v>
      </c>
      <c r="MM100">
        <v>2</v>
      </c>
      <c r="MN100">
        <v>2</v>
      </c>
      <c r="MO100">
        <v>2</v>
      </c>
      <c r="MP100">
        <v>2</v>
      </c>
      <c r="MQ100">
        <v>2</v>
      </c>
      <c r="MR100">
        <v>2</v>
      </c>
      <c r="MS100">
        <v>2</v>
      </c>
      <c r="MT100">
        <v>2</v>
      </c>
      <c r="MU100">
        <v>2</v>
      </c>
      <c r="MV100">
        <v>2</v>
      </c>
      <c r="MW100">
        <v>2</v>
      </c>
      <c r="MX100">
        <v>2</v>
      </c>
      <c r="MY100">
        <v>2</v>
      </c>
      <c r="MZ100">
        <v>2</v>
      </c>
      <c r="NA100">
        <v>2</v>
      </c>
      <c r="NB100">
        <v>2</v>
      </c>
      <c r="NC100">
        <v>2</v>
      </c>
      <c r="ND100">
        <v>2</v>
      </c>
      <c r="NE100">
        <v>2</v>
      </c>
      <c r="NF100">
        <v>2</v>
      </c>
      <c r="NG100">
        <v>2</v>
      </c>
      <c r="NH100">
        <v>2</v>
      </c>
      <c r="NI100">
        <v>2</v>
      </c>
      <c r="NJ100">
        <v>2</v>
      </c>
      <c r="NK100">
        <v>2</v>
      </c>
      <c r="NL100">
        <v>2</v>
      </c>
      <c r="NM100">
        <v>2</v>
      </c>
      <c r="NN100">
        <v>2</v>
      </c>
      <c r="NO100">
        <v>2</v>
      </c>
      <c r="NP100">
        <v>2</v>
      </c>
      <c r="NQ100">
        <v>2</v>
      </c>
      <c r="NR100">
        <v>2</v>
      </c>
      <c r="NS100">
        <v>2</v>
      </c>
      <c r="NT100">
        <v>2</v>
      </c>
      <c r="NU100">
        <v>2</v>
      </c>
      <c r="NV100">
        <v>2</v>
      </c>
      <c r="NW100">
        <v>2</v>
      </c>
      <c r="NX100">
        <v>2</v>
      </c>
      <c r="NY100">
        <v>2</v>
      </c>
      <c r="NZ100">
        <v>2</v>
      </c>
      <c r="OA100">
        <v>2</v>
      </c>
      <c r="OB100">
        <v>2</v>
      </c>
      <c r="OC100">
        <v>2</v>
      </c>
      <c r="OD100">
        <v>2</v>
      </c>
      <c r="OE100">
        <v>2</v>
      </c>
      <c r="OF100">
        <v>2</v>
      </c>
      <c r="OG100">
        <v>2</v>
      </c>
      <c r="OH100">
        <v>2</v>
      </c>
      <c r="OI100">
        <v>2</v>
      </c>
      <c r="OJ100">
        <v>2</v>
      </c>
      <c r="OK100">
        <v>2</v>
      </c>
      <c r="OL100">
        <v>2</v>
      </c>
      <c r="OM100">
        <v>2</v>
      </c>
      <c r="ON100">
        <v>2</v>
      </c>
      <c r="OO100">
        <v>2</v>
      </c>
      <c r="OP100">
        <v>2</v>
      </c>
      <c r="OQ100">
        <v>2</v>
      </c>
      <c r="OR100">
        <v>2</v>
      </c>
      <c r="OS100">
        <v>2</v>
      </c>
      <c r="OT100">
        <v>2</v>
      </c>
      <c r="OU100">
        <v>2</v>
      </c>
      <c r="OV100">
        <v>2</v>
      </c>
      <c r="OW100">
        <v>2</v>
      </c>
      <c r="OX100">
        <v>2</v>
      </c>
      <c r="OY100">
        <v>2</v>
      </c>
      <c r="OZ100">
        <v>2</v>
      </c>
      <c r="PA100">
        <v>2</v>
      </c>
      <c r="PB100">
        <v>2</v>
      </c>
      <c r="PC100">
        <v>2</v>
      </c>
      <c r="PD100">
        <v>2</v>
      </c>
      <c r="PE100">
        <v>2</v>
      </c>
      <c r="PF100">
        <v>2</v>
      </c>
      <c r="PG100">
        <v>2</v>
      </c>
      <c r="PH100">
        <v>2</v>
      </c>
      <c r="PI100">
        <v>2</v>
      </c>
      <c r="PJ100">
        <v>2</v>
      </c>
      <c r="PK100">
        <v>2</v>
      </c>
      <c r="PL100">
        <v>2</v>
      </c>
      <c r="PM100">
        <v>2</v>
      </c>
      <c r="PN100">
        <v>2</v>
      </c>
      <c r="PO100">
        <v>2</v>
      </c>
      <c r="PP100">
        <v>2</v>
      </c>
      <c r="PQ100">
        <v>2</v>
      </c>
      <c r="PR100">
        <v>2</v>
      </c>
      <c r="PS100">
        <v>2</v>
      </c>
      <c r="PT100">
        <v>2</v>
      </c>
      <c r="PU100">
        <v>2</v>
      </c>
      <c r="PV100">
        <v>2</v>
      </c>
      <c r="PW100">
        <v>2</v>
      </c>
      <c r="PX100">
        <v>2</v>
      </c>
      <c r="PY100">
        <v>2</v>
      </c>
      <c r="PZ100">
        <v>2</v>
      </c>
      <c r="QA100">
        <v>2</v>
      </c>
      <c r="QB100">
        <v>2</v>
      </c>
      <c r="QC100">
        <v>2</v>
      </c>
      <c r="QD100">
        <v>2</v>
      </c>
      <c r="QE100">
        <v>2</v>
      </c>
      <c r="QF100">
        <v>2</v>
      </c>
      <c r="QG100">
        <v>2</v>
      </c>
      <c r="QH100">
        <v>2</v>
      </c>
      <c r="QI100">
        <v>2</v>
      </c>
      <c r="QJ100">
        <v>2</v>
      </c>
      <c r="QK100">
        <v>2</v>
      </c>
      <c r="QL100">
        <v>2</v>
      </c>
      <c r="QM100">
        <v>2</v>
      </c>
      <c r="QN100">
        <v>2</v>
      </c>
      <c r="QO100">
        <v>2</v>
      </c>
      <c r="QP100">
        <v>2</v>
      </c>
      <c r="QQ100">
        <v>2</v>
      </c>
      <c r="QR100">
        <v>2</v>
      </c>
      <c r="QS100">
        <v>2</v>
      </c>
      <c r="QT100">
        <v>2</v>
      </c>
      <c r="QU100">
        <v>2</v>
      </c>
      <c r="QV100">
        <v>2</v>
      </c>
      <c r="QW100">
        <v>2</v>
      </c>
      <c r="QX100">
        <v>2</v>
      </c>
      <c r="QY100">
        <v>2</v>
      </c>
      <c r="QZ100">
        <v>2</v>
      </c>
      <c r="RA100">
        <v>2</v>
      </c>
      <c r="RB100">
        <v>2</v>
      </c>
      <c r="RC100">
        <v>2</v>
      </c>
      <c r="RD100">
        <v>2</v>
      </c>
      <c r="RE100">
        <v>2</v>
      </c>
      <c r="RF100">
        <v>2</v>
      </c>
      <c r="RG100">
        <v>2</v>
      </c>
      <c r="RH100">
        <v>2</v>
      </c>
      <c r="RI100">
        <v>2</v>
      </c>
      <c r="RJ100">
        <v>2</v>
      </c>
      <c r="RK100">
        <v>2</v>
      </c>
      <c r="RL100">
        <v>2</v>
      </c>
      <c r="RM100">
        <v>2</v>
      </c>
      <c r="RN100">
        <v>2</v>
      </c>
      <c r="RO100">
        <v>2</v>
      </c>
      <c r="RP100">
        <v>2</v>
      </c>
      <c r="RQ100">
        <v>2</v>
      </c>
      <c r="RR100">
        <v>2</v>
      </c>
      <c r="RS100">
        <v>2</v>
      </c>
      <c r="RT100">
        <v>2</v>
      </c>
      <c r="RU100">
        <v>2</v>
      </c>
      <c r="RV100">
        <v>2</v>
      </c>
      <c r="RW100">
        <v>2</v>
      </c>
      <c r="RX100">
        <v>2</v>
      </c>
      <c r="RY100">
        <v>2</v>
      </c>
      <c r="RZ100">
        <v>2</v>
      </c>
      <c r="SA100">
        <v>2</v>
      </c>
      <c r="SB100">
        <v>2</v>
      </c>
      <c r="SC100">
        <v>2</v>
      </c>
      <c r="SD100">
        <v>2</v>
      </c>
      <c r="SE100">
        <v>2</v>
      </c>
      <c r="SF100">
        <v>2</v>
      </c>
      <c r="SG100">
        <v>2</v>
      </c>
      <c r="SH100">
        <v>2</v>
      </c>
      <c r="SI100">
        <v>2</v>
      </c>
      <c r="SJ100">
        <v>2</v>
      </c>
      <c r="SK100">
        <v>2</v>
      </c>
      <c r="SL100">
        <v>2</v>
      </c>
      <c r="SM100">
        <v>2</v>
      </c>
      <c r="SN100">
        <v>2</v>
      </c>
      <c r="SO100">
        <v>2</v>
      </c>
      <c r="SP100">
        <v>2</v>
      </c>
      <c r="SQ100">
        <v>2</v>
      </c>
      <c r="SR100">
        <v>2</v>
      </c>
      <c r="SS100">
        <v>2</v>
      </c>
      <c r="ST100">
        <v>2</v>
      </c>
      <c r="SU100">
        <v>2</v>
      </c>
      <c r="SV100">
        <v>2</v>
      </c>
      <c r="SW100">
        <v>2</v>
      </c>
      <c r="SX100">
        <v>2</v>
      </c>
      <c r="SY100">
        <v>2</v>
      </c>
      <c r="SZ100">
        <v>2</v>
      </c>
      <c r="TA100">
        <v>2</v>
      </c>
      <c r="TB100">
        <v>2</v>
      </c>
      <c r="TC100">
        <v>2</v>
      </c>
      <c r="TD100">
        <v>2</v>
      </c>
      <c r="TE100">
        <v>2</v>
      </c>
      <c r="TF100">
        <v>2</v>
      </c>
      <c r="TG100">
        <v>2</v>
      </c>
      <c r="TH100">
        <v>2</v>
      </c>
      <c r="TI100">
        <v>2</v>
      </c>
      <c r="TJ100">
        <v>2</v>
      </c>
      <c r="TK100">
        <v>2</v>
      </c>
      <c r="TL100">
        <v>2</v>
      </c>
      <c r="TM100">
        <v>2</v>
      </c>
      <c r="TN100">
        <v>2</v>
      </c>
      <c r="TO100">
        <v>2</v>
      </c>
      <c r="TP100">
        <v>2</v>
      </c>
      <c r="TQ100">
        <v>2</v>
      </c>
      <c r="TR100">
        <v>2</v>
      </c>
      <c r="TS100">
        <v>2</v>
      </c>
      <c r="TT100">
        <v>2</v>
      </c>
      <c r="TU100">
        <v>2</v>
      </c>
      <c r="TV100">
        <v>2</v>
      </c>
      <c r="TW100">
        <v>2</v>
      </c>
      <c r="TX100">
        <v>2</v>
      </c>
      <c r="TY100">
        <v>2</v>
      </c>
      <c r="TZ100">
        <v>2</v>
      </c>
      <c r="UA100">
        <v>2</v>
      </c>
      <c r="UB100">
        <v>2</v>
      </c>
      <c r="UC100">
        <v>2</v>
      </c>
      <c r="UD100">
        <v>2</v>
      </c>
      <c r="UE100">
        <v>2</v>
      </c>
      <c r="UF100">
        <v>2</v>
      </c>
      <c r="UG100">
        <v>2</v>
      </c>
      <c r="UH100">
        <v>2</v>
      </c>
      <c r="UI100">
        <v>2</v>
      </c>
      <c r="UJ100">
        <v>2</v>
      </c>
      <c r="UK100">
        <v>2</v>
      </c>
      <c r="UL100">
        <v>2</v>
      </c>
      <c r="UM100">
        <v>2</v>
      </c>
      <c r="UN100">
        <v>2</v>
      </c>
      <c r="UO100">
        <v>2</v>
      </c>
      <c r="UP100">
        <v>2</v>
      </c>
      <c r="UQ100">
        <v>2</v>
      </c>
      <c r="UR100">
        <v>2</v>
      </c>
      <c r="US100">
        <v>2</v>
      </c>
      <c r="UT100">
        <v>2</v>
      </c>
      <c r="UU100">
        <v>2</v>
      </c>
      <c r="UV100">
        <v>2</v>
      </c>
      <c r="UW100">
        <v>2</v>
      </c>
      <c r="UX100">
        <v>2</v>
      </c>
      <c r="UY100">
        <v>2</v>
      </c>
      <c r="UZ100">
        <v>2</v>
      </c>
      <c r="VA100">
        <v>2</v>
      </c>
      <c r="VB100">
        <v>2</v>
      </c>
      <c r="VC100">
        <v>2</v>
      </c>
      <c r="VD100">
        <v>2</v>
      </c>
      <c r="VE100">
        <v>2</v>
      </c>
      <c r="VF100">
        <v>2</v>
      </c>
      <c r="VG100">
        <v>2</v>
      </c>
      <c r="VH100">
        <v>2</v>
      </c>
      <c r="VI100">
        <v>2</v>
      </c>
      <c r="VJ100">
        <v>2</v>
      </c>
      <c r="VK100">
        <v>2</v>
      </c>
      <c r="VL100">
        <v>2</v>
      </c>
      <c r="VM100">
        <v>2</v>
      </c>
      <c r="VN100">
        <v>2</v>
      </c>
      <c r="VO100">
        <v>2</v>
      </c>
      <c r="VP100">
        <v>2</v>
      </c>
      <c r="VQ100">
        <v>2</v>
      </c>
      <c r="VR100">
        <v>2</v>
      </c>
      <c r="VS100">
        <v>2</v>
      </c>
      <c r="VT100">
        <v>2</v>
      </c>
      <c r="VU100">
        <v>2</v>
      </c>
      <c r="VV100">
        <v>2</v>
      </c>
      <c r="VW100">
        <v>2</v>
      </c>
      <c r="VX100">
        <v>2</v>
      </c>
      <c r="VY100">
        <v>2</v>
      </c>
      <c r="VZ100">
        <v>2</v>
      </c>
      <c r="WA100">
        <v>2</v>
      </c>
      <c r="WB100">
        <v>2</v>
      </c>
      <c r="WC100">
        <v>2</v>
      </c>
      <c r="WD100">
        <v>2</v>
      </c>
      <c r="WE100">
        <v>2</v>
      </c>
      <c r="WF100">
        <v>2</v>
      </c>
      <c r="WG100">
        <v>2</v>
      </c>
      <c r="WH100">
        <v>2</v>
      </c>
      <c r="WI100">
        <v>2</v>
      </c>
      <c r="WJ100">
        <v>2</v>
      </c>
      <c r="WK100">
        <v>2</v>
      </c>
      <c r="WL100">
        <v>2</v>
      </c>
      <c r="WM100">
        <v>2</v>
      </c>
      <c r="WN100">
        <v>2</v>
      </c>
      <c r="WO100">
        <v>2</v>
      </c>
      <c r="WP100">
        <v>2</v>
      </c>
      <c r="WQ100">
        <v>2</v>
      </c>
      <c r="WR100">
        <v>2</v>
      </c>
      <c r="WS100">
        <v>2</v>
      </c>
      <c r="WT100">
        <v>2</v>
      </c>
      <c r="WU100">
        <v>2</v>
      </c>
      <c r="WV100">
        <v>2</v>
      </c>
      <c r="WW100">
        <v>2</v>
      </c>
      <c r="WX100">
        <v>2</v>
      </c>
      <c r="WY100">
        <v>2</v>
      </c>
      <c r="WZ100">
        <v>2</v>
      </c>
      <c r="XA100">
        <v>2</v>
      </c>
      <c r="XB100">
        <v>2</v>
      </c>
      <c r="XC100">
        <v>2</v>
      </c>
      <c r="XD100">
        <v>2</v>
      </c>
      <c r="XE100">
        <v>2</v>
      </c>
      <c r="XF100">
        <v>2</v>
      </c>
      <c r="XG100">
        <v>2</v>
      </c>
      <c r="XH100">
        <v>2</v>
      </c>
      <c r="XI100">
        <v>2</v>
      </c>
      <c r="XJ100">
        <v>2</v>
      </c>
      <c r="XK100">
        <v>2</v>
      </c>
      <c r="XL100">
        <v>2</v>
      </c>
      <c r="XM100">
        <v>2</v>
      </c>
      <c r="XN100">
        <v>0</v>
      </c>
      <c r="XO100">
        <v>0</v>
      </c>
      <c r="XP100">
        <v>0</v>
      </c>
      <c r="XQ100">
        <v>0</v>
      </c>
      <c r="XR100">
        <v>0</v>
      </c>
      <c r="XS100">
        <v>0</v>
      </c>
      <c r="XT100">
        <v>0</v>
      </c>
      <c r="XU100">
        <v>0</v>
      </c>
      <c r="XV100">
        <v>0</v>
      </c>
      <c r="XW100">
        <v>0</v>
      </c>
      <c r="XX100">
        <v>0</v>
      </c>
      <c r="XY100">
        <v>0</v>
      </c>
      <c r="XZ100">
        <v>0</v>
      </c>
      <c r="YA100">
        <v>0</v>
      </c>
      <c r="YB100">
        <v>0</v>
      </c>
      <c r="YC100">
        <v>0</v>
      </c>
      <c r="YD100">
        <v>0</v>
      </c>
      <c r="YE100">
        <v>0</v>
      </c>
      <c r="YF100">
        <v>0</v>
      </c>
      <c r="YG100">
        <v>0</v>
      </c>
      <c r="YH100">
        <v>0</v>
      </c>
      <c r="YI100">
        <v>0</v>
      </c>
      <c r="YJ100">
        <v>0</v>
      </c>
      <c r="YK100">
        <v>0</v>
      </c>
      <c r="YL100">
        <v>0</v>
      </c>
      <c r="YM100">
        <v>0</v>
      </c>
      <c r="YN100">
        <v>0</v>
      </c>
      <c r="YO100">
        <v>0</v>
      </c>
      <c r="YP100">
        <v>0</v>
      </c>
      <c r="YQ100">
        <v>0</v>
      </c>
      <c r="YR100">
        <v>0</v>
      </c>
      <c r="YS100">
        <v>0</v>
      </c>
      <c r="YT100">
        <v>0</v>
      </c>
      <c r="YU100">
        <v>0</v>
      </c>
      <c r="YV100">
        <v>0</v>
      </c>
      <c r="YW100">
        <v>0</v>
      </c>
      <c r="YX100">
        <v>0</v>
      </c>
      <c r="YY100">
        <v>0</v>
      </c>
      <c r="YZ100">
        <v>0</v>
      </c>
      <c r="ZA100">
        <v>0</v>
      </c>
      <c r="ZB100">
        <v>0</v>
      </c>
      <c r="ZC100">
        <v>0</v>
      </c>
      <c r="ZD100">
        <v>0</v>
      </c>
      <c r="ZE100">
        <v>0</v>
      </c>
      <c r="ZF100">
        <v>0</v>
      </c>
      <c r="ZG100">
        <v>0</v>
      </c>
      <c r="ZH100">
        <v>0</v>
      </c>
      <c r="ZI100">
        <v>0</v>
      </c>
      <c r="ZJ100">
        <v>0</v>
      </c>
      <c r="ZK100">
        <v>0</v>
      </c>
      <c r="ZL100">
        <v>0</v>
      </c>
      <c r="ZM100">
        <v>0</v>
      </c>
      <c r="ZN100">
        <v>0</v>
      </c>
      <c r="ZO100">
        <v>0</v>
      </c>
      <c r="ZP100">
        <v>0</v>
      </c>
      <c r="ZQ100">
        <v>0</v>
      </c>
      <c r="ZR100">
        <v>0</v>
      </c>
      <c r="ZS100">
        <v>0</v>
      </c>
      <c r="ZT100">
        <v>0</v>
      </c>
      <c r="ZU100">
        <v>0</v>
      </c>
      <c r="ZV100">
        <v>0</v>
      </c>
      <c r="ZW100">
        <v>0</v>
      </c>
      <c r="ZX100">
        <v>0</v>
      </c>
      <c r="ZY100">
        <v>0</v>
      </c>
      <c r="ZZ100">
        <v>0</v>
      </c>
      <c r="AAA100">
        <v>0</v>
      </c>
      <c r="AAB100">
        <v>0</v>
      </c>
      <c r="AAC100">
        <v>0</v>
      </c>
      <c r="AAD100">
        <v>0</v>
      </c>
      <c r="AAE100">
        <v>0</v>
      </c>
      <c r="AAF100">
        <v>0</v>
      </c>
      <c r="AAG100">
        <v>0</v>
      </c>
      <c r="AAH100">
        <v>0</v>
      </c>
      <c r="AAI100">
        <v>0</v>
      </c>
      <c r="AAJ100">
        <v>0</v>
      </c>
      <c r="AAK100">
        <v>0</v>
      </c>
      <c r="AAL100">
        <v>0</v>
      </c>
      <c r="AAM100">
        <v>0</v>
      </c>
      <c r="AAN100">
        <v>0</v>
      </c>
      <c r="AAO100">
        <v>0</v>
      </c>
      <c r="AAP100">
        <v>0</v>
      </c>
      <c r="AAQ100">
        <v>0</v>
      </c>
      <c r="AAR100">
        <v>0</v>
      </c>
      <c r="AAS100">
        <v>0</v>
      </c>
      <c r="AAT100">
        <v>0</v>
      </c>
      <c r="AAU100">
        <v>0</v>
      </c>
      <c r="AAV100">
        <v>0</v>
      </c>
      <c r="AAW100">
        <v>0</v>
      </c>
      <c r="AAX100">
        <v>0</v>
      </c>
      <c r="AAY100">
        <v>0</v>
      </c>
      <c r="AAZ100">
        <v>0</v>
      </c>
      <c r="ABA100">
        <v>0</v>
      </c>
      <c r="ABB100">
        <v>0</v>
      </c>
      <c r="ABC100">
        <v>0</v>
      </c>
      <c r="ABD100">
        <v>0</v>
      </c>
      <c r="ABE100">
        <v>0</v>
      </c>
      <c r="ABG100" s="1137">
        <f t="shared" ref="ABG100:ABV115" si="26">COUNTIFS($C$3:$ABE$3, ABG$3, $C$4:$ABE$4, ABG$4, $C100:$ABE100, "&gt;0")</f>
        <v>0</v>
      </c>
      <c r="ABH100" s="1137">
        <f t="shared" si="26"/>
        <v>0</v>
      </c>
      <c r="ABI100" s="1137">
        <f t="shared" si="26"/>
        <v>16</v>
      </c>
      <c r="ABJ100" s="1137">
        <f t="shared" si="26"/>
        <v>30</v>
      </c>
      <c r="ABK100" s="1137">
        <f t="shared" si="26"/>
        <v>31</v>
      </c>
      <c r="ABL100" s="1137">
        <f t="shared" si="26"/>
        <v>30</v>
      </c>
      <c r="ABM100" s="1137">
        <f t="shared" si="26"/>
        <v>19</v>
      </c>
      <c r="ABN100" s="1137">
        <f t="shared" si="26"/>
        <v>11</v>
      </c>
      <c r="ABO100" s="1137">
        <f t="shared" si="26"/>
        <v>30</v>
      </c>
      <c r="ABP100" s="1137">
        <f t="shared" si="26"/>
        <v>31</v>
      </c>
      <c r="ABQ100" s="1137">
        <f t="shared" si="26"/>
        <v>30</v>
      </c>
      <c r="ABR100" s="1137">
        <f t="shared" si="26"/>
        <v>31</v>
      </c>
      <c r="ABS100" s="1137">
        <f t="shared" si="26"/>
        <v>31</v>
      </c>
      <c r="ABT100" s="1137">
        <f t="shared" si="26"/>
        <v>28</v>
      </c>
      <c r="ABU100" s="1137">
        <f t="shared" si="26"/>
        <v>31</v>
      </c>
      <c r="ABV100" s="1137">
        <f t="shared" si="26"/>
        <v>30</v>
      </c>
      <c r="ABW100" s="1137">
        <f t="shared" si="17"/>
        <v>31</v>
      </c>
      <c r="ABX100" s="1137">
        <f t="shared" si="23"/>
        <v>30</v>
      </c>
      <c r="ABY100" s="1137">
        <f t="shared" si="23"/>
        <v>31</v>
      </c>
      <c r="ABZ100" s="1137">
        <f t="shared" si="23"/>
        <v>31</v>
      </c>
      <c r="ACA100" s="1137">
        <f t="shared" si="23"/>
        <v>26</v>
      </c>
      <c r="ACB100" s="1137">
        <f t="shared" si="23"/>
        <v>0</v>
      </c>
      <c r="ACC100" s="1137">
        <f t="shared" si="23"/>
        <v>0</v>
      </c>
      <c r="ACD100" s="1137">
        <f t="shared" si="23"/>
        <v>0</v>
      </c>
      <c r="ACE100" s="1137" t="s">
        <v>208</v>
      </c>
      <c r="ACF100" s="1137">
        <f t="shared" si="22"/>
        <v>0</v>
      </c>
      <c r="ACG100" s="1137">
        <f t="shared" si="22"/>
        <v>0</v>
      </c>
      <c r="ACH100" s="1137">
        <f t="shared" si="22"/>
        <v>1</v>
      </c>
      <c r="ACI100" s="1137">
        <f t="shared" si="22"/>
        <v>1</v>
      </c>
      <c r="ACJ100" s="1137">
        <f t="shared" si="22"/>
        <v>1</v>
      </c>
      <c r="ACK100" s="1137">
        <f t="shared" si="22"/>
        <v>1</v>
      </c>
      <c r="ACL100" s="1137">
        <f t="shared" si="22"/>
        <v>1</v>
      </c>
      <c r="ACM100" s="1137">
        <f t="shared" si="22"/>
        <v>1</v>
      </c>
      <c r="ACN100" s="1137">
        <f t="shared" si="22"/>
        <v>1</v>
      </c>
      <c r="ACO100" s="1137">
        <f t="shared" si="22"/>
        <v>1</v>
      </c>
      <c r="ACP100" s="1137">
        <f t="shared" si="22"/>
        <v>1</v>
      </c>
      <c r="ACQ100" s="1137">
        <f t="shared" si="22"/>
        <v>1</v>
      </c>
      <c r="ACR100" s="1137">
        <f t="shared" si="22"/>
        <v>1</v>
      </c>
      <c r="ACS100" s="1137">
        <f t="shared" si="22"/>
        <v>1</v>
      </c>
      <c r="ACT100" s="1137">
        <f t="shared" si="22"/>
        <v>1</v>
      </c>
      <c r="ACU100" s="1137">
        <f t="shared" si="22"/>
        <v>1</v>
      </c>
      <c r="ACV100" s="1137">
        <f t="shared" si="24"/>
        <v>1</v>
      </c>
      <c r="ACW100" s="1137">
        <f t="shared" si="24"/>
        <v>1</v>
      </c>
      <c r="ACX100" s="1137">
        <f t="shared" si="24"/>
        <v>1</v>
      </c>
      <c r="ACY100" s="1137">
        <f t="shared" si="24"/>
        <v>1</v>
      </c>
      <c r="ACZ100" s="1137">
        <f t="shared" si="24"/>
        <v>1</v>
      </c>
      <c r="ADA100" s="1137">
        <f t="shared" si="24"/>
        <v>0</v>
      </c>
      <c r="ADB100" s="1137">
        <f t="shared" si="16"/>
        <v>0</v>
      </c>
      <c r="ADC100" s="1137">
        <f t="shared" si="16"/>
        <v>0</v>
      </c>
    </row>
    <row r="101" spans="1:783" x14ac:dyDescent="0.25">
      <c r="A101" t="s">
        <v>1899</v>
      </c>
      <c r="B101" t="s">
        <v>43</v>
      </c>
      <c r="C101">
        <v>0</v>
      </c>
      <c r="D101">
        <v>0</v>
      </c>
      <c r="E101">
        <v>0</v>
      </c>
      <c r="F101">
        <v>0</v>
      </c>
      <c r="G101">
        <v>0</v>
      </c>
      <c r="H101">
        <v>0</v>
      </c>
      <c r="I101">
        <v>0</v>
      </c>
      <c r="J101">
        <v>0</v>
      </c>
      <c r="K101">
        <v>0</v>
      </c>
      <c r="L101">
        <v>0</v>
      </c>
      <c r="M101">
        <v>0</v>
      </c>
      <c r="N101">
        <v>0</v>
      </c>
      <c r="O101">
        <v>0</v>
      </c>
      <c r="P101">
        <v>0</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c r="AN101">
        <v>0</v>
      </c>
      <c r="AO101">
        <v>0</v>
      </c>
      <c r="AP101">
        <v>0</v>
      </c>
      <c r="AQ101">
        <v>0</v>
      </c>
      <c r="AR101">
        <v>0</v>
      </c>
      <c r="AS101">
        <v>0</v>
      </c>
      <c r="AT101">
        <v>0</v>
      </c>
      <c r="AU101">
        <v>0</v>
      </c>
      <c r="AV101">
        <v>0</v>
      </c>
      <c r="AW101">
        <v>0</v>
      </c>
      <c r="AX101">
        <v>0</v>
      </c>
      <c r="AY101">
        <v>0</v>
      </c>
      <c r="AZ101">
        <v>0</v>
      </c>
      <c r="BA101">
        <v>0</v>
      </c>
      <c r="BB101">
        <v>0</v>
      </c>
      <c r="BC101">
        <v>0</v>
      </c>
      <c r="BD101">
        <v>0</v>
      </c>
      <c r="BE101">
        <v>0</v>
      </c>
      <c r="BF101">
        <v>0</v>
      </c>
      <c r="BG101">
        <v>0</v>
      </c>
      <c r="BH101">
        <v>0</v>
      </c>
      <c r="BI101">
        <v>0</v>
      </c>
      <c r="BJ101">
        <v>0</v>
      </c>
      <c r="BK101">
        <v>0</v>
      </c>
      <c r="BL101">
        <v>0</v>
      </c>
      <c r="BM101">
        <v>0</v>
      </c>
      <c r="BN101">
        <v>0</v>
      </c>
      <c r="BO101">
        <v>0</v>
      </c>
      <c r="BP101">
        <v>0</v>
      </c>
      <c r="BQ101">
        <v>0</v>
      </c>
      <c r="BR101">
        <v>0</v>
      </c>
      <c r="BS101">
        <v>0</v>
      </c>
      <c r="BT101">
        <v>0</v>
      </c>
      <c r="BU101">
        <v>0</v>
      </c>
      <c r="BV101">
        <v>0</v>
      </c>
      <c r="BW101">
        <v>0</v>
      </c>
      <c r="BX101">
        <v>0</v>
      </c>
      <c r="BY101">
        <v>0</v>
      </c>
      <c r="BZ101">
        <v>0</v>
      </c>
      <c r="CA101">
        <v>0</v>
      </c>
      <c r="CB101">
        <v>0</v>
      </c>
      <c r="CC101">
        <v>0</v>
      </c>
      <c r="CD101">
        <v>0</v>
      </c>
      <c r="CE101">
        <v>2</v>
      </c>
      <c r="CF101">
        <v>2</v>
      </c>
      <c r="CG101">
        <v>2</v>
      </c>
      <c r="CH101">
        <v>2</v>
      </c>
      <c r="CI101">
        <v>2</v>
      </c>
      <c r="CJ101">
        <v>2</v>
      </c>
      <c r="CK101">
        <v>2</v>
      </c>
      <c r="CL101">
        <v>2</v>
      </c>
      <c r="CM101">
        <v>2</v>
      </c>
      <c r="CN101">
        <v>2</v>
      </c>
      <c r="CO101">
        <v>2</v>
      </c>
      <c r="CP101">
        <v>2</v>
      </c>
      <c r="CQ101">
        <v>2</v>
      </c>
      <c r="CR101">
        <v>2</v>
      </c>
      <c r="CS101">
        <v>2</v>
      </c>
      <c r="CT101">
        <v>2</v>
      </c>
      <c r="CU101">
        <v>2</v>
      </c>
      <c r="CV101">
        <v>2</v>
      </c>
      <c r="CW101">
        <v>2</v>
      </c>
      <c r="CX101">
        <v>2</v>
      </c>
      <c r="CY101">
        <v>2</v>
      </c>
      <c r="CZ101">
        <v>2</v>
      </c>
      <c r="DA101">
        <v>2</v>
      </c>
      <c r="DB101">
        <v>2</v>
      </c>
      <c r="DC101">
        <v>2</v>
      </c>
      <c r="DD101">
        <v>2</v>
      </c>
      <c r="DE101">
        <v>2</v>
      </c>
      <c r="DF101">
        <v>2</v>
      </c>
      <c r="DG101">
        <v>2</v>
      </c>
      <c r="DH101">
        <v>2</v>
      </c>
      <c r="DI101">
        <v>2</v>
      </c>
      <c r="DJ101">
        <v>2</v>
      </c>
      <c r="DK101">
        <v>2</v>
      </c>
      <c r="DL101">
        <v>2</v>
      </c>
      <c r="DM101">
        <v>2</v>
      </c>
      <c r="DN101">
        <v>2</v>
      </c>
      <c r="DO101">
        <v>2</v>
      </c>
      <c r="DP101">
        <v>2</v>
      </c>
      <c r="DQ101">
        <v>2</v>
      </c>
      <c r="DR101">
        <v>2</v>
      </c>
      <c r="DS101">
        <v>2</v>
      </c>
      <c r="DT101">
        <v>2</v>
      </c>
      <c r="DU101">
        <v>2</v>
      </c>
      <c r="DV101">
        <v>2</v>
      </c>
      <c r="DW101">
        <v>2</v>
      </c>
      <c r="DX101">
        <v>2</v>
      </c>
      <c r="DY101">
        <v>2</v>
      </c>
      <c r="DZ101">
        <v>2</v>
      </c>
      <c r="EA101">
        <v>2</v>
      </c>
      <c r="EB101">
        <v>2</v>
      </c>
      <c r="EC101">
        <v>2</v>
      </c>
      <c r="ED101">
        <v>2</v>
      </c>
      <c r="EE101">
        <v>2</v>
      </c>
      <c r="EF101">
        <v>2</v>
      </c>
      <c r="EG101">
        <v>2</v>
      </c>
      <c r="EH101">
        <v>2</v>
      </c>
      <c r="EI101">
        <v>2</v>
      </c>
      <c r="EJ101">
        <v>2</v>
      </c>
      <c r="EK101">
        <v>2</v>
      </c>
      <c r="EL101">
        <v>2</v>
      </c>
      <c r="EM101">
        <v>2</v>
      </c>
      <c r="EN101">
        <v>2</v>
      </c>
      <c r="EO101">
        <v>2</v>
      </c>
      <c r="EP101">
        <v>2</v>
      </c>
      <c r="EQ101">
        <v>2</v>
      </c>
      <c r="ER101">
        <v>2</v>
      </c>
      <c r="ES101">
        <v>2</v>
      </c>
      <c r="ET101">
        <v>2</v>
      </c>
      <c r="EU101">
        <v>2</v>
      </c>
      <c r="EV101">
        <v>2</v>
      </c>
      <c r="EW101">
        <v>2</v>
      </c>
      <c r="EX101">
        <v>2</v>
      </c>
      <c r="EY101">
        <v>2</v>
      </c>
      <c r="EZ101">
        <v>2</v>
      </c>
      <c r="FA101">
        <v>2</v>
      </c>
      <c r="FB101">
        <v>2</v>
      </c>
      <c r="FC101">
        <v>2</v>
      </c>
      <c r="FD101">
        <v>2</v>
      </c>
      <c r="FE101">
        <v>2</v>
      </c>
      <c r="FF101">
        <v>2</v>
      </c>
      <c r="FG101">
        <v>2</v>
      </c>
      <c r="FH101">
        <v>2</v>
      </c>
      <c r="FI101">
        <v>2</v>
      </c>
      <c r="FJ101">
        <v>2</v>
      </c>
      <c r="FK101">
        <v>2</v>
      </c>
      <c r="FL101">
        <v>2</v>
      </c>
      <c r="FM101">
        <v>2</v>
      </c>
      <c r="FN101">
        <v>2</v>
      </c>
      <c r="FO101">
        <v>2</v>
      </c>
      <c r="FP101">
        <v>2</v>
      </c>
      <c r="FQ101">
        <v>2</v>
      </c>
      <c r="FR101">
        <v>2</v>
      </c>
      <c r="FS101">
        <v>2</v>
      </c>
      <c r="FT101">
        <v>2</v>
      </c>
      <c r="FU101">
        <v>2</v>
      </c>
      <c r="FV101">
        <v>2</v>
      </c>
      <c r="FW101">
        <v>2</v>
      </c>
      <c r="FX101">
        <v>2</v>
      </c>
      <c r="FY101">
        <v>2</v>
      </c>
      <c r="FZ101">
        <v>2</v>
      </c>
      <c r="GA101">
        <v>2</v>
      </c>
      <c r="GB101">
        <v>2</v>
      </c>
      <c r="GC101">
        <v>2</v>
      </c>
      <c r="GD101">
        <v>2</v>
      </c>
      <c r="GE101">
        <v>2</v>
      </c>
      <c r="GF101">
        <v>2</v>
      </c>
      <c r="GG101">
        <v>2</v>
      </c>
      <c r="GH101">
        <v>2</v>
      </c>
      <c r="GI101">
        <v>2</v>
      </c>
      <c r="GJ101">
        <v>2</v>
      </c>
      <c r="GK101">
        <v>2</v>
      </c>
      <c r="GL101">
        <v>2</v>
      </c>
      <c r="GM101">
        <v>2</v>
      </c>
      <c r="GN101">
        <v>2</v>
      </c>
      <c r="GO101">
        <v>2</v>
      </c>
      <c r="GP101">
        <v>2</v>
      </c>
      <c r="GQ101">
        <v>2</v>
      </c>
      <c r="GR101">
        <v>2</v>
      </c>
      <c r="GS101">
        <v>2</v>
      </c>
      <c r="GT101">
        <v>2</v>
      </c>
      <c r="GU101">
        <v>2</v>
      </c>
      <c r="GV101">
        <v>2</v>
      </c>
      <c r="GW101">
        <v>2</v>
      </c>
      <c r="GX101">
        <v>2</v>
      </c>
      <c r="GY101">
        <v>2</v>
      </c>
      <c r="GZ101">
        <v>2</v>
      </c>
      <c r="HA101">
        <v>2</v>
      </c>
      <c r="HB101">
        <v>2</v>
      </c>
      <c r="HC101">
        <v>2</v>
      </c>
      <c r="HD101">
        <v>2</v>
      </c>
      <c r="HE101">
        <v>2</v>
      </c>
      <c r="HF101">
        <v>2</v>
      </c>
      <c r="HG101">
        <v>2</v>
      </c>
      <c r="HH101">
        <v>2</v>
      </c>
      <c r="HI101">
        <v>2</v>
      </c>
      <c r="HJ101">
        <v>2</v>
      </c>
      <c r="HK101">
        <v>2</v>
      </c>
      <c r="HL101">
        <v>2</v>
      </c>
      <c r="HM101">
        <v>2</v>
      </c>
      <c r="HN101">
        <v>2</v>
      </c>
      <c r="HO101">
        <v>2</v>
      </c>
      <c r="HP101">
        <v>2</v>
      </c>
      <c r="HQ101">
        <v>2</v>
      </c>
      <c r="HR101">
        <v>2</v>
      </c>
      <c r="HS101">
        <v>2</v>
      </c>
      <c r="HT101">
        <v>2</v>
      </c>
      <c r="HU101">
        <v>2</v>
      </c>
      <c r="HV101">
        <v>2</v>
      </c>
      <c r="HW101">
        <v>2</v>
      </c>
      <c r="HX101">
        <v>2</v>
      </c>
      <c r="HY101">
        <v>2</v>
      </c>
      <c r="HZ101">
        <v>2</v>
      </c>
      <c r="IA101">
        <v>2</v>
      </c>
      <c r="IB101">
        <v>2</v>
      </c>
      <c r="IC101">
        <v>2</v>
      </c>
      <c r="ID101">
        <v>2</v>
      </c>
      <c r="IE101">
        <v>2</v>
      </c>
      <c r="IF101">
        <v>2</v>
      </c>
      <c r="IG101">
        <v>2</v>
      </c>
      <c r="IH101">
        <v>2</v>
      </c>
      <c r="II101">
        <v>2</v>
      </c>
      <c r="IJ101">
        <v>2</v>
      </c>
      <c r="IK101">
        <v>2</v>
      </c>
      <c r="IL101">
        <v>0</v>
      </c>
      <c r="IM101">
        <v>0</v>
      </c>
      <c r="IN101">
        <v>0</v>
      </c>
      <c r="IO101">
        <v>0</v>
      </c>
      <c r="IP101">
        <v>0</v>
      </c>
      <c r="IQ101">
        <v>0</v>
      </c>
      <c r="IR101">
        <v>0</v>
      </c>
      <c r="IS101">
        <v>0</v>
      </c>
      <c r="IT101">
        <v>0</v>
      </c>
      <c r="IU101">
        <v>0</v>
      </c>
      <c r="IV101">
        <v>0</v>
      </c>
      <c r="IW101">
        <v>0</v>
      </c>
      <c r="IX101">
        <v>0</v>
      </c>
      <c r="IY101">
        <v>0</v>
      </c>
      <c r="IZ101">
        <v>0</v>
      </c>
      <c r="JA101">
        <v>0</v>
      </c>
      <c r="JB101">
        <v>0</v>
      </c>
      <c r="JC101">
        <v>0</v>
      </c>
      <c r="JD101">
        <v>0</v>
      </c>
      <c r="JE101">
        <v>0</v>
      </c>
      <c r="JF101">
        <v>0</v>
      </c>
      <c r="JG101">
        <v>0</v>
      </c>
      <c r="JH101">
        <v>0</v>
      </c>
      <c r="JI101">
        <v>0</v>
      </c>
      <c r="JJ101">
        <v>0</v>
      </c>
      <c r="JK101">
        <v>0</v>
      </c>
      <c r="JL101">
        <v>0</v>
      </c>
      <c r="JM101">
        <v>0</v>
      </c>
      <c r="JN101">
        <v>0</v>
      </c>
      <c r="JO101">
        <v>0</v>
      </c>
      <c r="JP101">
        <v>0</v>
      </c>
      <c r="JQ101">
        <v>0</v>
      </c>
      <c r="JR101">
        <v>0</v>
      </c>
      <c r="JS101">
        <v>0</v>
      </c>
      <c r="JT101">
        <v>0</v>
      </c>
      <c r="JU101">
        <v>0</v>
      </c>
      <c r="JV101">
        <v>0</v>
      </c>
      <c r="JW101">
        <v>0</v>
      </c>
      <c r="JX101">
        <v>1</v>
      </c>
      <c r="JY101">
        <v>1</v>
      </c>
      <c r="JZ101">
        <v>1</v>
      </c>
      <c r="KA101">
        <v>1</v>
      </c>
      <c r="KB101">
        <v>1</v>
      </c>
      <c r="KC101">
        <v>1</v>
      </c>
      <c r="KD101">
        <v>1</v>
      </c>
      <c r="KE101">
        <v>1</v>
      </c>
      <c r="KF101">
        <v>1</v>
      </c>
      <c r="KG101">
        <v>1</v>
      </c>
      <c r="KH101">
        <v>1</v>
      </c>
      <c r="KI101">
        <v>1</v>
      </c>
      <c r="KJ101">
        <v>1</v>
      </c>
      <c r="KK101">
        <v>1</v>
      </c>
      <c r="KL101">
        <v>1</v>
      </c>
      <c r="KM101">
        <v>1</v>
      </c>
      <c r="KN101">
        <v>1</v>
      </c>
      <c r="KO101">
        <v>1</v>
      </c>
      <c r="KP101">
        <v>1</v>
      </c>
      <c r="KQ101">
        <v>1</v>
      </c>
      <c r="KR101">
        <v>1</v>
      </c>
      <c r="KS101">
        <v>1</v>
      </c>
      <c r="KT101">
        <v>1</v>
      </c>
      <c r="KU101">
        <v>1</v>
      </c>
      <c r="KV101">
        <v>1</v>
      </c>
      <c r="KW101">
        <v>1</v>
      </c>
      <c r="KX101">
        <v>1</v>
      </c>
      <c r="KY101">
        <v>1</v>
      </c>
      <c r="KZ101">
        <v>1</v>
      </c>
      <c r="LA101">
        <v>1</v>
      </c>
      <c r="LB101">
        <v>1</v>
      </c>
      <c r="LC101">
        <v>1</v>
      </c>
      <c r="LD101">
        <v>1</v>
      </c>
      <c r="LE101">
        <v>1</v>
      </c>
      <c r="LF101">
        <v>1</v>
      </c>
      <c r="LG101">
        <v>1</v>
      </c>
      <c r="LH101">
        <v>1</v>
      </c>
      <c r="LI101">
        <v>1</v>
      </c>
      <c r="LJ101">
        <v>1</v>
      </c>
      <c r="LK101">
        <v>1</v>
      </c>
      <c r="LL101">
        <v>1</v>
      </c>
      <c r="LM101">
        <v>1</v>
      </c>
      <c r="LN101">
        <v>1</v>
      </c>
      <c r="LO101">
        <v>1</v>
      </c>
      <c r="LP101">
        <v>1</v>
      </c>
      <c r="LQ101">
        <v>1</v>
      </c>
      <c r="LR101">
        <v>1</v>
      </c>
      <c r="LS101">
        <v>1</v>
      </c>
      <c r="LT101">
        <v>1</v>
      </c>
      <c r="LU101">
        <v>1</v>
      </c>
      <c r="LV101">
        <v>1</v>
      </c>
      <c r="LW101">
        <v>1</v>
      </c>
      <c r="LX101">
        <v>1</v>
      </c>
      <c r="LY101">
        <v>1</v>
      </c>
      <c r="LZ101">
        <v>1</v>
      </c>
      <c r="MA101">
        <v>1</v>
      </c>
      <c r="MB101">
        <v>1</v>
      </c>
      <c r="MC101">
        <v>1</v>
      </c>
      <c r="MD101">
        <v>1</v>
      </c>
      <c r="ME101">
        <v>1</v>
      </c>
      <c r="MF101">
        <v>1</v>
      </c>
      <c r="MG101">
        <v>1</v>
      </c>
      <c r="MH101">
        <v>1</v>
      </c>
      <c r="MI101">
        <v>1</v>
      </c>
      <c r="MJ101">
        <v>1</v>
      </c>
      <c r="MK101">
        <v>1</v>
      </c>
      <c r="ML101">
        <v>1</v>
      </c>
      <c r="MM101">
        <v>1</v>
      </c>
      <c r="MN101">
        <v>1</v>
      </c>
      <c r="MO101">
        <v>1</v>
      </c>
      <c r="MP101">
        <v>1</v>
      </c>
      <c r="MQ101">
        <v>1</v>
      </c>
      <c r="MR101">
        <v>1</v>
      </c>
      <c r="MS101">
        <v>1</v>
      </c>
      <c r="MT101">
        <v>1</v>
      </c>
      <c r="MU101">
        <v>1</v>
      </c>
      <c r="MV101">
        <v>0</v>
      </c>
      <c r="MW101">
        <v>0</v>
      </c>
      <c r="MX101">
        <v>0</v>
      </c>
      <c r="MY101">
        <v>0</v>
      </c>
      <c r="MZ101">
        <v>0</v>
      </c>
      <c r="NA101">
        <v>0</v>
      </c>
      <c r="NB101">
        <v>0</v>
      </c>
      <c r="NC101">
        <v>0</v>
      </c>
      <c r="ND101">
        <v>0</v>
      </c>
      <c r="NE101">
        <v>0</v>
      </c>
      <c r="NF101">
        <v>0</v>
      </c>
      <c r="NG101">
        <v>0</v>
      </c>
      <c r="NH101">
        <v>0</v>
      </c>
      <c r="NI101">
        <v>0</v>
      </c>
      <c r="NJ101">
        <v>0</v>
      </c>
      <c r="NK101">
        <v>0</v>
      </c>
      <c r="NL101">
        <v>0</v>
      </c>
      <c r="NM101">
        <v>0</v>
      </c>
      <c r="NN101">
        <v>0</v>
      </c>
      <c r="NO101">
        <v>0</v>
      </c>
      <c r="NP101">
        <v>0</v>
      </c>
      <c r="NQ101">
        <v>0</v>
      </c>
      <c r="NR101">
        <v>0</v>
      </c>
      <c r="NS101">
        <v>0</v>
      </c>
      <c r="NT101">
        <v>0</v>
      </c>
      <c r="NU101">
        <v>0</v>
      </c>
      <c r="NV101">
        <v>0</v>
      </c>
      <c r="NW101">
        <v>0</v>
      </c>
      <c r="NX101">
        <v>0</v>
      </c>
      <c r="NY101">
        <v>0</v>
      </c>
      <c r="NZ101">
        <v>0</v>
      </c>
      <c r="OA101">
        <v>0</v>
      </c>
      <c r="OB101">
        <v>0</v>
      </c>
      <c r="OC101">
        <v>0</v>
      </c>
      <c r="OD101">
        <v>0</v>
      </c>
      <c r="OE101">
        <v>0</v>
      </c>
      <c r="OF101">
        <v>0</v>
      </c>
      <c r="OG101">
        <v>0</v>
      </c>
      <c r="OH101">
        <v>0</v>
      </c>
      <c r="OI101">
        <v>0</v>
      </c>
      <c r="OJ101">
        <v>0</v>
      </c>
      <c r="OK101">
        <v>0</v>
      </c>
      <c r="OL101">
        <v>0</v>
      </c>
      <c r="OM101">
        <v>0</v>
      </c>
      <c r="ON101">
        <v>0</v>
      </c>
      <c r="OO101">
        <v>0</v>
      </c>
      <c r="OP101">
        <v>0</v>
      </c>
      <c r="OQ101">
        <v>0</v>
      </c>
      <c r="OR101">
        <v>0</v>
      </c>
      <c r="OS101">
        <v>0</v>
      </c>
      <c r="OT101">
        <v>0</v>
      </c>
      <c r="OU101">
        <v>0</v>
      </c>
      <c r="OV101">
        <v>0</v>
      </c>
      <c r="OW101">
        <v>0</v>
      </c>
      <c r="OX101">
        <v>0</v>
      </c>
      <c r="OY101">
        <v>0</v>
      </c>
      <c r="OZ101">
        <v>0</v>
      </c>
      <c r="PA101">
        <v>0</v>
      </c>
      <c r="PB101">
        <v>0</v>
      </c>
      <c r="PC101">
        <v>0</v>
      </c>
      <c r="PD101">
        <v>0</v>
      </c>
      <c r="PE101">
        <v>0</v>
      </c>
      <c r="PF101">
        <v>0</v>
      </c>
      <c r="PG101">
        <v>0</v>
      </c>
      <c r="PH101">
        <v>0</v>
      </c>
      <c r="PI101">
        <v>0</v>
      </c>
      <c r="PJ101">
        <v>0</v>
      </c>
      <c r="PK101">
        <v>0</v>
      </c>
      <c r="PL101">
        <v>0</v>
      </c>
      <c r="PM101">
        <v>0</v>
      </c>
      <c r="PN101">
        <v>0</v>
      </c>
      <c r="PO101">
        <v>0</v>
      </c>
      <c r="PP101">
        <v>0</v>
      </c>
      <c r="PQ101">
        <v>0</v>
      </c>
      <c r="PR101">
        <v>0</v>
      </c>
      <c r="PS101">
        <v>0</v>
      </c>
      <c r="PT101">
        <v>0</v>
      </c>
      <c r="PU101">
        <v>0</v>
      </c>
      <c r="PV101">
        <v>0</v>
      </c>
      <c r="PW101">
        <v>0</v>
      </c>
      <c r="PX101">
        <v>0</v>
      </c>
      <c r="PY101">
        <v>0</v>
      </c>
      <c r="PZ101">
        <v>0</v>
      </c>
      <c r="QA101">
        <v>0</v>
      </c>
      <c r="QB101">
        <v>0</v>
      </c>
      <c r="QC101">
        <v>0</v>
      </c>
      <c r="QD101">
        <v>0</v>
      </c>
      <c r="QE101">
        <v>0</v>
      </c>
      <c r="QF101">
        <v>0</v>
      </c>
      <c r="QG101">
        <v>0</v>
      </c>
      <c r="QH101">
        <v>0</v>
      </c>
      <c r="QI101">
        <v>0</v>
      </c>
      <c r="QJ101">
        <v>0</v>
      </c>
      <c r="QK101">
        <v>0</v>
      </c>
      <c r="QL101">
        <v>0</v>
      </c>
      <c r="QM101">
        <v>0</v>
      </c>
      <c r="QN101">
        <v>0</v>
      </c>
      <c r="QO101">
        <v>0</v>
      </c>
      <c r="QP101">
        <v>0</v>
      </c>
      <c r="QQ101">
        <v>0</v>
      </c>
      <c r="QR101">
        <v>0</v>
      </c>
      <c r="QS101">
        <v>0</v>
      </c>
      <c r="QT101">
        <v>0</v>
      </c>
      <c r="QU101">
        <v>0</v>
      </c>
      <c r="QV101">
        <v>0</v>
      </c>
      <c r="QW101">
        <v>0</v>
      </c>
      <c r="QX101">
        <v>0</v>
      </c>
      <c r="QY101">
        <v>0</v>
      </c>
      <c r="QZ101">
        <v>0</v>
      </c>
      <c r="RA101">
        <v>0</v>
      </c>
      <c r="RB101">
        <v>0</v>
      </c>
      <c r="RC101">
        <v>0</v>
      </c>
      <c r="RD101">
        <v>0</v>
      </c>
      <c r="RE101">
        <v>0</v>
      </c>
      <c r="RF101">
        <v>0</v>
      </c>
      <c r="RG101">
        <v>0</v>
      </c>
      <c r="RH101">
        <v>0</v>
      </c>
      <c r="RI101">
        <v>0</v>
      </c>
      <c r="RJ101">
        <v>0</v>
      </c>
      <c r="RK101">
        <v>0</v>
      </c>
      <c r="RL101">
        <v>0</v>
      </c>
      <c r="RM101">
        <v>0</v>
      </c>
      <c r="RN101">
        <v>0</v>
      </c>
      <c r="RO101">
        <v>0</v>
      </c>
      <c r="RP101">
        <v>0</v>
      </c>
      <c r="RQ101">
        <v>0</v>
      </c>
      <c r="RR101">
        <v>0</v>
      </c>
      <c r="RS101">
        <v>0</v>
      </c>
      <c r="RT101">
        <v>0</v>
      </c>
      <c r="RU101">
        <v>0</v>
      </c>
      <c r="RV101">
        <v>0</v>
      </c>
      <c r="RW101">
        <v>0</v>
      </c>
      <c r="RX101">
        <v>0</v>
      </c>
      <c r="RY101">
        <v>0</v>
      </c>
      <c r="RZ101">
        <v>0</v>
      </c>
      <c r="SA101">
        <v>0</v>
      </c>
      <c r="SB101">
        <v>0</v>
      </c>
      <c r="SC101">
        <v>0</v>
      </c>
      <c r="SD101">
        <v>0</v>
      </c>
      <c r="SE101">
        <v>0</v>
      </c>
      <c r="SF101">
        <v>0</v>
      </c>
      <c r="SG101">
        <v>0</v>
      </c>
      <c r="SH101">
        <v>0</v>
      </c>
      <c r="SI101">
        <v>0</v>
      </c>
      <c r="SJ101">
        <v>0</v>
      </c>
      <c r="SK101">
        <v>0</v>
      </c>
      <c r="SL101">
        <v>0</v>
      </c>
      <c r="SM101">
        <v>0</v>
      </c>
      <c r="SN101">
        <v>0</v>
      </c>
      <c r="SO101">
        <v>0</v>
      </c>
      <c r="SP101">
        <v>0</v>
      </c>
      <c r="SQ101">
        <v>0</v>
      </c>
      <c r="SR101">
        <v>0</v>
      </c>
      <c r="SS101">
        <v>0</v>
      </c>
      <c r="ST101">
        <v>0</v>
      </c>
      <c r="SU101">
        <v>0</v>
      </c>
      <c r="SV101">
        <v>0</v>
      </c>
      <c r="SW101">
        <v>0</v>
      </c>
      <c r="SX101">
        <v>0</v>
      </c>
      <c r="SY101">
        <v>0</v>
      </c>
      <c r="SZ101">
        <v>0</v>
      </c>
      <c r="TA101">
        <v>0</v>
      </c>
      <c r="TB101">
        <v>0</v>
      </c>
      <c r="TC101">
        <v>0</v>
      </c>
      <c r="TD101">
        <v>0</v>
      </c>
      <c r="TE101">
        <v>0</v>
      </c>
      <c r="TF101">
        <v>0</v>
      </c>
      <c r="TG101">
        <v>0</v>
      </c>
      <c r="TH101">
        <v>0</v>
      </c>
      <c r="TI101">
        <v>0</v>
      </c>
      <c r="TJ101">
        <v>0</v>
      </c>
      <c r="TK101">
        <v>0</v>
      </c>
      <c r="TL101">
        <v>0</v>
      </c>
      <c r="TM101">
        <v>0</v>
      </c>
      <c r="TN101">
        <v>0</v>
      </c>
      <c r="TO101">
        <v>0</v>
      </c>
      <c r="TP101">
        <v>0</v>
      </c>
      <c r="TQ101">
        <v>0</v>
      </c>
      <c r="TR101">
        <v>0</v>
      </c>
      <c r="TS101">
        <v>0</v>
      </c>
      <c r="TT101">
        <v>0</v>
      </c>
      <c r="TU101">
        <v>0</v>
      </c>
      <c r="TV101">
        <v>0</v>
      </c>
      <c r="TW101">
        <v>0</v>
      </c>
      <c r="TX101">
        <v>0</v>
      </c>
      <c r="TY101">
        <v>0</v>
      </c>
      <c r="TZ101">
        <v>0</v>
      </c>
      <c r="UA101">
        <v>0</v>
      </c>
      <c r="UB101">
        <v>0</v>
      </c>
      <c r="UC101">
        <v>0</v>
      </c>
      <c r="UD101">
        <v>0</v>
      </c>
      <c r="UE101">
        <v>0</v>
      </c>
      <c r="UF101">
        <v>0</v>
      </c>
      <c r="UG101">
        <v>0</v>
      </c>
      <c r="UH101">
        <v>0</v>
      </c>
      <c r="UI101">
        <v>0</v>
      </c>
      <c r="UJ101">
        <v>0</v>
      </c>
      <c r="UK101">
        <v>0</v>
      </c>
      <c r="UL101">
        <v>0</v>
      </c>
      <c r="UM101">
        <v>0</v>
      </c>
      <c r="UN101">
        <v>0</v>
      </c>
      <c r="UO101">
        <v>0</v>
      </c>
      <c r="UP101">
        <v>0</v>
      </c>
      <c r="UQ101">
        <v>0</v>
      </c>
      <c r="UR101">
        <v>0</v>
      </c>
      <c r="US101">
        <v>0</v>
      </c>
      <c r="UT101">
        <v>0</v>
      </c>
      <c r="UU101">
        <v>0</v>
      </c>
      <c r="UV101">
        <v>0</v>
      </c>
      <c r="UW101">
        <v>0</v>
      </c>
      <c r="UX101">
        <v>0</v>
      </c>
      <c r="UY101">
        <v>0</v>
      </c>
      <c r="UZ101">
        <v>0</v>
      </c>
      <c r="VA101">
        <v>0</v>
      </c>
      <c r="VB101">
        <v>0</v>
      </c>
      <c r="VC101">
        <v>0</v>
      </c>
      <c r="VD101">
        <v>0</v>
      </c>
      <c r="VE101">
        <v>0</v>
      </c>
      <c r="VF101">
        <v>0</v>
      </c>
      <c r="VG101">
        <v>0</v>
      </c>
      <c r="VH101">
        <v>0</v>
      </c>
      <c r="VI101">
        <v>0</v>
      </c>
      <c r="VJ101">
        <v>0</v>
      </c>
      <c r="VK101">
        <v>0</v>
      </c>
      <c r="VL101">
        <v>0</v>
      </c>
      <c r="VM101">
        <v>0</v>
      </c>
      <c r="VN101">
        <v>0</v>
      </c>
      <c r="VO101">
        <v>0</v>
      </c>
      <c r="VP101">
        <v>0</v>
      </c>
      <c r="VQ101">
        <v>0</v>
      </c>
      <c r="VR101">
        <v>0</v>
      </c>
      <c r="VS101">
        <v>0</v>
      </c>
      <c r="VT101">
        <v>0</v>
      </c>
      <c r="VU101">
        <v>0</v>
      </c>
      <c r="VV101">
        <v>0</v>
      </c>
      <c r="VW101">
        <v>0</v>
      </c>
      <c r="VX101">
        <v>0</v>
      </c>
      <c r="VY101">
        <v>0</v>
      </c>
      <c r="VZ101">
        <v>0</v>
      </c>
      <c r="WA101">
        <v>0</v>
      </c>
      <c r="WB101">
        <v>0</v>
      </c>
      <c r="WC101">
        <v>0</v>
      </c>
      <c r="WD101">
        <v>0</v>
      </c>
      <c r="WE101">
        <v>0</v>
      </c>
      <c r="WF101">
        <v>0</v>
      </c>
      <c r="WG101">
        <v>0</v>
      </c>
      <c r="WH101">
        <v>0</v>
      </c>
      <c r="WI101">
        <v>0</v>
      </c>
      <c r="WJ101">
        <v>0</v>
      </c>
      <c r="WK101">
        <v>0</v>
      </c>
      <c r="WL101">
        <v>0</v>
      </c>
      <c r="WM101">
        <v>0</v>
      </c>
      <c r="WN101">
        <v>0</v>
      </c>
      <c r="WO101">
        <v>0</v>
      </c>
      <c r="WP101">
        <v>0</v>
      </c>
      <c r="WQ101">
        <v>0</v>
      </c>
      <c r="WR101">
        <v>0</v>
      </c>
      <c r="WS101">
        <v>0</v>
      </c>
      <c r="WT101">
        <v>0</v>
      </c>
      <c r="WU101">
        <v>0</v>
      </c>
      <c r="WV101">
        <v>0</v>
      </c>
      <c r="WW101">
        <v>0</v>
      </c>
      <c r="WX101">
        <v>0</v>
      </c>
      <c r="WY101">
        <v>0</v>
      </c>
      <c r="WZ101">
        <v>0</v>
      </c>
      <c r="XA101">
        <v>0</v>
      </c>
      <c r="XB101">
        <v>0</v>
      </c>
      <c r="XC101">
        <v>0</v>
      </c>
      <c r="XD101">
        <v>0</v>
      </c>
      <c r="XE101">
        <v>0</v>
      </c>
      <c r="XF101">
        <v>0</v>
      </c>
      <c r="XG101">
        <v>0</v>
      </c>
      <c r="XH101">
        <v>0</v>
      </c>
      <c r="XI101">
        <v>0</v>
      </c>
      <c r="XJ101">
        <v>0</v>
      </c>
      <c r="XK101">
        <v>0</v>
      </c>
      <c r="XL101">
        <v>0</v>
      </c>
      <c r="XM101">
        <v>0</v>
      </c>
      <c r="XN101">
        <v>0</v>
      </c>
      <c r="XO101">
        <v>0</v>
      </c>
      <c r="XP101">
        <v>0</v>
      </c>
      <c r="XQ101">
        <v>0</v>
      </c>
      <c r="XR101">
        <v>0</v>
      </c>
      <c r="XS101">
        <v>0</v>
      </c>
      <c r="XT101">
        <v>0</v>
      </c>
      <c r="XU101">
        <v>0</v>
      </c>
      <c r="XV101">
        <v>0</v>
      </c>
      <c r="XW101">
        <v>0</v>
      </c>
      <c r="XX101">
        <v>0</v>
      </c>
      <c r="XY101">
        <v>0</v>
      </c>
      <c r="XZ101">
        <v>0</v>
      </c>
      <c r="YA101">
        <v>0</v>
      </c>
      <c r="YB101">
        <v>0</v>
      </c>
      <c r="YC101">
        <v>0</v>
      </c>
      <c r="YD101">
        <v>0</v>
      </c>
      <c r="YE101">
        <v>0</v>
      </c>
      <c r="YF101">
        <v>0</v>
      </c>
      <c r="YG101">
        <v>0</v>
      </c>
      <c r="YH101">
        <v>0</v>
      </c>
      <c r="YI101">
        <v>0</v>
      </c>
      <c r="YJ101">
        <v>0</v>
      </c>
      <c r="YK101">
        <v>0</v>
      </c>
      <c r="YL101">
        <v>0</v>
      </c>
      <c r="YM101">
        <v>0</v>
      </c>
      <c r="YN101">
        <v>0</v>
      </c>
      <c r="YO101">
        <v>0</v>
      </c>
      <c r="YP101">
        <v>0</v>
      </c>
      <c r="YQ101">
        <v>0</v>
      </c>
      <c r="YR101">
        <v>0</v>
      </c>
      <c r="YS101">
        <v>0</v>
      </c>
      <c r="YT101">
        <v>0</v>
      </c>
      <c r="YU101">
        <v>0</v>
      </c>
      <c r="YV101">
        <v>0</v>
      </c>
      <c r="YW101">
        <v>0</v>
      </c>
      <c r="YX101">
        <v>0</v>
      </c>
      <c r="YY101">
        <v>0</v>
      </c>
      <c r="YZ101">
        <v>0</v>
      </c>
      <c r="ZA101">
        <v>0</v>
      </c>
      <c r="ZB101">
        <v>0</v>
      </c>
      <c r="ZC101">
        <v>0</v>
      </c>
      <c r="ZD101">
        <v>0</v>
      </c>
      <c r="ZE101">
        <v>0</v>
      </c>
      <c r="ZF101">
        <v>0</v>
      </c>
      <c r="ZG101">
        <v>0</v>
      </c>
      <c r="ZH101">
        <v>0</v>
      </c>
      <c r="ZI101">
        <v>0</v>
      </c>
      <c r="ZJ101">
        <v>0</v>
      </c>
      <c r="ZK101">
        <v>0</v>
      </c>
      <c r="ZL101">
        <v>0</v>
      </c>
      <c r="ZM101">
        <v>0</v>
      </c>
      <c r="ZN101">
        <v>0</v>
      </c>
      <c r="ZO101">
        <v>0</v>
      </c>
      <c r="ZP101">
        <v>0</v>
      </c>
      <c r="ZQ101">
        <v>0</v>
      </c>
      <c r="ZR101">
        <v>0</v>
      </c>
      <c r="ZS101">
        <v>0</v>
      </c>
      <c r="ZT101">
        <v>0</v>
      </c>
      <c r="ZU101">
        <v>0</v>
      </c>
      <c r="ZV101">
        <v>0</v>
      </c>
      <c r="ZW101">
        <v>0</v>
      </c>
      <c r="ZX101">
        <v>0</v>
      </c>
      <c r="ZY101">
        <v>0</v>
      </c>
      <c r="ZZ101">
        <v>0</v>
      </c>
      <c r="AAA101">
        <v>0</v>
      </c>
      <c r="AAB101">
        <v>0</v>
      </c>
      <c r="AAC101">
        <v>0</v>
      </c>
      <c r="AAD101">
        <v>0</v>
      </c>
      <c r="AAE101">
        <v>0</v>
      </c>
      <c r="AAF101">
        <v>0</v>
      </c>
      <c r="AAG101">
        <v>0</v>
      </c>
      <c r="AAH101">
        <v>0</v>
      </c>
      <c r="AAI101">
        <v>0</v>
      </c>
      <c r="AAJ101">
        <v>0</v>
      </c>
      <c r="AAK101">
        <v>0</v>
      </c>
      <c r="AAL101">
        <v>0</v>
      </c>
      <c r="AAM101">
        <v>0</v>
      </c>
      <c r="AAN101">
        <v>0</v>
      </c>
      <c r="AAO101">
        <v>0</v>
      </c>
      <c r="AAP101">
        <v>0</v>
      </c>
      <c r="AAQ101">
        <v>0</v>
      </c>
      <c r="AAR101">
        <v>0</v>
      </c>
      <c r="AAS101">
        <v>0</v>
      </c>
      <c r="AAT101">
        <v>0</v>
      </c>
      <c r="AAU101">
        <v>0</v>
      </c>
      <c r="AAV101">
        <v>0</v>
      </c>
      <c r="AAW101">
        <v>0</v>
      </c>
      <c r="AAX101">
        <v>0</v>
      </c>
      <c r="AAY101">
        <v>0</v>
      </c>
      <c r="AAZ101">
        <v>0</v>
      </c>
      <c r="ABA101">
        <v>0</v>
      </c>
      <c r="ABB101">
        <v>0</v>
      </c>
      <c r="ABC101">
        <v>0</v>
      </c>
      <c r="ABD101">
        <v>0</v>
      </c>
      <c r="ABE101">
        <v>0</v>
      </c>
      <c r="ABG101" s="1137">
        <f t="shared" si="26"/>
        <v>0</v>
      </c>
      <c r="ABH101" s="1137">
        <f t="shared" si="26"/>
        <v>0</v>
      </c>
      <c r="ABI101" s="1137">
        <f t="shared" si="26"/>
        <v>11</v>
      </c>
      <c r="ABJ101" s="1137">
        <f t="shared" si="26"/>
        <v>30</v>
      </c>
      <c r="ABK101" s="1137">
        <f t="shared" si="26"/>
        <v>31</v>
      </c>
      <c r="ABL101" s="1137">
        <f t="shared" si="26"/>
        <v>30</v>
      </c>
      <c r="ABM101" s="1137">
        <f t="shared" si="26"/>
        <v>31</v>
      </c>
      <c r="ABN101" s="1137">
        <f t="shared" si="26"/>
        <v>30</v>
      </c>
      <c r="ABO101" s="1137">
        <f t="shared" si="26"/>
        <v>0</v>
      </c>
      <c r="ABP101" s="1137">
        <f t="shared" si="26"/>
        <v>24</v>
      </c>
      <c r="ABQ101" s="1137">
        <f t="shared" si="26"/>
        <v>30</v>
      </c>
      <c r="ABR101" s="1137">
        <f t="shared" si="26"/>
        <v>22</v>
      </c>
      <c r="ABS101" s="1137">
        <f t="shared" si="26"/>
        <v>0</v>
      </c>
      <c r="ABT101" s="1137">
        <f t="shared" si="26"/>
        <v>0</v>
      </c>
      <c r="ABU101" s="1137">
        <f t="shared" si="26"/>
        <v>0</v>
      </c>
      <c r="ABV101" s="1137">
        <f t="shared" si="26"/>
        <v>0</v>
      </c>
      <c r="ABW101" s="1137">
        <f t="shared" si="17"/>
        <v>0</v>
      </c>
      <c r="ABX101" s="1137">
        <f t="shared" si="23"/>
        <v>0</v>
      </c>
      <c r="ABY101" s="1137">
        <f t="shared" si="23"/>
        <v>0</v>
      </c>
      <c r="ABZ101" s="1137">
        <f t="shared" si="23"/>
        <v>0</v>
      </c>
      <c r="ACA101" s="1137">
        <f t="shared" si="23"/>
        <v>0</v>
      </c>
      <c r="ACB101" s="1137">
        <f t="shared" si="23"/>
        <v>0</v>
      </c>
      <c r="ACC101" s="1137">
        <f t="shared" si="23"/>
        <v>0</v>
      </c>
      <c r="ACD101" s="1137">
        <f t="shared" si="23"/>
        <v>0</v>
      </c>
      <c r="ACE101" s="1137" t="s">
        <v>43</v>
      </c>
      <c r="ACF101" s="1137">
        <f t="shared" si="22"/>
        <v>0</v>
      </c>
      <c r="ACG101" s="1137">
        <f t="shared" si="22"/>
        <v>0</v>
      </c>
      <c r="ACH101" s="1137">
        <f t="shared" si="22"/>
        <v>1</v>
      </c>
      <c r="ACI101" s="1137">
        <f t="shared" si="22"/>
        <v>1</v>
      </c>
      <c r="ACJ101" s="1137">
        <f t="shared" si="22"/>
        <v>1</v>
      </c>
      <c r="ACK101" s="1137">
        <f t="shared" si="22"/>
        <v>1</v>
      </c>
      <c r="ACL101" s="1137">
        <f t="shared" si="22"/>
        <v>1</v>
      </c>
      <c r="ACM101" s="1137">
        <f t="shared" si="22"/>
        <v>1</v>
      </c>
      <c r="ACN101" s="1137">
        <f t="shared" si="22"/>
        <v>0</v>
      </c>
      <c r="ACO101" s="1137">
        <f t="shared" si="22"/>
        <v>1</v>
      </c>
      <c r="ACP101" s="1137">
        <f t="shared" si="22"/>
        <v>1</v>
      </c>
      <c r="ACQ101" s="1137">
        <f t="shared" si="22"/>
        <v>1</v>
      </c>
      <c r="ACR101" s="1137">
        <f t="shared" si="22"/>
        <v>0</v>
      </c>
      <c r="ACS101" s="1137">
        <f t="shared" si="22"/>
        <v>0</v>
      </c>
      <c r="ACT101" s="1137">
        <f t="shared" si="22"/>
        <v>0</v>
      </c>
      <c r="ACU101" s="1137">
        <f t="shared" si="22"/>
        <v>0</v>
      </c>
      <c r="ACV101" s="1137">
        <f t="shared" si="24"/>
        <v>0</v>
      </c>
      <c r="ACW101" s="1137">
        <f t="shared" si="24"/>
        <v>0</v>
      </c>
      <c r="ACX101" s="1137">
        <f t="shared" si="24"/>
        <v>0</v>
      </c>
      <c r="ACY101" s="1137">
        <f t="shared" si="24"/>
        <v>0</v>
      </c>
      <c r="ACZ101" s="1137">
        <f t="shared" si="24"/>
        <v>0</v>
      </c>
      <c r="ADA101" s="1137">
        <f t="shared" si="24"/>
        <v>0</v>
      </c>
      <c r="ADB101" s="1137">
        <f t="shared" si="16"/>
        <v>0</v>
      </c>
      <c r="ADC101" s="1137">
        <f t="shared" si="16"/>
        <v>0</v>
      </c>
    </row>
    <row r="102" spans="1:783" x14ac:dyDescent="0.25">
      <c r="A102" t="s">
        <v>1900</v>
      </c>
      <c r="B102" t="s">
        <v>209</v>
      </c>
      <c r="C102">
        <v>0</v>
      </c>
      <c r="D102">
        <v>0</v>
      </c>
      <c r="E102">
        <v>0</v>
      </c>
      <c r="F102">
        <v>0</v>
      </c>
      <c r="G102">
        <v>0</v>
      </c>
      <c r="H102">
        <v>0</v>
      </c>
      <c r="I102">
        <v>0</v>
      </c>
      <c r="J102">
        <v>0</v>
      </c>
      <c r="K102">
        <v>0</v>
      </c>
      <c r="L102">
        <v>0</v>
      </c>
      <c r="M102">
        <v>0</v>
      </c>
      <c r="N102">
        <v>0</v>
      </c>
      <c r="O102">
        <v>0</v>
      </c>
      <c r="P102">
        <v>0</v>
      </c>
      <c r="Q102">
        <v>0</v>
      </c>
      <c r="R102">
        <v>0</v>
      </c>
      <c r="S102">
        <v>0</v>
      </c>
      <c r="T102">
        <v>0</v>
      </c>
      <c r="U102">
        <v>0</v>
      </c>
      <c r="V102">
        <v>0</v>
      </c>
      <c r="W102">
        <v>0</v>
      </c>
      <c r="X102">
        <v>0</v>
      </c>
      <c r="Y102">
        <v>0</v>
      </c>
      <c r="Z102">
        <v>0</v>
      </c>
      <c r="AA102">
        <v>0</v>
      </c>
      <c r="AB102">
        <v>0</v>
      </c>
      <c r="AC102">
        <v>0</v>
      </c>
      <c r="AD102">
        <v>0</v>
      </c>
      <c r="AE102">
        <v>0</v>
      </c>
      <c r="AF102">
        <v>0</v>
      </c>
      <c r="AG102">
        <v>0</v>
      </c>
      <c r="AH102">
        <v>0</v>
      </c>
      <c r="AI102">
        <v>0</v>
      </c>
      <c r="AJ102">
        <v>0</v>
      </c>
      <c r="AK102">
        <v>0</v>
      </c>
      <c r="AL102">
        <v>0</v>
      </c>
      <c r="AM102">
        <v>0</v>
      </c>
      <c r="AN102">
        <v>0</v>
      </c>
      <c r="AO102">
        <v>0</v>
      </c>
      <c r="AP102">
        <v>0</v>
      </c>
      <c r="AQ102">
        <v>0</v>
      </c>
      <c r="AR102">
        <v>0</v>
      </c>
      <c r="AS102">
        <v>0</v>
      </c>
      <c r="AT102">
        <v>0</v>
      </c>
      <c r="AU102">
        <v>0</v>
      </c>
      <c r="AV102">
        <v>0</v>
      </c>
      <c r="AW102">
        <v>0</v>
      </c>
      <c r="AX102">
        <v>0</v>
      </c>
      <c r="AY102">
        <v>0</v>
      </c>
      <c r="AZ102">
        <v>0</v>
      </c>
      <c r="BA102">
        <v>0</v>
      </c>
      <c r="BB102">
        <v>0</v>
      </c>
      <c r="BC102">
        <v>0</v>
      </c>
      <c r="BD102">
        <v>0</v>
      </c>
      <c r="BE102">
        <v>0</v>
      </c>
      <c r="BF102">
        <v>0</v>
      </c>
      <c r="BG102">
        <v>0</v>
      </c>
      <c r="BH102">
        <v>0</v>
      </c>
      <c r="BI102">
        <v>0</v>
      </c>
      <c r="BJ102">
        <v>0</v>
      </c>
      <c r="BK102">
        <v>0</v>
      </c>
      <c r="BL102">
        <v>0</v>
      </c>
      <c r="BM102">
        <v>0</v>
      </c>
      <c r="BN102">
        <v>0</v>
      </c>
      <c r="BO102">
        <v>0</v>
      </c>
      <c r="BP102">
        <v>0</v>
      </c>
      <c r="BQ102">
        <v>0</v>
      </c>
      <c r="BR102">
        <v>0</v>
      </c>
      <c r="BS102">
        <v>0</v>
      </c>
      <c r="BT102">
        <v>0</v>
      </c>
      <c r="BU102">
        <v>0</v>
      </c>
      <c r="BV102">
        <v>0</v>
      </c>
      <c r="BW102">
        <v>0</v>
      </c>
      <c r="BX102">
        <v>0</v>
      </c>
      <c r="BY102">
        <v>0</v>
      </c>
      <c r="BZ102">
        <v>0</v>
      </c>
      <c r="CA102">
        <v>0</v>
      </c>
      <c r="CB102">
        <v>0</v>
      </c>
      <c r="CC102">
        <v>0</v>
      </c>
      <c r="CD102">
        <v>0</v>
      </c>
      <c r="CE102">
        <v>0</v>
      </c>
      <c r="CF102">
        <v>2</v>
      </c>
      <c r="CG102">
        <v>2</v>
      </c>
      <c r="CH102">
        <v>2</v>
      </c>
      <c r="CI102">
        <v>2</v>
      </c>
      <c r="CJ102">
        <v>2</v>
      </c>
      <c r="CK102">
        <v>2</v>
      </c>
      <c r="CL102">
        <v>2</v>
      </c>
      <c r="CM102">
        <v>2</v>
      </c>
      <c r="CN102">
        <v>2</v>
      </c>
      <c r="CO102">
        <v>2</v>
      </c>
      <c r="CP102">
        <v>2</v>
      </c>
      <c r="CQ102">
        <v>2</v>
      </c>
      <c r="CR102">
        <v>2</v>
      </c>
      <c r="CS102">
        <v>2</v>
      </c>
      <c r="CT102">
        <v>2</v>
      </c>
      <c r="CU102">
        <v>2</v>
      </c>
      <c r="CV102">
        <v>2</v>
      </c>
      <c r="CW102">
        <v>2</v>
      </c>
      <c r="CX102">
        <v>2</v>
      </c>
      <c r="CY102">
        <v>2</v>
      </c>
      <c r="CZ102">
        <v>2</v>
      </c>
      <c r="DA102">
        <v>2</v>
      </c>
      <c r="DB102">
        <v>2</v>
      </c>
      <c r="DC102">
        <v>2</v>
      </c>
      <c r="DD102">
        <v>2</v>
      </c>
      <c r="DE102">
        <v>2</v>
      </c>
      <c r="DF102">
        <v>2</v>
      </c>
      <c r="DG102">
        <v>2</v>
      </c>
      <c r="DH102">
        <v>2</v>
      </c>
      <c r="DI102">
        <v>2</v>
      </c>
      <c r="DJ102">
        <v>2</v>
      </c>
      <c r="DK102">
        <v>2</v>
      </c>
      <c r="DL102">
        <v>2</v>
      </c>
      <c r="DM102">
        <v>2</v>
      </c>
      <c r="DN102">
        <v>2</v>
      </c>
      <c r="DO102">
        <v>2</v>
      </c>
      <c r="DP102">
        <v>2</v>
      </c>
      <c r="DQ102">
        <v>2</v>
      </c>
      <c r="DR102">
        <v>2</v>
      </c>
      <c r="DS102">
        <v>2</v>
      </c>
      <c r="DT102">
        <v>2</v>
      </c>
      <c r="DU102">
        <v>2</v>
      </c>
      <c r="DV102">
        <v>2</v>
      </c>
      <c r="DW102">
        <v>2</v>
      </c>
      <c r="DX102">
        <v>2</v>
      </c>
      <c r="DY102">
        <v>2</v>
      </c>
      <c r="DZ102">
        <v>2</v>
      </c>
      <c r="EA102">
        <v>2</v>
      </c>
      <c r="EB102">
        <v>2</v>
      </c>
      <c r="EC102">
        <v>2</v>
      </c>
      <c r="ED102">
        <v>2</v>
      </c>
      <c r="EE102">
        <v>2</v>
      </c>
      <c r="EF102">
        <v>2</v>
      </c>
      <c r="EG102">
        <v>2</v>
      </c>
      <c r="EH102">
        <v>2</v>
      </c>
      <c r="EI102">
        <v>2</v>
      </c>
      <c r="EJ102">
        <v>2</v>
      </c>
      <c r="EK102">
        <v>2</v>
      </c>
      <c r="EL102">
        <v>2</v>
      </c>
      <c r="EM102">
        <v>2</v>
      </c>
      <c r="EN102">
        <v>2</v>
      </c>
      <c r="EO102">
        <v>2</v>
      </c>
      <c r="EP102">
        <v>2</v>
      </c>
      <c r="EQ102">
        <v>2</v>
      </c>
      <c r="ER102">
        <v>2</v>
      </c>
      <c r="ES102">
        <v>2</v>
      </c>
      <c r="ET102">
        <v>2</v>
      </c>
      <c r="EU102">
        <v>2</v>
      </c>
      <c r="EV102">
        <v>2</v>
      </c>
      <c r="EW102">
        <v>2</v>
      </c>
      <c r="EX102">
        <v>2</v>
      </c>
      <c r="EY102">
        <v>2</v>
      </c>
      <c r="EZ102">
        <v>2</v>
      </c>
      <c r="FA102">
        <v>2</v>
      </c>
      <c r="FB102">
        <v>2</v>
      </c>
      <c r="FC102">
        <v>2</v>
      </c>
      <c r="FD102">
        <v>2</v>
      </c>
      <c r="FE102">
        <v>2</v>
      </c>
      <c r="FF102">
        <v>2</v>
      </c>
      <c r="FG102">
        <v>2</v>
      </c>
      <c r="FH102">
        <v>2</v>
      </c>
      <c r="FI102">
        <v>2</v>
      </c>
      <c r="FJ102">
        <v>2</v>
      </c>
      <c r="FK102">
        <v>2</v>
      </c>
      <c r="FL102">
        <v>2</v>
      </c>
      <c r="FM102">
        <v>2</v>
      </c>
      <c r="FN102">
        <v>2</v>
      </c>
      <c r="FO102">
        <v>2</v>
      </c>
      <c r="FP102">
        <v>2</v>
      </c>
      <c r="FQ102">
        <v>2</v>
      </c>
      <c r="FR102">
        <v>2</v>
      </c>
      <c r="FS102">
        <v>2</v>
      </c>
      <c r="FT102">
        <v>2</v>
      </c>
      <c r="FU102">
        <v>2</v>
      </c>
      <c r="FV102">
        <v>2</v>
      </c>
      <c r="FW102">
        <v>2</v>
      </c>
      <c r="FX102">
        <v>2</v>
      </c>
      <c r="FY102">
        <v>2</v>
      </c>
      <c r="FZ102">
        <v>2</v>
      </c>
      <c r="GA102">
        <v>2</v>
      </c>
      <c r="GB102">
        <v>2</v>
      </c>
      <c r="GC102">
        <v>2</v>
      </c>
      <c r="GD102">
        <v>2</v>
      </c>
      <c r="GE102">
        <v>2</v>
      </c>
      <c r="GF102">
        <v>2</v>
      </c>
      <c r="GG102">
        <v>2</v>
      </c>
      <c r="GH102">
        <v>2</v>
      </c>
      <c r="GI102">
        <v>2</v>
      </c>
      <c r="GJ102">
        <v>2</v>
      </c>
      <c r="GK102">
        <v>2</v>
      </c>
      <c r="GL102">
        <v>2</v>
      </c>
      <c r="GM102">
        <v>2</v>
      </c>
      <c r="GN102">
        <v>2</v>
      </c>
      <c r="GO102">
        <v>2</v>
      </c>
      <c r="GP102">
        <v>2</v>
      </c>
      <c r="GQ102">
        <v>2</v>
      </c>
      <c r="GR102">
        <v>2</v>
      </c>
      <c r="GS102">
        <v>2</v>
      </c>
      <c r="GT102">
        <v>2</v>
      </c>
      <c r="GU102">
        <v>2</v>
      </c>
      <c r="GV102">
        <v>2</v>
      </c>
      <c r="GW102">
        <v>2</v>
      </c>
      <c r="GX102">
        <v>2</v>
      </c>
      <c r="GY102">
        <v>2</v>
      </c>
      <c r="GZ102">
        <v>2</v>
      </c>
      <c r="HA102">
        <v>2</v>
      </c>
      <c r="HB102">
        <v>2</v>
      </c>
      <c r="HC102">
        <v>2</v>
      </c>
      <c r="HD102">
        <v>2</v>
      </c>
      <c r="HE102">
        <v>2</v>
      </c>
      <c r="HF102">
        <v>2</v>
      </c>
      <c r="HG102">
        <v>2</v>
      </c>
      <c r="HH102">
        <v>2</v>
      </c>
      <c r="HI102">
        <v>2</v>
      </c>
      <c r="HJ102">
        <v>2</v>
      </c>
      <c r="HK102">
        <v>2</v>
      </c>
      <c r="HL102">
        <v>2</v>
      </c>
      <c r="HM102">
        <v>2</v>
      </c>
      <c r="HN102">
        <v>2</v>
      </c>
      <c r="HO102">
        <v>2</v>
      </c>
      <c r="HP102">
        <v>2</v>
      </c>
      <c r="HQ102">
        <v>2</v>
      </c>
      <c r="HR102">
        <v>2</v>
      </c>
      <c r="HS102">
        <v>2</v>
      </c>
      <c r="HT102">
        <v>2</v>
      </c>
      <c r="HU102">
        <v>2</v>
      </c>
      <c r="HV102">
        <v>2</v>
      </c>
      <c r="HW102">
        <v>2</v>
      </c>
      <c r="HX102">
        <v>2</v>
      </c>
      <c r="HY102">
        <v>2</v>
      </c>
      <c r="HZ102">
        <v>2</v>
      </c>
      <c r="IA102">
        <v>2</v>
      </c>
      <c r="IB102">
        <v>2</v>
      </c>
      <c r="IC102">
        <v>2</v>
      </c>
      <c r="ID102">
        <v>2</v>
      </c>
      <c r="IE102">
        <v>2</v>
      </c>
      <c r="IF102">
        <v>2</v>
      </c>
      <c r="IG102">
        <v>2</v>
      </c>
      <c r="IH102">
        <v>2</v>
      </c>
      <c r="II102">
        <v>2</v>
      </c>
      <c r="IJ102">
        <v>2</v>
      </c>
      <c r="IK102">
        <v>2</v>
      </c>
      <c r="IL102">
        <v>2</v>
      </c>
      <c r="IM102">
        <v>2</v>
      </c>
      <c r="IN102">
        <v>2</v>
      </c>
      <c r="IO102">
        <v>2</v>
      </c>
      <c r="IP102">
        <v>2</v>
      </c>
      <c r="IQ102">
        <v>2</v>
      </c>
      <c r="IR102">
        <v>2</v>
      </c>
      <c r="IS102">
        <v>2</v>
      </c>
      <c r="IT102">
        <v>2</v>
      </c>
      <c r="IU102">
        <v>2</v>
      </c>
      <c r="IV102">
        <v>2</v>
      </c>
      <c r="IW102">
        <v>2</v>
      </c>
      <c r="IX102">
        <v>2</v>
      </c>
      <c r="IY102">
        <v>2</v>
      </c>
      <c r="IZ102">
        <v>2</v>
      </c>
      <c r="JA102">
        <v>2</v>
      </c>
      <c r="JB102">
        <v>2</v>
      </c>
      <c r="JC102">
        <v>2</v>
      </c>
      <c r="JD102">
        <v>2</v>
      </c>
      <c r="JE102">
        <v>2</v>
      </c>
      <c r="JF102">
        <v>2</v>
      </c>
      <c r="JG102">
        <v>2</v>
      </c>
      <c r="JH102">
        <v>2</v>
      </c>
      <c r="JI102">
        <v>2</v>
      </c>
      <c r="JJ102">
        <v>2</v>
      </c>
      <c r="JK102">
        <v>2</v>
      </c>
      <c r="JL102">
        <v>2</v>
      </c>
      <c r="JM102">
        <v>2</v>
      </c>
      <c r="JN102">
        <v>2</v>
      </c>
      <c r="JO102">
        <v>2</v>
      </c>
      <c r="JP102">
        <v>2</v>
      </c>
      <c r="JQ102">
        <v>2</v>
      </c>
      <c r="JR102">
        <v>2</v>
      </c>
      <c r="JS102">
        <v>2</v>
      </c>
      <c r="JT102">
        <v>2</v>
      </c>
      <c r="JU102">
        <v>2</v>
      </c>
      <c r="JV102">
        <v>2</v>
      </c>
      <c r="JW102">
        <v>2</v>
      </c>
      <c r="JX102">
        <v>2</v>
      </c>
      <c r="JY102">
        <v>2</v>
      </c>
      <c r="JZ102">
        <v>2</v>
      </c>
      <c r="KA102">
        <v>2</v>
      </c>
      <c r="KB102">
        <v>2</v>
      </c>
      <c r="KC102">
        <v>2</v>
      </c>
      <c r="KD102">
        <v>2</v>
      </c>
      <c r="KE102">
        <v>2</v>
      </c>
      <c r="KF102">
        <v>2</v>
      </c>
      <c r="KG102">
        <v>2</v>
      </c>
      <c r="KH102">
        <v>2</v>
      </c>
      <c r="KI102">
        <v>2</v>
      </c>
      <c r="KJ102">
        <v>2</v>
      </c>
      <c r="KK102">
        <v>2</v>
      </c>
      <c r="KL102">
        <v>2</v>
      </c>
      <c r="KM102">
        <v>2</v>
      </c>
      <c r="KN102">
        <v>2</v>
      </c>
      <c r="KO102">
        <v>2</v>
      </c>
      <c r="KP102">
        <v>2</v>
      </c>
      <c r="KQ102">
        <v>2</v>
      </c>
      <c r="KR102">
        <v>2</v>
      </c>
      <c r="KS102">
        <v>2</v>
      </c>
      <c r="KT102">
        <v>2</v>
      </c>
      <c r="KU102">
        <v>2</v>
      </c>
      <c r="KV102">
        <v>2</v>
      </c>
      <c r="KW102">
        <v>2</v>
      </c>
      <c r="KX102">
        <v>2</v>
      </c>
      <c r="KY102">
        <v>2</v>
      </c>
      <c r="KZ102">
        <v>2</v>
      </c>
      <c r="LA102">
        <v>2</v>
      </c>
      <c r="LB102">
        <v>2</v>
      </c>
      <c r="LC102">
        <v>2</v>
      </c>
      <c r="LD102">
        <v>2</v>
      </c>
      <c r="LE102">
        <v>2</v>
      </c>
      <c r="LF102">
        <v>2</v>
      </c>
      <c r="LG102">
        <v>2</v>
      </c>
      <c r="LH102">
        <v>2</v>
      </c>
      <c r="LI102">
        <v>2</v>
      </c>
      <c r="LJ102">
        <v>2</v>
      </c>
      <c r="LK102">
        <v>2</v>
      </c>
      <c r="LL102">
        <v>2</v>
      </c>
      <c r="LM102">
        <v>2</v>
      </c>
      <c r="LN102">
        <v>2</v>
      </c>
      <c r="LO102">
        <v>2</v>
      </c>
      <c r="LP102">
        <v>2</v>
      </c>
      <c r="LQ102">
        <v>2</v>
      </c>
      <c r="LR102">
        <v>2</v>
      </c>
      <c r="LS102">
        <v>2</v>
      </c>
      <c r="LT102">
        <v>2</v>
      </c>
      <c r="LU102">
        <v>2</v>
      </c>
      <c r="LV102">
        <v>2</v>
      </c>
      <c r="LW102">
        <v>2</v>
      </c>
      <c r="LX102">
        <v>2</v>
      </c>
      <c r="LY102">
        <v>2</v>
      </c>
      <c r="LZ102">
        <v>2</v>
      </c>
      <c r="MA102">
        <v>2</v>
      </c>
      <c r="MB102">
        <v>2</v>
      </c>
      <c r="MC102">
        <v>2</v>
      </c>
      <c r="MD102">
        <v>2</v>
      </c>
      <c r="ME102">
        <v>2</v>
      </c>
      <c r="MF102">
        <v>2</v>
      </c>
      <c r="MG102">
        <v>2</v>
      </c>
      <c r="MH102">
        <v>2</v>
      </c>
      <c r="MI102">
        <v>2</v>
      </c>
      <c r="MJ102">
        <v>2</v>
      </c>
      <c r="MK102">
        <v>2</v>
      </c>
      <c r="ML102">
        <v>2</v>
      </c>
      <c r="MM102">
        <v>2</v>
      </c>
      <c r="MN102">
        <v>2</v>
      </c>
      <c r="MO102">
        <v>2</v>
      </c>
      <c r="MP102">
        <v>2</v>
      </c>
      <c r="MQ102">
        <v>2</v>
      </c>
      <c r="MR102">
        <v>2</v>
      </c>
      <c r="MS102">
        <v>2</v>
      </c>
      <c r="MT102">
        <v>2</v>
      </c>
      <c r="MU102">
        <v>2</v>
      </c>
      <c r="MV102">
        <v>2</v>
      </c>
      <c r="MW102">
        <v>2</v>
      </c>
      <c r="MX102">
        <v>2</v>
      </c>
      <c r="MY102">
        <v>2</v>
      </c>
      <c r="MZ102">
        <v>2</v>
      </c>
      <c r="NA102">
        <v>2</v>
      </c>
      <c r="NB102">
        <v>2</v>
      </c>
      <c r="NC102">
        <v>2</v>
      </c>
      <c r="ND102">
        <v>2</v>
      </c>
      <c r="NE102">
        <v>2</v>
      </c>
      <c r="NF102">
        <v>2</v>
      </c>
      <c r="NG102">
        <v>2</v>
      </c>
      <c r="NH102">
        <v>2</v>
      </c>
      <c r="NI102">
        <v>2</v>
      </c>
      <c r="NJ102">
        <v>2</v>
      </c>
      <c r="NK102">
        <v>2</v>
      </c>
      <c r="NL102">
        <v>2</v>
      </c>
      <c r="NM102">
        <v>2</v>
      </c>
      <c r="NN102">
        <v>2</v>
      </c>
      <c r="NO102">
        <v>2</v>
      </c>
      <c r="NP102">
        <v>2</v>
      </c>
      <c r="NQ102">
        <v>2</v>
      </c>
      <c r="NR102">
        <v>2</v>
      </c>
      <c r="NS102">
        <v>2</v>
      </c>
      <c r="NT102">
        <v>2</v>
      </c>
      <c r="NU102">
        <v>2</v>
      </c>
      <c r="NV102">
        <v>2</v>
      </c>
      <c r="NW102">
        <v>2</v>
      </c>
      <c r="NX102">
        <v>2</v>
      </c>
      <c r="NY102">
        <v>2</v>
      </c>
      <c r="NZ102">
        <v>2</v>
      </c>
      <c r="OA102">
        <v>2</v>
      </c>
      <c r="OB102">
        <v>2</v>
      </c>
      <c r="OC102">
        <v>2</v>
      </c>
      <c r="OD102">
        <v>2</v>
      </c>
      <c r="OE102">
        <v>2</v>
      </c>
      <c r="OF102">
        <v>2</v>
      </c>
      <c r="OG102">
        <v>2</v>
      </c>
      <c r="OH102">
        <v>2</v>
      </c>
      <c r="OI102">
        <v>2</v>
      </c>
      <c r="OJ102">
        <v>2</v>
      </c>
      <c r="OK102">
        <v>2</v>
      </c>
      <c r="OL102">
        <v>2</v>
      </c>
      <c r="OM102">
        <v>2</v>
      </c>
      <c r="ON102">
        <v>2</v>
      </c>
      <c r="OO102">
        <v>2</v>
      </c>
      <c r="OP102">
        <v>2</v>
      </c>
      <c r="OQ102">
        <v>2</v>
      </c>
      <c r="OR102">
        <v>2</v>
      </c>
      <c r="OS102">
        <v>2</v>
      </c>
      <c r="OT102">
        <v>2</v>
      </c>
      <c r="OU102">
        <v>2</v>
      </c>
      <c r="OV102">
        <v>2</v>
      </c>
      <c r="OW102">
        <v>2</v>
      </c>
      <c r="OX102">
        <v>2</v>
      </c>
      <c r="OY102">
        <v>2</v>
      </c>
      <c r="OZ102">
        <v>2</v>
      </c>
      <c r="PA102">
        <v>2</v>
      </c>
      <c r="PB102">
        <v>2</v>
      </c>
      <c r="PC102">
        <v>2</v>
      </c>
      <c r="PD102">
        <v>2</v>
      </c>
      <c r="PE102">
        <v>2</v>
      </c>
      <c r="PF102">
        <v>2</v>
      </c>
      <c r="PG102">
        <v>2</v>
      </c>
      <c r="PH102">
        <v>2</v>
      </c>
      <c r="PI102">
        <v>2</v>
      </c>
      <c r="PJ102">
        <v>2</v>
      </c>
      <c r="PK102">
        <v>2</v>
      </c>
      <c r="PL102">
        <v>2</v>
      </c>
      <c r="PM102">
        <v>2</v>
      </c>
      <c r="PN102">
        <v>2</v>
      </c>
      <c r="PO102">
        <v>2</v>
      </c>
      <c r="PP102">
        <v>2</v>
      </c>
      <c r="PQ102">
        <v>2</v>
      </c>
      <c r="PR102">
        <v>2</v>
      </c>
      <c r="PS102">
        <v>2</v>
      </c>
      <c r="PT102">
        <v>2</v>
      </c>
      <c r="PU102">
        <v>2</v>
      </c>
      <c r="PV102">
        <v>2</v>
      </c>
      <c r="PW102">
        <v>2</v>
      </c>
      <c r="PX102">
        <v>2</v>
      </c>
      <c r="PY102">
        <v>2</v>
      </c>
      <c r="PZ102">
        <v>2</v>
      </c>
      <c r="QA102">
        <v>2</v>
      </c>
      <c r="QB102">
        <v>2</v>
      </c>
      <c r="QC102">
        <v>2</v>
      </c>
      <c r="QD102">
        <v>2</v>
      </c>
      <c r="QE102">
        <v>2</v>
      </c>
      <c r="QF102">
        <v>2</v>
      </c>
      <c r="QG102">
        <v>2</v>
      </c>
      <c r="QH102">
        <v>2</v>
      </c>
      <c r="QI102">
        <v>2</v>
      </c>
      <c r="QJ102">
        <v>2</v>
      </c>
      <c r="QK102">
        <v>2</v>
      </c>
      <c r="QL102">
        <v>2</v>
      </c>
      <c r="QM102">
        <v>2</v>
      </c>
      <c r="QN102">
        <v>2</v>
      </c>
      <c r="QO102">
        <v>2</v>
      </c>
      <c r="QP102">
        <v>2</v>
      </c>
      <c r="QQ102">
        <v>2</v>
      </c>
      <c r="QR102">
        <v>2</v>
      </c>
      <c r="QS102">
        <v>2</v>
      </c>
      <c r="QT102">
        <v>2</v>
      </c>
      <c r="QU102">
        <v>2</v>
      </c>
      <c r="QV102">
        <v>2</v>
      </c>
      <c r="QW102">
        <v>2</v>
      </c>
      <c r="QX102">
        <v>2</v>
      </c>
      <c r="QY102">
        <v>2</v>
      </c>
      <c r="QZ102">
        <v>2</v>
      </c>
      <c r="RA102">
        <v>2</v>
      </c>
      <c r="RB102">
        <v>2</v>
      </c>
      <c r="RC102">
        <v>2</v>
      </c>
      <c r="RD102">
        <v>2</v>
      </c>
      <c r="RE102">
        <v>2</v>
      </c>
      <c r="RF102">
        <v>2</v>
      </c>
      <c r="RG102">
        <v>2</v>
      </c>
      <c r="RH102">
        <v>2</v>
      </c>
      <c r="RI102">
        <v>2</v>
      </c>
      <c r="RJ102">
        <v>2</v>
      </c>
      <c r="RK102">
        <v>2</v>
      </c>
      <c r="RL102">
        <v>2</v>
      </c>
      <c r="RM102">
        <v>2</v>
      </c>
      <c r="RN102">
        <v>2</v>
      </c>
      <c r="RO102">
        <v>2</v>
      </c>
      <c r="RP102">
        <v>2</v>
      </c>
      <c r="RQ102">
        <v>2</v>
      </c>
      <c r="RR102">
        <v>2</v>
      </c>
      <c r="RS102">
        <v>2</v>
      </c>
      <c r="RT102">
        <v>2</v>
      </c>
      <c r="RU102">
        <v>2</v>
      </c>
      <c r="RV102">
        <v>2</v>
      </c>
      <c r="RW102">
        <v>2</v>
      </c>
      <c r="RX102">
        <v>2</v>
      </c>
      <c r="RY102">
        <v>2</v>
      </c>
      <c r="RZ102">
        <v>2</v>
      </c>
      <c r="SA102">
        <v>2</v>
      </c>
      <c r="SB102">
        <v>2</v>
      </c>
      <c r="SC102">
        <v>2</v>
      </c>
      <c r="SD102">
        <v>2</v>
      </c>
      <c r="SE102">
        <v>2</v>
      </c>
      <c r="SF102">
        <v>2</v>
      </c>
      <c r="SG102">
        <v>2</v>
      </c>
      <c r="SH102">
        <v>2</v>
      </c>
      <c r="SI102">
        <v>2</v>
      </c>
      <c r="SJ102">
        <v>2</v>
      </c>
      <c r="SK102">
        <v>2</v>
      </c>
      <c r="SL102">
        <v>2</v>
      </c>
      <c r="SM102">
        <v>2</v>
      </c>
      <c r="SN102">
        <v>2</v>
      </c>
      <c r="SO102">
        <v>2</v>
      </c>
      <c r="SP102">
        <v>2</v>
      </c>
      <c r="SQ102">
        <v>2</v>
      </c>
      <c r="SR102">
        <v>2</v>
      </c>
      <c r="SS102">
        <v>2</v>
      </c>
      <c r="ST102">
        <v>2</v>
      </c>
      <c r="SU102">
        <v>2</v>
      </c>
      <c r="SV102">
        <v>2</v>
      </c>
      <c r="SW102">
        <v>2</v>
      </c>
      <c r="SX102">
        <v>2</v>
      </c>
      <c r="SY102">
        <v>2</v>
      </c>
      <c r="SZ102">
        <v>1</v>
      </c>
      <c r="TA102">
        <v>1</v>
      </c>
      <c r="TB102">
        <v>1</v>
      </c>
      <c r="TC102">
        <v>1</v>
      </c>
      <c r="TD102">
        <v>1</v>
      </c>
      <c r="TE102">
        <v>1</v>
      </c>
      <c r="TF102">
        <v>1</v>
      </c>
      <c r="TG102">
        <v>1</v>
      </c>
      <c r="TH102">
        <v>1</v>
      </c>
      <c r="TI102">
        <v>1</v>
      </c>
      <c r="TJ102">
        <v>1</v>
      </c>
      <c r="TK102">
        <v>1</v>
      </c>
      <c r="TL102">
        <v>1</v>
      </c>
      <c r="TM102">
        <v>1</v>
      </c>
      <c r="TN102">
        <v>1</v>
      </c>
      <c r="TO102">
        <v>1</v>
      </c>
      <c r="TP102">
        <v>1</v>
      </c>
      <c r="TQ102">
        <v>1</v>
      </c>
      <c r="TR102">
        <v>1</v>
      </c>
      <c r="TS102">
        <v>1</v>
      </c>
      <c r="TT102">
        <v>1</v>
      </c>
      <c r="TU102">
        <v>1</v>
      </c>
      <c r="TV102">
        <v>1</v>
      </c>
      <c r="TW102">
        <v>1</v>
      </c>
      <c r="TX102">
        <v>2</v>
      </c>
      <c r="TY102">
        <v>2</v>
      </c>
      <c r="TZ102">
        <v>2</v>
      </c>
      <c r="UA102">
        <v>2</v>
      </c>
      <c r="UB102">
        <v>2</v>
      </c>
      <c r="UC102">
        <v>2</v>
      </c>
      <c r="UD102">
        <v>2</v>
      </c>
      <c r="UE102">
        <v>2</v>
      </c>
      <c r="UF102">
        <v>2</v>
      </c>
      <c r="UG102">
        <v>2</v>
      </c>
      <c r="UH102">
        <v>2</v>
      </c>
      <c r="UI102">
        <v>2</v>
      </c>
      <c r="UJ102">
        <v>2</v>
      </c>
      <c r="UK102">
        <v>2</v>
      </c>
      <c r="UL102">
        <v>2</v>
      </c>
      <c r="UM102">
        <v>2</v>
      </c>
      <c r="UN102">
        <v>2</v>
      </c>
      <c r="UO102">
        <v>2</v>
      </c>
      <c r="UP102">
        <v>1</v>
      </c>
      <c r="UQ102">
        <v>1</v>
      </c>
      <c r="UR102">
        <v>1</v>
      </c>
      <c r="US102">
        <v>1</v>
      </c>
      <c r="UT102">
        <v>1</v>
      </c>
      <c r="UU102">
        <v>1</v>
      </c>
      <c r="UV102">
        <v>1</v>
      </c>
      <c r="UW102">
        <v>1</v>
      </c>
      <c r="UX102">
        <v>1</v>
      </c>
      <c r="UY102">
        <v>1</v>
      </c>
      <c r="UZ102">
        <v>1</v>
      </c>
      <c r="VA102">
        <v>1</v>
      </c>
      <c r="VB102">
        <v>1</v>
      </c>
      <c r="VC102">
        <v>1</v>
      </c>
      <c r="VD102">
        <v>1</v>
      </c>
      <c r="VE102">
        <v>1</v>
      </c>
      <c r="VF102">
        <v>1</v>
      </c>
      <c r="VG102">
        <v>1</v>
      </c>
      <c r="VH102">
        <v>1</v>
      </c>
      <c r="VI102">
        <v>1</v>
      </c>
      <c r="VJ102">
        <v>1</v>
      </c>
      <c r="VK102">
        <v>1</v>
      </c>
      <c r="VL102">
        <v>1</v>
      </c>
      <c r="VM102">
        <v>1</v>
      </c>
      <c r="VN102">
        <v>1</v>
      </c>
      <c r="VO102">
        <v>1</v>
      </c>
      <c r="VP102">
        <v>1</v>
      </c>
      <c r="VQ102">
        <v>1</v>
      </c>
      <c r="VR102">
        <v>1</v>
      </c>
      <c r="VS102">
        <v>1</v>
      </c>
      <c r="VT102">
        <v>1</v>
      </c>
      <c r="VU102">
        <v>1</v>
      </c>
      <c r="VV102">
        <v>1</v>
      </c>
      <c r="VW102">
        <v>1</v>
      </c>
      <c r="VX102">
        <v>1</v>
      </c>
      <c r="VY102">
        <v>1</v>
      </c>
      <c r="VZ102">
        <v>0</v>
      </c>
      <c r="WA102">
        <v>0</v>
      </c>
      <c r="WB102">
        <v>0</v>
      </c>
      <c r="WC102">
        <v>0</v>
      </c>
      <c r="WD102">
        <v>0</v>
      </c>
      <c r="WE102">
        <v>0</v>
      </c>
      <c r="WF102">
        <v>0</v>
      </c>
      <c r="WG102">
        <v>0</v>
      </c>
      <c r="WH102">
        <v>0</v>
      </c>
      <c r="WI102">
        <v>0</v>
      </c>
      <c r="WJ102">
        <v>0</v>
      </c>
      <c r="WK102">
        <v>0</v>
      </c>
      <c r="WL102">
        <v>0</v>
      </c>
      <c r="WM102">
        <v>0</v>
      </c>
      <c r="WN102">
        <v>0</v>
      </c>
      <c r="WO102">
        <v>0</v>
      </c>
      <c r="WP102">
        <v>0</v>
      </c>
      <c r="WQ102">
        <v>0</v>
      </c>
      <c r="WR102">
        <v>0</v>
      </c>
      <c r="WS102">
        <v>0</v>
      </c>
      <c r="WT102">
        <v>0</v>
      </c>
      <c r="WU102">
        <v>0</v>
      </c>
      <c r="WV102">
        <v>0</v>
      </c>
      <c r="WW102">
        <v>0</v>
      </c>
      <c r="WX102">
        <v>0</v>
      </c>
      <c r="WY102">
        <v>0</v>
      </c>
      <c r="WZ102">
        <v>0</v>
      </c>
      <c r="XA102">
        <v>0</v>
      </c>
      <c r="XB102">
        <v>0</v>
      </c>
      <c r="XC102">
        <v>0</v>
      </c>
      <c r="XD102">
        <v>0</v>
      </c>
      <c r="XE102">
        <v>0</v>
      </c>
      <c r="XF102">
        <v>0</v>
      </c>
      <c r="XG102">
        <v>0</v>
      </c>
      <c r="XH102">
        <v>0</v>
      </c>
      <c r="XI102">
        <v>0</v>
      </c>
      <c r="XJ102">
        <v>0</v>
      </c>
      <c r="XK102">
        <v>0</v>
      </c>
      <c r="XL102">
        <v>0</v>
      </c>
      <c r="XM102">
        <v>0</v>
      </c>
      <c r="XN102">
        <v>0</v>
      </c>
      <c r="XO102">
        <v>0</v>
      </c>
      <c r="XP102">
        <v>0</v>
      </c>
      <c r="XQ102">
        <v>0</v>
      </c>
      <c r="XR102">
        <v>0</v>
      </c>
      <c r="XS102">
        <v>0</v>
      </c>
      <c r="XT102">
        <v>0</v>
      </c>
      <c r="XU102">
        <v>0</v>
      </c>
      <c r="XV102">
        <v>0</v>
      </c>
      <c r="XW102">
        <v>0</v>
      </c>
      <c r="XX102">
        <v>0</v>
      </c>
      <c r="XY102">
        <v>0</v>
      </c>
      <c r="XZ102">
        <v>0</v>
      </c>
      <c r="YA102">
        <v>0</v>
      </c>
      <c r="YB102">
        <v>0</v>
      </c>
      <c r="YC102">
        <v>0</v>
      </c>
      <c r="YD102">
        <v>0</v>
      </c>
      <c r="YE102">
        <v>0</v>
      </c>
      <c r="YF102">
        <v>0</v>
      </c>
      <c r="YG102">
        <v>0</v>
      </c>
      <c r="YH102">
        <v>0</v>
      </c>
      <c r="YI102">
        <v>0</v>
      </c>
      <c r="YJ102">
        <v>0</v>
      </c>
      <c r="YK102">
        <v>0</v>
      </c>
      <c r="YL102">
        <v>0</v>
      </c>
      <c r="YM102">
        <v>0</v>
      </c>
      <c r="YN102">
        <v>0</v>
      </c>
      <c r="YO102">
        <v>0</v>
      </c>
      <c r="YP102">
        <v>0</v>
      </c>
      <c r="YQ102">
        <v>0</v>
      </c>
      <c r="YR102">
        <v>0</v>
      </c>
      <c r="YS102">
        <v>0</v>
      </c>
      <c r="YT102">
        <v>0</v>
      </c>
      <c r="YU102">
        <v>0</v>
      </c>
      <c r="YV102">
        <v>0</v>
      </c>
      <c r="YW102">
        <v>0</v>
      </c>
      <c r="YX102">
        <v>0</v>
      </c>
      <c r="YY102">
        <v>0</v>
      </c>
      <c r="YZ102">
        <v>0</v>
      </c>
      <c r="ZA102">
        <v>0</v>
      </c>
      <c r="ZB102">
        <v>0</v>
      </c>
      <c r="ZC102">
        <v>0</v>
      </c>
      <c r="ZD102">
        <v>0</v>
      </c>
      <c r="ZE102">
        <v>0</v>
      </c>
      <c r="ZF102">
        <v>0</v>
      </c>
      <c r="ZG102">
        <v>0</v>
      </c>
      <c r="ZH102">
        <v>0</v>
      </c>
      <c r="ZI102">
        <v>0</v>
      </c>
      <c r="ZJ102">
        <v>0</v>
      </c>
      <c r="ZK102">
        <v>0</v>
      </c>
      <c r="ZL102">
        <v>0</v>
      </c>
      <c r="ZM102">
        <v>0</v>
      </c>
      <c r="ZN102">
        <v>0</v>
      </c>
      <c r="ZO102">
        <v>0</v>
      </c>
      <c r="ZP102">
        <v>0</v>
      </c>
      <c r="ZQ102">
        <v>0</v>
      </c>
      <c r="ZR102">
        <v>0</v>
      </c>
      <c r="ZS102">
        <v>0</v>
      </c>
      <c r="ZT102">
        <v>0</v>
      </c>
      <c r="ZU102">
        <v>0</v>
      </c>
      <c r="ZV102">
        <v>0</v>
      </c>
      <c r="ZW102">
        <v>0</v>
      </c>
      <c r="ZX102">
        <v>0</v>
      </c>
      <c r="ZY102">
        <v>0</v>
      </c>
      <c r="ZZ102">
        <v>0</v>
      </c>
      <c r="AAA102">
        <v>0</v>
      </c>
      <c r="AAB102">
        <v>0</v>
      </c>
      <c r="AAC102">
        <v>0</v>
      </c>
      <c r="AAD102">
        <v>0</v>
      </c>
      <c r="AAE102">
        <v>0</v>
      </c>
      <c r="AAF102">
        <v>0</v>
      </c>
      <c r="AAG102">
        <v>0</v>
      </c>
      <c r="AAH102">
        <v>0</v>
      </c>
      <c r="AAI102">
        <v>0</v>
      </c>
      <c r="AAJ102">
        <v>0</v>
      </c>
      <c r="AAK102">
        <v>0</v>
      </c>
      <c r="AAL102">
        <v>0</v>
      </c>
      <c r="AAM102">
        <v>0</v>
      </c>
      <c r="AAN102">
        <v>0</v>
      </c>
      <c r="AAO102">
        <v>0</v>
      </c>
      <c r="AAP102">
        <v>0</v>
      </c>
      <c r="AAQ102">
        <v>0</v>
      </c>
      <c r="AAR102">
        <v>0</v>
      </c>
      <c r="AAS102">
        <v>0</v>
      </c>
      <c r="AAT102">
        <v>0</v>
      </c>
      <c r="AAU102">
        <v>0</v>
      </c>
      <c r="AAV102">
        <v>0</v>
      </c>
      <c r="AAW102">
        <v>0</v>
      </c>
      <c r="AAX102">
        <v>0</v>
      </c>
      <c r="AAY102">
        <v>0</v>
      </c>
      <c r="AAZ102">
        <v>0</v>
      </c>
      <c r="ABA102">
        <v>0</v>
      </c>
      <c r="ABB102">
        <v>0</v>
      </c>
      <c r="ABC102">
        <v>0</v>
      </c>
      <c r="ABD102">
        <v>0</v>
      </c>
      <c r="ABE102">
        <v>0</v>
      </c>
      <c r="ABG102" s="1137">
        <f t="shared" si="26"/>
        <v>0</v>
      </c>
      <c r="ABH102" s="1137">
        <f t="shared" si="26"/>
        <v>0</v>
      </c>
      <c r="ABI102" s="1137">
        <f t="shared" si="26"/>
        <v>10</v>
      </c>
      <c r="ABJ102" s="1137">
        <f t="shared" si="26"/>
        <v>30</v>
      </c>
      <c r="ABK102" s="1137">
        <f t="shared" si="26"/>
        <v>31</v>
      </c>
      <c r="ABL102" s="1137">
        <f t="shared" si="26"/>
        <v>30</v>
      </c>
      <c r="ABM102" s="1137">
        <f t="shared" si="26"/>
        <v>31</v>
      </c>
      <c r="ABN102" s="1137">
        <f t="shared" si="26"/>
        <v>31</v>
      </c>
      <c r="ABO102" s="1137">
        <f t="shared" si="26"/>
        <v>30</v>
      </c>
      <c r="ABP102" s="1137">
        <f t="shared" si="26"/>
        <v>31</v>
      </c>
      <c r="ABQ102" s="1137">
        <f t="shared" si="26"/>
        <v>30</v>
      </c>
      <c r="ABR102" s="1137">
        <f t="shared" si="26"/>
        <v>31</v>
      </c>
      <c r="ABS102" s="1137">
        <f t="shared" si="26"/>
        <v>31</v>
      </c>
      <c r="ABT102" s="1137">
        <f t="shared" si="26"/>
        <v>28</v>
      </c>
      <c r="ABU102" s="1137">
        <f t="shared" si="26"/>
        <v>31</v>
      </c>
      <c r="ABV102" s="1137">
        <f t="shared" si="26"/>
        <v>30</v>
      </c>
      <c r="ABW102" s="1137">
        <f t="shared" si="17"/>
        <v>31</v>
      </c>
      <c r="ABX102" s="1137">
        <f t="shared" si="23"/>
        <v>30</v>
      </c>
      <c r="ABY102" s="1137">
        <f t="shared" si="23"/>
        <v>31</v>
      </c>
      <c r="ABZ102" s="1137">
        <f t="shared" si="23"/>
        <v>17</v>
      </c>
      <c r="ACA102" s="1137">
        <f t="shared" si="23"/>
        <v>0</v>
      </c>
      <c r="ACB102" s="1137">
        <f t="shared" si="23"/>
        <v>0</v>
      </c>
      <c r="ACC102" s="1137">
        <f t="shared" si="23"/>
        <v>0</v>
      </c>
      <c r="ACD102" s="1137">
        <f t="shared" si="23"/>
        <v>0</v>
      </c>
      <c r="ACE102" s="1137" t="s">
        <v>209</v>
      </c>
      <c r="ACF102" s="1137">
        <f t="shared" si="22"/>
        <v>0</v>
      </c>
      <c r="ACG102" s="1137">
        <f t="shared" si="22"/>
        <v>0</v>
      </c>
      <c r="ACH102" s="1137">
        <f t="shared" si="22"/>
        <v>0</v>
      </c>
      <c r="ACI102" s="1137">
        <f t="shared" ref="ACI102:ACU114" si="27">IF(ABJ102&gt;10, 1, 0)</f>
        <v>1</v>
      </c>
      <c r="ACJ102" s="1137">
        <f t="shared" si="27"/>
        <v>1</v>
      </c>
      <c r="ACK102" s="1137">
        <f t="shared" si="27"/>
        <v>1</v>
      </c>
      <c r="ACL102" s="1137">
        <f t="shared" si="27"/>
        <v>1</v>
      </c>
      <c r="ACM102" s="1137">
        <f t="shared" si="27"/>
        <v>1</v>
      </c>
      <c r="ACN102" s="1137">
        <f t="shared" si="27"/>
        <v>1</v>
      </c>
      <c r="ACO102" s="1137">
        <f t="shared" si="27"/>
        <v>1</v>
      </c>
      <c r="ACP102" s="1137">
        <f t="shared" si="27"/>
        <v>1</v>
      </c>
      <c r="ACQ102" s="1137">
        <f t="shared" si="27"/>
        <v>1</v>
      </c>
      <c r="ACR102" s="1137">
        <f t="shared" si="27"/>
        <v>1</v>
      </c>
      <c r="ACS102" s="1137">
        <f t="shared" si="27"/>
        <v>1</v>
      </c>
      <c r="ACT102" s="1137">
        <f t="shared" si="27"/>
        <v>1</v>
      </c>
      <c r="ACU102" s="1137">
        <f t="shared" si="27"/>
        <v>1</v>
      </c>
      <c r="ACV102" s="1137">
        <f t="shared" si="24"/>
        <v>1</v>
      </c>
      <c r="ACW102" s="1137">
        <f t="shared" si="24"/>
        <v>1</v>
      </c>
      <c r="ACX102" s="1137">
        <f t="shared" si="24"/>
        <v>1</v>
      </c>
      <c r="ACY102" s="1137">
        <f t="shared" si="24"/>
        <v>1</v>
      </c>
      <c r="ACZ102" s="1137">
        <f t="shared" si="24"/>
        <v>0</v>
      </c>
      <c r="ADA102" s="1137">
        <f t="shared" si="24"/>
        <v>0</v>
      </c>
      <c r="ADB102" s="1137">
        <f t="shared" si="16"/>
        <v>0</v>
      </c>
      <c r="ADC102" s="1137">
        <f t="shared" si="16"/>
        <v>0</v>
      </c>
    </row>
    <row r="103" spans="1:783" x14ac:dyDescent="0.25">
      <c r="A103" t="s">
        <v>1901</v>
      </c>
      <c r="B103" t="s">
        <v>210</v>
      </c>
      <c r="C103">
        <v>0</v>
      </c>
      <c r="D103">
        <v>0</v>
      </c>
      <c r="E103">
        <v>0</v>
      </c>
      <c r="F103">
        <v>0</v>
      </c>
      <c r="G103">
        <v>0</v>
      </c>
      <c r="H103">
        <v>0</v>
      </c>
      <c r="I103">
        <v>0</v>
      </c>
      <c r="J103">
        <v>0</v>
      </c>
      <c r="K103">
        <v>0</v>
      </c>
      <c r="L103">
        <v>0</v>
      </c>
      <c r="M103">
        <v>0</v>
      </c>
      <c r="N103">
        <v>0</v>
      </c>
      <c r="O103">
        <v>0</v>
      </c>
      <c r="P103">
        <v>0</v>
      </c>
      <c r="Q103">
        <v>0</v>
      </c>
      <c r="R103">
        <v>0</v>
      </c>
      <c r="S103">
        <v>0</v>
      </c>
      <c r="T103">
        <v>0</v>
      </c>
      <c r="U103">
        <v>0</v>
      </c>
      <c r="V103">
        <v>0</v>
      </c>
      <c r="W103">
        <v>0</v>
      </c>
      <c r="X103">
        <v>0</v>
      </c>
      <c r="Y103">
        <v>0</v>
      </c>
      <c r="Z103">
        <v>0</v>
      </c>
      <c r="AA103">
        <v>0</v>
      </c>
      <c r="AB103">
        <v>0</v>
      </c>
      <c r="AC103">
        <v>0</v>
      </c>
      <c r="AD103">
        <v>0</v>
      </c>
      <c r="AE103">
        <v>0</v>
      </c>
      <c r="AF103">
        <v>0</v>
      </c>
      <c r="AG103">
        <v>0</v>
      </c>
      <c r="AH103">
        <v>0</v>
      </c>
      <c r="AI103">
        <v>0</v>
      </c>
      <c r="AJ103">
        <v>0</v>
      </c>
      <c r="AK103">
        <v>0</v>
      </c>
      <c r="AL103">
        <v>0</v>
      </c>
      <c r="AM103">
        <v>0</v>
      </c>
      <c r="AN103">
        <v>0</v>
      </c>
      <c r="AO103">
        <v>0</v>
      </c>
      <c r="AP103">
        <v>0</v>
      </c>
      <c r="AQ103">
        <v>0</v>
      </c>
      <c r="AR103">
        <v>0</v>
      </c>
      <c r="AS103">
        <v>0</v>
      </c>
      <c r="AT103">
        <v>0</v>
      </c>
      <c r="AU103">
        <v>0</v>
      </c>
      <c r="AV103">
        <v>0</v>
      </c>
      <c r="AW103">
        <v>0</v>
      </c>
      <c r="AX103">
        <v>0</v>
      </c>
      <c r="AY103">
        <v>0</v>
      </c>
      <c r="AZ103">
        <v>0</v>
      </c>
      <c r="BA103">
        <v>0</v>
      </c>
      <c r="BB103">
        <v>0</v>
      </c>
      <c r="BC103">
        <v>0</v>
      </c>
      <c r="BD103">
        <v>0</v>
      </c>
      <c r="BE103">
        <v>0</v>
      </c>
      <c r="BF103">
        <v>0</v>
      </c>
      <c r="BG103">
        <v>0</v>
      </c>
      <c r="BH103">
        <v>0</v>
      </c>
      <c r="BI103">
        <v>0</v>
      </c>
      <c r="BJ103">
        <v>0</v>
      </c>
      <c r="BK103">
        <v>0</v>
      </c>
      <c r="BL103">
        <v>0</v>
      </c>
      <c r="BM103">
        <v>0</v>
      </c>
      <c r="BN103">
        <v>0</v>
      </c>
      <c r="BO103">
        <v>0</v>
      </c>
      <c r="BP103">
        <v>0</v>
      </c>
      <c r="BQ103">
        <v>0</v>
      </c>
      <c r="BR103">
        <v>0</v>
      </c>
      <c r="BS103">
        <v>0</v>
      </c>
      <c r="BT103">
        <v>0</v>
      </c>
      <c r="BU103">
        <v>0</v>
      </c>
      <c r="BV103">
        <v>0</v>
      </c>
      <c r="BW103">
        <v>0</v>
      </c>
      <c r="BX103">
        <v>0</v>
      </c>
      <c r="BY103">
        <v>0</v>
      </c>
      <c r="BZ103">
        <v>0</v>
      </c>
      <c r="CA103">
        <v>0</v>
      </c>
      <c r="CB103">
        <v>0</v>
      </c>
      <c r="CC103">
        <v>0</v>
      </c>
      <c r="CD103">
        <v>0</v>
      </c>
      <c r="CE103">
        <v>0</v>
      </c>
      <c r="CF103">
        <v>0</v>
      </c>
      <c r="CG103">
        <v>0</v>
      </c>
      <c r="CH103">
        <v>0</v>
      </c>
      <c r="CI103">
        <v>0</v>
      </c>
      <c r="CJ103">
        <v>0</v>
      </c>
      <c r="CK103">
        <v>0</v>
      </c>
      <c r="CL103">
        <v>0</v>
      </c>
      <c r="CM103">
        <v>0</v>
      </c>
      <c r="CN103">
        <v>0</v>
      </c>
      <c r="CO103">
        <v>0</v>
      </c>
      <c r="CP103">
        <v>0</v>
      </c>
      <c r="CQ103">
        <v>0</v>
      </c>
      <c r="CR103">
        <v>0</v>
      </c>
      <c r="CS103">
        <v>0</v>
      </c>
      <c r="CT103">
        <v>0</v>
      </c>
      <c r="CU103">
        <v>0</v>
      </c>
      <c r="CV103">
        <v>0</v>
      </c>
      <c r="CW103">
        <v>0</v>
      </c>
      <c r="CX103">
        <v>0</v>
      </c>
      <c r="CY103">
        <v>0</v>
      </c>
      <c r="CZ103">
        <v>0</v>
      </c>
      <c r="DA103">
        <v>0</v>
      </c>
      <c r="DB103">
        <v>0</v>
      </c>
      <c r="DC103">
        <v>0</v>
      </c>
      <c r="DD103">
        <v>0</v>
      </c>
      <c r="DE103">
        <v>0</v>
      </c>
      <c r="DF103">
        <v>0</v>
      </c>
      <c r="DG103">
        <v>0</v>
      </c>
      <c r="DH103">
        <v>0</v>
      </c>
      <c r="DI103">
        <v>0</v>
      </c>
      <c r="DJ103">
        <v>0</v>
      </c>
      <c r="DK103">
        <v>0</v>
      </c>
      <c r="DL103">
        <v>0</v>
      </c>
      <c r="DM103">
        <v>0</v>
      </c>
      <c r="DN103">
        <v>0</v>
      </c>
      <c r="DO103">
        <v>0</v>
      </c>
      <c r="DP103">
        <v>0</v>
      </c>
      <c r="DQ103">
        <v>0</v>
      </c>
      <c r="DR103">
        <v>0</v>
      </c>
      <c r="DS103">
        <v>0</v>
      </c>
      <c r="DT103">
        <v>0</v>
      </c>
      <c r="DU103">
        <v>0</v>
      </c>
      <c r="DV103">
        <v>0</v>
      </c>
      <c r="DW103">
        <v>0</v>
      </c>
      <c r="DX103">
        <v>0</v>
      </c>
      <c r="DY103">
        <v>0</v>
      </c>
      <c r="DZ103">
        <v>0</v>
      </c>
      <c r="EA103">
        <v>0</v>
      </c>
      <c r="EB103">
        <v>0</v>
      </c>
      <c r="EC103">
        <v>0</v>
      </c>
      <c r="ED103">
        <v>0</v>
      </c>
      <c r="EE103">
        <v>0</v>
      </c>
      <c r="EF103">
        <v>0</v>
      </c>
      <c r="EG103">
        <v>0</v>
      </c>
      <c r="EH103">
        <v>0</v>
      </c>
      <c r="EI103">
        <v>0</v>
      </c>
      <c r="EJ103">
        <v>0</v>
      </c>
      <c r="EK103">
        <v>0</v>
      </c>
      <c r="EL103">
        <v>0</v>
      </c>
      <c r="EM103">
        <v>0</v>
      </c>
      <c r="EN103">
        <v>0</v>
      </c>
      <c r="EO103">
        <v>0</v>
      </c>
      <c r="EP103">
        <v>0</v>
      </c>
      <c r="EQ103">
        <v>0</v>
      </c>
      <c r="ER103">
        <v>0</v>
      </c>
      <c r="ES103">
        <v>0</v>
      </c>
      <c r="ET103">
        <v>0</v>
      </c>
      <c r="EU103">
        <v>0</v>
      </c>
      <c r="EV103">
        <v>0</v>
      </c>
      <c r="EW103">
        <v>0</v>
      </c>
      <c r="EX103">
        <v>0</v>
      </c>
      <c r="EY103">
        <v>0</v>
      </c>
      <c r="EZ103">
        <v>0</v>
      </c>
      <c r="FA103">
        <v>0</v>
      </c>
      <c r="FB103">
        <v>0</v>
      </c>
      <c r="FC103">
        <v>0</v>
      </c>
      <c r="FD103">
        <v>0</v>
      </c>
      <c r="FE103">
        <v>0</v>
      </c>
      <c r="FF103">
        <v>0</v>
      </c>
      <c r="FG103">
        <v>0</v>
      </c>
      <c r="FH103">
        <v>0</v>
      </c>
      <c r="FI103">
        <v>0</v>
      </c>
      <c r="FJ103">
        <v>0</v>
      </c>
      <c r="FK103">
        <v>0</v>
      </c>
      <c r="FL103">
        <v>0</v>
      </c>
      <c r="FM103">
        <v>0</v>
      </c>
      <c r="FN103">
        <v>0</v>
      </c>
      <c r="FO103">
        <v>0</v>
      </c>
      <c r="FP103">
        <v>0</v>
      </c>
      <c r="FQ103">
        <v>0</v>
      </c>
      <c r="FR103">
        <v>0</v>
      </c>
      <c r="FS103">
        <v>0</v>
      </c>
      <c r="FT103">
        <v>0</v>
      </c>
      <c r="FU103">
        <v>0</v>
      </c>
      <c r="FV103">
        <v>0</v>
      </c>
      <c r="FW103">
        <v>0</v>
      </c>
      <c r="FX103">
        <v>0</v>
      </c>
      <c r="FY103">
        <v>0</v>
      </c>
      <c r="FZ103">
        <v>0</v>
      </c>
      <c r="GA103">
        <v>0</v>
      </c>
      <c r="GB103">
        <v>0</v>
      </c>
      <c r="GC103">
        <v>0</v>
      </c>
      <c r="GD103">
        <v>0</v>
      </c>
      <c r="GE103">
        <v>0</v>
      </c>
      <c r="GF103">
        <v>0</v>
      </c>
      <c r="GG103">
        <v>0</v>
      </c>
      <c r="GH103">
        <v>0</v>
      </c>
      <c r="GI103">
        <v>0</v>
      </c>
      <c r="GJ103">
        <v>0</v>
      </c>
      <c r="GK103">
        <v>0</v>
      </c>
      <c r="GL103">
        <v>0</v>
      </c>
      <c r="GM103">
        <v>0</v>
      </c>
      <c r="GN103">
        <v>0</v>
      </c>
      <c r="GO103">
        <v>0</v>
      </c>
      <c r="GP103">
        <v>0</v>
      </c>
      <c r="GQ103">
        <v>0</v>
      </c>
      <c r="GR103">
        <v>0</v>
      </c>
      <c r="GS103">
        <v>0</v>
      </c>
      <c r="GT103">
        <v>0</v>
      </c>
      <c r="GU103">
        <v>0</v>
      </c>
      <c r="GV103">
        <v>0</v>
      </c>
      <c r="GW103">
        <v>0</v>
      </c>
      <c r="GX103">
        <v>0</v>
      </c>
      <c r="GY103">
        <v>0</v>
      </c>
      <c r="GZ103">
        <v>0</v>
      </c>
      <c r="HA103">
        <v>0</v>
      </c>
      <c r="HB103">
        <v>0</v>
      </c>
      <c r="HC103">
        <v>0</v>
      </c>
      <c r="HD103">
        <v>0</v>
      </c>
      <c r="HE103">
        <v>0</v>
      </c>
      <c r="HF103">
        <v>0</v>
      </c>
      <c r="HG103">
        <v>0</v>
      </c>
      <c r="HH103">
        <v>0</v>
      </c>
      <c r="HI103">
        <v>0</v>
      </c>
      <c r="HJ103">
        <v>0</v>
      </c>
      <c r="HK103">
        <v>0</v>
      </c>
      <c r="HL103">
        <v>0</v>
      </c>
      <c r="HM103">
        <v>0</v>
      </c>
      <c r="HN103">
        <v>0</v>
      </c>
      <c r="HO103">
        <v>0</v>
      </c>
      <c r="HP103">
        <v>0</v>
      </c>
      <c r="HQ103">
        <v>0</v>
      </c>
      <c r="HR103">
        <v>0</v>
      </c>
      <c r="HS103">
        <v>0</v>
      </c>
      <c r="HT103">
        <v>0</v>
      </c>
      <c r="HU103">
        <v>0</v>
      </c>
      <c r="HV103">
        <v>0</v>
      </c>
      <c r="HW103">
        <v>0</v>
      </c>
      <c r="HX103">
        <v>0</v>
      </c>
      <c r="HY103">
        <v>0</v>
      </c>
      <c r="HZ103">
        <v>0</v>
      </c>
      <c r="IA103">
        <v>0</v>
      </c>
      <c r="IB103">
        <v>0</v>
      </c>
      <c r="IC103">
        <v>0</v>
      </c>
      <c r="ID103">
        <v>0</v>
      </c>
      <c r="IE103">
        <v>0</v>
      </c>
      <c r="IF103">
        <v>0</v>
      </c>
      <c r="IG103">
        <v>0</v>
      </c>
      <c r="IH103">
        <v>0</v>
      </c>
      <c r="II103">
        <v>0</v>
      </c>
      <c r="IJ103">
        <v>0</v>
      </c>
      <c r="IK103">
        <v>0</v>
      </c>
      <c r="IL103">
        <v>0</v>
      </c>
      <c r="IM103">
        <v>0</v>
      </c>
      <c r="IN103">
        <v>0</v>
      </c>
      <c r="IO103">
        <v>0</v>
      </c>
      <c r="IP103">
        <v>0</v>
      </c>
      <c r="IQ103">
        <v>0</v>
      </c>
      <c r="IR103">
        <v>0</v>
      </c>
      <c r="IS103">
        <v>0</v>
      </c>
      <c r="IT103">
        <v>0</v>
      </c>
      <c r="IU103">
        <v>0</v>
      </c>
      <c r="IV103">
        <v>0</v>
      </c>
      <c r="IW103">
        <v>0</v>
      </c>
      <c r="IX103">
        <v>0</v>
      </c>
      <c r="IY103">
        <v>0</v>
      </c>
      <c r="IZ103">
        <v>0</v>
      </c>
      <c r="JA103">
        <v>0</v>
      </c>
      <c r="JB103">
        <v>0</v>
      </c>
      <c r="JC103">
        <v>0</v>
      </c>
      <c r="JD103">
        <v>0</v>
      </c>
      <c r="JE103">
        <v>0</v>
      </c>
      <c r="JF103">
        <v>0</v>
      </c>
      <c r="JG103">
        <v>0</v>
      </c>
      <c r="JH103">
        <v>0</v>
      </c>
      <c r="JI103">
        <v>0</v>
      </c>
      <c r="JJ103">
        <v>0</v>
      </c>
      <c r="JK103">
        <v>0</v>
      </c>
      <c r="JL103">
        <v>0</v>
      </c>
      <c r="JM103">
        <v>0</v>
      </c>
      <c r="JN103">
        <v>0</v>
      </c>
      <c r="JO103">
        <v>0</v>
      </c>
      <c r="JP103">
        <v>0</v>
      </c>
      <c r="JQ103">
        <v>0</v>
      </c>
      <c r="JR103">
        <v>0</v>
      </c>
      <c r="JS103">
        <v>0</v>
      </c>
      <c r="JT103">
        <v>0</v>
      </c>
      <c r="JU103">
        <v>0</v>
      </c>
      <c r="JV103">
        <v>0</v>
      </c>
      <c r="JW103">
        <v>0</v>
      </c>
      <c r="JX103">
        <v>0</v>
      </c>
      <c r="JY103">
        <v>0</v>
      </c>
      <c r="JZ103">
        <v>0</v>
      </c>
      <c r="KA103">
        <v>0</v>
      </c>
      <c r="KB103">
        <v>0</v>
      </c>
      <c r="KC103">
        <v>0</v>
      </c>
      <c r="KD103">
        <v>0</v>
      </c>
      <c r="KE103">
        <v>0</v>
      </c>
      <c r="KF103">
        <v>0</v>
      </c>
      <c r="KG103">
        <v>0</v>
      </c>
      <c r="KH103">
        <v>0</v>
      </c>
      <c r="KI103">
        <v>0</v>
      </c>
      <c r="KJ103">
        <v>0</v>
      </c>
      <c r="KK103">
        <v>0</v>
      </c>
      <c r="KL103">
        <v>0</v>
      </c>
      <c r="KM103">
        <v>0</v>
      </c>
      <c r="KN103">
        <v>0</v>
      </c>
      <c r="KO103">
        <v>0</v>
      </c>
      <c r="KP103">
        <v>0</v>
      </c>
      <c r="KQ103">
        <v>0</v>
      </c>
      <c r="KR103">
        <v>0</v>
      </c>
      <c r="KS103">
        <v>0</v>
      </c>
      <c r="KT103">
        <v>0</v>
      </c>
      <c r="KU103">
        <v>0</v>
      </c>
      <c r="KV103">
        <v>0</v>
      </c>
      <c r="KW103">
        <v>0</v>
      </c>
      <c r="KX103">
        <v>0</v>
      </c>
      <c r="KY103">
        <v>0</v>
      </c>
      <c r="KZ103">
        <v>0</v>
      </c>
      <c r="LA103">
        <v>0</v>
      </c>
      <c r="LB103">
        <v>0</v>
      </c>
      <c r="LC103">
        <v>0</v>
      </c>
      <c r="LD103">
        <v>0</v>
      </c>
      <c r="LE103">
        <v>0</v>
      </c>
      <c r="LF103">
        <v>0</v>
      </c>
      <c r="LG103">
        <v>0</v>
      </c>
      <c r="LH103">
        <v>0</v>
      </c>
      <c r="LI103">
        <v>0</v>
      </c>
      <c r="LJ103">
        <v>0</v>
      </c>
      <c r="LK103">
        <v>0</v>
      </c>
      <c r="LL103">
        <v>0</v>
      </c>
      <c r="LM103">
        <v>0</v>
      </c>
      <c r="LN103">
        <v>0</v>
      </c>
      <c r="LO103">
        <v>0</v>
      </c>
      <c r="LP103">
        <v>0</v>
      </c>
      <c r="LQ103">
        <v>0</v>
      </c>
      <c r="LR103">
        <v>0</v>
      </c>
      <c r="LS103">
        <v>0</v>
      </c>
      <c r="LT103">
        <v>0</v>
      </c>
      <c r="LU103">
        <v>0</v>
      </c>
      <c r="LV103">
        <v>0</v>
      </c>
      <c r="LW103">
        <v>0</v>
      </c>
      <c r="LX103">
        <v>0</v>
      </c>
      <c r="LY103">
        <v>0</v>
      </c>
      <c r="LZ103">
        <v>0</v>
      </c>
      <c r="MA103">
        <v>0</v>
      </c>
      <c r="MB103">
        <v>0</v>
      </c>
      <c r="MC103">
        <v>0</v>
      </c>
      <c r="MD103">
        <v>0</v>
      </c>
      <c r="ME103">
        <v>0</v>
      </c>
      <c r="MF103">
        <v>0</v>
      </c>
      <c r="MG103">
        <v>0</v>
      </c>
      <c r="MH103">
        <v>0</v>
      </c>
      <c r="MI103">
        <v>0</v>
      </c>
      <c r="MJ103">
        <v>0</v>
      </c>
      <c r="MK103">
        <v>0</v>
      </c>
      <c r="ML103">
        <v>0</v>
      </c>
      <c r="MM103">
        <v>0</v>
      </c>
      <c r="MN103">
        <v>0</v>
      </c>
      <c r="MO103">
        <v>0</v>
      </c>
      <c r="MP103">
        <v>0</v>
      </c>
      <c r="MQ103">
        <v>0</v>
      </c>
      <c r="MR103">
        <v>0</v>
      </c>
      <c r="MS103">
        <v>0</v>
      </c>
      <c r="MT103">
        <v>0</v>
      </c>
      <c r="MU103">
        <v>0</v>
      </c>
      <c r="MV103">
        <v>0</v>
      </c>
      <c r="MW103">
        <v>0</v>
      </c>
      <c r="MX103">
        <v>0</v>
      </c>
      <c r="MY103">
        <v>0</v>
      </c>
      <c r="MZ103">
        <v>0</v>
      </c>
      <c r="NA103">
        <v>0</v>
      </c>
      <c r="NB103">
        <v>0</v>
      </c>
      <c r="NC103">
        <v>0</v>
      </c>
      <c r="ND103">
        <v>0</v>
      </c>
      <c r="NE103">
        <v>0</v>
      </c>
      <c r="NF103">
        <v>0</v>
      </c>
      <c r="NG103">
        <v>0</v>
      </c>
      <c r="NH103">
        <v>0</v>
      </c>
      <c r="NI103">
        <v>0</v>
      </c>
      <c r="NJ103">
        <v>0</v>
      </c>
      <c r="NK103">
        <v>0</v>
      </c>
      <c r="NL103">
        <v>0</v>
      </c>
      <c r="NM103">
        <v>0</v>
      </c>
      <c r="NN103">
        <v>0</v>
      </c>
      <c r="NO103">
        <v>0</v>
      </c>
      <c r="NP103">
        <v>0</v>
      </c>
      <c r="NQ103">
        <v>0</v>
      </c>
      <c r="NR103">
        <v>0</v>
      </c>
      <c r="NS103">
        <v>0</v>
      </c>
      <c r="NT103">
        <v>0</v>
      </c>
      <c r="NU103">
        <v>0</v>
      </c>
      <c r="NV103">
        <v>0</v>
      </c>
      <c r="NW103">
        <v>0</v>
      </c>
      <c r="NX103">
        <v>0</v>
      </c>
      <c r="NY103">
        <v>0</v>
      </c>
      <c r="NZ103">
        <v>0</v>
      </c>
      <c r="OA103">
        <v>0</v>
      </c>
      <c r="OB103">
        <v>0</v>
      </c>
      <c r="OC103">
        <v>0</v>
      </c>
      <c r="OD103">
        <v>0</v>
      </c>
      <c r="OE103">
        <v>0</v>
      </c>
      <c r="OF103">
        <v>0</v>
      </c>
      <c r="OG103">
        <v>0</v>
      </c>
      <c r="OH103">
        <v>0</v>
      </c>
      <c r="OI103">
        <v>0</v>
      </c>
      <c r="OJ103">
        <v>0</v>
      </c>
      <c r="OK103">
        <v>0</v>
      </c>
      <c r="OL103">
        <v>0</v>
      </c>
      <c r="OM103">
        <v>0</v>
      </c>
      <c r="ON103">
        <v>0</v>
      </c>
      <c r="OO103">
        <v>0</v>
      </c>
      <c r="OP103">
        <v>0</v>
      </c>
      <c r="OQ103">
        <v>0</v>
      </c>
      <c r="OR103">
        <v>0</v>
      </c>
      <c r="OS103">
        <v>0</v>
      </c>
      <c r="OT103">
        <v>0</v>
      </c>
      <c r="OU103">
        <v>0</v>
      </c>
      <c r="OV103">
        <v>0</v>
      </c>
      <c r="OW103">
        <v>0</v>
      </c>
      <c r="OX103">
        <v>0</v>
      </c>
      <c r="OY103">
        <v>0</v>
      </c>
      <c r="OZ103">
        <v>0</v>
      </c>
      <c r="PA103">
        <v>0</v>
      </c>
      <c r="PB103">
        <v>0</v>
      </c>
      <c r="PC103">
        <v>0</v>
      </c>
      <c r="PD103">
        <v>0</v>
      </c>
      <c r="PE103">
        <v>0</v>
      </c>
      <c r="PF103">
        <v>0</v>
      </c>
      <c r="PG103">
        <v>0</v>
      </c>
      <c r="PH103">
        <v>0</v>
      </c>
      <c r="PI103">
        <v>0</v>
      </c>
      <c r="PJ103">
        <v>0</v>
      </c>
      <c r="PK103">
        <v>0</v>
      </c>
      <c r="PL103">
        <v>0</v>
      </c>
      <c r="PM103">
        <v>0</v>
      </c>
      <c r="PN103">
        <v>0</v>
      </c>
      <c r="PO103">
        <v>0</v>
      </c>
      <c r="PP103">
        <v>0</v>
      </c>
      <c r="PQ103">
        <v>0</v>
      </c>
      <c r="PR103">
        <v>0</v>
      </c>
      <c r="PS103">
        <v>0</v>
      </c>
      <c r="PT103">
        <v>0</v>
      </c>
      <c r="PU103">
        <v>0</v>
      </c>
      <c r="PV103">
        <v>0</v>
      </c>
      <c r="PW103">
        <v>0</v>
      </c>
      <c r="PX103">
        <v>0</v>
      </c>
      <c r="PY103">
        <v>0</v>
      </c>
      <c r="PZ103">
        <v>0</v>
      </c>
      <c r="QA103">
        <v>0</v>
      </c>
      <c r="QB103">
        <v>0</v>
      </c>
      <c r="QC103">
        <v>0</v>
      </c>
      <c r="QD103">
        <v>0</v>
      </c>
      <c r="QE103">
        <v>0</v>
      </c>
      <c r="QF103">
        <v>0</v>
      </c>
      <c r="QG103">
        <v>0</v>
      </c>
      <c r="QH103">
        <v>0</v>
      </c>
      <c r="QI103">
        <v>0</v>
      </c>
      <c r="QJ103">
        <v>0</v>
      </c>
      <c r="QK103">
        <v>0</v>
      </c>
      <c r="QL103">
        <v>0</v>
      </c>
      <c r="QM103">
        <v>0</v>
      </c>
      <c r="QN103">
        <v>0</v>
      </c>
      <c r="QO103">
        <v>0</v>
      </c>
      <c r="QP103">
        <v>0</v>
      </c>
      <c r="QQ103">
        <v>0</v>
      </c>
      <c r="QR103">
        <v>0</v>
      </c>
      <c r="QS103">
        <v>0</v>
      </c>
      <c r="QT103">
        <v>0</v>
      </c>
      <c r="QU103">
        <v>0</v>
      </c>
      <c r="QV103">
        <v>0</v>
      </c>
      <c r="QW103">
        <v>0</v>
      </c>
      <c r="QX103">
        <v>0</v>
      </c>
      <c r="QY103">
        <v>0</v>
      </c>
      <c r="QZ103">
        <v>0</v>
      </c>
      <c r="RA103">
        <v>0</v>
      </c>
      <c r="RB103">
        <v>0</v>
      </c>
      <c r="RC103">
        <v>0</v>
      </c>
      <c r="RD103">
        <v>0</v>
      </c>
      <c r="RE103">
        <v>0</v>
      </c>
      <c r="RF103">
        <v>0</v>
      </c>
      <c r="RG103">
        <v>0</v>
      </c>
      <c r="RH103">
        <v>0</v>
      </c>
      <c r="RI103">
        <v>0</v>
      </c>
      <c r="RJ103">
        <v>0</v>
      </c>
      <c r="RK103">
        <v>1</v>
      </c>
      <c r="RL103">
        <v>1</v>
      </c>
      <c r="RM103">
        <v>1</v>
      </c>
      <c r="RN103">
        <v>1</v>
      </c>
      <c r="RO103">
        <v>1</v>
      </c>
      <c r="RP103">
        <v>1</v>
      </c>
      <c r="RQ103">
        <v>1</v>
      </c>
      <c r="RR103">
        <v>1</v>
      </c>
      <c r="RS103">
        <v>1</v>
      </c>
      <c r="RT103">
        <v>1</v>
      </c>
      <c r="RU103">
        <v>0</v>
      </c>
      <c r="RV103">
        <v>0</v>
      </c>
      <c r="RW103">
        <v>0</v>
      </c>
      <c r="RX103">
        <v>0</v>
      </c>
      <c r="RY103">
        <v>0</v>
      </c>
      <c r="RZ103">
        <v>0</v>
      </c>
      <c r="SA103">
        <v>0</v>
      </c>
      <c r="SB103">
        <v>0</v>
      </c>
      <c r="SC103">
        <v>0</v>
      </c>
      <c r="SD103">
        <v>0</v>
      </c>
      <c r="SE103">
        <v>0</v>
      </c>
      <c r="SF103">
        <v>0</v>
      </c>
      <c r="SG103">
        <v>0</v>
      </c>
      <c r="SH103">
        <v>0</v>
      </c>
      <c r="SI103">
        <v>0</v>
      </c>
      <c r="SJ103">
        <v>0</v>
      </c>
      <c r="SK103">
        <v>0</v>
      </c>
      <c r="SL103">
        <v>0</v>
      </c>
      <c r="SM103">
        <v>0</v>
      </c>
      <c r="SN103">
        <v>0</v>
      </c>
      <c r="SO103">
        <v>0</v>
      </c>
      <c r="SP103">
        <v>0</v>
      </c>
      <c r="SQ103">
        <v>0</v>
      </c>
      <c r="SR103">
        <v>0</v>
      </c>
      <c r="SS103">
        <v>0</v>
      </c>
      <c r="ST103">
        <v>0</v>
      </c>
      <c r="SU103">
        <v>0</v>
      </c>
      <c r="SV103">
        <v>0</v>
      </c>
      <c r="SW103">
        <v>0</v>
      </c>
      <c r="SX103">
        <v>0</v>
      </c>
      <c r="SY103">
        <v>0</v>
      </c>
      <c r="SZ103">
        <v>0</v>
      </c>
      <c r="TA103">
        <v>0</v>
      </c>
      <c r="TB103">
        <v>0</v>
      </c>
      <c r="TC103">
        <v>0</v>
      </c>
      <c r="TD103">
        <v>0</v>
      </c>
      <c r="TE103">
        <v>0</v>
      </c>
      <c r="TF103">
        <v>0</v>
      </c>
      <c r="TG103">
        <v>0</v>
      </c>
      <c r="TH103">
        <v>0</v>
      </c>
      <c r="TI103">
        <v>0</v>
      </c>
      <c r="TJ103">
        <v>0</v>
      </c>
      <c r="TK103">
        <v>0</v>
      </c>
      <c r="TL103">
        <v>0</v>
      </c>
      <c r="TM103">
        <v>0</v>
      </c>
      <c r="TN103">
        <v>0</v>
      </c>
      <c r="TO103">
        <v>0</v>
      </c>
      <c r="TP103">
        <v>0</v>
      </c>
      <c r="TQ103">
        <v>0</v>
      </c>
      <c r="TR103">
        <v>0</v>
      </c>
      <c r="TS103">
        <v>0</v>
      </c>
      <c r="TT103">
        <v>0</v>
      </c>
      <c r="TU103">
        <v>0</v>
      </c>
      <c r="TV103">
        <v>0</v>
      </c>
      <c r="TW103">
        <v>0</v>
      </c>
      <c r="TX103">
        <v>0</v>
      </c>
      <c r="TY103">
        <v>0</v>
      </c>
      <c r="TZ103">
        <v>0</v>
      </c>
      <c r="UA103">
        <v>0</v>
      </c>
      <c r="UB103">
        <v>0</v>
      </c>
      <c r="UC103">
        <v>0</v>
      </c>
      <c r="UD103">
        <v>0</v>
      </c>
      <c r="UE103">
        <v>0</v>
      </c>
      <c r="UF103">
        <v>0</v>
      </c>
      <c r="UG103">
        <v>0</v>
      </c>
      <c r="UH103">
        <v>0</v>
      </c>
      <c r="UI103">
        <v>0</v>
      </c>
      <c r="UJ103">
        <v>0</v>
      </c>
      <c r="UK103">
        <v>0</v>
      </c>
      <c r="UL103">
        <v>0</v>
      </c>
      <c r="UM103">
        <v>0</v>
      </c>
      <c r="UN103">
        <v>0</v>
      </c>
      <c r="UO103">
        <v>0</v>
      </c>
      <c r="UP103">
        <v>0</v>
      </c>
      <c r="UQ103">
        <v>0</v>
      </c>
      <c r="UR103">
        <v>0</v>
      </c>
      <c r="US103">
        <v>0</v>
      </c>
      <c r="UT103">
        <v>0</v>
      </c>
      <c r="UU103">
        <v>0</v>
      </c>
      <c r="UV103">
        <v>0</v>
      </c>
      <c r="UW103">
        <v>0</v>
      </c>
      <c r="UX103">
        <v>0</v>
      </c>
      <c r="UY103">
        <v>0</v>
      </c>
      <c r="UZ103">
        <v>0</v>
      </c>
      <c r="VA103">
        <v>0</v>
      </c>
      <c r="VB103">
        <v>0</v>
      </c>
      <c r="VC103">
        <v>0</v>
      </c>
      <c r="VD103">
        <v>0</v>
      </c>
      <c r="VE103">
        <v>0</v>
      </c>
      <c r="VF103">
        <v>0</v>
      </c>
      <c r="VG103">
        <v>0</v>
      </c>
      <c r="VH103">
        <v>0</v>
      </c>
      <c r="VI103">
        <v>0</v>
      </c>
      <c r="VJ103">
        <v>0</v>
      </c>
      <c r="VK103">
        <v>0</v>
      </c>
      <c r="VL103">
        <v>0</v>
      </c>
      <c r="VM103">
        <v>0</v>
      </c>
      <c r="VN103">
        <v>0</v>
      </c>
      <c r="VO103">
        <v>0</v>
      </c>
      <c r="VP103">
        <v>0</v>
      </c>
      <c r="VQ103">
        <v>0</v>
      </c>
      <c r="VR103">
        <v>0</v>
      </c>
      <c r="VS103">
        <v>0</v>
      </c>
      <c r="VT103">
        <v>0</v>
      </c>
      <c r="VU103">
        <v>0</v>
      </c>
      <c r="VV103">
        <v>0</v>
      </c>
      <c r="VW103">
        <v>0</v>
      </c>
      <c r="VX103">
        <v>0</v>
      </c>
      <c r="VY103">
        <v>0</v>
      </c>
      <c r="VZ103">
        <v>0</v>
      </c>
      <c r="WA103">
        <v>0</v>
      </c>
      <c r="WB103">
        <v>0</v>
      </c>
      <c r="WC103">
        <v>0</v>
      </c>
      <c r="WD103">
        <v>0</v>
      </c>
      <c r="WE103">
        <v>0</v>
      </c>
      <c r="WF103">
        <v>0</v>
      </c>
      <c r="WG103">
        <v>0</v>
      </c>
      <c r="WH103">
        <v>0</v>
      </c>
      <c r="WI103">
        <v>0</v>
      </c>
      <c r="WJ103">
        <v>0</v>
      </c>
      <c r="WK103">
        <v>0</v>
      </c>
      <c r="WL103">
        <v>0</v>
      </c>
      <c r="WM103">
        <v>0</v>
      </c>
      <c r="WN103">
        <v>0</v>
      </c>
      <c r="WO103">
        <v>0</v>
      </c>
      <c r="WP103">
        <v>0</v>
      </c>
      <c r="WQ103">
        <v>0</v>
      </c>
      <c r="WR103">
        <v>0</v>
      </c>
      <c r="WS103">
        <v>0</v>
      </c>
      <c r="WT103">
        <v>0</v>
      </c>
      <c r="WU103">
        <v>0</v>
      </c>
      <c r="WV103">
        <v>0</v>
      </c>
      <c r="WW103">
        <v>0</v>
      </c>
      <c r="WX103">
        <v>0</v>
      </c>
      <c r="WY103">
        <v>0</v>
      </c>
      <c r="WZ103">
        <v>0</v>
      </c>
      <c r="XA103">
        <v>0</v>
      </c>
      <c r="XB103">
        <v>0</v>
      </c>
      <c r="XC103">
        <v>0</v>
      </c>
      <c r="XD103">
        <v>0</v>
      </c>
      <c r="XE103">
        <v>0</v>
      </c>
      <c r="XF103">
        <v>0</v>
      </c>
      <c r="XG103">
        <v>0</v>
      </c>
      <c r="XH103">
        <v>0</v>
      </c>
      <c r="XI103">
        <v>0</v>
      </c>
      <c r="XJ103">
        <v>0</v>
      </c>
      <c r="XK103">
        <v>0</v>
      </c>
      <c r="XL103">
        <v>0</v>
      </c>
      <c r="XM103">
        <v>0</v>
      </c>
      <c r="XN103">
        <v>0</v>
      </c>
      <c r="XO103">
        <v>0</v>
      </c>
      <c r="XP103">
        <v>0</v>
      </c>
      <c r="XQ103">
        <v>0</v>
      </c>
      <c r="XR103">
        <v>0</v>
      </c>
      <c r="XS103">
        <v>0</v>
      </c>
      <c r="XT103">
        <v>0</v>
      </c>
      <c r="XU103">
        <v>0</v>
      </c>
      <c r="XV103">
        <v>0</v>
      </c>
      <c r="XW103">
        <v>0</v>
      </c>
      <c r="XX103">
        <v>0</v>
      </c>
      <c r="XY103">
        <v>0</v>
      </c>
      <c r="XZ103">
        <v>0</v>
      </c>
      <c r="YA103">
        <v>0</v>
      </c>
      <c r="YB103">
        <v>0</v>
      </c>
      <c r="YC103">
        <v>0</v>
      </c>
      <c r="YD103">
        <v>0</v>
      </c>
      <c r="YE103">
        <v>0</v>
      </c>
      <c r="YF103">
        <v>0</v>
      </c>
      <c r="YG103">
        <v>0</v>
      </c>
      <c r="YH103">
        <v>0</v>
      </c>
      <c r="YI103">
        <v>0</v>
      </c>
      <c r="YJ103">
        <v>0</v>
      </c>
      <c r="YK103">
        <v>0</v>
      </c>
      <c r="YL103">
        <v>0</v>
      </c>
      <c r="YM103">
        <v>0</v>
      </c>
      <c r="YN103">
        <v>0</v>
      </c>
      <c r="YO103">
        <v>0</v>
      </c>
      <c r="YP103">
        <v>0</v>
      </c>
      <c r="YQ103">
        <v>0</v>
      </c>
      <c r="YR103">
        <v>0</v>
      </c>
      <c r="YS103">
        <v>0</v>
      </c>
      <c r="YT103">
        <v>0</v>
      </c>
      <c r="YU103">
        <v>0</v>
      </c>
      <c r="YV103">
        <v>0</v>
      </c>
      <c r="YW103">
        <v>0</v>
      </c>
      <c r="YX103">
        <v>0</v>
      </c>
      <c r="YY103">
        <v>0</v>
      </c>
      <c r="YZ103">
        <v>0</v>
      </c>
      <c r="ZA103">
        <v>0</v>
      </c>
      <c r="ZB103">
        <v>0</v>
      </c>
      <c r="ZC103">
        <v>0</v>
      </c>
      <c r="ZD103">
        <v>0</v>
      </c>
      <c r="ZE103">
        <v>0</v>
      </c>
      <c r="ZF103">
        <v>0</v>
      </c>
      <c r="ZG103">
        <v>0</v>
      </c>
      <c r="ZH103">
        <v>0</v>
      </c>
      <c r="ZI103">
        <v>0</v>
      </c>
      <c r="ZJ103">
        <v>0</v>
      </c>
      <c r="ZK103">
        <v>0</v>
      </c>
      <c r="ZL103">
        <v>0</v>
      </c>
      <c r="ZM103">
        <v>0</v>
      </c>
      <c r="ZN103">
        <v>0</v>
      </c>
      <c r="ZO103">
        <v>0</v>
      </c>
      <c r="ZP103">
        <v>0</v>
      </c>
      <c r="ZQ103">
        <v>0</v>
      </c>
      <c r="ZR103">
        <v>0</v>
      </c>
      <c r="ZS103">
        <v>0</v>
      </c>
      <c r="ZT103">
        <v>0</v>
      </c>
      <c r="ZU103">
        <v>0</v>
      </c>
      <c r="ZV103">
        <v>0</v>
      </c>
      <c r="ZW103">
        <v>0</v>
      </c>
      <c r="ZX103">
        <v>0</v>
      </c>
      <c r="ZY103">
        <v>0</v>
      </c>
      <c r="ZZ103">
        <v>0</v>
      </c>
      <c r="AAA103">
        <v>0</v>
      </c>
      <c r="AAB103">
        <v>0</v>
      </c>
      <c r="AAC103">
        <v>0</v>
      </c>
      <c r="AAD103">
        <v>0</v>
      </c>
      <c r="AAE103">
        <v>0</v>
      </c>
      <c r="AAF103">
        <v>0</v>
      </c>
      <c r="AAG103">
        <v>0</v>
      </c>
      <c r="AAH103">
        <v>0</v>
      </c>
      <c r="AAI103">
        <v>0</v>
      </c>
      <c r="AAJ103">
        <v>0</v>
      </c>
      <c r="AAK103">
        <v>0</v>
      </c>
      <c r="AAL103">
        <v>0</v>
      </c>
      <c r="AAM103">
        <v>0</v>
      </c>
      <c r="AAN103">
        <v>0</v>
      </c>
      <c r="AAO103">
        <v>0</v>
      </c>
      <c r="AAP103">
        <v>0</v>
      </c>
      <c r="AAQ103">
        <v>0</v>
      </c>
      <c r="AAR103">
        <v>0</v>
      </c>
      <c r="AAS103">
        <v>0</v>
      </c>
      <c r="AAT103">
        <v>0</v>
      </c>
      <c r="AAU103">
        <v>0</v>
      </c>
      <c r="AAV103">
        <v>0</v>
      </c>
      <c r="AAW103">
        <v>0</v>
      </c>
      <c r="AAX103">
        <v>0</v>
      </c>
      <c r="AAY103">
        <v>0</v>
      </c>
      <c r="AAZ103">
        <v>0</v>
      </c>
      <c r="ABA103">
        <v>0</v>
      </c>
      <c r="ABB103">
        <v>0</v>
      </c>
      <c r="ABC103">
        <v>0</v>
      </c>
      <c r="ABD103">
        <v>0</v>
      </c>
      <c r="ABE103">
        <v>0</v>
      </c>
      <c r="ABG103" s="1137">
        <f t="shared" si="26"/>
        <v>0</v>
      </c>
      <c r="ABH103" s="1137">
        <f t="shared" si="26"/>
        <v>0</v>
      </c>
      <c r="ABI103" s="1137">
        <f t="shared" si="26"/>
        <v>0</v>
      </c>
      <c r="ABJ103" s="1137">
        <f t="shared" si="26"/>
        <v>0</v>
      </c>
      <c r="ABK103" s="1137">
        <f t="shared" si="26"/>
        <v>0</v>
      </c>
      <c r="ABL103" s="1137">
        <f t="shared" si="26"/>
        <v>0</v>
      </c>
      <c r="ABM103" s="1137">
        <f t="shared" si="26"/>
        <v>0</v>
      </c>
      <c r="ABN103" s="1137">
        <f t="shared" si="26"/>
        <v>0</v>
      </c>
      <c r="ABO103" s="1137">
        <f t="shared" si="26"/>
        <v>0</v>
      </c>
      <c r="ABP103" s="1137">
        <f t="shared" si="26"/>
        <v>0</v>
      </c>
      <c r="ABQ103" s="1137">
        <f t="shared" si="26"/>
        <v>0</v>
      </c>
      <c r="ABR103" s="1137">
        <f t="shared" si="26"/>
        <v>0</v>
      </c>
      <c r="ABS103" s="1137">
        <f t="shared" si="26"/>
        <v>0</v>
      </c>
      <c r="ABT103" s="1137">
        <f t="shared" si="26"/>
        <v>0</v>
      </c>
      <c r="ABU103" s="1137">
        <f t="shared" si="26"/>
        <v>0</v>
      </c>
      <c r="ABV103" s="1137">
        <f t="shared" si="26"/>
        <v>10</v>
      </c>
      <c r="ABW103" s="1137">
        <f t="shared" si="17"/>
        <v>0</v>
      </c>
      <c r="ABX103" s="1137">
        <f t="shared" si="23"/>
        <v>0</v>
      </c>
      <c r="ABY103" s="1137">
        <f t="shared" si="23"/>
        <v>0</v>
      </c>
      <c r="ABZ103" s="1137">
        <f t="shared" si="23"/>
        <v>0</v>
      </c>
      <c r="ACA103" s="1137">
        <f t="shared" si="23"/>
        <v>0</v>
      </c>
      <c r="ACB103" s="1137">
        <f t="shared" si="23"/>
        <v>0</v>
      </c>
      <c r="ACC103" s="1137">
        <f t="shared" si="23"/>
        <v>0</v>
      </c>
      <c r="ACD103" s="1137">
        <f t="shared" si="23"/>
        <v>0</v>
      </c>
      <c r="ACE103" s="1137" t="s">
        <v>210</v>
      </c>
      <c r="ACF103" s="1137">
        <f t="shared" ref="ACF103:ACU119" si="28">IF(ABG103&gt;10, 1, 0)</f>
        <v>0</v>
      </c>
      <c r="ACG103" s="1137">
        <f t="shared" si="28"/>
        <v>0</v>
      </c>
      <c r="ACH103" s="1137">
        <f t="shared" si="28"/>
        <v>0</v>
      </c>
      <c r="ACI103" s="1137">
        <f t="shared" si="28"/>
        <v>0</v>
      </c>
      <c r="ACJ103" s="1137">
        <f t="shared" si="28"/>
        <v>0</v>
      </c>
      <c r="ACK103" s="1137">
        <f t="shared" si="28"/>
        <v>0</v>
      </c>
      <c r="ACL103" s="1137">
        <f t="shared" si="28"/>
        <v>0</v>
      </c>
      <c r="ACM103" s="1137">
        <f t="shared" si="28"/>
        <v>0</v>
      </c>
      <c r="ACN103" s="1137">
        <f t="shared" si="28"/>
        <v>0</v>
      </c>
      <c r="ACO103" s="1137">
        <f t="shared" si="28"/>
        <v>0</v>
      </c>
      <c r="ACP103" s="1137">
        <f t="shared" si="28"/>
        <v>0</v>
      </c>
      <c r="ACQ103" s="1137">
        <f t="shared" si="28"/>
        <v>0</v>
      </c>
      <c r="ACR103" s="1137">
        <f t="shared" si="28"/>
        <v>0</v>
      </c>
      <c r="ACS103" s="1137">
        <f t="shared" si="28"/>
        <v>0</v>
      </c>
      <c r="ACT103" s="1137">
        <f t="shared" si="28"/>
        <v>0</v>
      </c>
      <c r="ACU103" s="1137">
        <f t="shared" si="27"/>
        <v>0</v>
      </c>
      <c r="ACV103" s="1137">
        <f t="shared" si="24"/>
        <v>0</v>
      </c>
      <c r="ACW103" s="1137">
        <f t="shared" si="24"/>
        <v>0</v>
      </c>
      <c r="ACX103" s="1137">
        <f t="shared" si="24"/>
        <v>0</v>
      </c>
      <c r="ACY103" s="1137">
        <f t="shared" si="24"/>
        <v>0</v>
      </c>
      <c r="ACZ103" s="1137">
        <f t="shared" si="24"/>
        <v>0</v>
      </c>
      <c r="ADA103" s="1137">
        <f t="shared" si="24"/>
        <v>0</v>
      </c>
      <c r="ADB103" s="1137">
        <f t="shared" si="16"/>
        <v>0</v>
      </c>
      <c r="ADC103" s="1137">
        <f t="shared" si="16"/>
        <v>0</v>
      </c>
    </row>
    <row r="104" spans="1:783" x14ac:dyDescent="0.25">
      <c r="A104" t="s">
        <v>1902</v>
      </c>
      <c r="B104" t="s">
        <v>66</v>
      </c>
      <c r="C104">
        <v>0</v>
      </c>
      <c r="D104">
        <v>0</v>
      </c>
      <c r="E104">
        <v>0</v>
      </c>
      <c r="F104">
        <v>0</v>
      </c>
      <c r="G104">
        <v>0</v>
      </c>
      <c r="H104">
        <v>0</v>
      </c>
      <c r="I104">
        <v>0</v>
      </c>
      <c r="J104">
        <v>0</v>
      </c>
      <c r="K104">
        <v>0</v>
      </c>
      <c r="L104">
        <v>0</v>
      </c>
      <c r="M104">
        <v>0</v>
      </c>
      <c r="N104">
        <v>0</v>
      </c>
      <c r="O104">
        <v>0</v>
      </c>
      <c r="P104">
        <v>0</v>
      </c>
      <c r="Q104">
        <v>0</v>
      </c>
      <c r="R104">
        <v>0</v>
      </c>
      <c r="S104">
        <v>0</v>
      </c>
      <c r="T104">
        <v>0</v>
      </c>
      <c r="U104">
        <v>0</v>
      </c>
      <c r="V104">
        <v>0</v>
      </c>
      <c r="W104">
        <v>0</v>
      </c>
      <c r="X104">
        <v>0</v>
      </c>
      <c r="Y104">
        <v>0</v>
      </c>
      <c r="Z104">
        <v>0</v>
      </c>
      <c r="AA104">
        <v>0</v>
      </c>
      <c r="AB104">
        <v>0</v>
      </c>
      <c r="AC104">
        <v>0</v>
      </c>
      <c r="AD104">
        <v>0</v>
      </c>
      <c r="AE104">
        <v>0</v>
      </c>
      <c r="AF104">
        <v>0</v>
      </c>
      <c r="AG104">
        <v>0</v>
      </c>
      <c r="AH104">
        <v>0</v>
      </c>
      <c r="AI104">
        <v>0</v>
      </c>
      <c r="AJ104">
        <v>0</v>
      </c>
      <c r="AK104">
        <v>0</v>
      </c>
      <c r="AL104">
        <v>0</v>
      </c>
      <c r="AM104">
        <v>0</v>
      </c>
      <c r="AN104">
        <v>0</v>
      </c>
      <c r="AO104">
        <v>0</v>
      </c>
      <c r="AP104">
        <v>0</v>
      </c>
      <c r="AQ104">
        <v>0</v>
      </c>
      <c r="AR104">
        <v>0</v>
      </c>
      <c r="AS104">
        <v>0</v>
      </c>
      <c r="AT104">
        <v>0</v>
      </c>
      <c r="AU104">
        <v>0</v>
      </c>
      <c r="AV104">
        <v>0</v>
      </c>
      <c r="AW104">
        <v>0</v>
      </c>
      <c r="AX104">
        <v>0</v>
      </c>
      <c r="AY104">
        <v>0</v>
      </c>
      <c r="AZ104">
        <v>0</v>
      </c>
      <c r="BA104">
        <v>0</v>
      </c>
      <c r="BB104">
        <v>0</v>
      </c>
      <c r="BC104">
        <v>0</v>
      </c>
      <c r="BD104">
        <v>0</v>
      </c>
      <c r="BE104">
        <v>0</v>
      </c>
      <c r="BF104">
        <v>0</v>
      </c>
      <c r="BG104">
        <v>0</v>
      </c>
      <c r="BH104">
        <v>0</v>
      </c>
      <c r="BI104">
        <v>0</v>
      </c>
      <c r="BJ104">
        <v>0</v>
      </c>
      <c r="BK104">
        <v>0</v>
      </c>
      <c r="BL104">
        <v>0</v>
      </c>
      <c r="BM104">
        <v>0</v>
      </c>
      <c r="BN104">
        <v>0</v>
      </c>
      <c r="BO104">
        <v>0</v>
      </c>
      <c r="BP104">
        <v>0</v>
      </c>
      <c r="BQ104">
        <v>0</v>
      </c>
      <c r="BR104">
        <v>0</v>
      </c>
      <c r="BS104">
        <v>0</v>
      </c>
      <c r="BT104">
        <v>0</v>
      </c>
      <c r="BU104">
        <v>0</v>
      </c>
      <c r="BV104">
        <v>0</v>
      </c>
      <c r="BW104">
        <v>0</v>
      </c>
      <c r="BX104">
        <v>0</v>
      </c>
      <c r="BY104">
        <v>0</v>
      </c>
      <c r="BZ104">
        <v>0</v>
      </c>
      <c r="CA104">
        <v>0</v>
      </c>
      <c r="CB104">
        <v>2</v>
      </c>
      <c r="CC104">
        <v>2</v>
      </c>
      <c r="CD104">
        <v>2</v>
      </c>
      <c r="CE104">
        <v>2</v>
      </c>
      <c r="CF104">
        <v>2</v>
      </c>
      <c r="CG104">
        <v>2</v>
      </c>
      <c r="CH104">
        <v>2</v>
      </c>
      <c r="CI104">
        <v>2</v>
      </c>
      <c r="CJ104">
        <v>2</v>
      </c>
      <c r="CK104">
        <v>2</v>
      </c>
      <c r="CL104">
        <v>2</v>
      </c>
      <c r="CM104">
        <v>2</v>
      </c>
      <c r="CN104">
        <v>2</v>
      </c>
      <c r="CO104">
        <v>2</v>
      </c>
      <c r="CP104">
        <v>2</v>
      </c>
      <c r="CQ104">
        <v>2</v>
      </c>
      <c r="CR104">
        <v>2</v>
      </c>
      <c r="CS104">
        <v>2</v>
      </c>
      <c r="CT104">
        <v>2</v>
      </c>
      <c r="CU104">
        <v>2</v>
      </c>
      <c r="CV104">
        <v>2</v>
      </c>
      <c r="CW104">
        <v>2</v>
      </c>
      <c r="CX104">
        <v>2</v>
      </c>
      <c r="CY104">
        <v>2</v>
      </c>
      <c r="CZ104">
        <v>2</v>
      </c>
      <c r="DA104">
        <v>2</v>
      </c>
      <c r="DB104">
        <v>2</v>
      </c>
      <c r="DC104">
        <v>2</v>
      </c>
      <c r="DD104">
        <v>2</v>
      </c>
      <c r="DE104">
        <v>2</v>
      </c>
      <c r="DF104">
        <v>2</v>
      </c>
      <c r="DG104">
        <v>2</v>
      </c>
      <c r="DH104">
        <v>2</v>
      </c>
      <c r="DI104">
        <v>2</v>
      </c>
      <c r="DJ104">
        <v>2</v>
      </c>
      <c r="DK104">
        <v>2</v>
      </c>
      <c r="DL104">
        <v>2</v>
      </c>
      <c r="DM104">
        <v>2</v>
      </c>
      <c r="DN104">
        <v>2</v>
      </c>
      <c r="DO104">
        <v>2</v>
      </c>
      <c r="DP104">
        <v>2</v>
      </c>
      <c r="DQ104">
        <v>2</v>
      </c>
      <c r="DR104">
        <v>2</v>
      </c>
      <c r="DS104">
        <v>2</v>
      </c>
      <c r="DT104">
        <v>2</v>
      </c>
      <c r="DU104">
        <v>2</v>
      </c>
      <c r="DV104">
        <v>2</v>
      </c>
      <c r="DW104">
        <v>2</v>
      </c>
      <c r="DX104">
        <v>2</v>
      </c>
      <c r="DY104">
        <v>2</v>
      </c>
      <c r="DZ104">
        <v>2</v>
      </c>
      <c r="EA104">
        <v>2</v>
      </c>
      <c r="EB104">
        <v>2</v>
      </c>
      <c r="EC104">
        <v>2</v>
      </c>
      <c r="ED104">
        <v>2</v>
      </c>
      <c r="EE104">
        <v>2</v>
      </c>
      <c r="EF104">
        <v>2</v>
      </c>
      <c r="EG104">
        <v>2</v>
      </c>
      <c r="EH104">
        <v>2</v>
      </c>
      <c r="EI104">
        <v>2</v>
      </c>
      <c r="EJ104">
        <v>2</v>
      </c>
      <c r="EK104">
        <v>2</v>
      </c>
      <c r="EL104">
        <v>2</v>
      </c>
      <c r="EM104">
        <v>2</v>
      </c>
      <c r="EN104">
        <v>2</v>
      </c>
      <c r="EO104">
        <v>2</v>
      </c>
      <c r="EP104">
        <v>2</v>
      </c>
      <c r="EQ104">
        <v>2</v>
      </c>
      <c r="ER104">
        <v>2</v>
      </c>
      <c r="ES104">
        <v>2</v>
      </c>
      <c r="ET104">
        <v>2</v>
      </c>
      <c r="EU104">
        <v>2</v>
      </c>
      <c r="EV104">
        <v>2</v>
      </c>
      <c r="EW104">
        <v>2</v>
      </c>
      <c r="EX104">
        <v>2</v>
      </c>
      <c r="EY104">
        <v>2</v>
      </c>
      <c r="EZ104">
        <v>2</v>
      </c>
      <c r="FA104">
        <v>2</v>
      </c>
      <c r="FB104">
        <v>2</v>
      </c>
      <c r="FC104">
        <v>2</v>
      </c>
      <c r="FD104">
        <v>2</v>
      </c>
      <c r="FE104">
        <v>2</v>
      </c>
      <c r="FF104">
        <v>0</v>
      </c>
      <c r="FG104">
        <v>0</v>
      </c>
      <c r="FH104">
        <v>0</v>
      </c>
      <c r="FI104">
        <v>0</v>
      </c>
      <c r="FJ104">
        <v>0</v>
      </c>
      <c r="FK104">
        <v>0</v>
      </c>
      <c r="FL104">
        <v>0</v>
      </c>
      <c r="FM104">
        <v>0</v>
      </c>
      <c r="FN104">
        <v>0</v>
      </c>
      <c r="FO104">
        <v>0</v>
      </c>
      <c r="FP104">
        <v>0</v>
      </c>
      <c r="FQ104">
        <v>0</v>
      </c>
      <c r="FR104">
        <v>0</v>
      </c>
      <c r="FS104">
        <v>0</v>
      </c>
      <c r="FT104">
        <v>0</v>
      </c>
      <c r="FU104">
        <v>0</v>
      </c>
      <c r="FV104">
        <v>0</v>
      </c>
      <c r="FW104">
        <v>0</v>
      </c>
      <c r="FX104">
        <v>0</v>
      </c>
      <c r="FY104">
        <v>0</v>
      </c>
      <c r="FZ104">
        <v>0</v>
      </c>
      <c r="GA104">
        <v>0</v>
      </c>
      <c r="GB104">
        <v>0</v>
      </c>
      <c r="GC104">
        <v>0</v>
      </c>
      <c r="GD104">
        <v>0</v>
      </c>
      <c r="GE104">
        <v>0</v>
      </c>
      <c r="GF104">
        <v>0</v>
      </c>
      <c r="GG104">
        <v>0</v>
      </c>
      <c r="GH104">
        <v>0</v>
      </c>
      <c r="GI104">
        <v>0</v>
      </c>
      <c r="GJ104">
        <v>0</v>
      </c>
      <c r="GK104">
        <v>0</v>
      </c>
      <c r="GL104">
        <v>0</v>
      </c>
      <c r="GM104">
        <v>0</v>
      </c>
      <c r="GN104">
        <v>0</v>
      </c>
      <c r="GO104">
        <v>0</v>
      </c>
      <c r="GP104">
        <v>0</v>
      </c>
      <c r="GQ104">
        <v>0</v>
      </c>
      <c r="GR104">
        <v>0</v>
      </c>
      <c r="GS104">
        <v>0</v>
      </c>
      <c r="GT104">
        <v>0</v>
      </c>
      <c r="GU104">
        <v>0</v>
      </c>
      <c r="GV104">
        <v>0</v>
      </c>
      <c r="GW104">
        <v>0</v>
      </c>
      <c r="GX104">
        <v>0</v>
      </c>
      <c r="GY104">
        <v>0</v>
      </c>
      <c r="GZ104">
        <v>0</v>
      </c>
      <c r="HA104">
        <v>0</v>
      </c>
      <c r="HB104">
        <v>0</v>
      </c>
      <c r="HC104">
        <v>0</v>
      </c>
      <c r="HD104">
        <v>0</v>
      </c>
      <c r="HE104">
        <v>0</v>
      </c>
      <c r="HF104">
        <v>0</v>
      </c>
      <c r="HG104">
        <v>0</v>
      </c>
      <c r="HH104">
        <v>0</v>
      </c>
      <c r="HI104">
        <v>0</v>
      </c>
      <c r="HJ104">
        <v>0</v>
      </c>
      <c r="HK104">
        <v>0</v>
      </c>
      <c r="HL104">
        <v>0</v>
      </c>
      <c r="HM104">
        <v>0</v>
      </c>
      <c r="HN104">
        <v>0</v>
      </c>
      <c r="HO104">
        <v>0</v>
      </c>
      <c r="HP104">
        <v>0</v>
      </c>
      <c r="HQ104">
        <v>0</v>
      </c>
      <c r="HR104">
        <v>0</v>
      </c>
      <c r="HS104">
        <v>0</v>
      </c>
      <c r="HT104">
        <v>0</v>
      </c>
      <c r="HU104">
        <v>0</v>
      </c>
      <c r="HV104">
        <v>0</v>
      </c>
      <c r="HW104">
        <v>0</v>
      </c>
      <c r="HX104">
        <v>0</v>
      </c>
      <c r="HY104">
        <v>0</v>
      </c>
      <c r="HZ104">
        <v>0</v>
      </c>
      <c r="IA104">
        <v>0</v>
      </c>
      <c r="IB104">
        <v>0</v>
      </c>
      <c r="IC104">
        <v>0</v>
      </c>
      <c r="ID104">
        <v>0</v>
      </c>
      <c r="IE104">
        <v>0</v>
      </c>
      <c r="IF104">
        <v>0</v>
      </c>
      <c r="IG104">
        <v>0</v>
      </c>
      <c r="IH104">
        <v>0</v>
      </c>
      <c r="II104">
        <v>0</v>
      </c>
      <c r="IJ104">
        <v>0</v>
      </c>
      <c r="IK104">
        <v>0</v>
      </c>
      <c r="IL104">
        <v>0</v>
      </c>
      <c r="IM104">
        <v>0</v>
      </c>
      <c r="IN104">
        <v>0</v>
      </c>
      <c r="IO104">
        <v>0</v>
      </c>
      <c r="IP104">
        <v>0</v>
      </c>
      <c r="IQ104">
        <v>0</v>
      </c>
      <c r="IR104">
        <v>0</v>
      </c>
      <c r="IS104">
        <v>0</v>
      </c>
      <c r="IT104">
        <v>0</v>
      </c>
      <c r="IU104">
        <v>0</v>
      </c>
      <c r="IV104">
        <v>0</v>
      </c>
      <c r="IW104">
        <v>0</v>
      </c>
      <c r="IX104">
        <v>0</v>
      </c>
      <c r="IY104">
        <v>0</v>
      </c>
      <c r="IZ104">
        <v>0</v>
      </c>
      <c r="JA104">
        <v>0</v>
      </c>
      <c r="JB104">
        <v>0</v>
      </c>
      <c r="JC104">
        <v>0</v>
      </c>
      <c r="JD104">
        <v>0</v>
      </c>
      <c r="JE104">
        <v>0</v>
      </c>
      <c r="JF104">
        <v>0</v>
      </c>
      <c r="JG104">
        <v>0</v>
      </c>
      <c r="JH104">
        <v>0</v>
      </c>
      <c r="JI104">
        <v>0</v>
      </c>
      <c r="JJ104">
        <v>0</v>
      </c>
      <c r="JK104">
        <v>0</v>
      </c>
      <c r="JL104">
        <v>0</v>
      </c>
      <c r="JM104">
        <v>0</v>
      </c>
      <c r="JN104">
        <v>0</v>
      </c>
      <c r="JO104">
        <v>0</v>
      </c>
      <c r="JP104">
        <v>0</v>
      </c>
      <c r="JQ104">
        <v>0</v>
      </c>
      <c r="JR104">
        <v>0</v>
      </c>
      <c r="JS104">
        <v>0</v>
      </c>
      <c r="JT104">
        <v>0</v>
      </c>
      <c r="JU104">
        <v>0</v>
      </c>
      <c r="JV104">
        <v>0</v>
      </c>
      <c r="JW104">
        <v>0</v>
      </c>
      <c r="JX104">
        <v>0</v>
      </c>
      <c r="JY104">
        <v>0</v>
      </c>
      <c r="JZ104">
        <v>0</v>
      </c>
      <c r="KA104">
        <v>0</v>
      </c>
      <c r="KB104">
        <v>0</v>
      </c>
      <c r="KC104">
        <v>0</v>
      </c>
      <c r="KD104">
        <v>0</v>
      </c>
      <c r="KE104">
        <v>0</v>
      </c>
      <c r="KF104">
        <v>0</v>
      </c>
      <c r="KG104">
        <v>0</v>
      </c>
      <c r="KH104">
        <v>0</v>
      </c>
      <c r="KI104">
        <v>0</v>
      </c>
      <c r="KJ104">
        <v>0</v>
      </c>
      <c r="KK104">
        <v>0</v>
      </c>
      <c r="KL104">
        <v>0</v>
      </c>
      <c r="KM104">
        <v>0</v>
      </c>
      <c r="KN104">
        <v>0</v>
      </c>
      <c r="KO104">
        <v>0</v>
      </c>
      <c r="KP104">
        <v>0</v>
      </c>
      <c r="KQ104">
        <v>0</v>
      </c>
      <c r="KR104">
        <v>0</v>
      </c>
      <c r="KS104">
        <v>0</v>
      </c>
      <c r="KT104">
        <v>0</v>
      </c>
      <c r="KU104">
        <v>0</v>
      </c>
      <c r="KV104">
        <v>0</v>
      </c>
      <c r="KW104">
        <v>2</v>
      </c>
      <c r="KX104">
        <v>2</v>
      </c>
      <c r="KY104">
        <v>2</v>
      </c>
      <c r="KZ104">
        <v>2</v>
      </c>
      <c r="LA104">
        <v>2</v>
      </c>
      <c r="LB104">
        <v>2</v>
      </c>
      <c r="LC104">
        <v>2</v>
      </c>
      <c r="LD104">
        <v>2</v>
      </c>
      <c r="LE104">
        <v>2</v>
      </c>
      <c r="LF104">
        <v>2</v>
      </c>
      <c r="LG104">
        <v>2</v>
      </c>
      <c r="LH104">
        <v>2</v>
      </c>
      <c r="LI104">
        <v>2</v>
      </c>
      <c r="LJ104">
        <v>2</v>
      </c>
      <c r="LK104">
        <v>2</v>
      </c>
      <c r="LL104">
        <v>2</v>
      </c>
      <c r="LM104">
        <v>2</v>
      </c>
      <c r="LN104">
        <v>2</v>
      </c>
      <c r="LO104">
        <v>2</v>
      </c>
      <c r="LP104">
        <v>2</v>
      </c>
      <c r="LQ104">
        <v>2</v>
      </c>
      <c r="LR104">
        <v>2</v>
      </c>
      <c r="LS104">
        <v>2</v>
      </c>
      <c r="LT104">
        <v>2</v>
      </c>
      <c r="LU104">
        <v>2</v>
      </c>
      <c r="LV104">
        <v>2</v>
      </c>
      <c r="LW104">
        <v>2</v>
      </c>
      <c r="LX104">
        <v>2</v>
      </c>
      <c r="LY104">
        <v>2</v>
      </c>
      <c r="LZ104">
        <v>2</v>
      </c>
      <c r="MA104">
        <v>2</v>
      </c>
      <c r="MB104">
        <v>2</v>
      </c>
      <c r="MC104">
        <v>2</v>
      </c>
      <c r="MD104">
        <v>2</v>
      </c>
      <c r="ME104">
        <v>2</v>
      </c>
      <c r="MF104">
        <v>2</v>
      </c>
      <c r="MG104">
        <v>2</v>
      </c>
      <c r="MH104">
        <v>2</v>
      </c>
      <c r="MI104">
        <v>2</v>
      </c>
      <c r="MJ104">
        <v>2</v>
      </c>
      <c r="MK104">
        <v>2</v>
      </c>
      <c r="ML104">
        <v>2</v>
      </c>
      <c r="MM104">
        <v>2</v>
      </c>
      <c r="MN104">
        <v>2</v>
      </c>
      <c r="MO104">
        <v>2</v>
      </c>
      <c r="MP104">
        <v>2</v>
      </c>
      <c r="MQ104">
        <v>2</v>
      </c>
      <c r="MR104">
        <v>2</v>
      </c>
      <c r="MS104">
        <v>2</v>
      </c>
      <c r="MT104">
        <v>2</v>
      </c>
      <c r="MU104">
        <v>2</v>
      </c>
      <c r="MV104">
        <v>2</v>
      </c>
      <c r="MW104">
        <v>2</v>
      </c>
      <c r="MX104">
        <v>2</v>
      </c>
      <c r="MY104">
        <v>2</v>
      </c>
      <c r="MZ104">
        <v>2</v>
      </c>
      <c r="NA104">
        <v>2</v>
      </c>
      <c r="NB104">
        <v>2</v>
      </c>
      <c r="NC104">
        <v>2</v>
      </c>
      <c r="ND104">
        <v>2</v>
      </c>
      <c r="NE104">
        <v>2</v>
      </c>
      <c r="NF104">
        <v>2</v>
      </c>
      <c r="NG104">
        <v>2</v>
      </c>
      <c r="NH104">
        <v>2</v>
      </c>
      <c r="NI104">
        <v>2</v>
      </c>
      <c r="NJ104">
        <v>2</v>
      </c>
      <c r="NK104">
        <v>2</v>
      </c>
      <c r="NL104">
        <v>2</v>
      </c>
      <c r="NM104">
        <v>2</v>
      </c>
      <c r="NN104">
        <v>2</v>
      </c>
      <c r="NO104">
        <v>2</v>
      </c>
      <c r="NP104">
        <v>2</v>
      </c>
      <c r="NQ104">
        <v>2</v>
      </c>
      <c r="NR104">
        <v>2</v>
      </c>
      <c r="NS104">
        <v>2</v>
      </c>
      <c r="NT104">
        <v>2</v>
      </c>
      <c r="NU104">
        <v>2</v>
      </c>
      <c r="NV104">
        <v>2</v>
      </c>
      <c r="NW104">
        <v>2</v>
      </c>
      <c r="NX104">
        <v>2</v>
      </c>
      <c r="NY104">
        <v>2</v>
      </c>
      <c r="NZ104">
        <v>2</v>
      </c>
      <c r="OA104">
        <v>2</v>
      </c>
      <c r="OB104">
        <v>2</v>
      </c>
      <c r="OC104">
        <v>2</v>
      </c>
      <c r="OD104">
        <v>2</v>
      </c>
      <c r="OE104">
        <v>2</v>
      </c>
      <c r="OF104">
        <v>2</v>
      </c>
      <c r="OG104">
        <v>2</v>
      </c>
      <c r="OH104">
        <v>2</v>
      </c>
      <c r="OI104">
        <v>2</v>
      </c>
      <c r="OJ104">
        <v>2</v>
      </c>
      <c r="OK104">
        <v>2</v>
      </c>
      <c r="OL104">
        <v>2</v>
      </c>
      <c r="OM104">
        <v>2</v>
      </c>
      <c r="ON104">
        <v>2</v>
      </c>
      <c r="OO104">
        <v>2</v>
      </c>
      <c r="OP104">
        <v>2</v>
      </c>
      <c r="OQ104">
        <v>2</v>
      </c>
      <c r="OR104">
        <v>2</v>
      </c>
      <c r="OS104">
        <v>2</v>
      </c>
      <c r="OT104">
        <v>2</v>
      </c>
      <c r="OU104">
        <v>2</v>
      </c>
      <c r="OV104">
        <v>2</v>
      </c>
      <c r="OW104">
        <v>2</v>
      </c>
      <c r="OX104">
        <v>2</v>
      </c>
      <c r="OY104">
        <v>2</v>
      </c>
      <c r="OZ104">
        <v>2</v>
      </c>
      <c r="PA104">
        <v>2</v>
      </c>
      <c r="PB104">
        <v>2</v>
      </c>
      <c r="PC104">
        <v>2</v>
      </c>
      <c r="PD104">
        <v>2</v>
      </c>
      <c r="PE104">
        <v>2</v>
      </c>
      <c r="PF104">
        <v>2</v>
      </c>
      <c r="PG104">
        <v>2</v>
      </c>
      <c r="PH104">
        <v>2</v>
      </c>
      <c r="PI104">
        <v>2</v>
      </c>
      <c r="PJ104">
        <v>2</v>
      </c>
      <c r="PK104">
        <v>2</v>
      </c>
      <c r="PL104">
        <v>2</v>
      </c>
      <c r="PM104">
        <v>2</v>
      </c>
      <c r="PN104">
        <v>2</v>
      </c>
      <c r="PO104">
        <v>2</v>
      </c>
      <c r="PP104">
        <v>2</v>
      </c>
      <c r="PQ104">
        <v>2</v>
      </c>
      <c r="PR104">
        <v>2</v>
      </c>
      <c r="PS104">
        <v>2</v>
      </c>
      <c r="PT104">
        <v>2</v>
      </c>
      <c r="PU104">
        <v>2</v>
      </c>
      <c r="PV104">
        <v>2</v>
      </c>
      <c r="PW104">
        <v>2</v>
      </c>
      <c r="PX104">
        <v>2</v>
      </c>
      <c r="PY104">
        <v>2</v>
      </c>
      <c r="PZ104">
        <v>2</v>
      </c>
      <c r="QA104">
        <v>2</v>
      </c>
      <c r="QB104">
        <v>2</v>
      </c>
      <c r="QC104">
        <v>2</v>
      </c>
      <c r="QD104">
        <v>2</v>
      </c>
      <c r="QE104">
        <v>2</v>
      </c>
      <c r="QF104">
        <v>2</v>
      </c>
      <c r="QG104">
        <v>2</v>
      </c>
      <c r="QH104">
        <v>2</v>
      </c>
      <c r="QI104">
        <v>2</v>
      </c>
      <c r="QJ104">
        <v>2</v>
      </c>
      <c r="QK104">
        <v>2</v>
      </c>
      <c r="QL104">
        <v>2</v>
      </c>
      <c r="QM104">
        <v>2</v>
      </c>
      <c r="QN104">
        <v>2</v>
      </c>
      <c r="QO104">
        <v>2</v>
      </c>
      <c r="QP104">
        <v>2</v>
      </c>
      <c r="QQ104">
        <v>0</v>
      </c>
      <c r="QR104">
        <v>0</v>
      </c>
      <c r="QS104">
        <v>0</v>
      </c>
      <c r="QT104">
        <v>0</v>
      </c>
      <c r="QU104">
        <v>0</v>
      </c>
      <c r="QV104">
        <v>0</v>
      </c>
      <c r="QW104">
        <v>0</v>
      </c>
      <c r="QX104">
        <v>0</v>
      </c>
      <c r="QY104">
        <v>0</v>
      </c>
      <c r="QZ104">
        <v>0</v>
      </c>
      <c r="RA104">
        <v>0</v>
      </c>
      <c r="RB104">
        <v>0</v>
      </c>
      <c r="RC104">
        <v>0</v>
      </c>
      <c r="RD104">
        <v>0</v>
      </c>
      <c r="RE104">
        <v>0</v>
      </c>
      <c r="RF104">
        <v>0</v>
      </c>
      <c r="RG104">
        <v>0</v>
      </c>
      <c r="RH104">
        <v>0</v>
      </c>
      <c r="RI104">
        <v>0</v>
      </c>
      <c r="RJ104">
        <v>0</v>
      </c>
      <c r="RK104">
        <v>0</v>
      </c>
      <c r="RL104">
        <v>0</v>
      </c>
      <c r="RM104">
        <v>0</v>
      </c>
      <c r="RN104">
        <v>0</v>
      </c>
      <c r="RO104">
        <v>0</v>
      </c>
      <c r="RP104">
        <v>0</v>
      </c>
      <c r="RQ104">
        <v>0</v>
      </c>
      <c r="RR104">
        <v>0</v>
      </c>
      <c r="RS104">
        <v>0</v>
      </c>
      <c r="RT104">
        <v>0</v>
      </c>
      <c r="RU104">
        <v>0</v>
      </c>
      <c r="RV104">
        <v>0</v>
      </c>
      <c r="RW104">
        <v>2</v>
      </c>
      <c r="RX104">
        <v>2</v>
      </c>
      <c r="RY104">
        <v>2</v>
      </c>
      <c r="RZ104">
        <v>2</v>
      </c>
      <c r="SA104">
        <v>2</v>
      </c>
      <c r="SB104">
        <v>2</v>
      </c>
      <c r="SC104">
        <v>2</v>
      </c>
      <c r="SD104">
        <v>2</v>
      </c>
      <c r="SE104">
        <v>2</v>
      </c>
      <c r="SF104">
        <v>2</v>
      </c>
      <c r="SG104">
        <v>2</v>
      </c>
      <c r="SH104">
        <v>2</v>
      </c>
      <c r="SI104">
        <v>2</v>
      </c>
      <c r="SJ104">
        <v>2</v>
      </c>
      <c r="SK104">
        <v>2</v>
      </c>
      <c r="SL104">
        <v>2</v>
      </c>
      <c r="SM104">
        <v>2</v>
      </c>
      <c r="SN104">
        <v>2</v>
      </c>
      <c r="SO104">
        <v>2</v>
      </c>
      <c r="SP104">
        <v>2</v>
      </c>
      <c r="SQ104">
        <v>2</v>
      </c>
      <c r="SR104">
        <v>2</v>
      </c>
      <c r="SS104">
        <v>2</v>
      </c>
      <c r="ST104">
        <v>2</v>
      </c>
      <c r="SU104">
        <v>2</v>
      </c>
      <c r="SV104">
        <v>2</v>
      </c>
      <c r="SW104">
        <v>2</v>
      </c>
      <c r="SX104">
        <v>2</v>
      </c>
      <c r="SY104">
        <v>2</v>
      </c>
      <c r="SZ104">
        <v>2</v>
      </c>
      <c r="TA104">
        <v>2</v>
      </c>
      <c r="TB104">
        <v>2</v>
      </c>
      <c r="TC104">
        <v>2</v>
      </c>
      <c r="TD104">
        <v>2</v>
      </c>
      <c r="TE104">
        <v>2</v>
      </c>
      <c r="TF104">
        <v>2</v>
      </c>
      <c r="TG104">
        <v>2</v>
      </c>
      <c r="TH104">
        <v>2</v>
      </c>
      <c r="TI104">
        <v>2</v>
      </c>
      <c r="TJ104">
        <v>2</v>
      </c>
      <c r="TK104">
        <v>2</v>
      </c>
      <c r="TL104">
        <v>2</v>
      </c>
      <c r="TM104">
        <v>2</v>
      </c>
      <c r="TN104">
        <v>2</v>
      </c>
      <c r="TO104">
        <v>2</v>
      </c>
      <c r="TP104">
        <v>2</v>
      </c>
      <c r="TQ104">
        <v>2</v>
      </c>
      <c r="TR104">
        <v>2</v>
      </c>
      <c r="TS104">
        <v>2</v>
      </c>
      <c r="TT104">
        <v>2</v>
      </c>
      <c r="TU104">
        <v>2</v>
      </c>
      <c r="TV104">
        <v>2</v>
      </c>
      <c r="TW104">
        <v>2</v>
      </c>
      <c r="TX104">
        <v>2</v>
      </c>
      <c r="TY104">
        <v>2</v>
      </c>
      <c r="TZ104">
        <v>2</v>
      </c>
      <c r="UA104">
        <v>2</v>
      </c>
      <c r="UB104">
        <v>2</v>
      </c>
      <c r="UC104">
        <v>2</v>
      </c>
      <c r="UD104">
        <v>2</v>
      </c>
      <c r="UE104">
        <v>2</v>
      </c>
      <c r="UF104">
        <v>2</v>
      </c>
      <c r="UG104">
        <v>2</v>
      </c>
      <c r="UH104">
        <v>2</v>
      </c>
      <c r="UI104">
        <v>2</v>
      </c>
      <c r="UJ104">
        <v>2</v>
      </c>
      <c r="UK104">
        <v>2</v>
      </c>
      <c r="UL104">
        <v>2</v>
      </c>
      <c r="UM104">
        <v>2</v>
      </c>
      <c r="UN104">
        <v>2</v>
      </c>
      <c r="UO104">
        <v>2</v>
      </c>
      <c r="UP104">
        <v>2</v>
      </c>
      <c r="UQ104">
        <v>2</v>
      </c>
      <c r="UR104">
        <v>2</v>
      </c>
      <c r="US104">
        <v>2</v>
      </c>
      <c r="UT104">
        <v>2</v>
      </c>
      <c r="UU104">
        <v>2</v>
      </c>
      <c r="UV104">
        <v>2</v>
      </c>
      <c r="UW104">
        <v>2</v>
      </c>
      <c r="UX104">
        <v>2</v>
      </c>
      <c r="UY104">
        <v>2</v>
      </c>
      <c r="UZ104">
        <v>2</v>
      </c>
      <c r="VA104">
        <v>2</v>
      </c>
      <c r="VB104">
        <v>2</v>
      </c>
      <c r="VC104">
        <v>2</v>
      </c>
      <c r="VD104">
        <v>2</v>
      </c>
      <c r="VE104">
        <v>2</v>
      </c>
      <c r="VF104">
        <v>2</v>
      </c>
      <c r="VG104">
        <v>2</v>
      </c>
      <c r="VH104">
        <v>2</v>
      </c>
      <c r="VI104">
        <v>2</v>
      </c>
      <c r="VJ104">
        <v>2</v>
      </c>
      <c r="VK104">
        <v>2</v>
      </c>
      <c r="VL104">
        <v>2</v>
      </c>
      <c r="VM104">
        <v>2</v>
      </c>
      <c r="VN104">
        <v>2</v>
      </c>
      <c r="VO104">
        <v>2</v>
      </c>
      <c r="VP104">
        <v>2</v>
      </c>
      <c r="VQ104">
        <v>2</v>
      </c>
      <c r="VR104">
        <v>2</v>
      </c>
      <c r="VS104">
        <v>2</v>
      </c>
      <c r="VT104">
        <v>2</v>
      </c>
      <c r="VU104">
        <v>2</v>
      </c>
      <c r="VV104">
        <v>2</v>
      </c>
      <c r="VW104">
        <v>2</v>
      </c>
      <c r="VX104">
        <v>2</v>
      </c>
      <c r="VY104">
        <v>2</v>
      </c>
      <c r="VZ104">
        <v>2</v>
      </c>
      <c r="WA104">
        <v>2</v>
      </c>
      <c r="WB104">
        <v>2</v>
      </c>
      <c r="WC104">
        <v>2</v>
      </c>
      <c r="WD104">
        <v>2</v>
      </c>
      <c r="WE104">
        <v>2</v>
      </c>
      <c r="WF104">
        <v>2</v>
      </c>
      <c r="WG104">
        <v>2</v>
      </c>
      <c r="WH104">
        <v>2</v>
      </c>
      <c r="WI104">
        <v>2</v>
      </c>
      <c r="WJ104">
        <v>2</v>
      </c>
      <c r="WK104">
        <v>2</v>
      </c>
      <c r="WL104">
        <v>2</v>
      </c>
      <c r="WM104">
        <v>2</v>
      </c>
      <c r="WN104">
        <v>2</v>
      </c>
      <c r="WO104">
        <v>2</v>
      </c>
      <c r="WP104">
        <v>2</v>
      </c>
      <c r="WQ104">
        <v>2</v>
      </c>
      <c r="WR104">
        <v>2</v>
      </c>
      <c r="WS104">
        <v>2</v>
      </c>
      <c r="WT104">
        <v>2</v>
      </c>
      <c r="WU104">
        <v>2</v>
      </c>
      <c r="WV104">
        <v>2</v>
      </c>
      <c r="WW104">
        <v>2</v>
      </c>
      <c r="WX104">
        <v>2</v>
      </c>
      <c r="WY104">
        <v>2</v>
      </c>
      <c r="WZ104">
        <v>2</v>
      </c>
      <c r="XA104">
        <v>2</v>
      </c>
      <c r="XB104">
        <v>2</v>
      </c>
      <c r="XC104">
        <v>2</v>
      </c>
      <c r="XD104">
        <v>2</v>
      </c>
      <c r="XE104">
        <v>2</v>
      </c>
      <c r="XF104">
        <v>2</v>
      </c>
      <c r="XG104">
        <v>2</v>
      </c>
      <c r="XH104">
        <v>2</v>
      </c>
      <c r="XI104">
        <v>2</v>
      </c>
      <c r="XJ104">
        <v>2</v>
      </c>
      <c r="XK104">
        <v>2</v>
      </c>
      <c r="XL104">
        <v>2</v>
      </c>
      <c r="XM104">
        <v>2</v>
      </c>
      <c r="XN104">
        <v>2</v>
      </c>
      <c r="XO104">
        <v>2</v>
      </c>
      <c r="XP104">
        <v>2</v>
      </c>
      <c r="XQ104">
        <v>2</v>
      </c>
      <c r="XR104">
        <v>2</v>
      </c>
      <c r="XS104">
        <v>2</v>
      </c>
      <c r="XT104">
        <v>2</v>
      </c>
      <c r="XU104">
        <v>2</v>
      </c>
      <c r="XV104">
        <v>2</v>
      </c>
      <c r="XW104">
        <v>2</v>
      </c>
      <c r="XX104">
        <v>2</v>
      </c>
      <c r="XY104">
        <v>2</v>
      </c>
      <c r="XZ104">
        <v>2</v>
      </c>
      <c r="YA104">
        <v>2</v>
      </c>
      <c r="YB104">
        <v>2</v>
      </c>
      <c r="YC104">
        <v>2</v>
      </c>
      <c r="YD104">
        <v>2</v>
      </c>
      <c r="YE104">
        <v>2</v>
      </c>
      <c r="YF104">
        <v>2</v>
      </c>
      <c r="YG104">
        <v>2</v>
      </c>
      <c r="YH104">
        <v>2</v>
      </c>
      <c r="YI104">
        <v>2</v>
      </c>
      <c r="YJ104">
        <v>2</v>
      </c>
      <c r="YK104">
        <v>2</v>
      </c>
      <c r="YL104">
        <v>2</v>
      </c>
      <c r="YM104">
        <v>2</v>
      </c>
      <c r="YN104">
        <v>2</v>
      </c>
      <c r="YO104">
        <v>2</v>
      </c>
      <c r="YP104">
        <v>2</v>
      </c>
      <c r="YQ104">
        <v>2</v>
      </c>
      <c r="YR104">
        <v>2</v>
      </c>
      <c r="YS104">
        <v>2</v>
      </c>
      <c r="YT104">
        <v>2</v>
      </c>
      <c r="YU104">
        <v>2</v>
      </c>
      <c r="YV104">
        <v>2</v>
      </c>
      <c r="YW104">
        <v>1</v>
      </c>
      <c r="YX104">
        <v>1</v>
      </c>
      <c r="YY104">
        <v>1</v>
      </c>
      <c r="YZ104">
        <v>1</v>
      </c>
      <c r="ZA104">
        <v>1</v>
      </c>
      <c r="ZB104">
        <v>1</v>
      </c>
      <c r="ZC104">
        <v>1</v>
      </c>
      <c r="ZD104">
        <v>1</v>
      </c>
      <c r="ZE104">
        <v>1</v>
      </c>
      <c r="ZF104">
        <v>1</v>
      </c>
      <c r="ZG104">
        <v>1</v>
      </c>
      <c r="ZH104">
        <v>1</v>
      </c>
      <c r="ZI104">
        <v>1</v>
      </c>
      <c r="ZJ104">
        <v>1</v>
      </c>
      <c r="ZK104">
        <v>1</v>
      </c>
      <c r="ZL104">
        <v>1</v>
      </c>
      <c r="ZM104">
        <v>1</v>
      </c>
      <c r="ZN104">
        <v>1</v>
      </c>
      <c r="ZO104">
        <v>1</v>
      </c>
      <c r="ZP104">
        <v>1</v>
      </c>
      <c r="ZQ104">
        <v>1</v>
      </c>
      <c r="ZR104">
        <v>1</v>
      </c>
      <c r="ZS104">
        <v>1</v>
      </c>
      <c r="ZT104">
        <v>1</v>
      </c>
      <c r="ZU104">
        <v>1</v>
      </c>
      <c r="ZV104">
        <v>1</v>
      </c>
      <c r="ZW104">
        <v>1</v>
      </c>
      <c r="ZX104">
        <v>1</v>
      </c>
      <c r="ZY104">
        <v>1</v>
      </c>
      <c r="ZZ104">
        <v>1</v>
      </c>
      <c r="AAA104">
        <v>1</v>
      </c>
      <c r="AAB104">
        <v>1</v>
      </c>
      <c r="AAC104">
        <v>1</v>
      </c>
      <c r="AAD104">
        <v>1</v>
      </c>
      <c r="AAE104">
        <v>1</v>
      </c>
      <c r="AAF104">
        <v>1</v>
      </c>
      <c r="AAG104">
        <v>1</v>
      </c>
      <c r="AAH104">
        <v>1</v>
      </c>
      <c r="AAI104">
        <v>1</v>
      </c>
      <c r="AAJ104">
        <v>1</v>
      </c>
      <c r="AAK104">
        <v>1</v>
      </c>
      <c r="AAL104">
        <v>1</v>
      </c>
      <c r="AAM104">
        <v>1</v>
      </c>
      <c r="AAN104">
        <v>1</v>
      </c>
      <c r="AAO104">
        <v>1</v>
      </c>
      <c r="AAP104">
        <v>1</v>
      </c>
      <c r="AAQ104">
        <v>1</v>
      </c>
      <c r="AAR104">
        <v>1</v>
      </c>
      <c r="AAS104">
        <v>1</v>
      </c>
      <c r="AAT104">
        <v>1</v>
      </c>
      <c r="AAU104">
        <v>1</v>
      </c>
      <c r="AAV104">
        <v>1</v>
      </c>
      <c r="AAW104">
        <v>1</v>
      </c>
      <c r="AAX104">
        <v>1</v>
      </c>
      <c r="AAY104">
        <v>1</v>
      </c>
      <c r="AAZ104">
        <v>1</v>
      </c>
      <c r="ABA104">
        <v>1</v>
      </c>
      <c r="ABB104">
        <v>1</v>
      </c>
      <c r="ABC104">
        <v>1</v>
      </c>
      <c r="ABD104">
        <v>1</v>
      </c>
      <c r="ABE104">
        <v>1</v>
      </c>
      <c r="ABG104" s="1137">
        <f t="shared" si="26"/>
        <v>0</v>
      </c>
      <c r="ABH104" s="1137">
        <f t="shared" si="26"/>
        <v>0</v>
      </c>
      <c r="ABI104" s="1137">
        <f t="shared" si="26"/>
        <v>14</v>
      </c>
      <c r="ABJ104" s="1137">
        <f t="shared" si="26"/>
        <v>30</v>
      </c>
      <c r="ABK104" s="1137">
        <f t="shared" si="26"/>
        <v>31</v>
      </c>
      <c r="ABL104" s="1137">
        <f t="shared" si="26"/>
        <v>7</v>
      </c>
      <c r="ABM104" s="1137">
        <f t="shared" si="26"/>
        <v>0</v>
      </c>
      <c r="ABN104" s="1137">
        <f t="shared" si="26"/>
        <v>0</v>
      </c>
      <c r="ABO104" s="1137">
        <f t="shared" si="26"/>
        <v>0</v>
      </c>
      <c r="ABP104" s="1137">
        <f t="shared" si="26"/>
        <v>0</v>
      </c>
      <c r="ABQ104" s="1137">
        <f t="shared" si="26"/>
        <v>29</v>
      </c>
      <c r="ABR104" s="1137">
        <f t="shared" si="26"/>
        <v>31</v>
      </c>
      <c r="ABS104" s="1137">
        <f t="shared" si="26"/>
        <v>31</v>
      </c>
      <c r="ABT104" s="1137">
        <f t="shared" si="26"/>
        <v>28</v>
      </c>
      <c r="ABU104" s="1137">
        <f t="shared" si="26"/>
        <v>31</v>
      </c>
      <c r="ABV104" s="1137">
        <f t="shared" si="26"/>
        <v>0</v>
      </c>
      <c r="ABW104" s="1137">
        <f t="shared" si="17"/>
        <v>29</v>
      </c>
      <c r="ABX104" s="1137">
        <f t="shared" si="23"/>
        <v>30</v>
      </c>
      <c r="ABY104" s="1137">
        <f t="shared" si="23"/>
        <v>31</v>
      </c>
      <c r="ABZ104" s="1137">
        <f t="shared" si="23"/>
        <v>31</v>
      </c>
      <c r="ACA104" s="1137">
        <f t="shared" si="23"/>
        <v>30</v>
      </c>
      <c r="ACB104" s="1137">
        <f t="shared" si="23"/>
        <v>31</v>
      </c>
      <c r="ACC104" s="1137">
        <f t="shared" si="23"/>
        <v>30</v>
      </c>
      <c r="ACD104" s="1137">
        <f t="shared" si="23"/>
        <v>31</v>
      </c>
      <c r="ACE104" s="1137" t="s">
        <v>66</v>
      </c>
      <c r="ACF104" s="1137">
        <f t="shared" si="28"/>
        <v>0</v>
      </c>
      <c r="ACG104" s="1137">
        <f t="shared" si="28"/>
        <v>0</v>
      </c>
      <c r="ACH104" s="1137">
        <f t="shared" si="28"/>
        <v>1</v>
      </c>
      <c r="ACI104" s="1137">
        <f t="shared" si="28"/>
        <v>1</v>
      </c>
      <c r="ACJ104" s="1137">
        <f t="shared" si="28"/>
        <v>1</v>
      </c>
      <c r="ACK104" s="1137">
        <f t="shared" si="28"/>
        <v>0</v>
      </c>
      <c r="ACL104" s="1137">
        <f t="shared" si="28"/>
        <v>0</v>
      </c>
      <c r="ACM104" s="1137">
        <f t="shared" si="28"/>
        <v>0</v>
      </c>
      <c r="ACN104" s="1137">
        <f t="shared" si="28"/>
        <v>0</v>
      </c>
      <c r="ACO104" s="1137">
        <f t="shared" si="28"/>
        <v>0</v>
      </c>
      <c r="ACP104" s="1137">
        <f t="shared" si="28"/>
        <v>1</v>
      </c>
      <c r="ACQ104" s="1137">
        <f t="shared" si="28"/>
        <v>1</v>
      </c>
      <c r="ACR104" s="1137">
        <f t="shared" si="28"/>
        <v>1</v>
      </c>
      <c r="ACS104" s="1137">
        <f t="shared" si="28"/>
        <v>1</v>
      </c>
      <c r="ACT104" s="1137">
        <f t="shared" si="28"/>
        <v>1</v>
      </c>
      <c r="ACU104" s="1137">
        <f t="shared" si="27"/>
        <v>0</v>
      </c>
      <c r="ACV104" s="1137">
        <f t="shared" si="24"/>
        <v>1</v>
      </c>
      <c r="ACW104" s="1137">
        <f t="shared" si="24"/>
        <v>1</v>
      </c>
      <c r="ACX104" s="1137">
        <f t="shared" si="24"/>
        <v>1</v>
      </c>
      <c r="ACY104" s="1137">
        <f t="shared" si="24"/>
        <v>1</v>
      </c>
      <c r="ACZ104" s="1137">
        <f t="shared" si="24"/>
        <v>1</v>
      </c>
      <c r="ADA104" s="1137">
        <f t="shared" si="24"/>
        <v>1</v>
      </c>
      <c r="ADB104" s="1137">
        <f t="shared" si="16"/>
        <v>1</v>
      </c>
      <c r="ADC104" s="1137">
        <f t="shared" si="16"/>
        <v>1</v>
      </c>
    </row>
    <row r="105" spans="1:783" x14ac:dyDescent="0.25">
      <c r="A105" t="s">
        <v>1903</v>
      </c>
      <c r="B105" t="s">
        <v>42</v>
      </c>
      <c r="C105">
        <v>0</v>
      </c>
      <c r="D105">
        <v>0</v>
      </c>
      <c r="E105">
        <v>0</v>
      </c>
      <c r="F105">
        <v>0</v>
      </c>
      <c r="G105">
        <v>0</v>
      </c>
      <c r="H105">
        <v>0</v>
      </c>
      <c r="I105">
        <v>0</v>
      </c>
      <c r="J105">
        <v>0</v>
      </c>
      <c r="K105">
        <v>0</v>
      </c>
      <c r="L105">
        <v>0</v>
      </c>
      <c r="M105">
        <v>0</v>
      </c>
      <c r="N105">
        <v>0</v>
      </c>
      <c r="O105">
        <v>0</v>
      </c>
      <c r="P105">
        <v>0</v>
      </c>
      <c r="Q105">
        <v>0</v>
      </c>
      <c r="R105">
        <v>0</v>
      </c>
      <c r="S105">
        <v>0</v>
      </c>
      <c r="T105">
        <v>0</v>
      </c>
      <c r="U105">
        <v>0</v>
      </c>
      <c r="V105">
        <v>0</v>
      </c>
      <c r="W105">
        <v>0</v>
      </c>
      <c r="X105">
        <v>0</v>
      </c>
      <c r="Y105">
        <v>0</v>
      </c>
      <c r="Z105">
        <v>0</v>
      </c>
      <c r="AA105">
        <v>0</v>
      </c>
      <c r="AB105">
        <v>0</v>
      </c>
      <c r="AC105">
        <v>0</v>
      </c>
      <c r="AD105">
        <v>0</v>
      </c>
      <c r="AE105">
        <v>0</v>
      </c>
      <c r="AF105">
        <v>0</v>
      </c>
      <c r="AG105">
        <v>0</v>
      </c>
      <c r="AH105">
        <v>0</v>
      </c>
      <c r="AI105">
        <v>0</v>
      </c>
      <c r="AJ105">
        <v>0</v>
      </c>
      <c r="AK105">
        <v>0</v>
      </c>
      <c r="AL105">
        <v>0</v>
      </c>
      <c r="AM105">
        <v>0</v>
      </c>
      <c r="AN105">
        <v>0</v>
      </c>
      <c r="AO105">
        <v>0</v>
      </c>
      <c r="AP105">
        <v>0</v>
      </c>
      <c r="AQ105">
        <v>0</v>
      </c>
      <c r="AR105">
        <v>0</v>
      </c>
      <c r="AS105">
        <v>0</v>
      </c>
      <c r="AT105">
        <v>0</v>
      </c>
      <c r="AU105">
        <v>0</v>
      </c>
      <c r="AV105">
        <v>0</v>
      </c>
      <c r="AW105">
        <v>0</v>
      </c>
      <c r="AX105">
        <v>0</v>
      </c>
      <c r="AY105">
        <v>0</v>
      </c>
      <c r="AZ105">
        <v>0</v>
      </c>
      <c r="BA105">
        <v>0</v>
      </c>
      <c r="BB105">
        <v>0</v>
      </c>
      <c r="BC105">
        <v>0</v>
      </c>
      <c r="BD105">
        <v>0</v>
      </c>
      <c r="BE105">
        <v>0</v>
      </c>
      <c r="BF105">
        <v>0</v>
      </c>
      <c r="BG105">
        <v>0</v>
      </c>
      <c r="BH105">
        <v>0</v>
      </c>
      <c r="BI105">
        <v>0</v>
      </c>
      <c r="BJ105">
        <v>0</v>
      </c>
      <c r="BK105">
        <v>0</v>
      </c>
      <c r="BL105">
        <v>0</v>
      </c>
      <c r="BM105">
        <v>0</v>
      </c>
      <c r="BN105">
        <v>0</v>
      </c>
      <c r="BO105">
        <v>0</v>
      </c>
      <c r="BP105">
        <v>0</v>
      </c>
      <c r="BQ105">
        <v>0</v>
      </c>
      <c r="BR105">
        <v>0</v>
      </c>
      <c r="BS105">
        <v>0</v>
      </c>
      <c r="BT105">
        <v>0</v>
      </c>
      <c r="BU105">
        <v>0</v>
      </c>
      <c r="BV105">
        <v>0</v>
      </c>
      <c r="BW105">
        <v>0</v>
      </c>
      <c r="BX105">
        <v>0</v>
      </c>
      <c r="BY105">
        <v>0</v>
      </c>
      <c r="BZ105">
        <v>0</v>
      </c>
      <c r="CA105">
        <v>0</v>
      </c>
      <c r="CB105">
        <v>2</v>
      </c>
      <c r="CC105">
        <v>2</v>
      </c>
      <c r="CD105">
        <v>2</v>
      </c>
      <c r="CE105">
        <v>2</v>
      </c>
      <c r="CF105">
        <v>2</v>
      </c>
      <c r="CG105">
        <v>2</v>
      </c>
      <c r="CH105">
        <v>2</v>
      </c>
      <c r="CI105">
        <v>2</v>
      </c>
      <c r="CJ105">
        <v>2</v>
      </c>
      <c r="CK105">
        <v>2</v>
      </c>
      <c r="CL105">
        <v>2</v>
      </c>
      <c r="CM105">
        <v>2</v>
      </c>
      <c r="CN105">
        <v>2</v>
      </c>
      <c r="CO105">
        <v>2</v>
      </c>
      <c r="CP105">
        <v>2</v>
      </c>
      <c r="CQ105">
        <v>2</v>
      </c>
      <c r="CR105">
        <v>2</v>
      </c>
      <c r="CS105">
        <v>2</v>
      </c>
      <c r="CT105">
        <v>2</v>
      </c>
      <c r="CU105">
        <v>2</v>
      </c>
      <c r="CV105">
        <v>2</v>
      </c>
      <c r="CW105">
        <v>2</v>
      </c>
      <c r="CX105">
        <v>2</v>
      </c>
      <c r="CY105">
        <v>2</v>
      </c>
      <c r="CZ105">
        <v>2</v>
      </c>
      <c r="DA105">
        <v>2</v>
      </c>
      <c r="DB105">
        <v>2</v>
      </c>
      <c r="DC105">
        <v>2</v>
      </c>
      <c r="DD105">
        <v>2</v>
      </c>
      <c r="DE105">
        <v>2</v>
      </c>
      <c r="DF105">
        <v>2</v>
      </c>
      <c r="DG105">
        <v>2</v>
      </c>
      <c r="DH105">
        <v>2</v>
      </c>
      <c r="DI105">
        <v>2</v>
      </c>
      <c r="DJ105">
        <v>2</v>
      </c>
      <c r="DK105">
        <v>2</v>
      </c>
      <c r="DL105">
        <v>2</v>
      </c>
      <c r="DM105">
        <v>2</v>
      </c>
      <c r="DN105">
        <v>2</v>
      </c>
      <c r="DO105">
        <v>2</v>
      </c>
      <c r="DP105">
        <v>2</v>
      </c>
      <c r="DQ105">
        <v>2</v>
      </c>
      <c r="DR105">
        <v>2</v>
      </c>
      <c r="DS105">
        <v>2</v>
      </c>
      <c r="DT105">
        <v>2</v>
      </c>
      <c r="DU105">
        <v>2</v>
      </c>
      <c r="DV105">
        <v>2</v>
      </c>
      <c r="DW105">
        <v>2</v>
      </c>
      <c r="DX105">
        <v>2</v>
      </c>
      <c r="DY105">
        <v>1</v>
      </c>
      <c r="DZ105">
        <v>1</v>
      </c>
      <c r="EA105">
        <v>1</v>
      </c>
      <c r="EB105">
        <v>1</v>
      </c>
      <c r="EC105">
        <v>1</v>
      </c>
      <c r="ED105">
        <v>1</v>
      </c>
      <c r="EE105">
        <v>1</v>
      </c>
      <c r="EF105">
        <v>1</v>
      </c>
      <c r="EG105">
        <v>1</v>
      </c>
      <c r="EH105">
        <v>1</v>
      </c>
      <c r="EI105">
        <v>1</v>
      </c>
      <c r="EJ105">
        <v>1</v>
      </c>
      <c r="EK105">
        <v>1</v>
      </c>
      <c r="EL105">
        <v>1</v>
      </c>
      <c r="EM105">
        <v>1</v>
      </c>
      <c r="EN105">
        <v>1</v>
      </c>
      <c r="EO105">
        <v>1</v>
      </c>
      <c r="EP105">
        <v>1</v>
      </c>
      <c r="EQ105">
        <v>1</v>
      </c>
      <c r="ER105">
        <v>1</v>
      </c>
      <c r="ES105">
        <v>1</v>
      </c>
      <c r="ET105">
        <v>1</v>
      </c>
      <c r="EU105">
        <v>1</v>
      </c>
      <c r="EV105">
        <v>1</v>
      </c>
      <c r="EW105">
        <v>1</v>
      </c>
      <c r="EX105">
        <v>1</v>
      </c>
      <c r="EY105">
        <v>1</v>
      </c>
      <c r="EZ105">
        <v>1</v>
      </c>
      <c r="FA105">
        <v>1</v>
      </c>
      <c r="FB105">
        <v>1</v>
      </c>
      <c r="FC105">
        <v>1</v>
      </c>
      <c r="FD105">
        <v>1</v>
      </c>
      <c r="FE105">
        <v>1</v>
      </c>
      <c r="FF105">
        <v>1</v>
      </c>
      <c r="FG105">
        <v>1</v>
      </c>
      <c r="FH105">
        <v>1</v>
      </c>
      <c r="FI105">
        <v>1</v>
      </c>
      <c r="FJ105">
        <v>1</v>
      </c>
      <c r="FK105">
        <v>1</v>
      </c>
      <c r="FL105">
        <v>1</v>
      </c>
      <c r="FM105">
        <v>1</v>
      </c>
      <c r="FN105">
        <v>1</v>
      </c>
      <c r="FO105">
        <v>1</v>
      </c>
      <c r="FP105">
        <v>1</v>
      </c>
      <c r="FQ105">
        <v>1</v>
      </c>
      <c r="FR105">
        <v>1</v>
      </c>
      <c r="FS105">
        <v>1</v>
      </c>
      <c r="FT105">
        <v>1</v>
      </c>
      <c r="FU105">
        <v>1</v>
      </c>
      <c r="FV105">
        <v>1</v>
      </c>
      <c r="FW105">
        <v>1</v>
      </c>
      <c r="FX105">
        <v>1</v>
      </c>
      <c r="FY105">
        <v>1</v>
      </c>
      <c r="FZ105">
        <v>1</v>
      </c>
      <c r="GA105">
        <v>1</v>
      </c>
      <c r="GB105">
        <v>1</v>
      </c>
      <c r="GC105">
        <v>1</v>
      </c>
      <c r="GD105">
        <v>1</v>
      </c>
      <c r="GE105">
        <v>1</v>
      </c>
      <c r="GF105">
        <v>1</v>
      </c>
      <c r="GG105">
        <v>1</v>
      </c>
      <c r="GH105">
        <v>1</v>
      </c>
      <c r="GI105">
        <v>1</v>
      </c>
      <c r="GJ105">
        <v>1</v>
      </c>
      <c r="GK105">
        <v>1</v>
      </c>
      <c r="GL105">
        <v>1</v>
      </c>
      <c r="GM105">
        <v>1</v>
      </c>
      <c r="GN105">
        <v>1</v>
      </c>
      <c r="GO105">
        <v>1</v>
      </c>
      <c r="GP105">
        <v>1</v>
      </c>
      <c r="GQ105">
        <v>1</v>
      </c>
      <c r="GR105">
        <v>1</v>
      </c>
      <c r="GS105">
        <v>1</v>
      </c>
      <c r="GT105">
        <v>1</v>
      </c>
      <c r="GU105">
        <v>1</v>
      </c>
      <c r="GV105">
        <v>1</v>
      </c>
      <c r="GW105">
        <v>1</v>
      </c>
      <c r="GX105">
        <v>1</v>
      </c>
      <c r="GY105">
        <v>1</v>
      </c>
      <c r="GZ105">
        <v>1</v>
      </c>
      <c r="HA105">
        <v>1</v>
      </c>
      <c r="HB105">
        <v>1</v>
      </c>
      <c r="HC105">
        <v>1</v>
      </c>
      <c r="HD105">
        <v>1</v>
      </c>
      <c r="HE105">
        <v>1</v>
      </c>
      <c r="HF105">
        <v>1</v>
      </c>
      <c r="HG105">
        <v>1</v>
      </c>
      <c r="HH105">
        <v>1</v>
      </c>
      <c r="HI105">
        <v>1</v>
      </c>
      <c r="HJ105">
        <v>1</v>
      </c>
      <c r="HK105">
        <v>1</v>
      </c>
      <c r="HL105">
        <v>1</v>
      </c>
      <c r="HM105">
        <v>1</v>
      </c>
      <c r="HN105">
        <v>1</v>
      </c>
      <c r="HO105">
        <v>1</v>
      </c>
      <c r="HP105">
        <v>1</v>
      </c>
      <c r="HQ105">
        <v>1</v>
      </c>
      <c r="HR105">
        <v>1</v>
      </c>
      <c r="HS105">
        <v>1</v>
      </c>
      <c r="HT105">
        <v>1</v>
      </c>
      <c r="HU105">
        <v>1</v>
      </c>
      <c r="HV105">
        <v>1</v>
      </c>
      <c r="HW105">
        <v>1</v>
      </c>
      <c r="HX105">
        <v>1</v>
      </c>
      <c r="HY105">
        <v>1</v>
      </c>
      <c r="HZ105">
        <v>1</v>
      </c>
      <c r="IA105">
        <v>1</v>
      </c>
      <c r="IB105">
        <v>1</v>
      </c>
      <c r="IC105">
        <v>1</v>
      </c>
      <c r="ID105">
        <v>1</v>
      </c>
      <c r="IE105">
        <v>1</v>
      </c>
      <c r="IF105">
        <v>1</v>
      </c>
      <c r="IG105">
        <v>1</v>
      </c>
      <c r="IH105">
        <v>1</v>
      </c>
      <c r="II105">
        <v>1</v>
      </c>
      <c r="IJ105">
        <v>1</v>
      </c>
      <c r="IK105">
        <v>1</v>
      </c>
      <c r="IL105">
        <v>1</v>
      </c>
      <c r="IM105">
        <v>1</v>
      </c>
      <c r="IN105">
        <v>1</v>
      </c>
      <c r="IO105">
        <v>1</v>
      </c>
      <c r="IP105">
        <v>1</v>
      </c>
      <c r="IQ105">
        <v>1</v>
      </c>
      <c r="IR105">
        <v>1</v>
      </c>
      <c r="IS105">
        <v>1</v>
      </c>
      <c r="IT105">
        <v>1</v>
      </c>
      <c r="IU105">
        <v>1</v>
      </c>
      <c r="IV105">
        <v>1</v>
      </c>
      <c r="IW105">
        <v>1</v>
      </c>
      <c r="IX105">
        <v>1</v>
      </c>
      <c r="IY105">
        <v>1</v>
      </c>
      <c r="IZ105">
        <v>1</v>
      </c>
      <c r="JA105">
        <v>1</v>
      </c>
      <c r="JB105">
        <v>1</v>
      </c>
      <c r="JC105">
        <v>1</v>
      </c>
      <c r="JD105">
        <v>1</v>
      </c>
      <c r="JE105">
        <v>1</v>
      </c>
      <c r="JF105">
        <v>1</v>
      </c>
      <c r="JG105">
        <v>1</v>
      </c>
      <c r="JH105">
        <v>1</v>
      </c>
      <c r="JI105">
        <v>1</v>
      </c>
      <c r="JJ105">
        <v>1</v>
      </c>
      <c r="JK105">
        <v>1</v>
      </c>
      <c r="JL105">
        <v>1</v>
      </c>
      <c r="JM105">
        <v>1</v>
      </c>
      <c r="JN105">
        <v>1</v>
      </c>
      <c r="JO105">
        <v>1</v>
      </c>
      <c r="JP105">
        <v>1</v>
      </c>
      <c r="JQ105">
        <v>1</v>
      </c>
      <c r="JR105">
        <v>1</v>
      </c>
      <c r="JS105">
        <v>1</v>
      </c>
      <c r="JT105">
        <v>1</v>
      </c>
      <c r="JU105">
        <v>1</v>
      </c>
      <c r="JV105">
        <v>1</v>
      </c>
      <c r="JW105">
        <v>1</v>
      </c>
      <c r="JX105">
        <v>1</v>
      </c>
      <c r="JY105">
        <v>1</v>
      </c>
      <c r="JZ105">
        <v>1</v>
      </c>
      <c r="KA105">
        <v>1</v>
      </c>
      <c r="KB105">
        <v>1</v>
      </c>
      <c r="KC105">
        <v>1</v>
      </c>
      <c r="KD105">
        <v>1</v>
      </c>
      <c r="KE105">
        <v>1</v>
      </c>
      <c r="KF105">
        <v>1</v>
      </c>
      <c r="KG105">
        <v>1</v>
      </c>
      <c r="KH105">
        <v>1</v>
      </c>
      <c r="KI105">
        <v>1</v>
      </c>
      <c r="KJ105">
        <v>1</v>
      </c>
      <c r="KK105">
        <v>1</v>
      </c>
      <c r="KL105">
        <v>1</v>
      </c>
      <c r="KM105">
        <v>1</v>
      </c>
      <c r="KN105">
        <v>1</v>
      </c>
      <c r="KO105">
        <v>1</v>
      </c>
      <c r="KP105">
        <v>1</v>
      </c>
      <c r="KQ105">
        <v>1</v>
      </c>
      <c r="KR105">
        <v>1</v>
      </c>
      <c r="KS105">
        <v>1</v>
      </c>
      <c r="KT105">
        <v>1</v>
      </c>
      <c r="KU105">
        <v>1</v>
      </c>
      <c r="KV105">
        <v>1</v>
      </c>
      <c r="KW105">
        <v>1</v>
      </c>
      <c r="KX105">
        <v>1</v>
      </c>
      <c r="KY105">
        <v>1</v>
      </c>
      <c r="KZ105">
        <v>1</v>
      </c>
      <c r="LA105">
        <v>1</v>
      </c>
      <c r="LB105">
        <v>1</v>
      </c>
      <c r="LC105">
        <v>1</v>
      </c>
      <c r="LD105">
        <v>1</v>
      </c>
      <c r="LE105">
        <v>1</v>
      </c>
      <c r="LF105">
        <v>1</v>
      </c>
      <c r="LG105">
        <v>1</v>
      </c>
      <c r="LH105">
        <v>1</v>
      </c>
      <c r="LI105">
        <v>1</v>
      </c>
      <c r="LJ105">
        <v>1</v>
      </c>
      <c r="LK105">
        <v>1</v>
      </c>
      <c r="LL105">
        <v>1</v>
      </c>
      <c r="LM105">
        <v>1</v>
      </c>
      <c r="LN105">
        <v>1</v>
      </c>
      <c r="LO105">
        <v>1</v>
      </c>
      <c r="LP105">
        <v>1</v>
      </c>
      <c r="LQ105">
        <v>1</v>
      </c>
      <c r="LR105">
        <v>1</v>
      </c>
      <c r="LS105">
        <v>1</v>
      </c>
      <c r="LT105">
        <v>1</v>
      </c>
      <c r="LU105">
        <v>1</v>
      </c>
      <c r="LV105">
        <v>1</v>
      </c>
      <c r="LW105">
        <v>1</v>
      </c>
      <c r="LX105">
        <v>1</v>
      </c>
      <c r="LY105">
        <v>1</v>
      </c>
      <c r="LZ105">
        <v>0</v>
      </c>
      <c r="MA105">
        <v>0</v>
      </c>
      <c r="MB105">
        <v>0</v>
      </c>
      <c r="MC105">
        <v>0</v>
      </c>
      <c r="MD105">
        <v>0</v>
      </c>
      <c r="ME105">
        <v>0</v>
      </c>
      <c r="MF105">
        <v>0</v>
      </c>
      <c r="MG105">
        <v>0</v>
      </c>
      <c r="MH105">
        <v>0</v>
      </c>
      <c r="MI105">
        <v>0</v>
      </c>
      <c r="MJ105">
        <v>0</v>
      </c>
      <c r="MK105">
        <v>0</v>
      </c>
      <c r="ML105">
        <v>0</v>
      </c>
      <c r="MM105">
        <v>0</v>
      </c>
      <c r="MN105">
        <v>0</v>
      </c>
      <c r="MO105">
        <v>0</v>
      </c>
      <c r="MP105">
        <v>0</v>
      </c>
      <c r="MQ105">
        <v>0</v>
      </c>
      <c r="MR105">
        <v>0</v>
      </c>
      <c r="MS105">
        <v>0</v>
      </c>
      <c r="MT105">
        <v>0</v>
      </c>
      <c r="MU105">
        <v>0</v>
      </c>
      <c r="MV105">
        <v>0</v>
      </c>
      <c r="MW105">
        <v>0</v>
      </c>
      <c r="MX105">
        <v>0</v>
      </c>
      <c r="MY105">
        <v>0</v>
      </c>
      <c r="MZ105">
        <v>0</v>
      </c>
      <c r="NA105">
        <v>0</v>
      </c>
      <c r="NB105">
        <v>0</v>
      </c>
      <c r="NC105">
        <v>0</v>
      </c>
      <c r="ND105">
        <v>0</v>
      </c>
      <c r="NE105">
        <v>0</v>
      </c>
      <c r="NF105">
        <v>0</v>
      </c>
      <c r="NG105">
        <v>0</v>
      </c>
      <c r="NH105">
        <v>0</v>
      </c>
      <c r="NI105">
        <v>0</v>
      </c>
      <c r="NJ105">
        <v>0</v>
      </c>
      <c r="NK105">
        <v>0</v>
      </c>
      <c r="NL105">
        <v>0</v>
      </c>
      <c r="NM105">
        <v>0</v>
      </c>
      <c r="NN105">
        <v>0</v>
      </c>
      <c r="NO105">
        <v>0</v>
      </c>
      <c r="NP105">
        <v>1</v>
      </c>
      <c r="NQ105">
        <v>1</v>
      </c>
      <c r="NR105">
        <v>1</v>
      </c>
      <c r="NS105">
        <v>1</v>
      </c>
      <c r="NT105">
        <v>1</v>
      </c>
      <c r="NU105">
        <v>1</v>
      </c>
      <c r="NV105">
        <v>1</v>
      </c>
      <c r="NW105">
        <v>1</v>
      </c>
      <c r="NX105">
        <v>1</v>
      </c>
      <c r="NY105">
        <v>1</v>
      </c>
      <c r="NZ105">
        <v>1</v>
      </c>
      <c r="OA105">
        <v>1</v>
      </c>
      <c r="OB105">
        <v>1</v>
      </c>
      <c r="OC105">
        <v>1</v>
      </c>
      <c r="OD105">
        <v>1</v>
      </c>
      <c r="OE105">
        <v>1</v>
      </c>
      <c r="OF105">
        <v>1</v>
      </c>
      <c r="OG105">
        <v>1</v>
      </c>
      <c r="OH105">
        <v>1</v>
      </c>
      <c r="OI105">
        <v>1</v>
      </c>
      <c r="OJ105">
        <v>1</v>
      </c>
      <c r="OK105">
        <v>1</v>
      </c>
      <c r="OL105">
        <v>1</v>
      </c>
      <c r="OM105">
        <v>1</v>
      </c>
      <c r="ON105">
        <v>1</v>
      </c>
      <c r="OO105">
        <v>1</v>
      </c>
      <c r="OP105">
        <v>1</v>
      </c>
      <c r="OQ105">
        <v>1</v>
      </c>
      <c r="OR105">
        <v>1</v>
      </c>
      <c r="OS105">
        <v>1</v>
      </c>
      <c r="OT105">
        <v>1</v>
      </c>
      <c r="OU105">
        <v>1</v>
      </c>
      <c r="OV105">
        <v>1</v>
      </c>
      <c r="OW105">
        <v>1</v>
      </c>
      <c r="OX105">
        <v>1</v>
      </c>
      <c r="OY105">
        <v>1</v>
      </c>
      <c r="OZ105">
        <v>1</v>
      </c>
      <c r="PA105">
        <v>1</v>
      </c>
      <c r="PB105">
        <v>1</v>
      </c>
      <c r="PC105">
        <v>1</v>
      </c>
      <c r="PD105">
        <v>1</v>
      </c>
      <c r="PE105">
        <v>1</v>
      </c>
      <c r="PF105">
        <v>1</v>
      </c>
      <c r="PG105">
        <v>1</v>
      </c>
      <c r="PH105">
        <v>1</v>
      </c>
      <c r="PI105">
        <v>1</v>
      </c>
      <c r="PJ105">
        <v>1</v>
      </c>
      <c r="PK105">
        <v>1</v>
      </c>
      <c r="PL105">
        <v>0</v>
      </c>
      <c r="PM105">
        <v>0</v>
      </c>
      <c r="PN105">
        <v>0</v>
      </c>
      <c r="PO105">
        <v>0</v>
      </c>
      <c r="PP105">
        <v>0</v>
      </c>
      <c r="PQ105">
        <v>0</v>
      </c>
      <c r="PR105">
        <v>0</v>
      </c>
      <c r="PS105">
        <v>0</v>
      </c>
      <c r="PT105">
        <v>0</v>
      </c>
      <c r="PU105">
        <v>0</v>
      </c>
      <c r="PV105">
        <v>0</v>
      </c>
      <c r="PW105">
        <v>0</v>
      </c>
      <c r="PX105">
        <v>0</v>
      </c>
      <c r="PY105">
        <v>0</v>
      </c>
      <c r="PZ105">
        <v>0</v>
      </c>
      <c r="QA105">
        <v>0</v>
      </c>
      <c r="QB105">
        <v>0</v>
      </c>
      <c r="QC105">
        <v>0</v>
      </c>
      <c r="QD105">
        <v>0</v>
      </c>
      <c r="QE105">
        <v>0</v>
      </c>
      <c r="QF105">
        <v>0</v>
      </c>
      <c r="QG105">
        <v>0</v>
      </c>
      <c r="QH105">
        <v>0</v>
      </c>
      <c r="QI105">
        <v>0</v>
      </c>
      <c r="QJ105">
        <v>0</v>
      </c>
      <c r="QK105">
        <v>0</v>
      </c>
      <c r="QL105">
        <v>0</v>
      </c>
      <c r="QM105">
        <v>0</v>
      </c>
      <c r="QN105">
        <v>0</v>
      </c>
      <c r="QO105">
        <v>0</v>
      </c>
      <c r="QP105">
        <v>0</v>
      </c>
      <c r="QQ105">
        <v>0</v>
      </c>
      <c r="QR105">
        <v>0</v>
      </c>
      <c r="QS105">
        <v>0</v>
      </c>
      <c r="QT105">
        <v>0</v>
      </c>
      <c r="QU105">
        <v>0</v>
      </c>
      <c r="QV105">
        <v>0</v>
      </c>
      <c r="QW105">
        <v>0</v>
      </c>
      <c r="QX105">
        <v>0</v>
      </c>
      <c r="QY105">
        <v>0</v>
      </c>
      <c r="QZ105">
        <v>0</v>
      </c>
      <c r="RA105">
        <v>0</v>
      </c>
      <c r="RB105">
        <v>0</v>
      </c>
      <c r="RC105">
        <v>0</v>
      </c>
      <c r="RD105">
        <v>0</v>
      </c>
      <c r="RE105">
        <v>0</v>
      </c>
      <c r="RF105">
        <v>0</v>
      </c>
      <c r="RG105">
        <v>0</v>
      </c>
      <c r="RH105">
        <v>0</v>
      </c>
      <c r="RI105">
        <v>0</v>
      </c>
      <c r="RJ105">
        <v>0</v>
      </c>
      <c r="RK105">
        <v>0</v>
      </c>
      <c r="RL105">
        <v>0</v>
      </c>
      <c r="RM105">
        <v>0</v>
      </c>
      <c r="RN105">
        <v>0</v>
      </c>
      <c r="RO105">
        <v>0</v>
      </c>
      <c r="RP105">
        <v>0</v>
      </c>
      <c r="RQ105">
        <v>0</v>
      </c>
      <c r="RR105">
        <v>0</v>
      </c>
      <c r="RS105">
        <v>0</v>
      </c>
      <c r="RT105">
        <v>0</v>
      </c>
      <c r="RU105">
        <v>0</v>
      </c>
      <c r="RV105">
        <v>0</v>
      </c>
      <c r="RW105">
        <v>0</v>
      </c>
      <c r="RX105">
        <v>0</v>
      </c>
      <c r="RY105">
        <v>0</v>
      </c>
      <c r="RZ105">
        <v>0</v>
      </c>
      <c r="SA105">
        <v>0</v>
      </c>
      <c r="SB105">
        <v>0</v>
      </c>
      <c r="SC105">
        <v>0</v>
      </c>
      <c r="SD105">
        <v>1</v>
      </c>
      <c r="SE105">
        <v>1</v>
      </c>
      <c r="SF105">
        <v>1</v>
      </c>
      <c r="SG105">
        <v>1</v>
      </c>
      <c r="SH105">
        <v>1</v>
      </c>
      <c r="SI105">
        <v>1</v>
      </c>
      <c r="SJ105">
        <v>1</v>
      </c>
      <c r="SK105">
        <v>1</v>
      </c>
      <c r="SL105">
        <v>1</v>
      </c>
      <c r="SM105">
        <v>1</v>
      </c>
      <c r="SN105">
        <v>1</v>
      </c>
      <c r="SO105">
        <v>1</v>
      </c>
      <c r="SP105">
        <v>1</v>
      </c>
      <c r="SQ105">
        <v>1</v>
      </c>
      <c r="SR105">
        <v>1</v>
      </c>
      <c r="SS105">
        <v>0</v>
      </c>
      <c r="ST105">
        <v>0</v>
      </c>
      <c r="SU105">
        <v>0</v>
      </c>
      <c r="SV105">
        <v>0</v>
      </c>
      <c r="SW105">
        <v>0</v>
      </c>
      <c r="SX105">
        <v>0</v>
      </c>
      <c r="SY105">
        <v>0</v>
      </c>
      <c r="SZ105">
        <v>0</v>
      </c>
      <c r="TA105">
        <v>0</v>
      </c>
      <c r="TB105">
        <v>0</v>
      </c>
      <c r="TC105">
        <v>0</v>
      </c>
      <c r="TD105">
        <v>0</v>
      </c>
      <c r="TE105">
        <v>0</v>
      </c>
      <c r="TF105">
        <v>0</v>
      </c>
      <c r="TG105">
        <v>0</v>
      </c>
      <c r="TH105">
        <v>0</v>
      </c>
      <c r="TI105">
        <v>0</v>
      </c>
      <c r="TJ105">
        <v>0</v>
      </c>
      <c r="TK105">
        <v>0</v>
      </c>
      <c r="TL105">
        <v>0</v>
      </c>
      <c r="TM105">
        <v>0</v>
      </c>
      <c r="TN105">
        <v>0</v>
      </c>
      <c r="TO105">
        <v>0</v>
      </c>
      <c r="TP105">
        <v>0</v>
      </c>
      <c r="TQ105">
        <v>0</v>
      </c>
      <c r="TR105">
        <v>0</v>
      </c>
      <c r="TS105">
        <v>0</v>
      </c>
      <c r="TT105">
        <v>0</v>
      </c>
      <c r="TU105">
        <v>0</v>
      </c>
      <c r="TV105">
        <v>0</v>
      </c>
      <c r="TW105">
        <v>0</v>
      </c>
      <c r="TX105">
        <v>0</v>
      </c>
      <c r="TY105">
        <v>0</v>
      </c>
      <c r="TZ105">
        <v>0</v>
      </c>
      <c r="UA105">
        <v>0</v>
      </c>
      <c r="UB105">
        <v>0</v>
      </c>
      <c r="UC105">
        <v>0</v>
      </c>
      <c r="UD105">
        <v>0</v>
      </c>
      <c r="UE105">
        <v>0</v>
      </c>
      <c r="UF105">
        <v>0</v>
      </c>
      <c r="UG105">
        <v>0</v>
      </c>
      <c r="UH105">
        <v>0</v>
      </c>
      <c r="UI105">
        <v>0</v>
      </c>
      <c r="UJ105">
        <v>0</v>
      </c>
      <c r="UK105">
        <v>0</v>
      </c>
      <c r="UL105">
        <v>0</v>
      </c>
      <c r="UM105">
        <v>0</v>
      </c>
      <c r="UN105">
        <v>0</v>
      </c>
      <c r="UO105">
        <v>0</v>
      </c>
      <c r="UP105">
        <v>0</v>
      </c>
      <c r="UQ105">
        <v>0</v>
      </c>
      <c r="UR105">
        <v>0</v>
      </c>
      <c r="US105">
        <v>0</v>
      </c>
      <c r="UT105">
        <v>0</v>
      </c>
      <c r="UU105">
        <v>0</v>
      </c>
      <c r="UV105">
        <v>0</v>
      </c>
      <c r="UW105">
        <v>0</v>
      </c>
      <c r="UX105">
        <v>0</v>
      </c>
      <c r="UY105">
        <v>0</v>
      </c>
      <c r="UZ105">
        <v>0</v>
      </c>
      <c r="VA105">
        <v>0</v>
      </c>
      <c r="VB105">
        <v>0</v>
      </c>
      <c r="VC105">
        <v>0</v>
      </c>
      <c r="VD105">
        <v>0</v>
      </c>
      <c r="VE105">
        <v>0</v>
      </c>
      <c r="VF105">
        <v>0</v>
      </c>
      <c r="VG105">
        <v>0</v>
      </c>
      <c r="VH105">
        <v>0</v>
      </c>
      <c r="VI105">
        <v>0</v>
      </c>
      <c r="VJ105">
        <v>0</v>
      </c>
      <c r="VK105">
        <v>0</v>
      </c>
      <c r="VL105">
        <v>0</v>
      </c>
      <c r="VM105">
        <v>0</v>
      </c>
      <c r="VN105">
        <v>0</v>
      </c>
      <c r="VO105">
        <v>0</v>
      </c>
      <c r="VP105">
        <v>0</v>
      </c>
      <c r="VQ105">
        <v>0</v>
      </c>
      <c r="VR105">
        <v>0</v>
      </c>
      <c r="VS105">
        <v>0</v>
      </c>
      <c r="VT105">
        <v>0</v>
      </c>
      <c r="VU105">
        <v>0</v>
      </c>
      <c r="VV105">
        <v>0</v>
      </c>
      <c r="VW105">
        <v>0</v>
      </c>
      <c r="VX105">
        <v>0</v>
      </c>
      <c r="VY105">
        <v>0</v>
      </c>
      <c r="VZ105">
        <v>0</v>
      </c>
      <c r="WA105">
        <v>0</v>
      </c>
      <c r="WB105">
        <v>0</v>
      </c>
      <c r="WC105">
        <v>0</v>
      </c>
      <c r="WD105">
        <v>0</v>
      </c>
      <c r="WE105">
        <v>0</v>
      </c>
      <c r="WF105">
        <v>0</v>
      </c>
      <c r="WG105">
        <v>0</v>
      </c>
      <c r="WH105">
        <v>0</v>
      </c>
      <c r="WI105">
        <v>0</v>
      </c>
      <c r="WJ105">
        <v>0</v>
      </c>
      <c r="WK105">
        <v>0</v>
      </c>
      <c r="WL105">
        <v>0</v>
      </c>
      <c r="WM105">
        <v>0</v>
      </c>
      <c r="WN105">
        <v>0</v>
      </c>
      <c r="WO105">
        <v>0</v>
      </c>
      <c r="WP105">
        <v>0</v>
      </c>
      <c r="WQ105">
        <v>0</v>
      </c>
      <c r="WR105">
        <v>0</v>
      </c>
      <c r="WS105">
        <v>0</v>
      </c>
      <c r="WT105">
        <v>0</v>
      </c>
      <c r="WU105">
        <v>0</v>
      </c>
      <c r="WV105">
        <v>0</v>
      </c>
      <c r="WW105">
        <v>0</v>
      </c>
      <c r="WX105">
        <v>0</v>
      </c>
      <c r="WY105">
        <v>0</v>
      </c>
      <c r="WZ105">
        <v>0</v>
      </c>
      <c r="XA105">
        <v>0</v>
      </c>
      <c r="XB105">
        <v>0</v>
      </c>
      <c r="XC105">
        <v>0</v>
      </c>
      <c r="XD105">
        <v>0</v>
      </c>
      <c r="XE105">
        <v>0</v>
      </c>
      <c r="XF105">
        <v>0</v>
      </c>
      <c r="XG105">
        <v>0</v>
      </c>
      <c r="XH105">
        <v>0</v>
      </c>
      <c r="XI105">
        <v>0</v>
      </c>
      <c r="XJ105">
        <v>0</v>
      </c>
      <c r="XK105">
        <v>0</v>
      </c>
      <c r="XL105">
        <v>0</v>
      </c>
      <c r="XM105">
        <v>0</v>
      </c>
      <c r="XN105">
        <v>0</v>
      </c>
      <c r="XO105">
        <v>0</v>
      </c>
      <c r="XP105">
        <v>0</v>
      </c>
      <c r="XQ105">
        <v>0</v>
      </c>
      <c r="XR105">
        <v>0</v>
      </c>
      <c r="XS105">
        <v>0</v>
      </c>
      <c r="XT105">
        <v>0</v>
      </c>
      <c r="XU105">
        <v>0</v>
      </c>
      <c r="XV105">
        <v>0</v>
      </c>
      <c r="XW105">
        <v>0</v>
      </c>
      <c r="XX105">
        <v>0</v>
      </c>
      <c r="XY105">
        <v>0</v>
      </c>
      <c r="XZ105">
        <v>0</v>
      </c>
      <c r="YA105">
        <v>0</v>
      </c>
      <c r="YB105">
        <v>0</v>
      </c>
      <c r="YC105">
        <v>0</v>
      </c>
      <c r="YD105">
        <v>0</v>
      </c>
      <c r="YE105">
        <v>0</v>
      </c>
      <c r="YF105">
        <v>0</v>
      </c>
      <c r="YG105">
        <v>0</v>
      </c>
      <c r="YH105">
        <v>0</v>
      </c>
      <c r="YI105">
        <v>0</v>
      </c>
      <c r="YJ105">
        <v>0</v>
      </c>
      <c r="YK105">
        <v>0</v>
      </c>
      <c r="YL105">
        <v>0</v>
      </c>
      <c r="YM105">
        <v>0</v>
      </c>
      <c r="YN105">
        <v>0</v>
      </c>
      <c r="YO105">
        <v>0</v>
      </c>
      <c r="YP105">
        <v>0</v>
      </c>
      <c r="YQ105">
        <v>0</v>
      </c>
      <c r="YR105">
        <v>0</v>
      </c>
      <c r="YS105">
        <v>0</v>
      </c>
      <c r="YT105">
        <v>0</v>
      </c>
      <c r="YU105">
        <v>0</v>
      </c>
      <c r="YV105">
        <v>0</v>
      </c>
      <c r="YW105">
        <v>0</v>
      </c>
      <c r="YX105">
        <v>0</v>
      </c>
      <c r="YY105">
        <v>0</v>
      </c>
      <c r="YZ105">
        <v>0</v>
      </c>
      <c r="ZA105">
        <v>0</v>
      </c>
      <c r="ZB105">
        <v>0</v>
      </c>
      <c r="ZC105">
        <v>0</v>
      </c>
      <c r="ZD105">
        <v>0</v>
      </c>
      <c r="ZE105">
        <v>0</v>
      </c>
      <c r="ZF105">
        <v>0</v>
      </c>
      <c r="ZG105">
        <v>0</v>
      </c>
      <c r="ZH105">
        <v>0</v>
      </c>
      <c r="ZI105">
        <v>0</v>
      </c>
      <c r="ZJ105">
        <v>0</v>
      </c>
      <c r="ZK105">
        <v>0</v>
      </c>
      <c r="ZL105">
        <v>0</v>
      </c>
      <c r="ZM105">
        <v>0</v>
      </c>
      <c r="ZN105">
        <v>0</v>
      </c>
      <c r="ZO105">
        <v>0</v>
      </c>
      <c r="ZP105">
        <v>0</v>
      </c>
      <c r="ZQ105">
        <v>0</v>
      </c>
      <c r="ZR105">
        <v>0</v>
      </c>
      <c r="ZS105">
        <v>0</v>
      </c>
      <c r="ZT105">
        <v>0</v>
      </c>
      <c r="ZU105">
        <v>0</v>
      </c>
      <c r="ZV105">
        <v>0</v>
      </c>
      <c r="ZW105">
        <v>0</v>
      </c>
      <c r="ZX105">
        <v>0</v>
      </c>
      <c r="ZY105">
        <v>0</v>
      </c>
      <c r="ZZ105">
        <v>0</v>
      </c>
      <c r="AAA105">
        <v>0</v>
      </c>
      <c r="AAB105">
        <v>0</v>
      </c>
      <c r="AAC105">
        <v>0</v>
      </c>
      <c r="AAD105">
        <v>0</v>
      </c>
      <c r="AAE105">
        <v>0</v>
      </c>
      <c r="AAF105">
        <v>0</v>
      </c>
      <c r="AAG105">
        <v>0</v>
      </c>
      <c r="AAH105">
        <v>0</v>
      </c>
      <c r="AAI105">
        <v>0</v>
      </c>
      <c r="AAJ105">
        <v>0</v>
      </c>
      <c r="AAK105">
        <v>0</v>
      </c>
      <c r="AAL105">
        <v>0</v>
      </c>
      <c r="AAM105">
        <v>0</v>
      </c>
      <c r="AAN105">
        <v>0</v>
      </c>
      <c r="AAO105">
        <v>0</v>
      </c>
      <c r="AAP105">
        <v>0</v>
      </c>
      <c r="AAQ105">
        <v>0</v>
      </c>
      <c r="AAR105">
        <v>0</v>
      </c>
      <c r="AAS105">
        <v>0</v>
      </c>
      <c r="AAT105">
        <v>0</v>
      </c>
      <c r="AAU105">
        <v>0</v>
      </c>
      <c r="AAV105">
        <v>0</v>
      </c>
      <c r="AAW105">
        <v>0</v>
      </c>
      <c r="AAX105">
        <v>0</v>
      </c>
      <c r="AAY105">
        <v>0</v>
      </c>
      <c r="AAZ105">
        <v>0</v>
      </c>
      <c r="ABA105">
        <v>0</v>
      </c>
      <c r="ABB105">
        <v>0</v>
      </c>
      <c r="ABC105">
        <v>0</v>
      </c>
      <c r="ABD105">
        <v>0</v>
      </c>
      <c r="ABE105">
        <v>0</v>
      </c>
      <c r="ABG105" s="1137">
        <f t="shared" si="26"/>
        <v>0</v>
      </c>
      <c r="ABH105" s="1137">
        <f t="shared" si="26"/>
        <v>0</v>
      </c>
      <c r="ABI105" s="1137">
        <f t="shared" si="26"/>
        <v>14</v>
      </c>
      <c r="ABJ105" s="1137">
        <f t="shared" si="26"/>
        <v>30</v>
      </c>
      <c r="ABK105" s="1137">
        <f t="shared" si="26"/>
        <v>31</v>
      </c>
      <c r="ABL105" s="1137">
        <f t="shared" si="26"/>
        <v>30</v>
      </c>
      <c r="ABM105" s="1137">
        <f t="shared" si="26"/>
        <v>31</v>
      </c>
      <c r="ABN105" s="1137">
        <f t="shared" si="26"/>
        <v>31</v>
      </c>
      <c r="ABO105" s="1137">
        <f t="shared" si="26"/>
        <v>30</v>
      </c>
      <c r="ABP105" s="1137">
        <f t="shared" si="26"/>
        <v>31</v>
      </c>
      <c r="ABQ105" s="1137">
        <f t="shared" si="26"/>
        <v>30</v>
      </c>
      <c r="ABR105" s="1137">
        <f t="shared" si="26"/>
        <v>0</v>
      </c>
      <c r="ABS105" s="1137">
        <f t="shared" si="26"/>
        <v>20</v>
      </c>
      <c r="ABT105" s="1137">
        <f t="shared" si="26"/>
        <v>28</v>
      </c>
      <c r="ABU105" s="1137">
        <f t="shared" si="26"/>
        <v>0</v>
      </c>
      <c r="ABV105" s="1137">
        <f t="shared" si="26"/>
        <v>0</v>
      </c>
      <c r="ABW105" s="1137">
        <f t="shared" si="17"/>
        <v>15</v>
      </c>
      <c r="ABX105" s="1137">
        <f t="shared" si="23"/>
        <v>0</v>
      </c>
      <c r="ABY105" s="1137">
        <f t="shared" si="23"/>
        <v>0</v>
      </c>
      <c r="ABZ105" s="1137">
        <f t="shared" si="23"/>
        <v>0</v>
      </c>
      <c r="ACA105" s="1137">
        <f t="shared" si="23"/>
        <v>0</v>
      </c>
      <c r="ACB105" s="1137">
        <f t="shared" si="23"/>
        <v>0</v>
      </c>
      <c r="ACC105" s="1137">
        <f t="shared" si="23"/>
        <v>0</v>
      </c>
      <c r="ACD105" s="1137">
        <f t="shared" si="23"/>
        <v>0</v>
      </c>
      <c r="ACE105" s="1137" t="s">
        <v>42</v>
      </c>
      <c r="ACF105" s="1137">
        <f t="shared" si="28"/>
        <v>0</v>
      </c>
      <c r="ACG105" s="1137">
        <f t="shared" si="28"/>
        <v>0</v>
      </c>
      <c r="ACH105" s="1137">
        <f t="shared" si="28"/>
        <v>1</v>
      </c>
      <c r="ACI105" s="1137">
        <f t="shared" si="28"/>
        <v>1</v>
      </c>
      <c r="ACJ105" s="1137">
        <f t="shared" si="28"/>
        <v>1</v>
      </c>
      <c r="ACK105" s="1137">
        <f t="shared" si="28"/>
        <v>1</v>
      </c>
      <c r="ACL105" s="1137">
        <f t="shared" si="28"/>
        <v>1</v>
      </c>
      <c r="ACM105" s="1137">
        <f t="shared" si="28"/>
        <v>1</v>
      </c>
      <c r="ACN105" s="1137">
        <f t="shared" si="28"/>
        <v>1</v>
      </c>
      <c r="ACO105" s="1137">
        <f t="shared" si="28"/>
        <v>1</v>
      </c>
      <c r="ACP105" s="1137">
        <f t="shared" si="28"/>
        <v>1</v>
      </c>
      <c r="ACQ105" s="1137">
        <f t="shared" si="28"/>
        <v>0</v>
      </c>
      <c r="ACR105" s="1137">
        <f t="shared" si="28"/>
        <v>1</v>
      </c>
      <c r="ACS105" s="1137">
        <f t="shared" si="28"/>
        <v>1</v>
      </c>
      <c r="ACT105" s="1137">
        <f t="shared" si="28"/>
        <v>0</v>
      </c>
      <c r="ACU105" s="1137">
        <f t="shared" si="27"/>
        <v>0</v>
      </c>
      <c r="ACV105" s="1137">
        <f t="shared" si="24"/>
        <v>1</v>
      </c>
      <c r="ACW105" s="1137">
        <f t="shared" si="24"/>
        <v>0</v>
      </c>
      <c r="ACX105" s="1137">
        <f t="shared" si="24"/>
        <v>0</v>
      </c>
      <c r="ACY105" s="1137">
        <f t="shared" si="24"/>
        <v>0</v>
      </c>
      <c r="ACZ105" s="1137">
        <f t="shared" si="24"/>
        <v>0</v>
      </c>
      <c r="ADA105" s="1137">
        <f t="shared" si="24"/>
        <v>0</v>
      </c>
      <c r="ADB105" s="1137">
        <f t="shared" si="16"/>
        <v>0</v>
      </c>
      <c r="ADC105" s="1137">
        <f t="shared" si="16"/>
        <v>0</v>
      </c>
    </row>
    <row r="106" spans="1:783" x14ac:dyDescent="0.25">
      <c r="A106" t="s">
        <v>1904</v>
      </c>
      <c r="B106" t="s">
        <v>211</v>
      </c>
      <c r="C106">
        <v>0</v>
      </c>
      <c r="D106">
        <v>0</v>
      </c>
      <c r="E106">
        <v>0</v>
      </c>
      <c r="F106">
        <v>0</v>
      </c>
      <c r="G106">
        <v>0</v>
      </c>
      <c r="H106">
        <v>0</v>
      </c>
      <c r="I106">
        <v>0</v>
      </c>
      <c r="J106">
        <v>0</v>
      </c>
      <c r="K106">
        <v>0</v>
      </c>
      <c r="L106">
        <v>0</v>
      </c>
      <c r="M106">
        <v>0</v>
      </c>
      <c r="N106">
        <v>0</v>
      </c>
      <c r="O106">
        <v>0</v>
      </c>
      <c r="P106">
        <v>0</v>
      </c>
      <c r="Q106">
        <v>0</v>
      </c>
      <c r="R106">
        <v>0</v>
      </c>
      <c r="S106">
        <v>0</v>
      </c>
      <c r="T106">
        <v>0</v>
      </c>
      <c r="U106">
        <v>0</v>
      </c>
      <c r="V106">
        <v>0</v>
      </c>
      <c r="W106">
        <v>0</v>
      </c>
      <c r="X106">
        <v>0</v>
      </c>
      <c r="Y106">
        <v>0</v>
      </c>
      <c r="Z106">
        <v>0</v>
      </c>
      <c r="AA106">
        <v>0</v>
      </c>
      <c r="AB106">
        <v>0</v>
      </c>
      <c r="AC106">
        <v>0</v>
      </c>
      <c r="AD106">
        <v>0</v>
      </c>
      <c r="AE106">
        <v>0</v>
      </c>
      <c r="AF106">
        <v>0</v>
      </c>
      <c r="AG106">
        <v>0</v>
      </c>
      <c r="AH106">
        <v>0</v>
      </c>
      <c r="AI106">
        <v>0</v>
      </c>
      <c r="AJ106">
        <v>0</v>
      </c>
      <c r="AK106">
        <v>0</v>
      </c>
      <c r="AL106">
        <v>0</v>
      </c>
      <c r="AM106">
        <v>0</v>
      </c>
      <c r="AN106">
        <v>0</v>
      </c>
      <c r="AO106">
        <v>0</v>
      </c>
      <c r="AP106">
        <v>0</v>
      </c>
      <c r="AQ106">
        <v>0</v>
      </c>
      <c r="AR106">
        <v>0</v>
      </c>
      <c r="AS106">
        <v>0</v>
      </c>
      <c r="AT106">
        <v>0</v>
      </c>
      <c r="AU106">
        <v>0</v>
      </c>
      <c r="AV106">
        <v>0</v>
      </c>
      <c r="AW106">
        <v>0</v>
      </c>
      <c r="AX106">
        <v>0</v>
      </c>
      <c r="AY106">
        <v>0</v>
      </c>
      <c r="AZ106">
        <v>0</v>
      </c>
      <c r="BA106">
        <v>0</v>
      </c>
      <c r="BB106">
        <v>0</v>
      </c>
      <c r="BC106">
        <v>0</v>
      </c>
      <c r="BD106">
        <v>0</v>
      </c>
      <c r="BE106">
        <v>0</v>
      </c>
      <c r="BF106">
        <v>0</v>
      </c>
      <c r="BG106">
        <v>0</v>
      </c>
      <c r="BH106">
        <v>0</v>
      </c>
      <c r="BI106">
        <v>0</v>
      </c>
      <c r="BJ106">
        <v>0</v>
      </c>
      <c r="BK106">
        <v>0</v>
      </c>
      <c r="BL106">
        <v>0</v>
      </c>
      <c r="BM106">
        <v>0</v>
      </c>
      <c r="BN106">
        <v>0</v>
      </c>
      <c r="BO106">
        <v>0</v>
      </c>
      <c r="BP106">
        <v>0</v>
      </c>
      <c r="BQ106">
        <v>0</v>
      </c>
      <c r="BR106">
        <v>0</v>
      </c>
      <c r="BS106">
        <v>0</v>
      </c>
      <c r="BT106">
        <v>0</v>
      </c>
      <c r="BU106">
        <v>0</v>
      </c>
      <c r="BV106">
        <v>0</v>
      </c>
      <c r="BW106">
        <v>0</v>
      </c>
      <c r="BX106">
        <v>0</v>
      </c>
      <c r="BY106">
        <v>0</v>
      </c>
      <c r="BZ106">
        <v>1</v>
      </c>
      <c r="CA106">
        <v>1</v>
      </c>
      <c r="CB106">
        <v>1</v>
      </c>
      <c r="CC106">
        <v>1</v>
      </c>
      <c r="CD106">
        <v>1</v>
      </c>
      <c r="CE106">
        <v>1</v>
      </c>
      <c r="CF106">
        <v>1</v>
      </c>
      <c r="CG106">
        <v>1</v>
      </c>
      <c r="CH106">
        <v>1</v>
      </c>
      <c r="CI106">
        <v>1</v>
      </c>
      <c r="CJ106">
        <v>1</v>
      </c>
      <c r="CK106">
        <v>1</v>
      </c>
      <c r="CL106">
        <v>1</v>
      </c>
      <c r="CM106">
        <v>1</v>
      </c>
      <c r="CN106">
        <v>1</v>
      </c>
      <c r="CO106">
        <v>1</v>
      </c>
      <c r="CP106">
        <v>1</v>
      </c>
      <c r="CQ106">
        <v>1</v>
      </c>
      <c r="CR106">
        <v>1</v>
      </c>
      <c r="CS106">
        <v>1</v>
      </c>
      <c r="CT106">
        <v>1</v>
      </c>
      <c r="CU106">
        <v>1</v>
      </c>
      <c r="CV106">
        <v>1</v>
      </c>
      <c r="CW106">
        <v>1</v>
      </c>
      <c r="CX106">
        <v>1</v>
      </c>
      <c r="CY106">
        <v>2</v>
      </c>
      <c r="CZ106">
        <v>2</v>
      </c>
      <c r="DA106">
        <v>2</v>
      </c>
      <c r="DB106">
        <v>2</v>
      </c>
      <c r="DC106">
        <v>1</v>
      </c>
      <c r="DD106">
        <v>1</v>
      </c>
      <c r="DE106">
        <v>1</v>
      </c>
      <c r="DF106">
        <v>1</v>
      </c>
      <c r="DG106">
        <v>1</v>
      </c>
      <c r="DH106">
        <v>1</v>
      </c>
      <c r="DI106">
        <v>1</v>
      </c>
      <c r="DJ106">
        <v>1</v>
      </c>
      <c r="DK106">
        <v>1</v>
      </c>
      <c r="DL106">
        <v>1</v>
      </c>
      <c r="DM106">
        <v>1</v>
      </c>
      <c r="DN106">
        <v>1</v>
      </c>
      <c r="DO106">
        <v>1</v>
      </c>
      <c r="DP106">
        <v>1</v>
      </c>
      <c r="DQ106">
        <v>1</v>
      </c>
      <c r="DR106">
        <v>1</v>
      </c>
      <c r="DS106">
        <v>1</v>
      </c>
      <c r="DT106">
        <v>1</v>
      </c>
      <c r="DU106">
        <v>1</v>
      </c>
      <c r="DV106">
        <v>1</v>
      </c>
      <c r="DW106">
        <v>1</v>
      </c>
      <c r="DX106">
        <v>1</v>
      </c>
      <c r="DY106">
        <v>1</v>
      </c>
      <c r="DZ106">
        <v>1</v>
      </c>
      <c r="EA106">
        <v>1</v>
      </c>
      <c r="EB106">
        <v>1</v>
      </c>
      <c r="EC106">
        <v>1</v>
      </c>
      <c r="ED106">
        <v>1</v>
      </c>
      <c r="EE106">
        <v>1</v>
      </c>
      <c r="EF106">
        <v>1</v>
      </c>
      <c r="EG106">
        <v>1</v>
      </c>
      <c r="EH106">
        <v>1</v>
      </c>
      <c r="EI106">
        <v>1</v>
      </c>
      <c r="EJ106">
        <v>1</v>
      </c>
      <c r="EK106">
        <v>1</v>
      </c>
      <c r="EL106">
        <v>1</v>
      </c>
      <c r="EM106">
        <v>1</v>
      </c>
      <c r="EN106">
        <v>1</v>
      </c>
      <c r="EO106">
        <v>1</v>
      </c>
      <c r="EP106">
        <v>1</v>
      </c>
      <c r="EQ106">
        <v>1</v>
      </c>
      <c r="ER106">
        <v>1</v>
      </c>
      <c r="ES106">
        <v>1</v>
      </c>
      <c r="ET106">
        <v>1</v>
      </c>
      <c r="EU106">
        <v>1</v>
      </c>
      <c r="EV106">
        <v>1</v>
      </c>
      <c r="EW106">
        <v>1</v>
      </c>
      <c r="EX106">
        <v>1</v>
      </c>
      <c r="EY106">
        <v>1</v>
      </c>
      <c r="EZ106">
        <v>1</v>
      </c>
      <c r="FA106">
        <v>1</v>
      </c>
      <c r="FB106">
        <v>1</v>
      </c>
      <c r="FC106">
        <v>1</v>
      </c>
      <c r="FD106">
        <v>1</v>
      </c>
      <c r="FE106">
        <v>1</v>
      </c>
      <c r="FF106">
        <v>1</v>
      </c>
      <c r="FG106">
        <v>1</v>
      </c>
      <c r="FH106">
        <v>1</v>
      </c>
      <c r="FI106">
        <v>1</v>
      </c>
      <c r="FJ106">
        <v>1</v>
      </c>
      <c r="FK106">
        <v>1</v>
      </c>
      <c r="FL106">
        <v>1</v>
      </c>
      <c r="FM106">
        <v>1</v>
      </c>
      <c r="FN106">
        <v>1</v>
      </c>
      <c r="FO106">
        <v>0</v>
      </c>
      <c r="FP106">
        <v>0</v>
      </c>
      <c r="FQ106">
        <v>0</v>
      </c>
      <c r="FR106">
        <v>0</v>
      </c>
      <c r="FS106">
        <v>0</v>
      </c>
      <c r="FT106">
        <v>0</v>
      </c>
      <c r="FU106">
        <v>0</v>
      </c>
      <c r="FV106">
        <v>0</v>
      </c>
      <c r="FW106">
        <v>0</v>
      </c>
      <c r="FX106">
        <v>0</v>
      </c>
      <c r="FY106">
        <v>0</v>
      </c>
      <c r="FZ106">
        <v>0</v>
      </c>
      <c r="GA106">
        <v>0</v>
      </c>
      <c r="GB106">
        <v>0</v>
      </c>
      <c r="GC106">
        <v>0</v>
      </c>
      <c r="GD106">
        <v>0</v>
      </c>
      <c r="GE106">
        <v>0</v>
      </c>
      <c r="GF106">
        <v>0</v>
      </c>
      <c r="GG106">
        <v>0</v>
      </c>
      <c r="GH106">
        <v>0</v>
      </c>
      <c r="GI106">
        <v>0</v>
      </c>
      <c r="GJ106">
        <v>0</v>
      </c>
      <c r="GK106">
        <v>0</v>
      </c>
      <c r="GL106">
        <v>0</v>
      </c>
      <c r="GM106">
        <v>0</v>
      </c>
      <c r="GN106">
        <v>0</v>
      </c>
      <c r="GO106">
        <v>0</v>
      </c>
      <c r="GP106">
        <v>0</v>
      </c>
      <c r="GQ106">
        <v>0</v>
      </c>
      <c r="GR106">
        <v>0</v>
      </c>
      <c r="GS106">
        <v>0</v>
      </c>
      <c r="GT106">
        <v>0</v>
      </c>
      <c r="GU106">
        <v>0</v>
      </c>
      <c r="GV106">
        <v>0</v>
      </c>
      <c r="GW106">
        <v>0</v>
      </c>
      <c r="GX106">
        <v>0</v>
      </c>
      <c r="GY106">
        <v>0</v>
      </c>
      <c r="GZ106">
        <v>0</v>
      </c>
      <c r="HA106">
        <v>0</v>
      </c>
      <c r="HB106">
        <v>0</v>
      </c>
      <c r="HC106">
        <v>0</v>
      </c>
      <c r="HD106">
        <v>0</v>
      </c>
      <c r="HE106">
        <v>0</v>
      </c>
      <c r="HF106">
        <v>0</v>
      </c>
      <c r="HG106">
        <v>0</v>
      </c>
      <c r="HH106">
        <v>0</v>
      </c>
      <c r="HI106">
        <v>0</v>
      </c>
      <c r="HJ106">
        <v>0</v>
      </c>
      <c r="HK106">
        <v>0</v>
      </c>
      <c r="HL106">
        <v>0</v>
      </c>
      <c r="HM106">
        <v>0</v>
      </c>
      <c r="HN106">
        <v>0</v>
      </c>
      <c r="HO106">
        <v>0</v>
      </c>
      <c r="HP106">
        <v>0</v>
      </c>
      <c r="HQ106">
        <v>0</v>
      </c>
      <c r="HR106">
        <v>0</v>
      </c>
      <c r="HS106">
        <v>0</v>
      </c>
      <c r="HT106">
        <v>0</v>
      </c>
      <c r="HU106">
        <v>0</v>
      </c>
      <c r="HV106">
        <v>0</v>
      </c>
      <c r="HW106">
        <v>0</v>
      </c>
      <c r="HX106">
        <v>0</v>
      </c>
      <c r="HY106">
        <v>0</v>
      </c>
      <c r="HZ106">
        <v>0</v>
      </c>
      <c r="IA106">
        <v>0</v>
      </c>
      <c r="IB106">
        <v>0</v>
      </c>
      <c r="IC106">
        <v>0</v>
      </c>
      <c r="ID106">
        <v>0</v>
      </c>
      <c r="IE106">
        <v>0</v>
      </c>
      <c r="IF106">
        <v>0</v>
      </c>
      <c r="IG106">
        <v>0</v>
      </c>
      <c r="IH106">
        <v>0</v>
      </c>
      <c r="II106">
        <v>0</v>
      </c>
      <c r="IJ106">
        <v>0</v>
      </c>
      <c r="IK106">
        <v>0</v>
      </c>
      <c r="IL106">
        <v>0</v>
      </c>
      <c r="IM106">
        <v>0</v>
      </c>
      <c r="IN106">
        <v>0</v>
      </c>
      <c r="IO106">
        <v>0</v>
      </c>
      <c r="IP106">
        <v>0</v>
      </c>
      <c r="IQ106">
        <v>0</v>
      </c>
      <c r="IR106">
        <v>0</v>
      </c>
      <c r="IS106">
        <v>0</v>
      </c>
      <c r="IT106">
        <v>0</v>
      </c>
      <c r="IU106">
        <v>0</v>
      </c>
      <c r="IV106">
        <v>0</v>
      </c>
      <c r="IW106">
        <v>0</v>
      </c>
      <c r="IX106">
        <v>0</v>
      </c>
      <c r="IY106">
        <v>0</v>
      </c>
      <c r="IZ106">
        <v>0</v>
      </c>
      <c r="JA106">
        <v>0</v>
      </c>
      <c r="JB106">
        <v>0</v>
      </c>
      <c r="JC106">
        <v>0</v>
      </c>
      <c r="JD106">
        <v>0</v>
      </c>
      <c r="JE106">
        <v>0</v>
      </c>
      <c r="JF106">
        <v>0</v>
      </c>
      <c r="JG106">
        <v>0</v>
      </c>
      <c r="JH106">
        <v>0</v>
      </c>
      <c r="JI106">
        <v>0</v>
      </c>
      <c r="JJ106">
        <v>0</v>
      </c>
      <c r="JK106">
        <v>0</v>
      </c>
      <c r="JL106">
        <v>0</v>
      </c>
      <c r="JM106">
        <v>0</v>
      </c>
      <c r="JN106">
        <v>0</v>
      </c>
      <c r="JO106">
        <v>0</v>
      </c>
      <c r="JP106">
        <v>0</v>
      </c>
      <c r="JQ106">
        <v>0</v>
      </c>
      <c r="JR106">
        <v>0</v>
      </c>
      <c r="JS106">
        <v>0</v>
      </c>
      <c r="JT106">
        <v>0</v>
      </c>
      <c r="JU106">
        <v>0</v>
      </c>
      <c r="JV106">
        <v>0</v>
      </c>
      <c r="JW106">
        <v>0</v>
      </c>
      <c r="JX106">
        <v>0</v>
      </c>
      <c r="JY106">
        <v>0</v>
      </c>
      <c r="JZ106">
        <v>0</v>
      </c>
      <c r="KA106">
        <v>0</v>
      </c>
      <c r="KB106">
        <v>0</v>
      </c>
      <c r="KC106">
        <v>0</v>
      </c>
      <c r="KD106">
        <v>0</v>
      </c>
      <c r="KE106">
        <v>0</v>
      </c>
      <c r="KF106">
        <v>0</v>
      </c>
      <c r="KG106">
        <v>0</v>
      </c>
      <c r="KH106">
        <v>0</v>
      </c>
      <c r="KI106">
        <v>0</v>
      </c>
      <c r="KJ106">
        <v>0</v>
      </c>
      <c r="KK106">
        <v>0</v>
      </c>
      <c r="KL106">
        <v>0</v>
      </c>
      <c r="KM106">
        <v>0</v>
      </c>
      <c r="KN106">
        <v>0</v>
      </c>
      <c r="KO106">
        <v>0</v>
      </c>
      <c r="KP106">
        <v>0</v>
      </c>
      <c r="KQ106">
        <v>0</v>
      </c>
      <c r="KR106">
        <v>1</v>
      </c>
      <c r="KS106">
        <v>1</v>
      </c>
      <c r="KT106">
        <v>1</v>
      </c>
      <c r="KU106">
        <v>1</v>
      </c>
      <c r="KV106">
        <v>1</v>
      </c>
      <c r="KW106">
        <v>1</v>
      </c>
      <c r="KX106">
        <v>1</v>
      </c>
      <c r="KY106">
        <v>1</v>
      </c>
      <c r="KZ106">
        <v>1</v>
      </c>
      <c r="LA106">
        <v>1</v>
      </c>
      <c r="LB106">
        <v>1</v>
      </c>
      <c r="LC106">
        <v>1</v>
      </c>
      <c r="LD106">
        <v>1</v>
      </c>
      <c r="LE106">
        <v>1</v>
      </c>
      <c r="LF106">
        <v>1</v>
      </c>
      <c r="LG106">
        <v>1</v>
      </c>
      <c r="LH106">
        <v>1</v>
      </c>
      <c r="LI106">
        <v>1</v>
      </c>
      <c r="LJ106">
        <v>1</v>
      </c>
      <c r="LK106">
        <v>1</v>
      </c>
      <c r="LL106">
        <v>1</v>
      </c>
      <c r="LM106">
        <v>1</v>
      </c>
      <c r="LN106">
        <v>1</v>
      </c>
      <c r="LO106">
        <v>1</v>
      </c>
      <c r="LP106">
        <v>1</v>
      </c>
      <c r="LQ106">
        <v>1</v>
      </c>
      <c r="LR106">
        <v>1</v>
      </c>
      <c r="LS106">
        <v>1</v>
      </c>
      <c r="LT106">
        <v>1</v>
      </c>
      <c r="LU106">
        <v>1</v>
      </c>
      <c r="LV106">
        <v>1</v>
      </c>
      <c r="LW106">
        <v>1</v>
      </c>
      <c r="LX106">
        <v>1</v>
      </c>
      <c r="LY106">
        <v>1</v>
      </c>
      <c r="LZ106">
        <v>1</v>
      </c>
      <c r="MA106">
        <v>1</v>
      </c>
      <c r="MB106">
        <v>1</v>
      </c>
      <c r="MC106">
        <v>1</v>
      </c>
      <c r="MD106">
        <v>1</v>
      </c>
      <c r="ME106">
        <v>1</v>
      </c>
      <c r="MF106">
        <v>1</v>
      </c>
      <c r="MG106">
        <v>1</v>
      </c>
      <c r="MH106">
        <v>1</v>
      </c>
      <c r="MI106">
        <v>1</v>
      </c>
      <c r="MJ106">
        <v>1</v>
      </c>
      <c r="MK106">
        <v>1</v>
      </c>
      <c r="ML106">
        <v>1</v>
      </c>
      <c r="MM106">
        <v>1</v>
      </c>
      <c r="MN106">
        <v>1</v>
      </c>
      <c r="MO106">
        <v>2</v>
      </c>
      <c r="MP106">
        <v>2</v>
      </c>
      <c r="MQ106">
        <v>2</v>
      </c>
      <c r="MR106">
        <v>2</v>
      </c>
      <c r="MS106">
        <v>2</v>
      </c>
      <c r="MT106">
        <v>2</v>
      </c>
      <c r="MU106">
        <v>2</v>
      </c>
      <c r="MV106">
        <v>2</v>
      </c>
      <c r="MW106">
        <v>2</v>
      </c>
      <c r="MX106">
        <v>2</v>
      </c>
      <c r="MY106">
        <v>2</v>
      </c>
      <c r="MZ106">
        <v>2</v>
      </c>
      <c r="NA106">
        <v>2</v>
      </c>
      <c r="NB106">
        <v>2</v>
      </c>
      <c r="NC106">
        <v>2</v>
      </c>
      <c r="ND106">
        <v>2</v>
      </c>
      <c r="NE106">
        <v>2</v>
      </c>
      <c r="NF106">
        <v>2</v>
      </c>
      <c r="NG106">
        <v>2</v>
      </c>
      <c r="NH106">
        <v>2</v>
      </c>
      <c r="NI106">
        <v>2</v>
      </c>
      <c r="NJ106">
        <v>2</v>
      </c>
      <c r="NK106">
        <v>2</v>
      </c>
      <c r="NL106">
        <v>2</v>
      </c>
      <c r="NM106">
        <v>2</v>
      </c>
      <c r="NN106">
        <v>2</v>
      </c>
      <c r="NO106">
        <v>2</v>
      </c>
      <c r="NP106">
        <v>2</v>
      </c>
      <c r="NQ106">
        <v>2</v>
      </c>
      <c r="NR106">
        <v>2</v>
      </c>
      <c r="NS106">
        <v>2</v>
      </c>
      <c r="NT106">
        <v>2</v>
      </c>
      <c r="NU106">
        <v>2</v>
      </c>
      <c r="NV106">
        <v>2</v>
      </c>
      <c r="NW106">
        <v>2</v>
      </c>
      <c r="NX106">
        <v>2</v>
      </c>
      <c r="NY106">
        <v>2</v>
      </c>
      <c r="NZ106">
        <v>2</v>
      </c>
      <c r="OA106">
        <v>2</v>
      </c>
      <c r="OB106">
        <v>2</v>
      </c>
      <c r="OC106">
        <v>2</v>
      </c>
      <c r="OD106">
        <v>2</v>
      </c>
      <c r="OE106">
        <v>2</v>
      </c>
      <c r="OF106">
        <v>2</v>
      </c>
      <c r="OG106">
        <v>2</v>
      </c>
      <c r="OH106">
        <v>2</v>
      </c>
      <c r="OI106">
        <v>2</v>
      </c>
      <c r="OJ106">
        <v>2</v>
      </c>
      <c r="OK106">
        <v>2</v>
      </c>
      <c r="OL106">
        <v>2</v>
      </c>
      <c r="OM106">
        <v>2</v>
      </c>
      <c r="ON106">
        <v>2</v>
      </c>
      <c r="OO106">
        <v>2</v>
      </c>
      <c r="OP106">
        <v>2</v>
      </c>
      <c r="OQ106">
        <v>2</v>
      </c>
      <c r="OR106">
        <v>2</v>
      </c>
      <c r="OS106">
        <v>2</v>
      </c>
      <c r="OT106">
        <v>2</v>
      </c>
      <c r="OU106">
        <v>2</v>
      </c>
      <c r="OV106">
        <v>2</v>
      </c>
      <c r="OW106">
        <v>2</v>
      </c>
      <c r="OX106">
        <v>2</v>
      </c>
      <c r="OY106">
        <v>2</v>
      </c>
      <c r="OZ106">
        <v>2</v>
      </c>
      <c r="PA106">
        <v>2</v>
      </c>
      <c r="PB106">
        <v>2</v>
      </c>
      <c r="PC106">
        <v>2</v>
      </c>
      <c r="PD106">
        <v>2</v>
      </c>
      <c r="PE106">
        <v>2</v>
      </c>
      <c r="PF106">
        <v>2</v>
      </c>
      <c r="PG106">
        <v>2</v>
      </c>
      <c r="PH106">
        <v>2</v>
      </c>
      <c r="PI106">
        <v>2</v>
      </c>
      <c r="PJ106">
        <v>2</v>
      </c>
      <c r="PK106">
        <v>2</v>
      </c>
      <c r="PL106">
        <v>2</v>
      </c>
      <c r="PM106">
        <v>2</v>
      </c>
      <c r="PN106">
        <v>2</v>
      </c>
      <c r="PO106">
        <v>2</v>
      </c>
      <c r="PP106">
        <v>2</v>
      </c>
      <c r="PQ106">
        <v>2</v>
      </c>
      <c r="PR106">
        <v>2</v>
      </c>
      <c r="PS106">
        <v>2</v>
      </c>
      <c r="PT106">
        <v>2</v>
      </c>
      <c r="PU106">
        <v>2</v>
      </c>
      <c r="PV106">
        <v>2</v>
      </c>
      <c r="PW106">
        <v>2</v>
      </c>
      <c r="PX106">
        <v>2</v>
      </c>
      <c r="PY106">
        <v>2</v>
      </c>
      <c r="PZ106">
        <v>2</v>
      </c>
      <c r="QA106">
        <v>2</v>
      </c>
      <c r="QB106">
        <v>2</v>
      </c>
      <c r="QC106">
        <v>2</v>
      </c>
      <c r="QD106">
        <v>2</v>
      </c>
      <c r="QE106">
        <v>2</v>
      </c>
      <c r="QF106">
        <v>2</v>
      </c>
      <c r="QG106">
        <v>2</v>
      </c>
      <c r="QH106">
        <v>2</v>
      </c>
      <c r="QI106">
        <v>2</v>
      </c>
      <c r="QJ106">
        <v>2</v>
      </c>
      <c r="QK106">
        <v>2</v>
      </c>
      <c r="QL106">
        <v>2</v>
      </c>
      <c r="QM106">
        <v>2</v>
      </c>
      <c r="QN106">
        <v>2</v>
      </c>
      <c r="QO106">
        <v>2</v>
      </c>
      <c r="QP106">
        <v>2</v>
      </c>
      <c r="QQ106">
        <v>2</v>
      </c>
      <c r="QR106">
        <v>2</v>
      </c>
      <c r="QS106">
        <v>2</v>
      </c>
      <c r="QT106">
        <v>2</v>
      </c>
      <c r="QU106">
        <v>2</v>
      </c>
      <c r="QV106">
        <v>1</v>
      </c>
      <c r="QW106">
        <v>1</v>
      </c>
      <c r="QX106">
        <v>1</v>
      </c>
      <c r="QY106">
        <v>1</v>
      </c>
      <c r="QZ106">
        <v>1</v>
      </c>
      <c r="RA106">
        <v>1</v>
      </c>
      <c r="RB106">
        <v>1</v>
      </c>
      <c r="RC106">
        <v>0</v>
      </c>
      <c r="RD106">
        <v>0</v>
      </c>
      <c r="RE106">
        <v>0</v>
      </c>
      <c r="RF106">
        <v>0</v>
      </c>
      <c r="RG106">
        <v>0</v>
      </c>
      <c r="RH106">
        <v>0</v>
      </c>
      <c r="RI106">
        <v>0</v>
      </c>
      <c r="RJ106">
        <v>0</v>
      </c>
      <c r="RK106">
        <v>0</v>
      </c>
      <c r="RL106">
        <v>0</v>
      </c>
      <c r="RM106">
        <v>0</v>
      </c>
      <c r="RN106">
        <v>0</v>
      </c>
      <c r="RO106">
        <v>0</v>
      </c>
      <c r="RP106">
        <v>0</v>
      </c>
      <c r="RQ106">
        <v>0</v>
      </c>
      <c r="RR106">
        <v>0</v>
      </c>
      <c r="RS106">
        <v>0</v>
      </c>
      <c r="RT106">
        <v>0</v>
      </c>
      <c r="RU106">
        <v>0</v>
      </c>
      <c r="RV106">
        <v>0</v>
      </c>
      <c r="RW106">
        <v>0</v>
      </c>
      <c r="RX106">
        <v>0</v>
      </c>
      <c r="RY106">
        <v>0</v>
      </c>
      <c r="RZ106">
        <v>0</v>
      </c>
      <c r="SA106">
        <v>0</v>
      </c>
      <c r="SB106">
        <v>0</v>
      </c>
      <c r="SC106">
        <v>0</v>
      </c>
      <c r="SD106">
        <v>0</v>
      </c>
      <c r="SE106">
        <v>0</v>
      </c>
      <c r="SF106">
        <v>0</v>
      </c>
      <c r="SG106">
        <v>0</v>
      </c>
      <c r="SH106">
        <v>0</v>
      </c>
      <c r="SI106">
        <v>0</v>
      </c>
      <c r="SJ106">
        <v>0</v>
      </c>
      <c r="SK106">
        <v>0</v>
      </c>
      <c r="SL106">
        <v>0</v>
      </c>
      <c r="SM106">
        <v>0</v>
      </c>
      <c r="SN106">
        <v>0</v>
      </c>
      <c r="SO106">
        <v>0</v>
      </c>
      <c r="SP106">
        <v>0</v>
      </c>
      <c r="SQ106">
        <v>1</v>
      </c>
      <c r="SR106">
        <v>1</v>
      </c>
      <c r="SS106">
        <v>1</v>
      </c>
      <c r="ST106">
        <v>1</v>
      </c>
      <c r="SU106">
        <v>0</v>
      </c>
      <c r="SV106">
        <v>0</v>
      </c>
      <c r="SW106">
        <v>0</v>
      </c>
      <c r="SX106">
        <v>0</v>
      </c>
      <c r="SY106">
        <v>0</v>
      </c>
      <c r="SZ106">
        <v>0</v>
      </c>
      <c r="TA106">
        <v>0</v>
      </c>
      <c r="TB106">
        <v>0</v>
      </c>
      <c r="TC106">
        <v>0</v>
      </c>
      <c r="TD106">
        <v>0</v>
      </c>
      <c r="TE106">
        <v>0</v>
      </c>
      <c r="TF106">
        <v>0</v>
      </c>
      <c r="TG106">
        <v>0</v>
      </c>
      <c r="TH106">
        <v>0</v>
      </c>
      <c r="TI106">
        <v>0</v>
      </c>
      <c r="TJ106">
        <v>0</v>
      </c>
      <c r="TK106">
        <v>0</v>
      </c>
      <c r="TL106">
        <v>0</v>
      </c>
      <c r="TM106">
        <v>0</v>
      </c>
      <c r="TN106">
        <v>0</v>
      </c>
      <c r="TO106">
        <v>0</v>
      </c>
      <c r="TP106">
        <v>0</v>
      </c>
      <c r="TQ106">
        <v>0</v>
      </c>
      <c r="TR106">
        <v>0</v>
      </c>
      <c r="TS106">
        <v>0</v>
      </c>
      <c r="TT106">
        <v>0</v>
      </c>
      <c r="TU106">
        <v>0</v>
      </c>
      <c r="TV106">
        <v>0</v>
      </c>
      <c r="TW106">
        <v>0</v>
      </c>
      <c r="TX106">
        <v>0</v>
      </c>
      <c r="TY106">
        <v>0</v>
      </c>
      <c r="TZ106">
        <v>0</v>
      </c>
      <c r="UA106">
        <v>0</v>
      </c>
      <c r="UB106">
        <v>0</v>
      </c>
      <c r="UC106">
        <v>0</v>
      </c>
      <c r="UD106">
        <v>0</v>
      </c>
      <c r="UE106">
        <v>0</v>
      </c>
      <c r="UF106">
        <v>0</v>
      </c>
      <c r="UG106">
        <v>0</v>
      </c>
      <c r="UH106">
        <v>0</v>
      </c>
      <c r="UI106">
        <v>0</v>
      </c>
      <c r="UJ106">
        <v>0</v>
      </c>
      <c r="UK106">
        <v>0</v>
      </c>
      <c r="UL106">
        <v>0</v>
      </c>
      <c r="UM106">
        <v>0</v>
      </c>
      <c r="UN106">
        <v>0</v>
      </c>
      <c r="UO106">
        <v>0</v>
      </c>
      <c r="UP106">
        <v>0</v>
      </c>
      <c r="UQ106">
        <v>0</v>
      </c>
      <c r="UR106">
        <v>0</v>
      </c>
      <c r="US106">
        <v>0</v>
      </c>
      <c r="UT106">
        <v>0</v>
      </c>
      <c r="UU106">
        <v>0</v>
      </c>
      <c r="UV106">
        <v>0</v>
      </c>
      <c r="UW106">
        <v>0</v>
      </c>
      <c r="UX106">
        <v>0</v>
      </c>
      <c r="UY106">
        <v>0</v>
      </c>
      <c r="UZ106">
        <v>0</v>
      </c>
      <c r="VA106">
        <v>0</v>
      </c>
      <c r="VB106">
        <v>0</v>
      </c>
      <c r="VC106">
        <v>0</v>
      </c>
      <c r="VD106">
        <v>0</v>
      </c>
      <c r="VE106">
        <v>0</v>
      </c>
      <c r="VF106">
        <v>0</v>
      </c>
      <c r="VG106">
        <v>0</v>
      </c>
      <c r="VH106">
        <v>0</v>
      </c>
      <c r="VI106">
        <v>0</v>
      </c>
      <c r="VJ106">
        <v>0</v>
      </c>
      <c r="VK106">
        <v>0</v>
      </c>
      <c r="VL106">
        <v>0</v>
      </c>
      <c r="VM106">
        <v>0</v>
      </c>
      <c r="VN106">
        <v>0</v>
      </c>
      <c r="VO106">
        <v>0</v>
      </c>
      <c r="VP106">
        <v>0</v>
      </c>
      <c r="VQ106">
        <v>0</v>
      </c>
      <c r="VR106">
        <v>0</v>
      </c>
      <c r="VS106">
        <v>0</v>
      </c>
      <c r="VT106">
        <v>0</v>
      </c>
      <c r="VU106">
        <v>0</v>
      </c>
      <c r="VV106">
        <v>0</v>
      </c>
      <c r="VW106">
        <v>0</v>
      </c>
      <c r="VX106">
        <v>0</v>
      </c>
      <c r="VY106">
        <v>0</v>
      </c>
      <c r="VZ106">
        <v>0</v>
      </c>
      <c r="WA106">
        <v>0</v>
      </c>
      <c r="WB106">
        <v>0</v>
      </c>
      <c r="WC106">
        <v>0</v>
      </c>
      <c r="WD106">
        <v>0</v>
      </c>
      <c r="WE106">
        <v>0</v>
      </c>
      <c r="WF106">
        <v>0</v>
      </c>
      <c r="WG106">
        <v>0</v>
      </c>
      <c r="WH106">
        <v>0</v>
      </c>
      <c r="WI106">
        <v>0</v>
      </c>
      <c r="WJ106">
        <v>0</v>
      </c>
      <c r="WK106">
        <v>0</v>
      </c>
      <c r="WL106">
        <v>0</v>
      </c>
      <c r="WM106">
        <v>0</v>
      </c>
      <c r="WN106">
        <v>0</v>
      </c>
      <c r="WO106">
        <v>0</v>
      </c>
      <c r="WP106">
        <v>0</v>
      </c>
      <c r="WQ106">
        <v>0</v>
      </c>
      <c r="WR106">
        <v>0</v>
      </c>
      <c r="WS106">
        <v>0</v>
      </c>
      <c r="WT106">
        <v>0</v>
      </c>
      <c r="WU106">
        <v>0</v>
      </c>
      <c r="WV106">
        <v>0</v>
      </c>
      <c r="WW106">
        <v>0</v>
      </c>
      <c r="WX106">
        <v>0</v>
      </c>
      <c r="WY106">
        <v>0</v>
      </c>
      <c r="WZ106">
        <v>0</v>
      </c>
      <c r="XA106">
        <v>0</v>
      </c>
      <c r="XB106">
        <v>0</v>
      </c>
      <c r="XC106">
        <v>0</v>
      </c>
      <c r="XD106">
        <v>0</v>
      </c>
      <c r="XE106">
        <v>0</v>
      </c>
      <c r="XF106">
        <v>0</v>
      </c>
      <c r="XG106">
        <v>0</v>
      </c>
      <c r="XH106">
        <v>0</v>
      </c>
      <c r="XI106">
        <v>0</v>
      </c>
      <c r="XJ106">
        <v>0</v>
      </c>
      <c r="XK106">
        <v>0</v>
      </c>
      <c r="XL106">
        <v>0</v>
      </c>
      <c r="XM106">
        <v>0</v>
      </c>
      <c r="XN106">
        <v>0</v>
      </c>
      <c r="XO106">
        <v>0</v>
      </c>
      <c r="XP106">
        <v>0</v>
      </c>
      <c r="XQ106">
        <v>0</v>
      </c>
      <c r="XR106">
        <v>0</v>
      </c>
      <c r="XS106">
        <v>0</v>
      </c>
      <c r="XT106">
        <v>0</v>
      </c>
      <c r="XU106">
        <v>0</v>
      </c>
      <c r="XV106">
        <v>0</v>
      </c>
      <c r="XW106">
        <v>0</v>
      </c>
      <c r="XX106">
        <v>0</v>
      </c>
      <c r="XY106">
        <v>0</v>
      </c>
      <c r="XZ106">
        <v>0</v>
      </c>
      <c r="YA106">
        <v>0</v>
      </c>
      <c r="YB106">
        <v>0</v>
      </c>
      <c r="YC106">
        <v>0</v>
      </c>
      <c r="YD106">
        <v>0</v>
      </c>
      <c r="YE106">
        <v>0</v>
      </c>
      <c r="YF106">
        <v>0</v>
      </c>
      <c r="YG106">
        <v>0</v>
      </c>
      <c r="YH106">
        <v>0</v>
      </c>
      <c r="YI106">
        <v>0</v>
      </c>
      <c r="YJ106">
        <v>0</v>
      </c>
      <c r="YK106">
        <v>0</v>
      </c>
      <c r="YL106">
        <v>0</v>
      </c>
      <c r="YM106">
        <v>0</v>
      </c>
      <c r="YN106">
        <v>0</v>
      </c>
      <c r="YO106">
        <v>0</v>
      </c>
      <c r="YP106">
        <v>0</v>
      </c>
      <c r="YQ106">
        <v>0</v>
      </c>
      <c r="YR106">
        <v>0</v>
      </c>
      <c r="YS106">
        <v>0</v>
      </c>
      <c r="YT106">
        <v>0</v>
      </c>
      <c r="YU106">
        <v>0</v>
      </c>
      <c r="YV106">
        <v>0</v>
      </c>
      <c r="YW106">
        <v>0</v>
      </c>
      <c r="YX106">
        <v>0</v>
      </c>
      <c r="YY106">
        <v>0</v>
      </c>
      <c r="YZ106">
        <v>0</v>
      </c>
      <c r="ZA106">
        <v>0</v>
      </c>
      <c r="ZB106">
        <v>0</v>
      </c>
      <c r="ZC106">
        <v>0</v>
      </c>
      <c r="ZD106">
        <v>0</v>
      </c>
      <c r="ZE106">
        <v>0</v>
      </c>
      <c r="ZF106">
        <v>0</v>
      </c>
      <c r="ZG106">
        <v>0</v>
      </c>
      <c r="ZH106">
        <v>0</v>
      </c>
      <c r="ZI106">
        <v>0</v>
      </c>
      <c r="ZJ106">
        <v>0</v>
      </c>
      <c r="ZK106">
        <v>0</v>
      </c>
      <c r="ZL106">
        <v>0</v>
      </c>
      <c r="ZM106">
        <v>0</v>
      </c>
      <c r="ZN106">
        <v>0</v>
      </c>
      <c r="ZO106">
        <v>0</v>
      </c>
      <c r="ZP106">
        <v>0</v>
      </c>
      <c r="ZQ106">
        <v>0</v>
      </c>
      <c r="ZR106">
        <v>0</v>
      </c>
      <c r="ZS106">
        <v>0</v>
      </c>
      <c r="ZT106">
        <v>0</v>
      </c>
      <c r="ZU106">
        <v>0</v>
      </c>
      <c r="ZV106">
        <v>0</v>
      </c>
      <c r="ZW106">
        <v>0</v>
      </c>
      <c r="ZX106">
        <v>0</v>
      </c>
      <c r="ZY106">
        <v>0</v>
      </c>
      <c r="ZZ106">
        <v>0</v>
      </c>
      <c r="AAA106">
        <v>0</v>
      </c>
      <c r="AAB106">
        <v>0</v>
      </c>
      <c r="AAC106">
        <v>0</v>
      </c>
      <c r="AAD106">
        <v>0</v>
      </c>
      <c r="AAE106">
        <v>0</v>
      </c>
      <c r="AAF106">
        <v>0</v>
      </c>
      <c r="AAG106">
        <v>0</v>
      </c>
      <c r="AAH106">
        <v>0</v>
      </c>
      <c r="AAI106">
        <v>0</v>
      </c>
      <c r="AAJ106">
        <v>0</v>
      </c>
      <c r="AAK106">
        <v>0</v>
      </c>
      <c r="AAL106">
        <v>0</v>
      </c>
      <c r="AAM106">
        <v>0</v>
      </c>
      <c r="AAN106">
        <v>0</v>
      </c>
      <c r="AAO106">
        <v>0</v>
      </c>
      <c r="AAP106">
        <v>0</v>
      </c>
      <c r="AAQ106">
        <v>0</v>
      </c>
      <c r="AAR106">
        <v>0</v>
      </c>
      <c r="AAS106">
        <v>0</v>
      </c>
      <c r="AAT106">
        <v>0</v>
      </c>
      <c r="AAU106">
        <v>0</v>
      </c>
      <c r="AAV106">
        <v>0</v>
      </c>
      <c r="AAW106">
        <v>0</v>
      </c>
      <c r="AAX106">
        <v>0</v>
      </c>
      <c r="AAY106">
        <v>0</v>
      </c>
      <c r="AAZ106">
        <v>0</v>
      </c>
      <c r="ABA106">
        <v>0</v>
      </c>
      <c r="ABB106">
        <v>0</v>
      </c>
      <c r="ABC106">
        <v>0</v>
      </c>
      <c r="ABD106">
        <v>0</v>
      </c>
      <c r="ABE106">
        <v>0</v>
      </c>
      <c r="ABG106" s="1137">
        <f t="shared" si="26"/>
        <v>0</v>
      </c>
      <c r="ABH106" s="1137">
        <f t="shared" si="26"/>
        <v>0</v>
      </c>
      <c r="ABI106" s="1137">
        <f t="shared" si="26"/>
        <v>16</v>
      </c>
      <c r="ABJ106" s="1137">
        <f t="shared" si="26"/>
        <v>30</v>
      </c>
      <c r="ABK106" s="1137">
        <f t="shared" si="26"/>
        <v>31</v>
      </c>
      <c r="ABL106" s="1137">
        <f t="shared" si="26"/>
        <v>16</v>
      </c>
      <c r="ABM106" s="1137">
        <f t="shared" si="26"/>
        <v>0</v>
      </c>
      <c r="ABN106" s="1137">
        <f t="shared" si="26"/>
        <v>0</v>
      </c>
      <c r="ABO106" s="1137">
        <f t="shared" si="26"/>
        <v>0</v>
      </c>
      <c r="ABP106" s="1137">
        <f t="shared" si="26"/>
        <v>4</v>
      </c>
      <c r="ABQ106" s="1137">
        <f t="shared" si="26"/>
        <v>30</v>
      </c>
      <c r="ABR106" s="1137">
        <f t="shared" si="26"/>
        <v>31</v>
      </c>
      <c r="ABS106" s="1137">
        <f t="shared" si="26"/>
        <v>31</v>
      </c>
      <c r="ABT106" s="1137">
        <f t="shared" si="26"/>
        <v>28</v>
      </c>
      <c r="ABU106" s="1137">
        <f t="shared" si="26"/>
        <v>31</v>
      </c>
      <c r="ABV106" s="1137">
        <f t="shared" si="26"/>
        <v>12</v>
      </c>
      <c r="ABW106" s="1137">
        <f t="shared" si="17"/>
        <v>4</v>
      </c>
      <c r="ABX106" s="1137">
        <f t="shared" si="23"/>
        <v>0</v>
      </c>
      <c r="ABY106" s="1137">
        <f t="shared" si="23"/>
        <v>0</v>
      </c>
      <c r="ABZ106" s="1137">
        <f t="shared" si="23"/>
        <v>0</v>
      </c>
      <c r="ACA106" s="1137">
        <f t="shared" si="23"/>
        <v>0</v>
      </c>
      <c r="ACB106" s="1137">
        <f t="shared" si="23"/>
        <v>0</v>
      </c>
      <c r="ACC106" s="1137">
        <f t="shared" si="23"/>
        <v>0</v>
      </c>
      <c r="ACD106" s="1137">
        <f t="shared" si="23"/>
        <v>0</v>
      </c>
      <c r="ACE106" s="1137" t="s">
        <v>211</v>
      </c>
      <c r="ACF106" s="1137">
        <f t="shared" si="28"/>
        <v>0</v>
      </c>
      <c r="ACG106" s="1137">
        <f t="shared" si="28"/>
        <v>0</v>
      </c>
      <c r="ACH106" s="1137">
        <f t="shared" si="28"/>
        <v>1</v>
      </c>
      <c r="ACI106" s="1137">
        <f t="shared" si="28"/>
        <v>1</v>
      </c>
      <c r="ACJ106" s="1137">
        <f t="shared" si="28"/>
        <v>1</v>
      </c>
      <c r="ACK106" s="1137">
        <f t="shared" si="28"/>
        <v>1</v>
      </c>
      <c r="ACL106" s="1137">
        <f t="shared" si="28"/>
        <v>0</v>
      </c>
      <c r="ACM106" s="1137">
        <f t="shared" si="28"/>
        <v>0</v>
      </c>
      <c r="ACN106" s="1137">
        <f t="shared" si="28"/>
        <v>0</v>
      </c>
      <c r="ACO106" s="1137">
        <f t="shared" si="28"/>
        <v>0</v>
      </c>
      <c r="ACP106" s="1137">
        <f t="shared" si="28"/>
        <v>1</v>
      </c>
      <c r="ACQ106" s="1137">
        <f t="shared" si="28"/>
        <v>1</v>
      </c>
      <c r="ACR106" s="1137">
        <f t="shared" si="28"/>
        <v>1</v>
      </c>
      <c r="ACS106" s="1137">
        <f t="shared" si="28"/>
        <v>1</v>
      </c>
      <c r="ACT106" s="1137">
        <f t="shared" si="28"/>
        <v>1</v>
      </c>
      <c r="ACU106" s="1137">
        <f t="shared" si="27"/>
        <v>1</v>
      </c>
      <c r="ACV106" s="1137">
        <f t="shared" si="24"/>
        <v>0</v>
      </c>
      <c r="ACW106" s="1137">
        <f t="shared" si="24"/>
        <v>0</v>
      </c>
      <c r="ACX106" s="1137">
        <f t="shared" si="24"/>
        <v>0</v>
      </c>
      <c r="ACY106" s="1137">
        <f t="shared" si="24"/>
        <v>0</v>
      </c>
      <c r="ACZ106" s="1137">
        <f t="shared" si="24"/>
        <v>0</v>
      </c>
      <c r="ADA106" s="1137">
        <f t="shared" si="24"/>
        <v>0</v>
      </c>
      <c r="ADB106" s="1137">
        <f t="shared" si="16"/>
        <v>0</v>
      </c>
      <c r="ADC106" s="1137">
        <f t="shared" si="16"/>
        <v>0</v>
      </c>
    </row>
    <row r="107" spans="1:783" x14ac:dyDescent="0.25">
      <c r="A107" t="s">
        <v>1905</v>
      </c>
      <c r="B107" t="s">
        <v>212</v>
      </c>
      <c r="C107">
        <v>0</v>
      </c>
      <c r="D107">
        <v>0</v>
      </c>
      <c r="E107">
        <v>0</v>
      </c>
      <c r="F107">
        <v>0</v>
      </c>
      <c r="G107">
        <v>0</v>
      </c>
      <c r="H107">
        <v>0</v>
      </c>
      <c r="I107">
        <v>0</v>
      </c>
      <c r="J107">
        <v>0</v>
      </c>
      <c r="K107">
        <v>0</v>
      </c>
      <c r="L107">
        <v>0</v>
      </c>
      <c r="M107">
        <v>0</v>
      </c>
      <c r="N107">
        <v>0</v>
      </c>
      <c r="O107">
        <v>0</v>
      </c>
      <c r="P107">
        <v>0</v>
      </c>
      <c r="Q107">
        <v>0</v>
      </c>
      <c r="R107">
        <v>0</v>
      </c>
      <c r="S107">
        <v>0</v>
      </c>
      <c r="T107">
        <v>0</v>
      </c>
      <c r="U107">
        <v>0</v>
      </c>
      <c r="V107">
        <v>0</v>
      </c>
      <c r="W107">
        <v>0</v>
      </c>
      <c r="X107">
        <v>0</v>
      </c>
      <c r="Y107">
        <v>0</v>
      </c>
      <c r="Z107">
        <v>0</v>
      </c>
      <c r="AA107">
        <v>0</v>
      </c>
      <c r="AB107">
        <v>0</v>
      </c>
      <c r="AC107">
        <v>0</v>
      </c>
      <c r="AD107">
        <v>0</v>
      </c>
      <c r="AE107">
        <v>0</v>
      </c>
      <c r="AF107">
        <v>0</v>
      </c>
      <c r="AG107">
        <v>0</v>
      </c>
      <c r="AH107">
        <v>0</v>
      </c>
      <c r="AI107">
        <v>0</v>
      </c>
      <c r="AJ107">
        <v>0</v>
      </c>
      <c r="AK107">
        <v>0</v>
      </c>
      <c r="AL107">
        <v>0</v>
      </c>
      <c r="AM107">
        <v>0</v>
      </c>
      <c r="AN107">
        <v>0</v>
      </c>
      <c r="AO107">
        <v>0</v>
      </c>
      <c r="AP107">
        <v>0</v>
      </c>
      <c r="AQ107">
        <v>0</v>
      </c>
      <c r="AR107">
        <v>0</v>
      </c>
      <c r="AS107">
        <v>0</v>
      </c>
      <c r="AT107">
        <v>0</v>
      </c>
      <c r="AU107">
        <v>0</v>
      </c>
      <c r="AV107">
        <v>0</v>
      </c>
      <c r="AW107">
        <v>0</v>
      </c>
      <c r="AX107">
        <v>0</v>
      </c>
      <c r="AY107">
        <v>0</v>
      </c>
      <c r="AZ107">
        <v>0</v>
      </c>
      <c r="BA107">
        <v>0</v>
      </c>
      <c r="BB107">
        <v>0</v>
      </c>
      <c r="BC107">
        <v>0</v>
      </c>
      <c r="BD107">
        <v>0</v>
      </c>
      <c r="BE107">
        <v>0</v>
      </c>
      <c r="BF107">
        <v>0</v>
      </c>
      <c r="BG107">
        <v>0</v>
      </c>
      <c r="BH107">
        <v>0</v>
      </c>
      <c r="BI107">
        <v>0</v>
      </c>
      <c r="BJ107">
        <v>0</v>
      </c>
      <c r="BK107">
        <v>0</v>
      </c>
      <c r="BL107">
        <v>0</v>
      </c>
      <c r="BM107">
        <v>0</v>
      </c>
      <c r="BN107">
        <v>0</v>
      </c>
      <c r="BO107">
        <v>0</v>
      </c>
      <c r="BP107">
        <v>0</v>
      </c>
      <c r="BQ107">
        <v>0</v>
      </c>
      <c r="BR107">
        <v>0</v>
      </c>
      <c r="BS107">
        <v>0</v>
      </c>
      <c r="BT107">
        <v>0</v>
      </c>
      <c r="BU107">
        <v>0</v>
      </c>
      <c r="BV107">
        <v>0</v>
      </c>
      <c r="BW107">
        <v>0</v>
      </c>
      <c r="BX107">
        <v>0</v>
      </c>
      <c r="BY107">
        <v>2</v>
      </c>
      <c r="BZ107">
        <v>2</v>
      </c>
      <c r="CA107">
        <v>2</v>
      </c>
      <c r="CB107">
        <v>2</v>
      </c>
      <c r="CC107">
        <v>2</v>
      </c>
      <c r="CD107">
        <v>2</v>
      </c>
      <c r="CE107">
        <v>2</v>
      </c>
      <c r="CF107">
        <v>2</v>
      </c>
      <c r="CG107">
        <v>2</v>
      </c>
      <c r="CH107">
        <v>2</v>
      </c>
      <c r="CI107">
        <v>2</v>
      </c>
      <c r="CJ107">
        <v>2</v>
      </c>
      <c r="CK107">
        <v>2</v>
      </c>
      <c r="CL107">
        <v>2</v>
      </c>
      <c r="CM107">
        <v>2</v>
      </c>
      <c r="CN107">
        <v>2</v>
      </c>
      <c r="CO107">
        <v>2</v>
      </c>
      <c r="CP107">
        <v>2</v>
      </c>
      <c r="CQ107">
        <v>2</v>
      </c>
      <c r="CR107">
        <v>2</v>
      </c>
      <c r="CS107">
        <v>2</v>
      </c>
      <c r="CT107">
        <v>2</v>
      </c>
      <c r="CU107">
        <v>2</v>
      </c>
      <c r="CV107">
        <v>2</v>
      </c>
      <c r="CW107">
        <v>2</v>
      </c>
      <c r="CX107">
        <v>2</v>
      </c>
      <c r="CY107">
        <v>2</v>
      </c>
      <c r="CZ107">
        <v>2</v>
      </c>
      <c r="DA107">
        <v>2</v>
      </c>
      <c r="DB107">
        <v>2</v>
      </c>
      <c r="DC107">
        <v>2</v>
      </c>
      <c r="DD107">
        <v>2</v>
      </c>
      <c r="DE107">
        <v>2</v>
      </c>
      <c r="DF107">
        <v>2</v>
      </c>
      <c r="DG107">
        <v>2</v>
      </c>
      <c r="DH107">
        <v>2</v>
      </c>
      <c r="DI107">
        <v>1</v>
      </c>
      <c r="DJ107">
        <v>1</v>
      </c>
      <c r="DK107">
        <v>1</v>
      </c>
      <c r="DL107">
        <v>1</v>
      </c>
      <c r="DM107">
        <v>1</v>
      </c>
      <c r="DN107">
        <v>1</v>
      </c>
      <c r="DO107">
        <v>1</v>
      </c>
      <c r="DP107">
        <v>1</v>
      </c>
      <c r="DQ107">
        <v>1</v>
      </c>
      <c r="DR107">
        <v>1</v>
      </c>
      <c r="DS107">
        <v>1</v>
      </c>
      <c r="DT107">
        <v>1</v>
      </c>
      <c r="DU107">
        <v>1</v>
      </c>
      <c r="DV107">
        <v>1</v>
      </c>
      <c r="DW107">
        <v>1</v>
      </c>
      <c r="DX107">
        <v>1</v>
      </c>
      <c r="DY107">
        <v>1</v>
      </c>
      <c r="DZ107">
        <v>1</v>
      </c>
      <c r="EA107">
        <v>1</v>
      </c>
      <c r="EB107">
        <v>1</v>
      </c>
      <c r="EC107">
        <v>1</v>
      </c>
      <c r="ED107">
        <v>1</v>
      </c>
      <c r="EE107">
        <v>1</v>
      </c>
      <c r="EF107">
        <v>1</v>
      </c>
      <c r="EG107">
        <v>1</v>
      </c>
      <c r="EH107">
        <v>1</v>
      </c>
      <c r="EI107">
        <v>1</v>
      </c>
      <c r="EJ107">
        <v>1</v>
      </c>
      <c r="EK107">
        <v>1</v>
      </c>
      <c r="EL107">
        <v>1</v>
      </c>
      <c r="EM107">
        <v>1</v>
      </c>
      <c r="EN107">
        <v>1</v>
      </c>
      <c r="EO107">
        <v>1</v>
      </c>
      <c r="EP107">
        <v>1</v>
      </c>
      <c r="EQ107">
        <v>1</v>
      </c>
      <c r="ER107">
        <v>1</v>
      </c>
      <c r="ES107">
        <v>1</v>
      </c>
      <c r="ET107">
        <v>1</v>
      </c>
      <c r="EU107">
        <v>1</v>
      </c>
      <c r="EV107">
        <v>1</v>
      </c>
      <c r="EW107">
        <v>1</v>
      </c>
      <c r="EX107">
        <v>1</v>
      </c>
      <c r="EY107">
        <v>1</v>
      </c>
      <c r="EZ107">
        <v>1</v>
      </c>
      <c r="FA107">
        <v>1</v>
      </c>
      <c r="FB107">
        <v>1</v>
      </c>
      <c r="FC107">
        <v>1</v>
      </c>
      <c r="FD107">
        <v>1</v>
      </c>
      <c r="FE107">
        <v>1</v>
      </c>
      <c r="FF107">
        <v>1</v>
      </c>
      <c r="FG107">
        <v>1</v>
      </c>
      <c r="FH107">
        <v>1</v>
      </c>
      <c r="FI107">
        <v>1</v>
      </c>
      <c r="FJ107">
        <v>1</v>
      </c>
      <c r="FK107">
        <v>1</v>
      </c>
      <c r="FL107">
        <v>1</v>
      </c>
      <c r="FM107">
        <v>1</v>
      </c>
      <c r="FN107">
        <v>1</v>
      </c>
      <c r="FO107">
        <v>1</v>
      </c>
      <c r="FP107">
        <v>1</v>
      </c>
      <c r="FQ107">
        <v>1</v>
      </c>
      <c r="FR107">
        <v>1</v>
      </c>
      <c r="FS107">
        <v>1</v>
      </c>
      <c r="FT107">
        <v>1</v>
      </c>
      <c r="FU107">
        <v>1</v>
      </c>
      <c r="FV107">
        <v>1</v>
      </c>
      <c r="FW107">
        <v>1</v>
      </c>
      <c r="FX107">
        <v>0</v>
      </c>
      <c r="FY107">
        <v>0</v>
      </c>
      <c r="FZ107">
        <v>0</v>
      </c>
      <c r="GA107">
        <v>0</v>
      </c>
      <c r="GB107">
        <v>0</v>
      </c>
      <c r="GC107">
        <v>0</v>
      </c>
      <c r="GD107">
        <v>0</v>
      </c>
      <c r="GE107">
        <v>0</v>
      </c>
      <c r="GF107">
        <v>0</v>
      </c>
      <c r="GG107">
        <v>0</v>
      </c>
      <c r="GH107">
        <v>0</v>
      </c>
      <c r="GI107">
        <v>0</v>
      </c>
      <c r="GJ107">
        <v>0</v>
      </c>
      <c r="GK107">
        <v>0</v>
      </c>
      <c r="GL107">
        <v>0</v>
      </c>
      <c r="GM107">
        <v>0</v>
      </c>
      <c r="GN107">
        <v>0</v>
      </c>
      <c r="GO107">
        <v>0</v>
      </c>
      <c r="GP107">
        <v>0</v>
      </c>
      <c r="GQ107">
        <v>0</v>
      </c>
      <c r="GR107">
        <v>0</v>
      </c>
      <c r="GS107">
        <v>0</v>
      </c>
      <c r="GT107">
        <v>0</v>
      </c>
      <c r="GU107">
        <v>0</v>
      </c>
      <c r="GV107">
        <v>0</v>
      </c>
      <c r="GW107">
        <v>0</v>
      </c>
      <c r="GX107">
        <v>0</v>
      </c>
      <c r="GY107">
        <v>0</v>
      </c>
      <c r="GZ107">
        <v>0</v>
      </c>
      <c r="HA107">
        <v>0</v>
      </c>
      <c r="HB107">
        <v>0</v>
      </c>
      <c r="HC107">
        <v>0</v>
      </c>
      <c r="HD107">
        <v>0</v>
      </c>
      <c r="HE107">
        <v>0</v>
      </c>
      <c r="HF107">
        <v>0</v>
      </c>
      <c r="HG107">
        <v>0</v>
      </c>
      <c r="HH107">
        <v>0</v>
      </c>
      <c r="HI107">
        <v>0</v>
      </c>
      <c r="HJ107">
        <v>0</v>
      </c>
      <c r="HK107">
        <v>0</v>
      </c>
      <c r="HL107">
        <v>0</v>
      </c>
      <c r="HM107">
        <v>0</v>
      </c>
      <c r="HN107">
        <v>0</v>
      </c>
      <c r="HO107">
        <v>0</v>
      </c>
      <c r="HP107">
        <v>0</v>
      </c>
      <c r="HQ107">
        <v>0</v>
      </c>
      <c r="HR107">
        <v>0</v>
      </c>
      <c r="HS107">
        <v>0</v>
      </c>
      <c r="HT107">
        <v>0</v>
      </c>
      <c r="HU107">
        <v>0</v>
      </c>
      <c r="HV107">
        <v>0</v>
      </c>
      <c r="HW107">
        <v>0</v>
      </c>
      <c r="HX107">
        <v>0</v>
      </c>
      <c r="HY107">
        <v>0</v>
      </c>
      <c r="HZ107">
        <v>0</v>
      </c>
      <c r="IA107">
        <v>0</v>
      </c>
      <c r="IB107">
        <v>0</v>
      </c>
      <c r="IC107">
        <v>0</v>
      </c>
      <c r="ID107">
        <v>0</v>
      </c>
      <c r="IE107">
        <v>0</v>
      </c>
      <c r="IF107">
        <v>0</v>
      </c>
      <c r="IG107">
        <v>0</v>
      </c>
      <c r="IH107">
        <v>0</v>
      </c>
      <c r="II107">
        <v>0</v>
      </c>
      <c r="IJ107">
        <v>0</v>
      </c>
      <c r="IK107">
        <v>0</v>
      </c>
      <c r="IL107">
        <v>0</v>
      </c>
      <c r="IM107">
        <v>0</v>
      </c>
      <c r="IN107">
        <v>0</v>
      </c>
      <c r="IO107">
        <v>0</v>
      </c>
      <c r="IP107">
        <v>0</v>
      </c>
      <c r="IQ107">
        <v>0</v>
      </c>
      <c r="IR107">
        <v>0</v>
      </c>
      <c r="IS107">
        <v>0</v>
      </c>
      <c r="IT107">
        <v>0</v>
      </c>
      <c r="IU107">
        <v>0</v>
      </c>
      <c r="IV107">
        <v>0</v>
      </c>
      <c r="IW107">
        <v>0</v>
      </c>
      <c r="IX107">
        <v>0</v>
      </c>
      <c r="IY107">
        <v>0</v>
      </c>
      <c r="IZ107">
        <v>0</v>
      </c>
      <c r="JA107">
        <v>0</v>
      </c>
      <c r="JB107">
        <v>0</v>
      </c>
      <c r="JC107">
        <v>0</v>
      </c>
      <c r="JD107">
        <v>0</v>
      </c>
      <c r="JE107">
        <v>0</v>
      </c>
      <c r="JF107">
        <v>0</v>
      </c>
      <c r="JG107">
        <v>0</v>
      </c>
      <c r="JH107">
        <v>0</v>
      </c>
      <c r="JI107">
        <v>0</v>
      </c>
      <c r="JJ107">
        <v>0</v>
      </c>
      <c r="JK107">
        <v>0</v>
      </c>
      <c r="JL107">
        <v>0</v>
      </c>
      <c r="JM107">
        <v>0</v>
      </c>
      <c r="JN107">
        <v>0</v>
      </c>
      <c r="JO107">
        <v>0</v>
      </c>
      <c r="JP107">
        <v>0</v>
      </c>
      <c r="JQ107">
        <v>0</v>
      </c>
      <c r="JR107">
        <v>0</v>
      </c>
      <c r="JS107">
        <v>0</v>
      </c>
      <c r="JT107">
        <v>0</v>
      </c>
      <c r="JU107">
        <v>0</v>
      </c>
      <c r="JV107">
        <v>0</v>
      </c>
      <c r="JW107">
        <v>0</v>
      </c>
      <c r="JX107">
        <v>0</v>
      </c>
      <c r="JY107">
        <v>0</v>
      </c>
      <c r="JZ107">
        <v>0</v>
      </c>
      <c r="KA107">
        <v>0</v>
      </c>
      <c r="KB107">
        <v>0</v>
      </c>
      <c r="KC107">
        <v>0</v>
      </c>
      <c r="KD107">
        <v>0</v>
      </c>
      <c r="KE107">
        <v>0</v>
      </c>
      <c r="KF107">
        <v>0</v>
      </c>
      <c r="KG107">
        <v>0</v>
      </c>
      <c r="KH107">
        <v>0</v>
      </c>
      <c r="KI107">
        <v>0</v>
      </c>
      <c r="KJ107">
        <v>0</v>
      </c>
      <c r="KK107">
        <v>0</v>
      </c>
      <c r="KL107">
        <v>0</v>
      </c>
      <c r="KM107">
        <v>0</v>
      </c>
      <c r="KN107">
        <v>0</v>
      </c>
      <c r="KO107">
        <v>0</v>
      </c>
      <c r="KP107">
        <v>0</v>
      </c>
      <c r="KQ107">
        <v>0</v>
      </c>
      <c r="KR107">
        <v>0</v>
      </c>
      <c r="KS107">
        <v>0</v>
      </c>
      <c r="KT107">
        <v>0</v>
      </c>
      <c r="KU107">
        <v>0</v>
      </c>
      <c r="KV107">
        <v>0</v>
      </c>
      <c r="KW107">
        <v>0</v>
      </c>
      <c r="KX107">
        <v>0</v>
      </c>
      <c r="KY107">
        <v>0</v>
      </c>
      <c r="KZ107">
        <v>0</v>
      </c>
      <c r="LA107">
        <v>0</v>
      </c>
      <c r="LB107">
        <v>0</v>
      </c>
      <c r="LC107">
        <v>0</v>
      </c>
      <c r="LD107">
        <v>0</v>
      </c>
      <c r="LE107">
        <v>0</v>
      </c>
      <c r="LF107">
        <v>0</v>
      </c>
      <c r="LG107">
        <v>0</v>
      </c>
      <c r="LH107">
        <v>0</v>
      </c>
      <c r="LI107">
        <v>0</v>
      </c>
      <c r="LJ107">
        <v>0</v>
      </c>
      <c r="LK107">
        <v>0</v>
      </c>
      <c r="LL107">
        <v>0</v>
      </c>
      <c r="LM107">
        <v>0</v>
      </c>
      <c r="LN107">
        <v>0</v>
      </c>
      <c r="LO107">
        <v>0</v>
      </c>
      <c r="LP107">
        <v>0</v>
      </c>
      <c r="LQ107">
        <v>0</v>
      </c>
      <c r="LR107">
        <v>0</v>
      </c>
      <c r="LS107">
        <v>0</v>
      </c>
      <c r="LT107">
        <v>0</v>
      </c>
      <c r="LU107">
        <v>0</v>
      </c>
      <c r="LV107">
        <v>0</v>
      </c>
      <c r="LW107">
        <v>0</v>
      </c>
      <c r="LX107">
        <v>0</v>
      </c>
      <c r="LY107">
        <v>0</v>
      </c>
      <c r="LZ107">
        <v>0</v>
      </c>
      <c r="MA107">
        <v>0</v>
      </c>
      <c r="MB107">
        <v>0</v>
      </c>
      <c r="MC107">
        <v>0</v>
      </c>
      <c r="MD107">
        <v>0</v>
      </c>
      <c r="ME107">
        <v>0</v>
      </c>
      <c r="MF107">
        <v>0</v>
      </c>
      <c r="MG107">
        <v>0</v>
      </c>
      <c r="MH107">
        <v>0</v>
      </c>
      <c r="MI107">
        <v>0</v>
      </c>
      <c r="MJ107">
        <v>0</v>
      </c>
      <c r="MK107">
        <v>0</v>
      </c>
      <c r="ML107">
        <v>0</v>
      </c>
      <c r="MM107">
        <v>0</v>
      </c>
      <c r="MN107">
        <v>0</v>
      </c>
      <c r="MO107">
        <v>0</v>
      </c>
      <c r="MP107">
        <v>0</v>
      </c>
      <c r="MQ107">
        <v>0</v>
      </c>
      <c r="MR107">
        <v>0</v>
      </c>
      <c r="MS107">
        <v>0</v>
      </c>
      <c r="MT107">
        <v>0</v>
      </c>
      <c r="MU107">
        <v>0</v>
      </c>
      <c r="MV107">
        <v>0</v>
      </c>
      <c r="MW107">
        <v>0</v>
      </c>
      <c r="MX107">
        <v>0</v>
      </c>
      <c r="MY107">
        <v>0</v>
      </c>
      <c r="MZ107">
        <v>0</v>
      </c>
      <c r="NA107">
        <v>0</v>
      </c>
      <c r="NB107">
        <v>0</v>
      </c>
      <c r="NC107">
        <v>0</v>
      </c>
      <c r="ND107">
        <v>0</v>
      </c>
      <c r="NE107">
        <v>0</v>
      </c>
      <c r="NF107">
        <v>0</v>
      </c>
      <c r="NG107">
        <v>0</v>
      </c>
      <c r="NH107">
        <v>0</v>
      </c>
      <c r="NI107">
        <v>0</v>
      </c>
      <c r="NJ107">
        <v>0</v>
      </c>
      <c r="NK107">
        <v>0</v>
      </c>
      <c r="NL107">
        <v>0</v>
      </c>
      <c r="NM107">
        <v>0</v>
      </c>
      <c r="NN107">
        <v>0</v>
      </c>
      <c r="NO107">
        <v>0</v>
      </c>
      <c r="NP107">
        <v>0</v>
      </c>
      <c r="NQ107">
        <v>0</v>
      </c>
      <c r="NR107">
        <v>0</v>
      </c>
      <c r="NS107">
        <v>0</v>
      </c>
      <c r="NT107">
        <v>0</v>
      </c>
      <c r="NU107">
        <v>0</v>
      </c>
      <c r="NV107">
        <v>0</v>
      </c>
      <c r="NW107">
        <v>0</v>
      </c>
      <c r="NX107">
        <v>0</v>
      </c>
      <c r="NY107">
        <v>0</v>
      </c>
      <c r="NZ107">
        <v>0</v>
      </c>
      <c r="OA107">
        <v>0</v>
      </c>
      <c r="OB107">
        <v>0</v>
      </c>
      <c r="OC107">
        <v>0</v>
      </c>
      <c r="OD107">
        <v>0</v>
      </c>
      <c r="OE107">
        <v>0</v>
      </c>
      <c r="OF107">
        <v>0</v>
      </c>
      <c r="OG107">
        <v>0</v>
      </c>
      <c r="OH107">
        <v>0</v>
      </c>
      <c r="OI107">
        <v>0</v>
      </c>
      <c r="OJ107">
        <v>0</v>
      </c>
      <c r="OK107">
        <v>0</v>
      </c>
      <c r="OL107">
        <v>0</v>
      </c>
      <c r="OM107">
        <v>0</v>
      </c>
      <c r="ON107">
        <v>0</v>
      </c>
      <c r="OO107">
        <v>0</v>
      </c>
      <c r="OP107">
        <v>0</v>
      </c>
      <c r="OQ107">
        <v>0</v>
      </c>
      <c r="OR107">
        <v>0</v>
      </c>
      <c r="OS107">
        <v>0</v>
      </c>
      <c r="OT107">
        <v>0</v>
      </c>
      <c r="OU107">
        <v>0</v>
      </c>
      <c r="OV107">
        <v>0</v>
      </c>
      <c r="OW107">
        <v>0</v>
      </c>
      <c r="OX107">
        <v>0</v>
      </c>
      <c r="OY107">
        <v>0</v>
      </c>
      <c r="OZ107">
        <v>0</v>
      </c>
      <c r="PA107">
        <v>0</v>
      </c>
      <c r="PB107">
        <v>0</v>
      </c>
      <c r="PC107">
        <v>0</v>
      </c>
      <c r="PD107">
        <v>0</v>
      </c>
      <c r="PE107">
        <v>0</v>
      </c>
      <c r="PF107">
        <v>0</v>
      </c>
      <c r="PG107">
        <v>0</v>
      </c>
      <c r="PH107">
        <v>0</v>
      </c>
      <c r="PI107">
        <v>0</v>
      </c>
      <c r="PJ107">
        <v>0</v>
      </c>
      <c r="PK107">
        <v>0</v>
      </c>
      <c r="PL107">
        <v>0</v>
      </c>
      <c r="PM107">
        <v>0</v>
      </c>
      <c r="PN107">
        <v>0</v>
      </c>
      <c r="PO107">
        <v>0</v>
      </c>
      <c r="PP107">
        <v>0</v>
      </c>
      <c r="PQ107">
        <v>0</v>
      </c>
      <c r="PR107">
        <v>0</v>
      </c>
      <c r="PS107">
        <v>0</v>
      </c>
      <c r="PT107">
        <v>0</v>
      </c>
      <c r="PU107">
        <v>0</v>
      </c>
      <c r="PV107">
        <v>0</v>
      </c>
      <c r="PW107">
        <v>0</v>
      </c>
      <c r="PX107">
        <v>0</v>
      </c>
      <c r="PY107">
        <v>0</v>
      </c>
      <c r="PZ107">
        <v>0</v>
      </c>
      <c r="QA107">
        <v>0</v>
      </c>
      <c r="QB107">
        <v>0</v>
      </c>
      <c r="QC107">
        <v>0</v>
      </c>
      <c r="QD107">
        <v>0</v>
      </c>
      <c r="QE107">
        <v>0</v>
      </c>
      <c r="QF107">
        <v>0</v>
      </c>
      <c r="QG107">
        <v>0</v>
      </c>
      <c r="QH107">
        <v>0</v>
      </c>
      <c r="QI107">
        <v>0</v>
      </c>
      <c r="QJ107">
        <v>0</v>
      </c>
      <c r="QK107">
        <v>0</v>
      </c>
      <c r="QL107">
        <v>0</v>
      </c>
      <c r="QM107">
        <v>0</v>
      </c>
      <c r="QN107">
        <v>0</v>
      </c>
      <c r="QO107">
        <v>0</v>
      </c>
      <c r="QP107">
        <v>0</v>
      </c>
      <c r="QQ107">
        <v>0</v>
      </c>
      <c r="QR107">
        <v>0</v>
      </c>
      <c r="QS107">
        <v>0</v>
      </c>
      <c r="QT107">
        <v>0</v>
      </c>
      <c r="QU107">
        <v>0</v>
      </c>
      <c r="QV107">
        <v>0</v>
      </c>
      <c r="QW107">
        <v>0</v>
      </c>
      <c r="QX107">
        <v>0</v>
      </c>
      <c r="QY107">
        <v>0</v>
      </c>
      <c r="QZ107">
        <v>0</v>
      </c>
      <c r="RA107">
        <v>0</v>
      </c>
      <c r="RB107">
        <v>0</v>
      </c>
      <c r="RC107">
        <v>0</v>
      </c>
      <c r="RD107">
        <v>0</v>
      </c>
      <c r="RE107">
        <v>0</v>
      </c>
      <c r="RF107">
        <v>0</v>
      </c>
      <c r="RG107">
        <v>0</v>
      </c>
      <c r="RH107">
        <v>0</v>
      </c>
      <c r="RI107">
        <v>0</v>
      </c>
      <c r="RJ107">
        <v>0</v>
      </c>
      <c r="RK107">
        <v>0</v>
      </c>
      <c r="RL107">
        <v>0</v>
      </c>
      <c r="RM107">
        <v>0</v>
      </c>
      <c r="RN107">
        <v>0</v>
      </c>
      <c r="RO107">
        <v>0</v>
      </c>
      <c r="RP107">
        <v>0</v>
      </c>
      <c r="RQ107">
        <v>0</v>
      </c>
      <c r="RR107">
        <v>0</v>
      </c>
      <c r="RS107">
        <v>0</v>
      </c>
      <c r="RT107">
        <v>0</v>
      </c>
      <c r="RU107">
        <v>0</v>
      </c>
      <c r="RV107">
        <v>0</v>
      </c>
      <c r="RW107">
        <v>0</v>
      </c>
      <c r="RX107">
        <v>0</v>
      </c>
      <c r="RY107">
        <v>0</v>
      </c>
      <c r="RZ107">
        <v>0</v>
      </c>
      <c r="SA107">
        <v>0</v>
      </c>
      <c r="SB107">
        <v>0</v>
      </c>
      <c r="SC107">
        <v>0</v>
      </c>
      <c r="SD107">
        <v>0</v>
      </c>
      <c r="SE107">
        <v>0</v>
      </c>
      <c r="SF107">
        <v>0</v>
      </c>
      <c r="SG107">
        <v>0</v>
      </c>
      <c r="SH107">
        <v>0</v>
      </c>
      <c r="SI107">
        <v>0</v>
      </c>
      <c r="SJ107">
        <v>0</v>
      </c>
      <c r="SK107">
        <v>0</v>
      </c>
      <c r="SL107">
        <v>0</v>
      </c>
      <c r="SM107">
        <v>0</v>
      </c>
      <c r="SN107">
        <v>0</v>
      </c>
      <c r="SO107">
        <v>0</v>
      </c>
      <c r="SP107">
        <v>0</v>
      </c>
      <c r="SQ107">
        <v>0</v>
      </c>
      <c r="SR107">
        <v>0</v>
      </c>
      <c r="SS107">
        <v>0</v>
      </c>
      <c r="ST107">
        <v>0</v>
      </c>
      <c r="SU107">
        <v>0</v>
      </c>
      <c r="SV107">
        <v>0</v>
      </c>
      <c r="SW107">
        <v>0</v>
      </c>
      <c r="SX107">
        <v>0</v>
      </c>
      <c r="SY107">
        <v>0</v>
      </c>
      <c r="SZ107">
        <v>0</v>
      </c>
      <c r="TA107">
        <v>0</v>
      </c>
      <c r="TB107">
        <v>0</v>
      </c>
      <c r="TC107">
        <v>0</v>
      </c>
      <c r="TD107">
        <v>0</v>
      </c>
      <c r="TE107">
        <v>0</v>
      </c>
      <c r="TF107">
        <v>0</v>
      </c>
      <c r="TG107">
        <v>0</v>
      </c>
      <c r="TH107">
        <v>0</v>
      </c>
      <c r="TI107">
        <v>0</v>
      </c>
      <c r="TJ107">
        <v>0</v>
      </c>
      <c r="TK107">
        <v>0</v>
      </c>
      <c r="TL107">
        <v>0</v>
      </c>
      <c r="TM107">
        <v>0</v>
      </c>
      <c r="TN107">
        <v>0</v>
      </c>
      <c r="TO107">
        <v>0</v>
      </c>
      <c r="TP107">
        <v>0</v>
      </c>
      <c r="TQ107">
        <v>0</v>
      </c>
      <c r="TR107">
        <v>0</v>
      </c>
      <c r="TS107">
        <v>0</v>
      </c>
      <c r="TT107">
        <v>0</v>
      </c>
      <c r="TU107">
        <v>0</v>
      </c>
      <c r="TV107">
        <v>0</v>
      </c>
      <c r="TW107">
        <v>0</v>
      </c>
      <c r="TX107">
        <v>0</v>
      </c>
      <c r="TY107">
        <v>0</v>
      </c>
      <c r="TZ107">
        <v>0</v>
      </c>
      <c r="UA107">
        <v>0</v>
      </c>
      <c r="UB107">
        <v>0</v>
      </c>
      <c r="UC107">
        <v>0</v>
      </c>
      <c r="UD107">
        <v>0</v>
      </c>
      <c r="UE107">
        <v>0</v>
      </c>
      <c r="UF107">
        <v>0</v>
      </c>
      <c r="UG107">
        <v>0</v>
      </c>
      <c r="UH107">
        <v>0</v>
      </c>
      <c r="UI107">
        <v>0</v>
      </c>
      <c r="UJ107">
        <v>0</v>
      </c>
      <c r="UK107">
        <v>0</v>
      </c>
      <c r="UL107">
        <v>0</v>
      </c>
      <c r="UM107">
        <v>0</v>
      </c>
      <c r="UN107">
        <v>0</v>
      </c>
      <c r="UO107">
        <v>0</v>
      </c>
      <c r="UP107">
        <v>0</v>
      </c>
      <c r="UQ107">
        <v>0</v>
      </c>
      <c r="UR107">
        <v>0</v>
      </c>
      <c r="US107">
        <v>0</v>
      </c>
      <c r="UT107">
        <v>0</v>
      </c>
      <c r="UU107">
        <v>0</v>
      </c>
      <c r="UV107">
        <v>0</v>
      </c>
      <c r="UW107">
        <v>0</v>
      </c>
      <c r="UX107">
        <v>0</v>
      </c>
      <c r="UY107">
        <v>0</v>
      </c>
      <c r="UZ107">
        <v>0</v>
      </c>
      <c r="VA107">
        <v>0</v>
      </c>
      <c r="VB107">
        <v>0</v>
      </c>
      <c r="VC107">
        <v>0</v>
      </c>
      <c r="VD107">
        <v>0</v>
      </c>
      <c r="VE107">
        <v>0</v>
      </c>
      <c r="VF107">
        <v>0</v>
      </c>
      <c r="VG107">
        <v>0</v>
      </c>
      <c r="VH107">
        <v>0</v>
      </c>
      <c r="VI107">
        <v>0</v>
      </c>
      <c r="VJ107">
        <v>0</v>
      </c>
      <c r="VK107">
        <v>0</v>
      </c>
      <c r="VL107">
        <v>0</v>
      </c>
      <c r="VM107">
        <v>0</v>
      </c>
      <c r="VN107">
        <v>0</v>
      </c>
      <c r="VO107">
        <v>0</v>
      </c>
      <c r="VP107">
        <v>0</v>
      </c>
      <c r="VQ107">
        <v>0</v>
      </c>
      <c r="VR107">
        <v>0</v>
      </c>
      <c r="VS107">
        <v>0</v>
      </c>
      <c r="VT107">
        <v>0</v>
      </c>
      <c r="VU107">
        <v>0</v>
      </c>
      <c r="VV107">
        <v>0</v>
      </c>
      <c r="VW107">
        <v>0</v>
      </c>
      <c r="VX107">
        <v>0</v>
      </c>
      <c r="VY107">
        <v>0</v>
      </c>
      <c r="VZ107">
        <v>0</v>
      </c>
      <c r="WA107">
        <v>0</v>
      </c>
      <c r="WB107">
        <v>0</v>
      </c>
      <c r="WC107">
        <v>0</v>
      </c>
      <c r="WD107">
        <v>0</v>
      </c>
      <c r="WE107">
        <v>0</v>
      </c>
      <c r="WF107">
        <v>0</v>
      </c>
      <c r="WG107">
        <v>0</v>
      </c>
      <c r="WH107">
        <v>0</v>
      </c>
      <c r="WI107">
        <v>0</v>
      </c>
      <c r="WJ107">
        <v>0</v>
      </c>
      <c r="WK107">
        <v>0</v>
      </c>
      <c r="WL107">
        <v>0</v>
      </c>
      <c r="WM107">
        <v>0</v>
      </c>
      <c r="WN107">
        <v>0</v>
      </c>
      <c r="WO107">
        <v>0</v>
      </c>
      <c r="WP107">
        <v>0</v>
      </c>
      <c r="WQ107">
        <v>0</v>
      </c>
      <c r="WR107">
        <v>0</v>
      </c>
      <c r="WS107">
        <v>0</v>
      </c>
      <c r="WT107">
        <v>0</v>
      </c>
      <c r="WU107">
        <v>0</v>
      </c>
      <c r="WV107">
        <v>0</v>
      </c>
      <c r="WW107">
        <v>0</v>
      </c>
      <c r="WX107">
        <v>0</v>
      </c>
      <c r="WY107">
        <v>0</v>
      </c>
      <c r="WZ107">
        <v>0</v>
      </c>
      <c r="XA107">
        <v>0</v>
      </c>
      <c r="XB107">
        <v>0</v>
      </c>
      <c r="XC107">
        <v>0</v>
      </c>
      <c r="XD107">
        <v>0</v>
      </c>
      <c r="XE107">
        <v>0</v>
      </c>
      <c r="XF107">
        <v>0</v>
      </c>
      <c r="XG107">
        <v>0</v>
      </c>
      <c r="XH107">
        <v>0</v>
      </c>
      <c r="XI107">
        <v>0</v>
      </c>
      <c r="XJ107">
        <v>0</v>
      </c>
      <c r="XK107">
        <v>0</v>
      </c>
      <c r="XL107">
        <v>0</v>
      </c>
      <c r="XM107">
        <v>0</v>
      </c>
      <c r="XN107">
        <v>0</v>
      </c>
      <c r="XO107">
        <v>0</v>
      </c>
      <c r="XP107">
        <v>0</v>
      </c>
      <c r="XQ107">
        <v>0</v>
      </c>
      <c r="XR107">
        <v>0</v>
      </c>
      <c r="XS107">
        <v>0</v>
      </c>
      <c r="XT107">
        <v>0</v>
      </c>
      <c r="XU107">
        <v>0</v>
      </c>
      <c r="XV107">
        <v>0</v>
      </c>
      <c r="XW107">
        <v>0</v>
      </c>
      <c r="XX107">
        <v>0</v>
      </c>
      <c r="XY107">
        <v>0</v>
      </c>
      <c r="XZ107">
        <v>0</v>
      </c>
      <c r="YA107">
        <v>0</v>
      </c>
      <c r="YB107">
        <v>0</v>
      </c>
      <c r="YC107">
        <v>0</v>
      </c>
      <c r="YD107">
        <v>0</v>
      </c>
      <c r="YE107">
        <v>0</v>
      </c>
      <c r="YF107">
        <v>0</v>
      </c>
      <c r="YG107">
        <v>0</v>
      </c>
      <c r="YH107">
        <v>0</v>
      </c>
      <c r="YI107">
        <v>0</v>
      </c>
      <c r="YJ107">
        <v>0</v>
      </c>
      <c r="YK107">
        <v>0</v>
      </c>
      <c r="YL107">
        <v>0</v>
      </c>
      <c r="YM107">
        <v>0</v>
      </c>
      <c r="YN107">
        <v>0</v>
      </c>
      <c r="YO107">
        <v>0</v>
      </c>
      <c r="YP107">
        <v>0</v>
      </c>
      <c r="YQ107">
        <v>0</v>
      </c>
      <c r="YR107">
        <v>0</v>
      </c>
      <c r="YS107">
        <v>0</v>
      </c>
      <c r="YT107">
        <v>0</v>
      </c>
      <c r="YU107">
        <v>0</v>
      </c>
      <c r="YV107">
        <v>0</v>
      </c>
      <c r="YW107">
        <v>0</v>
      </c>
      <c r="YX107">
        <v>0</v>
      </c>
      <c r="YY107">
        <v>0</v>
      </c>
      <c r="YZ107">
        <v>0</v>
      </c>
      <c r="ZA107">
        <v>0</v>
      </c>
      <c r="ZB107">
        <v>0</v>
      </c>
      <c r="ZC107">
        <v>0</v>
      </c>
      <c r="ZD107">
        <v>0</v>
      </c>
      <c r="ZE107">
        <v>0</v>
      </c>
      <c r="ZF107">
        <v>0</v>
      </c>
      <c r="ZG107">
        <v>0</v>
      </c>
      <c r="ZH107">
        <v>0</v>
      </c>
      <c r="ZI107">
        <v>0</v>
      </c>
      <c r="ZJ107">
        <v>0</v>
      </c>
      <c r="ZK107">
        <v>0</v>
      </c>
      <c r="ZL107">
        <v>0</v>
      </c>
      <c r="ZM107">
        <v>0</v>
      </c>
      <c r="ZN107">
        <v>0</v>
      </c>
      <c r="ZO107">
        <v>0</v>
      </c>
      <c r="ZP107">
        <v>0</v>
      </c>
      <c r="ZQ107">
        <v>0</v>
      </c>
      <c r="ZR107">
        <v>0</v>
      </c>
      <c r="ZS107">
        <v>0</v>
      </c>
      <c r="ZT107">
        <v>0</v>
      </c>
      <c r="ZU107">
        <v>0</v>
      </c>
      <c r="ZV107">
        <v>0</v>
      </c>
      <c r="ZW107">
        <v>0</v>
      </c>
      <c r="ZX107">
        <v>0</v>
      </c>
      <c r="ZY107">
        <v>0</v>
      </c>
      <c r="ZZ107">
        <v>0</v>
      </c>
      <c r="AAA107">
        <v>0</v>
      </c>
      <c r="AAB107">
        <v>0</v>
      </c>
      <c r="AAC107">
        <v>0</v>
      </c>
      <c r="AAD107">
        <v>0</v>
      </c>
      <c r="AAE107">
        <v>0</v>
      </c>
      <c r="AAF107">
        <v>0</v>
      </c>
      <c r="AAG107">
        <v>0</v>
      </c>
      <c r="AAH107">
        <v>0</v>
      </c>
      <c r="AAI107">
        <v>0</v>
      </c>
      <c r="AAJ107">
        <v>0</v>
      </c>
      <c r="AAK107">
        <v>0</v>
      </c>
      <c r="AAL107">
        <v>0</v>
      </c>
      <c r="AAM107">
        <v>0</v>
      </c>
      <c r="AAN107">
        <v>0</v>
      </c>
      <c r="AAO107">
        <v>0</v>
      </c>
      <c r="AAP107">
        <v>0</v>
      </c>
      <c r="AAQ107">
        <v>0</v>
      </c>
      <c r="AAR107">
        <v>0</v>
      </c>
      <c r="AAS107">
        <v>0</v>
      </c>
      <c r="AAT107">
        <v>0</v>
      </c>
      <c r="AAU107">
        <v>0</v>
      </c>
      <c r="AAV107">
        <v>0</v>
      </c>
      <c r="AAW107">
        <v>0</v>
      </c>
      <c r="AAX107">
        <v>0</v>
      </c>
      <c r="AAY107">
        <v>0</v>
      </c>
      <c r="AAZ107">
        <v>0</v>
      </c>
      <c r="ABA107">
        <v>0</v>
      </c>
      <c r="ABB107">
        <v>0</v>
      </c>
      <c r="ABC107">
        <v>0</v>
      </c>
      <c r="ABD107">
        <v>0</v>
      </c>
      <c r="ABE107">
        <v>0</v>
      </c>
      <c r="ABG107" s="1137">
        <f t="shared" si="26"/>
        <v>0</v>
      </c>
      <c r="ABH107" s="1137">
        <f t="shared" si="26"/>
        <v>0</v>
      </c>
      <c r="ABI107" s="1137">
        <f t="shared" si="26"/>
        <v>17</v>
      </c>
      <c r="ABJ107" s="1137">
        <f t="shared" si="26"/>
        <v>30</v>
      </c>
      <c r="ABK107" s="1137">
        <f t="shared" si="26"/>
        <v>31</v>
      </c>
      <c r="ABL107" s="1137">
        <f t="shared" si="26"/>
        <v>25</v>
      </c>
      <c r="ABM107" s="1137">
        <f t="shared" si="26"/>
        <v>0</v>
      </c>
      <c r="ABN107" s="1137">
        <f t="shared" si="26"/>
        <v>0</v>
      </c>
      <c r="ABO107" s="1137">
        <f t="shared" si="26"/>
        <v>0</v>
      </c>
      <c r="ABP107" s="1137">
        <f t="shared" si="26"/>
        <v>0</v>
      </c>
      <c r="ABQ107" s="1137">
        <f t="shared" si="26"/>
        <v>0</v>
      </c>
      <c r="ABR107" s="1137">
        <f t="shared" si="26"/>
        <v>0</v>
      </c>
      <c r="ABS107" s="1137">
        <f t="shared" si="26"/>
        <v>0</v>
      </c>
      <c r="ABT107" s="1137">
        <f t="shared" si="26"/>
        <v>0</v>
      </c>
      <c r="ABU107" s="1137">
        <f t="shared" si="26"/>
        <v>0</v>
      </c>
      <c r="ABV107" s="1137">
        <f t="shared" si="26"/>
        <v>0</v>
      </c>
      <c r="ABW107" s="1137">
        <f t="shared" si="17"/>
        <v>0</v>
      </c>
      <c r="ABX107" s="1137">
        <f t="shared" si="23"/>
        <v>0</v>
      </c>
      <c r="ABY107" s="1137">
        <f t="shared" si="23"/>
        <v>0</v>
      </c>
      <c r="ABZ107" s="1137">
        <f t="shared" si="23"/>
        <v>0</v>
      </c>
      <c r="ACA107" s="1137">
        <f t="shared" si="23"/>
        <v>0</v>
      </c>
      <c r="ACB107" s="1137">
        <f t="shared" si="23"/>
        <v>0</v>
      </c>
      <c r="ACC107" s="1137">
        <f t="shared" si="23"/>
        <v>0</v>
      </c>
      <c r="ACD107" s="1137">
        <f t="shared" si="23"/>
        <v>0</v>
      </c>
      <c r="ACE107" s="1137" t="s">
        <v>212</v>
      </c>
      <c r="ACF107" s="1137">
        <f t="shared" si="28"/>
        <v>0</v>
      </c>
      <c r="ACG107" s="1137">
        <f t="shared" si="28"/>
        <v>0</v>
      </c>
      <c r="ACH107" s="1137">
        <f t="shared" si="28"/>
        <v>1</v>
      </c>
      <c r="ACI107" s="1137">
        <f t="shared" si="28"/>
        <v>1</v>
      </c>
      <c r="ACJ107" s="1137">
        <f t="shared" si="28"/>
        <v>1</v>
      </c>
      <c r="ACK107" s="1137">
        <f t="shared" si="28"/>
        <v>1</v>
      </c>
      <c r="ACL107" s="1137">
        <f t="shared" si="28"/>
        <v>0</v>
      </c>
      <c r="ACM107" s="1137">
        <f t="shared" si="28"/>
        <v>0</v>
      </c>
      <c r="ACN107" s="1137">
        <f t="shared" si="28"/>
        <v>0</v>
      </c>
      <c r="ACO107" s="1137">
        <f t="shared" si="28"/>
        <v>0</v>
      </c>
      <c r="ACP107" s="1137">
        <f t="shared" si="28"/>
        <v>0</v>
      </c>
      <c r="ACQ107" s="1137">
        <f t="shared" si="28"/>
        <v>0</v>
      </c>
      <c r="ACR107" s="1137">
        <f t="shared" si="28"/>
        <v>0</v>
      </c>
      <c r="ACS107" s="1137">
        <f t="shared" si="28"/>
        <v>0</v>
      </c>
      <c r="ACT107" s="1137">
        <f t="shared" si="28"/>
        <v>0</v>
      </c>
      <c r="ACU107" s="1137">
        <f t="shared" si="27"/>
        <v>0</v>
      </c>
      <c r="ACV107" s="1137">
        <f t="shared" si="24"/>
        <v>0</v>
      </c>
      <c r="ACW107" s="1137">
        <f t="shared" si="24"/>
        <v>0</v>
      </c>
      <c r="ACX107" s="1137">
        <f t="shared" si="24"/>
        <v>0</v>
      </c>
      <c r="ACY107" s="1137">
        <f t="shared" si="24"/>
        <v>0</v>
      </c>
      <c r="ACZ107" s="1137">
        <f t="shared" si="24"/>
        <v>0</v>
      </c>
      <c r="ADA107" s="1137">
        <f t="shared" si="24"/>
        <v>0</v>
      </c>
      <c r="ADB107" s="1137">
        <f t="shared" si="16"/>
        <v>0</v>
      </c>
      <c r="ADC107" s="1137">
        <f t="shared" si="16"/>
        <v>0</v>
      </c>
    </row>
    <row r="108" spans="1:783" x14ac:dyDescent="0.25">
      <c r="A108" t="s">
        <v>1906</v>
      </c>
      <c r="B108" t="s">
        <v>207</v>
      </c>
      <c r="C108">
        <v>0</v>
      </c>
      <c r="D108">
        <v>0</v>
      </c>
      <c r="E108">
        <v>0</v>
      </c>
      <c r="F108">
        <v>0</v>
      </c>
      <c r="G108">
        <v>0</v>
      </c>
      <c r="H108">
        <v>0</v>
      </c>
      <c r="I108">
        <v>0</v>
      </c>
      <c r="J108">
        <v>0</v>
      </c>
      <c r="K108">
        <v>0</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v>0</v>
      </c>
      <c r="AG108">
        <v>0</v>
      </c>
      <c r="AH108">
        <v>0</v>
      </c>
      <c r="AI108">
        <v>0</v>
      </c>
      <c r="AJ108">
        <v>0</v>
      </c>
      <c r="AK108">
        <v>0</v>
      </c>
      <c r="AL108">
        <v>0</v>
      </c>
      <c r="AM108">
        <v>0</v>
      </c>
      <c r="AN108">
        <v>0</v>
      </c>
      <c r="AO108">
        <v>0</v>
      </c>
      <c r="AP108">
        <v>0</v>
      </c>
      <c r="AQ108">
        <v>0</v>
      </c>
      <c r="AR108">
        <v>0</v>
      </c>
      <c r="AS108">
        <v>0</v>
      </c>
      <c r="AT108">
        <v>0</v>
      </c>
      <c r="AU108">
        <v>0</v>
      </c>
      <c r="AV108">
        <v>0</v>
      </c>
      <c r="AW108">
        <v>0</v>
      </c>
      <c r="AX108">
        <v>0</v>
      </c>
      <c r="AY108">
        <v>0</v>
      </c>
      <c r="AZ108">
        <v>0</v>
      </c>
      <c r="BA108">
        <v>0</v>
      </c>
      <c r="BB108">
        <v>0</v>
      </c>
      <c r="BC108">
        <v>0</v>
      </c>
      <c r="BD108">
        <v>0</v>
      </c>
      <c r="BE108">
        <v>0</v>
      </c>
      <c r="BF108">
        <v>0</v>
      </c>
      <c r="BG108">
        <v>0</v>
      </c>
      <c r="BH108">
        <v>0</v>
      </c>
      <c r="BI108">
        <v>0</v>
      </c>
      <c r="BJ108">
        <v>0</v>
      </c>
      <c r="BK108">
        <v>0</v>
      </c>
      <c r="BL108">
        <v>0</v>
      </c>
      <c r="BM108">
        <v>0</v>
      </c>
      <c r="BN108">
        <v>0</v>
      </c>
      <c r="BO108">
        <v>0</v>
      </c>
      <c r="BP108">
        <v>0</v>
      </c>
      <c r="BQ108">
        <v>0</v>
      </c>
      <c r="BR108">
        <v>0</v>
      </c>
      <c r="BS108">
        <v>0</v>
      </c>
      <c r="BT108">
        <v>0</v>
      </c>
      <c r="BU108">
        <v>0</v>
      </c>
      <c r="BV108">
        <v>0</v>
      </c>
      <c r="BW108">
        <v>0</v>
      </c>
      <c r="BX108">
        <v>0</v>
      </c>
      <c r="BY108">
        <v>0</v>
      </c>
      <c r="BZ108">
        <v>0</v>
      </c>
      <c r="CA108">
        <v>0</v>
      </c>
      <c r="CB108">
        <v>0</v>
      </c>
      <c r="CC108">
        <v>0</v>
      </c>
      <c r="CD108">
        <v>0</v>
      </c>
      <c r="CE108">
        <v>0</v>
      </c>
      <c r="CF108">
        <v>0</v>
      </c>
      <c r="CG108">
        <v>0</v>
      </c>
      <c r="CH108">
        <v>0</v>
      </c>
      <c r="CI108">
        <v>0</v>
      </c>
      <c r="CJ108">
        <v>0</v>
      </c>
      <c r="CK108">
        <v>0</v>
      </c>
      <c r="CL108">
        <v>0</v>
      </c>
      <c r="CM108">
        <v>0</v>
      </c>
      <c r="CN108">
        <v>0</v>
      </c>
      <c r="CO108">
        <v>0</v>
      </c>
      <c r="CP108">
        <v>0</v>
      </c>
      <c r="CQ108">
        <v>0</v>
      </c>
      <c r="CR108">
        <v>0</v>
      </c>
      <c r="CS108">
        <v>0</v>
      </c>
      <c r="CT108">
        <v>0</v>
      </c>
      <c r="CU108">
        <v>0</v>
      </c>
      <c r="CV108">
        <v>0</v>
      </c>
      <c r="CW108">
        <v>0</v>
      </c>
      <c r="CX108">
        <v>0</v>
      </c>
      <c r="CY108">
        <v>0</v>
      </c>
      <c r="CZ108">
        <v>0</v>
      </c>
      <c r="DA108">
        <v>0</v>
      </c>
      <c r="DB108">
        <v>0</v>
      </c>
      <c r="DC108">
        <v>0</v>
      </c>
      <c r="DD108">
        <v>0</v>
      </c>
      <c r="DE108">
        <v>0</v>
      </c>
      <c r="DF108">
        <v>0</v>
      </c>
      <c r="DG108">
        <v>0</v>
      </c>
      <c r="DH108">
        <v>0</v>
      </c>
      <c r="DI108">
        <v>0</v>
      </c>
      <c r="DJ108">
        <v>0</v>
      </c>
      <c r="DK108">
        <v>0</v>
      </c>
      <c r="DL108">
        <v>0</v>
      </c>
      <c r="DM108">
        <v>0</v>
      </c>
      <c r="DN108">
        <v>0</v>
      </c>
      <c r="DO108">
        <v>0</v>
      </c>
      <c r="DP108">
        <v>0</v>
      </c>
      <c r="DQ108">
        <v>0</v>
      </c>
      <c r="DR108">
        <v>0</v>
      </c>
      <c r="DS108">
        <v>0</v>
      </c>
      <c r="DT108">
        <v>0</v>
      </c>
      <c r="DU108">
        <v>0</v>
      </c>
      <c r="DV108">
        <v>0</v>
      </c>
      <c r="DW108">
        <v>0</v>
      </c>
      <c r="DX108">
        <v>0</v>
      </c>
      <c r="DY108">
        <v>0</v>
      </c>
      <c r="DZ108">
        <v>0</v>
      </c>
      <c r="EA108">
        <v>0</v>
      </c>
      <c r="EB108">
        <v>0</v>
      </c>
      <c r="EC108">
        <v>0</v>
      </c>
      <c r="ED108">
        <v>0</v>
      </c>
      <c r="EE108">
        <v>0</v>
      </c>
      <c r="EF108">
        <v>0</v>
      </c>
      <c r="EG108">
        <v>0</v>
      </c>
      <c r="EH108">
        <v>0</v>
      </c>
      <c r="EI108">
        <v>0</v>
      </c>
      <c r="EJ108">
        <v>0</v>
      </c>
      <c r="EK108">
        <v>0</v>
      </c>
      <c r="EL108">
        <v>0</v>
      </c>
      <c r="EM108">
        <v>0</v>
      </c>
      <c r="EN108">
        <v>0</v>
      </c>
      <c r="EO108">
        <v>0</v>
      </c>
      <c r="EP108">
        <v>0</v>
      </c>
      <c r="EQ108">
        <v>0</v>
      </c>
      <c r="ER108">
        <v>0</v>
      </c>
      <c r="ES108">
        <v>0</v>
      </c>
      <c r="ET108">
        <v>0</v>
      </c>
      <c r="EU108">
        <v>0</v>
      </c>
      <c r="EV108">
        <v>0</v>
      </c>
      <c r="EW108">
        <v>0</v>
      </c>
      <c r="EX108">
        <v>0</v>
      </c>
      <c r="EY108">
        <v>0</v>
      </c>
      <c r="EZ108">
        <v>0</v>
      </c>
      <c r="FA108">
        <v>0</v>
      </c>
      <c r="FB108">
        <v>0</v>
      </c>
      <c r="FC108">
        <v>0</v>
      </c>
      <c r="FD108">
        <v>0</v>
      </c>
      <c r="FE108">
        <v>0</v>
      </c>
      <c r="FF108">
        <v>0</v>
      </c>
      <c r="FG108">
        <v>0</v>
      </c>
      <c r="FH108">
        <v>0</v>
      </c>
      <c r="FI108">
        <v>0</v>
      </c>
      <c r="FJ108">
        <v>0</v>
      </c>
      <c r="FK108">
        <v>0</v>
      </c>
      <c r="FL108">
        <v>0</v>
      </c>
      <c r="FM108">
        <v>0</v>
      </c>
      <c r="FN108">
        <v>0</v>
      </c>
      <c r="FO108">
        <v>0</v>
      </c>
      <c r="FP108">
        <v>0</v>
      </c>
      <c r="FQ108">
        <v>0</v>
      </c>
      <c r="FR108">
        <v>0</v>
      </c>
      <c r="FS108">
        <v>0</v>
      </c>
      <c r="FT108">
        <v>0</v>
      </c>
      <c r="FU108">
        <v>0</v>
      </c>
      <c r="FV108">
        <v>0</v>
      </c>
      <c r="FW108">
        <v>0</v>
      </c>
      <c r="FX108">
        <v>0</v>
      </c>
      <c r="FY108">
        <v>0</v>
      </c>
      <c r="FZ108">
        <v>0</v>
      </c>
      <c r="GA108">
        <v>0</v>
      </c>
      <c r="GB108">
        <v>0</v>
      </c>
      <c r="GC108">
        <v>0</v>
      </c>
      <c r="GD108">
        <v>0</v>
      </c>
      <c r="GE108">
        <v>0</v>
      </c>
      <c r="GF108">
        <v>0</v>
      </c>
      <c r="GG108">
        <v>0</v>
      </c>
      <c r="GH108">
        <v>0</v>
      </c>
      <c r="GI108">
        <v>0</v>
      </c>
      <c r="GJ108">
        <v>0</v>
      </c>
      <c r="GK108">
        <v>0</v>
      </c>
      <c r="GL108">
        <v>0</v>
      </c>
      <c r="GM108">
        <v>0</v>
      </c>
      <c r="GN108">
        <v>0</v>
      </c>
      <c r="GO108">
        <v>0</v>
      </c>
      <c r="GP108">
        <v>0</v>
      </c>
      <c r="GQ108">
        <v>0</v>
      </c>
      <c r="GR108">
        <v>0</v>
      </c>
      <c r="GS108">
        <v>0</v>
      </c>
      <c r="GT108">
        <v>0</v>
      </c>
      <c r="GU108">
        <v>0</v>
      </c>
      <c r="GV108">
        <v>0</v>
      </c>
      <c r="GW108">
        <v>0</v>
      </c>
      <c r="GX108">
        <v>0</v>
      </c>
      <c r="GY108">
        <v>0</v>
      </c>
      <c r="GZ108">
        <v>0</v>
      </c>
      <c r="HA108">
        <v>0</v>
      </c>
      <c r="HB108">
        <v>0</v>
      </c>
      <c r="HC108">
        <v>0</v>
      </c>
      <c r="HD108">
        <v>0</v>
      </c>
      <c r="HE108">
        <v>0</v>
      </c>
      <c r="HF108">
        <v>0</v>
      </c>
      <c r="HG108">
        <v>0</v>
      </c>
      <c r="HH108">
        <v>0</v>
      </c>
      <c r="HI108">
        <v>0</v>
      </c>
      <c r="HJ108">
        <v>0</v>
      </c>
      <c r="HK108">
        <v>0</v>
      </c>
      <c r="HL108">
        <v>0</v>
      </c>
      <c r="HM108">
        <v>0</v>
      </c>
      <c r="HN108">
        <v>0</v>
      </c>
      <c r="HO108">
        <v>0</v>
      </c>
      <c r="HP108">
        <v>0</v>
      </c>
      <c r="HQ108">
        <v>0</v>
      </c>
      <c r="HR108">
        <v>0</v>
      </c>
      <c r="HS108">
        <v>0</v>
      </c>
      <c r="HT108">
        <v>0</v>
      </c>
      <c r="HU108">
        <v>0</v>
      </c>
      <c r="HV108">
        <v>0</v>
      </c>
      <c r="HW108">
        <v>0</v>
      </c>
      <c r="HX108">
        <v>0</v>
      </c>
      <c r="HY108">
        <v>0</v>
      </c>
      <c r="HZ108">
        <v>0</v>
      </c>
      <c r="IA108">
        <v>0</v>
      </c>
      <c r="IB108">
        <v>0</v>
      </c>
      <c r="IC108">
        <v>0</v>
      </c>
      <c r="ID108">
        <v>0</v>
      </c>
      <c r="IE108">
        <v>0</v>
      </c>
      <c r="IF108">
        <v>0</v>
      </c>
      <c r="IG108">
        <v>0</v>
      </c>
      <c r="IH108">
        <v>0</v>
      </c>
      <c r="II108">
        <v>0</v>
      </c>
      <c r="IJ108">
        <v>0</v>
      </c>
      <c r="IK108">
        <v>0</v>
      </c>
      <c r="IL108">
        <v>0</v>
      </c>
      <c r="IM108">
        <v>0</v>
      </c>
      <c r="IN108">
        <v>0</v>
      </c>
      <c r="IO108">
        <v>0</v>
      </c>
      <c r="IP108">
        <v>0</v>
      </c>
      <c r="IQ108">
        <v>0</v>
      </c>
      <c r="IR108">
        <v>0</v>
      </c>
      <c r="IS108">
        <v>0</v>
      </c>
      <c r="IT108">
        <v>0</v>
      </c>
      <c r="IU108">
        <v>0</v>
      </c>
      <c r="IV108">
        <v>0</v>
      </c>
      <c r="IW108">
        <v>0</v>
      </c>
      <c r="IX108">
        <v>0</v>
      </c>
      <c r="IY108">
        <v>0</v>
      </c>
      <c r="IZ108">
        <v>0</v>
      </c>
      <c r="JA108">
        <v>0</v>
      </c>
      <c r="JB108">
        <v>0</v>
      </c>
      <c r="JC108">
        <v>0</v>
      </c>
      <c r="JD108">
        <v>0</v>
      </c>
      <c r="JE108">
        <v>0</v>
      </c>
      <c r="JF108">
        <v>0</v>
      </c>
      <c r="JG108">
        <v>0</v>
      </c>
      <c r="JH108">
        <v>0</v>
      </c>
      <c r="JI108">
        <v>0</v>
      </c>
      <c r="JJ108">
        <v>0</v>
      </c>
      <c r="JK108">
        <v>0</v>
      </c>
      <c r="JL108">
        <v>0</v>
      </c>
      <c r="JM108">
        <v>0</v>
      </c>
      <c r="JN108">
        <v>0</v>
      </c>
      <c r="JO108">
        <v>0</v>
      </c>
      <c r="JP108">
        <v>0</v>
      </c>
      <c r="JQ108">
        <v>0</v>
      </c>
      <c r="JR108">
        <v>0</v>
      </c>
      <c r="JS108">
        <v>0</v>
      </c>
      <c r="JT108">
        <v>0</v>
      </c>
      <c r="JU108">
        <v>0</v>
      </c>
      <c r="JV108">
        <v>0</v>
      </c>
      <c r="JW108">
        <v>0</v>
      </c>
      <c r="JX108">
        <v>0</v>
      </c>
      <c r="JY108">
        <v>0</v>
      </c>
      <c r="JZ108">
        <v>0</v>
      </c>
      <c r="KA108">
        <v>0</v>
      </c>
      <c r="KB108">
        <v>0</v>
      </c>
      <c r="KC108">
        <v>0</v>
      </c>
      <c r="KD108">
        <v>0</v>
      </c>
      <c r="KE108">
        <v>0</v>
      </c>
      <c r="KF108">
        <v>0</v>
      </c>
      <c r="KG108">
        <v>0</v>
      </c>
      <c r="KH108">
        <v>0</v>
      </c>
      <c r="KI108">
        <v>0</v>
      </c>
      <c r="KJ108">
        <v>0</v>
      </c>
      <c r="KK108">
        <v>0</v>
      </c>
      <c r="KL108">
        <v>0</v>
      </c>
      <c r="KM108">
        <v>0</v>
      </c>
      <c r="KN108">
        <v>0</v>
      </c>
      <c r="KO108">
        <v>0</v>
      </c>
      <c r="KP108">
        <v>0</v>
      </c>
      <c r="KQ108">
        <v>0</v>
      </c>
      <c r="KR108">
        <v>0</v>
      </c>
      <c r="KS108">
        <v>0</v>
      </c>
      <c r="KT108">
        <v>0</v>
      </c>
      <c r="KU108">
        <v>0</v>
      </c>
      <c r="KV108">
        <v>0</v>
      </c>
      <c r="KW108">
        <v>0</v>
      </c>
      <c r="KX108">
        <v>0</v>
      </c>
      <c r="KY108">
        <v>0</v>
      </c>
      <c r="KZ108">
        <v>0</v>
      </c>
      <c r="LA108">
        <v>0</v>
      </c>
      <c r="LB108">
        <v>0</v>
      </c>
      <c r="LC108">
        <v>0</v>
      </c>
      <c r="LD108">
        <v>0</v>
      </c>
      <c r="LE108">
        <v>0</v>
      </c>
      <c r="LF108">
        <v>0</v>
      </c>
      <c r="LG108">
        <v>0</v>
      </c>
      <c r="LH108">
        <v>0</v>
      </c>
      <c r="LI108">
        <v>0</v>
      </c>
      <c r="LJ108">
        <v>0</v>
      </c>
      <c r="LK108">
        <v>0</v>
      </c>
      <c r="LL108">
        <v>0</v>
      </c>
      <c r="LM108">
        <v>0</v>
      </c>
      <c r="LN108">
        <v>0</v>
      </c>
      <c r="LO108">
        <v>0</v>
      </c>
      <c r="LP108">
        <v>0</v>
      </c>
      <c r="LQ108">
        <v>0</v>
      </c>
      <c r="LR108">
        <v>0</v>
      </c>
      <c r="LS108">
        <v>0</v>
      </c>
      <c r="LT108">
        <v>0</v>
      </c>
      <c r="LU108">
        <v>0</v>
      </c>
      <c r="LV108">
        <v>0</v>
      </c>
      <c r="LW108">
        <v>0</v>
      </c>
      <c r="LX108">
        <v>0</v>
      </c>
      <c r="LY108">
        <v>0</v>
      </c>
      <c r="LZ108">
        <v>0</v>
      </c>
      <c r="MA108">
        <v>0</v>
      </c>
      <c r="MB108">
        <v>0</v>
      </c>
      <c r="MC108">
        <v>0</v>
      </c>
      <c r="MD108">
        <v>0</v>
      </c>
      <c r="ME108">
        <v>0</v>
      </c>
      <c r="MF108">
        <v>0</v>
      </c>
      <c r="MG108">
        <v>0</v>
      </c>
      <c r="MH108">
        <v>0</v>
      </c>
      <c r="MI108">
        <v>0</v>
      </c>
      <c r="MJ108">
        <v>0</v>
      </c>
      <c r="MK108">
        <v>0</v>
      </c>
      <c r="ML108">
        <v>0</v>
      </c>
      <c r="MM108">
        <v>0</v>
      </c>
      <c r="MN108">
        <v>0</v>
      </c>
      <c r="MO108">
        <v>0</v>
      </c>
      <c r="MP108">
        <v>0</v>
      </c>
      <c r="MQ108">
        <v>0</v>
      </c>
      <c r="MR108">
        <v>0</v>
      </c>
      <c r="MS108">
        <v>0</v>
      </c>
      <c r="MT108">
        <v>0</v>
      </c>
      <c r="MU108">
        <v>0</v>
      </c>
      <c r="MV108">
        <v>0</v>
      </c>
      <c r="MW108">
        <v>0</v>
      </c>
      <c r="MX108">
        <v>0</v>
      </c>
      <c r="MY108">
        <v>0</v>
      </c>
      <c r="MZ108">
        <v>0</v>
      </c>
      <c r="NA108">
        <v>0</v>
      </c>
      <c r="NB108">
        <v>0</v>
      </c>
      <c r="NC108">
        <v>0</v>
      </c>
      <c r="ND108">
        <v>0</v>
      </c>
      <c r="NE108">
        <v>0</v>
      </c>
      <c r="NF108">
        <v>0</v>
      </c>
      <c r="NG108">
        <v>0</v>
      </c>
      <c r="NH108">
        <v>0</v>
      </c>
      <c r="NI108">
        <v>0</v>
      </c>
      <c r="NJ108">
        <v>0</v>
      </c>
      <c r="NK108">
        <v>0</v>
      </c>
      <c r="NL108">
        <v>0</v>
      </c>
      <c r="NM108">
        <v>0</v>
      </c>
      <c r="NN108">
        <v>0</v>
      </c>
      <c r="NO108">
        <v>0</v>
      </c>
      <c r="NP108">
        <v>0</v>
      </c>
      <c r="NQ108">
        <v>0</v>
      </c>
      <c r="NR108">
        <v>0</v>
      </c>
      <c r="NS108">
        <v>0</v>
      </c>
      <c r="NT108">
        <v>0</v>
      </c>
      <c r="NU108">
        <v>0</v>
      </c>
      <c r="NV108">
        <v>0</v>
      </c>
      <c r="NW108">
        <v>0</v>
      </c>
      <c r="NX108">
        <v>0</v>
      </c>
      <c r="NY108">
        <v>0</v>
      </c>
      <c r="NZ108">
        <v>0</v>
      </c>
      <c r="OA108">
        <v>0</v>
      </c>
      <c r="OB108">
        <v>0</v>
      </c>
      <c r="OC108">
        <v>0</v>
      </c>
      <c r="OD108">
        <v>0</v>
      </c>
      <c r="OE108">
        <v>0</v>
      </c>
      <c r="OF108">
        <v>0</v>
      </c>
      <c r="OG108">
        <v>0</v>
      </c>
      <c r="OH108">
        <v>0</v>
      </c>
      <c r="OI108">
        <v>0</v>
      </c>
      <c r="OJ108">
        <v>0</v>
      </c>
      <c r="OK108">
        <v>0</v>
      </c>
      <c r="OL108">
        <v>0</v>
      </c>
      <c r="OM108">
        <v>0</v>
      </c>
      <c r="ON108">
        <v>0</v>
      </c>
      <c r="OO108">
        <v>0</v>
      </c>
      <c r="OP108">
        <v>0</v>
      </c>
      <c r="OQ108">
        <v>0</v>
      </c>
      <c r="OR108">
        <v>0</v>
      </c>
      <c r="OS108">
        <v>0</v>
      </c>
      <c r="OT108">
        <v>0</v>
      </c>
      <c r="OU108">
        <v>0</v>
      </c>
      <c r="OV108">
        <v>0</v>
      </c>
      <c r="OW108">
        <v>0</v>
      </c>
      <c r="OX108">
        <v>0</v>
      </c>
      <c r="OY108">
        <v>0</v>
      </c>
      <c r="OZ108">
        <v>0</v>
      </c>
      <c r="PA108">
        <v>0</v>
      </c>
      <c r="PB108">
        <v>0</v>
      </c>
      <c r="PC108">
        <v>0</v>
      </c>
      <c r="PD108">
        <v>0</v>
      </c>
      <c r="PE108">
        <v>0</v>
      </c>
      <c r="PF108">
        <v>0</v>
      </c>
      <c r="PG108">
        <v>0</v>
      </c>
      <c r="PH108">
        <v>0</v>
      </c>
      <c r="PI108">
        <v>0</v>
      </c>
      <c r="PJ108">
        <v>0</v>
      </c>
      <c r="PK108">
        <v>0</v>
      </c>
      <c r="PL108">
        <v>0</v>
      </c>
      <c r="PM108">
        <v>0</v>
      </c>
      <c r="PN108">
        <v>0</v>
      </c>
      <c r="PO108">
        <v>0</v>
      </c>
      <c r="PP108">
        <v>0</v>
      </c>
      <c r="PQ108">
        <v>0</v>
      </c>
      <c r="PR108">
        <v>0</v>
      </c>
      <c r="PS108">
        <v>0</v>
      </c>
      <c r="PT108">
        <v>0</v>
      </c>
      <c r="PU108">
        <v>0</v>
      </c>
      <c r="PV108">
        <v>0</v>
      </c>
      <c r="PW108">
        <v>0</v>
      </c>
      <c r="PX108">
        <v>0</v>
      </c>
      <c r="PY108">
        <v>0</v>
      </c>
      <c r="PZ108">
        <v>0</v>
      </c>
      <c r="QA108">
        <v>0</v>
      </c>
      <c r="QB108">
        <v>0</v>
      </c>
      <c r="QC108">
        <v>0</v>
      </c>
      <c r="QD108">
        <v>0</v>
      </c>
      <c r="QE108">
        <v>0</v>
      </c>
      <c r="QF108">
        <v>0</v>
      </c>
      <c r="QG108">
        <v>0</v>
      </c>
      <c r="QH108">
        <v>0</v>
      </c>
      <c r="QI108">
        <v>0</v>
      </c>
      <c r="QJ108">
        <v>0</v>
      </c>
      <c r="QK108">
        <v>0</v>
      </c>
      <c r="QL108">
        <v>0</v>
      </c>
      <c r="QM108">
        <v>0</v>
      </c>
      <c r="QN108">
        <v>0</v>
      </c>
      <c r="QO108">
        <v>0</v>
      </c>
      <c r="QP108">
        <v>0</v>
      </c>
      <c r="QQ108">
        <v>0</v>
      </c>
      <c r="QR108">
        <v>0</v>
      </c>
      <c r="QS108">
        <v>0</v>
      </c>
      <c r="QT108">
        <v>0</v>
      </c>
      <c r="QU108">
        <v>0</v>
      </c>
      <c r="QV108">
        <v>0</v>
      </c>
      <c r="QW108">
        <v>0</v>
      </c>
      <c r="QX108">
        <v>0</v>
      </c>
      <c r="QY108">
        <v>0</v>
      </c>
      <c r="QZ108">
        <v>0</v>
      </c>
      <c r="RA108">
        <v>0</v>
      </c>
      <c r="RB108">
        <v>0</v>
      </c>
      <c r="RC108">
        <v>0</v>
      </c>
      <c r="RD108">
        <v>0</v>
      </c>
      <c r="RE108">
        <v>0</v>
      </c>
      <c r="RF108">
        <v>0</v>
      </c>
      <c r="RG108">
        <v>0</v>
      </c>
      <c r="RH108">
        <v>0</v>
      </c>
      <c r="RI108">
        <v>0</v>
      </c>
      <c r="RJ108">
        <v>0</v>
      </c>
      <c r="RK108">
        <v>0</v>
      </c>
      <c r="RL108">
        <v>0</v>
      </c>
      <c r="RM108">
        <v>0</v>
      </c>
      <c r="RN108">
        <v>0</v>
      </c>
      <c r="RO108">
        <v>0</v>
      </c>
      <c r="RP108">
        <v>0</v>
      </c>
      <c r="RQ108">
        <v>0</v>
      </c>
      <c r="RR108">
        <v>0</v>
      </c>
      <c r="RS108">
        <v>0</v>
      </c>
      <c r="RT108">
        <v>0</v>
      </c>
      <c r="RU108">
        <v>0</v>
      </c>
      <c r="RV108">
        <v>0</v>
      </c>
      <c r="RW108">
        <v>0</v>
      </c>
      <c r="RX108">
        <v>0</v>
      </c>
      <c r="RY108">
        <v>0</v>
      </c>
      <c r="RZ108">
        <v>0</v>
      </c>
      <c r="SA108">
        <v>0</v>
      </c>
      <c r="SB108">
        <v>0</v>
      </c>
      <c r="SC108">
        <v>0</v>
      </c>
      <c r="SD108">
        <v>0</v>
      </c>
      <c r="SE108">
        <v>0</v>
      </c>
      <c r="SF108">
        <v>0</v>
      </c>
      <c r="SG108">
        <v>0</v>
      </c>
      <c r="SH108">
        <v>0</v>
      </c>
      <c r="SI108">
        <v>0</v>
      </c>
      <c r="SJ108">
        <v>0</v>
      </c>
      <c r="SK108">
        <v>0</v>
      </c>
      <c r="SL108">
        <v>0</v>
      </c>
      <c r="SM108">
        <v>0</v>
      </c>
      <c r="SN108">
        <v>0</v>
      </c>
      <c r="SO108">
        <v>0</v>
      </c>
      <c r="SP108">
        <v>0</v>
      </c>
      <c r="SQ108">
        <v>0</v>
      </c>
      <c r="SR108">
        <v>0</v>
      </c>
      <c r="SS108">
        <v>0</v>
      </c>
      <c r="ST108">
        <v>0</v>
      </c>
      <c r="SU108">
        <v>0</v>
      </c>
      <c r="SV108">
        <v>0</v>
      </c>
      <c r="SW108">
        <v>0</v>
      </c>
      <c r="SX108">
        <v>0</v>
      </c>
      <c r="SY108">
        <v>0</v>
      </c>
      <c r="SZ108">
        <v>0</v>
      </c>
      <c r="TA108">
        <v>0</v>
      </c>
      <c r="TB108">
        <v>0</v>
      </c>
      <c r="TC108">
        <v>0</v>
      </c>
      <c r="TD108">
        <v>0</v>
      </c>
      <c r="TE108">
        <v>0</v>
      </c>
      <c r="TF108">
        <v>0</v>
      </c>
      <c r="TG108">
        <v>0</v>
      </c>
      <c r="TH108">
        <v>0</v>
      </c>
      <c r="TI108">
        <v>0</v>
      </c>
      <c r="TJ108">
        <v>0</v>
      </c>
      <c r="TK108">
        <v>0</v>
      </c>
      <c r="TL108">
        <v>0</v>
      </c>
      <c r="TM108">
        <v>0</v>
      </c>
      <c r="TN108">
        <v>0</v>
      </c>
      <c r="TO108">
        <v>0</v>
      </c>
      <c r="TP108">
        <v>0</v>
      </c>
      <c r="TQ108">
        <v>0</v>
      </c>
      <c r="TR108">
        <v>0</v>
      </c>
      <c r="TS108">
        <v>0</v>
      </c>
      <c r="TT108">
        <v>0</v>
      </c>
      <c r="TU108">
        <v>0</v>
      </c>
      <c r="TV108">
        <v>0</v>
      </c>
      <c r="TW108">
        <v>0</v>
      </c>
      <c r="TX108">
        <v>0</v>
      </c>
      <c r="TY108">
        <v>0</v>
      </c>
      <c r="TZ108">
        <v>0</v>
      </c>
      <c r="UA108">
        <v>0</v>
      </c>
      <c r="UB108">
        <v>0</v>
      </c>
      <c r="UC108">
        <v>0</v>
      </c>
      <c r="UD108">
        <v>0</v>
      </c>
      <c r="UE108">
        <v>0</v>
      </c>
      <c r="UF108">
        <v>0</v>
      </c>
      <c r="UG108">
        <v>0</v>
      </c>
      <c r="UH108">
        <v>0</v>
      </c>
      <c r="UI108">
        <v>0</v>
      </c>
      <c r="UJ108">
        <v>0</v>
      </c>
      <c r="UK108">
        <v>0</v>
      </c>
      <c r="UL108">
        <v>0</v>
      </c>
      <c r="UM108">
        <v>0</v>
      </c>
      <c r="UN108">
        <v>0</v>
      </c>
      <c r="UO108">
        <v>0</v>
      </c>
      <c r="UP108">
        <v>0</v>
      </c>
      <c r="UQ108">
        <v>0</v>
      </c>
      <c r="UR108">
        <v>0</v>
      </c>
      <c r="US108">
        <v>0</v>
      </c>
      <c r="UT108">
        <v>0</v>
      </c>
      <c r="UU108">
        <v>0</v>
      </c>
      <c r="UV108">
        <v>0</v>
      </c>
      <c r="UW108">
        <v>0</v>
      </c>
      <c r="UX108">
        <v>0</v>
      </c>
      <c r="UY108">
        <v>0</v>
      </c>
      <c r="UZ108">
        <v>0</v>
      </c>
      <c r="VA108">
        <v>0</v>
      </c>
      <c r="VB108">
        <v>0</v>
      </c>
      <c r="VC108">
        <v>0</v>
      </c>
      <c r="VD108">
        <v>0</v>
      </c>
      <c r="VE108">
        <v>0</v>
      </c>
      <c r="VF108">
        <v>0</v>
      </c>
      <c r="VG108">
        <v>0</v>
      </c>
      <c r="VH108">
        <v>0</v>
      </c>
      <c r="VI108">
        <v>0</v>
      </c>
      <c r="VJ108">
        <v>0</v>
      </c>
      <c r="VK108">
        <v>0</v>
      </c>
      <c r="VL108">
        <v>0</v>
      </c>
      <c r="VM108">
        <v>0</v>
      </c>
      <c r="VN108">
        <v>0</v>
      </c>
      <c r="VO108">
        <v>0</v>
      </c>
      <c r="VP108">
        <v>0</v>
      </c>
      <c r="VQ108">
        <v>0</v>
      </c>
      <c r="VR108">
        <v>0</v>
      </c>
      <c r="VS108">
        <v>0</v>
      </c>
      <c r="VT108">
        <v>0</v>
      </c>
      <c r="VU108">
        <v>0</v>
      </c>
      <c r="VV108">
        <v>0</v>
      </c>
      <c r="VW108">
        <v>0</v>
      </c>
      <c r="VX108">
        <v>0</v>
      </c>
      <c r="VY108">
        <v>0</v>
      </c>
      <c r="VZ108">
        <v>0</v>
      </c>
      <c r="WA108">
        <v>0</v>
      </c>
      <c r="WB108">
        <v>0</v>
      </c>
      <c r="WC108">
        <v>0</v>
      </c>
      <c r="WD108">
        <v>0</v>
      </c>
      <c r="WE108">
        <v>0</v>
      </c>
      <c r="WF108">
        <v>0</v>
      </c>
      <c r="WG108">
        <v>0</v>
      </c>
      <c r="WH108">
        <v>0</v>
      </c>
      <c r="WI108">
        <v>0</v>
      </c>
      <c r="WJ108">
        <v>0</v>
      </c>
      <c r="WK108">
        <v>0</v>
      </c>
      <c r="WL108">
        <v>0</v>
      </c>
      <c r="WM108">
        <v>0</v>
      </c>
      <c r="WN108">
        <v>0</v>
      </c>
      <c r="WO108">
        <v>0</v>
      </c>
      <c r="WP108">
        <v>0</v>
      </c>
      <c r="WQ108">
        <v>0</v>
      </c>
      <c r="WR108">
        <v>0</v>
      </c>
      <c r="WS108">
        <v>0</v>
      </c>
      <c r="WT108">
        <v>0</v>
      </c>
      <c r="WU108">
        <v>0</v>
      </c>
      <c r="WV108">
        <v>0</v>
      </c>
      <c r="WW108">
        <v>0</v>
      </c>
      <c r="WX108">
        <v>0</v>
      </c>
      <c r="WY108">
        <v>0</v>
      </c>
      <c r="WZ108">
        <v>0</v>
      </c>
      <c r="XA108">
        <v>0</v>
      </c>
      <c r="XB108">
        <v>0</v>
      </c>
      <c r="XC108">
        <v>0</v>
      </c>
      <c r="XD108">
        <v>0</v>
      </c>
      <c r="XE108">
        <v>0</v>
      </c>
      <c r="XF108">
        <v>0</v>
      </c>
      <c r="XG108">
        <v>0</v>
      </c>
      <c r="XH108">
        <v>0</v>
      </c>
      <c r="XI108">
        <v>0</v>
      </c>
      <c r="XJ108">
        <v>0</v>
      </c>
      <c r="XK108">
        <v>0</v>
      </c>
      <c r="XL108">
        <v>0</v>
      </c>
      <c r="XM108">
        <v>0</v>
      </c>
      <c r="XN108">
        <v>0</v>
      </c>
      <c r="XO108">
        <v>0</v>
      </c>
      <c r="XP108">
        <v>0</v>
      </c>
      <c r="XQ108">
        <v>0</v>
      </c>
      <c r="XR108">
        <v>0</v>
      </c>
      <c r="XS108">
        <v>0</v>
      </c>
      <c r="XT108">
        <v>0</v>
      </c>
      <c r="XU108">
        <v>0</v>
      </c>
      <c r="XV108">
        <v>0</v>
      </c>
      <c r="XW108">
        <v>0</v>
      </c>
      <c r="XX108">
        <v>0</v>
      </c>
      <c r="XY108">
        <v>0</v>
      </c>
      <c r="XZ108">
        <v>0</v>
      </c>
      <c r="YA108">
        <v>0</v>
      </c>
      <c r="YB108">
        <v>0</v>
      </c>
      <c r="YC108">
        <v>0</v>
      </c>
      <c r="YD108">
        <v>0</v>
      </c>
      <c r="YE108">
        <v>0</v>
      </c>
      <c r="YF108">
        <v>0</v>
      </c>
      <c r="YG108">
        <v>0</v>
      </c>
      <c r="YH108">
        <v>0</v>
      </c>
      <c r="YI108">
        <v>0</v>
      </c>
      <c r="YJ108">
        <v>0</v>
      </c>
      <c r="YK108">
        <v>0</v>
      </c>
      <c r="YL108">
        <v>0</v>
      </c>
      <c r="YM108">
        <v>0</v>
      </c>
      <c r="YN108">
        <v>0</v>
      </c>
      <c r="YO108">
        <v>0</v>
      </c>
      <c r="YP108">
        <v>0</v>
      </c>
      <c r="YQ108">
        <v>0</v>
      </c>
      <c r="YR108">
        <v>0</v>
      </c>
      <c r="YS108">
        <v>0</v>
      </c>
      <c r="YT108">
        <v>0</v>
      </c>
      <c r="YU108">
        <v>0</v>
      </c>
      <c r="YV108">
        <v>0</v>
      </c>
      <c r="YW108">
        <v>0</v>
      </c>
      <c r="YX108">
        <v>0</v>
      </c>
      <c r="YY108">
        <v>0</v>
      </c>
      <c r="YZ108">
        <v>0</v>
      </c>
      <c r="ZA108">
        <v>0</v>
      </c>
      <c r="ZB108">
        <v>0</v>
      </c>
      <c r="ZC108">
        <v>0</v>
      </c>
      <c r="ZD108">
        <v>0</v>
      </c>
      <c r="ZE108">
        <v>0</v>
      </c>
      <c r="ZF108">
        <v>0</v>
      </c>
      <c r="ZG108">
        <v>0</v>
      </c>
      <c r="ZH108">
        <v>0</v>
      </c>
      <c r="ZI108">
        <v>0</v>
      </c>
      <c r="ZJ108">
        <v>0</v>
      </c>
      <c r="ZK108">
        <v>0</v>
      </c>
      <c r="ZL108">
        <v>0</v>
      </c>
      <c r="ZM108">
        <v>0</v>
      </c>
      <c r="ZN108">
        <v>0</v>
      </c>
      <c r="ZO108">
        <v>0</v>
      </c>
      <c r="ZP108">
        <v>0</v>
      </c>
      <c r="ZQ108">
        <v>0</v>
      </c>
      <c r="ZR108">
        <v>0</v>
      </c>
      <c r="ZS108">
        <v>0</v>
      </c>
      <c r="ZT108">
        <v>0</v>
      </c>
      <c r="ZU108">
        <v>0</v>
      </c>
      <c r="ZV108">
        <v>0</v>
      </c>
      <c r="ZW108">
        <v>0</v>
      </c>
      <c r="ZX108">
        <v>0</v>
      </c>
      <c r="ZY108">
        <v>0</v>
      </c>
      <c r="ZZ108">
        <v>0</v>
      </c>
      <c r="AAA108">
        <v>0</v>
      </c>
      <c r="AAB108">
        <v>0</v>
      </c>
      <c r="AAC108">
        <v>0</v>
      </c>
      <c r="AAD108">
        <v>0</v>
      </c>
      <c r="AAE108">
        <v>0</v>
      </c>
      <c r="AAF108">
        <v>0</v>
      </c>
      <c r="AAG108">
        <v>0</v>
      </c>
      <c r="AAH108">
        <v>0</v>
      </c>
      <c r="AAI108">
        <v>0</v>
      </c>
      <c r="AAJ108">
        <v>0</v>
      </c>
      <c r="AAK108">
        <v>0</v>
      </c>
      <c r="AAL108">
        <v>0</v>
      </c>
      <c r="AAM108">
        <v>0</v>
      </c>
      <c r="AAN108">
        <v>0</v>
      </c>
      <c r="AAO108">
        <v>0</v>
      </c>
      <c r="AAP108">
        <v>0</v>
      </c>
      <c r="AAQ108">
        <v>0</v>
      </c>
      <c r="AAR108">
        <v>0</v>
      </c>
      <c r="AAS108">
        <v>0</v>
      </c>
      <c r="AAT108">
        <v>0</v>
      </c>
      <c r="AAU108">
        <v>0</v>
      </c>
      <c r="AAV108">
        <v>0</v>
      </c>
      <c r="AAW108">
        <v>0</v>
      </c>
      <c r="AAX108">
        <v>0</v>
      </c>
      <c r="AAY108">
        <v>0</v>
      </c>
      <c r="AAZ108">
        <v>0</v>
      </c>
      <c r="ABA108">
        <v>0</v>
      </c>
      <c r="ABB108">
        <v>0</v>
      </c>
      <c r="ABC108">
        <v>0</v>
      </c>
      <c r="ABD108">
        <v>0</v>
      </c>
      <c r="ABE108">
        <v>0</v>
      </c>
      <c r="ABG108" s="1137">
        <f t="shared" si="26"/>
        <v>0</v>
      </c>
      <c r="ABH108" s="1137">
        <f t="shared" si="26"/>
        <v>0</v>
      </c>
      <c r="ABI108" s="1137">
        <f t="shared" si="26"/>
        <v>0</v>
      </c>
      <c r="ABJ108" s="1137">
        <f t="shared" si="26"/>
        <v>0</v>
      </c>
      <c r="ABK108" s="1137">
        <f t="shared" si="26"/>
        <v>0</v>
      </c>
      <c r="ABL108" s="1137">
        <f t="shared" si="26"/>
        <v>0</v>
      </c>
      <c r="ABM108" s="1137">
        <f t="shared" si="26"/>
        <v>0</v>
      </c>
      <c r="ABN108" s="1137">
        <f t="shared" si="26"/>
        <v>0</v>
      </c>
      <c r="ABO108" s="1137">
        <f t="shared" si="26"/>
        <v>0</v>
      </c>
      <c r="ABP108" s="1137">
        <f t="shared" si="26"/>
        <v>0</v>
      </c>
      <c r="ABQ108" s="1137">
        <f t="shared" si="26"/>
        <v>0</v>
      </c>
      <c r="ABR108" s="1137">
        <f t="shared" si="26"/>
        <v>0</v>
      </c>
      <c r="ABS108" s="1137">
        <f t="shared" si="26"/>
        <v>0</v>
      </c>
      <c r="ABT108" s="1137">
        <f t="shared" si="26"/>
        <v>0</v>
      </c>
      <c r="ABU108" s="1137">
        <f t="shared" si="26"/>
        <v>0</v>
      </c>
      <c r="ABV108" s="1137">
        <f t="shared" si="26"/>
        <v>0</v>
      </c>
      <c r="ABW108" s="1137">
        <f t="shared" si="17"/>
        <v>0</v>
      </c>
      <c r="ABX108" s="1137">
        <f t="shared" si="23"/>
        <v>0</v>
      </c>
      <c r="ABY108" s="1137">
        <f t="shared" si="23"/>
        <v>0</v>
      </c>
      <c r="ABZ108" s="1137">
        <f t="shared" si="23"/>
        <v>0</v>
      </c>
      <c r="ACA108" s="1137">
        <f t="shared" si="23"/>
        <v>0</v>
      </c>
      <c r="ACB108" s="1137">
        <f t="shared" si="23"/>
        <v>0</v>
      </c>
      <c r="ACC108" s="1137">
        <f t="shared" si="23"/>
        <v>0</v>
      </c>
      <c r="ACD108" s="1137">
        <f t="shared" si="23"/>
        <v>0</v>
      </c>
      <c r="ACE108" s="1137" t="s">
        <v>207</v>
      </c>
      <c r="ACF108" s="1137">
        <f t="shared" si="28"/>
        <v>0</v>
      </c>
      <c r="ACG108" s="1137">
        <f t="shared" si="28"/>
        <v>0</v>
      </c>
      <c r="ACH108" s="1137">
        <f t="shared" si="28"/>
        <v>0</v>
      </c>
      <c r="ACI108" s="1137">
        <f t="shared" si="28"/>
        <v>0</v>
      </c>
      <c r="ACJ108" s="1137">
        <f t="shared" si="28"/>
        <v>0</v>
      </c>
      <c r="ACK108" s="1137">
        <f t="shared" si="28"/>
        <v>0</v>
      </c>
      <c r="ACL108" s="1137">
        <f t="shared" si="28"/>
        <v>0</v>
      </c>
      <c r="ACM108" s="1137">
        <f t="shared" si="28"/>
        <v>0</v>
      </c>
      <c r="ACN108" s="1137">
        <f t="shared" si="28"/>
        <v>0</v>
      </c>
      <c r="ACO108" s="1137">
        <f t="shared" si="28"/>
        <v>0</v>
      </c>
      <c r="ACP108" s="1137">
        <f t="shared" si="28"/>
        <v>0</v>
      </c>
      <c r="ACQ108" s="1137">
        <f t="shared" si="28"/>
        <v>0</v>
      </c>
      <c r="ACR108" s="1137">
        <f t="shared" si="28"/>
        <v>0</v>
      </c>
      <c r="ACS108" s="1137">
        <f t="shared" si="28"/>
        <v>0</v>
      </c>
      <c r="ACT108" s="1137">
        <f t="shared" si="28"/>
        <v>0</v>
      </c>
      <c r="ACU108" s="1137">
        <f t="shared" si="27"/>
        <v>0</v>
      </c>
      <c r="ACV108" s="1137">
        <f t="shared" si="24"/>
        <v>0</v>
      </c>
      <c r="ACW108" s="1137">
        <f t="shared" si="24"/>
        <v>0</v>
      </c>
      <c r="ACX108" s="1137">
        <f t="shared" si="24"/>
        <v>0</v>
      </c>
      <c r="ACY108" s="1137">
        <f t="shared" si="24"/>
        <v>0</v>
      </c>
      <c r="ACZ108" s="1137">
        <f t="shared" si="24"/>
        <v>0</v>
      </c>
      <c r="ADA108" s="1137">
        <f t="shared" si="24"/>
        <v>0</v>
      </c>
      <c r="ADB108" s="1137">
        <f t="shared" si="16"/>
        <v>0</v>
      </c>
      <c r="ADC108" s="1137">
        <f t="shared" si="16"/>
        <v>0</v>
      </c>
    </row>
    <row r="109" spans="1:783" x14ac:dyDescent="0.25">
      <c r="A109" t="s">
        <v>1907</v>
      </c>
      <c r="B109" t="s">
        <v>1908</v>
      </c>
      <c r="C109">
        <v>0</v>
      </c>
      <c r="D109">
        <v>0</v>
      </c>
      <c r="E109">
        <v>0</v>
      </c>
      <c r="F109">
        <v>0</v>
      </c>
      <c r="G109">
        <v>0</v>
      </c>
      <c r="H109">
        <v>0</v>
      </c>
      <c r="I109">
        <v>0</v>
      </c>
      <c r="J109">
        <v>0</v>
      </c>
      <c r="K109">
        <v>0</v>
      </c>
      <c r="L109">
        <v>0</v>
      </c>
      <c r="M109">
        <v>0</v>
      </c>
      <c r="N109">
        <v>0</v>
      </c>
      <c r="O109">
        <v>0</v>
      </c>
      <c r="P109">
        <v>0</v>
      </c>
      <c r="Q109">
        <v>0</v>
      </c>
      <c r="R109">
        <v>0</v>
      </c>
      <c r="S109">
        <v>0</v>
      </c>
      <c r="T109">
        <v>0</v>
      </c>
      <c r="U109">
        <v>0</v>
      </c>
      <c r="V109">
        <v>0</v>
      </c>
      <c r="W109">
        <v>0</v>
      </c>
      <c r="X109">
        <v>0</v>
      </c>
      <c r="Y109">
        <v>0</v>
      </c>
      <c r="Z109">
        <v>0</v>
      </c>
      <c r="AA109">
        <v>0</v>
      </c>
      <c r="AB109">
        <v>0</v>
      </c>
      <c r="AC109">
        <v>0</v>
      </c>
      <c r="AD109">
        <v>0</v>
      </c>
      <c r="AE109">
        <v>0</v>
      </c>
      <c r="AF109">
        <v>0</v>
      </c>
      <c r="AG109">
        <v>0</v>
      </c>
      <c r="AH109">
        <v>0</v>
      </c>
      <c r="AI109">
        <v>0</v>
      </c>
      <c r="AJ109">
        <v>0</v>
      </c>
      <c r="AK109">
        <v>0</v>
      </c>
      <c r="AL109">
        <v>0</v>
      </c>
      <c r="AM109">
        <v>0</v>
      </c>
      <c r="AN109">
        <v>0</v>
      </c>
      <c r="AO109">
        <v>0</v>
      </c>
      <c r="AP109">
        <v>0</v>
      </c>
      <c r="AQ109">
        <v>0</v>
      </c>
      <c r="AR109">
        <v>0</v>
      </c>
      <c r="AS109">
        <v>0</v>
      </c>
      <c r="AT109">
        <v>0</v>
      </c>
      <c r="AU109">
        <v>0</v>
      </c>
      <c r="AV109">
        <v>0</v>
      </c>
      <c r="AW109">
        <v>0</v>
      </c>
      <c r="AX109">
        <v>0</v>
      </c>
      <c r="AY109">
        <v>0</v>
      </c>
      <c r="AZ109">
        <v>0</v>
      </c>
      <c r="BA109">
        <v>0</v>
      </c>
      <c r="BB109">
        <v>0</v>
      </c>
      <c r="BC109">
        <v>0</v>
      </c>
      <c r="BD109">
        <v>0</v>
      </c>
      <c r="BE109">
        <v>0</v>
      </c>
      <c r="BF109">
        <v>0</v>
      </c>
      <c r="BG109">
        <v>0</v>
      </c>
      <c r="BH109">
        <v>0</v>
      </c>
      <c r="BI109">
        <v>0</v>
      </c>
      <c r="BJ109">
        <v>0</v>
      </c>
      <c r="BK109">
        <v>0</v>
      </c>
      <c r="BL109">
        <v>0</v>
      </c>
      <c r="BM109">
        <v>0</v>
      </c>
      <c r="BN109">
        <v>0</v>
      </c>
      <c r="BO109">
        <v>0</v>
      </c>
      <c r="BP109">
        <v>0</v>
      </c>
      <c r="BQ109">
        <v>0</v>
      </c>
      <c r="BR109">
        <v>0</v>
      </c>
      <c r="BS109">
        <v>0</v>
      </c>
      <c r="BT109">
        <v>0</v>
      </c>
      <c r="BU109">
        <v>0</v>
      </c>
      <c r="BV109">
        <v>0</v>
      </c>
      <c r="BW109">
        <v>0</v>
      </c>
      <c r="BX109">
        <v>0</v>
      </c>
      <c r="BY109">
        <v>0</v>
      </c>
      <c r="BZ109">
        <v>0</v>
      </c>
      <c r="CA109">
        <v>0</v>
      </c>
      <c r="CB109">
        <v>0</v>
      </c>
      <c r="CC109">
        <v>0</v>
      </c>
      <c r="CD109">
        <v>0</v>
      </c>
      <c r="CE109">
        <v>0</v>
      </c>
      <c r="CF109">
        <v>0</v>
      </c>
      <c r="CG109">
        <v>0</v>
      </c>
      <c r="CH109">
        <v>0</v>
      </c>
      <c r="CI109">
        <v>0</v>
      </c>
      <c r="CJ109">
        <v>0</v>
      </c>
      <c r="CK109">
        <v>0</v>
      </c>
      <c r="CL109">
        <v>0</v>
      </c>
      <c r="CM109">
        <v>0</v>
      </c>
      <c r="CN109">
        <v>0</v>
      </c>
      <c r="CO109">
        <v>0</v>
      </c>
      <c r="CP109">
        <v>0</v>
      </c>
      <c r="CQ109">
        <v>0</v>
      </c>
      <c r="CR109">
        <v>0</v>
      </c>
      <c r="CS109">
        <v>0</v>
      </c>
      <c r="CT109">
        <v>0</v>
      </c>
      <c r="CU109">
        <v>0</v>
      </c>
      <c r="CV109">
        <v>0</v>
      </c>
      <c r="CW109">
        <v>0</v>
      </c>
      <c r="CX109">
        <v>0</v>
      </c>
      <c r="CY109">
        <v>0</v>
      </c>
      <c r="CZ109">
        <v>0</v>
      </c>
      <c r="DA109">
        <v>0</v>
      </c>
      <c r="DB109">
        <v>0</v>
      </c>
      <c r="DC109">
        <v>0</v>
      </c>
      <c r="DD109">
        <v>0</v>
      </c>
      <c r="DE109">
        <v>0</v>
      </c>
      <c r="DF109">
        <v>0</v>
      </c>
      <c r="DG109">
        <v>0</v>
      </c>
      <c r="DH109">
        <v>0</v>
      </c>
      <c r="DI109">
        <v>0</v>
      </c>
      <c r="DJ109">
        <v>0</v>
      </c>
      <c r="DK109">
        <v>0</v>
      </c>
      <c r="DL109">
        <v>0</v>
      </c>
      <c r="DM109">
        <v>0</v>
      </c>
      <c r="DN109">
        <v>0</v>
      </c>
      <c r="DO109">
        <v>0</v>
      </c>
      <c r="DP109">
        <v>0</v>
      </c>
      <c r="DQ109">
        <v>0</v>
      </c>
      <c r="DR109">
        <v>0</v>
      </c>
      <c r="DS109">
        <v>0</v>
      </c>
      <c r="DT109">
        <v>0</v>
      </c>
      <c r="DU109">
        <v>0</v>
      </c>
      <c r="DV109">
        <v>0</v>
      </c>
      <c r="DW109">
        <v>0</v>
      </c>
      <c r="DX109">
        <v>0</v>
      </c>
      <c r="DY109">
        <v>0</v>
      </c>
      <c r="DZ109">
        <v>0</v>
      </c>
      <c r="EA109">
        <v>0</v>
      </c>
      <c r="EB109">
        <v>0</v>
      </c>
      <c r="EC109">
        <v>0</v>
      </c>
      <c r="ED109">
        <v>0</v>
      </c>
      <c r="EE109">
        <v>0</v>
      </c>
      <c r="EF109">
        <v>0</v>
      </c>
      <c r="EG109">
        <v>0</v>
      </c>
      <c r="EH109">
        <v>0</v>
      </c>
      <c r="EI109">
        <v>0</v>
      </c>
      <c r="EJ109">
        <v>0</v>
      </c>
      <c r="EK109">
        <v>0</v>
      </c>
      <c r="EL109">
        <v>0</v>
      </c>
      <c r="EM109">
        <v>0</v>
      </c>
      <c r="EN109">
        <v>0</v>
      </c>
      <c r="EO109">
        <v>0</v>
      </c>
      <c r="EP109">
        <v>0</v>
      </c>
      <c r="EQ109">
        <v>0</v>
      </c>
      <c r="ER109">
        <v>0</v>
      </c>
      <c r="ES109">
        <v>0</v>
      </c>
      <c r="ET109">
        <v>0</v>
      </c>
      <c r="EU109">
        <v>0</v>
      </c>
      <c r="EV109">
        <v>0</v>
      </c>
      <c r="EW109">
        <v>0</v>
      </c>
      <c r="EX109">
        <v>0</v>
      </c>
      <c r="EY109">
        <v>0</v>
      </c>
      <c r="EZ109">
        <v>0</v>
      </c>
      <c r="FA109">
        <v>0</v>
      </c>
      <c r="FB109">
        <v>0</v>
      </c>
      <c r="FC109">
        <v>0</v>
      </c>
      <c r="FD109">
        <v>0</v>
      </c>
      <c r="FE109">
        <v>0</v>
      </c>
      <c r="FF109">
        <v>0</v>
      </c>
      <c r="FG109">
        <v>0</v>
      </c>
      <c r="FH109">
        <v>0</v>
      </c>
      <c r="FI109">
        <v>0</v>
      </c>
      <c r="FJ109">
        <v>0</v>
      </c>
      <c r="FK109">
        <v>0</v>
      </c>
      <c r="FL109">
        <v>0</v>
      </c>
      <c r="FM109">
        <v>0</v>
      </c>
      <c r="FN109">
        <v>0</v>
      </c>
      <c r="FO109">
        <v>0</v>
      </c>
      <c r="FP109">
        <v>0</v>
      </c>
      <c r="FQ109">
        <v>0</v>
      </c>
      <c r="FR109">
        <v>0</v>
      </c>
      <c r="FS109">
        <v>0</v>
      </c>
      <c r="FT109">
        <v>0</v>
      </c>
      <c r="FU109">
        <v>0</v>
      </c>
      <c r="FV109">
        <v>0</v>
      </c>
      <c r="FW109">
        <v>0</v>
      </c>
      <c r="FX109">
        <v>0</v>
      </c>
      <c r="FY109">
        <v>0</v>
      </c>
      <c r="FZ109">
        <v>0</v>
      </c>
      <c r="GA109">
        <v>0</v>
      </c>
      <c r="GB109">
        <v>0</v>
      </c>
      <c r="GC109">
        <v>0</v>
      </c>
      <c r="GD109">
        <v>0</v>
      </c>
      <c r="GE109">
        <v>0</v>
      </c>
      <c r="GF109">
        <v>0</v>
      </c>
      <c r="GG109">
        <v>0</v>
      </c>
      <c r="GH109">
        <v>0</v>
      </c>
      <c r="GI109">
        <v>0</v>
      </c>
      <c r="GJ109">
        <v>0</v>
      </c>
      <c r="GK109">
        <v>0</v>
      </c>
      <c r="GL109">
        <v>0</v>
      </c>
      <c r="GM109">
        <v>0</v>
      </c>
      <c r="GN109">
        <v>0</v>
      </c>
      <c r="GO109">
        <v>0</v>
      </c>
      <c r="GP109">
        <v>0</v>
      </c>
      <c r="GQ109">
        <v>0</v>
      </c>
      <c r="GR109">
        <v>0</v>
      </c>
      <c r="GS109">
        <v>0</v>
      </c>
      <c r="GT109">
        <v>0</v>
      </c>
      <c r="GU109">
        <v>0</v>
      </c>
      <c r="GV109">
        <v>0</v>
      </c>
      <c r="GW109">
        <v>0</v>
      </c>
      <c r="GX109">
        <v>0</v>
      </c>
      <c r="GY109">
        <v>0</v>
      </c>
      <c r="GZ109">
        <v>0</v>
      </c>
      <c r="HA109">
        <v>0</v>
      </c>
      <c r="HB109">
        <v>0</v>
      </c>
      <c r="HC109">
        <v>0</v>
      </c>
      <c r="HD109">
        <v>0</v>
      </c>
      <c r="HE109">
        <v>0</v>
      </c>
      <c r="HF109">
        <v>0</v>
      </c>
      <c r="HG109">
        <v>0</v>
      </c>
      <c r="HH109">
        <v>0</v>
      </c>
      <c r="HI109">
        <v>0</v>
      </c>
      <c r="HJ109">
        <v>0</v>
      </c>
      <c r="HK109">
        <v>0</v>
      </c>
      <c r="HL109">
        <v>0</v>
      </c>
      <c r="HM109">
        <v>0</v>
      </c>
      <c r="HN109">
        <v>0</v>
      </c>
      <c r="HO109">
        <v>0</v>
      </c>
      <c r="HP109">
        <v>0</v>
      </c>
      <c r="HQ109">
        <v>0</v>
      </c>
      <c r="HR109">
        <v>0</v>
      </c>
      <c r="HS109">
        <v>0</v>
      </c>
      <c r="HT109">
        <v>0</v>
      </c>
      <c r="HU109">
        <v>0</v>
      </c>
      <c r="HV109">
        <v>0</v>
      </c>
      <c r="HW109">
        <v>0</v>
      </c>
      <c r="HX109">
        <v>0</v>
      </c>
      <c r="HY109">
        <v>0</v>
      </c>
      <c r="HZ109">
        <v>0</v>
      </c>
      <c r="IA109">
        <v>0</v>
      </c>
      <c r="IB109">
        <v>0</v>
      </c>
      <c r="IC109">
        <v>0</v>
      </c>
      <c r="ID109">
        <v>0</v>
      </c>
      <c r="IE109">
        <v>0</v>
      </c>
      <c r="IF109">
        <v>0</v>
      </c>
      <c r="IG109">
        <v>0</v>
      </c>
      <c r="IH109">
        <v>0</v>
      </c>
      <c r="II109">
        <v>0</v>
      </c>
      <c r="IJ109">
        <v>0</v>
      </c>
      <c r="IK109">
        <v>0</v>
      </c>
      <c r="IL109">
        <v>0</v>
      </c>
      <c r="IM109">
        <v>0</v>
      </c>
      <c r="IN109">
        <v>0</v>
      </c>
      <c r="IO109">
        <v>0</v>
      </c>
      <c r="IP109">
        <v>0</v>
      </c>
      <c r="IQ109">
        <v>0</v>
      </c>
      <c r="IR109">
        <v>0</v>
      </c>
      <c r="IS109">
        <v>0</v>
      </c>
      <c r="IT109">
        <v>0</v>
      </c>
      <c r="IU109">
        <v>0</v>
      </c>
      <c r="IV109">
        <v>0</v>
      </c>
      <c r="IW109">
        <v>0</v>
      </c>
      <c r="IX109">
        <v>0</v>
      </c>
      <c r="IY109">
        <v>0</v>
      </c>
      <c r="IZ109">
        <v>0</v>
      </c>
      <c r="JA109">
        <v>0</v>
      </c>
      <c r="JB109">
        <v>0</v>
      </c>
      <c r="JC109">
        <v>0</v>
      </c>
      <c r="JD109">
        <v>0</v>
      </c>
      <c r="JE109">
        <v>0</v>
      </c>
      <c r="JF109">
        <v>0</v>
      </c>
      <c r="JG109">
        <v>0</v>
      </c>
      <c r="JH109">
        <v>0</v>
      </c>
      <c r="JI109">
        <v>0</v>
      </c>
      <c r="JJ109">
        <v>0</v>
      </c>
      <c r="JK109">
        <v>0</v>
      </c>
      <c r="JL109">
        <v>0</v>
      </c>
      <c r="JM109">
        <v>0</v>
      </c>
      <c r="JN109">
        <v>0</v>
      </c>
      <c r="JO109">
        <v>0</v>
      </c>
      <c r="JP109">
        <v>0</v>
      </c>
      <c r="JQ109">
        <v>0</v>
      </c>
      <c r="JR109">
        <v>0</v>
      </c>
      <c r="JS109">
        <v>0</v>
      </c>
      <c r="JT109">
        <v>0</v>
      </c>
      <c r="JU109">
        <v>0</v>
      </c>
      <c r="JV109">
        <v>0</v>
      </c>
      <c r="JW109">
        <v>0</v>
      </c>
      <c r="JX109">
        <v>0</v>
      </c>
      <c r="JY109">
        <v>0</v>
      </c>
      <c r="JZ109">
        <v>0</v>
      </c>
      <c r="KA109">
        <v>0</v>
      </c>
      <c r="KB109">
        <v>0</v>
      </c>
      <c r="KC109">
        <v>0</v>
      </c>
      <c r="KD109">
        <v>0</v>
      </c>
      <c r="KE109">
        <v>0</v>
      </c>
      <c r="KF109">
        <v>0</v>
      </c>
      <c r="KG109">
        <v>0</v>
      </c>
      <c r="KH109">
        <v>0</v>
      </c>
      <c r="KI109">
        <v>0</v>
      </c>
      <c r="KJ109">
        <v>0</v>
      </c>
      <c r="KK109">
        <v>0</v>
      </c>
      <c r="KL109">
        <v>0</v>
      </c>
      <c r="KM109">
        <v>0</v>
      </c>
      <c r="KN109">
        <v>0</v>
      </c>
      <c r="KO109">
        <v>0</v>
      </c>
      <c r="KP109">
        <v>0</v>
      </c>
      <c r="KQ109">
        <v>0</v>
      </c>
      <c r="KR109">
        <v>0</v>
      </c>
      <c r="KS109">
        <v>0</v>
      </c>
      <c r="KT109">
        <v>0</v>
      </c>
      <c r="KU109">
        <v>0</v>
      </c>
      <c r="KV109">
        <v>0</v>
      </c>
      <c r="KW109">
        <v>0</v>
      </c>
      <c r="KX109">
        <v>0</v>
      </c>
      <c r="KY109">
        <v>0</v>
      </c>
      <c r="KZ109">
        <v>0</v>
      </c>
      <c r="LA109">
        <v>0</v>
      </c>
      <c r="LB109">
        <v>0</v>
      </c>
      <c r="LC109">
        <v>0</v>
      </c>
      <c r="LD109">
        <v>0</v>
      </c>
      <c r="LE109">
        <v>0</v>
      </c>
      <c r="LF109">
        <v>0</v>
      </c>
      <c r="LG109">
        <v>0</v>
      </c>
      <c r="LH109">
        <v>0</v>
      </c>
      <c r="LI109">
        <v>0</v>
      </c>
      <c r="LJ109">
        <v>0</v>
      </c>
      <c r="LK109">
        <v>0</v>
      </c>
      <c r="LL109">
        <v>0</v>
      </c>
      <c r="LM109">
        <v>0</v>
      </c>
      <c r="LN109">
        <v>0</v>
      </c>
      <c r="LO109">
        <v>0</v>
      </c>
      <c r="LP109">
        <v>0</v>
      </c>
      <c r="LQ109">
        <v>0</v>
      </c>
      <c r="LR109">
        <v>0</v>
      </c>
      <c r="LS109">
        <v>0</v>
      </c>
      <c r="LT109">
        <v>0</v>
      </c>
      <c r="LU109">
        <v>0</v>
      </c>
      <c r="LV109">
        <v>0</v>
      </c>
      <c r="LW109">
        <v>0</v>
      </c>
      <c r="LX109">
        <v>0</v>
      </c>
      <c r="LY109">
        <v>0</v>
      </c>
      <c r="LZ109">
        <v>0</v>
      </c>
      <c r="MA109">
        <v>0</v>
      </c>
      <c r="MB109">
        <v>0</v>
      </c>
      <c r="MC109">
        <v>0</v>
      </c>
      <c r="MD109">
        <v>0</v>
      </c>
      <c r="ME109">
        <v>0</v>
      </c>
      <c r="MF109">
        <v>0</v>
      </c>
      <c r="MG109">
        <v>0</v>
      </c>
      <c r="MH109">
        <v>0</v>
      </c>
      <c r="MI109">
        <v>0</v>
      </c>
      <c r="MJ109">
        <v>0</v>
      </c>
      <c r="MK109">
        <v>0</v>
      </c>
      <c r="ML109">
        <v>0</v>
      </c>
      <c r="MM109">
        <v>0</v>
      </c>
      <c r="MN109">
        <v>0</v>
      </c>
      <c r="MO109">
        <v>0</v>
      </c>
      <c r="MP109">
        <v>0</v>
      </c>
      <c r="MQ109">
        <v>0</v>
      </c>
      <c r="MR109">
        <v>0</v>
      </c>
      <c r="MS109">
        <v>0</v>
      </c>
      <c r="MT109">
        <v>0</v>
      </c>
      <c r="MU109">
        <v>0</v>
      </c>
      <c r="MV109">
        <v>0</v>
      </c>
      <c r="MW109">
        <v>0</v>
      </c>
      <c r="MX109">
        <v>0</v>
      </c>
      <c r="MY109">
        <v>0</v>
      </c>
      <c r="MZ109">
        <v>0</v>
      </c>
      <c r="NA109">
        <v>0</v>
      </c>
      <c r="NB109">
        <v>0</v>
      </c>
      <c r="NC109">
        <v>0</v>
      </c>
      <c r="ND109">
        <v>0</v>
      </c>
      <c r="NE109">
        <v>0</v>
      </c>
      <c r="NF109">
        <v>0</v>
      </c>
      <c r="NG109">
        <v>0</v>
      </c>
      <c r="NH109">
        <v>0</v>
      </c>
      <c r="NI109">
        <v>0</v>
      </c>
      <c r="NJ109">
        <v>0</v>
      </c>
      <c r="NK109">
        <v>0</v>
      </c>
      <c r="NL109">
        <v>0</v>
      </c>
      <c r="NM109">
        <v>0</v>
      </c>
      <c r="NN109">
        <v>0</v>
      </c>
      <c r="NO109">
        <v>0</v>
      </c>
      <c r="NP109">
        <v>0</v>
      </c>
      <c r="NQ109">
        <v>0</v>
      </c>
      <c r="NR109">
        <v>0</v>
      </c>
      <c r="NS109">
        <v>0</v>
      </c>
      <c r="NT109">
        <v>0</v>
      </c>
      <c r="NU109">
        <v>0</v>
      </c>
      <c r="NV109">
        <v>0</v>
      </c>
      <c r="NW109">
        <v>0</v>
      </c>
      <c r="NX109">
        <v>0</v>
      </c>
      <c r="NY109">
        <v>0</v>
      </c>
      <c r="NZ109">
        <v>0</v>
      </c>
      <c r="OA109">
        <v>0</v>
      </c>
      <c r="OB109">
        <v>0</v>
      </c>
      <c r="OC109">
        <v>0</v>
      </c>
      <c r="OD109">
        <v>0</v>
      </c>
      <c r="OE109">
        <v>0</v>
      </c>
      <c r="OF109">
        <v>0</v>
      </c>
      <c r="OG109">
        <v>0</v>
      </c>
      <c r="OH109">
        <v>0</v>
      </c>
      <c r="OI109">
        <v>0</v>
      </c>
      <c r="OJ109">
        <v>0</v>
      </c>
      <c r="OK109">
        <v>0</v>
      </c>
      <c r="OL109">
        <v>0</v>
      </c>
      <c r="OM109">
        <v>0</v>
      </c>
      <c r="ON109">
        <v>0</v>
      </c>
      <c r="OO109">
        <v>0</v>
      </c>
      <c r="OP109">
        <v>0</v>
      </c>
      <c r="OQ109">
        <v>0</v>
      </c>
      <c r="OR109">
        <v>0</v>
      </c>
      <c r="OS109">
        <v>0</v>
      </c>
      <c r="OT109">
        <v>0</v>
      </c>
      <c r="OU109">
        <v>0</v>
      </c>
      <c r="OV109">
        <v>0</v>
      </c>
      <c r="OW109">
        <v>0</v>
      </c>
      <c r="OX109">
        <v>0</v>
      </c>
      <c r="OY109">
        <v>0</v>
      </c>
      <c r="OZ109">
        <v>0</v>
      </c>
      <c r="PA109">
        <v>0</v>
      </c>
      <c r="PB109">
        <v>0</v>
      </c>
      <c r="PC109">
        <v>0</v>
      </c>
      <c r="PD109">
        <v>0</v>
      </c>
      <c r="PE109">
        <v>0</v>
      </c>
      <c r="PF109">
        <v>0</v>
      </c>
      <c r="PG109">
        <v>0</v>
      </c>
      <c r="PH109">
        <v>0</v>
      </c>
      <c r="PI109">
        <v>0</v>
      </c>
      <c r="PJ109">
        <v>0</v>
      </c>
      <c r="PK109">
        <v>0</v>
      </c>
      <c r="PL109">
        <v>0</v>
      </c>
      <c r="PM109">
        <v>0</v>
      </c>
      <c r="PN109">
        <v>0</v>
      </c>
      <c r="PO109">
        <v>0</v>
      </c>
      <c r="PP109">
        <v>0</v>
      </c>
      <c r="PQ109">
        <v>0</v>
      </c>
      <c r="PR109">
        <v>0</v>
      </c>
      <c r="PS109">
        <v>0</v>
      </c>
      <c r="PT109">
        <v>0</v>
      </c>
      <c r="PU109">
        <v>0</v>
      </c>
      <c r="PV109">
        <v>0</v>
      </c>
      <c r="PW109">
        <v>0</v>
      </c>
      <c r="PX109">
        <v>0</v>
      </c>
      <c r="PY109">
        <v>0</v>
      </c>
      <c r="PZ109">
        <v>0</v>
      </c>
      <c r="QA109">
        <v>0</v>
      </c>
      <c r="QB109">
        <v>0</v>
      </c>
      <c r="QC109">
        <v>0</v>
      </c>
      <c r="QD109">
        <v>0</v>
      </c>
      <c r="QE109">
        <v>0</v>
      </c>
      <c r="QF109">
        <v>0</v>
      </c>
      <c r="QG109">
        <v>0</v>
      </c>
      <c r="QH109">
        <v>0</v>
      </c>
      <c r="QI109">
        <v>0</v>
      </c>
      <c r="QJ109">
        <v>0</v>
      </c>
      <c r="QK109">
        <v>0</v>
      </c>
      <c r="QL109">
        <v>0</v>
      </c>
      <c r="QM109">
        <v>0</v>
      </c>
      <c r="QN109">
        <v>0</v>
      </c>
      <c r="QO109">
        <v>0</v>
      </c>
      <c r="QP109">
        <v>0</v>
      </c>
      <c r="QQ109">
        <v>0</v>
      </c>
      <c r="QR109">
        <v>0</v>
      </c>
      <c r="QS109">
        <v>0</v>
      </c>
      <c r="QT109">
        <v>0</v>
      </c>
      <c r="QU109">
        <v>0</v>
      </c>
      <c r="QV109">
        <v>0</v>
      </c>
      <c r="QW109">
        <v>0</v>
      </c>
      <c r="QX109">
        <v>0</v>
      </c>
      <c r="QY109">
        <v>0</v>
      </c>
      <c r="QZ109">
        <v>0</v>
      </c>
      <c r="RA109">
        <v>0</v>
      </c>
      <c r="RB109">
        <v>0</v>
      </c>
      <c r="RC109">
        <v>0</v>
      </c>
      <c r="RD109">
        <v>0</v>
      </c>
      <c r="RE109">
        <v>0</v>
      </c>
      <c r="RF109">
        <v>0</v>
      </c>
      <c r="RG109">
        <v>0</v>
      </c>
      <c r="RH109">
        <v>0</v>
      </c>
      <c r="RI109">
        <v>0</v>
      </c>
      <c r="RJ109">
        <v>0</v>
      </c>
      <c r="RK109">
        <v>0</v>
      </c>
      <c r="RL109">
        <v>0</v>
      </c>
      <c r="RM109">
        <v>0</v>
      </c>
      <c r="RN109">
        <v>0</v>
      </c>
      <c r="RO109">
        <v>0</v>
      </c>
      <c r="RP109">
        <v>0</v>
      </c>
      <c r="RQ109">
        <v>0</v>
      </c>
      <c r="RR109">
        <v>0</v>
      </c>
      <c r="RS109">
        <v>0</v>
      </c>
      <c r="RT109">
        <v>0</v>
      </c>
      <c r="RU109">
        <v>0</v>
      </c>
      <c r="RV109">
        <v>0</v>
      </c>
      <c r="RW109">
        <v>0</v>
      </c>
      <c r="RX109">
        <v>0</v>
      </c>
      <c r="RY109">
        <v>0</v>
      </c>
      <c r="RZ109">
        <v>0</v>
      </c>
      <c r="SA109">
        <v>0</v>
      </c>
      <c r="SB109">
        <v>0</v>
      </c>
      <c r="SC109">
        <v>0</v>
      </c>
      <c r="SD109">
        <v>0</v>
      </c>
      <c r="SE109">
        <v>0</v>
      </c>
      <c r="SF109">
        <v>0</v>
      </c>
      <c r="SG109">
        <v>0</v>
      </c>
      <c r="SH109">
        <v>0</v>
      </c>
      <c r="SI109">
        <v>0</v>
      </c>
      <c r="SJ109">
        <v>0</v>
      </c>
      <c r="SK109">
        <v>0</v>
      </c>
      <c r="SL109">
        <v>0</v>
      </c>
      <c r="SM109">
        <v>0</v>
      </c>
      <c r="SN109">
        <v>0</v>
      </c>
      <c r="SO109">
        <v>0</v>
      </c>
      <c r="SP109">
        <v>0</v>
      </c>
      <c r="SQ109">
        <v>0</v>
      </c>
      <c r="SR109">
        <v>0</v>
      </c>
      <c r="SS109">
        <v>0</v>
      </c>
      <c r="ST109">
        <v>0</v>
      </c>
      <c r="SU109">
        <v>0</v>
      </c>
      <c r="SV109">
        <v>0</v>
      </c>
      <c r="SW109">
        <v>0</v>
      </c>
      <c r="SX109">
        <v>0</v>
      </c>
      <c r="SY109">
        <v>0</v>
      </c>
      <c r="SZ109">
        <v>0</v>
      </c>
      <c r="TA109">
        <v>0</v>
      </c>
      <c r="TB109">
        <v>0</v>
      </c>
      <c r="TC109">
        <v>0</v>
      </c>
      <c r="TD109">
        <v>0</v>
      </c>
      <c r="TE109">
        <v>0</v>
      </c>
      <c r="TF109">
        <v>0</v>
      </c>
      <c r="TG109">
        <v>0</v>
      </c>
      <c r="TH109">
        <v>0</v>
      </c>
      <c r="TI109">
        <v>0</v>
      </c>
      <c r="TJ109">
        <v>0</v>
      </c>
      <c r="TK109">
        <v>0</v>
      </c>
      <c r="TL109">
        <v>0</v>
      </c>
      <c r="TM109">
        <v>0</v>
      </c>
      <c r="TN109">
        <v>0</v>
      </c>
      <c r="TO109">
        <v>0</v>
      </c>
      <c r="TP109">
        <v>0</v>
      </c>
      <c r="TQ109">
        <v>0</v>
      </c>
      <c r="TR109">
        <v>0</v>
      </c>
      <c r="TS109">
        <v>0</v>
      </c>
      <c r="TT109">
        <v>0</v>
      </c>
      <c r="TU109">
        <v>0</v>
      </c>
      <c r="TV109">
        <v>0</v>
      </c>
      <c r="TW109">
        <v>0</v>
      </c>
      <c r="TX109">
        <v>0</v>
      </c>
      <c r="TY109">
        <v>0</v>
      </c>
      <c r="TZ109">
        <v>0</v>
      </c>
      <c r="UA109">
        <v>0</v>
      </c>
      <c r="UB109">
        <v>0</v>
      </c>
      <c r="UC109">
        <v>0</v>
      </c>
      <c r="UD109">
        <v>0</v>
      </c>
      <c r="UE109">
        <v>0</v>
      </c>
      <c r="UF109">
        <v>0</v>
      </c>
      <c r="UG109">
        <v>0</v>
      </c>
      <c r="UH109">
        <v>0</v>
      </c>
      <c r="UI109">
        <v>0</v>
      </c>
      <c r="UJ109">
        <v>0</v>
      </c>
      <c r="UK109">
        <v>0</v>
      </c>
      <c r="UL109">
        <v>0</v>
      </c>
      <c r="UM109">
        <v>0</v>
      </c>
      <c r="UN109">
        <v>0</v>
      </c>
      <c r="UO109">
        <v>0</v>
      </c>
      <c r="UP109">
        <v>0</v>
      </c>
      <c r="UQ109">
        <v>0</v>
      </c>
      <c r="UR109">
        <v>0</v>
      </c>
      <c r="US109">
        <v>0</v>
      </c>
      <c r="UT109">
        <v>0</v>
      </c>
      <c r="UU109">
        <v>0</v>
      </c>
      <c r="UV109">
        <v>0</v>
      </c>
      <c r="UW109">
        <v>0</v>
      </c>
      <c r="UX109">
        <v>0</v>
      </c>
      <c r="UY109">
        <v>0</v>
      </c>
      <c r="UZ109">
        <v>0</v>
      </c>
      <c r="VA109">
        <v>0</v>
      </c>
      <c r="VB109">
        <v>0</v>
      </c>
      <c r="VC109">
        <v>0</v>
      </c>
      <c r="VD109">
        <v>0</v>
      </c>
      <c r="VE109">
        <v>0</v>
      </c>
      <c r="VF109">
        <v>0</v>
      </c>
      <c r="VG109">
        <v>0</v>
      </c>
      <c r="VH109">
        <v>0</v>
      </c>
      <c r="VI109">
        <v>0</v>
      </c>
      <c r="VJ109">
        <v>0</v>
      </c>
      <c r="VK109">
        <v>0</v>
      </c>
      <c r="VL109">
        <v>0</v>
      </c>
      <c r="VM109">
        <v>0</v>
      </c>
      <c r="VN109">
        <v>0</v>
      </c>
      <c r="VO109">
        <v>0</v>
      </c>
      <c r="VP109">
        <v>0</v>
      </c>
      <c r="VQ109">
        <v>0</v>
      </c>
      <c r="VR109">
        <v>0</v>
      </c>
      <c r="VS109">
        <v>0</v>
      </c>
      <c r="VT109">
        <v>0</v>
      </c>
      <c r="VU109">
        <v>0</v>
      </c>
      <c r="VV109">
        <v>0</v>
      </c>
      <c r="VW109">
        <v>0</v>
      </c>
      <c r="VX109">
        <v>0</v>
      </c>
      <c r="VY109">
        <v>0</v>
      </c>
      <c r="VZ109">
        <v>0</v>
      </c>
      <c r="WA109">
        <v>0</v>
      </c>
      <c r="WB109">
        <v>0</v>
      </c>
      <c r="WC109">
        <v>0</v>
      </c>
      <c r="WD109">
        <v>0</v>
      </c>
      <c r="WE109">
        <v>0</v>
      </c>
      <c r="WF109">
        <v>0</v>
      </c>
      <c r="WG109">
        <v>0</v>
      </c>
      <c r="WH109">
        <v>0</v>
      </c>
      <c r="WI109">
        <v>0</v>
      </c>
      <c r="WJ109">
        <v>0</v>
      </c>
      <c r="WK109">
        <v>0</v>
      </c>
      <c r="WL109">
        <v>0</v>
      </c>
      <c r="WM109">
        <v>0</v>
      </c>
      <c r="WN109">
        <v>0</v>
      </c>
      <c r="WO109">
        <v>0</v>
      </c>
      <c r="WP109">
        <v>0</v>
      </c>
      <c r="WQ109">
        <v>0</v>
      </c>
      <c r="WR109">
        <v>0</v>
      </c>
      <c r="WS109">
        <v>0</v>
      </c>
      <c r="WT109">
        <v>0</v>
      </c>
      <c r="WU109">
        <v>0</v>
      </c>
      <c r="WV109">
        <v>0</v>
      </c>
      <c r="WW109">
        <v>0</v>
      </c>
      <c r="WX109">
        <v>0</v>
      </c>
      <c r="WY109">
        <v>0</v>
      </c>
      <c r="WZ109">
        <v>0</v>
      </c>
      <c r="XA109">
        <v>0</v>
      </c>
      <c r="XB109">
        <v>0</v>
      </c>
      <c r="XC109">
        <v>0</v>
      </c>
      <c r="XD109">
        <v>0</v>
      </c>
      <c r="XE109">
        <v>0</v>
      </c>
      <c r="XF109">
        <v>0</v>
      </c>
      <c r="XG109">
        <v>0</v>
      </c>
      <c r="XH109">
        <v>0</v>
      </c>
      <c r="XI109">
        <v>0</v>
      </c>
      <c r="XJ109">
        <v>0</v>
      </c>
      <c r="XK109">
        <v>0</v>
      </c>
      <c r="XL109">
        <v>0</v>
      </c>
      <c r="XM109">
        <v>0</v>
      </c>
      <c r="XN109">
        <v>0</v>
      </c>
      <c r="XO109">
        <v>1</v>
      </c>
      <c r="XP109">
        <v>1</v>
      </c>
      <c r="XQ109">
        <v>1</v>
      </c>
      <c r="XR109">
        <v>1</v>
      </c>
      <c r="XS109">
        <v>1</v>
      </c>
      <c r="XT109">
        <v>1</v>
      </c>
      <c r="XU109">
        <v>1</v>
      </c>
      <c r="XV109">
        <v>1</v>
      </c>
      <c r="XW109">
        <v>1</v>
      </c>
      <c r="XX109">
        <v>1</v>
      </c>
      <c r="XY109">
        <v>1</v>
      </c>
      <c r="XZ109">
        <v>1</v>
      </c>
      <c r="YA109">
        <v>1</v>
      </c>
      <c r="YB109">
        <v>1</v>
      </c>
      <c r="YC109">
        <v>1</v>
      </c>
      <c r="YD109">
        <v>1</v>
      </c>
      <c r="YE109">
        <v>1</v>
      </c>
      <c r="YF109">
        <v>0</v>
      </c>
      <c r="YG109">
        <v>0</v>
      </c>
      <c r="YH109">
        <v>0</v>
      </c>
      <c r="YI109">
        <v>0</v>
      </c>
      <c r="YJ109">
        <v>0</v>
      </c>
      <c r="YK109">
        <v>0</v>
      </c>
      <c r="YL109">
        <v>0</v>
      </c>
      <c r="YM109">
        <v>0</v>
      </c>
      <c r="YN109">
        <v>0</v>
      </c>
      <c r="YO109">
        <v>0</v>
      </c>
      <c r="YP109">
        <v>0</v>
      </c>
      <c r="YQ109">
        <v>0</v>
      </c>
      <c r="YR109">
        <v>0</v>
      </c>
      <c r="YS109">
        <v>0</v>
      </c>
      <c r="YT109">
        <v>0</v>
      </c>
      <c r="YU109">
        <v>0</v>
      </c>
      <c r="YV109">
        <v>0</v>
      </c>
      <c r="YW109">
        <v>0</v>
      </c>
      <c r="YX109">
        <v>0</v>
      </c>
      <c r="YY109">
        <v>0</v>
      </c>
      <c r="YZ109">
        <v>0</v>
      </c>
      <c r="ZA109">
        <v>0</v>
      </c>
      <c r="ZB109">
        <v>0</v>
      </c>
      <c r="ZC109">
        <v>0</v>
      </c>
      <c r="ZD109">
        <v>0</v>
      </c>
      <c r="ZE109">
        <v>0</v>
      </c>
      <c r="ZF109">
        <v>0</v>
      </c>
      <c r="ZG109">
        <v>0</v>
      </c>
      <c r="ZH109">
        <v>0</v>
      </c>
      <c r="ZI109">
        <v>0</v>
      </c>
      <c r="ZJ109">
        <v>0</v>
      </c>
      <c r="ZK109">
        <v>0</v>
      </c>
      <c r="ZL109">
        <v>0</v>
      </c>
      <c r="ZM109">
        <v>0</v>
      </c>
      <c r="ZN109">
        <v>0</v>
      </c>
      <c r="ZO109">
        <v>0</v>
      </c>
      <c r="ZP109">
        <v>0</v>
      </c>
      <c r="ZQ109">
        <v>0</v>
      </c>
      <c r="ZR109">
        <v>0</v>
      </c>
      <c r="ZS109">
        <v>0</v>
      </c>
      <c r="ZT109">
        <v>0</v>
      </c>
      <c r="ZU109">
        <v>0</v>
      </c>
      <c r="ZV109">
        <v>0</v>
      </c>
      <c r="ZW109">
        <v>0</v>
      </c>
      <c r="ZX109">
        <v>0</v>
      </c>
      <c r="ZY109">
        <v>0</v>
      </c>
      <c r="ZZ109">
        <v>0</v>
      </c>
      <c r="AAA109">
        <v>0</v>
      </c>
      <c r="AAB109">
        <v>0</v>
      </c>
      <c r="AAC109">
        <v>0</v>
      </c>
      <c r="AAD109">
        <v>0</v>
      </c>
      <c r="AAE109">
        <v>0</v>
      </c>
      <c r="AAF109">
        <v>0</v>
      </c>
      <c r="AAG109">
        <v>0</v>
      </c>
      <c r="AAH109">
        <v>0</v>
      </c>
      <c r="AAI109">
        <v>0</v>
      </c>
      <c r="AAJ109">
        <v>0</v>
      </c>
      <c r="AAK109">
        <v>0</v>
      </c>
      <c r="AAL109">
        <v>0</v>
      </c>
      <c r="AAM109">
        <v>0</v>
      </c>
      <c r="AAN109">
        <v>0</v>
      </c>
      <c r="AAO109">
        <v>0</v>
      </c>
      <c r="AAP109">
        <v>0</v>
      </c>
      <c r="AAQ109">
        <v>0</v>
      </c>
      <c r="AAR109">
        <v>0</v>
      </c>
      <c r="AAS109">
        <v>0</v>
      </c>
      <c r="AAT109">
        <v>0</v>
      </c>
      <c r="AAU109">
        <v>0</v>
      </c>
      <c r="AAV109">
        <v>0</v>
      </c>
      <c r="AAW109">
        <v>0</v>
      </c>
      <c r="AAX109">
        <v>0</v>
      </c>
      <c r="AAY109">
        <v>0</v>
      </c>
      <c r="AAZ109">
        <v>0</v>
      </c>
      <c r="ABA109">
        <v>0</v>
      </c>
      <c r="ABB109">
        <v>0</v>
      </c>
      <c r="ABC109">
        <v>0</v>
      </c>
      <c r="ABD109">
        <v>0</v>
      </c>
      <c r="ABE109">
        <v>0</v>
      </c>
      <c r="ABG109" s="1137">
        <f t="shared" si="26"/>
        <v>0</v>
      </c>
      <c r="ABH109" s="1137">
        <f t="shared" si="26"/>
        <v>0</v>
      </c>
      <c r="ABI109" s="1137">
        <f t="shared" si="26"/>
        <v>0</v>
      </c>
      <c r="ABJ109" s="1137">
        <f t="shared" si="26"/>
        <v>0</v>
      </c>
      <c r="ABK109" s="1137">
        <f t="shared" si="26"/>
        <v>0</v>
      </c>
      <c r="ABL109" s="1137">
        <f t="shared" si="26"/>
        <v>0</v>
      </c>
      <c r="ABM109" s="1137">
        <f t="shared" si="26"/>
        <v>0</v>
      </c>
      <c r="ABN109" s="1137">
        <f t="shared" si="26"/>
        <v>0</v>
      </c>
      <c r="ABO109" s="1137">
        <f t="shared" si="26"/>
        <v>0</v>
      </c>
      <c r="ABP109" s="1137">
        <f t="shared" si="26"/>
        <v>0</v>
      </c>
      <c r="ABQ109" s="1137">
        <f t="shared" si="26"/>
        <v>0</v>
      </c>
      <c r="ABR109" s="1137">
        <f t="shared" si="26"/>
        <v>0</v>
      </c>
      <c r="ABS109" s="1137">
        <f t="shared" si="26"/>
        <v>0</v>
      </c>
      <c r="ABT109" s="1137">
        <f t="shared" si="26"/>
        <v>0</v>
      </c>
      <c r="ABU109" s="1137">
        <f t="shared" si="26"/>
        <v>0</v>
      </c>
      <c r="ABV109" s="1137">
        <f t="shared" si="26"/>
        <v>0</v>
      </c>
      <c r="ABW109" s="1137">
        <f t="shared" si="17"/>
        <v>0</v>
      </c>
      <c r="ABX109" s="1137">
        <f t="shared" si="23"/>
        <v>0</v>
      </c>
      <c r="ABY109" s="1137">
        <f t="shared" si="23"/>
        <v>0</v>
      </c>
      <c r="ABZ109" s="1137">
        <f t="shared" si="23"/>
        <v>0</v>
      </c>
      <c r="ACA109" s="1137">
        <f t="shared" si="23"/>
        <v>3</v>
      </c>
      <c r="ACB109" s="1137">
        <f t="shared" si="23"/>
        <v>14</v>
      </c>
      <c r="ACC109" s="1137">
        <f t="shared" si="23"/>
        <v>0</v>
      </c>
      <c r="ACD109" s="1137">
        <f t="shared" si="23"/>
        <v>0</v>
      </c>
      <c r="ACE109" s="1137" t="s">
        <v>1908</v>
      </c>
      <c r="ACF109" s="1137">
        <f t="shared" si="28"/>
        <v>0</v>
      </c>
      <c r="ACG109" s="1137">
        <f t="shared" si="28"/>
        <v>0</v>
      </c>
      <c r="ACH109" s="1137">
        <f t="shared" si="28"/>
        <v>0</v>
      </c>
      <c r="ACI109" s="1137">
        <f t="shared" si="28"/>
        <v>0</v>
      </c>
      <c r="ACJ109" s="1137">
        <f t="shared" si="28"/>
        <v>0</v>
      </c>
      <c r="ACK109" s="1137">
        <f t="shared" si="28"/>
        <v>0</v>
      </c>
      <c r="ACL109" s="1137">
        <f t="shared" si="28"/>
        <v>0</v>
      </c>
      <c r="ACM109" s="1137">
        <f t="shared" si="28"/>
        <v>0</v>
      </c>
      <c r="ACN109" s="1137">
        <f t="shared" si="28"/>
        <v>0</v>
      </c>
      <c r="ACO109" s="1137">
        <f t="shared" si="28"/>
        <v>0</v>
      </c>
      <c r="ACP109" s="1137">
        <f t="shared" si="28"/>
        <v>0</v>
      </c>
      <c r="ACQ109" s="1137">
        <f t="shared" si="28"/>
        <v>0</v>
      </c>
      <c r="ACR109" s="1137">
        <f t="shared" si="28"/>
        <v>0</v>
      </c>
      <c r="ACS109" s="1137">
        <f t="shared" si="28"/>
        <v>0</v>
      </c>
      <c r="ACT109" s="1137">
        <f t="shared" si="28"/>
        <v>0</v>
      </c>
      <c r="ACU109" s="1137">
        <f t="shared" si="27"/>
        <v>0</v>
      </c>
      <c r="ACV109" s="1137">
        <f t="shared" si="24"/>
        <v>0</v>
      </c>
      <c r="ACW109" s="1137">
        <f t="shared" si="24"/>
        <v>0</v>
      </c>
      <c r="ACX109" s="1137">
        <f t="shared" si="24"/>
        <v>0</v>
      </c>
      <c r="ACY109" s="1137">
        <f t="shared" si="24"/>
        <v>0</v>
      </c>
      <c r="ACZ109" s="1137">
        <f t="shared" si="24"/>
        <v>0</v>
      </c>
      <c r="ADA109" s="1137">
        <f t="shared" si="24"/>
        <v>1</v>
      </c>
      <c r="ADB109" s="1137">
        <f t="shared" si="16"/>
        <v>0</v>
      </c>
      <c r="ADC109" s="1137">
        <f t="shared" si="16"/>
        <v>0</v>
      </c>
    </row>
    <row r="110" spans="1:783" x14ac:dyDescent="0.25">
      <c r="A110" t="s">
        <v>1909</v>
      </c>
      <c r="B110" t="s">
        <v>223</v>
      </c>
      <c r="C110">
        <v>0</v>
      </c>
      <c r="D110">
        <v>0</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v>
      </c>
      <c r="BW110">
        <v>2</v>
      </c>
      <c r="BX110">
        <v>2</v>
      </c>
      <c r="BY110">
        <v>2</v>
      </c>
      <c r="BZ110">
        <v>2</v>
      </c>
      <c r="CA110">
        <v>2</v>
      </c>
      <c r="CB110">
        <v>2</v>
      </c>
      <c r="CC110">
        <v>2</v>
      </c>
      <c r="CD110">
        <v>2</v>
      </c>
      <c r="CE110">
        <v>2</v>
      </c>
      <c r="CF110">
        <v>2</v>
      </c>
      <c r="CG110">
        <v>2</v>
      </c>
      <c r="CH110">
        <v>2</v>
      </c>
      <c r="CI110">
        <v>2</v>
      </c>
      <c r="CJ110">
        <v>2</v>
      </c>
      <c r="CK110">
        <v>2</v>
      </c>
      <c r="CL110">
        <v>2</v>
      </c>
      <c r="CM110">
        <v>2</v>
      </c>
      <c r="CN110">
        <v>2</v>
      </c>
      <c r="CO110">
        <v>2</v>
      </c>
      <c r="CP110">
        <v>2</v>
      </c>
      <c r="CQ110">
        <v>2</v>
      </c>
      <c r="CR110">
        <v>2</v>
      </c>
      <c r="CS110">
        <v>2</v>
      </c>
      <c r="CT110">
        <v>2</v>
      </c>
      <c r="CU110">
        <v>2</v>
      </c>
      <c r="CV110">
        <v>2</v>
      </c>
      <c r="CW110">
        <v>2</v>
      </c>
      <c r="CX110">
        <v>2</v>
      </c>
      <c r="CY110">
        <v>2</v>
      </c>
      <c r="CZ110">
        <v>2</v>
      </c>
      <c r="DA110">
        <v>2</v>
      </c>
      <c r="DB110">
        <v>2</v>
      </c>
      <c r="DC110">
        <v>2</v>
      </c>
      <c r="DD110">
        <v>2</v>
      </c>
      <c r="DE110">
        <v>2</v>
      </c>
      <c r="DF110">
        <v>2</v>
      </c>
      <c r="DG110">
        <v>2</v>
      </c>
      <c r="DH110">
        <v>2</v>
      </c>
      <c r="DI110">
        <v>2</v>
      </c>
      <c r="DJ110">
        <v>2</v>
      </c>
      <c r="DK110">
        <v>2</v>
      </c>
      <c r="DL110">
        <v>2</v>
      </c>
      <c r="DM110">
        <v>2</v>
      </c>
      <c r="DN110">
        <v>2</v>
      </c>
      <c r="DO110">
        <v>2</v>
      </c>
      <c r="DP110">
        <v>2</v>
      </c>
      <c r="DQ110">
        <v>2</v>
      </c>
      <c r="DR110">
        <v>2</v>
      </c>
      <c r="DS110">
        <v>2</v>
      </c>
      <c r="DT110">
        <v>2</v>
      </c>
      <c r="DU110">
        <v>2</v>
      </c>
      <c r="DV110">
        <v>2</v>
      </c>
      <c r="DW110">
        <v>2</v>
      </c>
      <c r="DX110">
        <v>2</v>
      </c>
      <c r="DY110">
        <v>2</v>
      </c>
      <c r="DZ110">
        <v>2</v>
      </c>
      <c r="EA110">
        <v>2</v>
      </c>
      <c r="EB110">
        <v>2</v>
      </c>
      <c r="EC110">
        <v>2</v>
      </c>
      <c r="ED110">
        <v>2</v>
      </c>
      <c r="EE110">
        <v>2</v>
      </c>
      <c r="EF110">
        <v>2</v>
      </c>
      <c r="EG110">
        <v>2</v>
      </c>
      <c r="EH110">
        <v>2</v>
      </c>
      <c r="EI110">
        <v>2</v>
      </c>
      <c r="EJ110">
        <v>2</v>
      </c>
      <c r="EK110">
        <v>2</v>
      </c>
      <c r="EL110">
        <v>2</v>
      </c>
      <c r="EM110">
        <v>2</v>
      </c>
      <c r="EN110">
        <v>2</v>
      </c>
      <c r="EO110">
        <v>2</v>
      </c>
      <c r="EP110">
        <v>2</v>
      </c>
      <c r="EQ110">
        <v>2</v>
      </c>
      <c r="ER110">
        <v>2</v>
      </c>
      <c r="ES110">
        <v>2</v>
      </c>
      <c r="ET110">
        <v>2</v>
      </c>
      <c r="EU110">
        <v>2</v>
      </c>
      <c r="EV110">
        <v>2</v>
      </c>
      <c r="EW110">
        <v>2</v>
      </c>
      <c r="EX110">
        <v>2</v>
      </c>
      <c r="EY110">
        <v>2</v>
      </c>
      <c r="EZ110">
        <v>2</v>
      </c>
      <c r="FA110">
        <v>2</v>
      </c>
      <c r="FB110">
        <v>2</v>
      </c>
      <c r="FC110">
        <v>2</v>
      </c>
      <c r="FD110">
        <v>2</v>
      </c>
      <c r="FE110">
        <v>2</v>
      </c>
      <c r="FF110">
        <v>2</v>
      </c>
      <c r="FG110">
        <v>2</v>
      </c>
      <c r="FH110">
        <v>2</v>
      </c>
      <c r="FI110">
        <v>2</v>
      </c>
      <c r="FJ110">
        <v>2</v>
      </c>
      <c r="FK110">
        <v>2</v>
      </c>
      <c r="FL110">
        <v>2</v>
      </c>
      <c r="FM110">
        <v>2</v>
      </c>
      <c r="FN110">
        <v>2</v>
      </c>
      <c r="FO110">
        <v>2</v>
      </c>
      <c r="FP110">
        <v>2</v>
      </c>
      <c r="FQ110">
        <v>2</v>
      </c>
      <c r="FR110">
        <v>2</v>
      </c>
      <c r="FS110">
        <v>2</v>
      </c>
      <c r="FT110">
        <v>2</v>
      </c>
      <c r="FU110">
        <v>2</v>
      </c>
      <c r="FV110">
        <v>2</v>
      </c>
      <c r="FW110">
        <v>2</v>
      </c>
      <c r="FX110">
        <v>2</v>
      </c>
      <c r="FY110">
        <v>2</v>
      </c>
      <c r="FZ110">
        <v>2</v>
      </c>
      <c r="GA110">
        <v>2</v>
      </c>
      <c r="GB110">
        <v>2</v>
      </c>
      <c r="GC110">
        <v>2</v>
      </c>
      <c r="GD110">
        <v>2</v>
      </c>
      <c r="GE110">
        <v>2</v>
      </c>
      <c r="GF110">
        <v>2</v>
      </c>
      <c r="GG110">
        <v>2</v>
      </c>
      <c r="GH110">
        <v>2</v>
      </c>
      <c r="GI110">
        <v>2</v>
      </c>
      <c r="GJ110">
        <v>2</v>
      </c>
      <c r="GK110">
        <v>2</v>
      </c>
      <c r="GL110">
        <v>2</v>
      </c>
      <c r="GM110">
        <v>2</v>
      </c>
      <c r="GN110">
        <v>2</v>
      </c>
      <c r="GO110">
        <v>2</v>
      </c>
      <c r="GP110">
        <v>2</v>
      </c>
      <c r="GQ110">
        <v>2</v>
      </c>
      <c r="GR110">
        <v>2</v>
      </c>
      <c r="GS110">
        <v>2</v>
      </c>
      <c r="GT110">
        <v>2</v>
      </c>
      <c r="GU110">
        <v>2</v>
      </c>
      <c r="GV110">
        <v>2</v>
      </c>
      <c r="GW110">
        <v>2</v>
      </c>
      <c r="GX110">
        <v>2</v>
      </c>
      <c r="GY110">
        <v>2</v>
      </c>
      <c r="GZ110">
        <v>2</v>
      </c>
      <c r="HA110">
        <v>2</v>
      </c>
      <c r="HB110">
        <v>2</v>
      </c>
      <c r="HC110">
        <v>2</v>
      </c>
      <c r="HD110">
        <v>2</v>
      </c>
      <c r="HE110">
        <v>2</v>
      </c>
      <c r="HF110">
        <v>2</v>
      </c>
      <c r="HG110">
        <v>2</v>
      </c>
      <c r="HH110">
        <v>2</v>
      </c>
      <c r="HI110">
        <v>2</v>
      </c>
      <c r="HJ110">
        <v>2</v>
      </c>
      <c r="HK110">
        <v>2</v>
      </c>
      <c r="HL110">
        <v>2</v>
      </c>
      <c r="HM110">
        <v>2</v>
      </c>
      <c r="HN110">
        <v>2</v>
      </c>
      <c r="HO110">
        <v>2</v>
      </c>
      <c r="HP110">
        <v>2</v>
      </c>
      <c r="HQ110">
        <v>2</v>
      </c>
      <c r="HR110">
        <v>2</v>
      </c>
      <c r="HS110">
        <v>2</v>
      </c>
      <c r="HT110">
        <v>2</v>
      </c>
      <c r="HU110">
        <v>2</v>
      </c>
      <c r="HV110">
        <v>2</v>
      </c>
      <c r="HW110">
        <v>2</v>
      </c>
      <c r="HX110">
        <v>2</v>
      </c>
      <c r="HY110">
        <v>2</v>
      </c>
      <c r="HZ110">
        <v>2</v>
      </c>
      <c r="IA110">
        <v>2</v>
      </c>
      <c r="IB110">
        <v>2</v>
      </c>
      <c r="IC110">
        <v>2</v>
      </c>
      <c r="ID110">
        <v>2</v>
      </c>
      <c r="IE110">
        <v>2</v>
      </c>
      <c r="IF110">
        <v>2</v>
      </c>
      <c r="IG110">
        <v>2</v>
      </c>
      <c r="IH110">
        <v>2</v>
      </c>
      <c r="II110">
        <v>2</v>
      </c>
      <c r="IJ110">
        <v>2</v>
      </c>
      <c r="IK110">
        <v>2</v>
      </c>
      <c r="IL110">
        <v>2</v>
      </c>
      <c r="IM110">
        <v>2</v>
      </c>
      <c r="IN110">
        <v>2</v>
      </c>
      <c r="IO110">
        <v>2</v>
      </c>
      <c r="IP110">
        <v>2</v>
      </c>
      <c r="IQ110">
        <v>2</v>
      </c>
      <c r="IR110">
        <v>2</v>
      </c>
      <c r="IS110">
        <v>2</v>
      </c>
      <c r="IT110">
        <v>2</v>
      </c>
      <c r="IU110">
        <v>2</v>
      </c>
      <c r="IV110">
        <v>2</v>
      </c>
      <c r="IW110">
        <v>2</v>
      </c>
      <c r="IX110">
        <v>2</v>
      </c>
      <c r="IY110">
        <v>2</v>
      </c>
      <c r="IZ110">
        <v>2</v>
      </c>
      <c r="JA110">
        <v>2</v>
      </c>
      <c r="JB110">
        <v>2</v>
      </c>
      <c r="JC110">
        <v>2</v>
      </c>
      <c r="JD110">
        <v>2</v>
      </c>
      <c r="JE110">
        <v>2</v>
      </c>
      <c r="JF110">
        <v>2</v>
      </c>
      <c r="JG110">
        <v>2</v>
      </c>
      <c r="JH110">
        <v>2</v>
      </c>
      <c r="JI110">
        <v>2</v>
      </c>
      <c r="JJ110">
        <v>2</v>
      </c>
      <c r="JK110">
        <v>2</v>
      </c>
      <c r="JL110">
        <v>2</v>
      </c>
      <c r="JM110">
        <v>2</v>
      </c>
      <c r="JN110">
        <v>2</v>
      </c>
      <c r="JO110">
        <v>2</v>
      </c>
      <c r="JP110">
        <v>2</v>
      </c>
      <c r="JQ110">
        <v>2</v>
      </c>
      <c r="JR110">
        <v>2</v>
      </c>
      <c r="JS110">
        <v>2</v>
      </c>
      <c r="JT110">
        <v>2</v>
      </c>
      <c r="JU110">
        <v>2</v>
      </c>
      <c r="JV110">
        <v>2</v>
      </c>
      <c r="JW110">
        <v>2</v>
      </c>
      <c r="JX110">
        <v>2</v>
      </c>
      <c r="JY110">
        <v>2</v>
      </c>
      <c r="JZ110">
        <v>2</v>
      </c>
      <c r="KA110">
        <v>2</v>
      </c>
      <c r="KB110">
        <v>2</v>
      </c>
      <c r="KC110">
        <v>2</v>
      </c>
      <c r="KD110">
        <v>2</v>
      </c>
      <c r="KE110">
        <v>2</v>
      </c>
      <c r="KF110">
        <v>2</v>
      </c>
      <c r="KG110">
        <v>2</v>
      </c>
      <c r="KH110">
        <v>2</v>
      </c>
      <c r="KI110">
        <v>2</v>
      </c>
      <c r="KJ110">
        <v>2</v>
      </c>
      <c r="KK110">
        <v>2</v>
      </c>
      <c r="KL110">
        <v>2</v>
      </c>
      <c r="KM110">
        <v>2</v>
      </c>
      <c r="KN110">
        <v>2</v>
      </c>
      <c r="KO110">
        <v>2</v>
      </c>
      <c r="KP110">
        <v>2</v>
      </c>
      <c r="KQ110">
        <v>2</v>
      </c>
      <c r="KR110">
        <v>2</v>
      </c>
      <c r="KS110">
        <v>2</v>
      </c>
      <c r="KT110">
        <v>1</v>
      </c>
      <c r="KU110">
        <v>1</v>
      </c>
      <c r="KV110">
        <v>1</v>
      </c>
      <c r="KW110">
        <v>1</v>
      </c>
      <c r="KX110">
        <v>1</v>
      </c>
      <c r="KY110">
        <v>1</v>
      </c>
      <c r="KZ110">
        <v>1</v>
      </c>
      <c r="LA110">
        <v>1</v>
      </c>
      <c r="LB110">
        <v>1</v>
      </c>
      <c r="LC110">
        <v>1</v>
      </c>
      <c r="LD110">
        <v>1</v>
      </c>
      <c r="LE110">
        <v>2</v>
      </c>
      <c r="LF110">
        <v>2</v>
      </c>
      <c r="LG110">
        <v>2</v>
      </c>
      <c r="LH110">
        <v>2</v>
      </c>
      <c r="LI110">
        <v>2</v>
      </c>
      <c r="LJ110">
        <v>2</v>
      </c>
      <c r="LK110">
        <v>2</v>
      </c>
      <c r="LL110">
        <v>2</v>
      </c>
      <c r="LM110">
        <v>2</v>
      </c>
      <c r="LN110">
        <v>2</v>
      </c>
      <c r="LO110">
        <v>2</v>
      </c>
      <c r="LP110">
        <v>2</v>
      </c>
      <c r="LQ110">
        <v>2</v>
      </c>
      <c r="LR110">
        <v>2</v>
      </c>
      <c r="LS110">
        <v>2</v>
      </c>
      <c r="LT110">
        <v>2</v>
      </c>
      <c r="LU110">
        <v>2</v>
      </c>
      <c r="LV110">
        <v>2</v>
      </c>
      <c r="LW110">
        <v>2</v>
      </c>
      <c r="LX110">
        <v>2</v>
      </c>
      <c r="LY110">
        <v>2</v>
      </c>
      <c r="LZ110">
        <v>2</v>
      </c>
      <c r="MA110">
        <v>2</v>
      </c>
      <c r="MB110">
        <v>2</v>
      </c>
      <c r="MC110">
        <v>2</v>
      </c>
      <c r="MD110">
        <v>2</v>
      </c>
      <c r="ME110">
        <v>2</v>
      </c>
      <c r="MF110">
        <v>2</v>
      </c>
      <c r="MG110">
        <v>2</v>
      </c>
      <c r="MH110">
        <v>2</v>
      </c>
      <c r="MI110">
        <v>2</v>
      </c>
      <c r="MJ110">
        <v>2</v>
      </c>
      <c r="MK110">
        <v>2</v>
      </c>
      <c r="ML110">
        <v>2</v>
      </c>
      <c r="MM110">
        <v>2</v>
      </c>
      <c r="MN110">
        <v>2</v>
      </c>
      <c r="MO110">
        <v>2</v>
      </c>
      <c r="MP110">
        <v>2</v>
      </c>
      <c r="MQ110">
        <v>2</v>
      </c>
      <c r="MR110">
        <v>2</v>
      </c>
      <c r="MS110">
        <v>2</v>
      </c>
      <c r="MT110">
        <v>2</v>
      </c>
      <c r="MU110">
        <v>2</v>
      </c>
      <c r="MV110">
        <v>2</v>
      </c>
      <c r="MW110">
        <v>2</v>
      </c>
      <c r="MX110">
        <v>2</v>
      </c>
      <c r="MY110">
        <v>2</v>
      </c>
      <c r="MZ110">
        <v>2</v>
      </c>
      <c r="NA110">
        <v>2</v>
      </c>
      <c r="NB110">
        <v>2</v>
      </c>
      <c r="NC110">
        <v>2</v>
      </c>
      <c r="ND110">
        <v>2</v>
      </c>
      <c r="NE110">
        <v>2</v>
      </c>
      <c r="NF110">
        <v>2</v>
      </c>
      <c r="NG110">
        <v>2</v>
      </c>
      <c r="NH110">
        <v>2</v>
      </c>
      <c r="NI110">
        <v>2</v>
      </c>
      <c r="NJ110">
        <v>2</v>
      </c>
      <c r="NK110">
        <v>2</v>
      </c>
      <c r="NL110">
        <v>2</v>
      </c>
      <c r="NM110">
        <v>2</v>
      </c>
      <c r="NN110">
        <v>2</v>
      </c>
      <c r="NO110">
        <v>2</v>
      </c>
      <c r="NP110">
        <v>2</v>
      </c>
      <c r="NQ110">
        <v>2</v>
      </c>
      <c r="NR110">
        <v>2</v>
      </c>
      <c r="NS110">
        <v>2</v>
      </c>
      <c r="NT110">
        <v>2</v>
      </c>
      <c r="NU110">
        <v>2</v>
      </c>
      <c r="NV110">
        <v>2</v>
      </c>
      <c r="NW110">
        <v>2</v>
      </c>
      <c r="NX110">
        <v>2</v>
      </c>
      <c r="NY110">
        <v>2</v>
      </c>
      <c r="NZ110">
        <v>2</v>
      </c>
      <c r="OA110">
        <v>2</v>
      </c>
      <c r="OB110">
        <v>2</v>
      </c>
      <c r="OC110">
        <v>2</v>
      </c>
      <c r="OD110">
        <v>2</v>
      </c>
      <c r="OE110">
        <v>2</v>
      </c>
      <c r="OF110">
        <v>2</v>
      </c>
      <c r="OG110">
        <v>2</v>
      </c>
      <c r="OH110">
        <v>2</v>
      </c>
      <c r="OI110">
        <v>2</v>
      </c>
      <c r="OJ110">
        <v>2</v>
      </c>
      <c r="OK110">
        <v>2</v>
      </c>
      <c r="OL110">
        <v>2</v>
      </c>
      <c r="OM110">
        <v>2</v>
      </c>
      <c r="ON110">
        <v>2</v>
      </c>
      <c r="OO110">
        <v>2</v>
      </c>
      <c r="OP110">
        <v>2</v>
      </c>
      <c r="OQ110">
        <v>2</v>
      </c>
      <c r="OR110">
        <v>2</v>
      </c>
      <c r="OS110">
        <v>2</v>
      </c>
      <c r="OT110">
        <v>2</v>
      </c>
      <c r="OU110">
        <v>2</v>
      </c>
      <c r="OV110">
        <v>2</v>
      </c>
      <c r="OW110">
        <v>2</v>
      </c>
      <c r="OX110">
        <v>2</v>
      </c>
      <c r="OY110">
        <v>2</v>
      </c>
      <c r="OZ110">
        <v>2</v>
      </c>
      <c r="PA110">
        <v>2</v>
      </c>
      <c r="PB110">
        <v>2</v>
      </c>
      <c r="PC110">
        <v>2</v>
      </c>
      <c r="PD110">
        <v>2</v>
      </c>
      <c r="PE110">
        <v>2</v>
      </c>
      <c r="PF110">
        <v>2</v>
      </c>
      <c r="PG110">
        <v>2</v>
      </c>
      <c r="PH110">
        <v>2</v>
      </c>
      <c r="PI110">
        <v>2</v>
      </c>
      <c r="PJ110">
        <v>2</v>
      </c>
      <c r="PK110">
        <v>2</v>
      </c>
      <c r="PL110">
        <v>2</v>
      </c>
      <c r="PM110">
        <v>2</v>
      </c>
      <c r="PN110">
        <v>2</v>
      </c>
      <c r="PO110">
        <v>2</v>
      </c>
      <c r="PP110">
        <v>2</v>
      </c>
      <c r="PQ110">
        <v>2</v>
      </c>
      <c r="PR110">
        <v>2</v>
      </c>
      <c r="PS110">
        <v>2</v>
      </c>
      <c r="PT110">
        <v>2</v>
      </c>
      <c r="PU110">
        <v>2</v>
      </c>
      <c r="PV110">
        <v>2</v>
      </c>
      <c r="PW110">
        <v>2</v>
      </c>
      <c r="PX110">
        <v>2</v>
      </c>
      <c r="PY110">
        <v>2</v>
      </c>
      <c r="PZ110">
        <v>2</v>
      </c>
      <c r="QA110">
        <v>2</v>
      </c>
      <c r="QB110">
        <v>2</v>
      </c>
      <c r="QC110">
        <v>2</v>
      </c>
      <c r="QD110">
        <v>2</v>
      </c>
      <c r="QE110">
        <v>2</v>
      </c>
      <c r="QF110">
        <v>2</v>
      </c>
      <c r="QG110">
        <v>2</v>
      </c>
      <c r="QH110">
        <v>2</v>
      </c>
      <c r="QI110">
        <v>2</v>
      </c>
      <c r="QJ110">
        <v>2</v>
      </c>
      <c r="QK110">
        <v>2</v>
      </c>
      <c r="QL110">
        <v>2</v>
      </c>
      <c r="QM110">
        <v>2</v>
      </c>
      <c r="QN110">
        <v>2</v>
      </c>
      <c r="QO110">
        <v>2</v>
      </c>
      <c r="QP110">
        <v>2</v>
      </c>
      <c r="QQ110">
        <v>2</v>
      </c>
      <c r="QR110">
        <v>2</v>
      </c>
      <c r="QS110">
        <v>2</v>
      </c>
      <c r="QT110">
        <v>2</v>
      </c>
      <c r="QU110">
        <v>2</v>
      </c>
      <c r="QV110">
        <v>2</v>
      </c>
      <c r="QW110">
        <v>2</v>
      </c>
      <c r="QX110">
        <v>2</v>
      </c>
      <c r="QY110">
        <v>2</v>
      </c>
      <c r="QZ110">
        <v>2</v>
      </c>
      <c r="RA110">
        <v>2</v>
      </c>
      <c r="RB110">
        <v>2</v>
      </c>
      <c r="RC110">
        <v>2</v>
      </c>
      <c r="RD110">
        <v>2</v>
      </c>
      <c r="RE110">
        <v>2</v>
      </c>
      <c r="RF110">
        <v>2</v>
      </c>
      <c r="RG110">
        <v>2</v>
      </c>
      <c r="RH110">
        <v>2</v>
      </c>
      <c r="RI110">
        <v>2</v>
      </c>
      <c r="RJ110">
        <v>2</v>
      </c>
      <c r="RK110">
        <v>2</v>
      </c>
      <c r="RL110">
        <v>2</v>
      </c>
      <c r="RM110">
        <v>2</v>
      </c>
      <c r="RN110">
        <v>2</v>
      </c>
      <c r="RO110">
        <v>2</v>
      </c>
      <c r="RP110">
        <v>2</v>
      </c>
      <c r="RQ110">
        <v>2</v>
      </c>
      <c r="RR110">
        <v>2</v>
      </c>
      <c r="RS110">
        <v>2</v>
      </c>
      <c r="RT110">
        <v>2</v>
      </c>
      <c r="RU110">
        <v>2</v>
      </c>
      <c r="RV110">
        <v>2</v>
      </c>
      <c r="RW110">
        <v>2</v>
      </c>
      <c r="RX110">
        <v>2</v>
      </c>
      <c r="RY110">
        <v>2</v>
      </c>
      <c r="RZ110">
        <v>2</v>
      </c>
      <c r="SA110">
        <v>2</v>
      </c>
      <c r="SB110">
        <v>2</v>
      </c>
      <c r="SC110">
        <v>2</v>
      </c>
      <c r="SD110">
        <v>2</v>
      </c>
      <c r="SE110">
        <v>2</v>
      </c>
      <c r="SF110">
        <v>2</v>
      </c>
      <c r="SG110">
        <v>2</v>
      </c>
      <c r="SH110">
        <v>2</v>
      </c>
      <c r="SI110">
        <v>2</v>
      </c>
      <c r="SJ110">
        <v>2</v>
      </c>
      <c r="SK110">
        <v>2</v>
      </c>
      <c r="SL110">
        <v>2</v>
      </c>
      <c r="SM110">
        <v>2</v>
      </c>
      <c r="SN110">
        <v>2</v>
      </c>
      <c r="SO110">
        <v>2</v>
      </c>
      <c r="SP110">
        <v>2</v>
      </c>
      <c r="SQ110">
        <v>2</v>
      </c>
      <c r="SR110">
        <v>2</v>
      </c>
      <c r="SS110">
        <v>2</v>
      </c>
      <c r="ST110">
        <v>2</v>
      </c>
      <c r="SU110">
        <v>2</v>
      </c>
      <c r="SV110">
        <v>2</v>
      </c>
      <c r="SW110">
        <v>2</v>
      </c>
      <c r="SX110">
        <v>2</v>
      </c>
      <c r="SY110">
        <v>2</v>
      </c>
      <c r="SZ110">
        <v>2</v>
      </c>
      <c r="TA110">
        <v>2</v>
      </c>
      <c r="TB110">
        <v>2</v>
      </c>
      <c r="TC110">
        <v>2</v>
      </c>
      <c r="TD110">
        <v>2</v>
      </c>
      <c r="TE110">
        <v>2</v>
      </c>
      <c r="TF110">
        <v>2</v>
      </c>
      <c r="TG110">
        <v>2</v>
      </c>
      <c r="TH110">
        <v>2</v>
      </c>
      <c r="TI110">
        <v>2</v>
      </c>
      <c r="TJ110">
        <v>2</v>
      </c>
      <c r="TK110">
        <v>2</v>
      </c>
      <c r="TL110">
        <v>2</v>
      </c>
      <c r="TM110">
        <v>2</v>
      </c>
      <c r="TN110">
        <v>2</v>
      </c>
      <c r="TO110">
        <v>2</v>
      </c>
      <c r="TP110">
        <v>2</v>
      </c>
      <c r="TQ110">
        <v>2</v>
      </c>
      <c r="TR110">
        <v>2</v>
      </c>
      <c r="TS110">
        <v>2</v>
      </c>
      <c r="TT110">
        <v>2</v>
      </c>
      <c r="TU110">
        <v>2</v>
      </c>
      <c r="TV110">
        <v>2</v>
      </c>
      <c r="TW110">
        <v>2</v>
      </c>
      <c r="TX110">
        <v>2</v>
      </c>
      <c r="TY110">
        <v>2</v>
      </c>
      <c r="TZ110">
        <v>2</v>
      </c>
      <c r="UA110">
        <v>2</v>
      </c>
      <c r="UB110">
        <v>2</v>
      </c>
      <c r="UC110">
        <v>2</v>
      </c>
      <c r="UD110">
        <v>2</v>
      </c>
      <c r="UE110">
        <v>2</v>
      </c>
      <c r="UF110">
        <v>2</v>
      </c>
      <c r="UG110">
        <v>2</v>
      </c>
      <c r="UH110">
        <v>2</v>
      </c>
      <c r="UI110">
        <v>1</v>
      </c>
      <c r="UJ110">
        <v>1</v>
      </c>
      <c r="UK110">
        <v>1</v>
      </c>
      <c r="UL110">
        <v>1</v>
      </c>
      <c r="UM110">
        <v>1</v>
      </c>
      <c r="UN110">
        <v>1</v>
      </c>
      <c r="UO110">
        <v>1</v>
      </c>
      <c r="UP110">
        <v>1</v>
      </c>
      <c r="UQ110">
        <v>1</v>
      </c>
      <c r="UR110">
        <v>1</v>
      </c>
      <c r="US110">
        <v>1</v>
      </c>
      <c r="UT110">
        <v>1</v>
      </c>
      <c r="UU110">
        <v>1</v>
      </c>
      <c r="UV110">
        <v>1</v>
      </c>
      <c r="UW110">
        <v>1</v>
      </c>
      <c r="UX110">
        <v>1</v>
      </c>
      <c r="UY110">
        <v>1</v>
      </c>
      <c r="UZ110">
        <v>1</v>
      </c>
      <c r="VA110">
        <v>1</v>
      </c>
      <c r="VB110">
        <v>1</v>
      </c>
      <c r="VC110">
        <v>1</v>
      </c>
      <c r="VD110">
        <v>1</v>
      </c>
      <c r="VE110">
        <v>1</v>
      </c>
      <c r="VF110">
        <v>2</v>
      </c>
      <c r="VG110">
        <v>1</v>
      </c>
      <c r="VH110">
        <v>1</v>
      </c>
      <c r="VI110">
        <v>1</v>
      </c>
      <c r="VJ110">
        <v>1</v>
      </c>
      <c r="VK110">
        <v>1</v>
      </c>
      <c r="VL110">
        <v>1</v>
      </c>
      <c r="VM110">
        <v>1</v>
      </c>
      <c r="VN110">
        <v>1</v>
      </c>
      <c r="VO110">
        <v>1</v>
      </c>
      <c r="VP110">
        <v>1</v>
      </c>
      <c r="VQ110">
        <v>1</v>
      </c>
      <c r="VR110">
        <v>1</v>
      </c>
      <c r="VS110">
        <v>1</v>
      </c>
      <c r="VT110">
        <v>1</v>
      </c>
      <c r="VU110">
        <v>1</v>
      </c>
      <c r="VV110">
        <v>1</v>
      </c>
      <c r="VW110">
        <v>1</v>
      </c>
      <c r="VX110">
        <v>1</v>
      </c>
      <c r="VY110">
        <v>1</v>
      </c>
      <c r="VZ110">
        <v>1</v>
      </c>
      <c r="WA110">
        <v>1</v>
      </c>
      <c r="WB110">
        <v>1</v>
      </c>
      <c r="WC110">
        <v>1</v>
      </c>
      <c r="WD110">
        <v>1</v>
      </c>
      <c r="WE110">
        <v>2</v>
      </c>
      <c r="WF110">
        <v>2</v>
      </c>
      <c r="WG110">
        <v>2</v>
      </c>
      <c r="WH110">
        <v>2</v>
      </c>
      <c r="WI110">
        <v>2</v>
      </c>
      <c r="WJ110">
        <v>2</v>
      </c>
      <c r="WK110">
        <v>2</v>
      </c>
      <c r="WL110">
        <v>2</v>
      </c>
      <c r="WM110">
        <v>2</v>
      </c>
      <c r="WN110">
        <v>2</v>
      </c>
      <c r="WO110">
        <v>2</v>
      </c>
      <c r="WP110">
        <v>2</v>
      </c>
      <c r="WQ110">
        <v>2</v>
      </c>
      <c r="WR110">
        <v>2</v>
      </c>
      <c r="WS110">
        <v>2</v>
      </c>
      <c r="WT110">
        <v>2</v>
      </c>
      <c r="WU110">
        <v>2</v>
      </c>
      <c r="WV110">
        <v>2</v>
      </c>
      <c r="WW110">
        <v>2</v>
      </c>
      <c r="WX110">
        <v>2</v>
      </c>
      <c r="WY110">
        <v>2</v>
      </c>
      <c r="WZ110">
        <v>2</v>
      </c>
      <c r="XA110">
        <v>2</v>
      </c>
      <c r="XB110">
        <v>2</v>
      </c>
      <c r="XC110">
        <v>2</v>
      </c>
      <c r="XD110">
        <v>2</v>
      </c>
      <c r="XE110">
        <v>2</v>
      </c>
      <c r="XF110">
        <v>2</v>
      </c>
      <c r="XG110">
        <v>2</v>
      </c>
      <c r="XH110">
        <v>2</v>
      </c>
      <c r="XI110">
        <v>2</v>
      </c>
      <c r="XJ110">
        <v>2</v>
      </c>
      <c r="XK110">
        <v>2</v>
      </c>
      <c r="XL110">
        <v>2</v>
      </c>
      <c r="XM110">
        <v>2</v>
      </c>
      <c r="XN110">
        <v>2</v>
      </c>
      <c r="XO110">
        <v>2</v>
      </c>
      <c r="XP110">
        <v>2</v>
      </c>
      <c r="XQ110">
        <v>2</v>
      </c>
      <c r="XR110">
        <v>2</v>
      </c>
      <c r="XS110">
        <v>2</v>
      </c>
      <c r="XT110">
        <v>2</v>
      </c>
      <c r="XU110">
        <v>2</v>
      </c>
      <c r="XV110">
        <v>2</v>
      </c>
      <c r="XW110">
        <v>2</v>
      </c>
      <c r="XX110">
        <v>2</v>
      </c>
      <c r="XY110">
        <v>2</v>
      </c>
      <c r="XZ110">
        <v>2</v>
      </c>
      <c r="YA110">
        <v>2</v>
      </c>
      <c r="YB110">
        <v>2</v>
      </c>
      <c r="YC110">
        <v>2</v>
      </c>
      <c r="YD110">
        <v>2</v>
      </c>
      <c r="YE110">
        <v>2</v>
      </c>
      <c r="YF110">
        <v>2</v>
      </c>
      <c r="YG110">
        <v>2</v>
      </c>
      <c r="YH110">
        <v>2</v>
      </c>
      <c r="YI110">
        <v>2</v>
      </c>
      <c r="YJ110">
        <v>2</v>
      </c>
      <c r="YK110">
        <v>2</v>
      </c>
      <c r="YL110">
        <v>2</v>
      </c>
      <c r="YM110">
        <v>2</v>
      </c>
      <c r="YN110">
        <v>2</v>
      </c>
      <c r="YO110">
        <v>2</v>
      </c>
      <c r="YP110">
        <v>2</v>
      </c>
      <c r="YQ110">
        <v>2</v>
      </c>
      <c r="YR110">
        <v>2</v>
      </c>
      <c r="YS110">
        <v>2</v>
      </c>
      <c r="YT110">
        <v>2</v>
      </c>
      <c r="YU110">
        <v>2</v>
      </c>
      <c r="YV110">
        <v>2</v>
      </c>
      <c r="YW110">
        <v>2</v>
      </c>
      <c r="YX110">
        <v>2</v>
      </c>
      <c r="YY110">
        <v>2</v>
      </c>
      <c r="YZ110">
        <v>2</v>
      </c>
      <c r="ZA110">
        <v>2</v>
      </c>
      <c r="ZB110">
        <v>2</v>
      </c>
      <c r="ZC110">
        <v>2</v>
      </c>
      <c r="ZD110">
        <v>2</v>
      </c>
      <c r="ZE110">
        <v>2</v>
      </c>
      <c r="ZF110">
        <v>0</v>
      </c>
      <c r="ZG110">
        <v>0</v>
      </c>
      <c r="ZH110">
        <v>0</v>
      </c>
      <c r="ZI110">
        <v>0</v>
      </c>
      <c r="ZJ110">
        <v>0</v>
      </c>
      <c r="ZK110">
        <v>0</v>
      </c>
      <c r="ZL110">
        <v>0</v>
      </c>
      <c r="ZM110">
        <v>0</v>
      </c>
      <c r="ZN110">
        <v>0</v>
      </c>
      <c r="ZO110">
        <v>0</v>
      </c>
      <c r="ZP110">
        <v>0</v>
      </c>
      <c r="ZQ110">
        <v>0</v>
      </c>
      <c r="ZR110">
        <v>0</v>
      </c>
      <c r="ZS110">
        <v>0</v>
      </c>
      <c r="ZT110">
        <v>0</v>
      </c>
      <c r="ZU110">
        <v>0</v>
      </c>
      <c r="ZV110">
        <v>0</v>
      </c>
      <c r="ZW110">
        <v>0</v>
      </c>
      <c r="ZX110">
        <v>0</v>
      </c>
      <c r="ZY110">
        <v>0</v>
      </c>
      <c r="ZZ110">
        <v>0</v>
      </c>
      <c r="AAA110">
        <v>0</v>
      </c>
      <c r="AAB110">
        <v>0</v>
      </c>
      <c r="AAC110">
        <v>0</v>
      </c>
      <c r="AAD110">
        <v>0</v>
      </c>
      <c r="AAE110">
        <v>0</v>
      </c>
      <c r="AAF110">
        <v>0</v>
      </c>
      <c r="AAG110">
        <v>0</v>
      </c>
      <c r="AAH110">
        <v>0</v>
      </c>
      <c r="AAI110">
        <v>0</v>
      </c>
      <c r="AAJ110">
        <v>0</v>
      </c>
      <c r="AAK110">
        <v>0</v>
      </c>
      <c r="AAL110">
        <v>0</v>
      </c>
      <c r="AAM110">
        <v>0</v>
      </c>
      <c r="AAN110">
        <v>0</v>
      </c>
      <c r="AAO110">
        <v>0</v>
      </c>
      <c r="AAP110">
        <v>0</v>
      </c>
      <c r="AAQ110">
        <v>0</v>
      </c>
      <c r="AAR110">
        <v>0</v>
      </c>
      <c r="AAS110">
        <v>0</v>
      </c>
      <c r="AAT110">
        <v>0</v>
      </c>
      <c r="AAU110">
        <v>0</v>
      </c>
      <c r="AAV110">
        <v>0</v>
      </c>
      <c r="AAW110">
        <v>0</v>
      </c>
      <c r="AAX110">
        <v>0</v>
      </c>
      <c r="AAY110">
        <v>0</v>
      </c>
      <c r="AAZ110">
        <v>0</v>
      </c>
      <c r="ABA110">
        <v>0</v>
      </c>
      <c r="ABB110">
        <v>0</v>
      </c>
      <c r="ABC110">
        <v>0</v>
      </c>
      <c r="ABD110">
        <v>0</v>
      </c>
      <c r="ABE110">
        <v>0</v>
      </c>
      <c r="ABG110" s="1137">
        <f t="shared" si="26"/>
        <v>0</v>
      </c>
      <c r="ABH110" s="1137">
        <f t="shared" si="26"/>
        <v>0</v>
      </c>
      <c r="ABI110" s="1137">
        <f t="shared" si="26"/>
        <v>19</v>
      </c>
      <c r="ABJ110" s="1137">
        <f t="shared" si="26"/>
        <v>30</v>
      </c>
      <c r="ABK110" s="1137">
        <f t="shared" si="26"/>
        <v>31</v>
      </c>
      <c r="ABL110" s="1137">
        <f t="shared" si="26"/>
        <v>30</v>
      </c>
      <c r="ABM110" s="1137">
        <f t="shared" si="26"/>
        <v>31</v>
      </c>
      <c r="ABN110" s="1137">
        <f t="shared" si="26"/>
        <v>31</v>
      </c>
      <c r="ABO110" s="1137">
        <f t="shared" si="26"/>
        <v>30</v>
      </c>
      <c r="ABP110" s="1137">
        <f t="shared" si="26"/>
        <v>31</v>
      </c>
      <c r="ABQ110" s="1137">
        <f t="shared" si="26"/>
        <v>30</v>
      </c>
      <c r="ABR110" s="1137">
        <f t="shared" si="26"/>
        <v>31</v>
      </c>
      <c r="ABS110" s="1137">
        <f t="shared" si="26"/>
        <v>31</v>
      </c>
      <c r="ABT110" s="1137">
        <f t="shared" si="26"/>
        <v>28</v>
      </c>
      <c r="ABU110" s="1137">
        <f t="shared" si="26"/>
        <v>31</v>
      </c>
      <c r="ABV110" s="1137">
        <f t="shared" si="26"/>
        <v>30</v>
      </c>
      <c r="ABW110" s="1137">
        <f t="shared" si="17"/>
        <v>31</v>
      </c>
      <c r="ABX110" s="1137">
        <f t="shared" si="23"/>
        <v>30</v>
      </c>
      <c r="ABY110" s="1137">
        <f t="shared" si="23"/>
        <v>31</v>
      </c>
      <c r="ABZ110" s="1137">
        <f t="shared" si="23"/>
        <v>31</v>
      </c>
      <c r="ACA110" s="1137">
        <f t="shared" si="23"/>
        <v>30</v>
      </c>
      <c r="ACB110" s="1137">
        <f t="shared" si="23"/>
        <v>31</v>
      </c>
      <c r="ACC110" s="1137">
        <f t="shared" si="23"/>
        <v>9</v>
      </c>
      <c r="ACD110" s="1137">
        <f t="shared" si="23"/>
        <v>0</v>
      </c>
      <c r="ACE110" s="1137" t="s">
        <v>223</v>
      </c>
      <c r="ACF110" s="1137">
        <f t="shared" si="28"/>
        <v>0</v>
      </c>
      <c r="ACG110" s="1137">
        <f t="shared" si="28"/>
        <v>0</v>
      </c>
      <c r="ACH110" s="1137">
        <f t="shared" si="28"/>
        <v>1</v>
      </c>
      <c r="ACI110" s="1137">
        <f t="shared" si="28"/>
        <v>1</v>
      </c>
      <c r="ACJ110" s="1137">
        <f t="shared" si="28"/>
        <v>1</v>
      </c>
      <c r="ACK110" s="1137">
        <f t="shared" si="28"/>
        <v>1</v>
      </c>
      <c r="ACL110" s="1137">
        <f t="shared" si="28"/>
        <v>1</v>
      </c>
      <c r="ACM110" s="1137">
        <f t="shared" si="28"/>
        <v>1</v>
      </c>
      <c r="ACN110" s="1137">
        <f t="shared" si="28"/>
        <v>1</v>
      </c>
      <c r="ACO110" s="1137">
        <f t="shared" si="28"/>
        <v>1</v>
      </c>
      <c r="ACP110" s="1137">
        <f t="shared" si="28"/>
        <v>1</v>
      </c>
      <c r="ACQ110" s="1137">
        <f t="shared" si="28"/>
        <v>1</v>
      </c>
      <c r="ACR110" s="1137">
        <f t="shared" si="28"/>
        <v>1</v>
      </c>
      <c r="ACS110" s="1137">
        <f t="shared" si="28"/>
        <v>1</v>
      </c>
      <c r="ACT110" s="1137">
        <f t="shared" si="28"/>
        <v>1</v>
      </c>
      <c r="ACU110" s="1137">
        <f t="shared" si="27"/>
        <v>1</v>
      </c>
      <c r="ACV110" s="1137">
        <f t="shared" si="24"/>
        <v>1</v>
      </c>
      <c r="ACW110" s="1137">
        <f t="shared" si="24"/>
        <v>1</v>
      </c>
      <c r="ACX110" s="1137">
        <f t="shared" si="24"/>
        <v>1</v>
      </c>
      <c r="ACY110" s="1137">
        <f t="shared" si="24"/>
        <v>1</v>
      </c>
      <c r="ACZ110" s="1137">
        <f t="shared" si="24"/>
        <v>1</v>
      </c>
      <c r="ADA110" s="1137">
        <f t="shared" si="24"/>
        <v>1</v>
      </c>
      <c r="ADB110" s="1137">
        <f t="shared" si="16"/>
        <v>0</v>
      </c>
      <c r="ADC110" s="1137">
        <f t="shared" si="16"/>
        <v>0</v>
      </c>
    </row>
    <row r="111" spans="1:783" x14ac:dyDescent="0.25">
      <c r="A111" t="s">
        <v>1910</v>
      </c>
      <c r="B111" t="s">
        <v>1911</v>
      </c>
      <c r="C111">
        <v>0</v>
      </c>
      <c r="D111">
        <v>0</v>
      </c>
      <c r="E111">
        <v>0</v>
      </c>
      <c r="F111">
        <v>0</v>
      </c>
      <c r="G111">
        <v>0</v>
      </c>
      <c r="H111">
        <v>0</v>
      </c>
      <c r="I111">
        <v>0</v>
      </c>
      <c r="J111">
        <v>0</v>
      </c>
      <c r="K111">
        <v>0</v>
      </c>
      <c r="L111">
        <v>0</v>
      </c>
      <c r="M111">
        <v>0</v>
      </c>
      <c r="N111">
        <v>0</v>
      </c>
      <c r="O111">
        <v>0</v>
      </c>
      <c r="P111">
        <v>0</v>
      </c>
      <c r="Q111">
        <v>0</v>
      </c>
      <c r="R111">
        <v>0</v>
      </c>
      <c r="S111">
        <v>0</v>
      </c>
      <c r="T111">
        <v>0</v>
      </c>
      <c r="U111">
        <v>0</v>
      </c>
      <c r="V111">
        <v>0</v>
      </c>
      <c r="W111">
        <v>0</v>
      </c>
      <c r="X111">
        <v>0</v>
      </c>
      <c r="Y111">
        <v>0</v>
      </c>
      <c r="Z111">
        <v>0</v>
      </c>
      <c r="AA111">
        <v>0</v>
      </c>
      <c r="AB111">
        <v>0</v>
      </c>
      <c r="AC111">
        <v>0</v>
      </c>
      <c r="AD111">
        <v>0</v>
      </c>
      <c r="AE111">
        <v>0</v>
      </c>
      <c r="AF111">
        <v>0</v>
      </c>
      <c r="AG111">
        <v>0</v>
      </c>
      <c r="AH111">
        <v>0</v>
      </c>
      <c r="AI111">
        <v>0</v>
      </c>
      <c r="AJ111">
        <v>0</v>
      </c>
      <c r="AK111">
        <v>0</v>
      </c>
      <c r="AL111">
        <v>0</v>
      </c>
      <c r="AM111">
        <v>0</v>
      </c>
      <c r="AN111">
        <v>0</v>
      </c>
      <c r="AO111">
        <v>0</v>
      </c>
      <c r="AP111">
        <v>0</v>
      </c>
      <c r="AQ111">
        <v>0</v>
      </c>
      <c r="AR111">
        <v>0</v>
      </c>
      <c r="AS111">
        <v>0</v>
      </c>
      <c r="AT111">
        <v>0</v>
      </c>
      <c r="AU111">
        <v>0</v>
      </c>
      <c r="AV111">
        <v>0</v>
      </c>
      <c r="AW111">
        <v>0</v>
      </c>
      <c r="AX111">
        <v>0</v>
      </c>
      <c r="AY111">
        <v>0</v>
      </c>
      <c r="AZ111">
        <v>0</v>
      </c>
      <c r="BA111">
        <v>0</v>
      </c>
      <c r="BB111">
        <v>0</v>
      </c>
      <c r="BC111">
        <v>0</v>
      </c>
      <c r="BD111">
        <v>0</v>
      </c>
      <c r="BE111">
        <v>0</v>
      </c>
      <c r="BF111">
        <v>0</v>
      </c>
      <c r="BG111">
        <v>0</v>
      </c>
      <c r="BH111">
        <v>0</v>
      </c>
      <c r="BI111">
        <v>1</v>
      </c>
      <c r="BJ111">
        <v>1</v>
      </c>
      <c r="BK111">
        <v>1</v>
      </c>
      <c r="BL111">
        <v>1</v>
      </c>
      <c r="BM111">
        <v>1</v>
      </c>
      <c r="BN111">
        <v>1</v>
      </c>
      <c r="BO111">
        <v>1</v>
      </c>
      <c r="BP111">
        <v>1</v>
      </c>
      <c r="BQ111">
        <v>1</v>
      </c>
      <c r="BR111">
        <v>1</v>
      </c>
      <c r="BS111">
        <v>1</v>
      </c>
      <c r="BT111">
        <v>1</v>
      </c>
      <c r="BU111">
        <v>2</v>
      </c>
      <c r="BV111">
        <v>2</v>
      </c>
      <c r="BW111">
        <v>2</v>
      </c>
      <c r="BX111">
        <v>2</v>
      </c>
      <c r="BY111">
        <v>2</v>
      </c>
      <c r="BZ111">
        <v>2</v>
      </c>
      <c r="CA111">
        <v>2</v>
      </c>
      <c r="CB111">
        <v>2</v>
      </c>
      <c r="CC111">
        <v>2</v>
      </c>
      <c r="CD111">
        <v>2</v>
      </c>
      <c r="CE111">
        <v>2</v>
      </c>
      <c r="CF111">
        <v>2</v>
      </c>
      <c r="CG111">
        <v>2</v>
      </c>
      <c r="CH111">
        <v>2</v>
      </c>
      <c r="CI111">
        <v>2</v>
      </c>
      <c r="CJ111">
        <v>2</v>
      </c>
      <c r="CK111">
        <v>2</v>
      </c>
      <c r="CL111">
        <v>2</v>
      </c>
      <c r="CM111">
        <v>2</v>
      </c>
      <c r="CN111">
        <v>2</v>
      </c>
      <c r="CO111">
        <v>2</v>
      </c>
      <c r="CP111">
        <v>2</v>
      </c>
      <c r="CQ111">
        <v>2</v>
      </c>
      <c r="CR111">
        <v>2</v>
      </c>
      <c r="CS111">
        <v>2</v>
      </c>
      <c r="CT111">
        <v>2</v>
      </c>
      <c r="CU111">
        <v>2</v>
      </c>
      <c r="CV111">
        <v>2</v>
      </c>
      <c r="CW111">
        <v>2</v>
      </c>
      <c r="CX111">
        <v>2</v>
      </c>
      <c r="CY111">
        <v>2</v>
      </c>
      <c r="CZ111">
        <v>2</v>
      </c>
      <c r="DA111">
        <v>2</v>
      </c>
      <c r="DB111">
        <v>2</v>
      </c>
      <c r="DC111">
        <v>2</v>
      </c>
      <c r="DD111">
        <v>2</v>
      </c>
      <c r="DE111">
        <v>2</v>
      </c>
      <c r="DF111">
        <v>2</v>
      </c>
      <c r="DG111">
        <v>2</v>
      </c>
      <c r="DH111">
        <v>2</v>
      </c>
      <c r="DI111">
        <v>2</v>
      </c>
      <c r="DJ111">
        <v>2</v>
      </c>
      <c r="DK111">
        <v>2</v>
      </c>
      <c r="DL111">
        <v>2</v>
      </c>
      <c r="DM111">
        <v>2</v>
      </c>
      <c r="DN111">
        <v>2</v>
      </c>
      <c r="DO111">
        <v>2</v>
      </c>
      <c r="DP111">
        <v>2</v>
      </c>
      <c r="DQ111">
        <v>2</v>
      </c>
      <c r="DR111">
        <v>2</v>
      </c>
      <c r="DS111">
        <v>2</v>
      </c>
      <c r="DT111">
        <v>2</v>
      </c>
      <c r="DU111">
        <v>2</v>
      </c>
      <c r="DV111">
        <v>2</v>
      </c>
      <c r="DW111">
        <v>1</v>
      </c>
      <c r="DX111">
        <v>1</v>
      </c>
      <c r="DY111">
        <v>1</v>
      </c>
      <c r="DZ111">
        <v>1</v>
      </c>
      <c r="EA111">
        <v>1</v>
      </c>
      <c r="EB111">
        <v>1</v>
      </c>
      <c r="EC111">
        <v>1</v>
      </c>
      <c r="ED111">
        <v>1</v>
      </c>
      <c r="EE111">
        <v>1</v>
      </c>
      <c r="EF111">
        <v>1</v>
      </c>
      <c r="EG111">
        <v>1</v>
      </c>
      <c r="EH111">
        <v>1</v>
      </c>
      <c r="EI111">
        <v>1</v>
      </c>
      <c r="EJ111">
        <v>1</v>
      </c>
      <c r="EK111">
        <v>1</v>
      </c>
      <c r="EL111">
        <v>1</v>
      </c>
      <c r="EM111">
        <v>1</v>
      </c>
      <c r="EN111">
        <v>1</v>
      </c>
      <c r="EO111">
        <v>1</v>
      </c>
      <c r="EP111">
        <v>1</v>
      </c>
      <c r="EQ111">
        <v>1</v>
      </c>
      <c r="ER111">
        <v>1</v>
      </c>
      <c r="ES111">
        <v>1</v>
      </c>
      <c r="ET111">
        <v>1</v>
      </c>
      <c r="EU111">
        <v>1</v>
      </c>
      <c r="EV111">
        <v>1</v>
      </c>
      <c r="EW111">
        <v>1</v>
      </c>
      <c r="EX111">
        <v>1</v>
      </c>
      <c r="EY111">
        <v>1</v>
      </c>
      <c r="EZ111">
        <v>1</v>
      </c>
      <c r="FA111">
        <v>1</v>
      </c>
      <c r="FB111">
        <v>1</v>
      </c>
      <c r="FC111">
        <v>1</v>
      </c>
      <c r="FD111">
        <v>1</v>
      </c>
      <c r="FE111">
        <v>1</v>
      </c>
      <c r="FF111">
        <v>1</v>
      </c>
      <c r="FG111">
        <v>1</v>
      </c>
      <c r="FH111">
        <v>1</v>
      </c>
      <c r="FI111">
        <v>1</v>
      </c>
      <c r="FJ111">
        <v>1</v>
      </c>
      <c r="FK111">
        <v>1</v>
      </c>
      <c r="FL111">
        <v>1</v>
      </c>
      <c r="FM111">
        <v>1</v>
      </c>
      <c r="FN111">
        <v>1</v>
      </c>
      <c r="FO111">
        <v>1</v>
      </c>
      <c r="FP111">
        <v>1</v>
      </c>
      <c r="FQ111">
        <v>1</v>
      </c>
      <c r="FR111">
        <v>1</v>
      </c>
      <c r="FS111">
        <v>1</v>
      </c>
      <c r="FT111">
        <v>1</v>
      </c>
      <c r="FU111">
        <v>1</v>
      </c>
      <c r="FV111">
        <v>1</v>
      </c>
      <c r="FW111">
        <v>1</v>
      </c>
      <c r="FX111">
        <v>1</v>
      </c>
      <c r="FY111">
        <v>1</v>
      </c>
      <c r="FZ111">
        <v>1</v>
      </c>
      <c r="GA111">
        <v>1</v>
      </c>
      <c r="GB111">
        <v>1</v>
      </c>
      <c r="GC111">
        <v>1</v>
      </c>
      <c r="GD111">
        <v>1</v>
      </c>
      <c r="GE111">
        <v>1</v>
      </c>
      <c r="GF111">
        <v>1</v>
      </c>
      <c r="GG111">
        <v>1</v>
      </c>
      <c r="GH111">
        <v>1</v>
      </c>
      <c r="GI111">
        <v>1</v>
      </c>
      <c r="GJ111">
        <v>1</v>
      </c>
      <c r="GK111">
        <v>1</v>
      </c>
      <c r="GL111">
        <v>1</v>
      </c>
      <c r="GM111">
        <v>1</v>
      </c>
      <c r="GN111">
        <v>1</v>
      </c>
      <c r="GO111">
        <v>1</v>
      </c>
      <c r="GP111">
        <v>1</v>
      </c>
      <c r="GQ111">
        <v>1</v>
      </c>
      <c r="GR111">
        <v>1</v>
      </c>
      <c r="GS111">
        <v>1</v>
      </c>
      <c r="GT111">
        <v>1</v>
      </c>
      <c r="GU111">
        <v>1</v>
      </c>
      <c r="GV111">
        <v>1</v>
      </c>
      <c r="GW111">
        <v>1</v>
      </c>
      <c r="GX111">
        <v>1</v>
      </c>
      <c r="GY111">
        <v>1</v>
      </c>
      <c r="GZ111">
        <v>1</v>
      </c>
      <c r="HA111">
        <v>1</v>
      </c>
      <c r="HB111">
        <v>1</v>
      </c>
      <c r="HC111">
        <v>1</v>
      </c>
      <c r="HD111">
        <v>1</v>
      </c>
      <c r="HE111">
        <v>1</v>
      </c>
      <c r="HF111">
        <v>1</v>
      </c>
      <c r="HG111">
        <v>1</v>
      </c>
      <c r="HH111">
        <v>1</v>
      </c>
      <c r="HI111">
        <v>1</v>
      </c>
      <c r="HJ111">
        <v>1</v>
      </c>
      <c r="HK111">
        <v>1</v>
      </c>
      <c r="HL111">
        <v>1</v>
      </c>
      <c r="HM111">
        <v>1</v>
      </c>
      <c r="HN111">
        <v>1</v>
      </c>
      <c r="HO111">
        <v>1</v>
      </c>
      <c r="HP111">
        <v>1</v>
      </c>
      <c r="HQ111">
        <v>1</v>
      </c>
      <c r="HR111">
        <v>1</v>
      </c>
      <c r="HS111">
        <v>1</v>
      </c>
      <c r="HT111">
        <v>1</v>
      </c>
      <c r="HU111">
        <v>1</v>
      </c>
      <c r="HV111">
        <v>1</v>
      </c>
      <c r="HW111">
        <v>1</v>
      </c>
      <c r="HX111">
        <v>1</v>
      </c>
      <c r="HY111">
        <v>1</v>
      </c>
      <c r="HZ111">
        <v>1</v>
      </c>
      <c r="IA111">
        <v>1</v>
      </c>
      <c r="IB111">
        <v>1</v>
      </c>
      <c r="IC111">
        <v>1</v>
      </c>
      <c r="ID111">
        <v>1</v>
      </c>
      <c r="IE111">
        <v>1</v>
      </c>
      <c r="IF111">
        <v>1</v>
      </c>
      <c r="IG111">
        <v>1</v>
      </c>
      <c r="IH111">
        <v>1</v>
      </c>
      <c r="II111">
        <v>1</v>
      </c>
      <c r="IJ111">
        <v>1</v>
      </c>
      <c r="IK111">
        <v>1</v>
      </c>
      <c r="IL111">
        <v>1</v>
      </c>
      <c r="IM111">
        <v>1</v>
      </c>
      <c r="IN111">
        <v>1</v>
      </c>
      <c r="IO111">
        <v>1</v>
      </c>
      <c r="IP111">
        <v>1</v>
      </c>
      <c r="IQ111">
        <v>1</v>
      </c>
      <c r="IR111">
        <v>1</v>
      </c>
      <c r="IS111">
        <v>1</v>
      </c>
      <c r="IT111">
        <v>1</v>
      </c>
      <c r="IU111">
        <v>1</v>
      </c>
      <c r="IV111">
        <v>1</v>
      </c>
      <c r="IW111">
        <v>1</v>
      </c>
      <c r="IX111">
        <v>1</v>
      </c>
      <c r="IY111">
        <v>1</v>
      </c>
      <c r="IZ111">
        <v>1</v>
      </c>
      <c r="JA111">
        <v>1</v>
      </c>
      <c r="JB111">
        <v>1</v>
      </c>
      <c r="JC111">
        <v>1</v>
      </c>
      <c r="JD111">
        <v>1</v>
      </c>
      <c r="JE111">
        <v>1</v>
      </c>
      <c r="JF111">
        <v>1</v>
      </c>
      <c r="JG111">
        <v>1</v>
      </c>
      <c r="JH111">
        <v>1</v>
      </c>
      <c r="JI111">
        <v>1</v>
      </c>
      <c r="JJ111">
        <v>1</v>
      </c>
      <c r="JK111">
        <v>1</v>
      </c>
      <c r="JL111">
        <v>1</v>
      </c>
      <c r="JM111">
        <v>1</v>
      </c>
      <c r="JN111">
        <v>1</v>
      </c>
      <c r="JO111">
        <v>1</v>
      </c>
      <c r="JP111">
        <v>1</v>
      </c>
      <c r="JQ111">
        <v>1</v>
      </c>
      <c r="JR111">
        <v>1</v>
      </c>
      <c r="JS111">
        <v>1</v>
      </c>
      <c r="JT111">
        <v>1</v>
      </c>
      <c r="JU111">
        <v>1</v>
      </c>
      <c r="JV111">
        <v>1</v>
      </c>
      <c r="JW111">
        <v>1</v>
      </c>
      <c r="JX111">
        <v>1</v>
      </c>
      <c r="JY111">
        <v>1</v>
      </c>
      <c r="JZ111">
        <v>1</v>
      </c>
      <c r="KA111">
        <v>1</v>
      </c>
      <c r="KB111">
        <v>1</v>
      </c>
      <c r="KC111">
        <v>1</v>
      </c>
      <c r="KD111">
        <v>1</v>
      </c>
      <c r="KE111">
        <v>1</v>
      </c>
      <c r="KF111">
        <v>1</v>
      </c>
      <c r="KG111">
        <v>1</v>
      </c>
      <c r="KH111">
        <v>1</v>
      </c>
      <c r="KI111">
        <v>1</v>
      </c>
      <c r="KJ111">
        <v>1</v>
      </c>
      <c r="KK111">
        <v>1</v>
      </c>
      <c r="KL111">
        <v>1</v>
      </c>
      <c r="KM111">
        <v>1</v>
      </c>
      <c r="KN111">
        <v>1</v>
      </c>
      <c r="KO111">
        <v>1</v>
      </c>
      <c r="KP111">
        <v>1</v>
      </c>
      <c r="KQ111">
        <v>1</v>
      </c>
      <c r="KR111">
        <v>1</v>
      </c>
      <c r="KS111">
        <v>1</v>
      </c>
      <c r="KT111">
        <v>1</v>
      </c>
      <c r="KU111">
        <v>1</v>
      </c>
      <c r="KV111">
        <v>0</v>
      </c>
      <c r="KW111">
        <v>0</v>
      </c>
      <c r="KX111">
        <v>0</v>
      </c>
      <c r="KY111">
        <v>0</v>
      </c>
      <c r="KZ111">
        <v>0</v>
      </c>
      <c r="LA111">
        <v>0</v>
      </c>
      <c r="LB111">
        <v>0</v>
      </c>
      <c r="LC111">
        <v>0</v>
      </c>
      <c r="LD111">
        <v>0</v>
      </c>
      <c r="LE111">
        <v>0</v>
      </c>
      <c r="LF111">
        <v>0</v>
      </c>
      <c r="LG111">
        <v>0</v>
      </c>
      <c r="LH111">
        <v>0</v>
      </c>
      <c r="LI111">
        <v>0</v>
      </c>
      <c r="LJ111">
        <v>0</v>
      </c>
      <c r="LK111">
        <v>0</v>
      </c>
      <c r="LL111">
        <v>0</v>
      </c>
      <c r="LM111">
        <v>0</v>
      </c>
      <c r="LN111">
        <v>0</v>
      </c>
      <c r="LO111">
        <v>0</v>
      </c>
      <c r="LP111">
        <v>0</v>
      </c>
      <c r="LQ111">
        <v>0</v>
      </c>
      <c r="LR111">
        <v>0</v>
      </c>
      <c r="LS111">
        <v>0</v>
      </c>
      <c r="LT111">
        <v>0</v>
      </c>
      <c r="LU111">
        <v>0</v>
      </c>
      <c r="LV111">
        <v>0</v>
      </c>
      <c r="LW111">
        <v>0</v>
      </c>
      <c r="LX111">
        <v>0</v>
      </c>
      <c r="LY111">
        <v>0</v>
      </c>
      <c r="LZ111">
        <v>0</v>
      </c>
      <c r="MA111">
        <v>0</v>
      </c>
      <c r="MB111">
        <v>0</v>
      </c>
      <c r="MC111">
        <v>0</v>
      </c>
      <c r="MD111">
        <v>0</v>
      </c>
      <c r="ME111">
        <v>0</v>
      </c>
      <c r="MF111">
        <v>0</v>
      </c>
      <c r="MG111">
        <v>0</v>
      </c>
      <c r="MH111">
        <v>0</v>
      </c>
      <c r="MI111">
        <v>0</v>
      </c>
      <c r="MJ111">
        <v>0</v>
      </c>
      <c r="MK111">
        <v>0</v>
      </c>
      <c r="ML111">
        <v>0</v>
      </c>
      <c r="MM111">
        <v>0</v>
      </c>
      <c r="MN111">
        <v>0</v>
      </c>
      <c r="MO111">
        <v>0</v>
      </c>
      <c r="MP111">
        <v>0</v>
      </c>
      <c r="MQ111">
        <v>0</v>
      </c>
      <c r="MR111">
        <v>0</v>
      </c>
      <c r="MS111">
        <v>0</v>
      </c>
      <c r="MT111">
        <v>0</v>
      </c>
      <c r="MU111">
        <v>0</v>
      </c>
      <c r="MV111">
        <v>0</v>
      </c>
      <c r="MW111">
        <v>0</v>
      </c>
      <c r="MX111">
        <v>0</v>
      </c>
      <c r="MY111">
        <v>0</v>
      </c>
      <c r="MZ111">
        <v>0</v>
      </c>
      <c r="NA111">
        <v>0</v>
      </c>
      <c r="NB111">
        <v>0</v>
      </c>
      <c r="NC111">
        <v>0</v>
      </c>
      <c r="ND111">
        <v>0</v>
      </c>
      <c r="NE111">
        <v>0</v>
      </c>
      <c r="NF111">
        <v>0</v>
      </c>
      <c r="NG111">
        <v>0</v>
      </c>
      <c r="NH111">
        <v>0</v>
      </c>
      <c r="NI111">
        <v>0</v>
      </c>
      <c r="NJ111">
        <v>0</v>
      </c>
      <c r="NK111">
        <v>0</v>
      </c>
      <c r="NL111">
        <v>0</v>
      </c>
      <c r="NM111">
        <v>0</v>
      </c>
      <c r="NN111">
        <v>0</v>
      </c>
      <c r="NO111">
        <v>0</v>
      </c>
      <c r="NP111">
        <v>0</v>
      </c>
      <c r="NQ111">
        <v>0</v>
      </c>
      <c r="NR111">
        <v>0</v>
      </c>
      <c r="NS111">
        <v>0</v>
      </c>
      <c r="NT111">
        <v>2</v>
      </c>
      <c r="NU111">
        <v>2</v>
      </c>
      <c r="NV111">
        <v>2</v>
      </c>
      <c r="NW111">
        <v>2</v>
      </c>
      <c r="NX111">
        <v>2</v>
      </c>
      <c r="NY111">
        <v>2</v>
      </c>
      <c r="NZ111">
        <v>2</v>
      </c>
      <c r="OA111">
        <v>2</v>
      </c>
      <c r="OB111">
        <v>2</v>
      </c>
      <c r="OC111">
        <v>2</v>
      </c>
      <c r="OD111">
        <v>0</v>
      </c>
      <c r="OE111">
        <v>0</v>
      </c>
      <c r="OF111">
        <v>0</v>
      </c>
      <c r="OG111">
        <v>0</v>
      </c>
      <c r="OH111">
        <v>0</v>
      </c>
      <c r="OI111">
        <v>0</v>
      </c>
      <c r="OJ111">
        <v>0</v>
      </c>
      <c r="OK111">
        <v>0</v>
      </c>
      <c r="OL111">
        <v>0</v>
      </c>
      <c r="OM111">
        <v>0</v>
      </c>
      <c r="ON111">
        <v>0</v>
      </c>
      <c r="OO111">
        <v>0</v>
      </c>
      <c r="OP111">
        <v>0</v>
      </c>
      <c r="OQ111">
        <v>0</v>
      </c>
      <c r="OR111">
        <v>0</v>
      </c>
      <c r="OS111">
        <v>0</v>
      </c>
      <c r="OT111">
        <v>0</v>
      </c>
      <c r="OU111">
        <v>0</v>
      </c>
      <c r="OV111">
        <v>0</v>
      </c>
      <c r="OW111">
        <v>0</v>
      </c>
      <c r="OX111">
        <v>0</v>
      </c>
      <c r="OY111">
        <v>0</v>
      </c>
      <c r="OZ111">
        <v>0</v>
      </c>
      <c r="PA111">
        <v>0</v>
      </c>
      <c r="PB111">
        <v>0</v>
      </c>
      <c r="PC111">
        <v>0</v>
      </c>
      <c r="PD111">
        <v>0</v>
      </c>
      <c r="PE111">
        <v>0</v>
      </c>
      <c r="PF111">
        <v>0</v>
      </c>
      <c r="PG111">
        <v>0</v>
      </c>
      <c r="PH111">
        <v>0</v>
      </c>
      <c r="PI111">
        <v>0</v>
      </c>
      <c r="PJ111">
        <v>0</v>
      </c>
      <c r="PK111">
        <v>0</v>
      </c>
      <c r="PL111">
        <v>0</v>
      </c>
      <c r="PM111">
        <v>0</v>
      </c>
      <c r="PN111">
        <v>0</v>
      </c>
      <c r="PO111">
        <v>0</v>
      </c>
      <c r="PP111">
        <v>0</v>
      </c>
      <c r="PQ111">
        <v>0</v>
      </c>
      <c r="PR111">
        <v>0</v>
      </c>
      <c r="PS111">
        <v>0</v>
      </c>
      <c r="PT111">
        <v>0</v>
      </c>
      <c r="PU111">
        <v>0</v>
      </c>
      <c r="PV111">
        <v>0</v>
      </c>
      <c r="PW111">
        <v>0</v>
      </c>
      <c r="PX111">
        <v>0</v>
      </c>
      <c r="PY111">
        <v>0</v>
      </c>
      <c r="PZ111">
        <v>0</v>
      </c>
      <c r="QA111">
        <v>2</v>
      </c>
      <c r="QB111">
        <v>2</v>
      </c>
      <c r="QC111">
        <v>2</v>
      </c>
      <c r="QD111">
        <v>2</v>
      </c>
      <c r="QE111">
        <v>2</v>
      </c>
      <c r="QF111">
        <v>2</v>
      </c>
      <c r="QG111">
        <v>2</v>
      </c>
      <c r="QH111">
        <v>2</v>
      </c>
      <c r="QI111">
        <v>2</v>
      </c>
      <c r="QJ111">
        <v>2</v>
      </c>
      <c r="QK111">
        <v>2</v>
      </c>
      <c r="QL111">
        <v>2</v>
      </c>
      <c r="QM111">
        <v>2</v>
      </c>
      <c r="QN111">
        <v>2</v>
      </c>
      <c r="QO111">
        <v>0</v>
      </c>
      <c r="QP111">
        <v>0</v>
      </c>
      <c r="QQ111">
        <v>0</v>
      </c>
      <c r="QR111">
        <v>0</v>
      </c>
      <c r="QS111">
        <v>0</v>
      </c>
      <c r="QT111">
        <v>0</v>
      </c>
      <c r="QU111">
        <v>0</v>
      </c>
      <c r="QV111">
        <v>0</v>
      </c>
      <c r="QW111">
        <v>0</v>
      </c>
      <c r="QX111">
        <v>0</v>
      </c>
      <c r="QY111">
        <v>0</v>
      </c>
      <c r="QZ111">
        <v>0</v>
      </c>
      <c r="RA111">
        <v>0</v>
      </c>
      <c r="RB111">
        <v>0</v>
      </c>
      <c r="RC111">
        <v>0</v>
      </c>
      <c r="RD111">
        <v>0</v>
      </c>
      <c r="RE111">
        <v>0</v>
      </c>
      <c r="RF111">
        <v>0</v>
      </c>
      <c r="RG111">
        <v>0</v>
      </c>
      <c r="RH111">
        <v>0</v>
      </c>
      <c r="RI111">
        <v>0</v>
      </c>
      <c r="RJ111">
        <v>0</v>
      </c>
      <c r="RK111">
        <v>0</v>
      </c>
      <c r="RL111">
        <v>0</v>
      </c>
      <c r="RM111">
        <v>0</v>
      </c>
      <c r="RN111">
        <v>0</v>
      </c>
      <c r="RO111">
        <v>0</v>
      </c>
      <c r="RP111">
        <v>0</v>
      </c>
      <c r="RQ111">
        <v>0</v>
      </c>
      <c r="RR111">
        <v>0</v>
      </c>
      <c r="RS111">
        <v>0</v>
      </c>
      <c r="RT111">
        <v>0</v>
      </c>
      <c r="RU111">
        <v>0</v>
      </c>
      <c r="RV111">
        <v>0</v>
      </c>
      <c r="RW111">
        <v>0</v>
      </c>
      <c r="RX111">
        <v>0</v>
      </c>
      <c r="RY111">
        <v>0</v>
      </c>
      <c r="RZ111">
        <v>0</v>
      </c>
      <c r="SA111">
        <v>0</v>
      </c>
      <c r="SB111">
        <v>0</v>
      </c>
      <c r="SC111">
        <v>0</v>
      </c>
      <c r="SD111">
        <v>0</v>
      </c>
      <c r="SE111">
        <v>0</v>
      </c>
      <c r="SF111">
        <v>0</v>
      </c>
      <c r="SG111">
        <v>0</v>
      </c>
      <c r="SH111">
        <v>0</v>
      </c>
      <c r="SI111">
        <v>0</v>
      </c>
      <c r="SJ111">
        <v>0</v>
      </c>
      <c r="SK111">
        <v>0</v>
      </c>
      <c r="SL111">
        <v>0</v>
      </c>
      <c r="SM111">
        <v>0</v>
      </c>
      <c r="SN111">
        <v>0</v>
      </c>
      <c r="SO111">
        <v>0</v>
      </c>
      <c r="SP111">
        <v>0</v>
      </c>
      <c r="SQ111">
        <v>0</v>
      </c>
      <c r="SR111">
        <v>0</v>
      </c>
      <c r="SS111">
        <v>0</v>
      </c>
      <c r="ST111">
        <v>0</v>
      </c>
      <c r="SU111">
        <v>0</v>
      </c>
      <c r="SV111">
        <v>0</v>
      </c>
      <c r="SW111">
        <v>0</v>
      </c>
      <c r="SX111">
        <v>0</v>
      </c>
      <c r="SY111">
        <v>0</v>
      </c>
      <c r="SZ111">
        <v>0</v>
      </c>
      <c r="TA111">
        <v>0</v>
      </c>
      <c r="TB111">
        <v>0</v>
      </c>
      <c r="TC111">
        <v>0</v>
      </c>
      <c r="TD111">
        <v>0</v>
      </c>
      <c r="TE111">
        <v>0</v>
      </c>
      <c r="TF111">
        <v>0</v>
      </c>
      <c r="TG111">
        <v>0</v>
      </c>
      <c r="TH111">
        <v>0</v>
      </c>
      <c r="TI111">
        <v>0</v>
      </c>
      <c r="TJ111">
        <v>0</v>
      </c>
      <c r="TK111">
        <v>0</v>
      </c>
      <c r="TL111">
        <v>0</v>
      </c>
      <c r="TM111">
        <v>0</v>
      </c>
      <c r="TN111">
        <v>0</v>
      </c>
      <c r="TO111">
        <v>0</v>
      </c>
      <c r="TP111">
        <v>0</v>
      </c>
      <c r="TQ111">
        <v>0</v>
      </c>
      <c r="TR111">
        <v>0</v>
      </c>
      <c r="TS111">
        <v>0</v>
      </c>
      <c r="TT111">
        <v>0</v>
      </c>
      <c r="TU111">
        <v>0</v>
      </c>
      <c r="TV111">
        <v>0</v>
      </c>
      <c r="TW111">
        <v>0</v>
      </c>
      <c r="TX111">
        <v>0</v>
      </c>
      <c r="TY111">
        <v>0</v>
      </c>
      <c r="TZ111">
        <v>0</v>
      </c>
      <c r="UA111">
        <v>0</v>
      </c>
      <c r="UB111">
        <v>0</v>
      </c>
      <c r="UC111">
        <v>0</v>
      </c>
      <c r="UD111">
        <v>0</v>
      </c>
      <c r="UE111">
        <v>0</v>
      </c>
      <c r="UF111">
        <v>0</v>
      </c>
      <c r="UG111">
        <v>0</v>
      </c>
      <c r="UH111">
        <v>0</v>
      </c>
      <c r="UI111">
        <v>0</v>
      </c>
      <c r="UJ111">
        <v>0</v>
      </c>
      <c r="UK111">
        <v>0</v>
      </c>
      <c r="UL111">
        <v>0</v>
      </c>
      <c r="UM111">
        <v>0</v>
      </c>
      <c r="UN111">
        <v>0</v>
      </c>
      <c r="UO111">
        <v>0</v>
      </c>
      <c r="UP111">
        <v>0</v>
      </c>
      <c r="UQ111">
        <v>0</v>
      </c>
      <c r="UR111">
        <v>0</v>
      </c>
      <c r="US111">
        <v>0</v>
      </c>
      <c r="UT111">
        <v>0</v>
      </c>
      <c r="UU111">
        <v>0</v>
      </c>
      <c r="UV111">
        <v>0</v>
      </c>
      <c r="UW111">
        <v>0</v>
      </c>
      <c r="UX111">
        <v>0</v>
      </c>
      <c r="UY111">
        <v>0</v>
      </c>
      <c r="UZ111">
        <v>0</v>
      </c>
      <c r="VA111">
        <v>0</v>
      </c>
      <c r="VB111">
        <v>0</v>
      </c>
      <c r="VC111">
        <v>0</v>
      </c>
      <c r="VD111">
        <v>0</v>
      </c>
      <c r="VE111">
        <v>0</v>
      </c>
      <c r="VF111">
        <v>0</v>
      </c>
      <c r="VG111">
        <v>0</v>
      </c>
      <c r="VH111">
        <v>0</v>
      </c>
      <c r="VI111">
        <v>0</v>
      </c>
      <c r="VJ111">
        <v>0</v>
      </c>
      <c r="VK111">
        <v>0</v>
      </c>
      <c r="VL111">
        <v>0</v>
      </c>
      <c r="VM111">
        <v>0</v>
      </c>
      <c r="VN111">
        <v>0</v>
      </c>
      <c r="VO111">
        <v>0</v>
      </c>
      <c r="VP111">
        <v>0</v>
      </c>
      <c r="VQ111">
        <v>0</v>
      </c>
      <c r="VR111">
        <v>0</v>
      </c>
      <c r="VS111">
        <v>0</v>
      </c>
      <c r="VT111">
        <v>0</v>
      </c>
      <c r="VU111">
        <v>0</v>
      </c>
      <c r="VV111">
        <v>0</v>
      </c>
      <c r="VW111">
        <v>0</v>
      </c>
      <c r="VX111">
        <v>0</v>
      </c>
      <c r="VY111">
        <v>0</v>
      </c>
      <c r="VZ111">
        <v>0</v>
      </c>
      <c r="WA111">
        <v>0</v>
      </c>
      <c r="WB111">
        <v>0</v>
      </c>
      <c r="WC111">
        <v>0</v>
      </c>
      <c r="WD111">
        <v>0</v>
      </c>
      <c r="WE111">
        <v>0</v>
      </c>
      <c r="WF111">
        <v>0</v>
      </c>
      <c r="WG111">
        <v>0</v>
      </c>
      <c r="WH111">
        <v>0</v>
      </c>
      <c r="WI111">
        <v>0</v>
      </c>
      <c r="WJ111">
        <v>0</v>
      </c>
      <c r="WK111">
        <v>0</v>
      </c>
      <c r="WL111">
        <v>0</v>
      </c>
      <c r="WM111">
        <v>0</v>
      </c>
      <c r="WN111">
        <v>0</v>
      </c>
      <c r="WO111">
        <v>0</v>
      </c>
      <c r="WP111">
        <v>0</v>
      </c>
      <c r="WQ111">
        <v>0</v>
      </c>
      <c r="WR111">
        <v>0</v>
      </c>
      <c r="WS111">
        <v>0</v>
      </c>
      <c r="WT111">
        <v>0</v>
      </c>
      <c r="WU111">
        <v>0</v>
      </c>
      <c r="WV111">
        <v>0</v>
      </c>
      <c r="WW111">
        <v>0</v>
      </c>
      <c r="WX111">
        <v>0</v>
      </c>
      <c r="WY111">
        <v>0</v>
      </c>
      <c r="WZ111">
        <v>0</v>
      </c>
      <c r="XA111">
        <v>0</v>
      </c>
      <c r="XB111">
        <v>0</v>
      </c>
      <c r="XC111">
        <v>0</v>
      </c>
      <c r="XD111">
        <v>0</v>
      </c>
      <c r="XE111">
        <v>0</v>
      </c>
      <c r="XF111">
        <v>0</v>
      </c>
      <c r="XG111">
        <v>0</v>
      </c>
      <c r="XH111">
        <v>0</v>
      </c>
      <c r="XI111">
        <v>0</v>
      </c>
      <c r="XJ111">
        <v>0</v>
      </c>
      <c r="XK111">
        <v>0</v>
      </c>
      <c r="XL111">
        <v>0</v>
      </c>
      <c r="XM111">
        <v>0</v>
      </c>
      <c r="XN111">
        <v>0</v>
      </c>
      <c r="XO111">
        <v>0</v>
      </c>
      <c r="XP111">
        <v>0</v>
      </c>
      <c r="XQ111">
        <v>0</v>
      </c>
      <c r="XR111">
        <v>0</v>
      </c>
      <c r="XS111">
        <v>0</v>
      </c>
      <c r="XT111">
        <v>0</v>
      </c>
      <c r="XU111">
        <v>0</v>
      </c>
      <c r="XV111">
        <v>0</v>
      </c>
      <c r="XW111">
        <v>0</v>
      </c>
      <c r="XX111">
        <v>0</v>
      </c>
      <c r="XY111">
        <v>0</v>
      </c>
      <c r="XZ111">
        <v>0</v>
      </c>
      <c r="YA111">
        <v>0</v>
      </c>
      <c r="YB111">
        <v>0</v>
      </c>
      <c r="YC111">
        <v>0</v>
      </c>
      <c r="YD111">
        <v>0</v>
      </c>
      <c r="YE111">
        <v>0</v>
      </c>
      <c r="YF111">
        <v>0</v>
      </c>
      <c r="YG111">
        <v>0</v>
      </c>
      <c r="YH111">
        <v>0</v>
      </c>
      <c r="YI111">
        <v>0</v>
      </c>
      <c r="YJ111">
        <v>0</v>
      </c>
      <c r="YK111">
        <v>0</v>
      </c>
      <c r="YL111">
        <v>0</v>
      </c>
      <c r="YM111">
        <v>0</v>
      </c>
      <c r="YN111">
        <v>0</v>
      </c>
      <c r="YO111">
        <v>0</v>
      </c>
      <c r="YP111">
        <v>0</v>
      </c>
      <c r="YQ111">
        <v>0</v>
      </c>
      <c r="YR111">
        <v>0</v>
      </c>
      <c r="YS111">
        <v>0</v>
      </c>
      <c r="YT111">
        <v>0</v>
      </c>
      <c r="YU111">
        <v>0</v>
      </c>
      <c r="YV111">
        <v>0</v>
      </c>
      <c r="YW111">
        <v>0</v>
      </c>
      <c r="YX111">
        <v>0</v>
      </c>
      <c r="YY111">
        <v>0</v>
      </c>
      <c r="YZ111">
        <v>0</v>
      </c>
      <c r="ZA111">
        <v>0</v>
      </c>
      <c r="ZB111">
        <v>0</v>
      </c>
      <c r="ZC111">
        <v>0</v>
      </c>
      <c r="ZD111">
        <v>0</v>
      </c>
      <c r="ZE111">
        <v>0</v>
      </c>
      <c r="ZF111">
        <v>0</v>
      </c>
      <c r="ZG111">
        <v>0</v>
      </c>
      <c r="ZH111">
        <v>0</v>
      </c>
      <c r="ZI111">
        <v>0</v>
      </c>
      <c r="ZJ111">
        <v>0</v>
      </c>
      <c r="ZK111">
        <v>0</v>
      </c>
      <c r="ZL111">
        <v>0</v>
      </c>
      <c r="ZM111">
        <v>0</v>
      </c>
      <c r="ZN111">
        <v>0</v>
      </c>
      <c r="ZO111">
        <v>0</v>
      </c>
      <c r="ZP111">
        <v>0</v>
      </c>
      <c r="ZQ111">
        <v>0</v>
      </c>
      <c r="ZR111">
        <v>0</v>
      </c>
      <c r="ZS111">
        <v>0</v>
      </c>
      <c r="ZT111">
        <v>0</v>
      </c>
      <c r="ZU111">
        <v>0</v>
      </c>
      <c r="ZV111">
        <v>0</v>
      </c>
      <c r="ZW111">
        <v>0</v>
      </c>
      <c r="ZX111">
        <v>0</v>
      </c>
      <c r="ZY111">
        <v>0</v>
      </c>
      <c r="ZZ111">
        <v>0</v>
      </c>
      <c r="AAA111">
        <v>0</v>
      </c>
      <c r="AAB111">
        <v>0</v>
      </c>
      <c r="AAC111">
        <v>0</v>
      </c>
      <c r="AAD111">
        <v>0</v>
      </c>
      <c r="AAE111">
        <v>0</v>
      </c>
      <c r="AAF111">
        <v>0</v>
      </c>
      <c r="AAG111">
        <v>0</v>
      </c>
      <c r="AAH111">
        <v>0</v>
      </c>
      <c r="AAI111">
        <v>0</v>
      </c>
      <c r="AAJ111">
        <v>0</v>
      </c>
      <c r="AAK111">
        <v>0</v>
      </c>
      <c r="AAL111">
        <v>0</v>
      </c>
      <c r="AAM111">
        <v>0</v>
      </c>
      <c r="AAN111">
        <v>0</v>
      </c>
      <c r="AAO111">
        <v>0</v>
      </c>
      <c r="AAP111">
        <v>0</v>
      </c>
      <c r="AAQ111">
        <v>0</v>
      </c>
      <c r="AAR111">
        <v>0</v>
      </c>
      <c r="AAS111">
        <v>0</v>
      </c>
      <c r="AAT111">
        <v>0</v>
      </c>
      <c r="AAU111">
        <v>0</v>
      </c>
      <c r="AAV111">
        <v>0</v>
      </c>
      <c r="AAW111">
        <v>0</v>
      </c>
      <c r="AAX111">
        <v>0</v>
      </c>
      <c r="AAY111">
        <v>0</v>
      </c>
      <c r="AAZ111">
        <v>0</v>
      </c>
      <c r="ABA111">
        <v>0</v>
      </c>
      <c r="ABB111">
        <v>0</v>
      </c>
      <c r="ABC111">
        <v>0</v>
      </c>
      <c r="ABD111">
        <v>0</v>
      </c>
      <c r="ABE111">
        <v>0</v>
      </c>
      <c r="ABG111" s="1137">
        <f t="shared" si="26"/>
        <v>0</v>
      </c>
      <c r="ABH111" s="1137">
        <f t="shared" si="26"/>
        <v>2</v>
      </c>
      <c r="ABI111" s="1137">
        <f t="shared" si="26"/>
        <v>31</v>
      </c>
      <c r="ABJ111" s="1137">
        <f t="shared" si="26"/>
        <v>30</v>
      </c>
      <c r="ABK111" s="1137">
        <f t="shared" si="26"/>
        <v>31</v>
      </c>
      <c r="ABL111" s="1137">
        <f t="shared" si="26"/>
        <v>30</v>
      </c>
      <c r="ABM111" s="1137">
        <f t="shared" si="26"/>
        <v>31</v>
      </c>
      <c r="ABN111" s="1137">
        <f t="shared" si="26"/>
        <v>31</v>
      </c>
      <c r="ABO111" s="1137">
        <f t="shared" si="26"/>
        <v>30</v>
      </c>
      <c r="ABP111" s="1137">
        <f t="shared" si="26"/>
        <v>31</v>
      </c>
      <c r="ABQ111" s="1137">
        <f t="shared" si="26"/>
        <v>0</v>
      </c>
      <c r="ABR111" s="1137">
        <f t="shared" si="26"/>
        <v>0</v>
      </c>
      <c r="ABS111" s="1137">
        <f t="shared" si="26"/>
        <v>10</v>
      </c>
      <c r="ABT111" s="1137">
        <f t="shared" si="26"/>
        <v>0</v>
      </c>
      <c r="ABU111" s="1137">
        <f t="shared" si="26"/>
        <v>14</v>
      </c>
      <c r="ABV111" s="1137">
        <f t="shared" si="26"/>
        <v>0</v>
      </c>
      <c r="ABW111" s="1137">
        <f t="shared" si="17"/>
        <v>0</v>
      </c>
      <c r="ABX111" s="1137">
        <f t="shared" si="23"/>
        <v>0</v>
      </c>
      <c r="ABY111" s="1137">
        <f t="shared" si="23"/>
        <v>0</v>
      </c>
      <c r="ABZ111" s="1137">
        <f t="shared" si="23"/>
        <v>0</v>
      </c>
      <c r="ACA111" s="1137">
        <f t="shared" si="23"/>
        <v>0</v>
      </c>
      <c r="ACB111" s="1137">
        <f t="shared" si="23"/>
        <v>0</v>
      </c>
      <c r="ACC111" s="1137">
        <f t="shared" si="23"/>
        <v>0</v>
      </c>
      <c r="ACD111" s="1137">
        <f t="shared" si="23"/>
        <v>0</v>
      </c>
      <c r="ACE111" s="1137" t="s">
        <v>1911</v>
      </c>
      <c r="ACF111" s="1137">
        <f t="shared" si="28"/>
        <v>0</v>
      </c>
      <c r="ACG111" s="1137">
        <f t="shared" si="28"/>
        <v>0</v>
      </c>
      <c r="ACH111" s="1137">
        <f t="shared" si="28"/>
        <v>1</v>
      </c>
      <c r="ACI111" s="1137">
        <f t="shared" si="28"/>
        <v>1</v>
      </c>
      <c r="ACJ111" s="1137">
        <f t="shared" si="28"/>
        <v>1</v>
      </c>
      <c r="ACK111" s="1137">
        <f t="shared" si="28"/>
        <v>1</v>
      </c>
      <c r="ACL111" s="1137">
        <f t="shared" si="28"/>
        <v>1</v>
      </c>
      <c r="ACM111" s="1137">
        <f t="shared" si="28"/>
        <v>1</v>
      </c>
      <c r="ACN111" s="1137">
        <f t="shared" si="28"/>
        <v>1</v>
      </c>
      <c r="ACO111" s="1137">
        <f t="shared" si="28"/>
        <v>1</v>
      </c>
      <c r="ACP111" s="1137">
        <f t="shared" si="28"/>
        <v>0</v>
      </c>
      <c r="ACQ111" s="1137">
        <f t="shared" si="28"/>
        <v>0</v>
      </c>
      <c r="ACR111" s="1137">
        <f t="shared" si="28"/>
        <v>0</v>
      </c>
      <c r="ACS111" s="1137">
        <f t="shared" si="28"/>
        <v>0</v>
      </c>
      <c r="ACT111" s="1137">
        <f t="shared" si="28"/>
        <v>1</v>
      </c>
      <c r="ACU111" s="1137">
        <f t="shared" si="27"/>
        <v>0</v>
      </c>
      <c r="ACV111" s="1137">
        <f t="shared" si="24"/>
        <v>0</v>
      </c>
      <c r="ACW111" s="1137">
        <f t="shared" si="24"/>
        <v>0</v>
      </c>
      <c r="ACX111" s="1137">
        <f t="shared" si="24"/>
        <v>0</v>
      </c>
      <c r="ACY111" s="1137">
        <f t="shared" si="24"/>
        <v>0</v>
      </c>
      <c r="ACZ111" s="1137">
        <f t="shared" si="24"/>
        <v>0</v>
      </c>
      <c r="ADA111" s="1137">
        <f t="shared" si="24"/>
        <v>0</v>
      </c>
      <c r="ADB111" s="1137">
        <f t="shared" si="16"/>
        <v>0</v>
      </c>
      <c r="ADC111" s="1137">
        <f t="shared" si="16"/>
        <v>0</v>
      </c>
    </row>
    <row r="112" spans="1:783" x14ac:dyDescent="0.25">
      <c r="A112" t="s">
        <v>493</v>
      </c>
      <c r="B112" t="s">
        <v>589</v>
      </c>
      <c r="C112">
        <v>0</v>
      </c>
      <c r="D112">
        <v>0</v>
      </c>
      <c r="E112">
        <v>0</v>
      </c>
      <c r="F112">
        <v>0</v>
      </c>
      <c r="G112">
        <v>0</v>
      </c>
      <c r="H112">
        <v>0</v>
      </c>
      <c r="I112">
        <v>0</v>
      </c>
      <c r="J112">
        <v>0</v>
      </c>
      <c r="K112">
        <v>0</v>
      </c>
      <c r="L112">
        <v>0</v>
      </c>
      <c r="M112">
        <v>0</v>
      </c>
      <c r="N112">
        <v>0</v>
      </c>
      <c r="O112">
        <v>0</v>
      </c>
      <c r="P112">
        <v>0</v>
      </c>
      <c r="Q112">
        <v>0</v>
      </c>
      <c r="R112">
        <v>0</v>
      </c>
      <c r="S112">
        <v>0</v>
      </c>
      <c r="T112">
        <v>0</v>
      </c>
      <c r="U112">
        <v>0</v>
      </c>
      <c r="V112">
        <v>0</v>
      </c>
      <c r="W112">
        <v>0</v>
      </c>
      <c r="X112">
        <v>0</v>
      </c>
      <c r="Y112">
        <v>0</v>
      </c>
      <c r="Z112">
        <v>0</v>
      </c>
      <c r="AA112">
        <v>0</v>
      </c>
      <c r="AB112">
        <v>0</v>
      </c>
      <c r="AC112">
        <v>0</v>
      </c>
      <c r="AD112">
        <v>0</v>
      </c>
      <c r="AE112">
        <v>0</v>
      </c>
      <c r="AF112">
        <v>0</v>
      </c>
      <c r="AG112">
        <v>0</v>
      </c>
      <c r="AH112">
        <v>0</v>
      </c>
      <c r="AI112">
        <v>0</v>
      </c>
      <c r="AJ112">
        <v>0</v>
      </c>
      <c r="AK112">
        <v>0</v>
      </c>
      <c r="AL112">
        <v>0</v>
      </c>
      <c r="AM112">
        <v>0</v>
      </c>
      <c r="AN112">
        <v>0</v>
      </c>
      <c r="AO112">
        <v>0</v>
      </c>
      <c r="AP112">
        <v>0</v>
      </c>
      <c r="AQ112">
        <v>0</v>
      </c>
      <c r="AR112">
        <v>0</v>
      </c>
      <c r="AS112">
        <v>0</v>
      </c>
      <c r="AT112">
        <v>0</v>
      </c>
      <c r="AU112">
        <v>0</v>
      </c>
      <c r="AV112">
        <v>0</v>
      </c>
      <c r="AW112">
        <v>0</v>
      </c>
      <c r="AX112">
        <v>0</v>
      </c>
      <c r="AY112">
        <v>0</v>
      </c>
      <c r="AZ112">
        <v>0</v>
      </c>
      <c r="BA112">
        <v>0</v>
      </c>
      <c r="BB112">
        <v>0</v>
      </c>
      <c r="BC112">
        <v>0</v>
      </c>
      <c r="BD112">
        <v>0</v>
      </c>
      <c r="BE112">
        <v>0</v>
      </c>
      <c r="BF112">
        <v>0</v>
      </c>
      <c r="BG112">
        <v>0</v>
      </c>
      <c r="BH112">
        <v>0</v>
      </c>
      <c r="BI112">
        <v>0</v>
      </c>
      <c r="BJ112">
        <v>0</v>
      </c>
      <c r="BK112">
        <v>0</v>
      </c>
      <c r="BL112">
        <v>0</v>
      </c>
      <c r="BM112">
        <v>0</v>
      </c>
      <c r="BN112">
        <v>0</v>
      </c>
      <c r="BO112">
        <v>0</v>
      </c>
      <c r="BP112">
        <v>0</v>
      </c>
      <c r="BQ112">
        <v>0</v>
      </c>
      <c r="BR112">
        <v>0</v>
      </c>
      <c r="BS112">
        <v>0</v>
      </c>
      <c r="BT112">
        <v>0</v>
      </c>
      <c r="BU112">
        <v>0</v>
      </c>
      <c r="BV112">
        <v>0</v>
      </c>
      <c r="BW112">
        <v>0</v>
      </c>
      <c r="BX112">
        <v>0</v>
      </c>
      <c r="BY112">
        <v>0</v>
      </c>
      <c r="BZ112">
        <v>0</v>
      </c>
      <c r="CA112">
        <v>0</v>
      </c>
      <c r="CB112">
        <v>0</v>
      </c>
      <c r="CC112">
        <v>0</v>
      </c>
      <c r="CD112">
        <v>0</v>
      </c>
      <c r="CE112">
        <v>0</v>
      </c>
      <c r="CF112">
        <v>0</v>
      </c>
      <c r="CG112">
        <v>0</v>
      </c>
      <c r="CH112">
        <v>2</v>
      </c>
      <c r="CI112">
        <v>2</v>
      </c>
      <c r="CJ112">
        <v>2</v>
      </c>
      <c r="CK112">
        <v>2</v>
      </c>
      <c r="CL112">
        <v>2</v>
      </c>
      <c r="CM112">
        <v>2</v>
      </c>
      <c r="CN112">
        <v>2</v>
      </c>
      <c r="CO112">
        <v>2</v>
      </c>
      <c r="CP112">
        <v>2</v>
      </c>
      <c r="CQ112">
        <v>2</v>
      </c>
      <c r="CR112">
        <v>2</v>
      </c>
      <c r="CS112">
        <v>2</v>
      </c>
      <c r="CT112">
        <v>2</v>
      </c>
      <c r="CU112">
        <v>2</v>
      </c>
      <c r="CV112">
        <v>2</v>
      </c>
      <c r="CW112">
        <v>2</v>
      </c>
      <c r="CX112">
        <v>2</v>
      </c>
      <c r="CY112">
        <v>2</v>
      </c>
      <c r="CZ112">
        <v>2</v>
      </c>
      <c r="DA112">
        <v>2</v>
      </c>
      <c r="DB112">
        <v>2</v>
      </c>
      <c r="DC112">
        <v>2</v>
      </c>
      <c r="DD112">
        <v>2</v>
      </c>
      <c r="DE112">
        <v>2</v>
      </c>
      <c r="DF112">
        <v>2</v>
      </c>
      <c r="DG112">
        <v>2</v>
      </c>
      <c r="DH112">
        <v>2</v>
      </c>
      <c r="DI112">
        <v>2</v>
      </c>
      <c r="DJ112">
        <v>2</v>
      </c>
      <c r="DK112">
        <v>2</v>
      </c>
      <c r="DL112">
        <v>2</v>
      </c>
      <c r="DM112">
        <v>2</v>
      </c>
      <c r="DN112">
        <v>2</v>
      </c>
      <c r="DO112">
        <v>2</v>
      </c>
      <c r="DP112">
        <v>2</v>
      </c>
      <c r="DQ112">
        <v>2</v>
      </c>
      <c r="DR112">
        <v>2</v>
      </c>
      <c r="DS112">
        <v>2</v>
      </c>
      <c r="DT112">
        <v>2</v>
      </c>
      <c r="DU112">
        <v>2</v>
      </c>
      <c r="DV112">
        <v>2</v>
      </c>
      <c r="DW112">
        <v>2</v>
      </c>
      <c r="DX112">
        <v>2</v>
      </c>
      <c r="DY112">
        <v>2</v>
      </c>
      <c r="DZ112">
        <v>2</v>
      </c>
      <c r="EA112">
        <v>2</v>
      </c>
      <c r="EB112">
        <v>2</v>
      </c>
      <c r="EC112">
        <v>2</v>
      </c>
      <c r="ED112">
        <v>2</v>
      </c>
      <c r="EE112">
        <v>2</v>
      </c>
      <c r="EF112">
        <v>2</v>
      </c>
      <c r="EG112">
        <v>2</v>
      </c>
      <c r="EH112">
        <v>2</v>
      </c>
      <c r="EI112">
        <v>2</v>
      </c>
      <c r="EJ112">
        <v>2</v>
      </c>
      <c r="EK112">
        <v>2</v>
      </c>
      <c r="EL112">
        <v>2</v>
      </c>
      <c r="EM112">
        <v>2</v>
      </c>
      <c r="EN112">
        <v>2</v>
      </c>
      <c r="EO112">
        <v>2</v>
      </c>
      <c r="EP112">
        <v>2</v>
      </c>
      <c r="EQ112">
        <v>2</v>
      </c>
      <c r="ER112">
        <v>2</v>
      </c>
      <c r="ES112">
        <v>2</v>
      </c>
      <c r="ET112">
        <v>2</v>
      </c>
      <c r="EU112">
        <v>2</v>
      </c>
      <c r="EV112">
        <v>2</v>
      </c>
      <c r="EW112">
        <v>2</v>
      </c>
      <c r="EX112">
        <v>2</v>
      </c>
      <c r="EY112">
        <v>2</v>
      </c>
      <c r="EZ112">
        <v>2</v>
      </c>
      <c r="FA112">
        <v>2</v>
      </c>
      <c r="FB112">
        <v>2</v>
      </c>
      <c r="FC112">
        <v>2</v>
      </c>
      <c r="FD112">
        <v>2</v>
      </c>
      <c r="FE112">
        <v>2</v>
      </c>
      <c r="FF112">
        <v>2</v>
      </c>
      <c r="FG112">
        <v>2</v>
      </c>
      <c r="FH112">
        <v>2</v>
      </c>
      <c r="FI112">
        <v>2</v>
      </c>
      <c r="FJ112">
        <v>2</v>
      </c>
      <c r="FK112">
        <v>2</v>
      </c>
      <c r="FL112">
        <v>2</v>
      </c>
      <c r="FM112">
        <v>2</v>
      </c>
      <c r="FN112">
        <v>2</v>
      </c>
      <c r="FO112">
        <v>2</v>
      </c>
      <c r="FP112">
        <v>2</v>
      </c>
      <c r="FQ112">
        <v>2</v>
      </c>
      <c r="FR112">
        <v>2</v>
      </c>
      <c r="FS112">
        <v>2</v>
      </c>
      <c r="FT112">
        <v>2</v>
      </c>
      <c r="FU112">
        <v>2</v>
      </c>
      <c r="FV112">
        <v>2</v>
      </c>
      <c r="FW112">
        <v>2</v>
      </c>
      <c r="FX112">
        <v>2</v>
      </c>
      <c r="FY112">
        <v>2</v>
      </c>
      <c r="FZ112">
        <v>2</v>
      </c>
      <c r="GA112">
        <v>2</v>
      </c>
      <c r="GB112">
        <v>2</v>
      </c>
      <c r="GC112">
        <v>2</v>
      </c>
      <c r="GD112">
        <v>2</v>
      </c>
      <c r="GE112">
        <v>2</v>
      </c>
      <c r="GF112">
        <v>2</v>
      </c>
      <c r="GG112">
        <v>2</v>
      </c>
      <c r="GH112">
        <v>2</v>
      </c>
      <c r="GI112">
        <v>2</v>
      </c>
      <c r="GJ112">
        <v>2</v>
      </c>
      <c r="GK112">
        <v>2</v>
      </c>
      <c r="GL112">
        <v>2</v>
      </c>
      <c r="GM112">
        <v>2</v>
      </c>
      <c r="GN112">
        <v>2</v>
      </c>
      <c r="GO112">
        <v>2</v>
      </c>
      <c r="GP112">
        <v>2</v>
      </c>
      <c r="GQ112">
        <v>2</v>
      </c>
      <c r="GR112">
        <v>2</v>
      </c>
      <c r="GS112">
        <v>0</v>
      </c>
      <c r="GT112">
        <v>0</v>
      </c>
      <c r="GU112">
        <v>0</v>
      </c>
      <c r="GV112">
        <v>0</v>
      </c>
      <c r="GW112">
        <v>0</v>
      </c>
      <c r="GX112">
        <v>0</v>
      </c>
      <c r="GY112">
        <v>0</v>
      </c>
      <c r="GZ112">
        <v>0</v>
      </c>
      <c r="HA112">
        <v>0</v>
      </c>
      <c r="HB112">
        <v>0</v>
      </c>
      <c r="HC112">
        <v>0</v>
      </c>
      <c r="HD112">
        <v>0</v>
      </c>
      <c r="HE112">
        <v>0</v>
      </c>
      <c r="HF112">
        <v>0</v>
      </c>
      <c r="HG112">
        <v>0</v>
      </c>
      <c r="HH112">
        <v>0</v>
      </c>
      <c r="HI112">
        <v>0</v>
      </c>
      <c r="HJ112">
        <v>0</v>
      </c>
      <c r="HK112">
        <v>0</v>
      </c>
      <c r="HL112">
        <v>0</v>
      </c>
      <c r="HM112">
        <v>0</v>
      </c>
      <c r="HN112">
        <v>0</v>
      </c>
      <c r="HO112">
        <v>0</v>
      </c>
      <c r="HP112">
        <v>0</v>
      </c>
      <c r="HQ112">
        <v>0</v>
      </c>
      <c r="HR112">
        <v>0</v>
      </c>
      <c r="HS112">
        <v>0</v>
      </c>
      <c r="HT112">
        <v>0</v>
      </c>
      <c r="HU112">
        <v>0</v>
      </c>
      <c r="HV112">
        <v>0</v>
      </c>
      <c r="HW112">
        <v>0</v>
      </c>
      <c r="HX112">
        <v>0</v>
      </c>
      <c r="HY112">
        <v>0</v>
      </c>
      <c r="HZ112">
        <v>0</v>
      </c>
      <c r="IA112">
        <v>0</v>
      </c>
      <c r="IB112">
        <v>0</v>
      </c>
      <c r="IC112">
        <v>0</v>
      </c>
      <c r="ID112">
        <v>0</v>
      </c>
      <c r="IE112">
        <v>0</v>
      </c>
      <c r="IF112">
        <v>0</v>
      </c>
      <c r="IG112">
        <v>0</v>
      </c>
      <c r="IH112">
        <v>0</v>
      </c>
      <c r="II112">
        <v>0</v>
      </c>
      <c r="IJ112">
        <v>0</v>
      </c>
      <c r="IK112">
        <v>0</v>
      </c>
      <c r="IL112">
        <v>0</v>
      </c>
      <c r="IM112">
        <v>0</v>
      </c>
      <c r="IN112">
        <v>0</v>
      </c>
      <c r="IO112">
        <v>0</v>
      </c>
      <c r="IP112">
        <v>0</v>
      </c>
      <c r="IQ112">
        <v>0</v>
      </c>
      <c r="IR112">
        <v>0</v>
      </c>
      <c r="IS112">
        <v>0</v>
      </c>
      <c r="IT112">
        <v>0</v>
      </c>
      <c r="IU112">
        <v>0</v>
      </c>
      <c r="IV112">
        <v>0</v>
      </c>
      <c r="IW112">
        <v>0</v>
      </c>
      <c r="IX112">
        <v>0</v>
      </c>
      <c r="IY112">
        <v>0</v>
      </c>
      <c r="IZ112">
        <v>0</v>
      </c>
      <c r="JA112">
        <v>0</v>
      </c>
      <c r="JB112">
        <v>0</v>
      </c>
      <c r="JC112">
        <v>0</v>
      </c>
      <c r="JD112">
        <v>0</v>
      </c>
      <c r="JE112">
        <v>0</v>
      </c>
      <c r="JF112">
        <v>0</v>
      </c>
      <c r="JG112">
        <v>0</v>
      </c>
      <c r="JH112">
        <v>0</v>
      </c>
      <c r="JI112">
        <v>0</v>
      </c>
      <c r="JJ112">
        <v>0</v>
      </c>
      <c r="JK112">
        <v>0</v>
      </c>
      <c r="JL112">
        <v>0</v>
      </c>
      <c r="JM112">
        <v>0</v>
      </c>
      <c r="JN112">
        <v>0</v>
      </c>
      <c r="JO112">
        <v>0</v>
      </c>
      <c r="JP112">
        <v>0</v>
      </c>
      <c r="JQ112">
        <v>0</v>
      </c>
      <c r="JR112">
        <v>0</v>
      </c>
      <c r="JS112">
        <v>0</v>
      </c>
      <c r="JT112">
        <v>0</v>
      </c>
      <c r="JU112">
        <v>1</v>
      </c>
      <c r="JV112">
        <v>1</v>
      </c>
      <c r="JW112">
        <v>1</v>
      </c>
      <c r="JX112">
        <v>1</v>
      </c>
      <c r="JY112">
        <v>1</v>
      </c>
      <c r="JZ112">
        <v>1</v>
      </c>
      <c r="KA112">
        <v>1</v>
      </c>
      <c r="KB112">
        <v>1</v>
      </c>
      <c r="KC112">
        <v>1</v>
      </c>
      <c r="KD112">
        <v>1</v>
      </c>
      <c r="KE112">
        <v>1</v>
      </c>
      <c r="KF112">
        <v>1</v>
      </c>
      <c r="KG112">
        <v>1</v>
      </c>
      <c r="KH112">
        <v>1</v>
      </c>
      <c r="KI112">
        <v>1</v>
      </c>
      <c r="KJ112">
        <v>1</v>
      </c>
      <c r="KK112">
        <v>1</v>
      </c>
      <c r="KL112">
        <v>1</v>
      </c>
      <c r="KM112">
        <v>1</v>
      </c>
      <c r="KN112">
        <v>1</v>
      </c>
      <c r="KO112">
        <v>1</v>
      </c>
      <c r="KP112">
        <v>1</v>
      </c>
      <c r="KQ112">
        <v>1</v>
      </c>
      <c r="KR112">
        <v>1</v>
      </c>
      <c r="KS112">
        <v>1</v>
      </c>
      <c r="KT112">
        <v>1</v>
      </c>
      <c r="KU112">
        <v>1</v>
      </c>
      <c r="KV112">
        <v>1</v>
      </c>
      <c r="KW112">
        <v>1</v>
      </c>
      <c r="KX112">
        <v>1</v>
      </c>
      <c r="KY112">
        <v>1</v>
      </c>
      <c r="KZ112">
        <v>1</v>
      </c>
      <c r="LA112">
        <v>1</v>
      </c>
      <c r="LB112">
        <v>1</v>
      </c>
      <c r="LC112">
        <v>1</v>
      </c>
      <c r="LD112">
        <v>1</v>
      </c>
      <c r="LE112">
        <v>1</v>
      </c>
      <c r="LF112">
        <v>1</v>
      </c>
      <c r="LG112">
        <v>1</v>
      </c>
      <c r="LH112">
        <v>1</v>
      </c>
      <c r="LI112">
        <v>1</v>
      </c>
      <c r="LJ112">
        <v>1</v>
      </c>
      <c r="LK112">
        <v>1</v>
      </c>
      <c r="LL112">
        <v>1</v>
      </c>
      <c r="LM112">
        <v>1</v>
      </c>
      <c r="LN112">
        <v>1</v>
      </c>
      <c r="LO112">
        <v>1</v>
      </c>
      <c r="LP112">
        <v>1</v>
      </c>
      <c r="LQ112">
        <v>1</v>
      </c>
      <c r="LR112">
        <v>1</v>
      </c>
      <c r="LS112">
        <v>1</v>
      </c>
      <c r="LT112">
        <v>1</v>
      </c>
      <c r="LU112">
        <v>1</v>
      </c>
      <c r="LV112">
        <v>1</v>
      </c>
      <c r="LW112">
        <v>1</v>
      </c>
      <c r="LX112">
        <v>1</v>
      </c>
      <c r="LY112">
        <v>1</v>
      </c>
      <c r="LZ112">
        <v>1</v>
      </c>
      <c r="MA112">
        <v>1</v>
      </c>
      <c r="MB112">
        <v>1</v>
      </c>
      <c r="MC112">
        <v>1</v>
      </c>
      <c r="MD112">
        <v>1</v>
      </c>
      <c r="ME112">
        <v>1</v>
      </c>
      <c r="MF112">
        <v>1</v>
      </c>
      <c r="MG112">
        <v>1</v>
      </c>
      <c r="MH112">
        <v>1</v>
      </c>
      <c r="MI112">
        <v>1</v>
      </c>
      <c r="MJ112">
        <v>1</v>
      </c>
      <c r="MK112">
        <v>1</v>
      </c>
      <c r="ML112">
        <v>1</v>
      </c>
      <c r="MM112">
        <v>1</v>
      </c>
      <c r="MN112">
        <v>1</v>
      </c>
      <c r="MO112">
        <v>1</v>
      </c>
      <c r="MP112">
        <v>1</v>
      </c>
      <c r="MQ112">
        <v>1</v>
      </c>
      <c r="MR112">
        <v>1</v>
      </c>
      <c r="MS112">
        <v>1</v>
      </c>
      <c r="MT112">
        <v>1</v>
      </c>
      <c r="MU112">
        <v>1</v>
      </c>
      <c r="MV112">
        <v>1</v>
      </c>
      <c r="MW112">
        <v>1</v>
      </c>
      <c r="MX112">
        <v>1</v>
      </c>
      <c r="MY112">
        <v>1</v>
      </c>
      <c r="MZ112">
        <v>1</v>
      </c>
      <c r="NA112">
        <v>1</v>
      </c>
      <c r="NB112">
        <v>1</v>
      </c>
      <c r="NC112">
        <v>1</v>
      </c>
      <c r="ND112">
        <v>1</v>
      </c>
      <c r="NE112">
        <v>1</v>
      </c>
      <c r="NF112">
        <v>1</v>
      </c>
      <c r="NG112">
        <v>1</v>
      </c>
      <c r="NH112">
        <v>1</v>
      </c>
      <c r="NI112">
        <v>1</v>
      </c>
      <c r="NJ112">
        <v>1</v>
      </c>
      <c r="NK112">
        <v>1</v>
      </c>
      <c r="NL112">
        <v>1</v>
      </c>
      <c r="NM112">
        <v>1</v>
      </c>
      <c r="NN112">
        <v>1</v>
      </c>
      <c r="NO112">
        <v>1</v>
      </c>
      <c r="NP112">
        <v>1</v>
      </c>
      <c r="NQ112">
        <v>1</v>
      </c>
      <c r="NR112">
        <v>1</v>
      </c>
      <c r="NS112">
        <v>1</v>
      </c>
      <c r="NT112">
        <v>1</v>
      </c>
      <c r="NU112">
        <v>1</v>
      </c>
      <c r="NV112">
        <v>1</v>
      </c>
      <c r="NW112">
        <v>1</v>
      </c>
      <c r="NX112">
        <v>1</v>
      </c>
      <c r="NY112">
        <v>1</v>
      </c>
      <c r="NZ112">
        <v>1</v>
      </c>
      <c r="OA112">
        <v>1</v>
      </c>
      <c r="OB112">
        <v>1</v>
      </c>
      <c r="OC112">
        <v>1</v>
      </c>
      <c r="OD112">
        <v>1</v>
      </c>
      <c r="OE112">
        <v>1</v>
      </c>
      <c r="OF112">
        <v>1</v>
      </c>
      <c r="OG112">
        <v>1</v>
      </c>
      <c r="OH112">
        <v>1</v>
      </c>
      <c r="OI112">
        <v>1</v>
      </c>
      <c r="OJ112">
        <v>1</v>
      </c>
      <c r="OK112">
        <v>1</v>
      </c>
      <c r="OL112">
        <v>1</v>
      </c>
      <c r="OM112">
        <v>1</v>
      </c>
      <c r="ON112">
        <v>1</v>
      </c>
      <c r="OO112">
        <v>1</v>
      </c>
      <c r="OP112">
        <v>1</v>
      </c>
      <c r="OQ112">
        <v>1</v>
      </c>
      <c r="OR112">
        <v>1</v>
      </c>
      <c r="OS112">
        <v>1</v>
      </c>
      <c r="OT112">
        <v>1</v>
      </c>
      <c r="OU112">
        <v>1</v>
      </c>
      <c r="OV112">
        <v>1</v>
      </c>
      <c r="OW112">
        <v>1</v>
      </c>
      <c r="OX112">
        <v>1</v>
      </c>
      <c r="OY112">
        <v>1</v>
      </c>
      <c r="OZ112">
        <v>1</v>
      </c>
      <c r="PA112">
        <v>1</v>
      </c>
      <c r="PB112">
        <v>1</v>
      </c>
      <c r="PC112">
        <v>1</v>
      </c>
      <c r="PD112">
        <v>1</v>
      </c>
      <c r="PE112">
        <v>1</v>
      </c>
      <c r="PF112">
        <v>1</v>
      </c>
      <c r="PG112">
        <v>1</v>
      </c>
      <c r="PH112">
        <v>1</v>
      </c>
      <c r="PI112">
        <v>1</v>
      </c>
      <c r="PJ112">
        <v>1</v>
      </c>
      <c r="PK112">
        <v>1</v>
      </c>
      <c r="PL112">
        <v>1</v>
      </c>
      <c r="PM112">
        <v>1</v>
      </c>
      <c r="PN112">
        <v>1</v>
      </c>
      <c r="PO112">
        <v>1</v>
      </c>
      <c r="PP112">
        <v>1</v>
      </c>
      <c r="PQ112">
        <v>1</v>
      </c>
      <c r="PR112">
        <v>1</v>
      </c>
      <c r="PS112">
        <v>1</v>
      </c>
      <c r="PT112">
        <v>1</v>
      </c>
      <c r="PU112">
        <v>1</v>
      </c>
      <c r="PV112">
        <v>1</v>
      </c>
      <c r="PW112">
        <v>1</v>
      </c>
      <c r="PX112">
        <v>1</v>
      </c>
      <c r="PY112">
        <v>1</v>
      </c>
      <c r="PZ112">
        <v>1</v>
      </c>
      <c r="QA112">
        <v>1</v>
      </c>
      <c r="QB112">
        <v>1</v>
      </c>
      <c r="QC112">
        <v>1</v>
      </c>
      <c r="QD112">
        <v>1</v>
      </c>
      <c r="QE112">
        <v>1</v>
      </c>
      <c r="QF112">
        <v>1</v>
      </c>
      <c r="QG112">
        <v>1</v>
      </c>
      <c r="QH112">
        <v>1</v>
      </c>
      <c r="QI112">
        <v>1</v>
      </c>
      <c r="QJ112">
        <v>1</v>
      </c>
      <c r="QK112">
        <v>1</v>
      </c>
      <c r="QL112">
        <v>1</v>
      </c>
      <c r="QM112">
        <v>1</v>
      </c>
      <c r="QN112">
        <v>1</v>
      </c>
      <c r="QO112">
        <v>1</v>
      </c>
      <c r="QP112">
        <v>1</v>
      </c>
      <c r="QQ112">
        <v>1</v>
      </c>
      <c r="QR112">
        <v>1</v>
      </c>
      <c r="QS112">
        <v>1</v>
      </c>
      <c r="QT112">
        <v>1</v>
      </c>
      <c r="QU112">
        <v>1</v>
      </c>
      <c r="QV112">
        <v>1</v>
      </c>
      <c r="QW112">
        <v>1</v>
      </c>
      <c r="QX112">
        <v>1</v>
      </c>
      <c r="QY112">
        <v>1</v>
      </c>
      <c r="QZ112">
        <v>1</v>
      </c>
      <c r="RA112">
        <v>1</v>
      </c>
      <c r="RB112">
        <v>1</v>
      </c>
      <c r="RC112">
        <v>1</v>
      </c>
      <c r="RD112">
        <v>1</v>
      </c>
      <c r="RE112">
        <v>1</v>
      </c>
      <c r="RF112">
        <v>1</v>
      </c>
      <c r="RG112">
        <v>1</v>
      </c>
      <c r="RH112">
        <v>1</v>
      </c>
      <c r="RI112">
        <v>1</v>
      </c>
      <c r="RJ112">
        <v>1</v>
      </c>
      <c r="RK112">
        <v>1</v>
      </c>
      <c r="RL112">
        <v>1</v>
      </c>
      <c r="RM112">
        <v>1</v>
      </c>
      <c r="RN112">
        <v>1</v>
      </c>
      <c r="RO112">
        <v>1</v>
      </c>
      <c r="RP112">
        <v>1</v>
      </c>
      <c r="RQ112">
        <v>1</v>
      </c>
      <c r="RR112">
        <v>1</v>
      </c>
      <c r="RS112">
        <v>1</v>
      </c>
      <c r="RT112">
        <v>1</v>
      </c>
      <c r="RU112">
        <v>1</v>
      </c>
      <c r="RV112">
        <v>1</v>
      </c>
      <c r="RW112">
        <v>1</v>
      </c>
      <c r="RX112">
        <v>1</v>
      </c>
      <c r="RY112">
        <v>1</v>
      </c>
      <c r="RZ112">
        <v>1</v>
      </c>
      <c r="SA112">
        <v>1</v>
      </c>
      <c r="SB112">
        <v>1</v>
      </c>
      <c r="SC112">
        <v>1</v>
      </c>
      <c r="SD112">
        <v>1</v>
      </c>
      <c r="SE112">
        <v>1</v>
      </c>
      <c r="SF112">
        <v>1</v>
      </c>
      <c r="SG112">
        <v>1</v>
      </c>
      <c r="SH112">
        <v>1</v>
      </c>
      <c r="SI112">
        <v>1</v>
      </c>
      <c r="SJ112">
        <v>1</v>
      </c>
      <c r="SK112">
        <v>1</v>
      </c>
      <c r="SL112">
        <v>1</v>
      </c>
      <c r="SM112">
        <v>1</v>
      </c>
      <c r="SN112">
        <v>1</v>
      </c>
      <c r="SO112">
        <v>1</v>
      </c>
      <c r="SP112">
        <v>1</v>
      </c>
      <c r="SQ112">
        <v>1</v>
      </c>
      <c r="SR112">
        <v>1</v>
      </c>
      <c r="SS112">
        <v>1</v>
      </c>
      <c r="ST112">
        <v>1</v>
      </c>
      <c r="SU112">
        <v>1</v>
      </c>
      <c r="SV112">
        <v>1</v>
      </c>
      <c r="SW112">
        <v>1</v>
      </c>
      <c r="SX112">
        <v>1</v>
      </c>
      <c r="SY112">
        <v>1</v>
      </c>
      <c r="SZ112">
        <v>1</v>
      </c>
      <c r="TA112">
        <v>1</v>
      </c>
      <c r="TB112">
        <v>1</v>
      </c>
      <c r="TC112">
        <v>1</v>
      </c>
      <c r="TD112">
        <v>1</v>
      </c>
      <c r="TE112">
        <v>1</v>
      </c>
      <c r="TF112">
        <v>1</v>
      </c>
      <c r="TG112">
        <v>1</v>
      </c>
      <c r="TH112">
        <v>1</v>
      </c>
      <c r="TI112">
        <v>1</v>
      </c>
      <c r="TJ112">
        <v>1</v>
      </c>
      <c r="TK112">
        <v>1</v>
      </c>
      <c r="TL112">
        <v>1</v>
      </c>
      <c r="TM112">
        <v>1</v>
      </c>
      <c r="TN112">
        <v>1</v>
      </c>
      <c r="TO112">
        <v>1</v>
      </c>
      <c r="TP112">
        <v>1</v>
      </c>
      <c r="TQ112">
        <v>1</v>
      </c>
      <c r="TR112">
        <v>1</v>
      </c>
      <c r="TS112">
        <v>1</v>
      </c>
      <c r="TT112">
        <v>1</v>
      </c>
      <c r="TU112">
        <v>1</v>
      </c>
      <c r="TV112">
        <v>1</v>
      </c>
      <c r="TW112">
        <v>1</v>
      </c>
      <c r="TX112">
        <v>1</v>
      </c>
      <c r="TY112">
        <v>1</v>
      </c>
      <c r="TZ112">
        <v>1</v>
      </c>
      <c r="UA112">
        <v>1</v>
      </c>
      <c r="UB112">
        <v>1</v>
      </c>
      <c r="UC112">
        <v>1</v>
      </c>
      <c r="UD112">
        <v>1</v>
      </c>
      <c r="UE112">
        <v>1</v>
      </c>
      <c r="UF112">
        <v>1</v>
      </c>
      <c r="UG112">
        <v>1</v>
      </c>
      <c r="UH112">
        <v>0</v>
      </c>
      <c r="UI112">
        <v>0</v>
      </c>
      <c r="UJ112">
        <v>0</v>
      </c>
      <c r="UK112">
        <v>0</v>
      </c>
      <c r="UL112">
        <v>0</v>
      </c>
      <c r="UM112">
        <v>0</v>
      </c>
      <c r="UN112">
        <v>0</v>
      </c>
      <c r="UO112">
        <v>0</v>
      </c>
      <c r="UP112">
        <v>0</v>
      </c>
      <c r="UQ112">
        <v>0</v>
      </c>
      <c r="UR112">
        <v>0</v>
      </c>
      <c r="US112">
        <v>0</v>
      </c>
      <c r="UT112">
        <v>0</v>
      </c>
      <c r="UU112">
        <v>0</v>
      </c>
      <c r="UV112">
        <v>0</v>
      </c>
      <c r="UW112">
        <v>0</v>
      </c>
      <c r="UX112">
        <v>0</v>
      </c>
      <c r="UY112">
        <v>0</v>
      </c>
      <c r="UZ112">
        <v>0</v>
      </c>
      <c r="VA112">
        <v>0</v>
      </c>
      <c r="VB112">
        <v>0</v>
      </c>
      <c r="VC112">
        <v>0</v>
      </c>
      <c r="VD112">
        <v>0</v>
      </c>
      <c r="VE112">
        <v>0</v>
      </c>
      <c r="VF112">
        <v>0</v>
      </c>
      <c r="VG112">
        <v>0</v>
      </c>
      <c r="VH112">
        <v>0</v>
      </c>
      <c r="VI112">
        <v>0</v>
      </c>
      <c r="VJ112">
        <v>0</v>
      </c>
      <c r="VK112">
        <v>0</v>
      </c>
      <c r="VL112">
        <v>0</v>
      </c>
      <c r="VM112">
        <v>0</v>
      </c>
      <c r="VN112">
        <v>0</v>
      </c>
      <c r="VO112">
        <v>0</v>
      </c>
      <c r="VP112">
        <v>0</v>
      </c>
      <c r="VQ112">
        <v>0</v>
      </c>
      <c r="VR112">
        <v>0</v>
      </c>
      <c r="VS112">
        <v>0</v>
      </c>
      <c r="VT112">
        <v>0</v>
      </c>
      <c r="VU112">
        <v>0</v>
      </c>
      <c r="VV112">
        <v>0</v>
      </c>
      <c r="VW112">
        <v>0</v>
      </c>
      <c r="VX112">
        <v>0</v>
      </c>
      <c r="VY112">
        <v>0</v>
      </c>
      <c r="VZ112">
        <v>0</v>
      </c>
      <c r="WA112">
        <v>0</v>
      </c>
      <c r="WB112">
        <v>0</v>
      </c>
      <c r="WC112">
        <v>0</v>
      </c>
      <c r="WD112">
        <v>0</v>
      </c>
      <c r="WE112">
        <v>0</v>
      </c>
      <c r="WF112">
        <v>0</v>
      </c>
      <c r="WG112">
        <v>0</v>
      </c>
      <c r="WH112">
        <v>0</v>
      </c>
      <c r="WI112">
        <v>0</v>
      </c>
      <c r="WJ112">
        <v>0</v>
      </c>
      <c r="WK112">
        <v>0</v>
      </c>
      <c r="WL112">
        <v>0</v>
      </c>
      <c r="WM112">
        <v>0</v>
      </c>
      <c r="WN112">
        <v>0</v>
      </c>
      <c r="WO112">
        <v>0</v>
      </c>
      <c r="WP112">
        <v>0</v>
      </c>
      <c r="WQ112">
        <v>0</v>
      </c>
      <c r="WR112">
        <v>0</v>
      </c>
      <c r="WS112">
        <v>0</v>
      </c>
      <c r="WT112">
        <v>0</v>
      </c>
      <c r="WU112">
        <v>0</v>
      </c>
      <c r="WV112">
        <v>0</v>
      </c>
      <c r="WW112">
        <v>0</v>
      </c>
      <c r="WX112">
        <v>0</v>
      </c>
      <c r="WY112">
        <v>0</v>
      </c>
      <c r="WZ112">
        <v>0</v>
      </c>
      <c r="XA112">
        <v>0</v>
      </c>
      <c r="XB112">
        <v>0</v>
      </c>
      <c r="XC112">
        <v>0</v>
      </c>
      <c r="XD112">
        <v>0</v>
      </c>
      <c r="XE112">
        <v>0</v>
      </c>
      <c r="XF112">
        <v>0</v>
      </c>
      <c r="XG112">
        <v>0</v>
      </c>
      <c r="XH112">
        <v>0</v>
      </c>
      <c r="XI112">
        <v>0</v>
      </c>
      <c r="XJ112">
        <v>0</v>
      </c>
      <c r="XK112">
        <v>0</v>
      </c>
      <c r="XL112">
        <v>0</v>
      </c>
      <c r="XM112">
        <v>0</v>
      </c>
      <c r="XN112">
        <v>0</v>
      </c>
      <c r="XO112">
        <v>0</v>
      </c>
      <c r="XP112">
        <v>0</v>
      </c>
      <c r="XQ112">
        <v>0</v>
      </c>
      <c r="XR112">
        <v>0</v>
      </c>
      <c r="XS112">
        <v>0</v>
      </c>
      <c r="XT112">
        <v>0</v>
      </c>
      <c r="XU112">
        <v>0</v>
      </c>
      <c r="XV112">
        <v>0</v>
      </c>
      <c r="XW112">
        <v>0</v>
      </c>
      <c r="XX112">
        <v>0</v>
      </c>
      <c r="XY112">
        <v>0</v>
      </c>
      <c r="XZ112">
        <v>0</v>
      </c>
      <c r="YA112">
        <v>0</v>
      </c>
      <c r="YB112">
        <v>0</v>
      </c>
      <c r="YC112">
        <v>0</v>
      </c>
      <c r="YD112">
        <v>0</v>
      </c>
      <c r="YE112">
        <v>0</v>
      </c>
      <c r="YF112">
        <v>0</v>
      </c>
      <c r="YG112">
        <v>0</v>
      </c>
      <c r="YH112">
        <v>0</v>
      </c>
      <c r="YI112">
        <v>0</v>
      </c>
      <c r="YJ112">
        <v>0</v>
      </c>
      <c r="YK112">
        <v>0</v>
      </c>
      <c r="YL112">
        <v>0</v>
      </c>
      <c r="YM112">
        <v>0</v>
      </c>
      <c r="YN112">
        <v>0</v>
      </c>
      <c r="YO112">
        <v>0</v>
      </c>
      <c r="YP112">
        <v>0</v>
      </c>
      <c r="YQ112">
        <v>0</v>
      </c>
      <c r="YR112">
        <v>0</v>
      </c>
      <c r="YS112">
        <v>0</v>
      </c>
      <c r="YT112">
        <v>0</v>
      </c>
      <c r="YU112">
        <v>0</v>
      </c>
      <c r="YV112">
        <v>0</v>
      </c>
      <c r="YW112">
        <v>0</v>
      </c>
      <c r="YX112">
        <v>0</v>
      </c>
      <c r="YY112">
        <v>0</v>
      </c>
      <c r="YZ112">
        <v>0</v>
      </c>
      <c r="ZA112">
        <v>0</v>
      </c>
      <c r="ZB112">
        <v>0</v>
      </c>
      <c r="ZC112">
        <v>0</v>
      </c>
      <c r="ZD112">
        <v>0</v>
      </c>
      <c r="ZE112">
        <v>0</v>
      </c>
      <c r="ZF112">
        <v>0</v>
      </c>
      <c r="ZG112">
        <v>0</v>
      </c>
      <c r="ZH112">
        <v>0</v>
      </c>
      <c r="ZI112">
        <v>0</v>
      </c>
      <c r="ZJ112">
        <v>0</v>
      </c>
      <c r="ZK112">
        <v>0</v>
      </c>
      <c r="ZL112">
        <v>0</v>
      </c>
      <c r="ZM112">
        <v>0</v>
      </c>
      <c r="ZN112">
        <v>0</v>
      </c>
      <c r="ZO112">
        <v>0</v>
      </c>
      <c r="ZP112">
        <v>0</v>
      </c>
      <c r="ZQ112">
        <v>0</v>
      </c>
      <c r="ZR112">
        <v>0</v>
      </c>
      <c r="ZS112">
        <v>0</v>
      </c>
      <c r="ZT112">
        <v>0</v>
      </c>
      <c r="ZU112">
        <v>0</v>
      </c>
      <c r="ZV112">
        <v>0</v>
      </c>
      <c r="ZW112">
        <v>0</v>
      </c>
      <c r="ZX112">
        <v>0</v>
      </c>
      <c r="ZY112">
        <v>0</v>
      </c>
      <c r="ZZ112">
        <v>0</v>
      </c>
      <c r="AAA112">
        <v>0</v>
      </c>
      <c r="AAB112">
        <v>0</v>
      </c>
      <c r="AAC112">
        <v>0</v>
      </c>
      <c r="AAD112">
        <v>0</v>
      </c>
      <c r="AAE112">
        <v>0</v>
      </c>
      <c r="AAF112">
        <v>0</v>
      </c>
      <c r="AAG112">
        <v>0</v>
      </c>
      <c r="AAH112">
        <v>0</v>
      </c>
      <c r="AAI112">
        <v>0</v>
      </c>
      <c r="AAJ112">
        <v>0</v>
      </c>
      <c r="AAK112">
        <v>0</v>
      </c>
      <c r="AAL112">
        <v>0</v>
      </c>
      <c r="AAM112">
        <v>0</v>
      </c>
      <c r="AAN112">
        <v>0</v>
      </c>
      <c r="AAO112">
        <v>0</v>
      </c>
      <c r="AAP112">
        <v>0</v>
      </c>
      <c r="AAQ112">
        <v>0</v>
      </c>
      <c r="AAR112">
        <v>0</v>
      </c>
      <c r="AAS112">
        <v>0</v>
      </c>
      <c r="AAT112">
        <v>0</v>
      </c>
      <c r="AAU112">
        <v>0</v>
      </c>
      <c r="AAV112">
        <v>0</v>
      </c>
      <c r="AAW112">
        <v>0</v>
      </c>
      <c r="AAX112">
        <v>0</v>
      </c>
      <c r="AAY112">
        <v>0</v>
      </c>
      <c r="AAZ112">
        <v>0</v>
      </c>
      <c r="ABA112">
        <v>0</v>
      </c>
      <c r="ABB112">
        <v>0</v>
      </c>
      <c r="ABC112">
        <v>0</v>
      </c>
      <c r="ABD112">
        <v>0</v>
      </c>
      <c r="ABE112">
        <v>0</v>
      </c>
      <c r="ABG112" s="1137">
        <f t="shared" si="26"/>
        <v>0</v>
      </c>
      <c r="ABH112" s="1137">
        <f t="shared" si="26"/>
        <v>0</v>
      </c>
      <c r="ABI112" s="1137">
        <f t="shared" si="26"/>
        <v>8</v>
      </c>
      <c r="ABJ112" s="1137">
        <f t="shared" si="26"/>
        <v>30</v>
      </c>
      <c r="ABK112" s="1137">
        <f t="shared" si="26"/>
        <v>31</v>
      </c>
      <c r="ABL112" s="1137">
        <f t="shared" si="26"/>
        <v>30</v>
      </c>
      <c r="ABM112" s="1137">
        <f t="shared" si="26"/>
        <v>16</v>
      </c>
      <c r="ABN112" s="1137">
        <f t="shared" si="26"/>
        <v>0</v>
      </c>
      <c r="ABO112" s="1137">
        <f t="shared" si="26"/>
        <v>0</v>
      </c>
      <c r="ABP112" s="1137">
        <f t="shared" si="26"/>
        <v>27</v>
      </c>
      <c r="ABQ112" s="1137">
        <f t="shared" si="26"/>
        <v>30</v>
      </c>
      <c r="ABR112" s="1137">
        <f t="shared" si="26"/>
        <v>31</v>
      </c>
      <c r="ABS112" s="1137">
        <f t="shared" si="26"/>
        <v>31</v>
      </c>
      <c r="ABT112" s="1137">
        <f t="shared" si="26"/>
        <v>28</v>
      </c>
      <c r="ABU112" s="1137">
        <f t="shared" si="26"/>
        <v>31</v>
      </c>
      <c r="ABV112" s="1137">
        <f t="shared" si="26"/>
        <v>30</v>
      </c>
      <c r="ABW112" s="1137">
        <f t="shared" si="17"/>
        <v>31</v>
      </c>
      <c r="ABX112" s="1137">
        <f t="shared" si="23"/>
        <v>30</v>
      </c>
      <c r="ABY112" s="1137">
        <f t="shared" si="23"/>
        <v>4</v>
      </c>
      <c r="ABZ112" s="1137">
        <f t="shared" si="23"/>
        <v>0</v>
      </c>
      <c r="ACA112" s="1137">
        <f t="shared" si="23"/>
        <v>0</v>
      </c>
      <c r="ACB112" s="1137">
        <f t="shared" si="23"/>
        <v>0</v>
      </c>
      <c r="ACC112" s="1137">
        <f t="shared" si="23"/>
        <v>0</v>
      </c>
      <c r="ACD112" s="1137">
        <f t="shared" si="23"/>
        <v>0</v>
      </c>
      <c r="ACE112" s="1137" t="s">
        <v>589</v>
      </c>
      <c r="ACF112" s="1137">
        <f t="shared" si="28"/>
        <v>0</v>
      </c>
      <c r="ACG112" s="1137">
        <f t="shared" si="28"/>
        <v>0</v>
      </c>
      <c r="ACH112" s="1137">
        <f t="shared" si="28"/>
        <v>0</v>
      </c>
      <c r="ACI112" s="1137">
        <f t="shared" si="28"/>
        <v>1</v>
      </c>
      <c r="ACJ112" s="1137">
        <f t="shared" si="28"/>
        <v>1</v>
      </c>
      <c r="ACK112" s="1137">
        <f t="shared" si="28"/>
        <v>1</v>
      </c>
      <c r="ACL112" s="1137">
        <f t="shared" si="28"/>
        <v>1</v>
      </c>
      <c r="ACM112" s="1137">
        <f t="shared" si="28"/>
        <v>0</v>
      </c>
      <c r="ACN112" s="1137">
        <f t="shared" si="28"/>
        <v>0</v>
      </c>
      <c r="ACO112" s="1137">
        <f t="shared" si="28"/>
        <v>1</v>
      </c>
      <c r="ACP112" s="1137">
        <f t="shared" si="28"/>
        <v>1</v>
      </c>
      <c r="ACQ112" s="1137">
        <f t="shared" si="28"/>
        <v>1</v>
      </c>
      <c r="ACR112" s="1137">
        <f t="shared" si="28"/>
        <v>1</v>
      </c>
      <c r="ACS112" s="1137">
        <f t="shared" si="28"/>
        <v>1</v>
      </c>
      <c r="ACT112" s="1137">
        <f t="shared" si="28"/>
        <v>1</v>
      </c>
      <c r="ACU112" s="1137">
        <f t="shared" si="27"/>
        <v>1</v>
      </c>
      <c r="ACV112" s="1137">
        <f t="shared" si="24"/>
        <v>1</v>
      </c>
      <c r="ACW112" s="1137">
        <f t="shared" si="24"/>
        <v>1</v>
      </c>
      <c r="ACX112" s="1137">
        <f t="shared" si="24"/>
        <v>0</v>
      </c>
      <c r="ACY112" s="1137">
        <f t="shared" si="24"/>
        <v>0</v>
      </c>
      <c r="ACZ112" s="1137">
        <f t="shared" si="24"/>
        <v>0</v>
      </c>
      <c r="ADA112" s="1137">
        <f t="shared" si="24"/>
        <v>0</v>
      </c>
      <c r="ADB112" s="1137">
        <f t="shared" si="16"/>
        <v>0</v>
      </c>
      <c r="ADC112" s="1137">
        <f t="shared" si="16"/>
        <v>0</v>
      </c>
    </row>
    <row r="113" spans="1:783" x14ac:dyDescent="0.25">
      <c r="A113" t="s">
        <v>1912</v>
      </c>
      <c r="B113" t="s">
        <v>44</v>
      </c>
      <c r="C113">
        <v>0</v>
      </c>
      <c r="D113">
        <v>0</v>
      </c>
      <c r="E113">
        <v>0</v>
      </c>
      <c r="F113">
        <v>0</v>
      </c>
      <c r="G113">
        <v>0</v>
      </c>
      <c r="H113">
        <v>0</v>
      </c>
      <c r="I113">
        <v>0</v>
      </c>
      <c r="J113">
        <v>0</v>
      </c>
      <c r="K11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0</v>
      </c>
      <c r="AR113">
        <v>0</v>
      </c>
      <c r="AS113">
        <v>0</v>
      </c>
      <c r="AT113">
        <v>0</v>
      </c>
      <c r="AU113">
        <v>0</v>
      </c>
      <c r="AV113">
        <v>0</v>
      </c>
      <c r="AW113">
        <v>0</v>
      </c>
      <c r="AX113">
        <v>0</v>
      </c>
      <c r="AY113">
        <v>0</v>
      </c>
      <c r="AZ113">
        <v>0</v>
      </c>
      <c r="BA113">
        <v>0</v>
      </c>
      <c r="BB113">
        <v>0</v>
      </c>
      <c r="BC113">
        <v>0</v>
      </c>
      <c r="BD113">
        <v>0</v>
      </c>
      <c r="BE113">
        <v>0</v>
      </c>
      <c r="BF113">
        <v>0</v>
      </c>
      <c r="BG113">
        <v>0</v>
      </c>
      <c r="BH113">
        <v>0</v>
      </c>
      <c r="BI113">
        <v>0</v>
      </c>
      <c r="BJ113">
        <v>0</v>
      </c>
      <c r="BK113">
        <v>0</v>
      </c>
      <c r="BL113">
        <v>0</v>
      </c>
      <c r="BM113">
        <v>0</v>
      </c>
      <c r="BN113">
        <v>0</v>
      </c>
      <c r="BO113">
        <v>0</v>
      </c>
      <c r="BP113">
        <v>0</v>
      </c>
      <c r="BQ113">
        <v>0</v>
      </c>
      <c r="BR113">
        <v>0</v>
      </c>
      <c r="BS113">
        <v>0</v>
      </c>
      <c r="BT113">
        <v>0</v>
      </c>
      <c r="BU113">
        <v>0</v>
      </c>
      <c r="BV113">
        <v>0</v>
      </c>
      <c r="BW113">
        <v>0</v>
      </c>
      <c r="BX113">
        <v>0</v>
      </c>
      <c r="BY113">
        <v>0</v>
      </c>
      <c r="BZ113">
        <v>0</v>
      </c>
      <c r="CA113">
        <v>0</v>
      </c>
      <c r="CB113">
        <v>0</v>
      </c>
      <c r="CC113">
        <v>0</v>
      </c>
      <c r="CD113">
        <v>0</v>
      </c>
      <c r="CE113">
        <v>2</v>
      </c>
      <c r="CF113">
        <v>2</v>
      </c>
      <c r="CG113">
        <v>2</v>
      </c>
      <c r="CH113">
        <v>2</v>
      </c>
      <c r="CI113">
        <v>2</v>
      </c>
      <c r="CJ113">
        <v>2</v>
      </c>
      <c r="CK113">
        <v>2</v>
      </c>
      <c r="CL113">
        <v>2</v>
      </c>
      <c r="CM113">
        <v>2</v>
      </c>
      <c r="CN113">
        <v>2</v>
      </c>
      <c r="CO113">
        <v>2</v>
      </c>
      <c r="CP113">
        <v>2</v>
      </c>
      <c r="CQ113">
        <v>2</v>
      </c>
      <c r="CR113">
        <v>2</v>
      </c>
      <c r="CS113">
        <v>2</v>
      </c>
      <c r="CT113">
        <v>2</v>
      </c>
      <c r="CU113">
        <v>2</v>
      </c>
      <c r="CV113">
        <v>2</v>
      </c>
      <c r="CW113">
        <v>2</v>
      </c>
      <c r="CX113">
        <v>2</v>
      </c>
      <c r="CY113">
        <v>2</v>
      </c>
      <c r="CZ113">
        <v>2</v>
      </c>
      <c r="DA113">
        <v>2</v>
      </c>
      <c r="DB113">
        <v>2</v>
      </c>
      <c r="DC113">
        <v>2</v>
      </c>
      <c r="DD113">
        <v>2</v>
      </c>
      <c r="DE113">
        <v>2</v>
      </c>
      <c r="DF113">
        <v>2</v>
      </c>
      <c r="DG113">
        <v>2</v>
      </c>
      <c r="DH113">
        <v>2</v>
      </c>
      <c r="DI113">
        <v>2</v>
      </c>
      <c r="DJ113">
        <v>2</v>
      </c>
      <c r="DK113">
        <v>2</v>
      </c>
      <c r="DL113">
        <v>2</v>
      </c>
      <c r="DM113">
        <v>2</v>
      </c>
      <c r="DN113">
        <v>2</v>
      </c>
      <c r="DO113">
        <v>2</v>
      </c>
      <c r="DP113">
        <v>2</v>
      </c>
      <c r="DQ113">
        <v>2</v>
      </c>
      <c r="DR113">
        <v>2</v>
      </c>
      <c r="DS113">
        <v>2</v>
      </c>
      <c r="DT113">
        <v>2</v>
      </c>
      <c r="DU113">
        <v>2</v>
      </c>
      <c r="DV113">
        <v>2</v>
      </c>
      <c r="DW113">
        <v>2</v>
      </c>
      <c r="DX113">
        <v>2</v>
      </c>
      <c r="DY113">
        <v>2</v>
      </c>
      <c r="DZ113">
        <v>2</v>
      </c>
      <c r="EA113">
        <v>2</v>
      </c>
      <c r="EB113">
        <v>2</v>
      </c>
      <c r="EC113">
        <v>2</v>
      </c>
      <c r="ED113">
        <v>2</v>
      </c>
      <c r="EE113">
        <v>2</v>
      </c>
      <c r="EF113">
        <v>2</v>
      </c>
      <c r="EG113">
        <v>2</v>
      </c>
      <c r="EH113">
        <v>2</v>
      </c>
      <c r="EI113">
        <v>2</v>
      </c>
      <c r="EJ113">
        <v>2</v>
      </c>
      <c r="EK113">
        <v>2</v>
      </c>
      <c r="EL113">
        <v>2</v>
      </c>
      <c r="EM113">
        <v>2</v>
      </c>
      <c r="EN113">
        <v>2</v>
      </c>
      <c r="EO113">
        <v>2</v>
      </c>
      <c r="EP113">
        <v>2</v>
      </c>
      <c r="EQ113">
        <v>2</v>
      </c>
      <c r="ER113">
        <v>2</v>
      </c>
      <c r="ES113">
        <v>2</v>
      </c>
      <c r="ET113">
        <v>2</v>
      </c>
      <c r="EU113">
        <v>2</v>
      </c>
      <c r="EV113">
        <v>2</v>
      </c>
      <c r="EW113">
        <v>2</v>
      </c>
      <c r="EX113">
        <v>2</v>
      </c>
      <c r="EY113">
        <v>2</v>
      </c>
      <c r="EZ113">
        <v>2</v>
      </c>
      <c r="FA113">
        <v>2</v>
      </c>
      <c r="FB113">
        <v>2</v>
      </c>
      <c r="FC113">
        <v>2</v>
      </c>
      <c r="FD113">
        <v>2</v>
      </c>
      <c r="FE113">
        <v>2</v>
      </c>
      <c r="FF113">
        <v>2</v>
      </c>
      <c r="FG113">
        <v>2</v>
      </c>
      <c r="FH113">
        <v>2</v>
      </c>
      <c r="FI113">
        <v>2</v>
      </c>
      <c r="FJ113">
        <v>2</v>
      </c>
      <c r="FK113">
        <v>2</v>
      </c>
      <c r="FL113">
        <v>2</v>
      </c>
      <c r="FM113">
        <v>2</v>
      </c>
      <c r="FN113">
        <v>2</v>
      </c>
      <c r="FO113">
        <v>2</v>
      </c>
      <c r="FP113">
        <v>2</v>
      </c>
      <c r="FQ113">
        <v>2</v>
      </c>
      <c r="FR113">
        <v>2</v>
      </c>
      <c r="FS113">
        <v>2</v>
      </c>
      <c r="FT113">
        <v>2</v>
      </c>
      <c r="FU113">
        <v>2</v>
      </c>
      <c r="FV113">
        <v>2</v>
      </c>
      <c r="FW113">
        <v>2</v>
      </c>
      <c r="FX113">
        <v>2</v>
      </c>
      <c r="FY113">
        <v>2</v>
      </c>
      <c r="FZ113">
        <v>2</v>
      </c>
      <c r="GA113">
        <v>2</v>
      </c>
      <c r="GB113">
        <v>2</v>
      </c>
      <c r="GC113">
        <v>2</v>
      </c>
      <c r="GD113">
        <v>2</v>
      </c>
      <c r="GE113">
        <v>2</v>
      </c>
      <c r="GF113">
        <v>2</v>
      </c>
      <c r="GG113">
        <v>2</v>
      </c>
      <c r="GH113">
        <v>2</v>
      </c>
      <c r="GI113">
        <v>2</v>
      </c>
      <c r="GJ113">
        <v>2</v>
      </c>
      <c r="GK113">
        <v>2</v>
      </c>
      <c r="GL113">
        <v>2</v>
      </c>
      <c r="GM113">
        <v>2</v>
      </c>
      <c r="GN113">
        <v>2</v>
      </c>
      <c r="GO113">
        <v>2</v>
      </c>
      <c r="GP113">
        <v>2</v>
      </c>
      <c r="GQ113">
        <v>2</v>
      </c>
      <c r="GR113">
        <v>2</v>
      </c>
      <c r="GS113">
        <v>2</v>
      </c>
      <c r="GT113">
        <v>2</v>
      </c>
      <c r="GU113">
        <v>2</v>
      </c>
      <c r="GV113">
        <v>2</v>
      </c>
      <c r="GW113">
        <v>2</v>
      </c>
      <c r="GX113">
        <v>2</v>
      </c>
      <c r="GY113">
        <v>2</v>
      </c>
      <c r="GZ113">
        <v>2</v>
      </c>
      <c r="HA113">
        <v>2</v>
      </c>
      <c r="HB113">
        <v>2</v>
      </c>
      <c r="HC113">
        <v>2</v>
      </c>
      <c r="HD113">
        <v>2</v>
      </c>
      <c r="HE113">
        <v>2</v>
      </c>
      <c r="HF113">
        <v>2</v>
      </c>
      <c r="HG113">
        <v>2</v>
      </c>
      <c r="HH113">
        <v>2</v>
      </c>
      <c r="HI113">
        <v>2</v>
      </c>
      <c r="HJ113">
        <v>2</v>
      </c>
      <c r="HK113">
        <v>2</v>
      </c>
      <c r="HL113">
        <v>2</v>
      </c>
      <c r="HM113">
        <v>2</v>
      </c>
      <c r="HN113">
        <v>2</v>
      </c>
      <c r="HO113">
        <v>2</v>
      </c>
      <c r="HP113">
        <v>2</v>
      </c>
      <c r="HQ113">
        <v>2</v>
      </c>
      <c r="HR113">
        <v>2</v>
      </c>
      <c r="HS113">
        <v>2</v>
      </c>
      <c r="HT113">
        <v>2</v>
      </c>
      <c r="HU113">
        <v>2</v>
      </c>
      <c r="HV113">
        <v>2</v>
      </c>
      <c r="HW113">
        <v>2</v>
      </c>
      <c r="HX113">
        <v>2</v>
      </c>
      <c r="HY113">
        <v>2</v>
      </c>
      <c r="HZ113">
        <v>2</v>
      </c>
      <c r="IA113">
        <v>2</v>
      </c>
      <c r="IB113">
        <v>2</v>
      </c>
      <c r="IC113">
        <v>2</v>
      </c>
      <c r="ID113">
        <v>2</v>
      </c>
      <c r="IE113">
        <v>2</v>
      </c>
      <c r="IF113">
        <v>2</v>
      </c>
      <c r="IG113">
        <v>2</v>
      </c>
      <c r="IH113">
        <v>2</v>
      </c>
      <c r="II113">
        <v>2</v>
      </c>
      <c r="IJ113">
        <v>2</v>
      </c>
      <c r="IK113">
        <v>2</v>
      </c>
      <c r="IL113">
        <v>2</v>
      </c>
      <c r="IM113">
        <v>2</v>
      </c>
      <c r="IN113">
        <v>2</v>
      </c>
      <c r="IO113">
        <v>2</v>
      </c>
      <c r="IP113">
        <v>2</v>
      </c>
      <c r="IQ113">
        <v>2</v>
      </c>
      <c r="IR113">
        <v>2</v>
      </c>
      <c r="IS113">
        <v>2</v>
      </c>
      <c r="IT113">
        <v>2</v>
      </c>
      <c r="IU113">
        <v>2</v>
      </c>
      <c r="IV113">
        <v>2</v>
      </c>
      <c r="IW113">
        <v>2</v>
      </c>
      <c r="IX113">
        <v>2</v>
      </c>
      <c r="IY113">
        <v>2</v>
      </c>
      <c r="IZ113">
        <v>2</v>
      </c>
      <c r="JA113">
        <v>2</v>
      </c>
      <c r="JB113">
        <v>2</v>
      </c>
      <c r="JC113">
        <v>2</v>
      </c>
      <c r="JD113">
        <v>2</v>
      </c>
      <c r="JE113">
        <v>2</v>
      </c>
      <c r="JF113">
        <v>2</v>
      </c>
      <c r="JG113">
        <v>2</v>
      </c>
      <c r="JH113">
        <v>2</v>
      </c>
      <c r="JI113">
        <v>2</v>
      </c>
      <c r="JJ113">
        <v>2</v>
      </c>
      <c r="JK113">
        <v>2</v>
      </c>
      <c r="JL113">
        <v>2</v>
      </c>
      <c r="JM113">
        <v>2</v>
      </c>
      <c r="JN113">
        <v>2</v>
      </c>
      <c r="JO113">
        <v>2</v>
      </c>
      <c r="JP113">
        <v>2</v>
      </c>
      <c r="JQ113">
        <v>2</v>
      </c>
      <c r="JR113">
        <v>2</v>
      </c>
      <c r="JS113">
        <v>2</v>
      </c>
      <c r="JT113">
        <v>2</v>
      </c>
      <c r="JU113">
        <v>2</v>
      </c>
      <c r="JV113">
        <v>2</v>
      </c>
      <c r="JW113">
        <v>2</v>
      </c>
      <c r="JX113">
        <v>2</v>
      </c>
      <c r="JY113">
        <v>2</v>
      </c>
      <c r="JZ113">
        <v>2</v>
      </c>
      <c r="KA113">
        <v>2</v>
      </c>
      <c r="KB113">
        <v>2</v>
      </c>
      <c r="KC113">
        <v>2</v>
      </c>
      <c r="KD113">
        <v>2</v>
      </c>
      <c r="KE113">
        <v>2</v>
      </c>
      <c r="KF113">
        <v>2</v>
      </c>
      <c r="KG113">
        <v>2</v>
      </c>
      <c r="KH113">
        <v>2</v>
      </c>
      <c r="KI113">
        <v>2</v>
      </c>
      <c r="KJ113">
        <v>2</v>
      </c>
      <c r="KK113">
        <v>2</v>
      </c>
      <c r="KL113">
        <v>2</v>
      </c>
      <c r="KM113">
        <v>2</v>
      </c>
      <c r="KN113">
        <v>2</v>
      </c>
      <c r="KO113">
        <v>2</v>
      </c>
      <c r="KP113">
        <v>2</v>
      </c>
      <c r="KQ113">
        <v>2</v>
      </c>
      <c r="KR113">
        <v>2</v>
      </c>
      <c r="KS113">
        <v>2</v>
      </c>
      <c r="KT113">
        <v>2</v>
      </c>
      <c r="KU113">
        <v>2</v>
      </c>
      <c r="KV113">
        <v>2</v>
      </c>
      <c r="KW113">
        <v>2</v>
      </c>
      <c r="KX113">
        <v>2</v>
      </c>
      <c r="KY113">
        <v>2</v>
      </c>
      <c r="KZ113">
        <v>2</v>
      </c>
      <c r="LA113">
        <v>2</v>
      </c>
      <c r="LB113">
        <v>2</v>
      </c>
      <c r="LC113">
        <v>2</v>
      </c>
      <c r="LD113">
        <v>2</v>
      </c>
      <c r="LE113">
        <v>2</v>
      </c>
      <c r="LF113">
        <v>2</v>
      </c>
      <c r="LG113">
        <v>2</v>
      </c>
      <c r="LH113">
        <v>2</v>
      </c>
      <c r="LI113">
        <v>2</v>
      </c>
      <c r="LJ113">
        <v>2</v>
      </c>
      <c r="LK113">
        <v>2</v>
      </c>
      <c r="LL113">
        <v>2</v>
      </c>
      <c r="LM113">
        <v>2</v>
      </c>
      <c r="LN113">
        <v>2</v>
      </c>
      <c r="LO113">
        <v>2</v>
      </c>
      <c r="LP113">
        <v>2</v>
      </c>
      <c r="LQ113">
        <v>2</v>
      </c>
      <c r="LR113">
        <v>2</v>
      </c>
      <c r="LS113">
        <v>2</v>
      </c>
      <c r="LT113">
        <v>2</v>
      </c>
      <c r="LU113">
        <v>2</v>
      </c>
      <c r="LV113">
        <v>2</v>
      </c>
      <c r="LW113">
        <v>2</v>
      </c>
      <c r="LX113">
        <v>2</v>
      </c>
      <c r="LY113">
        <v>2</v>
      </c>
      <c r="LZ113">
        <v>2</v>
      </c>
      <c r="MA113">
        <v>2</v>
      </c>
      <c r="MB113">
        <v>2</v>
      </c>
      <c r="MC113">
        <v>2</v>
      </c>
      <c r="MD113">
        <v>2</v>
      </c>
      <c r="ME113">
        <v>2</v>
      </c>
      <c r="MF113">
        <v>2</v>
      </c>
      <c r="MG113">
        <v>2</v>
      </c>
      <c r="MH113">
        <v>2</v>
      </c>
      <c r="MI113">
        <v>2</v>
      </c>
      <c r="MJ113">
        <v>2</v>
      </c>
      <c r="MK113">
        <v>2</v>
      </c>
      <c r="ML113">
        <v>2</v>
      </c>
      <c r="MM113">
        <v>2</v>
      </c>
      <c r="MN113">
        <v>2</v>
      </c>
      <c r="MO113">
        <v>2</v>
      </c>
      <c r="MP113">
        <v>2</v>
      </c>
      <c r="MQ113">
        <v>2</v>
      </c>
      <c r="MR113">
        <v>2</v>
      </c>
      <c r="MS113">
        <v>2</v>
      </c>
      <c r="MT113">
        <v>2</v>
      </c>
      <c r="MU113">
        <v>2</v>
      </c>
      <c r="MV113">
        <v>2</v>
      </c>
      <c r="MW113">
        <v>2</v>
      </c>
      <c r="MX113">
        <v>2</v>
      </c>
      <c r="MY113">
        <v>2</v>
      </c>
      <c r="MZ113">
        <v>2</v>
      </c>
      <c r="NA113">
        <v>2</v>
      </c>
      <c r="NB113">
        <v>2</v>
      </c>
      <c r="NC113">
        <v>2</v>
      </c>
      <c r="ND113">
        <v>2</v>
      </c>
      <c r="NE113">
        <v>2</v>
      </c>
      <c r="NF113">
        <v>2</v>
      </c>
      <c r="NG113">
        <v>2</v>
      </c>
      <c r="NH113">
        <v>2</v>
      </c>
      <c r="NI113">
        <v>2</v>
      </c>
      <c r="NJ113">
        <v>2</v>
      </c>
      <c r="NK113">
        <v>2</v>
      </c>
      <c r="NL113">
        <v>2</v>
      </c>
      <c r="NM113">
        <v>2</v>
      </c>
      <c r="NN113">
        <v>2</v>
      </c>
      <c r="NO113">
        <v>2</v>
      </c>
      <c r="NP113">
        <v>2</v>
      </c>
      <c r="NQ113">
        <v>2</v>
      </c>
      <c r="NR113">
        <v>2</v>
      </c>
      <c r="NS113">
        <v>2</v>
      </c>
      <c r="NT113">
        <v>2</v>
      </c>
      <c r="NU113">
        <v>2</v>
      </c>
      <c r="NV113">
        <v>2</v>
      </c>
      <c r="NW113">
        <v>2</v>
      </c>
      <c r="NX113">
        <v>2</v>
      </c>
      <c r="NY113">
        <v>2</v>
      </c>
      <c r="NZ113">
        <v>2</v>
      </c>
      <c r="OA113">
        <v>2</v>
      </c>
      <c r="OB113">
        <v>2</v>
      </c>
      <c r="OC113">
        <v>2</v>
      </c>
      <c r="OD113">
        <v>2</v>
      </c>
      <c r="OE113">
        <v>2</v>
      </c>
      <c r="OF113">
        <v>2</v>
      </c>
      <c r="OG113">
        <v>2</v>
      </c>
      <c r="OH113">
        <v>2</v>
      </c>
      <c r="OI113">
        <v>2</v>
      </c>
      <c r="OJ113">
        <v>2</v>
      </c>
      <c r="OK113">
        <v>2</v>
      </c>
      <c r="OL113">
        <v>2</v>
      </c>
      <c r="OM113">
        <v>2</v>
      </c>
      <c r="ON113">
        <v>2</v>
      </c>
      <c r="OO113">
        <v>2</v>
      </c>
      <c r="OP113">
        <v>2</v>
      </c>
      <c r="OQ113">
        <v>2</v>
      </c>
      <c r="OR113">
        <v>2</v>
      </c>
      <c r="OS113">
        <v>2</v>
      </c>
      <c r="OT113">
        <v>2</v>
      </c>
      <c r="OU113">
        <v>2</v>
      </c>
      <c r="OV113">
        <v>2</v>
      </c>
      <c r="OW113">
        <v>2</v>
      </c>
      <c r="OX113">
        <v>2</v>
      </c>
      <c r="OY113">
        <v>2</v>
      </c>
      <c r="OZ113">
        <v>2</v>
      </c>
      <c r="PA113">
        <v>2</v>
      </c>
      <c r="PB113">
        <v>2</v>
      </c>
      <c r="PC113">
        <v>2</v>
      </c>
      <c r="PD113">
        <v>2</v>
      </c>
      <c r="PE113">
        <v>2</v>
      </c>
      <c r="PF113">
        <v>2</v>
      </c>
      <c r="PG113">
        <v>2</v>
      </c>
      <c r="PH113">
        <v>2</v>
      </c>
      <c r="PI113">
        <v>2</v>
      </c>
      <c r="PJ113">
        <v>2</v>
      </c>
      <c r="PK113">
        <v>2</v>
      </c>
      <c r="PL113">
        <v>2</v>
      </c>
      <c r="PM113">
        <v>2</v>
      </c>
      <c r="PN113">
        <v>2</v>
      </c>
      <c r="PO113">
        <v>2</v>
      </c>
      <c r="PP113">
        <v>2</v>
      </c>
      <c r="PQ113">
        <v>2</v>
      </c>
      <c r="PR113">
        <v>2</v>
      </c>
      <c r="PS113">
        <v>2</v>
      </c>
      <c r="PT113">
        <v>2</v>
      </c>
      <c r="PU113">
        <v>2</v>
      </c>
      <c r="PV113">
        <v>2</v>
      </c>
      <c r="PW113">
        <v>2</v>
      </c>
      <c r="PX113">
        <v>2</v>
      </c>
      <c r="PY113">
        <v>2</v>
      </c>
      <c r="PZ113">
        <v>2</v>
      </c>
      <c r="QA113">
        <v>2</v>
      </c>
      <c r="QB113">
        <v>2</v>
      </c>
      <c r="QC113">
        <v>2</v>
      </c>
      <c r="QD113">
        <v>2</v>
      </c>
      <c r="QE113">
        <v>2</v>
      </c>
      <c r="QF113">
        <v>2</v>
      </c>
      <c r="QG113">
        <v>2</v>
      </c>
      <c r="QH113">
        <v>0</v>
      </c>
      <c r="QI113">
        <v>0</v>
      </c>
      <c r="QJ113">
        <v>0</v>
      </c>
      <c r="QK113">
        <v>0</v>
      </c>
      <c r="QL113">
        <v>0</v>
      </c>
      <c r="QM113">
        <v>0</v>
      </c>
      <c r="QN113">
        <v>0</v>
      </c>
      <c r="QO113">
        <v>0</v>
      </c>
      <c r="QP113">
        <v>0</v>
      </c>
      <c r="QQ113">
        <v>0</v>
      </c>
      <c r="QR113">
        <v>0</v>
      </c>
      <c r="QS113">
        <v>0</v>
      </c>
      <c r="QT113">
        <v>0</v>
      </c>
      <c r="QU113">
        <v>0</v>
      </c>
      <c r="QV113">
        <v>2</v>
      </c>
      <c r="QW113">
        <v>2</v>
      </c>
      <c r="QX113">
        <v>2</v>
      </c>
      <c r="QY113">
        <v>2</v>
      </c>
      <c r="QZ113">
        <v>2</v>
      </c>
      <c r="RA113">
        <v>2</v>
      </c>
      <c r="RB113">
        <v>2</v>
      </c>
      <c r="RC113">
        <v>2</v>
      </c>
      <c r="RD113">
        <v>2</v>
      </c>
      <c r="RE113">
        <v>2</v>
      </c>
      <c r="RF113">
        <v>2</v>
      </c>
      <c r="RG113">
        <v>2</v>
      </c>
      <c r="RH113">
        <v>2</v>
      </c>
      <c r="RI113">
        <v>2</v>
      </c>
      <c r="RJ113">
        <v>2</v>
      </c>
      <c r="RK113">
        <v>2</v>
      </c>
      <c r="RL113">
        <v>2</v>
      </c>
      <c r="RM113">
        <v>2</v>
      </c>
      <c r="RN113">
        <v>2</v>
      </c>
      <c r="RO113">
        <v>2</v>
      </c>
      <c r="RP113">
        <v>2</v>
      </c>
      <c r="RQ113">
        <v>2</v>
      </c>
      <c r="RR113">
        <v>2</v>
      </c>
      <c r="RS113">
        <v>2</v>
      </c>
      <c r="RT113">
        <v>2</v>
      </c>
      <c r="RU113">
        <v>2</v>
      </c>
      <c r="RV113">
        <v>2</v>
      </c>
      <c r="RW113">
        <v>2</v>
      </c>
      <c r="RX113">
        <v>2</v>
      </c>
      <c r="RY113">
        <v>2</v>
      </c>
      <c r="RZ113">
        <v>2</v>
      </c>
      <c r="SA113">
        <v>2</v>
      </c>
      <c r="SB113">
        <v>2</v>
      </c>
      <c r="SC113">
        <v>2</v>
      </c>
      <c r="SD113">
        <v>2</v>
      </c>
      <c r="SE113">
        <v>2</v>
      </c>
      <c r="SF113">
        <v>2</v>
      </c>
      <c r="SG113">
        <v>2</v>
      </c>
      <c r="SH113">
        <v>2</v>
      </c>
      <c r="SI113">
        <v>2</v>
      </c>
      <c r="SJ113">
        <v>2</v>
      </c>
      <c r="SK113">
        <v>2</v>
      </c>
      <c r="SL113">
        <v>2</v>
      </c>
      <c r="SM113">
        <v>2</v>
      </c>
      <c r="SN113">
        <v>2</v>
      </c>
      <c r="SO113">
        <v>2</v>
      </c>
      <c r="SP113">
        <v>2</v>
      </c>
      <c r="SQ113">
        <v>2</v>
      </c>
      <c r="SR113">
        <v>2</v>
      </c>
      <c r="SS113">
        <v>2</v>
      </c>
      <c r="ST113">
        <v>2</v>
      </c>
      <c r="SU113">
        <v>2</v>
      </c>
      <c r="SV113">
        <v>2</v>
      </c>
      <c r="SW113">
        <v>2</v>
      </c>
      <c r="SX113">
        <v>2</v>
      </c>
      <c r="SY113">
        <v>2</v>
      </c>
      <c r="SZ113">
        <v>2</v>
      </c>
      <c r="TA113">
        <v>2</v>
      </c>
      <c r="TB113">
        <v>2</v>
      </c>
      <c r="TC113">
        <v>1</v>
      </c>
      <c r="TD113">
        <v>1</v>
      </c>
      <c r="TE113">
        <v>1</v>
      </c>
      <c r="TF113">
        <v>1</v>
      </c>
      <c r="TG113">
        <v>1</v>
      </c>
      <c r="TH113">
        <v>1</v>
      </c>
      <c r="TI113">
        <v>1</v>
      </c>
      <c r="TJ113">
        <v>1</v>
      </c>
      <c r="TK113">
        <v>1</v>
      </c>
      <c r="TL113">
        <v>1</v>
      </c>
      <c r="TM113">
        <v>1</v>
      </c>
      <c r="TN113">
        <v>1</v>
      </c>
      <c r="TO113">
        <v>1</v>
      </c>
      <c r="TP113">
        <v>1</v>
      </c>
      <c r="TQ113">
        <v>1</v>
      </c>
      <c r="TR113">
        <v>1</v>
      </c>
      <c r="TS113">
        <v>1</v>
      </c>
      <c r="TT113">
        <v>1</v>
      </c>
      <c r="TU113">
        <v>1</v>
      </c>
      <c r="TV113">
        <v>1</v>
      </c>
      <c r="TW113">
        <v>0</v>
      </c>
      <c r="TX113">
        <v>0</v>
      </c>
      <c r="TY113">
        <v>0</v>
      </c>
      <c r="TZ113">
        <v>0</v>
      </c>
      <c r="UA113">
        <v>0</v>
      </c>
      <c r="UB113">
        <v>0</v>
      </c>
      <c r="UC113">
        <v>0</v>
      </c>
      <c r="UD113">
        <v>0</v>
      </c>
      <c r="UE113">
        <v>0</v>
      </c>
      <c r="UF113">
        <v>0</v>
      </c>
      <c r="UG113">
        <v>0</v>
      </c>
      <c r="UH113">
        <v>0</v>
      </c>
      <c r="UI113">
        <v>0</v>
      </c>
      <c r="UJ113">
        <v>0</v>
      </c>
      <c r="UK113">
        <v>0</v>
      </c>
      <c r="UL113">
        <v>0</v>
      </c>
      <c r="UM113">
        <v>0</v>
      </c>
      <c r="UN113">
        <v>0</v>
      </c>
      <c r="UO113">
        <v>0</v>
      </c>
      <c r="UP113">
        <v>0</v>
      </c>
      <c r="UQ113">
        <v>0</v>
      </c>
      <c r="UR113">
        <v>0</v>
      </c>
      <c r="US113">
        <v>0</v>
      </c>
      <c r="UT113">
        <v>0</v>
      </c>
      <c r="UU113">
        <v>0</v>
      </c>
      <c r="UV113">
        <v>0</v>
      </c>
      <c r="UW113">
        <v>0</v>
      </c>
      <c r="UX113">
        <v>0</v>
      </c>
      <c r="UY113">
        <v>0</v>
      </c>
      <c r="UZ113">
        <v>0</v>
      </c>
      <c r="VA113">
        <v>0</v>
      </c>
      <c r="VB113">
        <v>0</v>
      </c>
      <c r="VC113">
        <v>0</v>
      </c>
      <c r="VD113">
        <v>0</v>
      </c>
      <c r="VE113">
        <v>0</v>
      </c>
      <c r="VF113">
        <v>0</v>
      </c>
      <c r="VG113">
        <v>0</v>
      </c>
      <c r="VH113">
        <v>0</v>
      </c>
      <c r="VI113">
        <v>0</v>
      </c>
      <c r="VJ113">
        <v>0</v>
      </c>
      <c r="VK113">
        <v>0</v>
      </c>
      <c r="VL113">
        <v>0</v>
      </c>
      <c r="VM113">
        <v>0</v>
      </c>
      <c r="VN113">
        <v>0</v>
      </c>
      <c r="VO113">
        <v>0</v>
      </c>
      <c r="VP113">
        <v>0</v>
      </c>
      <c r="VQ113">
        <v>0</v>
      </c>
      <c r="VR113">
        <v>0</v>
      </c>
      <c r="VS113">
        <v>0</v>
      </c>
      <c r="VT113">
        <v>0</v>
      </c>
      <c r="VU113">
        <v>0</v>
      </c>
      <c r="VV113">
        <v>0</v>
      </c>
      <c r="VW113">
        <v>0</v>
      </c>
      <c r="VX113">
        <v>0</v>
      </c>
      <c r="VY113">
        <v>0</v>
      </c>
      <c r="VZ113">
        <v>0</v>
      </c>
      <c r="WA113">
        <v>0</v>
      </c>
      <c r="WB113">
        <v>0</v>
      </c>
      <c r="WC113">
        <v>0</v>
      </c>
      <c r="WD113">
        <v>0</v>
      </c>
      <c r="WE113">
        <v>0</v>
      </c>
      <c r="WF113">
        <v>0</v>
      </c>
      <c r="WG113">
        <v>0</v>
      </c>
      <c r="WH113">
        <v>0</v>
      </c>
      <c r="WI113">
        <v>0</v>
      </c>
      <c r="WJ113">
        <v>0</v>
      </c>
      <c r="WK113">
        <v>0</v>
      </c>
      <c r="WL113">
        <v>0</v>
      </c>
      <c r="WM113">
        <v>0</v>
      </c>
      <c r="WN113">
        <v>0</v>
      </c>
      <c r="WO113">
        <v>0</v>
      </c>
      <c r="WP113">
        <v>0</v>
      </c>
      <c r="WQ113">
        <v>0</v>
      </c>
      <c r="WR113">
        <v>0</v>
      </c>
      <c r="WS113">
        <v>0</v>
      </c>
      <c r="WT113">
        <v>0</v>
      </c>
      <c r="WU113">
        <v>0</v>
      </c>
      <c r="WV113">
        <v>0</v>
      </c>
      <c r="WW113">
        <v>0</v>
      </c>
      <c r="WX113">
        <v>0</v>
      </c>
      <c r="WY113">
        <v>0</v>
      </c>
      <c r="WZ113">
        <v>0</v>
      </c>
      <c r="XA113">
        <v>0</v>
      </c>
      <c r="XB113">
        <v>0</v>
      </c>
      <c r="XC113">
        <v>0</v>
      </c>
      <c r="XD113">
        <v>0</v>
      </c>
      <c r="XE113">
        <v>0</v>
      </c>
      <c r="XF113">
        <v>0</v>
      </c>
      <c r="XG113">
        <v>0</v>
      </c>
      <c r="XH113">
        <v>0</v>
      </c>
      <c r="XI113">
        <v>0</v>
      </c>
      <c r="XJ113">
        <v>0</v>
      </c>
      <c r="XK113">
        <v>0</v>
      </c>
      <c r="XL113">
        <v>0</v>
      </c>
      <c r="XM113">
        <v>0</v>
      </c>
      <c r="XN113">
        <v>0</v>
      </c>
      <c r="XO113">
        <v>0</v>
      </c>
      <c r="XP113">
        <v>0</v>
      </c>
      <c r="XQ113">
        <v>0</v>
      </c>
      <c r="XR113">
        <v>0</v>
      </c>
      <c r="XS113">
        <v>0</v>
      </c>
      <c r="XT113">
        <v>0</v>
      </c>
      <c r="XU113">
        <v>0</v>
      </c>
      <c r="XV113">
        <v>0</v>
      </c>
      <c r="XW113">
        <v>0</v>
      </c>
      <c r="XX113">
        <v>0</v>
      </c>
      <c r="XY113">
        <v>0</v>
      </c>
      <c r="XZ113">
        <v>0</v>
      </c>
      <c r="YA113">
        <v>0</v>
      </c>
      <c r="YB113">
        <v>0</v>
      </c>
      <c r="YC113">
        <v>0</v>
      </c>
      <c r="YD113">
        <v>0</v>
      </c>
      <c r="YE113">
        <v>0</v>
      </c>
      <c r="YF113">
        <v>0</v>
      </c>
      <c r="YG113">
        <v>0</v>
      </c>
      <c r="YH113">
        <v>0</v>
      </c>
      <c r="YI113">
        <v>0</v>
      </c>
      <c r="YJ113">
        <v>0</v>
      </c>
      <c r="YK113">
        <v>0</v>
      </c>
      <c r="YL113">
        <v>0</v>
      </c>
      <c r="YM113">
        <v>0</v>
      </c>
      <c r="YN113">
        <v>0</v>
      </c>
      <c r="YO113">
        <v>0</v>
      </c>
      <c r="YP113">
        <v>0</v>
      </c>
      <c r="YQ113">
        <v>0</v>
      </c>
      <c r="YR113">
        <v>0</v>
      </c>
      <c r="YS113">
        <v>0</v>
      </c>
      <c r="YT113">
        <v>0</v>
      </c>
      <c r="YU113">
        <v>0</v>
      </c>
      <c r="YV113">
        <v>0</v>
      </c>
      <c r="YW113">
        <v>0</v>
      </c>
      <c r="YX113">
        <v>0</v>
      </c>
      <c r="YY113">
        <v>0</v>
      </c>
      <c r="YZ113">
        <v>0</v>
      </c>
      <c r="ZA113">
        <v>0</v>
      </c>
      <c r="ZB113">
        <v>0</v>
      </c>
      <c r="ZC113">
        <v>0</v>
      </c>
      <c r="ZD113">
        <v>0</v>
      </c>
      <c r="ZE113">
        <v>0</v>
      </c>
      <c r="ZF113">
        <v>0</v>
      </c>
      <c r="ZG113">
        <v>0</v>
      </c>
      <c r="ZH113">
        <v>0</v>
      </c>
      <c r="ZI113">
        <v>0</v>
      </c>
      <c r="ZJ113">
        <v>0</v>
      </c>
      <c r="ZK113">
        <v>0</v>
      </c>
      <c r="ZL113">
        <v>0</v>
      </c>
      <c r="ZM113">
        <v>0</v>
      </c>
      <c r="ZN113">
        <v>0</v>
      </c>
      <c r="ZO113">
        <v>0</v>
      </c>
      <c r="ZP113">
        <v>0</v>
      </c>
      <c r="ZQ113">
        <v>0</v>
      </c>
      <c r="ZR113">
        <v>0</v>
      </c>
      <c r="ZS113">
        <v>0</v>
      </c>
      <c r="ZT113">
        <v>0</v>
      </c>
      <c r="ZU113">
        <v>0</v>
      </c>
      <c r="ZV113">
        <v>0</v>
      </c>
      <c r="ZW113">
        <v>0</v>
      </c>
      <c r="ZX113">
        <v>0</v>
      </c>
      <c r="ZY113">
        <v>0</v>
      </c>
      <c r="ZZ113">
        <v>0</v>
      </c>
      <c r="AAA113">
        <v>0</v>
      </c>
      <c r="AAB113">
        <v>0</v>
      </c>
      <c r="AAC113">
        <v>0</v>
      </c>
      <c r="AAD113">
        <v>0</v>
      </c>
      <c r="AAE113">
        <v>0</v>
      </c>
      <c r="AAF113">
        <v>0</v>
      </c>
      <c r="AAG113">
        <v>0</v>
      </c>
      <c r="AAH113">
        <v>0</v>
      </c>
      <c r="AAI113">
        <v>0</v>
      </c>
      <c r="AAJ113">
        <v>0</v>
      </c>
      <c r="AAK113">
        <v>0</v>
      </c>
      <c r="AAL113">
        <v>0</v>
      </c>
      <c r="AAM113">
        <v>0</v>
      </c>
      <c r="AAN113">
        <v>0</v>
      </c>
      <c r="AAO113">
        <v>0</v>
      </c>
      <c r="AAP113">
        <v>0</v>
      </c>
      <c r="AAQ113">
        <v>0</v>
      </c>
      <c r="AAR113">
        <v>0</v>
      </c>
      <c r="AAS113">
        <v>0</v>
      </c>
      <c r="AAT113">
        <v>0</v>
      </c>
      <c r="AAU113">
        <v>0</v>
      </c>
      <c r="AAV113">
        <v>0</v>
      </c>
      <c r="AAW113">
        <v>0</v>
      </c>
      <c r="AAX113">
        <v>0</v>
      </c>
      <c r="AAY113">
        <v>0</v>
      </c>
      <c r="AAZ113">
        <v>0</v>
      </c>
      <c r="ABA113">
        <v>0</v>
      </c>
      <c r="ABB113">
        <v>0</v>
      </c>
      <c r="ABC113">
        <v>0</v>
      </c>
      <c r="ABD113">
        <v>0</v>
      </c>
      <c r="ABE113">
        <v>0</v>
      </c>
      <c r="ABG113" s="1137">
        <f t="shared" si="26"/>
        <v>0</v>
      </c>
      <c r="ABH113" s="1137">
        <f t="shared" si="26"/>
        <v>0</v>
      </c>
      <c r="ABI113" s="1137">
        <f t="shared" si="26"/>
        <v>11</v>
      </c>
      <c r="ABJ113" s="1137">
        <f t="shared" si="26"/>
        <v>30</v>
      </c>
      <c r="ABK113" s="1137">
        <f t="shared" si="26"/>
        <v>31</v>
      </c>
      <c r="ABL113" s="1137">
        <f t="shared" si="26"/>
        <v>30</v>
      </c>
      <c r="ABM113" s="1137">
        <f t="shared" si="26"/>
        <v>31</v>
      </c>
      <c r="ABN113" s="1137">
        <f t="shared" si="26"/>
        <v>31</v>
      </c>
      <c r="ABO113" s="1137">
        <f t="shared" si="26"/>
        <v>30</v>
      </c>
      <c r="ABP113" s="1137">
        <f t="shared" si="26"/>
        <v>31</v>
      </c>
      <c r="ABQ113" s="1137">
        <f t="shared" si="26"/>
        <v>30</v>
      </c>
      <c r="ABR113" s="1137">
        <f t="shared" si="26"/>
        <v>31</v>
      </c>
      <c r="ABS113" s="1137">
        <f t="shared" si="26"/>
        <v>31</v>
      </c>
      <c r="ABT113" s="1137">
        <f t="shared" si="26"/>
        <v>28</v>
      </c>
      <c r="ABU113" s="1137">
        <f t="shared" si="26"/>
        <v>22</v>
      </c>
      <c r="ABV113" s="1137">
        <f t="shared" si="26"/>
        <v>25</v>
      </c>
      <c r="ABW113" s="1137">
        <f t="shared" si="17"/>
        <v>31</v>
      </c>
      <c r="ABX113" s="1137">
        <f t="shared" si="23"/>
        <v>23</v>
      </c>
      <c r="ABY113" s="1137">
        <f t="shared" si="23"/>
        <v>0</v>
      </c>
      <c r="ABZ113" s="1137">
        <f t="shared" si="23"/>
        <v>0</v>
      </c>
      <c r="ACA113" s="1137">
        <f t="shared" si="23"/>
        <v>0</v>
      </c>
      <c r="ACB113" s="1137">
        <f t="shared" si="23"/>
        <v>0</v>
      </c>
      <c r="ACC113" s="1137">
        <f t="shared" si="23"/>
        <v>0</v>
      </c>
      <c r="ACD113" s="1137">
        <f t="shared" si="23"/>
        <v>0</v>
      </c>
      <c r="ACE113" s="1137" t="s">
        <v>44</v>
      </c>
      <c r="ACF113" s="1137">
        <f t="shared" si="28"/>
        <v>0</v>
      </c>
      <c r="ACG113" s="1137">
        <f t="shared" si="28"/>
        <v>0</v>
      </c>
      <c r="ACH113" s="1137">
        <f t="shared" si="28"/>
        <v>1</v>
      </c>
      <c r="ACI113" s="1137">
        <f t="shared" si="28"/>
        <v>1</v>
      </c>
      <c r="ACJ113" s="1137">
        <f t="shared" si="28"/>
        <v>1</v>
      </c>
      <c r="ACK113" s="1137">
        <f t="shared" si="28"/>
        <v>1</v>
      </c>
      <c r="ACL113" s="1137">
        <f t="shared" si="28"/>
        <v>1</v>
      </c>
      <c r="ACM113" s="1137">
        <f t="shared" si="28"/>
        <v>1</v>
      </c>
      <c r="ACN113" s="1137">
        <f t="shared" si="28"/>
        <v>1</v>
      </c>
      <c r="ACO113" s="1137">
        <f t="shared" si="28"/>
        <v>1</v>
      </c>
      <c r="ACP113" s="1137">
        <f t="shared" si="28"/>
        <v>1</v>
      </c>
      <c r="ACQ113" s="1137">
        <f t="shared" si="28"/>
        <v>1</v>
      </c>
      <c r="ACR113" s="1137">
        <f t="shared" si="28"/>
        <v>1</v>
      </c>
      <c r="ACS113" s="1137">
        <f t="shared" si="28"/>
        <v>1</v>
      </c>
      <c r="ACT113" s="1137">
        <f t="shared" si="28"/>
        <v>1</v>
      </c>
      <c r="ACU113" s="1137">
        <f t="shared" si="27"/>
        <v>1</v>
      </c>
      <c r="ACV113" s="1137">
        <f t="shared" si="24"/>
        <v>1</v>
      </c>
      <c r="ACW113" s="1137">
        <f t="shared" si="24"/>
        <v>1</v>
      </c>
      <c r="ACX113" s="1137">
        <f t="shared" si="24"/>
        <v>0</v>
      </c>
      <c r="ACY113" s="1137">
        <f t="shared" si="24"/>
        <v>0</v>
      </c>
      <c r="ACZ113" s="1137">
        <f t="shared" si="24"/>
        <v>0</v>
      </c>
      <c r="ADA113" s="1137">
        <f t="shared" si="24"/>
        <v>0</v>
      </c>
      <c r="ADB113" s="1137">
        <f t="shared" si="16"/>
        <v>0</v>
      </c>
      <c r="ADC113" s="1137">
        <f t="shared" si="16"/>
        <v>0</v>
      </c>
    </row>
    <row r="114" spans="1:783" x14ac:dyDescent="0.25">
      <c r="A114" t="s">
        <v>1913</v>
      </c>
      <c r="B114" t="s">
        <v>220</v>
      </c>
      <c r="C114">
        <v>0</v>
      </c>
      <c r="D114">
        <v>0</v>
      </c>
      <c r="E114">
        <v>0</v>
      </c>
      <c r="F114">
        <v>0</v>
      </c>
      <c r="G114">
        <v>0</v>
      </c>
      <c r="H114">
        <v>0</v>
      </c>
      <c r="I114">
        <v>0</v>
      </c>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U114">
        <v>0</v>
      </c>
      <c r="AV114">
        <v>0</v>
      </c>
      <c r="AW114">
        <v>0</v>
      </c>
      <c r="AX114">
        <v>0</v>
      </c>
      <c r="AY114">
        <v>0</v>
      </c>
      <c r="AZ114">
        <v>0</v>
      </c>
      <c r="BA114">
        <v>0</v>
      </c>
      <c r="BB114">
        <v>0</v>
      </c>
      <c r="BC114">
        <v>0</v>
      </c>
      <c r="BD114">
        <v>0</v>
      </c>
      <c r="BE114">
        <v>0</v>
      </c>
      <c r="BF114">
        <v>0</v>
      </c>
      <c r="BG114">
        <v>0</v>
      </c>
      <c r="BH114">
        <v>0</v>
      </c>
      <c r="BI114">
        <v>0</v>
      </c>
      <c r="BJ114">
        <v>0</v>
      </c>
      <c r="BK114">
        <v>0</v>
      </c>
      <c r="BL114">
        <v>0</v>
      </c>
      <c r="BM114">
        <v>0</v>
      </c>
      <c r="BN114">
        <v>0</v>
      </c>
      <c r="BO114">
        <v>0</v>
      </c>
      <c r="BP114">
        <v>0</v>
      </c>
      <c r="BQ114">
        <v>0</v>
      </c>
      <c r="BR114">
        <v>0</v>
      </c>
      <c r="BS114">
        <v>0</v>
      </c>
      <c r="BT114">
        <v>0</v>
      </c>
      <c r="BU114">
        <v>0</v>
      </c>
      <c r="BV114">
        <v>0</v>
      </c>
      <c r="BW114">
        <v>0</v>
      </c>
      <c r="BX114">
        <v>0</v>
      </c>
      <c r="BY114">
        <v>0</v>
      </c>
      <c r="BZ114">
        <v>0</v>
      </c>
      <c r="CA114">
        <v>0</v>
      </c>
      <c r="CB114">
        <v>0</v>
      </c>
      <c r="CC114">
        <v>0</v>
      </c>
      <c r="CD114">
        <v>0</v>
      </c>
      <c r="CE114">
        <v>0</v>
      </c>
      <c r="CF114">
        <v>0</v>
      </c>
      <c r="CG114">
        <v>0</v>
      </c>
      <c r="CH114">
        <v>1</v>
      </c>
      <c r="CI114">
        <v>1</v>
      </c>
      <c r="CJ114">
        <v>1</v>
      </c>
      <c r="CK114">
        <v>1</v>
      </c>
      <c r="CL114">
        <v>1</v>
      </c>
      <c r="CM114">
        <v>1</v>
      </c>
      <c r="CN114">
        <v>2</v>
      </c>
      <c r="CO114">
        <v>2</v>
      </c>
      <c r="CP114">
        <v>2</v>
      </c>
      <c r="CQ114">
        <v>2</v>
      </c>
      <c r="CR114">
        <v>2</v>
      </c>
      <c r="CS114">
        <v>2</v>
      </c>
      <c r="CT114">
        <v>2</v>
      </c>
      <c r="CU114">
        <v>2</v>
      </c>
      <c r="CV114">
        <v>2</v>
      </c>
      <c r="CW114">
        <v>2</v>
      </c>
      <c r="CX114">
        <v>2</v>
      </c>
      <c r="CY114">
        <v>2</v>
      </c>
      <c r="CZ114">
        <v>2</v>
      </c>
      <c r="DA114">
        <v>2</v>
      </c>
      <c r="DB114">
        <v>2</v>
      </c>
      <c r="DC114">
        <v>2</v>
      </c>
      <c r="DD114">
        <v>2</v>
      </c>
      <c r="DE114">
        <v>2</v>
      </c>
      <c r="DF114">
        <v>2</v>
      </c>
      <c r="DG114">
        <v>2</v>
      </c>
      <c r="DH114">
        <v>2</v>
      </c>
      <c r="DI114">
        <v>2</v>
      </c>
      <c r="DJ114">
        <v>2</v>
      </c>
      <c r="DK114">
        <v>2</v>
      </c>
      <c r="DL114">
        <v>2</v>
      </c>
      <c r="DM114">
        <v>2</v>
      </c>
      <c r="DN114">
        <v>2</v>
      </c>
      <c r="DO114">
        <v>2</v>
      </c>
      <c r="DP114">
        <v>2</v>
      </c>
      <c r="DQ114">
        <v>2</v>
      </c>
      <c r="DR114">
        <v>2</v>
      </c>
      <c r="DS114">
        <v>2</v>
      </c>
      <c r="DT114">
        <v>2</v>
      </c>
      <c r="DU114">
        <v>2</v>
      </c>
      <c r="DV114">
        <v>2</v>
      </c>
      <c r="DW114">
        <v>2</v>
      </c>
      <c r="DX114">
        <v>2</v>
      </c>
      <c r="DY114">
        <v>2</v>
      </c>
      <c r="DZ114">
        <v>2</v>
      </c>
      <c r="EA114">
        <v>2</v>
      </c>
      <c r="EB114">
        <v>2</v>
      </c>
      <c r="EC114">
        <v>2</v>
      </c>
      <c r="ED114">
        <v>2</v>
      </c>
      <c r="EE114">
        <v>2</v>
      </c>
      <c r="EF114">
        <v>2</v>
      </c>
      <c r="EG114">
        <v>2</v>
      </c>
      <c r="EH114">
        <v>2</v>
      </c>
      <c r="EI114">
        <v>2</v>
      </c>
      <c r="EJ114">
        <v>2</v>
      </c>
      <c r="EK114">
        <v>2</v>
      </c>
      <c r="EL114">
        <v>2</v>
      </c>
      <c r="EM114">
        <v>2</v>
      </c>
      <c r="EN114">
        <v>2</v>
      </c>
      <c r="EO114">
        <v>2</v>
      </c>
      <c r="EP114">
        <v>2</v>
      </c>
      <c r="EQ114">
        <v>2</v>
      </c>
      <c r="ER114">
        <v>2</v>
      </c>
      <c r="ES114">
        <v>2</v>
      </c>
      <c r="ET114">
        <v>2</v>
      </c>
      <c r="EU114">
        <v>2</v>
      </c>
      <c r="EV114">
        <v>2</v>
      </c>
      <c r="EW114">
        <v>2</v>
      </c>
      <c r="EX114">
        <v>2</v>
      </c>
      <c r="EY114">
        <v>2</v>
      </c>
      <c r="EZ114">
        <v>2</v>
      </c>
      <c r="FA114">
        <v>2</v>
      </c>
      <c r="FB114">
        <v>2</v>
      </c>
      <c r="FC114">
        <v>2</v>
      </c>
      <c r="FD114">
        <v>2</v>
      </c>
      <c r="FE114">
        <v>2</v>
      </c>
      <c r="FF114">
        <v>2</v>
      </c>
      <c r="FG114">
        <v>2</v>
      </c>
      <c r="FH114">
        <v>2</v>
      </c>
      <c r="FI114">
        <v>2</v>
      </c>
      <c r="FJ114">
        <v>2</v>
      </c>
      <c r="FK114">
        <v>2</v>
      </c>
      <c r="FL114">
        <v>2</v>
      </c>
      <c r="FM114">
        <v>2</v>
      </c>
      <c r="FN114">
        <v>2</v>
      </c>
      <c r="FO114">
        <v>2</v>
      </c>
      <c r="FP114">
        <v>2</v>
      </c>
      <c r="FQ114">
        <v>2</v>
      </c>
      <c r="FR114">
        <v>2</v>
      </c>
      <c r="FS114">
        <v>2</v>
      </c>
      <c r="FT114">
        <v>2</v>
      </c>
      <c r="FU114">
        <v>2</v>
      </c>
      <c r="FV114">
        <v>2</v>
      </c>
      <c r="FW114">
        <v>2</v>
      </c>
      <c r="FX114">
        <v>2</v>
      </c>
      <c r="FY114">
        <v>2</v>
      </c>
      <c r="FZ114">
        <v>2</v>
      </c>
      <c r="GA114">
        <v>2</v>
      </c>
      <c r="GB114">
        <v>2</v>
      </c>
      <c r="GC114">
        <v>2</v>
      </c>
      <c r="GD114">
        <v>2</v>
      </c>
      <c r="GE114">
        <v>2</v>
      </c>
      <c r="GF114">
        <v>2</v>
      </c>
      <c r="GG114">
        <v>2</v>
      </c>
      <c r="GH114">
        <v>2</v>
      </c>
      <c r="GI114">
        <v>2</v>
      </c>
      <c r="GJ114">
        <v>2</v>
      </c>
      <c r="GK114">
        <v>2</v>
      </c>
      <c r="GL114">
        <v>2</v>
      </c>
      <c r="GM114">
        <v>2</v>
      </c>
      <c r="GN114">
        <v>2</v>
      </c>
      <c r="GO114">
        <v>2</v>
      </c>
      <c r="GP114">
        <v>2</v>
      </c>
      <c r="GQ114">
        <v>2</v>
      </c>
      <c r="GR114">
        <v>2</v>
      </c>
      <c r="GS114">
        <v>2</v>
      </c>
      <c r="GT114">
        <v>2</v>
      </c>
      <c r="GU114">
        <v>2</v>
      </c>
      <c r="GV114">
        <v>2</v>
      </c>
      <c r="GW114">
        <v>2</v>
      </c>
      <c r="GX114">
        <v>2</v>
      </c>
      <c r="GY114">
        <v>2</v>
      </c>
      <c r="GZ114">
        <v>2</v>
      </c>
      <c r="HA114">
        <v>2</v>
      </c>
      <c r="HB114">
        <v>2</v>
      </c>
      <c r="HC114">
        <v>2</v>
      </c>
      <c r="HD114">
        <v>2</v>
      </c>
      <c r="HE114">
        <v>2</v>
      </c>
      <c r="HF114">
        <v>2</v>
      </c>
      <c r="HG114">
        <v>2</v>
      </c>
      <c r="HH114">
        <v>2</v>
      </c>
      <c r="HI114">
        <v>2</v>
      </c>
      <c r="HJ114">
        <v>2</v>
      </c>
      <c r="HK114">
        <v>2</v>
      </c>
      <c r="HL114">
        <v>2</v>
      </c>
      <c r="HM114">
        <v>2</v>
      </c>
      <c r="HN114">
        <v>2</v>
      </c>
      <c r="HO114">
        <v>2</v>
      </c>
      <c r="HP114">
        <v>2</v>
      </c>
      <c r="HQ114">
        <v>2</v>
      </c>
      <c r="HR114">
        <v>2</v>
      </c>
      <c r="HS114">
        <v>2</v>
      </c>
      <c r="HT114">
        <v>2</v>
      </c>
      <c r="HU114">
        <v>2</v>
      </c>
      <c r="HV114">
        <v>2</v>
      </c>
      <c r="HW114">
        <v>2</v>
      </c>
      <c r="HX114">
        <v>2</v>
      </c>
      <c r="HY114">
        <v>2</v>
      </c>
      <c r="HZ114">
        <v>2</v>
      </c>
      <c r="IA114">
        <v>2</v>
      </c>
      <c r="IB114">
        <v>2</v>
      </c>
      <c r="IC114">
        <v>2</v>
      </c>
      <c r="ID114">
        <v>2</v>
      </c>
      <c r="IE114">
        <v>2</v>
      </c>
      <c r="IF114">
        <v>2</v>
      </c>
      <c r="IG114">
        <v>2</v>
      </c>
      <c r="IH114">
        <v>2</v>
      </c>
      <c r="II114">
        <v>2</v>
      </c>
      <c r="IJ114">
        <v>2</v>
      </c>
      <c r="IK114">
        <v>2</v>
      </c>
      <c r="IL114">
        <v>2</v>
      </c>
      <c r="IM114">
        <v>2</v>
      </c>
      <c r="IN114">
        <v>2</v>
      </c>
      <c r="IO114">
        <v>2</v>
      </c>
      <c r="IP114">
        <v>2</v>
      </c>
      <c r="IQ114">
        <v>2</v>
      </c>
      <c r="IR114">
        <v>2</v>
      </c>
      <c r="IS114">
        <v>2</v>
      </c>
      <c r="IT114">
        <v>2</v>
      </c>
      <c r="IU114">
        <v>2</v>
      </c>
      <c r="IV114">
        <v>2</v>
      </c>
      <c r="IW114">
        <v>2</v>
      </c>
      <c r="IX114">
        <v>2</v>
      </c>
      <c r="IY114">
        <v>2</v>
      </c>
      <c r="IZ114">
        <v>2</v>
      </c>
      <c r="JA114">
        <v>2</v>
      </c>
      <c r="JB114">
        <v>2</v>
      </c>
      <c r="JC114">
        <v>2</v>
      </c>
      <c r="JD114">
        <v>2</v>
      </c>
      <c r="JE114">
        <v>2</v>
      </c>
      <c r="JF114">
        <v>2</v>
      </c>
      <c r="JG114">
        <v>2</v>
      </c>
      <c r="JH114">
        <v>2</v>
      </c>
      <c r="JI114">
        <v>2</v>
      </c>
      <c r="JJ114">
        <v>2</v>
      </c>
      <c r="JK114">
        <v>2</v>
      </c>
      <c r="JL114">
        <v>2</v>
      </c>
      <c r="JM114">
        <v>2</v>
      </c>
      <c r="JN114">
        <v>2</v>
      </c>
      <c r="JO114">
        <v>2</v>
      </c>
      <c r="JP114">
        <v>2</v>
      </c>
      <c r="JQ114">
        <v>2</v>
      </c>
      <c r="JR114">
        <v>2</v>
      </c>
      <c r="JS114">
        <v>2</v>
      </c>
      <c r="JT114">
        <v>2</v>
      </c>
      <c r="JU114">
        <v>2</v>
      </c>
      <c r="JV114">
        <v>2</v>
      </c>
      <c r="JW114">
        <v>2</v>
      </c>
      <c r="JX114">
        <v>2</v>
      </c>
      <c r="JY114">
        <v>2</v>
      </c>
      <c r="JZ114">
        <v>2</v>
      </c>
      <c r="KA114">
        <v>2</v>
      </c>
      <c r="KB114">
        <v>2</v>
      </c>
      <c r="KC114">
        <v>2</v>
      </c>
      <c r="KD114">
        <v>2</v>
      </c>
      <c r="KE114">
        <v>2</v>
      </c>
      <c r="KF114">
        <v>2</v>
      </c>
      <c r="KG114">
        <v>2</v>
      </c>
      <c r="KH114">
        <v>2</v>
      </c>
      <c r="KI114">
        <v>2</v>
      </c>
      <c r="KJ114">
        <v>2</v>
      </c>
      <c r="KK114">
        <v>2</v>
      </c>
      <c r="KL114">
        <v>2</v>
      </c>
      <c r="KM114">
        <v>2</v>
      </c>
      <c r="KN114">
        <v>2</v>
      </c>
      <c r="KO114">
        <v>2</v>
      </c>
      <c r="KP114">
        <v>2</v>
      </c>
      <c r="KQ114">
        <v>2</v>
      </c>
      <c r="KR114">
        <v>2</v>
      </c>
      <c r="KS114">
        <v>2</v>
      </c>
      <c r="KT114">
        <v>2</v>
      </c>
      <c r="KU114">
        <v>2</v>
      </c>
      <c r="KV114">
        <v>2</v>
      </c>
      <c r="KW114">
        <v>2</v>
      </c>
      <c r="KX114">
        <v>2</v>
      </c>
      <c r="KY114">
        <v>2</v>
      </c>
      <c r="KZ114">
        <v>2</v>
      </c>
      <c r="LA114">
        <v>2</v>
      </c>
      <c r="LB114">
        <v>2</v>
      </c>
      <c r="LC114">
        <v>2</v>
      </c>
      <c r="LD114">
        <v>2</v>
      </c>
      <c r="LE114">
        <v>2</v>
      </c>
      <c r="LF114">
        <v>2</v>
      </c>
      <c r="LG114">
        <v>2</v>
      </c>
      <c r="LH114">
        <v>2</v>
      </c>
      <c r="LI114">
        <v>2</v>
      </c>
      <c r="LJ114">
        <v>2</v>
      </c>
      <c r="LK114">
        <v>2</v>
      </c>
      <c r="LL114">
        <v>2</v>
      </c>
      <c r="LM114">
        <v>2</v>
      </c>
      <c r="LN114">
        <v>2</v>
      </c>
      <c r="LO114">
        <v>2</v>
      </c>
      <c r="LP114">
        <v>2</v>
      </c>
      <c r="LQ114">
        <v>2</v>
      </c>
      <c r="LR114">
        <v>2</v>
      </c>
      <c r="LS114">
        <v>2</v>
      </c>
      <c r="LT114">
        <v>2</v>
      </c>
      <c r="LU114">
        <v>2</v>
      </c>
      <c r="LV114">
        <v>2</v>
      </c>
      <c r="LW114">
        <v>2</v>
      </c>
      <c r="LX114">
        <v>2</v>
      </c>
      <c r="LY114">
        <v>2</v>
      </c>
      <c r="LZ114">
        <v>2</v>
      </c>
      <c r="MA114">
        <v>2</v>
      </c>
      <c r="MB114">
        <v>2</v>
      </c>
      <c r="MC114">
        <v>2</v>
      </c>
      <c r="MD114">
        <v>2</v>
      </c>
      <c r="ME114">
        <v>2</v>
      </c>
      <c r="MF114">
        <v>2</v>
      </c>
      <c r="MG114">
        <v>2</v>
      </c>
      <c r="MH114">
        <v>2</v>
      </c>
      <c r="MI114">
        <v>2</v>
      </c>
      <c r="MJ114">
        <v>2</v>
      </c>
      <c r="MK114">
        <v>2</v>
      </c>
      <c r="ML114">
        <v>2</v>
      </c>
      <c r="MM114">
        <v>2</v>
      </c>
      <c r="MN114">
        <v>2</v>
      </c>
      <c r="MO114">
        <v>2</v>
      </c>
      <c r="MP114">
        <v>2</v>
      </c>
      <c r="MQ114">
        <v>2</v>
      </c>
      <c r="MR114">
        <v>2</v>
      </c>
      <c r="MS114">
        <v>2</v>
      </c>
      <c r="MT114">
        <v>2</v>
      </c>
      <c r="MU114">
        <v>2</v>
      </c>
      <c r="MV114">
        <v>2</v>
      </c>
      <c r="MW114">
        <v>2</v>
      </c>
      <c r="MX114">
        <v>2</v>
      </c>
      <c r="MY114">
        <v>2</v>
      </c>
      <c r="MZ114">
        <v>2</v>
      </c>
      <c r="NA114">
        <v>2</v>
      </c>
      <c r="NB114">
        <v>2</v>
      </c>
      <c r="NC114">
        <v>2</v>
      </c>
      <c r="ND114">
        <v>2</v>
      </c>
      <c r="NE114">
        <v>2</v>
      </c>
      <c r="NF114">
        <v>2</v>
      </c>
      <c r="NG114">
        <v>2</v>
      </c>
      <c r="NH114">
        <v>2</v>
      </c>
      <c r="NI114">
        <v>2</v>
      </c>
      <c r="NJ114">
        <v>2</v>
      </c>
      <c r="NK114">
        <v>2</v>
      </c>
      <c r="NL114">
        <v>2</v>
      </c>
      <c r="NM114">
        <v>2</v>
      </c>
      <c r="NN114">
        <v>2</v>
      </c>
      <c r="NO114">
        <v>2</v>
      </c>
      <c r="NP114">
        <v>2</v>
      </c>
      <c r="NQ114">
        <v>2</v>
      </c>
      <c r="NR114">
        <v>2</v>
      </c>
      <c r="NS114">
        <v>2</v>
      </c>
      <c r="NT114">
        <v>2</v>
      </c>
      <c r="NU114">
        <v>2</v>
      </c>
      <c r="NV114">
        <v>2</v>
      </c>
      <c r="NW114">
        <v>2</v>
      </c>
      <c r="NX114">
        <v>2</v>
      </c>
      <c r="NY114">
        <v>2</v>
      </c>
      <c r="NZ114">
        <v>2</v>
      </c>
      <c r="OA114">
        <v>2</v>
      </c>
      <c r="OB114">
        <v>2</v>
      </c>
      <c r="OC114">
        <v>2</v>
      </c>
      <c r="OD114">
        <v>2</v>
      </c>
      <c r="OE114">
        <v>2</v>
      </c>
      <c r="OF114">
        <v>2</v>
      </c>
      <c r="OG114">
        <v>2</v>
      </c>
      <c r="OH114">
        <v>2</v>
      </c>
      <c r="OI114">
        <v>2</v>
      </c>
      <c r="OJ114">
        <v>2</v>
      </c>
      <c r="OK114">
        <v>2</v>
      </c>
      <c r="OL114">
        <v>2</v>
      </c>
      <c r="OM114">
        <v>2</v>
      </c>
      <c r="ON114">
        <v>2</v>
      </c>
      <c r="OO114">
        <v>2</v>
      </c>
      <c r="OP114">
        <v>2</v>
      </c>
      <c r="OQ114">
        <v>2</v>
      </c>
      <c r="OR114">
        <v>2</v>
      </c>
      <c r="OS114">
        <v>2</v>
      </c>
      <c r="OT114">
        <v>2</v>
      </c>
      <c r="OU114">
        <v>2</v>
      </c>
      <c r="OV114">
        <v>2</v>
      </c>
      <c r="OW114">
        <v>2</v>
      </c>
      <c r="OX114">
        <v>2</v>
      </c>
      <c r="OY114">
        <v>2</v>
      </c>
      <c r="OZ114">
        <v>2</v>
      </c>
      <c r="PA114">
        <v>2</v>
      </c>
      <c r="PB114">
        <v>2</v>
      </c>
      <c r="PC114">
        <v>2</v>
      </c>
      <c r="PD114">
        <v>2</v>
      </c>
      <c r="PE114">
        <v>2</v>
      </c>
      <c r="PF114">
        <v>2</v>
      </c>
      <c r="PG114">
        <v>2</v>
      </c>
      <c r="PH114">
        <v>2</v>
      </c>
      <c r="PI114">
        <v>2</v>
      </c>
      <c r="PJ114">
        <v>2</v>
      </c>
      <c r="PK114">
        <v>2</v>
      </c>
      <c r="PL114">
        <v>2</v>
      </c>
      <c r="PM114">
        <v>2</v>
      </c>
      <c r="PN114">
        <v>2</v>
      </c>
      <c r="PO114">
        <v>2</v>
      </c>
      <c r="PP114">
        <v>2</v>
      </c>
      <c r="PQ114">
        <v>2</v>
      </c>
      <c r="PR114">
        <v>2</v>
      </c>
      <c r="PS114">
        <v>2</v>
      </c>
      <c r="PT114">
        <v>2</v>
      </c>
      <c r="PU114">
        <v>2</v>
      </c>
      <c r="PV114">
        <v>2</v>
      </c>
      <c r="PW114">
        <v>2</v>
      </c>
      <c r="PX114">
        <v>2</v>
      </c>
      <c r="PY114">
        <v>2</v>
      </c>
      <c r="PZ114">
        <v>2</v>
      </c>
      <c r="QA114">
        <v>2</v>
      </c>
      <c r="QB114">
        <v>2</v>
      </c>
      <c r="QC114">
        <v>2</v>
      </c>
      <c r="QD114">
        <v>2</v>
      </c>
      <c r="QE114">
        <v>2</v>
      </c>
      <c r="QF114">
        <v>2</v>
      </c>
      <c r="QG114">
        <v>2</v>
      </c>
      <c r="QH114">
        <v>2</v>
      </c>
      <c r="QI114">
        <v>2</v>
      </c>
      <c r="QJ114">
        <v>2</v>
      </c>
      <c r="QK114">
        <v>2</v>
      </c>
      <c r="QL114">
        <v>2</v>
      </c>
      <c r="QM114">
        <v>2</v>
      </c>
      <c r="QN114">
        <v>2</v>
      </c>
      <c r="QO114">
        <v>2</v>
      </c>
      <c r="QP114">
        <v>2</v>
      </c>
      <c r="QQ114">
        <v>2</v>
      </c>
      <c r="QR114">
        <v>2</v>
      </c>
      <c r="QS114">
        <v>2</v>
      </c>
      <c r="QT114">
        <v>2</v>
      </c>
      <c r="QU114">
        <v>2</v>
      </c>
      <c r="QV114">
        <v>2</v>
      </c>
      <c r="QW114">
        <v>2</v>
      </c>
      <c r="QX114">
        <v>2</v>
      </c>
      <c r="QY114">
        <v>2</v>
      </c>
      <c r="QZ114">
        <v>2</v>
      </c>
      <c r="RA114">
        <v>2</v>
      </c>
      <c r="RB114">
        <v>2</v>
      </c>
      <c r="RC114">
        <v>2</v>
      </c>
      <c r="RD114">
        <v>2</v>
      </c>
      <c r="RE114">
        <v>2</v>
      </c>
      <c r="RF114">
        <v>2</v>
      </c>
      <c r="RG114">
        <v>2</v>
      </c>
      <c r="RH114">
        <v>2</v>
      </c>
      <c r="RI114">
        <v>2</v>
      </c>
      <c r="RJ114">
        <v>2</v>
      </c>
      <c r="RK114">
        <v>2</v>
      </c>
      <c r="RL114">
        <v>2</v>
      </c>
      <c r="RM114">
        <v>2</v>
      </c>
      <c r="RN114">
        <v>2</v>
      </c>
      <c r="RO114">
        <v>2</v>
      </c>
      <c r="RP114">
        <v>2</v>
      </c>
      <c r="RQ114">
        <v>2</v>
      </c>
      <c r="RR114">
        <v>2</v>
      </c>
      <c r="RS114">
        <v>2</v>
      </c>
      <c r="RT114">
        <v>2</v>
      </c>
      <c r="RU114">
        <v>2</v>
      </c>
      <c r="RV114">
        <v>2</v>
      </c>
      <c r="RW114">
        <v>2</v>
      </c>
      <c r="RX114">
        <v>2</v>
      </c>
      <c r="RY114">
        <v>2</v>
      </c>
      <c r="RZ114">
        <v>2</v>
      </c>
      <c r="SA114">
        <v>2</v>
      </c>
      <c r="SB114">
        <v>2</v>
      </c>
      <c r="SC114">
        <v>2</v>
      </c>
      <c r="SD114">
        <v>2</v>
      </c>
      <c r="SE114">
        <v>2</v>
      </c>
      <c r="SF114">
        <v>2</v>
      </c>
      <c r="SG114">
        <v>2</v>
      </c>
      <c r="SH114">
        <v>2</v>
      </c>
      <c r="SI114">
        <v>2</v>
      </c>
      <c r="SJ114">
        <v>2</v>
      </c>
      <c r="SK114">
        <v>2</v>
      </c>
      <c r="SL114">
        <v>2</v>
      </c>
      <c r="SM114">
        <v>2</v>
      </c>
      <c r="SN114">
        <v>2</v>
      </c>
      <c r="SO114">
        <v>2</v>
      </c>
      <c r="SP114">
        <v>2</v>
      </c>
      <c r="SQ114">
        <v>2</v>
      </c>
      <c r="SR114">
        <v>2</v>
      </c>
      <c r="SS114">
        <v>2</v>
      </c>
      <c r="ST114">
        <v>2</v>
      </c>
      <c r="SU114">
        <v>2</v>
      </c>
      <c r="SV114">
        <v>2</v>
      </c>
      <c r="SW114">
        <v>2</v>
      </c>
      <c r="SX114">
        <v>2</v>
      </c>
      <c r="SY114">
        <v>2</v>
      </c>
      <c r="SZ114">
        <v>2</v>
      </c>
      <c r="TA114">
        <v>2</v>
      </c>
      <c r="TB114">
        <v>2</v>
      </c>
      <c r="TC114">
        <v>2</v>
      </c>
      <c r="TD114">
        <v>2</v>
      </c>
      <c r="TE114">
        <v>2</v>
      </c>
      <c r="TF114">
        <v>2</v>
      </c>
      <c r="TG114">
        <v>2</v>
      </c>
      <c r="TH114">
        <v>2</v>
      </c>
      <c r="TI114">
        <v>2</v>
      </c>
      <c r="TJ114">
        <v>2</v>
      </c>
      <c r="TK114">
        <v>2</v>
      </c>
      <c r="TL114">
        <v>2</v>
      </c>
      <c r="TM114">
        <v>2</v>
      </c>
      <c r="TN114">
        <v>2</v>
      </c>
      <c r="TO114">
        <v>2</v>
      </c>
      <c r="TP114">
        <v>2</v>
      </c>
      <c r="TQ114">
        <v>2</v>
      </c>
      <c r="TR114">
        <v>2</v>
      </c>
      <c r="TS114">
        <v>2</v>
      </c>
      <c r="TT114">
        <v>2</v>
      </c>
      <c r="TU114">
        <v>2</v>
      </c>
      <c r="TV114">
        <v>2</v>
      </c>
      <c r="TW114">
        <v>2</v>
      </c>
      <c r="TX114">
        <v>2</v>
      </c>
      <c r="TY114">
        <v>2</v>
      </c>
      <c r="TZ114">
        <v>2</v>
      </c>
      <c r="UA114">
        <v>2</v>
      </c>
      <c r="UB114">
        <v>2</v>
      </c>
      <c r="UC114">
        <v>2</v>
      </c>
      <c r="UD114">
        <v>2</v>
      </c>
      <c r="UE114">
        <v>2</v>
      </c>
      <c r="UF114">
        <v>2</v>
      </c>
      <c r="UG114">
        <v>2</v>
      </c>
      <c r="UH114">
        <v>2</v>
      </c>
      <c r="UI114">
        <v>2</v>
      </c>
      <c r="UJ114">
        <v>2</v>
      </c>
      <c r="UK114">
        <v>2</v>
      </c>
      <c r="UL114">
        <v>2</v>
      </c>
      <c r="UM114">
        <v>2</v>
      </c>
      <c r="UN114">
        <v>2</v>
      </c>
      <c r="UO114">
        <v>2</v>
      </c>
      <c r="UP114">
        <v>2</v>
      </c>
      <c r="UQ114">
        <v>2</v>
      </c>
      <c r="UR114">
        <v>2</v>
      </c>
      <c r="US114">
        <v>2</v>
      </c>
      <c r="UT114">
        <v>2</v>
      </c>
      <c r="UU114">
        <v>2</v>
      </c>
      <c r="UV114">
        <v>2</v>
      </c>
      <c r="UW114">
        <v>2</v>
      </c>
      <c r="UX114">
        <v>2</v>
      </c>
      <c r="UY114">
        <v>2</v>
      </c>
      <c r="UZ114">
        <v>2</v>
      </c>
      <c r="VA114">
        <v>2</v>
      </c>
      <c r="VB114">
        <v>2</v>
      </c>
      <c r="VC114">
        <v>2</v>
      </c>
      <c r="VD114">
        <v>2</v>
      </c>
      <c r="VE114">
        <v>2</v>
      </c>
      <c r="VF114">
        <v>2</v>
      </c>
      <c r="VG114">
        <v>2</v>
      </c>
      <c r="VH114">
        <v>2</v>
      </c>
      <c r="VI114">
        <v>2</v>
      </c>
      <c r="VJ114">
        <v>2</v>
      </c>
      <c r="VK114">
        <v>2</v>
      </c>
      <c r="VL114">
        <v>2</v>
      </c>
      <c r="VM114">
        <v>2</v>
      </c>
      <c r="VN114">
        <v>2</v>
      </c>
      <c r="VO114">
        <v>2</v>
      </c>
      <c r="VP114">
        <v>2</v>
      </c>
      <c r="VQ114">
        <v>2</v>
      </c>
      <c r="VR114">
        <v>2</v>
      </c>
      <c r="VS114">
        <v>2</v>
      </c>
      <c r="VT114">
        <v>2</v>
      </c>
      <c r="VU114">
        <v>2</v>
      </c>
      <c r="VV114">
        <v>2</v>
      </c>
      <c r="VW114">
        <v>2</v>
      </c>
      <c r="VX114">
        <v>2</v>
      </c>
      <c r="VY114">
        <v>2</v>
      </c>
      <c r="VZ114">
        <v>2</v>
      </c>
      <c r="WA114">
        <v>2</v>
      </c>
      <c r="WB114">
        <v>2</v>
      </c>
      <c r="WC114">
        <v>2</v>
      </c>
      <c r="WD114">
        <v>2</v>
      </c>
      <c r="WE114">
        <v>2</v>
      </c>
      <c r="WF114">
        <v>2</v>
      </c>
      <c r="WG114">
        <v>2</v>
      </c>
      <c r="WH114">
        <v>2</v>
      </c>
      <c r="WI114">
        <v>2</v>
      </c>
      <c r="WJ114">
        <v>2</v>
      </c>
      <c r="WK114">
        <v>2</v>
      </c>
      <c r="WL114">
        <v>2</v>
      </c>
      <c r="WM114">
        <v>2</v>
      </c>
      <c r="WN114">
        <v>2</v>
      </c>
      <c r="WO114">
        <v>2</v>
      </c>
      <c r="WP114">
        <v>2</v>
      </c>
      <c r="WQ114">
        <v>2</v>
      </c>
      <c r="WR114">
        <v>2</v>
      </c>
      <c r="WS114">
        <v>2</v>
      </c>
      <c r="WT114">
        <v>2</v>
      </c>
      <c r="WU114">
        <v>2</v>
      </c>
      <c r="WV114">
        <v>2</v>
      </c>
      <c r="WW114">
        <v>2</v>
      </c>
      <c r="WX114">
        <v>2</v>
      </c>
      <c r="WY114">
        <v>2</v>
      </c>
      <c r="WZ114">
        <v>2</v>
      </c>
      <c r="XA114">
        <v>2</v>
      </c>
      <c r="XB114">
        <v>2</v>
      </c>
      <c r="XC114">
        <v>2</v>
      </c>
      <c r="XD114">
        <v>2</v>
      </c>
      <c r="XE114">
        <v>2</v>
      </c>
      <c r="XF114">
        <v>2</v>
      </c>
      <c r="XG114">
        <v>2</v>
      </c>
      <c r="XH114">
        <v>2</v>
      </c>
      <c r="XI114">
        <v>2</v>
      </c>
      <c r="XJ114">
        <v>2</v>
      </c>
      <c r="XK114">
        <v>2</v>
      </c>
      <c r="XL114">
        <v>2</v>
      </c>
      <c r="XM114">
        <v>2</v>
      </c>
      <c r="XN114">
        <v>2</v>
      </c>
      <c r="XO114">
        <v>2</v>
      </c>
      <c r="XP114">
        <v>2</v>
      </c>
      <c r="XQ114">
        <v>2</v>
      </c>
      <c r="XR114">
        <v>2</v>
      </c>
      <c r="XS114">
        <v>2</v>
      </c>
      <c r="XT114">
        <v>2</v>
      </c>
      <c r="XU114">
        <v>2</v>
      </c>
      <c r="XV114">
        <v>2</v>
      </c>
      <c r="XW114">
        <v>2</v>
      </c>
      <c r="XX114">
        <v>2</v>
      </c>
      <c r="XY114">
        <v>2</v>
      </c>
      <c r="XZ114">
        <v>2</v>
      </c>
      <c r="YA114">
        <v>2</v>
      </c>
      <c r="YB114">
        <v>2</v>
      </c>
      <c r="YC114">
        <v>2</v>
      </c>
      <c r="YD114">
        <v>2</v>
      </c>
      <c r="YE114">
        <v>2</v>
      </c>
      <c r="YF114">
        <v>2</v>
      </c>
      <c r="YG114">
        <v>2</v>
      </c>
      <c r="YH114">
        <v>2</v>
      </c>
      <c r="YI114">
        <v>2</v>
      </c>
      <c r="YJ114">
        <v>2</v>
      </c>
      <c r="YK114">
        <v>2</v>
      </c>
      <c r="YL114">
        <v>2</v>
      </c>
      <c r="YM114">
        <v>2</v>
      </c>
      <c r="YN114">
        <v>2</v>
      </c>
      <c r="YO114">
        <v>2</v>
      </c>
      <c r="YP114">
        <v>2</v>
      </c>
      <c r="YQ114">
        <v>2</v>
      </c>
      <c r="YR114">
        <v>2</v>
      </c>
      <c r="YS114">
        <v>2</v>
      </c>
      <c r="YT114">
        <v>2</v>
      </c>
      <c r="YU114">
        <v>2</v>
      </c>
      <c r="YV114">
        <v>2</v>
      </c>
      <c r="YW114">
        <v>2</v>
      </c>
      <c r="YX114">
        <v>2</v>
      </c>
      <c r="YY114">
        <v>2</v>
      </c>
      <c r="YZ114">
        <v>2</v>
      </c>
      <c r="ZA114">
        <v>2</v>
      </c>
      <c r="ZB114">
        <v>2</v>
      </c>
      <c r="ZC114">
        <v>2</v>
      </c>
      <c r="ZD114">
        <v>2</v>
      </c>
      <c r="ZE114">
        <v>2</v>
      </c>
      <c r="ZF114">
        <v>2</v>
      </c>
      <c r="ZG114">
        <v>2</v>
      </c>
      <c r="ZH114">
        <v>2</v>
      </c>
      <c r="ZI114">
        <v>2</v>
      </c>
      <c r="ZJ114">
        <v>2</v>
      </c>
      <c r="ZK114">
        <v>2</v>
      </c>
      <c r="ZL114">
        <v>2</v>
      </c>
      <c r="ZM114">
        <v>2</v>
      </c>
      <c r="ZN114">
        <v>2</v>
      </c>
      <c r="ZO114">
        <v>2</v>
      </c>
      <c r="ZP114">
        <v>2</v>
      </c>
      <c r="ZQ114">
        <v>2</v>
      </c>
      <c r="ZR114">
        <v>2</v>
      </c>
      <c r="ZS114">
        <v>2</v>
      </c>
      <c r="ZT114">
        <v>2</v>
      </c>
      <c r="ZU114">
        <v>2</v>
      </c>
      <c r="ZV114">
        <v>2</v>
      </c>
      <c r="ZW114">
        <v>2</v>
      </c>
      <c r="ZX114">
        <v>2</v>
      </c>
      <c r="ZY114">
        <v>2</v>
      </c>
      <c r="ZZ114">
        <v>2</v>
      </c>
      <c r="AAA114">
        <v>2</v>
      </c>
      <c r="AAB114">
        <v>2</v>
      </c>
      <c r="AAC114">
        <v>2</v>
      </c>
      <c r="AAD114">
        <v>2</v>
      </c>
      <c r="AAE114">
        <v>2</v>
      </c>
      <c r="AAF114">
        <v>2</v>
      </c>
      <c r="AAG114">
        <v>1</v>
      </c>
      <c r="AAH114">
        <v>1</v>
      </c>
      <c r="AAI114">
        <v>1</v>
      </c>
      <c r="AAJ114">
        <v>1</v>
      </c>
      <c r="AAK114">
        <v>1</v>
      </c>
      <c r="AAL114">
        <v>1</v>
      </c>
      <c r="AAM114">
        <v>2</v>
      </c>
      <c r="AAN114">
        <v>2</v>
      </c>
      <c r="AAO114">
        <v>2</v>
      </c>
      <c r="AAP114">
        <v>2</v>
      </c>
      <c r="AAQ114">
        <v>2</v>
      </c>
      <c r="AAR114">
        <v>2</v>
      </c>
      <c r="AAS114">
        <v>2</v>
      </c>
      <c r="AAT114">
        <v>2</v>
      </c>
      <c r="AAU114">
        <v>2</v>
      </c>
      <c r="AAV114">
        <v>2</v>
      </c>
      <c r="AAW114">
        <v>2</v>
      </c>
      <c r="AAX114">
        <v>2</v>
      </c>
      <c r="AAY114">
        <v>2</v>
      </c>
      <c r="AAZ114">
        <v>2</v>
      </c>
      <c r="ABA114">
        <v>2</v>
      </c>
      <c r="ABB114">
        <v>2</v>
      </c>
      <c r="ABC114">
        <v>2</v>
      </c>
      <c r="ABD114">
        <v>2</v>
      </c>
      <c r="ABE114">
        <v>2</v>
      </c>
      <c r="ABG114" s="1137">
        <f t="shared" si="26"/>
        <v>0</v>
      </c>
      <c r="ABH114" s="1137">
        <f t="shared" si="26"/>
        <v>0</v>
      </c>
      <c r="ABI114" s="1137">
        <f t="shared" si="26"/>
        <v>8</v>
      </c>
      <c r="ABJ114" s="1137">
        <f t="shared" si="26"/>
        <v>30</v>
      </c>
      <c r="ABK114" s="1137">
        <f t="shared" si="26"/>
        <v>31</v>
      </c>
      <c r="ABL114" s="1137">
        <f t="shared" si="26"/>
        <v>30</v>
      </c>
      <c r="ABM114" s="1137">
        <f t="shared" si="26"/>
        <v>31</v>
      </c>
      <c r="ABN114" s="1137">
        <f t="shared" si="26"/>
        <v>31</v>
      </c>
      <c r="ABO114" s="1137">
        <f t="shared" si="26"/>
        <v>30</v>
      </c>
      <c r="ABP114" s="1137">
        <f t="shared" si="26"/>
        <v>31</v>
      </c>
      <c r="ABQ114" s="1137">
        <f t="shared" si="26"/>
        <v>30</v>
      </c>
      <c r="ABR114" s="1137">
        <f t="shared" si="26"/>
        <v>31</v>
      </c>
      <c r="ABS114" s="1137">
        <f t="shared" si="26"/>
        <v>31</v>
      </c>
      <c r="ABT114" s="1137">
        <f t="shared" si="26"/>
        <v>28</v>
      </c>
      <c r="ABU114" s="1137">
        <f t="shared" si="26"/>
        <v>31</v>
      </c>
      <c r="ABV114" s="1137">
        <f t="shared" si="26"/>
        <v>30</v>
      </c>
      <c r="ABW114" s="1137">
        <f t="shared" si="17"/>
        <v>31</v>
      </c>
      <c r="ABX114" s="1137">
        <f t="shared" si="23"/>
        <v>30</v>
      </c>
      <c r="ABY114" s="1137">
        <f t="shared" si="23"/>
        <v>31</v>
      </c>
      <c r="ABZ114" s="1137">
        <f t="shared" si="23"/>
        <v>31</v>
      </c>
      <c r="ACA114" s="1137">
        <f t="shared" si="23"/>
        <v>30</v>
      </c>
      <c r="ACB114" s="1137">
        <f t="shared" si="23"/>
        <v>31</v>
      </c>
      <c r="ACC114" s="1137">
        <f t="shared" si="23"/>
        <v>30</v>
      </c>
      <c r="ACD114" s="1137">
        <f t="shared" si="23"/>
        <v>31</v>
      </c>
      <c r="ACE114" s="1137" t="s">
        <v>220</v>
      </c>
      <c r="ACF114" s="1137">
        <f t="shared" si="28"/>
        <v>0</v>
      </c>
      <c r="ACG114" s="1137">
        <f t="shared" si="28"/>
        <v>0</v>
      </c>
      <c r="ACH114" s="1137">
        <f t="shared" si="28"/>
        <v>0</v>
      </c>
      <c r="ACI114" s="1137">
        <f t="shared" si="28"/>
        <v>1</v>
      </c>
      <c r="ACJ114" s="1137">
        <f t="shared" si="28"/>
        <v>1</v>
      </c>
      <c r="ACK114" s="1137">
        <f t="shared" si="28"/>
        <v>1</v>
      </c>
      <c r="ACL114" s="1137">
        <f t="shared" si="28"/>
        <v>1</v>
      </c>
      <c r="ACM114" s="1137">
        <f t="shared" si="28"/>
        <v>1</v>
      </c>
      <c r="ACN114" s="1137">
        <f t="shared" si="28"/>
        <v>1</v>
      </c>
      <c r="ACO114" s="1137">
        <f t="shared" si="28"/>
        <v>1</v>
      </c>
      <c r="ACP114" s="1137">
        <f t="shared" si="28"/>
        <v>1</v>
      </c>
      <c r="ACQ114" s="1137">
        <f t="shared" si="28"/>
        <v>1</v>
      </c>
      <c r="ACR114" s="1137">
        <f t="shared" si="28"/>
        <v>1</v>
      </c>
      <c r="ACS114" s="1137">
        <f t="shared" si="28"/>
        <v>1</v>
      </c>
      <c r="ACT114" s="1137">
        <f t="shared" si="28"/>
        <v>1</v>
      </c>
      <c r="ACU114" s="1137">
        <f t="shared" si="27"/>
        <v>1</v>
      </c>
      <c r="ACV114" s="1137">
        <f t="shared" si="24"/>
        <v>1</v>
      </c>
      <c r="ACW114" s="1137">
        <f t="shared" si="24"/>
        <v>1</v>
      </c>
      <c r="ACX114" s="1137">
        <f t="shared" si="24"/>
        <v>1</v>
      </c>
      <c r="ACY114" s="1137">
        <f t="shared" si="24"/>
        <v>1</v>
      </c>
      <c r="ACZ114" s="1137">
        <f t="shared" si="24"/>
        <v>1</v>
      </c>
      <c r="ADA114" s="1137">
        <f t="shared" si="24"/>
        <v>1</v>
      </c>
      <c r="ADB114" s="1137">
        <f t="shared" si="16"/>
        <v>1</v>
      </c>
      <c r="ADC114" s="1137">
        <f t="shared" si="16"/>
        <v>1</v>
      </c>
    </row>
    <row r="115" spans="1:783" x14ac:dyDescent="0.25">
      <c r="A115" t="s">
        <v>1914</v>
      </c>
      <c r="B115" t="s">
        <v>46</v>
      </c>
      <c r="C115">
        <v>0</v>
      </c>
      <c r="D115">
        <v>0</v>
      </c>
      <c r="E115">
        <v>0</v>
      </c>
      <c r="F115">
        <v>0</v>
      </c>
      <c r="G115">
        <v>0</v>
      </c>
      <c r="H115">
        <v>0</v>
      </c>
      <c r="I115">
        <v>0</v>
      </c>
      <c r="J115">
        <v>0</v>
      </c>
      <c r="K115">
        <v>0</v>
      </c>
      <c r="L115">
        <v>0</v>
      </c>
      <c r="M115">
        <v>0</v>
      </c>
      <c r="N115">
        <v>0</v>
      </c>
      <c r="O115">
        <v>0</v>
      </c>
      <c r="P115">
        <v>0</v>
      </c>
      <c r="Q115">
        <v>0</v>
      </c>
      <c r="R115">
        <v>0</v>
      </c>
      <c r="S115">
        <v>0</v>
      </c>
      <c r="T115">
        <v>0</v>
      </c>
      <c r="U115">
        <v>0</v>
      </c>
      <c r="V115">
        <v>0</v>
      </c>
      <c r="W115">
        <v>0</v>
      </c>
      <c r="X115">
        <v>0</v>
      </c>
      <c r="Y115">
        <v>0</v>
      </c>
      <c r="Z115">
        <v>0</v>
      </c>
      <c r="AA115">
        <v>0</v>
      </c>
      <c r="AB115">
        <v>0</v>
      </c>
      <c r="AC115">
        <v>0</v>
      </c>
      <c r="AD115">
        <v>0</v>
      </c>
      <c r="AE115">
        <v>0</v>
      </c>
      <c r="AF115">
        <v>0</v>
      </c>
      <c r="AG115">
        <v>0</v>
      </c>
      <c r="AH115">
        <v>0</v>
      </c>
      <c r="AI115">
        <v>0</v>
      </c>
      <c r="AJ115">
        <v>0</v>
      </c>
      <c r="AK115">
        <v>0</v>
      </c>
      <c r="AL115">
        <v>0</v>
      </c>
      <c r="AM115">
        <v>0</v>
      </c>
      <c r="AN115">
        <v>0</v>
      </c>
      <c r="AO115">
        <v>0</v>
      </c>
      <c r="AP115">
        <v>0</v>
      </c>
      <c r="AQ115">
        <v>0</v>
      </c>
      <c r="AR115">
        <v>0</v>
      </c>
      <c r="AS115">
        <v>0</v>
      </c>
      <c r="AT115">
        <v>0</v>
      </c>
      <c r="AU115">
        <v>0</v>
      </c>
      <c r="AV115">
        <v>0</v>
      </c>
      <c r="AW115">
        <v>0</v>
      </c>
      <c r="AX115">
        <v>0</v>
      </c>
      <c r="AY115">
        <v>0</v>
      </c>
      <c r="AZ115">
        <v>0</v>
      </c>
      <c r="BA115">
        <v>0</v>
      </c>
      <c r="BB115">
        <v>0</v>
      </c>
      <c r="BC115">
        <v>0</v>
      </c>
      <c r="BD115">
        <v>0</v>
      </c>
      <c r="BE115">
        <v>0</v>
      </c>
      <c r="BF115">
        <v>0</v>
      </c>
      <c r="BG115">
        <v>0</v>
      </c>
      <c r="BH115">
        <v>0</v>
      </c>
      <c r="BI115">
        <v>0</v>
      </c>
      <c r="BJ115">
        <v>0</v>
      </c>
      <c r="BK115">
        <v>0</v>
      </c>
      <c r="BL115">
        <v>0</v>
      </c>
      <c r="BM115">
        <v>0</v>
      </c>
      <c r="BN115">
        <v>0</v>
      </c>
      <c r="BO115">
        <v>0</v>
      </c>
      <c r="BP115">
        <v>0</v>
      </c>
      <c r="BQ115">
        <v>0</v>
      </c>
      <c r="BR115">
        <v>0</v>
      </c>
      <c r="BS115">
        <v>0</v>
      </c>
      <c r="BT115">
        <v>0</v>
      </c>
      <c r="BU115">
        <v>0</v>
      </c>
      <c r="BV115">
        <v>0</v>
      </c>
      <c r="BW115">
        <v>0</v>
      </c>
      <c r="BX115">
        <v>0</v>
      </c>
      <c r="BY115">
        <v>0</v>
      </c>
      <c r="BZ115">
        <v>0</v>
      </c>
      <c r="CA115">
        <v>0</v>
      </c>
      <c r="CB115">
        <v>0</v>
      </c>
      <c r="CC115">
        <v>0</v>
      </c>
      <c r="CD115">
        <v>0</v>
      </c>
      <c r="CE115">
        <v>0</v>
      </c>
      <c r="CF115">
        <v>0</v>
      </c>
      <c r="CG115">
        <v>0</v>
      </c>
      <c r="CH115">
        <v>0</v>
      </c>
      <c r="CI115">
        <v>2</v>
      </c>
      <c r="CJ115">
        <v>2</v>
      </c>
      <c r="CK115">
        <v>2</v>
      </c>
      <c r="CL115">
        <v>2</v>
      </c>
      <c r="CM115">
        <v>2</v>
      </c>
      <c r="CN115">
        <v>2</v>
      </c>
      <c r="CO115">
        <v>2</v>
      </c>
      <c r="CP115">
        <v>2</v>
      </c>
      <c r="CQ115">
        <v>2</v>
      </c>
      <c r="CR115">
        <v>2</v>
      </c>
      <c r="CS115">
        <v>2</v>
      </c>
      <c r="CT115">
        <v>2</v>
      </c>
      <c r="CU115">
        <v>2</v>
      </c>
      <c r="CV115">
        <v>2</v>
      </c>
      <c r="CW115">
        <v>2</v>
      </c>
      <c r="CX115">
        <v>2</v>
      </c>
      <c r="CY115">
        <v>2</v>
      </c>
      <c r="CZ115">
        <v>2</v>
      </c>
      <c r="DA115">
        <v>2</v>
      </c>
      <c r="DB115">
        <v>2</v>
      </c>
      <c r="DC115">
        <v>2</v>
      </c>
      <c r="DD115">
        <v>2</v>
      </c>
      <c r="DE115">
        <v>2</v>
      </c>
      <c r="DF115">
        <v>2</v>
      </c>
      <c r="DG115">
        <v>2</v>
      </c>
      <c r="DH115">
        <v>2</v>
      </c>
      <c r="DI115">
        <v>2</v>
      </c>
      <c r="DJ115">
        <v>2</v>
      </c>
      <c r="DK115">
        <v>2</v>
      </c>
      <c r="DL115">
        <v>2</v>
      </c>
      <c r="DM115">
        <v>2</v>
      </c>
      <c r="DN115">
        <v>2</v>
      </c>
      <c r="DO115">
        <v>2</v>
      </c>
      <c r="DP115">
        <v>2</v>
      </c>
      <c r="DQ115">
        <v>2</v>
      </c>
      <c r="DR115">
        <v>2</v>
      </c>
      <c r="DS115">
        <v>2</v>
      </c>
      <c r="DT115">
        <v>1</v>
      </c>
      <c r="DU115">
        <v>1</v>
      </c>
      <c r="DV115">
        <v>1</v>
      </c>
      <c r="DW115">
        <v>1</v>
      </c>
      <c r="DX115">
        <v>1</v>
      </c>
      <c r="DY115">
        <v>1</v>
      </c>
      <c r="DZ115">
        <v>1</v>
      </c>
      <c r="EA115">
        <v>1</v>
      </c>
      <c r="EB115">
        <v>1</v>
      </c>
      <c r="EC115">
        <v>0</v>
      </c>
      <c r="ED115">
        <v>0</v>
      </c>
      <c r="EE115">
        <v>0</v>
      </c>
      <c r="EF115">
        <v>0</v>
      </c>
      <c r="EG115">
        <v>0</v>
      </c>
      <c r="EH115">
        <v>0</v>
      </c>
      <c r="EI115">
        <v>0</v>
      </c>
      <c r="EJ115">
        <v>0</v>
      </c>
      <c r="EK115">
        <v>0</v>
      </c>
      <c r="EL115">
        <v>0</v>
      </c>
      <c r="EM115">
        <v>0</v>
      </c>
      <c r="EN115">
        <v>0</v>
      </c>
      <c r="EO115">
        <v>0</v>
      </c>
      <c r="EP115">
        <v>0</v>
      </c>
      <c r="EQ115">
        <v>0</v>
      </c>
      <c r="ER115">
        <v>0</v>
      </c>
      <c r="ES115">
        <v>0</v>
      </c>
      <c r="ET115">
        <v>0</v>
      </c>
      <c r="EU115">
        <v>0</v>
      </c>
      <c r="EV115">
        <v>0</v>
      </c>
      <c r="EW115">
        <v>0</v>
      </c>
      <c r="EX115">
        <v>0</v>
      </c>
      <c r="EY115">
        <v>0</v>
      </c>
      <c r="EZ115">
        <v>0</v>
      </c>
      <c r="FA115">
        <v>0</v>
      </c>
      <c r="FB115">
        <v>0</v>
      </c>
      <c r="FC115">
        <v>0</v>
      </c>
      <c r="FD115">
        <v>0</v>
      </c>
      <c r="FE115">
        <v>0</v>
      </c>
      <c r="FF115">
        <v>0</v>
      </c>
      <c r="FG115">
        <v>0</v>
      </c>
      <c r="FH115">
        <v>0</v>
      </c>
      <c r="FI115">
        <v>0</v>
      </c>
      <c r="FJ115">
        <v>0</v>
      </c>
      <c r="FK115">
        <v>0</v>
      </c>
      <c r="FL115">
        <v>0</v>
      </c>
      <c r="FM115">
        <v>0</v>
      </c>
      <c r="FN115">
        <v>0</v>
      </c>
      <c r="FO115">
        <v>0</v>
      </c>
      <c r="FP115">
        <v>0</v>
      </c>
      <c r="FQ115">
        <v>0</v>
      </c>
      <c r="FR115">
        <v>0</v>
      </c>
      <c r="FS115">
        <v>0</v>
      </c>
      <c r="FT115">
        <v>0</v>
      </c>
      <c r="FU115">
        <v>0</v>
      </c>
      <c r="FV115">
        <v>0</v>
      </c>
      <c r="FW115">
        <v>0</v>
      </c>
      <c r="FX115">
        <v>0</v>
      </c>
      <c r="FY115">
        <v>0</v>
      </c>
      <c r="FZ115">
        <v>0</v>
      </c>
      <c r="GA115">
        <v>0</v>
      </c>
      <c r="GB115">
        <v>0</v>
      </c>
      <c r="GC115">
        <v>0</v>
      </c>
      <c r="GD115">
        <v>0</v>
      </c>
      <c r="GE115">
        <v>0</v>
      </c>
      <c r="GF115">
        <v>0</v>
      </c>
      <c r="GG115">
        <v>0</v>
      </c>
      <c r="GH115">
        <v>0</v>
      </c>
      <c r="GI115">
        <v>0</v>
      </c>
      <c r="GJ115">
        <v>0</v>
      </c>
      <c r="GK115">
        <v>0</v>
      </c>
      <c r="GL115">
        <v>0</v>
      </c>
      <c r="GM115">
        <v>0</v>
      </c>
      <c r="GN115">
        <v>0</v>
      </c>
      <c r="GO115">
        <v>0</v>
      </c>
      <c r="GP115">
        <v>0</v>
      </c>
      <c r="GQ115">
        <v>0</v>
      </c>
      <c r="GR115">
        <v>0</v>
      </c>
      <c r="GS115">
        <v>0</v>
      </c>
      <c r="GT115">
        <v>0</v>
      </c>
      <c r="GU115">
        <v>0</v>
      </c>
      <c r="GV115">
        <v>0</v>
      </c>
      <c r="GW115">
        <v>0</v>
      </c>
      <c r="GX115">
        <v>0</v>
      </c>
      <c r="GY115">
        <v>0</v>
      </c>
      <c r="GZ115">
        <v>0</v>
      </c>
      <c r="HA115">
        <v>0</v>
      </c>
      <c r="HB115">
        <v>0</v>
      </c>
      <c r="HC115">
        <v>0</v>
      </c>
      <c r="HD115">
        <v>0</v>
      </c>
      <c r="HE115">
        <v>0</v>
      </c>
      <c r="HF115">
        <v>0</v>
      </c>
      <c r="HG115">
        <v>0</v>
      </c>
      <c r="HH115">
        <v>0</v>
      </c>
      <c r="HI115">
        <v>0</v>
      </c>
      <c r="HJ115">
        <v>0</v>
      </c>
      <c r="HK115">
        <v>0</v>
      </c>
      <c r="HL115">
        <v>0</v>
      </c>
      <c r="HM115">
        <v>0</v>
      </c>
      <c r="HN115">
        <v>0</v>
      </c>
      <c r="HO115">
        <v>0</v>
      </c>
      <c r="HP115">
        <v>0</v>
      </c>
      <c r="HQ115">
        <v>0</v>
      </c>
      <c r="HR115">
        <v>0</v>
      </c>
      <c r="HS115">
        <v>0</v>
      </c>
      <c r="HT115">
        <v>0</v>
      </c>
      <c r="HU115">
        <v>0</v>
      </c>
      <c r="HV115">
        <v>0</v>
      </c>
      <c r="HW115">
        <v>0</v>
      </c>
      <c r="HX115">
        <v>0</v>
      </c>
      <c r="HY115">
        <v>0</v>
      </c>
      <c r="HZ115">
        <v>0</v>
      </c>
      <c r="IA115">
        <v>0</v>
      </c>
      <c r="IB115">
        <v>0</v>
      </c>
      <c r="IC115">
        <v>0</v>
      </c>
      <c r="ID115">
        <v>0</v>
      </c>
      <c r="IE115">
        <v>0</v>
      </c>
      <c r="IF115">
        <v>0</v>
      </c>
      <c r="IG115">
        <v>0</v>
      </c>
      <c r="IH115">
        <v>0</v>
      </c>
      <c r="II115">
        <v>0</v>
      </c>
      <c r="IJ115">
        <v>0</v>
      </c>
      <c r="IK115">
        <v>0</v>
      </c>
      <c r="IL115">
        <v>0</v>
      </c>
      <c r="IM115">
        <v>0</v>
      </c>
      <c r="IN115">
        <v>0</v>
      </c>
      <c r="IO115">
        <v>0</v>
      </c>
      <c r="IP115">
        <v>0</v>
      </c>
      <c r="IQ115">
        <v>0</v>
      </c>
      <c r="IR115">
        <v>0</v>
      </c>
      <c r="IS115">
        <v>0</v>
      </c>
      <c r="IT115">
        <v>0</v>
      </c>
      <c r="IU115">
        <v>0</v>
      </c>
      <c r="IV115">
        <v>0</v>
      </c>
      <c r="IW115">
        <v>0</v>
      </c>
      <c r="IX115">
        <v>0</v>
      </c>
      <c r="IY115">
        <v>0</v>
      </c>
      <c r="IZ115">
        <v>0</v>
      </c>
      <c r="JA115">
        <v>0</v>
      </c>
      <c r="JB115">
        <v>0</v>
      </c>
      <c r="JC115">
        <v>0</v>
      </c>
      <c r="JD115">
        <v>0</v>
      </c>
      <c r="JE115">
        <v>0</v>
      </c>
      <c r="JF115">
        <v>0</v>
      </c>
      <c r="JG115">
        <v>0</v>
      </c>
      <c r="JH115">
        <v>0</v>
      </c>
      <c r="JI115">
        <v>0</v>
      </c>
      <c r="JJ115">
        <v>0</v>
      </c>
      <c r="JK115">
        <v>0</v>
      </c>
      <c r="JL115">
        <v>0</v>
      </c>
      <c r="JM115">
        <v>0</v>
      </c>
      <c r="JN115">
        <v>0</v>
      </c>
      <c r="JO115">
        <v>0</v>
      </c>
      <c r="JP115">
        <v>0</v>
      </c>
      <c r="JQ115">
        <v>0</v>
      </c>
      <c r="JR115">
        <v>0</v>
      </c>
      <c r="JS115">
        <v>0</v>
      </c>
      <c r="JT115">
        <v>0</v>
      </c>
      <c r="JU115">
        <v>0</v>
      </c>
      <c r="JV115">
        <v>0</v>
      </c>
      <c r="JW115">
        <v>0</v>
      </c>
      <c r="JX115">
        <v>0</v>
      </c>
      <c r="JY115">
        <v>0</v>
      </c>
      <c r="JZ115">
        <v>0</v>
      </c>
      <c r="KA115">
        <v>0</v>
      </c>
      <c r="KB115">
        <v>0</v>
      </c>
      <c r="KC115">
        <v>0</v>
      </c>
      <c r="KD115">
        <v>0</v>
      </c>
      <c r="KE115">
        <v>0</v>
      </c>
      <c r="KF115">
        <v>0</v>
      </c>
      <c r="KG115">
        <v>0</v>
      </c>
      <c r="KH115">
        <v>0</v>
      </c>
      <c r="KI115">
        <v>0</v>
      </c>
      <c r="KJ115">
        <v>0</v>
      </c>
      <c r="KK115">
        <v>0</v>
      </c>
      <c r="KL115">
        <v>0</v>
      </c>
      <c r="KM115">
        <v>0</v>
      </c>
      <c r="KN115">
        <v>0</v>
      </c>
      <c r="KO115">
        <v>0</v>
      </c>
      <c r="KP115">
        <v>0</v>
      </c>
      <c r="KQ115">
        <v>0</v>
      </c>
      <c r="KR115">
        <v>0</v>
      </c>
      <c r="KS115">
        <v>0</v>
      </c>
      <c r="KT115">
        <v>0</v>
      </c>
      <c r="KU115">
        <v>0</v>
      </c>
      <c r="KV115">
        <v>0</v>
      </c>
      <c r="KW115">
        <v>0</v>
      </c>
      <c r="KX115">
        <v>0</v>
      </c>
      <c r="KY115">
        <v>0</v>
      </c>
      <c r="KZ115">
        <v>0</v>
      </c>
      <c r="LA115">
        <v>0</v>
      </c>
      <c r="LB115">
        <v>0</v>
      </c>
      <c r="LC115">
        <v>0</v>
      </c>
      <c r="LD115">
        <v>0</v>
      </c>
      <c r="LE115">
        <v>0</v>
      </c>
      <c r="LF115">
        <v>0</v>
      </c>
      <c r="LG115">
        <v>0</v>
      </c>
      <c r="LH115">
        <v>0</v>
      </c>
      <c r="LI115">
        <v>0</v>
      </c>
      <c r="LJ115">
        <v>0</v>
      </c>
      <c r="LK115">
        <v>0</v>
      </c>
      <c r="LL115">
        <v>0</v>
      </c>
      <c r="LM115">
        <v>0</v>
      </c>
      <c r="LN115">
        <v>0</v>
      </c>
      <c r="LO115">
        <v>0</v>
      </c>
      <c r="LP115">
        <v>0</v>
      </c>
      <c r="LQ115">
        <v>0</v>
      </c>
      <c r="LR115">
        <v>0</v>
      </c>
      <c r="LS115">
        <v>0</v>
      </c>
      <c r="LT115">
        <v>0</v>
      </c>
      <c r="LU115">
        <v>0</v>
      </c>
      <c r="LV115">
        <v>0</v>
      </c>
      <c r="LW115">
        <v>0</v>
      </c>
      <c r="LX115">
        <v>0</v>
      </c>
      <c r="LY115">
        <v>0</v>
      </c>
      <c r="LZ115">
        <v>0</v>
      </c>
      <c r="MA115">
        <v>0</v>
      </c>
      <c r="MB115">
        <v>0</v>
      </c>
      <c r="MC115">
        <v>0</v>
      </c>
      <c r="MD115">
        <v>0</v>
      </c>
      <c r="ME115">
        <v>0</v>
      </c>
      <c r="MF115">
        <v>0</v>
      </c>
      <c r="MG115">
        <v>0</v>
      </c>
      <c r="MH115">
        <v>0</v>
      </c>
      <c r="MI115">
        <v>0</v>
      </c>
      <c r="MJ115">
        <v>0</v>
      </c>
      <c r="MK115">
        <v>0</v>
      </c>
      <c r="ML115">
        <v>0</v>
      </c>
      <c r="MM115">
        <v>0</v>
      </c>
      <c r="MN115">
        <v>0</v>
      </c>
      <c r="MO115">
        <v>0</v>
      </c>
      <c r="MP115">
        <v>0</v>
      </c>
      <c r="MQ115">
        <v>0</v>
      </c>
      <c r="MR115">
        <v>0</v>
      </c>
      <c r="MS115">
        <v>0</v>
      </c>
      <c r="MT115">
        <v>0</v>
      </c>
      <c r="MU115">
        <v>0</v>
      </c>
      <c r="MV115">
        <v>0</v>
      </c>
      <c r="MW115">
        <v>0</v>
      </c>
      <c r="MX115">
        <v>0</v>
      </c>
      <c r="MY115">
        <v>0</v>
      </c>
      <c r="MZ115">
        <v>0</v>
      </c>
      <c r="NA115">
        <v>0</v>
      </c>
      <c r="NB115">
        <v>0</v>
      </c>
      <c r="NC115">
        <v>0</v>
      </c>
      <c r="ND115">
        <v>0</v>
      </c>
      <c r="NE115">
        <v>0</v>
      </c>
      <c r="NF115">
        <v>0</v>
      </c>
      <c r="NG115">
        <v>0</v>
      </c>
      <c r="NH115">
        <v>0</v>
      </c>
      <c r="NI115">
        <v>0</v>
      </c>
      <c r="NJ115">
        <v>0</v>
      </c>
      <c r="NK115">
        <v>0</v>
      </c>
      <c r="NL115">
        <v>0</v>
      </c>
      <c r="NM115">
        <v>0</v>
      </c>
      <c r="NN115">
        <v>0</v>
      </c>
      <c r="NO115">
        <v>0</v>
      </c>
      <c r="NP115">
        <v>0</v>
      </c>
      <c r="NQ115">
        <v>0</v>
      </c>
      <c r="NR115">
        <v>0</v>
      </c>
      <c r="NS115">
        <v>0</v>
      </c>
      <c r="NT115">
        <v>0</v>
      </c>
      <c r="NU115">
        <v>0</v>
      </c>
      <c r="NV115">
        <v>0</v>
      </c>
      <c r="NW115">
        <v>0</v>
      </c>
      <c r="NX115">
        <v>0</v>
      </c>
      <c r="NY115">
        <v>0</v>
      </c>
      <c r="NZ115">
        <v>0</v>
      </c>
      <c r="OA115">
        <v>0</v>
      </c>
      <c r="OB115">
        <v>0</v>
      </c>
      <c r="OC115">
        <v>0</v>
      </c>
      <c r="OD115">
        <v>0</v>
      </c>
      <c r="OE115">
        <v>0</v>
      </c>
      <c r="OF115">
        <v>0</v>
      </c>
      <c r="OG115">
        <v>0</v>
      </c>
      <c r="OH115">
        <v>0</v>
      </c>
      <c r="OI115">
        <v>0</v>
      </c>
      <c r="OJ115">
        <v>0</v>
      </c>
      <c r="OK115">
        <v>0</v>
      </c>
      <c r="OL115">
        <v>0</v>
      </c>
      <c r="OM115">
        <v>0</v>
      </c>
      <c r="ON115">
        <v>0</v>
      </c>
      <c r="OO115">
        <v>0</v>
      </c>
      <c r="OP115">
        <v>0</v>
      </c>
      <c r="OQ115">
        <v>0</v>
      </c>
      <c r="OR115">
        <v>0</v>
      </c>
      <c r="OS115">
        <v>0</v>
      </c>
      <c r="OT115">
        <v>0</v>
      </c>
      <c r="OU115">
        <v>0</v>
      </c>
      <c r="OV115">
        <v>0</v>
      </c>
      <c r="OW115">
        <v>0</v>
      </c>
      <c r="OX115">
        <v>0</v>
      </c>
      <c r="OY115">
        <v>0</v>
      </c>
      <c r="OZ115">
        <v>0</v>
      </c>
      <c r="PA115">
        <v>0</v>
      </c>
      <c r="PB115">
        <v>0</v>
      </c>
      <c r="PC115">
        <v>0</v>
      </c>
      <c r="PD115">
        <v>0</v>
      </c>
      <c r="PE115">
        <v>0</v>
      </c>
      <c r="PF115">
        <v>0</v>
      </c>
      <c r="PG115">
        <v>0</v>
      </c>
      <c r="PH115">
        <v>0</v>
      </c>
      <c r="PI115">
        <v>0</v>
      </c>
      <c r="PJ115">
        <v>0</v>
      </c>
      <c r="PK115">
        <v>0</v>
      </c>
      <c r="PL115">
        <v>0</v>
      </c>
      <c r="PM115">
        <v>0</v>
      </c>
      <c r="PN115">
        <v>0</v>
      </c>
      <c r="PO115">
        <v>0</v>
      </c>
      <c r="PP115">
        <v>0</v>
      </c>
      <c r="PQ115">
        <v>0</v>
      </c>
      <c r="PR115">
        <v>0</v>
      </c>
      <c r="PS115">
        <v>0</v>
      </c>
      <c r="PT115">
        <v>0</v>
      </c>
      <c r="PU115">
        <v>0</v>
      </c>
      <c r="PV115">
        <v>0</v>
      </c>
      <c r="PW115">
        <v>0</v>
      </c>
      <c r="PX115">
        <v>0</v>
      </c>
      <c r="PY115">
        <v>0</v>
      </c>
      <c r="PZ115">
        <v>0</v>
      </c>
      <c r="QA115">
        <v>0</v>
      </c>
      <c r="QB115">
        <v>0</v>
      </c>
      <c r="QC115">
        <v>0</v>
      </c>
      <c r="QD115">
        <v>0</v>
      </c>
      <c r="QE115">
        <v>0</v>
      </c>
      <c r="QF115">
        <v>0</v>
      </c>
      <c r="QG115">
        <v>0</v>
      </c>
      <c r="QH115">
        <v>0</v>
      </c>
      <c r="QI115">
        <v>0</v>
      </c>
      <c r="QJ115">
        <v>0</v>
      </c>
      <c r="QK115">
        <v>0</v>
      </c>
      <c r="QL115">
        <v>0</v>
      </c>
      <c r="QM115">
        <v>0</v>
      </c>
      <c r="QN115">
        <v>0</v>
      </c>
      <c r="QO115">
        <v>0</v>
      </c>
      <c r="QP115">
        <v>0</v>
      </c>
      <c r="QQ115">
        <v>0</v>
      </c>
      <c r="QR115">
        <v>0</v>
      </c>
      <c r="QS115">
        <v>0</v>
      </c>
      <c r="QT115">
        <v>0</v>
      </c>
      <c r="QU115">
        <v>0</v>
      </c>
      <c r="QV115">
        <v>0</v>
      </c>
      <c r="QW115">
        <v>0</v>
      </c>
      <c r="QX115">
        <v>0</v>
      </c>
      <c r="QY115">
        <v>0</v>
      </c>
      <c r="QZ115">
        <v>0</v>
      </c>
      <c r="RA115">
        <v>0</v>
      </c>
      <c r="RB115">
        <v>0</v>
      </c>
      <c r="RC115">
        <v>0</v>
      </c>
      <c r="RD115">
        <v>0</v>
      </c>
      <c r="RE115">
        <v>0</v>
      </c>
      <c r="RF115">
        <v>0</v>
      </c>
      <c r="RG115">
        <v>0</v>
      </c>
      <c r="RH115">
        <v>0</v>
      </c>
      <c r="RI115">
        <v>0</v>
      </c>
      <c r="RJ115">
        <v>0</v>
      </c>
      <c r="RK115">
        <v>0</v>
      </c>
      <c r="RL115">
        <v>0</v>
      </c>
      <c r="RM115">
        <v>0</v>
      </c>
      <c r="RN115">
        <v>0</v>
      </c>
      <c r="RO115">
        <v>0</v>
      </c>
      <c r="RP115">
        <v>0</v>
      </c>
      <c r="RQ115">
        <v>0</v>
      </c>
      <c r="RR115">
        <v>0</v>
      </c>
      <c r="RS115">
        <v>0</v>
      </c>
      <c r="RT115">
        <v>0</v>
      </c>
      <c r="RU115">
        <v>0</v>
      </c>
      <c r="RV115">
        <v>0</v>
      </c>
      <c r="RW115">
        <v>0</v>
      </c>
      <c r="RX115">
        <v>0</v>
      </c>
      <c r="RY115">
        <v>0</v>
      </c>
      <c r="RZ115">
        <v>0</v>
      </c>
      <c r="SA115">
        <v>0</v>
      </c>
      <c r="SB115">
        <v>0</v>
      </c>
      <c r="SC115">
        <v>0</v>
      </c>
      <c r="SD115">
        <v>0</v>
      </c>
      <c r="SE115">
        <v>0</v>
      </c>
      <c r="SF115">
        <v>0</v>
      </c>
      <c r="SG115">
        <v>0</v>
      </c>
      <c r="SH115">
        <v>0</v>
      </c>
      <c r="SI115">
        <v>0</v>
      </c>
      <c r="SJ115">
        <v>0</v>
      </c>
      <c r="SK115">
        <v>0</v>
      </c>
      <c r="SL115">
        <v>0</v>
      </c>
      <c r="SM115">
        <v>0</v>
      </c>
      <c r="SN115">
        <v>0</v>
      </c>
      <c r="SO115">
        <v>0</v>
      </c>
      <c r="SP115">
        <v>0</v>
      </c>
      <c r="SQ115">
        <v>0</v>
      </c>
      <c r="SR115">
        <v>0</v>
      </c>
      <c r="SS115">
        <v>0</v>
      </c>
      <c r="ST115">
        <v>0</v>
      </c>
      <c r="SU115">
        <v>0</v>
      </c>
      <c r="SV115">
        <v>0</v>
      </c>
      <c r="SW115">
        <v>0</v>
      </c>
      <c r="SX115">
        <v>0</v>
      </c>
      <c r="SY115">
        <v>0</v>
      </c>
      <c r="SZ115">
        <v>0</v>
      </c>
      <c r="TA115">
        <v>0</v>
      </c>
      <c r="TB115">
        <v>0</v>
      </c>
      <c r="TC115">
        <v>0</v>
      </c>
      <c r="TD115">
        <v>0</v>
      </c>
      <c r="TE115">
        <v>0</v>
      </c>
      <c r="TF115">
        <v>0</v>
      </c>
      <c r="TG115">
        <v>0</v>
      </c>
      <c r="TH115">
        <v>0</v>
      </c>
      <c r="TI115">
        <v>0</v>
      </c>
      <c r="TJ115">
        <v>0</v>
      </c>
      <c r="TK115">
        <v>0</v>
      </c>
      <c r="TL115">
        <v>0</v>
      </c>
      <c r="TM115">
        <v>0</v>
      </c>
      <c r="TN115">
        <v>0</v>
      </c>
      <c r="TO115">
        <v>0</v>
      </c>
      <c r="TP115">
        <v>0</v>
      </c>
      <c r="TQ115">
        <v>0</v>
      </c>
      <c r="TR115">
        <v>0</v>
      </c>
      <c r="TS115">
        <v>0</v>
      </c>
      <c r="TT115">
        <v>0</v>
      </c>
      <c r="TU115">
        <v>0</v>
      </c>
      <c r="TV115">
        <v>0</v>
      </c>
      <c r="TW115">
        <v>0</v>
      </c>
      <c r="TX115">
        <v>0</v>
      </c>
      <c r="TY115">
        <v>0</v>
      </c>
      <c r="TZ115">
        <v>0</v>
      </c>
      <c r="UA115">
        <v>0</v>
      </c>
      <c r="UB115">
        <v>0</v>
      </c>
      <c r="UC115">
        <v>0</v>
      </c>
      <c r="UD115">
        <v>0</v>
      </c>
      <c r="UE115">
        <v>0</v>
      </c>
      <c r="UF115">
        <v>0</v>
      </c>
      <c r="UG115">
        <v>0</v>
      </c>
      <c r="UH115">
        <v>0</v>
      </c>
      <c r="UI115">
        <v>0</v>
      </c>
      <c r="UJ115">
        <v>0</v>
      </c>
      <c r="UK115">
        <v>0</v>
      </c>
      <c r="UL115">
        <v>0</v>
      </c>
      <c r="UM115">
        <v>0</v>
      </c>
      <c r="UN115">
        <v>0</v>
      </c>
      <c r="UO115">
        <v>0</v>
      </c>
      <c r="UP115">
        <v>0</v>
      </c>
      <c r="UQ115">
        <v>0</v>
      </c>
      <c r="UR115">
        <v>0</v>
      </c>
      <c r="US115">
        <v>0</v>
      </c>
      <c r="UT115">
        <v>0</v>
      </c>
      <c r="UU115">
        <v>0</v>
      </c>
      <c r="UV115">
        <v>0</v>
      </c>
      <c r="UW115">
        <v>0</v>
      </c>
      <c r="UX115">
        <v>0</v>
      </c>
      <c r="UY115">
        <v>0</v>
      </c>
      <c r="UZ115">
        <v>0</v>
      </c>
      <c r="VA115">
        <v>0</v>
      </c>
      <c r="VB115">
        <v>0</v>
      </c>
      <c r="VC115">
        <v>0</v>
      </c>
      <c r="VD115">
        <v>0</v>
      </c>
      <c r="VE115">
        <v>0</v>
      </c>
      <c r="VF115">
        <v>0</v>
      </c>
      <c r="VG115">
        <v>0</v>
      </c>
      <c r="VH115">
        <v>0</v>
      </c>
      <c r="VI115">
        <v>0</v>
      </c>
      <c r="VJ115">
        <v>0</v>
      </c>
      <c r="VK115">
        <v>0</v>
      </c>
      <c r="VL115">
        <v>0</v>
      </c>
      <c r="VM115">
        <v>0</v>
      </c>
      <c r="VN115">
        <v>0</v>
      </c>
      <c r="VO115">
        <v>0</v>
      </c>
      <c r="VP115">
        <v>0</v>
      </c>
      <c r="VQ115">
        <v>0</v>
      </c>
      <c r="VR115">
        <v>0</v>
      </c>
      <c r="VS115">
        <v>0</v>
      </c>
      <c r="VT115">
        <v>0</v>
      </c>
      <c r="VU115">
        <v>0</v>
      </c>
      <c r="VV115">
        <v>0</v>
      </c>
      <c r="VW115">
        <v>0</v>
      </c>
      <c r="VX115">
        <v>0</v>
      </c>
      <c r="VY115">
        <v>0</v>
      </c>
      <c r="VZ115">
        <v>0</v>
      </c>
      <c r="WA115">
        <v>0</v>
      </c>
      <c r="WB115">
        <v>0</v>
      </c>
      <c r="WC115">
        <v>0</v>
      </c>
      <c r="WD115">
        <v>0</v>
      </c>
      <c r="WE115">
        <v>0</v>
      </c>
      <c r="WF115">
        <v>0</v>
      </c>
      <c r="WG115">
        <v>0</v>
      </c>
      <c r="WH115">
        <v>0</v>
      </c>
      <c r="WI115">
        <v>0</v>
      </c>
      <c r="WJ115">
        <v>0</v>
      </c>
      <c r="WK115">
        <v>0</v>
      </c>
      <c r="WL115">
        <v>0</v>
      </c>
      <c r="WM115">
        <v>0</v>
      </c>
      <c r="WN115">
        <v>0</v>
      </c>
      <c r="WO115">
        <v>0</v>
      </c>
      <c r="WP115">
        <v>0</v>
      </c>
      <c r="WQ115">
        <v>0</v>
      </c>
      <c r="WR115">
        <v>0</v>
      </c>
      <c r="WS115">
        <v>0</v>
      </c>
      <c r="WT115">
        <v>0</v>
      </c>
      <c r="WU115">
        <v>0</v>
      </c>
      <c r="WV115">
        <v>0</v>
      </c>
      <c r="WW115">
        <v>0</v>
      </c>
      <c r="WX115">
        <v>0</v>
      </c>
      <c r="WY115">
        <v>0</v>
      </c>
      <c r="WZ115">
        <v>0</v>
      </c>
      <c r="XA115">
        <v>0</v>
      </c>
      <c r="XB115">
        <v>0</v>
      </c>
      <c r="XC115">
        <v>0</v>
      </c>
      <c r="XD115">
        <v>0</v>
      </c>
      <c r="XE115">
        <v>0</v>
      </c>
      <c r="XF115">
        <v>0</v>
      </c>
      <c r="XG115">
        <v>0</v>
      </c>
      <c r="XH115">
        <v>0</v>
      </c>
      <c r="XI115">
        <v>0</v>
      </c>
      <c r="XJ115">
        <v>0</v>
      </c>
      <c r="XK115">
        <v>0</v>
      </c>
      <c r="XL115">
        <v>0</v>
      </c>
      <c r="XM115">
        <v>0</v>
      </c>
      <c r="XN115">
        <v>0</v>
      </c>
      <c r="XO115">
        <v>0</v>
      </c>
      <c r="XP115">
        <v>0</v>
      </c>
      <c r="XQ115">
        <v>0</v>
      </c>
      <c r="XR115">
        <v>0</v>
      </c>
      <c r="XS115">
        <v>0</v>
      </c>
      <c r="XT115">
        <v>0</v>
      </c>
      <c r="XU115">
        <v>0</v>
      </c>
      <c r="XV115">
        <v>0</v>
      </c>
      <c r="XW115">
        <v>0</v>
      </c>
      <c r="XX115">
        <v>0</v>
      </c>
      <c r="XY115">
        <v>0</v>
      </c>
      <c r="XZ115">
        <v>0</v>
      </c>
      <c r="YA115">
        <v>0</v>
      </c>
      <c r="YB115">
        <v>0</v>
      </c>
      <c r="YC115">
        <v>0</v>
      </c>
      <c r="YD115">
        <v>0</v>
      </c>
      <c r="YE115">
        <v>0</v>
      </c>
      <c r="YF115">
        <v>0</v>
      </c>
      <c r="YG115">
        <v>0</v>
      </c>
      <c r="YH115">
        <v>0</v>
      </c>
      <c r="YI115">
        <v>0</v>
      </c>
      <c r="YJ115">
        <v>0</v>
      </c>
      <c r="YK115">
        <v>0</v>
      </c>
      <c r="YL115">
        <v>0</v>
      </c>
      <c r="YM115">
        <v>0</v>
      </c>
      <c r="YN115">
        <v>0</v>
      </c>
      <c r="YO115">
        <v>0</v>
      </c>
      <c r="YP115">
        <v>0</v>
      </c>
      <c r="YQ115">
        <v>0</v>
      </c>
      <c r="YR115">
        <v>0</v>
      </c>
      <c r="YS115">
        <v>0</v>
      </c>
      <c r="YT115">
        <v>0</v>
      </c>
      <c r="YU115">
        <v>0</v>
      </c>
      <c r="YV115">
        <v>0</v>
      </c>
      <c r="YW115">
        <v>0</v>
      </c>
      <c r="YX115">
        <v>0</v>
      </c>
      <c r="YY115">
        <v>0</v>
      </c>
      <c r="YZ115">
        <v>0</v>
      </c>
      <c r="ZA115">
        <v>0</v>
      </c>
      <c r="ZB115">
        <v>0</v>
      </c>
      <c r="ZC115">
        <v>0</v>
      </c>
      <c r="ZD115">
        <v>0</v>
      </c>
      <c r="ZE115">
        <v>0</v>
      </c>
      <c r="ZF115">
        <v>0</v>
      </c>
      <c r="ZG115">
        <v>0</v>
      </c>
      <c r="ZH115">
        <v>0</v>
      </c>
      <c r="ZI115">
        <v>0</v>
      </c>
      <c r="ZJ115">
        <v>0</v>
      </c>
      <c r="ZK115">
        <v>0</v>
      </c>
      <c r="ZL115">
        <v>0</v>
      </c>
      <c r="ZM115">
        <v>0</v>
      </c>
      <c r="ZN115">
        <v>0</v>
      </c>
      <c r="ZO115">
        <v>0</v>
      </c>
      <c r="ZP115">
        <v>0</v>
      </c>
      <c r="ZQ115">
        <v>0</v>
      </c>
      <c r="ZR115">
        <v>0</v>
      </c>
      <c r="ZS115">
        <v>0</v>
      </c>
      <c r="ZT115">
        <v>0</v>
      </c>
      <c r="ZU115">
        <v>0</v>
      </c>
      <c r="ZV115">
        <v>0</v>
      </c>
      <c r="ZW115">
        <v>0</v>
      </c>
      <c r="ZX115">
        <v>0</v>
      </c>
      <c r="ZY115">
        <v>0</v>
      </c>
      <c r="ZZ115">
        <v>0</v>
      </c>
      <c r="AAA115">
        <v>0</v>
      </c>
      <c r="AAB115">
        <v>0</v>
      </c>
      <c r="AAC115">
        <v>0</v>
      </c>
      <c r="AAD115">
        <v>0</v>
      </c>
      <c r="AAE115">
        <v>0</v>
      </c>
      <c r="AAF115">
        <v>0</v>
      </c>
      <c r="AAG115">
        <v>0</v>
      </c>
      <c r="AAH115">
        <v>0</v>
      </c>
      <c r="AAI115">
        <v>0</v>
      </c>
      <c r="AAJ115">
        <v>0</v>
      </c>
      <c r="AAK115">
        <v>0</v>
      </c>
      <c r="AAL115">
        <v>0</v>
      </c>
      <c r="AAM115">
        <v>0</v>
      </c>
      <c r="AAN115">
        <v>0</v>
      </c>
      <c r="AAO115">
        <v>0</v>
      </c>
      <c r="AAP115">
        <v>0</v>
      </c>
      <c r="AAQ115">
        <v>0</v>
      </c>
      <c r="AAR115">
        <v>0</v>
      </c>
      <c r="AAS115">
        <v>0</v>
      </c>
      <c r="AAT115">
        <v>0</v>
      </c>
      <c r="AAU115">
        <v>0</v>
      </c>
      <c r="AAV115">
        <v>0</v>
      </c>
      <c r="AAW115">
        <v>0</v>
      </c>
      <c r="AAX115">
        <v>0</v>
      </c>
      <c r="AAY115">
        <v>0</v>
      </c>
      <c r="AAZ115">
        <v>0</v>
      </c>
      <c r="ABA115">
        <v>0</v>
      </c>
      <c r="ABB115">
        <v>0</v>
      </c>
      <c r="ABC115">
        <v>0</v>
      </c>
      <c r="ABD115">
        <v>0</v>
      </c>
      <c r="ABE115">
        <v>0</v>
      </c>
      <c r="ABG115" s="1137">
        <f t="shared" si="26"/>
        <v>0</v>
      </c>
      <c r="ABH115" s="1137">
        <f t="shared" si="26"/>
        <v>0</v>
      </c>
      <c r="ABI115" s="1137">
        <f t="shared" si="26"/>
        <v>7</v>
      </c>
      <c r="ABJ115" s="1137">
        <f t="shared" si="26"/>
        <v>30</v>
      </c>
      <c r="ABK115" s="1137">
        <f t="shared" si="26"/>
        <v>9</v>
      </c>
      <c r="ABL115" s="1137">
        <f t="shared" si="26"/>
        <v>0</v>
      </c>
      <c r="ABM115" s="1137">
        <f t="shared" si="26"/>
        <v>0</v>
      </c>
      <c r="ABN115" s="1137">
        <f t="shared" si="26"/>
        <v>0</v>
      </c>
      <c r="ABO115" s="1137">
        <f t="shared" si="26"/>
        <v>0</v>
      </c>
      <c r="ABP115" s="1137">
        <f t="shared" si="26"/>
        <v>0</v>
      </c>
      <c r="ABQ115" s="1137">
        <f t="shared" si="26"/>
        <v>0</v>
      </c>
      <c r="ABR115" s="1137">
        <f t="shared" si="26"/>
        <v>0</v>
      </c>
      <c r="ABS115" s="1137">
        <f t="shared" si="26"/>
        <v>0</v>
      </c>
      <c r="ABT115" s="1137">
        <f t="shared" si="26"/>
        <v>0</v>
      </c>
      <c r="ABU115" s="1137">
        <f t="shared" si="26"/>
        <v>0</v>
      </c>
      <c r="ABV115" s="1137">
        <f t="shared" ref="ABV115" si="29">COUNTIFS($C$3:$ABE$3, ABV$3, $C$4:$ABE$4, ABV$4, $C115:$ABE115, "&gt;0")</f>
        <v>0</v>
      </c>
      <c r="ABW115" s="1137">
        <f t="shared" si="17"/>
        <v>0</v>
      </c>
      <c r="ABX115" s="1137">
        <f t="shared" si="23"/>
        <v>0</v>
      </c>
      <c r="ABY115" s="1137">
        <f t="shared" si="23"/>
        <v>0</v>
      </c>
      <c r="ABZ115" s="1137">
        <f t="shared" si="23"/>
        <v>0</v>
      </c>
      <c r="ACA115" s="1137">
        <f t="shared" si="23"/>
        <v>0</v>
      </c>
      <c r="ACB115" s="1137">
        <f t="shared" si="23"/>
        <v>0</v>
      </c>
      <c r="ACC115" s="1137">
        <f t="shared" si="23"/>
        <v>0</v>
      </c>
      <c r="ACD115" s="1137">
        <f t="shared" si="23"/>
        <v>0</v>
      </c>
      <c r="ACE115" s="1137" t="s">
        <v>46</v>
      </c>
      <c r="ACF115" s="1137">
        <f t="shared" si="28"/>
        <v>0</v>
      </c>
      <c r="ACG115" s="1137">
        <f t="shared" si="28"/>
        <v>0</v>
      </c>
      <c r="ACH115" s="1137">
        <f t="shared" si="28"/>
        <v>0</v>
      </c>
      <c r="ACI115" s="1137">
        <f t="shared" si="28"/>
        <v>1</v>
      </c>
      <c r="ACJ115" s="1137">
        <f t="shared" si="28"/>
        <v>0</v>
      </c>
      <c r="ACK115" s="1137">
        <f t="shared" si="28"/>
        <v>0</v>
      </c>
      <c r="ACL115" s="1137">
        <f t="shared" si="28"/>
        <v>0</v>
      </c>
      <c r="ACM115" s="1137">
        <f t="shared" si="28"/>
        <v>0</v>
      </c>
      <c r="ACN115" s="1137">
        <f t="shared" si="28"/>
        <v>0</v>
      </c>
      <c r="ACO115" s="1137">
        <f t="shared" si="28"/>
        <v>0</v>
      </c>
      <c r="ACP115" s="1137">
        <f t="shared" si="28"/>
        <v>0</v>
      </c>
      <c r="ACQ115" s="1137">
        <f t="shared" si="28"/>
        <v>0</v>
      </c>
      <c r="ACR115" s="1137">
        <f t="shared" si="28"/>
        <v>0</v>
      </c>
      <c r="ACS115" s="1137">
        <f t="shared" si="28"/>
        <v>0</v>
      </c>
      <c r="ACT115" s="1137">
        <f t="shared" si="28"/>
        <v>0</v>
      </c>
      <c r="ACU115" s="1137">
        <f t="shared" si="28"/>
        <v>0</v>
      </c>
      <c r="ACV115" s="1137">
        <f t="shared" si="24"/>
        <v>0</v>
      </c>
      <c r="ACW115" s="1137">
        <f t="shared" si="24"/>
        <v>0</v>
      </c>
      <c r="ACX115" s="1137">
        <f t="shared" si="24"/>
        <v>0</v>
      </c>
      <c r="ACY115" s="1137">
        <f t="shared" si="24"/>
        <v>0</v>
      </c>
      <c r="ACZ115" s="1137">
        <f t="shared" si="24"/>
        <v>0</v>
      </c>
      <c r="ADA115" s="1137">
        <f t="shared" si="24"/>
        <v>0</v>
      </c>
      <c r="ADB115" s="1137">
        <f t="shared" si="16"/>
        <v>0</v>
      </c>
      <c r="ADC115" s="1137">
        <f t="shared" si="16"/>
        <v>0</v>
      </c>
    </row>
    <row r="116" spans="1:783" x14ac:dyDescent="0.25">
      <c r="A116" t="s">
        <v>1915</v>
      </c>
      <c r="B116" t="s">
        <v>215</v>
      </c>
      <c r="C116">
        <v>0</v>
      </c>
      <c r="D116">
        <v>0</v>
      </c>
      <c r="E116">
        <v>0</v>
      </c>
      <c r="F116">
        <v>0</v>
      </c>
      <c r="G116">
        <v>0</v>
      </c>
      <c r="H116">
        <v>0</v>
      </c>
      <c r="I116">
        <v>0</v>
      </c>
      <c r="J116">
        <v>0</v>
      </c>
      <c r="K116">
        <v>0</v>
      </c>
      <c r="L116">
        <v>0</v>
      </c>
      <c r="M116">
        <v>0</v>
      </c>
      <c r="N116">
        <v>0</v>
      </c>
      <c r="O116">
        <v>0</v>
      </c>
      <c r="P116">
        <v>0</v>
      </c>
      <c r="Q116">
        <v>0</v>
      </c>
      <c r="R116">
        <v>0</v>
      </c>
      <c r="S116">
        <v>0</v>
      </c>
      <c r="T116">
        <v>0</v>
      </c>
      <c r="U116">
        <v>0</v>
      </c>
      <c r="V116">
        <v>0</v>
      </c>
      <c r="W116">
        <v>0</v>
      </c>
      <c r="X116">
        <v>0</v>
      </c>
      <c r="Y116">
        <v>0</v>
      </c>
      <c r="Z116">
        <v>0</v>
      </c>
      <c r="AA116">
        <v>0</v>
      </c>
      <c r="AB116">
        <v>0</v>
      </c>
      <c r="AC116">
        <v>0</v>
      </c>
      <c r="AD116">
        <v>0</v>
      </c>
      <c r="AE116">
        <v>0</v>
      </c>
      <c r="AF116">
        <v>0</v>
      </c>
      <c r="AG116">
        <v>0</v>
      </c>
      <c r="AH116">
        <v>0</v>
      </c>
      <c r="AI116">
        <v>0</v>
      </c>
      <c r="AJ116">
        <v>0</v>
      </c>
      <c r="AK116">
        <v>0</v>
      </c>
      <c r="AL116">
        <v>0</v>
      </c>
      <c r="AM116">
        <v>0</v>
      </c>
      <c r="AN116">
        <v>0</v>
      </c>
      <c r="AO116">
        <v>0</v>
      </c>
      <c r="AP116">
        <v>0</v>
      </c>
      <c r="AQ116">
        <v>0</v>
      </c>
      <c r="AR116">
        <v>0</v>
      </c>
      <c r="AS116">
        <v>0</v>
      </c>
      <c r="AT116">
        <v>0</v>
      </c>
      <c r="AU116">
        <v>0</v>
      </c>
      <c r="AV116">
        <v>0</v>
      </c>
      <c r="AW116">
        <v>0</v>
      </c>
      <c r="AX116">
        <v>0</v>
      </c>
      <c r="AY116">
        <v>0</v>
      </c>
      <c r="AZ116">
        <v>0</v>
      </c>
      <c r="BA116">
        <v>0</v>
      </c>
      <c r="BB116">
        <v>0</v>
      </c>
      <c r="BC116">
        <v>0</v>
      </c>
      <c r="BD116">
        <v>0</v>
      </c>
      <c r="BE116">
        <v>0</v>
      </c>
      <c r="BF116">
        <v>0</v>
      </c>
      <c r="BG116">
        <v>0</v>
      </c>
      <c r="BH116">
        <v>0</v>
      </c>
      <c r="BI116">
        <v>0</v>
      </c>
      <c r="BJ116">
        <v>0</v>
      </c>
      <c r="BK116">
        <v>0</v>
      </c>
      <c r="BL116">
        <v>0</v>
      </c>
      <c r="BM116">
        <v>0</v>
      </c>
      <c r="BN116">
        <v>0</v>
      </c>
      <c r="BO116">
        <v>0</v>
      </c>
      <c r="BP116">
        <v>0</v>
      </c>
      <c r="BQ116">
        <v>0</v>
      </c>
      <c r="BR116">
        <v>0</v>
      </c>
      <c r="BS116">
        <v>0</v>
      </c>
      <c r="BT116">
        <v>0</v>
      </c>
      <c r="BU116">
        <v>0</v>
      </c>
      <c r="BV116">
        <v>0</v>
      </c>
      <c r="BW116">
        <v>1</v>
      </c>
      <c r="BX116">
        <v>1</v>
      </c>
      <c r="BY116">
        <v>1</v>
      </c>
      <c r="BZ116">
        <v>1</v>
      </c>
      <c r="CA116">
        <v>1</v>
      </c>
      <c r="CB116">
        <v>1</v>
      </c>
      <c r="CC116">
        <v>1</v>
      </c>
      <c r="CD116">
        <v>1</v>
      </c>
      <c r="CE116">
        <v>1</v>
      </c>
      <c r="CF116">
        <v>1</v>
      </c>
      <c r="CG116">
        <v>1</v>
      </c>
      <c r="CH116">
        <v>1</v>
      </c>
      <c r="CI116">
        <v>1</v>
      </c>
      <c r="CJ116">
        <v>1</v>
      </c>
      <c r="CK116">
        <v>1</v>
      </c>
      <c r="CL116">
        <v>1</v>
      </c>
      <c r="CM116">
        <v>1</v>
      </c>
      <c r="CN116">
        <v>1</v>
      </c>
      <c r="CO116">
        <v>1</v>
      </c>
      <c r="CP116">
        <v>1</v>
      </c>
      <c r="CQ116">
        <v>1</v>
      </c>
      <c r="CR116">
        <v>2</v>
      </c>
      <c r="CS116">
        <v>2</v>
      </c>
      <c r="CT116">
        <v>2</v>
      </c>
      <c r="CU116">
        <v>2</v>
      </c>
      <c r="CV116">
        <v>2</v>
      </c>
      <c r="CW116">
        <v>2</v>
      </c>
      <c r="CX116">
        <v>2</v>
      </c>
      <c r="CY116">
        <v>2</v>
      </c>
      <c r="CZ116">
        <v>2</v>
      </c>
      <c r="DA116">
        <v>2</v>
      </c>
      <c r="DB116">
        <v>2</v>
      </c>
      <c r="DC116">
        <v>2</v>
      </c>
      <c r="DD116">
        <v>2</v>
      </c>
      <c r="DE116">
        <v>2</v>
      </c>
      <c r="DF116">
        <v>2</v>
      </c>
      <c r="DG116">
        <v>2</v>
      </c>
      <c r="DH116">
        <v>2</v>
      </c>
      <c r="DI116">
        <v>2</v>
      </c>
      <c r="DJ116">
        <v>2</v>
      </c>
      <c r="DK116">
        <v>2</v>
      </c>
      <c r="DL116">
        <v>2</v>
      </c>
      <c r="DM116">
        <v>2</v>
      </c>
      <c r="DN116">
        <v>2</v>
      </c>
      <c r="DO116">
        <v>2</v>
      </c>
      <c r="DP116">
        <v>2</v>
      </c>
      <c r="DQ116">
        <v>2</v>
      </c>
      <c r="DR116">
        <v>2</v>
      </c>
      <c r="DS116">
        <v>2</v>
      </c>
      <c r="DT116">
        <v>2</v>
      </c>
      <c r="DU116">
        <v>2</v>
      </c>
      <c r="DV116">
        <v>2</v>
      </c>
      <c r="DW116">
        <v>2</v>
      </c>
      <c r="DX116">
        <v>2</v>
      </c>
      <c r="DY116">
        <v>2</v>
      </c>
      <c r="DZ116">
        <v>2</v>
      </c>
      <c r="EA116">
        <v>2</v>
      </c>
      <c r="EB116">
        <v>2</v>
      </c>
      <c r="EC116">
        <v>2</v>
      </c>
      <c r="ED116">
        <v>2</v>
      </c>
      <c r="EE116">
        <v>2</v>
      </c>
      <c r="EF116">
        <v>2</v>
      </c>
      <c r="EG116">
        <v>2</v>
      </c>
      <c r="EH116">
        <v>2</v>
      </c>
      <c r="EI116">
        <v>2</v>
      </c>
      <c r="EJ116">
        <v>2</v>
      </c>
      <c r="EK116">
        <v>2</v>
      </c>
      <c r="EL116">
        <v>2</v>
      </c>
      <c r="EM116">
        <v>2</v>
      </c>
      <c r="EN116">
        <v>2</v>
      </c>
      <c r="EO116">
        <v>2</v>
      </c>
      <c r="EP116">
        <v>2</v>
      </c>
      <c r="EQ116">
        <v>2</v>
      </c>
      <c r="ER116">
        <v>2</v>
      </c>
      <c r="ES116">
        <v>2</v>
      </c>
      <c r="ET116">
        <v>2</v>
      </c>
      <c r="EU116">
        <v>2</v>
      </c>
      <c r="EV116">
        <v>2</v>
      </c>
      <c r="EW116">
        <v>2</v>
      </c>
      <c r="EX116">
        <v>2</v>
      </c>
      <c r="EY116">
        <v>2</v>
      </c>
      <c r="EZ116">
        <v>2</v>
      </c>
      <c r="FA116">
        <v>2</v>
      </c>
      <c r="FB116">
        <v>2</v>
      </c>
      <c r="FC116">
        <v>0</v>
      </c>
      <c r="FD116">
        <v>0</v>
      </c>
      <c r="FE116">
        <v>0</v>
      </c>
      <c r="FF116">
        <v>0</v>
      </c>
      <c r="FG116">
        <v>0</v>
      </c>
      <c r="FH116">
        <v>0</v>
      </c>
      <c r="FI116">
        <v>0</v>
      </c>
      <c r="FJ116">
        <v>0</v>
      </c>
      <c r="FK116">
        <v>0</v>
      </c>
      <c r="FL116">
        <v>0</v>
      </c>
      <c r="FM116">
        <v>0</v>
      </c>
      <c r="FN116">
        <v>0</v>
      </c>
      <c r="FO116">
        <v>0</v>
      </c>
      <c r="FP116">
        <v>0</v>
      </c>
      <c r="FQ116">
        <v>0</v>
      </c>
      <c r="FR116">
        <v>0</v>
      </c>
      <c r="FS116">
        <v>0</v>
      </c>
      <c r="FT116">
        <v>0</v>
      </c>
      <c r="FU116">
        <v>0</v>
      </c>
      <c r="FV116">
        <v>0</v>
      </c>
      <c r="FW116">
        <v>0</v>
      </c>
      <c r="FX116">
        <v>0</v>
      </c>
      <c r="FY116">
        <v>0</v>
      </c>
      <c r="FZ116">
        <v>0</v>
      </c>
      <c r="GA116">
        <v>0</v>
      </c>
      <c r="GB116">
        <v>0</v>
      </c>
      <c r="GC116">
        <v>0</v>
      </c>
      <c r="GD116">
        <v>0</v>
      </c>
      <c r="GE116">
        <v>0</v>
      </c>
      <c r="GF116">
        <v>0</v>
      </c>
      <c r="GG116">
        <v>0</v>
      </c>
      <c r="GH116">
        <v>0</v>
      </c>
      <c r="GI116">
        <v>0</v>
      </c>
      <c r="GJ116">
        <v>0</v>
      </c>
      <c r="GK116">
        <v>0</v>
      </c>
      <c r="GL116">
        <v>0</v>
      </c>
      <c r="GM116">
        <v>0</v>
      </c>
      <c r="GN116">
        <v>0</v>
      </c>
      <c r="GO116">
        <v>0</v>
      </c>
      <c r="GP116">
        <v>0</v>
      </c>
      <c r="GQ116">
        <v>0</v>
      </c>
      <c r="GR116">
        <v>0</v>
      </c>
      <c r="GS116">
        <v>0</v>
      </c>
      <c r="GT116">
        <v>0</v>
      </c>
      <c r="GU116">
        <v>0</v>
      </c>
      <c r="GV116">
        <v>0</v>
      </c>
      <c r="GW116">
        <v>0</v>
      </c>
      <c r="GX116">
        <v>0</v>
      </c>
      <c r="GY116">
        <v>0</v>
      </c>
      <c r="GZ116">
        <v>0</v>
      </c>
      <c r="HA116">
        <v>0</v>
      </c>
      <c r="HB116">
        <v>0</v>
      </c>
      <c r="HC116">
        <v>0</v>
      </c>
      <c r="HD116">
        <v>0</v>
      </c>
      <c r="HE116">
        <v>0</v>
      </c>
      <c r="HF116">
        <v>0</v>
      </c>
      <c r="HG116">
        <v>0</v>
      </c>
      <c r="HH116">
        <v>0</v>
      </c>
      <c r="HI116">
        <v>0</v>
      </c>
      <c r="HJ116">
        <v>0</v>
      </c>
      <c r="HK116">
        <v>0</v>
      </c>
      <c r="HL116">
        <v>0</v>
      </c>
      <c r="HM116">
        <v>0</v>
      </c>
      <c r="HN116">
        <v>0</v>
      </c>
      <c r="HO116">
        <v>0</v>
      </c>
      <c r="HP116">
        <v>0</v>
      </c>
      <c r="HQ116">
        <v>0</v>
      </c>
      <c r="HR116">
        <v>0</v>
      </c>
      <c r="HS116">
        <v>0</v>
      </c>
      <c r="HT116">
        <v>0</v>
      </c>
      <c r="HU116">
        <v>0</v>
      </c>
      <c r="HV116">
        <v>0</v>
      </c>
      <c r="HW116">
        <v>0</v>
      </c>
      <c r="HX116">
        <v>0</v>
      </c>
      <c r="HY116">
        <v>0</v>
      </c>
      <c r="HZ116">
        <v>0</v>
      </c>
      <c r="IA116">
        <v>0</v>
      </c>
      <c r="IB116">
        <v>0</v>
      </c>
      <c r="IC116">
        <v>0</v>
      </c>
      <c r="ID116">
        <v>0</v>
      </c>
      <c r="IE116">
        <v>0</v>
      </c>
      <c r="IF116">
        <v>0</v>
      </c>
      <c r="IG116">
        <v>0</v>
      </c>
      <c r="IH116">
        <v>0</v>
      </c>
      <c r="II116">
        <v>0</v>
      </c>
      <c r="IJ116">
        <v>0</v>
      </c>
      <c r="IK116">
        <v>0</v>
      </c>
      <c r="IL116">
        <v>0</v>
      </c>
      <c r="IM116">
        <v>0</v>
      </c>
      <c r="IN116">
        <v>0</v>
      </c>
      <c r="IO116">
        <v>0</v>
      </c>
      <c r="IP116">
        <v>0</v>
      </c>
      <c r="IQ116">
        <v>0</v>
      </c>
      <c r="IR116">
        <v>0</v>
      </c>
      <c r="IS116">
        <v>0</v>
      </c>
      <c r="IT116">
        <v>0</v>
      </c>
      <c r="IU116">
        <v>0</v>
      </c>
      <c r="IV116">
        <v>0</v>
      </c>
      <c r="IW116">
        <v>0</v>
      </c>
      <c r="IX116">
        <v>0</v>
      </c>
      <c r="IY116">
        <v>0</v>
      </c>
      <c r="IZ116">
        <v>0</v>
      </c>
      <c r="JA116">
        <v>0</v>
      </c>
      <c r="JB116">
        <v>0</v>
      </c>
      <c r="JC116">
        <v>0</v>
      </c>
      <c r="JD116">
        <v>0</v>
      </c>
      <c r="JE116">
        <v>0</v>
      </c>
      <c r="JF116">
        <v>0</v>
      </c>
      <c r="JG116">
        <v>0</v>
      </c>
      <c r="JH116">
        <v>0</v>
      </c>
      <c r="JI116">
        <v>0</v>
      </c>
      <c r="JJ116">
        <v>0</v>
      </c>
      <c r="JK116">
        <v>0</v>
      </c>
      <c r="JL116">
        <v>0</v>
      </c>
      <c r="JM116">
        <v>0</v>
      </c>
      <c r="JN116">
        <v>0</v>
      </c>
      <c r="JO116">
        <v>0</v>
      </c>
      <c r="JP116">
        <v>0</v>
      </c>
      <c r="JQ116">
        <v>0</v>
      </c>
      <c r="JR116">
        <v>0</v>
      </c>
      <c r="JS116">
        <v>0</v>
      </c>
      <c r="JT116">
        <v>0</v>
      </c>
      <c r="JU116">
        <v>0</v>
      </c>
      <c r="JV116">
        <v>0</v>
      </c>
      <c r="JW116">
        <v>0</v>
      </c>
      <c r="JX116">
        <v>0</v>
      </c>
      <c r="JY116">
        <v>0</v>
      </c>
      <c r="JZ116">
        <v>0</v>
      </c>
      <c r="KA116">
        <v>0</v>
      </c>
      <c r="KB116">
        <v>0</v>
      </c>
      <c r="KC116">
        <v>0</v>
      </c>
      <c r="KD116">
        <v>0</v>
      </c>
      <c r="KE116">
        <v>0</v>
      </c>
      <c r="KF116">
        <v>0</v>
      </c>
      <c r="KG116">
        <v>0</v>
      </c>
      <c r="KH116">
        <v>0</v>
      </c>
      <c r="KI116">
        <v>0</v>
      </c>
      <c r="KJ116">
        <v>0</v>
      </c>
      <c r="KK116">
        <v>0</v>
      </c>
      <c r="KL116">
        <v>0</v>
      </c>
      <c r="KM116">
        <v>0</v>
      </c>
      <c r="KN116">
        <v>0</v>
      </c>
      <c r="KO116">
        <v>0</v>
      </c>
      <c r="KP116">
        <v>0</v>
      </c>
      <c r="KQ116">
        <v>0</v>
      </c>
      <c r="KR116">
        <v>0</v>
      </c>
      <c r="KS116">
        <v>0</v>
      </c>
      <c r="KT116">
        <v>0</v>
      </c>
      <c r="KU116">
        <v>0</v>
      </c>
      <c r="KV116">
        <v>0</v>
      </c>
      <c r="KW116">
        <v>0</v>
      </c>
      <c r="KX116">
        <v>0</v>
      </c>
      <c r="KY116">
        <v>0</v>
      </c>
      <c r="KZ116">
        <v>0</v>
      </c>
      <c r="LA116">
        <v>0</v>
      </c>
      <c r="LB116">
        <v>0</v>
      </c>
      <c r="LC116">
        <v>0</v>
      </c>
      <c r="LD116">
        <v>0</v>
      </c>
      <c r="LE116">
        <v>0</v>
      </c>
      <c r="LF116">
        <v>0</v>
      </c>
      <c r="LG116">
        <v>0</v>
      </c>
      <c r="LH116">
        <v>0</v>
      </c>
      <c r="LI116">
        <v>0</v>
      </c>
      <c r="LJ116">
        <v>0</v>
      </c>
      <c r="LK116">
        <v>0</v>
      </c>
      <c r="LL116">
        <v>0</v>
      </c>
      <c r="LM116">
        <v>0</v>
      </c>
      <c r="LN116">
        <v>0</v>
      </c>
      <c r="LO116">
        <v>0</v>
      </c>
      <c r="LP116">
        <v>0</v>
      </c>
      <c r="LQ116">
        <v>0</v>
      </c>
      <c r="LR116">
        <v>0</v>
      </c>
      <c r="LS116">
        <v>0</v>
      </c>
      <c r="LT116">
        <v>0</v>
      </c>
      <c r="LU116">
        <v>0</v>
      </c>
      <c r="LV116">
        <v>0</v>
      </c>
      <c r="LW116">
        <v>0</v>
      </c>
      <c r="LX116">
        <v>0</v>
      </c>
      <c r="LY116">
        <v>0</v>
      </c>
      <c r="LZ116">
        <v>0</v>
      </c>
      <c r="MA116">
        <v>0</v>
      </c>
      <c r="MB116">
        <v>0</v>
      </c>
      <c r="MC116">
        <v>0</v>
      </c>
      <c r="MD116">
        <v>0</v>
      </c>
      <c r="ME116">
        <v>0</v>
      </c>
      <c r="MF116">
        <v>0</v>
      </c>
      <c r="MG116">
        <v>0</v>
      </c>
      <c r="MH116">
        <v>0</v>
      </c>
      <c r="MI116">
        <v>0</v>
      </c>
      <c r="MJ116">
        <v>0</v>
      </c>
      <c r="MK116">
        <v>0</v>
      </c>
      <c r="ML116">
        <v>0</v>
      </c>
      <c r="MM116">
        <v>0</v>
      </c>
      <c r="MN116">
        <v>0</v>
      </c>
      <c r="MO116">
        <v>0</v>
      </c>
      <c r="MP116">
        <v>0</v>
      </c>
      <c r="MQ116">
        <v>0</v>
      </c>
      <c r="MR116">
        <v>0</v>
      </c>
      <c r="MS116">
        <v>0</v>
      </c>
      <c r="MT116">
        <v>0</v>
      </c>
      <c r="MU116">
        <v>0</v>
      </c>
      <c r="MV116">
        <v>0</v>
      </c>
      <c r="MW116">
        <v>0</v>
      </c>
      <c r="MX116">
        <v>0</v>
      </c>
      <c r="MY116">
        <v>0</v>
      </c>
      <c r="MZ116">
        <v>0</v>
      </c>
      <c r="NA116">
        <v>0</v>
      </c>
      <c r="NB116">
        <v>0</v>
      </c>
      <c r="NC116">
        <v>0</v>
      </c>
      <c r="ND116">
        <v>0</v>
      </c>
      <c r="NE116">
        <v>0</v>
      </c>
      <c r="NF116">
        <v>0</v>
      </c>
      <c r="NG116">
        <v>0</v>
      </c>
      <c r="NH116">
        <v>0</v>
      </c>
      <c r="NI116">
        <v>0</v>
      </c>
      <c r="NJ116">
        <v>0</v>
      </c>
      <c r="NK116">
        <v>0</v>
      </c>
      <c r="NL116">
        <v>0</v>
      </c>
      <c r="NM116">
        <v>0</v>
      </c>
      <c r="NN116">
        <v>0</v>
      </c>
      <c r="NO116">
        <v>0</v>
      </c>
      <c r="NP116">
        <v>0</v>
      </c>
      <c r="NQ116">
        <v>0</v>
      </c>
      <c r="NR116">
        <v>0</v>
      </c>
      <c r="NS116">
        <v>0</v>
      </c>
      <c r="NT116">
        <v>0</v>
      </c>
      <c r="NU116">
        <v>0</v>
      </c>
      <c r="NV116">
        <v>0</v>
      </c>
      <c r="NW116">
        <v>0</v>
      </c>
      <c r="NX116">
        <v>0</v>
      </c>
      <c r="NY116">
        <v>0</v>
      </c>
      <c r="NZ116">
        <v>0</v>
      </c>
      <c r="OA116">
        <v>0</v>
      </c>
      <c r="OB116">
        <v>0</v>
      </c>
      <c r="OC116">
        <v>0</v>
      </c>
      <c r="OD116">
        <v>0</v>
      </c>
      <c r="OE116">
        <v>0</v>
      </c>
      <c r="OF116">
        <v>0</v>
      </c>
      <c r="OG116">
        <v>0</v>
      </c>
      <c r="OH116">
        <v>0</v>
      </c>
      <c r="OI116">
        <v>0</v>
      </c>
      <c r="OJ116">
        <v>0</v>
      </c>
      <c r="OK116">
        <v>0</v>
      </c>
      <c r="OL116">
        <v>0</v>
      </c>
      <c r="OM116">
        <v>0</v>
      </c>
      <c r="ON116">
        <v>0</v>
      </c>
      <c r="OO116">
        <v>0</v>
      </c>
      <c r="OP116">
        <v>0</v>
      </c>
      <c r="OQ116">
        <v>0</v>
      </c>
      <c r="OR116">
        <v>0</v>
      </c>
      <c r="OS116">
        <v>0</v>
      </c>
      <c r="OT116">
        <v>0</v>
      </c>
      <c r="OU116">
        <v>0</v>
      </c>
      <c r="OV116">
        <v>0</v>
      </c>
      <c r="OW116">
        <v>0</v>
      </c>
      <c r="OX116">
        <v>0</v>
      </c>
      <c r="OY116">
        <v>0</v>
      </c>
      <c r="OZ116">
        <v>0</v>
      </c>
      <c r="PA116">
        <v>0</v>
      </c>
      <c r="PB116">
        <v>0</v>
      </c>
      <c r="PC116">
        <v>0</v>
      </c>
      <c r="PD116">
        <v>0</v>
      </c>
      <c r="PE116">
        <v>0</v>
      </c>
      <c r="PF116">
        <v>0</v>
      </c>
      <c r="PG116">
        <v>0</v>
      </c>
      <c r="PH116">
        <v>0</v>
      </c>
      <c r="PI116">
        <v>0</v>
      </c>
      <c r="PJ116">
        <v>0</v>
      </c>
      <c r="PK116">
        <v>0</v>
      </c>
      <c r="PL116">
        <v>0</v>
      </c>
      <c r="PM116">
        <v>0</v>
      </c>
      <c r="PN116">
        <v>0</v>
      </c>
      <c r="PO116">
        <v>0</v>
      </c>
      <c r="PP116">
        <v>0</v>
      </c>
      <c r="PQ116">
        <v>0</v>
      </c>
      <c r="PR116">
        <v>0</v>
      </c>
      <c r="PS116">
        <v>0</v>
      </c>
      <c r="PT116">
        <v>0</v>
      </c>
      <c r="PU116">
        <v>0</v>
      </c>
      <c r="PV116">
        <v>2</v>
      </c>
      <c r="PW116">
        <v>2</v>
      </c>
      <c r="PX116">
        <v>2</v>
      </c>
      <c r="PY116">
        <v>2</v>
      </c>
      <c r="PZ116">
        <v>2</v>
      </c>
      <c r="QA116">
        <v>2</v>
      </c>
      <c r="QB116">
        <v>2</v>
      </c>
      <c r="QC116">
        <v>2</v>
      </c>
      <c r="QD116">
        <v>2</v>
      </c>
      <c r="QE116">
        <v>2</v>
      </c>
      <c r="QF116">
        <v>2</v>
      </c>
      <c r="QG116">
        <v>2</v>
      </c>
      <c r="QH116">
        <v>2</v>
      </c>
      <c r="QI116">
        <v>2</v>
      </c>
      <c r="QJ116">
        <v>2</v>
      </c>
      <c r="QK116">
        <v>2</v>
      </c>
      <c r="QL116">
        <v>2</v>
      </c>
      <c r="QM116">
        <v>2</v>
      </c>
      <c r="QN116">
        <v>2</v>
      </c>
      <c r="QO116">
        <v>2</v>
      </c>
      <c r="QP116">
        <v>2</v>
      </c>
      <c r="QQ116">
        <v>2</v>
      </c>
      <c r="QR116">
        <v>2</v>
      </c>
      <c r="QS116">
        <v>2</v>
      </c>
      <c r="QT116">
        <v>2</v>
      </c>
      <c r="QU116">
        <v>2</v>
      </c>
      <c r="QV116">
        <v>2</v>
      </c>
      <c r="QW116">
        <v>2</v>
      </c>
      <c r="QX116">
        <v>2</v>
      </c>
      <c r="QY116">
        <v>2</v>
      </c>
      <c r="QZ116">
        <v>2</v>
      </c>
      <c r="RA116">
        <v>2</v>
      </c>
      <c r="RB116">
        <v>2</v>
      </c>
      <c r="RC116">
        <v>2</v>
      </c>
      <c r="RD116">
        <v>2</v>
      </c>
      <c r="RE116">
        <v>2</v>
      </c>
      <c r="RF116">
        <v>2</v>
      </c>
      <c r="RG116">
        <v>2</v>
      </c>
      <c r="RH116">
        <v>2</v>
      </c>
      <c r="RI116">
        <v>2</v>
      </c>
      <c r="RJ116">
        <v>2</v>
      </c>
      <c r="RK116">
        <v>2</v>
      </c>
      <c r="RL116">
        <v>2</v>
      </c>
      <c r="RM116">
        <v>2</v>
      </c>
      <c r="RN116">
        <v>2</v>
      </c>
      <c r="RO116">
        <v>2</v>
      </c>
      <c r="RP116">
        <v>2</v>
      </c>
      <c r="RQ116">
        <v>2</v>
      </c>
      <c r="RR116">
        <v>2</v>
      </c>
      <c r="RS116">
        <v>2</v>
      </c>
      <c r="RT116">
        <v>2</v>
      </c>
      <c r="RU116">
        <v>2</v>
      </c>
      <c r="RV116">
        <v>2</v>
      </c>
      <c r="RW116">
        <v>2</v>
      </c>
      <c r="RX116">
        <v>2</v>
      </c>
      <c r="RY116">
        <v>2</v>
      </c>
      <c r="RZ116">
        <v>2</v>
      </c>
      <c r="SA116">
        <v>2</v>
      </c>
      <c r="SB116">
        <v>2</v>
      </c>
      <c r="SC116">
        <v>2</v>
      </c>
      <c r="SD116">
        <v>0</v>
      </c>
      <c r="SE116">
        <v>0</v>
      </c>
      <c r="SF116">
        <v>0</v>
      </c>
      <c r="SG116">
        <v>0</v>
      </c>
      <c r="SH116">
        <v>0</v>
      </c>
      <c r="SI116">
        <v>0</v>
      </c>
      <c r="SJ116">
        <v>0</v>
      </c>
      <c r="SK116">
        <v>0</v>
      </c>
      <c r="SL116">
        <v>0</v>
      </c>
      <c r="SM116">
        <v>0</v>
      </c>
      <c r="SN116">
        <v>0</v>
      </c>
      <c r="SO116">
        <v>0</v>
      </c>
      <c r="SP116">
        <v>0</v>
      </c>
      <c r="SQ116">
        <v>0</v>
      </c>
      <c r="SR116">
        <v>0</v>
      </c>
      <c r="SS116">
        <v>0</v>
      </c>
      <c r="ST116">
        <v>0</v>
      </c>
      <c r="SU116">
        <v>0</v>
      </c>
      <c r="SV116">
        <v>0</v>
      </c>
      <c r="SW116">
        <v>0</v>
      </c>
      <c r="SX116">
        <v>0</v>
      </c>
      <c r="SY116">
        <v>0</v>
      </c>
      <c r="SZ116">
        <v>0</v>
      </c>
      <c r="TA116">
        <v>0</v>
      </c>
      <c r="TB116">
        <v>0</v>
      </c>
      <c r="TC116">
        <v>0</v>
      </c>
      <c r="TD116">
        <v>0</v>
      </c>
      <c r="TE116">
        <v>0</v>
      </c>
      <c r="TF116">
        <v>0</v>
      </c>
      <c r="TG116">
        <v>0</v>
      </c>
      <c r="TH116">
        <v>0</v>
      </c>
      <c r="TI116">
        <v>0</v>
      </c>
      <c r="TJ116">
        <v>0</v>
      </c>
      <c r="TK116">
        <v>0</v>
      </c>
      <c r="TL116">
        <v>0</v>
      </c>
      <c r="TM116">
        <v>0</v>
      </c>
      <c r="TN116">
        <v>0</v>
      </c>
      <c r="TO116">
        <v>0</v>
      </c>
      <c r="TP116">
        <v>0</v>
      </c>
      <c r="TQ116">
        <v>0</v>
      </c>
      <c r="TR116">
        <v>0</v>
      </c>
      <c r="TS116">
        <v>0</v>
      </c>
      <c r="TT116">
        <v>0</v>
      </c>
      <c r="TU116">
        <v>0</v>
      </c>
      <c r="TV116">
        <v>0</v>
      </c>
      <c r="TW116">
        <v>0</v>
      </c>
      <c r="TX116">
        <v>0</v>
      </c>
      <c r="TY116">
        <v>0</v>
      </c>
      <c r="TZ116">
        <v>0</v>
      </c>
      <c r="UA116">
        <v>0</v>
      </c>
      <c r="UB116">
        <v>0</v>
      </c>
      <c r="UC116">
        <v>0</v>
      </c>
      <c r="UD116">
        <v>0</v>
      </c>
      <c r="UE116">
        <v>0</v>
      </c>
      <c r="UF116">
        <v>0</v>
      </c>
      <c r="UG116">
        <v>0</v>
      </c>
      <c r="UH116">
        <v>0</v>
      </c>
      <c r="UI116">
        <v>0</v>
      </c>
      <c r="UJ116">
        <v>0</v>
      </c>
      <c r="UK116">
        <v>0</v>
      </c>
      <c r="UL116">
        <v>0</v>
      </c>
      <c r="UM116">
        <v>0</v>
      </c>
      <c r="UN116">
        <v>0</v>
      </c>
      <c r="UO116">
        <v>0</v>
      </c>
      <c r="UP116">
        <v>0</v>
      </c>
      <c r="UQ116">
        <v>0</v>
      </c>
      <c r="UR116">
        <v>0</v>
      </c>
      <c r="US116">
        <v>0</v>
      </c>
      <c r="UT116">
        <v>0</v>
      </c>
      <c r="UU116">
        <v>0</v>
      </c>
      <c r="UV116">
        <v>0</v>
      </c>
      <c r="UW116">
        <v>0</v>
      </c>
      <c r="UX116">
        <v>0</v>
      </c>
      <c r="UY116">
        <v>0</v>
      </c>
      <c r="UZ116">
        <v>0</v>
      </c>
      <c r="VA116">
        <v>0</v>
      </c>
      <c r="VB116">
        <v>0</v>
      </c>
      <c r="VC116">
        <v>0</v>
      </c>
      <c r="VD116">
        <v>0</v>
      </c>
      <c r="VE116">
        <v>0</v>
      </c>
      <c r="VF116">
        <v>0</v>
      </c>
      <c r="VG116">
        <v>0</v>
      </c>
      <c r="VH116">
        <v>0</v>
      </c>
      <c r="VI116">
        <v>0</v>
      </c>
      <c r="VJ116">
        <v>0</v>
      </c>
      <c r="VK116">
        <v>0</v>
      </c>
      <c r="VL116">
        <v>0</v>
      </c>
      <c r="VM116">
        <v>0</v>
      </c>
      <c r="VN116">
        <v>0</v>
      </c>
      <c r="VO116">
        <v>0</v>
      </c>
      <c r="VP116">
        <v>0</v>
      </c>
      <c r="VQ116">
        <v>0</v>
      </c>
      <c r="VR116">
        <v>0</v>
      </c>
      <c r="VS116">
        <v>0</v>
      </c>
      <c r="VT116">
        <v>0</v>
      </c>
      <c r="VU116">
        <v>0</v>
      </c>
      <c r="VV116">
        <v>0</v>
      </c>
      <c r="VW116">
        <v>0</v>
      </c>
      <c r="VX116">
        <v>0</v>
      </c>
      <c r="VY116">
        <v>0</v>
      </c>
      <c r="VZ116">
        <v>0</v>
      </c>
      <c r="WA116">
        <v>0</v>
      </c>
      <c r="WB116">
        <v>0</v>
      </c>
      <c r="WC116">
        <v>0</v>
      </c>
      <c r="WD116">
        <v>0</v>
      </c>
      <c r="WE116">
        <v>0</v>
      </c>
      <c r="WF116">
        <v>0</v>
      </c>
      <c r="WG116">
        <v>0</v>
      </c>
      <c r="WH116">
        <v>0</v>
      </c>
      <c r="WI116">
        <v>0</v>
      </c>
      <c r="WJ116">
        <v>0</v>
      </c>
      <c r="WK116">
        <v>0</v>
      </c>
      <c r="WL116">
        <v>0</v>
      </c>
      <c r="WM116">
        <v>0</v>
      </c>
      <c r="WN116">
        <v>0</v>
      </c>
      <c r="WO116">
        <v>0</v>
      </c>
      <c r="WP116">
        <v>0</v>
      </c>
      <c r="WQ116">
        <v>0</v>
      </c>
      <c r="WR116">
        <v>0</v>
      </c>
      <c r="WS116">
        <v>0</v>
      </c>
      <c r="WT116">
        <v>0</v>
      </c>
      <c r="WU116">
        <v>0</v>
      </c>
      <c r="WV116">
        <v>0</v>
      </c>
      <c r="WW116">
        <v>0</v>
      </c>
      <c r="WX116">
        <v>0</v>
      </c>
      <c r="WY116">
        <v>0</v>
      </c>
      <c r="WZ116">
        <v>0</v>
      </c>
      <c r="XA116">
        <v>0</v>
      </c>
      <c r="XB116">
        <v>0</v>
      </c>
      <c r="XC116">
        <v>0</v>
      </c>
      <c r="XD116">
        <v>0</v>
      </c>
      <c r="XE116">
        <v>0</v>
      </c>
      <c r="XF116">
        <v>0</v>
      </c>
      <c r="XG116">
        <v>0</v>
      </c>
      <c r="XH116">
        <v>0</v>
      </c>
      <c r="XI116">
        <v>0</v>
      </c>
      <c r="XJ116">
        <v>0</v>
      </c>
      <c r="XK116">
        <v>0</v>
      </c>
      <c r="XL116">
        <v>0</v>
      </c>
      <c r="XM116">
        <v>0</v>
      </c>
      <c r="XN116">
        <v>0</v>
      </c>
      <c r="XO116">
        <v>0</v>
      </c>
      <c r="XP116">
        <v>0</v>
      </c>
      <c r="XQ116">
        <v>0</v>
      </c>
      <c r="XR116">
        <v>0</v>
      </c>
      <c r="XS116">
        <v>0</v>
      </c>
      <c r="XT116">
        <v>0</v>
      </c>
      <c r="XU116">
        <v>0</v>
      </c>
      <c r="XV116">
        <v>0</v>
      </c>
      <c r="XW116">
        <v>0</v>
      </c>
      <c r="XX116">
        <v>0</v>
      </c>
      <c r="XY116">
        <v>0</v>
      </c>
      <c r="XZ116">
        <v>0</v>
      </c>
      <c r="YA116">
        <v>0</v>
      </c>
      <c r="YB116">
        <v>0</v>
      </c>
      <c r="YC116">
        <v>0</v>
      </c>
      <c r="YD116">
        <v>0</v>
      </c>
      <c r="YE116">
        <v>0</v>
      </c>
      <c r="YF116">
        <v>0</v>
      </c>
      <c r="YG116">
        <v>0</v>
      </c>
      <c r="YH116">
        <v>0</v>
      </c>
      <c r="YI116">
        <v>0</v>
      </c>
      <c r="YJ116">
        <v>0</v>
      </c>
      <c r="YK116">
        <v>0</v>
      </c>
      <c r="YL116">
        <v>0</v>
      </c>
      <c r="YM116">
        <v>0</v>
      </c>
      <c r="YN116">
        <v>0</v>
      </c>
      <c r="YO116">
        <v>0</v>
      </c>
      <c r="YP116">
        <v>0</v>
      </c>
      <c r="YQ116">
        <v>0</v>
      </c>
      <c r="YR116">
        <v>0</v>
      </c>
      <c r="YS116">
        <v>0</v>
      </c>
      <c r="YT116">
        <v>0</v>
      </c>
      <c r="YU116">
        <v>0</v>
      </c>
      <c r="YV116">
        <v>0</v>
      </c>
      <c r="YW116">
        <v>0</v>
      </c>
      <c r="YX116">
        <v>0</v>
      </c>
      <c r="YY116">
        <v>0</v>
      </c>
      <c r="YZ116">
        <v>0</v>
      </c>
      <c r="ZA116">
        <v>0</v>
      </c>
      <c r="ZB116">
        <v>0</v>
      </c>
      <c r="ZC116">
        <v>0</v>
      </c>
      <c r="ZD116">
        <v>0</v>
      </c>
      <c r="ZE116">
        <v>0</v>
      </c>
      <c r="ZF116">
        <v>0</v>
      </c>
      <c r="ZG116">
        <v>0</v>
      </c>
      <c r="ZH116">
        <v>0</v>
      </c>
      <c r="ZI116">
        <v>0</v>
      </c>
      <c r="ZJ116">
        <v>0</v>
      </c>
      <c r="ZK116">
        <v>0</v>
      </c>
      <c r="ZL116">
        <v>0</v>
      </c>
      <c r="ZM116">
        <v>0</v>
      </c>
      <c r="ZN116">
        <v>0</v>
      </c>
      <c r="ZO116">
        <v>0</v>
      </c>
      <c r="ZP116">
        <v>0</v>
      </c>
      <c r="ZQ116">
        <v>0</v>
      </c>
      <c r="ZR116">
        <v>0</v>
      </c>
      <c r="ZS116">
        <v>0</v>
      </c>
      <c r="ZT116">
        <v>0</v>
      </c>
      <c r="ZU116">
        <v>0</v>
      </c>
      <c r="ZV116">
        <v>0</v>
      </c>
      <c r="ZW116">
        <v>0</v>
      </c>
      <c r="ZX116">
        <v>0</v>
      </c>
      <c r="ZY116">
        <v>0</v>
      </c>
      <c r="ZZ116">
        <v>0</v>
      </c>
      <c r="AAA116">
        <v>0</v>
      </c>
      <c r="AAB116">
        <v>0</v>
      </c>
      <c r="AAC116">
        <v>0</v>
      </c>
      <c r="AAD116">
        <v>0</v>
      </c>
      <c r="AAE116">
        <v>0</v>
      </c>
      <c r="AAF116">
        <v>0</v>
      </c>
      <c r="AAG116">
        <v>0</v>
      </c>
      <c r="AAH116">
        <v>0</v>
      </c>
      <c r="AAI116">
        <v>0</v>
      </c>
      <c r="AAJ116">
        <v>0</v>
      </c>
      <c r="AAK116">
        <v>0</v>
      </c>
      <c r="AAL116">
        <v>0</v>
      </c>
      <c r="AAM116">
        <v>0</v>
      </c>
      <c r="AAN116">
        <v>0</v>
      </c>
      <c r="AAO116">
        <v>0</v>
      </c>
      <c r="AAP116">
        <v>0</v>
      </c>
      <c r="AAQ116">
        <v>0</v>
      </c>
      <c r="AAR116">
        <v>0</v>
      </c>
      <c r="AAS116">
        <v>0</v>
      </c>
      <c r="AAT116">
        <v>0</v>
      </c>
      <c r="AAU116">
        <v>0</v>
      </c>
      <c r="AAV116">
        <v>0</v>
      </c>
      <c r="AAW116">
        <v>0</v>
      </c>
      <c r="AAX116">
        <v>0</v>
      </c>
      <c r="AAY116">
        <v>0</v>
      </c>
      <c r="AAZ116">
        <v>0</v>
      </c>
      <c r="ABA116">
        <v>0</v>
      </c>
      <c r="ABB116">
        <v>0</v>
      </c>
      <c r="ABC116">
        <v>0</v>
      </c>
      <c r="ABD116">
        <v>0</v>
      </c>
      <c r="ABE116">
        <v>0</v>
      </c>
      <c r="ABG116" s="1137">
        <f t="shared" ref="ABG116:ABV131" si="30">COUNTIFS($C$3:$ABE$3, ABG$3, $C$4:$ABE$4, ABG$4, $C116:$ABE116, "&gt;0")</f>
        <v>0</v>
      </c>
      <c r="ABH116" s="1137">
        <f t="shared" si="30"/>
        <v>0</v>
      </c>
      <c r="ABI116" s="1137">
        <f t="shared" si="30"/>
        <v>19</v>
      </c>
      <c r="ABJ116" s="1137">
        <f t="shared" si="30"/>
        <v>30</v>
      </c>
      <c r="ABK116" s="1137">
        <f t="shared" si="30"/>
        <v>31</v>
      </c>
      <c r="ABL116" s="1137">
        <f t="shared" si="30"/>
        <v>4</v>
      </c>
      <c r="ABM116" s="1137">
        <f t="shared" si="30"/>
        <v>0</v>
      </c>
      <c r="ABN116" s="1137">
        <f t="shared" si="30"/>
        <v>0</v>
      </c>
      <c r="ABO116" s="1137">
        <f t="shared" si="30"/>
        <v>0</v>
      </c>
      <c r="ABP116" s="1137">
        <f t="shared" si="30"/>
        <v>0</v>
      </c>
      <c r="ABQ116" s="1137">
        <f t="shared" si="30"/>
        <v>0</v>
      </c>
      <c r="ABR116" s="1137">
        <f t="shared" si="30"/>
        <v>0</v>
      </c>
      <c r="ABS116" s="1137">
        <f t="shared" si="30"/>
        <v>0</v>
      </c>
      <c r="ABT116" s="1137">
        <f t="shared" si="30"/>
        <v>0</v>
      </c>
      <c r="ABU116" s="1137">
        <f t="shared" si="30"/>
        <v>21</v>
      </c>
      <c r="ABV116" s="1137">
        <f t="shared" si="30"/>
        <v>30</v>
      </c>
      <c r="ABW116" s="1137">
        <f t="shared" si="17"/>
        <v>9</v>
      </c>
      <c r="ABX116" s="1137">
        <f t="shared" si="23"/>
        <v>0</v>
      </c>
      <c r="ABY116" s="1137">
        <f t="shared" si="23"/>
        <v>0</v>
      </c>
      <c r="ABZ116" s="1137">
        <f t="shared" si="23"/>
        <v>0</v>
      </c>
      <c r="ACA116" s="1137">
        <f t="shared" si="23"/>
        <v>0</v>
      </c>
      <c r="ACB116" s="1137">
        <f t="shared" si="23"/>
        <v>0</v>
      </c>
      <c r="ACC116" s="1137">
        <f t="shared" si="23"/>
        <v>0</v>
      </c>
      <c r="ACD116" s="1137">
        <f t="shared" si="23"/>
        <v>0</v>
      </c>
      <c r="ACE116" s="1137" t="s">
        <v>215</v>
      </c>
      <c r="ACF116" s="1137">
        <f t="shared" si="28"/>
        <v>0</v>
      </c>
      <c r="ACG116" s="1137">
        <f t="shared" si="28"/>
        <v>0</v>
      </c>
      <c r="ACH116" s="1137">
        <f t="shared" si="28"/>
        <v>1</v>
      </c>
      <c r="ACI116" s="1137">
        <f t="shared" si="28"/>
        <v>1</v>
      </c>
      <c r="ACJ116" s="1137">
        <f t="shared" si="28"/>
        <v>1</v>
      </c>
      <c r="ACK116" s="1137">
        <f t="shared" si="28"/>
        <v>0</v>
      </c>
      <c r="ACL116" s="1137">
        <f t="shared" si="28"/>
        <v>0</v>
      </c>
      <c r="ACM116" s="1137">
        <f t="shared" si="28"/>
        <v>0</v>
      </c>
      <c r="ACN116" s="1137">
        <f t="shared" si="28"/>
        <v>0</v>
      </c>
      <c r="ACO116" s="1137">
        <f t="shared" si="28"/>
        <v>0</v>
      </c>
      <c r="ACP116" s="1137">
        <f t="shared" si="28"/>
        <v>0</v>
      </c>
      <c r="ACQ116" s="1137">
        <f t="shared" si="28"/>
        <v>0</v>
      </c>
      <c r="ACR116" s="1137">
        <f t="shared" si="28"/>
        <v>0</v>
      </c>
      <c r="ACS116" s="1137">
        <f t="shared" si="28"/>
        <v>0</v>
      </c>
      <c r="ACT116" s="1137">
        <f t="shared" si="28"/>
        <v>1</v>
      </c>
      <c r="ACU116" s="1137">
        <f t="shared" si="28"/>
        <v>1</v>
      </c>
      <c r="ACV116" s="1137">
        <f t="shared" si="24"/>
        <v>0</v>
      </c>
      <c r="ACW116" s="1137">
        <f t="shared" si="24"/>
        <v>0</v>
      </c>
      <c r="ACX116" s="1137">
        <f t="shared" si="24"/>
        <v>0</v>
      </c>
      <c r="ACY116" s="1137">
        <f t="shared" si="24"/>
        <v>0</v>
      </c>
      <c r="ACZ116" s="1137">
        <f t="shared" si="24"/>
        <v>0</v>
      </c>
      <c r="ADA116" s="1137">
        <f t="shared" si="24"/>
        <v>0</v>
      </c>
      <c r="ADB116" s="1137">
        <f t="shared" si="24"/>
        <v>0</v>
      </c>
      <c r="ADC116" s="1137">
        <f t="shared" si="24"/>
        <v>0</v>
      </c>
    </row>
    <row r="117" spans="1:783" x14ac:dyDescent="0.25">
      <c r="A117" t="s">
        <v>1916</v>
      </c>
      <c r="B117" t="s">
        <v>50</v>
      </c>
      <c r="C117">
        <v>0</v>
      </c>
      <c r="D117">
        <v>0</v>
      </c>
      <c r="E117">
        <v>0</v>
      </c>
      <c r="F117">
        <v>0</v>
      </c>
      <c r="G117">
        <v>0</v>
      </c>
      <c r="H117">
        <v>0</v>
      </c>
      <c r="I117">
        <v>0</v>
      </c>
      <c r="J117">
        <v>0</v>
      </c>
      <c r="K117">
        <v>0</v>
      </c>
      <c r="L117">
        <v>0</v>
      </c>
      <c r="M117">
        <v>0</v>
      </c>
      <c r="N117">
        <v>0</v>
      </c>
      <c r="O117">
        <v>0</v>
      </c>
      <c r="P117">
        <v>0</v>
      </c>
      <c r="Q117">
        <v>0</v>
      </c>
      <c r="R117">
        <v>0</v>
      </c>
      <c r="S117">
        <v>0</v>
      </c>
      <c r="T117">
        <v>0</v>
      </c>
      <c r="U117">
        <v>0</v>
      </c>
      <c r="V117">
        <v>0</v>
      </c>
      <c r="W117">
        <v>0</v>
      </c>
      <c r="X117">
        <v>0</v>
      </c>
      <c r="Y117">
        <v>0</v>
      </c>
      <c r="Z117">
        <v>0</v>
      </c>
      <c r="AA117">
        <v>0</v>
      </c>
      <c r="AB117">
        <v>0</v>
      </c>
      <c r="AC117">
        <v>0</v>
      </c>
      <c r="AD117">
        <v>0</v>
      </c>
      <c r="AE117">
        <v>0</v>
      </c>
      <c r="AF117">
        <v>0</v>
      </c>
      <c r="AG117">
        <v>0</v>
      </c>
      <c r="AH117">
        <v>0</v>
      </c>
      <c r="AI117">
        <v>0</v>
      </c>
      <c r="AJ117">
        <v>0</v>
      </c>
      <c r="AK117">
        <v>0</v>
      </c>
      <c r="AL117">
        <v>0</v>
      </c>
      <c r="AM117">
        <v>0</v>
      </c>
      <c r="AN117">
        <v>0</v>
      </c>
      <c r="AO117">
        <v>0</v>
      </c>
      <c r="AP117">
        <v>0</v>
      </c>
      <c r="AQ117">
        <v>0</v>
      </c>
      <c r="AR117">
        <v>0</v>
      </c>
      <c r="AS117">
        <v>0</v>
      </c>
      <c r="AT117">
        <v>0</v>
      </c>
      <c r="AU117">
        <v>0</v>
      </c>
      <c r="AV117">
        <v>0</v>
      </c>
      <c r="AW117">
        <v>0</v>
      </c>
      <c r="AX117">
        <v>0</v>
      </c>
      <c r="AY117">
        <v>0</v>
      </c>
      <c r="AZ117">
        <v>0</v>
      </c>
      <c r="BA117">
        <v>0</v>
      </c>
      <c r="BB117">
        <v>0</v>
      </c>
      <c r="BC117">
        <v>0</v>
      </c>
      <c r="BD117">
        <v>0</v>
      </c>
      <c r="BE117">
        <v>0</v>
      </c>
      <c r="BF117">
        <v>0</v>
      </c>
      <c r="BG117">
        <v>0</v>
      </c>
      <c r="BH117">
        <v>0</v>
      </c>
      <c r="BI117">
        <v>0</v>
      </c>
      <c r="BJ117">
        <v>0</v>
      </c>
      <c r="BK117">
        <v>0</v>
      </c>
      <c r="BL117">
        <v>0</v>
      </c>
      <c r="BM117">
        <v>0</v>
      </c>
      <c r="BN117">
        <v>0</v>
      </c>
      <c r="BO117">
        <v>0</v>
      </c>
      <c r="BP117">
        <v>0</v>
      </c>
      <c r="BQ117">
        <v>0</v>
      </c>
      <c r="BR117">
        <v>0</v>
      </c>
      <c r="BS117">
        <v>0</v>
      </c>
      <c r="BT117">
        <v>0</v>
      </c>
      <c r="BU117">
        <v>0</v>
      </c>
      <c r="BV117">
        <v>0</v>
      </c>
      <c r="BW117">
        <v>0</v>
      </c>
      <c r="BX117">
        <v>0</v>
      </c>
      <c r="BY117">
        <v>0</v>
      </c>
      <c r="BZ117">
        <v>0</v>
      </c>
      <c r="CA117">
        <v>0</v>
      </c>
      <c r="CB117">
        <v>0</v>
      </c>
      <c r="CC117">
        <v>0</v>
      </c>
      <c r="CD117">
        <v>0</v>
      </c>
      <c r="CE117">
        <v>0</v>
      </c>
      <c r="CF117">
        <v>0</v>
      </c>
      <c r="CG117">
        <v>0</v>
      </c>
      <c r="CH117">
        <v>0</v>
      </c>
      <c r="CI117">
        <v>0</v>
      </c>
      <c r="CJ117">
        <v>0</v>
      </c>
      <c r="CK117">
        <v>0</v>
      </c>
      <c r="CL117">
        <v>0</v>
      </c>
      <c r="CM117">
        <v>0</v>
      </c>
      <c r="CN117">
        <v>0</v>
      </c>
      <c r="CO117">
        <v>0</v>
      </c>
      <c r="CP117">
        <v>2</v>
      </c>
      <c r="CQ117">
        <v>2</v>
      </c>
      <c r="CR117">
        <v>2</v>
      </c>
      <c r="CS117">
        <v>2</v>
      </c>
      <c r="CT117">
        <v>2</v>
      </c>
      <c r="CU117">
        <v>2</v>
      </c>
      <c r="CV117">
        <v>2</v>
      </c>
      <c r="CW117">
        <v>2</v>
      </c>
      <c r="CX117">
        <v>2</v>
      </c>
      <c r="CY117">
        <v>2</v>
      </c>
      <c r="CZ117">
        <v>2</v>
      </c>
      <c r="DA117">
        <v>2</v>
      </c>
      <c r="DB117">
        <v>2</v>
      </c>
      <c r="DC117">
        <v>2</v>
      </c>
      <c r="DD117">
        <v>2</v>
      </c>
      <c r="DE117">
        <v>2</v>
      </c>
      <c r="DF117">
        <v>2</v>
      </c>
      <c r="DG117">
        <v>2</v>
      </c>
      <c r="DH117">
        <v>2</v>
      </c>
      <c r="DI117">
        <v>2</v>
      </c>
      <c r="DJ117">
        <v>2</v>
      </c>
      <c r="DK117">
        <v>2</v>
      </c>
      <c r="DL117">
        <v>2</v>
      </c>
      <c r="DM117">
        <v>2</v>
      </c>
      <c r="DN117">
        <v>2</v>
      </c>
      <c r="DO117">
        <v>2</v>
      </c>
      <c r="DP117">
        <v>2</v>
      </c>
      <c r="DQ117">
        <v>2</v>
      </c>
      <c r="DR117">
        <v>2</v>
      </c>
      <c r="DS117">
        <v>2</v>
      </c>
      <c r="DT117">
        <v>2</v>
      </c>
      <c r="DU117">
        <v>2</v>
      </c>
      <c r="DV117">
        <v>2</v>
      </c>
      <c r="DW117">
        <v>2</v>
      </c>
      <c r="DX117">
        <v>2</v>
      </c>
      <c r="DY117">
        <v>2</v>
      </c>
      <c r="DZ117">
        <v>2</v>
      </c>
      <c r="EA117">
        <v>2</v>
      </c>
      <c r="EB117">
        <v>2</v>
      </c>
      <c r="EC117">
        <v>2</v>
      </c>
      <c r="ED117">
        <v>2</v>
      </c>
      <c r="EE117">
        <v>2</v>
      </c>
      <c r="EF117">
        <v>2</v>
      </c>
      <c r="EG117">
        <v>2</v>
      </c>
      <c r="EH117">
        <v>2</v>
      </c>
      <c r="EI117">
        <v>2</v>
      </c>
      <c r="EJ117">
        <v>2</v>
      </c>
      <c r="EK117">
        <v>2</v>
      </c>
      <c r="EL117">
        <v>2</v>
      </c>
      <c r="EM117">
        <v>2</v>
      </c>
      <c r="EN117">
        <v>2</v>
      </c>
      <c r="EO117">
        <v>2</v>
      </c>
      <c r="EP117">
        <v>2</v>
      </c>
      <c r="EQ117">
        <v>2</v>
      </c>
      <c r="ER117">
        <v>2</v>
      </c>
      <c r="ES117">
        <v>2</v>
      </c>
      <c r="ET117">
        <v>2</v>
      </c>
      <c r="EU117">
        <v>2</v>
      </c>
      <c r="EV117">
        <v>2</v>
      </c>
      <c r="EW117">
        <v>2</v>
      </c>
      <c r="EX117">
        <v>2</v>
      </c>
      <c r="EY117">
        <v>2</v>
      </c>
      <c r="EZ117">
        <v>2</v>
      </c>
      <c r="FA117">
        <v>2</v>
      </c>
      <c r="FB117">
        <v>2</v>
      </c>
      <c r="FC117">
        <v>2</v>
      </c>
      <c r="FD117">
        <v>2</v>
      </c>
      <c r="FE117">
        <v>2</v>
      </c>
      <c r="FF117">
        <v>2</v>
      </c>
      <c r="FG117">
        <v>2</v>
      </c>
      <c r="FH117">
        <v>2</v>
      </c>
      <c r="FI117">
        <v>2</v>
      </c>
      <c r="FJ117">
        <v>2</v>
      </c>
      <c r="FK117">
        <v>2</v>
      </c>
      <c r="FL117">
        <v>2</v>
      </c>
      <c r="FM117">
        <v>2</v>
      </c>
      <c r="FN117">
        <v>2</v>
      </c>
      <c r="FO117">
        <v>2</v>
      </c>
      <c r="FP117">
        <v>2</v>
      </c>
      <c r="FQ117">
        <v>2</v>
      </c>
      <c r="FR117">
        <v>2</v>
      </c>
      <c r="FS117">
        <v>2</v>
      </c>
      <c r="FT117">
        <v>2</v>
      </c>
      <c r="FU117">
        <v>2</v>
      </c>
      <c r="FV117">
        <v>2</v>
      </c>
      <c r="FW117">
        <v>2</v>
      </c>
      <c r="FX117">
        <v>2</v>
      </c>
      <c r="FY117">
        <v>2</v>
      </c>
      <c r="FZ117">
        <v>2</v>
      </c>
      <c r="GA117">
        <v>2</v>
      </c>
      <c r="GB117">
        <v>2</v>
      </c>
      <c r="GC117">
        <v>2</v>
      </c>
      <c r="GD117">
        <v>2</v>
      </c>
      <c r="GE117">
        <v>2</v>
      </c>
      <c r="GF117">
        <v>2</v>
      </c>
      <c r="GG117">
        <v>2</v>
      </c>
      <c r="GH117">
        <v>2</v>
      </c>
      <c r="GI117">
        <v>2</v>
      </c>
      <c r="GJ117">
        <v>2</v>
      </c>
      <c r="GK117">
        <v>2</v>
      </c>
      <c r="GL117">
        <v>2</v>
      </c>
      <c r="GM117">
        <v>2</v>
      </c>
      <c r="GN117">
        <v>2</v>
      </c>
      <c r="GO117">
        <v>2</v>
      </c>
      <c r="GP117">
        <v>2</v>
      </c>
      <c r="GQ117">
        <v>2</v>
      </c>
      <c r="GR117">
        <v>2</v>
      </c>
      <c r="GS117">
        <v>2</v>
      </c>
      <c r="GT117">
        <v>2</v>
      </c>
      <c r="GU117">
        <v>2</v>
      </c>
      <c r="GV117">
        <v>2</v>
      </c>
      <c r="GW117">
        <v>2</v>
      </c>
      <c r="GX117">
        <v>2</v>
      </c>
      <c r="GY117">
        <v>2</v>
      </c>
      <c r="GZ117">
        <v>2</v>
      </c>
      <c r="HA117">
        <v>2</v>
      </c>
      <c r="HB117">
        <v>2</v>
      </c>
      <c r="HC117">
        <v>2</v>
      </c>
      <c r="HD117">
        <v>2</v>
      </c>
      <c r="HE117">
        <v>2</v>
      </c>
      <c r="HF117">
        <v>2</v>
      </c>
      <c r="HG117">
        <v>2</v>
      </c>
      <c r="HH117">
        <v>2</v>
      </c>
      <c r="HI117">
        <v>2</v>
      </c>
      <c r="HJ117">
        <v>2</v>
      </c>
      <c r="HK117">
        <v>2</v>
      </c>
      <c r="HL117">
        <v>2</v>
      </c>
      <c r="HM117">
        <v>2</v>
      </c>
      <c r="HN117">
        <v>2</v>
      </c>
      <c r="HO117">
        <v>2</v>
      </c>
      <c r="HP117">
        <v>2</v>
      </c>
      <c r="HQ117">
        <v>2</v>
      </c>
      <c r="HR117">
        <v>2</v>
      </c>
      <c r="HS117">
        <v>2</v>
      </c>
      <c r="HT117">
        <v>2</v>
      </c>
      <c r="HU117">
        <v>2</v>
      </c>
      <c r="HV117">
        <v>2</v>
      </c>
      <c r="HW117">
        <v>2</v>
      </c>
      <c r="HX117">
        <v>2</v>
      </c>
      <c r="HY117">
        <v>2</v>
      </c>
      <c r="HZ117">
        <v>2</v>
      </c>
      <c r="IA117">
        <v>2</v>
      </c>
      <c r="IB117">
        <v>2</v>
      </c>
      <c r="IC117">
        <v>2</v>
      </c>
      <c r="ID117">
        <v>2</v>
      </c>
      <c r="IE117">
        <v>2</v>
      </c>
      <c r="IF117">
        <v>2</v>
      </c>
      <c r="IG117">
        <v>2</v>
      </c>
      <c r="IH117">
        <v>2</v>
      </c>
      <c r="II117">
        <v>2</v>
      </c>
      <c r="IJ117">
        <v>2</v>
      </c>
      <c r="IK117">
        <v>2</v>
      </c>
      <c r="IL117">
        <v>2</v>
      </c>
      <c r="IM117">
        <v>2</v>
      </c>
      <c r="IN117">
        <v>2</v>
      </c>
      <c r="IO117">
        <v>2</v>
      </c>
      <c r="IP117">
        <v>2</v>
      </c>
      <c r="IQ117">
        <v>2</v>
      </c>
      <c r="IR117">
        <v>2</v>
      </c>
      <c r="IS117">
        <v>2</v>
      </c>
      <c r="IT117">
        <v>2</v>
      </c>
      <c r="IU117">
        <v>2</v>
      </c>
      <c r="IV117">
        <v>2</v>
      </c>
      <c r="IW117">
        <v>2</v>
      </c>
      <c r="IX117">
        <v>2</v>
      </c>
      <c r="IY117">
        <v>2</v>
      </c>
      <c r="IZ117">
        <v>2</v>
      </c>
      <c r="JA117">
        <v>2</v>
      </c>
      <c r="JB117">
        <v>2</v>
      </c>
      <c r="JC117">
        <v>2</v>
      </c>
      <c r="JD117">
        <v>2</v>
      </c>
      <c r="JE117">
        <v>2</v>
      </c>
      <c r="JF117">
        <v>2</v>
      </c>
      <c r="JG117">
        <v>2</v>
      </c>
      <c r="JH117">
        <v>2</v>
      </c>
      <c r="JI117">
        <v>2</v>
      </c>
      <c r="JJ117">
        <v>2</v>
      </c>
      <c r="JK117">
        <v>2</v>
      </c>
      <c r="JL117">
        <v>2</v>
      </c>
      <c r="JM117">
        <v>2</v>
      </c>
      <c r="JN117">
        <v>2</v>
      </c>
      <c r="JO117">
        <v>2</v>
      </c>
      <c r="JP117">
        <v>2</v>
      </c>
      <c r="JQ117">
        <v>2</v>
      </c>
      <c r="JR117">
        <v>2</v>
      </c>
      <c r="JS117">
        <v>2</v>
      </c>
      <c r="JT117">
        <v>2</v>
      </c>
      <c r="JU117">
        <v>2</v>
      </c>
      <c r="JV117">
        <v>2</v>
      </c>
      <c r="JW117">
        <v>2</v>
      </c>
      <c r="JX117">
        <v>2</v>
      </c>
      <c r="JY117">
        <v>2</v>
      </c>
      <c r="JZ117">
        <v>2</v>
      </c>
      <c r="KA117">
        <v>2</v>
      </c>
      <c r="KB117">
        <v>2</v>
      </c>
      <c r="KC117">
        <v>2</v>
      </c>
      <c r="KD117">
        <v>2</v>
      </c>
      <c r="KE117">
        <v>2</v>
      </c>
      <c r="KF117">
        <v>2</v>
      </c>
      <c r="KG117">
        <v>2</v>
      </c>
      <c r="KH117">
        <v>2</v>
      </c>
      <c r="KI117">
        <v>2</v>
      </c>
      <c r="KJ117">
        <v>2</v>
      </c>
      <c r="KK117">
        <v>2</v>
      </c>
      <c r="KL117">
        <v>2</v>
      </c>
      <c r="KM117">
        <v>2</v>
      </c>
      <c r="KN117">
        <v>2</v>
      </c>
      <c r="KO117">
        <v>2</v>
      </c>
      <c r="KP117">
        <v>2</v>
      </c>
      <c r="KQ117">
        <v>2</v>
      </c>
      <c r="KR117">
        <v>2</v>
      </c>
      <c r="KS117">
        <v>2</v>
      </c>
      <c r="KT117">
        <v>2</v>
      </c>
      <c r="KU117">
        <v>2</v>
      </c>
      <c r="KV117">
        <v>2</v>
      </c>
      <c r="KW117">
        <v>2</v>
      </c>
      <c r="KX117">
        <v>2</v>
      </c>
      <c r="KY117">
        <v>2</v>
      </c>
      <c r="KZ117">
        <v>2</v>
      </c>
      <c r="LA117">
        <v>2</v>
      </c>
      <c r="LB117">
        <v>2</v>
      </c>
      <c r="LC117">
        <v>2</v>
      </c>
      <c r="LD117">
        <v>2</v>
      </c>
      <c r="LE117">
        <v>2</v>
      </c>
      <c r="LF117">
        <v>2</v>
      </c>
      <c r="LG117">
        <v>2</v>
      </c>
      <c r="LH117">
        <v>2</v>
      </c>
      <c r="LI117">
        <v>2</v>
      </c>
      <c r="LJ117">
        <v>2</v>
      </c>
      <c r="LK117">
        <v>2</v>
      </c>
      <c r="LL117">
        <v>2</v>
      </c>
      <c r="LM117">
        <v>2</v>
      </c>
      <c r="LN117">
        <v>2</v>
      </c>
      <c r="LO117">
        <v>2</v>
      </c>
      <c r="LP117">
        <v>2</v>
      </c>
      <c r="LQ117">
        <v>2</v>
      </c>
      <c r="LR117">
        <v>2</v>
      </c>
      <c r="LS117">
        <v>2</v>
      </c>
      <c r="LT117">
        <v>2</v>
      </c>
      <c r="LU117">
        <v>2</v>
      </c>
      <c r="LV117">
        <v>2</v>
      </c>
      <c r="LW117">
        <v>2</v>
      </c>
      <c r="LX117">
        <v>2</v>
      </c>
      <c r="LY117">
        <v>2</v>
      </c>
      <c r="LZ117">
        <v>2</v>
      </c>
      <c r="MA117">
        <v>2</v>
      </c>
      <c r="MB117">
        <v>2</v>
      </c>
      <c r="MC117">
        <v>2</v>
      </c>
      <c r="MD117">
        <v>2</v>
      </c>
      <c r="ME117">
        <v>2</v>
      </c>
      <c r="MF117">
        <v>2</v>
      </c>
      <c r="MG117">
        <v>2</v>
      </c>
      <c r="MH117">
        <v>2</v>
      </c>
      <c r="MI117">
        <v>2</v>
      </c>
      <c r="MJ117">
        <v>2</v>
      </c>
      <c r="MK117">
        <v>2</v>
      </c>
      <c r="ML117">
        <v>2</v>
      </c>
      <c r="MM117">
        <v>2</v>
      </c>
      <c r="MN117">
        <v>2</v>
      </c>
      <c r="MO117">
        <v>2</v>
      </c>
      <c r="MP117">
        <v>2</v>
      </c>
      <c r="MQ117">
        <v>2</v>
      </c>
      <c r="MR117">
        <v>2</v>
      </c>
      <c r="MS117">
        <v>2</v>
      </c>
      <c r="MT117">
        <v>2</v>
      </c>
      <c r="MU117">
        <v>2</v>
      </c>
      <c r="MV117">
        <v>2</v>
      </c>
      <c r="MW117">
        <v>2</v>
      </c>
      <c r="MX117">
        <v>2</v>
      </c>
      <c r="MY117">
        <v>2</v>
      </c>
      <c r="MZ117">
        <v>2</v>
      </c>
      <c r="NA117">
        <v>2</v>
      </c>
      <c r="NB117">
        <v>2</v>
      </c>
      <c r="NC117">
        <v>2</v>
      </c>
      <c r="ND117">
        <v>2</v>
      </c>
      <c r="NE117">
        <v>2</v>
      </c>
      <c r="NF117">
        <v>2</v>
      </c>
      <c r="NG117">
        <v>2</v>
      </c>
      <c r="NH117">
        <v>2</v>
      </c>
      <c r="NI117">
        <v>2</v>
      </c>
      <c r="NJ117">
        <v>2</v>
      </c>
      <c r="NK117">
        <v>2</v>
      </c>
      <c r="NL117">
        <v>2</v>
      </c>
      <c r="NM117">
        <v>2</v>
      </c>
      <c r="NN117">
        <v>2</v>
      </c>
      <c r="NO117">
        <v>2</v>
      </c>
      <c r="NP117">
        <v>2</v>
      </c>
      <c r="NQ117">
        <v>2</v>
      </c>
      <c r="NR117">
        <v>2</v>
      </c>
      <c r="NS117">
        <v>2</v>
      </c>
      <c r="NT117">
        <v>2</v>
      </c>
      <c r="NU117">
        <v>2</v>
      </c>
      <c r="NV117">
        <v>2</v>
      </c>
      <c r="NW117">
        <v>1</v>
      </c>
      <c r="NX117">
        <v>1</v>
      </c>
      <c r="NY117">
        <v>1</v>
      </c>
      <c r="NZ117">
        <v>1</v>
      </c>
      <c r="OA117">
        <v>1</v>
      </c>
      <c r="OB117">
        <v>1</v>
      </c>
      <c r="OC117">
        <v>1</v>
      </c>
      <c r="OD117">
        <v>1</v>
      </c>
      <c r="OE117">
        <v>1</v>
      </c>
      <c r="OF117">
        <v>1</v>
      </c>
      <c r="OG117">
        <v>1</v>
      </c>
      <c r="OH117">
        <v>1</v>
      </c>
      <c r="OI117">
        <v>1</v>
      </c>
      <c r="OJ117">
        <v>1</v>
      </c>
      <c r="OK117">
        <v>1</v>
      </c>
      <c r="OL117">
        <v>1</v>
      </c>
      <c r="OM117">
        <v>1</v>
      </c>
      <c r="ON117">
        <v>1</v>
      </c>
      <c r="OO117">
        <v>1</v>
      </c>
      <c r="OP117">
        <v>1</v>
      </c>
      <c r="OQ117">
        <v>1</v>
      </c>
      <c r="OR117">
        <v>1</v>
      </c>
      <c r="OS117">
        <v>1</v>
      </c>
      <c r="OT117">
        <v>1</v>
      </c>
      <c r="OU117">
        <v>1</v>
      </c>
      <c r="OV117">
        <v>1</v>
      </c>
      <c r="OW117">
        <v>1</v>
      </c>
      <c r="OX117">
        <v>1</v>
      </c>
      <c r="OY117">
        <v>1</v>
      </c>
      <c r="OZ117">
        <v>1</v>
      </c>
      <c r="PA117">
        <v>1</v>
      </c>
      <c r="PB117">
        <v>1</v>
      </c>
      <c r="PC117">
        <v>1</v>
      </c>
      <c r="PD117">
        <v>1</v>
      </c>
      <c r="PE117">
        <v>1</v>
      </c>
      <c r="PF117">
        <v>1</v>
      </c>
      <c r="PG117">
        <v>1</v>
      </c>
      <c r="PH117">
        <v>1</v>
      </c>
      <c r="PI117">
        <v>1</v>
      </c>
      <c r="PJ117">
        <v>1</v>
      </c>
      <c r="PK117">
        <v>1</v>
      </c>
      <c r="PL117">
        <v>1</v>
      </c>
      <c r="PM117">
        <v>1</v>
      </c>
      <c r="PN117">
        <v>1</v>
      </c>
      <c r="PO117">
        <v>1</v>
      </c>
      <c r="PP117">
        <v>1</v>
      </c>
      <c r="PQ117">
        <v>1</v>
      </c>
      <c r="PR117">
        <v>1</v>
      </c>
      <c r="PS117">
        <v>1</v>
      </c>
      <c r="PT117">
        <v>1</v>
      </c>
      <c r="PU117">
        <v>1</v>
      </c>
      <c r="PV117">
        <v>1</v>
      </c>
      <c r="PW117">
        <v>1</v>
      </c>
      <c r="PX117">
        <v>1</v>
      </c>
      <c r="PY117">
        <v>1</v>
      </c>
      <c r="PZ117">
        <v>1</v>
      </c>
      <c r="QA117">
        <v>1</v>
      </c>
      <c r="QB117">
        <v>1</v>
      </c>
      <c r="QC117">
        <v>1</v>
      </c>
      <c r="QD117">
        <v>1</v>
      </c>
      <c r="QE117">
        <v>1</v>
      </c>
      <c r="QF117">
        <v>1</v>
      </c>
      <c r="QG117">
        <v>1</v>
      </c>
      <c r="QH117">
        <v>1</v>
      </c>
      <c r="QI117">
        <v>1</v>
      </c>
      <c r="QJ117">
        <v>1</v>
      </c>
      <c r="QK117">
        <v>1</v>
      </c>
      <c r="QL117">
        <v>1</v>
      </c>
      <c r="QM117">
        <v>1</v>
      </c>
      <c r="QN117">
        <v>1</v>
      </c>
      <c r="QO117">
        <v>1</v>
      </c>
      <c r="QP117">
        <v>1</v>
      </c>
      <c r="QQ117">
        <v>1</v>
      </c>
      <c r="QR117">
        <v>1</v>
      </c>
      <c r="QS117">
        <v>1</v>
      </c>
      <c r="QT117">
        <v>1</v>
      </c>
      <c r="QU117">
        <v>1</v>
      </c>
      <c r="QV117">
        <v>1</v>
      </c>
      <c r="QW117">
        <v>1</v>
      </c>
      <c r="QX117">
        <v>1</v>
      </c>
      <c r="QY117">
        <v>1</v>
      </c>
      <c r="QZ117">
        <v>1</v>
      </c>
      <c r="RA117">
        <v>1</v>
      </c>
      <c r="RB117">
        <v>1</v>
      </c>
      <c r="RC117">
        <v>2</v>
      </c>
      <c r="RD117">
        <v>2</v>
      </c>
      <c r="RE117">
        <v>2</v>
      </c>
      <c r="RF117">
        <v>2</v>
      </c>
      <c r="RG117">
        <v>2</v>
      </c>
      <c r="RH117">
        <v>2</v>
      </c>
      <c r="RI117">
        <v>2</v>
      </c>
      <c r="RJ117">
        <v>2</v>
      </c>
      <c r="RK117">
        <v>2</v>
      </c>
      <c r="RL117">
        <v>2</v>
      </c>
      <c r="RM117">
        <v>2</v>
      </c>
      <c r="RN117">
        <v>2</v>
      </c>
      <c r="RO117">
        <v>2</v>
      </c>
      <c r="RP117">
        <v>1</v>
      </c>
      <c r="RQ117">
        <v>1</v>
      </c>
      <c r="RR117">
        <v>1</v>
      </c>
      <c r="RS117">
        <v>1</v>
      </c>
      <c r="RT117">
        <v>1</v>
      </c>
      <c r="RU117">
        <v>1</v>
      </c>
      <c r="RV117">
        <v>1</v>
      </c>
      <c r="RW117">
        <v>1</v>
      </c>
      <c r="RX117">
        <v>1</v>
      </c>
      <c r="RY117">
        <v>1</v>
      </c>
      <c r="RZ117">
        <v>1</v>
      </c>
      <c r="SA117">
        <v>1</v>
      </c>
      <c r="SB117">
        <v>1</v>
      </c>
      <c r="SC117">
        <v>1</v>
      </c>
      <c r="SD117">
        <v>1</v>
      </c>
      <c r="SE117">
        <v>1</v>
      </c>
      <c r="SF117">
        <v>1</v>
      </c>
      <c r="SG117">
        <v>1</v>
      </c>
      <c r="SH117">
        <v>1</v>
      </c>
      <c r="SI117">
        <v>1</v>
      </c>
      <c r="SJ117">
        <v>1</v>
      </c>
      <c r="SK117">
        <v>1</v>
      </c>
      <c r="SL117">
        <v>1</v>
      </c>
      <c r="SM117">
        <v>1</v>
      </c>
      <c r="SN117">
        <v>1</v>
      </c>
      <c r="SO117">
        <v>1</v>
      </c>
      <c r="SP117">
        <v>1</v>
      </c>
      <c r="SQ117">
        <v>1</v>
      </c>
      <c r="SR117">
        <v>1</v>
      </c>
      <c r="SS117">
        <v>1</v>
      </c>
      <c r="ST117">
        <v>1</v>
      </c>
      <c r="SU117">
        <v>1</v>
      </c>
      <c r="SV117">
        <v>1</v>
      </c>
      <c r="SW117">
        <v>1</v>
      </c>
      <c r="SX117">
        <v>1</v>
      </c>
      <c r="SY117">
        <v>1</v>
      </c>
      <c r="SZ117">
        <v>1</v>
      </c>
      <c r="TA117">
        <v>1</v>
      </c>
      <c r="TB117">
        <v>1</v>
      </c>
      <c r="TC117">
        <v>1</v>
      </c>
      <c r="TD117">
        <v>1</v>
      </c>
      <c r="TE117">
        <v>1</v>
      </c>
      <c r="TF117">
        <v>1</v>
      </c>
      <c r="TG117">
        <v>1</v>
      </c>
      <c r="TH117">
        <v>1</v>
      </c>
      <c r="TI117">
        <v>1</v>
      </c>
      <c r="TJ117">
        <v>1</v>
      </c>
      <c r="TK117">
        <v>1</v>
      </c>
      <c r="TL117">
        <v>1</v>
      </c>
      <c r="TM117">
        <v>1</v>
      </c>
      <c r="TN117">
        <v>1</v>
      </c>
      <c r="TO117">
        <v>1</v>
      </c>
      <c r="TP117">
        <v>1</v>
      </c>
      <c r="TQ117">
        <v>1</v>
      </c>
      <c r="TR117">
        <v>1</v>
      </c>
      <c r="TS117">
        <v>1</v>
      </c>
      <c r="TT117">
        <v>1</v>
      </c>
      <c r="TU117">
        <v>1</v>
      </c>
      <c r="TV117">
        <v>1</v>
      </c>
      <c r="TW117">
        <v>1</v>
      </c>
      <c r="TX117">
        <v>1</v>
      </c>
      <c r="TY117">
        <v>1</v>
      </c>
      <c r="TZ117">
        <v>1</v>
      </c>
      <c r="UA117">
        <v>1</v>
      </c>
      <c r="UB117">
        <v>1</v>
      </c>
      <c r="UC117">
        <v>2</v>
      </c>
      <c r="UD117">
        <v>2</v>
      </c>
      <c r="UE117">
        <v>1</v>
      </c>
      <c r="UF117">
        <v>1</v>
      </c>
      <c r="UG117">
        <v>1</v>
      </c>
      <c r="UH117">
        <v>1</v>
      </c>
      <c r="UI117">
        <v>1</v>
      </c>
      <c r="UJ117">
        <v>1</v>
      </c>
      <c r="UK117">
        <v>1</v>
      </c>
      <c r="UL117">
        <v>1</v>
      </c>
      <c r="UM117">
        <v>1</v>
      </c>
      <c r="UN117">
        <v>1</v>
      </c>
      <c r="UO117">
        <v>1</v>
      </c>
      <c r="UP117">
        <v>1</v>
      </c>
      <c r="UQ117">
        <v>1</v>
      </c>
      <c r="UR117">
        <v>1</v>
      </c>
      <c r="US117">
        <v>1</v>
      </c>
      <c r="UT117">
        <v>1</v>
      </c>
      <c r="UU117">
        <v>1</v>
      </c>
      <c r="UV117">
        <v>1</v>
      </c>
      <c r="UW117">
        <v>1</v>
      </c>
      <c r="UX117">
        <v>1</v>
      </c>
      <c r="UY117">
        <v>1</v>
      </c>
      <c r="UZ117">
        <v>1</v>
      </c>
      <c r="VA117">
        <v>1</v>
      </c>
      <c r="VB117">
        <v>1</v>
      </c>
      <c r="VC117">
        <v>1</v>
      </c>
      <c r="VD117">
        <v>1</v>
      </c>
      <c r="VE117">
        <v>1</v>
      </c>
      <c r="VF117">
        <v>1</v>
      </c>
      <c r="VG117">
        <v>1</v>
      </c>
      <c r="VH117">
        <v>1</v>
      </c>
      <c r="VI117">
        <v>1</v>
      </c>
      <c r="VJ117">
        <v>1</v>
      </c>
      <c r="VK117">
        <v>1</v>
      </c>
      <c r="VL117">
        <v>1</v>
      </c>
      <c r="VM117">
        <v>1</v>
      </c>
      <c r="VN117">
        <v>1</v>
      </c>
      <c r="VO117">
        <v>1</v>
      </c>
      <c r="VP117">
        <v>1</v>
      </c>
      <c r="VQ117">
        <v>1</v>
      </c>
      <c r="VR117">
        <v>1</v>
      </c>
      <c r="VS117">
        <v>1</v>
      </c>
      <c r="VT117">
        <v>1</v>
      </c>
      <c r="VU117">
        <v>1</v>
      </c>
      <c r="VV117">
        <v>1</v>
      </c>
      <c r="VW117">
        <v>1</v>
      </c>
      <c r="VX117">
        <v>1</v>
      </c>
      <c r="VY117">
        <v>1</v>
      </c>
      <c r="VZ117">
        <v>1</v>
      </c>
      <c r="WA117">
        <v>1</v>
      </c>
      <c r="WB117">
        <v>1</v>
      </c>
      <c r="WC117">
        <v>1</v>
      </c>
      <c r="WD117">
        <v>1</v>
      </c>
      <c r="WE117">
        <v>1</v>
      </c>
      <c r="WF117">
        <v>1</v>
      </c>
      <c r="WG117">
        <v>1</v>
      </c>
      <c r="WH117">
        <v>1</v>
      </c>
      <c r="WI117">
        <v>1</v>
      </c>
      <c r="WJ117">
        <v>1</v>
      </c>
      <c r="WK117">
        <v>1</v>
      </c>
      <c r="WL117">
        <v>1</v>
      </c>
      <c r="WM117">
        <v>1</v>
      </c>
      <c r="WN117">
        <v>1</v>
      </c>
      <c r="WO117">
        <v>1</v>
      </c>
      <c r="WP117">
        <v>1</v>
      </c>
      <c r="WQ117">
        <v>1</v>
      </c>
      <c r="WR117">
        <v>1</v>
      </c>
      <c r="WS117">
        <v>1</v>
      </c>
      <c r="WT117">
        <v>1</v>
      </c>
      <c r="WU117">
        <v>1</v>
      </c>
      <c r="WV117">
        <v>1</v>
      </c>
      <c r="WW117">
        <v>1</v>
      </c>
      <c r="WX117">
        <v>1</v>
      </c>
      <c r="WY117">
        <v>1</v>
      </c>
      <c r="WZ117">
        <v>1</v>
      </c>
      <c r="XA117">
        <v>1</v>
      </c>
      <c r="XB117">
        <v>1</v>
      </c>
      <c r="XC117">
        <v>1</v>
      </c>
      <c r="XD117">
        <v>1</v>
      </c>
      <c r="XE117">
        <v>1</v>
      </c>
      <c r="XF117">
        <v>1</v>
      </c>
      <c r="XG117">
        <v>1</v>
      </c>
      <c r="XH117">
        <v>1</v>
      </c>
      <c r="XI117">
        <v>1</v>
      </c>
      <c r="XJ117">
        <v>1</v>
      </c>
      <c r="XK117">
        <v>1</v>
      </c>
      <c r="XL117">
        <v>1</v>
      </c>
      <c r="XM117">
        <v>1</v>
      </c>
      <c r="XN117">
        <v>1</v>
      </c>
      <c r="XO117">
        <v>1</v>
      </c>
      <c r="XP117">
        <v>1</v>
      </c>
      <c r="XQ117">
        <v>1</v>
      </c>
      <c r="XR117">
        <v>1</v>
      </c>
      <c r="XS117">
        <v>1</v>
      </c>
      <c r="XT117">
        <v>1</v>
      </c>
      <c r="XU117">
        <v>1</v>
      </c>
      <c r="XV117">
        <v>1</v>
      </c>
      <c r="XW117">
        <v>1</v>
      </c>
      <c r="XX117">
        <v>1</v>
      </c>
      <c r="XY117">
        <v>1</v>
      </c>
      <c r="XZ117">
        <v>1</v>
      </c>
      <c r="YA117">
        <v>1</v>
      </c>
      <c r="YB117">
        <v>1</v>
      </c>
      <c r="YC117">
        <v>2</v>
      </c>
      <c r="YD117">
        <v>2</v>
      </c>
      <c r="YE117">
        <v>2</v>
      </c>
      <c r="YF117">
        <v>2</v>
      </c>
      <c r="YG117">
        <v>2</v>
      </c>
      <c r="YH117">
        <v>2</v>
      </c>
      <c r="YI117">
        <v>2</v>
      </c>
      <c r="YJ117">
        <v>2</v>
      </c>
      <c r="YK117">
        <v>2</v>
      </c>
      <c r="YL117">
        <v>2</v>
      </c>
      <c r="YM117">
        <v>2</v>
      </c>
      <c r="YN117">
        <v>2</v>
      </c>
      <c r="YO117">
        <v>2</v>
      </c>
      <c r="YP117">
        <v>2</v>
      </c>
      <c r="YQ117">
        <v>2</v>
      </c>
      <c r="YR117">
        <v>2</v>
      </c>
      <c r="YS117">
        <v>2</v>
      </c>
      <c r="YT117">
        <v>2</v>
      </c>
      <c r="YU117">
        <v>2</v>
      </c>
      <c r="YV117">
        <v>2</v>
      </c>
      <c r="YW117">
        <v>2</v>
      </c>
      <c r="YX117">
        <v>2</v>
      </c>
      <c r="YY117">
        <v>2</v>
      </c>
      <c r="YZ117">
        <v>2</v>
      </c>
      <c r="ZA117">
        <v>2</v>
      </c>
      <c r="ZB117">
        <v>2</v>
      </c>
      <c r="ZC117">
        <v>2</v>
      </c>
      <c r="ZD117">
        <v>2</v>
      </c>
      <c r="ZE117">
        <v>1</v>
      </c>
      <c r="ZF117">
        <v>1</v>
      </c>
      <c r="ZG117">
        <v>1</v>
      </c>
      <c r="ZH117">
        <v>1</v>
      </c>
      <c r="ZI117">
        <v>1</v>
      </c>
      <c r="ZJ117">
        <v>1</v>
      </c>
      <c r="ZK117">
        <v>1</v>
      </c>
      <c r="ZL117">
        <v>1</v>
      </c>
      <c r="ZM117">
        <v>1</v>
      </c>
      <c r="ZN117">
        <v>1</v>
      </c>
      <c r="ZO117">
        <v>1</v>
      </c>
      <c r="ZP117">
        <v>1</v>
      </c>
      <c r="ZQ117">
        <v>1</v>
      </c>
      <c r="ZR117">
        <v>1</v>
      </c>
      <c r="ZS117">
        <v>1</v>
      </c>
      <c r="ZT117">
        <v>1</v>
      </c>
      <c r="ZU117">
        <v>1</v>
      </c>
      <c r="ZV117">
        <v>2</v>
      </c>
      <c r="ZW117">
        <v>2</v>
      </c>
      <c r="ZX117">
        <v>2</v>
      </c>
      <c r="ZY117">
        <v>2</v>
      </c>
      <c r="ZZ117">
        <v>2</v>
      </c>
      <c r="AAA117">
        <v>2</v>
      </c>
      <c r="AAB117">
        <v>2</v>
      </c>
      <c r="AAC117">
        <v>2</v>
      </c>
      <c r="AAD117">
        <v>2</v>
      </c>
      <c r="AAE117">
        <v>2</v>
      </c>
      <c r="AAF117">
        <v>2</v>
      </c>
      <c r="AAG117">
        <v>2</v>
      </c>
      <c r="AAH117">
        <v>2</v>
      </c>
      <c r="AAI117">
        <v>2</v>
      </c>
      <c r="AAJ117">
        <v>2</v>
      </c>
      <c r="AAK117">
        <v>2</v>
      </c>
      <c r="AAL117">
        <v>2</v>
      </c>
      <c r="AAM117">
        <v>2</v>
      </c>
      <c r="AAN117">
        <v>2</v>
      </c>
      <c r="AAO117">
        <v>2</v>
      </c>
      <c r="AAP117">
        <v>2</v>
      </c>
      <c r="AAQ117">
        <v>2</v>
      </c>
      <c r="AAR117">
        <v>2</v>
      </c>
      <c r="AAS117">
        <v>2</v>
      </c>
      <c r="AAT117">
        <v>2</v>
      </c>
      <c r="AAU117">
        <v>2</v>
      </c>
      <c r="AAV117">
        <v>2</v>
      </c>
      <c r="AAW117">
        <v>2</v>
      </c>
      <c r="AAX117">
        <v>2</v>
      </c>
      <c r="AAY117">
        <v>2</v>
      </c>
      <c r="AAZ117">
        <v>2</v>
      </c>
      <c r="ABA117">
        <v>2</v>
      </c>
      <c r="ABB117">
        <v>2</v>
      </c>
      <c r="ABC117">
        <v>2</v>
      </c>
      <c r="ABD117">
        <v>2</v>
      </c>
      <c r="ABE117">
        <v>2</v>
      </c>
      <c r="ABG117" s="1137">
        <f t="shared" si="30"/>
        <v>0</v>
      </c>
      <c r="ABH117" s="1137">
        <f t="shared" si="30"/>
        <v>0</v>
      </c>
      <c r="ABI117" s="1137">
        <f t="shared" si="30"/>
        <v>0</v>
      </c>
      <c r="ABJ117" s="1137">
        <f t="shared" si="30"/>
        <v>30</v>
      </c>
      <c r="ABK117" s="1137">
        <f t="shared" si="30"/>
        <v>31</v>
      </c>
      <c r="ABL117" s="1137">
        <f t="shared" si="30"/>
        <v>30</v>
      </c>
      <c r="ABM117" s="1137">
        <f t="shared" si="30"/>
        <v>31</v>
      </c>
      <c r="ABN117" s="1137">
        <f t="shared" si="30"/>
        <v>31</v>
      </c>
      <c r="ABO117" s="1137">
        <f t="shared" si="30"/>
        <v>30</v>
      </c>
      <c r="ABP117" s="1137">
        <f t="shared" si="30"/>
        <v>31</v>
      </c>
      <c r="ABQ117" s="1137">
        <f t="shared" si="30"/>
        <v>30</v>
      </c>
      <c r="ABR117" s="1137">
        <f t="shared" si="30"/>
        <v>31</v>
      </c>
      <c r="ABS117" s="1137">
        <f t="shared" si="30"/>
        <v>31</v>
      </c>
      <c r="ABT117" s="1137">
        <f t="shared" si="30"/>
        <v>28</v>
      </c>
      <c r="ABU117" s="1137">
        <f t="shared" si="30"/>
        <v>31</v>
      </c>
      <c r="ABV117" s="1137">
        <f t="shared" si="30"/>
        <v>30</v>
      </c>
      <c r="ABW117" s="1137">
        <f t="shared" ref="ABW117:ACD180" si="31">COUNTIFS($C$3:$ABE$3, ABW$3, $C$4:$ABE$4, ABW$4, $C117:$ABE117, "&gt;0")</f>
        <v>31</v>
      </c>
      <c r="ABX117" s="1137">
        <f t="shared" si="23"/>
        <v>30</v>
      </c>
      <c r="ABY117" s="1137">
        <f t="shared" si="23"/>
        <v>31</v>
      </c>
      <c r="ABZ117" s="1137">
        <f t="shared" si="23"/>
        <v>31</v>
      </c>
      <c r="ACA117" s="1137">
        <f t="shared" si="23"/>
        <v>30</v>
      </c>
      <c r="ACB117" s="1137">
        <f t="shared" si="23"/>
        <v>31</v>
      </c>
      <c r="ACC117" s="1137">
        <f t="shared" si="23"/>
        <v>30</v>
      </c>
      <c r="ACD117" s="1137">
        <f t="shared" si="23"/>
        <v>31</v>
      </c>
      <c r="ACE117" s="1137" t="s">
        <v>50</v>
      </c>
      <c r="ACF117" s="1137">
        <f t="shared" si="28"/>
        <v>0</v>
      </c>
      <c r="ACG117" s="1137">
        <f t="shared" si="28"/>
        <v>0</v>
      </c>
      <c r="ACH117" s="1137">
        <f t="shared" si="28"/>
        <v>0</v>
      </c>
      <c r="ACI117" s="1137">
        <f t="shared" si="28"/>
        <v>1</v>
      </c>
      <c r="ACJ117" s="1137">
        <f t="shared" si="28"/>
        <v>1</v>
      </c>
      <c r="ACK117" s="1137">
        <f t="shared" si="28"/>
        <v>1</v>
      </c>
      <c r="ACL117" s="1137">
        <f t="shared" si="28"/>
        <v>1</v>
      </c>
      <c r="ACM117" s="1137">
        <f t="shared" si="28"/>
        <v>1</v>
      </c>
      <c r="ACN117" s="1137">
        <f t="shared" si="28"/>
        <v>1</v>
      </c>
      <c r="ACO117" s="1137">
        <f t="shared" si="28"/>
        <v>1</v>
      </c>
      <c r="ACP117" s="1137">
        <f t="shared" si="28"/>
        <v>1</v>
      </c>
      <c r="ACQ117" s="1137">
        <f t="shared" si="28"/>
        <v>1</v>
      </c>
      <c r="ACR117" s="1137">
        <f t="shared" si="28"/>
        <v>1</v>
      </c>
      <c r="ACS117" s="1137">
        <f t="shared" si="28"/>
        <v>1</v>
      </c>
      <c r="ACT117" s="1137">
        <f t="shared" si="28"/>
        <v>1</v>
      </c>
      <c r="ACU117" s="1137">
        <f t="shared" si="28"/>
        <v>1</v>
      </c>
      <c r="ACV117" s="1137">
        <f t="shared" si="24"/>
        <v>1</v>
      </c>
      <c r="ACW117" s="1137">
        <f t="shared" si="24"/>
        <v>1</v>
      </c>
      <c r="ACX117" s="1137">
        <f t="shared" si="24"/>
        <v>1</v>
      </c>
      <c r="ACY117" s="1137">
        <f t="shared" si="24"/>
        <v>1</v>
      </c>
      <c r="ACZ117" s="1137">
        <f t="shared" si="24"/>
        <v>1</v>
      </c>
      <c r="ADA117" s="1137">
        <f t="shared" si="24"/>
        <v>1</v>
      </c>
      <c r="ADB117" s="1137">
        <f t="shared" si="24"/>
        <v>1</v>
      </c>
      <c r="ADC117" s="1137">
        <f t="shared" si="24"/>
        <v>1</v>
      </c>
    </row>
    <row r="118" spans="1:783" x14ac:dyDescent="0.25">
      <c r="A118" t="s">
        <v>1917</v>
      </c>
      <c r="B118" t="s">
        <v>48</v>
      </c>
      <c r="C118">
        <v>0</v>
      </c>
      <c r="D118">
        <v>0</v>
      </c>
      <c r="E118">
        <v>0</v>
      </c>
      <c r="F118">
        <v>0</v>
      </c>
      <c r="G118">
        <v>0</v>
      </c>
      <c r="H118">
        <v>0</v>
      </c>
      <c r="I118">
        <v>0</v>
      </c>
      <c r="J118">
        <v>0</v>
      </c>
      <c r="K118">
        <v>0</v>
      </c>
      <c r="L118">
        <v>0</v>
      </c>
      <c r="M118">
        <v>0</v>
      </c>
      <c r="N118">
        <v>0</v>
      </c>
      <c r="O118">
        <v>0</v>
      </c>
      <c r="P118">
        <v>0</v>
      </c>
      <c r="Q118">
        <v>0</v>
      </c>
      <c r="R118">
        <v>0</v>
      </c>
      <c r="S118">
        <v>0</v>
      </c>
      <c r="T118">
        <v>0</v>
      </c>
      <c r="U118">
        <v>0</v>
      </c>
      <c r="V118">
        <v>0</v>
      </c>
      <c r="W118">
        <v>0</v>
      </c>
      <c r="X118">
        <v>0</v>
      </c>
      <c r="Y118">
        <v>0</v>
      </c>
      <c r="Z118">
        <v>0</v>
      </c>
      <c r="AA118">
        <v>0</v>
      </c>
      <c r="AB118">
        <v>0</v>
      </c>
      <c r="AC118">
        <v>0</v>
      </c>
      <c r="AD118">
        <v>0</v>
      </c>
      <c r="AE118">
        <v>0</v>
      </c>
      <c r="AF118">
        <v>0</v>
      </c>
      <c r="AG118">
        <v>0</v>
      </c>
      <c r="AH118">
        <v>0</v>
      </c>
      <c r="AI118">
        <v>0</v>
      </c>
      <c r="AJ118">
        <v>0</v>
      </c>
      <c r="AK118">
        <v>0</v>
      </c>
      <c r="AL118">
        <v>0</v>
      </c>
      <c r="AM118">
        <v>0</v>
      </c>
      <c r="AN118">
        <v>0</v>
      </c>
      <c r="AO118">
        <v>0</v>
      </c>
      <c r="AP118">
        <v>0</v>
      </c>
      <c r="AQ118">
        <v>0</v>
      </c>
      <c r="AR118">
        <v>0</v>
      </c>
      <c r="AS118">
        <v>0</v>
      </c>
      <c r="AT118">
        <v>0</v>
      </c>
      <c r="AU118">
        <v>0</v>
      </c>
      <c r="AV118">
        <v>0</v>
      </c>
      <c r="AW118">
        <v>0</v>
      </c>
      <c r="AX118">
        <v>0</v>
      </c>
      <c r="AY118">
        <v>0</v>
      </c>
      <c r="AZ118">
        <v>0</v>
      </c>
      <c r="BA118">
        <v>0</v>
      </c>
      <c r="BB118">
        <v>2</v>
      </c>
      <c r="BC118">
        <v>2</v>
      </c>
      <c r="BD118">
        <v>2</v>
      </c>
      <c r="BE118">
        <v>2</v>
      </c>
      <c r="BF118">
        <v>2</v>
      </c>
      <c r="BG118">
        <v>2</v>
      </c>
      <c r="BH118">
        <v>2</v>
      </c>
      <c r="BI118">
        <v>2</v>
      </c>
      <c r="BJ118">
        <v>2</v>
      </c>
      <c r="BK118">
        <v>2</v>
      </c>
      <c r="BL118">
        <v>2</v>
      </c>
      <c r="BM118">
        <v>2</v>
      </c>
      <c r="BN118">
        <v>2</v>
      </c>
      <c r="BO118">
        <v>2</v>
      </c>
      <c r="BP118">
        <v>2</v>
      </c>
      <c r="BQ118">
        <v>2</v>
      </c>
      <c r="BR118">
        <v>2</v>
      </c>
      <c r="BS118">
        <v>2</v>
      </c>
      <c r="BT118">
        <v>2</v>
      </c>
      <c r="BU118">
        <v>2</v>
      </c>
      <c r="BV118">
        <v>2</v>
      </c>
      <c r="BW118">
        <v>2</v>
      </c>
      <c r="BX118">
        <v>2</v>
      </c>
      <c r="BY118">
        <v>2</v>
      </c>
      <c r="BZ118">
        <v>2</v>
      </c>
      <c r="CA118">
        <v>0</v>
      </c>
      <c r="CB118">
        <v>0</v>
      </c>
      <c r="CC118">
        <v>0</v>
      </c>
      <c r="CD118">
        <v>0</v>
      </c>
      <c r="CE118">
        <v>0</v>
      </c>
      <c r="CF118">
        <v>0</v>
      </c>
      <c r="CG118">
        <v>0</v>
      </c>
      <c r="CH118">
        <v>0</v>
      </c>
      <c r="CI118">
        <v>0</v>
      </c>
      <c r="CJ118">
        <v>0</v>
      </c>
      <c r="CK118">
        <v>0</v>
      </c>
      <c r="CL118">
        <v>0</v>
      </c>
      <c r="CM118">
        <v>0</v>
      </c>
      <c r="CN118">
        <v>0</v>
      </c>
      <c r="CO118">
        <v>0</v>
      </c>
      <c r="CP118">
        <v>0</v>
      </c>
      <c r="CQ118">
        <v>0</v>
      </c>
      <c r="CR118">
        <v>0</v>
      </c>
      <c r="CS118">
        <v>0</v>
      </c>
      <c r="CT118">
        <v>0</v>
      </c>
      <c r="CU118">
        <v>0</v>
      </c>
      <c r="CV118">
        <v>0</v>
      </c>
      <c r="CW118">
        <v>0</v>
      </c>
      <c r="CX118">
        <v>0</v>
      </c>
      <c r="CY118">
        <v>0</v>
      </c>
      <c r="CZ118">
        <v>0</v>
      </c>
      <c r="DA118">
        <v>0</v>
      </c>
      <c r="DB118">
        <v>0</v>
      </c>
      <c r="DC118">
        <v>0</v>
      </c>
      <c r="DD118">
        <v>0</v>
      </c>
      <c r="DE118">
        <v>0</v>
      </c>
      <c r="DF118">
        <v>0</v>
      </c>
      <c r="DG118">
        <v>0</v>
      </c>
      <c r="DH118">
        <v>0</v>
      </c>
      <c r="DI118">
        <v>0</v>
      </c>
      <c r="DJ118">
        <v>0</v>
      </c>
      <c r="DK118">
        <v>0</v>
      </c>
      <c r="DL118">
        <v>0</v>
      </c>
      <c r="DM118">
        <v>0</v>
      </c>
      <c r="DN118">
        <v>0</v>
      </c>
      <c r="DO118">
        <v>0</v>
      </c>
      <c r="DP118">
        <v>0</v>
      </c>
      <c r="DQ118">
        <v>2</v>
      </c>
      <c r="DR118">
        <v>2</v>
      </c>
      <c r="DS118">
        <v>2</v>
      </c>
      <c r="DT118">
        <v>2</v>
      </c>
      <c r="DU118">
        <v>2</v>
      </c>
      <c r="DV118">
        <v>2</v>
      </c>
      <c r="DW118">
        <v>2</v>
      </c>
      <c r="DX118">
        <v>2</v>
      </c>
      <c r="DY118">
        <v>2</v>
      </c>
      <c r="DZ118">
        <v>2</v>
      </c>
      <c r="EA118">
        <v>2</v>
      </c>
      <c r="EB118">
        <v>2</v>
      </c>
      <c r="EC118">
        <v>2</v>
      </c>
      <c r="ED118">
        <v>2</v>
      </c>
      <c r="EE118">
        <v>2</v>
      </c>
      <c r="EF118">
        <v>2</v>
      </c>
      <c r="EG118">
        <v>2</v>
      </c>
      <c r="EH118">
        <v>2</v>
      </c>
      <c r="EI118">
        <v>2</v>
      </c>
      <c r="EJ118">
        <v>2</v>
      </c>
      <c r="EK118">
        <v>2</v>
      </c>
      <c r="EL118">
        <v>2</v>
      </c>
      <c r="EM118">
        <v>2</v>
      </c>
      <c r="EN118">
        <v>2</v>
      </c>
      <c r="EO118">
        <v>2</v>
      </c>
      <c r="EP118">
        <v>2</v>
      </c>
      <c r="EQ118">
        <v>2</v>
      </c>
      <c r="ER118">
        <v>2</v>
      </c>
      <c r="ES118">
        <v>2</v>
      </c>
      <c r="ET118">
        <v>2</v>
      </c>
      <c r="EU118">
        <v>2</v>
      </c>
      <c r="EV118">
        <v>2</v>
      </c>
      <c r="EW118">
        <v>2</v>
      </c>
      <c r="EX118">
        <v>2</v>
      </c>
      <c r="EY118">
        <v>2</v>
      </c>
      <c r="EZ118">
        <v>2</v>
      </c>
      <c r="FA118">
        <v>2</v>
      </c>
      <c r="FB118">
        <v>2</v>
      </c>
      <c r="FC118">
        <v>2</v>
      </c>
      <c r="FD118">
        <v>2</v>
      </c>
      <c r="FE118">
        <v>2</v>
      </c>
      <c r="FF118">
        <v>2</v>
      </c>
      <c r="FG118">
        <v>2</v>
      </c>
      <c r="FH118">
        <v>2</v>
      </c>
      <c r="FI118">
        <v>2</v>
      </c>
      <c r="FJ118">
        <v>2</v>
      </c>
      <c r="FK118">
        <v>2</v>
      </c>
      <c r="FL118">
        <v>2</v>
      </c>
      <c r="FM118">
        <v>2</v>
      </c>
      <c r="FN118">
        <v>2</v>
      </c>
      <c r="FO118">
        <v>2</v>
      </c>
      <c r="FP118">
        <v>2</v>
      </c>
      <c r="FQ118">
        <v>2</v>
      </c>
      <c r="FR118">
        <v>2</v>
      </c>
      <c r="FS118">
        <v>2</v>
      </c>
      <c r="FT118">
        <v>2</v>
      </c>
      <c r="FU118">
        <v>2</v>
      </c>
      <c r="FV118">
        <v>2</v>
      </c>
      <c r="FW118">
        <v>2</v>
      </c>
      <c r="FX118">
        <v>2</v>
      </c>
      <c r="FY118">
        <v>2</v>
      </c>
      <c r="FZ118">
        <v>2</v>
      </c>
      <c r="GA118">
        <v>2</v>
      </c>
      <c r="GB118">
        <v>2</v>
      </c>
      <c r="GC118">
        <v>2</v>
      </c>
      <c r="GD118">
        <v>2</v>
      </c>
      <c r="GE118">
        <v>2</v>
      </c>
      <c r="GF118">
        <v>2</v>
      </c>
      <c r="GG118">
        <v>2</v>
      </c>
      <c r="GH118">
        <v>2</v>
      </c>
      <c r="GI118">
        <v>2</v>
      </c>
      <c r="GJ118">
        <v>2</v>
      </c>
      <c r="GK118">
        <v>2</v>
      </c>
      <c r="GL118">
        <v>2</v>
      </c>
      <c r="GM118">
        <v>2</v>
      </c>
      <c r="GN118">
        <v>2</v>
      </c>
      <c r="GO118">
        <v>2</v>
      </c>
      <c r="GP118">
        <v>2</v>
      </c>
      <c r="GQ118">
        <v>2</v>
      </c>
      <c r="GR118">
        <v>2</v>
      </c>
      <c r="GS118">
        <v>2</v>
      </c>
      <c r="GT118">
        <v>2</v>
      </c>
      <c r="GU118">
        <v>2</v>
      </c>
      <c r="GV118">
        <v>2</v>
      </c>
      <c r="GW118">
        <v>2</v>
      </c>
      <c r="GX118">
        <v>2</v>
      </c>
      <c r="GY118">
        <v>2</v>
      </c>
      <c r="GZ118">
        <v>2</v>
      </c>
      <c r="HA118">
        <v>2</v>
      </c>
      <c r="HB118">
        <v>2</v>
      </c>
      <c r="HC118">
        <v>2</v>
      </c>
      <c r="HD118">
        <v>2</v>
      </c>
      <c r="HE118">
        <v>2</v>
      </c>
      <c r="HF118">
        <v>2</v>
      </c>
      <c r="HG118">
        <v>2</v>
      </c>
      <c r="HH118">
        <v>2</v>
      </c>
      <c r="HI118">
        <v>2</v>
      </c>
      <c r="HJ118">
        <v>2</v>
      </c>
      <c r="HK118">
        <v>2</v>
      </c>
      <c r="HL118">
        <v>2</v>
      </c>
      <c r="HM118">
        <v>2</v>
      </c>
      <c r="HN118">
        <v>2</v>
      </c>
      <c r="HO118">
        <v>2</v>
      </c>
      <c r="HP118">
        <v>2</v>
      </c>
      <c r="HQ118">
        <v>2</v>
      </c>
      <c r="HR118">
        <v>2</v>
      </c>
      <c r="HS118">
        <v>2</v>
      </c>
      <c r="HT118">
        <v>2</v>
      </c>
      <c r="HU118">
        <v>2</v>
      </c>
      <c r="HV118">
        <v>2</v>
      </c>
      <c r="HW118">
        <v>2</v>
      </c>
      <c r="HX118">
        <v>2</v>
      </c>
      <c r="HY118">
        <v>2</v>
      </c>
      <c r="HZ118">
        <v>2</v>
      </c>
      <c r="IA118">
        <v>2</v>
      </c>
      <c r="IB118">
        <v>2</v>
      </c>
      <c r="IC118">
        <v>2</v>
      </c>
      <c r="ID118">
        <v>2</v>
      </c>
      <c r="IE118">
        <v>2</v>
      </c>
      <c r="IF118">
        <v>2</v>
      </c>
      <c r="IG118">
        <v>2</v>
      </c>
      <c r="IH118">
        <v>2</v>
      </c>
      <c r="II118">
        <v>2</v>
      </c>
      <c r="IJ118">
        <v>2</v>
      </c>
      <c r="IK118">
        <v>2</v>
      </c>
      <c r="IL118">
        <v>2</v>
      </c>
      <c r="IM118">
        <v>2</v>
      </c>
      <c r="IN118">
        <v>2</v>
      </c>
      <c r="IO118">
        <v>2</v>
      </c>
      <c r="IP118">
        <v>2</v>
      </c>
      <c r="IQ118">
        <v>2</v>
      </c>
      <c r="IR118">
        <v>2</v>
      </c>
      <c r="IS118">
        <v>2</v>
      </c>
      <c r="IT118">
        <v>2</v>
      </c>
      <c r="IU118">
        <v>2</v>
      </c>
      <c r="IV118">
        <v>2</v>
      </c>
      <c r="IW118">
        <v>2</v>
      </c>
      <c r="IX118">
        <v>2</v>
      </c>
      <c r="IY118">
        <v>2</v>
      </c>
      <c r="IZ118">
        <v>2</v>
      </c>
      <c r="JA118">
        <v>2</v>
      </c>
      <c r="JB118">
        <v>2</v>
      </c>
      <c r="JC118">
        <v>2</v>
      </c>
      <c r="JD118">
        <v>0</v>
      </c>
      <c r="JE118">
        <v>0</v>
      </c>
      <c r="JF118">
        <v>0</v>
      </c>
      <c r="JG118">
        <v>0</v>
      </c>
      <c r="JH118">
        <v>0</v>
      </c>
      <c r="JI118">
        <v>0</v>
      </c>
      <c r="JJ118">
        <v>0</v>
      </c>
      <c r="JK118">
        <v>0</v>
      </c>
      <c r="JL118">
        <v>0</v>
      </c>
      <c r="JM118">
        <v>0</v>
      </c>
      <c r="JN118">
        <v>0</v>
      </c>
      <c r="JO118">
        <v>0</v>
      </c>
      <c r="JP118">
        <v>0</v>
      </c>
      <c r="JQ118">
        <v>0</v>
      </c>
      <c r="JR118">
        <v>0</v>
      </c>
      <c r="JS118">
        <v>0</v>
      </c>
      <c r="JT118">
        <v>0</v>
      </c>
      <c r="JU118">
        <v>0</v>
      </c>
      <c r="JV118">
        <v>0</v>
      </c>
      <c r="JW118">
        <v>0</v>
      </c>
      <c r="JX118">
        <v>0</v>
      </c>
      <c r="JY118">
        <v>0</v>
      </c>
      <c r="JZ118">
        <v>0</v>
      </c>
      <c r="KA118">
        <v>0</v>
      </c>
      <c r="KB118">
        <v>0</v>
      </c>
      <c r="KC118">
        <v>0</v>
      </c>
      <c r="KD118">
        <v>0</v>
      </c>
      <c r="KE118">
        <v>0</v>
      </c>
      <c r="KF118">
        <v>0</v>
      </c>
      <c r="KG118">
        <v>0</v>
      </c>
      <c r="KH118">
        <v>0</v>
      </c>
      <c r="KI118">
        <v>0</v>
      </c>
      <c r="KJ118">
        <v>0</v>
      </c>
      <c r="KK118">
        <v>0</v>
      </c>
      <c r="KL118">
        <v>0</v>
      </c>
      <c r="KM118">
        <v>0</v>
      </c>
      <c r="KN118">
        <v>0</v>
      </c>
      <c r="KO118">
        <v>0</v>
      </c>
      <c r="KP118">
        <v>0</v>
      </c>
      <c r="KQ118">
        <v>0</v>
      </c>
      <c r="KR118">
        <v>0</v>
      </c>
      <c r="KS118">
        <v>0</v>
      </c>
      <c r="KT118">
        <v>0</v>
      </c>
      <c r="KU118">
        <v>0</v>
      </c>
      <c r="KV118">
        <v>0</v>
      </c>
      <c r="KW118">
        <v>0</v>
      </c>
      <c r="KX118">
        <v>0</v>
      </c>
      <c r="KY118">
        <v>0</v>
      </c>
      <c r="KZ118">
        <v>0</v>
      </c>
      <c r="LA118">
        <v>0</v>
      </c>
      <c r="LB118">
        <v>0</v>
      </c>
      <c r="LC118">
        <v>0</v>
      </c>
      <c r="LD118">
        <v>0</v>
      </c>
      <c r="LE118">
        <v>0</v>
      </c>
      <c r="LF118">
        <v>0</v>
      </c>
      <c r="LG118">
        <v>2</v>
      </c>
      <c r="LH118">
        <v>2</v>
      </c>
      <c r="LI118">
        <v>2</v>
      </c>
      <c r="LJ118">
        <v>2</v>
      </c>
      <c r="LK118">
        <v>2</v>
      </c>
      <c r="LL118">
        <v>2</v>
      </c>
      <c r="LM118">
        <v>2</v>
      </c>
      <c r="LN118">
        <v>2</v>
      </c>
      <c r="LO118">
        <v>2</v>
      </c>
      <c r="LP118">
        <v>2</v>
      </c>
      <c r="LQ118">
        <v>2</v>
      </c>
      <c r="LR118">
        <v>2</v>
      </c>
      <c r="LS118">
        <v>2</v>
      </c>
      <c r="LT118">
        <v>2</v>
      </c>
      <c r="LU118">
        <v>2</v>
      </c>
      <c r="LV118">
        <v>2</v>
      </c>
      <c r="LW118">
        <v>2</v>
      </c>
      <c r="LX118">
        <v>2</v>
      </c>
      <c r="LY118">
        <v>2</v>
      </c>
      <c r="LZ118">
        <v>2</v>
      </c>
      <c r="MA118">
        <v>2</v>
      </c>
      <c r="MB118">
        <v>2</v>
      </c>
      <c r="MC118">
        <v>2</v>
      </c>
      <c r="MD118">
        <v>2</v>
      </c>
      <c r="ME118">
        <v>2</v>
      </c>
      <c r="MF118">
        <v>2</v>
      </c>
      <c r="MG118">
        <v>2</v>
      </c>
      <c r="MH118">
        <v>2</v>
      </c>
      <c r="MI118">
        <v>2</v>
      </c>
      <c r="MJ118">
        <v>2</v>
      </c>
      <c r="MK118">
        <v>2</v>
      </c>
      <c r="ML118">
        <v>2</v>
      </c>
      <c r="MM118">
        <v>2</v>
      </c>
      <c r="MN118">
        <v>2</v>
      </c>
      <c r="MO118">
        <v>2</v>
      </c>
      <c r="MP118">
        <v>2</v>
      </c>
      <c r="MQ118">
        <v>2</v>
      </c>
      <c r="MR118">
        <v>2</v>
      </c>
      <c r="MS118">
        <v>2</v>
      </c>
      <c r="MT118">
        <v>2</v>
      </c>
      <c r="MU118">
        <v>2</v>
      </c>
      <c r="MV118">
        <v>2</v>
      </c>
      <c r="MW118">
        <v>2</v>
      </c>
      <c r="MX118">
        <v>2</v>
      </c>
      <c r="MY118">
        <v>2</v>
      </c>
      <c r="MZ118">
        <v>2</v>
      </c>
      <c r="NA118">
        <v>2</v>
      </c>
      <c r="NB118">
        <v>2</v>
      </c>
      <c r="NC118">
        <v>2</v>
      </c>
      <c r="ND118">
        <v>2</v>
      </c>
      <c r="NE118">
        <v>2</v>
      </c>
      <c r="NF118">
        <v>2</v>
      </c>
      <c r="NG118">
        <v>2</v>
      </c>
      <c r="NH118">
        <v>2</v>
      </c>
      <c r="NI118">
        <v>2</v>
      </c>
      <c r="NJ118">
        <v>2</v>
      </c>
      <c r="NK118">
        <v>2</v>
      </c>
      <c r="NL118">
        <v>2</v>
      </c>
      <c r="NM118">
        <v>2</v>
      </c>
      <c r="NN118">
        <v>2</v>
      </c>
      <c r="NO118">
        <v>2</v>
      </c>
      <c r="NP118">
        <v>2</v>
      </c>
      <c r="NQ118">
        <v>2</v>
      </c>
      <c r="NR118">
        <v>2</v>
      </c>
      <c r="NS118">
        <v>2</v>
      </c>
      <c r="NT118">
        <v>2</v>
      </c>
      <c r="NU118">
        <v>2</v>
      </c>
      <c r="NV118">
        <v>2</v>
      </c>
      <c r="NW118">
        <v>2</v>
      </c>
      <c r="NX118">
        <v>2</v>
      </c>
      <c r="NY118">
        <v>2</v>
      </c>
      <c r="NZ118">
        <v>2</v>
      </c>
      <c r="OA118">
        <v>2</v>
      </c>
      <c r="OB118">
        <v>2</v>
      </c>
      <c r="OC118">
        <v>2</v>
      </c>
      <c r="OD118">
        <v>2</v>
      </c>
      <c r="OE118">
        <v>2</v>
      </c>
      <c r="OF118">
        <v>2</v>
      </c>
      <c r="OG118">
        <v>2</v>
      </c>
      <c r="OH118">
        <v>2</v>
      </c>
      <c r="OI118">
        <v>2</v>
      </c>
      <c r="OJ118">
        <v>2</v>
      </c>
      <c r="OK118">
        <v>2</v>
      </c>
      <c r="OL118">
        <v>2</v>
      </c>
      <c r="OM118">
        <v>2</v>
      </c>
      <c r="ON118">
        <v>2</v>
      </c>
      <c r="OO118">
        <v>2</v>
      </c>
      <c r="OP118">
        <v>2</v>
      </c>
      <c r="OQ118">
        <v>2</v>
      </c>
      <c r="OR118">
        <v>2</v>
      </c>
      <c r="OS118">
        <v>2</v>
      </c>
      <c r="OT118">
        <v>2</v>
      </c>
      <c r="OU118">
        <v>2</v>
      </c>
      <c r="OV118">
        <v>2</v>
      </c>
      <c r="OW118">
        <v>2</v>
      </c>
      <c r="OX118">
        <v>2</v>
      </c>
      <c r="OY118">
        <v>2</v>
      </c>
      <c r="OZ118">
        <v>2</v>
      </c>
      <c r="PA118">
        <v>2</v>
      </c>
      <c r="PB118">
        <v>2</v>
      </c>
      <c r="PC118">
        <v>2</v>
      </c>
      <c r="PD118">
        <v>2</v>
      </c>
      <c r="PE118">
        <v>2</v>
      </c>
      <c r="PF118">
        <v>2</v>
      </c>
      <c r="PG118">
        <v>2</v>
      </c>
      <c r="PH118">
        <v>2</v>
      </c>
      <c r="PI118">
        <v>2</v>
      </c>
      <c r="PJ118">
        <v>2</v>
      </c>
      <c r="PK118">
        <v>2</v>
      </c>
      <c r="PL118">
        <v>2</v>
      </c>
      <c r="PM118">
        <v>2</v>
      </c>
      <c r="PN118">
        <v>2</v>
      </c>
      <c r="PO118">
        <v>2</v>
      </c>
      <c r="PP118">
        <v>2</v>
      </c>
      <c r="PQ118">
        <v>2</v>
      </c>
      <c r="PR118">
        <v>2</v>
      </c>
      <c r="PS118">
        <v>2</v>
      </c>
      <c r="PT118">
        <v>2</v>
      </c>
      <c r="PU118">
        <v>2</v>
      </c>
      <c r="PV118">
        <v>2</v>
      </c>
      <c r="PW118">
        <v>2</v>
      </c>
      <c r="PX118">
        <v>2</v>
      </c>
      <c r="PY118">
        <v>2</v>
      </c>
      <c r="PZ118">
        <v>2</v>
      </c>
      <c r="QA118">
        <v>2</v>
      </c>
      <c r="QB118">
        <v>2</v>
      </c>
      <c r="QC118">
        <v>2</v>
      </c>
      <c r="QD118">
        <v>2</v>
      </c>
      <c r="QE118">
        <v>2</v>
      </c>
      <c r="QF118">
        <v>2</v>
      </c>
      <c r="QG118">
        <v>2</v>
      </c>
      <c r="QH118">
        <v>2</v>
      </c>
      <c r="QI118">
        <v>2</v>
      </c>
      <c r="QJ118">
        <v>2</v>
      </c>
      <c r="QK118">
        <v>2</v>
      </c>
      <c r="QL118">
        <v>2</v>
      </c>
      <c r="QM118">
        <v>2</v>
      </c>
      <c r="QN118">
        <v>2</v>
      </c>
      <c r="QO118">
        <v>2</v>
      </c>
      <c r="QP118">
        <v>2</v>
      </c>
      <c r="QQ118">
        <v>2</v>
      </c>
      <c r="QR118">
        <v>2</v>
      </c>
      <c r="QS118">
        <v>2</v>
      </c>
      <c r="QT118">
        <v>2</v>
      </c>
      <c r="QU118">
        <v>2</v>
      </c>
      <c r="QV118">
        <v>2</v>
      </c>
      <c r="QW118">
        <v>2</v>
      </c>
      <c r="QX118">
        <v>2</v>
      </c>
      <c r="QY118">
        <v>2</v>
      </c>
      <c r="QZ118">
        <v>2</v>
      </c>
      <c r="RA118">
        <v>2</v>
      </c>
      <c r="RB118">
        <v>2</v>
      </c>
      <c r="RC118">
        <v>2</v>
      </c>
      <c r="RD118">
        <v>2</v>
      </c>
      <c r="RE118">
        <v>2</v>
      </c>
      <c r="RF118">
        <v>2</v>
      </c>
      <c r="RG118">
        <v>2</v>
      </c>
      <c r="RH118">
        <v>2</v>
      </c>
      <c r="RI118">
        <v>2</v>
      </c>
      <c r="RJ118">
        <v>2</v>
      </c>
      <c r="RK118">
        <v>2</v>
      </c>
      <c r="RL118">
        <v>2</v>
      </c>
      <c r="RM118">
        <v>2</v>
      </c>
      <c r="RN118">
        <v>2</v>
      </c>
      <c r="RO118">
        <v>2</v>
      </c>
      <c r="RP118">
        <v>2</v>
      </c>
      <c r="RQ118">
        <v>2</v>
      </c>
      <c r="RR118">
        <v>2</v>
      </c>
      <c r="RS118">
        <v>2</v>
      </c>
      <c r="RT118">
        <v>2</v>
      </c>
      <c r="RU118">
        <v>2</v>
      </c>
      <c r="RV118">
        <v>2</v>
      </c>
      <c r="RW118">
        <v>2</v>
      </c>
      <c r="RX118">
        <v>2</v>
      </c>
      <c r="RY118">
        <v>2</v>
      </c>
      <c r="RZ118">
        <v>2</v>
      </c>
      <c r="SA118">
        <v>2</v>
      </c>
      <c r="SB118">
        <v>1</v>
      </c>
      <c r="SC118">
        <v>1</v>
      </c>
      <c r="SD118">
        <v>1</v>
      </c>
      <c r="SE118">
        <v>1</v>
      </c>
      <c r="SF118">
        <v>1</v>
      </c>
      <c r="SG118">
        <v>1</v>
      </c>
      <c r="SH118">
        <v>1</v>
      </c>
      <c r="SI118">
        <v>1</v>
      </c>
      <c r="SJ118">
        <v>1</v>
      </c>
      <c r="SK118">
        <v>1</v>
      </c>
      <c r="SL118">
        <v>1</v>
      </c>
      <c r="SM118">
        <v>1</v>
      </c>
      <c r="SN118">
        <v>1</v>
      </c>
      <c r="SO118">
        <v>1</v>
      </c>
      <c r="SP118">
        <v>1</v>
      </c>
      <c r="SQ118">
        <v>1</v>
      </c>
      <c r="SR118">
        <v>1</v>
      </c>
      <c r="SS118">
        <v>1</v>
      </c>
      <c r="ST118">
        <v>1</v>
      </c>
      <c r="SU118">
        <v>1</v>
      </c>
      <c r="SV118">
        <v>1</v>
      </c>
      <c r="SW118">
        <v>1</v>
      </c>
      <c r="SX118">
        <v>1</v>
      </c>
      <c r="SY118">
        <v>1</v>
      </c>
      <c r="SZ118">
        <v>1</v>
      </c>
      <c r="TA118">
        <v>1</v>
      </c>
      <c r="TB118">
        <v>1</v>
      </c>
      <c r="TC118">
        <v>1</v>
      </c>
      <c r="TD118">
        <v>1</v>
      </c>
      <c r="TE118">
        <v>1</v>
      </c>
      <c r="TF118">
        <v>1</v>
      </c>
      <c r="TG118">
        <v>1</v>
      </c>
      <c r="TH118">
        <v>1</v>
      </c>
      <c r="TI118">
        <v>1</v>
      </c>
      <c r="TJ118">
        <v>1</v>
      </c>
      <c r="TK118">
        <v>1</v>
      </c>
      <c r="TL118">
        <v>1</v>
      </c>
      <c r="TM118">
        <v>1</v>
      </c>
      <c r="TN118">
        <v>1</v>
      </c>
      <c r="TO118">
        <v>1</v>
      </c>
      <c r="TP118">
        <v>1</v>
      </c>
      <c r="TQ118">
        <v>1</v>
      </c>
      <c r="TR118">
        <v>1</v>
      </c>
      <c r="TS118">
        <v>1</v>
      </c>
      <c r="TT118">
        <v>1</v>
      </c>
      <c r="TU118">
        <v>1</v>
      </c>
      <c r="TV118">
        <v>1</v>
      </c>
      <c r="TW118">
        <v>1</v>
      </c>
      <c r="TX118">
        <v>1</v>
      </c>
      <c r="TY118">
        <v>1</v>
      </c>
      <c r="TZ118">
        <v>1</v>
      </c>
      <c r="UA118">
        <v>1</v>
      </c>
      <c r="UB118">
        <v>1</v>
      </c>
      <c r="UC118">
        <v>1</v>
      </c>
      <c r="UD118">
        <v>1</v>
      </c>
      <c r="UE118">
        <v>1</v>
      </c>
      <c r="UF118">
        <v>1</v>
      </c>
      <c r="UG118">
        <v>1</v>
      </c>
      <c r="UH118">
        <v>1</v>
      </c>
      <c r="UI118">
        <v>1</v>
      </c>
      <c r="UJ118">
        <v>1</v>
      </c>
      <c r="UK118">
        <v>1</v>
      </c>
      <c r="UL118">
        <v>1</v>
      </c>
      <c r="UM118">
        <v>1</v>
      </c>
      <c r="UN118">
        <v>1</v>
      </c>
      <c r="UO118">
        <v>1</v>
      </c>
      <c r="UP118">
        <v>1</v>
      </c>
      <c r="UQ118">
        <v>1</v>
      </c>
      <c r="UR118">
        <v>1</v>
      </c>
      <c r="US118">
        <v>1</v>
      </c>
      <c r="UT118">
        <v>1</v>
      </c>
      <c r="UU118">
        <v>1</v>
      </c>
      <c r="UV118">
        <v>1</v>
      </c>
      <c r="UW118">
        <v>1</v>
      </c>
      <c r="UX118">
        <v>1</v>
      </c>
      <c r="UY118">
        <v>1</v>
      </c>
      <c r="UZ118">
        <v>1</v>
      </c>
      <c r="VA118">
        <v>1</v>
      </c>
      <c r="VB118">
        <v>1</v>
      </c>
      <c r="VC118">
        <v>1</v>
      </c>
      <c r="VD118">
        <v>1</v>
      </c>
      <c r="VE118">
        <v>1</v>
      </c>
      <c r="VF118">
        <v>1</v>
      </c>
      <c r="VG118">
        <v>1</v>
      </c>
      <c r="VH118">
        <v>1</v>
      </c>
      <c r="VI118">
        <v>1</v>
      </c>
      <c r="VJ118">
        <v>1</v>
      </c>
      <c r="VK118">
        <v>1</v>
      </c>
      <c r="VL118">
        <v>1</v>
      </c>
      <c r="VM118">
        <v>1</v>
      </c>
      <c r="VN118">
        <v>1</v>
      </c>
      <c r="VO118">
        <v>1</v>
      </c>
      <c r="VP118">
        <v>1</v>
      </c>
      <c r="VQ118">
        <v>1</v>
      </c>
      <c r="VR118">
        <v>1</v>
      </c>
      <c r="VS118">
        <v>1</v>
      </c>
      <c r="VT118">
        <v>1</v>
      </c>
      <c r="VU118">
        <v>1</v>
      </c>
      <c r="VV118">
        <v>1</v>
      </c>
      <c r="VW118">
        <v>1</v>
      </c>
      <c r="VX118">
        <v>1</v>
      </c>
      <c r="VY118">
        <v>1</v>
      </c>
      <c r="VZ118">
        <v>1</v>
      </c>
      <c r="WA118">
        <v>1</v>
      </c>
      <c r="WB118">
        <v>1</v>
      </c>
      <c r="WC118">
        <v>1</v>
      </c>
      <c r="WD118">
        <v>1</v>
      </c>
      <c r="WE118">
        <v>1</v>
      </c>
      <c r="WF118">
        <v>1</v>
      </c>
      <c r="WG118">
        <v>1</v>
      </c>
      <c r="WH118">
        <v>1</v>
      </c>
      <c r="WI118">
        <v>1</v>
      </c>
      <c r="WJ118">
        <v>1</v>
      </c>
      <c r="WK118">
        <v>1</v>
      </c>
      <c r="WL118">
        <v>1</v>
      </c>
      <c r="WM118">
        <v>1</v>
      </c>
      <c r="WN118">
        <v>1</v>
      </c>
      <c r="WO118">
        <v>1</v>
      </c>
      <c r="WP118">
        <v>1</v>
      </c>
      <c r="WQ118">
        <v>1</v>
      </c>
      <c r="WR118">
        <v>1</v>
      </c>
      <c r="WS118">
        <v>1</v>
      </c>
      <c r="WT118">
        <v>1</v>
      </c>
      <c r="WU118">
        <v>1</v>
      </c>
      <c r="WV118">
        <v>1</v>
      </c>
      <c r="WW118">
        <v>1</v>
      </c>
      <c r="WX118">
        <v>1</v>
      </c>
      <c r="WY118">
        <v>1</v>
      </c>
      <c r="WZ118">
        <v>1</v>
      </c>
      <c r="XA118">
        <v>1</v>
      </c>
      <c r="XB118">
        <v>1</v>
      </c>
      <c r="XC118">
        <v>1</v>
      </c>
      <c r="XD118">
        <v>1</v>
      </c>
      <c r="XE118">
        <v>1</v>
      </c>
      <c r="XF118">
        <v>1</v>
      </c>
      <c r="XG118">
        <v>1</v>
      </c>
      <c r="XH118">
        <v>1</v>
      </c>
      <c r="XI118">
        <v>1</v>
      </c>
      <c r="XJ118">
        <v>1</v>
      </c>
      <c r="XK118">
        <v>1</v>
      </c>
      <c r="XL118">
        <v>1</v>
      </c>
      <c r="XM118">
        <v>1</v>
      </c>
      <c r="XN118">
        <v>1</v>
      </c>
      <c r="XO118">
        <v>1</v>
      </c>
      <c r="XP118">
        <v>1</v>
      </c>
      <c r="XQ118">
        <v>1</v>
      </c>
      <c r="XR118">
        <v>1</v>
      </c>
      <c r="XS118">
        <v>1</v>
      </c>
      <c r="XT118">
        <v>1</v>
      </c>
      <c r="XU118">
        <v>1</v>
      </c>
      <c r="XV118">
        <v>1</v>
      </c>
      <c r="XW118">
        <v>1</v>
      </c>
      <c r="XX118">
        <v>1</v>
      </c>
      <c r="XY118">
        <v>1</v>
      </c>
      <c r="XZ118">
        <v>1</v>
      </c>
      <c r="YA118">
        <v>1</v>
      </c>
      <c r="YB118">
        <v>1</v>
      </c>
      <c r="YC118">
        <v>1</v>
      </c>
      <c r="YD118">
        <v>1</v>
      </c>
      <c r="YE118">
        <v>1</v>
      </c>
      <c r="YF118">
        <v>1</v>
      </c>
      <c r="YG118">
        <v>1</v>
      </c>
      <c r="YH118">
        <v>1</v>
      </c>
      <c r="YI118">
        <v>1</v>
      </c>
      <c r="YJ118">
        <v>1</v>
      </c>
      <c r="YK118">
        <v>1</v>
      </c>
      <c r="YL118">
        <v>1</v>
      </c>
      <c r="YM118">
        <v>1</v>
      </c>
      <c r="YN118">
        <v>1</v>
      </c>
      <c r="YO118">
        <v>1</v>
      </c>
      <c r="YP118">
        <v>1</v>
      </c>
      <c r="YQ118">
        <v>1</v>
      </c>
      <c r="YR118">
        <v>1</v>
      </c>
      <c r="YS118">
        <v>1</v>
      </c>
      <c r="YT118">
        <v>1</v>
      </c>
      <c r="YU118">
        <v>1</v>
      </c>
      <c r="YV118">
        <v>1</v>
      </c>
      <c r="YW118">
        <v>1</v>
      </c>
      <c r="YX118">
        <v>1</v>
      </c>
      <c r="YY118">
        <v>1</v>
      </c>
      <c r="YZ118">
        <v>1</v>
      </c>
      <c r="ZA118">
        <v>1</v>
      </c>
      <c r="ZB118">
        <v>1</v>
      </c>
      <c r="ZC118">
        <v>1</v>
      </c>
      <c r="ZD118">
        <v>1</v>
      </c>
      <c r="ZE118">
        <v>1</v>
      </c>
      <c r="ZF118">
        <v>1</v>
      </c>
      <c r="ZG118">
        <v>1</v>
      </c>
      <c r="ZH118">
        <v>1</v>
      </c>
      <c r="ZI118">
        <v>1</v>
      </c>
      <c r="ZJ118">
        <v>1</v>
      </c>
      <c r="ZK118">
        <v>1</v>
      </c>
      <c r="ZL118">
        <v>1</v>
      </c>
      <c r="ZM118">
        <v>1</v>
      </c>
      <c r="ZN118">
        <v>1</v>
      </c>
      <c r="ZO118">
        <v>1</v>
      </c>
      <c r="ZP118">
        <v>1</v>
      </c>
      <c r="ZQ118">
        <v>1</v>
      </c>
      <c r="ZR118">
        <v>1</v>
      </c>
      <c r="ZS118">
        <v>1</v>
      </c>
      <c r="ZT118">
        <v>1</v>
      </c>
      <c r="ZU118">
        <v>1</v>
      </c>
      <c r="ZV118">
        <v>1</v>
      </c>
      <c r="ZW118">
        <v>1</v>
      </c>
      <c r="ZX118">
        <v>1</v>
      </c>
      <c r="ZY118">
        <v>1</v>
      </c>
      <c r="ZZ118">
        <v>1</v>
      </c>
      <c r="AAA118">
        <v>1</v>
      </c>
      <c r="AAB118">
        <v>1</v>
      </c>
      <c r="AAC118">
        <v>1</v>
      </c>
      <c r="AAD118">
        <v>1</v>
      </c>
      <c r="AAE118">
        <v>1</v>
      </c>
      <c r="AAF118">
        <v>1</v>
      </c>
      <c r="AAG118">
        <v>1</v>
      </c>
      <c r="AAH118">
        <v>1</v>
      </c>
      <c r="AAI118">
        <v>1</v>
      </c>
      <c r="AAJ118">
        <v>1</v>
      </c>
      <c r="AAK118">
        <v>1</v>
      </c>
      <c r="AAL118">
        <v>1</v>
      </c>
      <c r="AAM118">
        <v>1</v>
      </c>
      <c r="AAN118">
        <v>1</v>
      </c>
      <c r="AAO118">
        <v>1</v>
      </c>
      <c r="AAP118">
        <v>1</v>
      </c>
      <c r="AAQ118">
        <v>1</v>
      </c>
      <c r="AAR118">
        <v>1</v>
      </c>
      <c r="AAS118">
        <v>1</v>
      </c>
      <c r="AAT118">
        <v>1</v>
      </c>
      <c r="AAU118">
        <v>1</v>
      </c>
      <c r="AAV118">
        <v>1</v>
      </c>
      <c r="AAW118">
        <v>1</v>
      </c>
      <c r="AAX118">
        <v>1</v>
      </c>
      <c r="AAY118">
        <v>1</v>
      </c>
      <c r="AAZ118">
        <v>1</v>
      </c>
      <c r="ABA118">
        <v>1</v>
      </c>
      <c r="ABB118">
        <v>1</v>
      </c>
      <c r="ABC118">
        <v>1</v>
      </c>
      <c r="ABD118">
        <v>1</v>
      </c>
      <c r="ABE118">
        <v>1</v>
      </c>
      <c r="ABG118" s="1137">
        <f t="shared" si="30"/>
        <v>0</v>
      </c>
      <c r="ABH118" s="1137">
        <f t="shared" si="30"/>
        <v>9</v>
      </c>
      <c r="ABI118" s="1137">
        <f t="shared" si="30"/>
        <v>16</v>
      </c>
      <c r="ABJ118" s="1137">
        <f t="shared" si="30"/>
        <v>3</v>
      </c>
      <c r="ABK118" s="1137">
        <f t="shared" si="30"/>
        <v>31</v>
      </c>
      <c r="ABL118" s="1137">
        <f t="shared" si="30"/>
        <v>30</v>
      </c>
      <c r="ABM118" s="1137">
        <f t="shared" si="30"/>
        <v>31</v>
      </c>
      <c r="ABN118" s="1137">
        <f t="shared" si="30"/>
        <v>31</v>
      </c>
      <c r="ABO118" s="1137">
        <f t="shared" si="30"/>
        <v>17</v>
      </c>
      <c r="ABP118" s="1137">
        <f t="shared" si="30"/>
        <v>0</v>
      </c>
      <c r="ABQ118" s="1137">
        <f t="shared" si="30"/>
        <v>19</v>
      </c>
      <c r="ABR118" s="1137">
        <f t="shared" si="30"/>
        <v>31</v>
      </c>
      <c r="ABS118" s="1137">
        <f t="shared" si="30"/>
        <v>31</v>
      </c>
      <c r="ABT118" s="1137">
        <f t="shared" si="30"/>
        <v>28</v>
      </c>
      <c r="ABU118" s="1137">
        <f t="shared" si="30"/>
        <v>31</v>
      </c>
      <c r="ABV118" s="1137">
        <f t="shared" si="30"/>
        <v>30</v>
      </c>
      <c r="ABW118" s="1137">
        <f t="shared" si="31"/>
        <v>31</v>
      </c>
      <c r="ABX118" s="1137">
        <f t="shared" si="23"/>
        <v>30</v>
      </c>
      <c r="ABY118" s="1137">
        <f t="shared" si="23"/>
        <v>31</v>
      </c>
      <c r="ABZ118" s="1137">
        <f t="shared" si="23"/>
        <v>31</v>
      </c>
      <c r="ACA118" s="1137">
        <f t="shared" si="23"/>
        <v>30</v>
      </c>
      <c r="ACB118" s="1137">
        <f t="shared" si="23"/>
        <v>31</v>
      </c>
      <c r="ACC118" s="1137">
        <f t="shared" si="23"/>
        <v>30</v>
      </c>
      <c r="ACD118" s="1137">
        <f t="shared" si="23"/>
        <v>31</v>
      </c>
      <c r="ACE118" s="1137" t="s">
        <v>48</v>
      </c>
      <c r="ACF118" s="1137">
        <f t="shared" si="28"/>
        <v>0</v>
      </c>
      <c r="ACG118" s="1137">
        <f t="shared" si="28"/>
        <v>0</v>
      </c>
      <c r="ACH118" s="1137">
        <f t="shared" si="28"/>
        <v>1</v>
      </c>
      <c r="ACI118" s="1137">
        <f t="shared" si="28"/>
        <v>0</v>
      </c>
      <c r="ACJ118" s="1137">
        <f t="shared" si="28"/>
        <v>1</v>
      </c>
      <c r="ACK118" s="1137">
        <f t="shared" si="28"/>
        <v>1</v>
      </c>
      <c r="ACL118" s="1137">
        <f t="shared" si="28"/>
        <v>1</v>
      </c>
      <c r="ACM118" s="1137">
        <f t="shared" si="28"/>
        <v>1</v>
      </c>
      <c r="ACN118" s="1137">
        <f t="shared" si="28"/>
        <v>1</v>
      </c>
      <c r="ACO118" s="1137">
        <f t="shared" si="28"/>
        <v>0</v>
      </c>
      <c r="ACP118" s="1137">
        <f t="shared" si="28"/>
        <v>1</v>
      </c>
      <c r="ACQ118" s="1137">
        <f t="shared" si="28"/>
        <v>1</v>
      </c>
      <c r="ACR118" s="1137">
        <f t="shared" si="28"/>
        <v>1</v>
      </c>
      <c r="ACS118" s="1137">
        <f t="shared" si="28"/>
        <v>1</v>
      </c>
      <c r="ACT118" s="1137">
        <f t="shared" si="28"/>
        <v>1</v>
      </c>
      <c r="ACU118" s="1137">
        <f t="shared" si="28"/>
        <v>1</v>
      </c>
      <c r="ACV118" s="1137">
        <f t="shared" si="24"/>
        <v>1</v>
      </c>
      <c r="ACW118" s="1137">
        <f t="shared" si="24"/>
        <v>1</v>
      </c>
      <c r="ACX118" s="1137">
        <f t="shared" si="24"/>
        <v>1</v>
      </c>
      <c r="ACY118" s="1137">
        <f t="shared" si="24"/>
        <v>1</v>
      </c>
      <c r="ACZ118" s="1137">
        <f t="shared" si="24"/>
        <v>1</v>
      </c>
      <c r="ADA118" s="1137">
        <f t="shared" si="24"/>
        <v>1</v>
      </c>
      <c r="ADB118" s="1137">
        <f t="shared" si="24"/>
        <v>1</v>
      </c>
      <c r="ADC118" s="1137">
        <f t="shared" si="24"/>
        <v>1</v>
      </c>
    </row>
    <row r="119" spans="1:783" x14ac:dyDescent="0.25">
      <c r="A119" t="s">
        <v>1918</v>
      </c>
      <c r="B119" t="s">
        <v>49</v>
      </c>
      <c r="C119">
        <v>0</v>
      </c>
      <c r="D119">
        <v>0</v>
      </c>
      <c r="E119">
        <v>0</v>
      </c>
      <c r="F119">
        <v>0</v>
      </c>
      <c r="G119">
        <v>0</v>
      </c>
      <c r="H119">
        <v>0</v>
      </c>
      <c r="I119">
        <v>0</v>
      </c>
      <c r="J119">
        <v>0</v>
      </c>
      <c r="K119">
        <v>0</v>
      </c>
      <c r="L119">
        <v>0</v>
      </c>
      <c r="M119">
        <v>0</v>
      </c>
      <c r="N119">
        <v>0</v>
      </c>
      <c r="O119">
        <v>0</v>
      </c>
      <c r="P119">
        <v>0</v>
      </c>
      <c r="Q119">
        <v>0</v>
      </c>
      <c r="R119">
        <v>0</v>
      </c>
      <c r="S119">
        <v>0</v>
      </c>
      <c r="T119">
        <v>0</v>
      </c>
      <c r="U119">
        <v>0</v>
      </c>
      <c r="V119">
        <v>0</v>
      </c>
      <c r="W119">
        <v>0</v>
      </c>
      <c r="X119">
        <v>0</v>
      </c>
      <c r="Y119">
        <v>0</v>
      </c>
      <c r="Z119">
        <v>0</v>
      </c>
      <c r="AA119">
        <v>0</v>
      </c>
      <c r="AB119">
        <v>0</v>
      </c>
      <c r="AC119">
        <v>0</v>
      </c>
      <c r="AD119">
        <v>0</v>
      </c>
      <c r="AE119">
        <v>0</v>
      </c>
      <c r="AF119">
        <v>0</v>
      </c>
      <c r="AG119">
        <v>0</v>
      </c>
      <c r="AH119">
        <v>0</v>
      </c>
      <c r="AI119">
        <v>0</v>
      </c>
      <c r="AJ119">
        <v>0</v>
      </c>
      <c r="AK119">
        <v>0</v>
      </c>
      <c r="AL119">
        <v>0</v>
      </c>
      <c r="AM119">
        <v>0</v>
      </c>
      <c r="AN119">
        <v>0</v>
      </c>
      <c r="AO119">
        <v>0</v>
      </c>
      <c r="AP119">
        <v>0</v>
      </c>
      <c r="AQ119">
        <v>0</v>
      </c>
      <c r="AR119">
        <v>0</v>
      </c>
      <c r="AS119">
        <v>0</v>
      </c>
      <c r="AT119">
        <v>0</v>
      </c>
      <c r="AU119">
        <v>0</v>
      </c>
      <c r="AV119">
        <v>0</v>
      </c>
      <c r="AW119">
        <v>0</v>
      </c>
      <c r="AX119">
        <v>0</v>
      </c>
      <c r="AY119">
        <v>0</v>
      </c>
      <c r="AZ119">
        <v>0</v>
      </c>
      <c r="BA119">
        <v>0</v>
      </c>
      <c r="BB119">
        <v>0</v>
      </c>
      <c r="BC119">
        <v>0</v>
      </c>
      <c r="BD119">
        <v>0</v>
      </c>
      <c r="BE119">
        <v>0</v>
      </c>
      <c r="BF119">
        <v>0</v>
      </c>
      <c r="BG119">
        <v>0</v>
      </c>
      <c r="BH119">
        <v>0</v>
      </c>
      <c r="BI119">
        <v>0</v>
      </c>
      <c r="BJ119">
        <v>0</v>
      </c>
      <c r="BK119">
        <v>0</v>
      </c>
      <c r="BL119">
        <v>0</v>
      </c>
      <c r="BM119">
        <v>0</v>
      </c>
      <c r="BN119">
        <v>0</v>
      </c>
      <c r="BO119">
        <v>0</v>
      </c>
      <c r="BP119">
        <v>0</v>
      </c>
      <c r="BQ119">
        <v>0</v>
      </c>
      <c r="BR119">
        <v>0</v>
      </c>
      <c r="BS119">
        <v>0</v>
      </c>
      <c r="BT119">
        <v>0</v>
      </c>
      <c r="BU119">
        <v>0</v>
      </c>
      <c r="BV119">
        <v>0</v>
      </c>
      <c r="BW119">
        <v>0</v>
      </c>
      <c r="BX119">
        <v>0</v>
      </c>
      <c r="BY119">
        <v>0</v>
      </c>
      <c r="BZ119">
        <v>0</v>
      </c>
      <c r="CA119">
        <v>0</v>
      </c>
      <c r="CB119">
        <v>0</v>
      </c>
      <c r="CC119">
        <v>0</v>
      </c>
      <c r="CD119">
        <v>0</v>
      </c>
      <c r="CE119">
        <v>0</v>
      </c>
      <c r="CF119">
        <v>0</v>
      </c>
      <c r="CG119">
        <v>0</v>
      </c>
      <c r="CH119">
        <v>0</v>
      </c>
      <c r="CI119">
        <v>0</v>
      </c>
      <c r="CJ119">
        <v>0</v>
      </c>
      <c r="CK119">
        <v>0</v>
      </c>
      <c r="CL119">
        <v>0</v>
      </c>
      <c r="CM119">
        <v>0</v>
      </c>
      <c r="CN119">
        <v>0</v>
      </c>
      <c r="CO119">
        <v>0</v>
      </c>
      <c r="CP119">
        <v>0</v>
      </c>
      <c r="CQ119">
        <v>0</v>
      </c>
      <c r="CR119">
        <v>0</v>
      </c>
      <c r="CS119">
        <v>0</v>
      </c>
      <c r="CT119">
        <v>0</v>
      </c>
      <c r="CU119">
        <v>0</v>
      </c>
      <c r="CV119">
        <v>0</v>
      </c>
      <c r="CW119">
        <v>0</v>
      </c>
      <c r="CX119">
        <v>0</v>
      </c>
      <c r="CY119">
        <v>0</v>
      </c>
      <c r="CZ119">
        <v>0</v>
      </c>
      <c r="DA119">
        <v>0</v>
      </c>
      <c r="DB119">
        <v>0</v>
      </c>
      <c r="DC119">
        <v>0</v>
      </c>
      <c r="DD119">
        <v>0</v>
      </c>
      <c r="DE119">
        <v>0</v>
      </c>
      <c r="DF119">
        <v>0</v>
      </c>
      <c r="DG119">
        <v>0</v>
      </c>
      <c r="DH119">
        <v>0</v>
      </c>
      <c r="DI119">
        <v>0</v>
      </c>
      <c r="DJ119">
        <v>0</v>
      </c>
      <c r="DK119">
        <v>0</v>
      </c>
      <c r="DL119">
        <v>0</v>
      </c>
      <c r="DM119">
        <v>0</v>
      </c>
      <c r="DN119">
        <v>0</v>
      </c>
      <c r="DO119">
        <v>0</v>
      </c>
      <c r="DP119">
        <v>0</v>
      </c>
      <c r="DQ119">
        <v>0</v>
      </c>
      <c r="DR119">
        <v>0</v>
      </c>
      <c r="DS119">
        <v>0</v>
      </c>
      <c r="DT119">
        <v>0</v>
      </c>
      <c r="DU119">
        <v>0</v>
      </c>
      <c r="DV119">
        <v>0</v>
      </c>
      <c r="DW119">
        <v>0</v>
      </c>
      <c r="DX119">
        <v>0</v>
      </c>
      <c r="DY119">
        <v>0</v>
      </c>
      <c r="DZ119">
        <v>0</v>
      </c>
      <c r="EA119">
        <v>0</v>
      </c>
      <c r="EB119">
        <v>0</v>
      </c>
      <c r="EC119">
        <v>0</v>
      </c>
      <c r="ED119">
        <v>0</v>
      </c>
      <c r="EE119">
        <v>0</v>
      </c>
      <c r="EF119">
        <v>0</v>
      </c>
      <c r="EG119">
        <v>0</v>
      </c>
      <c r="EH119">
        <v>0</v>
      </c>
      <c r="EI119">
        <v>0</v>
      </c>
      <c r="EJ119">
        <v>0</v>
      </c>
      <c r="EK119">
        <v>0</v>
      </c>
      <c r="EL119">
        <v>0</v>
      </c>
      <c r="EM119">
        <v>0</v>
      </c>
      <c r="EN119">
        <v>0</v>
      </c>
      <c r="EO119">
        <v>0</v>
      </c>
      <c r="EP119">
        <v>0</v>
      </c>
      <c r="EQ119">
        <v>0</v>
      </c>
      <c r="ER119">
        <v>0</v>
      </c>
      <c r="ES119">
        <v>0</v>
      </c>
      <c r="ET119">
        <v>0</v>
      </c>
      <c r="EU119">
        <v>1</v>
      </c>
      <c r="EV119">
        <v>1</v>
      </c>
      <c r="EW119">
        <v>1</v>
      </c>
      <c r="EX119">
        <v>1</v>
      </c>
      <c r="EY119">
        <v>1</v>
      </c>
      <c r="EZ119">
        <v>1</v>
      </c>
      <c r="FA119">
        <v>1</v>
      </c>
      <c r="FB119">
        <v>1</v>
      </c>
      <c r="FC119">
        <v>1</v>
      </c>
      <c r="FD119">
        <v>1</v>
      </c>
      <c r="FE119">
        <v>1</v>
      </c>
      <c r="FF119">
        <v>1</v>
      </c>
      <c r="FG119">
        <v>1</v>
      </c>
      <c r="FH119">
        <v>1</v>
      </c>
      <c r="FI119">
        <v>1</v>
      </c>
      <c r="FJ119">
        <v>1</v>
      </c>
      <c r="FK119">
        <v>1</v>
      </c>
      <c r="FL119">
        <v>1</v>
      </c>
      <c r="FM119">
        <v>1</v>
      </c>
      <c r="FN119">
        <v>1</v>
      </c>
      <c r="FO119">
        <v>1</v>
      </c>
      <c r="FP119">
        <v>1</v>
      </c>
      <c r="FQ119">
        <v>1</v>
      </c>
      <c r="FR119">
        <v>1</v>
      </c>
      <c r="FS119">
        <v>1</v>
      </c>
      <c r="FT119">
        <v>1</v>
      </c>
      <c r="FU119">
        <v>1</v>
      </c>
      <c r="FV119">
        <v>1</v>
      </c>
      <c r="FW119">
        <v>1</v>
      </c>
      <c r="FX119">
        <v>1</v>
      </c>
      <c r="FY119">
        <v>1</v>
      </c>
      <c r="FZ119">
        <v>1</v>
      </c>
      <c r="GA119">
        <v>1</v>
      </c>
      <c r="GB119">
        <v>2</v>
      </c>
      <c r="GC119">
        <v>2</v>
      </c>
      <c r="GD119">
        <v>2</v>
      </c>
      <c r="GE119">
        <v>2</v>
      </c>
      <c r="GF119">
        <v>2</v>
      </c>
      <c r="GG119">
        <v>2</v>
      </c>
      <c r="GH119">
        <v>2</v>
      </c>
      <c r="GI119">
        <v>2</v>
      </c>
      <c r="GJ119">
        <v>2</v>
      </c>
      <c r="GK119">
        <v>2</v>
      </c>
      <c r="GL119">
        <v>2</v>
      </c>
      <c r="GM119">
        <v>2</v>
      </c>
      <c r="GN119">
        <v>2</v>
      </c>
      <c r="GO119">
        <v>2</v>
      </c>
      <c r="GP119">
        <v>2</v>
      </c>
      <c r="GQ119">
        <v>2</v>
      </c>
      <c r="GR119">
        <v>2</v>
      </c>
      <c r="GS119">
        <v>2</v>
      </c>
      <c r="GT119">
        <v>2</v>
      </c>
      <c r="GU119">
        <v>2</v>
      </c>
      <c r="GV119">
        <v>2</v>
      </c>
      <c r="GW119">
        <v>2</v>
      </c>
      <c r="GX119">
        <v>2</v>
      </c>
      <c r="GY119">
        <v>2</v>
      </c>
      <c r="GZ119">
        <v>2</v>
      </c>
      <c r="HA119">
        <v>2</v>
      </c>
      <c r="HB119">
        <v>2</v>
      </c>
      <c r="HC119">
        <v>2</v>
      </c>
      <c r="HD119">
        <v>2</v>
      </c>
      <c r="HE119">
        <v>1</v>
      </c>
      <c r="HF119">
        <v>1</v>
      </c>
      <c r="HG119">
        <v>1</v>
      </c>
      <c r="HH119">
        <v>1</v>
      </c>
      <c r="HI119">
        <v>1</v>
      </c>
      <c r="HJ119">
        <v>1</v>
      </c>
      <c r="HK119">
        <v>1</v>
      </c>
      <c r="HL119">
        <v>1</v>
      </c>
      <c r="HM119">
        <v>1</v>
      </c>
      <c r="HN119">
        <v>2</v>
      </c>
      <c r="HO119">
        <v>2</v>
      </c>
      <c r="HP119">
        <v>2</v>
      </c>
      <c r="HQ119">
        <v>2</v>
      </c>
      <c r="HR119">
        <v>2</v>
      </c>
      <c r="HS119">
        <v>2</v>
      </c>
      <c r="HT119">
        <v>2</v>
      </c>
      <c r="HU119">
        <v>2</v>
      </c>
      <c r="HV119">
        <v>2</v>
      </c>
      <c r="HW119">
        <v>2</v>
      </c>
      <c r="HX119">
        <v>2</v>
      </c>
      <c r="HY119">
        <v>2</v>
      </c>
      <c r="HZ119">
        <v>2</v>
      </c>
      <c r="IA119">
        <v>2</v>
      </c>
      <c r="IB119">
        <v>2</v>
      </c>
      <c r="IC119">
        <v>2</v>
      </c>
      <c r="ID119">
        <v>2</v>
      </c>
      <c r="IE119">
        <v>2</v>
      </c>
      <c r="IF119">
        <v>2</v>
      </c>
      <c r="IG119">
        <v>2</v>
      </c>
      <c r="IH119">
        <v>2</v>
      </c>
      <c r="II119">
        <v>2</v>
      </c>
      <c r="IJ119">
        <v>2</v>
      </c>
      <c r="IK119">
        <v>2</v>
      </c>
      <c r="IL119">
        <v>2</v>
      </c>
      <c r="IM119">
        <v>2</v>
      </c>
      <c r="IN119">
        <v>2</v>
      </c>
      <c r="IO119">
        <v>2</v>
      </c>
      <c r="IP119">
        <v>2</v>
      </c>
      <c r="IQ119">
        <v>2</v>
      </c>
      <c r="IR119">
        <v>2</v>
      </c>
      <c r="IS119">
        <v>2</v>
      </c>
      <c r="IT119">
        <v>2</v>
      </c>
      <c r="IU119">
        <v>2</v>
      </c>
      <c r="IV119">
        <v>2</v>
      </c>
      <c r="IW119">
        <v>2</v>
      </c>
      <c r="IX119">
        <v>2</v>
      </c>
      <c r="IY119">
        <v>2</v>
      </c>
      <c r="IZ119">
        <v>2</v>
      </c>
      <c r="JA119">
        <v>2</v>
      </c>
      <c r="JB119">
        <v>2</v>
      </c>
      <c r="JC119">
        <v>2</v>
      </c>
      <c r="JD119">
        <v>2</v>
      </c>
      <c r="JE119">
        <v>2</v>
      </c>
      <c r="JF119">
        <v>2</v>
      </c>
      <c r="JG119">
        <v>2</v>
      </c>
      <c r="JH119">
        <v>2</v>
      </c>
      <c r="JI119">
        <v>2</v>
      </c>
      <c r="JJ119">
        <v>2</v>
      </c>
      <c r="JK119">
        <v>2</v>
      </c>
      <c r="JL119">
        <v>2</v>
      </c>
      <c r="JM119">
        <v>2</v>
      </c>
      <c r="JN119">
        <v>2</v>
      </c>
      <c r="JO119">
        <v>2</v>
      </c>
      <c r="JP119">
        <v>2</v>
      </c>
      <c r="JQ119">
        <v>2</v>
      </c>
      <c r="JR119">
        <v>2</v>
      </c>
      <c r="JS119">
        <v>2</v>
      </c>
      <c r="JT119">
        <v>2</v>
      </c>
      <c r="JU119">
        <v>2</v>
      </c>
      <c r="JV119">
        <v>2</v>
      </c>
      <c r="JW119">
        <v>2</v>
      </c>
      <c r="JX119">
        <v>2</v>
      </c>
      <c r="JY119">
        <v>2</v>
      </c>
      <c r="JZ119">
        <v>2</v>
      </c>
      <c r="KA119">
        <v>2</v>
      </c>
      <c r="KB119">
        <v>2</v>
      </c>
      <c r="KC119">
        <v>2</v>
      </c>
      <c r="KD119">
        <v>2</v>
      </c>
      <c r="KE119">
        <v>2</v>
      </c>
      <c r="KF119">
        <v>2</v>
      </c>
      <c r="KG119">
        <v>2</v>
      </c>
      <c r="KH119">
        <v>2</v>
      </c>
      <c r="KI119">
        <v>2</v>
      </c>
      <c r="KJ119">
        <v>2</v>
      </c>
      <c r="KK119">
        <v>2</v>
      </c>
      <c r="KL119">
        <v>0</v>
      </c>
      <c r="KM119">
        <v>0</v>
      </c>
      <c r="KN119">
        <v>0</v>
      </c>
      <c r="KO119">
        <v>0</v>
      </c>
      <c r="KP119">
        <v>0</v>
      </c>
      <c r="KQ119">
        <v>0</v>
      </c>
      <c r="KR119">
        <v>0</v>
      </c>
      <c r="KS119">
        <v>0</v>
      </c>
      <c r="KT119">
        <v>0</v>
      </c>
      <c r="KU119">
        <v>0</v>
      </c>
      <c r="KV119">
        <v>0</v>
      </c>
      <c r="KW119">
        <v>0</v>
      </c>
      <c r="KX119">
        <v>0</v>
      </c>
      <c r="KY119">
        <v>0</v>
      </c>
      <c r="KZ119">
        <v>0</v>
      </c>
      <c r="LA119">
        <v>0</v>
      </c>
      <c r="LB119">
        <v>0</v>
      </c>
      <c r="LC119">
        <v>0</v>
      </c>
      <c r="LD119">
        <v>0</v>
      </c>
      <c r="LE119">
        <v>0</v>
      </c>
      <c r="LF119">
        <v>0</v>
      </c>
      <c r="LG119">
        <v>0</v>
      </c>
      <c r="LH119">
        <v>0</v>
      </c>
      <c r="LI119">
        <v>0</v>
      </c>
      <c r="LJ119">
        <v>0</v>
      </c>
      <c r="LK119">
        <v>0</v>
      </c>
      <c r="LL119">
        <v>0</v>
      </c>
      <c r="LM119">
        <v>0</v>
      </c>
      <c r="LN119">
        <v>0</v>
      </c>
      <c r="LO119">
        <v>0</v>
      </c>
      <c r="LP119">
        <v>0</v>
      </c>
      <c r="LQ119">
        <v>0</v>
      </c>
      <c r="LR119">
        <v>0</v>
      </c>
      <c r="LS119">
        <v>0</v>
      </c>
      <c r="LT119">
        <v>0</v>
      </c>
      <c r="LU119">
        <v>0</v>
      </c>
      <c r="LV119">
        <v>0</v>
      </c>
      <c r="LW119">
        <v>0</v>
      </c>
      <c r="LX119">
        <v>0</v>
      </c>
      <c r="LY119">
        <v>0</v>
      </c>
      <c r="LZ119">
        <v>0</v>
      </c>
      <c r="MA119">
        <v>0</v>
      </c>
      <c r="MB119">
        <v>0</v>
      </c>
      <c r="MC119">
        <v>0</v>
      </c>
      <c r="MD119">
        <v>0</v>
      </c>
      <c r="ME119">
        <v>0</v>
      </c>
      <c r="MF119">
        <v>0</v>
      </c>
      <c r="MG119">
        <v>0</v>
      </c>
      <c r="MH119">
        <v>0</v>
      </c>
      <c r="MI119">
        <v>0</v>
      </c>
      <c r="MJ119">
        <v>0</v>
      </c>
      <c r="MK119">
        <v>0</v>
      </c>
      <c r="ML119">
        <v>0</v>
      </c>
      <c r="MM119">
        <v>0</v>
      </c>
      <c r="MN119">
        <v>0</v>
      </c>
      <c r="MO119">
        <v>0</v>
      </c>
      <c r="MP119">
        <v>0</v>
      </c>
      <c r="MQ119">
        <v>0</v>
      </c>
      <c r="MR119">
        <v>0</v>
      </c>
      <c r="MS119">
        <v>0</v>
      </c>
      <c r="MT119">
        <v>0</v>
      </c>
      <c r="MU119">
        <v>0</v>
      </c>
      <c r="MV119">
        <v>0</v>
      </c>
      <c r="MW119">
        <v>0</v>
      </c>
      <c r="MX119">
        <v>0</v>
      </c>
      <c r="MY119">
        <v>0</v>
      </c>
      <c r="MZ119">
        <v>0</v>
      </c>
      <c r="NA119">
        <v>0</v>
      </c>
      <c r="NB119">
        <v>0</v>
      </c>
      <c r="NC119">
        <v>0</v>
      </c>
      <c r="ND119">
        <v>0</v>
      </c>
      <c r="NE119">
        <v>0</v>
      </c>
      <c r="NF119">
        <v>0</v>
      </c>
      <c r="NG119">
        <v>0</v>
      </c>
      <c r="NH119">
        <v>0</v>
      </c>
      <c r="NI119">
        <v>0</v>
      </c>
      <c r="NJ119">
        <v>0</v>
      </c>
      <c r="NK119">
        <v>0</v>
      </c>
      <c r="NL119">
        <v>0</v>
      </c>
      <c r="NM119">
        <v>0</v>
      </c>
      <c r="NN119">
        <v>0</v>
      </c>
      <c r="NO119">
        <v>0</v>
      </c>
      <c r="NP119">
        <v>0</v>
      </c>
      <c r="NQ119">
        <v>0</v>
      </c>
      <c r="NR119">
        <v>0</v>
      </c>
      <c r="NS119">
        <v>0</v>
      </c>
      <c r="NT119">
        <v>0</v>
      </c>
      <c r="NU119">
        <v>0</v>
      </c>
      <c r="NV119">
        <v>0</v>
      </c>
      <c r="NW119">
        <v>0</v>
      </c>
      <c r="NX119">
        <v>0</v>
      </c>
      <c r="NY119">
        <v>0</v>
      </c>
      <c r="NZ119">
        <v>0</v>
      </c>
      <c r="OA119">
        <v>0</v>
      </c>
      <c r="OB119">
        <v>0</v>
      </c>
      <c r="OC119">
        <v>0</v>
      </c>
      <c r="OD119">
        <v>0</v>
      </c>
      <c r="OE119">
        <v>0</v>
      </c>
      <c r="OF119">
        <v>0</v>
      </c>
      <c r="OG119">
        <v>0</v>
      </c>
      <c r="OH119">
        <v>0</v>
      </c>
      <c r="OI119">
        <v>0</v>
      </c>
      <c r="OJ119">
        <v>0</v>
      </c>
      <c r="OK119">
        <v>0</v>
      </c>
      <c r="OL119">
        <v>0</v>
      </c>
      <c r="OM119">
        <v>0</v>
      </c>
      <c r="ON119">
        <v>0</v>
      </c>
      <c r="OO119">
        <v>0</v>
      </c>
      <c r="OP119">
        <v>0</v>
      </c>
      <c r="OQ119">
        <v>0</v>
      </c>
      <c r="OR119">
        <v>0</v>
      </c>
      <c r="OS119">
        <v>0</v>
      </c>
      <c r="OT119">
        <v>0</v>
      </c>
      <c r="OU119">
        <v>0</v>
      </c>
      <c r="OV119">
        <v>0</v>
      </c>
      <c r="OW119">
        <v>0</v>
      </c>
      <c r="OX119">
        <v>0</v>
      </c>
      <c r="OY119">
        <v>0</v>
      </c>
      <c r="OZ119">
        <v>0</v>
      </c>
      <c r="PA119">
        <v>0</v>
      </c>
      <c r="PB119">
        <v>0</v>
      </c>
      <c r="PC119">
        <v>0</v>
      </c>
      <c r="PD119">
        <v>0</v>
      </c>
      <c r="PE119">
        <v>0</v>
      </c>
      <c r="PF119">
        <v>0</v>
      </c>
      <c r="PG119">
        <v>0</v>
      </c>
      <c r="PH119">
        <v>0</v>
      </c>
      <c r="PI119">
        <v>0</v>
      </c>
      <c r="PJ119">
        <v>0</v>
      </c>
      <c r="PK119">
        <v>0</v>
      </c>
      <c r="PL119">
        <v>0</v>
      </c>
      <c r="PM119">
        <v>0</v>
      </c>
      <c r="PN119">
        <v>0</v>
      </c>
      <c r="PO119">
        <v>0</v>
      </c>
      <c r="PP119">
        <v>0</v>
      </c>
      <c r="PQ119">
        <v>0</v>
      </c>
      <c r="PR119">
        <v>0</v>
      </c>
      <c r="PS119">
        <v>0</v>
      </c>
      <c r="PT119">
        <v>0</v>
      </c>
      <c r="PU119">
        <v>0</v>
      </c>
      <c r="PV119">
        <v>0</v>
      </c>
      <c r="PW119">
        <v>0</v>
      </c>
      <c r="PX119">
        <v>0</v>
      </c>
      <c r="PY119">
        <v>0</v>
      </c>
      <c r="PZ119">
        <v>0</v>
      </c>
      <c r="QA119">
        <v>0</v>
      </c>
      <c r="QB119">
        <v>0</v>
      </c>
      <c r="QC119">
        <v>0</v>
      </c>
      <c r="QD119">
        <v>0</v>
      </c>
      <c r="QE119">
        <v>0</v>
      </c>
      <c r="QF119">
        <v>0</v>
      </c>
      <c r="QG119">
        <v>0</v>
      </c>
      <c r="QH119">
        <v>0</v>
      </c>
      <c r="QI119">
        <v>0</v>
      </c>
      <c r="QJ119">
        <v>0</v>
      </c>
      <c r="QK119">
        <v>0</v>
      </c>
      <c r="QL119">
        <v>0</v>
      </c>
      <c r="QM119">
        <v>0</v>
      </c>
      <c r="QN119">
        <v>0</v>
      </c>
      <c r="QO119">
        <v>0</v>
      </c>
      <c r="QP119">
        <v>0</v>
      </c>
      <c r="QQ119">
        <v>0</v>
      </c>
      <c r="QR119">
        <v>0</v>
      </c>
      <c r="QS119">
        <v>0</v>
      </c>
      <c r="QT119">
        <v>0</v>
      </c>
      <c r="QU119">
        <v>0</v>
      </c>
      <c r="QV119">
        <v>0</v>
      </c>
      <c r="QW119">
        <v>0</v>
      </c>
      <c r="QX119">
        <v>0</v>
      </c>
      <c r="QY119">
        <v>0</v>
      </c>
      <c r="QZ119">
        <v>0</v>
      </c>
      <c r="RA119">
        <v>0</v>
      </c>
      <c r="RB119">
        <v>0</v>
      </c>
      <c r="RC119">
        <v>0</v>
      </c>
      <c r="RD119">
        <v>0</v>
      </c>
      <c r="RE119">
        <v>0</v>
      </c>
      <c r="RF119">
        <v>0</v>
      </c>
      <c r="RG119">
        <v>0</v>
      </c>
      <c r="RH119">
        <v>0</v>
      </c>
      <c r="RI119">
        <v>2</v>
      </c>
      <c r="RJ119">
        <v>2</v>
      </c>
      <c r="RK119">
        <v>2</v>
      </c>
      <c r="RL119">
        <v>2</v>
      </c>
      <c r="RM119">
        <v>2</v>
      </c>
      <c r="RN119">
        <v>2</v>
      </c>
      <c r="RO119">
        <v>2</v>
      </c>
      <c r="RP119">
        <v>2</v>
      </c>
      <c r="RQ119">
        <v>0</v>
      </c>
      <c r="RR119">
        <v>0</v>
      </c>
      <c r="RS119">
        <v>0</v>
      </c>
      <c r="RT119">
        <v>0</v>
      </c>
      <c r="RU119">
        <v>0</v>
      </c>
      <c r="RV119">
        <v>0</v>
      </c>
      <c r="RW119">
        <v>0</v>
      </c>
      <c r="RX119">
        <v>0</v>
      </c>
      <c r="RY119">
        <v>0</v>
      </c>
      <c r="RZ119">
        <v>0</v>
      </c>
      <c r="SA119">
        <v>0</v>
      </c>
      <c r="SB119">
        <v>0</v>
      </c>
      <c r="SC119">
        <v>0</v>
      </c>
      <c r="SD119">
        <v>0</v>
      </c>
      <c r="SE119">
        <v>0</v>
      </c>
      <c r="SF119">
        <v>0</v>
      </c>
      <c r="SG119">
        <v>0</v>
      </c>
      <c r="SH119">
        <v>0</v>
      </c>
      <c r="SI119">
        <v>0</v>
      </c>
      <c r="SJ119">
        <v>0</v>
      </c>
      <c r="SK119">
        <v>0</v>
      </c>
      <c r="SL119">
        <v>0</v>
      </c>
      <c r="SM119">
        <v>0</v>
      </c>
      <c r="SN119">
        <v>0</v>
      </c>
      <c r="SO119">
        <v>0</v>
      </c>
      <c r="SP119">
        <v>0</v>
      </c>
      <c r="SQ119">
        <v>0</v>
      </c>
      <c r="SR119">
        <v>0</v>
      </c>
      <c r="SS119">
        <v>0</v>
      </c>
      <c r="ST119">
        <v>0</v>
      </c>
      <c r="SU119">
        <v>0</v>
      </c>
      <c r="SV119">
        <v>0</v>
      </c>
      <c r="SW119">
        <v>0</v>
      </c>
      <c r="SX119">
        <v>0</v>
      </c>
      <c r="SY119">
        <v>0</v>
      </c>
      <c r="SZ119">
        <v>0</v>
      </c>
      <c r="TA119">
        <v>0</v>
      </c>
      <c r="TB119">
        <v>0</v>
      </c>
      <c r="TC119">
        <v>0</v>
      </c>
      <c r="TD119">
        <v>0</v>
      </c>
      <c r="TE119">
        <v>0</v>
      </c>
      <c r="TF119">
        <v>0</v>
      </c>
      <c r="TG119">
        <v>0</v>
      </c>
      <c r="TH119">
        <v>0</v>
      </c>
      <c r="TI119">
        <v>0</v>
      </c>
      <c r="TJ119">
        <v>0</v>
      </c>
      <c r="TK119">
        <v>0</v>
      </c>
      <c r="TL119">
        <v>0</v>
      </c>
      <c r="TM119">
        <v>0</v>
      </c>
      <c r="TN119">
        <v>0</v>
      </c>
      <c r="TO119">
        <v>0</v>
      </c>
      <c r="TP119">
        <v>0</v>
      </c>
      <c r="TQ119">
        <v>0</v>
      </c>
      <c r="TR119">
        <v>0</v>
      </c>
      <c r="TS119">
        <v>0</v>
      </c>
      <c r="TT119">
        <v>0</v>
      </c>
      <c r="TU119">
        <v>0</v>
      </c>
      <c r="TV119">
        <v>0</v>
      </c>
      <c r="TW119">
        <v>0</v>
      </c>
      <c r="TX119">
        <v>0</v>
      </c>
      <c r="TY119">
        <v>0</v>
      </c>
      <c r="TZ119">
        <v>0</v>
      </c>
      <c r="UA119">
        <v>0</v>
      </c>
      <c r="UB119">
        <v>0</v>
      </c>
      <c r="UC119">
        <v>0</v>
      </c>
      <c r="UD119">
        <v>0</v>
      </c>
      <c r="UE119">
        <v>0</v>
      </c>
      <c r="UF119">
        <v>0</v>
      </c>
      <c r="UG119">
        <v>0</v>
      </c>
      <c r="UH119">
        <v>0</v>
      </c>
      <c r="UI119">
        <v>0</v>
      </c>
      <c r="UJ119">
        <v>0</v>
      </c>
      <c r="UK119">
        <v>0</v>
      </c>
      <c r="UL119">
        <v>0</v>
      </c>
      <c r="UM119">
        <v>0</v>
      </c>
      <c r="UN119">
        <v>0</v>
      </c>
      <c r="UO119">
        <v>0</v>
      </c>
      <c r="UP119">
        <v>0</v>
      </c>
      <c r="UQ119">
        <v>0</v>
      </c>
      <c r="UR119">
        <v>0</v>
      </c>
      <c r="US119">
        <v>0</v>
      </c>
      <c r="UT119">
        <v>0</v>
      </c>
      <c r="UU119">
        <v>0</v>
      </c>
      <c r="UV119">
        <v>0</v>
      </c>
      <c r="UW119">
        <v>0</v>
      </c>
      <c r="UX119">
        <v>0</v>
      </c>
      <c r="UY119">
        <v>0</v>
      </c>
      <c r="UZ119">
        <v>0</v>
      </c>
      <c r="VA119">
        <v>0</v>
      </c>
      <c r="VB119">
        <v>0</v>
      </c>
      <c r="VC119">
        <v>0</v>
      </c>
      <c r="VD119">
        <v>0</v>
      </c>
      <c r="VE119">
        <v>0</v>
      </c>
      <c r="VF119">
        <v>0</v>
      </c>
      <c r="VG119">
        <v>0</v>
      </c>
      <c r="VH119">
        <v>0</v>
      </c>
      <c r="VI119">
        <v>0</v>
      </c>
      <c r="VJ119">
        <v>0</v>
      </c>
      <c r="VK119">
        <v>0</v>
      </c>
      <c r="VL119">
        <v>0</v>
      </c>
      <c r="VM119">
        <v>0</v>
      </c>
      <c r="VN119">
        <v>0</v>
      </c>
      <c r="VO119">
        <v>0</v>
      </c>
      <c r="VP119">
        <v>0</v>
      </c>
      <c r="VQ119">
        <v>0</v>
      </c>
      <c r="VR119">
        <v>0</v>
      </c>
      <c r="VS119">
        <v>0</v>
      </c>
      <c r="VT119">
        <v>0</v>
      </c>
      <c r="VU119">
        <v>0</v>
      </c>
      <c r="VV119">
        <v>0</v>
      </c>
      <c r="VW119">
        <v>0</v>
      </c>
      <c r="VX119">
        <v>0</v>
      </c>
      <c r="VY119">
        <v>0</v>
      </c>
      <c r="VZ119">
        <v>0</v>
      </c>
      <c r="WA119">
        <v>0</v>
      </c>
      <c r="WB119">
        <v>0</v>
      </c>
      <c r="WC119">
        <v>0</v>
      </c>
      <c r="WD119">
        <v>0</v>
      </c>
      <c r="WE119">
        <v>0</v>
      </c>
      <c r="WF119">
        <v>0</v>
      </c>
      <c r="WG119">
        <v>0</v>
      </c>
      <c r="WH119">
        <v>0</v>
      </c>
      <c r="WI119">
        <v>0</v>
      </c>
      <c r="WJ119">
        <v>0</v>
      </c>
      <c r="WK119">
        <v>0</v>
      </c>
      <c r="WL119">
        <v>0</v>
      </c>
      <c r="WM119">
        <v>0</v>
      </c>
      <c r="WN119">
        <v>0</v>
      </c>
      <c r="WO119">
        <v>0</v>
      </c>
      <c r="WP119">
        <v>0</v>
      </c>
      <c r="WQ119">
        <v>0</v>
      </c>
      <c r="WR119">
        <v>0</v>
      </c>
      <c r="WS119">
        <v>0</v>
      </c>
      <c r="WT119">
        <v>0</v>
      </c>
      <c r="WU119">
        <v>0</v>
      </c>
      <c r="WV119">
        <v>0</v>
      </c>
      <c r="WW119">
        <v>0</v>
      </c>
      <c r="WX119">
        <v>0</v>
      </c>
      <c r="WY119">
        <v>0</v>
      </c>
      <c r="WZ119">
        <v>0</v>
      </c>
      <c r="XA119">
        <v>0</v>
      </c>
      <c r="XB119">
        <v>0</v>
      </c>
      <c r="XC119">
        <v>0</v>
      </c>
      <c r="XD119">
        <v>0</v>
      </c>
      <c r="XE119">
        <v>0</v>
      </c>
      <c r="XF119">
        <v>0</v>
      </c>
      <c r="XG119">
        <v>0</v>
      </c>
      <c r="XH119">
        <v>0</v>
      </c>
      <c r="XI119">
        <v>0</v>
      </c>
      <c r="XJ119">
        <v>0</v>
      </c>
      <c r="XK119">
        <v>0</v>
      </c>
      <c r="XL119">
        <v>0</v>
      </c>
      <c r="XM119">
        <v>0</v>
      </c>
      <c r="XN119">
        <v>0</v>
      </c>
      <c r="XO119">
        <v>0</v>
      </c>
      <c r="XP119">
        <v>0</v>
      </c>
      <c r="XQ119">
        <v>0</v>
      </c>
      <c r="XR119">
        <v>0</v>
      </c>
      <c r="XS119">
        <v>0</v>
      </c>
      <c r="XT119">
        <v>0</v>
      </c>
      <c r="XU119">
        <v>0</v>
      </c>
      <c r="XV119">
        <v>0</v>
      </c>
      <c r="XW119">
        <v>0</v>
      </c>
      <c r="XX119">
        <v>0</v>
      </c>
      <c r="XY119">
        <v>0</v>
      </c>
      <c r="XZ119">
        <v>0</v>
      </c>
      <c r="YA119">
        <v>0</v>
      </c>
      <c r="YB119">
        <v>0</v>
      </c>
      <c r="YC119">
        <v>0</v>
      </c>
      <c r="YD119">
        <v>0</v>
      </c>
      <c r="YE119">
        <v>0</v>
      </c>
      <c r="YF119">
        <v>0</v>
      </c>
      <c r="YG119">
        <v>0</v>
      </c>
      <c r="YH119">
        <v>0</v>
      </c>
      <c r="YI119">
        <v>0</v>
      </c>
      <c r="YJ119">
        <v>0</v>
      </c>
      <c r="YK119">
        <v>0</v>
      </c>
      <c r="YL119">
        <v>0</v>
      </c>
      <c r="YM119">
        <v>0</v>
      </c>
      <c r="YN119">
        <v>0</v>
      </c>
      <c r="YO119">
        <v>0</v>
      </c>
      <c r="YP119">
        <v>0</v>
      </c>
      <c r="YQ119">
        <v>0</v>
      </c>
      <c r="YR119">
        <v>0</v>
      </c>
      <c r="YS119">
        <v>0</v>
      </c>
      <c r="YT119">
        <v>0</v>
      </c>
      <c r="YU119">
        <v>0</v>
      </c>
      <c r="YV119">
        <v>0</v>
      </c>
      <c r="YW119">
        <v>0</v>
      </c>
      <c r="YX119">
        <v>0</v>
      </c>
      <c r="YY119">
        <v>0</v>
      </c>
      <c r="YZ119">
        <v>0</v>
      </c>
      <c r="ZA119">
        <v>0</v>
      </c>
      <c r="ZB119">
        <v>0</v>
      </c>
      <c r="ZC119">
        <v>0</v>
      </c>
      <c r="ZD119">
        <v>0</v>
      </c>
      <c r="ZE119">
        <v>0</v>
      </c>
      <c r="ZF119">
        <v>0</v>
      </c>
      <c r="ZG119">
        <v>0</v>
      </c>
      <c r="ZH119">
        <v>0</v>
      </c>
      <c r="ZI119">
        <v>0</v>
      </c>
      <c r="ZJ119">
        <v>0</v>
      </c>
      <c r="ZK119">
        <v>0</v>
      </c>
      <c r="ZL119">
        <v>0</v>
      </c>
      <c r="ZM119">
        <v>0</v>
      </c>
      <c r="ZN119">
        <v>0</v>
      </c>
      <c r="ZO119">
        <v>0</v>
      </c>
      <c r="ZP119">
        <v>0</v>
      </c>
      <c r="ZQ119">
        <v>0</v>
      </c>
      <c r="ZR119">
        <v>0</v>
      </c>
      <c r="ZS119">
        <v>0</v>
      </c>
      <c r="ZT119">
        <v>0</v>
      </c>
      <c r="ZU119">
        <v>0</v>
      </c>
      <c r="ZV119">
        <v>0</v>
      </c>
      <c r="ZW119">
        <v>0</v>
      </c>
      <c r="ZX119">
        <v>0</v>
      </c>
      <c r="ZY119">
        <v>0</v>
      </c>
      <c r="ZZ119">
        <v>0</v>
      </c>
      <c r="AAA119">
        <v>0</v>
      </c>
      <c r="AAB119">
        <v>0</v>
      </c>
      <c r="AAC119">
        <v>0</v>
      </c>
      <c r="AAD119">
        <v>0</v>
      </c>
      <c r="AAE119">
        <v>0</v>
      </c>
      <c r="AAF119">
        <v>0</v>
      </c>
      <c r="AAG119">
        <v>0</v>
      </c>
      <c r="AAH119">
        <v>0</v>
      </c>
      <c r="AAI119">
        <v>0</v>
      </c>
      <c r="AAJ119">
        <v>0</v>
      </c>
      <c r="AAK119">
        <v>0</v>
      </c>
      <c r="AAL119">
        <v>0</v>
      </c>
      <c r="AAM119">
        <v>0</v>
      </c>
      <c r="AAN119">
        <v>0</v>
      </c>
      <c r="AAO119">
        <v>0</v>
      </c>
      <c r="AAP119">
        <v>0</v>
      </c>
      <c r="AAQ119">
        <v>0</v>
      </c>
      <c r="AAR119">
        <v>0</v>
      </c>
      <c r="AAS119">
        <v>0</v>
      </c>
      <c r="AAT119">
        <v>0</v>
      </c>
      <c r="AAU119">
        <v>0</v>
      </c>
      <c r="AAV119">
        <v>0</v>
      </c>
      <c r="AAW119">
        <v>0</v>
      </c>
      <c r="AAX119">
        <v>0</v>
      </c>
      <c r="AAY119">
        <v>0</v>
      </c>
      <c r="AAZ119">
        <v>0</v>
      </c>
      <c r="ABA119">
        <v>0</v>
      </c>
      <c r="ABB119">
        <v>0</v>
      </c>
      <c r="ABC119">
        <v>0</v>
      </c>
      <c r="ABD119">
        <v>0</v>
      </c>
      <c r="ABE119">
        <v>0</v>
      </c>
      <c r="ABG119" s="1137">
        <f t="shared" si="30"/>
        <v>0</v>
      </c>
      <c r="ABH119" s="1137">
        <f t="shared" si="30"/>
        <v>0</v>
      </c>
      <c r="ABI119" s="1137">
        <f t="shared" si="30"/>
        <v>0</v>
      </c>
      <c r="ABJ119" s="1137">
        <f t="shared" si="30"/>
        <v>0</v>
      </c>
      <c r="ABK119" s="1137">
        <f t="shared" si="30"/>
        <v>4</v>
      </c>
      <c r="ABL119" s="1137">
        <f t="shared" si="30"/>
        <v>30</v>
      </c>
      <c r="ABM119" s="1137">
        <f t="shared" si="30"/>
        <v>31</v>
      </c>
      <c r="ABN119" s="1137">
        <f t="shared" si="30"/>
        <v>31</v>
      </c>
      <c r="ABO119" s="1137">
        <f t="shared" si="30"/>
        <v>30</v>
      </c>
      <c r="ABP119" s="1137">
        <f t="shared" si="30"/>
        <v>21</v>
      </c>
      <c r="ABQ119" s="1137">
        <f t="shared" si="30"/>
        <v>0</v>
      </c>
      <c r="ABR119" s="1137">
        <f t="shared" si="30"/>
        <v>0</v>
      </c>
      <c r="ABS119" s="1137">
        <f t="shared" si="30"/>
        <v>0</v>
      </c>
      <c r="ABT119" s="1137">
        <f t="shared" si="30"/>
        <v>0</v>
      </c>
      <c r="ABU119" s="1137">
        <f t="shared" si="30"/>
        <v>0</v>
      </c>
      <c r="ABV119" s="1137">
        <f t="shared" si="30"/>
        <v>8</v>
      </c>
      <c r="ABW119" s="1137">
        <f t="shared" si="31"/>
        <v>0</v>
      </c>
      <c r="ABX119" s="1137">
        <f t="shared" si="23"/>
        <v>0</v>
      </c>
      <c r="ABY119" s="1137">
        <f t="shared" si="23"/>
        <v>0</v>
      </c>
      <c r="ABZ119" s="1137">
        <f t="shared" si="23"/>
        <v>0</v>
      </c>
      <c r="ACA119" s="1137">
        <f t="shared" si="23"/>
        <v>0</v>
      </c>
      <c r="ACB119" s="1137">
        <f t="shared" si="23"/>
        <v>0</v>
      </c>
      <c r="ACC119" s="1137">
        <f t="shared" si="23"/>
        <v>0</v>
      </c>
      <c r="ACD119" s="1137">
        <f t="shared" si="23"/>
        <v>0</v>
      </c>
      <c r="ACE119" s="1137" t="s">
        <v>49</v>
      </c>
      <c r="ACF119" s="1137">
        <f t="shared" si="28"/>
        <v>0</v>
      </c>
      <c r="ACG119" s="1137">
        <f t="shared" si="28"/>
        <v>0</v>
      </c>
      <c r="ACH119" s="1137">
        <f t="shared" si="28"/>
        <v>0</v>
      </c>
      <c r="ACI119" s="1137">
        <f t="shared" si="28"/>
        <v>0</v>
      </c>
      <c r="ACJ119" s="1137">
        <f t="shared" si="28"/>
        <v>0</v>
      </c>
      <c r="ACK119" s="1137">
        <f t="shared" si="28"/>
        <v>1</v>
      </c>
      <c r="ACL119" s="1137">
        <f t="shared" si="28"/>
        <v>1</v>
      </c>
      <c r="ACM119" s="1137">
        <f t="shared" si="28"/>
        <v>1</v>
      </c>
      <c r="ACN119" s="1137">
        <f t="shared" si="28"/>
        <v>1</v>
      </c>
      <c r="ACO119" s="1137">
        <f t="shared" si="28"/>
        <v>1</v>
      </c>
      <c r="ACP119" s="1137">
        <f t="shared" si="28"/>
        <v>0</v>
      </c>
      <c r="ACQ119" s="1137">
        <f t="shared" ref="ACQ119:ACZ148" si="32">IF(ABR119&gt;10, 1, 0)</f>
        <v>0</v>
      </c>
      <c r="ACR119" s="1137">
        <f t="shared" si="32"/>
        <v>0</v>
      </c>
      <c r="ACS119" s="1137">
        <f t="shared" si="32"/>
        <v>0</v>
      </c>
      <c r="ACT119" s="1137">
        <f t="shared" si="32"/>
        <v>0</v>
      </c>
      <c r="ACU119" s="1137">
        <f t="shared" si="32"/>
        <v>0</v>
      </c>
      <c r="ACV119" s="1137">
        <f t="shared" si="24"/>
        <v>0</v>
      </c>
      <c r="ACW119" s="1137">
        <f t="shared" si="24"/>
        <v>0</v>
      </c>
      <c r="ACX119" s="1137">
        <f t="shared" si="24"/>
        <v>0</v>
      </c>
      <c r="ACY119" s="1137">
        <f t="shared" si="24"/>
        <v>0</v>
      </c>
      <c r="ACZ119" s="1137">
        <f t="shared" si="24"/>
        <v>0</v>
      </c>
      <c r="ADA119" s="1137">
        <f t="shared" si="24"/>
        <v>0</v>
      </c>
      <c r="ADB119" s="1137">
        <f t="shared" si="24"/>
        <v>0</v>
      </c>
      <c r="ADC119" s="1137">
        <f t="shared" si="24"/>
        <v>0</v>
      </c>
    </row>
    <row r="120" spans="1:783" x14ac:dyDescent="0.25">
      <c r="A120" t="s">
        <v>1919</v>
      </c>
      <c r="B120" t="s">
        <v>47</v>
      </c>
      <c r="C120">
        <v>0</v>
      </c>
      <c r="D120">
        <v>0</v>
      </c>
      <c r="E120">
        <v>0</v>
      </c>
      <c r="F120">
        <v>0</v>
      </c>
      <c r="G120">
        <v>0</v>
      </c>
      <c r="H120">
        <v>0</v>
      </c>
      <c r="I120">
        <v>0</v>
      </c>
      <c r="J120">
        <v>0</v>
      </c>
      <c r="K120">
        <v>0</v>
      </c>
      <c r="L120">
        <v>0</v>
      </c>
      <c r="M120">
        <v>0</v>
      </c>
      <c r="N120">
        <v>0</v>
      </c>
      <c r="O120">
        <v>0</v>
      </c>
      <c r="P120">
        <v>0</v>
      </c>
      <c r="Q120">
        <v>0</v>
      </c>
      <c r="R120">
        <v>0</v>
      </c>
      <c r="S120">
        <v>0</v>
      </c>
      <c r="T120">
        <v>0</v>
      </c>
      <c r="U120">
        <v>0</v>
      </c>
      <c r="V120">
        <v>0</v>
      </c>
      <c r="W120">
        <v>0</v>
      </c>
      <c r="X120">
        <v>0</v>
      </c>
      <c r="Y120">
        <v>0</v>
      </c>
      <c r="Z120">
        <v>0</v>
      </c>
      <c r="AA120">
        <v>0</v>
      </c>
      <c r="AB120">
        <v>0</v>
      </c>
      <c r="AC120">
        <v>0</v>
      </c>
      <c r="AD120">
        <v>0</v>
      </c>
      <c r="AE120">
        <v>0</v>
      </c>
      <c r="AF120">
        <v>0</v>
      </c>
      <c r="AG120">
        <v>0</v>
      </c>
      <c r="AH120">
        <v>0</v>
      </c>
      <c r="AI120">
        <v>0</v>
      </c>
      <c r="AJ120">
        <v>0</v>
      </c>
      <c r="AK120">
        <v>0</v>
      </c>
      <c r="AL120">
        <v>0</v>
      </c>
      <c r="AM120">
        <v>0</v>
      </c>
      <c r="AN120">
        <v>0</v>
      </c>
      <c r="AO120">
        <v>0</v>
      </c>
      <c r="AP120">
        <v>0</v>
      </c>
      <c r="AQ120">
        <v>0</v>
      </c>
      <c r="AR120">
        <v>0</v>
      </c>
      <c r="AS120">
        <v>0</v>
      </c>
      <c r="AT120">
        <v>0</v>
      </c>
      <c r="AU120">
        <v>0</v>
      </c>
      <c r="AV120">
        <v>0</v>
      </c>
      <c r="AW120">
        <v>0</v>
      </c>
      <c r="AX120">
        <v>0</v>
      </c>
      <c r="AY120">
        <v>0</v>
      </c>
      <c r="AZ120">
        <v>0</v>
      </c>
      <c r="BA120">
        <v>0</v>
      </c>
      <c r="BB120">
        <v>0</v>
      </c>
      <c r="BC120">
        <v>0</v>
      </c>
      <c r="BD120">
        <v>0</v>
      </c>
      <c r="BE120">
        <v>0</v>
      </c>
      <c r="BF120">
        <v>0</v>
      </c>
      <c r="BG120">
        <v>0</v>
      </c>
      <c r="BH120">
        <v>0</v>
      </c>
      <c r="BI120">
        <v>0</v>
      </c>
      <c r="BJ120">
        <v>0</v>
      </c>
      <c r="BK120">
        <v>0</v>
      </c>
      <c r="BL120">
        <v>0</v>
      </c>
      <c r="BM120">
        <v>0</v>
      </c>
      <c r="BN120">
        <v>0</v>
      </c>
      <c r="BO120">
        <v>0</v>
      </c>
      <c r="BP120">
        <v>0</v>
      </c>
      <c r="BQ120">
        <v>0</v>
      </c>
      <c r="BR120">
        <v>0</v>
      </c>
      <c r="BS120">
        <v>0</v>
      </c>
      <c r="BT120">
        <v>0</v>
      </c>
      <c r="BU120">
        <v>0</v>
      </c>
      <c r="BV120">
        <v>0</v>
      </c>
      <c r="BW120">
        <v>0</v>
      </c>
      <c r="BX120">
        <v>0</v>
      </c>
      <c r="BY120">
        <v>0</v>
      </c>
      <c r="BZ120">
        <v>0</v>
      </c>
      <c r="CA120">
        <v>0</v>
      </c>
      <c r="CB120">
        <v>0</v>
      </c>
      <c r="CC120">
        <v>0</v>
      </c>
      <c r="CD120">
        <v>0</v>
      </c>
      <c r="CE120">
        <v>0</v>
      </c>
      <c r="CF120">
        <v>0</v>
      </c>
      <c r="CG120">
        <v>0</v>
      </c>
      <c r="CH120">
        <v>0</v>
      </c>
      <c r="CI120">
        <v>0</v>
      </c>
      <c r="CJ120">
        <v>0</v>
      </c>
      <c r="CK120">
        <v>0</v>
      </c>
      <c r="CL120">
        <v>0</v>
      </c>
      <c r="CM120">
        <v>2</v>
      </c>
      <c r="CN120">
        <v>2</v>
      </c>
      <c r="CO120">
        <v>2</v>
      </c>
      <c r="CP120">
        <v>2</v>
      </c>
      <c r="CQ120">
        <v>2</v>
      </c>
      <c r="CR120">
        <v>2</v>
      </c>
      <c r="CS120">
        <v>2</v>
      </c>
      <c r="CT120">
        <v>2</v>
      </c>
      <c r="CU120">
        <v>2</v>
      </c>
      <c r="CV120">
        <v>2</v>
      </c>
      <c r="CW120">
        <v>2</v>
      </c>
      <c r="CX120">
        <v>2</v>
      </c>
      <c r="CY120">
        <v>2</v>
      </c>
      <c r="CZ120">
        <v>2</v>
      </c>
      <c r="DA120">
        <v>2</v>
      </c>
      <c r="DB120">
        <v>2</v>
      </c>
      <c r="DC120">
        <v>2</v>
      </c>
      <c r="DD120">
        <v>2</v>
      </c>
      <c r="DE120">
        <v>2</v>
      </c>
      <c r="DF120">
        <v>2</v>
      </c>
      <c r="DG120">
        <v>2</v>
      </c>
      <c r="DH120">
        <v>2</v>
      </c>
      <c r="DI120">
        <v>2</v>
      </c>
      <c r="DJ120">
        <v>2</v>
      </c>
      <c r="DK120">
        <v>2</v>
      </c>
      <c r="DL120">
        <v>2</v>
      </c>
      <c r="DM120">
        <v>2</v>
      </c>
      <c r="DN120">
        <v>2</v>
      </c>
      <c r="DO120">
        <v>2</v>
      </c>
      <c r="DP120">
        <v>2</v>
      </c>
      <c r="DQ120">
        <v>2</v>
      </c>
      <c r="DR120">
        <v>2</v>
      </c>
      <c r="DS120">
        <v>2</v>
      </c>
      <c r="DT120">
        <v>2</v>
      </c>
      <c r="DU120">
        <v>2</v>
      </c>
      <c r="DV120">
        <v>2</v>
      </c>
      <c r="DW120">
        <v>2</v>
      </c>
      <c r="DX120">
        <v>2</v>
      </c>
      <c r="DY120">
        <v>2</v>
      </c>
      <c r="DZ120">
        <v>2</v>
      </c>
      <c r="EA120">
        <v>2</v>
      </c>
      <c r="EB120">
        <v>2</v>
      </c>
      <c r="EC120">
        <v>2</v>
      </c>
      <c r="ED120">
        <v>2</v>
      </c>
      <c r="EE120">
        <v>2</v>
      </c>
      <c r="EF120">
        <v>2</v>
      </c>
      <c r="EG120">
        <v>2</v>
      </c>
      <c r="EH120">
        <v>2</v>
      </c>
      <c r="EI120">
        <v>2</v>
      </c>
      <c r="EJ120">
        <v>2</v>
      </c>
      <c r="EK120">
        <v>2</v>
      </c>
      <c r="EL120">
        <v>2</v>
      </c>
      <c r="EM120">
        <v>2</v>
      </c>
      <c r="EN120">
        <v>2</v>
      </c>
      <c r="EO120">
        <v>2</v>
      </c>
      <c r="EP120">
        <v>2</v>
      </c>
      <c r="EQ120">
        <v>2</v>
      </c>
      <c r="ER120">
        <v>2</v>
      </c>
      <c r="ES120">
        <v>2</v>
      </c>
      <c r="ET120">
        <v>2</v>
      </c>
      <c r="EU120">
        <v>2</v>
      </c>
      <c r="EV120">
        <v>2</v>
      </c>
      <c r="EW120">
        <v>2</v>
      </c>
      <c r="EX120">
        <v>2</v>
      </c>
      <c r="EY120">
        <v>2</v>
      </c>
      <c r="EZ120">
        <v>2</v>
      </c>
      <c r="FA120">
        <v>2</v>
      </c>
      <c r="FB120">
        <v>2</v>
      </c>
      <c r="FC120">
        <v>2</v>
      </c>
      <c r="FD120">
        <v>2</v>
      </c>
      <c r="FE120">
        <v>2</v>
      </c>
      <c r="FF120">
        <v>2</v>
      </c>
      <c r="FG120">
        <v>2</v>
      </c>
      <c r="FH120">
        <v>2</v>
      </c>
      <c r="FI120">
        <v>2</v>
      </c>
      <c r="FJ120">
        <v>2</v>
      </c>
      <c r="FK120">
        <v>2</v>
      </c>
      <c r="FL120">
        <v>2</v>
      </c>
      <c r="FM120">
        <v>2</v>
      </c>
      <c r="FN120">
        <v>2</v>
      </c>
      <c r="FO120">
        <v>2</v>
      </c>
      <c r="FP120">
        <v>2</v>
      </c>
      <c r="FQ120">
        <v>2</v>
      </c>
      <c r="FR120">
        <v>2</v>
      </c>
      <c r="FS120">
        <v>2</v>
      </c>
      <c r="FT120">
        <v>2</v>
      </c>
      <c r="FU120">
        <v>2</v>
      </c>
      <c r="FV120">
        <v>2</v>
      </c>
      <c r="FW120">
        <v>2</v>
      </c>
      <c r="FX120">
        <v>2</v>
      </c>
      <c r="FY120">
        <v>2</v>
      </c>
      <c r="FZ120">
        <v>2</v>
      </c>
      <c r="GA120">
        <v>2</v>
      </c>
      <c r="GB120">
        <v>2</v>
      </c>
      <c r="GC120">
        <v>2</v>
      </c>
      <c r="GD120">
        <v>2</v>
      </c>
      <c r="GE120">
        <v>2</v>
      </c>
      <c r="GF120">
        <v>2</v>
      </c>
      <c r="GG120">
        <v>2</v>
      </c>
      <c r="GH120">
        <v>2</v>
      </c>
      <c r="GI120">
        <v>2</v>
      </c>
      <c r="GJ120">
        <v>2</v>
      </c>
      <c r="GK120">
        <v>2</v>
      </c>
      <c r="GL120">
        <v>0</v>
      </c>
      <c r="GM120">
        <v>0</v>
      </c>
      <c r="GN120">
        <v>0</v>
      </c>
      <c r="GO120">
        <v>0</v>
      </c>
      <c r="GP120">
        <v>0</v>
      </c>
      <c r="GQ120">
        <v>0</v>
      </c>
      <c r="GR120">
        <v>0</v>
      </c>
      <c r="GS120">
        <v>0</v>
      </c>
      <c r="GT120">
        <v>0</v>
      </c>
      <c r="GU120">
        <v>0</v>
      </c>
      <c r="GV120">
        <v>0</v>
      </c>
      <c r="GW120">
        <v>0</v>
      </c>
      <c r="GX120">
        <v>0</v>
      </c>
      <c r="GY120">
        <v>0</v>
      </c>
      <c r="GZ120">
        <v>0</v>
      </c>
      <c r="HA120">
        <v>0</v>
      </c>
      <c r="HB120">
        <v>0</v>
      </c>
      <c r="HC120">
        <v>0</v>
      </c>
      <c r="HD120">
        <v>0</v>
      </c>
      <c r="HE120">
        <v>0</v>
      </c>
      <c r="HF120">
        <v>0</v>
      </c>
      <c r="HG120">
        <v>0</v>
      </c>
      <c r="HH120">
        <v>0</v>
      </c>
      <c r="HI120">
        <v>0</v>
      </c>
      <c r="HJ120">
        <v>0</v>
      </c>
      <c r="HK120">
        <v>0</v>
      </c>
      <c r="HL120">
        <v>0</v>
      </c>
      <c r="HM120">
        <v>0</v>
      </c>
      <c r="HN120">
        <v>0</v>
      </c>
      <c r="HO120">
        <v>0</v>
      </c>
      <c r="HP120">
        <v>0</v>
      </c>
      <c r="HQ120">
        <v>0</v>
      </c>
      <c r="HR120">
        <v>0</v>
      </c>
      <c r="HS120">
        <v>0</v>
      </c>
      <c r="HT120">
        <v>0</v>
      </c>
      <c r="HU120">
        <v>0</v>
      </c>
      <c r="HV120">
        <v>0</v>
      </c>
      <c r="HW120">
        <v>0</v>
      </c>
      <c r="HX120">
        <v>0</v>
      </c>
      <c r="HY120">
        <v>0</v>
      </c>
      <c r="HZ120">
        <v>0</v>
      </c>
      <c r="IA120">
        <v>0</v>
      </c>
      <c r="IB120">
        <v>0</v>
      </c>
      <c r="IC120">
        <v>0</v>
      </c>
      <c r="ID120">
        <v>0</v>
      </c>
      <c r="IE120">
        <v>0</v>
      </c>
      <c r="IF120">
        <v>0</v>
      </c>
      <c r="IG120">
        <v>0</v>
      </c>
      <c r="IH120">
        <v>0</v>
      </c>
      <c r="II120">
        <v>0</v>
      </c>
      <c r="IJ120">
        <v>0</v>
      </c>
      <c r="IK120">
        <v>0</v>
      </c>
      <c r="IL120">
        <v>0</v>
      </c>
      <c r="IM120">
        <v>0</v>
      </c>
      <c r="IN120">
        <v>0</v>
      </c>
      <c r="IO120">
        <v>0</v>
      </c>
      <c r="IP120">
        <v>0</v>
      </c>
      <c r="IQ120">
        <v>0</v>
      </c>
      <c r="IR120">
        <v>0</v>
      </c>
      <c r="IS120">
        <v>0</v>
      </c>
      <c r="IT120">
        <v>0</v>
      </c>
      <c r="IU120">
        <v>0</v>
      </c>
      <c r="IV120">
        <v>0</v>
      </c>
      <c r="IW120">
        <v>0</v>
      </c>
      <c r="IX120">
        <v>0</v>
      </c>
      <c r="IY120">
        <v>0</v>
      </c>
      <c r="IZ120">
        <v>0</v>
      </c>
      <c r="JA120">
        <v>0</v>
      </c>
      <c r="JB120">
        <v>0</v>
      </c>
      <c r="JC120">
        <v>0</v>
      </c>
      <c r="JD120">
        <v>0</v>
      </c>
      <c r="JE120">
        <v>0</v>
      </c>
      <c r="JF120">
        <v>0</v>
      </c>
      <c r="JG120">
        <v>0</v>
      </c>
      <c r="JH120">
        <v>0</v>
      </c>
      <c r="JI120">
        <v>0</v>
      </c>
      <c r="JJ120">
        <v>0</v>
      </c>
      <c r="JK120">
        <v>0</v>
      </c>
      <c r="JL120">
        <v>0</v>
      </c>
      <c r="JM120">
        <v>0</v>
      </c>
      <c r="JN120">
        <v>0</v>
      </c>
      <c r="JO120">
        <v>0</v>
      </c>
      <c r="JP120">
        <v>0</v>
      </c>
      <c r="JQ120">
        <v>0</v>
      </c>
      <c r="JR120">
        <v>0</v>
      </c>
      <c r="JS120">
        <v>0</v>
      </c>
      <c r="JT120">
        <v>0</v>
      </c>
      <c r="JU120">
        <v>0</v>
      </c>
      <c r="JV120">
        <v>0</v>
      </c>
      <c r="JW120">
        <v>0</v>
      </c>
      <c r="JX120">
        <v>0</v>
      </c>
      <c r="JY120">
        <v>0</v>
      </c>
      <c r="JZ120">
        <v>0</v>
      </c>
      <c r="KA120">
        <v>0</v>
      </c>
      <c r="KB120">
        <v>0</v>
      </c>
      <c r="KC120">
        <v>0</v>
      </c>
      <c r="KD120">
        <v>0</v>
      </c>
      <c r="KE120">
        <v>0</v>
      </c>
      <c r="KF120">
        <v>0</v>
      </c>
      <c r="KG120">
        <v>0</v>
      </c>
      <c r="KH120">
        <v>0</v>
      </c>
      <c r="KI120">
        <v>0</v>
      </c>
      <c r="KJ120">
        <v>0</v>
      </c>
      <c r="KK120">
        <v>0</v>
      </c>
      <c r="KL120">
        <v>0</v>
      </c>
      <c r="KM120">
        <v>0</v>
      </c>
      <c r="KN120">
        <v>0</v>
      </c>
      <c r="KO120">
        <v>0</v>
      </c>
      <c r="KP120">
        <v>0</v>
      </c>
      <c r="KQ120">
        <v>0</v>
      </c>
      <c r="KR120">
        <v>0</v>
      </c>
      <c r="KS120">
        <v>0</v>
      </c>
      <c r="KT120">
        <v>0</v>
      </c>
      <c r="KU120">
        <v>0</v>
      </c>
      <c r="KV120">
        <v>0</v>
      </c>
      <c r="KW120">
        <v>0</v>
      </c>
      <c r="KX120">
        <v>0</v>
      </c>
      <c r="KY120">
        <v>0</v>
      </c>
      <c r="KZ120">
        <v>0</v>
      </c>
      <c r="LA120">
        <v>0</v>
      </c>
      <c r="LB120">
        <v>0</v>
      </c>
      <c r="LC120">
        <v>0</v>
      </c>
      <c r="LD120">
        <v>0</v>
      </c>
      <c r="LE120">
        <v>0</v>
      </c>
      <c r="LF120">
        <v>0</v>
      </c>
      <c r="LG120">
        <v>0</v>
      </c>
      <c r="LH120">
        <v>0</v>
      </c>
      <c r="LI120">
        <v>0</v>
      </c>
      <c r="LJ120">
        <v>0</v>
      </c>
      <c r="LK120">
        <v>0</v>
      </c>
      <c r="LL120">
        <v>0</v>
      </c>
      <c r="LM120">
        <v>0</v>
      </c>
      <c r="LN120">
        <v>0</v>
      </c>
      <c r="LO120">
        <v>0</v>
      </c>
      <c r="LP120">
        <v>0</v>
      </c>
      <c r="LQ120">
        <v>0</v>
      </c>
      <c r="LR120">
        <v>0</v>
      </c>
      <c r="LS120">
        <v>0</v>
      </c>
      <c r="LT120">
        <v>0</v>
      </c>
      <c r="LU120">
        <v>0</v>
      </c>
      <c r="LV120">
        <v>0</v>
      </c>
      <c r="LW120">
        <v>0</v>
      </c>
      <c r="LX120">
        <v>0</v>
      </c>
      <c r="LY120">
        <v>0</v>
      </c>
      <c r="LZ120">
        <v>0</v>
      </c>
      <c r="MA120">
        <v>0</v>
      </c>
      <c r="MB120">
        <v>0</v>
      </c>
      <c r="MC120">
        <v>0</v>
      </c>
      <c r="MD120">
        <v>0</v>
      </c>
      <c r="ME120">
        <v>0</v>
      </c>
      <c r="MF120">
        <v>0</v>
      </c>
      <c r="MG120">
        <v>0</v>
      </c>
      <c r="MH120">
        <v>0</v>
      </c>
      <c r="MI120">
        <v>0</v>
      </c>
      <c r="MJ120">
        <v>0</v>
      </c>
      <c r="MK120">
        <v>0</v>
      </c>
      <c r="ML120">
        <v>0</v>
      </c>
      <c r="MM120">
        <v>0</v>
      </c>
      <c r="MN120">
        <v>0</v>
      </c>
      <c r="MO120">
        <v>0</v>
      </c>
      <c r="MP120">
        <v>0</v>
      </c>
      <c r="MQ120">
        <v>0</v>
      </c>
      <c r="MR120">
        <v>0</v>
      </c>
      <c r="MS120">
        <v>0</v>
      </c>
      <c r="MT120">
        <v>0</v>
      </c>
      <c r="MU120">
        <v>0</v>
      </c>
      <c r="MV120">
        <v>0</v>
      </c>
      <c r="MW120">
        <v>0</v>
      </c>
      <c r="MX120">
        <v>0</v>
      </c>
      <c r="MY120">
        <v>0</v>
      </c>
      <c r="MZ120">
        <v>0</v>
      </c>
      <c r="NA120">
        <v>0</v>
      </c>
      <c r="NB120">
        <v>0</v>
      </c>
      <c r="NC120">
        <v>0</v>
      </c>
      <c r="ND120">
        <v>0</v>
      </c>
      <c r="NE120">
        <v>0</v>
      </c>
      <c r="NF120">
        <v>0</v>
      </c>
      <c r="NG120">
        <v>0</v>
      </c>
      <c r="NH120">
        <v>0</v>
      </c>
      <c r="NI120">
        <v>0</v>
      </c>
      <c r="NJ120">
        <v>0</v>
      </c>
      <c r="NK120">
        <v>0</v>
      </c>
      <c r="NL120">
        <v>0</v>
      </c>
      <c r="NM120">
        <v>0</v>
      </c>
      <c r="NN120">
        <v>0</v>
      </c>
      <c r="NO120">
        <v>0</v>
      </c>
      <c r="NP120">
        <v>0</v>
      </c>
      <c r="NQ120">
        <v>0</v>
      </c>
      <c r="NR120">
        <v>0</v>
      </c>
      <c r="NS120">
        <v>0</v>
      </c>
      <c r="NT120">
        <v>0</v>
      </c>
      <c r="NU120">
        <v>0</v>
      </c>
      <c r="NV120">
        <v>0</v>
      </c>
      <c r="NW120">
        <v>0</v>
      </c>
      <c r="NX120">
        <v>0</v>
      </c>
      <c r="NY120">
        <v>0</v>
      </c>
      <c r="NZ120">
        <v>0</v>
      </c>
      <c r="OA120">
        <v>0</v>
      </c>
      <c r="OB120">
        <v>0</v>
      </c>
      <c r="OC120">
        <v>0</v>
      </c>
      <c r="OD120">
        <v>0</v>
      </c>
      <c r="OE120">
        <v>0</v>
      </c>
      <c r="OF120">
        <v>0</v>
      </c>
      <c r="OG120">
        <v>0</v>
      </c>
      <c r="OH120">
        <v>0</v>
      </c>
      <c r="OI120">
        <v>0</v>
      </c>
      <c r="OJ120">
        <v>0</v>
      </c>
      <c r="OK120">
        <v>0</v>
      </c>
      <c r="OL120">
        <v>0</v>
      </c>
      <c r="OM120">
        <v>0</v>
      </c>
      <c r="ON120">
        <v>0</v>
      </c>
      <c r="OO120">
        <v>0</v>
      </c>
      <c r="OP120">
        <v>0</v>
      </c>
      <c r="OQ120">
        <v>0</v>
      </c>
      <c r="OR120">
        <v>0</v>
      </c>
      <c r="OS120">
        <v>0</v>
      </c>
      <c r="OT120">
        <v>0</v>
      </c>
      <c r="OU120">
        <v>0</v>
      </c>
      <c r="OV120">
        <v>0</v>
      </c>
      <c r="OW120">
        <v>0</v>
      </c>
      <c r="OX120">
        <v>0</v>
      </c>
      <c r="OY120">
        <v>0</v>
      </c>
      <c r="OZ120">
        <v>0</v>
      </c>
      <c r="PA120">
        <v>0</v>
      </c>
      <c r="PB120">
        <v>0</v>
      </c>
      <c r="PC120">
        <v>0</v>
      </c>
      <c r="PD120">
        <v>0</v>
      </c>
      <c r="PE120">
        <v>0</v>
      </c>
      <c r="PF120">
        <v>0</v>
      </c>
      <c r="PG120">
        <v>0</v>
      </c>
      <c r="PH120">
        <v>0</v>
      </c>
      <c r="PI120">
        <v>0</v>
      </c>
      <c r="PJ120">
        <v>0</v>
      </c>
      <c r="PK120">
        <v>0</v>
      </c>
      <c r="PL120">
        <v>0</v>
      </c>
      <c r="PM120">
        <v>0</v>
      </c>
      <c r="PN120">
        <v>0</v>
      </c>
      <c r="PO120">
        <v>0</v>
      </c>
      <c r="PP120">
        <v>0</v>
      </c>
      <c r="PQ120">
        <v>0</v>
      </c>
      <c r="PR120">
        <v>0</v>
      </c>
      <c r="PS120">
        <v>0</v>
      </c>
      <c r="PT120">
        <v>0</v>
      </c>
      <c r="PU120">
        <v>0</v>
      </c>
      <c r="PV120">
        <v>0</v>
      </c>
      <c r="PW120">
        <v>0</v>
      </c>
      <c r="PX120">
        <v>0</v>
      </c>
      <c r="PY120">
        <v>0</v>
      </c>
      <c r="PZ120">
        <v>0</v>
      </c>
      <c r="QA120">
        <v>0</v>
      </c>
      <c r="QB120">
        <v>0</v>
      </c>
      <c r="QC120">
        <v>0</v>
      </c>
      <c r="QD120">
        <v>0</v>
      </c>
      <c r="QE120">
        <v>0</v>
      </c>
      <c r="QF120">
        <v>0</v>
      </c>
      <c r="QG120">
        <v>0</v>
      </c>
      <c r="QH120">
        <v>0</v>
      </c>
      <c r="QI120">
        <v>0</v>
      </c>
      <c r="QJ120">
        <v>0</v>
      </c>
      <c r="QK120">
        <v>0</v>
      </c>
      <c r="QL120">
        <v>0</v>
      </c>
      <c r="QM120">
        <v>0</v>
      </c>
      <c r="QN120">
        <v>0</v>
      </c>
      <c r="QO120">
        <v>0</v>
      </c>
      <c r="QP120">
        <v>0</v>
      </c>
      <c r="QQ120">
        <v>0</v>
      </c>
      <c r="QR120">
        <v>0</v>
      </c>
      <c r="QS120">
        <v>0</v>
      </c>
      <c r="QT120">
        <v>0</v>
      </c>
      <c r="QU120">
        <v>0</v>
      </c>
      <c r="QV120">
        <v>0</v>
      </c>
      <c r="QW120">
        <v>0</v>
      </c>
      <c r="QX120">
        <v>0</v>
      </c>
      <c r="QY120">
        <v>0</v>
      </c>
      <c r="QZ120">
        <v>0</v>
      </c>
      <c r="RA120">
        <v>0</v>
      </c>
      <c r="RB120">
        <v>0</v>
      </c>
      <c r="RC120">
        <v>0</v>
      </c>
      <c r="RD120">
        <v>0</v>
      </c>
      <c r="RE120">
        <v>0</v>
      </c>
      <c r="RF120">
        <v>0</v>
      </c>
      <c r="RG120">
        <v>0</v>
      </c>
      <c r="RH120">
        <v>0</v>
      </c>
      <c r="RI120">
        <v>0</v>
      </c>
      <c r="RJ120">
        <v>0</v>
      </c>
      <c r="RK120">
        <v>1</v>
      </c>
      <c r="RL120">
        <v>1</v>
      </c>
      <c r="RM120">
        <v>1</v>
      </c>
      <c r="RN120">
        <v>1</v>
      </c>
      <c r="RO120">
        <v>1</v>
      </c>
      <c r="RP120">
        <v>1</v>
      </c>
      <c r="RQ120">
        <v>1</v>
      </c>
      <c r="RR120">
        <v>1</v>
      </c>
      <c r="RS120">
        <v>1</v>
      </c>
      <c r="RT120">
        <v>1</v>
      </c>
      <c r="RU120">
        <v>1</v>
      </c>
      <c r="RV120">
        <v>1</v>
      </c>
      <c r="RW120">
        <v>1</v>
      </c>
      <c r="RX120">
        <v>1</v>
      </c>
      <c r="RY120">
        <v>1</v>
      </c>
      <c r="RZ120">
        <v>1</v>
      </c>
      <c r="SA120">
        <v>1</v>
      </c>
      <c r="SB120">
        <v>1</v>
      </c>
      <c r="SC120">
        <v>1</v>
      </c>
      <c r="SD120">
        <v>1</v>
      </c>
      <c r="SE120">
        <v>1</v>
      </c>
      <c r="SF120">
        <v>1</v>
      </c>
      <c r="SG120">
        <v>1</v>
      </c>
      <c r="SH120">
        <v>1</v>
      </c>
      <c r="SI120">
        <v>1</v>
      </c>
      <c r="SJ120">
        <v>1</v>
      </c>
      <c r="SK120">
        <v>1</v>
      </c>
      <c r="SL120">
        <v>0</v>
      </c>
      <c r="SM120">
        <v>0</v>
      </c>
      <c r="SN120">
        <v>0</v>
      </c>
      <c r="SO120">
        <v>0</v>
      </c>
      <c r="SP120">
        <v>0</v>
      </c>
      <c r="SQ120">
        <v>0</v>
      </c>
      <c r="SR120">
        <v>0</v>
      </c>
      <c r="SS120">
        <v>0</v>
      </c>
      <c r="ST120">
        <v>0</v>
      </c>
      <c r="SU120">
        <v>0</v>
      </c>
      <c r="SV120">
        <v>0</v>
      </c>
      <c r="SW120">
        <v>0</v>
      </c>
      <c r="SX120">
        <v>0</v>
      </c>
      <c r="SY120">
        <v>0</v>
      </c>
      <c r="SZ120">
        <v>0</v>
      </c>
      <c r="TA120">
        <v>0</v>
      </c>
      <c r="TB120">
        <v>0</v>
      </c>
      <c r="TC120">
        <v>0</v>
      </c>
      <c r="TD120">
        <v>0</v>
      </c>
      <c r="TE120">
        <v>0</v>
      </c>
      <c r="TF120">
        <v>0</v>
      </c>
      <c r="TG120">
        <v>0</v>
      </c>
      <c r="TH120">
        <v>0</v>
      </c>
      <c r="TI120">
        <v>0</v>
      </c>
      <c r="TJ120">
        <v>0</v>
      </c>
      <c r="TK120">
        <v>0</v>
      </c>
      <c r="TL120">
        <v>0</v>
      </c>
      <c r="TM120">
        <v>0</v>
      </c>
      <c r="TN120">
        <v>0</v>
      </c>
      <c r="TO120">
        <v>0</v>
      </c>
      <c r="TP120">
        <v>0</v>
      </c>
      <c r="TQ120">
        <v>0</v>
      </c>
      <c r="TR120">
        <v>0</v>
      </c>
      <c r="TS120">
        <v>0</v>
      </c>
      <c r="TT120">
        <v>0</v>
      </c>
      <c r="TU120">
        <v>0</v>
      </c>
      <c r="TV120">
        <v>0</v>
      </c>
      <c r="TW120">
        <v>0</v>
      </c>
      <c r="TX120">
        <v>0</v>
      </c>
      <c r="TY120">
        <v>0</v>
      </c>
      <c r="TZ120">
        <v>0</v>
      </c>
      <c r="UA120">
        <v>0</v>
      </c>
      <c r="UB120">
        <v>0</v>
      </c>
      <c r="UC120">
        <v>0</v>
      </c>
      <c r="UD120">
        <v>0</v>
      </c>
      <c r="UE120">
        <v>0</v>
      </c>
      <c r="UF120">
        <v>0</v>
      </c>
      <c r="UG120">
        <v>0</v>
      </c>
      <c r="UH120">
        <v>0</v>
      </c>
      <c r="UI120">
        <v>0</v>
      </c>
      <c r="UJ120">
        <v>0</v>
      </c>
      <c r="UK120">
        <v>0</v>
      </c>
      <c r="UL120">
        <v>0</v>
      </c>
      <c r="UM120">
        <v>0</v>
      </c>
      <c r="UN120">
        <v>0</v>
      </c>
      <c r="UO120">
        <v>0</v>
      </c>
      <c r="UP120">
        <v>0</v>
      </c>
      <c r="UQ120">
        <v>0</v>
      </c>
      <c r="UR120">
        <v>0</v>
      </c>
      <c r="US120">
        <v>0</v>
      </c>
      <c r="UT120">
        <v>0</v>
      </c>
      <c r="UU120">
        <v>0</v>
      </c>
      <c r="UV120">
        <v>0</v>
      </c>
      <c r="UW120">
        <v>0</v>
      </c>
      <c r="UX120">
        <v>0</v>
      </c>
      <c r="UY120">
        <v>0</v>
      </c>
      <c r="UZ120">
        <v>0</v>
      </c>
      <c r="VA120">
        <v>0</v>
      </c>
      <c r="VB120">
        <v>0</v>
      </c>
      <c r="VC120">
        <v>0</v>
      </c>
      <c r="VD120">
        <v>0</v>
      </c>
      <c r="VE120">
        <v>0</v>
      </c>
      <c r="VF120">
        <v>0</v>
      </c>
      <c r="VG120">
        <v>0</v>
      </c>
      <c r="VH120">
        <v>0</v>
      </c>
      <c r="VI120">
        <v>0</v>
      </c>
      <c r="VJ120">
        <v>0</v>
      </c>
      <c r="VK120">
        <v>0</v>
      </c>
      <c r="VL120">
        <v>0</v>
      </c>
      <c r="VM120">
        <v>0</v>
      </c>
      <c r="VN120">
        <v>0</v>
      </c>
      <c r="VO120">
        <v>0</v>
      </c>
      <c r="VP120">
        <v>0</v>
      </c>
      <c r="VQ120">
        <v>0</v>
      </c>
      <c r="VR120">
        <v>0</v>
      </c>
      <c r="VS120">
        <v>0</v>
      </c>
      <c r="VT120">
        <v>0</v>
      </c>
      <c r="VU120">
        <v>0</v>
      </c>
      <c r="VV120">
        <v>0</v>
      </c>
      <c r="VW120">
        <v>0</v>
      </c>
      <c r="VX120">
        <v>0</v>
      </c>
      <c r="VY120">
        <v>1</v>
      </c>
      <c r="VZ120">
        <v>1</v>
      </c>
      <c r="WA120">
        <v>1</v>
      </c>
      <c r="WB120">
        <v>1</v>
      </c>
      <c r="WC120">
        <v>1</v>
      </c>
      <c r="WD120">
        <v>1</v>
      </c>
      <c r="WE120">
        <v>1</v>
      </c>
      <c r="WF120">
        <v>1</v>
      </c>
      <c r="WG120">
        <v>1</v>
      </c>
      <c r="WH120">
        <v>1</v>
      </c>
      <c r="WI120">
        <v>1</v>
      </c>
      <c r="WJ120">
        <v>1</v>
      </c>
      <c r="WK120">
        <v>1</v>
      </c>
      <c r="WL120">
        <v>1</v>
      </c>
      <c r="WM120">
        <v>1</v>
      </c>
      <c r="WN120">
        <v>1</v>
      </c>
      <c r="WO120">
        <v>1</v>
      </c>
      <c r="WP120">
        <v>1</v>
      </c>
      <c r="WQ120">
        <v>1</v>
      </c>
      <c r="WR120">
        <v>1</v>
      </c>
      <c r="WS120">
        <v>1</v>
      </c>
      <c r="WT120">
        <v>1</v>
      </c>
      <c r="WU120">
        <v>1</v>
      </c>
      <c r="WV120">
        <v>1</v>
      </c>
      <c r="WW120">
        <v>1</v>
      </c>
      <c r="WX120">
        <v>1</v>
      </c>
      <c r="WY120">
        <v>0</v>
      </c>
      <c r="WZ120">
        <v>0</v>
      </c>
      <c r="XA120">
        <v>0</v>
      </c>
      <c r="XB120">
        <v>0</v>
      </c>
      <c r="XC120">
        <v>0</v>
      </c>
      <c r="XD120">
        <v>0</v>
      </c>
      <c r="XE120">
        <v>0</v>
      </c>
      <c r="XF120">
        <v>0</v>
      </c>
      <c r="XG120">
        <v>0</v>
      </c>
      <c r="XH120">
        <v>1</v>
      </c>
      <c r="XI120">
        <v>1</v>
      </c>
      <c r="XJ120">
        <v>1</v>
      </c>
      <c r="XK120">
        <v>1</v>
      </c>
      <c r="XL120">
        <v>1</v>
      </c>
      <c r="XM120">
        <v>1</v>
      </c>
      <c r="XN120">
        <v>1</v>
      </c>
      <c r="XO120">
        <v>1</v>
      </c>
      <c r="XP120">
        <v>1</v>
      </c>
      <c r="XQ120">
        <v>1</v>
      </c>
      <c r="XR120">
        <v>1</v>
      </c>
      <c r="XS120">
        <v>1</v>
      </c>
      <c r="XT120">
        <v>1</v>
      </c>
      <c r="XU120">
        <v>1</v>
      </c>
      <c r="XV120">
        <v>1</v>
      </c>
      <c r="XW120">
        <v>1</v>
      </c>
      <c r="XX120">
        <v>1</v>
      </c>
      <c r="XY120">
        <v>1</v>
      </c>
      <c r="XZ120">
        <v>1</v>
      </c>
      <c r="YA120">
        <v>1</v>
      </c>
      <c r="YB120">
        <v>1</v>
      </c>
      <c r="YC120">
        <v>0</v>
      </c>
      <c r="YD120">
        <v>0</v>
      </c>
      <c r="YE120">
        <v>0</v>
      </c>
      <c r="YF120">
        <v>0</v>
      </c>
      <c r="YG120">
        <v>0</v>
      </c>
      <c r="YH120">
        <v>0</v>
      </c>
      <c r="YI120">
        <v>0</v>
      </c>
      <c r="YJ120">
        <v>0</v>
      </c>
      <c r="YK120">
        <v>0</v>
      </c>
      <c r="YL120">
        <v>0</v>
      </c>
      <c r="YM120">
        <v>0</v>
      </c>
      <c r="YN120">
        <v>0</v>
      </c>
      <c r="YO120">
        <v>0</v>
      </c>
      <c r="YP120">
        <v>1</v>
      </c>
      <c r="YQ120">
        <v>1</v>
      </c>
      <c r="YR120">
        <v>1</v>
      </c>
      <c r="YS120">
        <v>1</v>
      </c>
      <c r="YT120">
        <v>1</v>
      </c>
      <c r="YU120">
        <v>1</v>
      </c>
      <c r="YV120">
        <v>1</v>
      </c>
      <c r="YW120">
        <v>0</v>
      </c>
      <c r="YX120">
        <v>0</v>
      </c>
      <c r="YY120">
        <v>0</v>
      </c>
      <c r="YZ120">
        <v>0</v>
      </c>
      <c r="ZA120">
        <v>0</v>
      </c>
      <c r="ZB120">
        <v>0</v>
      </c>
      <c r="ZC120">
        <v>0</v>
      </c>
      <c r="ZD120">
        <v>0</v>
      </c>
      <c r="ZE120">
        <v>0</v>
      </c>
      <c r="ZF120">
        <v>0</v>
      </c>
      <c r="ZG120">
        <v>0</v>
      </c>
      <c r="ZH120">
        <v>0</v>
      </c>
      <c r="ZI120">
        <v>0</v>
      </c>
      <c r="ZJ120">
        <v>0</v>
      </c>
      <c r="ZK120">
        <v>0</v>
      </c>
      <c r="ZL120">
        <v>0</v>
      </c>
      <c r="ZM120">
        <v>0</v>
      </c>
      <c r="ZN120">
        <v>0</v>
      </c>
      <c r="ZO120">
        <v>0</v>
      </c>
      <c r="ZP120">
        <v>0</v>
      </c>
      <c r="ZQ120">
        <v>0</v>
      </c>
      <c r="ZR120">
        <v>0</v>
      </c>
      <c r="ZS120">
        <v>0</v>
      </c>
      <c r="ZT120">
        <v>0</v>
      </c>
      <c r="ZU120">
        <v>0</v>
      </c>
      <c r="ZV120">
        <v>0</v>
      </c>
      <c r="ZW120">
        <v>0</v>
      </c>
      <c r="ZX120">
        <v>0</v>
      </c>
      <c r="ZY120">
        <v>0</v>
      </c>
      <c r="ZZ120">
        <v>0</v>
      </c>
      <c r="AAA120">
        <v>1</v>
      </c>
      <c r="AAB120">
        <v>1</v>
      </c>
      <c r="AAC120">
        <v>1</v>
      </c>
      <c r="AAD120">
        <v>1</v>
      </c>
      <c r="AAE120">
        <v>1</v>
      </c>
      <c r="AAF120">
        <v>1</v>
      </c>
      <c r="AAG120">
        <v>1</v>
      </c>
      <c r="AAH120">
        <v>1</v>
      </c>
      <c r="AAI120">
        <v>1</v>
      </c>
      <c r="AAJ120">
        <v>1</v>
      </c>
      <c r="AAK120">
        <v>1</v>
      </c>
      <c r="AAL120">
        <v>1</v>
      </c>
      <c r="AAM120">
        <v>1</v>
      </c>
      <c r="AAN120">
        <v>1</v>
      </c>
      <c r="AAO120">
        <v>1</v>
      </c>
      <c r="AAP120">
        <v>1</v>
      </c>
      <c r="AAQ120">
        <v>1</v>
      </c>
      <c r="AAR120">
        <v>1</v>
      </c>
      <c r="AAS120">
        <v>1</v>
      </c>
      <c r="AAT120">
        <v>1</v>
      </c>
      <c r="AAU120">
        <v>0</v>
      </c>
      <c r="AAV120">
        <v>0</v>
      </c>
      <c r="AAW120">
        <v>0</v>
      </c>
      <c r="AAX120">
        <v>0</v>
      </c>
      <c r="AAY120">
        <v>0</v>
      </c>
      <c r="AAZ120">
        <v>0</v>
      </c>
      <c r="ABA120">
        <v>0</v>
      </c>
      <c r="ABB120">
        <v>0</v>
      </c>
      <c r="ABC120">
        <v>0</v>
      </c>
      <c r="ABD120">
        <v>0</v>
      </c>
      <c r="ABE120">
        <v>0</v>
      </c>
      <c r="ABG120" s="1137">
        <f t="shared" si="30"/>
        <v>0</v>
      </c>
      <c r="ABH120" s="1137">
        <f t="shared" si="30"/>
        <v>0</v>
      </c>
      <c r="ABI120" s="1137">
        <f t="shared" si="30"/>
        <v>3</v>
      </c>
      <c r="ABJ120" s="1137">
        <f t="shared" si="30"/>
        <v>30</v>
      </c>
      <c r="ABK120" s="1137">
        <f t="shared" si="30"/>
        <v>31</v>
      </c>
      <c r="ABL120" s="1137">
        <f t="shared" si="30"/>
        <v>30</v>
      </c>
      <c r="ABM120" s="1137">
        <f t="shared" si="30"/>
        <v>9</v>
      </c>
      <c r="ABN120" s="1137">
        <f t="shared" si="30"/>
        <v>0</v>
      </c>
      <c r="ABO120" s="1137">
        <f t="shared" si="30"/>
        <v>0</v>
      </c>
      <c r="ABP120" s="1137">
        <f t="shared" si="30"/>
        <v>0</v>
      </c>
      <c r="ABQ120" s="1137">
        <f t="shared" si="30"/>
        <v>0</v>
      </c>
      <c r="ABR120" s="1137">
        <f t="shared" si="30"/>
        <v>0</v>
      </c>
      <c r="ABS120" s="1137">
        <f t="shared" si="30"/>
        <v>0</v>
      </c>
      <c r="ABT120" s="1137">
        <f t="shared" si="30"/>
        <v>0</v>
      </c>
      <c r="ABU120" s="1137">
        <f t="shared" si="30"/>
        <v>0</v>
      </c>
      <c r="ABV120" s="1137">
        <f t="shared" si="30"/>
        <v>10</v>
      </c>
      <c r="ABW120" s="1137">
        <f t="shared" si="31"/>
        <v>17</v>
      </c>
      <c r="ABX120" s="1137">
        <f t="shared" si="23"/>
        <v>0</v>
      </c>
      <c r="ABY120" s="1137">
        <f t="shared" si="23"/>
        <v>0</v>
      </c>
      <c r="ABZ120" s="1137">
        <f t="shared" si="23"/>
        <v>15</v>
      </c>
      <c r="ACA120" s="1137">
        <f t="shared" si="23"/>
        <v>21</v>
      </c>
      <c r="ACB120" s="1137">
        <f t="shared" si="23"/>
        <v>18</v>
      </c>
      <c r="ACC120" s="1137">
        <f t="shared" si="23"/>
        <v>0</v>
      </c>
      <c r="ACD120" s="1137">
        <f t="shared" si="23"/>
        <v>20</v>
      </c>
      <c r="ACE120" s="1137" t="s">
        <v>47</v>
      </c>
      <c r="ACF120" s="1137">
        <f t="shared" ref="ACF120:ACP143" si="33">IF(ABG120&gt;10, 1, 0)</f>
        <v>0</v>
      </c>
      <c r="ACG120" s="1137">
        <f t="shared" si="33"/>
        <v>0</v>
      </c>
      <c r="ACH120" s="1137">
        <f t="shared" si="33"/>
        <v>0</v>
      </c>
      <c r="ACI120" s="1137">
        <f t="shared" si="33"/>
        <v>1</v>
      </c>
      <c r="ACJ120" s="1137">
        <f t="shared" si="33"/>
        <v>1</v>
      </c>
      <c r="ACK120" s="1137">
        <f t="shared" si="33"/>
        <v>1</v>
      </c>
      <c r="ACL120" s="1137">
        <f t="shared" si="33"/>
        <v>0</v>
      </c>
      <c r="ACM120" s="1137">
        <f t="shared" si="33"/>
        <v>0</v>
      </c>
      <c r="ACN120" s="1137">
        <f t="shared" si="33"/>
        <v>0</v>
      </c>
      <c r="ACO120" s="1137">
        <f t="shared" si="33"/>
        <v>0</v>
      </c>
      <c r="ACP120" s="1137">
        <f t="shared" si="33"/>
        <v>0</v>
      </c>
      <c r="ACQ120" s="1137">
        <f t="shared" si="32"/>
        <v>0</v>
      </c>
      <c r="ACR120" s="1137">
        <f t="shared" si="32"/>
        <v>0</v>
      </c>
      <c r="ACS120" s="1137">
        <f t="shared" si="32"/>
        <v>0</v>
      </c>
      <c r="ACT120" s="1137">
        <f t="shared" si="32"/>
        <v>0</v>
      </c>
      <c r="ACU120" s="1137">
        <f t="shared" si="32"/>
        <v>0</v>
      </c>
      <c r="ACV120" s="1137">
        <f t="shared" si="24"/>
        <v>1</v>
      </c>
      <c r="ACW120" s="1137">
        <f t="shared" si="24"/>
        <v>0</v>
      </c>
      <c r="ACX120" s="1137">
        <f t="shared" si="24"/>
        <v>0</v>
      </c>
      <c r="ACY120" s="1137">
        <f t="shared" si="24"/>
        <v>1</v>
      </c>
      <c r="ACZ120" s="1137">
        <f t="shared" si="24"/>
        <v>1</v>
      </c>
      <c r="ADA120" s="1137">
        <f t="shared" si="24"/>
        <v>1</v>
      </c>
      <c r="ADB120" s="1137">
        <f t="shared" si="24"/>
        <v>0</v>
      </c>
      <c r="ADC120" s="1137">
        <f t="shared" si="24"/>
        <v>1</v>
      </c>
    </row>
    <row r="121" spans="1:783" x14ac:dyDescent="0.25">
      <c r="A121" t="s">
        <v>1920</v>
      </c>
      <c r="B121" t="s">
        <v>218</v>
      </c>
      <c r="C121">
        <v>0</v>
      </c>
      <c r="D121">
        <v>0</v>
      </c>
      <c r="E121">
        <v>0</v>
      </c>
      <c r="F121">
        <v>0</v>
      </c>
      <c r="G121">
        <v>0</v>
      </c>
      <c r="H121">
        <v>0</v>
      </c>
      <c r="I121">
        <v>0</v>
      </c>
      <c r="J121">
        <v>0</v>
      </c>
      <c r="K121">
        <v>0</v>
      </c>
      <c r="L121">
        <v>0</v>
      </c>
      <c r="M121">
        <v>0</v>
      </c>
      <c r="N121">
        <v>0</v>
      </c>
      <c r="O121">
        <v>0</v>
      </c>
      <c r="P121">
        <v>0</v>
      </c>
      <c r="Q121">
        <v>0</v>
      </c>
      <c r="R121">
        <v>0</v>
      </c>
      <c r="S121">
        <v>0</v>
      </c>
      <c r="T121">
        <v>0</v>
      </c>
      <c r="U121">
        <v>0</v>
      </c>
      <c r="V121">
        <v>0</v>
      </c>
      <c r="W121">
        <v>0</v>
      </c>
      <c r="X121">
        <v>0</v>
      </c>
      <c r="Y121">
        <v>0</v>
      </c>
      <c r="Z121">
        <v>0</v>
      </c>
      <c r="AA121">
        <v>0</v>
      </c>
      <c r="AB121">
        <v>0</v>
      </c>
      <c r="AC121">
        <v>0</v>
      </c>
      <c r="AD121">
        <v>0</v>
      </c>
      <c r="AE121">
        <v>0</v>
      </c>
      <c r="AF121">
        <v>0</v>
      </c>
      <c r="AG121">
        <v>0</v>
      </c>
      <c r="AH121">
        <v>0</v>
      </c>
      <c r="AI121">
        <v>0</v>
      </c>
      <c r="AJ121">
        <v>0</v>
      </c>
      <c r="AK121">
        <v>0</v>
      </c>
      <c r="AL121">
        <v>0</v>
      </c>
      <c r="AM121">
        <v>0</v>
      </c>
      <c r="AN121">
        <v>0</v>
      </c>
      <c r="AO121">
        <v>0</v>
      </c>
      <c r="AP121">
        <v>0</v>
      </c>
      <c r="AQ121">
        <v>0</v>
      </c>
      <c r="AR121">
        <v>0</v>
      </c>
      <c r="AS121">
        <v>0</v>
      </c>
      <c r="AT121">
        <v>0</v>
      </c>
      <c r="AU121">
        <v>0</v>
      </c>
      <c r="AV121">
        <v>0</v>
      </c>
      <c r="AW121">
        <v>0</v>
      </c>
      <c r="AX121">
        <v>0</v>
      </c>
      <c r="AY121">
        <v>0</v>
      </c>
      <c r="AZ121">
        <v>0</v>
      </c>
      <c r="BA121">
        <v>0</v>
      </c>
      <c r="BB121">
        <v>0</v>
      </c>
      <c r="BC121">
        <v>0</v>
      </c>
      <c r="BD121">
        <v>0</v>
      </c>
      <c r="BE121">
        <v>0</v>
      </c>
      <c r="BF121">
        <v>0</v>
      </c>
      <c r="BG121">
        <v>0</v>
      </c>
      <c r="BH121">
        <v>0</v>
      </c>
      <c r="BI121">
        <v>0</v>
      </c>
      <c r="BJ121">
        <v>0</v>
      </c>
      <c r="BK121">
        <v>0</v>
      </c>
      <c r="BL121">
        <v>0</v>
      </c>
      <c r="BM121">
        <v>0</v>
      </c>
      <c r="BN121">
        <v>0</v>
      </c>
      <c r="BO121">
        <v>0</v>
      </c>
      <c r="BP121">
        <v>0</v>
      </c>
      <c r="BQ121">
        <v>0</v>
      </c>
      <c r="BR121">
        <v>0</v>
      </c>
      <c r="BS121">
        <v>0</v>
      </c>
      <c r="BT121">
        <v>0</v>
      </c>
      <c r="BU121">
        <v>0</v>
      </c>
      <c r="BV121">
        <v>0</v>
      </c>
      <c r="BW121">
        <v>0</v>
      </c>
      <c r="BX121">
        <v>0</v>
      </c>
      <c r="BY121">
        <v>0</v>
      </c>
      <c r="BZ121">
        <v>0</v>
      </c>
      <c r="CA121">
        <v>0</v>
      </c>
      <c r="CB121">
        <v>0</v>
      </c>
      <c r="CC121">
        <v>0</v>
      </c>
      <c r="CD121">
        <v>0</v>
      </c>
      <c r="CE121">
        <v>0</v>
      </c>
      <c r="CF121">
        <v>0</v>
      </c>
      <c r="CG121">
        <v>1</v>
      </c>
      <c r="CH121">
        <v>1</v>
      </c>
      <c r="CI121">
        <v>1</v>
      </c>
      <c r="CJ121">
        <v>1</v>
      </c>
      <c r="CK121">
        <v>1</v>
      </c>
      <c r="CL121">
        <v>1</v>
      </c>
      <c r="CM121">
        <v>1</v>
      </c>
      <c r="CN121">
        <v>1</v>
      </c>
      <c r="CO121">
        <v>1</v>
      </c>
      <c r="CP121">
        <v>1</v>
      </c>
      <c r="CQ121">
        <v>1</v>
      </c>
      <c r="CR121">
        <v>1</v>
      </c>
      <c r="CS121">
        <v>1</v>
      </c>
      <c r="CT121">
        <v>1</v>
      </c>
      <c r="CU121">
        <v>1</v>
      </c>
      <c r="CV121">
        <v>1</v>
      </c>
      <c r="CW121">
        <v>1</v>
      </c>
      <c r="CX121">
        <v>1</v>
      </c>
      <c r="CY121">
        <v>1</v>
      </c>
      <c r="CZ121">
        <v>1</v>
      </c>
      <c r="DA121">
        <v>1</v>
      </c>
      <c r="DB121">
        <v>1</v>
      </c>
      <c r="DC121">
        <v>1</v>
      </c>
      <c r="DD121">
        <v>1</v>
      </c>
      <c r="DE121">
        <v>1</v>
      </c>
      <c r="DF121">
        <v>1</v>
      </c>
      <c r="DG121">
        <v>1</v>
      </c>
      <c r="DH121">
        <v>1</v>
      </c>
      <c r="DI121">
        <v>1</v>
      </c>
      <c r="DJ121">
        <v>1</v>
      </c>
      <c r="DK121">
        <v>1</v>
      </c>
      <c r="DL121">
        <v>1</v>
      </c>
      <c r="DM121">
        <v>1</v>
      </c>
      <c r="DN121">
        <v>1</v>
      </c>
      <c r="DO121">
        <v>1</v>
      </c>
      <c r="DP121">
        <v>1</v>
      </c>
      <c r="DQ121">
        <v>1</v>
      </c>
      <c r="DR121">
        <v>1</v>
      </c>
      <c r="DS121">
        <v>1</v>
      </c>
      <c r="DT121">
        <v>1</v>
      </c>
      <c r="DU121">
        <v>1</v>
      </c>
      <c r="DV121">
        <v>1</v>
      </c>
      <c r="DW121">
        <v>1</v>
      </c>
      <c r="DX121">
        <v>1</v>
      </c>
      <c r="DY121">
        <v>1</v>
      </c>
      <c r="DZ121">
        <v>1</v>
      </c>
      <c r="EA121">
        <v>1</v>
      </c>
      <c r="EB121">
        <v>1</v>
      </c>
      <c r="EC121">
        <v>1</v>
      </c>
      <c r="ED121">
        <v>1</v>
      </c>
      <c r="EE121">
        <v>1</v>
      </c>
      <c r="EF121">
        <v>1</v>
      </c>
      <c r="EG121">
        <v>1</v>
      </c>
      <c r="EH121">
        <v>1</v>
      </c>
      <c r="EI121">
        <v>1</v>
      </c>
      <c r="EJ121">
        <v>1</v>
      </c>
      <c r="EK121">
        <v>1</v>
      </c>
      <c r="EL121">
        <v>1</v>
      </c>
      <c r="EM121">
        <v>1</v>
      </c>
      <c r="EN121">
        <v>1</v>
      </c>
      <c r="EO121">
        <v>1</v>
      </c>
      <c r="EP121">
        <v>1</v>
      </c>
      <c r="EQ121">
        <v>1</v>
      </c>
      <c r="ER121">
        <v>1</v>
      </c>
      <c r="ES121">
        <v>1</v>
      </c>
      <c r="ET121">
        <v>1</v>
      </c>
      <c r="EU121">
        <v>1</v>
      </c>
      <c r="EV121">
        <v>1</v>
      </c>
      <c r="EW121">
        <v>0</v>
      </c>
      <c r="EX121">
        <v>0</v>
      </c>
      <c r="EY121">
        <v>0</v>
      </c>
      <c r="EZ121">
        <v>0</v>
      </c>
      <c r="FA121">
        <v>0</v>
      </c>
      <c r="FB121">
        <v>0</v>
      </c>
      <c r="FC121">
        <v>0</v>
      </c>
      <c r="FD121">
        <v>0</v>
      </c>
      <c r="FE121">
        <v>0</v>
      </c>
      <c r="FF121">
        <v>0</v>
      </c>
      <c r="FG121">
        <v>0</v>
      </c>
      <c r="FH121">
        <v>0</v>
      </c>
      <c r="FI121">
        <v>0</v>
      </c>
      <c r="FJ121">
        <v>0</v>
      </c>
      <c r="FK121">
        <v>0</v>
      </c>
      <c r="FL121">
        <v>0</v>
      </c>
      <c r="FM121">
        <v>0</v>
      </c>
      <c r="FN121">
        <v>0</v>
      </c>
      <c r="FO121">
        <v>0</v>
      </c>
      <c r="FP121">
        <v>0</v>
      </c>
      <c r="FQ121">
        <v>0</v>
      </c>
      <c r="FR121">
        <v>0</v>
      </c>
      <c r="FS121">
        <v>0</v>
      </c>
      <c r="FT121">
        <v>0</v>
      </c>
      <c r="FU121">
        <v>0</v>
      </c>
      <c r="FV121">
        <v>0</v>
      </c>
      <c r="FW121">
        <v>0</v>
      </c>
      <c r="FX121">
        <v>0</v>
      </c>
      <c r="FY121">
        <v>0</v>
      </c>
      <c r="FZ121">
        <v>0</v>
      </c>
      <c r="GA121">
        <v>0</v>
      </c>
      <c r="GB121">
        <v>0</v>
      </c>
      <c r="GC121">
        <v>0</v>
      </c>
      <c r="GD121">
        <v>0</v>
      </c>
      <c r="GE121">
        <v>0</v>
      </c>
      <c r="GF121">
        <v>0</v>
      </c>
      <c r="GG121">
        <v>0</v>
      </c>
      <c r="GH121">
        <v>0</v>
      </c>
      <c r="GI121">
        <v>0</v>
      </c>
      <c r="GJ121">
        <v>0</v>
      </c>
      <c r="GK121">
        <v>0</v>
      </c>
      <c r="GL121">
        <v>0</v>
      </c>
      <c r="GM121">
        <v>0</v>
      </c>
      <c r="GN121">
        <v>0</v>
      </c>
      <c r="GO121">
        <v>0</v>
      </c>
      <c r="GP121">
        <v>0</v>
      </c>
      <c r="GQ121">
        <v>0</v>
      </c>
      <c r="GR121">
        <v>0</v>
      </c>
      <c r="GS121">
        <v>0</v>
      </c>
      <c r="GT121">
        <v>0</v>
      </c>
      <c r="GU121">
        <v>0</v>
      </c>
      <c r="GV121">
        <v>0</v>
      </c>
      <c r="GW121">
        <v>0</v>
      </c>
      <c r="GX121">
        <v>0</v>
      </c>
      <c r="GY121">
        <v>0</v>
      </c>
      <c r="GZ121">
        <v>0</v>
      </c>
      <c r="HA121">
        <v>0</v>
      </c>
      <c r="HB121">
        <v>0</v>
      </c>
      <c r="HC121">
        <v>0</v>
      </c>
      <c r="HD121">
        <v>0</v>
      </c>
      <c r="HE121">
        <v>0</v>
      </c>
      <c r="HF121">
        <v>0</v>
      </c>
      <c r="HG121">
        <v>0</v>
      </c>
      <c r="HH121">
        <v>0</v>
      </c>
      <c r="HI121">
        <v>0</v>
      </c>
      <c r="HJ121">
        <v>0</v>
      </c>
      <c r="HK121">
        <v>0</v>
      </c>
      <c r="HL121">
        <v>0</v>
      </c>
      <c r="HM121">
        <v>0</v>
      </c>
      <c r="HN121">
        <v>0</v>
      </c>
      <c r="HO121">
        <v>0</v>
      </c>
      <c r="HP121">
        <v>0</v>
      </c>
      <c r="HQ121">
        <v>0</v>
      </c>
      <c r="HR121">
        <v>0</v>
      </c>
      <c r="HS121">
        <v>0</v>
      </c>
      <c r="HT121">
        <v>0</v>
      </c>
      <c r="HU121">
        <v>0</v>
      </c>
      <c r="HV121">
        <v>0</v>
      </c>
      <c r="HW121">
        <v>0</v>
      </c>
      <c r="HX121">
        <v>0</v>
      </c>
      <c r="HY121">
        <v>0</v>
      </c>
      <c r="HZ121">
        <v>0</v>
      </c>
      <c r="IA121">
        <v>0</v>
      </c>
      <c r="IB121">
        <v>0</v>
      </c>
      <c r="IC121">
        <v>0</v>
      </c>
      <c r="ID121">
        <v>0</v>
      </c>
      <c r="IE121">
        <v>0</v>
      </c>
      <c r="IF121">
        <v>0</v>
      </c>
      <c r="IG121">
        <v>0</v>
      </c>
      <c r="IH121">
        <v>0</v>
      </c>
      <c r="II121">
        <v>0</v>
      </c>
      <c r="IJ121">
        <v>0</v>
      </c>
      <c r="IK121">
        <v>0</v>
      </c>
      <c r="IL121">
        <v>0</v>
      </c>
      <c r="IM121">
        <v>0</v>
      </c>
      <c r="IN121">
        <v>0</v>
      </c>
      <c r="IO121">
        <v>0</v>
      </c>
      <c r="IP121">
        <v>0</v>
      </c>
      <c r="IQ121">
        <v>0</v>
      </c>
      <c r="IR121">
        <v>0</v>
      </c>
      <c r="IS121">
        <v>0</v>
      </c>
      <c r="IT121">
        <v>0</v>
      </c>
      <c r="IU121">
        <v>0</v>
      </c>
      <c r="IV121">
        <v>0</v>
      </c>
      <c r="IW121">
        <v>0</v>
      </c>
      <c r="IX121">
        <v>0</v>
      </c>
      <c r="IY121">
        <v>0</v>
      </c>
      <c r="IZ121">
        <v>0</v>
      </c>
      <c r="JA121">
        <v>0</v>
      </c>
      <c r="JB121">
        <v>0</v>
      </c>
      <c r="JC121">
        <v>0</v>
      </c>
      <c r="JD121">
        <v>0</v>
      </c>
      <c r="JE121">
        <v>0</v>
      </c>
      <c r="JF121">
        <v>0</v>
      </c>
      <c r="JG121">
        <v>0</v>
      </c>
      <c r="JH121">
        <v>0</v>
      </c>
      <c r="JI121">
        <v>0</v>
      </c>
      <c r="JJ121">
        <v>0</v>
      </c>
      <c r="JK121">
        <v>0</v>
      </c>
      <c r="JL121">
        <v>0</v>
      </c>
      <c r="JM121">
        <v>0</v>
      </c>
      <c r="JN121">
        <v>0</v>
      </c>
      <c r="JO121">
        <v>0</v>
      </c>
      <c r="JP121">
        <v>0</v>
      </c>
      <c r="JQ121">
        <v>0</v>
      </c>
      <c r="JR121">
        <v>0</v>
      </c>
      <c r="JS121">
        <v>0</v>
      </c>
      <c r="JT121">
        <v>0</v>
      </c>
      <c r="JU121">
        <v>0</v>
      </c>
      <c r="JV121">
        <v>0</v>
      </c>
      <c r="JW121">
        <v>0</v>
      </c>
      <c r="JX121">
        <v>0</v>
      </c>
      <c r="JY121">
        <v>0</v>
      </c>
      <c r="JZ121">
        <v>0</v>
      </c>
      <c r="KA121">
        <v>0</v>
      </c>
      <c r="KB121">
        <v>0</v>
      </c>
      <c r="KC121">
        <v>0</v>
      </c>
      <c r="KD121">
        <v>0</v>
      </c>
      <c r="KE121">
        <v>0</v>
      </c>
      <c r="KF121">
        <v>0</v>
      </c>
      <c r="KG121">
        <v>0</v>
      </c>
      <c r="KH121">
        <v>0</v>
      </c>
      <c r="KI121">
        <v>0</v>
      </c>
      <c r="KJ121">
        <v>0</v>
      </c>
      <c r="KK121">
        <v>0</v>
      </c>
      <c r="KL121">
        <v>0</v>
      </c>
      <c r="KM121">
        <v>0</v>
      </c>
      <c r="KN121">
        <v>0</v>
      </c>
      <c r="KO121">
        <v>0</v>
      </c>
      <c r="KP121">
        <v>0</v>
      </c>
      <c r="KQ121">
        <v>0</v>
      </c>
      <c r="KR121">
        <v>0</v>
      </c>
      <c r="KS121">
        <v>0</v>
      </c>
      <c r="KT121">
        <v>0</v>
      </c>
      <c r="KU121">
        <v>0</v>
      </c>
      <c r="KV121">
        <v>0</v>
      </c>
      <c r="KW121">
        <v>0</v>
      </c>
      <c r="KX121">
        <v>0</v>
      </c>
      <c r="KY121">
        <v>0</v>
      </c>
      <c r="KZ121">
        <v>0</v>
      </c>
      <c r="LA121">
        <v>0</v>
      </c>
      <c r="LB121">
        <v>0</v>
      </c>
      <c r="LC121">
        <v>0</v>
      </c>
      <c r="LD121">
        <v>0</v>
      </c>
      <c r="LE121">
        <v>0</v>
      </c>
      <c r="LF121">
        <v>0</v>
      </c>
      <c r="LG121">
        <v>0</v>
      </c>
      <c r="LH121">
        <v>0</v>
      </c>
      <c r="LI121">
        <v>0</v>
      </c>
      <c r="LJ121">
        <v>0</v>
      </c>
      <c r="LK121">
        <v>0</v>
      </c>
      <c r="LL121">
        <v>0</v>
      </c>
      <c r="LM121">
        <v>0</v>
      </c>
      <c r="LN121">
        <v>0</v>
      </c>
      <c r="LO121">
        <v>0</v>
      </c>
      <c r="LP121">
        <v>0</v>
      </c>
      <c r="LQ121">
        <v>0</v>
      </c>
      <c r="LR121">
        <v>0</v>
      </c>
      <c r="LS121">
        <v>0</v>
      </c>
      <c r="LT121">
        <v>0</v>
      </c>
      <c r="LU121">
        <v>0</v>
      </c>
      <c r="LV121">
        <v>0</v>
      </c>
      <c r="LW121">
        <v>0</v>
      </c>
      <c r="LX121">
        <v>0</v>
      </c>
      <c r="LY121">
        <v>0</v>
      </c>
      <c r="LZ121">
        <v>0</v>
      </c>
      <c r="MA121">
        <v>0</v>
      </c>
      <c r="MB121">
        <v>0</v>
      </c>
      <c r="MC121">
        <v>0</v>
      </c>
      <c r="MD121">
        <v>0</v>
      </c>
      <c r="ME121">
        <v>0</v>
      </c>
      <c r="MF121">
        <v>0</v>
      </c>
      <c r="MG121">
        <v>0</v>
      </c>
      <c r="MH121">
        <v>0</v>
      </c>
      <c r="MI121">
        <v>0</v>
      </c>
      <c r="MJ121">
        <v>0</v>
      </c>
      <c r="MK121">
        <v>0</v>
      </c>
      <c r="ML121">
        <v>0</v>
      </c>
      <c r="MM121">
        <v>0</v>
      </c>
      <c r="MN121">
        <v>0</v>
      </c>
      <c r="MO121">
        <v>0</v>
      </c>
      <c r="MP121">
        <v>0</v>
      </c>
      <c r="MQ121">
        <v>0</v>
      </c>
      <c r="MR121">
        <v>0</v>
      </c>
      <c r="MS121">
        <v>0</v>
      </c>
      <c r="MT121">
        <v>0</v>
      </c>
      <c r="MU121">
        <v>0</v>
      </c>
      <c r="MV121">
        <v>0</v>
      </c>
      <c r="MW121">
        <v>0</v>
      </c>
      <c r="MX121">
        <v>0</v>
      </c>
      <c r="MY121">
        <v>0</v>
      </c>
      <c r="MZ121">
        <v>0</v>
      </c>
      <c r="NA121">
        <v>0</v>
      </c>
      <c r="NB121">
        <v>0</v>
      </c>
      <c r="NC121">
        <v>0</v>
      </c>
      <c r="ND121">
        <v>0</v>
      </c>
      <c r="NE121">
        <v>0</v>
      </c>
      <c r="NF121">
        <v>0</v>
      </c>
      <c r="NG121">
        <v>0</v>
      </c>
      <c r="NH121">
        <v>0</v>
      </c>
      <c r="NI121">
        <v>0</v>
      </c>
      <c r="NJ121">
        <v>0</v>
      </c>
      <c r="NK121">
        <v>0</v>
      </c>
      <c r="NL121">
        <v>0</v>
      </c>
      <c r="NM121">
        <v>0</v>
      </c>
      <c r="NN121">
        <v>0</v>
      </c>
      <c r="NO121">
        <v>0</v>
      </c>
      <c r="NP121">
        <v>0</v>
      </c>
      <c r="NQ121">
        <v>0</v>
      </c>
      <c r="NR121">
        <v>0</v>
      </c>
      <c r="NS121">
        <v>0</v>
      </c>
      <c r="NT121">
        <v>0</v>
      </c>
      <c r="NU121">
        <v>0</v>
      </c>
      <c r="NV121">
        <v>0</v>
      </c>
      <c r="NW121">
        <v>0</v>
      </c>
      <c r="NX121">
        <v>0</v>
      </c>
      <c r="NY121">
        <v>0</v>
      </c>
      <c r="NZ121">
        <v>0</v>
      </c>
      <c r="OA121">
        <v>0</v>
      </c>
      <c r="OB121">
        <v>0</v>
      </c>
      <c r="OC121">
        <v>0</v>
      </c>
      <c r="OD121">
        <v>0</v>
      </c>
      <c r="OE121">
        <v>0</v>
      </c>
      <c r="OF121">
        <v>0</v>
      </c>
      <c r="OG121">
        <v>0</v>
      </c>
      <c r="OH121">
        <v>0</v>
      </c>
      <c r="OI121">
        <v>0</v>
      </c>
      <c r="OJ121">
        <v>0</v>
      </c>
      <c r="OK121">
        <v>0</v>
      </c>
      <c r="OL121">
        <v>0</v>
      </c>
      <c r="OM121">
        <v>0</v>
      </c>
      <c r="ON121">
        <v>0</v>
      </c>
      <c r="OO121">
        <v>0</v>
      </c>
      <c r="OP121">
        <v>0</v>
      </c>
      <c r="OQ121">
        <v>0</v>
      </c>
      <c r="OR121">
        <v>0</v>
      </c>
      <c r="OS121">
        <v>0</v>
      </c>
      <c r="OT121">
        <v>0</v>
      </c>
      <c r="OU121">
        <v>0</v>
      </c>
      <c r="OV121">
        <v>0</v>
      </c>
      <c r="OW121">
        <v>0</v>
      </c>
      <c r="OX121">
        <v>0</v>
      </c>
      <c r="OY121">
        <v>0</v>
      </c>
      <c r="OZ121">
        <v>0</v>
      </c>
      <c r="PA121">
        <v>0</v>
      </c>
      <c r="PB121">
        <v>0</v>
      </c>
      <c r="PC121">
        <v>0</v>
      </c>
      <c r="PD121">
        <v>0</v>
      </c>
      <c r="PE121">
        <v>0</v>
      </c>
      <c r="PF121">
        <v>0</v>
      </c>
      <c r="PG121">
        <v>0</v>
      </c>
      <c r="PH121">
        <v>0</v>
      </c>
      <c r="PI121">
        <v>0</v>
      </c>
      <c r="PJ121">
        <v>0</v>
      </c>
      <c r="PK121">
        <v>0</v>
      </c>
      <c r="PL121">
        <v>0</v>
      </c>
      <c r="PM121">
        <v>0</v>
      </c>
      <c r="PN121">
        <v>0</v>
      </c>
      <c r="PO121">
        <v>0</v>
      </c>
      <c r="PP121">
        <v>0</v>
      </c>
      <c r="PQ121">
        <v>0</v>
      </c>
      <c r="PR121">
        <v>0</v>
      </c>
      <c r="PS121">
        <v>0</v>
      </c>
      <c r="PT121">
        <v>0</v>
      </c>
      <c r="PU121">
        <v>2</v>
      </c>
      <c r="PV121">
        <v>2</v>
      </c>
      <c r="PW121">
        <v>2</v>
      </c>
      <c r="PX121">
        <v>2</v>
      </c>
      <c r="PY121">
        <v>2</v>
      </c>
      <c r="PZ121">
        <v>2</v>
      </c>
      <c r="QA121">
        <v>2</v>
      </c>
      <c r="QB121">
        <v>2</v>
      </c>
      <c r="QC121">
        <v>2</v>
      </c>
      <c r="QD121">
        <v>2</v>
      </c>
      <c r="QE121">
        <v>2</v>
      </c>
      <c r="QF121">
        <v>2</v>
      </c>
      <c r="QG121">
        <v>2</v>
      </c>
      <c r="QH121">
        <v>2</v>
      </c>
      <c r="QI121">
        <v>2</v>
      </c>
      <c r="QJ121">
        <v>2</v>
      </c>
      <c r="QK121">
        <v>2</v>
      </c>
      <c r="QL121">
        <v>2</v>
      </c>
      <c r="QM121">
        <v>2</v>
      </c>
      <c r="QN121">
        <v>2</v>
      </c>
      <c r="QO121">
        <v>2</v>
      </c>
      <c r="QP121">
        <v>2</v>
      </c>
      <c r="QQ121">
        <v>2</v>
      </c>
      <c r="QR121">
        <v>2</v>
      </c>
      <c r="QS121">
        <v>2</v>
      </c>
      <c r="QT121">
        <v>2</v>
      </c>
      <c r="QU121">
        <v>2</v>
      </c>
      <c r="QV121">
        <v>2</v>
      </c>
      <c r="QW121">
        <v>2</v>
      </c>
      <c r="QX121">
        <v>2</v>
      </c>
      <c r="QY121">
        <v>2</v>
      </c>
      <c r="QZ121">
        <v>2</v>
      </c>
      <c r="RA121">
        <v>2</v>
      </c>
      <c r="RB121">
        <v>2</v>
      </c>
      <c r="RC121">
        <v>2</v>
      </c>
      <c r="RD121">
        <v>2</v>
      </c>
      <c r="RE121">
        <v>2</v>
      </c>
      <c r="RF121">
        <v>2</v>
      </c>
      <c r="RG121">
        <v>2</v>
      </c>
      <c r="RH121">
        <v>2</v>
      </c>
      <c r="RI121">
        <v>2</v>
      </c>
      <c r="RJ121">
        <v>2</v>
      </c>
      <c r="RK121">
        <v>2</v>
      </c>
      <c r="RL121">
        <v>2</v>
      </c>
      <c r="RM121">
        <v>2</v>
      </c>
      <c r="RN121">
        <v>2</v>
      </c>
      <c r="RO121">
        <v>2</v>
      </c>
      <c r="RP121">
        <v>2</v>
      </c>
      <c r="RQ121">
        <v>2</v>
      </c>
      <c r="RR121">
        <v>2</v>
      </c>
      <c r="RS121">
        <v>2</v>
      </c>
      <c r="RT121">
        <v>2</v>
      </c>
      <c r="RU121">
        <v>1</v>
      </c>
      <c r="RV121">
        <v>1</v>
      </c>
      <c r="RW121">
        <v>1</v>
      </c>
      <c r="RX121">
        <v>1</v>
      </c>
      <c r="RY121">
        <v>1</v>
      </c>
      <c r="RZ121">
        <v>1</v>
      </c>
      <c r="SA121">
        <v>1</v>
      </c>
      <c r="SB121">
        <v>1</v>
      </c>
      <c r="SC121">
        <v>1</v>
      </c>
      <c r="SD121">
        <v>1</v>
      </c>
      <c r="SE121">
        <v>1</v>
      </c>
      <c r="SF121">
        <v>1</v>
      </c>
      <c r="SG121">
        <v>1</v>
      </c>
      <c r="SH121">
        <v>2</v>
      </c>
      <c r="SI121">
        <v>2</v>
      </c>
      <c r="SJ121">
        <v>2</v>
      </c>
      <c r="SK121">
        <v>2</v>
      </c>
      <c r="SL121">
        <v>2</v>
      </c>
      <c r="SM121">
        <v>2</v>
      </c>
      <c r="SN121">
        <v>2</v>
      </c>
      <c r="SO121">
        <v>2</v>
      </c>
      <c r="SP121">
        <v>2</v>
      </c>
      <c r="SQ121">
        <v>2</v>
      </c>
      <c r="SR121">
        <v>2</v>
      </c>
      <c r="SS121">
        <v>2</v>
      </c>
      <c r="ST121">
        <v>2</v>
      </c>
      <c r="SU121">
        <v>2</v>
      </c>
      <c r="SV121">
        <v>2</v>
      </c>
      <c r="SW121">
        <v>2</v>
      </c>
      <c r="SX121">
        <v>2</v>
      </c>
      <c r="SY121">
        <v>2</v>
      </c>
      <c r="SZ121">
        <v>2</v>
      </c>
      <c r="TA121">
        <v>2</v>
      </c>
      <c r="TB121">
        <v>2</v>
      </c>
      <c r="TC121">
        <v>2</v>
      </c>
      <c r="TD121">
        <v>2</v>
      </c>
      <c r="TE121">
        <v>2</v>
      </c>
      <c r="TF121">
        <v>2</v>
      </c>
      <c r="TG121">
        <v>2</v>
      </c>
      <c r="TH121">
        <v>2</v>
      </c>
      <c r="TI121">
        <v>2</v>
      </c>
      <c r="TJ121">
        <v>2</v>
      </c>
      <c r="TK121">
        <v>2</v>
      </c>
      <c r="TL121">
        <v>2</v>
      </c>
      <c r="TM121">
        <v>2</v>
      </c>
      <c r="TN121">
        <v>2</v>
      </c>
      <c r="TO121">
        <v>2</v>
      </c>
      <c r="TP121">
        <v>2</v>
      </c>
      <c r="TQ121">
        <v>2</v>
      </c>
      <c r="TR121">
        <v>2</v>
      </c>
      <c r="TS121">
        <v>2</v>
      </c>
      <c r="TT121">
        <v>2</v>
      </c>
      <c r="TU121">
        <v>2</v>
      </c>
      <c r="TV121">
        <v>2</v>
      </c>
      <c r="TW121">
        <v>2</v>
      </c>
      <c r="TX121">
        <v>2</v>
      </c>
      <c r="TY121">
        <v>2</v>
      </c>
      <c r="TZ121">
        <v>2</v>
      </c>
      <c r="UA121">
        <v>2</v>
      </c>
      <c r="UB121">
        <v>2</v>
      </c>
      <c r="UC121">
        <v>2</v>
      </c>
      <c r="UD121">
        <v>2</v>
      </c>
      <c r="UE121">
        <v>2</v>
      </c>
      <c r="UF121">
        <v>2</v>
      </c>
      <c r="UG121">
        <v>2</v>
      </c>
      <c r="UH121">
        <v>2</v>
      </c>
      <c r="UI121">
        <v>2</v>
      </c>
      <c r="UJ121">
        <v>2</v>
      </c>
      <c r="UK121">
        <v>2</v>
      </c>
      <c r="UL121">
        <v>2</v>
      </c>
      <c r="UM121">
        <v>2</v>
      </c>
      <c r="UN121">
        <v>2</v>
      </c>
      <c r="UO121">
        <v>2</v>
      </c>
      <c r="UP121">
        <v>2</v>
      </c>
      <c r="UQ121">
        <v>2</v>
      </c>
      <c r="UR121">
        <v>2</v>
      </c>
      <c r="US121">
        <v>2</v>
      </c>
      <c r="UT121">
        <v>2</v>
      </c>
      <c r="UU121">
        <v>2</v>
      </c>
      <c r="UV121">
        <v>2</v>
      </c>
      <c r="UW121">
        <v>1</v>
      </c>
      <c r="UX121">
        <v>1</v>
      </c>
      <c r="UY121">
        <v>1</v>
      </c>
      <c r="UZ121">
        <v>1</v>
      </c>
      <c r="VA121">
        <v>1</v>
      </c>
      <c r="VB121">
        <v>1</v>
      </c>
      <c r="VC121">
        <v>1</v>
      </c>
      <c r="VD121">
        <v>1</v>
      </c>
      <c r="VE121">
        <v>1</v>
      </c>
      <c r="VF121">
        <v>1</v>
      </c>
      <c r="VG121">
        <v>1</v>
      </c>
      <c r="VH121">
        <v>1</v>
      </c>
      <c r="VI121">
        <v>1</v>
      </c>
      <c r="VJ121">
        <v>1</v>
      </c>
      <c r="VK121">
        <v>1</v>
      </c>
      <c r="VL121">
        <v>1</v>
      </c>
      <c r="VM121">
        <v>1</v>
      </c>
      <c r="VN121">
        <v>1</v>
      </c>
      <c r="VO121">
        <v>1</v>
      </c>
      <c r="VP121">
        <v>1</v>
      </c>
      <c r="VQ121">
        <v>1</v>
      </c>
      <c r="VR121">
        <v>1</v>
      </c>
      <c r="VS121">
        <v>1</v>
      </c>
      <c r="VT121">
        <v>1</v>
      </c>
      <c r="VU121">
        <v>1</v>
      </c>
      <c r="VV121">
        <v>1</v>
      </c>
      <c r="VW121">
        <v>1</v>
      </c>
      <c r="VX121">
        <v>1</v>
      </c>
      <c r="VY121">
        <v>0</v>
      </c>
      <c r="VZ121">
        <v>0</v>
      </c>
      <c r="WA121">
        <v>0</v>
      </c>
      <c r="WB121">
        <v>0</v>
      </c>
      <c r="WC121">
        <v>0</v>
      </c>
      <c r="WD121">
        <v>0</v>
      </c>
      <c r="WE121">
        <v>0</v>
      </c>
      <c r="WF121">
        <v>0</v>
      </c>
      <c r="WG121">
        <v>0</v>
      </c>
      <c r="WH121">
        <v>0</v>
      </c>
      <c r="WI121">
        <v>0</v>
      </c>
      <c r="WJ121">
        <v>0</v>
      </c>
      <c r="WK121">
        <v>0</v>
      </c>
      <c r="WL121">
        <v>0</v>
      </c>
      <c r="WM121">
        <v>0</v>
      </c>
      <c r="WN121">
        <v>0</v>
      </c>
      <c r="WO121">
        <v>0</v>
      </c>
      <c r="WP121">
        <v>0</v>
      </c>
      <c r="WQ121">
        <v>0</v>
      </c>
      <c r="WR121">
        <v>0</v>
      </c>
      <c r="WS121">
        <v>0</v>
      </c>
      <c r="WT121">
        <v>0</v>
      </c>
      <c r="WU121">
        <v>0</v>
      </c>
      <c r="WV121">
        <v>0</v>
      </c>
      <c r="WW121">
        <v>0</v>
      </c>
      <c r="WX121">
        <v>0</v>
      </c>
      <c r="WY121">
        <v>0</v>
      </c>
      <c r="WZ121">
        <v>0</v>
      </c>
      <c r="XA121">
        <v>0</v>
      </c>
      <c r="XB121">
        <v>0</v>
      </c>
      <c r="XC121">
        <v>0</v>
      </c>
      <c r="XD121">
        <v>0</v>
      </c>
      <c r="XE121">
        <v>0</v>
      </c>
      <c r="XF121">
        <v>0</v>
      </c>
      <c r="XG121">
        <v>0</v>
      </c>
      <c r="XH121">
        <v>0</v>
      </c>
      <c r="XI121">
        <v>0</v>
      </c>
      <c r="XJ121">
        <v>0</v>
      </c>
      <c r="XK121">
        <v>0</v>
      </c>
      <c r="XL121">
        <v>0</v>
      </c>
      <c r="XM121">
        <v>0</v>
      </c>
      <c r="XN121">
        <v>0</v>
      </c>
      <c r="XO121">
        <v>0</v>
      </c>
      <c r="XP121">
        <v>0</v>
      </c>
      <c r="XQ121">
        <v>0</v>
      </c>
      <c r="XR121">
        <v>0</v>
      </c>
      <c r="XS121">
        <v>0</v>
      </c>
      <c r="XT121">
        <v>0</v>
      </c>
      <c r="XU121">
        <v>0</v>
      </c>
      <c r="XV121">
        <v>0</v>
      </c>
      <c r="XW121">
        <v>0</v>
      </c>
      <c r="XX121">
        <v>0</v>
      </c>
      <c r="XY121">
        <v>0</v>
      </c>
      <c r="XZ121">
        <v>0</v>
      </c>
      <c r="YA121">
        <v>0</v>
      </c>
      <c r="YB121">
        <v>0</v>
      </c>
      <c r="YC121">
        <v>0</v>
      </c>
      <c r="YD121">
        <v>0</v>
      </c>
      <c r="YE121">
        <v>0</v>
      </c>
      <c r="YF121">
        <v>0</v>
      </c>
      <c r="YG121">
        <v>0</v>
      </c>
      <c r="YH121">
        <v>0</v>
      </c>
      <c r="YI121">
        <v>0</v>
      </c>
      <c r="YJ121">
        <v>0</v>
      </c>
      <c r="YK121">
        <v>0</v>
      </c>
      <c r="YL121">
        <v>0</v>
      </c>
      <c r="YM121">
        <v>0</v>
      </c>
      <c r="YN121">
        <v>0</v>
      </c>
      <c r="YO121">
        <v>0</v>
      </c>
      <c r="YP121">
        <v>0</v>
      </c>
      <c r="YQ121">
        <v>0</v>
      </c>
      <c r="YR121">
        <v>0</v>
      </c>
      <c r="YS121">
        <v>0</v>
      </c>
      <c r="YT121">
        <v>0</v>
      </c>
      <c r="YU121">
        <v>0</v>
      </c>
      <c r="YV121">
        <v>0</v>
      </c>
      <c r="YW121">
        <v>0</v>
      </c>
      <c r="YX121">
        <v>0</v>
      </c>
      <c r="YY121">
        <v>0</v>
      </c>
      <c r="YZ121">
        <v>0</v>
      </c>
      <c r="ZA121">
        <v>0</v>
      </c>
      <c r="ZB121">
        <v>0</v>
      </c>
      <c r="ZC121">
        <v>0</v>
      </c>
      <c r="ZD121">
        <v>0</v>
      </c>
      <c r="ZE121">
        <v>0</v>
      </c>
      <c r="ZF121">
        <v>0</v>
      </c>
      <c r="ZG121">
        <v>0</v>
      </c>
      <c r="ZH121">
        <v>0</v>
      </c>
      <c r="ZI121">
        <v>0</v>
      </c>
      <c r="ZJ121">
        <v>0</v>
      </c>
      <c r="ZK121">
        <v>0</v>
      </c>
      <c r="ZL121">
        <v>0</v>
      </c>
      <c r="ZM121">
        <v>0</v>
      </c>
      <c r="ZN121">
        <v>0</v>
      </c>
      <c r="ZO121">
        <v>0</v>
      </c>
      <c r="ZP121">
        <v>0</v>
      </c>
      <c r="ZQ121">
        <v>0</v>
      </c>
      <c r="ZR121">
        <v>0</v>
      </c>
      <c r="ZS121">
        <v>0</v>
      </c>
      <c r="ZT121">
        <v>0</v>
      </c>
      <c r="ZU121">
        <v>0</v>
      </c>
      <c r="ZV121">
        <v>0</v>
      </c>
      <c r="ZW121">
        <v>0</v>
      </c>
      <c r="ZX121">
        <v>0</v>
      </c>
      <c r="ZY121">
        <v>0</v>
      </c>
      <c r="ZZ121">
        <v>0</v>
      </c>
      <c r="AAA121">
        <v>0</v>
      </c>
      <c r="AAB121">
        <v>0</v>
      </c>
      <c r="AAC121">
        <v>0</v>
      </c>
      <c r="AAD121">
        <v>0</v>
      </c>
      <c r="AAE121">
        <v>0</v>
      </c>
      <c r="AAF121">
        <v>0</v>
      </c>
      <c r="AAG121">
        <v>0</v>
      </c>
      <c r="AAH121">
        <v>0</v>
      </c>
      <c r="AAI121">
        <v>0</v>
      </c>
      <c r="AAJ121">
        <v>0</v>
      </c>
      <c r="AAK121">
        <v>0</v>
      </c>
      <c r="AAL121">
        <v>0</v>
      </c>
      <c r="AAM121">
        <v>0</v>
      </c>
      <c r="AAN121">
        <v>0</v>
      </c>
      <c r="AAO121">
        <v>0</v>
      </c>
      <c r="AAP121">
        <v>0</v>
      </c>
      <c r="AAQ121">
        <v>0</v>
      </c>
      <c r="AAR121">
        <v>0</v>
      </c>
      <c r="AAS121">
        <v>0</v>
      </c>
      <c r="AAT121">
        <v>0</v>
      </c>
      <c r="AAU121">
        <v>0</v>
      </c>
      <c r="AAV121">
        <v>0</v>
      </c>
      <c r="AAW121">
        <v>0</v>
      </c>
      <c r="AAX121">
        <v>0</v>
      </c>
      <c r="AAY121">
        <v>0</v>
      </c>
      <c r="AAZ121">
        <v>0</v>
      </c>
      <c r="ABA121">
        <v>0</v>
      </c>
      <c r="ABB121">
        <v>0</v>
      </c>
      <c r="ABC121">
        <v>0</v>
      </c>
      <c r="ABD121">
        <v>0</v>
      </c>
      <c r="ABE121">
        <v>0</v>
      </c>
      <c r="ABG121" s="1137">
        <f t="shared" si="30"/>
        <v>0</v>
      </c>
      <c r="ABH121" s="1137">
        <f t="shared" si="30"/>
        <v>0</v>
      </c>
      <c r="ABI121" s="1137">
        <f t="shared" si="30"/>
        <v>9</v>
      </c>
      <c r="ABJ121" s="1137">
        <f t="shared" si="30"/>
        <v>30</v>
      </c>
      <c r="ABK121" s="1137">
        <f t="shared" si="30"/>
        <v>29</v>
      </c>
      <c r="ABL121" s="1137">
        <f t="shared" si="30"/>
        <v>0</v>
      </c>
      <c r="ABM121" s="1137">
        <f t="shared" si="30"/>
        <v>0</v>
      </c>
      <c r="ABN121" s="1137">
        <f t="shared" si="30"/>
        <v>0</v>
      </c>
      <c r="ABO121" s="1137">
        <f t="shared" si="30"/>
        <v>0</v>
      </c>
      <c r="ABP121" s="1137">
        <f t="shared" si="30"/>
        <v>0</v>
      </c>
      <c r="ABQ121" s="1137">
        <f t="shared" si="30"/>
        <v>0</v>
      </c>
      <c r="ABR121" s="1137">
        <f t="shared" si="30"/>
        <v>0</v>
      </c>
      <c r="ABS121" s="1137">
        <f t="shared" si="30"/>
        <v>0</v>
      </c>
      <c r="ABT121" s="1137">
        <f t="shared" si="30"/>
        <v>0</v>
      </c>
      <c r="ABU121" s="1137">
        <f t="shared" si="30"/>
        <v>22</v>
      </c>
      <c r="ABV121" s="1137">
        <f t="shared" si="30"/>
        <v>30</v>
      </c>
      <c r="ABW121" s="1137">
        <f t="shared" si="31"/>
        <v>31</v>
      </c>
      <c r="ABX121" s="1137">
        <f t="shared" si="23"/>
        <v>30</v>
      </c>
      <c r="ABY121" s="1137">
        <f t="shared" si="23"/>
        <v>31</v>
      </c>
      <c r="ABZ121" s="1137">
        <f t="shared" si="23"/>
        <v>16</v>
      </c>
      <c r="ACA121" s="1137">
        <f t="shared" si="23"/>
        <v>0</v>
      </c>
      <c r="ACB121" s="1137">
        <f t="shared" si="23"/>
        <v>0</v>
      </c>
      <c r="ACC121" s="1137">
        <f t="shared" si="23"/>
        <v>0</v>
      </c>
      <c r="ACD121" s="1137">
        <f t="shared" si="23"/>
        <v>0</v>
      </c>
      <c r="ACE121" s="1137" t="s">
        <v>218</v>
      </c>
      <c r="ACF121" s="1137">
        <f t="shared" si="33"/>
        <v>0</v>
      </c>
      <c r="ACG121" s="1137">
        <f t="shared" si="33"/>
        <v>0</v>
      </c>
      <c r="ACH121" s="1137">
        <f t="shared" si="33"/>
        <v>0</v>
      </c>
      <c r="ACI121" s="1137">
        <f t="shared" si="33"/>
        <v>1</v>
      </c>
      <c r="ACJ121" s="1137">
        <f t="shared" si="33"/>
        <v>1</v>
      </c>
      <c r="ACK121" s="1137">
        <f t="shared" si="33"/>
        <v>0</v>
      </c>
      <c r="ACL121" s="1137">
        <f t="shared" si="33"/>
        <v>0</v>
      </c>
      <c r="ACM121" s="1137">
        <f t="shared" si="33"/>
        <v>0</v>
      </c>
      <c r="ACN121" s="1137">
        <f t="shared" si="33"/>
        <v>0</v>
      </c>
      <c r="ACO121" s="1137">
        <f t="shared" si="33"/>
        <v>0</v>
      </c>
      <c r="ACP121" s="1137">
        <f t="shared" si="33"/>
        <v>0</v>
      </c>
      <c r="ACQ121" s="1137">
        <f t="shared" si="32"/>
        <v>0</v>
      </c>
      <c r="ACR121" s="1137">
        <f t="shared" si="32"/>
        <v>0</v>
      </c>
      <c r="ACS121" s="1137">
        <f t="shared" si="32"/>
        <v>0</v>
      </c>
      <c r="ACT121" s="1137">
        <f t="shared" si="32"/>
        <v>1</v>
      </c>
      <c r="ACU121" s="1137">
        <f t="shared" si="32"/>
        <v>1</v>
      </c>
      <c r="ACV121" s="1137">
        <f t="shared" si="24"/>
        <v>1</v>
      </c>
      <c r="ACW121" s="1137">
        <f t="shared" si="24"/>
        <v>1</v>
      </c>
      <c r="ACX121" s="1137">
        <f t="shared" si="24"/>
        <v>1</v>
      </c>
      <c r="ACY121" s="1137">
        <f t="shared" si="24"/>
        <v>1</v>
      </c>
      <c r="ACZ121" s="1137">
        <f t="shared" si="24"/>
        <v>0</v>
      </c>
      <c r="ADA121" s="1137">
        <f t="shared" si="24"/>
        <v>0</v>
      </c>
      <c r="ADB121" s="1137">
        <f t="shared" si="24"/>
        <v>0</v>
      </c>
      <c r="ADC121" s="1137">
        <f t="shared" si="24"/>
        <v>0</v>
      </c>
    </row>
    <row r="122" spans="1:783" x14ac:dyDescent="0.25">
      <c r="A122" t="s">
        <v>1921</v>
      </c>
      <c r="B122" t="s">
        <v>45</v>
      </c>
      <c r="C122">
        <v>0</v>
      </c>
      <c r="D122">
        <v>0</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AJ122">
        <v>0</v>
      </c>
      <c r="AK122">
        <v>0</v>
      </c>
      <c r="AL122">
        <v>0</v>
      </c>
      <c r="AM122">
        <v>0</v>
      </c>
      <c r="AN122">
        <v>0</v>
      </c>
      <c r="AO122">
        <v>0</v>
      </c>
      <c r="AP122">
        <v>0</v>
      </c>
      <c r="AQ122">
        <v>0</v>
      </c>
      <c r="AR122">
        <v>0</v>
      </c>
      <c r="AS122">
        <v>0</v>
      </c>
      <c r="AT122">
        <v>0</v>
      </c>
      <c r="AU122">
        <v>0</v>
      </c>
      <c r="AV122">
        <v>0</v>
      </c>
      <c r="AW122">
        <v>0</v>
      </c>
      <c r="AX122">
        <v>0</v>
      </c>
      <c r="AY122">
        <v>0</v>
      </c>
      <c r="AZ122">
        <v>0</v>
      </c>
      <c r="BA122">
        <v>0</v>
      </c>
      <c r="BB122">
        <v>0</v>
      </c>
      <c r="BC122">
        <v>0</v>
      </c>
      <c r="BD122">
        <v>0</v>
      </c>
      <c r="BE122">
        <v>0</v>
      </c>
      <c r="BF122">
        <v>0</v>
      </c>
      <c r="BG122">
        <v>0</v>
      </c>
      <c r="BH122">
        <v>0</v>
      </c>
      <c r="BI122">
        <v>0</v>
      </c>
      <c r="BJ122">
        <v>0</v>
      </c>
      <c r="BK122">
        <v>0</v>
      </c>
      <c r="BL122">
        <v>0</v>
      </c>
      <c r="BM122">
        <v>0</v>
      </c>
      <c r="BN122">
        <v>0</v>
      </c>
      <c r="BO122">
        <v>0</v>
      </c>
      <c r="BP122">
        <v>0</v>
      </c>
      <c r="BQ122">
        <v>0</v>
      </c>
      <c r="BR122">
        <v>0</v>
      </c>
      <c r="BS122">
        <v>0</v>
      </c>
      <c r="BT122">
        <v>0</v>
      </c>
      <c r="BU122">
        <v>0</v>
      </c>
      <c r="BV122">
        <v>0</v>
      </c>
      <c r="BW122">
        <v>0</v>
      </c>
      <c r="BX122">
        <v>0</v>
      </c>
      <c r="BY122">
        <v>0</v>
      </c>
      <c r="BZ122">
        <v>0</v>
      </c>
      <c r="CA122">
        <v>0</v>
      </c>
      <c r="CB122">
        <v>0</v>
      </c>
      <c r="CC122">
        <v>0</v>
      </c>
      <c r="CD122">
        <v>0</v>
      </c>
      <c r="CE122">
        <v>0</v>
      </c>
      <c r="CF122">
        <v>0</v>
      </c>
      <c r="CG122">
        <v>0</v>
      </c>
      <c r="CH122">
        <v>0</v>
      </c>
      <c r="CI122">
        <v>0</v>
      </c>
      <c r="CJ122">
        <v>0</v>
      </c>
      <c r="CK122">
        <v>0</v>
      </c>
      <c r="CL122">
        <v>0</v>
      </c>
      <c r="CM122">
        <v>0</v>
      </c>
      <c r="CN122">
        <v>0</v>
      </c>
      <c r="CO122">
        <v>0</v>
      </c>
      <c r="CP122">
        <v>0</v>
      </c>
      <c r="CQ122">
        <v>0</v>
      </c>
      <c r="CR122">
        <v>0</v>
      </c>
      <c r="CS122">
        <v>0</v>
      </c>
      <c r="CT122">
        <v>0</v>
      </c>
      <c r="CU122">
        <v>0</v>
      </c>
      <c r="CV122">
        <v>0</v>
      </c>
      <c r="CW122">
        <v>0</v>
      </c>
      <c r="CX122">
        <v>0</v>
      </c>
      <c r="CY122">
        <v>0</v>
      </c>
      <c r="CZ122">
        <v>0</v>
      </c>
      <c r="DA122">
        <v>0</v>
      </c>
      <c r="DB122">
        <v>0</v>
      </c>
      <c r="DC122">
        <v>0</v>
      </c>
      <c r="DD122">
        <v>0</v>
      </c>
      <c r="DE122">
        <v>0</v>
      </c>
      <c r="DF122">
        <v>0</v>
      </c>
      <c r="DG122">
        <v>0</v>
      </c>
      <c r="DH122">
        <v>0</v>
      </c>
      <c r="DI122">
        <v>0</v>
      </c>
      <c r="DJ122">
        <v>0</v>
      </c>
      <c r="DK122">
        <v>0</v>
      </c>
      <c r="DL122">
        <v>0</v>
      </c>
      <c r="DM122">
        <v>0</v>
      </c>
      <c r="DN122">
        <v>0</v>
      </c>
      <c r="DO122">
        <v>0</v>
      </c>
      <c r="DP122">
        <v>0</v>
      </c>
      <c r="DQ122">
        <v>0</v>
      </c>
      <c r="DR122">
        <v>0</v>
      </c>
      <c r="DS122">
        <v>0</v>
      </c>
      <c r="DT122">
        <v>0</v>
      </c>
      <c r="DU122">
        <v>0</v>
      </c>
      <c r="DV122">
        <v>0</v>
      </c>
      <c r="DW122">
        <v>0</v>
      </c>
      <c r="DX122">
        <v>0</v>
      </c>
      <c r="DY122">
        <v>0</v>
      </c>
      <c r="DZ122">
        <v>0</v>
      </c>
      <c r="EA122">
        <v>0</v>
      </c>
      <c r="EB122">
        <v>0</v>
      </c>
      <c r="EC122">
        <v>0</v>
      </c>
      <c r="ED122">
        <v>0</v>
      </c>
      <c r="EE122">
        <v>0</v>
      </c>
      <c r="EF122">
        <v>0</v>
      </c>
      <c r="EG122">
        <v>0</v>
      </c>
      <c r="EH122">
        <v>0</v>
      </c>
      <c r="EI122">
        <v>0</v>
      </c>
      <c r="EJ122">
        <v>0</v>
      </c>
      <c r="EK122">
        <v>0</v>
      </c>
      <c r="EL122">
        <v>0</v>
      </c>
      <c r="EM122">
        <v>0</v>
      </c>
      <c r="EN122">
        <v>0</v>
      </c>
      <c r="EO122">
        <v>0</v>
      </c>
      <c r="EP122">
        <v>0</v>
      </c>
      <c r="EQ122">
        <v>0</v>
      </c>
      <c r="ER122">
        <v>0</v>
      </c>
      <c r="ES122">
        <v>0</v>
      </c>
      <c r="ET122">
        <v>0</v>
      </c>
      <c r="EU122">
        <v>0</v>
      </c>
      <c r="EV122">
        <v>0</v>
      </c>
      <c r="EW122">
        <v>0</v>
      </c>
      <c r="EX122">
        <v>0</v>
      </c>
      <c r="EY122">
        <v>0</v>
      </c>
      <c r="EZ122">
        <v>0</v>
      </c>
      <c r="FA122">
        <v>0</v>
      </c>
      <c r="FB122">
        <v>0</v>
      </c>
      <c r="FC122">
        <v>0</v>
      </c>
      <c r="FD122">
        <v>0</v>
      </c>
      <c r="FE122">
        <v>0</v>
      </c>
      <c r="FF122">
        <v>0</v>
      </c>
      <c r="FG122">
        <v>0</v>
      </c>
      <c r="FH122">
        <v>0</v>
      </c>
      <c r="FI122">
        <v>0</v>
      </c>
      <c r="FJ122">
        <v>0</v>
      </c>
      <c r="FK122">
        <v>0</v>
      </c>
      <c r="FL122">
        <v>0</v>
      </c>
      <c r="FM122">
        <v>0</v>
      </c>
      <c r="FN122">
        <v>0</v>
      </c>
      <c r="FO122">
        <v>0</v>
      </c>
      <c r="FP122">
        <v>0</v>
      </c>
      <c r="FQ122">
        <v>0</v>
      </c>
      <c r="FR122">
        <v>0</v>
      </c>
      <c r="FS122">
        <v>0</v>
      </c>
      <c r="FT122">
        <v>0</v>
      </c>
      <c r="FU122">
        <v>0</v>
      </c>
      <c r="FV122">
        <v>0</v>
      </c>
      <c r="FW122">
        <v>0</v>
      </c>
      <c r="FX122">
        <v>0</v>
      </c>
      <c r="FY122">
        <v>0</v>
      </c>
      <c r="FZ122">
        <v>0</v>
      </c>
      <c r="GA122">
        <v>0</v>
      </c>
      <c r="GB122">
        <v>0</v>
      </c>
      <c r="GC122">
        <v>0</v>
      </c>
      <c r="GD122">
        <v>0</v>
      </c>
      <c r="GE122">
        <v>0</v>
      </c>
      <c r="GF122">
        <v>0</v>
      </c>
      <c r="GG122">
        <v>0</v>
      </c>
      <c r="GH122">
        <v>0</v>
      </c>
      <c r="GI122">
        <v>0</v>
      </c>
      <c r="GJ122">
        <v>0</v>
      </c>
      <c r="GK122">
        <v>0</v>
      </c>
      <c r="GL122">
        <v>0</v>
      </c>
      <c r="GM122">
        <v>0</v>
      </c>
      <c r="GN122">
        <v>0</v>
      </c>
      <c r="GO122">
        <v>0</v>
      </c>
      <c r="GP122">
        <v>0</v>
      </c>
      <c r="GQ122">
        <v>0</v>
      </c>
      <c r="GR122">
        <v>0</v>
      </c>
      <c r="GS122">
        <v>0</v>
      </c>
      <c r="GT122">
        <v>0</v>
      </c>
      <c r="GU122">
        <v>0</v>
      </c>
      <c r="GV122">
        <v>0</v>
      </c>
      <c r="GW122">
        <v>0</v>
      </c>
      <c r="GX122">
        <v>0</v>
      </c>
      <c r="GY122">
        <v>0</v>
      </c>
      <c r="GZ122">
        <v>0</v>
      </c>
      <c r="HA122">
        <v>0</v>
      </c>
      <c r="HB122">
        <v>0</v>
      </c>
      <c r="HC122">
        <v>0</v>
      </c>
      <c r="HD122">
        <v>0</v>
      </c>
      <c r="HE122">
        <v>0</v>
      </c>
      <c r="HF122">
        <v>0</v>
      </c>
      <c r="HG122">
        <v>0</v>
      </c>
      <c r="HH122">
        <v>0</v>
      </c>
      <c r="HI122">
        <v>0</v>
      </c>
      <c r="HJ122">
        <v>0</v>
      </c>
      <c r="HK122">
        <v>0</v>
      </c>
      <c r="HL122">
        <v>0</v>
      </c>
      <c r="HM122">
        <v>0</v>
      </c>
      <c r="HN122">
        <v>0</v>
      </c>
      <c r="HO122">
        <v>0</v>
      </c>
      <c r="HP122">
        <v>0</v>
      </c>
      <c r="HQ122">
        <v>0</v>
      </c>
      <c r="HR122">
        <v>0</v>
      </c>
      <c r="HS122">
        <v>0</v>
      </c>
      <c r="HT122">
        <v>0</v>
      </c>
      <c r="HU122">
        <v>0</v>
      </c>
      <c r="HV122">
        <v>0</v>
      </c>
      <c r="HW122">
        <v>0</v>
      </c>
      <c r="HX122">
        <v>0</v>
      </c>
      <c r="HY122">
        <v>0</v>
      </c>
      <c r="HZ122">
        <v>0</v>
      </c>
      <c r="IA122">
        <v>0</v>
      </c>
      <c r="IB122">
        <v>0</v>
      </c>
      <c r="IC122">
        <v>0</v>
      </c>
      <c r="ID122">
        <v>0</v>
      </c>
      <c r="IE122">
        <v>0</v>
      </c>
      <c r="IF122">
        <v>0</v>
      </c>
      <c r="IG122">
        <v>0</v>
      </c>
      <c r="IH122">
        <v>0</v>
      </c>
      <c r="II122">
        <v>0</v>
      </c>
      <c r="IJ122">
        <v>0</v>
      </c>
      <c r="IK122">
        <v>0</v>
      </c>
      <c r="IL122">
        <v>0</v>
      </c>
      <c r="IM122">
        <v>0</v>
      </c>
      <c r="IN122">
        <v>0</v>
      </c>
      <c r="IO122">
        <v>0</v>
      </c>
      <c r="IP122">
        <v>0</v>
      </c>
      <c r="IQ122">
        <v>0</v>
      </c>
      <c r="IR122">
        <v>0</v>
      </c>
      <c r="IS122">
        <v>0</v>
      </c>
      <c r="IT122">
        <v>0</v>
      </c>
      <c r="IU122">
        <v>0</v>
      </c>
      <c r="IV122">
        <v>0</v>
      </c>
      <c r="IW122">
        <v>0</v>
      </c>
      <c r="IX122">
        <v>0</v>
      </c>
      <c r="IY122">
        <v>0</v>
      </c>
      <c r="IZ122">
        <v>0</v>
      </c>
      <c r="JA122">
        <v>0</v>
      </c>
      <c r="JB122">
        <v>0</v>
      </c>
      <c r="JC122">
        <v>0</v>
      </c>
      <c r="JD122">
        <v>0</v>
      </c>
      <c r="JE122">
        <v>0</v>
      </c>
      <c r="JF122">
        <v>0</v>
      </c>
      <c r="JG122">
        <v>0</v>
      </c>
      <c r="JH122">
        <v>0</v>
      </c>
      <c r="JI122">
        <v>0</v>
      </c>
      <c r="JJ122">
        <v>0</v>
      </c>
      <c r="JK122">
        <v>0</v>
      </c>
      <c r="JL122">
        <v>0</v>
      </c>
      <c r="JM122">
        <v>0</v>
      </c>
      <c r="JN122">
        <v>0</v>
      </c>
      <c r="JO122">
        <v>0</v>
      </c>
      <c r="JP122">
        <v>0</v>
      </c>
      <c r="JQ122">
        <v>0</v>
      </c>
      <c r="JR122">
        <v>0</v>
      </c>
      <c r="JS122">
        <v>0</v>
      </c>
      <c r="JT122">
        <v>0</v>
      </c>
      <c r="JU122">
        <v>0</v>
      </c>
      <c r="JV122">
        <v>0</v>
      </c>
      <c r="JW122">
        <v>0</v>
      </c>
      <c r="JX122">
        <v>0</v>
      </c>
      <c r="JY122">
        <v>0</v>
      </c>
      <c r="JZ122">
        <v>0</v>
      </c>
      <c r="KA122">
        <v>0</v>
      </c>
      <c r="KB122">
        <v>0</v>
      </c>
      <c r="KC122">
        <v>0</v>
      </c>
      <c r="KD122">
        <v>0</v>
      </c>
      <c r="KE122">
        <v>0</v>
      </c>
      <c r="KF122">
        <v>0</v>
      </c>
      <c r="KG122">
        <v>0</v>
      </c>
      <c r="KH122">
        <v>0</v>
      </c>
      <c r="KI122">
        <v>0</v>
      </c>
      <c r="KJ122">
        <v>0</v>
      </c>
      <c r="KK122">
        <v>0</v>
      </c>
      <c r="KL122">
        <v>0</v>
      </c>
      <c r="KM122">
        <v>0</v>
      </c>
      <c r="KN122">
        <v>0</v>
      </c>
      <c r="KO122">
        <v>0</v>
      </c>
      <c r="KP122">
        <v>0</v>
      </c>
      <c r="KQ122">
        <v>0</v>
      </c>
      <c r="KR122">
        <v>0</v>
      </c>
      <c r="KS122">
        <v>0</v>
      </c>
      <c r="KT122">
        <v>0</v>
      </c>
      <c r="KU122">
        <v>0</v>
      </c>
      <c r="KV122">
        <v>0</v>
      </c>
      <c r="KW122">
        <v>0</v>
      </c>
      <c r="KX122">
        <v>0</v>
      </c>
      <c r="KY122">
        <v>0</v>
      </c>
      <c r="KZ122">
        <v>0</v>
      </c>
      <c r="LA122">
        <v>0</v>
      </c>
      <c r="LB122">
        <v>0</v>
      </c>
      <c r="LC122">
        <v>0</v>
      </c>
      <c r="LD122">
        <v>0</v>
      </c>
      <c r="LE122">
        <v>0</v>
      </c>
      <c r="LF122">
        <v>0</v>
      </c>
      <c r="LG122">
        <v>0</v>
      </c>
      <c r="LH122">
        <v>0</v>
      </c>
      <c r="LI122">
        <v>0</v>
      </c>
      <c r="LJ122">
        <v>0</v>
      </c>
      <c r="LK122">
        <v>0</v>
      </c>
      <c r="LL122">
        <v>0</v>
      </c>
      <c r="LM122">
        <v>0</v>
      </c>
      <c r="LN122">
        <v>0</v>
      </c>
      <c r="LO122">
        <v>0</v>
      </c>
      <c r="LP122">
        <v>0</v>
      </c>
      <c r="LQ122">
        <v>0</v>
      </c>
      <c r="LR122">
        <v>0</v>
      </c>
      <c r="LS122">
        <v>0</v>
      </c>
      <c r="LT122">
        <v>0</v>
      </c>
      <c r="LU122">
        <v>0</v>
      </c>
      <c r="LV122">
        <v>0</v>
      </c>
      <c r="LW122">
        <v>0</v>
      </c>
      <c r="LX122">
        <v>0</v>
      </c>
      <c r="LY122">
        <v>0</v>
      </c>
      <c r="LZ122">
        <v>0</v>
      </c>
      <c r="MA122">
        <v>0</v>
      </c>
      <c r="MB122">
        <v>0</v>
      </c>
      <c r="MC122">
        <v>0</v>
      </c>
      <c r="MD122">
        <v>0</v>
      </c>
      <c r="ME122">
        <v>0</v>
      </c>
      <c r="MF122">
        <v>0</v>
      </c>
      <c r="MG122">
        <v>0</v>
      </c>
      <c r="MH122">
        <v>0</v>
      </c>
      <c r="MI122">
        <v>0</v>
      </c>
      <c r="MJ122">
        <v>0</v>
      </c>
      <c r="MK122">
        <v>0</v>
      </c>
      <c r="ML122">
        <v>0</v>
      </c>
      <c r="MM122">
        <v>0</v>
      </c>
      <c r="MN122">
        <v>0</v>
      </c>
      <c r="MO122">
        <v>0</v>
      </c>
      <c r="MP122">
        <v>0</v>
      </c>
      <c r="MQ122">
        <v>0</v>
      </c>
      <c r="MR122">
        <v>0</v>
      </c>
      <c r="MS122">
        <v>0</v>
      </c>
      <c r="MT122">
        <v>0</v>
      </c>
      <c r="MU122">
        <v>0</v>
      </c>
      <c r="MV122">
        <v>0</v>
      </c>
      <c r="MW122">
        <v>0</v>
      </c>
      <c r="MX122">
        <v>0</v>
      </c>
      <c r="MY122">
        <v>0</v>
      </c>
      <c r="MZ122">
        <v>0</v>
      </c>
      <c r="NA122">
        <v>0</v>
      </c>
      <c r="NB122">
        <v>0</v>
      </c>
      <c r="NC122">
        <v>0</v>
      </c>
      <c r="ND122">
        <v>0</v>
      </c>
      <c r="NE122">
        <v>0</v>
      </c>
      <c r="NF122">
        <v>0</v>
      </c>
      <c r="NG122">
        <v>0</v>
      </c>
      <c r="NH122">
        <v>0</v>
      </c>
      <c r="NI122">
        <v>0</v>
      </c>
      <c r="NJ122">
        <v>0</v>
      </c>
      <c r="NK122">
        <v>0</v>
      </c>
      <c r="NL122">
        <v>0</v>
      </c>
      <c r="NM122">
        <v>0</v>
      </c>
      <c r="NN122">
        <v>0</v>
      </c>
      <c r="NO122">
        <v>0</v>
      </c>
      <c r="NP122">
        <v>0</v>
      </c>
      <c r="NQ122">
        <v>0</v>
      </c>
      <c r="NR122">
        <v>0</v>
      </c>
      <c r="NS122">
        <v>0</v>
      </c>
      <c r="NT122">
        <v>0</v>
      </c>
      <c r="NU122">
        <v>0</v>
      </c>
      <c r="NV122">
        <v>0</v>
      </c>
      <c r="NW122">
        <v>0</v>
      </c>
      <c r="NX122">
        <v>0</v>
      </c>
      <c r="NY122">
        <v>0</v>
      </c>
      <c r="NZ122">
        <v>0</v>
      </c>
      <c r="OA122">
        <v>0</v>
      </c>
      <c r="OB122">
        <v>0</v>
      </c>
      <c r="OC122">
        <v>0</v>
      </c>
      <c r="OD122">
        <v>0</v>
      </c>
      <c r="OE122">
        <v>0</v>
      </c>
      <c r="OF122">
        <v>0</v>
      </c>
      <c r="OG122">
        <v>0</v>
      </c>
      <c r="OH122">
        <v>0</v>
      </c>
      <c r="OI122">
        <v>0</v>
      </c>
      <c r="OJ122">
        <v>0</v>
      </c>
      <c r="OK122">
        <v>0</v>
      </c>
      <c r="OL122">
        <v>0</v>
      </c>
      <c r="OM122">
        <v>0</v>
      </c>
      <c r="ON122">
        <v>0</v>
      </c>
      <c r="OO122">
        <v>0</v>
      </c>
      <c r="OP122">
        <v>0</v>
      </c>
      <c r="OQ122">
        <v>0</v>
      </c>
      <c r="OR122">
        <v>0</v>
      </c>
      <c r="OS122">
        <v>0</v>
      </c>
      <c r="OT122">
        <v>0</v>
      </c>
      <c r="OU122">
        <v>0</v>
      </c>
      <c r="OV122">
        <v>0</v>
      </c>
      <c r="OW122">
        <v>0</v>
      </c>
      <c r="OX122">
        <v>0</v>
      </c>
      <c r="OY122">
        <v>0</v>
      </c>
      <c r="OZ122">
        <v>0</v>
      </c>
      <c r="PA122">
        <v>0</v>
      </c>
      <c r="PB122">
        <v>0</v>
      </c>
      <c r="PC122">
        <v>0</v>
      </c>
      <c r="PD122">
        <v>0</v>
      </c>
      <c r="PE122">
        <v>0</v>
      </c>
      <c r="PF122">
        <v>0</v>
      </c>
      <c r="PG122">
        <v>0</v>
      </c>
      <c r="PH122">
        <v>0</v>
      </c>
      <c r="PI122">
        <v>0</v>
      </c>
      <c r="PJ122">
        <v>0</v>
      </c>
      <c r="PK122">
        <v>0</v>
      </c>
      <c r="PL122">
        <v>0</v>
      </c>
      <c r="PM122">
        <v>0</v>
      </c>
      <c r="PN122">
        <v>0</v>
      </c>
      <c r="PO122">
        <v>0</v>
      </c>
      <c r="PP122">
        <v>0</v>
      </c>
      <c r="PQ122">
        <v>0</v>
      </c>
      <c r="PR122">
        <v>0</v>
      </c>
      <c r="PS122">
        <v>0</v>
      </c>
      <c r="PT122">
        <v>0</v>
      </c>
      <c r="PU122">
        <v>0</v>
      </c>
      <c r="PV122">
        <v>0</v>
      </c>
      <c r="PW122">
        <v>0</v>
      </c>
      <c r="PX122">
        <v>0</v>
      </c>
      <c r="PY122">
        <v>0</v>
      </c>
      <c r="PZ122">
        <v>0</v>
      </c>
      <c r="QA122">
        <v>0</v>
      </c>
      <c r="QB122">
        <v>0</v>
      </c>
      <c r="QC122">
        <v>0</v>
      </c>
      <c r="QD122">
        <v>0</v>
      </c>
      <c r="QE122">
        <v>0</v>
      </c>
      <c r="QF122">
        <v>0</v>
      </c>
      <c r="QG122">
        <v>0</v>
      </c>
      <c r="QH122">
        <v>0</v>
      </c>
      <c r="QI122">
        <v>0</v>
      </c>
      <c r="QJ122">
        <v>0</v>
      </c>
      <c r="QK122">
        <v>0</v>
      </c>
      <c r="QL122">
        <v>0</v>
      </c>
      <c r="QM122">
        <v>0</v>
      </c>
      <c r="QN122">
        <v>0</v>
      </c>
      <c r="QO122">
        <v>0</v>
      </c>
      <c r="QP122">
        <v>0</v>
      </c>
      <c r="QQ122">
        <v>0</v>
      </c>
      <c r="QR122">
        <v>0</v>
      </c>
      <c r="QS122">
        <v>0</v>
      </c>
      <c r="QT122">
        <v>0</v>
      </c>
      <c r="QU122">
        <v>0</v>
      </c>
      <c r="QV122">
        <v>0</v>
      </c>
      <c r="QW122">
        <v>0</v>
      </c>
      <c r="QX122">
        <v>0</v>
      </c>
      <c r="QY122">
        <v>0</v>
      </c>
      <c r="QZ122">
        <v>0</v>
      </c>
      <c r="RA122">
        <v>0</v>
      </c>
      <c r="RB122">
        <v>0</v>
      </c>
      <c r="RC122">
        <v>0</v>
      </c>
      <c r="RD122">
        <v>0</v>
      </c>
      <c r="RE122">
        <v>0</v>
      </c>
      <c r="RF122">
        <v>0</v>
      </c>
      <c r="RG122">
        <v>0</v>
      </c>
      <c r="RH122">
        <v>0</v>
      </c>
      <c r="RI122">
        <v>0</v>
      </c>
      <c r="RJ122">
        <v>0</v>
      </c>
      <c r="RK122">
        <v>0</v>
      </c>
      <c r="RL122">
        <v>0</v>
      </c>
      <c r="RM122">
        <v>0</v>
      </c>
      <c r="RN122">
        <v>0</v>
      </c>
      <c r="RO122">
        <v>0</v>
      </c>
      <c r="RP122">
        <v>0</v>
      </c>
      <c r="RQ122">
        <v>0</v>
      </c>
      <c r="RR122">
        <v>0</v>
      </c>
      <c r="RS122">
        <v>0</v>
      </c>
      <c r="RT122">
        <v>0</v>
      </c>
      <c r="RU122">
        <v>0</v>
      </c>
      <c r="RV122">
        <v>0</v>
      </c>
      <c r="RW122">
        <v>0</v>
      </c>
      <c r="RX122">
        <v>0</v>
      </c>
      <c r="RY122">
        <v>0</v>
      </c>
      <c r="RZ122">
        <v>0</v>
      </c>
      <c r="SA122">
        <v>0</v>
      </c>
      <c r="SB122">
        <v>0</v>
      </c>
      <c r="SC122">
        <v>0</v>
      </c>
      <c r="SD122">
        <v>0</v>
      </c>
      <c r="SE122">
        <v>0</v>
      </c>
      <c r="SF122">
        <v>0</v>
      </c>
      <c r="SG122">
        <v>0</v>
      </c>
      <c r="SH122">
        <v>0</v>
      </c>
      <c r="SI122">
        <v>0</v>
      </c>
      <c r="SJ122">
        <v>0</v>
      </c>
      <c r="SK122">
        <v>0</v>
      </c>
      <c r="SL122">
        <v>0</v>
      </c>
      <c r="SM122">
        <v>0</v>
      </c>
      <c r="SN122">
        <v>0</v>
      </c>
      <c r="SO122">
        <v>0</v>
      </c>
      <c r="SP122">
        <v>0</v>
      </c>
      <c r="SQ122">
        <v>0</v>
      </c>
      <c r="SR122">
        <v>0</v>
      </c>
      <c r="SS122">
        <v>0</v>
      </c>
      <c r="ST122">
        <v>0</v>
      </c>
      <c r="SU122">
        <v>0</v>
      </c>
      <c r="SV122">
        <v>0</v>
      </c>
      <c r="SW122">
        <v>0</v>
      </c>
      <c r="SX122">
        <v>0</v>
      </c>
      <c r="SY122">
        <v>0</v>
      </c>
      <c r="SZ122">
        <v>0</v>
      </c>
      <c r="TA122">
        <v>0</v>
      </c>
      <c r="TB122">
        <v>0</v>
      </c>
      <c r="TC122">
        <v>0</v>
      </c>
      <c r="TD122">
        <v>0</v>
      </c>
      <c r="TE122">
        <v>0</v>
      </c>
      <c r="TF122">
        <v>0</v>
      </c>
      <c r="TG122">
        <v>0</v>
      </c>
      <c r="TH122">
        <v>0</v>
      </c>
      <c r="TI122">
        <v>0</v>
      </c>
      <c r="TJ122">
        <v>0</v>
      </c>
      <c r="TK122">
        <v>0</v>
      </c>
      <c r="TL122">
        <v>0</v>
      </c>
      <c r="TM122">
        <v>0</v>
      </c>
      <c r="TN122">
        <v>0</v>
      </c>
      <c r="TO122">
        <v>0</v>
      </c>
      <c r="TP122">
        <v>0</v>
      </c>
      <c r="TQ122">
        <v>0</v>
      </c>
      <c r="TR122">
        <v>0</v>
      </c>
      <c r="TS122">
        <v>0</v>
      </c>
      <c r="TT122">
        <v>0</v>
      </c>
      <c r="TU122">
        <v>0</v>
      </c>
      <c r="TV122">
        <v>0</v>
      </c>
      <c r="TW122">
        <v>0</v>
      </c>
      <c r="TX122">
        <v>0</v>
      </c>
      <c r="TY122">
        <v>0</v>
      </c>
      <c r="TZ122">
        <v>0</v>
      </c>
      <c r="UA122">
        <v>0</v>
      </c>
      <c r="UB122">
        <v>0</v>
      </c>
      <c r="UC122">
        <v>0</v>
      </c>
      <c r="UD122">
        <v>0</v>
      </c>
      <c r="UE122">
        <v>0</v>
      </c>
      <c r="UF122">
        <v>0</v>
      </c>
      <c r="UG122">
        <v>0</v>
      </c>
      <c r="UH122">
        <v>0</v>
      </c>
      <c r="UI122">
        <v>0</v>
      </c>
      <c r="UJ122">
        <v>0</v>
      </c>
      <c r="UK122">
        <v>0</v>
      </c>
      <c r="UL122">
        <v>0</v>
      </c>
      <c r="UM122">
        <v>0</v>
      </c>
      <c r="UN122">
        <v>0</v>
      </c>
      <c r="UO122">
        <v>0</v>
      </c>
      <c r="UP122">
        <v>0</v>
      </c>
      <c r="UQ122">
        <v>0</v>
      </c>
      <c r="UR122">
        <v>0</v>
      </c>
      <c r="US122">
        <v>0</v>
      </c>
      <c r="UT122">
        <v>0</v>
      </c>
      <c r="UU122">
        <v>0</v>
      </c>
      <c r="UV122">
        <v>0</v>
      </c>
      <c r="UW122">
        <v>0</v>
      </c>
      <c r="UX122">
        <v>0</v>
      </c>
      <c r="UY122">
        <v>0</v>
      </c>
      <c r="UZ122">
        <v>0</v>
      </c>
      <c r="VA122">
        <v>0</v>
      </c>
      <c r="VB122">
        <v>0</v>
      </c>
      <c r="VC122">
        <v>0</v>
      </c>
      <c r="VD122">
        <v>0</v>
      </c>
      <c r="VE122">
        <v>0</v>
      </c>
      <c r="VF122">
        <v>0</v>
      </c>
      <c r="VG122">
        <v>0</v>
      </c>
      <c r="VH122">
        <v>0</v>
      </c>
      <c r="VI122">
        <v>0</v>
      </c>
      <c r="VJ122">
        <v>0</v>
      </c>
      <c r="VK122">
        <v>0</v>
      </c>
      <c r="VL122">
        <v>0</v>
      </c>
      <c r="VM122">
        <v>0</v>
      </c>
      <c r="VN122">
        <v>0</v>
      </c>
      <c r="VO122">
        <v>0</v>
      </c>
      <c r="VP122">
        <v>0</v>
      </c>
      <c r="VQ122">
        <v>0</v>
      </c>
      <c r="VR122">
        <v>0</v>
      </c>
      <c r="VS122">
        <v>0</v>
      </c>
      <c r="VT122">
        <v>0</v>
      </c>
      <c r="VU122">
        <v>0</v>
      </c>
      <c r="VV122">
        <v>0</v>
      </c>
      <c r="VW122">
        <v>0</v>
      </c>
      <c r="VX122">
        <v>0</v>
      </c>
      <c r="VY122">
        <v>0</v>
      </c>
      <c r="VZ122">
        <v>0</v>
      </c>
      <c r="WA122">
        <v>0</v>
      </c>
      <c r="WB122">
        <v>0</v>
      </c>
      <c r="WC122">
        <v>0</v>
      </c>
      <c r="WD122">
        <v>0</v>
      </c>
      <c r="WE122">
        <v>0</v>
      </c>
      <c r="WF122">
        <v>0</v>
      </c>
      <c r="WG122">
        <v>0</v>
      </c>
      <c r="WH122">
        <v>0</v>
      </c>
      <c r="WI122">
        <v>0</v>
      </c>
      <c r="WJ122">
        <v>0</v>
      </c>
      <c r="WK122">
        <v>0</v>
      </c>
      <c r="WL122">
        <v>0</v>
      </c>
      <c r="WM122">
        <v>0</v>
      </c>
      <c r="WN122">
        <v>0</v>
      </c>
      <c r="WO122">
        <v>0</v>
      </c>
      <c r="WP122">
        <v>0</v>
      </c>
      <c r="WQ122">
        <v>0</v>
      </c>
      <c r="WR122">
        <v>0</v>
      </c>
      <c r="WS122">
        <v>0</v>
      </c>
      <c r="WT122">
        <v>0</v>
      </c>
      <c r="WU122">
        <v>0</v>
      </c>
      <c r="WV122">
        <v>0</v>
      </c>
      <c r="WW122">
        <v>0</v>
      </c>
      <c r="WX122">
        <v>0</v>
      </c>
      <c r="WY122">
        <v>0</v>
      </c>
      <c r="WZ122">
        <v>0</v>
      </c>
      <c r="XA122">
        <v>0</v>
      </c>
      <c r="XB122">
        <v>0</v>
      </c>
      <c r="XC122">
        <v>0</v>
      </c>
      <c r="XD122">
        <v>0</v>
      </c>
      <c r="XE122">
        <v>0</v>
      </c>
      <c r="XF122">
        <v>0</v>
      </c>
      <c r="XG122">
        <v>0</v>
      </c>
      <c r="XH122">
        <v>0</v>
      </c>
      <c r="XI122">
        <v>0</v>
      </c>
      <c r="XJ122">
        <v>0</v>
      </c>
      <c r="XK122">
        <v>0</v>
      </c>
      <c r="XL122">
        <v>0</v>
      </c>
      <c r="XM122">
        <v>0</v>
      </c>
      <c r="XN122">
        <v>0</v>
      </c>
      <c r="XO122">
        <v>0</v>
      </c>
      <c r="XP122">
        <v>0</v>
      </c>
      <c r="XQ122">
        <v>0</v>
      </c>
      <c r="XR122">
        <v>0</v>
      </c>
      <c r="XS122">
        <v>0</v>
      </c>
      <c r="XT122">
        <v>0</v>
      </c>
      <c r="XU122">
        <v>0</v>
      </c>
      <c r="XV122">
        <v>0</v>
      </c>
      <c r="XW122">
        <v>0</v>
      </c>
      <c r="XX122">
        <v>0</v>
      </c>
      <c r="XY122">
        <v>0</v>
      </c>
      <c r="XZ122">
        <v>0</v>
      </c>
      <c r="YA122">
        <v>0</v>
      </c>
      <c r="YB122">
        <v>0</v>
      </c>
      <c r="YC122">
        <v>0</v>
      </c>
      <c r="YD122">
        <v>0</v>
      </c>
      <c r="YE122">
        <v>0</v>
      </c>
      <c r="YF122">
        <v>0</v>
      </c>
      <c r="YG122">
        <v>0</v>
      </c>
      <c r="YH122">
        <v>0</v>
      </c>
      <c r="YI122">
        <v>0</v>
      </c>
      <c r="YJ122">
        <v>0</v>
      </c>
      <c r="YK122">
        <v>0</v>
      </c>
      <c r="YL122">
        <v>0</v>
      </c>
      <c r="YM122">
        <v>0</v>
      </c>
      <c r="YN122">
        <v>0</v>
      </c>
      <c r="YO122">
        <v>0</v>
      </c>
      <c r="YP122">
        <v>0</v>
      </c>
      <c r="YQ122">
        <v>0</v>
      </c>
      <c r="YR122">
        <v>0</v>
      </c>
      <c r="YS122">
        <v>0</v>
      </c>
      <c r="YT122">
        <v>0</v>
      </c>
      <c r="YU122">
        <v>0</v>
      </c>
      <c r="YV122">
        <v>0</v>
      </c>
      <c r="YW122">
        <v>0</v>
      </c>
      <c r="YX122">
        <v>1</v>
      </c>
      <c r="YY122">
        <v>1</v>
      </c>
      <c r="YZ122">
        <v>1</v>
      </c>
      <c r="ZA122">
        <v>1</v>
      </c>
      <c r="ZB122">
        <v>1</v>
      </c>
      <c r="ZC122">
        <v>1</v>
      </c>
      <c r="ZD122">
        <v>1</v>
      </c>
      <c r="ZE122">
        <v>1</v>
      </c>
      <c r="ZF122">
        <v>1</v>
      </c>
      <c r="ZG122">
        <v>1</v>
      </c>
      <c r="ZH122">
        <v>1</v>
      </c>
      <c r="ZI122">
        <v>1</v>
      </c>
      <c r="ZJ122">
        <v>1</v>
      </c>
      <c r="ZK122">
        <v>1</v>
      </c>
      <c r="ZL122">
        <v>1</v>
      </c>
      <c r="ZM122">
        <v>1</v>
      </c>
      <c r="ZN122">
        <v>1</v>
      </c>
      <c r="ZO122">
        <v>1</v>
      </c>
      <c r="ZP122">
        <v>1</v>
      </c>
      <c r="ZQ122">
        <v>1</v>
      </c>
      <c r="ZR122">
        <v>1</v>
      </c>
      <c r="ZS122">
        <v>0</v>
      </c>
      <c r="ZT122">
        <v>0</v>
      </c>
      <c r="ZU122">
        <v>0</v>
      </c>
      <c r="ZV122">
        <v>0</v>
      </c>
      <c r="ZW122">
        <v>0</v>
      </c>
      <c r="ZX122">
        <v>0</v>
      </c>
      <c r="ZY122">
        <v>0</v>
      </c>
      <c r="ZZ122">
        <v>0</v>
      </c>
      <c r="AAA122">
        <v>0</v>
      </c>
      <c r="AAB122">
        <v>0</v>
      </c>
      <c r="AAC122">
        <v>0</v>
      </c>
      <c r="AAD122">
        <v>0</v>
      </c>
      <c r="AAE122">
        <v>0</v>
      </c>
      <c r="AAF122">
        <v>0</v>
      </c>
      <c r="AAG122">
        <v>0</v>
      </c>
      <c r="AAH122">
        <v>0</v>
      </c>
      <c r="AAI122">
        <v>0</v>
      </c>
      <c r="AAJ122">
        <v>0</v>
      </c>
      <c r="AAK122">
        <v>0</v>
      </c>
      <c r="AAL122">
        <v>0</v>
      </c>
      <c r="AAM122">
        <v>0</v>
      </c>
      <c r="AAN122">
        <v>0</v>
      </c>
      <c r="AAO122">
        <v>0</v>
      </c>
      <c r="AAP122">
        <v>0</v>
      </c>
      <c r="AAQ122">
        <v>0</v>
      </c>
      <c r="AAR122">
        <v>0</v>
      </c>
      <c r="AAS122">
        <v>0</v>
      </c>
      <c r="AAT122">
        <v>0</v>
      </c>
      <c r="AAU122">
        <v>0</v>
      </c>
      <c r="AAV122">
        <v>0</v>
      </c>
      <c r="AAW122">
        <v>0</v>
      </c>
      <c r="AAX122">
        <v>0</v>
      </c>
      <c r="AAY122">
        <v>0</v>
      </c>
      <c r="AAZ122">
        <v>0</v>
      </c>
      <c r="ABA122">
        <v>0</v>
      </c>
      <c r="ABB122">
        <v>0</v>
      </c>
      <c r="ABC122">
        <v>0</v>
      </c>
      <c r="ABD122">
        <v>0</v>
      </c>
      <c r="ABE122">
        <v>0</v>
      </c>
      <c r="ABG122" s="1137">
        <f t="shared" si="30"/>
        <v>0</v>
      </c>
      <c r="ABH122" s="1137">
        <f t="shared" si="30"/>
        <v>0</v>
      </c>
      <c r="ABI122" s="1137">
        <f t="shared" si="30"/>
        <v>0</v>
      </c>
      <c r="ABJ122" s="1137">
        <f t="shared" si="30"/>
        <v>0</v>
      </c>
      <c r="ABK122" s="1137">
        <f t="shared" si="30"/>
        <v>0</v>
      </c>
      <c r="ABL122" s="1137">
        <f t="shared" si="30"/>
        <v>0</v>
      </c>
      <c r="ABM122" s="1137">
        <f t="shared" si="30"/>
        <v>0</v>
      </c>
      <c r="ABN122" s="1137">
        <f t="shared" si="30"/>
        <v>0</v>
      </c>
      <c r="ABO122" s="1137">
        <f t="shared" si="30"/>
        <v>0</v>
      </c>
      <c r="ABP122" s="1137">
        <f t="shared" si="30"/>
        <v>0</v>
      </c>
      <c r="ABQ122" s="1137">
        <f t="shared" si="30"/>
        <v>0</v>
      </c>
      <c r="ABR122" s="1137">
        <f t="shared" si="30"/>
        <v>0</v>
      </c>
      <c r="ABS122" s="1137">
        <f t="shared" si="30"/>
        <v>0</v>
      </c>
      <c r="ABT122" s="1137">
        <f t="shared" si="30"/>
        <v>0</v>
      </c>
      <c r="ABU122" s="1137">
        <f t="shared" si="30"/>
        <v>0</v>
      </c>
      <c r="ABV122" s="1137">
        <f t="shared" si="30"/>
        <v>0</v>
      </c>
      <c r="ABW122" s="1137">
        <f t="shared" si="31"/>
        <v>0</v>
      </c>
      <c r="ABX122" s="1137">
        <f t="shared" si="23"/>
        <v>0</v>
      </c>
      <c r="ABY122" s="1137">
        <f t="shared" si="23"/>
        <v>0</v>
      </c>
      <c r="ABZ122" s="1137">
        <f t="shared" si="23"/>
        <v>0</v>
      </c>
      <c r="ACA122" s="1137">
        <f t="shared" si="23"/>
        <v>0</v>
      </c>
      <c r="ACB122" s="1137">
        <f t="shared" si="23"/>
        <v>0</v>
      </c>
      <c r="ACC122" s="1137">
        <f t="shared" si="23"/>
        <v>21</v>
      </c>
      <c r="ACD122" s="1137">
        <f t="shared" si="23"/>
        <v>0</v>
      </c>
      <c r="ACE122" s="1137" t="s">
        <v>45</v>
      </c>
      <c r="ACF122" s="1137">
        <f t="shared" si="33"/>
        <v>0</v>
      </c>
      <c r="ACG122" s="1137">
        <f t="shared" si="33"/>
        <v>0</v>
      </c>
      <c r="ACH122" s="1137">
        <f t="shared" si="33"/>
        <v>0</v>
      </c>
      <c r="ACI122" s="1137">
        <f t="shared" si="33"/>
        <v>0</v>
      </c>
      <c r="ACJ122" s="1137">
        <f t="shared" si="33"/>
        <v>0</v>
      </c>
      <c r="ACK122" s="1137">
        <f t="shared" si="33"/>
        <v>0</v>
      </c>
      <c r="ACL122" s="1137">
        <f t="shared" si="33"/>
        <v>0</v>
      </c>
      <c r="ACM122" s="1137">
        <f t="shared" si="33"/>
        <v>0</v>
      </c>
      <c r="ACN122" s="1137">
        <f t="shared" si="33"/>
        <v>0</v>
      </c>
      <c r="ACO122" s="1137">
        <f t="shared" si="33"/>
        <v>0</v>
      </c>
      <c r="ACP122" s="1137">
        <f t="shared" si="33"/>
        <v>0</v>
      </c>
      <c r="ACQ122" s="1137">
        <f t="shared" si="32"/>
        <v>0</v>
      </c>
      <c r="ACR122" s="1137">
        <f t="shared" si="32"/>
        <v>0</v>
      </c>
      <c r="ACS122" s="1137">
        <f t="shared" si="32"/>
        <v>0</v>
      </c>
      <c r="ACT122" s="1137">
        <f t="shared" si="32"/>
        <v>0</v>
      </c>
      <c r="ACU122" s="1137">
        <f t="shared" si="32"/>
        <v>0</v>
      </c>
      <c r="ACV122" s="1137">
        <f t="shared" si="24"/>
        <v>0</v>
      </c>
      <c r="ACW122" s="1137">
        <f t="shared" si="24"/>
        <v>0</v>
      </c>
      <c r="ACX122" s="1137">
        <f t="shared" si="24"/>
        <v>0</v>
      </c>
      <c r="ACY122" s="1137">
        <f t="shared" si="24"/>
        <v>0</v>
      </c>
      <c r="ACZ122" s="1137">
        <f t="shared" si="24"/>
        <v>0</v>
      </c>
      <c r="ADA122" s="1137">
        <f t="shared" si="24"/>
        <v>0</v>
      </c>
      <c r="ADB122" s="1137">
        <f t="shared" si="24"/>
        <v>1</v>
      </c>
      <c r="ADC122" s="1137">
        <f t="shared" si="24"/>
        <v>0</v>
      </c>
    </row>
    <row r="123" spans="1:783" x14ac:dyDescent="0.25">
      <c r="A123" t="s">
        <v>1922</v>
      </c>
      <c r="B123" t="s">
        <v>213</v>
      </c>
      <c r="C123">
        <v>0</v>
      </c>
      <c r="D123">
        <v>0</v>
      </c>
      <c r="E123">
        <v>0</v>
      </c>
      <c r="F123">
        <v>0</v>
      </c>
      <c r="G123">
        <v>0</v>
      </c>
      <c r="H123">
        <v>0</v>
      </c>
      <c r="I123">
        <v>0</v>
      </c>
      <c r="J123">
        <v>0</v>
      </c>
      <c r="K123">
        <v>0</v>
      </c>
      <c r="L123">
        <v>0</v>
      </c>
      <c r="M123">
        <v>0</v>
      </c>
      <c r="N123">
        <v>0</v>
      </c>
      <c r="O123">
        <v>0</v>
      </c>
      <c r="P123">
        <v>0</v>
      </c>
      <c r="Q123">
        <v>0</v>
      </c>
      <c r="R123">
        <v>0</v>
      </c>
      <c r="S123">
        <v>0</v>
      </c>
      <c r="T123">
        <v>0</v>
      </c>
      <c r="U123">
        <v>0</v>
      </c>
      <c r="V123">
        <v>0</v>
      </c>
      <c r="W123">
        <v>0</v>
      </c>
      <c r="X123">
        <v>0</v>
      </c>
      <c r="Y123">
        <v>0</v>
      </c>
      <c r="Z123">
        <v>0</v>
      </c>
      <c r="AA123">
        <v>0</v>
      </c>
      <c r="AB123">
        <v>0</v>
      </c>
      <c r="AC123">
        <v>0</v>
      </c>
      <c r="AD123">
        <v>0</v>
      </c>
      <c r="AE123">
        <v>0</v>
      </c>
      <c r="AF123">
        <v>0</v>
      </c>
      <c r="AG123">
        <v>0</v>
      </c>
      <c r="AH123">
        <v>0</v>
      </c>
      <c r="AI123">
        <v>0</v>
      </c>
      <c r="AJ123">
        <v>0</v>
      </c>
      <c r="AK123">
        <v>0</v>
      </c>
      <c r="AL123">
        <v>0</v>
      </c>
      <c r="AM123">
        <v>0</v>
      </c>
      <c r="AN123">
        <v>0</v>
      </c>
      <c r="AO123">
        <v>0</v>
      </c>
      <c r="AP123">
        <v>0</v>
      </c>
      <c r="AQ123">
        <v>0</v>
      </c>
      <c r="AR123">
        <v>0</v>
      </c>
      <c r="AS123">
        <v>0</v>
      </c>
      <c r="AT123">
        <v>0</v>
      </c>
      <c r="AU123">
        <v>0</v>
      </c>
      <c r="AV123">
        <v>0</v>
      </c>
      <c r="AW123">
        <v>0</v>
      </c>
      <c r="AX123">
        <v>0</v>
      </c>
      <c r="AY123">
        <v>0</v>
      </c>
      <c r="AZ123">
        <v>0</v>
      </c>
      <c r="BA123">
        <v>0</v>
      </c>
      <c r="BB123">
        <v>0</v>
      </c>
      <c r="BC123">
        <v>0</v>
      </c>
      <c r="BD123">
        <v>0</v>
      </c>
      <c r="BE123">
        <v>0</v>
      </c>
      <c r="BF123">
        <v>0</v>
      </c>
      <c r="BG123">
        <v>0</v>
      </c>
      <c r="BH123">
        <v>0</v>
      </c>
      <c r="BI123">
        <v>0</v>
      </c>
      <c r="BJ123">
        <v>0</v>
      </c>
      <c r="BK123">
        <v>0</v>
      </c>
      <c r="BL123">
        <v>0</v>
      </c>
      <c r="BM123">
        <v>0</v>
      </c>
      <c r="BN123">
        <v>0</v>
      </c>
      <c r="BO123">
        <v>0</v>
      </c>
      <c r="BP123">
        <v>0</v>
      </c>
      <c r="BQ123">
        <v>0</v>
      </c>
      <c r="BR123">
        <v>0</v>
      </c>
      <c r="BS123">
        <v>0</v>
      </c>
      <c r="BT123">
        <v>0</v>
      </c>
      <c r="BU123">
        <v>0</v>
      </c>
      <c r="BV123">
        <v>0</v>
      </c>
      <c r="BW123">
        <v>0</v>
      </c>
      <c r="BX123">
        <v>0</v>
      </c>
      <c r="BY123">
        <v>0</v>
      </c>
      <c r="BZ123">
        <v>0</v>
      </c>
      <c r="CA123">
        <v>0</v>
      </c>
      <c r="CB123">
        <v>2</v>
      </c>
      <c r="CC123">
        <v>2</v>
      </c>
      <c r="CD123">
        <v>2</v>
      </c>
      <c r="CE123">
        <v>2</v>
      </c>
      <c r="CF123">
        <v>2</v>
      </c>
      <c r="CG123">
        <v>2</v>
      </c>
      <c r="CH123">
        <v>2</v>
      </c>
      <c r="CI123">
        <v>2</v>
      </c>
      <c r="CJ123">
        <v>2</v>
      </c>
      <c r="CK123">
        <v>2</v>
      </c>
      <c r="CL123">
        <v>2</v>
      </c>
      <c r="CM123">
        <v>2</v>
      </c>
      <c r="CN123">
        <v>2</v>
      </c>
      <c r="CO123">
        <v>2</v>
      </c>
      <c r="CP123">
        <v>2</v>
      </c>
      <c r="CQ123">
        <v>2</v>
      </c>
      <c r="CR123">
        <v>2</v>
      </c>
      <c r="CS123">
        <v>2</v>
      </c>
      <c r="CT123">
        <v>2</v>
      </c>
      <c r="CU123">
        <v>2</v>
      </c>
      <c r="CV123">
        <v>2</v>
      </c>
      <c r="CW123">
        <v>2</v>
      </c>
      <c r="CX123">
        <v>2</v>
      </c>
      <c r="CY123">
        <v>2</v>
      </c>
      <c r="CZ123">
        <v>2</v>
      </c>
      <c r="DA123">
        <v>2</v>
      </c>
      <c r="DB123">
        <v>2</v>
      </c>
      <c r="DC123">
        <v>2</v>
      </c>
      <c r="DD123">
        <v>2</v>
      </c>
      <c r="DE123">
        <v>2</v>
      </c>
      <c r="DF123">
        <v>2</v>
      </c>
      <c r="DG123">
        <v>2</v>
      </c>
      <c r="DH123">
        <v>2</v>
      </c>
      <c r="DI123">
        <v>2</v>
      </c>
      <c r="DJ123">
        <v>2</v>
      </c>
      <c r="DK123">
        <v>2</v>
      </c>
      <c r="DL123">
        <v>2</v>
      </c>
      <c r="DM123">
        <v>2</v>
      </c>
      <c r="DN123">
        <v>2</v>
      </c>
      <c r="DO123">
        <v>2</v>
      </c>
      <c r="DP123">
        <v>2</v>
      </c>
      <c r="DQ123">
        <v>2</v>
      </c>
      <c r="DR123">
        <v>2</v>
      </c>
      <c r="DS123">
        <v>2</v>
      </c>
      <c r="DT123">
        <v>2</v>
      </c>
      <c r="DU123">
        <v>2</v>
      </c>
      <c r="DV123">
        <v>2</v>
      </c>
      <c r="DW123">
        <v>2</v>
      </c>
      <c r="DX123">
        <v>2</v>
      </c>
      <c r="DY123">
        <v>2</v>
      </c>
      <c r="DZ123">
        <v>2</v>
      </c>
      <c r="EA123">
        <v>2</v>
      </c>
      <c r="EB123">
        <v>2</v>
      </c>
      <c r="EC123">
        <v>2</v>
      </c>
      <c r="ED123">
        <v>2</v>
      </c>
      <c r="EE123">
        <v>2</v>
      </c>
      <c r="EF123">
        <v>2</v>
      </c>
      <c r="EG123">
        <v>2</v>
      </c>
      <c r="EH123">
        <v>2</v>
      </c>
      <c r="EI123">
        <v>2</v>
      </c>
      <c r="EJ123">
        <v>2</v>
      </c>
      <c r="EK123">
        <v>2</v>
      </c>
      <c r="EL123">
        <v>2</v>
      </c>
      <c r="EM123">
        <v>2</v>
      </c>
      <c r="EN123">
        <v>2</v>
      </c>
      <c r="EO123">
        <v>2</v>
      </c>
      <c r="EP123">
        <v>2</v>
      </c>
      <c r="EQ123">
        <v>2</v>
      </c>
      <c r="ER123">
        <v>2</v>
      </c>
      <c r="ES123">
        <v>2</v>
      </c>
      <c r="ET123">
        <v>2</v>
      </c>
      <c r="EU123">
        <v>2</v>
      </c>
      <c r="EV123">
        <v>2</v>
      </c>
      <c r="EW123">
        <v>2</v>
      </c>
      <c r="EX123">
        <v>2</v>
      </c>
      <c r="EY123">
        <v>2</v>
      </c>
      <c r="EZ123">
        <v>2</v>
      </c>
      <c r="FA123">
        <v>2</v>
      </c>
      <c r="FB123">
        <v>2</v>
      </c>
      <c r="FC123">
        <v>2</v>
      </c>
      <c r="FD123">
        <v>2</v>
      </c>
      <c r="FE123">
        <v>2</v>
      </c>
      <c r="FF123">
        <v>2</v>
      </c>
      <c r="FG123">
        <v>2</v>
      </c>
      <c r="FH123">
        <v>0</v>
      </c>
      <c r="FI123">
        <v>0</v>
      </c>
      <c r="FJ123">
        <v>0</v>
      </c>
      <c r="FK123">
        <v>0</v>
      </c>
      <c r="FL123">
        <v>0</v>
      </c>
      <c r="FM123">
        <v>0</v>
      </c>
      <c r="FN123">
        <v>0</v>
      </c>
      <c r="FO123">
        <v>0</v>
      </c>
      <c r="FP123">
        <v>0</v>
      </c>
      <c r="FQ123">
        <v>0</v>
      </c>
      <c r="FR123">
        <v>0</v>
      </c>
      <c r="FS123">
        <v>0</v>
      </c>
      <c r="FT123">
        <v>0</v>
      </c>
      <c r="FU123">
        <v>0</v>
      </c>
      <c r="FV123">
        <v>0</v>
      </c>
      <c r="FW123">
        <v>0</v>
      </c>
      <c r="FX123">
        <v>0</v>
      </c>
      <c r="FY123">
        <v>0</v>
      </c>
      <c r="FZ123">
        <v>0</v>
      </c>
      <c r="GA123">
        <v>0</v>
      </c>
      <c r="GB123">
        <v>0</v>
      </c>
      <c r="GC123">
        <v>0</v>
      </c>
      <c r="GD123">
        <v>0</v>
      </c>
      <c r="GE123">
        <v>0</v>
      </c>
      <c r="GF123">
        <v>0</v>
      </c>
      <c r="GG123">
        <v>0</v>
      </c>
      <c r="GH123">
        <v>0</v>
      </c>
      <c r="GI123">
        <v>0</v>
      </c>
      <c r="GJ123">
        <v>0</v>
      </c>
      <c r="GK123">
        <v>0</v>
      </c>
      <c r="GL123">
        <v>0</v>
      </c>
      <c r="GM123">
        <v>0</v>
      </c>
      <c r="GN123">
        <v>0</v>
      </c>
      <c r="GO123">
        <v>0</v>
      </c>
      <c r="GP123">
        <v>0</v>
      </c>
      <c r="GQ123">
        <v>0</v>
      </c>
      <c r="GR123">
        <v>0</v>
      </c>
      <c r="GS123">
        <v>0</v>
      </c>
      <c r="GT123">
        <v>0</v>
      </c>
      <c r="GU123">
        <v>0</v>
      </c>
      <c r="GV123">
        <v>0</v>
      </c>
      <c r="GW123">
        <v>0</v>
      </c>
      <c r="GX123">
        <v>0</v>
      </c>
      <c r="GY123">
        <v>0</v>
      </c>
      <c r="GZ123">
        <v>0</v>
      </c>
      <c r="HA123">
        <v>0</v>
      </c>
      <c r="HB123">
        <v>0</v>
      </c>
      <c r="HC123">
        <v>0</v>
      </c>
      <c r="HD123">
        <v>0</v>
      </c>
      <c r="HE123">
        <v>0</v>
      </c>
      <c r="HF123">
        <v>0</v>
      </c>
      <c r="HG123">
        <v>0</v>
      </c>
      <c r="HH123">
        <v>0</v>
      </c>
      <c r="HI123">
        <v>0</v>
      </c>
      <c r="HJ123">
        <v>2</v>
      </c>
      <c r="HK123">
        <v>2</v>
      </c>
      <c r="HL123">
        <v>2</v>
      </c>
      <c r="HM123">
        <v>2</v>
      </c>
      <c r="HN123">
        <v>2</v>
      </c>
      <c r="HO123">
        <v>2</v>
      </c>
      <c r="HP123">
        <v>2</v>
      </c>
      <c r="HQ123">
        <v>2</v>
      </c>
      <c r="HR123">
        <v>2</v>
      </c>
      <c r="HS123">
        <v>2</v>
      </c>
      <c r="HT123">
        <v>2</v>
      </c>
      <c r="HU123">
        <v>2</v>
      </c>
      <c r="HV123">
        <v>2</v>
      </c>
      <c r="HW123">
        <v>2</v>
      </c>
      <c r="HX123">
        <v>2</v>
      </c>
      <c r="HY123">
        <v>2</v>
      </c>
      <c r="HZ123">
        <v>2</v>
      </c>
      <c r="IA123">
        <v>2</v>
      </c>
      <c r="IB123">
        <v>2</v>
      </c>
      <c r="IC123">
        <v>2</v>
      </c>
      <c r="ID123">
        <v>2</v>
      </c>
      <c r="IE123">
        <v>2</v>
      </c>
      <c r="IF123">
        <v>2</v>
      </c>
      <c r="IG123">
        <v>2</v>
      </c>
      <c r="IH123">
        <v>2</v>
      </c>
      <c r="II123">
        <v>2</v>
      </c>
      <c r="IJ123">
        <v>2</v>
      </c>
      <c r="IK123">
        <v>2</v>
      </c>
      <c r="IL123">
        <v>2</v>
      </c>
      <c r="IM123">
        <v>2</v>
      </c>
      <c r="IN123">
        <v>2</v>
      </c>
      <c r="IO123">
        <v>2</v>
      </c>
      <c r="IP123">
        <v>2</v>
      </c>
      <c r="IQ123">
        <v>2</v>
      </c>
      <c r="IR123">
        <v>2</v>
      </c>
      <c r="IS123">
        <v>2</v>
      </c>
      <c r="IT123">
        <v>2</v>
      </c>
      <c r="IU123">
        <v>2</v>
      </c>
      <c r="IV123">
        <v>2</v>
      </c>
      <c r="IW123">
        <v>2</v>
      </c>
      <c r="IX123">
        <v>2</v>
      </c>
      <c r="IY123">
        <v>2</v>
      </c>
      <c r="IZ123">
        <v>2</v>
      </c>
      <c r="JA123">
        <v>2</v>
      </c>
      <c r="JB123">
        <v>2</v>
      </c>
      <c r="JC123">
        <v>2</v>
      </c>
      <c r="JD123">
        <v>2</v>
      </c>
      <c r="JE123">
        <v>2</v>
      </c>
      <c r="JF123">
        <v>2</v>
      </c>
      <c r="JG123">
        <v>2</v>
      </c>
      <c r="JH123">
        <v>2</v>
      </c>
      <c r="JI123">
        <v>2</v>
      </c>
      <c r="JJ123">
        <v>2</v>
      </c>
      <c r="JK123">
        <v>2</v>
      </c>
      <c r="JL123">
        <v>2</v>
      </c>
      <c r="JM123">
        <v>2</v>
      </c>
      <c r="JN123">
        <v>2</v>
      </c>
      <c r="JO123">
        <v>2</v>
      </c>
      <c r="JP123">
        <v>2</v>
      </c>
      <c r="JQ123">
        <v>2</v>
      </c>
      <c r="JR123">
        <v>2</v>
      </c>
      <c r="JS123">
        <v>2</v>
      </c>
      <c r="JT123">
        <v>2</v>
      </c>
      <c r="JU123">
        <v>2</v>
      </c>
      <c r="JV123">
        <v>2</v>
      </c>
      <c r="JW123">
        <v>2</v>
      </c>
      <c r="JX123">
        <v>2</v>
      </c>
      <c r="JY123">
        <v>2</v>
      </c>
      <c r="JZ123">
        <v>2</v>
      </c>
      <c r="KA123">
        <v>2</v>
      </c>
      <c r="KB123">
        <v>2</v>
      </c>
      <c r="KC123">
        <v>2</v>
      </c>
      <c r="KD123">
        <v>2</v>
      </c>
      <c r="KE123">
        <v>2</v>
      </c>
      <c r="KF123">
        <v>2</v>
      </c>
      <c r="KG123">
        <v>2</v>
      </c>
      <c r="KH123">
        <v>2</v>
      </c>
      <c r="KI123">
        <v>2</v>
      </c>
      <c r="KJ123">
        <v>2</v>
      </c>
      <c r="KK123">
        <v>2</v>
      </c>
      <c r="KL123">
        <v>2</v>
      </c>
      <c r="KM123">
        <v>2</v>
      </c>
      <c r="KN123">
        <v>2</v>
      </c>
      <c r="KO123">
        <v>2</v>
      </c>
      <c r="KP123">
        <v>2</v>
      </c>
      <c r="KQ123">
        <v>2</v>
      </c>
      <c r="KR123">
        <v>2</v>
      </c>
      <c r="KS123">
        <v>2</v>
      </c>
      <c r="KT123">
        <v>2</v>
      </c>
      <c r="KU123">
        <v>2</v>
      </c>
      <c r="KV123">
        <v>2</v>
      </c>
      <c r="KW123">
        <v>2</v>
      </c>
      <c r="KX123">
        <v>2</v>
      </c>
      <c r="KY123">
        <v>2</v>
      </c>
      <c r="KZ123">
        <v>2</v>
      </c>
      <c r="LA123">
        <v>2</v>
      </c>
      <c r="LB123">
        <v>2</v>
      </c>
      <c r="LC123">
        <v>2</v>
      </c>
      <c r="LD123">
        <v>2</v>
      </c>
      <c r="LE123">
        <v>2</v>
      </c>
      <c r="LF123">
        <v>2</v>
      </c>
      <c r="LG123">
        <v>2</v>
      </c>
      <c r="LH123">
        <v>2</v>
      </c>
      <c r="LI123">
        <v>2</v>
      </c>
      <c r="LJ123">
        <v>2</v>
      </c>
      <c r="LK123">
        <v>2</v>
      </c>
      <c r="LL123">
        <v>2</v>
      </c>
      <c r="LM123">
        <v>2</v>
      </c>
      <c r="LN123">
        <v>2</v>
      </c>
      <c r="LO123">
        <v>2</v>
      </c>
      <c r="LP123">
        <v>2</v>
      </c>
      <c r="LQ123">
        <v>2</v>
      </c>
      <c r="LR123">
        <v>2</v>
      </c>
      <c r="LS123">
        <v>2</v>
      </c>
      <c r="LT123">
        <v>2</v>
      </c>
      <c r="LU123">
        <v>2</v>
      </c>
      <c r="LV123">
        <v>2</v>
      </c>
      <c r="LW123">
        <v>2</v>
      </c>
      <c r="LX123">
        <v>2</v>
      </c>
      <c r="LY123">
        <v>2</v>
      </c>
      <c r="LZ123">
        <v>2</v>
      </c>
      <c r="MA123">
        <v>2</v>
      </c>
      <c r="MB123">
        <v>2</v>
      </c>
      <c r="MC123">
        <v>2</v>
      </c>
      <c r="MD123">
        <v>2</v>
      </c>
      <c r="ME123">
        <v>2</v>
      </c>
      <c r="MF123">
        <v>1</v>
      </c>
      <c r="MG123">
        <v>1</v>
      </c>
      <c r="MH123">
        <v>1</v>
      </c>
      <c r="MI123">
        <v>1</v>
      </c>
      <c r="MJ123">
        <v>1</v>
      </c>
      <c r="MK123">
        <v>1</v>
      </c>
      <c r="ML123">
        <v>1</v>
      </c>
      <c r="MM123">
        <v>1</v>
      </c>
      <c r="MN123">
        <v>1</v>
      </c>
      <c r="MO123">
        <v>1</v>
      </c>
      <c r="MP123">
        <v>1</v>
      </c>
      <c r="MQ123">
        <v>1</v>
      </c>
      <c r="MR123">
        <v>1</v>
      </c>
      <c r="MS123">
        <v>1</v>
      </c>
      <c r="MT123">
        <v>1</v>
      </c>
      <c r="MU123">
        <v>1</v>
      </c>
      <c r="MV123">
        <v>1</v>
      </c>
      <c r="MW123">
        <v>1</v>
      </c>
      <c r="MX123">
        <v>1</v>
      </c>
      <c r="MY123">
        <v>1</v>
      </c>
      <c r="MZ123">
        <v>1</v>
      </c>
      <c r="NA123">
        <v>1</v>
      </c>
      <c r="NB123">
        <v>1</v>
      </c>
      <c r="NC123">
        <v>1</v>
      </c>
      <c r="ND123">
        <v>1</v>
      </c>
      <c r="NE123">
        <v>1</v>
      </c>
      <c r="NF123">
        <v>1</v>
      </c>
      <c r="NG123">
        <v>1</v>
      </c>
      <c r="NH123">
        <v>1</v>
      </c>
      <c r="NI123">
        <v>1</v>
      </c>
      <c r="NJ123">
        <v>1</v>
      </c>
      <c r="NK123">
        <v>1</v>
      </c>
      <c r="NL123">
        <v>1</v>
      </c>
      <c r="NM123">
        <v>1</v>
      </c>
      <c r="NN123">
        <v>1</v>
      </c>
      <c r="NO123">
        <v>1</v>
      </c>
      <c r="NP123">
        <v>1</v>
      </c>
      <c r="NQ123">
        <v>2</v>
      </c>
      <c r="NR123">
        <v>2</v>
      </c>
      <c r="NS123">
        <v>2</v>
      </c>
      <c r="NT123">
        <v>2</v>
      </c>
      <c r="NU123">
        <v>2</v>
      </c>
      <c r="NV123">
        <v>2</v>
      </c>
      <c r="NW123">
        <v>2</v>
      </c>
      <c r="NX123">
        <v>2</v>
      </c>
      <c r="NY123">
        <v>2</v>
      </c>
      <c r="NZ123">
        <v>2</v>
      </c>
      <c r="OA123">
        <v>2</v>
      </c>
      <c r="OB123">
        <v>2</v>
      </c>
      <c r="OC123">
        <v>2</v>
      </c>
      <c r="OD123">
        <v>2</v>
      </c>
      <c r="OE123">
        <v>2</v>
      </c>
      <c r="OF123">
        <v>2</v>
      </c>
      <c r="OG123">
        <v>2</v>
      </c>
      <c r="OH123">
        <v>2</v>
      </c>
      <c r="OI123">
        <v>2</v>
      </c>
      <c r="OJ123">
        <v>2</v>
      </c>
      <c r="OK123">
        <v>2</v>
      </c>
      <c r="OL123">
        <v>2</v>
      </c>
      <c r="OM123">
        <v>2</v>
      </c>
      <c r="ON123">
        <v>2</v>
      </c>
      <c r="OO123">
        <v>2</v>
      </c>
      <c r="OP123">
        <v>2</v>
      </c>
      <c r="OQ123">
        <v>2</v>
      </c>
      <c r="OR123">
        <v>2</v>
      </c>
      <c r="OS123">
        <v>2</v>
      </c>
      <c r="OT123">
        <v>2</v>
      </c>
      <c r="OU123">
        <v>2</v>
      </c>
      <c r="OV123">
        <v>2</v>
      </c>
      <c r="OW123">
        <v>2</v>
      </c>
      <c r="OX123">
        <v>2</v>
      </c>
      <c r="OY123">
        <v>2</v>
      </c>
      <c r="OZ123">
        <v>2</v>
      </c>
      <c r="PA123">
        <v>2</v>
      </c>
      <c r="PB123">
        <v>2</v>
      </c>
      <c r="PC123">
        <v>2</v>
      </c>
      <c r="PD123">
        <v>2</v>
      </c>
      <c r="PE123">
        <v>2</v>
      </c>
      <c r="PF123">
        <v>2</v>
      </c>
      <c r="PG123">
        <v>2</v>
      </c>
      <c r="PH123">
        <v>2</v>
      </c>
      <c r="PI123">
        <v>2</v>
      </c>
      <c r="PJ123">
        <v>2</v>
      </c>
      <c r="PK123">
        <v>2</v>
      </c>
      <c r="PL123">
        <v>2</v>
      </c>
      <c r="PM123">
        <v>2</v>
      </c>
      <c r="PN123">
        <v>2</v>
      </c>
      <c r="PO123">
        <v>2</v>
      </c>
      <c r="PP123">
        <v>2</v>
      </c>
      <c r="PQ123">
        <v>2</v>
      </c>
      <c r="PR123">
        <v>2</v>
      </c>
      <c r="PS123">
        <v>2</v>
      </c>
      <c r="PT123">
        <v>2</v>
      </c>
      <c r="PU123">
        <v>2</v>
      </c>
      <c r="PV123">
        <v>2</v>
      </c>
      <c r="PW123">
        <v>2</v>
      </c>
      <c r="PX123">
        <v>2</v>
      </c>
      <c r="PY123">
        <v>2</v>
      </c>
      <c r="PZ123">
        <v>2</v>
      </c>
      <c r="QA123">
        <v>2</v>
      </c>
      <c r="QB123">
        <v>2</v>
      </c>
      <c r="QC123">
        <v>2</v>
      </c>
      <c r="QD123">
        <v>2</v>
      </c>
      <c r="QE123">
        <v>2</v>
      </c>
      <c r="QF123">
        <v>2</v>
      </c>
      <c r="QG123">
        <v>2</v>
      </c>
      <c r="QH123">
        <v>2</v>
      </c>
      <c r="QI123">
        <v>2</v>
      </c>
      <c r="QJ123">
        <v>2</v>
      </c>
      <c r="QK123">
        <v>2</v>
      </c>
      <c r="QL123">
        <v>2</v>
      </c>
      <c r="QM123">
        <v>2</v>
      </c>
      <c r="QN123">
        <v>2</v>
      </c>
      <c r="QO123">
        <v>2</v>
      </c>
      <c r="QP123">
        <v>2</v>
      </c>
      <c r="QQ123">
        <v>2</v>
      </c>
      <c r="QR123">
        <v>2</v>
      </c>
      <c r="QS123">
        <v>2</v>
      </c>
      <c r="QT123">
        <v>2</v>
      </c>
      <c r="QU123">
        <v>2</v>
      </c>
      <c r="QV123">
        <v>2</v>
      </c>
      <c r="QW123">
        <v>2</v>
      </c>
      <c r="QX123">
        <v>2</v>
      </c>
      <c r="QY123">
        <v>2</v>
      </c>
      <c r="QZ123">
        <v>2</v>
      </c>
      <c r="RA123">
        <v>2</v>
      </c>
      <c r="RB123">
        <v>2</v>
      </c>
      <c r="RC123">
        <v>2</v>
      </c>
      <c r="RD123">
        <v>2</v>
      </c>
      <c r="RE123">
        <v>2</v>
      </c>
      <c r="RF123">
        <v>2</v>
      </c>
      <c r="RG123">
        <v>2</v>
      </c>
      <c r="RH123">
        <v>2</v>
      </c>
      <c r="RI123">
        <v>2</v>
      </c>
      <c r="RJ123">
        <v>2</v>
      </c>
      <c r="RK123">
        <v>2</v>
      </c>
      <c r="RL123">
        <v>2</v>
      </c>
      <c r="RM123">
        <v>2</v>
      </c>
      <c r="RN123">
        <v>2</v>
      </c>
      <c r="RO123">
        <v>2</v>
      </c>
      <c r="RP123">
        <v>2</v>
      </c>
      <c r="RQ123">
        <v>2</v>
      </c>
      <c r="RR123">
        <v>2</v>
      </c>
      <c r="RS123">
        <v>2</v>
      </c>
      <c r="RT123">
        <v>2</v>
      </c>
      <c r="RU123">
        <v>2</v>
      </c>
      <c r="RV123">
        <v>2</v>
      </c>
      <c r="RW123">
        <v>2</v>
      </c>
      <c r="RX123">
        <v>2</v>
      </c>
      <c r="RY123">
        <v>2</v>
      </c>
      <c r="RZ123">
        <v>2</v>
      </c>
      <c r="SA123">
        <v>2</v>
      </c>
      <c r="SB123">
        <v>2</v>
      </c>
      <c r="SC123">
        <v>2</v>
      </c>
      <c r="SD123">
        <v>2</v>
      </c>
      <c r="SE123">
        <v>2</v>
      </c>
      <c r="SF123">
        <v>2</v>
      </c>
      <c r="SG123">
        <v>2</v>
      </c>
      <c r="SH123">
        <v>2</v>
      </c>
      <c r="SI123">
        <v>2</v>
      </c>
      <c r="SJ123">
        <v>2</v>
      </c>
      <c r="SK123">
        <v>2</v>
      </c>
      <c r="SL123">
        <v>2</v>
      </c>
      <c r="SM123">
        <v>2</v>
      </c>
      <c r="SN123">
        <v>2</v>
      </c>
      <c r="SO123">
        <v>2</v>
      </c>
      <c r="SP123">
        <v>2</v>
      </c>
      <c r="SQ123">
        <v>2</v>
      </c>
      <c r="SR123">
        <v>2</v>
      </c>
      <c r="SS123">
        <v>2</v>
      </c>
      <c r="ST123">
        <v>2</v>
      </c>
      <c r="SU123">
        <v>2</v>
      </c>
      <c r="SV123">
        <v>2</v>
      </c>
      <c r="SW123">
        <v>2</v>
      </c>
      <c r="SX123">
        <v>2</v>
      </c>
      <c r="SY123">
        <v>2</v>
      </c>
      <c r="SZ123">
        <v>2</v>
      </c>
      <c r="TA123">
        <v>2</v>
      </c>
      <c r="TB123">
        <v>2</v>
      </c>
      <c r="TC123">
        <v>2</v>
      </c>
      <c r="TD123">
        <v>2</v>
      </c>
      <c r="TE123">
        <v>2</v>
      </c>
      <c r="TF123">
        <v>2</v>
      </c>
      <c r="TG123">
        <v>2</v>
      </c>
      <c r="TH123">
        <v>2</v>
      </c>
      <c r="TI123">
        <v>2</v>
      </c>
      <c r="TJ123">
        <v>2</v>
      </c>
      <c r="TK123">
        <v>2</v>
      </c>
      <c r="TL123">
        <v>2</v>
      </c>
      <c r="TM123">
        <v>2</v>
      </c>
      <c r="TN123">
        <v>2</v>
      </c>
      <c r="TO123">
        <v>2</v>
      </c>
      <c r="TP123">
        <v>2</v>
      </c>
      <c r="TQ123">
        <v>2</v>
      </c>
      <c r="TR123">
        <v>2</v>
      </c>
      <c r="TS123">
        <v>2</v>
      </c>
      <c r="TT123">
        <v>2</v>
      </c>
      <c r="TU123">
        <v>2</v>
      </c>
      <c r="TV123">
        <v>2</v>
      </c>
      <c r="TW123">
        <v>2</v>
      </c>
      <c r="TX123">
        <v>2</v>
      </c>
      <c r="TY123">
        <v>2</v>
      </c>
      <c r="TZ123">
        <v>2</v>
      </c>
      <c r="UA123">
        <v>2</v>
      </c>
      <c r="UB123">
        <v>2</v>
      </c>
      <c r="UC123">
        <v>2</v>
      </c>
      <c r="UD123">
        <v>2</v>
      </c>
      <c r="UE123">
        <v>2</v>
      </c>
      <c r="UF123">
        <v>2</v>
      </c>
      <c r="UG123">
        <v>2</v>
      </c>
      <c r="UH123">
        <v>2</v>
      </c>
      <c r="UI123">
        <v>2</v>
      </c>
      <c r="UJ123">
        <v>2</v>
      </c>
      <c r="UK123">
        <v>2</v>
      </c>
      <c r="UL123">
        <v>2</v>
      </c>
      <c r="UM123">
        <v>2</v>
      </c>
      <c r="UN123">
        <v>2</v>
      </c>
      <c r="UO123">
        <v>2</v>
      </c>
      <c r="UP123">
        <v>2</v>
      </c>
      <c r="UQ123">
        <v>2</v>
      </c>
      <c r="UR123">
        <v>2</v>
      </c>
      <c r="US123">
        <v>2</v>
      </c>
      <c r="UT123">
        <v>2</v>
      </c>
      <c r="UU123">
        <v>2</v>
      </c>
      <c r="UV123">
        <v>2</v>
      </c>
      <c r="UW123">
        <v>2</v>
      </c>
      <c r="UX123">
        <v>2</v>
      </c>
      <c r="UY123">
        <v>2</v>
      </c>
      <c r="UZ123">
        <v>2</v>
      </c>
      <c r="VA123">
        <v>2</v>
      </c>
      <c r="VB123">
        <v>2</v>
      </c>
      <c r="VC123">
        <v>2</v>
      </c>
      <c r="VD123">
        <v>2</v>
      </c>
      <c r="VE123">
        <v>2</v>
      </c>
      <c r="VF123">
        <v>2</v>
      </c>
      <c r="VG123">
        <v>2</v>
      </c>
      <c r="VH123">
        <v>2</v>
      </c>
      <c r="VI123">
        <v>2</v>
      </c>
      <c r="VJ123">
        <v>2</v>
      </c>
      <c r="VK123">
        <v>2</v>
      </c>
      <c r="VL123">
        <v>2</v>
      </c>
      <c r="VM123">
        <v>2</v>
      </c>
      <c r="VN123">
        <v>2</v>
      </c>
      <c r="VO123">
        <v>2</v>
      </c>
      <c r="VP123">
        <v>2</v>
      </c>
      <c r="VQ123">
        <v>2</v>
      </c>
      <c r="VR123">
        <v>2</v>
      </c>
      <c r="VS123">
        <v>2</v>
      </c>
      <c r="VT123">
        <v>2</v>
      </c>
      <c r="VU123">
        <v>2</v>
      </c>
      <c r="VV123">
        <v>2</v>
      </c>
      <c r="VW123">
        <v>2</v>
      </c>
      <c r="VX123">
        <v>2</v>
      </c>
      <c r="VY123">
        <v>2</v>
      </c>
      <c r="VZ123">
        <v>2</v>
      </c>
      <c r="WA123">
        <v>2</v>
      </c>
      <c r="WB123">
        <v>2</v>
      </c>
      <c r="WC123">
        <v>2</v>
      </c>
      <c r="WD123">
        <v>2</v>
      </c>
      <c r="WE123">
        <v>2</v>
      </c>
      <c r="WF123">
        <v>2</v>
      </c>
      <c r="WG123">
        <v>2</v>
      </c>
      <c r="WH123">
        <v>2</v>
      </c>
      <c r="WI123">
        <v>2</v>
      </c>
      <c r="WJ123">
        <v>2</v>
      </c>
      <c r="WK123">
        <v>2</v>
      </c>
      <c r="WL123">
        <v>2</v>
      </c>
      <c r="WM123">
        <v>2</v>
      </c>
      <c r="WN123">
        <v>2</v>
      </c>
      <c r="WO123">
        <v>2</v>
      </c>
      <c r="WP123">
        <v>2</v>
      </c>
      <c r="WQ123">
        <v>2</v>
      </c>
      <c r="WR123">
        <v>2</v>
      </c>
      <c r="WS123">
        <v>2</v>
      </c>
      <c r="WT123">
        <v>2</v>
      </c>
      <c r="WU123">
        <v>2</v>
      </c>
      <c r="WV123">
        <v>2</v>
      </c>
      <c r="WW123">
        <v>2</v>
      </c>
      <c r="WX123">
        <v>2</v>
      </c>
      <c r="WY123">
        <v>2</v>
      </c>
      <c r="WZ123">
        <v>2</v>
      </c>
      <c r="XA123">
        <v>2</v>
      </c>
      <c r="XB123">
        <v>2</v>
      </c>
      <c r="XC123">
        <v>2</v>
      </c>
      <c r="XD123">
        <v>2</v>
      </c>
      <c r="XE123">
        <v>2</v>
      </c>
      <c r="XF123">
        <v>2</v>
      </c>
      <c r="XG123">
        <v>2</v>
      </c>
      <c r="XH123">
        <v>2</v>
      </c>
      <c r="XI123">
        <v>2</v>
      </c>
      <c r="XJ123">
        <v>2</v>
      </c>
      <c r="XK123">
        <v>2</v>
      </c>
      <c r="XL123">
        <v>2</v>
      </c>
      <c r="XM123">
        <v>2</v>
      </c>
      <c r="XN123">
        <v>2</v>
      </c>
      <c r="XO123">
        <v>2</v>
      </c>
      <c r="XP123">
        <v>2</v>
      </c>
      <c r="XQ123">
        <v>2</v>
      </c>
      <c r="XR123">
        <v>2</v>
      </c>
      <c r="XS123">
        <v>2</v>
      </c>
      <c r="XT123">
        <v>2</v>
      </c>
      <c r="XU123">
        <v>2</v>
      </c>
      <c r="XV123">
        <v>2</v>
      </c>
      <c r="XW123">
        <v>2</v>
      </c>
      <c r="XX123">
        <v>2</v>
      </c>
      <c r="XY123">
        <v>2</v>
      </c>
      <c r="XZ123">
        <v>2</v>
      </c>
      <c r="YA123">
        <v>2</v>
      </c>
      <c r="YB123">
        <v>2</v>
      </c>
      <c r="YC123">
        <v>2</v>
      </c>
      <c r="YD123">
        <v>2</v>
      </c>
      <c r="YE123">
        <v>2</v>
      </c>
      <c r="YF123">
        <v>2</v>
      </c>
      <c r="YG123">
        <v>2</v>
      </c>
      <c r="YH123">
        <v>2</v>
      </c>
      <c r="YI123">
        <v>2</v>
      </c>
      <c r="YJ123">
        <v>2</v>
      </c>
      <c r="YK123">
        <v>2</v>
      </c>
      <c r="YL123">
        <v>2</v>
      </c>
      <c r="YM123">
        <v>2</v>
      </c>
      <c r="YN123">
        <v>2</v>
      </c>
      <c r="YO123">
        <v>2</v>
      </c>
      <c r="YP123">
        <v>2</v>
      </c>
      <c r="YQ123">
        <v>2</v>
      </c>
      <c r="YR123">
        <v>2</v>
      </c>
      <c r="YS123">
        <v>2</v>
      </c>
      <c r="YT123">
        <v>2</v>
      </c>
      <c r="YU123">
        <v>2</v>
      </c>
      <c r="YV123">
        <v>2</v>
      </c>
      <c r="YW123">
        <v>2</v>
      </c>
      <c r="YX123">
        <v>2</v>
      </c>
      <c r="YY123">
        <v>2</v>
      </c>
      <c r="YZ123">
        <v>2</v>
      </c>
      <c r="ZA123">
        <v>2</v>
      </c>
      <c r="ZB123">
        <v>2</v>
      </c>
      <c r="ZC123">
        <v>2</v>
      </c>
      <c r="ZD123">
        <v>2</v>
      </c>
      <c r="ZE123">
        <v>2</v>
      </c>
      <c r="ZF123">
        <v>2</v>
      </c>
      <c r="ZG123">
        <v>2</v>
      </c>
      <c r="ZH123">
        <v>2</v>
      </c>
      <c r="ZI123">
        <v>2</v>
      </c>
      <c r="ZJ123">
        <v>2</v>
      </c>
      <c r="ZK123">
        <v>2</v>
      </c>
      <c r="ZL123">
        <v>2</v>
      </c>
      <c r="ZM123">
        <v>2</v>
      </c>
      <c r="ZN123">
        <v>2</v>
      </c>
      <c r="ZO123">
        <v>2</v>
      </c>
      <c r="ZP123">
        <v>2</v>
      </c>
      <c r="ZQ123">
        <v>2</v>
      </c>
      <c r="ZR123">
        <v>2</v>
      </c>
      <c r="ZS123">
        <v>2</v>
      </c>
      <c r="ZT123">
        <v>2</v>
      </c>
      <c r="ZU123">
        <v>2</v>
      </c>
      <c r="ZV123">
        <v>2</v>
      </c>
      <c r="ZW123">
        <v>2</v>
      </c>
      <c r="ZX123">
        <v>2</v>
      </c>
      <c r="ZY123">
        <v>2</v>
      </c>
      <c r="ZZ123">
        <v>2</v>
      </c>
      <c r="AAA123">
        <v>2</v>
      </c>
      <c r="AAB123">
        <v>2</v>
      </c>
      <c r="AAC123">
        <v>2</v>
      </c>
      <c r="AAD123">
        <v>2</v>
      </c>
      <c r="AAE123">
        <v>2</v>
      </c>
      <c r="AAF123">
        <v>2</v>
      </c>
      <c r="AAG123">
        <v>2</v>
      </c>
      <c r="AAH123">
        <v>2</v>
      </c>
      <c r="AAI123">
        <v>2</v>
      </c>
      <c r="AAJ123">
        <v>2</v>
      </c>
      <c r="AAK123">
        <v>2</v>
      </c>
      <c r="AAL123">
        <v>2</v>
      </c>
      <c r="AAM123">
        <v>2</v>
      </c>
      <c r="AAN123">
        <v>2</v>
      </c>
      <c r="AAO123">
        <v>2</v>
      </c>
      <c r="AAP123">
        <v>2</v>
      </c>
      <c r="AAQ123">
        <v>2</v>
      </c>
      <c r="AAR123">
        <v>2</v>
      </c>
      <c r="AAS123">
        <v>2</v>
      </c>
      <c r="AAT123">
        <v>2</v>
      </c>
      <c r="AAU123">
        <v>2</v>
      </c>
      <c r="AAV123">
        <v>2</v>
      </c>
      <c r="AAW123">
        <v>2</v>
      </c>
      <c r="AAX123">
        <v>2</v>
      </c>
      <c r="AAY123">
        <v>2</v>
      </c>
      <c r="AAZ123">
        <v>2</v>
      </c>
      <c r="ABA123">
        <v>2</v>
      </c>
      <c r="ABB123">
        <v>2</v>
      </c>
      <c r="ABC123">
        <v>2</v>
      </c>
      <c r="ABD123">
        <v>2</v>
      </c>
      <c r="ABE123">
        <v>2</v>
      </c>
      <c r="ABG123" s="1137">
        <f t="shared" si="30"/>
        <v>0</v>
      </c>
      <c r="ABH123" s="1137">
        <f t="shared" si="30"/>
        <v>0</v>
      </c>
      <c r="ABI123" s="1137">
        <f t="shared" si="30"/>
        <v>14</v>
      </c>
      <c r="ABJ123" s="1137">
        <f t="shared" si="30"/>
        <v>30</v>
      </c>
      <c r="ABK123" s="1137">
        <f t="shared" si="30"/>
        <v>31</v>
      </c>
      <c r="ABL123" s="1137">
        <f t="shared" si="30"/>
        <v>9</v>
      </c>
      <c r="ABM123" s="1137">
        <f t="shared" si="30"/>
        <v>0</v>
      </c>
      <c r="ABN123" s="1137">
        <f t="shared" si="30"/>
        <v>29</v>
      </c>
      <c r="ABO123" s="1137">
        <f t="shared" si="30"/>
        <v>30</v>
      </c>
      <c r="ABP123" s="1137">
        <f t="shared" si="30"/>
        <v>31</v>
      </c>
      <c r="ABQ123" s="1137">
        <f t="shared" si="30"/>
        <v>30</v>
      </c>
      <c r="ABR123" s="1137">
        <f t="shared" si="30"/>
        <v>31</v>
      </c>
      <c r="ABS123" s="1137">
        <f t="shared" si="30"/>
        <v>31</v>
      </c>
      <c r="ABT123" s="1137">
        <f t="shared" si="30"/>
        <v>28</v>
      </c>
      <c r="ABU123" s="1137">
        <f t="shared" si="30"/>
        <v>31</v>
      </c>
      <c r="ABV123" s="1137">
        <f t="shared" si="30"/>
        <v>30</v>
      </c>
      <c r="ABW123" s="1137">
        <f t="shared" si="31"/>
        <v>31</v>
      </c>
      <c r="ABX123" s="1137">
        <f t="shared" si="23"/>
        <v>30</v>
      </c>
      <c r="ABY123" s="1137">
        <f t="shared" si="23"/>
        <v>31</v>
      </c>
      <c r="ABZ123" s="1137">
        <f t="shared" si="23"/>
        <v>31</v>
      </c>
      <c r="ACA123" s="1137">
        <f t="shared" si="23"/>
        <v>30</v>
      </c>
      <c r="ACB123" s="1137">
        <f t="shared" si="23"/>
        <v>31</v>
      </c>
      <c r="ACC123" s="1137">
        <f t="shared" si="23"/>
        <v>30</v>
      </c>
      <c r="ACD123" s="1137">
        <f t="shared" si="23"/>
        <v>31</v>
      </c>
      <c r="ACE123" s="1137" t="s">
        <v>213</v>
      </c>
      <c r="ACF123" s="1137">
        <f t="shared" si="33"/>
        <v>0</v>
      </c>
      <c r="ACG123" s="1137">
        <f t="shared" si="33"/>
        <v>0</v>
      </c>
      <c r="ACH123" s="1137">
        <f t="shared" si="33"/>
        <v>1</v>
      </c>
      <c r="ACI123" s="1137">
        <f t="shared" si="33"/>
        <v>1</v>
      </c>
      <c r="ACJ123" s="1137">
        <f t="shared" si="33"/>
        <v>1</v>
      </c>
      <c r="ACK123" s="1137">
        <f t="shared" si="33"/>
        <v>0</v>
      </c>
      <c r="ACL123" s="1137">
        <f t="shared" si="33"/>
        <v>0</v>
      </c>
      <c r="ACM123" s="1137">
        <f t="shared" si="33"/>
        <v>1</v>
      </c>
      <c r="ACN123" s="1137">
        <f t="shared" si="33"/>
        <v>1</v>
      </c>
      <c r="ACO123" s="1137">
        <f t="shared" si="33"/>
        <v>1</v>
      </c>
      <c r="ACP123" s="1137">
        <f t="shared" si="33"/>
        <v>1</v>
      </c>
      <c r="ACQ123" s="1137">
        <f t="shared" si="32"/>
        <v>1</v>
      </c>
      <c r="ACR123" s="1137">
        <f t="shared" si="32"/>
        <v>1</v>
      </c>
      <c r="ACS123" s="1137">
        <f t="shared" si="32"/>
        <v>1</v>
      </c>
      <c r="ACT123" s="1137">
        <f t="shared" si="32"/>
        <v>1</v>
      </c>
      <c r="ACU123" s="1137">
        <f t="shared" si="32"/>
        <v>1</v>
      </c>
      <c r="ACV123" s="1137">
        <f t="shared" si="24"/>
        <v>1</v>
      </c>
      <c r="ACW123" s="1137">
        <f t="shared" si="24"/>
        <v>1</v>
      </c>
      <c r="ACX123" s="1137">
        <f t="shared" si="24"/>
        <v>1</v>
      </c>
      <c r="ACY123" s="1137">
        <f t="shared" si="24"/>
        <v>1</v>
      </c>
      <c r="ACZ123" s="1137">
        <f t="shared" si="24"/>
        <v>1</v>
      </c>
      <c r="ADA123" s="1137">
        <f t="shared" si="24"/>
        <v>1</v>
      </c>
      <c r="ADB123" s="1137">
        <f t="shared" si="24"/>
        <v>1</v>
      </c>
      <c r="ADC123" s="1137">
        <f t="shared" si="24"/>
        <v>1</v>
      </c>
    </row>
    <row r="124" spans="1:783" x14ac:dyDescent="0.25">
      <c r="A124" t="s">
        <v>1923</v>
      </c>
      <c r="B124" t="s">
        <v>224</v>
      </c>
      <c r="C124">
        <v>0</v>
      </c>
      <c r="D124">
        <v>0</v>
      </c>
      <c r="E124">
        <v>0</v>
      </c>
      <c r="F124">
        <v>0</v>
      </c>
      <c r="G124">
        <v>0</v>
      </c>
      <c r="H124">
        <v>0</v>
      </c>
      <c r="I124">
        <v>0</v>
      </c>
      <c r="J124">
        <v>0</v>
      </c>
      <c r="K124">
        <v>0</v>
      </c>
      <c r="L124">
        <v>0</v>
      </c>
      <c r="M124">
        <v>0</v>
      </c>
      <c r="N124">
        <v>0</v>
      </c>
      <c r="O124">
        <v>0</v>
      </c>
      <c r="P124">
        <v>0</v>
      </c>
      <c r="Q124">
        <v>0</v>
      </c>
      <c r="R124">
        <v>0</v>
      </c>
      <c r="S124">
        <v>0</v>
      </c>
      <c r="T124">
        <v>0</v>
      </c>
      <c r="U124">
        <v>0</v>
      </c>
      <c r="V124">
        <v>0</v>
      </c>
      <c r="W124">
        <v>0</v>
      </c>
      <c r="X124">
        <v>0</v>
      </c>
      <c r="Y124">
        <v>0</v>
      </c>
      <c r="Z124">
        <v>0</v>
      </c>
      <c r="AA124">
        <v>0</v>
      </c>
      <c r="AB124">
        <v>0</v>
      </c>
      <c r="AC124">
        <v>0</v>
      </c>
      <c r="AD124">
        <v>0</v>
      </c>
      <c r="AE124">
        <v>0</v>
      </c>
      <c r="AF124">
        <v>0</v>
      </c>
      <c r="AG124">
        <v>0</v>
      </c>
      <c r="AH124">
        <v>0</v>
      </c>
      <c r="AI124">
        <v>0</v>
      </c>
      <c r="AJ124">
        <v>0</v>
      </c>
      <c r="AK124">
        <v>0</v>
      </c>
      <c r="AL124">
        <v>0</v>
      </c>
      <c r="AM124">
        <v>0</v>
      </c>
      <c r="AN124">
        <v>0</v>
      </c>
      <c r="AO124">
        <v>0</v>
      </c>
      <c r="AP124">
        <v>0</v>
      </c>
      <c r="AQ124">
        <v>0</v>
      </c>
      <c r="AR124">
        <v>0</v>
      </c>
      <c r="AS124">
        <v>0</v>
      </c>
      <c r="AT124">
        <v>0</v>
      </c>
      <c r="AU124">
        <v>0</v>
      </c>
      <c r="AV124">
        <v>0</v>
      </c>
      <c r="AW124">
        <v>0</v>
      </c>
      <c r="AX124">
        <v>0</v>
      </c>
      <c r="AY124">
        <v>0</v>
      </c>
      <c r="AZ124">
        <v>0</v>
      </c>
      <c r="BA124">
        <v>0</v>
      </c>
      <c r="BB124">
        <v>0</v>
      </c>
      <c r="BC124">
        <v>0</v>
      </c>
      <c r="BD124">
        <v>0</v>
      </c>
      <c r="BE124">
        <v>0</v>
      </c>
      <c r="BF124">
        <v>0</v>
      </c>
      <c r="BG124">
        <v>0</v>
      </c>
      <c r="BH124">
        <v>0</v>
      </c>
      <c r="BI124">
        <v>0</v>
      </c>
      <c r="BJ124">
        <v>0</v>
      </c>
      <c r="BK124">
        <v>0</v>
      </c>
      <c r="BL124">
        <v>0</v>
      </c>
      <c r="BM124">
        <v>0</v>
      </c>
      <c r="BN124">
        <v>0</v>
      </c>
      <c r="BO124">
        <v>0</v>
      </c>
      <c r="BP124">
        <v>0</v>
      </c>
      <c r="BQ124">
        <v>0</v>
      </c>
      <c r="BR124">
        <v>0</v>
      </c>
      <c r="BS124">
        <v>0</v>
      </c>
      <c r="BT124">
        <v>0</v>
      </c>
      <c r="BU124">
        <v>0</v>
      </c>
      <c r="BV124">
        <v>0</v>
      </c>
      <c r="BW124">
        <v>0</v>
      </c>
      <c r="BX124">
        <v>0</v>
      </c>
      <c r="BY124">
        <v>0</v>
      </c>
      <c r="BZ124">
        <v>0</v>
      </c>
      <c r="CA124">
        <v>0</v>
      </c>
      <c r="CB124">
        <v>0</v>
      </c>
      <c r="CC124">
        <v>0</v>
      </c>
      <c r="CD124">
        <v>0</v>
      </c>
      <c r="CE124">
        <v>0</v>
      </c>
      <c r="CF124">
        <v>0</v>
      </c>
      <c r="CG124">
        <v>0</v>
      </c>
      <c r="CH124">
        <v>0</v>
      </c>
      <c r="CI124">
        <v>0</v>
      </c>
      <c r="CJ124">
        <v>0</v>
      </c>
      <c r="CK124">
        <v>2</v>
      </c>
      <c r="CL124">
        <v>2</v>
      </c>
      <c r="CM124">
        <v>2</v>
      </c>
      <c r="CN124">
        <v>2</v>
      </c>
      <c r="CO124">
        <v>2</v>
      </c>
      <c r="CP124">
        <v>2</v>
      </c>
      <c r="CQ124">
        <v>2</v>
      </c>
      <c r="CR124">
        <v>2</v>
      </c>
      <c r="CS124">
        <v>2</v>
      </c>
      <c r="CT124">
        <v>2</v>
      </c>
      <c r="CU124">
        <v>2</v>
      </c>
      <c r="CV124">
        <v>2</v>
      </c>
      <c r="CW124">
        <v>2</v>
      </c>
      <c r="CX124">
        <v>2</v>
      </c>
      <c r="CY124">
        <v>2</v>
      </c>
      <c r="CZ124">
        <v>2</v>
      </c>
      <c r="DA124">
        <v>2</v>
      </c>
      <c r="DB124">
        <v>2</v>
      </c>
      <c r="DC124">
        <v>2</v>
      </c>
      <c r="DD124">
        <v>2</v>
      </c>
      <c r="DE124">
        <v>2</v>
      </c>
      <c r="DF124">
        <v>2</v>
      </c>
      <c r="DG124">
        <v>2</v>
      </c>
      <c r="DH124">
        <v>2</v>
      </c>
      <c r="DI124">
        <v>2</v>
      </c>
      <c r="DJ124">
        <v>2</v>
      </c>
      <c r="DK124">
        <v>2</v>
      </c>
      <c r="DL124">
        <v>2</v>
      </c>
      <c r="DM124">
        <v>2</v>
      </c>
      <c r="DN124">
        <v>2</v>
      </c>
      <c r="DO124">
        <v>2</v>
      </c>
      <c r="DP124">
        <v>2</v>
      </c>
      <c r="DQ124">
        <v>2</v>
      </c>
      <c r="DR124">
        <v>2</v>
      </c>
      <c r="DS124">
        <v>2</v>
      </c>
      <c r="DT124">
        <v>2</v>
      </c>
      <c r="DU124">
        <v>2</v>
      </c>
      <c r="DV124">
        <v>2</v>
      </c>
      <c r="DW124">
        <v>2</v>
      </c>
      <c r="DX124">
        <v>0</v>
      </c>
      <c r="DY124">
        <v>0</v>
      </c>
      <c r="DZ124">
        <v>0</v>
      </c>
      <c r="EA124">
        <v>0</v>
      </c>
      <c r="EB124">
        <v>0</v>
      </c>
      <c r="EC124">
        <v>0</v>
      </c>
      <c r="ED124">
        <v>0</v>
      </c>
      <c r="EE124">
        <v>0</v>
      </c>
      <c r="EF124">
        <v>0</v>
      </c>
      <c r="EG124">
        <v>0</v>
      </c>
      <c r="EH124">
        <v>0</v>
      </c>
      <c r="EI124">
        <v>0</v>
      </c>
      <c r="EJ124">
        <v>0</v>
      </c>
      <c r="EK124">
        <v>0</v>
      </c>
      <c r="EL124">
        <v>0</v>
      </c>
      <c r="EM124">
        <v>0</v>
      </c>
      <c r="EN124">
        <v>0</v>
      </c>
      <c r="EO124">
        <v>0</v>
      </c>
      <c r="EP124">
        <v>0</v>
      </c>
      <c r="EQ124">
        <v>0</v>
      </c>
      <c r="ER124">
        <v>0</v>
      </c>
      <c r="ES124">
        <v>0</v>
      </c>
      <c r="ET124">
        <v>0</v>
      </c>
      <c r="EU124">
        <v>0</v>
      </c>
      <c r="EV124">
        <v>0</v>
      </c>
      <c r="EW124">
        <v>0</v>
      </c>
      <c r="EX124">
        <v>0</v>
      </c>
      <c r="EY124">
        <v>0</v>
      </c>
      <c r="EZ124">
        <v>2</v>
      </c>
      <c r="FA124">
        <v>2</v>
      </c>
      <c r="FB124">
        <v>2</v>
      </c>
      <c r="FC124">
        <v>2</v>
      </c>
      <c r="FD124">
        <v>2</v>
      </c>
      <c r="FE124">
        <v>2</v>
      </c>
      <c r="FF124">
        <v>2</v>
      </c>
      <c r="FG124">
        <v>2</v>
      </c>
      <c r="FH124">
        <v>2</v>
      </c>
      <c r="FI124">
        <v>2</v>
      </c>
      <c r="FJ124">
        <v>2</v>
      </c>
      <c r="FK124">
        <v>2</v>
      </c>
      <c r="FL124">
        <v>2</v>
      </c>
      <c r="FM124">
        <v>2</v>
      </c>
      <c r="FN124">
        <v>2</v>
      </c>
      <c r="FO124">
        <v>2</v>
      </c>
      <c r="FP124">
        <v>2</v>
      </c>
      <c r="FQ124">
        <v>2</v>
      </c>
      <c r="FR124">
        <v>2</v>
      </c>
      <c r="FS124">
        <v>2</v>
      </c>
      <c r="FT124">
        <v>2</v>
      </c>
      <c r="FU124">
        <v>0</v>
      </c>
      <c r="FV124">
        <v>0</v>
      </c>
      <c r="FW124">
        <v>0</v>
      </c>
      <c r="FX124">
        <v>0</v>
      </c>
      <c r="FY124">
        <v>0</v>
      </c>
      <c r="FZ124">
        <v>0</v>
      </c>
      <c r="GA124">
        <v>0</v>
      </c>
      <c r="GB124">
        <v>0</v>
      </c>
      <c r="GC124">
        <v>0</v>
      </c>
      <c r="GD124">
        <v>0</v>
      </c>
      <c r="GE124">
        <v>0</v>
      </c>
      <c r="GF124">
        <v>0</v>
      </c>
      <c r="GG124">
        <v>0</v>
      </c>
      <c r="GH124">
        <v>0</v>
      </c>
      <c r="GI124">
        <v>0</v>
      </c>
      <c r="GJ124">
        <v>0</v>
      </c>
      <c r="GK124">
        <v>0</v>
      </c>
      <c r="GL124">
        <v>0</v>
      </c>
      <c r="GM124">
        <v>0</v>
      </c>
      <c r="GN124">
        <v>0</v>
      </c>
      <c r="GO124">
        <v>0</v>
      </c>
      <c r="GP124">
        <v>0</v>
      </c>
      <c r="GQ124">
        <v>2</v>
      </c>
      <c r="GR124">
        <v>2</v>
      </c>
      <c r="GS124">
        <v>2</v>
      </c>
      <c r="GT124">
        <v>2</v>
      </c>
      <c r="GU124">
        <v>2</v>
      </c>
      <c r="GV124">
        <v>2</v>
      </c>
      <c r="GW124">
        <v>2</v>
      </c>
      <c r="GX124">
        <v>2</v>
      </c>
      <c r="GY124">
        <v>2</v>
      </c>
      <c r="GZ124">
        <v>2</v>
      </c>
      <c r="HA124">
        <v>2</v>
      </c>
      <c r="HB124">
        <v>2</v>
      </c>
      <c r="HC124">
        <v>2</v>
      </c>
      <c r="HD124">
        <v>2</v>
      </c>
      <c r="HE124">
        <v>2</v>
      </c>
      <c r="HF124">
        <v>2</v>
      </c>
      <c r="HG124">
        <v>2</v>
      </c>
      <c r="HH124">
        <v>2</v>
      </c>
      <c r="HI124">
        <v>2</v>
      </c>
      <c r="HJ124">
        <v>2</v>
      </c>
      <c r="HK124">
        <v>2</v>
      </c>
      <c r="HL124">
        <v>2</v>
      </c>
      <c r="HM124">
        <v>2</v>
      </c>
      <c r="HN124">
        <v>2</v>
      </c>
      <c r="HO124">
        <v>2</v>
      </c>
      <c r="HP124">
        <v>2</v>
      </c>
      <c r="HQ124">
        <v>2</v>
      </c>
      <c r="HR124">
        <v>2</v>
      </c>
      <c r="HS124">
        <v>2</v>
      </c>
      <c r="HT124">
        <v>2</v>
      </c>
      <c r="HU124">
        <v>2</v>
      </c>
      <c r="HV124">
        <v>2</v>
      </c>
      <c r="HW124">
        <v>2</v>
      </c>
      <c r="HX124">
        <v>2</v>
      </c>
      <c r="HY124">
        <v>2</v>
      </c>
      <c r="HZ124">
        <v>2</v>
      </c>
      <c r="IA124">
        <v>2</v>
      </c>
      <c r="IB124">
        <v>2</v>
      </c>
      <c r="IC124">
        <v>2</v>
      </c>
      <c r="ID124">
        <v>2</v>
      </c>
      <c r="IE124">
        <v>2</v>
      </c>
      <c r="IF124">
        <v>2</v>
      </c>
      <c r="IG124">
        <v>2</v>
      </c>
      <c r="IH124">
        <v>2</v>
      </c>
      <c r="II124">
        <v>2</v>
      </c>
      <c r="IJ124">
        <v>2</v>
      </c>
      <c r="IK124">
        <v>2</v>
      </c>
      <c r="IL124">
        <v>2</v>
      </c>
      <c r="IM124">
        <v>2</v>
      </c>
      <c r="IN124">
        <v>2</v>
      </c>
      <c r="IO124">
        <v>2</v>
      </c>
      <c r="IP124">
        <v>2</v>
      </c>
      <c r="IQ124">
        <v>2</v>
      </c>
      <c r="IR124">
        <v>2</v>
      </c>
      <c r="IS124">
        <v>2</v>
      </c>
      <c r="IT124">
        <v>2</v>
      </c>
      <c r="IU124">
        <v>2</v>
      </c>
      <c r="IV124">
        <v>2</v>
      </c>
      <c r="IW124">
        <v>2</v>
      </c>
      <c r="IX124">
        <v>2</v>
      </c>
      <c r="IY124">
        <v>2</v>
      </c>
      <c r="IZ124">
        <v>2</v>
      </c>
      <c r="JA124">
        <v>2</v>
      </c>
      <c r="JB124">
        <v>2</v>
      </c>
      <c r="JC124">
        <v>2</v>
      </c>
      <c r="JD124">
        <v>2</v>
      </c>
      <c r="JE124">
        <v>2</v>
      </c>
      <c r="JF124">
        <v>2</v>
      </c>
      <c r="JG124">
        <v>2</v>
      </c>
      <c r="JH124">
        <v>2</v>
      </c>
      <c r="JI124">
        <v>2</v>
      </c>
      <c r="JJ124">
        <v>2</v>
      </c>
      <c r="JK124">
        <v>2</v>
      </c>
      <c r="JL124">
        <v>2</v>
      </c>
      <c r="JM124">
        <v>2</v>
      </c>
      <c r="JN124">
        <v>2</v>
      </c>
      <c r="JO124">
        <v>2</v>
      </c>
      <c r="JP124">
        <v>2</v>
      </c>
      <c r="JQ124">
        <v>2</v>
      </c>
      <c r="JR124">
        <v>2</v>
      </c>
      <c r="JS124">
        <v>2</v>
      </c>
      <c r="JT124">
        <v>2</v>
      </c>
      <c r="JU124">
        <v>2</v>
      </c>
      <c r="JV124">
        <v>1</v>
      </c>
      <c r="JW124">
        <v>1</v>
      </c>
      <c r="JX124">
        <v>1</v>
      </c>
      <c r="JY124">
        <v>1</v>
      </c>
      <c r="JZ124">
        <v>1</v>
      </c>
      <c r="KA124">
        <v>1</v>
      </c>
      <c r="KB124">
        <v>1</v>
      </c>
      <c r="KC124">
        <v>1</v>
      </c>
      <c r="KD124">
        <v>1</v>
      </c>
      <c r="KE124">
        <v>1</v>
      </c>
      <c r="KF124">
        <v>1</v>
      </c>
      <c r="KG124">
        <v>1</v>
      </c>
      <c r="KH124">
        <v>1</v>
      </c>
      <c r="KI124">
        <v>1</v>
      </c>
      <c r="KJ124">
        <v>1</v>
      </c>
      <c r="KK124">
        <v>1</v>
      </c>
      <c r="KL124">
        <v>1</v>
      </c>
      <c r="KM124">
        <v>1</v>
      </c>
      <c r="KN124">
        <v>1</v>
      </c>
      <c r="KO124">
        <v>1</v>
      </c>
      <c r="KP124">
        <v>1</v>
      </c>
      <c r="KQ124">
        <v>1</v>
      </c>
      <c r="KR124">
        <v>1</v>
      </c>
      <c r="KS124">
        <v>1</v>
      </c>
      <c r="KT124">
        <v>1</v>
      </c>
      <c r="KU124">
        <v>1</v>
      </c>
      <c r="KV124">
        <v>1</v>
      </c>
      <c r="KW124">
        <v>1</v>
      </c>
      <c r="KX124">
        <v>1</v>
      </c>
      <c r="KY124">
        <v>1</v>
      </c>
      <c r="KZ124">
        <v>1</v>
      </c>
      <c r="LA124">
        <v>1</v>
      </c>
      <c r="LB124">
        <v>1</v>
      </c>
      <c r="LC124">
        <v>1</v>
      </c>
      <c r="LD124">
        <v>1</v>
      </c>
      <c r="LE124">
        <v>1</v>
      </c>
      <c r="LF124">
        <v>1</v>
      </c>
      <c r="LG124">
        <v>1</v>
      </c>
      <c r="LH124">
        <v>1</v>
      </c>
      <c r="LI124">
        <v>1</v>
      </c>
      <c r="LJ124">
        <v>1</v>
      </c>
      <c r="LK124">
        <v>1</v>
      </c>
      <c r="LL124">
        <v>1</v>
      </c>
      <c r="LM124">
        <v>1</v>
      </c>
      <c r="LN124">
        <v>1</v>
      </c>
      <c r="LO124">
        <v>1</v>
      </c>
      <c r="LP124">
        <v>1</v>
      </c>
      <c r="LQ124">
        <v>1</v>
      </c>
      <c r="LR124">
        <v>1</v>
      </c>
      <c r="LS124">
        <v>1</v>
      </c>
      <c r="LT124">
        <v>1</v>
      </c>
      <c r="LU124">
        <v>1</v>
      </c>
      <c r="LV124">
        <v>1</v>
      </c>
      <c r="LW124">
        <v>1</v>
      </c>
      <c r="LX124">
        <v>1</v>
      </c>
      <c r="LY124">
        <v>1</v>
      </c>
      <c r="LZ124">
        <v>1</v>
      </c>
      <c r="MA124">
        <v>1</v>
      </c>
      <c r="MB124">
        <v>1</v>
      </c>
      <c r="MC124">
        <v>1</v>
      </c>
      <c r="MD124">
        <v>1</v>
      </c>
      <c r="ME124">
        <v>1</v>
      </c>
      <c r="MF124">
        <v>1</v>
      </c>
      <c r="MG124">
        <v>0</v>
      </c>
      <c r="MH124">
        <v>0</v>
      </c>
      <c r="MI124">
        <v>0</v>
      </c>
      <c r="MJ124">
        <v>0</v>
      </c>
      <c r="MK124">
        <v>0</v>
      </c>
      <c r="ML124">
        <v>0</v>
      </c>
      <c r="MM124">
        <v>0</v>
      </c>
      <c r="MN124">
        <v>0</v>
      </c>
      <c r="MO124">
        <v>0</v>
      </c>
      <c r="MP124">
        <v>0</v>
      </c>
      <c r="MQ124">
        <v>0</v>
      </c>
      <c r="MR124">
        <v>0</v>
      </c>
      <c r="MS124">
        <v>0</v>
      </c>
      <c r="MT124">
        <v>0</v>
      </c>
      <c r="MU124">
        <v>0</v>
      </c>
      <c r="MV124">
        <v>0</v>
      </c>
      <c r="MW124">
        <v>0</v>
      </c>
      <c r="MX124">
        <v>0</v>
      </c>
      <c r="MY124">
        <v>0</v>
      </c>
      <c r="MZ124">
        <v>0</v>
      </c>
      <c r="NA124">
        <v>0</v>
      </c>
      <c r="NB124">
        <v>0</v>
      </c>
      <c r="NC124">
        <v>0</v>
      </c>
      <c r="ND124">
        <v>0</v>
      </c>
      <c r="NE124">
        <v>0</v>
      </c>
      <c r="NF124">
        <v>0</v>
      </c>
      <c r="NG124">
        <v>0</v>
      </c>
      <c r="NH124">
        <v>0</v>
      </c>
      <c r="NI124">
        <v>0</v>
      </c>
      <c r="NJ124">
        <v>0</v>
      </c>
      <c r="NK124">
        <v>0</v>
      </c>
      <c r="NL124">
        <v>0</v>
      </c>
      <c r="NM124">
        <v>0</v>
      </c>
      <c r="NN124">
        <v>0</v>
      </c>
      <c r="NO124">
        <v>0</v>
      </c>
      <c r="NP124">
        <v>0</v>
      </c>
      <c r="NQ124">
        <v>0</v>
      </c>
      <c r="NR124">
        <v>0</v>
      </c>
      <c r="NS124">
        <v>0</v>
      </c>
      <c r="NT124">
        <v>0</v>
      </c>
      <c r="NU124">
        <v>0</v>
      </c>
      <c r="NV124">
        <v>0</v>
      </c>
      <c r="NW124">
        <v>0</v>
      </c>
      <c r="NX124">
        <v>0</v>
      </c>
      <c r="NY124">
        <v>0</v>
      </c>
      <c r="NZ124">
        <v>0</v>
      </c>
      <c r="OA124">
        <v>0</v>
      </c>
      <c r="OB124">
        <v>0</v>
      </c>
      <c r="OC124">
        <v>0</v>
      </c>
      <c r="OD124">
        <v>0</v>
      </c>
      <c r="OE124">
        <v>0</v>
      </c>
      <c r="OF124">
        <v>0</v>
      </c>
      <c r="OG124">
        <v>0</v>
      </c>
      <c r="OH124">
        <v>0</v>
      </c>
      <c r="OI124">
        <v>0</v>
      </c>
      <c r="OJ124">
        <v>0</v>
      </c>
      <c r="OK124">
        <v>0</v>
      </c>
      <c r="OL124">
        <v>0</v>
      </c>
      <c r="OM124">
        <v>0</v>
      </c>
      <c r="ON124">
        <v>0</v>
      </c>
      <c r="OO124">
        <v>0</v>
      </c>
      <c r="OP124">
        <v>0</v>
      </c>
      <c r="OQ124">
        <v>0</v>
      </c>
      <c r="OR124">
        <v>2</v>
      </c>
      <c r="OS124">
        <v>2</v>
      </c>
      <c r="OT124">
        <v>2</v>
      </c>
      <c r="OU124">
        <v>2</v>
      </c>
      <c r="OV124">
        <v>2</v>
      </c>
      <c r="OW124">
        <v>2</v>
      </c>
      <c r="OX124">
        <v>2</v>
      </c>
      <c r="OY124">
        <v>2</v>
      </c>
      <c r="OZ124">
        <v>2</v>
      </c>
      <c r="PA124">
        <v>2</v>
      </c>
      <c r="PB124">
        <v>2</v>
      </c>
      <c r="PC124">
        <v>2</v>
      </c>
      <c r="PD124">
        <v>2</v>
      </c>
      <c r="PE124">
        <v>2</v>
      </c>
      <c r="PF124">
        <v>2</v>
      </c>
      <c r="PG124">
        <v>2</v>
      </c>
      <c r="PH124">
        <v>2</v>
      </c>
      <c r="PI124">
        <v>2</v>
      </c>
      <c r="PJ124">
        <v>2</v>
      </c>
      <c r="PK124">
        <v>2</v>
      </c>
      <c r="PL124">
        <v>2</v>
      </c>
      <c r="PM124">
        <v>0</v>
      </c>
      <c r="PN124">
        <v>0</v>
      </c>
      <c r="PO124">
        <v>0</v>
      </c>
      <c r="PP124">
        <v>0</v>
      </c>
      <c r="PQ124">
        <v>0</v>
      </c>
      <c r="PR124">
        <v>0</v>
      </c>
      <c r="PS124">
        <v>0</v>
      </c>
      <c r="PT124">
        <v>0</v>
      </c>
      <c r="PU124">
        <v>0</v>
      </c>
      <c r="PV124">
        <v>0</v>
      </c>
      <c r="PW124">
        <v>0</v>
      </c>
      <c r="PX124">
        <v>0</v>
      </c>
      <c r="PY124">
        <v>0</v>
      </c>
      <c r="PZ124">
        <v>0</v>
      </c>
      <c r="QA124">
        <v>0</v>
      </c>
      <c r="QB124">
        <v>0</v>
      </c>
      <c r="QC124">
        <v>0</v>
      </c>
      <c r="QD124">
        <v>0</v>
      </c>
      <c r="QE124">
        <v>0</v>
      </c>
      <c r="QF124">
        <v>0</v>
      </c>
      <c r="QG124">
        <v>0</v>
      </c>
      <c r="QH124">
        <v>0</v>
      </c>
      <c r="QI124">
        <v>0</v>
      </c>
      <c r="QJ124">
        <v>0</v>
      </c>
      <c r="QK124">
        <v>0</v>
      </c>
      <c r="QL124">
        <v>0</v>
      </c>
      <c r="QM124">
        <v>0</v>
      </c>
      <c r="QN124">
        <v>0</v>
      </c>
      <c r="QO124">
        <v>0</v>
      </c>
      <c r="QP124">
        <v>0</v>
      </c>
      <c r="QQ124">
        <v>0</v>
      </c>
      <c r="QR124">
        <v>0</v>
      </c>
      <c r="QS124">
        <v>0</v>
      </c>
      <c r="QT124">
        <v>0</v>
      </c>
      <c r="QU124">
        <v>0</v>
      </c>
      <c r="QV124">
        <v>0</v>
      </c>
      <c r="QW124">
        <v>0</v>
      </c>
      <c r="QX124">
        <v>0</v>
      </c>
      <c r="QY124">
        <v>0</v>
      </c>
      <c r="QZ124">
        <v>0</v>
      </c>
      <c r="RA124">
        <v>0</v>
      </c>
      <c r="RB124">
        <v>0</v>
      </c>
      <c r="RC124">
        <v>0</v>
      </c>
      <c r="RD124">
        <v>0</v>
      </c>
      <c r="RE124">
        <v>0</v>
      </c>
      <c r="RF124">
        <v>0</v>
      </c>
      <c r="RG124">
        <v>0</v>
      </c>
      <c r="RH124">
        <v>0</v>
      </c>
      <c r="RI124">
        <v>0</v>
      </c>
      <c r="RJ124">
        <v>0</v>
      </c>
      <c r="RK124">
        <v>0</v>
      </c>
      <c r="RL124">
        <v>0</v>
      </c>
      <c r="RM124">
        <v>0</v>
      </c>
      <c r="RN124">
        <v>0</v>
      </c>
      <c r="RO124">
        <v>0</v>
      </c>
      <c r="RP124">
        <v>0</v>
      </c>
      <c r="RQ124">
        <v>0</v>
      </c>
      <c r="RR124">
        <v>0</v>
      </c>
      <c r="RS124">
        <v>0</v>
      </c>
      <c r="RT124">
        <v>0</v>
      </c>
      <c r="RU124">
        <v>0</v>
      </c>
      <c r="RV124">
        <v>0</v>
      </c>
      <c r="RW124">
        <v>0</v>
      </c>
      <c r="RX124">
        <v>0</v>
      </c>
      <c r="RY124">
        <v>0</v>
      </c>
      <c r="RZ124">
        <v>0</v>
      </c>
      <c r="SA124">
        <v>0</v>
      </c>
      <c r="SB124">
        <v>0</v>
      </c>
      <c r="SC124">
        <v>0</v>
      </c>
      <c r="SD124">
        <v>0</v>
      </c>
      <c r="SE124">
        <v>0</v>
      </c>
      <c r="SF124">
        <v>0</v>
      </c>
      <c r="SG124">
        <v>0</v>
      </c>
      <c r="SH124">
        <v>0</v>
      </c>
      <c r="SI124">
        <v>0</v>
      </c>
      <c r="SJ124">
        <v>0</v>
      </c>
      <c r="SK124">
        <v>0</v>
      </c>
      <c r="SL124">
        <v>1</v>
      </c>
      <c r="SM124">
        <v>1</v>
      </c>
      <c r="SN124">
        <v>1</v>
      </c>
      <c r="SO124">
        <v>1</v>
      </c>
      <c r="SP124">
        <v>1</v>
      </c>
      <c r="SQ124">
        <v>1</v>
      </c>
      <c r="SR124">
        <v>1</v>
      </c>
      <c r="SS124">
        <v>1</v>
      </c>
      <c r="ST124">
        <v>1</v>
      </c>
      <c r="SU124">
        <v>1</v>
      </c>
      <c r="SV124">
        <v>1</v>
      </c>
      <c r="SW124">
        <v>1</v>
      </c>
      <c r="SX124">
        <v>1</v>
      </c>
      <c r="SY124">
        <v>1</v>
      </c>
      <c r="SZ124">
        <v>1</v>
      </c>
      <c r="TA124">
        <v>1</v>
      </c>
      <c r="TB124">
        <v>1</v>
      </c>
      <c r="TC124">
        <v>1</v>
      </c>
      <c r="TD124">
        <v>1</v>
      </c>
      <c r="TE124">
        <v>1</v>
      </c>
      <c r="TF124">
        <v>1</v>
      </c>
      <c r="TG124">
        <v>1</v>
      </c>
      <c r="TH124">
        <v>1</v>
      </c>
      <c r="TI124">
        <v>1</v>
      </c>
      <c r="TJ124">
        <v>1</v>
      </c>
      <c r="TK124">
        <v>1</v>
      </c>
      <c r="TL124">
        <v>1</v>
      </c>
      <c r="TM124">
        <v>1</v>
      </c>
      <c r="TN124">
        <v>1</v>
      </c>
      <c r="TO124">
        <v>2</v>
      </c>
      <c r="TP124">
        <v>2</v>
      </c>
      <c r="TQ124">
        <v>2</v>
      </c>
      <c r="TR124">
        <v>2</v>
      </c>
      <c r="TS124">
        <v>2</v>
      </c>
      <c r="TT124">
        <v>2</v>
      </c>
      <c r="TU124">
        <v>2</v>
      </c>
      <c r="TV124">
        <v>2</v>
      </c>
      <c r="TW124">
        <v>2</v>
      </c>
      <c r="TX124">
        <v>2</v>
      </c>
      <c r="TY124">
        <v>2</v>
      </c>
      <c r="TZ124">
        <v>2</v>
      </c>
      <c r="UA124">
        <v>2</v>
      </c>
      <c r="UB124">
        <v>2</v>
      </c>
      <c r="UC124">
        <v>2</v>
      </c>
      <c r="UD124">
        <v>2</v>
      </c>
      <c r="UE124">
        <v>2</v>
      </c>
      <c r="UF124">
        <v>2</v>
      </c>
      <c r="UG124">
        <v>2</v>
      </c>
      <c r="UH124">
        <v>2</v>
      </c>
      <c r="UI124">
        <v>2</v>
      </c>
      <c r="UJ124">
        <v>2</v>
      </c>
      <c r="UK124">
        <v>2</v>
      </c>
      <c r="UL124">
        <v>2</v>
      </c>
      <c r="UM124">
        <v>2</v>
      </c>
      <c r="UN124">
        <v>2</v>
      </c>
      <c r="UO124">
        <v>2</v>
      </c>
      <c r="UP124">
        <v>2</v>
      </c>
      <c r="UQ124">
        <v>2</v>
      </c>
      <c r="UR124">
        <v>2</v>
      </c>
      <c r="US124">
        <v>2</v>
      </c>
      <c r="UT124">
        <v>2</v>
      </c>
      <c r="UU124">
        <v>2</v>
      </c>
      <c r="UV124">
        <v>2</v>
      </c>
      <c r="UW124">
        <v>2</v>
      </c>
      <c r="UX124">
        <v>2</v>
      </c>
      <c r="UY124">
        <v>2</v>
      </c>
      <c r="UZ124">
        <v>2</v>
      </c>
      <c r="VA124">
        <v>2</v>
      </c>
      <c r="VB124">
        <v>2</v>
      </c>
      <c r="VC124">
        <v>2</v>
      </c>
      <c r="VD124">
        <v>2</v>
      </c>
      <c r="VE124">
        <v>2</v>
      </c>
      <c r="VF124">
        <v>2</v>
      </c>
      <c r="VG124">
        <v>2</v>
      </c>
      <c r="VH124">
        <v>2</v>
      </c>
      <c r="VI124">
        <v>0</v>
      </c>
      <c r="VJ124">
        <v>0</v>
      </c>
      <c r="VK124">
        <v>0</v>
      </c>
      <c r="VL124">
        <v>0</v>
      </c>
      <c r="VM124">
        <v>0</v>
      </c>
      <c r="VN124">
        <v>0</v>
      </c>
      <c r="VO124">
        <v>0</v>
      </c>
      <c r="VP124">
        <v>0</v>
      </c>
      <c r="VQ124">
        <v>0</v>
      </c>
      <c r="VR124">
        <v>0</v>
      </c>
      <c r="VS124">
        <v>0</v>
      </c>
      <c r="VT124">
        <v>0</v>
      </c>
      <c r="VU124">
        <v>0</v>
      </c>
      <c r="VV124">
        <v>0</v>
      </c>
      <c r="VW124">
        <v>0</v>
      </c>
      <c r="VX124">
        <v>0</v>
      </c>
      <c r="VY124">
        <v>0</v>
      </c>
      <c r="VZ124">
        <v>0</v>
      </c>
      <c r="WA124">
        <v>0</v>
      </c>
      <c r="WB124">
        <v>0</v>
      </c>
      <c r="WC124">
        <v>0</v>
      </c>
      <c r="WD124">
        <v>0</v>
      </c>
      <c r="WE124">
        <v>0</v>
      </c>
      <c r="WF124">
        <v>0</v>
      </c>
      <c r="WG124">
        <v>0</v>
      </c>
      <c r="WH124">
        <v>0</v>
      </c>
      <c r="WI124">
        <v>0</v>
      </c>
      <c r="WJ124">
        <v>0</v>
      </c>
      <c r="WK124">
        <v>0</v>
      </c>
      <c r="WL124">
        <v>0</v>
      </c>
      <c r="WM124">
        <v>0</v>
      </c>
      <c r="WN124">
        <v>0</v>
      </c>
      <c r="WO124">
        <v>0</v>
      </c>
      <c r="WP124">
        <v>0</v>
      </c>
      <c r="WQ124">
        <v>0</v>
      </c>
      <c r="WR124">
        <v>0</v>
      </c>
      <c r="WS124">
        <v>0</v>
      </c>
      <c r="WT124">
        <v>0</v>
      </c>
      <c r="WU124">
        <v>0</v>
      </c>
      <c r="WV124">
        <v>0</v>
      </c>
      <c r="WW124">
        <v>0</v>
      </c>
      <c r="WX124">
        <v>0</v>
      </c>
      <c r="WY124">
        <v>0</v>
      </c>
      <c r="WZ124">
        <v>0</v>
      </c>
      <c r="XA124">
        <v>0</v>
      </c>
      <c r="XB124">
        <v>0</v>
      </c>
      <c r="XC124">
        <v>0</v>
      </c>
      <c r="XD124">
        <v>0</v>
      </c>
      <c r="XE124">
        <v>0</v>
      </c>
      <c r="XF124">
        <v>0</v>
      </c>
      <c r="XG124">
        <v>0</v>
      </c>
      <c r="XH124">
        <v>0</v>
      </c>
      <c r="XI124">
        <v>0</v>
      </c>
      <c r="XJ124">
        <v>0</v>
      </c>
      <c r="XK124">
        <v>0</v>
      </c>
      <c r="XL124">
        <v>0</v>
      </c>
      <c r="XM124">
        <v>0</v>
      </c>
      <c r="XN124">
        <v>0</v>
      </c>
      <c r="XO124">
        <v>0</v>
      </c>
      <c r="XP124">
        <v>0</v>
      </c>
      <c r="XQ124">
        <v>0</v>
      </c>
      <c r="XR124">
        <v>0</v>
      </c>
      <c r="XS124">
        <v>0</v>
      </c>
      <c r="XT124">
        <v>0</v>
      </c>
      <c r="XU124">
        <v>0</v>
      </c>
      <c r="XV124">
        <v>0</v>
      </c>
      <c r="XW124">
        <v>0</v>
      </c>
      <c r="XX124">
        <v>0</v>
      </c>
      <c r="XY124">
        <v>0</v>
      </c>
      <c r="XZ124">
        <v>0</v>
      </c>
      <c r="YA124">
        <v>0</v>
      </c>
      <c r="YB124">
        <v>0</v>
      </c>
      <c r="YC124">
        <v>0</v>
      </c>
      <c r="YD124">
        <v>0</v>
      </c>
      <c r="YE124">
        <v>0</v>
      </c>
      <c r="YF124">
        <v>0</v>
      </c>
      <c r="YG124">
        <v>0</v>
      </c>
      <c r="YH124">
        <v>0</v>
      </c>
      <c r="YI124">
        <v>0</v>
      </c>
      <c r="YJ124">
        <v>0</v>
      </c>
      <c r="YK124">
        <v>0</v>
      </c>
      <c r="YL124">
        <v>0</v>
      </c>
      <c r="YM124">
        <v>0</v>
      </c>
      <c r="YN124">
        <v>0</v>
      </c>
      <c r="YO124">
        <v>0</v>
      </c>
      <c r="YP124">
        <v>0</v>
      </c>
      <c r="YQ124">
        <v>0</v>
      </c>
      <c r="YR124">
        <v>0</v>
      </c>
      <c r="YS124">
        <v>0</v>
      </c>
      <c r="YT124">
        <v>0</v>
      </c>
      <c r="YU124">
        <v>0</v>
      </c>
      <c r="YV124">
        <v>0</v>
      </c>
      <c r="YW124">
        <v>0</v>
      </c>
      <c r="YX124">
        <v>0</v>
      </c>
      <c r="YY124">
        <v>0</v>
      </c>
      <c r="YZ124">
        <v>0</v>
      </c>
      <c r="ZA124">
        <v>0</v>
      </c>
      <c r="ZB124">
        <v>0</v>
      </c>
      <c r="ZC124">
        <v>0</v>
      </c>
      <c r="ZD124">
        <v>0</v>
      </c>
      <c r="ZE124">
        <v>0</v>
      </c>
      <c r="ZF124">
        <v>0</v>
      </c>
      <c r="ZG124">
        <v>0</v>
      </c>
      <c r="ZH124">
        <v>0</v>
      </c>
      <c r="ZI124">
        <v>0</v>
      </c>
      <c r="ZJ124">
        <v>0</v>
      </c>
      <c r="ZK124">
        <v>0</v>
      </c>
      <c r="ZL124">
        <v>0</v>
      </c>
      <c r="ZM124">
        <v>0</v>
      </c>
      <c r="ZN124">
        <v>0</v>
      </c>
      <c r="ZO124">
        <v>0</v>
      </c>
      <c r="ZP124">
        <v>0</v>
      </c>
      <c r="ZQ124">
        <v>0</v>
      </c>
      <c r="ZR124">
        <v>0</v>
      </c>
      <c r="ZS124">
        <v>0</v>
      </c>
      <c r="ZT124">
        <v>0</v>
      </c>
      <c r="ZU124">
        <v>0</v>
      </c>
      <c r="ZV124">
        <v>0</v>
      </c>
      <c r="ZW124">
        <v>0</v>
      </c>
      <c r="ZX124">
        <v>0</v>
      </c>
      <c r="ZY124">
        <v>0</v>
      </c>
      <c r="ZZ124">
        <v>0</v>
      </c>
      <c r="AAA124">
        <v>0</v>
      </c>
      <c r="AAB124">
        <v>0</v>
      </c>
      <c r="AAC124">
        <v>0</v>
      </c>
      <c r="AAD124">
        <v>0</v>
      </c>
      <c r="AAE124">
        <v>0</v>
      </c>
      <c r="AAF124">
        <v>0</v>
      </c>
      <c r="AAG124">
        <v>0</v>
      </c>
      <c r="AAH124">
        <v>0</v>
      </c>
      <c r="AAI124">
        <v>0</v>
      </c>
      <c r="AAJ124">
        <v>0</v>
      </c>
      <c r="AAK124">
        <v>0</v>
      </c>
      <c r="AAL124">
        <v>0</v>
      </c>
      <c r="AAM124">
        <v>0</v>
      </c>
      <c r="AAN124">
        <v>0</v>
      </c>
      <c r="AAO124">
        <v>0</v>
      </c>
      <c r="AAP124">
        <v>0</v>
      </c>
      <c r="AAQ124">
        <v>0</v>
      </c>
      <c r="AAR124">
        <v>0</v>
      </c>
      <c r="AAS124">
        <v>0</v>
      </c>
      <c r="AAT124">
        <v>0</v>
      </c>
      <c r="AAU124">
        <v>0</v>
      </c>
      <c r="AAV124">
        <v>0</v>
      </c>
      <c r="AAW124">
        <v>0</v>
      </c>
      <c r="AAX124">
        <v>0</v>
      </c>
      <c r="AAY124">
        <v>0</v>
      </c>
      <c r="AAZ124">
        <v>0</v>
      </c>
      <c r="ABA124">
        <v>0</v>
      </c>
      <c r="ABB124">
        <v>0</v>
      </c>
      <c r="ABC124">
        <v>0</v>
      </c>
      <c r="ABD124">
        <v>0</v>
      </c>
      <c r="ABE124">
        <v>0</v>
      </c>
      <c r="ABG124" s="1137">
        <f t="shared" si="30"/>
        <v>0</v>
      </c>
      <c r="ABH124" s="1137">
        <f t="shared" si="30"/>
        <v>0</v>
      </c>
      <c r="ABI124" s="1137">
        <f t="shared" si="30"/>
        <v>5</v>
      </c>
      <c r="ABJ124" s="1137">
        <f t="shared" si="30"/>
        <v>30</v>
      </c>
      <c r="ABK124" s="1137">
        <f t="shared" si="30"/>
        <v>4</v>
      </c>
      <c r="ABL124" s="1137">
        <f t="shared" si="30"/>
        <v>21</v>
      </c>
      <c r="ABM124" s="1137">
        <f t="shared" si="30"/>
        <v>17</v>
      </c>
      <c r="ABN124" s="1137">
        <f t="shared" si="30"/>
        <v>31</v>
      </c>
      <c r="ABO124" s="1137">
        <f t="shared" si="30"/>
        <v>30</v>
      </c>
      <c r="ABP124" s="1137">
        <f t="shared" si="30"/>
        <v>31</v>
      </c>
      <c r="ABQ124" s="1137">
        <f t="shared" si="30"/>
        <v>30</v>
      </c>
      <c r="ABR124" s="1137">
        <f t="shared" si="30"/>
        <v>7</v>
      </c>
      <c r="ABS124" s="1137">
        <f t="shared" si="30"/>
        <v>0</v>
      </c>
      <c r="ABT124" s="1137">
        <f t="shared" si="30"/>
        <v>20</v>
      </c>
      <c r="ABU124" s="1137">
        <f t="shared" si="30"/>
        <v>1</v>
      </c>
      <c r="ABV124" s="1137">
        <f t="shared" si="30"/>
        <v>0</v>
      </c>
      <c r="ABW124" s="1137">
        <f t="shared" si="31"/>
        <v>14</v>
      </c>
      <c r="ABX124" s="1137">
        <f t="shared" si="23"/>
        <v>30</v>
      </c>
      <c r="ABY124" s="1137">
        <f t="shared" si="23"/>
        <v>31</v>
      </c>
      <c r="ABZ124" s="1137">
        <f t="shared" si="23"/>
        <v>0</v>
      </c>
      <c r="ACA124" s="1137">
        <f t="shared" si="23"/>
        <v>0</v>
      </c>
      <c r="ACB124" s="1137">
        <f t="shared" si="23"/>
        <v>0</v>
      </c>
      <c r="ACC124" s="1137">
        <f t="shared" si="23"/>
        <v>0</v>
      </c>
      <c r="ACD124" s="1137">
        <f t="shared" si="23"/>
        <v>0</v>
      </c>
      <c r="ACE124" s="1137" t="s">
        <v>224</v>
      </c>
      <c r="ACF124" s="1137">
        <f t="shared" si="33"/>
        <v>0</v>
      </c>
      <c r="ACG124" s="1137">
        <f t="shared" si="33"/>
        <v>0</v>
      </c>
      <c r="ACH124" s="1137">
        <f t="shared" si="33"/>
        <v>0</v>
      </c>
      <c r="ACI124" s="1137">
        <f t="shared" si="33"/>
        <v>1</v>
      </c>
      <c r="ACJ124" s="1137">
        <f t="shared" si="33"/>
        <v>0</v>
      </c>
      <c r="ACK124" s="1137">
        <f t="shared" si="33"/>
        <v>1</v>
      </c>
      <c r="ACL124" s="1137">
        <f t="shared" si="33"/>
        <v>1</v>
      </c>
      <c r="ACM124" s="1137">
        <f t="shared" si="33"/>
        <v>1</v>
      </c>
      <c r="ACN124" s="1137">
        <f t="shared" si="33"/>
        <v>1</v>
      </c>
      <c r="ACO124" s="1137">
        <f t="shared" si="33"/>
        <v>1</v>
      </c>
      <c r="ACP124" s="1137">
        <f t="shared" si="33"/>
        <v>1</v>
      </c>
      <c r="ACQ124" s="1137">
        <f t="shared" si="32"/>
        <v>0</v>
      </c>
      <c r="ACR124" s="1137">
        <f t="shared" si="32"/>
        <v>0</v>
      </c>
      <c r="ACS124" s="1137">
        <f t="shared" si="32"/>
        <v>1</v>
      </c>
      <c r="ACT124" s="1137">
        <f t="shared" si="32"/>
        <v>0</v>
      </c>
      <c r="ACU124" s="1137">
        <f t="shared" si="32"/>
        <v>0</v>
      </c>
      <c r="ACV124" s="1137">
        <f t="shared" si="24"/>
        <v>1</v>
      </c>
      <c r="ACW124" s="1137">
        <f t="shared" si="24"/>
        <v>1</v>
      </c>
      <c r="ACX124" s="1137">
        <f t="shared" si="24"/>
        <v>1</v>
      </c>
      <c r="ACY124" s="1137">
        <f t="shared" si="24"/>
        <v>0</v>
      </c>
      <c r="ACZ124" s="1137">
        <f t="shared" si="24"/>
        <v>0</v>
      </c>
      <c r="ADA124" s="1137">
        <f t="shared" si="24"/>
        <v>0</v>
      </c>
      <c r="ADB124" s="1137">
        <f t="shared" si="24"/>
        <v>0</v>
      </c>
      <c r="ADC124" s="1137">
        <f t="shared" si="24"/>
        <v>0</v>
      </c>
    </row>
    <row r="125" spans="1:783" x14ac:dyDescent="0.25">
      <c r="A125" t="s">
        <v>1924</v>
      </c>
      <c r="B125" t="s">
        <v>53</v>
      </c>
      <c r="C125">
        <v>0</v>
      </c>
      <c r="D125">
        <v>0</v>
      </c>
      <c r="E125">
        <v>0</v>
      </c>
      <c r="F125">
        <v>0</v>
      </c>
      <c r="G125">
        <v>0</v>
      </c>
      <c r="H125">
        <v>0</v>
      </c>
      <c r="I125">
        <v>0</v>
      </c>
      <c r="J125">
        <v>0</v>
      </c>
      <c r="K125">
        <v>0</v>
      </c>
      <c r="L125">
        <v>0</v>
      </c>
      <c r="M125">
        <v>0</v>
      </c>
      <c r="N125">
        <v>0</v>
      </c>
      <c r="O125">
        <v>0</v>
      </c>
      <c r="P125">
        <v>0</v>
      </c>
      <c r="Q125">
        <v>0</v>
      </c>
      <c r="R125">
        <v>0</v>
      </c>
      <c r="S125">
        <v>0</v>
      </c>
      <c r="T125">
        <v>0</v>
      </c>
      <c r="U125">
        <v>0</v>
      </c>
      <c r="V125">
        <v>0</v>
      </c>
      <c r="W125">
        <v>0</v>
      </c>
      <c r="X125">
        <v>0</v>
      </c>
      <c r="Y125">
        <v>0</v>
      </c>
      <c r="Z125">
        <v>0</v>
      </c>
      <c r="AA125">
        <v>0</v>
      </c>
      <c r="AB125">
        <v>0</v>
      </c>
      <c r="AC125">
        <v>0</v>
      </c>
      <c r="AD125">
        <v>0</v>
      </c>
      <c r="AE125">
        <v>0</v>
      </c>
      <c r="AF125">
        <v>0</v>
      </c>
      <c r="AG125">
        <v>0</v>
      </c>
      <c r="AH125">
        <v>0</v>
      </c>
      <c r="AI125">
        <v>0</v>
      </c>
      <c r="AJ125">
        <v>0</v>
      </c>
      <c r="AK125">
        <v>0</v>
      </c>
      <c r="AL125">
        <v>0</v>
      </c>
      <c r="AM125">
        <v>0</v>
      </c>
      <c r="AN125">
        <v>0</v>
      </c>
      <c r="AO125">
        <v>0</v>
      </c>
      <c r="AP125">
        <v>0</v>
      </c>
      <c r="AQ125">
        <v>0</v>
      </c>
      <c r="AR125">
        <v>0</v>
      </c>
      <c r="AS125">
        <v>0</v>
      </c>
      <c r="AT125">
        <v>0</v>
      </c>
      <c r="AU125">
        <v>0</v>
      </c>
      <c r="AV125">
        <v>0</v>
      </c>
      <c r="AW125">
        <v>0</v>
      </c>
      <c r="AX125">
        <v>0</v>
      </c>
      <c r="AY125">
        <v>0</v>
      </c>
      <c r="AZ125">
        <v>0</v>
      </c>
      <c r="BA125">
        <v>0</v>
      </c>
      <c r="BB125">
        <v>0</v>
      </c>
      <c r="BC125">
        <v>0</v>
      </c>
      <c r="BD125">
        <v>0</v>
      </c>
      <c r="BE125">
        <v>0</v>
      </c>
      <c r="BF125">
        <v>0</v>
      </c>
      <c r="BG125">
        <v>0</v>
      </c>
      <c r="BH125">
        <v>0</v>
      </c>
      <c r="BI125">
        <v>0</v>
      </c>
      <c r="BJ125">
        <v>0</v>
      </c>
      <c r="BK125">
        <v>0</v>
      </c>
      <c r="BL125">
        <v>0</v>
      </c>
      <c r="BM125">
        <v>0</v>
      </c>
      <c r="BN125">
        <v>0</v>
      </c>
      <c r="BO125">
        <v>0</v>
      </c>
      <c r="BP125">
        <v>0</v>
      </c>
      <c r="BQ125">
        <v>0</v>
      </c>
      <c r="BR125">
        <v>0</v>
      </c>
      <c r="BS125">
        <v>0</v>
      </c>
      <c r="BT125">
        <v>0</v>
      </c>
      <c r="BU125">
        <v>0</v>
      </c>
      <c r="BV125">
        <v>0</v>
      </c>
      <c r="BW125">
        <v>0</v>
      </c>
      <c r="BX125">
        <v>0</v>
      </c>
      <c r="BY125">
        <v>0</v>
      </c>
      <c r="BZ125">
        <v>0</v>
      </c>
      <c r="CA125">
        <v>0</v>
      </c>
      <c r="CB125">
        <v>0</v>
      </c>
      <c r="CC125">
        <v>0</v>
      </c>
      <c r="CD125">
        <v>0</v>
      </c>
      <c r="CE125">
        <v>0</v>
      </c>
      <c r="CF125">
        <v>0</v>
      </c>
      <c r="CG125">
        <v>0</v>
      </c>
      <c r="CH125">
        <v>0</v>
      </c>
      <c r="CI125">
        <v>0</v>
      </c>
      <c r="CJ125">
        <v>0</v>
      </c>
      <c r="CK125">
        <v>0</v>
      </c>
      <c r="CL125">
        <v>2</v>
      </c>
      <c r="CM125">
        <v>2</v>
      </c>
      <c r="CN125">
        <v>2</v>
      </c>
      <c r="CO125">
        <v>2</v>
      </c>
      <c r="CP125">
        <v>2</v>
      </c>
      <c r="CQ125">
        <v>2</v>
      </c>
      <c r="CR125">
        <v>2</v>
      </c>
      <c r="CS125">
        <v>2</v>
      </c>
      <c r="CT125">
        <v>2</v>
      </c>
      <c r="CU125">
        <v>2</v>
      </c>
      <c r="CV125">
        <v>2</v>
      </c>
      <c r="CW125">
        <v>2</v>
      </c>
      <c r="CX125">
        <v>2</v>
      </c>
      <c r="CY125">
        <v>2</v>
      </c>
      <c r="CZ125">
        <v>2</v>
      </c>
      <c r="DA125">
        <v>2</v>
      </c>
      <c r="DB125">
        <v>2</v>
      </c>
      <c r="DC125">
        <v>2</v>
      </c>
      <c r="DD125">
        <v>2</v>
      </c>
      <c r="DE125">
        <v>2</v>
      </c>
      <c r="DF125">
        <v>2</v>
      </c>
      <c r="DG125">
        <v>2</v>
      </c>
      <c r="DH125">
        <v>2</v>
      </c>
      <c r="DI125">
        <v>2</v>
      </c>
      <c r="DJ125">
        <v>2</v>
      </c>
      <c r="DK125">
        <v>2</v>
      </c>
      <c r="DL125">
        <v>2</v>
      </c>
      <c r="DM125">
        <v>2</v>
      </c>
      <c r="DN125">
        <v>2</v>
      </c>
      <c r="DO125">
        <v>2</v>
      </c>
      <c r="DP125">
        <v>2</v>
      </c>
      <c r="DQ125">
        <v>2</v>
      </c>
      <c r="DR125">
        <v>2</v>
      </c>
      <c r="DS125">
        <v>2</v>
      </c>
      <c r="DT125">
        <v>2</v>
      </c>
      <c r="DU125">
        <v>2</v>
      </c>
      <c r="DV125">
        <v>2</v>
      </c>
      <c r="DW125">
        <v>2</v>
      </c>
      <c r="DX125">
        <v>2</v>
      </c>
      <c r="DY125">
        <v>2</v>
      </c>
      <c r="DZ125">
        <v>2</v>
      </c>
      <c r="EA125">
        <v>2</v>
      </c>
      <c r="EB125">
        <v>2</v>
      </c>
      <c r="EC125">
        <v>2</v>
      </c>
      <c r="ED125">
        <v>2</v>
      </c>
      <c r="EE125">
        <v>2</v>
      </c>
      <c r="EF125">
        <v>0</v>
      </c>
      <c r="EG125">
        <v>0</v>
      </c>
      <c r="EH125">
        <v>0</v>
      </c>
      <c r="EI125">
        <v>0</v>
      </c>
      <c r="EJ125">
        <v>0</v>
      </c>
      <c r="EK125">
        <v>0</v>
      </c>
      <c r="EL125">
        <v>0</v>
      </c>
      <c r="EM125">
        <v>0</v>
      </c>
      <c r="EN125">
        <v>0</v>
      </c>
      <c r="EO125">
        <v>0</v>
      </c>
      <c r="EP125">
        <v>0</v>
      </c>
      <c r="EQ125">
        <v>0</v>
      </c>
      <c r="ER125">
        <v>0</v>
      </c>
      <c r="ES125">
        <v>0</v>
      </c>
      <c r="ET125">
        <v>0</v>
      </c>
      <c r="EU125">
        <v>0</v>
      </c>
      <c r="EV125">
        <v>0</v>
      </c>
      <c r="EW125">
        <v>0</v>
      </c>
      <c r="EX125">
        <v>0</v>
      </c>
      <c r="EY125">
        <v>0</v>
      </c>
      <c r="EZ125">
        <v>0</v>
      </c>
      <c r="FA125">
        <v>0</v>
      </c>
      <c r="FB125">
        <v>0</v>
      </c>
      <c r="FC125">
        <v>0</v>
      </c>
      <c r="FD125">
        <v>0</v>
      </c>
      <c r="FE125">
        <v>0</v>
      </c>
      <c r="FF125">
        <v>0</v>
      </c>
      <c r="FG125">
        <v>0</v>
      </c>
      <c r="FH125">
        <v>0</v>
      </c>
      <c r="FI125">
        <v>0</v>
      </c>
      <c r="FJ125">
        <v>0</v>
      </c>
      <c r="FK125">
        <v>0</v>
      </c>
      <c r="FL125">
        <v>0</v>
      </c>
      <c r="FM125">
        <v>0</v>
      </c>
      <c r="FN125">
        <v>0</v>
      </c>
      <c r="FO125">
        <v>0</v>
      </c>
      <c r="FP125">
        <v>0</v>
      </c>
      <c r="FQ125">
        <v>0</v>
      </c>
      <c r="FR125">
        <v>0</v>
      </c>
      <c r="FS125">
        <v>0</v>
      </c>
      <c r="FT125">
        <v>0</v>
      </c>
      <c r="FU125">
        <v>0</v>
      </c>
      <c r="FV125">
        <v>0</v>
      </c>
      <c r="FW125">
        <v>0</v>
      </c>
      <c r="FX125">
        <v>0</v>
      </c>
      <c r="FY125">
        <v>0</v>
      </c>
      <c r="FZ125">
        <v>0</v>
      </c>
      <c r="GA125">
        <v>0</v>
      </c>
      <c r="GB125">
        <v>0</v>
      </c>
      <c r="GC125">
        <v>0</v>
      </c>
      <c r="GD125">
        <v>0</v>
      </c>
      <c r="GE125">
        <v>0</v>
      </c>
      <c r="GF125">
        <v>0</v>
      </c>
      <c r="GG125">
        <v>0</v>
      </c>
      <c r="GH125">
        <v>0</v>
      </c>
      <c r="GI125">
        <v>0</v>
      </c>
      <c r="GJ125">
        <v>0</v>
      </c>
      <c r="GK125">
        <v>0</v>
      </c>
      <c r="GL125">
        <v>0</v>
      </c>
      <c r="GM125">
        <v>0</v>
      </c>
      <c r="GN125">
        <v>0</v>
      </c>
      <c r="GO125">
        <v>0</v>
      </c>
      <c r="GP125">
        <v>0</v>
      </c>
      <c r="GQ125">
        <v>0</v>
      </c>
      <c r="GR125">
        <v>0</v>
      </c>
      <c r="GS125">
        <v>0</v>
      </c>
      <c r="GT125">
        <v>0</v>
      </c>
      <c r="GU125">
        <v>0</v>
      </c>
      <c r="GV125">
        <v>0</v>
      </c>
      <c r="GW125">
        <v>0</v>
      </c>
      <c r="GX125">
        <v>0</v>
      </c>
      <c r="GY125">
        <v>0</v>
      </c>
      <c r="GZ125">
        <v>0</v>
      </c>
      <c r="HA125">
        <v>0</v>
      </c>
      <c r="HB125">
        <v>0</v>
      </c>
      <c r="HC125">
        <v>0</v>
      </c>
      <c r="HD125">
        <v>0</v>
      </c>
      <c r="HE125">
        <v>0</v>
      </c>
      <c r="HF125">
        <v>0</v>
      </c>
      <c r="HG125">
        <v>0</v>
      </c>
      <c r="HH125">
        <v>0</v>
      </c>
      <c r="HI125">
        <v>0</v>
      </c>
      <c r="HJ125">
        <v>0</v>
      </c>
      <c r="HK125">
        <v>0</v>
      </c>
      <c r="HL125">
        <v>0</v>
      </c>
      <c r="HM125">
        <v>0</v>
      </c>
      <c r="HN125">
        <v>0</v>
      </c>
      <c r="HO125">
        <v>0</v>
      </c>
      <c r="HP125">
        <v>0</v>
      </c>
      <c r="HQ125">
        <v>0</v>
      </c>
      <c r="HR125">
        <v>0</v>
      </c>
      <c r="HS125">
        <v>0</v>
      </c>
      <c r="HT125">
        <v>0</v>
      </c>
      <c r="HU125">
        <v>0</v>
      </c>
      <c r="HV125">
        <v>0</v>
      </c>
      <c r="HW125">
        <v>0</v>
      </c>
      <c r="HX125">
        <v>0</v>
      </c>
      <c r="HY125">
        <v>0</v>
      </c>
      <c r="HZ125">
        <v>0</v>
      </c>
      <c r="IA125">
        <v>0</v>
      </c>
      <c r="IB125">
        <v>0</v>
      </c>
      <c r="IC125">
        <v>0</v>
      </c>
      <c r="ID125">
        <v>0</v>
      </c>
      <c r="IE125">
        <v>0</v>
      </c>
      <c r="IF125">
        <v>0</v>
      </c>
      <c r="IG125">
        <v>0</v>
      </c>
      <c r="IH125">
        <v>0</v>
      </c>
      <c r="II125">
        <v>0</v>
      </c>
      <c r="IJ125">
        <v>0</v>
      </c>
      <c r="IK125">
        <v>0</v>
      </c>
      <c r="IL125">
        <v>0</v>
      </c>
      <c r="IM125">
        <v>0</v>
      </c>
      <c r="IN125">
        <v>0</v>
      </c>
      <c r="IO125">
        <v>0</v>
      </c>
      <c r="IP125">
        <v>0</v>
      </c>
      <c r="IQ125">
        <v>0</v>
      </c>
      <c r="IR125">
        <v>0</v>
      </c>
      <c r="IS125">
        <v>0</v>
      </c>
      <c r="IT125">
        <v>0</v>
      </c>
      <c r="IU125">
        <v>0</v>
      </c>
      <c r="IV125">
        <v>0</v>
      </c>
      <c r="IW125">
        <v>0</v>
      </c>
      <c r="IX125">
        <v>0</v>
      </c>
      <c r="IY125">
        <v>0</v>
      </c>
      <c r="IZ125">
        <v>0</v>
      </c>
      <c r="JA125">
        <v>0</v>
      </c>
      <c r="JB125">
        <v>0</v>
      </c>
      <c r="JC125">
        <v>0</v>
      </c>
      <c r="JD125">
        <v>0</v>
      </c>
      <c r="JE125">
        <v>0</v>
      </c>
      <c r="JF125">
        <v>0</v>
      </c>
      <c r="JG125">
        <v>0</v>
      </c>
      <c r="JH125">
        <v>0</v>
      </c>
      <c r="JI125">
        <v>0</v>
      </c>
      <c r="JJ125">
        <v>0</v>
      </c>
      <c r="JK125">
        <v>0</v>
      </c>
      <c r="JL125">
        <v>0</v>
      </c>
      <c r="JM125">
        <v>0</v>
      </c>
      <c r="JN125">
        <v>0</v>
      </c>
      <c r="JO125">
        <v>0</v>
      </c>
      <c r="JP125">
        <v>0</v>
      </c>
      <c r="JQ125">
        <v>0</v>
      </c>
      <c r="JR125">
        <v>1</v>
      </c>
      <c r="JS125">
        <v>1</v>
      </c>
      <c r="JT125">
        <v>1</v>
      </c>
      <c r="JU125">
        <v>1</v>
      </c>
      <c r="JV125">
        <v>1</v>
      </c>
      <c r="JW125">
        <v>1</v>
      </c>
      <c r="JX125">
        <v>1</v>
      </c>
      <c r="JY125">
        <v>1</v>
      </c>
      <c r="JZ125">
        <v>1</v>
      </c>
      <c r="KA125">
        <v>1</v>
      </c>
      <c r="KB125">
        <v>1</v>
      </c>
      <c r="KC125">
        <v>0</v>
      </c>
      <c r="KD125">
        <v>0</v>
      </c>
      <c r="KE125">
        <v>0</v>
      </c>
      <c r="KF125">
        <v>0</v>
      </c>
      <c r="KG125">
        <v>0</v>
      </c>
      <c r="KH125">
        <v>0</v>
      </c>
      <c r="KI125">
        <v>0</v>
      </c>
      <c r="KJ125">
        <v>0</v>
      </c>
      <c r="KK125">
        <v>0</v>
      </c>
      <c r="KL125">
        <v>0</v>
      </c>
      <c r="KM125">
        <v>0</v>
      </c>
      <c r="KN125">
        <v>0</v>
      </c>
      <c r="KO125">
        <v>0</v>
      </c>
      <c r="KP125">
        <v>0</v>
      </c>
      <c r="KQ125">
        <v>0</v>
      </c>
      <c r="KR125">
        <v>0</v>
      </c>
      <c r="KS125">
        <v>0</v>
      </c>
      <c r="KT125">
        <v>0</v>
      </c>
      <c r="KU125">
        <v>0</v>
      </c>
      <c r="KV125">
        <v>0</v>
      </c>
      <c r="KW125">
        <v>0</v>
      </c>
      <c r="KX125">
        <v>0</v>
      </c>
      <c r="KY125">
        <v>0</v>
      </c>
      <c r="KZ125">
        <v>0</v>
      </c>
      <c r="LA125">
        <v>0</v>
      </c>
      <c r="LB125">
        <v>0</v>
      </c>
      <c r="LC125">
        <v>0</v>
      </c>
      <c r="LD125">
        <v>0</v>
      </c>
      <c r="LE125">
        <v>0</v>
      </c>
      <c r="LF125">
        <v>0</v>
      </c>
      <c r="LG125">
        <v>0</v>
      </c>
      <c r="LH125">
        <v>0</v>
      </c>
      <c r="LI125">
        <v>0</v>
      </c>
      <c r="LJ125">
        <v>0</v>
      </c>
      <c r="LK125">
        <v>0</v>
      </c>
      <c r="LL125">
        <v>0</v>
      </c>
      <c r="LM125">
        <v>0</v>
      </c>
      <c r="LN125">
        <v>0</v>
      </c>
      <c r="LO125">
        <v>0</v>
      </c>
      <c r="LP125">
        <v>0</v>
      </c>
      <c r="LQ125">
        <v>0</v>
      </c>
      <c r="LR125">
        <v>0</v>
      </c>
      <c r="LS125">
        <v>0</v>
      </c>
      <c r="LT125">
        <v>0</v>
      </c>
      <c r="LU125">
        <v>0</v>
      </c>
      <c r="LV125">
        <v>0</v>
      </c>
      <c r="LW125">
        <v>0</v>
      </c>
      <c r="LX125">
        <v>0</v>
      </c>
      <c r="LY125">
        <v>0</v>
      </c>
      <c r="LZ125">
        <v>0</v>
      </c>
      <c r="MA125">
        <v>0</v>
      </c>
      <c r="MB125">
        <v>0</v>
      </c>
      <c r="MC125">
        <v>0</v>
      </c>
      <c r="MD125">
        <v>0</v>
      </c>
      <c r="ME125">
        <v>0</v>
      </c>
      <c r="MF125">
        <v>0</v>
      </c>
      <c r="MG125">
        <v>0</v>
      </c>
      <c r="MH125">
        <v>0</v>
      </c>
      <c r="MI125">
        <v>0</v>
      </c>
      <c r="MJ125">
        <v>0</v>
      </c>
      <c r="MK125">
        <v>0</v>
      </c>
      <c r="ML125">
        <v>0</v>
      </c>
      <c r="MM125">
        <v>0</v>
      </c>
      <c r="MN125">
        <v>0</v>
      </c>
      <c r="MO125">
        <v>0</v>
      </c>
      <c r="MP125">
        <v>0</v>
      </c>
      <c r="MQ125">
        <v>0</v>
      </c>
      <c r="MR125">
        <v>0</v>
      </c>
      <c r="MS125">
        <v>0</v>
      </c>
      <c r="MT125">
        <v>0</v>
      </c>
      <c r="MU125">
        <v>0</v>
      </c>
      <c r="MV125">
        <v>0</v>
      </c>
      <c r="MW125">
        <v>0</v>
      </c>
      <c r="MX125">
        <v>0</v>
      </c>
      <c r="MY125">
        <v>0</v>
      </c>
      <c r="MZ125">
        <v>0</v>
      </c>
      <c r="NA125">
        <v>0</v>
      </c>
      <c r="NB125">
        <v>0</v>
      </c>
      <c r="NC125">
        <v>0</v>
      </c>
      <c r="ND125">
        <v>0</v>
      </c>
      <c r="NE125">
        <v>0</v>
      </c>
      <c r="NF125">
        <v>0</v>
      </c>
      <c r="NG125">
        <v>0</v>
      </c>
      <c r="NH125">
        <v>0</v>
      </c>
      <c r="NI125">
        <v>0</v>
      </c>
      <c r="NJ125">
        <v>0</v>
      </c>
      <c r="NK125">
        <v>0</v>
      </c>
      <c r="NL125">
        <v>0</v>
      </c>
      <c r="NM125">
        <v>0</v>
      </c>
      <c r="NN125">
        <v>0</v>
      </c>
      <c r="NO125">
        <v>0</v>
      </c>
      <c r="NP125">
        <v>0</v>
      </c>
      <c r="NQ125">
        <v>0</v>
      </c>
      <c r="NR125">
        <v>0</v>
      </c>
      <c r="NS125">
        <v>0</v>
      </c>
      <c r="NT125">
        <v>0</v>
      </c>
      <c r="NU125">
        <v>0</v>
      </c>
      <c r="NV125">
        <v>0</v>
      </c>
      <c r="NW125">
        <v>0</v>
      </c>
      <c r="NX125">
        <v>0</v>
      </c>
      <c r="NY125">
        <v>0</v>
      </c>
      <c r="NZ125">
        <v>0</v>
      </c>
      <c r="OA125">
        <v>0</v>
      </c>
      <c r="OB125">
        <v>0</v>
      </c>
      <c r="OC125">
        <v>0</v>
      </c>
      <c r="OD125">
        <v>0</v>
      </c>
      <c r="OE125">
        <v>0</v>
      </c>
      <c r="OF125">
        <v>0</v>
      </c>
      <c r="OG125">
        <v>0</v>
      </c>
      <c r="OH125">
        <v>0</v>
      </c>
      <c r="OI125">
        <v>0</v>
      </c>
      <c r="OJ125">
        <v>0</v>
      </c>
      <c r="OK125">
        <v>0</v>
      </c>
      <c r="OL125">
        <v>0</v>
      </c>
      <c r="OM125">
        <v>0</v>
      </c>
      <c r="ON125">
        <v>0</v>
      </c>
      <c r="OO125">
        <v>0</v>
      </c>
      <c r="OP125">
        <v>0</v>
      </c>
      <c r="OQ125">
        <v>0</v>
      </c>
      <c r="OR125">
        <v>0</v>
      </c>
      <c r="OS125">
        <v>0</v>
      </c>
      <c r="OT125">
        <v>0</v>
      </c>
      <c r="OU125">
        <v>0</v>
      </c>
      <c r="OV125">
        <v>0</v>
      </c>
      <c r="OW125">
        <v>0</v>
      </c>
      <c r="OX125">
        <v>0</v>
      </c>
      <c r="OY125">
        <v>0</v>
      </c>
      <c r="OZ125">
        <v>0</v>
      </c>
      <c r="PA125">
        <v>0</v>
      </c>
      <c r="PB125">
        <v>0</v>
      </c>
      <c r="PC125">
        <v>0</v>
      </c>
      <c r="PD125">
        <v>0</v>
      </c>
      <c r="PE125">
        <v>0</v>
      </c>
      <c r="PF125">
        <v>0</v>
      </c>
      <c r="PG125">
        <v>0</v>
      </c>
      <c r="PH125">
        <v>0</v>
      </c>
      <c r="PI125">
        <v>0</v>
      </c>
      <c r="PJ125">
        <v>0</v>
      </c>
      <c r="PK125">
        <v>0</v>
      </c>
      <c r="PL125">
        <v>0</v>
      </c>
      <c r="PM125">
        <v>0</v>
      </c>
      <c r="PN125">
        <v>0</v>
      </c>
      <c r="PO125">
        <v>0</v>
      </c>
      <c r="PP125">
        <v>0</v>
      </c>
      <c r="PQ125">
        <v>0</v>
      </c>
      <c r="PR125">
        <v>0</v>
      </c>
      <c r="PS125">
        <v>0</v>
      </c>
      <c r="PT125">
        <v>0</v>
      </c>
      <c r="PU125">
        <v>0</v>
      </c>
      <c r="PV125">
        <v>0</v>
      </c>
      <c r="PW125">
        <v>0</v>
      </c>
      <c r="PX125">
        <v>0</v>
      </c>
      <c r="PY125">
        <v>0</v>
      </c>
      <c r="PZ125">
        <v>0</v>
      </c>
      <c r="QA125">
        <v>0</v>
      </c>
      <c r="QB125">
        <v>0</v>
      </c>
      <c r="QC125">
        <v>0</v>
      </c>
      <c r="QD125">
        <v>0</v>
      </c>
      <c r="QE125">
        <v>0</v>
      </c>
      <c r="QF125">
        <v>0</v>
      </c>
      <c r="QG125">
        <v>0</v>
      </c>
      <c r="QH125">
        <v>0</v>
      </c>
      <c r="QI125">
        <v>0</v>
      </c>
      <c r="QJ125">
        <v>0</v>
      </c>
      <c r="QK125">
        <v>0</v>
      </c>
      <c r="QL125">
        <v>0</v>
      </c>
      <c r="QM125">
        <v>0</v>
      </c>
      <c r="QN125">
        <v>0</v>
      </c>
      <c r="QO125">
        <v>0</v>
      </c>
      <c r="QP125">
        <v>0</v>
      </c>
      <c r="QQ125">
        <v>0</v>
      </c>
      <c r="QR125">
        <v>0</v>
      </c>
      <c r="QS125">
        <v>0</v>
      </c>
      <c r="QT125">
        <v>0</v>
      </c>
      <c r="QU125">
        <v>0</v>
      </c>
      <c r="QV125">
        <v>0</v>
      </c>
      <c r="QW125">
        <v>0</v>
      </c>
      <c r="QX125">
        <v>0</v>
      </c>
      <c r="QY125">
        <v>0</v>
      </c>
      <c r="QZ125">
        <v>0</v>
      </c>
      <c r="RA125">
        <v>0</v>
      </c>
      <c r="RB125">
        <v>0</v>
      </c>
      <c r="RC125">
        <v>0</v>
      </c>
      <c r="RD125">
        <v>0</v>
      </c>
      <c r="RE125">
        <v>0</v>
      </c>
      <c r="RF125">
        <v>0</v>
      </c>
      <c r="RG125">
        <v>0</v>
      </c>
      <c r="RH125">
        <v>0</v>
      </c>
      <c r="RI125">
        <v>0</v>
      </c>
      <c r="RJ125">
        <v>0</v>
      </c>
      <c r="RK125">
        <v>0</v>
      </c>
      <c r="RL125">
        <v>0</v>
      </c>
      <c r="RM125">
        <v>0</v>
      </c>
      <c r="RN125">
        <v>0</v>
      </c>
      <c r="RO125">
        <v>0</v>
      </c>
      <c r="RP125">
        <v>0</v>
      </c>
      <c r="RQ125">
        <v>0</v>
      </c>
      <c r="RR125">
        <v>0</v>
      </c>
      <c r="RS125">
        <v>0</v>
      </c>
      <c r="RT125">
        <v>0</v>
      </c>
      <c r="RU125">
        <v>0</v>
      </c>
      <c r="RV125">
        <v>0</v>
      </c>
      <c r="RW125">
        <v>0</v>
      </c>
      <c r="RX125">
        <v>0</v>
      </c>
      <c r="RY125">
        <v>0</v>
      </c>
      <c r="RZ125">
        <v>0</v>
      </c>
      <c r="SA125">
        <v>0</v>
      </c>
      <c r="SB125">
        <v>0</v>
      </c>
      <c r="SC125">
        <v>0</v>
      </c>
      <c r="SD125">
        <v>0</v>
      </c>
      <c r="SE125">
        <v>0</v>
      </c>
      <c r="SF125">
        <v>0</v>
      </c>
      <c r="SG125">
        <v>0</v>
      </c>
      <c r="SH125">
        <v>0</v>
      </c>
      <c r="SI125">
        <v>0</v>
      </c>
      <c r="SJ125">
        <v>0</v>
      </c>
      <c r="SK125">
        <v>0</v>
      </c>
      <c r="SL125">
        <v>0</v>
      </c>
      <c r="SM125">
        <v>0</v>
      </c>
      <c r="SN125">
        <v>0</v>
      </c>
      <c r="SO125">
        <v>0</v>
      </c>
      <c r="SP125">
        <v>0</v>
      </c>
      <c r="SQ125">
        <v>0</v>
      </c>
      <c r="SR125">
        <v>0</v>
      </c>
      <c r="SS125">
        <v>0</v>
      </c>
      <c r="ST125">
        <v>0</v>
      </c>
      <c r="SU125">
        <v>0</v>
      </c>
      <c r="SV125">
        <v>0</v>
      </c>
      <c r="SW125">
        <v>0</v>
      </c>
      <c r="SX125">
        <v>0</v>
      </c>
      <c r="SY125">
        <v>0</v>
      </c>
      <c r="SZ125">
        <v>0</v>
      </c>
      <c r="TA125">
        <v>0</v>
      </c>
      <c r="TB125">
        <v>0</v>
      </c>
      <c r="TC125">
        <v>0</v>
      </c>
      <c r="TD125">
        <v>0</v>
      </c>
      <c r="TE125">
        <v>0</v>
      </c>
      <c r="TF125">
        <v>0</v>
      </c>
      <c r="TG125">
        <v>0</v>
      </c>
      <c r="TH125">
        <v>0</v>
      </c>
      <c r="TI125">
        <v>0</v>
      </c>
      <c r="TJ125">
        <v>0</v>
      </c>
      <c r="TK125">
        <v>0</v>
      </c>
      <c r="TL125">
        <v>0</v>
      </c>
      <c r="TM125">
        <v>0</v>
      </c>
      <c r="TN125">
        <v>0</v>
      </c>
      <c r="TO125">
        <v>0</v>
      </c>
      <c r="TP125">
        <v>0</v>
      </c>
      <c r="TQ125">
        <v>0</v>
      </c>
      <c r="TR125">
        <v>0</v>
      </c>
      <c r="TS125">
        <v>0</v>
      </c>
      <c r="TT125">
        <v>0</v>
      </c>
      <c r="TU125">
        <v>0</v>
      </c>
      <c r="TV125">
        <v>0</v>
      </c>
      <c r="TW125">
        <v>0</v>
      </c>
      <c r="TX125">
        <v>0</v>
      </c>
      <c r="TY125">
        <v>0</v>
      </c>
      <c r="TZ125">
        <v>0</v>
      </c>
      <c r="UA125">
        <v>0</v>
      </c>
      <c r="UB125">
        <v>0</v>
      </c>
      <c r="UC125">
        <v>0</v>
      </c>
      <c r="UD125">
        <v>0</v>
      </c>
      <c r="UE125">
        <v>0</v>
      </c>
      <c r="UF125">
        <v>0</v>
      </c>
      <c r="UG125">
        <v>0</v>
      </c>
      <c r="UH125">
        <v>0</v>
      </c>
      <c r="UI125">
        <v>0</v>
      </c>
      <c r="UJ125">
        <v>0</v>
      </c>
      <c r="UK125">
        <v>0</v>
      </c>
      <c r="UL125">
        <v>0</v>
      </c>
      <c r="UM125">
        <v>0</v>
      </c>
      <c r="UN125">
        <v>0</v>
      </c>
      <c r="UO125">
        <v>0</v>
      </c>
      <c r="UP125">
        <v>0</v>
      </c>
      <c r="UQ125">
        <v>0</v>
      </c>
      <c r="UR125">
        <v>0</v>
      </c>
      <c r="US125">
        <v>0</v>
      </c>
      <c r="UT125">
        <v>0</v>
      </c>
      <c r="UU125">
        <v>0</v>
      </c>
      <c r="UV125">
        <v>0</v>
      </c>
      <c r="UW125">
        <v>0</v>
      </c>
      <c r="UX125">
        <v>0</v>
      </c>
      <c r="UY125">
        <v>0</v>
      </c>
      <c r="UZ125">
        <v>0</v>
      </c>
      <c r="VA125">
        <v>0</v>
      </c>
      <c r="VB125">
        <v>0</v>
      </c>
      <c r="VC125">
        <v>0</v>
      </c>
      <c r="VD125">
        <v>0</v>
      </c>
      <c r="VE125">
        <v>0</v>
      </c>
      <c r="VF125">
        <v>0</v>
      </c>
      <c r="VG125">
        <v>0</v>
      </c>
      <c r="VH125">
        <v>0</v>
      </c>
      <c r="VI125">
        <v>0</v>
      </c>
      <c r="VJ125">
        <v>0</v>
      </c>
      <c r="VK125">
        <v>0</v>
      </c>
      <c r="VL125">
        <v>0</v>
      </c>
      <c r="VM125">
        <v>0</v>
      </c>
      <c r="VN125">
        <v>0</v>
      </c>
      <c r="VO125">
        <v>0</v>
      </c>
      <c r="VP125">
        <v>0</v>
      </c>
      <c r="VQ125">
        <v>0</v>
      </c>
      <c r="VR125">
        <v>0</v>
      </c>
      <c r="VS125">
        <v>0</v>
      </c>
      <c r="VT125">
        <v>0</v>
      </c>
      <c r="VU125">
        <v>0</v>
      </c>
      <c r="VV125">
        <v>0</v>
      </c>
      <c r="VW125">
        <v>0</v>
      </c>
      <c r="VX125">
        <v>0</v>
      </c>
      <c r="VY125">
        <v>0</v>
      </c>
      <c r="VZ125">
        <v>0</v>
      </c>
      <c r="WA125">
        <v>0</v>
      </c>
      <c r="WB125">
        <v>0</v>
      </c>
      <c r="WC125">
        <v>0</v>
      </c>
      <c r="WD125">
        <v>0</v>
      </c>
      <c r="WE125">
        <v>0</v>
      </c>
      <c r="WF125">
        <v>0</v>
      </c>
      <c r="WG125">
        <v>0</v>
      </c>
      <c r="WH125">
        <v>0</v>
      </c>
      <c r="WI125">
        <v>0</v>
      </c>
      <c r="WJ125">
        <v>0</v>
      </c>
      <c r="WK125">
        <v>0</v>
      </c>
      <c r="WL125">
        <v>0</v>
      </c>
      <c r="WM125">
        <v>0</v>
      </c>
      <c r="WN125">
        <v>0</v>
      </c>
      <c r="WO125">
        <v>0</v>
      </c>
      <c r="WP125">
        <v>0</v>
      </c>
      <c r="WQ125">
        <v>0</v>
      </c>
      <c r="WR125">
        <v>0</v>
      </c>
      <c r="WS125">
        <v>0</v>
      </c>
      <c r="WT125">
        <v>0</v>
      </c>
      <c r="WU125">
        <v>0</v>
      </c>
      <c r="WV125">
        <v>0</v>
      </c>
      <c r="WW125">
        <v>0</v>
      </c>
      <c r="WX125">
        <v>0</v>
      </c>
      <c r="WY125">
        <v>0</v>
      </c>
      <c r="WZ125">
        <v>0</v>
      </c>
      <c r="XA125">
        <v>0</v>
      </c>
      <c r="XB125">
        <v>0</v>
      </c>
      <c r="XC125">
        <v>0</v>
      </c>
      <c r="XD125">
        <v>0</v>
      </c>
      <c r="XE125">
        <v>0</v>
      </c>
      <c r="XF125">
        <v>0</v>
      </c>
      <c r="XG125">
        <v>0</v>
      </c>
      <c r="XH125">
        <v>0</v>
      </c>
      <c r="XI125">
        <v>0</v>
      </c>
      <c r="XJ125">
        <v>0</v>
      </c>
      <c r="XK125">
        <v>0</v>
      </c>
      <c r="XL125">
        <v>0</v>
      </c>
      <c r="XM125">
        <v>0</v>
      </c>
      <c r="XN125">
        <v>0</v>
      </c>
      <c r="XO125">
        <v>0</v>
      </c>
      <c r="XP125">
        <v>0</v>
      </c>
      <c r="XQ125">
        <v>0</v>
      </c>
      <c r="XR125">
        <v>0</v>
      </c>
      <c r="XS125">
        <v>0</v>
      </c>
      <c r="XT125">
        <v>0</v>
      </c>
      <c r="XU125">
        <v>0</v>
      </c>
      <c r="XV125">
        <v>0</v>
      </c>
      <c r="XW125">
        <v>0</v>
      </c>
      <c r="XX125">
        <v>0</v>
      </c>
      <c r="XY125">
        <v>0</v>
      </c>
      <c r="XZ125">
        <v>0</v>
      </c>
      <c r="YA125">
        <v>0</v>
      </c>
      <c r="YB125">
        <v>0</v>
      </c>
      <c r="YC125">
        <v>0</v>
      </c>
      <c r="YD125">
        <v>0</v>
      </c>
      <c r="YE125">
        <v>0</v>
      </c>
      <c r="YF125">
        <v>0</v>
      </c>
      <c r="YG125">
        <v>0</v>
      </c>
      <c r="YH125">
        <v>0</v>
      </c>
      <c r="YI125">
        <v>0</v>
      </c>
      <c r="YJ125">
        <v>0</v>
      </c>
      <c r="YK125">
        <v>0</v>
      </c>
      <c r="YL125">
        <v>0</v>
      </c>
      <c r="YM125">
        <v>0</v>
      </c>
      <c r="YN125">
        <v>0</v>
      </c>
      <c r="YO125">
        <v>0</v>
      </c>
      <c r="YP125">
        <v>0</v>
      </c>
      <c r="YQ125">
        <v>0</v>
      </c>
      <c r="YR125">
        <v>0</v>
      </c>
      <c r="YS125">
        <v>0</v>
      </c>
      <c r="YT125">
        <v>0</v>
      </c>
      <c r="YU125">
        <v>0</v>
      </c>
      <c r="YV125">
        <v>0</v>
      </c>
      <c r="YW125">
        <v>0</v>
      </c>
      <c r="YX125">
        <v>0</v>
      </c>
      <c r="YY125">
        <v>0</v>
      </c>
      <c r="YZ125">
        <v>0</v>
      </c>
      <c r="ZA125">
        <v>0</v>
      </c>
      <c r="ZB125">
        <v>0</v>
      </c>
      <c r="ZC125">
        <v>0</v>
      </c>
      <c r="ZD125">
        <v>0</v>
      </c>
      <c r="ZE125">
        <v>0</v>
      </c>
      <c r="ZF125">
        <v>0</v>
      </c>
      <c r="ZG125">
        <v>0</v>
      </c>
      <c r="ZH125">
        <v>0</v>
      </c>
      <c r="ZI125">
        <v>0</v>
      </c>
      <c r="ZJ125">
        <v>0</v>
      </c>
      <c r="ZK125">
        <v>0</v>
      </c>
      <c r="ZL125">
        <v>0</v>
      </c>
      <c r="ZM125">
        <v>0</v>
      </c>
      <c r="ZN125">
        <v>0</v>
      </c>
      <c r="ZO125">
        <v>0</v>
      </c>
      <c r="ZP125">
        <v>0</v>
      </c>
      <c r="ZQ125">
        <v>0</v>
      </c>
      <c r="ZR125">
        <v>0</v>
      </c>
      <c r="ZS125">
        <v>0</v>
      </c>
      <c r="ZT125">
        <v>0</v>
      </c>
      <c r="ZU125">
        <v>0</v>
      </c>
      <c r="ZV125">
        <v>0</v>
      </c>
      <c r="ZW125">
        <v>0</v>
      </c>
      <c r="ZX125">
        <v>0</v>
      </c>
      <c r="ZY125">
        <v>0</v>
      </c>
      <c r="ZZ125">
        <v>0</v>
      </c>
      <c r="AAA125">
        <v>0</v>
      </c>
      <c r="AAB125">
        <v>0</v>
      </c>
      <c r="AAC125">
        <v>0</v>
      </c>
      <c r="AAD125">
        <v>0</v>
      </c>
      <c r="AAE125">
        <v>0</v>
      </c>
      <c r="AAF125">
        <v>0</v>
      </c>
      <c r="AAG125">
        <v>0</v>
      </c>
      <c r="AAH125">
        <v>0</v>
      </c>
      <c r="AAI125">
        <v>0</v>
      </c>
      <c r="AAJ125">
        <v>0</v>
      </c>
      <c r="AAK125">
        <v>0</v>
      </c>
      <c r="AAL125">
        <v>0</v>
      </c>
      <c r="AAM125">
        <v>0</v>
      </c>
      <c r="AAN125">
        <v>0</v>
      </c>
      <c r="AAO125">
        <v>0</v>
      </c>
      <c r="AAP125">
        <v>0</v>
      </c>
      <c r="AAQ125">
        <v>0</v>
      </c>
      <c r="AAR125">
        <v>0</v>
      </c>
      <c r="AAS125">
        <v>0</v>
      </c>
      <c r="AAT125">
        <v>0</v>
      </c>
      <c r="AAU125">
        <v>0</v>
      </c>
      <c r="AAV125">
        <v>0</v>
      </c>
      <c r="AAW125">
        <v>0</v>
      </c>
      <c r="AAX125">
        <v>0</v>
      </c>
      <c r="AAY125">
        <v>0</v>
      </c>
      <c r="AAZ125">
        <v>0</v>
      </c>
      <c r="ABA125">
        <v>0</v>
      </c>
      <c r="ABB125">
        <v>0</v>
      </c>
      <c r="ABC125">
        <v>0</v>
      </c>
      <c r="ABD125">
        <v>0</v>
      </c>
      <c r="ABE125">
        <v>0</v>
      </c>
      <c r="ABG125" s="1137">
        <f t="shared" si="30"/>
        <v>0</v>
      </c>
      <c r="ABH125" s="1137">
        <f t="shared" si="30"/>
        <v>0</v>
      </c>
      <c r="ABI125" s="1137">
        <f t="shared" si="30"/>
        <v>4</v>
      </c>
      <c r="ABJ125" s="1137">
        <f t="shared" si="30"/>
        <v>30</v>
      </c>
      <c r="ABK125" s="1137">
        <f t="shared" si="30"/>
        <v>12</v>
      </c>
      <c r="ABL125" s="1137">
        <f t="shared" si="30"/>
        <v>0</v>
      </c>
      <c r="ABM125" s="1137">
        <f t="shared" si="30"/>
        <v>0</v>
      </c>
      <c r="ABN125" s="1137">
        <f t="shared" si="30"/>
        <v>0</v>
      </c>
      <c r="ABO125" s="1137">
        <f t="shared" si="30"/>
        <v>0</v>
      </c>
      <c r="ABP125" s="1137">
        <f t="shared" si="30"/>
        <v>11</v>
      </c>
      <c r="ABQ125" s="1137">
        <f t="shared" si="30"/>
        <v>0</v>
      </c>
      <c r="ABR125" s="1137">
        <f t="shared" si="30"/>
        <v>0</v>
      </c>
      <c r="ABS125" s="1137">
        <f t="shared" si="30"/>
        <v>0</v>
      </c>
      <c r="ABT125" s="1137">
        <f t="shared" si="30"/>
        <v>0</v>
      </c>
      <c r="ABU125" s="1137">
        <f t="shared" si="30"/>
        <v>0</v>
      </c>
      <c r="ABV125" s="1137">
        <f t="shared" si="30"/>
        <v>0</v>
      </c>
      <c r="ABW125" s="1137">
        <f t="shared" si="31"/>
        <v>0</v>
      </c>
      <c r="ABX125" s="1137">
        <f t="shared" si="23"/>
        <v>0</v>
      </c>
      <c r="ABY125" s="1137">
        <f t="shared" si="23"/>
        <v>0</v>
      </c>
      <c r="ABZ125" s="1137">
        <f t="shared" si="23"/>
        <v>0</v>
      </c>
      <c r="ACA125" s="1137">
        <f t="shared" si="23"/>
        <v>0</v>
      </c>
      <c r="ACB125" s="1137">
        <f t="shared" ref="ABX125:ACD161" si="34">COUNTIFS($C$3:$ABE$3, ACB$3, $C$4:$ABE$4, ACB$4, $C125:$ABE125, "&gt;0")</f>
        <v>0</v>
      </c>
      <c r="ACC125" s="1137">
        <f t="shared" si="34"/>
        <v>0</v>
      </c>
      <c r="ACD125" s="1137">
        <f t="shared" si="34"/>
        <v>0</v>
      </c>
      <c r="ACE125" s="1137" t="s">
        <v>53</v>
      </c>
      <c r="ACF125" s="1137">
        <f t="shared" si="33"/>
        <v>0</v>
      </c>
      <c r="ACG125" s="1137">
        <f t="shared" si="33"/>
        <v>0</v>
      </c>
      <c r="ACH125" s="1137">
        <f t="shared" si="33"/>
        <v>0</v>
      </c>
      <c r="ACI125" s="1137">
        <f t="shared" si="33"/>
        <v>1</v>
      </c>
      <c r="ACJ125" s="1137">
        <f t="shared" si="33"/>
        <v>1</v>
      </c>
      <c r="ACK125" s="1137">
        <f t="shared" si="33"/>
        <v>0</v>
      </c>
      <c r="ACL125" s="1137">
        <f t="shared" si="33"/>
        <v>0</v>
      </c>
      <c r="ACM125" s="1137">
        <f t="shared" si="33"/>
        <v>0</v>
      </c>
      <c r="ACN125" s="1137">
        <f t="shared" si="33"/>
        <v>0</v>
      </c>
      <c r="ACO125" s="1137">
        <f t="shared" si="33"/>
        <v>1</v>
      </c>
      <c r="ACP125" s="1137">
        <f t="shared" si="33"/>
        <v>0</v>
      </c>
      <c r="ACQ125" s="1137">
        <f t="shared" si="32"/>
        <v>0</v>
      </c>
      <c r="ACR125" s="1137">
        <f t="shared" si="32"/>
        <v>0</v>
      </c>
      <c r="ACS125" s="1137">
        <f t="shared" si="32"/>
        <v>0</v>
      </c>
      <c r="ACT125" s="1137">
        <f t="shared" si="32"/>
        <v>0</v>
      </c>
      <c r="ACU125" s="1137">
        <f t="shared" si="32"/>
        <v>0</v>
      </c>
      <c r="ACV125" s="1137">
        <f t="shared" si="24"/>
        <v>0</v>
      </c>
      <c r="ACW125" s="1137">
        <f t="shared" si="24"/>
        <v>0</v>
      </c>
      <c r="ACX125" s="1137">
        <f t="shared" si="24"/>
        <v>0</v>
      </c>
      <c r="ACY125" s="1137">
        <f t="shared" si="24"/>
        <v>0</v>
      </c>
      <c r="ACZ125" s="1137">
        <f t="shared" si="24"/>
        <v>0</v>
      </c>
      <c r="ADA125" s="1137">
        <f t="shared" si="24"/>
        <v>0</v>
      </c>
      <c r="ADB125" s="1137">
        <f t="shared" si="24"/>
        <v>0</v>
      </c>
      <c r="ADC125" s="1137">
        <f t="shared" si="24"/>
        <v>0</v>
      </c>
    </row>
    <row r="126" spans="1:783" x14ac:dyDescent="0.25">
      <c r="A126" t="s">
        <v>1925</v>
      </c>
      <c r="B126" t="s">
        <v>54</v>
      </c>
      <c r="C126">
        <v>0</v>
      </c>
      <c r="D126">
        <v>0</v>
      </c>
      <c r="E126">
        <v>0</v>
      </c>
      <c r="F126">
        <v>0</v>
      </c>
      <c r="G126">
        <v>0</v>
      </c>
      <c r="H126">
        <v>0</v>
      </c>
      <c r="I126">
        <v>0</v>
      </c>
      <c r="J126">
        <v>0</v>
      </c>
      <c r="K126">
        <v>0</v>
      </c>
      <c r="L126">
        <v>0</v>
      </c>
      <c r="M126">
        <v>0</v>
      </c>
      <c r="N126">
        <v>0</v>
      </c>
      <c r="O126">
        <v>0</v>
      </c>
      <c r="P126">
        <v>0</v>
      </c>
      <c r="Q126">
        <v>0</v>
      </c>
      <c r="R126">
        <v>0</v>
      </c>
      <c r="S126">
        <v>0</v>
      </c>
      <c r="T126">
        <v>0</v>
      </c>
      <c r="U126">
        <v>0</v>
      </c>
      <c r="V126">
        <v>0</v>
      </c>
      <c r="W126">
        <v>0</v>
      </c>
      <c r="X126">
        <v>0</v>
      </c>
      <c r="Y126">
        <v>0</v>
      </c>
      <c r="Z126">
        <v>0</v>
      </c>
      <c r="AA126">
        <v>0</v>
      </c>
      <c r="AB126">
        <v>0</v>
      </c>
      <c r="AC126">
        <v>0</v>
      </c>
      <c r="AD126">
        <v>0</v>
      </c>
      <c r="AE126">
        <v>0</v>
      </c>
      <c r="AF126">
        <v>0</v>
      </c>
      <c r="AG126">
        <v>0</v>
      </c>
      <c r="AH126">
        <v>0</v>
      </c>
      <c r="AI126">
        <v>0</v>
      </c>
      <c r="AJ126">
        <v>0</v>
      </c>
      <c r="AK126">
        <v>0</v>
      </c>
      <c r="AL126">
        <v>0</v>
      </c>
      <c r="AM126">
        <v>0</v>
      </c>
      <c r="AN126">
        <v>0</v>
      </c>
      <c r="AO126">
        <v>0</v>
      </c>
      <c r="AP126">
        <v>0</v>
      </c>
      <c r="AQ126">
        <v>0</v>
      </c>
      <c r="AR126">
        <v>0</v>
      </c>
      <c r="AS126">
        <v>0</v>
      </c>
      <c r="AT126">
        <v>0</v>
      </c>
      <c r="AU126">
        <v>0</v>
      </c>
      <c r="AV126">
        <v>0</v>
      </c>
      <c r="AW126">
        <v>0</v>
      </c>
      <c r="AX126">
        <v>0</v>
      </c>
      <c r="AY126">
        <v>0</v>
      </c>
      <c r="AZ126">
        <v>0</v>
      </c>
      <c r="BA126">
        <v>0</v>
      </c>
      <c r="BB126">
        <v>0</v>
      </c>
      <c r="BC126">
        <v>0</v>
      </c>
      <c r="BD126">
        <v>0</v>
      </c>
      <c r="BE126">
        <v>0</v>
      </c>
      <c r="BF126">
        <v>0</v>
      </c>
      <c r="BG126">
        <v>0</v>
      </c>
      <c r="BH126">
        <v>0</v>
      </c>
      <c r="BI126">
        <v>0</v>
      </c>
      <c r="BJ126">
        <v>0</v>
      </c>
      <c r="BK126">
        <v>0</v>
      </c>
      <c r="BL126">
        <v>0</v>
      </c>
      <c r="BM126">
        <v>0</v>
      </c>
      <c r="BN126">
        <v>0</v>
      </c>
      <c r="BO126">
        <v>0</v>
      </c>
      <c r="BP126">
        <v>0</v>
      </c>
      <c r="BQ126">
        <v>0</v>
      </c>
      <c r="BR126">
        <v>0</v>
      </c>
      <c r="BS126">
        <v>0</v>
      </c>
      <c r="BT126">
        <v>0</v>
      </c>
      <c r="BU126">
        <v>0</v>
      </c>
      <c r="BV126">
        <v>0</v>
      </c>
      <c r="BW126">
        <v>0</v>
      </c>
      <c r="BX126">
        <v>0</v>
      </c>
      <c r="BY126">
        <v>0</v>
      </c>
      <c r="BZ126">
        <v>0</v>
      </c>
      <c r="CA126">
        <v>0</v>
      </c>
      <c r="CB126">
        <v>0</v>
      </c>
      <c r="CC126">
        <v>0</v>
      </c>
      <c r="CD126">
        <v>0</v>
      </c>
      <c r="CE126">
        <v>0</v>
      </c>
      <c r="CF126">
        <v>0</v>
      </c>
      <c r="CG126">
        <v>0</v>
      </c>
      <c r="CH126">
        <v>0</v>
      </c>
      <c r="CI126">
        <v>0</v>
      </c>
      <c r="CJ126">
        <v>0</v>
      </c>
      <c r="CK126">
        <v>0</v>
      </c>
      <c r="CL126">
        <v>0</v>
      </c>
      <c r="CM126">
        <v>2</v>
      </c>
      <c r="CN126">
        <v>2</v>
      </c>
      <c r="CO126">
        <v>2</v>
      </c>
      <c r="CP126">
        <v>2</v>
      </c>
      <c r="CQ126">
        <v>2</v>
      </c>
      <c r="CR126">
        <v>2</v>
      </c>
      <c r="CS126">
        <v>2</v>
      </c>
      <c r="CT126">
        <v>2</v>
      </c>
      <c r="CU126">
        <v>2</v>
      </c>
      <c r="CV126">
        <v>2</v>
      </c>
      <c r="CW126">
        <v>2</v>
      </c>
      <c r="CX126">
        <v>2</v>
      </c>
      <c r="CY126">
        <v>2</v>
      </c>
      <c r="CZ126">
        <v>2</v>
      </c>
      <c r="DA126">
        <v>2</v>
      </c>
      <c r="DB126">
        <v>2</v>
      </c>
      <c r="DC126">
        <v>2</v>
      </c>
      <c r="DD126">
        <v>2</v>
      </c>
      <c r="DE126">
        <v>2</v>
      </c>
      <c r="DF126">
        <v>2</v>
      </c>
      <c r="DG126">
        <v>2</v>
      </c>
      <c r="DH126">
        <v>2</v>
      </c>
      <c r="DI126">
        <v>2</v>
      </c>
      <c r="DJ126">
        <v>2</v>
      </c>
      <c r="DK126">
        <v>2</v>
      </c>
      <c r="DL126">
        <v>2</v>
      </c>
      <c r="DM126">
        <v>2</v>
      </c>
      <c r="DN126">
        <v>2</v>
      </c>
      <c r="DO126">
        <v>2</v>
      </c>
      <c r="DP126">
        <v>2</v>
      </c>
      <c r="DQ126">
        <v>2</v>
      </c>
      <c r="DR126">
        <v>2</v>
      </c>
      <c r="DS126">
        <v>2</v>
      </c>
      <c r="DT126">
        <v>2</v>
      </c>
      <c r="DU126">
        <v>2</v>
      </c>
      <c r="DV126">
        <v>2</v>
      </c>
      <c r="DW126">
        <v>2</v>
      </c>
      <c r="DX126">
        <v>2</v>
      </c>
      <c r="DY126">
        <v>2</v>
      </c>
      <c r="DZ126">
        <v>2</v>
      </c>
      <c r="EA126">
        <v>2</v>
      </c>
      <c r="EB126">
        <v>2</v>
      </c>
      <c r="EC126">
        <v>2</v>
      </c>
      <c r="ED126">
        <v>2</v>
      </c>
      <c r="EE126">
        <v>2</v>
      </c>
      <c r="EF126">
        <v>2</v>
      </c>
      <c r="EG126">
        <v>2</v>
      </c>
      <c r="EH126">
        <v>2</v>
      </c>
      <c r="EI126">
        <v>2</v>
      </c>
      <c r="EJ126">
        <v>2</v>
      </c>
      <c r="EK126">
        <v>2</v>
      </c>
      <c r="EL126">
        <v>2</v>
      </c>
      <c r="EM126">
        <v>2</v>
      </c>
      <c r="EN126">
        <v>2</v>
      </c>
      <c r="EO126">
        <v>2</v>
      </c>
      <c r="EP126">
        <v>2</v>
      </c>
      <c r="EQ126">
        <v>2</v>
      </c>
      <c r="ER126">
        <v>2</v>
      </c>
      <c r="ES126">
        <v>2</v>
      </c>
      <c r="ET126">
        <v>2</v>
      </c>
      <c r="EU126">
        <v>2</v>
      </c>
      <c r="EV126">
        <v>2</v>
      </c>
      <c r="EW126">
        <v>2</v>
      </c>
      <c r="EX126">
        <v>2</v>
      </c>
      <c r="EY126">
        <v>2</v>
      </c>
      <c r="EZ126">
        <v>2</v>
      </c>
      <c r="FA126">
        <v>2</v>
      </c>
      <c r="FB126">
        <v>2</v>
      </c>
      <c r="FC126">
        <v>2</v>
      </c>
      <c r="FD126">
        <v>2</v>
      </c>
      <c r="FE126">
        <v>2</v>
      </c>
      <c r="FF126">
        <v>2</v>
      </c>
      <c r="FG126">
        <v>2</v>
      </c>
      <c r="FH126">
        <v>2</v>
      </c>
      <c r="FI126">
        <v>2</v>
      </c>
      <c r="FJ126">
        <v>2</v>
      </c>
      <c r="FK126">
        <v>2</v>
      </c>
      <c r="FL126">
        <v>2</v>
      </c>
      <c r="FM126">
        <v>2</v>
      </c>
      <c r="FN126">
        <v>2</v>
      </c>
      <c r="FO126">
        <v>2</v>
      </c>
      <c r="FP126">
        <v>2</v>
      </c>
      <c r="FQ126">
        <v>2</v>
      </c>
      <c r="FR126">
        <v>2</v>
      </c>
      <c r="FS126">
        <v>2</v>
      </c>
      <c r="FT126">
        <v>2</v>
      </c>
      <c r="FU126">
        <v>2</v>
      </c>
      <c r="FV126">
        <v>2</v>
      </c>
      <c r="FW126">
        <v>2</v>
      </c>
      <c r="FX126">
        <v>2</v>
      </c>
      <c r="FY126">
        <v>2</v>
      </c>
      <c r="FZ126">
        <v>2</v>
      </c>
      <c r="GA126">
        <v>2</v>
      </c>
      <c r="GB126">
        <v>2</v>
      </c>
      <c r="GC126">
        <v>1</v>
      </c>
      <c r="GD126">
        <v>1</v>
      </c>
      <c r="GE126">
        <v>1</v>
      </c>
      <c r="GF126">
        <v>1</v>
      </c>
      <c r="GG126">
        <v>1</v>
      </c>
      <c r="GH126">
        <v>1</v>
      </c>
      <c r="GI126">
        <v>1</v>
      </c>
      <c r="GJ126">
        <v>1</v>
      </c>
      <c r="GK126">
        <v>1</v>
      </c>
      <c r="GL126">
        <v>1</v>
      </c>
      <c r="GM126">
        <v>1</v>
      </c>
      <c r="GN126">
        <v>1</v>
      </c>
      <c r="GO126">
        <v>1</v>
      </c>
      <c r="GP126">
        <v>1</v>
      </c>
      <c r="GQ126">
        <v>1</v>
      </c>
      <c r="GR126">
        <v>1</v>
      </c>
      <c r="GS126">
        <v>1</v>
      </c>
      <c r="GT126">
        <v>1</v>
      </c>
      <c r="GU126">
        <v>1</v>
      </c>
      <c r="GV126">
        <v>1</v>
      </c>
      <c r="GW126">
        <v>1</v>
      </c>
      <c r="GX126">
        <v>1</v>
      </c>
      <c r="GY126">
        <v>1</v>
      </c>
      <c r="GZ126">
        <v>1</v>
      </c>
      <c r="HA126">
        <v>1</v>
      </c>
      <c r="HB126">
        <v>1</v>
      </c>
      <c r="HC126">
        <v>1</v>
      </c>
      <c r="HD126">
        <v>1</v>
      </c>
      <c r="HE126">
        <v>1</v>
      </c>
      <c r="HF126">
        <v>1</v>
      </c>
      <c r="HG126">
        <v>1</v>
      </c>
      <c r="HH126">
        <v>1</v>
      </c>
      <c r="HI126">
        <v>1</v>
      </c>
      <c r="HJ126">
        <v>1</v>
      </c>
      <c r="HK126">
        <v>1</v>
      </c>
      <c r="HL126">
        <v>1</v>
      </c>
      <c r="HM126">
        <v>1</v>
      </c>
      <c r="HN126">
        <v>1</v>
      </c>
      <c r="HO126">
        <v>1</v>
      </c>
      <c r="HP126">
        <v>1</v>
      </c>
      <c r="HQ126">
        <v>1</v>
      </c>
      <c r="HR126">
        <v>1</v>
      </c>
      <c r="HS126">
        <v>1</v>
      </c>
      <c r="HT126">
        <v>1</v>
      </c>
      <c r="HU126">
        <v>2</v>
      </c>
      <c r="HV126">
        <v>2</v>
      </c>
      <c r="HW126">
        <v>2</v>
      </c>
      <c r="HX126">
        <v>2</v>
      </c>
      <c r="HY126">
        <v>2</v>
      </c>
      <c r="HZ126">
        <v>2</v>
      </c>
      <c r="IA126">
        <v>2</v>
      </c>
      <c r="IB126">
        <v>2</v>
      </c>
      <c r="IC126">
        <v>2</v>
      </c>
      <c r="ID126">
        <v>2</v>
      </c>
      <c r="IE126">
        <v>2</v>
      </c>
      <c r="IF126">
        <v>2</v>
      </c>
      <c r="IG126">
        <v>2</v>
      </c>
      <c r="IH126">
        <v>2</v>
      </c>
      <c r="II126">
        <v>2</v>
      </c>
      <c r="IJ126">
        <v>2</v>
      </c>
      <c r="IK126">
        <v>2</v>
      </c>
      <c r="IL126">
        <v>2</v>
      </c>
      <c r="IM126">
        <v>2</v>
      </c>
      <c r="IN126">
        <v>2</v>
      </c>
      <c r="IO126">
        <v>2</v>
      </c>
      <c r="IP126">
        <v>2</v>
      </c>
      <c r="IQ126">
        <v>2</v>
      </c>
      <c r="IR126">
        <v>2</v>
      </c>
      <c r="IS126">
        <v>2</v>
      </c>
      <c r="IT126">
        <v>2</v>
      </c>
      <c r="IU126">
        <v>2</v>
      </c>
      <c r="IV126">
        <v>2</v>
      </c>
      <c r="IW126">
        <v>1</v>
      </c>
      <c r="IX126">
        <v>1</v>
      </c>
      <c r="IY126">
        <v>1</v>
      </c>
      <c r="IZ126">
        <v>1</v>
      </c>
      <c r="JA126">
        <v>1</v>
      </c>
      <c r="JB126">
        <v>1</v>
      </c>
      <c r="JC126">
        <v>1</v>
      </c>
      <c r="JD126">
        <v>1</v>
      </c>
      <c r="JE126">
        <v>1</v>
      </c>
      <c r="JF126">
        <v>1</v>
      </c>
      <c r="JG126">
        <v>1</v>
      </c>
      <c r="JH126">
        <v>1</v>
      </c>
      <c r="JI126">
        <v>1</v>
      </c>
      <c r="JJ126">
        <v>1</v>
      </c>
      <c r="JK126">
        <v>1</v>
      </c>
      <c r="JL126">
        <v>1</v>
      </c>
      <c r="JM126">
        <v>1</v>
      </c>
      <c r="JN126">
        <v>1</v>
      </c>
      <c r="JO126">
        <v>1</v>
      </c>
      <c r="JP126">
        <v>1</v>
      </c>
      <c r="JQ126">
        <v>1</v>
      </c>
      <c r="JR126">
        <v>1</v>
      </c>
      <c r="JS126">
        <v>1</v>
      </c>
      <c r="JT126">
        <v>1</v>
      </c>
      <c r="JU126">
        <v>1</v>
      </c>
      <c r="JV126">
        <v>1</v>
      </c>
      <c r="JW126">
        <v>1</v>
      </c>
      <c r="JX126">
        <v>1</v>
      </c>
      <c r="JY126">
        <v>1</v>
      </c>
      <c r="JZ126">
        <v>1</v>
      </c>
      <c r="KA126">
        <v>1</v>
      </c>
      <c r="KB126">
        <v>1</v>
      </c>
      <c r="KC126">
        <v>1</v>
      </c>
      <c r="KD126">
        <v>1</v>
      </c>
      <c r="KE126">
        <v>1</v>
      </c>
      <c r="KF126">
        <v>1</v>
      </c>
      <c r="KG126">
        <v>1</v>
      </c>
      <c r="KH126">
        <v>1</v>
      </c>
      <c r="KI126">
        <v>1</v>
      </c>
      <c r="KJ126">
        <v>1</v>
      </c>
      <c r="KK126">
        <v>1</v>
      </c>
      <c r="KL126">
        <v>1</v>
      </c>
      <c r="KM126">
        <v>1</v>
      </c>
      <c r="KN126">
        <v>1</v>
      </c>
      <c r="KO126">
        <v>1</v>
      </c>
      <c r="KP126">
        <v>1</v>
      </c>
      <c r="KQ126">
        <v>1</v>
      </c>
      <c r="KR126">
        <v>1</v>
      </c>
      <c r="KS126">
        <v>1</v>
      </c>
      <c r="KT126">
        <v>1</v>
      </c>
      <c r="KU126">
        <v>1</v>
      </c>
      <c r="KV126">
        <v>1</v>
      </c>
      <c r="KW126">
        <v>1</v>
      </c>
      <c r="KX126">
        <v>1</v>
      </c>
      <c r="KY126">
        <v>1</v>
      </c>
      <c r="KZ126">
        <v>1</v>
      </c>
      <c r="LA126">
        <v>1</v>
      </c>
      <c r="LB126">
        <v>1</v>
      </c>
      <c r="LC126">
        <v>1</v>
      </c>
      <c r="LD126">
        <v>1</v>
      </c>
      <c r="LE126">
        <v>1</v>
      </c>
      <c r="LF126">
        <v>1</v>
      </c>
      <c r="LG126">
        <v>1</v>
      </c>
      <c r="LH126">
        <v>1</v>
      </c>
      <c r="LI126">
        <v>1</v>
      </c>
      <c r="LJ126">
        <v>1</v>
      </c>
      <c r="LK126">
        <v>1</v>
      </c>
      <c r="LL126">
        <v>1</v>
      </c>
      <c r="LM126">
        <v>1</v>
      </c>
      <c r="LN126">
        <v>1</v>
      </c>
      <c r="LO126">
        <v>1</v>
      </c>
      <c r="LP126">
        <v>1</v>
      </c>
      <c r="LQ126">
        <v>1</v>
      </c>
      <c r="LR126">
        <v>1</v>
      </c>
      <c r="LS126">
        <v>1</v>
      </c>
      <c r="LT126">
        <v>1</v>
      </c>
      <c r="LU126">
        <v>1</v>
      </c>
      <c r="LV126">
        <v>1</v>
      </c>
      <c r="LW126">
        <v>1</v>
      </c>
      <c r="LX126">
        <v>1</v>
      </c>
      <c r="LY126">
        <v>1</v>
      </c>
      <c r="LZ126">
        <v>1</v>
      </c>
      <c r="MA126">
        <v>1</v>
      </c>
      <c r="MB126">
        <v>1</v>
      </c>
      <c r="MC126">
        <v>1</v>
      </c>
      <c r="MD126">
        <v>1</v>
      </c>
      <c r="ME126">
        <v>1</v>
      </c>
      <c r="MF126">
        <v>1</v>
      </c>
      <c r="MG126">
        <v>1</v>
      </c>
      <c r="MH126">
        <v>1</v>
      </c>
      <c r="MI126">
        <v>1</v>
      </c>
      <c r="MJ126">
        <v>1</v>
      </c>
      <c r="MK126">
        <v>1</v>
      </c>
      <c r="ML126">
        <v>1</v>
      </c>
      <c r="MM126">
        <v>1</v>
      </c>
      <c r="MN126">
        <v>1</v>
      </c>
      <c r="MO126">
        <v>1</v>
      </c>
      <c r="MP126">
        <v>1</v>
      </c>
      <c r="MQ126">
        <v>1</v>
      </c>
      <c r="MR126">
        <v>1</v>
      </c>
      <c r="MS126">
        <v>1</v>
      </c>
      <c r="MT126">
        <v>1</v>
      </c>
      <c r="MU126">
        <v>1</v>
      </c>
      <c r="MV126">
        <v>1</v>
      </c>
      <c r="MW126">
        <v>1</v>
      </c>
      <c r="MX126">
        <v>1</v>
      </c>
      <c r="MY126">
        <v>1</v>
      </c>
      <c r="MZ126">
        <v>1</v>
      </c>
      <c r="NA126">
        <v>1</v>
      </c>
      <c r="NB126">
        <v>1</v>
      </c>
      <c r="NC126">
        <v>1</v>
      </c>
      <c r="ND126">
        <v>1</v>
      </c>
      <c r="NE126">
        <v>1</v>
      </c>
      <c r="NF126">
        <v>1</v>
      </c>
      <c r="NG126">
        <v>1</v>
      </c>
      <c r="NH126">
        <v>1</v>
      </c>
      <c r="NI126">
        <v>1</v>
      </c>
      <c r="NJ126">
        <v>1</v>
      </c>
      <c r="NK126">
        <v>1</v>
      </c>
      <c r="NL126">
        <v>1</v>
      </c>
      <c r="NM126">
        <v>1</v>
      </c>
      <c r="NN126">
        <v>1</v>
      </c>
      <c r="NO126">
        <v>1</v>
      </c>
      <c r="NP126">
        <v>1</v>
      </c>
      <c r="NQ126">
        <v>1</v>
      </c>
      <c r="NR126">
        <v>1</v>
      </c>
      <c r="NS126">
        <v>1</v>
      </c>
      <c r="NT126">
        <v>1</v>
      </c>
      <c r="NU126">
        <v>1</v>
      </c>
      <c r="NV126">
        <v>1</v>
      </c>
      <c r="NW126">
        <v>1</v>
      </c>
      <c r="NX126">
        <v>1</v>
      </c>
      <c r="NY126">
        <v>1</v>
      </c>
      <c r="NZ126">
        <v>1</v>
      </c>
      <c r="OA126">
        <v>1</v>
      </c>
      <c r="OB126">
        <v>1</v>
      </c>
      <c r="OC126">
        <v>1</v>
      </c>
      <c r="OD126">
        <v>1</v>
      </c>
      <c r="OE126">
        <v>1</v>
      </c>
      <c r="OF126">
        <v>1</v>
      </c>
      <c r="OG126">
        <v>1</v>
      </c>
      <c r="OH126">
        <v>1</v>
      </c>
      <c r="OI126">
        <v>1</v>
      </c>
      <c r="OJ126">
        <v>1</v>
      </c>
      <c r="OK126">
        <v>1</v>
      </c>
      <c r="OL126">
        <v>1</v>
      </c>
      <c r="OM126">
        <v>1</v>
      </c>
      <c r="ON126">
        <v>1</v>
      </c>
      <c r="OO126">
        <v>1</v>
      </c>
      <c r="OP126">
        <v>1</v>
      </c>
      <c r="OQ126">
        <v>1</v>
      </c>
      <c r="OR126">
        <v>1</v>
      </c>
      <c r="OS126">
        <v>1</v>
      </c>
      <c r="OT126">
        <v>1</v>
      </c>
      <c r="OU126">
        <v>1</v>
      </c>
      <c r="OV126">
        <v>1</v>
      </c>
      <c r="OW126">
        <v>1</v>
      </c>
      <c r="OX126">
        <v>1</v>
      </c>
      <c r="OY126">
        <v>1</v>
      </c>
      <c r="OZ126">
        <v>1</v>
      </c>
      <c r="PA126">
        <v>1</v>
      </c>
      <c r="PB126">
        <v>1</v>
      </c>
      <c r="PC126">
        <v>1</v>
      </c>
      <c r="PD126">
        <v>1</v>
      </c>
      <c r="PE126">
        <v>1</v>
      </c>
      <c r="PF126">
        <v>1</v>
      </c>
      <c r="PG126">
        <v>1</v>
      </c>
      <c r="PH126">
        <v>1</v>
      </c>
      <c r="PI126">
        <v>1</v>
      </c>
      <c r="PJ126">
        <v>1</v>
      </c>
      <c r="PK126">
        <v>1</v>
      </c>
      <c r="PL126">
        <v>1</v>
      </c>
      <c r="PM126">
        <v>1</v>
      </c>
      <c r="PN126">
        <v>1</v>
      </c>
      <c r="PO126">
        <v>1</v>
      </c>
      <c r="PP126">
        <v>1</v>
      </c>
      <c r="PQ126">
        <v>1</v>
      </c>
      <c r="PR126">
        <v>1</v>
      </c>
      <c r="PS126">
        <v>1</v>
      </c>
      <c r="PT126">
        <v>0</v>
      </c>
      <c r="PU126">
        <v>0</v>
      </c>
      <c r="PV126">
        <v>0</v>
      </c>
      <c r="PW126">
        <v>0</v>
      </c>
      <c r="PX126">
        <v>0</v>
      </c>
      <c r="PY126">
        <v>0</v>
      </c>
      <c r="PZ126">
        <v>0</v>
      </c>
      <c r="QA126">
        <v>0</v>
      </c>
      <c r="QB126">
        <v>0</v>
      </c>
      <c r="QC126">
        <v>0</v>
      </c>
      <c r="QD126">
        <v>0</v>
      </c>
      <c r="QE126">
        <v>0</v>
      </c>
      <c r="QF126">
        <v>0</v>
      </c>
      <c r="QG126">
        <v>0</v>
      </c>
      <c r="QH126">
        <v>0</v>
      </c>
      <c r="QI126">
        <v>0</v>
      </c>
      <c r="QJ126">
        <v>0</v>
      </c>
      <c r="QK126">
        <v>0</v>
      </c>
      <c r="QL126">
        <v>0</v>
      </c>
      <c r="QM126">
        <v>0</v>
      </c>
      <c r="QN126">
        <v>0</v>
      </c>
      <c r="QO126">
        <v>0</v>
      </c>
      <c r="QP126">
        <v>0</v>
      </c>
      <c r="QQ126">
        <v>0</v>
      </c>
      <c r="QR126">
        <v>0</v>
      </c>
      <c r="QS126">
        <v>0</v>
      </c>
      <c r="QT126">
        <v>0</v>
      </c>
      <c r="QU126">
        <v>0</v>
      </c>
      <c r="QV126">
        <v>0</v>
      </c>
      <c r="QW126">
        <v>0</v>
      </c>
      <c r="QX126">
        <v>0</v>
      </c>
      <c r="QY126">
        <v>0</v>
      </c>
      <c r="QZ126">
        <v>0</v>
      </c>
      <c r="RA126">
        <v>0</v>
      </c>
      <c r="RB126">
        <v>0</v>
      </c>
      <c r="RC126">
        <v>0</v>
      </c>
      <c r="RD126">
        <v>0</v>
      </c>
      <c r="RE126">
        <v>0</v>
      </c>
      <c r="RF126">
        <v>0</v>
      </c>
      <c r="RG126">
        <v>0</v>
      </c>
      <c r="RH126">
        <v>0</v>
      </c>
      <c r="RI126">
        <v>0</v>
      </c>
      <c r="RJ126">
        <v>0</v>
      </c>
      <c r="RK126">
        <v>0</v>
      </c>
      <c r="RL126">
        <v>0</v>
      </c>
      <c r="RM126">
        <v>0</v>
      </c>
      <c r="RN126">
        <v>0</v>
      </c>
      <c r="RO126">
        <v>0</v>
      </c>
      <c r="RP126">
        <v>0</v>
      </c>
      <c r="RQ126">
        <v>0</v>
      </c>
      <c r="RR126">
        <v>0</v>
      </c>
      <c r="RS126">
        <v>0</v>
      </c>
      <c r="RT126">
        <v>0</v>
      </c>
      <c r="RU126">
        <v>0</v>
      </c>
      <c r="RV126">
        <v>0</v>
      </c>
      <c r="RW126">
        <v>0</v>
      </c>
      <c r="RX126">
        <v>0</v>
      </c>
      <c r="RY126">
        <v>0</v>
      </c>
      <c r="RZ126">
        <v>0</v>
      </c>
      <c r="SA126">
        <v>0</v>
      </c>
      <c r="SB126">
        <v>0</v>
      </c>
      <c r="SC126">
        <v>0</v>
      </c>
      <c r="SD126">
        <v>0</v>
      </c>
      <c r="SE126">
        <v>0</v>
      </c>
      <c r="SF126">
        <v>0</v>
      </c>
      <c r="SG126">
        <v>0</v>
      </c>
      <c r="SH126">
        <v>0</v>
      </c>
      <c r="SI126">
        <v>0</v>
      </c>
      <c r="SJ126">
        <v>0</v>
      </c>
      <c r="SK126">
        <v>0</v>
      </c>
      <c r="SL126">
        <v>0</v>
      </c>
      <c r="SM126">
        <v>0</v>
      </c>
      <c r="SN126">
        <v>0</v>
      </c>
      <c r="SO126">
        <v>0</v>
      </c>
      <c r="SP126">
        <v>0</v>
      </c>
      <c r="SQ126">
        <v>0</v>
      </c>
      <c r="SR126">
        <v>0</v>
      </c>
      <c r="SS126">
        <v>1</v>
      </c>
      <c r="ST126">
        <v>1</v>
      </c>
      <c r="SU126">
        <v>1</v>
      </c>
      <c r="SV126">
        <v>1</v>
      </c>
      <c r="SW126">
        <v>1</v>
      </c>
      <c r="SX126">
        <v>1</v>
      </c>
      <c r="SY126">
        <v>1</v>
      </c>
      <c r="SZ126">
        <v>1</v>
      </c>
      <c r="TA126">
        <v>1</v>
      </c>
      <c r="TB126">
        <v>1</v>
      </c>
      <c r="TC126">
        <v>1</v>
      </c>
      <c r="TD126">
        <v>1</v>
      </c>
      <c r="TE126">
        <v>1</v>
      </c>
      <c r="TF126">
        <v>0</v>
      </c>
      <c r="TG126">
        <v>0</v>
      </c>
      <c r="TH126">
        <v>0</v>
      </c>
      <c r="TI126">
        <v>0</v>
      </c>
      <c r="TJ126">
        <v>0</v>
      </c>
      <c r="TK126">
        <v>0</v>
      </c>
      <c r="TL126">
        <v>0</v>
      </c>
      <c r="TM126">
        <v>0</v>
      </c>
      <c r="TN126">
        <v>0</v>
      </c>
      <c r="TO126">
        <v>0</v>
      </c>
      <c r="TP126">
        <v>0</v>
      </c>
      <c r="TQ126">
        <v>0</v>
      </c>
      <c r="TR126">
        <v>0</v>
      </c>
      <c r="TS126">
        <v>0</v>
      </c>
      <c r="TT126">
        <v>0</v>
      </c>
      <c r="TU126">
        <v>0</v>
      </c>
      <c r="TV126">
        <v>0</v>
      </c>
      <c r="TW126">
        <v>0</v>
      </c>
      <c r="TX126">
        <v>0</v>
      </c>
      <c r="TY126">
        <v>0</v>
      </c>
      <c r="TZ126">
        <v>0</v>
      </c>
      <c r="UA126">
        <v>0</v>
      </c>
      <c r="UB126">
        <v>0</v>
      </c>
      <c r="UC126">
        <v>0</v>
      </c>
      <c r="UD126">
        <v>0</v>
      </c>
      <c r="UE126">
        <v>0</v>
      </c>
      <c r="UF126">
        <v>0</v>
      </c>
      <c r="UG126">
        <v>0</v>
      </c>
      <c r="UH126">
        <v>0</v>
      </c>
      <c r="UI126">
        <v>0</v>
      </c>
      <c r="UJ126">
        <v>0</v>
      </c>
      <c r="UK126">
        <v>0</v>
      </c>
      <c r="UL126">
        <v>0</v>
      </c>
      <c r="UM126">
        <v>0</v>
      </c>
      <c r="UN126">
        <v>0</v>
      </c>
      <c r="UO126">
        <v>0</v>
      </c>
      <c r="UP126">
        <v>0</v>
      </c>
      <c r="UQ126">
        <v>0</v>
      </c>
      <c r="UR126">
        <v>0</v>
      </c>
      <c r="US126">
        <v>0</v>
      </c>
      <c r="UT126">
        <v>0</v>
      </c>
      <c r="UU126">
        <v>0</v>
      </c>
      <c r="UV126">
        <v>0</v>
      </c>
      <c r="UW126">
        <v>0</v>
      </c>
      <c r="UX126">
        <v>0</v>
      </c>
      <c r="UY126">
        <v>0</v>
      </c>
      <c r="UZ126">
        <v>0</v>
      </c>
      <c r="VA126">
        <v>0</v>
      </c>
      <c r="VB126">
        <v>0</v>
      </c>
      <c r="VC126">
        <v>0</v>
      </c>
      <c r="VD126">
        <v>0</v>
      </c>
      <c r="VE126">
        <v>0</v>
      </c>
      <c r="VF126">
        <v>0</v>
      </c>
      <c r="VG126">
        <v>0</v>
      </c>
      <c r="VH126">
        <v>0</v>
      </c>
      <c r="VI126">
        <v>0</v>
      </c>
      <c r="VJ126">
        <v>0</v>
      </c>
      <c r="VK126">
        <v>1</v>
      </c>
      <c r="VL126">
        <v>1</v>
      </c>
      <c r="VM126">
        <v>1</v>
      </c>
      <c r="VN126">
        <v>1</v>
      </c>
      <c r="VO126">
        <v>1</v>
      </c>
      <c r="VP126">
        <v>1</v>
      </c>
      <c r="VQ126">
        <v>1</v>
      </c>
      <c r="VR126">
        <v>0</v>
      </c>
      <c r="VS126">
        <v>0</v>
      </c>
      <c r="VT126">
        <v>0</v>
      </c>
      <c r="VU126">
        <v>0</v>
      </c>
      <c r="VV126">
        <v>0</v>
      </c>
      <c r="VW126">
        <v>0</v>
      </c>
      <c r="VX126">
        <v>0</v>
      </c>
      <c r="VY126">
        <v>0</v>
      </c>
      <c r="VZ126">
        <v>0</v>
      </c>
      <c r="WA126">
        <v>0</v>
      </c>
      <c r="WB126">
        <v>0</v>
      </c>
      <c r="WC126">
        <v>0</v>
      </c>
      <c r="WD126">
        <v>0</v>
      </c>
      <c r="WE126">
        <v>0</v>
      </c>
      <c r="WF126">
        <v>0</v>
      </c>
      <c r="WG126">
        <v>0</v>
      </c>
      <c r="WH126">
        <v>0</v>
      </c>
      <c r="WI126">
        <v>0</v>
      </c>
      <c r="WJ126">
        <v>0</v>
      </c>
      <c r="WK126">
        <v>0</v>
      </c>
      <c r="WL126">
        <v>0</v>
      </c>
      <c r="WM126">
        <v>0</v>
      </c>
      <c r="WN126">
        <v>0</v>
      </c>
      <c r="WO126">
        <v>0</v>
      </c>
      <c r="WP126">
        <v>0</v>
      </c>
      <c r="WQ126">
        <v>0</v>
      </c>
      <c r="WR126">
        <v>0</v>
      </c>
      <c r="WS126">
        <v>0</v>
      </c>
      <c r="WT126">
        <v>0</v>
      </c>
      <c r="WU126">
        <v>0</v>
      </c>
      <c r="WV126">
        <v>0</v>
      </c>
      <c r="WW126">
        <v>0</v>
      </c>
      <c r="WX126">
        <v>0</v>
      </c>
      <c r="WY126">
        <v>0</v>
      </c>
      <c r="WZ126">
        <v>0</v>
      </c>
      <c r="XA126">
        <v>0</v>
      </c>
      <c r="XB126">
        <v>0</v>
      </c>
      <c r="XC126">
        <v>0</v>
      </c>
      <c r="XD126">
        <v>0</v>
      </c>
      <c r="XE126">
        <v>0</v>
      </c>
      <c r="XF126">
        <v>0</v>
      </c>
      <c r="XG126">
        <v>0</v>
      </c>
      <c r="XH126">
        <v>0</v>
      </c>
      <c r="XI126">
        <v>0</v>
      </c>
      <c r="XJ126">
        <v>0</v>
      </c>
      <c r="XK126">
        <v>0</v>
      </c>
      <c r="XL126">
        <v>0</v>
      </c>
      <c r="XM126">
        <v>0</v>
      </c>
      <c r="XN126">
        <v>0</v>
      </c>
      <c r="XO126">
        <v>0</v>
      </c>
      <c r="XP126">
        <v>0</v>
      </c>
      <c r="XQ126">
        <v>0</v>
      </c>
      <c r="XR126">
        <v>0</v>
      </c>
      <c r="XS126">
        <v>0</v>
      </c>
      <c r="XT126">
        <v>0</v>
      </c>
      <c r="XU126">
        <v>0</v>
      </c>
      <c r="XV126">
        <v>0</v>
      </c>
      <c r="XW126">
        <v>0</v>
      </c>
      <c r="XX126">
        <v>0</v>
      </c>
      <c r="XY126">
        <v>0</v>
      </c>
      <c r="XZ126">
        <v>0</v>
      </c>
      <c r="YA126">
        <v>0</v>
      </c>
      <c r="YB126">
        <v>0</v>
      </c>
      <c r="YC126">
        <v>0</v>
      </c>
      <c r="YD126">
        <v>0</v>
      </c>
      <c r="YE126">
        <v>0</v>
      </c>
      <c r="YF126">
        <v>0</v>
      </c>
      <c r="YG126">
        <v>0</v>
      </c>
      <c r="YH126">
        <v>0</v>
      </c>
      <c r="YI126">
        <v>0</v>
      </c>
      <c r="YJ126">
        <v>0</v>
      </c>
      <c r="YK126">
        <v>0</v>
      </c>
      <c r="YL126">
        <v>0</v>
      </c>
      <c r="YM126">
        <v>0</v>
      </c>
      <c r="YN126">
        <v>0</v>
      </c>
      <c r="YO126">
        <v>0</v>
      </c>
      <c r="YP126">
        <v>0</v>
      </c>
      <c r="YQ126">
        <v>0</v>
      </c>
      <c r="YR126">
        <v>0</v>
      </c>
      <c r="YS126">
        <v>0</v>
      </c>
      <c r="YT126">
        <v>0</v>
      </c>
      <c r="YU126">
        <v>0</v>
      </c>
      <c r="YV126">
        <v>0</v>
      </c>
      <c r="YW126">
        <v>0</v>
      </c>
      <c r="YX126">
        <v>0</v>
      </c>
      <c r="YY126">
        <v>0</v>
      </c>
      <c r="YZ126">
        <v>0</v>
      </c>
      <c r="ZA126">
        <v>0</v>
      </c>
      <c r="ZB126">
        <v>0</v>
      </c>
      <c r="ZC126">
        <v>0</v>
      </c>
      <c r="ZD126">
        <v>0</v>
      </c>
      <c r="ZE126">
        <v>0</v>
      </c>
      <c r="ZF126">
        <v>0</v>
      </c>
      <c r="ZG126">
        <v>0</v>
      </c>
      <c r="ZH126">
        <v>0</v>
      </c>
      <c r="ZI126">
        <v>0</v>
      </c>
      <c r="ZJ126">
        <v>0</v>
      </c>
      <c r="ZK126">
        <v>0</v>
      </c>
      <c r="ZL126">
        <v>0</v>
      </c>
      <c r="ZM126">
        <v>0</v>
      </c>
      <c r="ZN126">
        <v>0</v>
      </c>
      <c r="ZO126">
        <v>0</v>
      </c>
      <c r="ZP126">
        <v>0</v>
      </c>
      <c r="ZQ126">
        <v>0</v>
      </c>
      <c r="ZR126">
        <v>0</v>
      </c>
      <c r="ZS126">
        <v>0</v>
      </c>
      <c r="ZT126">
        <v>0</v>
      </c>
      <c r="ZU126">
        <v>0</v>
      </c>
      <c r="ZV126">
        <v>0</v>
      </c>
      <c r="ZW126">
        <v>0</v>
      </c>
      <c r="ZX126">
        <v>0</v>
      </c>
      <c r="ZY126">
        <v>0</v>
      </c>
      <c r="ZZ126">
        <v>0</v>
      </c>
      <c r="AAA126">
        <v>0</v>
      </c>
      <c r="AAB126">
        <v>0</v>
      </c>
      <c r="AAC126">
        <v>0</v>
      </c>
      <c r="AAD126">
        <v>0</v>
      </c>
      <c r="AAE126">
        <v>0</v>
      </c>
      <c r="AAF126">
        <v>0</v>
      </c>
      <c r="AAG126">
        <v>0</v>
      </c>
      <c r="AAH126">
        <v>0</v>
      </c>
      <c r="AAI126">
        <v>0</v>
      </c>
      <c r="AAJ126">
        <v>0</v>
      </c>
      <c r="AAK126">
        <v>0</v>
      </c>
      <c r="AAL126">
        <v>0</v>
      </c>
      <c r="AAM126">
        <v>0</v>
      </c>
      <c r="AAN126">
        <v>0</v>
      </c>
      <c r="AAO126">
        <v>0</v>
      </c>
      <c r="AAP126">
        <v>0</v>
      </c>
      <c r="AAQ126">
        <v>0</v>
      </c>
      <c r="AAR126">
        <v>0</v>
      </c>
      <c r="AAS126">
        <v>0</v>
      </c>
      <c r="AAT126">
        <v>0</v>
      </c>
      <c r="AAU126">
        <v>0</v>
      </c>
      <c r="AAV126">
        <v>0</v>
      </c>
      <c r="AAW126">
        <v>0</v>
      </c>
      <c r="AAX126">
        <v>0</v>
      </c>
      <c r="AAY126">
        <v>0</v>
      </c>
      <c r="AAZ126">
        <v>0</v>
      </c>
      <c r="ABA126">
        <v>0</v>
      </c>
      <c r="ABB126">
        <v>0</v>
      </c>
      <c r="ABC126">
        <v>0</v>
      </c>
      <c r="ABD126">
        <v>0</v>
      </c>
      <c r="ABE126">
        <v>0</v>
      </c>
      <c r="ABG126" s="1137">
        <f t="shared" si="30"/>
        <v>0</v>
      </c>
      <c r="ABH126" s="1137">
        <f t="shared" si="30"/>
        <v>0</v>
      </c>
      <c r="ABI126" s="1137">
        <f t="shared" si="30"/>
        <v>3</v>
      </c>
      <c r="ABJ126" s="1137">
        <f t="shared" si="30"/>
        <v>30</v>
      </c>
      <c r="ABK126" s="1137">
        <f t="shared" si="30"/>
        <v>31</v>
      </c>
      <c r="ABL126" s="1137">
        <f t="shared" si="30"/>
        <v>30</v>
      </c>
      <c r="ABM126" s="1137">
        <f t="shared" si="30"/>
        <v>31</v>
      </c>
      <c r="ABN126" s="1137">
        <f t="shared" si="30"/>
        <v>31</v>
      </c>
      <c r="ABO126" s="1137">
        <f t="shared" si="30"/>
        <v>30</v>
      </c>
      <c r="ABP126" s="1137">
        <f t="shared" si="30"/>
        <v>31</v>
      </c>
      <c r="ABQ126" s="1137">
        <f t="shared" si="30"/>
        <v>30</v>
      </c>
      <c r="ABR126" s="1137">
        <f t="shared" si="30"/>
        <v>31</v>
      </c>
      <c r="ABS126" s="1137">
        <f t="shared" si="30"/>
        <v>31</v>
      </c>
      <c r="ABT126" s="1137">
        <f t="shared" si="30"/>
        <v>28</v>
      </c>
      <c r="ABU126" s="1137">
        <f t="shared" si="30"/>
        <v>8</v>
      </c>
      <c r="ABV126" s="1137">
        <f t="shared" si="30"/>
        <v>0</v>
      </c>
      <c r="ABW126" s="1137">
        <f t="shared" si="31"/>
        <v>7</v>
      </c>
      <c r="ABX126" s="1137">
        <f t="shared" si="34"/>
        <v>6</v>
      </c>
      <c r="ABY126" s="1137">
        <f t="shared" si="34"/>
        <v>0</v>
      </c>
      <c r="ABZ126" s="1137">
        <f t="shared" si="34"/>
        <v>7</v>
      </c>
      <c r="ACA126" s="1137">
        <f t="shared" si="34"/>
        <v>0</v>
      </c>
      <c r="ACB126" s="1137">
        <f t="shared" si="34"/>
        <v>0</v>
      </c>
      <c r="ACC126" s="1137">
        <f t="shared" si="34"/>
        <v>0</v>
      </c>
      <c r="ACD126" s="1137">
        <f t="shared" si="34"/>
        <v>0</v>
      </c>
      <c r="ACE126" s="1137" t="s">
        <v>54</v>
      </c>
      <c r="ACF126" s="1137">
        <f t="shared" si="33"/>
        <v>0</v>
      </c>
      <c r="ACG126" s="1137">
        <f t="shared" si="33"/>
        <v>0</v>
      </c>
      <c r="ACH126" s="1137">
        <f t="shared" si="33"/>
        <v>0</v>
      </c>
      <c r="ACI126" s="1137">
        <f t="shared" si="33"/>
        <v>1</v>
      </c>
      <c r="ACJ126" s="1137">
        <f t="shared" si="33"/>
        <v>1</v>
      </c>
      <c r="ACK126" s="1137">
        <f t="shared" si="33"/>
        <v>1</v>
      </c>
      <c r="ACL126" s="1137">
        <f t="shared" si="33"/>
        <v>1</v>
      </c>
      <c r="ACM126" s="1137">
        <f t="shared" si="33"/>
        <v>1</v>
      </c>
      <c r="ACN126" s="1137">
        <f t="shared" si="33"/>
        <v>1</v>
      </c>
      <c r="ACO126" s="1137">
        <f t="shared" si="33"/>
        <v>1</v>
      </c>
      <c r="ACP126" s="1137">
        <f t="shared" si="33"/>
        <v>1</v>
      </c>
      <c r="ACQ126" s="1137">
        <f t="shared" si="32"/>
        <v>1</v>
      </c>
      <c r="ACR126" s="1137">
        <f t="shared" si="32"/>
        <v>1</v>
      </c>
      <c r="ACS126" s="1137">
        <f t="shared" si="32"/>
        <v>1</v>
      </c>
      <c r="ACT126" s="1137">
        <f t="shared" si="32"/>
        <v>0</v>
      </c>
      <c r="ACU126" s="1137">
        <f t="shared" si="32"/>
        <v>0</v>
      </c>
      <c r="ACV126" s="1137">
        <f t="shared" si="24"/>
        <v>0</v>
      </c>
      <c r="ACW126" s="1137">
        <f t="shared" si="24"/>
        <v>0</v>
      </c>
      <c r="ACX126" s="1137">
        <f t="shared" si="24"/>
        <v>0</v>
      </c>
      <c r="ACY126" s="1137">
        <f t="shared" si="24"/>
        <v>0</v>
      </c>
      <c r="ACZ126" s="1137">
        <f t="shared" si="24"/>
        <v>0</v>
      </c>
      <c r="ADA126" s="1137">
        <f t="shared" si="24"/>
        <v>0</v>
      </c>
      <c r="ADB126" s="1137">
        <f t="shared" si="24"/>
        <v>0</v>
      </c>
      <c r="ADC126" s="1137">
        <f t="shared" si="24"/>
        <v>0</v>
      </c>
    </row>
    <row r="127" spans="1:783" x14ac:dyDescent="0.25">
      <c r="A127" t="s">
        <v>1926</v>
      </c>
      <c r="B127" t="s">
        <v>52</v>
      </c>
      <c r="C127">
        <v>0</v>
      </c>
      <c r="D127">
        <v>0</v>
      </c>
      <c r="E127">
        <v>0</v>
      </c>
      <c r="F127">
        <v>0</v>
      </c>
      <c r="G127">
        <v>0</v>
      </c>
      <c r="H127">
        <v>0</v>
      </c>
      <c r="I127">
        <v>0</v>
      </c>
      <c r="J127">
        <v>0</v>
      </c>
      <c r="K127">
        <v>0</v>
      </c>
      <c r="L127">
        <v>0</v>
      </c>
      <c r="M127">
        <v>0</v>
      </c>
      <c r="N127">
        <v>0</v>
      </c>
      <c r="O127">
        <v>0</v>
      </c>
      <c r="P127">
        <v>0</v>
      </c>
      <c r="Q127">
        <v>0</v>
      </c>
      <c r="R127">
        <v>0</v>
      </c>
      <c r="S127">
        <v>0</v>
      </c>
      <c r="T127">
        <v>0</v>
      </c>
      <c r="U127">
        <v>0</v>
      </c>
      <c r="V127">
        <v>0</v>
      </c>
      <c r="W127">
        <v>0</v>
      </c>
      <c r="X127">
        <v>0</v>
      </c>
      <c r="Y127">
        <v>0</v>
      </c>
      <c r="Z127">
        <v>0</v>
      </c>
      <c r="AA127">
        <v>0</v>
      </c>
      <c r="AB127">
        <v>0</v>
      </c>
      <c r="AC127">
        <v>0</v>
      </c>
      <c r="AD127">
        <v>0</v>
      </c>
      <c r="AE127">
        <v>0</v>
      </c>
      <c r="AF127">
        <v>0</v>
      </c>
      <c r="AG127">
        <v>0</v>
      </c>
      <c r="AH127">
        <v>0</v>
      </c>
      <c r="AI127">
        <v>0</v>
      </c>
      <c r="AJ127">
        <v>0</v>
      </c>
      <c r="AK127">
        <v>0</v>
      </c>
      <c r="AL127">
        <v>0</v>
      </c>
      <c r="AM127">
        <v>0</v>
      </c>
      <c r="AN127">
        <v>0</v>
      </c>
      <c r="AO127">
        <v>0</v>
      </c>
      <c r="AP127">
        <v>0</v>
      </c>
      <c r="AQ127">
        <v>0</v>
      </c>
      <c r="AR127">
        <v>0</v>
      </c>
      <c r="AS127">
        <v>0</v>
      </c>
      <c r="AT127">
        <v>0</v>
      </c>
      <c r="AU127">
        <v>0</v>
      </c>
      <c r="AV127">
        <v>0</v>
      </c>
      <c r="AW127">
        <v>0</v>
      </c>
      <c r="AX127">
        <v>0</v>
      </c>
      <c r="AY127">
        <v>0</v>
      </c>
      <c r="AZ127">
        <v>0</v>
      </c>
      <c r="BA127">
        <v>0</v>
      </c>
      <c r="BB127">
        <v>0</v>
      </c>
      <c r="BC127">
        <v>0</v>
      </c>
      <c r="BD127">
        <v>0</v>
      </c>
      <c r="BE127">
        <v>0</v>
      </c>
      <c r="BF127">
        <v>0</v>
      </c>
      <c r="BG127">
        <v>0</v>
      </c>
      <c r="BH127">
        <v>0</v>
      </c>
      <c r="BI127">
        <v>0</v>
      </c>
      <c r="BJ127">
        <v>0</v>
      </c>
      <c r="BK127">
        <v>0</v>
      </c>
      <c r="BL127">
        <v>0</v>
      </c>
      <c r="BM127">
        <v>0</v>
      </c>
      <c r="BN127">
        <v>0</v>
      </c>
      <c r="BO127">
        <v>0</v>
      </c>
      <c r="BP127">
        <v>0</v>
      </c>
      <c r="BQ127">
        <v>0</v>
      </c>
      <c r="BR127">
        <v>0</v>
      </c>
      <c r="BS127">
        <v>0</v>
      </c>
      <c r="BT127">
        <v>0</v>
      </c>
      <c r="BU127">
        <v>0</v>
      </c>
      <c r="BV127">
        <v>0</v>
      </c>
      <c r="BW127">
        <v>0</v>
      </c>
      <c r="BX127">
        <v>0</v>
      </c>
      <c r="BY127">
        <v>0</v>
      </c>
      <c r="BZ127">
        <v>0</v>
      </c>
      <c r="CA127">
        <v>0</v>
      </c>
      <c r="CB127">
        <v>0</v>
      </c>
      <c r="CC127">
        <v>0</v>
      </c>
      <c r="CD127">
        <v>0</v>
      </c>
      <c r="CE127">
        <v>0</v>
      </c>
      <c r="CF127">
        <v>0</v>
      </c>
      <c r="CG127">
        <v>0</v>
      </c>
      <c r="CH127">
        <v>0</v>
      </c>
      <c r="CI127">
        <v>0</v>
      </c>
      <c r="CJ127">
        <v>0</v>
      </c>
      <c r="CK127">
        <v>0</v>
      </c>
      <c r="CL127">
        <v>0</v>
      </c>
      <c r="CM127">
        <v>0</v>
      </c>
      <c r="CN127">
        <v>0</v>
      </c>
      <c r="CO127">
        <v>0</v>
      </c>
      <c r="CP127">
        <v>0</v>
      </c>
      <c r="CQ127">
        <v>0</v>
      </c>
      <c r="CR127">
        <v>0</v>
      </c>
      <c r="CS127">
        <v>0</v>
      </c>
      <c r="CT127">
        <v>0</v>
      </c>
      <c r="CU127">
        <v>0</v>
      </c>
      <c r="CV127">
        <v>0</v>
      </c>
      <c r="CW127">
        <v>0</v>
      </c>
      <c r="CX127">
        <v>0</v>
      </c>
      <c r="CY127">
        <v>0</v>
      </c>
      <c r="CZ127">
        <v>0</v>
      </c>
      <c r="DA127">
        <v>0</v>
      </c>
      <c r="DB127">
        <v>0</v>
      </c>
      <c r="DC127">
        <v>0</v>
      </c>
      <c r="DD127">
        <v>0</v>
      </c>
      <c r="DE127">
        <v>0</v>
      </c>
      <c r="DF127">
        <v>0</v>
      </c>
      <c r="DG127">
        <v>0</v>
      </c>
      <c r="DH127">
        <v>0</v>
      </c>
      <c r="DI127">
        <v>0</v>
      </c>
      <c r="DJ127">
        <v>0</v>
      </c>
      <c r="DK127">
        <v>0</v>
      </c>
      <c r="DL127">
        <v>0</v>
      </c>
      <c r="DM127">
        <v>0</v>
      </c>
      <c r="DN127">
        <v>0</v>
      </c>
      <c r="DO127">
        <v>0</v>
      </c>
      <c r="DP127">
        <v>0</v>
      </c>
      <c r="DQ127">
        <v>0</v>
      </c>
      <c r="DR127">
        <v>0</v>
      </c>
      <c r="DS127">
        <v>0</v>
      </c>
      <c r="DT127">
        <v>0</v>
      </c>
      <c r="DU127">
        <v>0</v>
      </c>
      <c r="DV127">
        <v>0</v>
      </c>
      <c r="DW127">
        <v>0</v>
      </c>
      <c r="DX127">
        <v>0</v>
      </c>
      <c r="DY127">
        <v>0</v>
      </c>
      <c r="DZ127">
        <v>0</v>
      </c>
      <c r="EA127">
        <v>0</v>
      </c>
      <c r="EB127">
        <v>0</v>
      </c>
      <c r="EC127">
        <v>0</v>
      </c>
      <c r="ED127">
        <v>0</v>
      </c>
      <c r="EE127">
        <v>0</v>
      </c>
      <c r="EF127">
        <v>0</v>
      </c>
      <c r="EG127">
        <v>0</v>
      </c>
      <c r="EH127">
        <v>0</v>
      </c>
      <c r="EI127">
        <v>0</v>
      </c>
      <c r="EJ127">
        <v>0</v>
      </c>
      <c r="EK127">
        <v>0</v>
      </c>
      <c r="EL127">
        <v>0</v>
      </c>
      <c r="EM127">
        <v>0</v>
      </c>
      <c r="EN127">
        <v>0</v>
      </c>
      <c r="EO127">
        <v>0</v>
      </c>
      <c r="EP127">
        <v>0</v>
      </c>
      <c r="EQ127">
        <v>0</v>
      </c>
      <c r="ER127">
        <v>0</v>
      </c>
      <c r="ES127">
        <v>0</v>
      </c>
      <c r="ET127">
        <v>0</v>
      </c>
      <c r="EU127">
        <v>0</v>
      </c>
      <c r="EV127">
        <v>0</v>
      </c>
      <c r="EW127">
        <v>0</v>
      </c>
      <c r="EX127">
        <v>0</v>
      </c>
      <c r="EY127">
        <v>0</v>
      </c>
      <c r="EZ127">
        <v>0</v>
      </c>
      <c r="FA127">
        <v>0</v>
      </c>
      <c r="FB127">
        <v>0</v>
      </c>
      <c r="FC127">
        <v>0</v>
      </c>
      <c r="FD127">
        <v>0</v>
      </c>
      <c r="FE127">
        <v>0</v>
      </c>
      <c r="FF127">
        <v>0</v>
      </c>
      <c r="FG127">
        <v>0</v>
      </c>
      <c r="FH127">
        <v>0</v>
      </c>
      <c r="FI127">
        <v>0</v>
      </c>
      <c r="FJ127">
        <v>0</v>
      </c>
      <c r="FK127">
        <v>0</v>
      </c>
      <c r="FL127">
        <v>0</v>
      </c>
      <c r="FM127">
        <v>0</v>
      </c>
      <c r="FN127">
        <v>0</v>
      </c>
      <c r="FO127">
        <v>0</v>
      </c>
      <c r="FP127">
        <v>0</v>
      </c>
      <c r="FQ127">
        <v>0</v>
      </c>
      <c r="FR127">
        <v>0</v>
      </c>
      <c r="FS127">
        <v>0</v>
      </c>
      <c r="FT127">
        <v>0</v>
      </c>
      <c r="FU127">
        <v>0</v>
      </c>
      <c r="FV127">
        <v>0</v>
      </c>
      <c r="FW127">
        <v>0</v>
      </c>
      <c r="FX127">
        <v>0</v>
      </c>
      <c r="FY127">
        <v>0</v>
      </c>
      <c r="FZ127">
        <v>0</v>
      </c>
      <c r="GA127">
        <v>0</v>
      </c>
      <c r="GB127">
        <v>0</v>
      </c>
      <c r="GC127">
        <v>0</v>
      </c>
      <c r="GD127">
        <v>0</v>
      </c>
      <c r="GE127">
        <v>0</v>
      </c>
      <c r="GF127">
        <v>0</v>
      </c>
      <c r="GG127">
        <v>0</v>
      </c>
      <c r="GH127">
        <v>0</v>
      </c>
      <c r="GI127">
        <v>0</v>
      </c>
      <c r="GJ127">
        <v>0</v>
      </c>
      <c r="GK127">
        <v>0</v>
      </c>
      <c r="GL127">
        <v>0</v>
      </c>
      <c r="GM127">
        <v>0</v>
      </c>
      <c r="GN127">
        <v>0</v>
      </c>
      <c r="GO127">
        <v>0</v>
      </c>
      <c r="GP127">
        <v>0</v>
      </c>
      <c r="GQ127">
        <v>0</v>
      </c>
      <c r="GR127">
        <v>0</v>
      </c>
      <c r="GS127">
        <v>0</v>
      </c>
      <c r="GT127">
        <v>0</v>
      </c>
      <c r="GU127">
        <v>0</v>
      </c>
      <c r="GV127">
        <v>0</v>
      </c>
      <c r="GW127">
        <v>0</v>
      </c>
      <c r="GX127">
        <v>0</v>
      </c>
      <c r="GY127">
        <v>0</v>
      </c>
      <c r="GZ127">
        <v>0</v>
      </c>
      <c r="HA127">
        <v>0</v>
      </c>
      <c r="HB127">
        <v>0</v>
      </c>
      <c r="HC127">
        <v>0</v>
      </c>
      <c r="HD127">
        <v>0</v>
      </c>
      <c r="HE127">
        <v>0</v>
      </c>
      <c r="HF127">
        <v>0</v>
      </c>
      <c r="HG127">
        <v>0</v>
      </c>
      <c r="HH127">
        <v>0</v>
      </c>
      <c r="HI127">
        <v>0</v>
      </c>
      <c r="HJ127">
        <v>0</v>
      </c>
      <c r="HK127">
        <v>0</v>
      </c>
      <c r="HL127">
        <v>0</v>
      </c>
      <c r="HM127">
        <v>0</v>
      </c>
      <c r="HN127">
        <v>0</v>
      </c>
      <c r="HO127">
        <v>0</v>
      </c>
      <c r="HP127">
        <v>0</v>
      </c>
      <c r="HQ127">
        <v>0</v>
      </c>
      <c r="HR127">
        <v>0</v>
      </c>
      <c r="HS127">
        <v>0</v>
      </c>
      <c r="HT127">
        <v>0</v>
      </c>
      <c r="HU127">
        <v>0</v>
      </c>
      <c r="HV127">
        <v>0</v>
      </c>
      <c r="HW127">
        <v>0</v>
      </c>
      <c r="HX127">
        <v>0</v>
      </c>
      <c r="HY127">
        <v>0</v>
      </c>
      <c r="HZ127">
        <v>0</v>
      </c>
      <c r="IA127">
        <v>0</v>
      </c>
      <c r="IB127">
        <v>0</v>
      </c>
      <c r="IC127">
        <v>0</v>
      </c>
      <c r="ID127">
        <v>0</v>
      </c>
      <c r="IE127">
        <v>0</v>
      </c>
      <c r="IF127">
        <v>0</v>
      </c>
      <c r="IG127">
        <v>0</v>
      </c>
      <c r="IH127">
        <v>0</v>
      </c>
      <c r="II127">
        <v>0</v>
      </c>
      <c r="IJ127">
        <v>0</v>
      </c>
      <c r="IK127">
        <v>0</v>
      </c>
      <c r="IL127">
        <v>0</v>
      </c>
      <c r="IM127">
        <v>0</v>
      </c>
      <c r="IN127">
        <v>0</v>
      </c>
      <c r="IO127">
        <v>0</v>
      </c>
      <c r="IP127">
        <v>0</v>
      </c>
      <c r="IQ127">
        <v>0</v>
      </c>
      <c r="IR127">
        <v>0</v>
      </c>
      <c r="IS127">
        <v>0</v>
      </c>
      <c r="IT127">
        <v>0</v>
      </c>
      <c r="IU127">
        <v>0</v>
      </c>
      <c r="IV127">
        <v>0</v>
      </c>
      <c r="IW127">
        <v>0</v>
      </c>
      <c r="IX127">
        <v>0</v>
      </c>
      <c r="IY127">
        <v>0</v>
      </c>
      <c r="IZ127">
        <v>0</v>
      </c>
      <c r="JA127">
        <v>0</v>
      </c>
      <c r="JB127">
        <v>0</v>
      </c>
      <c r="JC127">
        <v>0</v>
      </c>
      <c r="JD127">
        <v>0</v>
      </c>
      <c r="JE127">
        <v>0</v>
      </c>
      <c r="JF127">
        <v>0</v>
      </c>
      <c r="JG127">
        <v>0</v>
      </c>
      <c r="JH127">
        <v>0</v>
      </c>
      <c r="JI127">
        <v>0</v>
      </c>
      <c r="JJ127">
        <v>0</v>
      </c>
      <c r="JK127">
        <v>0</v>
      </c>
      <c r="JL127">
        <v>0</v>
      </c>
      <c r="JM127">
        <v>0</v>
      </c>
      <c r="JN127">
        <v>0</v>
      </c>
      <c r="JO127">
        <v>0</v>
      </c>
      <c r="JP127">
        <v>0</v>
      </c>
      <c r="JQ127">
        <v>0</v>
      </c>
      <c r="JR127">
        <v>0</v>
      </c>
      <c r="JS127">
        <v>0</v>
      </c>
      <c r="JT127">
        <v>0</v>
      </c>
      <c r="JU127">
        <v>0</v>
      </c>
      <c r="JV127">
        <v>0</v>
      </c>
      <c r="JW127">
        <v>0</v>
      </c>
      <c r="JX127">
        <v>0</v>
      </c>
      <c r="JY127">
        <v>0</v>
      </c>
      <c r="JZ127">
        <v>0</v>
      </c>
      <c r="KA127">
        <v>0</v>
      </c>
      <c r="KB127">
        <v>0</v>
      </c>
      <c r="KC127">
        <v>0</v>
      </c>
      <c r="KD127">
        <v>0</v>
      </c>
      <c r="KE127">
        <v>0</v>
      </c>
      <c r="KF127">
        <v>0</v>
      </c>
      <c r="KG127">
        <v>0</v>
      </c>
      <c r="KH127">
        <v>0</v>
      </c>
      <c r="KI127">
        <v>0</v>
      </c>
      <c r="KJ127">
        <v>0</v>
      </c>
      <c r="KK127">
        <v>0</v>
      </c>
      <c r="KL127">
        <v>0</v>
      </c>
      <c r="KM127">
        <v>0</v>
      </c>
      <c r="KN127">
        <v>0</v>
      </c>
      <c r="KO127">
        <v>0</v>
      </c>
      <c r="KP127">
        <v>0</v>
      </c>
      <c r="KQ127">
        <v>0</v>
      </c>
      <c r="KR127">
        <v>0</v>
      </c>
      <c r="KS127">
        <v>0</v>
      </c>
      <c r="KT127">
        <v>0</v>
      </c>
      <c r="KU127">
        <v>0</v>
      </c>
      <c r="KV127">
        <v>0</v>
      </c>
      <c r="KW127">
        <v>0</v>
      </c>
      <c r="KX127">
        <v>0</v>
      </c>
      <c r="KY127">
        <v>0</v>
      </c>
      <c r="KZ127">
        <v>0</v>
      </c>
      <c r="LA127">
        <v>0</v>
      </c>
      <c r="LB127">
        <v>0</v>
      </c>
      <c r="LC127">
        <v>0</v>
      </c>
      <c r="LD127">
        <v>0</v>
      </c>
      <c r="LE127">
        <v>0</v>
      </c>
      <c r="LF127">
        <v>0</v>
      </c>
      <c r="LG127">
        <v>0</v>
      </c>
      <c r="LH127">
        <v>0</v>
      </c>
      <c r="LI127">
        <v>0</v>
      </c>
      <c r="LJ127">
        <v>0</v>
      </c>
      <c r="LK127">
        <v>0</v>
      </c>
      <c r="LL127">
        <v>0</v>
      </c>
      <c r="LM127">
        <v>0</v>
      </c>
      <c r="LN127">
        <v>0</v>
      </c>
      <c r="LO127">
        <v>0</v>
      </c>
      <c r="LP127">
        <v>0</v>
      </c>
      <c r="LQ127">
        <v>0</v>
      </c>
      <c r="LR127">
        <v>0</v>
      </c>
      <c r="LS127">
        <v>0</v>
      </c>
      <c r="LT127">
        <v>0</v>
      </c>
      <c r="LU127">
        <v>0</v>
      </c>
      <c r="LV127">
        <v>0</v>
      </c>
      <c r="LW127">
        <v>0</v>
      </c>
      <c r="LX127">
        <v>0</v>
      </c>
      <c r="LY127">
        <v>0</v>
      </c>
      <c r="LZ127">
        <v>0</v>
      </c>
      <c r="MA127">
        <v>0</v>
      </c>
      <c r="MB127">
        <v>0</v>
      </c>
      <c r="MC127">
        <v>0</v>
      </c>
      <c r="MD127">
        <v>0</v>
      </c>
      <c r="ME127">
        <v>0</v>
      </c>
      <c r="MF127">
        <v>0</v>
      </c>
      <c r="MG127">
        <v>0</v>
      </c>
      <c r="MH127">
        <v>0</v>
      </c>
      <c r="MI127">
        <v>0</v>
      </c>
      <c r="MJ127">
        <v>0</v>
      </c>
      <c r="MK127">
        <v>0</v>
      </c>
      <c r="ML127">
        <v>0</v>
      </c>
      <c r="MM127">
        <v>0</v>
      </c>
      <c r="MN127">
        <v>0</v>
      </c>
      <c r="MO127">
        <v>0</v>
      </c>
      <c r="MP127">
        <v>0</v>
      </c>
      <c r="MQ127">
        <v>0</v>
      </c>
      <c r="MR127">
        <v>0</v>
      </c>
      <c r="MS127">
        <v>0</v>
      </c>
      <c r="MT127">
        <v>0</v>
      </c>
      <c r="MU127">
        <v>0</v>
      </c>
      <c r="MV127">
        <v>0</v>
      </c>
      <c r="MW127">
        <v>0</v>
      </c>
      <c r="MX127">
        <v>0</v>
      </c>
      <c r="MY127">
        <v>0</v>
      </c>
      <c r="MZ127">
        <v>0</v>
      </c>
      <c r="NA127">
        <v>0</v>
      </c>
      <c r="NB127">
        <v>0</v>
      </c>
      <c r="NC127">
        <v>0</v>
      </c>
      <c r="ND127">
        <v>0</v>
      </c>
      <c r="NE127">
        <v>0</v>
      </c>
      <c r="NF127">
        <v>0</v>
      </c>
      <c r="NG127">
        <v>0</v>
      </c>
      <c r="NH127">
        <v>0</v>
      </c>
      <c r="NI127">
        <v>0</v>
      </c>
      <c r="NJ127">
        <v>0</v>
      </c>
      <c r="NK127">
        <v>0</v>
      </c>
      <c r="NL127">
        <v>0</v>
      </c>
      <c r="NM127">
        <v>0</v>
      </c>
      <c r="NN127">
        <v>0</v>
      </c>
      <c r="NO127">
        <v>0</v>
      </c>
      <c r="NP127">
        <v>0</v>
      </c>
      <c r="NQ127">
        <v>0</v>
      </c>
      <c r="NR127">
        <v>0</v>
      </c>
      <c r="NS127">
        <v>0</v>
      </c>
      <c r="NT127">
        <v>0</v>
      </c>
      <c r="NU127">
        <v>0</v>
      </c>
      <c r="NV127">
        <v>0</v>
      </c>
      <c r="NW127">
        <v>0</v>
      </c>
      <c r="NX127">
        <v>0</v>
      </c>
      <c r="NY127">
        <v>0</v>
      </c>
      <c r="NZ127">
        <v>0</v>
      </c>
      <c r="OA127">
        <v>0</v>
      </c>
      <c r="OB127">
        <v>0</v>
      </c>
      <c r="OC127">
        <v>0</v>
      </c>
      <c r="OD127">
        <v>0</v>
      </c>
      <c r="OE127">
        <v>0</v>
      </c>
      <c r="OF127">
        <v>0</v>
      </c>
      <c r="OG127">
        <v>0</v>
      </c>
      <c r="OH127">
        <v>0</v>
      </c>
      <c r="OI127">
        <v>0</v>
      </c>
      <c r="OJ127">
        <v>0</v>
      </c>
      <c r="OK127">
        <v>0</v>
      </c>
      <c r="OL127">
        <v>0</v>
      </c>
      <c r="OM127">
        <v>0</v>
      </c>
      <c r="ON127">
        <v>0</v>
      </c>
      <c r="OO127">
        <v>0</v>
      </c>
      <c r="OP127">
        <v>0</v>
      </c>
      <c r="OQ127">
        <v>0</v>
      </c>
      <c r="OR127">
        <v>0</v>
      </c>
      <c r="OS127">
        <v>0</v>
      </c>
      <c r="OT127">
        <v>0</v>
      </c>
      <c r="OU127">
        <v>0</v>
      </c>
      <c r="OV127">
        <v>0</v>
      </c>
      <c r="OW127">
        <v>0</v>
      </c>
      <c r="OX127">
        <v>0</v>
      </c>
      <c r="OY127">
        <v>0</v>
      </c>
      <c r="OZ127">
        <v>0</v>
      </c>
      <c r="PA127">
        <v>0</v>
      </c>
      <c r="PB127">
        <v>0</v>
      </c>
      <c r="PC127">
        <v>0</v>
      </c>
      <c r="PD127">
        <v>0</v>
      </c>
      <c r="PE127">
        <v>0</v>
      </c>
      <c r="PF127">
        <v>0</v>
      </c>
      <c r="PG127">
        <v>0</v>
      </c>
      <c r="PH127">
        <v>0</v>
      </c>
      <c r="PI127">
        <v>0</v>
      </c>
      <c r="PJ127">
        <v>0</v>
      </c>
      <c r="PK127">
        <v>0</v>
      </c>
      <c r="PL127">
        <v>0</v>
      </c>
      <c r="PM127">
        <v>0</v>
      </c>
      <c r="PN127">
        <v>0</v>
      </c>
      <c r="PO127">
        <v>0</v>
      </c>
      <c r="PP127">
        <v>0</v>
      </c>
      <c r="PQ127">
        <v>0</v>
      </c>
      <c r="PR127">
        <v>0</v>
      </c>
      <c r="PS127">
        <v>0</v>
      </c>
      <c r="PT127">
        <v>0</v>
      </c>
      <c r="PU127">
        <v>0</v>
      </c>
      <c r="PV127">
        <v>0</v>
      </c>
      <c r="PW127">
        <v>0</v>
      </c>
      <c r="PX127">
        <v>0</v>
      </c>
      <c r="PY127">
        <v>0</v>
      </c>
      <c r="PZ127">
        <v>0</v>
      </c>
      <c r="QA127">
        <v>0</v>
      </c>
      <c r="QB127">
        <v>0</v>
      </c>
      <c r="QC127">
        <v>0</v>
      </c>
      <c r="QD127">
        <v>0</v>
      </c>
      <c r="QE127">
        <v>0</v>
      </c>
      <c r="QF127">
        <v>0</v>
      </c>
      <c r="QG127">
        <v>0</v>
      </c>
      <c r="QH127">
        <v>0</v>
      </c>
      <c r="QI127">
        <v>0</v>
      </c>
      <c r="QJ127">
        <v>0</v>
      </c>
      <c r="QK127">
        <v>0</v>
      </c>
      <c r="QL127">
        <v>0</v>
      </c>
      <c r="QM127">
        <v>0</v>
      </c>
      <c r="QN127">
        <v>0</v>
      </c>
      <c r="QO127">
        <v>0</v>
      </c>
      <c r="QP127">
        <v>0</v>
      </c>
      <c r="QQ127">
        <v>0</v>
      </c>
      <c r="QR127">
        <v>0</v>
      </c>
      <c r="QS127">
        <v>0</v>
      </c>
      <c r="QT127">
        <v>0</v>
      </c>
      <c r="QU127">
        <v>0</v>
      </c>
      <c r="QV127">
        <v>0</v>
      </c>
      <c r="QW127">
        <v>0</v>
      </c>
      <c r="QX127">
        <v>0</v>
      </c>
      <c r="QY127">
        <v>0</v>
      </c>
      <c r="QZ127">
        <v>0</v>
      </c>
      <c r="RA127">
        <v>0</v>
      </c>
      <c r="RB127">
        <v>0</v>
      </c>
      <c r="RC127">
        <v>0</v>
      </c>
      <c r="RD127">
        <v>0</v>
      </c>
      <c r="RE127">
        <v>0</v>
      </c>
      <c r="RF127">
        <v>0</v>
      </c>
      <c r="RG127">
        <v>0</v>
      </c>
      <c r="RH127">
        <v>0</v>
      </c>
      <c r="RI127">
        <v>0</v>
      </c>
      <c r="RJ127">
        <v>0</v>
      </c>
      <c r="RK127">
        <v>0</v>
      </c>
      <c r="RL127">
        <v>0</v>
      </c>
      <c r="RM127">
        <v>0</v>
      </c>
      <c r="RN127">
        <v>0</v>
      </c>
      <c r="RO127">
        <v>0</v>
      </c>
      <c r="RP127">
        <v>0</v>
      </c>
      <c r="RQ127">
        <v>0</v>
      </c>
      <c r="RR127">
        <v>0</v>
      </c>
      <c r="RS127">
        <v>0</v>
      </c>
      <c r="RT127">
        <v>0</v>
      </c>
      <c r="RU127">
        <v>0</v>
      </c>
      <c r="RV127">
        <v>0</v>
      </c>
      <c r="RW127">
        <v>0</v>
      </c>
      <c r="RX127">
        <v>0</v>
      </c>
      <c r="RY127">
        <v>0</v>
      </c>
      <c r="RZ127">
        <v>0</v>
      </c>
      <c r="SA127">
        <v>0</v>
      </c>
      <c r="SB127">
        <v>0</v>
      </c>
      <c r="SC127">
        <v>0</v>
      </c>
      <c r="SD127">
        <v>0</v>
      </c>
      <c r="SE127">
        <v>0</v>
      </c>
      <c r="SF127">
        <v>0</v>
      </c>
      <c r="SG127">
        <v>0</v>
      </c>
      <c r="SH127">
        <v>0</v>
      </c>
      <c r="SI127">
        <v>0</v>
      </c>
      <c r="SJ127">
        <v>0</v>
      </c>
      <c r="SK127">
        <v>0</v>
      </c>
      <c r="SL127">
        <v>0</v>
      </c>
      <c r="SM127">
        <v>0</v>
      </c>
      <c r="SN127">
        <v>0</v>
      </c>
      <c r="SO127">
        <v>0</v>
      </c>
      <c r="SP127">
        <v>0</v>
      </c>
      <c r="SQ127">
        <v>0</v>
      </c>
      <c r="SR127">
        <v>0</v>
      </c>
      <c r="SS127">
        <v>0</v>
      </c>
      <c r="ST127">
        <v>0</v>
      </c>
      <c r="SU127">
        <v>0</v>
      </c>
      <c r="SV127">
        <v>0</v>
      </c>
      <c r="SW127">
        <v>0</v>
      </c>
      <c r="SX127">
        <v>0</v>
      </c>
      <c r="SY127">
        <v>0</v>
      </c>
      <c r="SZ127">
        <v>0</v>
      </c>
      <c r="TA127">
        <v>0</v>
      </c>
      <c r="TB127">
        <v>0</v>
      </c>
      <c r="TC127">
        <v>0</v>
      </c>
      <c r="TD127">
        <v>0</v>
      </c>
      <c r="TE127">
        <v>0</v>
      </c>
      <c r="TF127">
        <v>0</v>
      </c>
      <c r="TG127">
        <v>0</v>
      </c>
      <c r="TH127">
        <v>0</v>
      </c>
      <c r="TI127">
        <v>0</v>
      </c>
      <c r="TJ127">
        <v>0</v>
      </c>
      <c r="TK127">
        <v>0</v>
      </c>
      <c r="TL127">
        <v>0</v>
      </c>
      <c r="TM127">
        <v>0</v>
      </c>
      <c r="TN127">
        <v>0</v>
      </c>
      <c r="TO127">
        <v>0</v>
      </c>
      <c r="TP127">
        <v>0</v>
      </c>
      <c r="TQ127">
        <v>0</v>
      </c>
      <c r="TR127">
        <v>0</v>
      </c>
      <c r="TS127">
        <v>0</v>
      </c>
      <c r="TT127">
        <v>0</v>
      </c>
      <c r="TU127">
        <v>0</v>
      </c>
      <c r="TV127">
        <v>0</v>
      </c>
      <c r="TW127">
        <v>0</v>
      </c>
      <c r="TX127">
        <v>0</v>
      </c>
      <c r="TY127">
        <v>0</v>
      </c>
      <c r="TZ127">
        <v>0</v>
      </c>
      <c r="UA127">
        <v>0</v>
      </c>
      <c r="UB127">
        <v>0</v>
      </c>
      <c r="UC127">
        <v>0</v>
      </c>
      <c r="UD127">
        <v>0</v>
      </c>
      <c r="UE127">
        <v>0</v>
      </c>
      <c r="UF127">
        <v>0</v>
      </c>
      <c r="UG127">
        <v>0</v>
      </c>
      <c r="UH127">
        <v>0</v>
      </c>
      <c r="UI127">
        <v>0</v>
      </c>
      <c r="UJ127">
        <v>0</v>
      </c>
      <c r="UK127">
        <v>0</v>
      </c>
      <c r="UL127">
        <v>0</v>
      </c>
      <c r="UM127">
        <v>0</v>
      </c>
      <c r="UN127">
        <v>0</v>
      </c>
      <c r="UO127">
        <v>0</v>
      </c>
      <c r="UP127">
        <v>0</v>
      </c>
      <c r="UQ127">
        <v>0</v>
      </c>
      <c r="UR127">
        <v>0</v>
      </c>
      <c r="US127">
        <v>0</v>
      </c>
      <c r="UT127">
        <v>0</v>
      </c>
      <c r="UU127">
        <v>0</v>
      </c>
      <c r="UV127">
        <v>0</v>
      </c>
      <c r="UW127">
        <v>0</v>
      </c>
      <c r="UX127">
        <v>0</v>
      </c>
      <c r="UY127">
        <v>0</v>
      </c>
      <c r="UZ127">
        <v>0</v>
      </c>
      <c r="VA127">
        <v>0</v>
      </c>
      <c r="VB127">
        <v>0</v>
      </c>
      <c r="VC127">
        <v>0</v>
      </c>
      <c r="VD127">
        <v>0</v>
      </c>
      <c r="VE127">
        <v>0</v>
      </c>
      <c r="VF127">
        <v>0</v>
      </c>
      <c r="VG127">
        <v>0</v>
      </c>
      <c r="VH127">
        <v>0</v>
      </c>
      <c r="VI127">
        <v>0</v>
      </c>
      <c r="VJ127">
        <v>0</v>
      </c>
      <c r="VK127">
        <v>0</v>
      </c>
      <c r="VL127">
        <v>0</v>
      </c>
      <c r="VM127">
        <v>0</v>
      </c>
      <c r="VN127">
        <v>0</v>
      </c>
      <c r="VO127">
        <v>0</v>
      </c>
      <c r="VP127">
        <v>0</v>
      </c>
      <c r="VQ127">
        <v>0</v>
      </c>
      <c r="VR127">
        <v>0</v>
      </c>
      <c r="VS127">
        <v>0</v>
      </c>
      <c r="VT127">
        <v>0</v>
      </c>
      <c r="VU127">
        <v>0</v>
      </c>
      <c r="VV127">
        <v>0</v>
      </c>
      <c r="VW127">
        <v>0</v>
      </c>
      <c r="VX127">
        <v>0</v>
      </c>
      <c r="VY127">
        <v>0</v>
      </c>
      <c r="VZ127">
        <v>0</v>
      </c>
      <c r="WA127">
        <v>0</v>
      </c>
      <c r="WB127">
        <v>0</v>
      </c>
      <c r="WC127">
        <v>0</v>
      </c>
      <c r="WD127">
        <v>0</v>
      </c>
      <c r="WE127">
        <v>0</v>
      </c>
      <c r="WF127">
        <v>0</v>
      </c>
      <c r="WG127">
        <v>0</v>
      </c>
      <c r="WH127">
        <v>0</v>
      </c>
      <c r="WI127">
        <v>0</v>
      </c>
      <c r="WJ127">
        <v>0</v>
      </c>
      <c r="WK127">
        <v>0</v>
      </c>
      <c r="WL127">
        <v>0</v>
      </c>
      <c r="WM127">
        <v>0</v>
      </c>
      <c r="WN127">
        <v>0</v>
      </c>
      <c r="WO127">
        <v>0</v>
      </c>
      <c r="WP127">
        <v>0</v>
      </c>
      <c r="WQ127">
        <v>0</v>
      </c>
      <c r="WR127">
        <v>0</v>
      </c>
      <c r="WS127">
        <v>0</v>
      </c>
      <c r="WT127">
        <v>0</v>
      </c>
      <c r="WU127">
        <v>0</v>
      </c>
      <c r="WV127">
        <v>0</v>
      </c>
      <c r="WW127">
        <v>0</v>
      </c>
      <c r="WX127">
        <v>0</v>
      </c>
      <c r="WY127">
        <v>0</v>
      </c>
      <c r="WZ127">
        <v>0</v>
      </c>
      <c r="XA127">
        <v>0</v>
      </c>
      <c r="XB127">
        <v>0</v>
      </c>
      <c r="XC127">
        <v>0</v>
      </c>
      <c r="XD127">
        <v>0</v>
      </c>
      <c r="XE127">
        <v>0</v>
      </c>
      <c r="XF127">
        <v>0</v>
      </c>
      <c r="XG127">
        <v>0</v>
      </c>
      <c r="XH127">
        <v>0</v>
      </c>
      <c r="XI127">
        <v>0</v>
      </c>
      <c r="XJ127">
        <v>0</v>
      </c>
      <c r="XK127">
        <v>0</v>
      </c>
      <c r="XL127">
        <v>0</v>
      </c>
      <c r="XM127">
        <v>0</v>
      </c>
      <c r="XN127">
        <v>0</v>
      </c>
      <c r="XO127">
        <v>0</v>
      </c>
      <c r="XP127">
        <v>0</v>
      </c>
      <c r="XQ127">
        <v>0</v>
      </c>
      <c r="XR127">
        <v>0</v>
      </c>
      <c r="XS127">
        <v>0</v>
      </c>
      <c r="XT127">
        <v>0</v>
      </c>
      <c r="XU127">
        <v>0</v>
      </c>
      <c r="XV127">
        <v>0</v>
      </c>
      <c r="XW127">
        <v>0</v>
      </c>
      <c r="XX127">
        <v>0</v>
      </c>
      <c r="XY127">
        <v>0</v>
      </c>
      <c r="XZ127">
        <v>0</v>
      </c>
      <c r="YA127">
        <v>0</v>
      </c>
      <c r="YB127">
        <v>0</v>
      </c>
      <c r="YC127">
        <v>0</v>
      </c>
      <c r="YD127">
        <v>0</v>
      </c>
      <c r="YE127">
        <v>0</v>
      </c>
      <c r="YF127">
        <v>0</v>
      </c>
      <c r="YG127">
        <v>0</v>
      </c>
      <c r="YH127">
        <v>0</v>
      </c>
      <c r="YI127">
        <v>0</v>
      </c>
      <c r="YJ127">
        <v>0</v>
      </c>
      <c r="YK127">
        <v>0</v>
      </c>
      <c r="YL127">
        <v>0</v>
      </c>
      <c r="YM127">
        <v>0</v>
      </c>
      <c r="YN127">
        <v>0</v>
      </c>
      <c r="YO127">
        <v>0</v>
      </c>
      <c r="YP127">
        <v>0</v>
      </c>
      <c r="YQ127">
        <v>0</v>
      </c>
      <c r="YR127">
        <v>0</v>
      </c>
      <c r="YS127">
        <v>0</v>
      </c>
      <c r="YT127">
        <v>0</v>
      </c>
      <c r="YU127">
        <v>0</v>
      </c>
      <c r="YV127">
        <v>0</v>
      </c>
      <c r="YW127">
        <v>0</v>
      </c>
      <c r="YX127">
        <v>0</v>
      </c>
      <c r="YY127">
        <v>0</v>
      </c>
      <c r="YZ127">
        <v>0</v>
      </c>
      <c r="ZA127">
        <v>0</v>
      </c>
      <c r="ZB127">
        <v>0</v>
      </c>
      <c r="ZC127">
        <v>0</v>
      </c>
      <c r="ZD127">
        <v>0</v>
      </c>
      <c r="ZE127">
        <v>0</v>
      </c>
      <c r="ZF127">
        <v>0</v>
      </c>
      <c r="ZG127">
        <v>0</v>
      </c>
      <c r="ZH127">
        <v>0</v>
      </c>
      <c r="ZI127">
        <v>0</v>
      </c>
      <c r="ZJ127">
        <v>0</v>
      </c>
      <c r="ZK127">
        <v>0</v>
      </c>
      <c r="ZL127">
        <v>0</v>
      </c>
      <c r="ZM127">
        <v>0</v>
      </c>
      <c r="ZN127">
        <v>0</v>
      </c>
      <c r="ZO127">
        <v>0</v>
      </c>
      <c r="ZP127">
        <v>0</v>
      </c>
      <c r="ZQ127">
        <v>0</v>
      </c>
      <c r="ZR127">
        <v>0</v>
      </c>
      <c r="ZS127">
        <v>0</v>
      </c>
      <c r="ZT127">
        <v>0</v>
      </c>
      <c r="ZU127">
        <v>0</v>
      </c>
      <c r="ZV127">
        <v>0</v>
      </c>
      <c r="ZW127">
        <v>0</v>
      </c>
      <c r="ZX127">
        <v>0</v>
      </c>
      <c r="ZY127">
        <v>0</v>
      </c>
      <c r="ZZ127">
        <v>0</v>
      </c>
      <c r="AAA127">
        <v>0</v>
      </c>
      <c r="AAB127">
        <v>0</v>
      </c>
      <c r="AAC127">
        <v>0</v>
      </c>
      <c r="AAD127">
        <v>0</v>
      </c>
      <c r="AAE127">
        <v>0</v>
      </c>
      <c r="AAF127">
        <v>0</v>
      </c>
      <c r="AAG127">
        <v>0</v>
      </c>
      <c r="AAH127">
        <v>0</v>
      </c>
      <c r="AAI127">
        <v>0</v>
      </c>
      <c r="AAJ127">
        <v>0</v>
      </c>
      <c r="AAK127">
        <v>0</v>
      </c>
      <c r="AAL127">
        <v>0</v>
      </c>
      <c r="AAM127">
        <v>0</v>
      </c>
      <c r="AAN127">
        <v>0</v>
      </c>
      <c r="AAO127">
        <v>0</v>
      </c>
      <c r="AAP127">
        <v>0</v>
      </c>
      <c r="AAQ127">
        <v>0</v>
      </c>
      <c r="AAR127">
        <v>0</v>
      </c>
      <c r="AAS127">
        <v>0</v>
      </c>
      <c r="AAT127">
        <v>0</v>
      </c>
      <c r="AAU127">
        <v>0</v>
      </c>
      <c r="AAV127">
        <v>0</v>
      </c>
      <c r="AAW127">
        <v>0</v>
      </c>
      <c r="AAX127">
        <v>0</v>
      </c>
      <c r="AAY127">
        <v>0</v>
      </c>
      <c r="AAZ127">
        <v>0</v>
      </c>
      <c r="ABA127">
        <v>0</v>
      </c>
      <c r="ABB127">
        <v>0</v>
      </c>
      <c r="ABC127">
        <v>0</v>
      </c>
      <c r="ABD127">
        <v>0</v>
      </c>
      <c r="ABE127">
        <v>0</v>
      </c>
      <c r="ABG127" s="1137">
        <f t="shared" si="30"/>
        <v>0</v>
      </c>
      <c r="ABH127" s="1137">
        <f t="shared" si="30"/>
        <v>0</v>
      </c>
      <c r="ABI127" s="1137">
        <f t="shared" si="30"/>
        <v>0</v>
      </c>
      <c r="ABJ127" s="1137">
        <f t="shared" si="30"/>
        <v>0</v>
      </c>
      <c r="ABK127" s="1137">
        <f t="shared" si="30"/>
        <v>0</v>
      </c>
      <c r="ABL127" s="1137">
        <f t="shared" si="30"/>
        <v>0</v>
      </c>
      <c r="ABM127" s="1137">
        <f t="shared" si="30"/>
        <v>0</v>
      </c>
      <c r="ABN127" s="1137">
        <f t="shared" si="30"/>
        <v>0</v>
      </c>
      <c r="ABO127" s="1137">
        <f t="shared" si="30"/>
        <v>0</v>
      </c>
      <c r="ABP127" s="1137">
        <f t="shared" si="30"/>
        <v>0</v>
      </c>
      <c r="ABQ127" s="1137">
        <f t="shared" si="30"/>
        <v>0</v>
      </c>
      <c r="ABR127" s="1137">
        <f t="shared" si="30"/>
        <v>0</v>
      </c>
      <c r="ABS127" s="1137">
        <f t="shared" si="30"/>
        <v>0</v>
      </c>
      <c r="ABT127" s="1137">
        <f t="shared" si="30"/>
        <v>0</v>
      </c>
      <c r="ABU127" s="1137">
        <f t="shared" si="30"/>
        <v>0</v>
      </c>
      <c r="ABV127" s="1137">
        <f t="shared" si="30"/>
        <v>0</v>
      </c>
      <c r="ABW127" s="1137">
        <f t="shared" si="31"/>
        <v>0</v>
      </c>
      <c r="ABX127" s="1137">
        <f t="shared" si="34"/>
        <v>0</v>
      </c>
      <c r="ABY127" s="1137">
        <f t="shared" si="34"/>
        <v>0</v>
      </c>
      <c r="ABZ127" s="1137">
        <f t="shared" si="34"/>
        <v>0</v>
      </c>
      <c r="ACA127" s="1137">
        <f t="shared" si="34"/>
        <v>0</v>
      </c>
      <c r="ACB127" s="1137">
        <f t="shared" si="34"/>
        <v>0</v>
      </c>
      <c r="ACC127" s="1137">
        <f t="shared" si="34"/>
        <v>0</v>
      </c>
      <c r="ACD127" s="1137">
        <f t="shared" si="34"/>
        <v>0</v>
      </c>
      <c r="ACE127" s="1137" t="s">
        <v>52</v>
      </c>
      <c r="ACF127" s="1137">
        <f t="shared" si="33"/>
        <v>0</v>
      </c>
      <c r="ACG127" s="1137">
        <f t="shared" si="33"/>
        <v>0</v>
      </c>
      <c r="ACH127" s="1137">
        <f t="shared" si="33"/>
        <v>0</v>
      </c>
      <c r="ACI127" s="1137">
        <f t="shared" si="33"/>
        <v>0</v>
      </c>
      <c r="ACJ127" s="1137">
        <f t="shared" si="33"/>
        <v>0</v>
      </c>
      <c r="ACK127" s="1137">
        <f t="shared" si="33"/>
        <v>0</v>
      </c>
      <c r="ACL127" s="1137">
        <f t="shared" si="33"/>
        <v>0</v>
      </c>
      <c r="ACM127" s="1137">
        <f t="shared" si="33"/>
        <v>0</v>
      </c>
      <c r="ACN127" s="1137">
        <f t="shared" si="33"/>
        <v>0</v>
      </c>
      <c r="ACO127" s="1137">
        <f t="shared" si="33"/>
        <v>0</v>
      </c>
      <c r="ACP127" s="1137">
        <f t="shared" si="33"/>
        <v>0</v>
      </c>
      <c r="ACQ127" s="1137">
        <f t="shared" si="32"/>
        <v>0</v>
      </c>
      <c r="ACR127" s="1137">
        <f t="shared" si="32"/>
        <v>0</v>
      </c>
      <c r="ACS127" s="1137">
        <f t="shared" si="32"/>
        <v>0</v>
      </c>
      <c r="ACT127" s="1137">
        <f t="shared" si="32"/>
        <v>0</v>
      </c>
      <c r="ACU127" s="1137">
        <f t="shared" si="32"/>
        <v>0</v>
      </c>
      <c r="ACV127" s="1137">
        <f t="shared" si="24"/>
        <v>0</v>
      </c>
      <c r="ACW127" s="1137">
        <f t="shared" si="24"/>
        <v>0</v>
      </c>
      <c r="ACX127" s="1137">
        <f t="shared" si="24"/>
        <v>0</v>
      </c>
      <c r="ACY127" s="1137">
        <f t="shared" si="24"/>
        <v>0</v>
      </c>
      <c r="ACZ127" s="1137">
        <f t="shared" si="24"/>
        <v>0</v>
      </c>
      <c r="ADA127" s="1137">
        <f t="shared" ref="ADA127:ADC190" si="35">IF(ACB127&gt;10, 1, 0)</f>
        <v>0</v>
      </c>
      <c r="ADB127" s="1137">
        <f t="shared" si="35"/>
        <v>0</v>
      </c>
      <c r="ADC127" s="1137">
        <f t="shared" si="35"/>
        <v>0</v>
      </c>
    </row>
    <row r="128" spans="1:783" x14ac:dyDescent="0.25">
      <c r="A128" t="s">
        <v>1927</v>
      </c>
      <c r="B128" t="s">
        <v>226</v>
      </c>
      <c r="C128">
        <v>0</v>
      </c>
      <c r="D128">
        <v>0</v>
      </c>
      <c r="E128">
        <v>0</v>
      </c>
      <c r="F128">
        <v>0</v>
      </c>
      <c r="G128">
        <v>0</v>
      </c>
      <c r="H128">
        <v>0</v>
      </c>
      <c r="I128">
        <v>0</v>
      </c>
      <c r="J128">
        <v>0</v>
      </c>
      <c r="K128">
        <v>0</v>
      </c>
      <c r="L128">
        <v>0</v>
      </c>
      <c r="M128">
        <v>0</v>
      </c>
      <c r="N128">
        <v>0</v>
      </c>
      <c r="O128">
        <v>0</v>
      </c>
      <c r="P128">
        <v>0</v>
      </c>
      <c r="Q128">
        <v>0</v>
      </c>
      <c r="R128">
        <v>0</v>
      </c>
      <c r="S128">
        <v>0</v>
      </c>
      <c r="T128">
        <v>0</v>
      </c>
      <c r="U128">
        <v>0</v>
      </c>
      <c r="V128">
        <v>0</v>
      </c>
      <c r="W128">
        <v>0</v>
      </c>
      <c r="X128">
        <v>0</v>
      </c>
      <c r="Y128">
        <v>0</v>
      </c>
      <c r="Z128">
        <v>0</v>
      </c>
      <c r="AA128">
        <v>0</v>
      </c>
      <c r="AB128">
        <v>0</v>
      </c>
      <c r="AC128">
        <v>0</v>
      </c>
      <c r="AD128">
        <v>0</v>
      </c>
      <c r="AE128">
        <v>0</v>
      </c>
      <c r="AF128">
        <v>0</v>
      </c>
      <c r="AG128">
        <v>0</v>
      </c>
      <c r="AH128">
        <v>0</v>
      </c>
      <c r="AI128">
        <v>0</v>
      </c>
      <c r="AJ128">
        <v>0</v>
      </c>
      <c r="AK128">
        <v>0</v>
      </c>
      <c r="AL128">
        <v>0</v>
      </c>
      <c r="AM128">
        <v>0</v>
      </c>
      <c r="AN128">
        <v>0</v>
      </c>
      <c r="AO128">
        <v>0</v>
      </c>
      <c r="AP128">
        <v>0</v>
      </c>
      <c r="AQ128">
        <v>0</v>
      </c>
      <c r="AR128">
        <v>0</v>
      </c>
      <c r="AS128">
        <v>0</v>
      </c>
      <c r="AT128">
        <v>0</v>
      </c>
      <c r="AU128">
        <v>0</v>
      </c>
      <c r="AV128">
        <v>0</v>
      </c>
      <c r="AW128">
        <v>0</v>
      </c>
      <c r="AX128">
        <v>0</v>
      </c>
      <c r="AY128">
        <v>0</v>
      </c>
      <c r="AZ128">
        <v>0</v>
      </c>
      <c r="BA128">
        <v>0</v>
      </c>
      <c r="BB128">
        <v>0</v>
      </c>
      <c r="BC128">
        <v>0</v>
      </c>
      <c r="BD128">
        <v>0</v>
      </c>
      <c r="BE128">
        <v>0</v>
      </c>
      <c r="BF128">
        <v>0</v>
      </c>
      <c r="BG128">
        <v>0</v>
      </c>
      <c r="BH128">
        <v>0</v>
      </c>
      <c r="BI128">
        <v>0</v>
      </c>
      <c r="BJ128">
        <v>0</v>
      </c>
      <c r="BK128">
        <v>0</v>
      </c>
      <c r="BL128">
        <v>0</v>
      </c>
      <c r="BM128">
        <v>0</v>
      </c>
      <c r="BN128">
        <v>0</v>
      </c>
      <c r="BO128">
        <v>0</v>
      </c>
      <c r="BP128">
        <v>0</v>
      </c>
      <c r="BQ128">
        <v>0</v>
      </c>
      <c r="BR128">
        <v>0</v>
      </c>
      <c r="BS128">
        <v>0</v>
      </c>
      <c r="BT128">
        <v>0</v>
      </c>
      <c r="BU128">
        <v>0</v>
      </c>
      <c r="BV128">
        <v>0</v>
      </c>
      <c r="BW128">
        <v>0</v>
      </c>
      <c r="BX128">
        <v>0</v>
      </c>
      <c r="BY128">
        <v>0</v>
      </c>
      <c r="BZ128">
        <v>0</v>
      </c>
      <c r="CA128">
        <v>0</v>
      </c>
      <c r="CB128">
        <v>0</v>
      </c>
      <c r="CC128">
        <v>0</v>
      </c>
      <c r="CD128">
        <v>0</v>
      </c>
      <c r="CE128">
        <v>0</v>
      </c>
      <c r="CF128">
        <v>0</v>
      </c>
      <c r="CG128">
        <v>1</v>
      </c>
      <c r="CH128">
        <v>1</v>
      </c>
      <c r="CI128">
        <v>1</v>
      </c>
      <c r="CJ128">
        <v>1</v>
      </c>
      <c r="CK128">
        <v>1</v>
      </c>
      <c r="CL128">
        <v>1</v>
      </c>
      <c r="CM128">
        <v>1</v>
      </c>
      <c r="CN128">
        <v>1</v>
      </c>
      <c r="CO128">
        <v>1</v>
      </c>
      <c r="CP128">
        <v>1</v>
      </c>
      <c r="CQ128">
        <v>1</v>
      </c>
      <c r="CR128">
        <v>1</v>
      </c>
      <c r="CS128">
        <v>1</v>
      </c>
      <c r="CT128">
        <v>1</v>
      </c>
      <c r="CU128">
        <v>1</v>
      </c>
      <c r="CV128">
        <v>1</v>
      </c>
      <c r="CW128">
        <v>1</v>
      </c>
      <c r="CX128">
        <v>1</v>
      </c>
      <c r="CY128">
        <v>1</v>
      </c>
      <c r="CZ128">
        <v>1</v>
      </c>
      <c r="DA128">
        <v>1</v>
      </c>
      <c r="DB128">
        <v>1</v>
      </c>
      <c r="DC128">
        <v>1</v>
      </c>
      <c r="DD128">
        <v>1</v>
      </c>
      <c r="DE128">
        <v>1</v>
      </c>
      <c r="DF128">
        <v>1</v>
      </c>
      <c r="DG128">
        <v>1</v>
      </c>
      <c r="DH128">
        <v>1</v>
      </c>
      <c r="DI128">
        <v>1</v>
      </c>
      <c r="DJ128">
        <v>1</v>
      </c>
      <c r="DK128">
        <v>1</v>
      </c>
      <c r="DL128">
        <v>1</v>
      </c>
      <c r="DM128">
        <v>1</v>
      </c>
      <c r="DN128">
        <v>1</v>
      </c>
      <c r="DO128">
        <v>1</v>
      </c>
      <c r="DP128">
        <v>1</v>
      </c>
      <c r="DQ128">
        <v>1</v>
      </c>
      <c r="DR128">
        <v>1</v>
      </c>
      <c r="DS128">
        <v>1</v>
      </c>
      <c r="DT128">
        <v>1</v>
      </c>
      <c r="DU128">
        <v>1</v>
      </c>
      <c r="DV128">
        <v>1</v>
      </c>
      <c r="DW128">
        <v>1</v>
      </c>
      <c r="DX128">
        <v>1</v>
      </c>
      <c r="DY128">
        <v>1</v>
      </c>
      <c r="DZ128">
        <v>1</v>
      </c>
      <c r="EA128">
        <v>1</v>
      </c>
      <c r="EB128">
        <v>1</v>
      </c>
      <c r="EC128">
        <v>1</v>
      </c>
      <c r="ED128">
        <v>1</v>
      </c>
      <c r="EE128">
        <v>1</v>
      </c>
      <c r="EF128">
        <v>1</v>
      </c>
      <c r="EG128">
        <v>1</v>
      </c>
      <c r="EH128">
        <v>1</v>
      </c>
      <c r="EI128">
        <v>1</v>
      </c>
      <c r="EJ128">
        <v>1</v>
      </c>
      <c r="EK128">
        <v>1</v>
      </c>
      <c r="EL128">
        <v>1</v>
      </c>
      <c r="EM128">
        <v>1</v>
      </c>
      <c r="EN128">
        <v>1</v>
      </c>
      <c r="EO128">
        <v>1</v>
      </c>
      <c r="EP128">
        <v>1</v>
      </c>
      <c r="EQ128">
        <v>1</v>
      </c>
      <c r="ER128">
        <v>1</v>
      </c>
      <c r="ES128">
        <v>1</v>
      </c>
      <c r="ET128">
        <v>1</v>
      </c>
      <c r="EU128">
        <v>1</v>
      </c>
      <c r="EV128">
        <v>1</v>
      </c>
      <c r="EW128">
        <v>1</v>
      </c>
      <c r="EX128">
        <v>1</v>
      </c>
      <c r="EY128">
        <v>1</v>
      </c>
      <c r="EZ128">
        <v>1</v>
      </c>
      <c r="FA128">
        <v>1</v>
      </c>
      <c r="FB128">
        <v>1</v>
      </c>
      <c r="FC128">
        <v>1</v>
      </c>
      <c r="FD128">
        <v>1</v>
      </c>
      <c r="FE128">
        <v>1</v>
      </c>
      <c r="FF128">
        <v>1</v>
      </c>
      <c r="FG128">
        <v>1</v>
      </c>
      <c r="FH128">
        <v>1</v>
      </c>
      <c r="FI128">
        <v>1</v>
      </c>
      <c r="FJ128">
        <v>1</v>
      </c>
      <c r="FK128">
        <v>1</v>
      </c>
      <c r="FL128">
        <v>1</v>
      </c>
      <c r="FM128">
        <v>1</v>
      </c>
      <c r="FN128">
        <v>1</v>
      </c>
      <c r="FO128">
        <v>1</v>
      </c>
      <c r="FP128">
        <v>1</v>
      </c>
      <c r="FQ128">
        <v>1</v>
      </c>
      <c r="FR128">
        <v>1</v>
      </c>
      <c r="FS128">
        <v>1</v>
      </c>
      <c r="FT128">
        <v>1</v>
      </c>
      <c r="FU128">
        <v>1</v>
      </c>
      <c r="FV128">
        <v>1</v>
      </c>
      <c r="FW128">
        <v>1</v>
      </c>
      <c r="FX128">
        <v>1</v>
      </c>
      <c r="FY128">
        <v>1</v>
      </c>
      <c r="FZ128">
        <v>1</v>
      </c>
      <c r="GA128">
        <v>1</v>
      </c>
      <c r="GB128">
        <v>1</v>
      </c>
      <c r="GC128">
        <v>0</v>
      </c>
      <c r="GD128">
        <v>0</v>
      </c>
      <c r="GE128">
        <v>0</v>
      </c>
      <c r="GF128">
        <v>0</v>
      </c>
      <c r="GG128">
        <v>0</v>
      </c>
      <c r="GH128">
        <v>0</v>
      </c>
      <c r="GI128">
        <v>0</v>
      </c>
      <c r="GJ128">
        <v>0</v>
      </c>
      <c r="GK128">
        <v>0</v>
      </c>
      <c r="GL128">
        <v>0</v>
      </c>
      <c r="GM128">
        <v>0</v>
      </c>
      <c r="GN128">
        <v>0</v>
      </c>
      <c r="GO128">
        <v>0</v>
      </c>
      <c r="GP128">
        <v>0</v>
      </c>
      <c r="GQ128">
        <v>0</v>
      </c>
      <c r="GR128">
        <v>0</v>
      </c>
      <c r="GS128">
        <v>0</v>
      </c>
      <c r="GT128">
        <v>0</v>
      </c>
      <c r="GU128">
        <v>0</v>
      </c>
      <c r="GV128">
        <v>0</v>
      </c>
      <c r="GW128">
        <v>0</v>
      </c>
      <c r="GX128">
        <v>0</v>
      </c>
      <c r="GY128">
        <v>0</v>
      </c>
      <c r="GZ128">
        <v>0</v>
      </c>
      <c r="HA128">
        <v>0</v>
      </c>
      <c r="HB128">
        <v>0</v>
      </c>
      <c r="HC128">
        <v>0</v>
      </c>
      <c r="HD128">
        <v>0</v>
      </c>
      <c r="HE128">
        <v>0</v>
      </c>
      <c r="HF128">
        <v>0</v>
      </c>
      <c r="HG128">
        <v>0</v>
      </c>
      <c r="HH128">
        <v>0</v>
      </c>
      <c r="HI128">
        <v>0</v>
      </c>
      <c r="HJ128">
        <v>0</v>
      </c>
      <c r="HK128">
        <v>0</v>
      </c>
      <c r="HL128">
        <v>0</v>
      </c>
      <c r="HM128">
        <v>0</v>
      </c>
      <c r="HN128">
        <v>0</v>
      </c>
      <c r="HO128">
        <v>0</v>
      </c>
      <c r="HP128">
        <v>0</v>
      </c>
      <c r="HQ128">
        <v>0</v>
      </c>
      <c r="HR128">
        <v>0</v>
      </c>
      <c r="HS128">
        <v>0</v>
      </c>
      <c r="HT128">
        <v>0</v>
      </c>
      <c r="HU128">
        <v>0</v>
      </c>
      <c r="HV128">
        <v>0</v>
      </c>
      <c r="HW128">
        <v>0</v>
      </c>
      <c r="HX128">
        <v>0</v>
      </c>
      <c r="HY128">
        <v>0</v>
      </c>
      <c r="HZ128">
        <v>0</v>
      </c>
      <c r="IA128">
        <v>0</v>
      </c>
      <c r="IB128">
        <v>0</v>
      </c>
      <c r="IC128">
        <v>0</v>
      </c>
      <c r="ID128">
        <v>0</v>
      </c>
      <c r="IE128">
        <v>0</v>
      </c>
      <c r="IF128">
        <v>0</v>
      </c>
      <c r="IG128">
        <v>0</v>
      </c>
      <c r="IH128">
        <v>0</v>
      </c>
      <c r="II128">
        <v>0</v>
      </c>
      <c r="IJ128">
        <v>0</v>
      </c>
      <c r="IK128">
        <v>0</v>
      </c>
      <c r="IL128">
        <v>0</v>
      </c>
      <c r="IM128">
        <v>0</v>
      </c>
      <c r="IN128">
        <v>0</v>
      </c>
      <c r="IO128">
        <v>0</v>
      </c>
      <c r="IP128">
        <v>0</v>
      </c>
      <c r="IQ128">
        <v>0</v>
      </c>
      <c r="IR128">
        <v>0</v>
      </c>
      <c r="IS128">
        <v>0</v>
      </c>
      <c r="IT128">
        <v>0</v>
      </c>
      <c r="IU128">
        <v>0</v>
      </c>
      <c r="IV128">
        <v>0</v>
      </c>
      <c r="IW128">
        <v>0</v>
      </c>
      <c r="IX128">
        <v>0</v>
      </c>
      <c r="IY128">
        <v>0</v>
      </c>
      <c r="IZ128">
        <v>0</v>
      </c>
      <c r="JA128">
        <v>0</v>
      </c>
      <c r="JB128">
        <v>0</v>
      </c>
      <c r="JC128">
        <v>0</v>
      </c>
      <c r="JD128">
        <v>0</v>
      </c>
      <c r="JE128">
        <v>0</v>
      </c>
      <c r="JF128">
        <v>0</v>
      </c>
      <c r="JG128">
        <v>0</v>
      </c>
      <c r="JH128">
        <v>0</v>
      </c>
      <c r="JI128">
        <v>0</v>
      </c>
      <c r="JJ128">
        <v>0</v>
      </c>
      <c r="JK128">
        <v>0</v>
      </c>
      <c r="JL128">
        <v>0</v>
      </c>
      <c r="JM128">
        <v>0</v>
      </c>
      <c r="JN128">
        <v>0</v>
      </c>
      <c r="JO128">
        <v>1</v>
      </c>
      <c r="JP128">
        <v>1</v>
      </c>
      <c r="JQ128">
        <v>1</v>
      </c>
      <c r="JR128">
        <v>1</v>
      </c>
      <c r="JS128">
        <v>1</v>
      </c>
      <c r="JT128">
        <v>1</v>
      </c>
      <c r="JU128">
        <v>1</v>
      </c>
      <c r="JV128">
        <v>1</v>
      </c>
      <c r="JW128">
        <v>1</v>
      </c>
      <c r="JX128">
        <v>1</v>
      </c>
      <c r="JY128">
        <v>1</v>
      </c>
      <c r="JZ128">
        <v>1</v>
      </c>
      <c r="KA128">
        <v>1</v>
      </c>
      <c r="KB128">
        <v>1</v>
      </c>
      <c r="KC128">
        <v>1</v>
      </c>
      <c r="KD128">
        <v>1</v>
      </c>
      <c r="KE128">
        <v>1</v>
      </c>
      <c r="KF128">
        <v>1</v>
      </c>
      <c r="KG128">
        <v>1</v>
      </c>
      <c r="KH128">
        <v>1</v>
      </c>
      <c r="KI128">
        <v>1</v>
      </c>
      <c r="KJ128">
        <v>1</v>
      </c>
      <c r="KK128">
        <v>1</v>
      </c>
      <c r="KL128">
        <v>1</v>
      </c>
      <c r="KM128">
        <v>1</v>
      </c>
      <c r="KN128">
        <v>1</v>
      </c>
      <c r="KO128">
        <v>1</v>
      </c>
      <c r="KP128">
        <v>1</v>
      </c>
      <c r="KQ128">
        <v>1</v>
      </c>
      <c r="KR128">
        <v>1</v>
      </c>
      <c r="KS128">
        <v>1</v>
      </c>
      <c r="KT128">
        <v>1</v>
      </c>
      <c r="KU128">
        <v>1</v>
      </c>
      <c r="KV128">
        <v>1</v>
      </c>
      <c r="KW128">
        <v>1</v>
      </c>
      <c r="KX128">
        <v>1</v>
      </c>
      <c r="KY128">
        <v>1</v>
      </c>
      <c r="KZ128">
        <v>1</v>
      </c>
      <c r="LA128">
        <v>1</v>
      </c>
      <c r="LB128">
        <v>1</v>
      </c>
      <c r="LC128">
        <v>1</v>
      </c>
      <c r="LD128">
        <v>1</v>
      </c>
      <c r="LE128">
        <v>1</v>
      </c>
      <c r="LF128">
        <v>1</v>
      </c>
      <c r="LG128">
        <v>1</v>
      </c>
      <c r="LH128">
        <v>1</v>
      </c>
      <c r="LI128">
        <v>1</v>
      </c>
      <c r="LJ128">
        <v>1</v>
      </c>
      <c r="LK128">
        <v>1</v>
      </c>
      <c r="LL128">
        <v>1</v>
      </c>
      <c r="LM128">
        <v>1</v>
      </c>
      <c r="LN128">
        <v>1</v>
      </c>
      <c r="LO128">
        <v>1</v>
      </c>
      <c r="LP128">
        <v>1</v>
      </c>
      <c r="LQ128">
        <v>0</v>
      </c>
      <c r="LR128">
        <v>0</v>
      </c>
      <c r="LS128">
        <v>0</v>
      </c>
      <c r="LT128">
        <v>0</v>
      </c>
      <c r="LU128">
        <v>0</v>
      </c>
      <c r="LV128">
        <v>0</v>
      </c>
      <c r="LW128">
        <v>0</v>
      </c>
      <c r="LX128">
        <v>0</v>
      </c>
      <c r="LY128">
        <v>0</v>
      </c>
      <c r="LZ128">
        <v>0</v>
      </c>
      <c r="MA128">
        <v>0</v>
      </c>
      <c r="MB128">
        <v>0</v>
      </c>
      <c r="MC128">
        <v>0</v>
      </c>
      <c r="MD128">
        <v>0</v>
      </c>
      <c r="ME128">
        <v>0</v>
      </c>
      <c r="MF128">
        <v>0</v>
      </c>
      <c r="MG128">
        <v>0</v>
      </c>
      <c r="MH128">
        <v>0</v>
      </c>
      <c r="MI128">
        <v>0</v>
      </c>
      <c r="MJ128">
        <v>0</v>
      </c>
      <c r="MK128">
        <v>0</v>
      </c>
      <c r="ML128">
        <v>0</v>
      </c>
      <c r="MM128">
        <v>0</v>
      </c>
      <c r="MN128">
        <v>1</v>
      </c>
      <c r="MO128">
        <v>1</v>
      </c>
      <c r="MP128">
        <v>1</v>
      </c>
      <c r="MQ128">
        <v>1</v>
      </c>
      <c r="MR128">
        <v>1</v>
      </c>
      <c r="MS128">
        <v>1</v>
      </c>
      <c r="MT128">
        <v>1</v>
      </c>
      <c r="MU128">
        <v>1</v>
      </c>
      <c r="MV128">
        <v>1</v>
      </c>
      <c r="MW128">
        <v>1</v>
      </c>
      <c r="MX128">
        <v>1</v>
      </c>
      <c r="MY128">
        <v>1</v>
      </c>
      <c r="MZ128">
        <v>1</v>
      </c>
      <c r="NA128">
        <v>1</v>
      </c>
      <c r="NB128">
        <v>1</v>
      </c>
      <c r="NC128">
        <v>1</v>
      </c>
      <c r="ND128">
        <v>1</v>
      </c>
      <c r="NE128">
        <v>1</v>
      </c>
      <c r="NF128">
        <v>1</v>
      </c>
      <c r="NG128">
        <v>1</v>
      </c>
      <c r="NH128">
        <v>1</v>
      </c>
      <c r="NI128">
        <v>1</v>
      </c>
      <c r="NJ128">
        <v>1</v>
      </c>
      <c r="NK128">
        <v>1</v>
      </c>
      <c r="NL128">
        <v>1</v>
      </c>
      <c r="NM128">
        <v>1</v>
      </c>
      <c r="NN128">
        <v>1</v>
      </c>
      <c r="NO128">
        <v>1</v>
      </c>
      <c r="NP128">
        <v>1</v>
      </c>
      <c r="NQ128">
        <v>1</v>
      </c>
      <c r="NR128">
        <v>1</v>
      </c>
      <c r="NS128">
        <v>1</v>
      </c>
      <c r="NT128">
        <v>1</v>
      </c>
      <c r="NU128">
        <v>1</v>
      </c>
      <c r="NV128">
        <v>1</v>
      </c>
      <c r="NW128">
        <v>1</v>
      </c>
      <c r="NX128">
        <v>1</v>
      </c>
      <c r="NY128">
        <v>1</v>
      </c>
      <c r="NZ128">
        <v>1</v>
      </c>
      <c r="OA128">
        <v>1</v>
      </c>
      <c r="OB128">
        <v>1</v>
      </c>
      <c r="OC128">
        <v>1</v>
      </c>
      <c r="OD128">
        <v>1</v>
      </c>
      <c r="OE128">
        <v>1</v>
      </c>
      <c r="OF128">
        <v>1</v>
      </c>
      <c r="OG128">
        <v>1</v>
      </c>
      <c r="OH128">
        <v>1</v>
      </c>
      <c r="OI128">
        <v>1</v>
      </c>
      <c r="OJ128">
        <v>1</v>
      </c>
      <c r="OK128">
        <v>1</v>
      </c>
      <c r="OL128">
        <v>1</v>
      </c>
      <c r="OM128">
        <v>1</v>
      </c>
      <c r="ON128">
        <v>1</v>
      </c>
      <c r="OO128">
        <v>1</v>
      </c>
      <c r="OP128">
        <v>1</v>
      </c>
      <c r="OQ128">
        <v>1</v>
      </c>
      <c r="OR128">
        <v>1</v>
      </c>
      <c r="OS128">
        <v>1</v>
      </c>
      <c r="OT128">
        <v>1</v>
      </c>
      <c r="OU128">
        <v>1</v>
      </c>
      <c r="OV128">
        <v>1</v>
      </c>
      <c r="OW128">
        <v>1</v>
      </c>
      <c r="OX128">
        <v>1</v>
      </c>
      <c r="OY128">
        <v>1</v>
      </c>
      <c r="OZ128">
        <v>1</v>
      </c>
      <c r="PA128">
        <v>1</v>
      </c>
      <c r="PB128">
        <v>1</v>
      </c>
      <c r="PC128">
        <v>1</v>
      </c>
      <c r="PD128">
        <v>1</v>
      </c>
      <c r="PE128">
        <v>1</v>
      </c>
      <c r="PF128">
        <v>1</v>
      </c>
      <c r="PG128">
        <v>1</v>
      </c>
      <c r="PH128">
        <v>1</v>
      </c>
      <c r="PI128">
        <v>1</v>
      </c>
      <c r="PJ128">
        <v>1</v>
      </c>
      <c r="PK128">
        <v>1</v>
      </c>
      <c r="PL128">
        <v>1</v>
      </c>
      <c r="PM128">
        <v>1</v>
      </c>
      <c r="PN128">
        <v>1</v>
      </c>
      <c r="PO128">
        <v>1</v>
      </c>
      <c r="PP128">
        <v>1</v>
      </c>
      <c r="PQ128">
        <v>1</v>
      </c>
      <c r="PR128">
        <v>1</v>
      </c>
      <c r="PS128">
        <v>1</v>
      </c>
      <c r="PT128">
        <v>1</v>
      </c>
      <c r="PU128">
        <v>1</v>
      </c>
      <c r="PV128">
        <v>1</v>
      </c>
      <c r="PW128">
        <v>1</v>
      </c>
      <c r="PX128">
        <v>1</v>
      </c>
      <c r="PY128">
        <v>1</v>
      </c>
      <c r="PZ128">
        <v>1</v>
      </c>
      <c r="QA128">
        <v>1</v>
      </c>
      <c r="QB128">
        <v>1</v>
      </c>
      <c r="QC128">
        <v>1</v>
      </c>
      <c r="QD128">
        <v>1</v>
      </c>
      <c r="QE128">
        <v>1</v>
      </c>
      <c r="QF128">
        <v>1</v>
      </c>
      <c r="QG128">
        <v>1</v>
      </c>
      <c r="QH128">
        <v>1</v>
      </c>
      <c r="QI128">
        <v>1</v>
      </c>
      <c r="QJ128">
        <v>1</v>
      </c>
      <c r="QK128">
        <v>1</v>
      </c>
      <c r="QL128">
        <v>1</v>
      </c>
      <c r="QM128">
        <v>1</v>
      </c>
      <c r="QN128">
        <v>1</v>
      </c>
      <c r="QO128">
        <v>1</v>
      </c>
      <c r="QP128">
        <v>1</v>
      </c>
      <c r="QQ128">
        <v>1</v>
      </c>
      <c r="QR128">
        <v>1</v>
      </c>
      <c r="QS128">
        <v>1</v>
      </c>
      <c r="QT128">
        <v>1</v>
      </c>
      <c r="QU128">
        <v>1</v>
      </c>
      <c r="QV128">
        <v>1</v>
      </c>
      <c r="QW128">
        <v>1</v>
      </c>
      <c r="QX128">
        <v>1</v>
      </c>
      <c r="QY128">
        <v>1</v>
      </c>
      <c r="QZ128">
        <v>1</v>
      </c>
      <c r="RA128">
        <v>1</v>
      </c>
      <c r="RB128">
        <v>1</v>
      </c>
      <c r="RC128">
        <v>1</v>
      </c>
      <c r="RD128">
        <v>1</v>
      </c>
      <c r="RE128">
        <v>1</v>
      </c>
      <c r="RF128">
        <v>1</v>
      </c>
      <c r="RG128">
        <v>1</v>
      </c>
      <c r="RH128">
        <v>1</v>
      </c>
      <c r="RI128">
        <v>1</v>
      </c>
      <c r="RJ128">
        <v>1</v>
      </c>
      <c r="RK128">
        <v>1</v>
      </c>
      <c r="RL128">
        <v>1</v>
      </c>
      <c r="RM128">
        <v>1</v>
      </c>
      <c r="RN128">
        <v>1</v>
      </c>
      <c r="RO128">
        <v>1</v>
      </c>
      <c r="RP128">
        <v>1</v>
      </c>
      <c r="RQ128">
        <v>1</v>
      </c>
      <c r="RR128">
        <v>1</v>
      </c>
      <c r="RS128">
        <v>1</v>
      </c>
      <c r="RT128">
        <v>1</v>
      </c>
      <c r="RU128">
        <v>1</v>
      </c>
      <c r="RV128">
        <v>1</v>
      </c>
      <c r="RW128">
        <v>1</v>
      </c>
      <c r="RX128">
        <v>1</v>
      </c>
      <c r="RY128">
        <v>1</v>
      </c>
      <c r="RZ128">
        <v>1</v>
      </c>
      <c r="SA128">
        <v>1</v>
      </c>
      <c r="SB128">
        <v>1</v>
      </c>
      <c r="SC128">
        <v>1</v>
      </c>
      <c r="SD128">
        <v>1</v>
      </c>
      <c r="SE128">
        <v>1</v>
      </c>
      <c r="SF128">
        <v>1</v>
      </c>
      <c r="SG128">
        <v>1</v>
      </c>
      <c r="SH128">
        <v>1</v>
      </c>
      <c r="SI128">
        <v>1</v>
      </c>
      <c r="SJ128">
        <v>1</v>
      </c>
      <c r="SK128">
        <v>1</v>
      </c>
      <c r="SL128">
        <v>1</v>
      </c>
      <c r="SM128">
        <v>1</v>
      </c>
      <c r="SN128">
        <v>1</v>
      </c>
      <c r="SO128">
        <v>1</v>
      </c>
      <c r="SP128">
        <v>1</v>
      </c>
      <c r="SQ128">
        <v>1</v>
      </c>
      <c r="SR128">
        <v>1</v>
      </c>
      <c r="SS128">
        <v>1</v>
      </c>
      <c r="ST128">
        <v>1</v>
      </c>
      <c r="SU128">
        <v>1</v>
      </c>
      <c r="SV128">
        <v>1</v>
      </c>
      <c r="SW128">
        <v>1</v>
      </c>
      <c r="SX128">
        <v>1</v>
      </c>
      <c r="SY128">
        <v>1</v>
      </c>
      <c r="SZ128">
        <v>1</v>
      </c>
      <c r="TA128">
        <v>1</v>
      </c>
      <c r="TB128">
        <v>1</v>
      </c>
      <c r="TC128">
        <v>1</v>
      </c>
      <c r="TD128">
        <v>1</v>
      </c>
      <c r="TE128">
        <v>1</v>
      </c>
      <c r="TF128">
        <v>1</v>
      </c>
      <c r="TG128">
        <v>1</v>
      </c>
      <c r="TH128">
        <v>1</v>
      </c>
      <c r="TI128">
        <v>1</v>
      </c>
      <c r="TJ128">
        <v>1</v>
      </c>
      <c r="TK128">
        <v>1</v>
      </c>
      <c r="TL128">
        <v>1</v>
      </c>
      <c r="TM128">
        <v>1</v>
      </c>
      <c r="TN128">
        <v>1</v>
      </c>
      <c r="TO128">
        <v>1</v>
      </c>
      <c r="TP128">
        <v>1</v>
      </c>
      <c r="TQ128">
        <v>1</v>
      </c>
      <c r="TR128">
        <v>1</v>
      </c>
      <c r="TS128">
        <v>1</v>
      </c>
      <c r="TT128">
        <v>1</v>
      </c>
      <c r="TU128">
        <v>1</v>
      </c>
      <c r="TV128">
        <v>1</v>
      </c>
      <c r="TW128">
        <v>1</v>
      </c>
      <c r="TX128">
        <v>1</v>
      </c>
      <c r="TY128">
        <v>0</v>
      </c>
      <c r="TZ128">
        <v>0</v>
      </c>
      <c r="UA128">
        <v>0</v>
      </c>
      <c r="UB128">
        <v>0</v>
      </c>
      <c r="UC128">
        <v>0</v>
      </c>
      <c r="UD128">
        <v>0</v>
      </c>
      <c r="UE128">
        <v>0</v>
      </c>
      <c r="UF128">
        <v>0</v>
      </c>
      <c r="UG128">
        <v>0</v>
      </c>
      <c r="UH128">
        <v>0</v>
      </c>
      <c r="UI128">
        <v>0</v>
      </c>
      <c r="UJ128">
        <v>0</v>
      </c>
      <c r="UK128">
        <v>0</v>
      </c>
      <c r="UL128">
        <v>0</v>
      </c>
      <c r="UM128">
        <v>0</v>
      </c>
      <c r="UN128">
        <v>0</v>
      </c>
      <c r="UO128">
        <v>0</v>
      </c>
      <c r="UP128">
        <v>0</v>
      </c>
      <c r="UQ128">
        <v>0</v>
      </c>
      <c r="UR128">
        <v>0</v>
      </c>
      <c r="US128">
        <v>0</v>
      </c>
      <c r="UT128">
        <v>0</v>
      </c>
      <c r="UU128">
        <v>0</v>
      </c>
      <c r="UV128">
        <v>0</v>
      </c>
      <c r="UW128">
        <v>0</v>
      </c>
      <c r="UX128">
        <v>0</v>
      </c>
      <c r="UY128">
        <v>0</v>
      </c>
      <c r="UZ128">
        <v>0</v>
      </c>
      <c r="VA128">
        <v>0</v>
      </c>
      <c r="VB128">
        <v>0</v>
      </c>
      <c r="VC128">
        <v>0</v>
      </c>
      <c r="VD128">
        <v>0</v>
      </c>
      <c r="VE128">
        <v>0</v>
      </c>
      <c r="VF128">
        <v>0</v>
      </c>
      <c r="VG128">
        <v>0</v>
      </c>
      <c r="VH128">
        <v>0</v>
      </c>
      <c r="VI128">
        <v>0</v>
      </c>
      <c r="VJ128">
        <v>0</v>
      </c>
      <c r="VK128">
        <v>0</v>
      </c>
      <c r="VL128">
        <v>0</v>
      </c>
      <c r="VM128">
        <v>0</v>
      </c>
      <c r="VN128">
        <v>0</v>
      </c>
      <c r="VO128">
        <v>0</v>
      </c>
      <c r="VP128">
        <v>0</v>
      </c>
      <c r="VQ128">
        <v>0</v>
      </c>
      <c r="VR128">
        <v>0</v>
      </c>
      <c r="VS128">
        <v>0</v>
      </c>
      <c r="VT128">
        <v>0</v>
      </c>
      <c r="VU128">
        <v>0</v>
      </c>
      <c r="VV128">
        <v>0</v>
      </c>
      <c r="VW128">
        <v>0</v>
      </c>
      <c r="VX128">
        <v>0</v>
      </c>
      <c r="VY128">
        <v>0</v>
      </c>
      <c r="VZ128">
        <v>0</v>
      </c>
      <c r="WA128">
        <v>0</v>
      </c>
      <c r="WB128">
        <v>0</v>
      </c>
      <c r="WC128">
        <v>0</v>
      </c>
      <c r="WD128">
        <v>0</v>
      </c>
      <c r="WE128">
        <v>0</v>
      </c>
      <c r="WF128">
        <v>0</v>
      </c>
      <c r="WG128">
        <v>0</v>
      </c>
      <c r="WH128">
        <v>0</v>
      </c>
      <c r="WI128">
        <v>0</v>
      </c>
      <c r="WJ128">
        <v>0</v>
      </c>
      <c r="WK128">
        <v>0</v>
      </c>
      <c r="WL128">
        <v>0</v>
      </c>
      <c r="WM128">
        <v>0</v>
      </c>
      <c r="WN128">
        <v>0</v>
      </c>
      <c r="WO128">
        <v>0</v>
      </c>
      <c r="WP128">
        <v>0</v>
      </c>
      <c r="WQ128">
        <v>0</v>
      </c>
      <c r="WR128">
        <v>0</v>
      </c>
      <c r="WS128">
        <v>0</v>
      </c>
      <c r="WT128">
        <v>0</v>
      </c>
      <c r="WU128">
        <v>0</v>
      </c>
      <c r="WV128">
        <v>0</v>
      </c>
      <c r="WW128">
        <v>0</v>
      </c>
      <c r="WX128">
        <v>0</v>
      </c>
      <c r="WY128">
        <v>0</v>
      </c>
      <c r="WZ128">
        <v>0</v>
      </c>
      <c r="XA128">
        <v>0</v>
      </c>
      <c r="XB128">
        <v>0</v>
      </c>
      <c r="XC128">
        <v>0</v>
      </c>
      <c r="XD128">
        <v>0</v>
      </c>
      <c r="XE128">
        <v>0</v>
      </c>
      <c r="XF128">
        <v>0</v>
      </c>
      <c r="XG128">
        <v>0</v>
      </c>
      <c r="XH128">
        <v>0</v>
      </c>
      <c r="XI128">
        <v>0</v>
      </c>
      <c r="XJ128">
        <v>0</v>
      </c>
      <c r="XK128">
        <v>0</v>
      </c>
      <c r="XL128">
        <v>0</v>
      </c>
      <c r="XM128">
        <v>0</v>
      </c>
      <c r="XN128">
        <v>0</v>
      </c>
      <c r="XO128">
        <v>0</v>
      </c>
      <c r="XP128">
        <v>0</v>
      </c>
      <c r="XQ128">
        <v>0</v>
      </c>
      <c r="XR128">
        <v>0</v>
      </c>
      <c r="XS128">
        <v>0</v>
      </c>
      <c r="XT128">
        <v>0</v>
      </c>
      <c r="XU128">
        <v>0</v>
      </c>
      <c r="XV128">
        <v>0</v>
      </c>
      <c r="XW128">
        <v>0</v>
      </c>
      <c r="XX128">
        <v>0</v>
      </c>
      <c r="XY128">
        <v>0</v>
      </c>
      <c r="XZ128">
        <v>0</v>
      </c>
      <c r="YA128">
        <v>0</v>
      </c>
      <c r="YB128">
        <v>0</v>
      </c>
      <c r="YC128">
        <v>0</v>
      </c>
      <c r="YD128">
        <v>0</v>
      </c>
      <c r="YE128">
        <v>0</v>
      </c>
      <c r="YF128">
        <v>0</v>
      </c>
      <c r="YG128">
        <v>0</v>
      </c>
      <c r="YH128">
        <v>0</v>
      </c>
      <c r="YI128">
        <v>0</v>
      </c>
      <c r="YJ128">
        <v>0</v>
      </c>
      <c r="YK128">
        <v>0</v>
      </c>
      <c r="YL128">
        <v>0</v>
      </c>
      <c r="YM128">
        <v>0</v>
      </c>
      <c r="YN128">
        <v>0</v>
      </c>
      <c r="YO128">
        <v>0</v>
      </c>
      <c r="YP128">
        <v>0</v>
      </c>
      <c r="YQ128">
        <v>0</v>
      </c>
      <c r="YR128">
        <v>0</v>
      </c>
      <c r="YS128">
        <v>0</v>
      </c>
      <c r="YT128">
        <v>0</v>
      </c>
      <c r="YU128">
        <v>0</v>
      </c>
      <c r="YV128">
        <v>0</v>
      </c>
      <c r="YW128">
        <v>0</v>
      </c>
      <c r="YX128">
        <v>0</v>
      </c>
      <c r="YY128">
        <v>0</v>
      </c>
      <c r="YZ128">
        <v>0</v>
      </c>
      <c r="ZA128">
        <v>0</v>
      </c>
      <c r="ZB128">
        <v>0</v>
      </c>
      <c r="ZC128">
        <v>0</v>
      </c>
      <c r="ZD128">
        <v>0</v>
      </c>
      <c r="ZE128">
        <v>0</v>
      </c>
      <c r="ZF128">
        <v>0</v>
      </c>
      <c r="ZG128">
        <v>0</v>
      </c>
      <c r="ZH128">
        <v>0</v>
      </c>
      <c r="ZI128">
        <v>0</v>
      </c>
      <c r="ZJ128">
        <v>0</v>
      </c>
      <c r="ZK128">
        <v>0</v>
      </c>
      <c r="ZL128">
        <v>0</v>
      </c>
      <c r="ZM128">
        <v>0</v>
      </c>
      <c r="ZN128">
        <v>0</v>
      </c>
      <c r="ZO128">
        <v>0</v>
      </c>
      <c r="ZP128">
        <v>0</v>
      </c>
      <c r="ZQ128">
        <v>0</v>
      </c>
      <c r="ZR128">
        <v>0</v>
      </c>
      <c r="ZS128">
        <v>0</v>
      </c>
      <c r="ZT128">
        <v>0</v>
      </c>
      <c r="ZU128">
        <v>0</v>
      </c>
      <c r="ZV128">
        <v>0</v>
      </c>
      <c r="ZW128">
        <v>0</v>
      </c>
      <c r="ZX128">
        <v>0</v>
      </c>
      <c r="ZY128">
        <v>0</v>
      </c>
      <c r="ZZ128">
        <v>0</v>
      </c>
      <c r="AAA128">
        <v>0</v>
      </c>
      <c r="AAB128">
        <v>0</v>
      </c>
      <c r="AAC128">
        <v>0</v>
      </c>
      <c r="AAD128">
        <v>0</v>
      </c>
      <c r="AAE128">
        <v>0</v>
      </c>
      <c r="AAF128">
        <v>0</v>
      </c>
      <c r="AAG128">
        <v>0</v>
      </c>
      <c r="AAH128">
        <v>0</v>
      </c>
      <c r="AAI128">
        <v>0</v>
      </c>
      <c r="AAJ128">
        <v>0</v>
      </c>
      <c r="AAK128">
        <v>0</v>
      </c>
      <c r="AAL128">
        <v>0</v>
      </c>
      <c r="AAM128">
        <v>0</v>
      </c>
      <c r="AAN128">
        <v>0</v>
      </c>
      <c r="AAO128">
        <v>0</v>
      </c>
      <c r="AAP128">
        <v>0</v>
      </c>
      <c r="AAQ128">
        <v>0</v>
      </c>
      <c r="AAR128">
        <v>0</v>
      </c>
      <c r="AAS128">
        <v>0</v>
      </c>
      <c r="AAT128">
        <v>0</v>
      </c>
      <c r="AAU128">
        <v>0</v>
      </c>
      <c r="AAV128">
        <v>0</v>
      </c>
      <c r="AAW128">
        <v>0</v>
      </c>
      <c r="AAX128">
        <v>0</v>
      </c>
      <c r="AAY128">
        <v>0</v>
      </c>
      <c r="AAZ128">
        <v>0</v>
      </c>
      <c r="ABA128">
        <v>0</v>
      </c>
      <c r="ABB128">
        <v>0</v>
      </c>
      <c r="ABC128">
        <v>0</v>
      </c>
      <c r="ABD128">
        <v>0</v>
      </c>
      <c r="ABE128">
        <v>0</v>
      </c>
      <c r="ABG128" s="1137">
        <f t="shared" si="30"/>
        <v>0</v>
      </c>
      <c r="ABH128" s="1137">
        <f t="shared" si="30"/>
        <v>0</v>
      </c>
      <c r="ABI128" s="1137">
        <f t="shared" si="30"/>
        <v>9</v>
      </c>
      <c r="ABJ128" s="1137">
        <f t="shared" si="30"/>
        <v>30</v>
      </c>
      <c r="ABK128" s="1137">
        <f t="shared" si="30"/>
        <v>31</v>
      </c>
      <c r="ABL128" s="1137">
        <f t="shared" si="30"/>
        <v>30</v>
      </c>
      <c r="ABM128" s="1137">
        <f t="shared" si="30"/>
        <v>0</v>
      </c>
      <c r="ABN128" s="1137">
        <f t="shared" si="30"/>
        <v>0</v>
      </c>
      <c r="ABO128" s="1137">
        <f t="shared" si="30"/>
        <v>2</v>
      </c>
      <c r="ABP128" s="1137">
        <f t="shared" si="30"/>
        <v>31</v>
      </c>
      <c r="ABQ128" s="1137">
        <f t="shared" si="30"/>
        <v>21</v>
      </c>
      <c r="ABR128" s="1137">
        <f t="shared" si="30"/>
        <v>17</v>
      </c>
      <c r="ABS128" s="1137">
        <f t="shared" si="30"/>
        <v>31</v>
      </c>
      <c r="ABT128" s="1137">
        <f t="shared" si="30"/>
        <v>28</v>
      </c>
      <c r="ABU128" s="1137">
        <f t="shared" si="30"/>
        <v>31</v>
      </c>
      <c r="ABV128" s="1137">
        <f t="shared" si="30"/>
        <v>30</v>
      </c>
      <c r="ABW128" s="1137">
        <f t="shared" si="31"/>
        <v>31</v>
      </c>
      <c r="ABX128" s="1137">
        <f t="shared" si="34"/>
        <v>25</v>
      </c>
      <c r="ABY128" s="1137">
        <f t="shared" si="34"/>
        <v>0</v>
      </c>
      <c r="ABZ128" s="1137">
        <f t="shared" si="34"/>
        <v>0</v>
      </c>
      <c r="ACA128" s="1137">
        <f t="shared" si="34"/>
        <v>0</v>
      </c>
      <c r="ACB128" s="1137">
        <f t="shared" si="34"/>
        <v>0</v>
      </c>
      <c r="ACC128" s="1137">
        <f t="shared" si="34"/>
        <v>0</v>
      </c>
      <c r="ACD128" s="1137">
        <f t="shared" si="34"/>
        <v>0</v>
      </c>
      <c r="ACE128" s="1137" t="s">
        <v>226</v>
      </c>
      <c r="ACF128" s="1137">
        <f t="shared" si="33"/>
        <v>0</v>
      </c>
      <c r="ACG128" s="1137">
        <f t="shared" si="33"/>
        <v>0</v>
      </c>
      <c r="ACH128" s="1137">
        <f t="shared" si="33"/>
        <v>0</v>
      </c>
      <c r="ACI128" s="1137">
        <f t="shared" si="33"/>
        <v>1</v>
      </c>
      <c r="ACJ128" s="1137">
        <f t="shared" si="33"/>
        <v>1</v>
      </c>
      <c r="ACK128" s="1137">
        <f t="shared" si="33"/>
        <v>1</v>
      </c>
      <c r="ACL128" s="1137">
        <f t="shared" si="33"/>
        <v>0</v>
      </c>
      <c r="ACM128" s="1137">
        <f t="shared" si="33"/>
        <v>0</v>
      </c>
      <c r="ACN128" s="1137">
        <f t="shared" si="33"/>
        <v>0</v>
      </c>
      <c r="ACO128" s="1137">
        <f t="shared" si="33"/>
        <v>1</v>
      </c>
      <c r="ACP128" s="1137">
        <f t="shared" si="33"/>
        <v>1</v>
      </c>
      <c r="ACQ128" s="1137">
        <f t="shared" si="32"/>
        <v>1</v>
      </c>
      <c r="ACR128" s="1137">
        <f t="shared" si="32"/>
        <v>1</v>
      </c>
      <c r="ACS128" s="1137">
        <f t="shared" si="32"/>
        <v>1</v>
      </c>
      <c r="ACT128" s="1137">
        <f t="shared" si="32"/>
        <v>1</v>
      </c>
      <c r="ACU128" s="1137">
        <f t="shared" si="32"/>
        <v>1</v>
      </c>
      <c r="ACV128" s="1137">
        <f t="shared" si="32"/>
        <v>1</v>
      </c>
      <c r="ACW128" s="1137">
        <f t="shared" si="32"/>
        <v>1</v>
      </c>
      <c r="ACX128" s="1137">
        <f t="shared" si="32"/>
        <v>0</v>
      </c>
      <c r="ACY128" s="1137">
        <f t="shared" si="32"/>
        <v>0</v>
      </c>
      <c r="ACZ128" s="1137">
        <f t="shared" si="32"/>
        <v>0</v>
      </c>
      <c r="ADA128" s="1137">
        <f t="shared" si="35"/>
        <v>0</v>
      </c>
      <c r="ADB128" s="1137">
        <f t="shared" si="35"/>
        <v>0</v>
      </c>
      <c r="ADC128" s="1137">
        <f t="shared" si="35"/>
        <v>0</v>
      </c>
    </row>
    <row r="129" spans="1:783" x14ac:dyDescent="0.25">
      <c r="A129" t="s">
        <v>1928</v>
      </c>
      <c r="B129" t="s">
        <v>230</v>
      </c>
      <c r="C129">
        <v>0</v>
      </c>
      <c r="D129">
        <v>0</v>
      </c>
      <c r="E129">
        <v>0</v>
      </c>
      <c r="F129">
        <v>0</v>
      </c>
      <c r="G129">
        <v>0</v>
      </c>
      <c r="H129">
        <v>0</v>
      </c>
      <c r="I129">
        <v>0</v>
      </c>
      <c r="J129">
        <v>0</v>
      </c>
      <c r="K129">
        <v>0</v>
      </c>
      <c r="L129">
        <v>0</v>
      </c>
      <c r="M129">
        <v>0</v>
      </c>
      <c r="N129">
        <v>0</v>
      </c>
      <c r="O129">
        <v>0</v>
      </c>
      <c r="P129">
        <v>0</v>
      </c>
      <c r="Q129">
        <v>0</v>
      </c>
      <c r="R129">
        <v>0</v>
      </c>
      <c r="S129">
        <v>0</v>
      </c>
      <c r="T129">
        <v>0</v>
      </c>
      <c r="U129">
        <v>0</v>
      </c>
      <c r="V129">
        <v>0</v>
      </c>
      <c r="W129">
        <v>0</v>
      </c>
      <c r="X129">
        <v>0</v>
      </c>
      <c r="Y129">
        <v>0</v>
      </c>
      <c r="Z129">
        <v>0</v>
      </c>
      <c r="AA129">
        <v>0</v>
      </c>
      <c r="AB129">
        <v>0</v>
      </c>
      <c r="AC129">
        <v>0</v>
      </c>
      <c r="AD129">
        <v>0</v>
      </c>
      <c r="AE129">
        <v>0</v>
      </c>
      <c r="AF129">
        <v>0</v>
      </c>
      <c r="AG129">
        <v>0</v>
      </c>
      <c r="AH129">
        <v>0</v>
      </c>
      <c r="AI129">
        <v>0</v>
      </c>
      <c r="AJ129">
        <v>0</v>
      </c>
      <c r="AK129">
        <v>0</v>
      </c>
      <c r="AL129">
        <v>0</v>
      </c>
      <c r="AM129">
        <v>0</v>
      </c>
      <c r="AN129">
        <v>0</v>
      </c>
      <c r="AO129">
        <v>0</v>
      </c>
      <c r="AP129">
        <v>0</v>
      </c>
      <c r="AQ129">
        <v>0</v>
      </c>
      <c r="AR129">
        <v>0</v>
      </c>
      <c r="AS129">
        <v>0</v>
      </c>
      <c r="AT129">
        <v>0</v>
      </c>
      <c r="AU129">
        <v>0</v>
      </c>
      <c r="AV129">
        <v>0</v>
      </c>
      <c r="AW129">
        <v>0</v>
      </c>
      <c r="AX129">
        <v>0</v>
      </c>
      <c r="AY129">
        <v>0</v>
      </c>
      <c r="AZ129">
        <v>0</v>
      </c>
      <c r="BA129">
        <v>0</v>
      </c>
      <c r="BB129">
        <v>0</v>
      </c>
      <c r="BC129">
        <v>0</v>
      </c>
      <c r="BD129">
        <v>0</v>
      </c>
      <c r="BE129">
        <v>0</v>
      </c>
      <c r="BF129">
        <v>0</v>
      </c>
      <c r="BG129">
        <v>0</v>
      </c>
      <c r="BH129">
        <v>0</v>
      </c>
      <c r="BI129">
        <v>0</v>
      </c>
      <c r="BJ129">
        <v>0</v>
      </c>
      <c r="BK129">
        <v>0</v>
      </c>
      <c r="BL129">
        <v>0</v>
      </c>
      <c r="BM129">
        <v>0</v>
      </c>
      <c r="BN129">
        <v>0</v>
      </c>
      <c r="BO129">
        <v>0</v>
      </c>
      <c r="BP129">
        <v>0</v>
      </c>
      <c r="BQ129">
        <v>0</v>
      </c>
      <c r="BR129">
        <v>0</v>
      </c>
      <c r="BS129">
        <v>0</v>
      </c>
      <c r="BT129">
        <v>0</v>
      </c>
      <c r="BU129">
        <v>0</v>
      </c>
      <c r="BV129">
        <v>0</v>
      </c>
      <c r="BW129">
        <v>0</v>
      </c>
      <c r="BX129">
        <v>0</v>
      </c>
      <c r="BY129">
        <v>0</v>
      </c>
      <c r="BZ129">
        <v>2</v>
      </c>
      <c r="CA129">
        <v>2</v>
      </c>
      <c r="CB129">
        <v>2</v>
      </c>
      <c r="CC129">
        <v>2</v>
      </c>
      <c r="CD129">
        <v>2</v>
      </c>
      <c r="CE129">
        <v>2</v>
      </c>
      <c r="CF129">
        <v>2</v>
      </c>
      <c r="CG129">
        <v>2</v>
      </c>
      <c r="CH129">
        <v>2</v>
      </c>
      <c r="CI129">
        <v>2</v>
      </c>
      <c r="CJ129">
        <v>2</v>
      </c>
      <c r="CK129">
        <v>2</v>
      </c>
      <c r="CL129">
        <v>2</v>
      </c>
      <c r="CM129">
        <v>2</v>
      </c>
      <c r="CN129">
        <v>2</v>
      </c>
      <c r="CO129">
        <v>2</v>
      </c>
      <c r="CP129">
        <v>2</v>
      </c>
      <c r="CQ129">
        <v>2</v>
      </c>
      <c r="CR129">
        <v>2</v>
      </c>
      <c r="CS129">
        <v>2</v>
      </c>
      <c r="CT129">
        <v>2</v>
      </c>
      <c r="CU129">
        <v>2</v>
      </c>
      <c r="CV129">
        <v>2</v>
      </c>
      <c r="CW129">
        <v>2</v>
      </c>
      <c r="CX129">
        <v>2</v>
      </c>
      <c r="CY129">
        <v>2</v>
      </c>
      <c r="CZ129">
        <v>2</v>
      </c>
      <c r="DA129">
        <v>2</v>
      </c>
      <c r="DB129">
        <v>2</v>
      </c>
      <c r="DC129">
        <v>2</v>
      </c>
      <c r="DD129">
        <v>2</v>
      </c>
      <c r="DE129">
        <v>2</v>
      </c>
      <c r="DF129">
        <v>2</v>
      </c>
      <c r="DG129">
        <v>2</v>
      </c>
      <c r="DH129">
        <v>2</v>
      </c>
      <c r="DI129">
        <v>1</v>
      </c>
      <c r="DJ129">
        <v>1</v>
      </c>
      <c r="DK129">
        <v>1</v>
      </c>
      <c r="DL129">
        <v>1</v>
      </c>
      <c r="DM129">
        <v>1</v>
      </c>
      <c r="DN129">
        <v>1</v>
      </c>
      <c r="DO129">
        <v>1</v>
      </c>
      <c r="DP129">
        <v>1</v>
      </c>
      <c r="DQ129">
        <v>1</v>
      </c>
      <c r="DR129">
        <v>1</v>
      </c>
      <c r="DS129">
        <v>1</v>
      </c>
      <c r="DT129">
        <v>1</v>
      </c>
      <c r="DU129">
        <v>1</v>
      </c>
      <c r="DV129">
        <v>1</v>
      </c>
      <c r="DW129">
        <v>1</v>
      </c>
      <c r="DX129">
        <v>1</v>
      </c>
      <c r="DY129">
        <v>1</v>
      </c>
      <c r="DZ129">
        <v>1</v>
      </c>
      <c r="EA129">
        <v>1</v>
      </c>
      <c r="EB129">
        <v>1</v>
      </c>
      <c r="EC129">
        <v>1</v>
      </c>
      <c r="ED129">
        <v>1</v>
      </c>
      <c r="EE129">
        <v>1</v>
      </c>
      <c r="EF129">
        <v>1</v>
      </c>
      <c r="EG129">
        <v>1</v>
      </c>
      <c r="EH129">
        <v>1</v>
      </c>
      <c r="EI129">
        <v>1</v>
      </c>
      <c r="EJ129">
        <v>1</v>
      </c>
      <c r="EK129">
        <v>1</v>
      </c>
      <c r="EL129">
        <v>1</v>
      </c>
      <c r="EM129">
        <v>1</v>
      </c>
      <c r="EN129">
        <v>1</v>
      </c>
      <c r="EO129">
        <v>1</v>
      </c>
      <c r="EP129">
        <v>1</v>
      </c>
      <c r="EQ129">
        <v>1</v>
      </c>
      <c r="ER129">
        <v>1</v>
      </c>
      <c r="ES129">
        <v>1</v>
      </c>
      <c r="ET129">
        <v>1</v>
      </c>
      <c r="EU129">
        <v>1</v>
      </c>
      <c r="EV129">
        <v>1</v>
      </c>
      <c r="EW129">
        <v>1</v>
      </c>
      <c r="EX129">
        <v>1</v>
      </c>
      <c r="EY129">
        <v>1</v>
      </c>
      <c r="EZ129">
        <v>1</v>
      </c>
      <c r="FA129">
        <v>1</v>
      </c>
      <c r="FB129">
        <v>1</v>
      </c>
      <c r="FC129">
        <v>1</v>
      </c>
      <c r="FD129">
        <v>1</v>
      </c>
      <c r="FE129">
        <v>1</v>
      </c>
      <c r="FF129">
        <v>1</v>
      </c>
      <c r="FG129">
        <v>1</v>
      </c>
      <c r="FH129">
        <v>1</v>
      </c>
      <c r="FI129">
        <v>1</v>
      </c>
      <c r="FJ129">
        <v>1</v>
      </c>
      <c r="FK129">
        <v>1</v>
      </c>
      <c r="FL129">
        <v>1</v>
      </c>
      <c r="FM129">
        <v>1</v>
      </c>
      <c r="FN129">
        <v>1</v>
      </c>
      <c r="FO129">
        <v>1</v>
      </c>
      <c r="FP129">
        <v>1</v>
      </c>
      <c r="FQ129">
        <v>1</v>
      </c>
      <c r="FR129">
        <v>1</v>
      </c>
      <c r="FS129">
        <v>1</v>
      </c>
      <c r="FT129">
        <v>1</v>
      </c>
      <c r="FU129">
        <v>1</v>
      </c>
      <c r="FV129">
        <v>1</v>
      </c>
      <c r="FW129">
        <v>1</v>
      </c>
      <c r="FX129">
        <v>1</v>
      </c>
      <c r="FY129">
        <v>1</v>
      </c>
      <c r="FZ129">
        <v>1</v>
      </c>
      <c r="GA129">
        <v>1</v>
      </c>
      <c r="GB129">
        <v>1</v>
      </c>
      <c r="GC129">
        <v>1</v>
      </c>
      <c r="GD129">
        <v>1</v>
      </c>
      <c r="GE129">
        <v>1</v>
      </c>
      <c r="GF129">
        <v>1</v>
      </c>
      <c r="GG129">
        <v>1</v>
      </c>
      <c r="GH129">
        <v>1</v>
      </c>
      <c r="GI129">
        <v>1</v>
      </c>
      <c r="GJ129">
        <v>1</v>
      </c>
      <c r="GK129">
        <v>1</v>
      </c>
      <c r="GL129">
        <v>1</v>
      </c>
      <c r="GM129">
        <v>1</v>
      </c>
      <c r="GN129">
        <v>1</v>
      </c>
      <c r="GO129">
        <v>1</v>
      </c>
      <c r="GP129">
        <v>1</v>
      </c>
      <c r="GQ129">
        <v>1</v>
      </c>
      <c r="GR129">
        <v>1</v>
      </c>
      <c r="GS129">
        <v>1</v>
      </c>
      <c r="GT129">
        <v>1</v>
      </c>
      <c r="GU129">
        <v>1</v>
      </c>
      <c r="GV129">
        <v>1</v>
      </c>
      <c r="GW129">
        <v>1</v>
      </c>
      <c r="GX129">
        <v>1</v>
      </c>
      <c r="GY129">
        <v>1</v>
      </c>
      <c r="GZ129">
        <v>1</v>
      </c>
      <c r="HA129">
        <v>1</v>
      </c>
      <c r="HB129">
        <v>1</v>
      </c>
      <c r="HC129">
        <v>1</v>
      </c>
      <c r="HD129">
        <v>1</v>
      </c>
      <c r="HE129">
        <v>1</v>
      </c>
      <c r="HF129">
        <v>1</v>
      </c>
      <c r="HG129">
        <v>1</v>
      </c>
      <c r="HH129">
        <v>1</v>
      </c>
      <c r="HI129">
        <v>1</v>
      </c>
      <c r="HJ129">
        <v>1</v>
      </c>
      <c r="HK129">
        <v>1</v>
      </c>
      <c r="HL129">
        <v>1</v>
      </c>
      <c r="HM129">
        <v>1</v>
      </c>
      <c r="HN129">
        <v>1</v>
      </c>
      <c r="HO129">
        <v>1</v>
      </c>
      <c r="HP129">
        <v>1</v>
      </c>
      <c r="HQ129">
        <v>1</v>
      </c>
      <c r="HR129">
        <v>1</v>
      </c>
      <c r="HS129">
        <v>1</v>
      </c>
      <c r="HT129">
        <v>1</v>
      </c>
      <c r="HU129">
        <v>1</v>
      </c>
      <c r="HV129">
        <v>1</v>
      </c>
      <c r="HW129">
        <v>1</v>
      </c>
      <c r="HX129">
        <v>1</v>
      </c>
      <c r="HY129">
        <v>1</v>
      </c>
      <c r="HZ129">
        <v>1</v>
      </c>
      <c r="IA129">
        <v>1</v>
      </c>
      <c r="IB129">
        <v>1</v>
      </c>
      <c r="IC129">
        <v>1</v>
      </c>
      <c r="ID129">
        <v>1</v>
      </c>
      <c r="IE129">
        <v>1</v>
      </c>
      <c r="IF129">
        <v>1</v>
      </c>
      <c r="IG129">
        <v>1</v>
      </c>
      <c r="IH129">
        <v>1</v>
      </c>
      <c r="II129">
        <v>1</v>
      </c>
      <c r="IJ129">
        <v>1</v>
      </c>
      <c r="IK129">
        <v>1</v>
      </c>
      <c r="IL129">
        <v>1</v>
      </c>
      <c r="IM129">
        <v>1</v>
      </c>
      <c r="IN129">
        <v>1</v>
      </c>
      <c r="IO129">
        <v>1</v>
      </c>
      <c r="IP129">
        <v>1</v>
      </c>
      <c r="IQ129">
        <v>1</v>
      </c>
      <c r="IR129">
        <v>1</v>
      </c>
      <c r="IS129">
        <v>1</v>
      </c>
      <c r="IT129">
        <v>1</v>
      </c>
      <c r="IU129">
        <v>1</v>
      </c>
      <c r="IV129">
        <v>1</v>
      </c>
      <c r="IW129">
        <v>1</v>
      </c>
      <c r="IX129">
        <v>1</v>
      </c>
      <c r="IY129">
        <v>1</v>
      </c>
      <c r="IZ129">
        <v>1</v>
      </c>
      <c r="JA129">
        <v>1</v>
      </c>
      <c r="JB129">
        <v>1</v>
      </c>
      <c r="JC129">
        <v>1</v>
      </c>
      <c r="JD129">
        <v>1</v>
      </c>
      <c r="JE129">
        <v>1</v>
      </c>
      <c r="JF129">
        <v>1</v>
      </c>
      <c r="JG129">
        <v>0</v>
      </c>
      <c r="JH129">
        <v>0</v>
      </c>
      <c r="JI129">
        <v>0</v>
      </c>
      <c r="JJ129">
        <v>0</v>
      </c>
      <c r="JK129">
        <v>0</v>
      </c>
      <c r="JL129">
        <v>0</v>
      </c>
      <c r="JM129">
        <v>0</v>
      </c>
      <c r="JN129">
        <v>0</v>
      </c>
      <c r="JO129">
        <v>0</v>
      </c>
      <c r="JP129">
        <v>0</v>
      </c>
      <c r="JQ129">
        <v>0</v>
      </c>
      <c r="JR129">
        <v>0</v>
      </c>
      <c r="JS129">
        <v>0</v>
      </c>
      <c r="JT129">
        <v>0</v>
      </c>
      <c r="JU129">
        <v>0</v>
      </c>
      <c r="JV129">
        <v>0</v>
      </c>
      <c r="JW129">
        <v>0</v>
      </c>
      <c r="JX129">
        <v>0</v>
      </c>
      <c r="JY129">
        <v>0</v>
      </c>
      <c r="JZ129">
        <v>0</v>
      </c>
      <c r="KA129">
        <v>0</v>
      </c>
      <c r="KB129">
        <v>0</v>
      </c>
      <c r="KC129">
        <v>0</v>
      </c>
      <c r="KD129">
        <v>0</v>
      </c>
      <c r="KE129">
        <v>0</v>
      </c>
      <c r="KF129">
        <v>0</v>
      </c>
      <c r="KG129">
        <v>0</v>
      </c>
      <c r="KH129">
        <v>0</v>
      </c>
      <c r="KI129">
        <v>0</v>
      </c>
      <c r="KJ129">
        <v>0</v>
      </c>
      <c r="KK129">
        <v>0</v>
      </c>
      <c r="KL129">
        <v>0</v>
      </c>
      <c r="KM129">
        <v>0</v>
      </c>
      <c r="KN129">
        <v>0</v>
      </c>
      <c r="KO129">
        <v>0</v>
      </c>
      <c r="KP129">
        <v>0</v>
      </c>
      <c r="KQ129">
        <v>0</v>
      </c>
      <c r="KR129">
        <v>0</v>
      </c>
      <c r="KS129">
        <v>0</v>
      </c>
      <c r="KT129">
        <v>0</v>
      </c>
      <c r="KU129">
        <v>0</v>
      </c>
      <c r="KV129">
        <v>0</v>
      </c>
      <c r="KW129">
        <v>0</v>
      </c>
      <c r="KX129">
        <v>0</v>
      </c>
      <c r="KY129">
        <v>0</v>
      </c>
      <c r="KZ129">
        <v>1</v>
      </c>
      <c r="LA129">
        <v>1</v>
      </c>
      <c r="LB129">
        <v>1</v>
      </c>
      <c r="LC129">
        <v>1</v>
      </c>
      <c r="LD129">
        <v>1</v>
      </c>
      <c r="LE129">
        <v>1</v>
      </c>
      <c r="LF129">
        <v>1</v>
      </c>
      <c r="LG129">
        <v>1</v>
      </c>
      <c r="LH129">
        <v>1</v>
      </c>
      <c r="LI129">
        <v>1</v>
      </c>
      <c r="LJ129">
        <v>1</v>
      </c>
      <c r="LK129">
        <v>1</v>
      </c>
      <c r="LL129">
        <v>1</v>
      </c>
      <c r="LM129">
        <v>1</v>
      </c>
      <c r="LN129">
        <v>1</v>
      </c>
      <c r="LO129">
        <v>1</v>
      </c>
      <c r="LP129">
        <v>1</v>
      </c>
      <c r="LQ129">
        <v>1</v>
      </c>
      <c r="LR129">
        <v>1</v>
      </c>
      <c r="LS129">
        <v>1</v>
      </c>
      <c r="LT129">
        <v>1</v>
      </c>
      <c r="LU129">
        <v>1</v>
      </c>
      <c r="LV129">
        <v>1</v>
      </c>
      <c r="LW129">
        <v>1</v>
      </c>
      <c r="LX129">
        <v>1</v>
      </c>
      <c r="LY129">
        <v>1</v>
      </c>
      <c r="LZ129">
        <v>1</v>
      </c>
      <c r="MA129">
        <v>1</v>
      </c>
      <c r="MB129">
        <v>1</v>
      </c>
      <c r="MC129">
        <v>1</v>
      </c>
      <c r="MD129">
        <v>1</v>
      </c>
      <c r="ME129">
        <v>1</v>
      </c>
      <c r="MF129">
        <v>1</v>
      </c>
      <c r="MG129">
        <v>1</v>
      </c>
      <c r="MH129">
        <v>1</v>
      </c>
      <c r="MI129">
        <v>1</v>
      </c>
      <c r="MJ129">
        <v>1</v>
      </c>
      <c r="MK129">
        <v>1</v>
      </c>
      <c r="ML129">
        <v>1</v>
      </c>
      <c r="MM129">
        <v>1</v>
      </c>
      <c r="MN129">
        <v>1</v>
      </c>
      <c r="MO129">
        <v>1</v>
      </c>
      <c r="MP129">
        <v>1</v>
      </c>
      <c r="MQ129">
        <v>1</v>
      </c>
      <c r="MR129">
        <v>1</v>
      </c>
      <c r="MS129">
        <v>1</v>
      </c>
      <c r="MT129">
        <v>1</v>
      </c>
      <c r="MU129">
        <v>1</v>
      </c>
      <c r="MV129">
        <v>1</v>
      </c>
      <c r="MW129">
        <v>1</v>
      </c>
      <c r="MX129">
        <v>1</v>
      </c>
      <c r="MY129">
        <v>1</v>
      </c>
      <c r="MZ129">
        <v>1</v>
      </c>
      <c r="NA129">
        <v>1</v>
      </c>
      <c r="NB129">
        <v>1</v>
      </c>
      <c r="NC129">
        <v>1</v>
      </c>
      <c r="ND129">
        <v>1</v>
      </c>
      <c r="NE129">
        <v>1</v>
      </c>
      <c r="NF129">
        <v>1</v>
      </c>
      <c r="NG129">
        <v>1</v>
      </c>
      <c r="NH129">
        <v>1</v>
      </c>
      <c r="NI129">
        <v>1</v>
      </c>
      <c r="NJ129">
        <v>1</v>
      </c>
      <c r="NK129">
        <v>1</v>
      </c>
      <c r="NL129">
        <v>1</v>
      </c>
      <c r="NM129">
        <v>1</v>
      </c>
      <c r="NN129">
        <v>1</v>
      </c>
      <c r="NO129">
        <v>1</v>
      </c>
      <c r="NP129">
        <v>1</v>
      </c>
      <c r="NQ129">
        <v>1</v>
      </c>
      <c r="NR129">
        <v>1</v>
      </c>
      <c r="NS129">
        <v>1</v>
      </c>
      <c r="NT129">
        <v>1</v>
      </c>
      <c r="NU129">
        <v>1</v>
      </c>
      <c r="NV129">
        <v>1</v>
      </c>
      <c r="NW129">
        <v>1</v>
      </c>
      <c r="NX129">
        <v>1</v>
      </c>
      <c r="NY129">
        <v>1</v>
      </c>
      <c r="NZ129">
        <v>1</v>
      </c>
      <c r="OA129">
        <v>1</v>
      </c>
      <c r="OB129">
        <v>1</v>
      </c>
      <c r="OC129">
        <v>1</v>
      </c>
      <c r="OD129">
        <v>1</v>
      </c>
      <c r="OE129">
        <v>1</v>
      </c>
      <c r="OF129">
        <v>1</v>
      </c>
      <c r="OG129">
        <v>1</v>
      </c>
      <c r="OH129">
        <v>1</v>
      </c>
      <c r="OI129">
        <v>1</v>
      </c>
      <c r="OJ129">
        <v>1</v>
      </c>
      <c r="OK129">
        <v>1</v>
      </c>
      <c r="OL129">
        <v>1</v>
      </c>
      <c r="OM129">
        <v>1</v>
      </c>
      <c r="ON129">
        <v>1</v>
      </c>
      <c r="OO129">
        <v>1</v>
      </c>
      <c r="OP129">
        <v>1</v>
      </c>
      <c r="OQ129">
        <v>1</v>
      </c>
      <c r="OR129">
        <v>1</v>
      </c>
      <c r="OS129">
        <v>1</v>
      </c>
      <c r="OT129">
        <v>1</v>
      </c>
      <c r="OU129">
        <v>1</v>
      </c>
      <c r="OV129">
        <v>1</v>
      </c>
      <c r="OW129">
        <v>1</v>
      </c>
      <c r="OX129">
        <v>1</v>
      </c>
      <c r="OY129">
        <v>1</v>
      </c>
      <c r="OZ129">
        <v>1</v>
      </c>
      <c r="PA129">
        <v>1</v>
      </c>
      <c r="PB129">
        <v>1</v>
      </c>
      <c r="PC129">
        <v>1</v>
      </c>
      <c r="PD129">
        <v>1</v>
      </c>
      <c r="PE129">
        <v>1</v>
      </c>
      <c r="PF129">
        <v>1</v>
      </c>
      <c r="PG129">
        <v>1</v>
      </c>
      <c r="PH129">
        <v>1</v>
      </c>
      <c r="PI129">
        <v>1</v>
      </c>
      <c r="PJ129">
        <v>1</v>
      </c>
      <c r="PK129">
        <v>1</v>
      </c>
      <c r="PL129">
        <v>1</v>
      </c>
      <c r="PM129">
        <v>1</v>
      </c>
      <c r="PN129">
        <v>1</v>
      </c>
      <c r="PO129">
        <v>1</v>
      </c>
      <c r="PP129">
        <v>1</v>
      </c>
      <c r="PQ129">
        <v>1</v>
      </c>
      <c r="PR129">
        <v>1</v>
      </c>
      <c r="PS129">
        <v>1</v>
      </c>
      <c r="PT129">
        <v>1</v>
      </c>
      <c r="PU129">
        <v>1</v>
      </c>
      <c r="PV129">
        <v>1</v>
      </c>
      <c r="PW129">
        <v>1</v>
      </c>
      <c r="PX129">
        <v>1</v>
      </c>
      <c r="PY129">
        <v>1</v>
      </c>
      <c r="PZ129">
        <v>1</v>
      </c>
      <c r="QA129">
        <v>1</v>
      </c>
      <c r="QB129">
        <v>1</v>
      </c>
      <c r="QC129">
        <v>1</v>
      </c>
      <c r="QD129">
        <v>1</v>
      </c>
      <c r="QE129">
        <v>1</v>
      </c>
      <c r="QF129">
        <v>1</v>
      </c>
      <c r="QG129">
        <v>1</v>
      </c>
      <c r="QH129">
        <v>1</v>
      </c>
      <c r="QI129">
        <v>1</v>
      </c>
      <c r="QJ129">
        <v>1</v>
      </c>
      <c r="QK129">
        <v>1</v>
      </c>
      <c r="QL129">
        <v>1</v>
      </c>
      <c r="QM129">
        <v>1</v>
      </c>
      <c r="QN129">
        <v>1</v>
      </c>
      <c r="QO129">
        <v>1</v>
      </c>
      <c r="QP129">
        <v>1</v>
      </c>
      <c r="QQ129">
        <v>1</v>
      </c>
      <c r="QR129">
        <v>1</v>
      </c>
      <c r="QS129">
        <v>1</v>
      </c>
      <c r="QT129">
        <v>1</v>
      </c>
      <c r="QU129">
        <v>1</v>
      </c>
      <c r="QV129">
        <v>1</v>
      </c>
      <c r="QW129">
        <v>1</v>
      </c>
      <c r="QX129">
        <v>1</v>
      </c>
      <c r="QY129">
        <v>1</v>
      </c>
      <c r="QZ129">
        <v>1</v>
      </c>
      <c r="RA129">
        <v>1</v>
      </c>
      <c r="RB129">
        <v>1</v>
      </c>
      <c r="RC129">
        <v>1</v>
      </c>
      <c r="RD129">
        <v>1</v>
      </c>
      <c r="RE129">
        <v>1</v>
      </c>
      <c r="RF129">
        <v>1</v>
      </c>
      <c r="RG129">
        <v>1</v>
      </c>
      <c r="RH129">
        <v>1</v>
      </c>
      <c r="RI129">
        <v>1</v>
      </c>
      <c r="RJ129">
        <v>1</v>
      </c>
      <c r="RK129">
        <v>1</v>
      </c>
      <c r="RL129">
        <v>1</v>
      </c>
      <c r="RM129">
        <v>1</v>
      </c>
      <c r="RN129">
        <v>1</v>
      </c>
      <c r="RO129">
        <v>1</v>
      </c>
      <c r="RP129">
        <v>1</v>
      </c>
      <c r="RQ129">
        <v>1</v>
      </c>
      <c r="RR129">
        <v>1</v>
      </c>
      <c r="RS129">
        <v>1</v>
      </c>
      <c r="RT129">
        <v>1</v>
      </c>
      <c r="RU129">
        <v>1</v>
      </c>
      <c r="RV129">
        <v>1</v>
      </c>
      <c r="RW129">
        <v>1</v>
      </c>
      <c r="RX129">
        <v>1</v>
      </c>
      <c r="RY129">
        <v>1</v>
      </c>
      <c r="RZ129">
        <v>1</v>
      </c>
      <c r="SA129">
        <v>1</v>
      </c>
      <c r="SB129">
        <v>1</v>
      </c>
      <c r="SC129">
        <v>1</v>
      </c>
      <c r="SD129">
        <v>1</v>
      </c>
      <c r="SE129">
        <v>1</v>
      </c>
      <c r="SF129">
        <v>1</v>
      </c>
      <c r="SG129">
        <v>1</v>
      </c>
      <c r="SH129">
        <v>1</v>
      </c>
      <c r="SI129">
        <v>1</v>
      </c>
      <c r="SJ129">
        <v>1</v>
      </c>
      <c r="SK129">
        <v>1</v>
      </c>
      <c r="SL129">
        <v>1</v>
      </c>
      <c r="SM129">
        <v>1</v>
      </c>
      <c r="SN129">
        <v>1</v>
      </c>
      <c r="SO129">
        <v>1</v>
      </c>
      <c r="SP129">
        <v>1</v>
      </c>
      <c r="SQ129">
        <v>1</v>
      </c>
      <c r="SR129">
        <v>1</v>
      </c>
      <c r="SS129">
        <v>1</v>
      </c>
      <c r="ST129">
        <v>1</v>
      </c>
      <c r="SU129">
        <v>0</v>
      </c>
      <c r="SV129">
        <v>0</v>
      </c>
      <c r="SW129">
        <v>0</v>
      </c>
      <c r="SX129">
        <v>0</v>
      </c>
      <c r="SY129">
        <v>0</v>
      </c>
      <c r="SZ129">
        <v>0</v>
      </c>
      <c r="TA129">
        <v>0</v>
      </c>
      <c r="TB129">
        <v>0</v>
      </c>
      <c r="TC129">
        <v>0</v>
      </c>
      <c r="TD129">
        <v>0</v>
      </c>
      <c r="TE129">
        <v>0</v>
      </c>
      <c r="TF129">
        <v>0</v>
      </c>
      <c r="TG129">
        <v>0</v>
      </c>
      <c r="TH129">
        <v>0</v>
      </c>
      <c r="TI129">
        <v>0</v>
      </c>
      <c r="TJ129">
        <v>0</v>
      </c>
      <c r="TK129">
        <v>0</v>
      </c>
      <c r="TL129">
        <v>0</v>
      </c>
      <c r="TM129">
        <v>0</v>
      </c>
      <c r="TN129">
        <v>0</v>
      </c>
      <c r="TO129">
        <v>0</v>
      </c>
      <c r="TP129">
        <v>0</v>
      </c>
      <c r="TQ129">
        <v>0</v>
      </c>
      <c r="TR129">
        <v>0</v>
      </c>
      <c r="TS129">
        <v>0</v>
      </c>
      <c r="TT129">
        <v>0</v>
      </c>
      <c r="TU129">
        <v>0</v>
      </c>
      <c r="TV129">
        <v>0</v>
      </c>
      <c r="TW129">
        <v>0</v>
      </c>
      <c r="TX129">
        <v>0</v>
      </c>
      <c r="TY129">
        <v>0</v>
      </c>
      <c r="TZ129">
        <v>0</v>
      </c>
      <c r="UA129">
        <v>0</v>
      </c>
      <c r="UB129">
        <v>0</v>
      </c>
      <c r="UC129">
        <v>0</v>
      </c>
      <c r="UD129">
        <v>0</v>
      </c>
      <c r="UE129">
        <v>0</v>
      </c>
      <c r="UF129">
        <v>0</v>
      </c>
      <c r="UG129">
        <v>0</v>
      </c>
      <c r="UH129">
        <v>0</v>
      </c>
      <c r="UI129">
        <v>0</v>
      </c>
      <c r="UJ129">
        <v>0</v>
      </c>
      <c r="UK129">
        <v>0</v>
      </c>
      <c r="UL129">
        <v>0</v>
      </c>
      <c r="UM129">
        <v>0</v>
      </c>
      <c r="UN129">
        <v>0</v>
      </c>
      <c r="UO129">
        <v>0</v>
      </c>
      <c r="UP129">
        <v>0</v>
      </c>
      <c r="UQ129">
        <v>0</v>
      </c>
      <c r="UR129">
        <v>0</v>
      </c>
      <c r="US129">
        <v>0</v>
      </c>
      <c r="UT129">
        <v>0</v>
      </c>
      <c r="UU129">
        <v>0</v>
      </c>
      <c r="UV129">
        <v>0</v>
      </c>
      <c r="UW129">
        <v>0</v>
      </c>
      <c r="UX129">
        <v>0</v>
      </c>
      <c r="UY129">
        <v>0</v>
      </c>
      <c r="UZ129">
        <v>0</v>
      </c>
      <c r="VA129">
        <v>0</v>
      </c>
      <c r="VB129">
        <v>0</v>
      </c>
      <c r="VC129">
        <v>0</v>
      </c>
      <c r="VD129">
        <v>0</v>
      </c>
      <c r="VE129">
        <v>0</v>
      </c>
      <c r="VF129">
        <v>0</v>
      </c>
      <c r="VG129">
        <v>0</v>
      </c>
      <c r="VH129">
        <v>0</v>
      </c>
      <c r="VI129">
        <v>0</v>
      </c>
      <c r="VJ129">
        <v>0</v>
      </c>
      <c r="VK129">
        <v>0</v>
      </c>
      <c r="VL129">
        <v>0</v>
      </c>
      <c r="VM129">
        <v>0</v>
      </c>
      <c r="VN129">
        <v>0</v>
      </c>
      <c r="VO129">
        <v>0</v>
      </c>
      <c r="VP129">
        <v>0</v>
      </c>
      <c r="VQ129">
        <v>0</v>
      </c>
      <c r="VR129">
        <v>0</v>
      </c>
      <c r="VS129">
        <v>0</v>
      </c>
      <c r="VT129">
        <v>0</v>
      </c>
      <c r="VU129">
        <v>0</v>
      </c>
      <c r="VV129">
        <v>0</v>
      </c>
      <c r="VW129">
        <v>0</v>
      </c>
      <c r="VX129">
        <v>0</v>
      </c>
      <c r="VY129">
        <v>0</v>
      </c>
      <c r="VZ129">
        <v>0</v>
      </c>
      <c r="WA129">
        <v>0</v>
      </c>
      <c r="WB129">
        <v>0</v>
      </c>
      <c r="WC129">
        <v>0</v>
      </c>
      <c r="WD129">
        <v>0</v>
      </c>
      <c r="WE129">
        <v>0</v>
      </c>
      <c r="WF129">
        <v>0</v>
      </c>
      <c r="WG129">
        <v>0</v>
      </c>
      <c r="WH129">
        <v>0</v>
      </c>
      <c r="WI129">
        <v>0</v>
      </c>
      <c r="WJ129">
        <v>0</v>
      </c>
      <c r="WK129">
        <v>0</v>
      </c>
      <c r="WL129">
        <v>0</v>
      </c>
      <c r="WM129">
        <v>0</v>
      </c>
      <c r="WN129">
        <v>0</v>
      </c>
      <c r="WO129">
        <v>0</v>
      </c>
      <c r="WP129">
        <v>0</v>
      </c>
      <c r="WQ129">
        <v>0</v>
      </c>
      <c r="WR129">
        <v>0</v>
      </c>
      <c r="WS129">
        <v>0</v>
      </c>
      <c r="WT129">
        <v>0</v>
      </c>
      <c r="WU129">
        <v>0</v>
      </c>
      <c r="WV129">
        <v>0</v>
      </c>
      <c r="WW129">
        <v>0</v>
      </c>
      <c r="WX129">
        <v>0</v>
      </c>
      <c r="WY129">
        <v>0</v>
      </c>
      <c r="WZ129">
        <v>0</v>
      </c>
      <c r="XA129">
        <v>0</v>
      </c>
      <c r="XB129">
        <v>0</v>
      </c>
      <c r="XC129">
        <v>0</v>
      </c>
      <c r="XD129">
        <v>0</v>
      </c>
      <c r="XE129">
        <v>0</v>
      </c>
      <c r="XF129">
        <v>0</v>
      </c>
      <c r="XG129">
        <v>0</v>
      </c>
      <c r="XH129">
        <v>0</v>
      </c>
      <c r="XI129">
        <v>0</v>
      </c>
      <c r="XJ129">
        <v>0</v>
      </c>
      <c r="XK129">
        <v>0</v>
      </c>
      <c r="XL129">
        <v>0</v>
      </c>
      <c r="XM129">
        <v>0</v>
      </c>
      <c r="XN129">
        <v>0</v>
      </c>
      <c r="XO129">
        <v>0</v>
      </c>
      <c r="XP129">
        <v>0</v>
      </c>
      <c r="XQ129">
        <v>0</v>
      </c>
      <c r="XR129">
        <v>0</v>
      </c>
      <c r="XS129">
        <v>0</v>
      </c>
      <c r="XT129">
        <v>0</v>
      </c>
      <c r="XU129">
        <v>0</v>
      </c>
      <c r="XV129">
        <v>0</v>
      </c>
      <c r="XW129">
        <v>0</v>
      </c>
      <c r="XX129">
        <v>0</v>
      </c>
      <c r="XY129">
        <v>0</v>
      </c>
      <c r="XZ129">
        <v>0</v>
      </c>
      <c r="YA129">
        <v>0</v>
      </c>
      <c r="YB129">
        <v>0</v>
      </c>
      <c r="YC129">
        <v>0</v>
      </c>
      <c r="YD129">
        <v>0</v>
      </c>
      <c r="YE129">
        <v>0</v>
      </c>
      <c r="YF129">
        <v>0</v>
      </c>
      <c r="YG129">
        <v>0</v>
      </c>
      <c r="YH129">
        <v>0</v>
      </c>
      <c r="YI129">
        <v>0</v>
      </c>
      <c r="YJ129">
        <v>0</v>
      </c>
      <c r="YK129">
        <v>0</v>
      </c>
      <c r="YL129">
        <v>0</v>
      </c>
      <c r="YM129">
        <v>0</v>
      </c>
      <c r="YN129">
        <v>0</v>
      </c>
      <c r="YO129">
        <v>0</v>
      </c>
      <c r="YP129">
        <v>0</v>
      </c>
      <c r="YQ129">
        <v>0</v>
      </c>
      <c r="YR129">
        <v>0</v>
      </c>
      <c r="YS129">
        <v>0</v>
      </c>
      <c r="YT129">
        <v>0</v>
      </c>
      <c r="YU129">
        <v>0</v>
      </c>
      <c r="YV129">
        <v>0</v>
      </c>
      <c r="YW129">
        <v>0</v>
      </c>
      <c r="YX129">
        <v>0</v>
      </c>
      <c r="YY129">
        <v>0</v>
      </c>
      <c r="YZ129">
        <v>0</v>
      </c>
      <c r="ZA129">
        <v>0</v>
      </c>
      <c r="ZB129">
        <v>0</v>
      </c>
      <c r="ZC129">
        <v>0</v>
      </c>
      <c r="ZD129">
        <v>0</v>
      </c>
      <c r="ZE129">
        <v>0</v>
      </c>
      <c r="ZF129">
        <v>0</v>
      </c>
      <c r="ZG129">
        <v>0</v>
      </c>
      <c r="ZH129">
        <v>0</v>
      </c>
      <c r="ZI129">
        <v>0</v>
      </c>
      <c r="ZJ129">
        <v>0</v>
      </c>
      <c r="ZK129">
        <v>0</v>
      </c>
      <c r="ZL129">
        <v>0</v>
      </c>
      <c r="ZM129">
        <v>0</v>
      </c>
      <c r="ZN129">
        <v>0</v>
      </c>
      <c r="ZO129">
        <v>0</v>
      </c>
      <c r="ZP129">
        <v>0</v>
      </c>
      <c r="ZQ129">
        <v>0</v>
      </c>
      <c r="ZR129">
        <v>0</v>
      </c>
      <c r="ZS129">
        <v>0</v>
      </c>
      <c r="ZT129">
        <v>0</v>
      </c>
      <c r="ZU129">
        <v>0</v>
      </c>
      <c r="ZV129">
        <v>0</v>
      </c>
      <c r="ZW129">
        <v>0</v>
      </c>
      <c r="ZX129">
        <v>0</v>
      </c>
      <c r="ZY129">
        <v>0</v>
      </c>
      <c r="ZZ129">
        <v>0</v>
      </c>
      <c r="AAA129">
        <v>0</v>
      </c>
      <c r="AAB129">
        <v>0</v>
      </c>
      <c r="AAC129">
        <v>0</v>
      </c>
      <c r="AAD129">
        <v>0</v>
      </c>
      <c r="AAE129">
        <v>0</v>
      </c>
      <c r="AAF129">
        <v>0</v>
      </c>
      <c r="AAG129">
        <v>0</v>
      </c>
      <c r="AAH129">
        <v>0</v>
      </c>
      <c r="AAI129">
        <v>0</v>
      </c>
      <c r="AAJ129">
        <v>0</v>
      </c>
      <c r="AAK129">
        <v>0</v>
      </c>
      <c r="AAL129">
        <v>0</v>
      </c>
      <c r="AAM129">
        <v>0</v>
      </c>
      <c r="AAN129">
        <v>0</v>
      </c>
      <c r="AAO129">
        <v>0</v>
      </c>
      <c r="AAP129">
        <v>0</v>
      </c>
      <c r="AAQ129">
        <v>0</v>
      </c>
      <c r="AAR129">
        <v>0</v>
      </c>
      <c r="AAS129">
        <v>0</v>
      </c>
      <c r="AAT129">
        <v>0</v>
      </c>
      <c r="AAU129">
        <v>0</v>
      </c>
      <c r="AAV129">
        <v>0</v>
      </c>
      <c r="AAW129">
        <v>0</v>
      </c>
      <c r="AAX129">
        <v>0</v>
      </c>
      <c r="AAY129">
        <v>0</v>
      </c>
      <c r="AAZ129">
        <v>0</v>
      </c>
      <c r="ABA129">
        <v>0</v>
      </c>
      <c r="ABB129">
        <v>0</v>
      </c>
      <c r="ABC129">
        <v>0</v>
      </c>
      <c r="ABD129">
        <v>0</v>
      </c>
      <c r="ABE129">
        <v>0</v>
      </c>
      <c r="ABG129" s="1137">
        <f t="shared" si="30"/>
        <v>0</v>
      </c>
      <c r="ABH129" s="1137">
        <f t="shared" si="30"/>
        <v>0</v>
      </c>
      <c r="ABI129" s="1137">
        <f t="shared" si="30"/>
        <v>16</v>
      </c>
      <c r="ABJ129" s="1137">
        <f t="shared" si="30"/>
        <v>30</v>
      </c>
      <c r="ABK129" s="1137">
        <f t="shared" si="30"/>
        <v>31</v>
      </c>
      <c r="ABL129" s="1137">
        <f t="shared" si="30"/>
        <v>30</v>
      </c>
      <c r="ABM129" s="1137">
        <f t="shared" si="30"/>
        <v>31</v>
      </c>
      <c r="ABN129" s="1137">
        <f t="shared" si="30"/>
        <v>31</v>
      </c>
      <c r="ABO129" s="1137">
        <f t="shared" si="30"/>
        <v>20</v>
      </c>
      <c r="ABP129" s="1137">
        <f t="shared" si="30"/>
        <v>0</v>
      </c>
      <c r="ABQ129" s="1137">
        <f t="shared" si="30"/>
        <v>26</v>
      </c>
      <c r="ABR129" s="1137">
        <f t="shared" si="30"/>
        <v>31</v>
      </c>
      <c r="ABS129" s="1137">
        <f t="shared" si="30"/>
        <v>31</v>
      </c>
      <c r="ABT129" s="1137">
        <f t="shared" si="30"/>
        <v>28</v>
      </c>
      <c r="ABU129" s="1137">
        <f t="shared" si="30"/>
        <v>31</v>
      </c>
      <c r="ABV129" s="1137">
        <f t="shared" si="30"/>
        <v>30</v>
      </c>
      <c r="ABW129" s="1137">
        <f t="shared" si="31"/>
        <v>26</v>
      </c>
      <c r="ABX129" s="1137">
        <f t="shared" si="34"/>
        <v>0</v>
      </c>
      <c r="ABY129" s="1137">
        <f t="shared" si="34"/>
        <v>0</v>
      </c>
      <c r="ABZ129" s="1137">
        <f t="shared" si="34"/>
        <v>0</v>
      </c>
      <c r="ACA129" s="1137">
        <f t="shared" si="34"/>
        <v>0</v>
      </c>
      <c r="ACB129" s="1137">
        <f t="shared" si="34"/>
        <v>0</v>
      </c>
      <c r="ACC129" s="1137">
        <f t="shared" si="34"/>
        <v>0</v>
      </c>
      <c r="ACD129" s="1137">
        <f t="shared" si="34"/>
        <v>0</v>
      </c>
      <c r="ACE129" s="1137" t="s">
        <v>230</v>
      </c>
      <c r="ACF129" s="1137">
        <f t="shared" si="33"/>
        <v>0</v>
      </c>
      <c r="ACG129" s="1137">
        <f t="shared" si="33"/>
        <v>0</v>
      </c>
      <c r="ACH129" s="1137">
        <f t="shared" si="33"/>
        <v>1</v>
      </c>
      <c r="ACI129" s="1137">
        <f t="shared" si="33"/>
        <v>1</v>
      </c>
      <c r="ACJ129" s="1137">
        <f t="shared" si="33"/>
        <v>1</v>
      </c>
      <c r="ACK129" s="1137">
        <f t="shared" si="33"/>
        <v>1</v>
      </c>
      <c r="ACL129" s="1137">
        <f t="shared" si="33"/>
        <v>1</v>
      </c>
      <c r="ACM129" s="1137">
        <f t="shared" si="33"/>
        <v>1</v>
      </c>
      <c r="ACN129" s="1137">
        <f t="shared" si="33"/>
        <v>1</v>
      </c>
      <c r="ACO129" s="1137">
        <f t="shared" si="33"/>
        <v>0</v>
      </c>
      <c r="ACP129" s="1137">
        <f t="shared" si="33"/>
        <v>1</v>
      </c>
      <c r="ACQ129" s="1137">
        <f t="shared" si="32"/>
        <v>1</v>
      </c>
      <c r="ACR129" s="1137">
        <f t="shared" si="32"/>
        <v>1</v>
      </c>
      <c r="ACS129" s="1137">
        <f t="shared" si="32"/>
        <v>1</v>
      </c>
      <c r="ACT129" s="1137">
        <f t="shared" si="32"/>
        <v>1</v>
      </c>
      <c r="ACU129" s="1137">
        <f t="shared" si="32"/>
        <v>1</v>
      </c>
      <c r="ACV129" s="1137">
        <f t="shared" si="32"/>
        <v>1</v>
      </c>
      <c r="ACW129" s="1137">
        <f t="shared" si="32"/>
        <v>0</v>
      </c>
      <c r="ACX129" s="1137">
        <f t="shared" si="32"/>
        <v>0</v>
      </c>
      <c r="ACY129" s="1137">
        <f t="shared" si="32"/>
        <v>0</v>
      </c>
      <c r="ACZ129" s="1137">
        <f t="shared" si="32"/>
        <v>0</v>
      </c>
      <c r="ADA129" s="1137">
        <f t="shared" si="35"/>
        <v>0</v>
      </c>
      <c r="ADB129" s="1137">
        <f t="shared" si="35"/>
        <v>0</v>
      </c>
      <c r="ADC129" s="1137">
        <f t="shared" si="35"/>
        <v>0</v>
      </c>
    </row>
    <row r="130" spans="1:783" x14ac:dyDescent="0.25">
      <c r="A130" t="s">
        <v>1929</v>
      </c>
      <c r="B130" t="s">
        <v>51</v>
      </c>
      <c r="C130">
        <v>0</v>
      </c>
      <c r="D130">
        <v>0</v>
      </c>
      <c r="E130">
        <v>0</v>
      </c>
      <c r="F130">
        <v>0</v>
      </c>
      <c r="G130">
        <v>0</v>
      </c>
      <c r="H130">
        <v>0</v>
      </c>
      <c r="I130">
        <v>0</v>
      </c>
      <c r="J130">
        <v>0</v>
      </c>
      <c r="K130">
        <v>0</v>
      </c>
      <c r="L130">
        <v>0</v>
      </c>
      <c r="M130">
        <v>0</v>
      </c>
      <c r="N130">
        <v>0</v>
      </c>
      <c r="O130">
        <v>0</v>
      </c>
      <c r="P130">
        <v>0</v>
      </c>
      <c r="Q130">
        <v>0</v>
      </c>
      <c r="R130">
        <v>0</v>
      </c>
      <c r="S130">
        <v>0</v>
      </c>
      <c r="T130">
        <v>0</v>
      </c>
      <c r="U130">
        <v>0</v>
      </c>
      <c r="V130">
        <v>0</v>
      </c>
      <c r="W130">
        <v>0</v>
      </c>
      <c r="X130">
        <v>0</v>
      </c>
      <c r="Y130">
        <v>0</v>
      </c>
      <c r="Z130">
        <v>0</v>
      </c>
      <c r="AA130">
        <v>0</v>
      </c>
      <c r="AB130">
        <v>0</v>
      </c>
      <c r="AC130">
        <v>0</v>
      </c>
      <c r="AD130">
        <v>0</v>
      </c>
      <c r="AE130">
        <v>0</v>
      </c>
      <c r="AF130">
        <v>0</v>
      </c>
      <c r="AG130">
        <v>0</v>
      </c>
      <c r="AH130">
        <v>0</v>
      </c>
      <c r="AI130">
        <v>0</v>
      </c>
      <c r="AJ130">
        <v>0</v>
      </c>
      <c r="AK130">
        <v>0</v>
      </c>
      <c r="AL130">
        <v>0</v>
      </c>
      <c r="AM130">
        <v>0</v>
      </c>
      <c r="AN130">
        <v>0</v>
      </c>
      <c r="AO130">
        <v>0</v>
      </c>
      <c r="AP130">
        <v>0</v>
      </c>
      <c r="AQ130">
        <v>0</v>
      </c>
      <c r="AR130">
        <v>0</v>
      </c>
      <c r="AS130">
        <v>0</v>
      </c>
      <c r="AT130">
        <v>0</v>
      </c>
      <c r="AU130">
        <v>0</v>
      </c>
      <c r="AV130">
        <v>0</v>
      </c>
      <c r="AW130">
        <v>0</v>
      </c>
      <c r="AX130">
        <v>0</v>
      </c>
      <c r="AY130">
        <v>0</v>
      </c>
      <c r="AZ130">
        <v>0</v>
      </c>
      <c r="BA130">
        <v>0</v>
      </c>
      <c r="BB130">
        <v>0</v>
      </c>
      <c r="BC130">
        <v>0</v>
      </c>
      <c r="BD130">
        <v>0</v>
      </c>
      <c r="BE130">
        <v>0</v>
      </c>
      <c r="BF130">
        <v>0</v>
      </c>
      <c r="BG130">
        <v>0</v>
      </c>
      <c r="BH130">
        <v>0</v>
      </c>
      <c r="BI130">
        <v>0</v>
      </c>
      <c r="BJ130">
        <v>0</v>
      </c>
      <c r="BK130">
        <v>0</v>
      </c>
      <c r="BL130">
        <v>0</v>
      </c>
      <c r="BM130">
        <v>0</v>
      </c>
      <c r="BN130">
        <v>0</v>
      </c>
      <c r="BO130">
        <v>0</v>
      </c>
      <c r="BP130">
        <v>0</v>
      </c>
      <c r="BQ130">
        <v>0</v>
      </c>
      <c r="BR130">
        <v>0</v>
      </c>
      <c r="BS130">
        <v>0</v>
      </c>
      <c r="BT130">
        <v>0</v>
      </c>
      <c r="BU130">
        <v>0</v>
      </c>
      <c r="BV130">
        <v>0</v>
      </c>
      <c r="BW130">
        <v>0</v>
      </c>
      <c r="BX130">
        <v>0</v>
      </c>
      <c r="BY130">
        <v>0</v>
      </c>
      <c r="BZ130">
        <v>0</v>
      </c>
      <c r="CA130">
        <v>0</v>
      </c>
      <c r="CB130">
        <v>0</v>
      </c>
      <c r="CC130">
        <v>0</v>
      </c>
      <c r="CD130">
        <v>0</v>
      </c>
      <c r="CE130">
        <v>0</v>
      </c>
      <c r="CF130">
        <v>2</v>
      </c>
      <c r="CG130">
        <v>2</v>
      </c>
      <c r="CH130">
        <v>2</v>
      </c>
      <c r="CI130">
        <v>2</v>
      </c>
      <c r="CJ130">
        <v>2</v>
      </c>
      <c r="CK130">
        <v>2</v>
      </c>
      <c r="CL130">
        <v>2</v>
      </c>
      <c r="CM130">
        <v>2</v>
      </c>
      <c r="CN130">
        <v>2</v>
      </c>
      <c r="CO130">
        <v>2</v>
      </c>
      <c r="CP130">
        <v>2</v>
      </c>
      <c r="CQ130">
        <v>2</v>
      </c>
      <c r="CR130">
        <v>2</v>
      </c>
      <c r="CS130">
        <v>2</v>
      </c>
      <c r="CT130">
        <v>2</v>
      </c>
      <c r="CU130">
        <v>2</v>
      </c>
      <c r="CV130">
        <v>2</v>
      </c>
      <c r="CW130">
        <v>2</v>
      </c>
      <c r="CX130">
        <v>2</v>
      </c>
      <c r="CY130">
        <v>2</v>
      </c>
      <c r="CZ130">
        <v>2</v>
      </c>
      <c r="DA130">
        <v>2</v>
      </c>
      <c r="DB130">
        <v>2</v>
      </c>
      <c r="DC130">
        <v>2</v>
      </c>
      <c r="DD130">
        <v>2</v>
      </c>
      <c r="DE130">
        <v>2</v>
      </c>
      <c r="DF130">
        <v>2</v>
      </c>
      <c r="DG130">
        <v>2</v>
      </c>
      <c r="DH130">
        <v>2</v>
      </c>
      <c r="DI130">
        <v>2</v>
      </c>
      <c r="DJ130">
        <v>2</v>
      </c>
      <c r="DK130">
        <v>2</v>
      </c>
      <c r="DL130">
        <v>2</v>
      </c>
      <c r="DM130">
        <v>2</v>
      </c>
      <c r="DN130">
        <v>2</v>
      </c>
      <c r="DO130">
        <v>2</v>
      </c>
      <c r="DP130">
        <v>2</v>
      </c>
      <c r="DQ130">
        <v>2</v>
      </c>
      <c r="DR130">
        <v>2</v>
      </c>
      <c r="DS130">
        <v>2</v>
      </c>
      <c r="DT130">
        <v>2</v>
      </c>
      <c r="DU130">
        <v>2</v>
      </c>
      <c r="DV130">
        <v>2</v>
      </c>
      <c r="DW130">
        <v>2</v>
      </c>
      <c r="DX130">
        <v>2</v>
      </c>
      <c r="DY130">
        <v>2</v>
      </c>
      <c r="DZ130">
        <v>2</v>
      </c>
      <c r="EA130">
        <v>2</v>
      </c>
      <c r="EB130">
        <v>2</v>
      </c>
      <c r="EC130">
        <v>2</v>
      </c>
      <c r="ED130">
        <v>2</v>
      </c>
      <c r="EE130">
        <v>2</v>
      </c>
      <c r="EF130">
        <v>2</v>
      </c>
      <c r="EG130">
        <v>2</v>
      </c>
      <c r="EH130">
        <v>2</v>
      </c>
      <c r="EI130">
        <v>2</v>
      </c>
      <c r="EJ130">
        <v>2</v>
      </c>
      <c r="EK130">
        <v>2</v>
      </c>
      <c r="EL130">
        <v>2</v>
      </c>
      <c r="EM130">
        <v>2</v>
      </c>
      <c r="EN130">
        <v>2</v>
      </c>
      <c r="EO130">
        <v>2</v>
      </c>
      <c r="EP130">
        <v>2</v>
      </c>
      <c r="EQ130">
        <v>2</v>
      </c>
      <c r="ER130">
        <v>2</v>
      </c>
      <c r="ES130">
        <v>2</v>
      </c>
      <c r="ET130">
        <v>2</v>
      </c>
      <c r="EU130">
        <v>2</v>
      </c>
      <c r="EV130">
        <v>2</v>
      </c>
      <c r="EW130">
        <v>2</v>
      </c>
      <c r="EX130">
        <v>2</v>
      </c>
      <c r="EY130">
        <v>2</v>
      </c>
      <c r="EZ130">
        <v>2</v>
      </c>
      <c r="FA130">
        <v>2</v>
      </c>
      <c r="FB130">
        <v>2</v>
      </c>
      <c r="FC130">
        <v>2</v>
      </c>
      <c r="FD130">
        <v>2</v>
      </c>
      <c r="FE130">
        <v>2</v>
      </c>
      <c r="FF130">
        <v>2</v>
      </c>
      <c r="FG130">
        <v>2</v>
      </c>
      <c r="FH130">
        <v>2</v>
      </c>
      <c r="FI130">
        <v>2</v>
      </c>
      <c r="FJ130">
        <v>2</v>
      </c>
      <c r="FK130">
        <v>2</v>
      </c>
      <c r="FL130">
        <v>2</v>
      </c>
      <c r="FM130">
        <v>2</v>
      </c>
      <c r="FN130">
        <v>2</v>
      </c>
      <c r="FO130">
        <v>2</v>
      </c>
      <c r="FP130">
        <v>2</v>
      </c>
      <c r="FQ130">
        <v>2</v>
      </c>
      <c r="FR130">
        <v>2</v>
      </c>
      <c r="FS130">
        <v>2</v>
      </c>
      <c r="FT130">
        <v>2</v>
      </c>
      <c r="FU130">
        <v>2</v>
      </c>
      <c r="FV130">
        <v>2</v>
      </c>
      <c r="FW130">
        <v>2</v>
      </c>
      <c r="FX130">
        <v>2</v>
      </c>
      <c r="FY130">
        <v>2</v>
      </c>
      <c r="FZ130">
        <v>2</v>
      </c>
      <c r="GA130">
        <v>2</v>
      </c>
      <c r="GB130">
        <v>2</v>
      </c>
      <c r="GC130">
        <v>2</v>
      </c>
      <c r="GD130">
        <v>2</v>
      </c>
      <c r="GE130">
        <v>2</v>
      </c>
      <c r="GF130">
        <v>2</v>
      </c>
      <c r="GG130">
        <v>2</v>
      </c>
      <c r="GH130">
        <v>2</v>
      </c>
      <c r="GI130">
        <v>2</v>
      </c>
      <c r="GJ130">
        <v>2</v>
      </c>
      <c r="GK130">
        <v>2</v>
      </c>
      <c r="GL130">
        <v>2</v>
      </c>
      <c r="GM130">
        <v>2</v>
      </c>
      <c r="GN130">
        <v>2</v>
      </c>
      <c r="GO130">
        <v>2</v>
      </c>
      <c r="GP130">
        <v>2</v>
      </c>
      <c r="GQ130">
        <v>2</v>
      </c>
      <c r="GR130">
        <v>2</v>
      </c>
      <c r="GS130">
        <v>2</v>
      </c>
      <c r="GT130">
        <v>2</v>
      </c>
      <c r="GU130">
        <v>2</v>
      </c>
      <c r="GV130">
        <v>2</v>
      </c>
      <c r="GW130">
        <v>1</v>
      </c>
      <c r="GX130">
        <v>1</v>
      </c>
      <c r="GY130">
        <v>1</v>
      </c>
      <c r="GZ130">
        <v>1</v>
      </c>
      <c r="HA130">
        <v>1</v>
      </c>
      <c r="HB130">
        <v>1</v>
      </c>
      <c r="HC130">
        <v>1</v>
      </c>
      <c r="HD130">
        <v>1</v>
      </c>
      <c r="HE130">
        <v>1</v>
      </c>
      <c r="HF130">
        <v>1</v>
      </c>
      <c r="HG130">
        <v>1</v>
      </c>
      <c r="HH130">
        <v>1</v>
      </c>
      <c r="HI130">
        <v>1</v>
      </c>
      <c r="HJ130">
        <v>1</v>
      </c>
      <c r="HK130">
        <v>1</v>
      </c>
      <c r="HL130">
        <v>1</v>
      </c>
      <c r="HM130">
        <v>1</v>
      </c>
      <c r="HN130">
        <v>2</v>
      </c>
      <c r="HO130">
        <v>2</v>
      </c>
      <c r="HP130">
        <v>2</v>
      </c>
      <c r="HQ130">
        <v>2</v>
      </c>
      <c r="HR130">
        <v>2</v>
      </c>
      <c r="HS130">
        <v>2</v>
      </c>
      <c r="HT130">
        <v>2</v>
      </c>
      <c r="HU130">
        <v>2</v>
      </c>
      <c r="HV130">
        <v>2</v>
      </c>
      <c r="HW130">
        <v>2</v>
      </c>
      <c r="HX130">
        <v>2</v>
      </c>
      <c r="HY130">
        <v>2</v>
      </c>
      <c r="HZ130">
        <v>2</v>
      </c>
      <c r="IA130">
        <v>2</v>
      </c>
      <c r="IB130">
        <v>2</v>
      </c>
      <c r="IC130">
        <v>2</v>
      </c>
      <c r="ID130">
        <v>2</v>
      </c>
      <c r="IE130">
        <v>2</v>
      </c>
      <c r="IF130">
        <v>2</v>
      </c>
      <c r="IG130">
        <v>2</v>
      </c>
      <c r="IH130">
        <v>2</v>
      </c>
      <c r="II130">
        <v>2</v>
      </c>
      <c r="IJ130">
        <v>2</v>
      </c>
      <c r="IK130">
        <v>2</v>
      </c>
      <c r="IL130">
        <v>2</v>
      </c>
      <c r="IM130">
        <v>2</v>
      </c>
      <c r="IN130">
        <v>2</v>
      </c>
      <c r="IO130">
        <v>2</v>
      </c>
      <c r="IP130">
        <v>2</v>
      </c>
      <c r="IQ130">
        <v>2</v>
      </c>
      <c r="IR130">
        <v>2</v>
      </c>
      <c r="IS130">
        <v>2</v>
      </c>
      <c r="IT130">
        <v>2</v>
      </c>
      <c r="IU130">
        <v>2</v>
      </c>
      <c r="IV130">
        <v>2</v>
      </c>
      <c r="IW130">
        <v>2</v>
      </c>
      <c r="IX130">
        <v>2</v>
      </c>
      <c r="IY130">
        <v>2</v>
      </c>
      <c r="IZ130">
        <v>2</v>
      </c>
      <c r="JA130">
        <v>2</v>
      </c>
      <c r="JB130">
        <v>2</v>
      </c>
      <c r="JC130">
        <v>2</v>
      </c>
      <c r="JD130">
        <v>2</v>
      </c>
      <c r="JE130">
        <v>2</v>
      </c>
      <c r="JF130">
        <v>2</v>
      </c>
      <c r="JG130">
        <v>2</v>
      </c>
      <c r="JH130">
        <v>2</v>
      </c>
      <c r="JI130">
        <v>2</v>
      </c>
      <c r="JJ130">
        <v>2</v>
      </c>
      <c r="JK130">
        <v>2</v>
      </c>
      <c r="JL130">
        <v>2</v>
      </c>
      <c r="JM130">
        <v>2</v>
      </c>
      <c r="JN130">
        <v>2</v>
      </c>
      <c r="JO130">
        <v>2</v>
      </c>
      <c r="JP130">
        <v>2</v>
      </c>
      <c r="JQ130">
        <v>2</v>
      </c>
      <c r="JR130">
        <v>2</v>
      </c>
      <c r="JS130">
        <v>2</v>
      </c>
      <c r="JT130">
        <v>2</v>
      </c>
      <c r="JU130">
        <v>2</v>
      </c>
      <c r="JV130">
        <v>2</v>
      </c>
      <c r="JW130">
        <v>2</v>
      </c>
      <c r="JX130">
        <v>2</v>
      </c>
      <c r="JY130">
        <v>1</v>
      </c>
      <c r="JZ130">
        <v>1</v>
      </c>
      <c r="KA130">
        <v>1</v>
      </c>
      <c r="KB130">
        <v>1</v>
      </c>
      <c r="KC130">
        <v>1</v>
      </c>
      <c r="KD130">
        <v>1</v>
      </c>
      <c r="KE130">
        <v>1</v>
      </c>
      <c r="KF130">
        <v>1</v>
      </c>
      <c r="KG130">
        <v>1</v>
      </c>
      <c r="KH130">
        <v>1</v>
      </c>
      <c r="KI130">
        <v>1</v>
      </c>
      <c r="KJ130">
        <v>1</v>
      </c>
      <c r="KK130">
        <v>1</v>
      </c>
      <c r="KL130">
        <v>1</v>
      </c>
      <c r="KM130">
        <v>1</v>
      </c>
      <c r="KN130">
        <v>1</v>
      </c>
      <c r="KO130">
        <v>1</v>
      </c>
      <c r="KP130">
        <v>1</v>
      </c>
      <c r="KQ130">
        <v>1</v>
      </c>
      <c r="KR130">
        <v>1</v>
      </c>
      <c r="KS130">
        <v>1</v>
      </c>
      <c r="KT130">
        <v>1</v>
      </c>
      <c r="KU130">
        <v>1</v>
      </c>
      <c r="KV130">
        <v>1</v>
      </c>
      <c r="KW130">
        <v>1</v>
      </c>
      <c r="KX130">
        <v>1</v>
      </c>
      <c r="KY130">
        <v>1</v>
      </c>
      <c r="KZ130">
        <v>1</v>
      </c>
      <c r="LA130">
        <v>1</v>
      </c>
      <c r="LB130">
        <v>1</v>
      </c>
      <c r="LC130">
        <v>1</v>
      </c>
      <c r="LD130">
        <v>1</v>
      </c>
      <c r="LE130">
        <v>1</v>
      </c>
      <c r="LF130">
        <v>1</v>
      </c>
      <c r="LG130">
        <v>1</v>
      </c>
      <c r="LH130">
        <v>1</v>
      </c>
      <c r="LI130">
        <v>1</v>
      </c>
      <c r="LJ130">
        <v>1</v>
      </c>
      <c r="LK130">
        <v>1</v>
      </c>
      <c r="LL130">
        <v>1</v>
      </c>
      <c r="LM130">
        <v>1</v>
      </c>
      <c r="LN130">
        <v>1</v>
      </c>
      <c r="LO130">
        <v>1</v>
      </c>
      <c r="LP130">
        <v>1</v>
      </c>
      <c r="LQ130">
        <v>1</v>
      </c>
      <c r="LR130">
        <v>1</v>
      </c>
      <c r="LS130">
        <v>1</v>
      </c>
      <c r="LT130">
        <v>1</v>
      </c>
      <c r="LU130">
        <v>1</v>
      </c>
      <c r="LV130">
        <v>1</v>
      </c>
      <c r="LW130">
        <v>1</v>
      </c>
      <c r="LX130">
        <v>1</v>
      </c>
      <c r="LY130">
        <v>1</v>
      </c>
      <c r="LZ130">
        <v>1</v>
      </c>
      <c r="MA130">
        <v>1</v>
      </c>
      <c r="MB130">
        <v>1</v>
      </c>
      <c r="MC130">
        <v>1</v>
      </c>
      <c r="MD130">
        <v>1</v>
      </c>
      <c r="ME130">
        <v>1</v>
      </c>
      <c r="MF130">
        <v>1</v>
      </c>
      <c r="MG130">
        <v>1</v>
      </c>
      <c r="MH130">
        <v>1</v>
      </c>
      <c r="MI130">
        <v>1</v>
      </c>
      <c r="MJ130">
        <v>1</v>
      </c>
      <c r="MK130">
        <v>1</v>
      </c>
      <c r="ML130">
        <v>1</v>
      </c>
      <c r="MM130">
        <v>1</v>
      </c>
      <c r="MN130">
        <v>1</v>
      </c>
      <c r="MO130">
        <v>1</v>
      </c>
      <c r="MP130">
        <v>1</v>
      </c>
      <c r="MQ130">
        <v>1</v>
      </c>
      <c r="MR130">
        <v>1</v>
      </c>
      <c r="MS130">
        <v>1</v>
      </c>
      <c r="MT130">
        <v>1</v>
      </c>
      <c r="MU130">
        <v>1</v>
      </c>
      <c r="MV130">
        <v>1</v>
      </c>
      <c r="MW130">
        <v>1</v>
      </c>
      <c r="MX130">
        <v>1</v>
      </c>
      <c r="MY130">
        <v>1</v>
      </c>
      <c r="MZ130">
        <v>1</v>
      </c>
      <c r="NA130">
        <v>1</v>
      </c>
      <c r="NB130">
        <v>1</v>
      </c>
      <c r="NC130">
        <v>1</v>
      </c>
      <c r="ND130">
        <v>1</v>
      </c>
      <c r="NE130">
        <v>1</v>
      </c>
      <c r="NF130">
        <v>1</v>
      </c>
      <c r="NG130">
        <v>1</v>
      </c>
      <c r="NH130">
        <v>1</v>
      </c>
      <c r="NI130">
        <v>1</v>
      </c>
      <c r="NJ130">
        <v>1</v>
      </c>
      <c r="NK130">
        <v>1</v>
      </c>
      <c r="NL130">
        <v>1</v>
      </c>
      <c r="NM130">
        <v>1</v>
      </c>
      <c r="NN130">
        <v>1</v>
      </c>
      <c r="NO130">
        <v>1</v>
      </c>
      <c r="NP130">
        <v>1</v>
      </c>
      <c r="NQ130">
        <v>1</v>
      </c>
      <c r="NR130">
        <v>1</v>
      </c>
      <c r="NS130">
        <v>1</v>
      </c>
      <c r="NT130">
        <v>1</v>
      </c>
      <c r="NU130">
        <v>1</v>
      </c>
      <c r="NV130">
        <v>1</v>
      </c>
      <c r="NW130">
        <v>1</v>
      </c>
      <c r="NX130">
        <v>1</v>
      </c>
      <c r="NY130">
        <v>1</v>
      </c>
      <c r="NZ130">
        <v>1</v>
      </c>
      <c r="OA130">
        <v>1</v>
      </c>
      <c r="OB130">
        <v>1</v>
      </c>
      <c r="OC130">
        <v>1</v>
      </c>
      <c r="OD130">
        <v>1</v>
      </c>
      <c r="OE130">
        <v>1</v>
      </c>
      <c r="OF130">
        <v>1</v>
      </c>
      <c r="OG130">
        <v>1</v>
      </c>
      <c r="OH130">
        <v>1</v>
      </c>
      <c r="OI130">
        <v>1</v>
      </c>
      <c r="OJ130">
        <v>1</v>
      </c>
      <c r="OK130">
        <v>1</v>
      </c>
      <c r="OL130">
        <v>1</v>
      </c>
      <c r="OM130">
        <v>1</v>
      </c>
      <c r="ON130">
        <v>1</v>
      </c>
      <c r="OO130">
        <v>1</v>
      </c>
      <c r="OP130">
        <v>1</v>
      </c>
      <c r="OQ130">
        <v>1</v>
      </c>
      <c r="OR130">
        <v>1</v>
      </c>
      <c r="OS130">
        <v>1</v>
      </c>
      <c r="OT130">
        <v>1</v>
      </c>
      <c r="OU130">
        <v>1</v>
      </c>
      <c r="OV130">
        <v>1</v>
      </c>
      <c r="OW130">
        <v>1</v>
      </c>
      <c r="OX130">
        <v>1</v>
      </c>
      <c r="OY130">
        <v>1</v>
      </c>
      <c r="OZ130">
        <v>1</v>
      </c>
      <c r="PA130">
        <v>1</v>
      </c>
      <c r="PB130">
        <v>1</v>
      </c>
      <c r="PC130">
        <v>1</v>
      </c>
      <c r="PD130">
        <v>1</v>
      </c>
      <c r="PE130">
        <v>1</v>
      </c>
      <c r="PF130">
        <v>1</v>
      </c>
      <c r="PG130">
        <v>1</v>
      </c>
      <c r="PH130">
        <v>1</v>
      </c>
      <c r="PI130">
        <v>1</v>
      </c>
      <c r="PJ130">
        <v>1</v>
      </c>
      <c r="PK130">
        <v>1</v>
      </c>
      <c r="PL130">
        <v>1</v>
      </c>
      <c r="PM130">
        <v>0</v>
      </c>
      <c r="PN130">
        <v>0</v>
      </c>
      <c r="PO130">
        <v>0</v>
      </c>
      <c r="PP130">
        <v>0</v>
      </c>
      <c r="PQ130">
        <v>0</v>
      </c>
      <c r="PR130">
        <v>0</v>
      </c>
      <c r="PS130">
        <v>0</v>
      </c>
      <c r="PT130">
        <v>0</v>
      </c>
      <c r="PU130">
        <v>0</v>
      </c>
      <c r="PV130">
        <v>0</v>
      </c>
      <c r="PW130">
        <v>0</v>
      </c>
      <c r="PX130">
        <v>0</v>
      </c>
      <c r="PY130">
        <v>0</v>
      </c>
      <c r="PZ130">
        <v>0</v>
      </c>
      <c r="QA130">
        <v>0</v>
      </c>
      <c r="QB130">
        <v>0</v>
      </c>
      <c r="QC130">
        <v>0</v>
      </c>
      <c r="QD130">
        <v>0</v>
      </c>
      <c r="QE130">
        <v>0</v>
      </c>
      <c r="QF130">
        <v>0</v>
      </c>
      <c r="QG130">
        <v>0</v>
      </c>
      <c r="QH130">
        <v>0</v>
      </c>
      <c r="QI130">
        <v>0</v>
      </c>
      <c r="QJ130">
        <v>0</v>
      </c>
      <c r="QK130">
        <v>0</v>
      </c>
      <c r="QL130">
        <v>0</v>
      </c>
      <c r="QM130">
        <v>0</v>
      </c>
      <c r="QN130">
        <v>0</v>
      </c>
      <c r="QO130">
        <v>0</v>
      </c>
      <c r="QP130">
        <v>0</v>
      </c>
      <c r="QQ130">
        <v>0</v>
      </c>
      <c r="QR130">
        <v>0</v>
      </c>
      <c r="QS130">
        <v>0</v>
      </c>
      <c r="QT130">
        <v>0</v>
      </c>
      <c r="QU130">
        <v>0</v>
      </c>
      <c r="QV130">
        <v>0</v>
      </c>
      <c r="QW130">
        <v>0</v>
      </c>
      <c r="QX130">
        <v>0</v>
      </c>
      <c r="QY130">
        <v>0</v>
      </c>
      <c r="QZ130">
        <v>0</v>
      </c>
      <c r="RA130">
        <v>0</v>
      </c>
      <c r="RB130">
        <v>0</v>
      </c>
      <c r="RC130">
        <v>1</v>
      </c>
      <c r="RD130">
        <v>1</v>
      </c>
      <c r="RE130">
        <v>1</v>
      </c>
      <c r="RF130">
        <v>1</v>
      </c>
      <c r="RG130">
        <v>1</v>
      </c>
      <c r="RH130">
        <v>1</v>
      </c>
      <c r="RI130">
        <v>1</v>
      </c>
      <c r="RJ130">
        <v>1</v>
      </c>
      <c r="RK130">
        <v>1</v>
      </c>
      <c r="RL130">
        <v>1</v>
      </c>
      <c r="RM130">
        <v>1</v>
      </c>
      <c r="RN130">
        <v>1</v>
      </c>
      <c r="RO130">
        <v>1</v>
      </c>
      <c r="RP130">
        <v>1</v>
      </c>
      <c r="RQ130">
        <v>1</v>
      </c>
      <c r="RR130">
        <v>1</v>
      </c>
      <c r="RS130">
        <v>2</v>
      </c>
      <c r="RT130">
        <v>2</v>
      </c>
      <c r="RU130">
        <v>2</v>
      </c>
      <c r="RV130">
        <v>2</v>
      </c>
      <c r="RW130">
        <v>2</v>
      </c>
      <c r="RX130">
        <v>2</v>
      </c>
      <c r="RY130">
        <v>2</v>
      </c>
      <c r="RZ130">
        <v>2</v>
      </c>
      <c r="SA130">
        <v>2</v>
      </c>
      <c r="SB130">
        <v>2</v>
      </c>
      <c r="SC130">
        <v>2</v>
      </c>
      <c r="SD130">
        <v>2</v>
      </c>
      <c r="SE130">
        <v>2</v>
      </c>
      <c r="SF130">
        <v>2</v>
      </c>
      <c r="SG130">
        <v>2</v>
      </c>
      <c r="SH130">
        <v>2</v>
      </c>
      <c r="SI130">
        <v>2</v>
      </c>
      <c r="SJ130">
        <v>2</v>
      </c>
      <c r="SK130">
        <v>2</v>
      </c>
      <c r="SL130">
        <v>2</v>
      </c>
      <c r="SM130">
        <v>2</v>
      </c>
      <c r="SN130">
        <v>2</v>
      </c>
      <c r="SO130">
        <v>2</v>
      </c>
      <c r="SP130">
        <v>2</v>
      </c>
      <c r="SQ130">
        <v>2</v>
      </c>
      <c r="SR130">
        <v>2</v>
      </c>
      <c r="SS130">
        <v>2</v>
      </c>
      <c r="ST130">
        <v>2</v>
      </c>
      <c r="SU130">
        <v>2</v>
      </c>
      <c r="SV130">
        <v>2</v>
      </c>
      <c r="SW130">
        <v>2</v>
      </c>
      <c r="SX130">
        <v>2</v>
      </c>
      <c r="SY130">
        <v>2</v>
      </c>
      <c r="SZ130">
        <v>2</v>
      </c>
      <c r="TA130">
        <v>2</v>
      </c>
      <c r="TB130">
        <v>2</v>
      </c>
      <c r="TC130">
        <v>2</v>
      </c>
      <c r="TD130">
        <v>2</v>
      </c>
      <c r="TE130">
        <v>2</v>
      </c>
      <c r="TF130">
        <v>2</v>
      </c>
      <c r="TG130">
        <v>2</v>
      </c>
      <c r="TH130">
        <v>2</v>
      </c>
      <c r="TI130">
        <v>2</v>
      </c>
      <c r="TJ130">
        <v>2</v>
      </c>
      <c r="TK130">
        <v>2</v>
      </c>
      <c r="TL130">
        <v>2</v>
      </c>
      <c r="TM130">
        <v>2</v>
      </c>
      <c r="TN130">
        <v>2</v>
      </c>
      <c r="TO130">
        <v>2</v>
      </c>
      <c r="TP130">
        <v>2</v>
      </c>
      <c r="TQ130">
        <v>2</v>
      </c>
      <c r="TR130">
        <v>2</v>
      </c>
      <c r="TS130">
        <v>2</v>
      </c>
      <c r="TT130">
        <v>2</v>
      </c>
      <c r="TU130">
        <v>2</v>
      </c>
      <c r="TV130">
        <v>2</v>
      </c>
      <c r="TW130">
        <v>2</v>
      </c>
      <c r="TX130">
        <v>2</v>
      </c>
      <c r="TY130">
        <v>2</v>
      </c>
      <c r="TZ130">
        <v>2</v>
      </c>
      <c r="UA130">
        <v>2</v>
      </c>
      <c r="UB130">
        <v>2</v>
      </c>
      <c r="UC130">
        <v>2</v>
      </c>
      <c r="UD130">
        <v>2</v>
      </c>
      <c r="UE130">
        <v>2</v>
      </c>
      <c r="UF130">
        <v>2</v>
      </c>
      <c r="UG130">
        <v>0</v>
      </c>
      <c r="UH130">
        <v>0</v>
      </c>
      <c r="UI130">
        <v>0</v>
      </c>
      <c r="UJ130">
        <v>0</v>
      </c>
      <c r="UK130">
        <v>0</v>
      </c>
      <c r="UL130">
        <v>0</v>
      </c>
      <c r="UM130">
        <v>0</v>
      </c>
      <c r="UN130">
        <v>0</v>
      </c>
      <c r="UO130">
        <v>0</v>
      </c>
      <c r="UP130">
        <v>0</v>
      </c>
      <c r="UQ130">
        <v>0</v>
      </c>
      <c r="UR130">
        <v>0</v>
      </c>
      <c r="US130">
        <v>0</v>
      </c>
      <c r="UT130">
        <v>0</v>
      </c>
      <c r="UU130">
        <v>0</v>
      </c>
      <c r="UV130">
        <v>0</v>
      </c>
      <c r="UW130">
        <v>0</v>
      </c>
      <c r="UX130">
        <v>0</v>
      </c>
      <c r="UY130">
        <v>0</v>
      </c>
      <c r="UZ130">
        <v>0</v>
      </c>
      <c r="VA130">
        <v>0</v>
      </c>
      <c r="VB130">
        <v>0</v>
      </c>
      <c r="VC130">
        <v>0</v>
      </c>
      <c r="VD130">
        <v>0</v>
      </c>
      <c r="VE130">
        <v>0</v>
      </c>
      <c r="VF130">
        <v>0</v>
      </c>
      <c r="VG130">
        <v>0</v>
      </c>
      <c r="VH130">
        <v>0</v>
      </c>
      <c r="VI130">
        <v>0</v>
      </c>
      <c r="VJ130">
        <v>0</v>
      </c>
      <c r="VK130">
        <v>0</v>
      </c>
      <c r="VL130">
        <v>0</v>
      </c>
      <c r="VM130">
        <v>0</v>
      </c>
      <c r="VN130">
        <v>0</v>
      </c>
      <c r="VO130">
        <v>0</v>
      </c>
      <c r="VP130">
        <v>0</v>
      </c>
      <c r="VQ130">
        <v>0</v>
      </c>
      <c r="VR130">
        <v>0</v>
      </c>
      <c r="VS130">
        <v>0</v>
      </c>
      <c r="VT130">
        <v>0</v>
      </c>
      <c r="VU130">
        <v>0</v>
      </c>
      <c r="VV130">
        <v>0</v>
      </c>
      <c r="VW130">
        <v>0</v>
      </c>
      <c r="VX130">
        <v>1</v>
      </c>
      <c r="VY130">
        <v>1</v>
      </c>
      <c r="VZ130">
        <v>1</v>
      </c>
      <c r="WA130">
        <v>1</v>
      </c>
      <c r="WB130">
        <v>1</v>
      </c>
      <c r="WC130">
        <v>1</v>
      </c>
      <c r="WD130">
        <v>1</v>
      </c>
      <c r="WE130">
        <v>1</v>
      </c>
      <c r="WF130">
        <v>1</v>
      </c>
      <c r="WG130">
        <v>1</v>
      </c>
      <c r="WH130">
        <v>1</v>
      </c>
      <c r="WI130">
        <v>1</v>
      </c>
      <c r="WJ130">
        <v>1</v>
      </c>
      <c r="WK130">
        <v>1</v>
      </c>
      <c r="WL130">
        <v>1</v>
      </c>
      <c r="WM130">
        <v>1</v>
      </c>
      <c r="WN130">
        <v>1</v>
      </c>
      <c r="WO130">
        <v>1</v>
      </c>
      <c r="WP130">
        <v>1</v>
      </c>
      <c r="WQ130">
        <v>1</v>
      </c>
      <c r="WR130">
        <v>1</v>
      </c>
      <c r="WS130">
        <v>1</v>
      </c>
      <c r="WT130">
        <v>1</v>
      </c>
      <c r="WU130">
        <v>1</v>
      </c>
      <c r="WV130">
        <v>1</v>
      </c>
      <c r="WW130">
        <v>1</v>
      </c>
      <c r="WX130">
        <v>1</v>
      </c>
      <c r="WY130">
        <v>1</v>
      </c>
      <c r="WZ130">
        <v>1</v>
      </c>
      <c r="XA130">
        <v>1</v>
      </c>
      <c r="XB130">
        <v>1</v>
      </c>
      <c r="XC130">
        <v>1</v>
      </c>
      <c r="XD130">
        <v>1</v>
      </c>
      <c r="XE130">
        <v>1</v>
      </c>
      <c r="XF130">
        <v>1</v>
      </c>
      <c r="XG130">
        <v>1</v>
      </c>
      <c r="XH130">
        <v>1</v>
      </c>
      <c r="XI130">
        <v>1</v>
      </c>
      <c r="XJ130">
        <v>1</v>
      </c>
      <c r="XK130">
        <v>1</v>
      </c>
      <c r="XL130">
        <v>1</v>
      </c>
      <c r="XM130">
        <v>1</v>
      </c>
      <c r="XN130">
        <v>1</v>
      </c>
      <c r="XO130">
        <v>1</v>
      </c>
      <c r="XP130">
        <v>1</v>
      </c>
      <c r="XQ130">
        <v>1</v>
      </c>
      <c r="XR130">
        <v>1</v>
      </c>
      <c r="XS130">
        <v>1</v>
      </c>
      <c r="XT130">
        <v>1</v>
      </c>
      <c r="XU130">
        <v>1</v>
      </c>
      <c r="XV130">
        <v>0</v>
      </c>
      <c r="XW130">
        <v>0</v>
      </c>
      <c r="XX130">
        <v>0</v>
      </c>
      <c r="XY130">
        <v>0</v>
      </c>
      <c r="XZ130">
        <v>0</v>
      </c>
      <c r="YA130">
        <v>0</v>
      </c>
      <c r="YB130">
        <v>0</v>
      </c>
      <c r="YC130">
        <v>0</v>
      </c>
      <c r="YD130">
        <v>0</v>
      </c>
      <c r="YE130">
        <v>0</v>
      </c>
      <c r="YF130">
        <v>0</v>
      </c>
      <c r="YG130">
        <v>0</v>
      </c>
      <c r="YH130">
        <v>0</v>
      </c>
      <c r="YI130">
        <v>0</v>
      </c>
      <c r="YJ130">
        <v>0</v>
      </c>
      <c r="YK130">
        <v>0</v>
      </c>
      <c r="YL130">
        <v>0</v>
      </c>
      <c r="YM130">
        <v>0</v>
      </c>
      <c r="YN130">
        <v>0</v>
      </c>
      <c r="YO130">
        <v>0</v>
      </c>
      <c r="YP130">
        <v>0</v>
      </c>
      <c r="YQ130">
        <v>0</v>
      </c>
      <c r="YR130">
        <v>0</v>
      </c>
      <c r="YS130">
        <v>0</v>
      </c>
      <c r="YT130">
        <v>0</v>
      </c>
      <c r="YU130">
        <v>0</v>
      </c>
      <c r="YV130">
        <v>0</v>
      </c>
      <c r="YW130">
        <v>0</v>
      </c>
      <c r="YX130">
        <v>0</v>
      </c>
      <c r="YY130">
        <v>0</v>
      </c>
      <c r="YZ130">
        <v>0</v>
      </c>
      <c r="ZA130">
        <v>0</v>
      </c>
      <c r="ZB130">
        <v>0</v>
      </c>
      <c r="ZC130">
        <v>0</v>
      </c>
      <c r="ZD130">
        <v>0</v>
      </c>
      <c r="ZE130">
        <v>2</v>
      </c>
      <c r="ZF130">
        <v>2</v>
      </c>
      <c r="ZG130">
        <v>2</v>
      </c>
      <c r="ZH130">
        <v>2</v>
      </c>
      <c r="ZI130">
        <v>2</v>
      </c>
      <c r="ZJ130">
        <v>2</v>
      </c>
      <c r="ZK130">
        <v>2</v>
      </c>
      <c r="ZL130">
        <v>2</v>
      </c>
      <c r="ZM130">
        <v>2</v>
      </c>
      <c r="ZN130">
        <v>2</v>
      </c>
      <c r="ZO130">
        <v>2</v>
      </c>
      <c r="ZP130">
        <v>2</v>
      </c>
      <c r="ZQ130">
        <v>2</v>
      </c>
      <c r="ZR130">
        <v>2</v>
      </c>
      <c r="ZS130">
        <v>2</v>
      </c>
      <c r="ZT130">
        <v>2</v>
      </c>
      <c r="ZU130">
        <v>2</v>
      </c>
      <c r="ZV130">
        <v>2</v>
      </c>
      <c r="ZW130">
        <v>2</v>
      </c>
      <c r="ZX130">
        <v>2</v>
      </c>
      <c r="ZY130">
        <v>2</v>
      </c>
      <c r="ZZ130">
        <v>2</v>
      </c>
      <c r="AAA130">
        <v>2</v>
      </c>
      <c r="AAB130">
        <v>2</v>
      </c>
      <c r="AAC130">
        <v>2</v>
      </c>
      <c r="AAD130">
        <v>2</v>
      </c>
      <c r="AAE130">
        <v>2</v>
      </c>
      <c r="AAF130">
        <v>2</v>
      </c>
      <c r="AAG130">
        <v>2</v>
      </c>
      <c r="AAH130">
        <v>2</v>
      </c>
      <c r="AAI130">
        <v>2</v>
      </c>
      <c r="AAJ130">
        <v>2</v>
      </c>
      <c r="AAK130">
        <v>2</v>
      </c>
      <c r="AAL130">
        <v>2</v>
      </c>
      <c r="AAM130">
        <v>2</v>
      </c>
      <c r="AAN130">
        <v>2</v>
      </c>
      <c r="AAO130">
        <v>2</v>
      </c>
      <c r="AAP130">
        <v>2</v>
      </c>
      <c r="AAQ130">
        <v>2</v>
      </c>
      <c r="AAR130">
        <v>2</v>
      </c>
      <c r="AAS130">
        <v>2</v>
      </c>
      <c r="AAT130">
        <v>2</v>
      </c>
      <c r="AAU130">
        <v>2</v>
      </c>
      <c r="AAV130">
        <v>2</v>
      </c>
      <c r="AAW130">
        <v>2</v>
      </c>
      <c r="AAX130">
        <v>2</v>
      </c>
      <c r="AAY130">
        <v>2</v>
      </c>
      <c r="AAZ130">
        <v>2</v>
      </c>
      <c r="ABA130">
        <v>2</v>
      </c>
      <c r="ABB130">
        <v>2</v>
      </c>
      <c r="ABC130">
        <v>2</v>
      </c>
      <c r="ABD130">
        <v>2</v>
      </c>
      <c r="ABE130">
        <v>2</v>
      </c>
      <c r="ABG130" s="1137">
        <f t="shared" si="30"/>
        <v>0</v>
      </c>
      <c r="ABH130" s="1137">
        <f t="shared" si="30"/>
        <v>0</v>
      </c>
      <c r="ABI130" s="1137">
        <f t="shared" si="30"/>
        <v>10</v>
      </c>
      <c r="ABJ130" s="1137">
        <f t="shared" si="30"/>
        <v>30</v>
      </c>
      <c r="ABK130" s="1137">
        <f t="shared" si="30"/>
        <v>31</v>
      </c>
      <c r="ABL130" s="1137">
        <f t="shared" si="30"/>
        <v>30</v>
      </c>
      <c r="ABM130" s="1137">
        <f t="shared" si="30"/>
        <v>31</v>
      </c>
      <c r="ABN130" s="1137">
        <f t="shared" si="30"/>
        <v>31</v>
      </c>
      <c r="ABO130" s="1137">
        <f t="shared" si="30"/>
        <v>30</v>
      </c>
      <c r="ABP130" s="1137">
        <f t="shared" si="30"/>
        <v>31</v>
      </c>
      <c r="ABQ130" s="1137">
        <f t="shared" si="30"/>
        <v>30</v>
      </c>
      <c r="ABR130" s="1137">
        <f t="shared" si="30"/>
        <v>31</v>
      </c>
      <c r="ABS130" s="1137">
        <f t="shared" si="30"/>
        <v>31</v>
      </c>
      <c r="ABT130" s="1137">
        <f t="shared" si="30"/>
        <v>28</v>
      </c>
      <c r="ABU130" s="1137">
        <f t="shared" si="30"/>
        <v>1</v>
      </c>
      <c r="ABV130" s="1137">
        <f t="shared" si="30"/>
        <v>18</v>
      </c>
      <c r="ABW130" s="1137">
        <f t="shared" si="31"/>
        <v>31</v>
      </c>
      <c r="ABX130" s="1137">
        <f t="shared" si="34"/>
        <v>30</v>
      </c>
      <c r="ABY130" s="1137">
        <f t="shared" si="34"/>
        <v>3</v>
      </c>
      <c r="ABZ130" s="1137">
        <f t="shared" si="34"/>
        <v>16</v>
      </c>
      <c r="ACA130" s="1137">
        <f t="shared" si="34"/>
        <v>30</v>
      </c>
      <c r="ACB130" s="1137">
        <f t="shared" si="34"/>
        <v>4</v>
      </c>
      <c r="ACC130" s="1137">
        <f t="shared" si="34"/>
        <v>22</v>
      </c>
      <c r="ACD130" s="1137">
        <f t="shared" si="34"/>
        <v>31</v>
      </c>
      <c r="ACE130" s="1137" t="s">
        <v>51</v>
      </c>
      <c r="ACF130" s="1137">
        <f t="shared" si="33"/>
        <v>0</v>
      </c>
      <c r="ACG130" s="1137">
        <f t="shared" si="33"/>
        <v>0</v>
      </c>
      <c r="ACH130" s="1137">
        <f t="shared" si="33"/>
        <v>0</v>
      </c>
      <c r="ACI130" s="1137">
        <f t="shared" si="33"/>
        <v>1</v>
      </c>
      <c r="ACJ130" s="1137">
        <f t="shared" si="33"/>
        <v>1</v>
      </c>
      <c r="ACK130" s="1137">
        <f t="shared" si="33"/>
        <v>1</v>
      </c>
      <c r="ACL130" s="1137">
        <f t="shared" si="33"/>
        <v>1</v>
      </c>
      <c r="ACM130" s="1137">
        <f t="shared" si="33"/>
        <v>1</v>
      </c>
      <c r="ACN130" s="1137">
        <f t="shared" si="33"/>
        <v>1</v>
      </c>
      <c r="ACO130" s="1137">
        <f t="shared" si="33"/>
        <v>1</v>
      </c>
      <c r="ACP130" s="1137">
        <f t="shared" si="33"/>
        <v>1</v>
      </c>
      <c r="ACQ130" s="1137">
        <f t="shared" si="32"/>
        <v>1</v>
      </c>
      <c r="ACR130" s="1137">
        <f t="shared" si="32"/>
        <v>1</v>
      </c>
      <c r="ACS130" s="1137">
        <f t="shared" si="32"/>
        <v>1</v>
      </c>
      <c r="ACT130" s="1137">
        <f t="shared" si="32"/>
        <v>0</v>
      </c>
      <c r="ACU130" s="1137">
        <f t="shared" si="32"/>
        <v>1</v>
      </c>
      <c r="ACV130" s="1137">
        <f t="shared" si="32"/>
        <v>1</v>
      </c>
      <c r="ACW130" s="1137">
        <f t="shared" si="32"/>
        <v>1</v>
      </c>
      <c r="ACX130" s="1137">
        <f t="shared" si="32"/>
        <v>0</v>
      </c>
      <c r="ACY130" s="1137">
        <f t="shared" si="32"/>
        <v>1</v>
      </c>
      <c r="ACZ130" s="1137">
        <f t="shared" si="32"/>
        <v>1</v>
      </c>
      <c r="ADA130" s="1137">
        <f t="shared" si="35"/>
        <v>0</v>
      </c>
      <c r="ADB130" s="1137">
        <f t="shared" si="35"/>
        <v>1</v>
      </c>
      <c r="ADC130" s="1137">
        <f t="shared" si="35"/>
        <v>1</v>
      </c>
    </row>
    <row r="131" spans="1:783" x14ac:dyDescent="0.25">
      <c r="A131" t="s">
        <v>1930</v>
      </c>
      <c r="B131" t="s">
        <v>229</v>
      </c>
      <c r="C131">
        <v>0</v>
      </c>
      <c r="D131">
        <v>0</v>
      </c>
      <c r="E131">
        <v>0</v>
      </c>
      <c r="F131">
        <v>0</v>
      </c>
      <c r="G131">
        <v>0</v>
      </c>
      <c r="H131">
        <v>0</v>
      </c>
      <c r="I131">
        <v>0</v>
      </c>
      <c r="J131">
        <v>0</v>
      </c>
      <c r="K131">
        <v>0</v>
      </c>
      <c r="L131">
        <v>0</v>
      </c>
      <c r="M131">
        <v>0</v>
      </c>
      <c r="N131">
        <v>0</v>
      </c>
      <c r="O131">
        <v>0</v>
      </c>
      <c r="P131">
        <v>0</v>
      </c>
      <c r="Q131">
        <v>0</v>
      </c>
      <c r="R131">
        <v>0</v>
      </c>
      <c r="S131">
        <v>0</v>
      </c>
      <c r="T131">
        <v>0</v>
      </c>
      <c r="U131">
        <v>0</v>
      </c>
      <c r="V131">
        <v>0</v>
      </c>
      <c r="W131">
        <v>0</v>
      </c>
      <c r="X131">
        <v>0</v>
      </c>
      <c r="Y131">
        <v>0</v>
      </c>
      <c r="Z131">
        <v>0</v>
      </c>
      <c r="AA131">
        <v>0</v>
      </c>
      <c r="AB131">
        <v>0</v>
      </c>
      <c r="AC131">
        <v>0</v>
      </c>
      <c r="AD131">
        <v>0</v>
      </c>
      <c r="AE131">
        <v>0</v>
      </c>
      <c r="AF131">
        <v>0</v>
      </c>
      <c r="AG131">
        <v>0</v>
      </c>
      <c r="AH131">
        <v>0</v>
      </c>
      <c r="AI131">
        <v>0</v>
      </c>
      <c r="AJ131">
        <v>0</v>
      </c>
      <c r="AK131">
        <v>0</v>
      </c>
      <c r="AL131">
        <v>0</v>
      </c>
      <c r="AM131">
        <v>0</v>
      </c>
      <c r="AN131">
        <v>0</v>
      </c>
      <c r="AO131">
        <v>0</v>
      </c>
      <c r="AP131">
        <v>0</v>
      </c>
      <c r="AQ131">
        <v>0</v>
      </c>
      <c r="AR131">
        <v>0</v>
      </c>
      <c r="AS131">
        <v>0</v>
      </c>
      <c r="AT131">
        <v>0</v>
      </c>
      <c r="AU131">
        <v>0</v>
      </c>
      <c r="AV131">
        <v>0</v>
      </c>
      <c r="AW131">
        <v>0</v>
      </c>
      <c r="AX131">
        <v>0</v>
      </c>
      <c r="AY131">
        <v>0</v>
      </c>
      <c r="AZ131">
        <v>0</v>
      </c>
      <c r="BA131">
        <v>0</v>
      </c>
      <c r="BB131">
        <v>0</v>
      </c>
      <c r="BC131">
        <v>0</v>
      </c>
      <c r="BD131">
        <v>0</v>
      </c>
      <c r="BE131">
        <v>0</v>
      </c>
      <c r="BF131">
        <v>0</v>
      </c>
      <c r="BG131">
        <v>0</v>
      </c>
      <c r="BH131">
        <v>0</v>
      </c>
      <c r="BI131">
        <v>0</v>
      </c>
      <c r="BJ131">
        <v>0</v>
      </c>
      <c r="BK131">
        <v>0</v>
      </c>
      <c r="BL131">
        <v>0</v>
      </c>
      <c r="BM131">
        <v>0</v>
      </c>
      <c r="BN131">
        <v>0</v>
      </c>
      <c r="BO131">
        <v>0</v>
      </c>
      <c r="BP131">
        <v>0</v>
      </c>
      <c r="BQ131">
        <v>0</v>
      </c>
      <c r="BR131">
        <v>0</v>
      </c>
      <c r="BS131">
        <v>0</v>
      </c>
      <c r="BT131">
        <v>0</v>
      </c>
      <c r="BU131">
        <v>0</v>
      </c>
      <c r="BV131">
        <v>0</v>
      </c>
      <c r="BW131">
        <v>0</v>
      </c>
      <c r="BX131">
        <v>0</v>
      </c>
      <c r="BY131">
        <v>0</v>
      </c>
      <c r="BZ131">
        <v>0</v>
      </c>
      <c r="CA131">
        <v>0</v>
      </c>
      <c r="CB131">
        <v>0</v>
      </c>
      <c r="CC131">
        <v>0</v>
      </c>
      <c r="CD131">
        <v>0</v>
      </c>
      <c r="CE131">
        <v>1</v>
      </c>
      <c r="CF131">
        <v>1</v>
      </c>
      <c r="CG131">
        <v>2</v>
      </c>
      <c r="CH131">
        <v>2</v>
      </c>
      <c r="CI131">
        <v>2</v>
      </c>
      <c r="CJ131">
        <v>2</v>
      </c>
      <c r="CK131">
        <v>2</v>
      </c>
      <c r="CL131">
        <v>2</v>
      </c>
      <c r="CM131">
        <v>2</v>
      </c>
      <c r="CN131">
        <v>2</v>
      </c>
      <c r="CO131">
        <v>2</v>
      </c>
      <c r="CP131">
        <v>2</v>
      </c>
      <c r="CQ131">
        <v>2</v>
      </c>
      <c r="CR131">
        <v>2</v>
      </c>
      <c r="CS131">
        <v>2</v>
      </c>
      <c r="CT131">
        <v>2</v>
      </c>
      <c r="CU131">
        <v>2</v>
      </c>
      <c r="CV131">
        <v>2</v>
      </c>
      <c r="CW131">
        <v>2</v>
      </c>
      <c r="CX131">
        <v>2</v>
      </c>
      <c r="CY131">
        <v>2</v>
      </c>
      <c r="CZ131">
        <v>2</v>
      </c>
      <c r="DA131">
        <v>2</v>
      </c>
      <c r="DB131">
        <v>2</v>
      </c>
      <c r="DC131">
        <v>2</v>
      </c>
      <c r="DD131">
        <v>2</v>
      </c>
      <c r="DE131">
        <v>2</v>
      </c>
      <c r="DF131">
        <v>2</v>
      </c>
      <c r="DG131">
        <v>2</v>
      </c>
      <c r="DH131">
        <v>2</v>
      </c>
      <c r="DI131">
        <v>2</v>
      </c>
      <c r="DJ131">
        <v>2</v>
      </c>
      <c r="DK131">
        <v>2</v>
      </c>
      <c r="DL131">
        <v>2</v>
      </c>
      <c r="DM131">
        <v>2</v>
      </c>
      <c r="DN131">
        <v>2</v>
      </c>
      <c r="DO131">
        <v>2</v>
      </c>
      <c r="DP131">
        <v>2</v>
      </c>
      <c r="DQ131">
        <v>2</v>
      </c>
      <c r="DR131">
        <v>2</v>
      </c>
      <c r="DS131">
        <v>2</v>
      </c>
      <c r="DT131">
        <v>2</v>
      </c>
      <c r="DU131">
        <v>2</v>
      </c>
      <c r="DV131">
        <v>2</v>
      </c>
      <c r="DW131">
        <v>2</v>
      </c>
      <c r="DX131">
        <v>2</v>
      </c>
      <c r="DY131">
        <v>2</v>
      </c>
      <c r="DZ131">
        <v>2</v>
      </c>
      <c r="EA131">
        <v>2</v>
      </c>
      <c r="EB131">
        <v>2</v>
      </c>
      <c r="EC131">
        <v>2</v>
      </c>
      <c r="ED131">
        <v>2</v>
      </c>
      <c r="EE131">
        <v>2</v>
      </c>
      <c r="EF131">
        <v>2</v>
      </c>
      <c r="EG131">
        <v>0</v>
      </c>
      <c r="EH131">
        <v>0</v>
      </c>
      <c r="EI131">
        <v>0</v>
      </c>
      <c r="EJ131">
        <v>0</v>
      </c>
      <c r="EK131">
        <v>0</v>
      </c>
      <c r="EL131">
        <v>0</v>
      </c>
      <c r="EM131">
        <v>0</v>
      </c>
      <c r="EN131">
        <v>0</v>
      </c>
      <c r="EO131">
        <v>0</v>
      </c>
      <c r="EP131">
        <v>0</v>
      </c>
      <c r="EQ131">
        <v>0</v>
      </c>
      <c r="ER131">
        <v>0</v>
      </c>
      <c r="ES131">
        <v>0</v>
      </c>
      <c r="ET131">
        <v>0</v>
      </c>
      <c r="EU131">
        <v>0</v>
      </c>
      <c r="EV131">
        <v>0</v>
      </c>
      <c r="EW131">
        <v>0</v>
      </c>
      <c r="EX131">
        <v>0</v>
      </c>
      <c r="EY131">
        <v>0</v>
      </c>
      <c r="EZ131">
        <v>0</v>
      </c>
      <c r="FA131">
        <v>0</v>
      </c>
      <c r="FB131">
        <v>0</v>
      </c>
      <c r="FC131">
        <v>0</v>
      </c>
      <c r="FD131">
        <v>0</v>
      </c>
      <c r="FE131">
        <v>0</v>
      </c>
      <c r="FF131">
        <v>0</v>
      </c>
      <c r="FG131">
        <v>0</v>
      </c>
      <c r="FH131">
        <v>0</v>
      </c>
      <c r="FI131">
        <v>0</v>
      </c>
      <c r="FJ131">
        <v>0</v>
      </c>
      <c r="FK131">
        <v>0</v>
      </c>
      <c r="FL131">
        <v>0</v>
      </c>
      <c r="FM131">
        <v>0</v>
      </c>
      <c r="FN131">
        <v>0</v>
      </c>
      <c r="FO131">
        <v>0</v>
      </c>
      <c r="FP131">
        <v>0</v>
      </c>
      <c r="FQ131">
        <v>0</v>
      </c>
      <c r="FR131">
        <v>0</v>
      </c>
      <c r="FS131">
        <v>0</v>
      </c>
      <c r="FT131">
        <v>0</v>
      </c>
      <c r="FU131">
        <v>0</v>
      </c>
      <c r="FV131">
        <v>0</v>
      </c>
      <c r="FW131">
        <v>0</v>
      </c>
      <c r="FX131">
        <v>0</v>
      </c>
      <c r="FY131">
        <v>0</v>
      </c>
      <c r="FZ131">
        <v>0</v>
      </c>
      <c r="GA131">
        <v>0</v>
      </c>
      <c r="GB131">
        <v>0</v>
      </c>
      <c r="GC131">
        <v>0</v>
      </c>
      <c r="GD131">
        <v>0</v>
      </c>
      <c r="GE131">
        <v>0</v>
      </c>
      <c r="GF131">
        <v>0</v>
      </c>
      <c r="GG131">
        <v>0</v>
      </c>
      <c r="GH131">
        <v>0</v>
      </c>
      <c r="GI131">
        <v>0</v>
      </c>
      <c r="GJ131">
        <v>0</v>
      </c>
      <c r="GK131">
        <v>0</v>
      </c>
      <c r="GL131">
        <v>0</v>
      </c>
      <c r="GM131">
        <v>0</v>
      </c>
      <c r="GN131">
        <v>0</v>
      </c>
      <c r="GO131">
        <v>0</v>
      </c>
      <c r="GP131">
        <v>0</v>
      </c>
      <c r="GQ131">
        <v>0</v>
      </c>
      <c r="GR131">
        <v>0</v>
      </c>
      <c r="GS131">
        <v>0</v>
      </c>
      <c r="GT131">
        <v>0</v>
      </c>
      <c r="GU131">
        <v>0</v>
      </c>
      <c r="GV131">
        <v>0</v>
      </c>
      <c r="GW131">
        <v>0</v>
      </c>
      <c r="GX131">
        <v>0</v>
      </c>
      <c r="GY131">
        <v>0</v>
      </c>
      <c r="GZ131">
        <v>0</v>
      </c>
      <c r="HA131">
        <v>0</v>
      </c>
      <c r="HB131">
        <v>0</v>
      </c>
      <c r="HC131">
        <v>0</v>
      </c>
      <c r="HD131">
        <v>0</v>
      </c>
      <c r="HE131">
        <v>0</v>
      </c>
      <c r="HF131">
        <v>0</v>
      </c>
      <c r="HG131">
        <v>0</v>
      </c>
      <c r="HH131">
        <v>0</v>
      </c>
      <c r="HI131">
        <v>0</v>
      </c>
      <c r="HJ131">
        <v>0</v>
      </c>
      <c r="HK131">
        <v>0</v>
      </c>
      <c r="HL131">
        <v>0</v>
      </c>
      <c r="HM131">
        <v>0</v>
      </c>
      <c r="HN131">
        <v>0</v>
      </c>
      <c r="HO131">
        <v>0</v>
      </c>
      <c r="HP131">
        <v>0</v>
      </c>
      <c r="HQ131">
        <v>0</v>
      </c>
      <c r="HR131">
        <v>0</v>
      </c>
      <c r="HS131">
        <v>2</v>
      </c>
      <c r="HT131">
        <v>2</v>
      </c>
      <c r="HU131">
        <v>2</v>
      </c>
      <c r="HV131">
        <v>2</v>
      </c>
      <c r="HW131">
        <v>2</v>
      </c>
      <c r="HX131">
        <v>2</v>
      </c>
      <c r="HY131">
        <v>2</v>
      </c>
      <c r="HZ131">
        <v>2</v>
      </c>
      <c r="IA131">
        <v>2</v>
      </c>
      <c r="IB131">
        <v>2</v>
      </c>
      <c r="IC131">
        <v>2</v>
      </c>
      <c r="ID131">
        <v>2</v>
      </c>
      <c r="IE131">
        <v>2</v>
      </c>
      <c r="IF131">
        <v>2</v>
      </c>
      <c r="IG131">
        <v>2</v>
      </c>
      <c r="IH131">
        <v>2</v>
      </c>
      <c r="II131">
        <v>2</v>
      </c>
      <c r="IJ131">
        <v>2</v>
      </c>
      <c r="IK131">
        <v>2</v>
      </c>
      <c r="IL131">
        <v>0</v>
      </c>
      <c r="IM131">
        <v>0</v>
      </c>
      <c r="IN131">
        <v>0</v>
      </c>
      <c r="IO131">
        <v>0</v>
      </c>
      <c r="IP131">
        <v>0</v>
      </c>
      <c r="IQ131">
        <v>0</v>
      </c>
      <c r="IR131">
        <v>0</v>
      </c>
      <c r="IS131">
        <v>0</v>
      </c>
      <c r="IT131">
        <v>0</v>
      </c>
      <c r="IU131">
        <v>0</v>
      </c>
      <c r="IV131">
        <v>0</v>
      </c>
      <c r="IW131">
        <v>0</v>
      </c>
      <c r="IX131">
        <v>0</v>
      </c>
      <c r="IY131">
        <v>0</v>
      </c>
      <c r="IZ131">
        <v>0</v>
      </c>
      <c r="JA131">
        <v>0</v>
      </c>
      <c r="JB131">
        <v>0</v>
      </c>
      <c r="JC131">
        <v>0</v>
      </c>
      <c r="JD131">
        <v>0</v>
      </c>
      <c r="JE131">
        <v>0</v>
      </c>
      <c r="JF131">
        <v>0</v>
      </c>
      <c r="JG131">
        <v>0</v>
      </c>
      <c r="JH131">
        <v>0</v>
      </c>
      <c r="JI131">
        <v>0</v>
      </c>
      <c r="JJ131">
        <v>0</v>
      </c>
      <c r="JK131">
        <v>0</v>
      </c>
      <c r="JL131">
        <v>0</v>
      </c>
      <c r="JM131">
        <v>0</v>
      </c>
      <c r="JN131">
        <v>0</v>
      </c>
      <c r="JO131">
        <v>0</v>
      </c>
      <c r="JP131">
        <v>0</v>
      </c>
      <c r="JQ131">
        <v>0</v>
      </c>
      <c r="JR131">
        <v>0</v>
      </c>
      <c r="JS131">
        <v>0</v>
      </c>
      <c r="JT131">
        <v>0</v>
      </c>
      <c r="JU131">
        <v>0</v>
      </c>
      <c r="JV131">
        <v>0</v>
      </c>
      <c r="JW131">
        <v>0</v>
      </c>
      <c r="JX131">
        <v>0</v>
      </c>
      <c r="JY131">
        <v>0</v>
      </c>
      <c r="JZ131">
        <v>0</v>
      </c>
      <c r="KA131">
        <v>0</v>
      </c>
      <c r="KB131">
        <v>0</v>
      </c>
      <c r="KC131">
        <v>0</v>
      </c>
      <c r="KD131">
        <v>0</v>
      </c>
      <c r="KE131">
        <v>0</v>
      </c>
      <c r="KF131">
        <v>0</v>
      </c>
      <c r="KG131">
        <v>0</v>
      </c>
      <c r="KH131">
        <v>0</v>
      </c>
      <c r="KI131">
        <v>0</v>
      </c>
      <c r="KJ131">
        <v>0</v>
      </c>
      <c r="KK131">
        <v>0</v>
      </c>
      <c r="KL131">
        <v>0</v>
      </c>
      <c r="KM131">
        <v>0</v>
      </c>
      <c r="KN131">
        <v>0</v>
      </c>
      <c r="KO131">
        <v>0</v>
      </c>
      <c r="KP131">
        <v>0</v>
      </c>
      <c r="KQ131">
        <v>0</v>
      </c>
      <c r="KR131">
        <v>0</v>
      </c>
      <c r="KS131">
        <v>0</v>
      </c>
      <c r="KT131">
        <v>0</v>
      </c>
      <c r="KU131">
        <v>0</v>
      </c>
      <c r="KV131">
        <v>0</v>
      </c>
      <c r="KW131">
        <v>0</v>
      </c>
      <c r="KX131">
        <v>0</v>
      </c>
      <c r="KY131">
        <v>0</v>
      </c>
      <c r="KZ131">
        <v>0</v>
      </c>
      <c r="LA131">
        <v>0</v>
      </c>
      <c r="LB131">
        <v>0</v>
      </c>
      <c r="LC131">
        <v>0</v>
      </c>
      <c r="LD131">
        <v>0</v>
      </c>
      <c r="LE131">
        <v>0</v>
      </c>
      <c r="LF131">
        <v>0</v>
      </c>
      <c r="LG131">
        <v>0</v>
      </c>
      <c r="LH131">
        <v>0</v>
      </c>
      <c r="LI131">
        <v>0</v>
      </c>
      <c r="LJ131">
        <v>0</v>
      </c>
      <c r="LK131">
        <v>0</v>
      </c>
      <c r="LL131">
        <v>0</v>
      </c>
      <c r="LM131">
        <v>0</v>
      </c>
      <c r="LN131">
        <v>0</v>
      </c>
      <c r="LO131">
        <v>0</v>
      </c>
      <c r="LP131">
        <v>0</v>
      </c>
      <c r="LQ131">
        <v>0</v>
      </c>
      <c r="LR131">
        <v>0</v>
      </c>
      <c r="LS131">
        <v>0</v>
      </c>
      <c r="LT131">
        <v>0</v>
      </c>
      <c r="LU131">
        <v>0</v>
      </c>
      <c r="LV131">
        <v>0</v>
      </c>
      <c r="LW131">
        <v>0</v>
      </c>
      <c r="LX131">
        <v>0</v>
      </c>
      <c r="LY131">
        <v>0</v>
      </c>
      <c r="LZ131">
        <v>0</v>
      </c>
      <c r="MA131">
        <v>0</v>
      </c>
      <c r="MB131">
        <v>0</v>
      </c>
      <c r="MC131">
        <v>0</v>
      </c>
      <c r="MD131">
        <v>0</v>
      </c>
      <c r="ME131">
        <v>0</v>
      </c>
      <c r="MF131">
        <v>0</v>
      </c>
      <c r="MG131">
        <v>0</v>
      </c>
      <c r="MH131">
        <v>0</v>
      </c>
      <c r="MI131">
        <v>0</v>
      </c>
      <c r="MJ131">
        <v>0</v>
      </c>
      <c r="MK131">
        <v>0</v>
      </c>
      <c r="ML131">
        <v>0</v>
      </c>
      <c r="MM131">
        <v>0</v>
      </c>
      <c r="MN131">
        <v>0</v>
      </c>
      <c r="MO131">
        <v>0</v>
      </c>
      <c r="MP131">
        <v>0</v>
      </c>
      <c r="MQ131">
        <v>0</v>
      </c>
      <c r="MR131">
        <v>0</v>
      </c>
      <c r="MS131">
        <v>0</v>
      </c>
      <c r="MT131">
        <v>0</v>
      </c>
      <c r="MU131">
        <v>0</v>
      </c>
      <c r="MV131">
        <v>0</v>
      </c>
      <c r="MW131">
        <v>0</v>
      </c>
      <c r="MX131">
        <v>0</v>
      </c>
      <c r="MY131">
        <v>0</v>
      </c>
      <c r="MZ131">
        <v>0</v>
      </c>
      <c r="NA131">
        <v>0</v>
      </c>
      <c r="NB131">
        <v>0</v>
      </c>
      <c r="NC131">
        <v>0</v>
      </c>
      <c r="ND131">
        <v>0</v>
      </c>
      <c r="NE131">
        <v>0</v>
      </c>
      <c r="NF131">
        <v>0</v>
      </c>
      <c r="NG131">
        <v>0</v>
      </c>
      <c r="NH131">
        <v>0</v>
      </c>
      <c r="NI131">
        <v>0</v>
      </c>
      <c r="NJ131">
        <v>0</v>
      </c>
      <c r="NK131">
        <v>0</v>
      </c>
      <c r="NL131">
        <v>0</v>
      </c>
      <c r="NM131">
        <v>0</v>
      </c>
      <c r="NN131">
        <v>0</v>
      </c>
      <c r="NO131">
        <v>0</v>
      </c>
      <c r="NP131">
        <v>0</v>
      </c>
      <c r="NQ131">
        <v>0</v>
      </c>
      <c r="NR131">
        <v>0</v>
      </c>
      <c r="NS131">
        <v>0</v>
      </c>
      <c r="NT131">
        <v>0</v>
      </c>
      <c r="NU131">
        <v>0</v>
      </c>
      <c r="NV131">
        <v>0</v>
      </c>
      <c r="NW131">
        <v>0</v>
      </c>
      <c r="NX131">
        <v>0</v>
      </c>
      <c r="NY131">
        <v>0</v>
      </c>
      <c r="NZ131">
        <v>0</v>
      </c>
      <c r="OA131">
        <v>0</v>
      </c>
      <c r="OB131">
        <v>0</v>
      </c>
      <c r="OC131">
        <v>0</v>
      </c>
      <c r="OD131">
        <v>0</v>
      </c>
      <c r="OE131">
        <v>0</v>
      </c>
      <c r="OF131">
        <v>0</v>
      </c>
      <c r="OG131">
        <v>0</v>
      </c>
      <c r="OH131">
        <v>0</v>
      </c>
      <c r="OI131">
        <v>0</v>
      </c>
      <c r="OJ131">
        <v>0</v>
      </c>
      <c r="OK131">
        <v>0</v>
      </c>
      <c r="OL131">
        <v>0</v>
      </c>
      <c r="OM131">
        <v>0</v>
      </c>
      <c r="ON131">
        <v>0</v>
      </c>
      <c r="OO131">
        <v>0</v>
      </c>
      <c r="OP131">
        <v>0</v>
      </c>
      <c r="OQ131">
        <v>0</v>
      </c>
      <c r="OR131">
        <v>0</v>
      </c>
      <c r="OS131">
        <v>0</v>
      </c>
      <c r="OT131">
        <v>0</v>
      </c>
      <c r="OU131">
        <v>0</v>
      </c>
      <c r="OV131">
        <v>0</v>
      </c>
      <c r="OW131">
        <v>0</v>
      </c>
      <c r="OX131">
        <v>2</v>
      </c>
      <c r="OY131">
        <v>2</v>
      </c>
      <c r="OZ131">
        <v>2</v>
      </c>
      <c r="PA131">
        <v>0</v>
      </c>
      <c r="PB131">
        <v>0</v>
      </c>
      <c r="PC131">
        <v>0</v>
      </c>
      <c r="PD131">
        <v>0</v>
      </c>
      <c r="PE131">
        <v>0</v>
      </c>
      <c r="PF131">
        <v>0</v>
      </c>
      <c r="PG131">
        <v>0</v>
      </c>
      <c r="PH131">
        <v>0</v>
      </c>
      <c r="PI131">
        <v>0</v>
      </c>
      <c r="PJ131">
        <v>0</v>
      </c>
      <c r="PK131">
        <v>2</v>
      </c>
      <c r="PL131">
        <v>2</v>
      </c>
      <c r="PM131">
        <v>2</v>
      </c>
      <c r="PN131">
        <v>2</v>
      </c>
      <c r="PO131">
        <v>2</v>
      </c>
      <c r="PP131">
        <v>2</v>
      </c>
      <c r="PQ131">
        <v>2</v>
      </c>
      <c r="PR131">
        <v>0</v>
      </c>
      <c r="PS131">
        <v>0</v>
      </c>
      <c r="PT131">
        <v>0</v>
      </c>
      <c r="PU131">
        <v>0</v>
      </c>
      <c r="PV131">
        <v>0</v>
      </c>
      <c r="PW131">
        <v>0</v>
      </c>
      <c r="PX131">
        <v>0</v>
      </c>
      <c r="PY131">
        <v>0</v>
      </c>
      <c r="PZ131">
        <v>0</v>
      </c>
      <c r="QA131">
        <v>0</v>
      </c>
      <c r="QB131">
        <v>0</v>
      </c>
      <c r="QC131">
        <v>0</v>
      </c>
      <c r="QD131">
        <v>0</v>
      </c>
      <c r="QE131">
        <v>0</v>
      </c>
      <c r="QF131">
        <v>0</v>
      </c>
      <c r="QG131">
        <v>0</v>
      </c>
      <c r="QH131">
        <v>0</v>
      </c>
      <c r="QI131">
        <v>0</v>
      </c>
      <c r="QJ131">
        <v>0</v>
      </c>
      <c r="QK131">
        <v>0</v>
      </c>
      <c r="QL131">
        <v>0</v>
      </c>
      <c r="QM131">
        <v>0</v>
      </c>
      <c r="QN131">
        <v>0</v>
      </c>
      <c r="QO131">
        <v>0</v>
      </c>
      <c r="QP131">
        <v>0</v>
      </c>
      <c r="QQ131">
        <v>0</v>
      </c>
      <c r="QR131">
        <v>0</v>
      </c>
      <c r="QS131">
        <v>0</v>
      </c>
      <c r="QT131">
        <v>0</v>
      </c>
      <c r="QU131">
        <v>0</v>
      </c>
      <c r="QV131">
        <v>0</v>
      </c>
      <c r="QW131">
        <v>0</v>
      </c>
      <c r="QX131">
        <v>0</v>
      </c>
      <c r="QY131">
        <v>0</v>
      </c>
      <c r="QZ131">
        <v>0</v>
      </c>
      <c r="RA131">
        <v>0</v>
      </c>
      <c r="RB131">
        <v>0</v>
      </c>
      <c r="RC131">
        <v>0</v>
      </c>
      <c r="RD131">
        <v>0</v>
      </c>
      <c r="RE131">
        <v>0</v>
      </c>
      <c r="RF131">
        <v>0</v>
      </c>
      <c r="RG131">
        <v>0</v>
      </c>
      <c r="RH131">
        <v>0</v>
      </c>
      <c r="RI131">
        <v>0</v>
      </c>
      <c r="RJ131">
        <v>0</v>
      </c>
      <c r="RK131">
        <v>0</v>
      </c>
      <c r="RL131">
        <v>0</v>
      </c>
      <c r="RM131">
        <v>0</v>
      </c>
      <c r="RN131">
        <v>0</v>
      </c>
      <c r="RO131">
        <v>0</v>
      </c>
      <c r="RP131">
        <v>0</v>
      </c>
      <c r="RQ131">
        <v>0</v>
      </c>
      <c r="RR131">
        <v>0</v>
      </c>
      <c r="RS131">
        <v>0</v>
      </c>
      <c r="RT131">
        <v>0</v>
      </c>
      <c r="RU131">
        <v>0</v>
      </c>
      <c r="RV131">
        <v>0</v>
      </c>
      <c r="RW131">
        <v>0</v>
      </c>
      <c r="RX131">
        <v>0</v>
      </c>
      <c r="RY131">
        <v>0</v>
      </c>
      <c r="RZ131">
        <v>0</v>
      </c>
      <c r="SA131">
        <v>0</v>
      </c>
      <c r="SB131">
        <v>0</v>
      </c>
      <c r="SC131">
        <v>0</v>
      </c>
      <c r="SD131">
        <v>0</v>
      </c>
      <c r="SE131">
        <v>0</v>
      </c>
      <c r="SF131">
        <v>0</v>
      </c>
      <c r="SG131">
        <v>0</v>
      </c>
      <c r="SH131">
        <v>0</v>
      </c>
      <c r="SI131">
        <v>0</v>
      </c>
      <c r="SJ131">
        <v>0</v>
      </c>
      <c r="SK131">
        <v>0</v>
      </c>
      <c r="SL131">
        <v>0</v>
      </c>
      <c r="SM131">
        <v>0</v>
      </c>
      <c r="SN131">
        <v>0</v>
      </c>
      <c r="SO131">
        <v>0</v>
      </c>
      <c r="SP131">
        <v>0</v>
      </c>
      <c r="SQ131">
        <v>0</v>
      </c>
      <c r="SR131">
        <v>0</v>
      </c>
      <c r="SS131">
        <v>0</v>
      </c>
      <c r="ST131">
        <v>0</v>
      </c>
      <c r="SU131">
        <v>0</v>
      </c>
      <c r="SV131">
        <v>0</v>
      </c>
      <c r="SW131">
        <v>0</v>
      </c>
      <c r="SX131">
        <v>0</v>
      </c>
      <c r="SY131">
        <v>0</v>
      </c>
      <c r="SZ131">
        <v>0</v>
      </c>
      <c r="TA131">
        <v>0</v>
      </c>
      <c r="TB131">
        <v>0</v>
      </c>
      <c r="TC131">
        <v>0</v>
      </c>
      <c r="TD131">
        <v>0</v>
      </c>
      <c r="TE131">
        <v>0</v>
      </c>
      <c r="TF131">
        <v>0</v>
      </c>
      <c r="TG131">
        <v>0</v>
      </c>
      <c r="TH131">
        <v>0</v>
      </c>
      <c r="TI131">
        <v>0</v>
      </c>
      <c r="TJ131">
        <v>0</v>
      </c>
      <c r="TK131">
        <v>0</v>
      </c>
      <c r="TL131">
        <v>0</v>
      </c>
      <c r="TM131">
        <v>0</v>
      </c>
      <c r="TN131">
        <v>0</v>
      </c>
      <c r="TO131">
        <v>0</v>
      </c>
      <c r="TP131">
        <v>0</v>
      </c>
      <c r="TQ131">
        <v>0</v>
      </c>
      <c r="TR131">
        <v>0</v>
      </c>
      <c r="TS131">
        <v>0</v>
      </c>
      <c r="TT131">
        <v>0</v>
      </c>
      <c r="TU131">
        <v>0</v>
      </c>
      <c r="TV131">
        <v>0</v>
      </c>
      <c r="TW131">
        <v>0</v>
      </c>
      <c r="TX131">
        <v>0</v>
      </c>
      <c r="TY131">
        <v>0</v>
      </c>
      <c r="TZ131">
        <v>0</v>
      </c>
      <c r="UA131">
        <v>0</v>
      </c>
      <c r="UB131">
        <v>0</v>
      </c>
      <c r="UC131">
        <v>0</v>
      </c>
      <c r="UD131">
        <v>0</v>
      </c>
      <c r="UE131">
        <v>0</v>
      </c>
      <c r="UF131">
        <v>0</v>
      </c>
      <c r="UG131">
        <v>0</v>
      </c>
      <c r="UH131">
        <v>0</v>
      </c>
      <c r="UI131">
        <v>0</v>
      </c>
      <c r="UJ131">
        <v>0</v>
      </c>
      <c r="UK131">
        <v>0</v>
      </c>
      <c r="UL131">
        <v>0</v>
      </c>
      <c r="UM131">
        <v>0</v>
      </c>
      <c r="UN131">
        <v>0</v>
      </c>
      <c r="UO131">
        <v>0</v>
      </c>
      <c r="UP131">
        <v>0</v>
      </c>
      <c r="UQ131">
        <v>0</v>
      </c>
      <c r="UR131">
        <v>0</v>
      </c>
      <c r="US131">
        <v>0</v>
      </c>
      <c r="UT131">
        <v>0</v>
      </c>
      <c r="UU131">
        <v>0</v>
      </c>
      <c r="UV131">
        <v>0</v>
      </c>
      <c r="UW131">
        <v>0</v>
      </c>
      <c r="UX131">
        <v>0</v>
      </c>
      <c r="UY131">
        <v>0</v>
      </c>
      <c r="UZ131">
        <v>0</v>
      </c>
      <c r="VA131">
        <v>0</v>
      </c>
      <c r="VB131">
        <v>0</v>
      </c>
      <c r="VC131">
        <v>0</v>
      </c>
      <c r="VD131">
        <v>0</v>
      </c>
      <c r="VE131">
        <v>0</v>
      </c>
      <c r="VF131">
        <v>0</v>
      </c>
      <c r="VG131">
        <v>0</v>
      </c>
      <c r="VH131">
        <v>0</v>
      </c>
      <c r="VI131">
        <v>0</v>
      </c>
      <c r="VJ131">
        <v>0</v>
      </c>
      <c r="VK131">
        <v>0</v>
      </c>
      <c r="VL131">
        <v>0</v>
      </c>
      <c r="VM131">
        <v>0</v>
      </c>
      <c r="VN131">
        <v>0</v>
      </c>
      <c r="VO131">
        <v>0</v>
      </c>
      <c r="VP131">
        <v>0</v>
      </c>
      <c r="VQ131">
        <v>0</v>
      </c>
      <c r="VR131">
        <v>0</v>
      </c>
      <c r="VS131">
        <v>0</v>
      </c>
      <c r="VT131">
        <v>0</v>
      </c>
      <c r="VU131">
        <v>0</v>
      </c>
      <c r="VV131">
        <v>0</v>
      </c>
      <c r="VW131">
        <v>0</v>
      </c>
      <c r="VX131">
        <v>0</v>
      </c>
      <c r="VY131">
        <v>2</v>
      </c>
      <c r="VZ131">
        <v>2</v>
      </c>
      <c r="WA131">
        <v>2</v>
      </c>
      <c r="WB131">
        <v>2</v>
      </c>
      <c r="WC131">
        <v>2</v>
      </c>
      <c r="WD131">
        <v>2</v>
      </c>
      <c r="WE131">
        <v>2</v>
      </c>
      <c r="WF131">
        <v>2</v>
      </c>
      <c r="WG131">
        <v>2</v>
      </c>
      <c r="WH131">
        <v>2</v>
      </c>
      <c r="WI131">
        <v>2</v>
      </c>
      <c r="WJ131">
        <v>2</v>
      </c>
      <c r="WK131">
        <v>2</v>
      </c>
      <c r="WL131">
        <v>2</v>
      </c>
      <c r="WM131">
        <v>2</v>
      </c>
      <c r="WN131">
        <v>2</v>
      </c>
      <c r="WO131">
        <v>2</v>
      </c>
      <c r="WP131">
        <v>2</v>
      </c>
      <c r="WQ131">
        <v>2</v>
      </c>
      <c r="WR131">
        <v>2</v>
      </c>
      <c r="WS131">
        <v>2</v>
      </c>
      <c r="WT131">
        <v>2</v>
      </c>
      <c r="WU131">
        <v>2</v>
      </c>
      <c r="WV131">
        <v>2</v>
      </c>
      <c r="WW131">
        <v>2</v>
      </c>
      <c r="WX131">
        <v>2</v>
      </c>
      <c r="WY131">
        <v>2</v>
      </c>
      <c r="WZ131">
        <v>2</v>
      </c>
      <c r="XA131">
        <v>2</v>
      </c>
      <c r="XB131">
        <v>2</v>
      </c>
      <c r="XC131">
        <v>2</v>
      </c>
      <c r="XD131">
        <v>2</v>
      </c>
      <c r="XE131">
        <v>2</v>
      </c>
      <c r="XF131">
        <v>2</v>
      </c>
      <c r="XG131">
        <v>2</v>
      </c>
      <c r="XH131">
        <v>2</v>
      </c>
      <c r="XI131">
        <v>2</v>
      </c>
      <c r="XJ131">
        <v>2</v>
      </c>
      <c r="XK131">
        <v>2</v>
      </c>
      <c r="XL131">
        <v>2</v>
      </c>
      <c r="XM131">
        <v>2</v>
      </c>
      <c r="XN131">
        <v>2</v>
      </c>
      <c r="XO131">
        <v>2</v>
      </c>
      <c r="XP131">
        <v>2</v>
      </c>
      <c r="XQ131">
        <v>2</v>
      </c>
      <c r="XR131">
        <v>2</v>
      </c>
      <c r="XS131">
        <v>2</v>
      </c>
      <c r="XT131">
        <v>2</v>
      </c>
      <c r="XU131">
        <v>2</v>
      </c>
      <c r="XV131">
        <v>2</v>
      </c>
      <c r="XW131">
        <v>2</v>
      </c>
      <c r="XX131">
        <v>2</v>
      </c>
      <c r="XY131">
        <v>2</v>
      </c>
      <c r="XZ131">
        <v>2</v>
      </c>
      <c r="YA131">
        <v>2</v>
      </c>
      <c r="YB131">
        <v>2</v>
      </c>
      <c r="YC131">
        <v>2</v>
      </c>
      <c r="YD131">
        <v>2</v>
      </c>
      <c r="YE131">
        <v>2</v>
      </c>
      <c r="YF131">
        <v>2</v>
      </c>
      <c r="YG131">
        <v>2</v>
      </c>
      <c r="YH131">
        <v>2</v>
      </c>
      <c r="YI131">
        <v>2</v>
      </c>
      <c r="YJ131">
        <v>2</v>
      </c>
      <c r="YK131">
        <v>2</v>
      </c>
      <c r="YL131">
        <v>2</v>
      </c>
      <c r="YM131">
        <v>2</v>
      </c>
      <c r="YN131">
        <v>2</v>
      </c>
      <c r="YO131">
        <v>2</v>
      </c>
      <c r="YP131">
        <v>2</v>
      </c>
      <c r="YQ131">
        <v>2</v>
      </c>
      <c r="YR131">
        <v>2</v>
      </c>
      <c r="YS131">
        <v>2</v>
      </c>
      <c r="YT131">
        <v>2</v>
      </c>
      <c r="YU131">
        <v>2</v>
      </c>
      <c r="YV131">
        <v>2</v>
      </c>
      <c r="YW131">
        <v>2</v>
      </c>
      <c r="YX131">
        <v>2</v>
      </c>
      <c r="YY131">
        <v>2</v>
      </c>
      <c r="YZ131">
        <v>2</v>
      </c>
      <c r="ZA131">
        <v>2</v>
      </c>
      <c r="ZB131">
        <v>2</v>
      </c>
      <c r="ZC131">
        <v>2</v>
      </c>
      <c r="ZD131">
        <v>2</v>
      </c>
      <c r="ZE131">
        <v>2</v>
      </c>
      <c r="ZF131">
        <v>2</v>
      </c>
      <c r="ZG131">
        <v>2</v>
      </c>
      <c r="ZH131">
        <v>2</v>
      </c>
      <c r="ZI131">
        <v>2</v>
      </c>
      <c r="ZJ131">
        <v>2</v>
      </c>
      <c r="ZK131">
        <v>2</v>
      </c>
      <c r="ZL131">
        <v>2</v>
      </c>
      <c r="ZM131">
        <v>2</v>
      </c>
      <c r="ZN131">
        <v>2</v>
      </c>
      <c r="ZO131">
        <v>2</v>
      </c>
      <c r="ZP131">
        <v>2</v>
      </c>
      <c r="ZQ131">
        <v>2</v>
      </c>
      <c r="ZR131">
        <v>2</v>
      </c>
      <c r="ZS131">
        <v>2</v>
      </c>
      <c r="ZT131">
        <v>2</v>
      </c>
      <c r="ZU131">
        <v>2</v>
      </c>
      <c r="ZV131">
        <v>2</v>
      </c>
      <c r="ZW131">
        <v>2</v>
      </c>
      <c r="ZX131">
        <v>2</v>
      </c>
      <c r="ZY131">
        <v>2</v>
      </c>
      <c r="ZZ131">
        <v>2</v>
      </c>
      <c r="AAA131">
        <v>2</v>
      </c>
      <c r="AAB131">
        <v>2</v>
      </c>
      <c r="AAC131">
        <v>2</v>
      </c>
      <c r="AAD131">
        <v>2</v>
      </c>
      <c r="AAE131">
        <v>2</v>
      </c>
      <c r="AAF131">
        <v>2</v>
      </c>
      <c r="AAG131">
        <v>2</v>
      </c>
      <c r="AAH131">
        <v>2</v>
      </c>
      <c r="AAI131">
        <v>2</v>
      </c>
      <c r="AAJ131">
        <v>2</v>
      </c>
      <c r="AAK131">
        <v>2</v>
      </c>
      <c r="AAL131">
        <v>2</v>
      </c>
      <c r="AAM131">
        <v>2</v>
      </c>
      <c r="AAN131">
        <v>2</v>
      </c>
      <c r="AAO131">
        <v>2</v>
      </c>
      <c r="AAP131">
        <v>2</v>
      </c>
      <c r="AAQ131">
        <v>2</v>
      </c>
      <c r="AAR131">
        <v>2</v>
      </c>
      <c r="AAS131">
        <v>2</v>
      </c>
      <c r="AAT131">
        <v>2</v>
      </c>
      <c r="AAU131">
        <v>2</v>
      </c>
      <c r="AAV131">
        <v>2</v>
      </c>
      <c r="AAW131">
        <v>2</v>
      </c>
      <c r="AAX131">
        <v>2</v>
      </c>
      <c r="AAY131">
        <v>2</v>
      </c>
      <c r="AAZ131">
        <v>2</v>
      </c>
      <c r="ABA131">
        <v>2</v>
      </c>
      <c r="ABB131">
        <v>2</v>
      </c>
      <c r="ABC131">
        <v>2</v>
      </c>
      <c r="ABD131">
        <v>2</v>
      </c>
      <c r="ABE131">
        <v>2</v>
      </c>
      <c r="ABG131" s="1137">
        <f t="shared" si="30"/>
        <v>0</v>
      </c>
      <c r="ABH131" s="1137">
        <f t="shared" si="30"/>
        <v>0</v>
      </c>
      <c r="ABI131" s="1137">
        <f t="shared" si="30"/>
        <v>11</v>
      </c>
      <c r="ABJ131" s="1137">
        <f t="shared" si="30"/>
        <v>30</v>
      </c>
      <c r="ABK131" s="1137">
        <f t="shared" si="30"/>
        <v>13</v>
      </c>
      <c r="ABL131" s="1137">
        <f t="shared" si="30"/>
        <v>0</v>
      </c>
      <c r="ABM131" s="1137">
        <f t="shared" si="30"/>
        <v>0</v>
      </c>
      <c r="ABN131" s="1137">
        <f t="shared" si="30"/>
        <v>19</v>
      </c>
      <c r="ABO131" s="1137">
        <f t="shared" si="30"/>
        <v>0</v>
      </c>
      <c r="ABP131" s="1137">
        <f t="shared" si="30"/>
        <v>0</v>
      </c>
      <c r="ABQ131" s="1137">
        <f t="shared" si="30"/>
        <v>0</v>
      </c>
      <c r="ABR131" s="1137">
        <f t="shared" si="30"/>
        <v>0</v>
      </c>
      <c r="ABS131" s="1137">
        <f t="shared" si="30"/>
        <v>0</v>
      </c>
      <c r="ABT131" s="1137">
        <f t="shared" si="30"/>
        <v>4</v>
      </c>
      <c r="ABU131" s="1137">
        <f t="shared" si="30"/>
        <v>6</v>
      </c>
      <c r="ABV131" s="1137">
        <f t="shared" ref="ABV131" si="36">COUNTIFS($C$3:$ABE$3, ABV$3, $C$4:$ABE$4, ABV$4, $C131:$ABE131, "&gt;0")</f>
        <v>0</v>
      </c>
      <c r="ABW131" s="1137">
        <f t="shared" si="31"/>
        <v>0</v>
      </c>
      <c r="ABX131" s="1137">
        <f t="shared" si="34"/>
        <v>0</v>
      </c>
      <c r="ABY131" s="1137">
        <f t="shared" si="34"/>
        <v>0</v>
      </c>
      <c r="ABZ131" s="1137">
        <f t="shared" si="34"/>
        <v>15</v>
      </c>
      <c r="ACA131" s="1137">
        <f t="shared" si="34"/>
        <v>30</v>
      </c>
      <c r="ACB131" s="1137">
        <f t="shared" si="34"/>
        <v>31</v>
      </c>
      <c r="ACC131" s="1137">
        <f t="shared" si="34"/>
        <v>30</v>
      </c>
      <c r="ACD131" s="1137">
        <f t="shared" si="34"/>
        <v>31</v>
      </c>
      <c r="ACE131" s="1137" t="s">
        <v>229</v>
      </c>
      <c r="ACF131" s="1137">
        <f t="shared" si="33"/>
        <v>0</v>
      </c>
      <c r="ACG131" s="1137">
        <f t="shared" si="33"/>
        <v>0</v>
      </c>
      <c r="ACH131" s="1137">
        <f t="shared" si="33"/>
        <v>1</v>
      </c>
      <c r="ACI131" s="1137">
        <f t="shared" si="33"/>
        <v>1</v>
      </c>
      <c r="ACJ131" s="1137">
        <f t="shared" si="33"/>
        <v>1</v>
      </c>
      <c r="ACK131" s="1137">
        <f t="shared" si="33"/>
        <v>0</v>
      </c>
      <c r="ACL131" s="1137">
        <f t="shared" si="33"/>
        <v>0</v>
      </c>
      <c r="ACM131" s="1137">
        <f t="shared" si="33"/>
        <v>1</v>
      </c>
      <c r="ACN131" s="1137">
        <f t="shared" si="33"/>
        <v>0</v>
      </c>
      <c r="ACO131" s="1137">
        <f t="shared" si="33"/>
        <v>0</v>
      </c>
      <c r="ACP131" s="1137">
        <f t="shared" si="33"/>
        <v>0</v>
      </c>
      <c r="ACQ131" s="1137">
        <f t="shared" si="32"/>
        <v>0</v>
      </c>
      <c r="ACR131" s="1137">
        <f t="shared" si="32"/>
        <v>0</v>
      </c>
      <c r="ACS131" s="1137">
        <f t="shared" si="32"/>
        <v>0</v>
      </c>
      <c r="ACT131" s="1137">
        <f t="shared" si="32"/>
        <v>0</v>
      </c>
      <c r="ACU131" s="1137">
        <f t="shared" si="32"/>
        <v>0</v>
      </c>
      <c r="ACV131" s="1137">
        <f t="shared" si="32"/>
        <v>0</v>
      </c>
      <c r="ACW131" s="1137">
        <f t="shared" si="32"/>
        <v>0</v>
      </c>
      <c r="ACX131" s="1137">
        <f t="shared" si="32"/>
        <v>0</v>
      </c>
      <c r="ACY131" s="1137">
        <f t="shared" si="32"/>
        <v>1</v>
      </c>
      <c r="ACZ131" s="1137">
        <f t="shared" si="32"/>
        <v>1</v>
      </c>
      <c r="ADA131" s="1137">
        <f t="shared" si="35"/>
        <v>1</v>
      </c>
      <c r="ADB131" s="1137">
        <f t="shared" si="35"/>
        <v>1</v>
      </c>
      <c r="ADC131" s="1137">
        <f t="shared" si="35"/>
        <v>1</v>
      </c>
    </row>
    <row r="132" spans="1:783" x14ac:dyDescent="0.25">
      <c r="A132" t="s">
        <v>1931</v>
      </c>
      <c r="B132" t="s">
        <v>231</v>
      </c>
      <c r="C132">
        <v>0</v>
      </c>
      <c r="D132">
        <v>0</v>
      </c>
      <c r="E132">
        <v>0</v>
      </c>
      <c r="F132">
        <v>0</v>
      </c>
      <c r="G132">
        <v>0</v>
      </c>
      <c r="H132">
        <v>0</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0</v>
      </c>
      <c r="AZ132">
        <v>0</v>
      </c>
      <c r="BA132">
        <v>0</v>
      </c>
      <c r="BB132">
        <v>0</v>
      </c>
      <c r="BC132">
        <v>0</v>
      </c>
      <c r="BD132">
        <v>0</v>
      </c>
      <c r="BE132">
        <v>0</v>
      </c>
      <c r="BF132">
        <v>0</v>
      </c>
      <c r="BG132">
        <v>0</v>
      </c>
      <c r="BH132">
        <v>0</v>
      </c>
      <c r="BI132">
        <v>0</v>
      </c>
      <c r="BJ132">
        <v>0</v>
      </c>
      <c r="BK132">
        <v>0</v>
      </c>
      <c r="BL132">
        <v>0</v>
      </c>
      <c r="BM132">
        <v>0</v>
      </c>
      <c r="BN132">
        <v>0</v>
      </c>
      <c r="BO132">
        <v>0</v>
      </c>
      <c r="BP132">
        <v>0</v>
      </c>
      <c r="BQ132">
        <v>0</v>
      </c>
      <c r="BR132">
        <v>0</v>
      </c>
      <c r="BS132">
        <v>0</v>
      </c>
      <c r="BT132">
        <v>0</v>
      </c>
      <c r="BU132">
        <v>0</v>
      </c>
      <c r="BV132">
        <v>0</v>
      </c>
      <c r="BW132">
        <v>0</v>
      </c>
      <c r="BX132">
        <v>0</v>
      </c>
      <c r="BY132">
        <v>0</v>
      </c>
      <c r="BZ132">
        <v>0</v>
      </c>
      <c r="CA132">
        <v>0</v>
      </c>
      <c r="CB132">
        <v>2</v>
      </c>
      <c r="CC132">
        <v>2</v>
      </c>
      <c r="CD132">
        <v>2</v>
      </c>
      <c r="CE132">
        <v>2</v>
      </c>
      <c r="CF132">
        <v>2</v>
      </c>
      <c r="CG132">
        <v>2</v>
      </c>
      <c r="CH132">
        <v>2</v>
      </c>
      <c r="CI132">
        <v>2</v>
      </c>
      <c r="CJ132">
        <v>2</v>
      </c>
      <c r="CK132">
        <v>2</v>
      </c>
      <c r="CL132">
        <v>2</v>
      </c>
      <c r="CM132">
        <v>2</v>
      </c>
      <c r="CN132">
        <v>2</v>
      </c>
      <c r="CO132">
        <v>2</v>
      </c>
      <c r="CP132">
        <v>2</v>
      </c>
      <c r="CQ132">
        <v>2</v>
      </c>
      <c r="CR132">
        <v>2</v>
      </c>
      <c r="CS132">
        <v>2</v>
      </c>
      <c r="CT132">
        <v>2</v>
      </c>
      <c r="CU132">
        <v>2</v>
      </c>
      <c r="CV132">
        <v>2</v>
      </c>
      <c r="CW132">
        <v>2</v>
      </c>
      <c r="CX132">
        <v>2</v>
      </c>
      <c r="CY132">
        <v>2</v>
      </c>
      <c r="CZ132">
        <v>2</v>
      </c>
      <c r="DA132">
        <v>2</v>
      </c>
      <c r="DB132">
        <v>2</v>
      </c>
      <c r="DC132">
        <v>2</v>
      </c>
      <c r="DD132">
        <v>2</v>
      </c>
      <c r="DE132">
        <v>2</v>
      </c>
      <c r="DF132">
        <v>2</v>
      </c>
      <c r="DG132">
        <v>2</v>
      </c>
      <c r="DH132">
        <v>2</v>
      </c>
      <c r="DI132">
        <v>2</v>
      </c>
      <c r="DJ132">
        <v>2</v>
      </c>
      <c r="DK132">
        <v>2</v>
      </c>
      <c r="DL132">
        <v>2</v>
      </c>
      <c r="DM132">
        <v>2</v>
      </c>
      <c r="DN132">
        <v>2</v>
      </c>
      <c r="DO132">
        <v>2</v>
      </c>
      <c r="DP132">
        <v>2</v>
      </c>
      <c r="DQ132">
        <v>2</v>
      </c>
      <c r="DR132">
        <v>2</v>
      </c>
      <c r="DS132">
        <v>2</v>
      </c>
      <c r="DT132">
        <v>2</v>
      </c>
      <c r="DU132">
        <v>2</v>
      </c>
      <c r="DV132">
        <v>2</v>
      </c>
      <c r="DW132">
        <v>2</v>
      </c>
      <c r="DX132">
        <v>2</v>
      </c>
      <c r="DY132">
        <v>2</v>
      </c>
      <c r="DZ132">
        <v>2</v>
      </c>
      <c r="EA132">
        <v>2</v>
      </c>
      <c r="EB132">
        <v>2</v>
      </c>
      <c r="EC132">
        <v>2</v>
      </c>
      <c r="ED132">
        <v>2</v>
      </c>
      <c r="EE132">
        <v>2</v>
      </c>
      <c r="EF132">
        <v>2</v>
      </c>
      <c r="EG132">
        <v>2</v>
      </c>
      <c r="EH132">
        <v>2</v>
      </c>
      <c r="EI132">
        <v>2</v>
      </c>
      <c r="EJ132">
        <v>2</v>
      </c>
      <c r="EK132">
        <v>2</v>
      </c>
      <c r="EL132">
        <v>2</v>
      </c>
      <c r="EM132">
        <v>2</v>
      </c>
      <c r="EN132">
        <v>2</v>
      </c>
      <c r="EO132">
        <v>2</v>
      </c>
      <c r="EP132">
        <v>2</v>
      </c>
      <c r="EQ132">
        <v>2</v>
      </c>
      <c r="ER132">
        <v>2</v>
      </c>
      <c r="ES132">
        <v>2</v>
      </c>
      <c r="ET132">
        <v>2</v>
      </c>
      <c r="EU132">
        <v>2</v>
      </c>
      <c r="EV132">
        <v>2</v>
      </c>
      <c r="EW132">
        <v>2</v>
      </c>
      <c r="EX132">
        <v>2</v>
      </c>
      <c r="EY132">
        <v>2</v>
      </c>
      <c r="EZ132">
        <v>2</v>
      </c>
      <c r="FA132">
        <v>2</v>
      </c>
      <c r="FB132">
        <v>2</v>
      </c>
      <c r="FC132">
        <v>2</v>
      </c>
      <c r="FD132">
        <v>2</v>
      </c>
      <c r="FE132">
        <v>2</v>
      </c>
      <c r="FF132">
        <v>2</v>
      </c>
      <c r="FG132">
        <v>2</v>
      </c>
      <c r="FH132">
        <v>2</v>
      </c>
      <c r="FI132">
        <v>2</v>
      </c>
      <c r="FJ132">
        <v>2</v>
      </c>
      <c r="FK132">
        <v>2</v>
      </c>
      <c r="FL132">
        <v>2</v>
      </c>
      <c r="FM132">
        <v>2</v>
      </c>
      <c r="FN132">
        <v>2</v>
      </c>
      <c r="FO132">
        <v>2</v>
      </c>
      <c r="FP132">
        <v>2</v>
      </c>
      <c r="FQ132">
        <v>2</v>
      </c>
      <c r="FR132">
        <v>2</v>
      </c>
      <c r="FS132">
        <v>2</v>
      </c>
      <c r="FT132">
        <v>2</v>
      </c>
      <c r="FU132">
        <v>2</v>
      </c>
      <c r="FV132">
        <v>2</v>
      </c>
      <c r="FW132">
        <v>2</v>
      </c>
      <c r="FX132">
        <v>2</v>
      </c>
      <c r="FY132">
        <v>2</v>
      </c>
      <c r="FZ132">
        <v>2</v>
      </c>
      <c r="GA132">
        <v>2</v>
      </c>
      <c r="GB132">
        <v>2</v>
      </c>
      <c r="GC132">
        <v>2</v>
      </c>
      <c r="GD132">
        <v>2</v>
      </c>
      <c r="GE132">
        <v>2</v>
      </c>
      <c r="GF132">
        <v>2</v>
      </c>
      <c r="GG132">
        <v>2</v>
      </c>
      <c r="GH132">
        <v>2</v>
      </c>
      <c r="GI132">
        <v>2</v>
      </c>
      <c r="GJ132">
        <v>2</v>
      </c>
      <c r="GK132">
        <v>2</v>
      </c>
      <c r="GL132">
        <v>2</v>
      </c>
      <c r="GM132">
        <v>2</v>
      </c>
      <c r="GN132">
        <v>2</v>
      </c>
      <c r="GO132">
        <v>2</v>
      </c>
      <c r="GP132">
        <v>2</v>
      </c>
      <c r="GQ132">
        <v>2</v>
      </c>
      <c r="GR132">
        <v>2</v>
      </c>
      <c r="GS132">
        <v>2</v>
      </c>
      <c r="GT132">
        <v>2</v>
      </c>
      <c r="GU132">
        <v>2</v>
      </c>
      <c r="GV132">
        <v>2</v>
      </c>
      <c r="GW132">
        <v>2</v>
      </c>
      <c r="GX132">
        <v>2</v>
      </c>
      <c r="GY132">
        <v>2</v>
      </c>
      <c r="GZ132">
        <v>2</v>
      </c>
      <c r="HA132">
        <v>2</v>
      </c>
      <c r="HB132">
        <v>2</v>
      </c>
      <c r="HC132">
        <v>2</v>
      </c>
      <c r="HD132">
        <v>2</v>
      </c>
      <c r="HE132">
        <v>2</v>
      </c>
      <c r="HF132">
        <v>2</v>
      </c>
      <c r="HG132">
        <v>2</v>
      </c>
      <c r="HH132">
        <v>2</v>
      </c>
      <c r="HI132">
        <v>2</v>
      </c>
      <c r="HJ132">
        <v>2</v>
      </c>
      <c r="HK132">
        <v>2</v>
      </c>
      <c r="HL132">
        <v>2</v>
      </c>
      <c r="HM132">
        <v>2</v>
      </c>
      <c r="HN132">
        <v>2</v>
      </c>
      <c r="HO132">
        <v>2</v>
      </c>
      <c r="HP132">
        <v>2</v>
      </c>
      <c r="HQ132">
        <v>2</v>
      </c>
      <c r="HR132">
        <v>2</v>
      </c>
      <c r="HS132">
        <v>2</v>
      </c>
      <c r="HT132">
        <v>2</v>
      </c>
      <c r="HU132">
        <v>2</v>
      </c>
      <c r="HV132">
        <v>2</v>
      </c>
      <c r="HW132">
        <v>2</v>
      </c>
      <c r="HX132">
        <v>2</v>
      </c>
      <c r="HY132">
        <v>2</v>
      </c>
      <c r="HZ132">
        <v>2</v>
      </c>
      <c r="IA132">
        <v>2</v>
      </c>
      <c r="IB132">
        <v>2</v>
      </c>
      <c r="IC132">
        <v>2</v>
      </c>
      <c r="ID132">
        <v>2</v>
      </c>
      <c r="IE132">
        <v>2</v>
      </c>
      <c r="IF132">
        <v>2</v>
      </c>
      <c r="IG132">
        <v>2</v>
      </c>
      <c r="IH132">
        <v>2</v>
      </c>
      <c r="II132">
        <v>2</v>
      </c>
      <c r="IJ132">
        <v>2</v>
      </c>
      <c r="IK132">
        <v>2</v>
      </c>
      <c r="IL132">
        <v>2</v>
      </c>
      <c r="IM132">
        <v>2</v>
      </c>
      <c r="IN132">
        <v>2</v>
      </c>
      <c r="IO132">
        <v>2</v>
      </c>
      <c r="IP132">
        <v>2</v>
      </c>
      <c r="IQ132">
        <v>2</v>
      </c>
      <c r="IR132">
        <v>2</v>
      </c>
      <c r="IS132">
        <v>2</v>
      </c>
      <c r="IT132">
        <v>2</v>
      </c>
      <c r="IU132">
        <v>2</v>
      </c>
      <c r="IV132">
        <v>2</v>
      </c>
      <c r="IW132">
        <v>2</v>
      </c>
      <c r="IX132">
        <v>2</v>
      </c>
      <c r="IY132">
        <v>2</v>
      </c>
      <c r="IZ132">
        <v>2</v>
      </c>
      <c r="JA132">
        <v>2</v>
      </c>
      <c r="JB132">
        <v>2</v>
      </c>
      <c r="JC132">
        <v>2</v>
      </c>
      <c r="JD132">
        <v>2</v>
      </c>
      <c r="JE132">
        <v>2</v>
      </c>
      <c r="JF132">
        <v>2</v>
      </c>
      <c r="JG132">
        <v>2</v>
      </c>
      <c r="JH132">
        <v>2</v>
      </c>
      <c r="JI132">
        <v>2</v>
      </c>
      <c r="JJ132">
        <v>2</v>
      </c>
      <c r="JK132">
        <v>2</v>
      </c>
      <c r="JL132">
        <v>2</v>
      </c>
      <c r="JM132">
        <v>2</v>
      </c>
      <c r="JN132">
        <v>2</v>
      </c>
      <c r="JO132">
        <v>2</v>
      </c>
      <c r="JP132">
        <v>2</v>
      </c>
      <c r="JQ132">
        <v>2</v>
      </c>
      <c r="JR132">
        <v>2</v>
      </c>
      <c r="JS132">
        <v>2</v>
      </c>
      <c r="JT132">
        <v>2</v>
      </c>
      <c r="JU132">
        <v>2</v>
      </c>
      <c r="JV132">
        <v>2</v>
      </c>
      <c r="JW132">
        <v>2</v>
      </c>
      <c r="JX132">
        <v>2</v>
      </c>
      <c r="JY132">
        <v>2</v>
      </c>
      <c r="JZ132">
        <v>2</v>
      </c>
      <c r="KA132">
        <v>2</v>
      </c>
      <c r="KB132">
        <v>2</v>
      </c>
      <c r="KC132">
        <v>2</v>
      </c>
      <c r="KD132">
        <v>2</v>
      </c>
      <c r="KE132">
        <v>2</v>
      </c>
      <c r="KF132">
        <v>2</v>
      </c>
      <c r="KG132">
        <v>2</v>
      </c>
      <c r="KH132">
        <v>2</v>
      </c>
      <c r="KI132">
        <v>2</v>
      </c>
      <c r="KJ132">
        <v>2</v>
      </c>
      <c r="KK132">
        <v>2</v>
      </c>
      <c r="KL132">
        <v>2</v>
      </c>
      <c r="KM132">
        <v>0</v>
      </c>
      <c r="KN132">
        <v>0</v>
      </c>
      <c r="KO132">
        <v>0</v>
      </c>
      <c r="KP132">
        <v>0</v>
      </c>
      <c r="KQ132">
        <v>0</v>
      </c>
      <c r="KR132">
        <v>0</v>
      </c>
      <c r="KS132">
        <v>0</v>
      </c>
      <c r="KT132">
        <v>0</v>
      </c>
      <c r="KU132">
        <v>0</v>
      </c>
      <c r="KV132">
        <v>0</v>
      </c>
      <c r="KW132">
        <v>0</v>
      </c>
      <c r="KX132">
        <v>0</v>
      </c>
      <c r="KY132">
        <v>0</v>
      </c>
      <c r="KZ132">
        <v>0</v>
      </c>
      <c r="LA132">
        <v>0</v>
      </c>
      <c r="LB132">
        <v>0</v>
      </c>
      <c r="LC132">
        <v>0</v>
      </c>
      <c r="LD132">
        <v>0</v>
      </c>
      <c r="LE132">
        <v>0</v>
      </c>
      <c r="LF132">
        <v>0</v>
      </c>
      <c r="LG132">
        <v>0</v>
      </c>
      <c r="LH132">
        <v>0</v>
      </c>
      <c r="LI132">
        <v>0</v>
      </c>
      <c r="LJ132">
        <v>0</v>
      </c>
      <c r="LK132">
        <v>0</v>
      </c>
      <c r="LL132">
        <v>0</v>
      </c>
      <c r="LM132">
        <v>0</v>
      </c>
      <c r="LN132">
        <v>0</v>
      </c>
      <c r="LO132">
        <v>0</v>
      </c>
      <c r="LP132">
        <v>0</v>
      </c>
      <c r="LQ132">
        <v>0</v>
      </c>
      <c r="LR132">
        <v>0</v>
      </c>
      <c r="LS132">
        <v>0</v>
      </c>
      <c r="LT132">
        <v>0</v>
      </c>
      <c r="LU132">
        <v>0</v>
      </c>
      <c r="LV132">
        <v>0</v>
      </c>
      <c r="LW132">
        <v>0</v>
      </c>
      <c r="LX132">
        <v>0</v>
      </c>
      <c r="LY132">
        <v>0</v>
      </c>
      <c r="LZ132">
        <v>0</v>
      </c>
      <c r="MA132">
        <v>0</v>
      </c>
      <c r="MB132">
        <v>0</v>
      </c>
      <c r="MC132">
        <v>0</v>
      </c>
      <c r="MD132">
        <v>0</v>
      </c>
      <c r="ME132">
        <v>0</v>
      </c>
      <c r="MF132">
        <v>0</v>
      </c>
      <c r="MG132">
        <v>0</v>
      </c>
      <c r="MH132">
        <v>0</v>
      </c>
      <c r="MI132">
        <v>0</v>
      </c>
      <c r="MJ132">
        <v>0</v>
      </c>
      <c r="MK132">
        <v>0</v>
      </c>
      <c r="ML132">
        <v>0</v>
      </c>
      <c r="MM132">
        <v>0</v>
      </c>
      <c r="MN132">
        <v>0</v>
      </c>
      <c r="MO132">
        <v>0</v>
      </c>
      <c r="MP132">
        <v>0</v>
      </c>
      <c r="MQ132">
        <v>0</v>
      </c>
      <c r="MR132">
        <v>0</v>
      </c>
      <c r="MS132">
        <v>0</v>
      </c>
      <c r="MT132">
        <v>0</v>
      </c>
      <c r="MU132">
        <v>0</v>
      </c>
      <c r="MV132">
        <v>0</v>
      </c>
      <c r="MW132">
        <v>0</v>
      </c>
      <c r="MX132">
        <v>0</v>
      </c>
      <c r="MY132">
        <v>0</v>
      </c>
      <c r="MZ132">
        <v>0</v>
      </c>
      <c r="NA132">
        <v>0</v>
      </c>
      <c r="NB132">
        <v>0</v>
      </c>
      <c r="NC132">
        <v>0</v>
      </c>
      <c r="ND132">
        <v>0</v>
      </c>
      <c r="NE132">
        <v>0</v>
      </c>
      <c r="NF132">
        <v>0</v>
      </c>
      <c r="NG132">
        <v>0</v>
      </c>
      <c r="NH132">
        <v>0</v>
      </c>
      <c r="NI132">
        <v>0</v>
      </c>
      <c r="NJ132">
        <v>0</v>
      </c>
      <c r="NK132">
        <v>0</v>
      </c>
      <c r="NL132">
        <v>0</v>
      </c>
      <c r="NM132">
        <v>0</v>
      </c>
      <c r="NN132">
        <v>0</v>
      </c>
      <c r="NO132">
        <v>0</v>
      </c>
      <c r="NP132">
        <v>0</v>
      </c>
      <c r="NQ132">
        <v>0</v>
      </c>
      <c r="NR132">
        <v>0</v>
      </c>
      <c r="NS132">
        <v>0</v>
      </c>
      <c r="NT132">
        <v>0</v>
      </c>
      <c r="NU132">
        <v>0</v>
      </c>
      <c r="NV132">
        <v>0</v>
      </c>
      <c r="NW132">
        <v>0</v>
      </c>
      <c r="NX132">
        <v>0</v>
      </c>
      <c r="NY132">
        <v>0</v>
      </c>
      <c r="NZ132">
        <v>0</v>
      </c>
      <c r="OA132">
        <v>0</v>
      </c>
      <c r="OB132">
        <v>0</v>
      </c>
      <c r="OC132">
        <v>0</v>
      </c>
      <c r="OD132">
        <v>0</v>
      </c>
      <c r="OE132">
        <v>0</v>
      </c>
      <c r="OF132">
        <v>0</v>
      </c>
      <c r="OG132">
        <v>0</v>
      </c>
      <c r="OH132">
        <v>0</v>
      </c>
      <c r="OI132">
        <v>0</v>
      </c>
      <c r="OJ132">
        <v>0</v>
      </c>
      <c r="OK132">
        <v>0</v>
      </c>
      <c r="OL132">
        <v>0</v>
      </c>
      <c r="OM132">
        <v>0</v>
      </c>
      <c r="ON132">
        <v>0</v>
      </c>
      <c r="OO132">
        <v>0</v>
      </c>
      <c r="OP132">
        <v>0</v>
      </c>
      <c r="OQ132">
        <v>0</v>
      </c>
      <c r="OR132">
        <v>0</v>
      </c>
      <c r="OS132">
        <v>0</v>
      </c>
      <c r="OT132">
        <v>0</v>
      </c>
      <c r="OU132">
        <v>0</v>
      </c>
      <c r="OV132">
        <v>0</v>
      </c>
      <c r="OW132">
        <v>0</v>
      </c>
      <c r="OX132">
        <v>0</v>
      </c>
      <c r="OY132">
        <v>0</v>
      </c>
      <c r="OZ132">
        <v>0</v>
      </c>
      <c r="PA132">
        <v>0</v>
      </c>
      <c r="PB132">
        <v>0</v>
      </c>
      <c r="PC132">
        <v>0</v>
      </c>
      <c r="PD132">
        <v>0</v>
      </c>
      <c r="PE132">
        <v>0</v>
      </c>
      <c r="PF132">
        <v>0</v>
      </c>
      <c r="PG132">
        <v>0</v>
      </c>
      <c r="PH132">
        <v>0</v>
      </c>
      <c r="PI132">
        <v>0</v>
      </c>
      <c r="PJ132">
        <v>0</v>
      </c>
      <c r="PK132">
        <v>0</v>
      </c>
      <c r="PL132">
        <v>0</v>
      </c>
      <c r="PM132">
        <v>0</v>
      </c>
      <c r="PN132">
        <v>0</v>
      </c>
      <c r="PO132">
        <v>0</v>
      </c>
      <c r="PP132">
        <v>0</v>
      </c>
      <c r="PQ132">
        <v>0</v>
      </c>
      <c r="PR132">
        <v>0</v>
      </c>
      <c r="PS132">
        <v>0</v>
      </c>
      <c r="PT132">
        <v>0</v>
      </c>
      <c r="PU132">
        <v>0</v>
      </c>
      <c r="PV132">
        <v>0</v>
      </c>
      <c r="PW132">
        <v>0</v>
      </c>
      <c r="PX132">
        <v>0</v>
      </c>
      <c r="PY132">
        <v>0</v>
      </c>
      <c r="PZ132">
        <v>0</v>
      </c>
      <c r="QA132">
        <v>0</v>
      </c>
      <c r="QB132">
        <v>0</v>
      </c>
      <c r="QC132">
        <v>0</v>
      </c>
      <c r="QD132">
        <v>0</v>
      </c>
      <c r="QE132">
        <v>0</v>
      </c>
      <c r="QF132">
        <v>0</v>
      </c>
      <c r="QG132">
        <v>0</v>
      </c>
      <c r="QH132">
        <v>0</v>
      </c>
      <c r="QI132">
        <v>0</v>
      </c>
      <c r="QJ132">
        <v>0</v>
      </c>
      <c r="QK132">
        <v>0</v>
      </c>
      <c r="QL132">
        <v>0</v>
      </c>
      <c r="QM132">
        <v>2</v>
      </c>
      <c r="QN132">
        <v>2</v>
      </c>
      <c r="QO132">
        <v>2</v>
      </c>
      <c r="QP132">
        <v>2</v>
      </c>
      <c r="QQ132">
        <v>2</v>
      </c>
      <c r="QR132">
        <v>2</v>
      </c>
      <c r="QS132">
        <v>2</v>
      </c>
      <c r="QT132">
        <v>2</v>
      </c>
      <c r="QU132">
        <v>2</v>
      </c>
      <c r="QV132">
        <v>2</v>
      </c>
      <c r="QW132">
        <v>1</v>
      </c>
      <c r="QX132">
        <v>1</v>
      </c>
      <c r="QY132">
        <v>1</v>
      </c>
      <c r="QZ132">
        <v>1</v>
      </c>
      <c r="RA132">
        <v>1</v>
      </c>
      <c r="RB132">
        <v>1</v>
      </c>
      <c r="RC132">
        <v>1</v>
      </c>
      <c r="RD132">
        <v>1</v>
      </c>
      <c r="RE132">
        <v>1</v>
      </c>
      <c r="RF132">
        <v>1</v>
      </c>
      <c r="RG132">
        <v>1</v>
      </c>
      <c r="RH132">
        <v>1</v>
      </c>
      <c r="RI132">
        <v>1</v>
      </c>
      <c r="RJ132">
        <v>1</v>
      </c>
      <c r="RK132">
        <v>1</v>
      </c>
      <c r="RL132">
        <v>1</v>
      </c>
      <c r="RM132">
        <v>1</v>
      </c>
      <c r="RN132">
        <v>1</v>
      </c>
      <c r="RO132">
        <v>1</v>
      </c>
      <c r="RP132">
        <v>1</v>
      </c>
      <c r="RQ132">
        <v>1</v>
      </c>
      <c r="RR132">
        <v>1</v>
      </c>
      <c r="RS132">
        <v>1</v>
      </c>
      <c r="RT132">
        <v>1</v>
      </c>
      <c r="RU132">
        <v>1</v>
      </c>
      <c r="RV132">
        <v>1</v>
      </c>
      <c r="RW132">
        <v>1</v>
      </c>
      <c r="RX132">
        <v>1</v>
      </c>
      <c r="RY132">
        <v>1</v>
      </c>
      <c r="RZ132">
        <v>1</v>
      </c>
      <c r="SA132">
        <v>1</v>
      </c>
      <c r="SB132">
        <v>1</v>
      </c>
      <c r="SC132">
        <v>1</v>
      </c>
      <c r="SD132">
        <v>1</v>
      </c>
      <c r="SE132">
        <v>1</v>
      </c>
      <c r="SF132">
        <v>1</v>
      </c>
      <c r="SG132">
        <v>1</v>
      </c>
      <c r="SH132">
        <v>1</v>
      </c>
      <c r="SI132">
        <v>0</v>
      </c>
      <c r="SJ132">
        <v>0</v>
      </c>
      <c r="SK132">
        <v>0</v>
      </c>
      <c r="SL132">
        <v>1</v>
      </c>
      <c r="SM132">
        <v>1</v>
      </c>
      <c r="SN132">
        <v>1</v>
      </c>
      <c r="SO132">
        <v>1</v>
      </c>
      <c r="SP132">
        <v>1</v>
      </c>
      <c r="SQ132">
        <v>1</v>
      </c>
      <c r="SR132">
        <v>1</v>
      </c>
      <c r="SS132">
        <v>1</v>
      </c>
      <c r="ST132">
        <v>1</v>
      </c>
      <c r="SU132">
        <v>1</v>
      </c>
      <c r="SV132">
        <v>1</v>
      </c>
      <c r="SW132">
        <v>1</v>
      </c>
      <c r="SX132">
        <v>1</v>
      </c>
      <c r="SY132">
        <v>1</v>
      </c>
      <c r="SZ132">
        <v>1</v>
      </c>
      <c r="TA132">
        <v>1</v>
      </c>
      <c r="TB132">
        <v>1</v>
      </c>
      <c r="TC132">
        <v>1</v>
      </c>
      <c r="TD132">
        <v>1</v>
      </c>
      <c r="TE132">
        <v>1</v>
      </c>
      <c r="TF132">
        <v>1</v>
      </c>
      <c r="TG132">
        <v>0</v>
      </c>
      <c r="TH132">
        <v>0</v>
      </c>
      <c r="TI132">
        <v>0</v>
      </c>
      <c r="TJ132">
        <v>0</v>
      </c>
      <c r="TK132">
        <v>0</v>
      </c>
      <c r="TL132">
        <v>0</v>
      </c>
      <c r="TM132">
        <v>0</v>
      </c>
      <c r="TN132">
        <v>0</v>
      </c>
      <c r="TO132">
        <v>0</v>
      </c>
      <c r="TP132">
        <v>0</v>
      </c>
      <c r="TQ132">
        <v>0</v>
      </c>
      <c r="TR132">
        <v>1</v>
      </c>
      <c r="TS132">
        <v>1</v>
      </c>
      <c r="TT132">
        <v>1</v>
      </c>
      <c r="TU132">
        <v>1</v>
      </c>
      <c r="TV132">
        <v>1</v>
      </c>
      <c r="TW132">
        <v>1</v>
      </c>
      <c r="TX132">
        <v>1</v>
      </c>
      <c r="TY132">
        <v>1</v>
      </c>
      <c r="TZ132">
        <v>1</v>
      </c>
      <c r="UA132">
        <v>1</v>
      </c>
      <c r="UB132">
        <v>1</v>
      </c>
      <c r="UC132">
        <v>1</v>
      </c>
      <c r="UD132">
        <v>1</v>
      </c>
      <c r="UE132">
        <v>1</v>
      </c>
      <c r="UF132">
        <v>1</v>
      </c>
      <c r="UG132">
        <v>1</v>
      </c>
      <c r="UH132">
        <v>1</v>
      </c>
      <c r="UI132">
        <v>1</v>
      </c>
      <c r="UJ132">
        <v>1</v>
      </c>
      <c r="UK132">
        <v>1</v>
      </c>
      <c r="UL132">
        <v>2</v>
      </c>
      <c r="UM132">
        <v>2</v>
      </c>
      <c r="UN132">
        <v>2</v>
      </c>
      <c r="UO132">
        <v>2</v>
      </c>
      <c r="UP132">
        <v>0</v>
      </c>
      <c r="UQ132">
        <v>0</v>
      </c>
      <c r="UR132">
        <v>0</v>
      </c>
      <c r="US132">
        <v>0</v>
      </c>
      <c r="UT132">
        <v>0</v>
      </c>
      <c r="UU132">
        <v>0</v>
      </c>
      <c r="UV132">
        <v>0</v>
      </c>
      <c r="UW132">
        <v>0</v>
      </c>
      <c r="UX132">
        <v>0</v>
      </c>
      <c r="UY132">
        <v>0</v>
      </c>
      <c r="UZ132">
        <v>0</v>
      </c>
      <c r="VA132">
        <v>0</v>
      </c>
      <c r="VB132">
        <v>0</v>
      </c>
      <c r="VC132">
        <v>0</v>
      </c>
      <c r="VD132">
        <v>0</v>
      </c>
      <c r="VE132">
        <v>0</v>
      </c>
      <c r="VF132">
        <v>0</v>
      </c>
      <c r="VG132">
        <v>0</v>
      </c>
      <c r="VH132">
        <v>0</v>
      </c>
      <c r="VI132">
        <v>0</v>
      </c>
      <c r="VJ132">
        <v>0</v>
      </c>
      <c r="VK132">
        <v>0</v>
      </c>
      <c r="VL132">
        <v>0</v>
      </c>
      <c r="VM132">
        <v>0</v>
      </c>
      <c r="VN132">
        <v>0</v>
      </c>
      <c r="VO132">
        <v>0</v>
      </c>
      <c r="VP132">
        <v>0</v>
      </c>
      <c r="VQ132">
        <v>0</v>
      </c>
      <c r="VR132">
        <v>0</v>
      </c>
      <c r="VS132">
        <v>0</v>
      </c>
      <c r="VT132">
        <v>0</v>
      </c>
      <c r="VU132">
        <v>0</v>
      </c>
      <c r="VV132">
        <v>0</v>
      </c>
      <c r="VW132">
        <v>0</v>
      </c>
      <c r="VX132">
        <v>1</v>
      </c>
      <c r="VY132">
        <v>1</v>
      </c>
      <c r="VZ132">
        <v>1</v>
      </c>
      <c r="WA132">
        <v>1</v>
      </c>
      <c r="WB132">
        <v>1</v>
      </c>
      <c r="WC132">
        <v>1</v>
      </c>
      <c r="WD132">
        <v>1</v>
      </c>
      <c r="WE132">
        <v>1</v>
      </c>
      <c r="WF132">
        <v>1</v>
      </c>
      <c r="WG132">
        <v>1</v>
      </c>
      <c r="WH132">
        <v>1</v>
      </c>
      <c r="WI132">
        <v>1</v>
      </c>
      <c r="WJ132">
        <v>1</v>
      </c>
      <c r="WK132">
        <v>1</v>
      </c>
      <c r="WL132">
        <v>1</v>
      </c>
      <c r="WM132">
        <v>1</v>
      </c>
      <c r="WN132">
        <v>1</v>
      </c>
      <c r="WO132">
        <v>1</v>
      </c>
      <c r="WP132">
        <v>1</v>
      </c>
      <c r="WQ132">
        <v>1</v>
      </c>
      <c r="WR132">
        <v>1</v>
      </c>
      <c r="WS132">
        <v>1</v>
      </c>
      <c r="WT132">
        <v>0</v>
      </c>
      <c r="WU132">
        <v>0</v>
      </c>
      <c r="WV132">
        <v>0</v>
      </c>
      <c r="WW132">
        <v>0</v>
      </c>
      <c r="WX132">
        <v>0</v>
      </c>
      <c r="WY132">
        <v>0</v>
      </c>
      <c r="WZ132">
        <v>0</v>
      </c>
      <c r="XA132">
        <v>0</v>
      </c>
      <c r="XB132">
        <v>0</v>
      </c>
      <c r="XC132">
        <v>0</v>
      </c>
      <c r="XD132">
        <v>0</v>
      </c>
      <c r="XE132">
        <v>0</v>
      </c>
      <c r="XF132">
        <v>0</v>
      </c>
      <c r="XG132">
        <v>0</v>
      </c>
      <c r="XH132">
        <v>0</v>
      </c>
      <c r="XI132">
        <v>0</v>
      </c>
      <c r="XJ132">
        <v>0</v>
      </c>
      <c r="XK132">
        <v>0</v>
      </c>
      <c r="XL132">
        <v>0</v>
      </c>
      <c r="XM132">
        <v>0</v>
      </c>
      <c r="XN132">
        <v>0</v>
      </c>
      <c r="XO132">
        <v>0</v>
      </c>
      <c r="XP132">
        <v>0</v>
      </c>
      <c r="XQ132">
        <v>0</v>
      </c>
      <c r="XR132">
        <v>0</v>
      </c>
      <c r="XS132">
        <v>0</v>
      </c>
      <c r="XT132">
        <v>0</v>
      </c>
      <c r="XU132">
        <v>0</v>
      </c>
      <c r="XV132">
        <v>0</v>
      </c>
      <c r="XW132">
        <v>0</v>
      </c>
      <c r="XX132">
        <v>0</v>
      </c>
      <c r="XY132">
        <v>0</v>
      </c>
      <c r="XZ132">
        <v>0</v>
      </c>
      <c r="YA132">
        <v>0</v>
      </c>
      <c r="YB132">
        <v>0</v>
      </c>
      <c r="YC132">
        <v>0</v>
      </c>
      <c r="YD132">
        <v>0</v>
      </c>
      <c r="YE132">
        <v>0</v>
      </c>
      <c r="YF132">
        <v>0</v>
      </c>
      <c r="YG132">
        <v>0</v>
      </c>
      <c r="YH132">
        <v>0</v>
      </c>
      <c r="YI132">
        <v>0</v>
      </c>
      <c r="YJ132">
        <v>0</v>
      </c>
      <c r="YK132">
        <v>0</v>
      </c>
      <c r="YL132">
        <v>0</v>
      </c>
      <c r="YM132">
        <v>0</v>
      </c>
      <c r="YN132">
        <v>0</v>
      </c>
      <c r="YO132">
        <v>0</v>
      </c>
      <c r="YP132">
        <v>0</v>
      </c>
      <c r="YQ132">
        <v>0</v>
      </c>
      <c r="YR132">
        <v>0</v>
      </c>
      <c r="YS132">
        <v>0</v>
      </c>
      <c r="YT132">
        <v>0</v>
      </c>
      <c r="YU132">
        <v>0</v>
      </c>
      <c r="YV132">
        <v>0</v>
      </c>
      <c r="YW132">
        <v>0</v>
      </c>
      <c r="YX132">
        <v>0</v>
      </c>
      <c r="YY132">
        <v>0</v>
      </c>
      <c r="YZ132">
        <v>0</v>
      </c>
      <c r="ZA132">
        <v>0</v>
      </c>
      <c r="ZB132">
        <v>0</v>
      </c>
      <c r="ZC132">
        <v>0</v>
      </c>
      <c r="ZD132">
        <v>0</v>
      </c>
      <c r="ZE132">
        <v>0</v>
      </c>
      <c r="ZF132">
        <v>0</v>
      </c>
      <c r="ZG132">
        <v>0</v>
      </c>
      <c r="ZH132">
        <v>0</v>
      </c>
      <c r="ZI132">
        <v>0</v>
      </c>
      <c r="ZJ132">
        <v>0</v>
      </c>
      <c r="ZK132">
        <v>0</v>
      </c>
      <c r="ZL132">
        <v>0</v>
      </c>
      <c r="ZM132">
        <v>0</v>
      </c>
      <c r="ZN132">
        <v>0</v>
      </c>
      <c r="ZO132">
        <v>0</v>
      </c>
      <c r="ZP132">
        <v>0</v>
      </c>
      <c r="ZQ132">
        <v>0</v>
      </c>
      <c r="ZR132">
        <v>0</v>
      </c>
      <c r="ZS132">
        <v>0</v>
      </c>
      <c r="ZT132">
        <v>0</v>
      </c>
      <c r="ZU132">
        <v>0</v>
      </c>
      <c r="ZV132">
        <v>0</v>
      </c>
      <c r="ZW132">
        <v>0</v>
      </c>
      <c r="ZX132">
        <v>0</v>
      </c>
      <c r="ZY132">
        <v>0</v>
      </c>
      <c r="ZZ132">
        <v>0</v>
      </c>
      <c r="AAA132">
        <v>0</v>
      </c>
      <c r="AAB132">
        <v>0</v>
      </c>
      <c r="AAC132">
        <v>0</v>
      </c>
      <c r="AAD132">
        <v>0</v>
      </c>
      <c r="AAE132">
        <v>0</v>
      </c>
      <c r="AAF132">
        <v>0</v>
      </c>
      <c r="AAG132">
        <v>0</v>
      </c>
      <c r="AAH132">
        <v>1</v>
      </c>
      <c r="AAI132">
        <v>1</v>
      </c>
      <c r="AAJ132">
        <v>1</v>
      </c>
      <c r="AAK132">
        <v>1</v>
      </c>
      <c r="AAL132">
        <v>1</v>
      </c>
      <c r="AAM132">
        <v>1</v>
      </c>
      <c r="AAN132">
        <v>1</v>
      </c>
      <c r="AAO132">
        <v>1</v>
      </c>
      <c r="AAP132">
        <v>1</v>
      </c>
      <c r="AAQ132">
        <v>1</v>
      </c>
      <c r="AAR132">
        <v>1</v>
      </c>
      <c r="AAS132">
        <v>1</v>
      </c>
      <c r="AAT132">
        <v>1</v>
      </c>
      <c r="AAU132">
        <v>1</v>
      </c>
      <c r="AAV132">
        <v>1</v>
      </c>
      <c r="AAW132">
        <v>1</v>
      </c>
      <c r="AAX132">
        <v>1</v>
      </c>
      <c r="AAY132">
        <v>1</v>
      </c>
      <c r="AAZ132">
        <v>1</v>
      </c>
      <c r="ABA132">
        <v>1</v>
      </c>
      <c r="ABB132">
        <v>1</v>
      </c>
      <c r="ABC132">
        <v>1</v>
      </c>
      <c r="ABD132">
        <v>1</v>
      </c>
      <c r="ABE132">
        <v>1</v>
      </c>
      <c r="ABG132" s="1137">
        <f t="shared" ref="ABG132:ABV147" si="37">COUNTIFS($C$3:$ABE$3, ABG$3, $C$4:$ABE$4, ABG$4, $C132:$ABE132, "&gt;0")</f>
        <v>0</v>
      </c>
      <c r="ABH132" s="1137">
        <f t="shared" si="37"/>
        <v>0</v>
      </c>
      <c r="ABI132" s="1137">
        <f t="shared" si="37"/>
        <v>14</v>
      </c>
      <c r="ABJ132" s="1137">
        <f t="shared" si="37"/>
        <v>30</v>
      </c>
      <c r="ABK132" s="1137">
        <f t="shared" si="37"/>
        <v>31</v>
      </c>
      <c r="ABL132" s="1137">
        <f t="shared" si="37"/>
        <v>30</v>
      </c>
      <c r="ABM132" s="1137">
        <f t="shared" si="37"/>
        <v>31</v>
      </c>
      <c r="ABN132" s="1137">
        <f t="shared" si="37"/>
        <v>31</v>
      </c>
      <c r="ABO132" s="1137">
        <f t="shared" si="37"/>
        <v>30</v>
      </c>
      <c r="ABP132" s="1137">
        <f t="shared" si="37"/>
        <v>22</v>
      </c>
      <c r="ABQ132" s="1137">
        <f t="shared" si="37"/>
        <v>0</v>
      </c>
      <c r="ABR132" s="1137">
        <f t="shared" si="37"/>
        <v>0</v>
      </c>
      <c r="ABS132" s="1137">
        <f t="shared" si="37"/>
        <v>0</v>
      </c>
      <c r="ABT132" s="1137">
        <f t="shared" si="37"/>
        <v>0</v>
      </c>
      <c r="ABU132" s="1137">
        <f t="shared" si="37"/>
        <v>4</v>
      </c>
      <c r="ABV132" s="1137">
        <f t="shared" si="37"/>
        <v>30</v>
      </c>
      <c r="ABW132" s="1137">
        <f t="shared" si="31"/>
        <v>28</v>
      </c>
      <c r="ABX132" s="1137">
        <f t="shared" si="34"/>
        <v>19</v>
      </c>
      <c r="ABY132" s="1137">
        <f t="shared" si="34"/>
        <v>12</v>
      </c>
      <c r="ABZ132" s="1137">
        <f t="shared" si="34"/>
        <v>16</v>
      </c>
      <c r="ACA132" s="1137">
        <f t="shared" si="34"/>
        <v>6</v>
      </c>
      <c r="ACB132" s="1137">
        <f t="shared" si="34"/>
        <v>0</v>
      </c>
      <c r="ACC132" s="1137">
        <f t="shared" si="34"/>
        <v>0</v>
      </c>
      <c r="ACD132" s="1137">
        <f t="shared" si="34"/>
        <v>24</v>
      </c>
      <c r="ACE132" s="1137" t="s">
        <v>231</v>
      </c>
      <c r="ACF132" s="1137">
        <f t="shared" si="33"/>
        <v>0</v>
      </c>
      <c r="ACG132" s="1137">
        <f t="shared" si="33"/>
        <v>0</v>
      </c>
      <c r="ACH132" s="1137">
        <f t="shared" si="33"/>
        <v>1</v>
      </c>
      <c r="ACI132" s="1137">
        <f t="shared" si="33"/>
        <v>1</v>
      </c>
      <c r="ACJ132" s="1137">
        <f t="shared" si="33"/>
        <v>1</v>
      </c>
      <c r="ACK132" s="1137">
        <f t="shared" si="33"/>
        <v>1</v>
      </c>
      <c r="ACL132" s="1137">
        <f t="shared" si="33"/>
        <v>1</v>
      </c>
      <c r="ACM132" s="1137">
        <f t="shared" si="33"/>
        <v>1</v>
      </c>
      <c r="ACN132" s="1137">
        <f t="shared" si="33"/>
        <v>1</v>
      </c>
      <c r="ACO132" s="1137">
        <f t="shared" si="33"/>
        <v>1</v>
      </c>
      <c r="ACP132" s="1137">
        <f t="shared" si="33"/>
        <v>0</v>
      </c>
      <c r="ACQ132" s="1137">
        <f t="shared" si="32"/>
        <v>0</v>
      </c>
      <c r="ACR132" s="1137">
        <f t="shared" si="32"/>
        <v>0</v>
      </c>
      <c r="ACS132" s="1137">
        <f t="shared" si="32"/>
        <v>0</v>
      </c>
      <c r="ACT132" s="1137">
        <f t="shared" si="32"/>
        <v>0</v>
      </c>
      <c r="ACU132" s="1137">
        <f t="shared" si="32"/>
        <v>1</v>
      </c>
      <c r="ACV132" s="1137">
        <f t="shared" si="32"/>
        <v>1</v>
      </c>
      <c r="ACW132" s="1137">
        <f t="shared" si="32"/>
        <v>1</v>
      </c>
      <c r="ACX132" s="1137">
        <f t="shared" si="32"/>
        <v>1</v>
      </c>
      <c r="ACY132" s="1137">
        <f t="shared" si="32"/>
        <v>1</v>
      </c>
      <c r="ACZ132" s="1137">
        <f t="shared" si="32"/>
        <v>0</v>
      </c>
      <c r="ADA132" s="1137">
        <f t="shared" si="35"/>
        <v>0</v>
      </c>
      <c r="ADB132" s="1137">
        <f t="shared" si="35"/>
        <v>0</v>
      </c>
      <c r="ADC132" s="1137">
        <f t="shared" si="35"/>
        <v>1</v>
      </c>
    </row>
    <row r="133" spans="1:783" x14ac:dyDescent="0.25">
      <c r="A133" t="s">
        <v>1932</v>
      </c>
      <c r="B133" t="s">
        <v>55</v>
      </c>
      <c r="C133">
        <v>0</v>
      </c>
      <c r="D133">
        <v>0</v>
      </c>
      <c r="E133">
        <v>0</v>
      </c>
      <c r="F133">
        <v>0</v>
      </c>
      <c r="G133">
        <v>0</v>
      </c>
      <c r="H133">
        <v>0</v>
      </c>
      <c r="I133">
        <v>0</v>
      </c>
      <c r="J133">
        <v>0</v>
      </c>
      <c r="K133">
        <v>0</v>
      </c>
      <c r="L133">
        <v>0</v>
      </c>
      <c r="M133">
        <v>0</v>
      </c>
      <c r="N133">
        <v>0</v>
      </c>
      <c r="O133">
        <v>0</v>
      </c>
      <c r="P133">
        <v>0</v>
      </c>
      <c r="Q133">
        <v>0</v>
      </c>
      <c r="R133">
        <v>0</v>
      </c>
      <c r="S133">
        <v>0</v>
      </c>
      <c r="T133">
        <v>0</v>
      </c>
      <c r="U133">
        <v>0</v>
      </c>
      <c r="V133">
        <v>0</v>
      </c>
      <c r="W133">
        <v>0</v>
      </c>
      <c r="X133">
        <v>0</v>
      </c>
      <c r="Y133">
        <v>0</v>
      </c>
      <c r="Z133">
        <v>0</v>
      </c>
      <c r="AA133">
        <v>0</v>
      </c>
      <c r="AB133">
        <v>0</v>
      </c>
      <c r="AC133">
        <v>0</v>
      </c>
      <c r="AD133">
        <v>0</v>
      </c>
      <c r="AE133">
        <v>0</v>
      </c>
      <c r="AF133">
        <v>0</v>
      </c>
      <c r="AG133">
        <v>0</v>
      </c>
      <c r="AH133">
        <v>0</v>
      </c>
      <c r="AI133">
        <v>0</v>
      </c>
      <c r="AJ133">
        <v>0</v>
      </c>
      <c r="AK133">
        <v>0</v>
      </c>
      <c r="AL133">
        <v>0</v>
      </c>
      <c r="AM133">
        <v>0</v>
      </c>
      <c r="AN133">
        <v>0</v>
      </c>
      <c r="AO133">
        <v>0</v>
      </c>
      <c r="AP133">
        <v>0</v>
      </c>
      <c r="AQ133">
        <v>0</v>
      </c>
      <c r="AR133">
        <v>0</v>
      </c>
      <c r="AS133">
        <v>0</v>
      </c>
      <c r="AT133">
        <v>0</v>
      </c>
      <c r="AU133">
        <v>0</v>
      </c>
      <c r="AV133">
        <v>0</v>
      </c>
      <c r="AW133">
        <v>0</v>
      </c>
      <c r="AX133">
        <v>0</v>
      </c>
      <c r="AY133">
        <v>0</v>
      </c>
      <c r="AZ133">
        <v>0</v>
      </c>
      <c r="BA133">
        <v>0</v>
      </c>
      <c r="BB133">
        <v>0</v>
      </c>
      <c r="BC133">
        <v>0</v>
      </c>
      <c r="BD133">
        <v>0</v>
      </c>
      <c r="BE133">
        <v>0</v>
      </c>
      <c r="BF133">
        <v>0</v>
      </c>
      <c r="BG133">
        <v>0</v>
      </c>
      <c r="BH133">
        <v>0</v>
      </c>
      <c r="BI133">
        <v>0</v>
      </c>
      <c r="BJ133">
        <v>0</v>
      </c>
      <c r="BK133">
        <v>0</v>
      </c>
      <c r="BL133">
        <v>0</v>
      </c>
      <c r="BM133">
        <v>0</v>
      </c>
      <c r="BN133">
        <v>0</v>
      </c>
      <c r="BO133">
        <v>0</v>
      </c>
      <c r="BP133">
        <v>0</v>
      </c>
      <c r="BQ133">
        <v>0</v>
      </c>
      <c r="BR133">
        <v>0</v>
      </c>
      <c r="BS133">
        <v>0</v>
      </c>
      <c r="BT133">
        <v>0</v>
      </c>
      <c r="BU133">
        <v>0</v>
      </c>
      <c r="BV133">
        <v>0</v>
      </c>
      <c r="BW133">
        <v>0</v>
      </c>
      <c r="BX133">
        <v>0</v>
      </c>
      <c r="BY133">
        <v>0</v>
      </c>
      <c r="BZ133">
        <v>0</v>
      </c>
      <c r="CA133">
        <v>0</v>
      </c>
      <c r="CB133">
        <v>0</v>
      </c>
      <c r="CC133">
        <v>0</v>
      </c>
      <c r="CD133">
        <v>0</v>
      </c>
      <c r="CE133">
        <v>0</v>
      </c>
      <c r="CF133">
        <v>0</v>
      </c>
      <c r="CG133">
        <v>0</v>
      </c>
      <c r="CH133">
        <v>2</v>
      </c>
      <c r="CI133">
        <v>2</v>
      </c>
      <c r="CJ133">
        <v>2</v>
      </c>
      <c r="CK133">
        <v>2</v>
      </c>
      <c r="CL133">
        <v>2</v>
      </c>
      <c r="CM133">
        <v>2</v>
      </c>
      <c r="CN133">
        <v>2</v>
      </c>
      <c r="CO133">
        <v>2</v>
      </c>
      <c r="CP133">
        <v>2</v>
      </c>
      <c r="CQ133">
        <v>2</v>
      </c>
      <c r="CR133">
        <v>2</v>
      </c>
      <c r="CS133">
        <v>2</v>
      </c>
      <c r="CT133">
        <v>2</v>
      </c>
      <c r="CU133">
        <v>2</v>
      </c>
      <c r="CV133">
        <v>2</v>
      </c>
      <c r="CW133">
        <v>2</v>
      </c>
      <c r="CX133">
        <v>2</v>
      </c>
      <c r="CY133">
        <v>2</v>
      </c>
      <c r="CZ133">
        <v>2</v>
      </c>
      <c r="DA133">
        <v>2</v>
      </c>
      <c r="DB133">
        <v>2</v>
      </c>
      <c r="DC133">
        <v>2</v>
      </c>
      <c r="DD133">
        <v>2</v>
      </c>
      <c r="DE133">
        <v>2</v>
      </c>
      <c r="DF133">
        <v>2</v>
      </c>
      <c r="DG133">
        <v>2</v>
      </c>
      <c r="DH133">
        <v>2</v>
      </c>
      <c r="DI133">
        <v>2</v>
      </c>
      <c r="DJ133">
        <v>2</v>
      </c>
      <c r="DK133">
        <v>2</v>
      </c>
      <c r="DL133">
        <v>2</v>
      </c>
      <c r="DM133">
        <v>2</v>
      </c>
      <c r="DN133">
        <v>2</v>
      </c>
      <c r="DO133">
        <v>2</v>
      </c>
      <c r="DP133">
        <v>2</v>
      </c>
      <c r="DQ133">
        <v>2</v>
      </c>
      <c r="DR133">
        <v>2</v>
      </c>
      <c r="DS133">
        <v>2</v>
      </c>
      <c r="DT133">
        <v>2</v>
      </c>
      <c r="DU133">
        <v>2</v>
      </c>
      <c r="DV133">
        <v>2</v>
      </c>
      <c r="DW133">
        <v>2</v>
      </c>
      <c r="DX133">
        <v>2</v>
      </c>
      <c r="DY133">
        <v>2</v>
      </c>
      <c r="DZ133">
        <v>2</v>
      </c>
      <c r="EA133">
        <v>2</v>
      </c>
      <c r="EB133">
        <v>2</v>
      </c>
      <c r="EC133">
        <v>2</v>
      </c>
      <c r="ED133">
        <v>2</v>
      </c>
      <c r="EE133">
        <v>2</v>
      </c>
      <c r="EF133">
        <v>2</v>
      </c>
      <c r="EG133">
        <v>2</v>
      </c>
      <c r="EH133">
        <v>2</v>
      </c>
      <c r="EI133">
        <v>0</v>
      </c>
      <c r="EJ133">
        <v>2</v>
      </c>
      <c r="EK133">
        <v>2</v>
      </c>
      <c r="EL133">
        <v>2</v>
      </c>
      <c r="EM133">
        <v>2</v>
      </c>
      <c r="EN133">
        <v>2</v>
      </c>
      <c r="EO133">
        <v>2</v>
      </c>
      <c r="EP133">
        <v>2</v>
      </c>
      <c r="EQ133">
        <v>2</v>
      </c>
      <c r="ER133">
        <v>2</v>
      </c>
      <c r="ES133">
        <v>2</v>
      </c>
      <c r="ET133">
        <v>2</v>
      </c>
      <c r="EU133">
        <v>2</v>
      </c>
      <c r="EV133">
        <v>2</v>
      </c>
      <c r="EW133">
        <v>2</v>
      </c>
      <c r="EX133">
        <v>2</v>
      </c>
      <c r="EY133">
        <v>2</v>
      </c>
      <c r="EZ133">
        <v>2</v>
      </c>
      <c r="FA133">
        <v>2</v>
      </c>
      <c r="FB133">
        <v>0</v>
      </c>
      <c r="FC133">
        <v>0</v>
      </c>
      <c r="FD133">
        <v>0</v>
      </c>
      <c r="FE133">
        <v>0</v>
      </c>
      <c r="FF133">
        <v>0</v>
      </c>
      <c r="FG133">
        <v>0</v>
      </c>
      <c r="FH133">
        <v>0</v>
      </c>
      <c r="FI133">
        <v>0</v>
      </c>
      <c r="FJ133">
        <v>0</v>
      </c>
      <c r="FK133">
        <v>0</v>
      </c>
      <c r="FL133">
        <v>0</v>
      </c>
      <c r="FM133">
        <v>0</v>
      </c>
      <c r="FN133">
        <v>0</v>
      </c>
      <c r="FO133">
        <v>0</v>
      </c>
      <c r="FP133">
        <v>0</v>
      </c>
      <c r="FQ133">
        <v>0</v>
      </c>
      <c r="FR133">
        <v>0</v>
      </c>
      <c r="FS133">
        <v>0</v>
      </c>
      <c r="FT133">
        <v>0</v>
      </c>
      <c r="FU133">
        <v>0</v>
      </c>
      <c r="FV133">
        <v>0</v>
      </c>
      <c r="FW133">
        <v>0</v>
      </c>
      <c r="FX133">
        <v>0</v>
      </c>
      <c r="FY133">
        <v>0</v>
      </c>
      <c r="FZ133">
        <v>0</v>
      </c>
      <c r="GA133">
        <v>0</v>
      </c>
      <c r="GB133">
        <v>0</v>
      </c>
      <c r="GC133">
        <v>0</v>
      </c>
      <c r="GD133">
        <v>2</v>
      </c>
      <c r="GE133">
        <v>2</v>
      </c>
      <c r="GF133">
        <v>2</v>
      </c>
      <c r="GG133">
        <v>2</v>
      </c>
      <c r="GH133">
        <v>2</v>
      </c>
      <c r="GI133">
        <v>2</v>
      </c>
      <c r="GJ133">
        <v>2</v>
      </c>
      <c r="GK133">
        <v>2</v>
      </c>
      <c r="GL133">
        <v>2</v>
      </c>
      <c r="GM133">
        <v>2</v>
      </c>
      <c r="GN133">
        <v>2</v>
      </c>
      <c r="GO133">
        <v>2</v>
      </c>
      <c r="GP133">
        <v>2</v>
      </c>
      <c r="GQ133">
        <v>2</v>
      </c>
      <c r="GR133">
        <v>2</v>
      </c>
      <c r="GS133">
        <v>2</v>
      </c>
      <c r="GT133">
        <v>2</v>
      </c>
      <c r="GU133">
        <v>2</v>
      </c>
      <c r="GV133">
        <v>2</v>
      </c>
      <c r="GW133">
        <v>2</v>
      </c>
      <c r="GX133">
        <v>2</v>
      </c>
      <c r="GY133">
        <v>2</v>
      </c>
      <c r="GZ133">
        <v>2</v>
      </c>
      <c r="HA133">
        <v>2</v>
      </c>
      <c r="HB133">
        <v>2</v>
      </c>
      <c r="HC133">
        <v>2</v>
      </c>
      <c r="HD133">
        <v>2</v>
      </c>
      <c r="HE133">
        <v>2</v>
      </c>
      <c r="HF133">
        <v>2</v>
      </c>
      <c r="HG133">
        <v>2</v>
      </c>
      <c r="HH133">
        <v>2</v>
      </c>
      <c r="HI133">
        <v>2</v>
      </c>
      <c r="HJ133">
        <v>2</v>
      </c>
      <c r="HK133">
        <v>2</v>
      </c>
      <c r="HL133">
        <v>2</v>
      </c>
      <c r="HM133">
        <v>2</v>
      </c>
      <c r="HN133">
        <v>2</v>
      </c>
      <c r="HO133">
        <v>2</v>
      </c>
      <c r="HP133">
        <v>2</v>
      </c>
      <c r="HQ133">
        <v>0</v>
      </c>
      <c r="HR133">
        <v>0</v>
      </c>
      <c r="HS133">
        <v>0</v>
      </c>
      <c r="HT133">
        <v>0</v>
      </c>
      <c r="HU133">
        <v>0</v>
      </c>
      <c r="HV133">
        <v>0</v>
      </c>
      <c r="HW133">
        <v>0</v>
      </c>
      <c r="HX133">
        <v>0</v>
      </c>
      <c r="HY133">
        <v>0</v>
      </c>
      <c r="HZ133">
        <v>0</v>
      </c>
      <c r="IA133">
        <v>0</v>
      </c>
      <c r="IB133">
        <v>0</v>
      </c>
      <c r="IC133">
        <v>0</v>
      </c>
      <c r="ID133">
        <v>0</v>
      </c>
      <c r="IE133">
        <v>0</v>
      </c>
      <c r="IF133">
        <v>0</v>
      </c>
      <c r="IG133">
        <v>0</v>
      </c>
      <c r="IH133">
        <v>0</v>
      </c>
      <c r="II133">
        <v>0</v>
      </c>
      <c r="IJ133">
        <v>0</v>
      </c>
      <c r="IK133">
        <v>0</v>
      </c>
      <c r="IL133">
        <v>0</v>
      </c>
      <c r="IM133">
        <v>0</v>
      </c>
      <c r="IN133">
        <v>0</v>
      </c>
      <c r="IO133">
        <v>0</v>
      </c>
      <c r="IP133">
        <v>0</v>
      </c>
      <c r="IQ133">
        <v>0</v>
      </c>
      <c r="IR133">
        <v>0</v>
      </c>
      <c r="IS133">
        <v>0</v>
      </c>
      <c r="IT133">
        <v>0</v>
      </c>
      <c r="IU133">
        <v>0</v>
      </c>
      <c r="IV133">
        <v>0</v>
      </c>
      <c r="IW133">
        <v>0</v>
      </c>
      <c r="IX133">
        <v>0</v>
      </c>
      <c r="IY133">
        <v>0</v>
      </c>
      <c r="IZ133">
        <v>0</v>
      </c>
      <c r="JA133">
        <v>0</v>
      </c>
      <c r="JB133">
        <v>0</v>
      </c>
      <c r="JC133">
        <v>0</v>
      </c>
      <c r="JD133">
        <v>0</v>
      </c>
      <c r="JE133">
        <v>0</v>
      </c>
      <c r="JF133">
        <v>0</v>
      </c>
      <c r="JG133">
        <v>0</v>
      </c>
      <c r="JH133">
        <v>0</v>
      </c>
      <c r="JI133">
        <v>0</v>
      </c>
      <c r="JJ133">
        <v>0</v>
      </c>
      <c r="JK133">
        <v>0</v>
      </c>
      <c r="JL133">
        <v>0</v>
      </c>
      <c r="JM133">
        <v>0</v>
      </c>
      <c r="JN133">
        <v>0</v>
      </c>
      <c r="JO133">
        <v>0</v>
      </c>
      <c r="JP133">
        <v>0</v>
      </c>
      <c r="JQ133">
        <v>0</v>
      </c>
      <c r="JR133">
        <v>0</v>
      </c>
      <c r="JS133">
        <v>0</v>
      </c>
      <c r="JT133">
        <v>0</v>
      </c>
      <c r="JU133">
        <v>0</v>
      </c>
      <c r="JV133">
        <v>0</v>
      </c>
      <c r="JW133">
        <v>0</v>
      </c>
      <c r="JX133">
        <v>0</v>
      </c>
      <c r="JY133">
        <v>0</v>
      </c>
      <c r="JZ133">
        <v>0</v>
      </c>
      <c r="KA133">
        <v>0</v>
      </c>
      <c r="KB133">
        <v>0</v>
      </c>
      <c r="KC133">
        <v>0</v>
      </c>
      <c r="KD133">
        <v>0</v>
      </c>
      <c r="KE133">
        <v>0</v>
      </c>
      <c r="KF133">
        <v>0</v>
      </c>
      <c r="KG133">
        <v>0</v>
      </c>
      <c r="KH133">
        <v>0</v>
      </c>
      <c r="KI133">
        <v>0</v>
      </c>
      <c r="KJ133">
        <v>0</v>
      </c>
      <c r="KK133">
        <v>0</v>
      </c>
      <c r="KL133">
        <v>0</v>
      </c>
      <c r="KM133">
        <v>0</v>
      </c>
      <c r="KN133">
        <v>0</v>
      </c>
      <c r="KO133">
        <v>0</v>
      </c>
      <c r="KP133">
        <v>0</v>
      </c>
      <c r="KQ133">
        <v>0</v>
      </c>
      <c r="KR133">
        <v>0</v>
      </c>
      <c r="KS133">
        <v>0</v>
      </c>
      <c r="KT133">
        <v>0</v>
      </c>
      <c r="KU133">
        <v>0</v>
      </c>
      <c r="KV133">
        <v>0</v>
      </c>
      <c r="KW133">
        <v>0</v>
      </c>
      <c r="KX133">
        <v>0</v>
      </c>
      <c r="KY133">
        <v>0</v>
      </c>
      <c r="KZ133">
        <v>0</v>
      </c>
      <c r="LA133">
        <v>0</v>
      </c>
      <c r="LB133">
        <v>0</v>
      </c>
      <c r="LC133">
        <v>0</v>
      </c>
      <c r="LD133">
        <v>0</v>
      </c>
      <c r="LE133">
        <v>0</v>
      </c>
      <c r="LF133">
        <v>0</v>
      </c>
      <c r="LG133">
        <v>0</v>
      </c>
      <c r="LH133">
        <v>0</v>
      </c>
      <c r="LI133">
        <v>0</v>
      </c>
      <c r="LJ133">
        <v>0</v>
      </c>
      <c r="LK133">
        <v>0</v>
      </c>
      <c r="LL133">
        <v>0</v>
      </c>
      <c r="LM133">
        <v>0</v>
      </c>
      <c r="LN133">
        <v>0</v>
      </c>
      <c r="LO133">
        <v>0</v>
      </c>
      <c r="LP133">
        <v>0</v>
      </c>
      <c r="LQ133">
        <v>0</v>
      </c>
      <c r="LR133">
        <v>0</v>
      </c>
      <c r="LS133">
        <v>0</v>
      </c>
      <c r="LT133">
        <v>0</v>
      </c>
      <c r="LU133">
        <v>0</v>
      </c>
      <c r="LV133">
        <v>0</v>
      </c>
      <c r="LW133">
        <v>0</v>
      </c>
      <c r="LX133">
        <v>0</v>
      </c>
      <c r="LY133">
        <v>0</v>
      </c>
      <c r="LZ133">
        <v>0</v>
      </c>
      <c r="MA133">
        <v>0</v>
      </c>
      <c r="MB133">
        <v>0</v>
      </c>
      <c r="MC133">
        <v>0</v>
      </c>
      <c r="MD133">
        <v>0</v>
      </c>
      <c r="ME133">
        <v>0</v>
      </c>
      <c r="MF133">
        <v>0</v>
      </c>
      <c r="MG133">
        <v>0</v>
      </c>
      <c r="MH133">
        <v>0</v>
      </c>
      <c r="MI133">
        <v>0</v>
      </c>
      <c r="MJ133">
        <v>0</v>
      </c>
      <c r="MK133">
        <v>0</v>
      </c>
      <c r="ML133">
        <v>0</v>
      </c>
      <c r="MM133">
        <v>0</v>
      </c>
      <c r="MN133">
        <v>0</v>
      </c>
      <c r="MO133">
        <v>0</v>
      </c>
      <c r="MP133">
        <v>0</v>
      </c>
      <c r="MQ133">
        <v>0</v>
      </c>
      <c r="MR133">
        <v>0</v>
      </c>
      <c r="MS133">
        <v>0</v>
      </c>
      <c r="MT133">
        <v>0</v>
      </c>
      <c r="MU133">
        <v>0</v>
      </c>
      <c r="MV133">
        <v>0</v>
      </c>
      <c r="MW133">
        <v>0</v>
      </c>
      <c r="MX133">
        <v>0</v>
      </c>
      <c r="MY133">
        <v>0</v>
      </c>
      <c r="MZ133">
        <v>0</v>
      </c>
      <c r="NA133">
        <v>0</v>
      </c>
      <c r="NB133">
        <v>0</v>
      </c>
      <c r="NC133">
        <v>0</v>
      </c>
      <c r="ND133">
        <v>0</v>
      </c>
      <c r="NE133">
        <v>0</v>
      </c>
      <c r="NF133">
        <v>0</v>
      </c>
      <c r="NG133">
        <v>0</v>
      </c>
      <c r="NH133">
        <v>0</v>
      </c>
      <c r="NI133">
        <v>0</v>
      </c>
      <c r="NJ133">
        <v>0</v>
      </c>
      <c r="NK133">
        <v>0</v>
      </c>
      <c r="NL133">
        <v>0</v>
      </c>
      <c r="NM133">
        <v>0</v>
      </c>
      <c r="NN133">
        <v>0</v>
      </c>
      <c r="NO133">
        <v>0</v>
      </c>
      <c r="NP133">
        <v>0</v>
      </c>
      <c r="NQ133">
        <v>0</v>
      </c>
      <c r="NR133">
        <v>0</v>
      </c>
      <c r="NS133">
        <v>0</v>
      </c>
      <c r="NT133">
        <v>0</v>
      </c>
      <c r="NU133">
        <v>0</v>
      </c>
      <c r="NV133">
        <v>0</v>
      </c>
      <c r="NW133">
        <v>0</v>
      </c>
      <c r="NX133">
        <v>0</v>
      </c>
      <c r="NY133">
        <v>0</v>
      </c>
      <c r="NZ133">
        <v>0</v>
      </c>
      <c r="OA133">
        <v>0</v>
      </c>
      <c r="OB133">
        <v>0</v>
      </c>
      <c r="OC133">
        <v>0</v>
      </c>
      <c r="OD133">
        <v>0</v>
      </c>
      <c r="OE133">
        <v>0</v>
      </c>
      <c r="OF133">
        <v>0</v>
      </c>
      <c r="OG133">
        <v>0</v>
      </c>
      <c r="OH133">
        <v>0</v>
      </c>
      <c r="OI133">
        <v>0</v>
      </c>
      <c r="OJ133">
        <v>0</v>
      </c>
      <c r="OK133">
        <v>0</v>
      </c>
      <c r="OL133">
        <v>0</v>
      </c>
      <c r="OM133">
        <v>0</v>
      </c>
      <c r="ON133">
        <v>0</v>
      </c>
      <c r="OO133">
        <v>0</v>
      </c>
      <c r="OP133">
        <v>0</v>
      </c>
      <c r="OQ133">
        <v>0</v>
      </c>
      <c r="OR133">
        <v>0</v>
      </c>
      <c r="OS133">
        <v>0</v>
      </c>
      <c r="OT133">
        <v>0</v>
      </c>
      <c r="OU133">
        <v>0</v>
      </c>
      <c r="OV133">
        <v>0</v>
      </c>
      <c r="OW133">
        <v>0</v>
      </c>
      <c r="OX133">
        <v>0</v>
      </c>
      <c r="OY133">
        <v>0</v>
      </c>
      <c r="OZ133">
        <v>0</v>
      </c>
      <c r="PA133">
        <v>0</v>
      </c>
      <c r="PB133">
        <v>0</v>
      </c>
      <c r="PC133">
        <v>0</v>
      </c>
      <c r="PD133">
        <v>0</v>
      </c>
      <c r="PE133">
        <v>0</v>
      </c>
      <c r="PF133">
        <v>0</v>
      </c>
      <c r="PG133">
        <v>0</v>
      </c>
      <c r="PH133">
        <v>0</v>
      </c>
      <c r="PI133">
        <v>0</v>
      </c>
      <c r="PJ133">
        <v>0</v>
      </c>
      <c r="PK133">
        <v>0</v>
      </c>
      <c r="PL133">
        <v>0</v>
      </c>
      <c r="PM133">
        <v>0</v>
      </c>
      <c r="PN133">
        <v>0</v>
      </c>
      <c r="PO133">
        <v>0</v>
      </c>
      <c r="PP133">
        <v>0</v>
      </c>
      <c r="PQ133">
        <v>0</v>
      </c>
      <c r="PR133">
        <v>0</v>
      </c>
      <c r="PS133">
        <v>0</v>
      </c>
      <c r="PT133">
        <v>0</v>
      </c>
      <c r="PU133">
        <v>0</v>
      </c>
      <c r="PV133">
        <v>0</v>
      </c>
      <c r="PW133">
        <v>0</v>
      </c>
      <c r="PX133">
        <v>0</v>
      </c>
      <c r="PY133">
        <v>0</v>
      </c>
      <c r="PZ133">
        <v>0</v>
      </c>
      <c r="QA133">
        <v>0</v>
      </c>
      <c r="QB133">
        <v>0</v>
      </c>
      <c r="QC133">
        <v>0</v>
      </c>
      <c r="QD133">
        <v>0</v>
      </c>
      <c r="QE133">
        <v>0</v>
      </c>
      <c r="QF133">
        <v>0</v>
      </c>
      <c r="QG133">
        <v>0</v>
      </c>
      <c r="QH133">
        <v>0</v>
      </c>
      <c r="QI133">
        <v>0</v>
      </c>
      <c r="QJ133">
        <v>0</v>
      </c>
      <c r="QK133">
        <v>0</v>
      </c>
      <c r="QL133">
        <v>0</v>
      </c>
      <c r="QM133">
        <v>0</v>
      </c>
      <c r="QN133">
        <v>0</v>
      </c>
      <c r="QO133">
        <v>0</v>
      </c>
      <c r="QP133">
        <v>0</v>
      </c>
      <c r="QQ133">
        <v>0</v>
      </c>
      <c r="QR133">
        <v>0</v>
      </c>
      <c r="QS133">
        <v>0</v>
      </c>
      <c r="QT133">
        <v>0</v>
      </c>
      <c r="QU133">
        <v>0</v>
      </c>
      <c r="QV133">
        <v>0</v>
      </c>
      <c r="QW133">
        <v>0</v>
      </c>
      <c r="QX133">
        <v>0</v>
      </c>
      <c r="QY133">
        <v>0</v>
      </c>
      <c r="QZ133">
        <v>0</v>
      </c>
      <c r="RA133">
        <v>0</v>
      </c>
      <c r="RB133">
        <v>0</v>
      </c>
      <c r="RC133">
        <v>0</v>
      </c>
      <c r="RD133">
        <v>0</v>
      </c>
      <c r="RE133">
        <v>0</v>
      </c>
      <c r="RF133">
        <v>0</v>
      </c>
      <c r="RG133">
        <v>0</v>
      </c>
      <c r="RH133">
        <v>0</v>
      </c>
      <c r="RI133">
        <v>2</v>
      </c>
      <c r="RJ133">
        <v>2</v>
      </c>
      <c r="RK133">
        <v>2</v>
      </c>
      <c r="RL133">
        <v>2</v>
      </c>
      <c r="RM133">
        <v>2</v>
      </c>
      <c r="RN133">
        <v>2</v>
      </c>
      <c r="RO133">
        <v>2</v>
      </c>
      <c r="RP133">
        <v>2</v>
      </c>
      <c r="RQ133">
        <v>2</v>
      </c>
      <c r="RR133">
        <v>2</v>
      </c>
      <c r="RS133">
        <v>2</v>
      </c>
      <c r="RT133">
        <v>2</v>
      </c>
      <c r="RU133">
        <v>2</v>
      </c>
      <c r="RV133">
        <v>2</v>
      </c>
      <c r="RW133">
        <v>2</v>
      </c>
      <c r="RX133">
        <v>2</v>
      </c>
      <c r="RY133">
        <v>2</v>
      </c>
      <c r="RZ133">
        <v>2</v>
      </c>
      <c r="SA133">
        <v>2</v>
      </c>
      <c r="SB133">
        <v>2</v>
      </c>
      <c r="SC133">
        <v>2</v>
      </c>
      <c r="SD133">
        <v>2</v>
      </c>
      <c r="SE133">
        <v>1</v>
      </c>
      <c r="SF133">
        <v>1</v>
      </c>
      <c r="SG133">
        <v>1</v>
      </c>
      <c r="SH133">
        <v>1</v>
      </c>
      <c r="SI133">
        <v>1</v>
      </c>
      <c r="SJ133">
        <v>1</v>
      </c>
      <c r="SK133">
        <v>1</v>
      </c>
      <c r="SL133">
        <v>1</v>
      </c>
      <c r="SM133">
        <v>1</v>
      </c>
      <c r="SN133">
        <v>1</v>
      </c>
      <c r="SO133">
        <v>1</v>
      </c>
      <c r="SP133">
        <v>1</v>
      </c>
      <c r="SQ133">
        <v>1</v>
      </c>
      <c r="SR133">
        <v>1</v>
      </c>
      <c r="SS133">
        <v>1</v>
      </c>
      <c r="ST133">
        <v>1</v>
      </c>
      <c r="SU133">
        <v>1</v>
      </c>
      <c r="SV133">
        <v>1</v>
      </c>
      <c r="SW133">
        <v>1</v>
      </c>
      <c r="SX133">
        <v>1</v>
      </c>
      <c r="SY133">
        <v>1</v>
      </c>
      <c r="SZ133">
        <v>1</v>
      </c>
      <c r="TA133">
        <v>1</v>
      </c>
      <c r="TB133">
        <v>1</v>
      </c>
      <c r="TC133">
        <v>1</v>
      </c>
      <c r="TD133">
        <v>1</v>
      </c>
      <c r="TE133">
        <v>1</v>
      </c>
      <c r="TF133">
        <v>1</v>
      </c>
      <c r="TG133">
        <v>2</v>
      </c>
      <c r="TH133">
        <v>2</v>
      </c>
      <c r="TI133">
        <v>2</v>
      </c>
      <c r="TJ133">
        <v>2</v>
      </c>
      <c r="TK133">
        <v>2</v>
      </c>
      <c r="TL133">
        <v>2</v>
      </c>
      <c r="TM133">
        <v>2</v>
      </c>
      <c r="TN133">
        <v>1</v>
      </c>
      <c r="TO133">
        <v>1</v>
      </c>
      <c r="TP133">
        <v>1</v>
      </c>
      <c r="TQ133">
        <v>1</v>
      </c>
      <c r="TR133">
        <v>1</v>
      </c>
      <c r="TS133">
        <v>1</v>
      </c>
      <c r="TT133">
        <v>1</v>
      </c>
      <c r="TU133">
        <v>1</v>
      </c>
      <c r="TV133">
        <v>1</v>
      </c>
      <c r="TW133">
        <v>1</v>
      </c>
      <c r="TX133">
        <v>1</v>
      </c>
      <c r="TY133">
        <v>1</v>
      </c>
      <c r="TZ133">
        <v>1</v>
      </c>
      <c r="UA133">
        <v>1</v>
      </c>
      <c r="UB133">
        <v>1</v>
      </c>
      <c r="UC133">
        <v>1</v>
      </c>
      <c r="UD133">
        <v>1</v>
      </c>
      <c r="UE133">
        <v>1</v>
      </c>
      <c r="UF133">
        <v>1</v>
      </c>
      <c r="UG133">
        <v>1</v>
      </c>
      <c r="UH133">
        <v>1</v>
      </c>
      <c r="UI133">
        <v>2</v>
      </c>
      <c r="UJ133">
        <v>2</v>
      </c>
      <c r="UK133">
        <v>2</v>
      </c>
      <c r="UL133">
        <v>2</v>
      </c>
      <c r="UM133">
        <v>2</v>
      </c>
      <c r="UN133">
        <v>2</v>
      </c>
      <c r="UO133">
        <v>2</v>
      </c>
      <c r="UP133">
        <v>2</v>
      </c>
      <c r="UQ133">
        <v>2</v>
      </c>
      <c r="UR133">
        <v>2</v>
      </c>
      <c r="US133">
        <v>2</v>
      </c>
      <c r="UT133">
        <v>2</v>
      </c>
      <c r="UU133">
        <v>2</v>
      </c>
      <c r="UV133">
        <v>2</v>
      </c>
      <c r="UW133">
        <v>2</v>
      </c>
      <c r="UX133">
        <v>2</v>
      </c>
      <c r="UY133">
        <v>2</v>
      </c>
      <c r="UZ133">
        <v>2</v>
      </c>
      <c r="VA133">
        <v>2</v>
      </c>
      <c r="VB133">
        <v>2</v>
      </c>
      <c r="VC133">
        <v>2</v>
      </c>
      <c r="VD133">
        <v>2</v>
      </c>
      <c r="VE133">
        <v>2</v>
      </c>
      <c r="VF133">
        <v>2</v>
      </c>
      <c r="VG133">
        <v>2</v>
      </c>
      <c r="VH133">
        <v>2</v>
      </c>
      <c r="VI133">
        <v>1</v>
      </c>
      <c r="VJ133">
        <v>1</v>
      </c>
      <c r="VK133">
        <v>1</v>
      </c>
      <c r="VL133">
        <v>1</v>
      </c>
      <c r="VM133">
        <v>1</v>
      </c>
      <c r="VN133">
        <v>1</v>
      </c>
      <c r="VO133">
        <v>1</v>
      </c>
      <c r="VP133">
        <v>1</v>
      </c>
      <c r="VQ133">
        <v>1</v>
      </c>
      <c r="VR133">
        <v>1</v>
      </c>
      <c r="VS133">
        <v>1</v>
      </c>
      <c r="VT133">
        <v>1</v>
      </c>
      <c r="VU133">
        <v>1</v>
      </c>
      <c r="VV133">
        <v>1</v>
      </c>
      <c r="VW133">
        <v>1</v>
      </c>
      <c r="VX133">
        <v>1</v>
      </c>
      <c r="VY133">
        <v>1</v>
      </c>
      <c r="VZ133">
        <v>1</v>
      </c>
      <c r="WA133">
        <v>1</v>
      </c>
      <c r="WB133">
        <v>1</v>
      </c>
      <c r="WC133">
        <v>1</v>
      </c>
      <c r="WD133">
        <v>1</v>
      </c>
      <c r="WE133">
        <v>1</v>
      </c>
      <c r="WF133">
        <v>1</v>
      </c>
      <c r="WG133">
        <v>1</v>
      </c>
      <c r="WH133">
        <v>1</v>
      </c>
      <c r="WI133">
        <v>1</v>
      </c>
      <c r="WJ133">
        <v>1</v>
      </c>
      <c r="WK133">
        <v>1</v>
      </c>
      <c r="WL133">
        <v>1</v>
      </c>
      <c r="WM133">
        <v>1</v>
      </c>
      <c r="WN133">
        <v>1</v>
      </c>
      <c r="WO133">
        <v>1</v>
      </c>
      <c r="WP133">
        <v>1</v>
      </c>
      <c r="WQ133">
        <v>1</v>
      </c>
      <c r="WR133">
        <v>1</v>
      </c>
      <c r="WS133">
        <v>1</v>
      </c>
      <c r="WT133">
        <v>1</v>
      </c>
      <c r="WU133">
        <v>1</v>
      </c>
      <c r="WV133">
        <v>1</v>
      </c>
      <c r="WW133">
        <v>1</v>
      </c>
      <c r="WX133">
        <v>1</v>
      </c>
      <c r="WY133">
        <v>1</v>
      </c>
      <c r="WZ133">
        <v>1</v>
      </c>
      <c r="XA133">
        <v>1</v>
      </c>
      <c r="XB133">
        <v>1</v>
      </c>
      <c r="XC133">
        <v>1</v>
      </c>
      <c r="XD133">
        <v>1</v>
      </c>
      <c r="XE133">
        <v>1</v>
      </c>
      <c r="XF133">
        <v>1</v>
      </c>
      <c r="XG133">
        <v>1</v>
      </c>
      <c r="XH133">
        <v>1</v>
      </c>
      <c r="XI133">
        <v>1</v>
      </c>
      <c r="XJ133">
        <v>1</v>
      </c>
      <c r="XK133">
        <v>1</v>
      </c>
      <c r="XL133">
        <v>1</v>
      </c>
      <c r="XM133">
        <v>0</v>
      </c>
      <c r="XN133">
        <v>0</v>
      </c>
      <c r="XO133">
        <v>0</v>
      </c>
      <c r="XP133">
        <v>0</v>
      </c>
      <c r="XQ133">
        <v>0</v>
      </c>
      <c r="XR133">
        <v>0</v>
      </c>
      <c r="XS133">
        <v>0</v>
      </c>
      <c r="XT133">
        <v>0</v>
      </c>
      <c r="XU133">
        <v>0</v>
      </c>
      <c r="XV133">
        <v>0</v>
      </c>
      <c r="XW133">
        <v>0</v>
      </c>
      <c r="XX133">
        <v>0</v>
      </c>
      <c r="XY133">
        <v>0</v>
      </c>
      <c r="XZ133">
        <v>0</v>
      </c>
      <c r="YA133">
        <v>0</v>
      </c>
      <c r="YB133">
        <v>0</v>
      </c>
      <c r="YC133">
        <v>0</v>
      </c>
      <c r="YD133">
        <v>0</v>
      </c>
      <c r="YE133">
        <v>0</v>
      </c>
      <c r="YF133">
        <v>0</v>
      </c>
      <c r="YG133">
        <v>0</v>
      </c>
      <c r="YH133">
        <v>0</v>
      </c>
      <c r="YI133">
        <v>0</v>
      </c>
      <c r="YJ133">
        <v>0</v>
      </c>
      <c r="YK133">
        <v>0</v>
      </c>
      <c r="YL133">
        <v>0</v>
      </c>
      <c r="YM133">
        <v>0</v>
      </c>
      <c r="YN133">
        <v>0</v>
      </c>
      <c r="YO133">
        <v>0</v>
      </c>
      <c r="YP133">
        <v>0</v>
      </c>
      <c r="YQ133">
        <v>0</v>
      </c>
      <c r="YR133">
        <v>0</v>
      </c>
      <c r="YS133">
        <v>0</v>
      </c>
      <c r="YT133">
        <v>0</v>
      </c>
      <c r="YU133">
        <v>0</v>
      </c>
      <c r="YV133">
        <v>0</v>
      </c>
      <c r="YW133">
        <v>0</v>
      </c>
      <c r="YX133">
        <v>0</v>
      </c>
      <c r="YY133">
        <v>0</v>
      </c>
      <c r="YZ133">
        <v>0</v>
      </c>
      <c r="ZA133">
        <v>0</v>
      </c>
      <c r="ZB133">
        <v>0</v>
      </c>
      <c r="ZC133">
        <v>0</v>
      </c>
      <c r="ZD133">
        <v>0</v>
      </c>
      <c r="ZE133">
        <v>0</v>
      </c>
      <c r="ZF133">
        <v>0</v>
      </c>
      <c r="ZG133">
        <v>0</v>
      </c>
      <c r="ZH133">
        <v>0</v>
      </c>
      <c r="ZI133">
        <v>0</v>
      </c>
      <c r="ZJ133">
        <v>0</v>
      </c>
      <c r="ZK133">
        <v>0</v>
      </c>
      <c r="ZL133">
        <v>0</v>
      </c>
      <c r="ZM133">
        <v>0</v>
      </c>
      <c r="ZN133">
        <v>0</v>
      </c>
      <c r="ZO133">
        <v>0</v>
      </c>
      <c r="ZP133">
        <v>0</v>
      </c>
      <c r="ZQ133">
        <v>0</v>
      </c>
      <c r="ZR133">
        <v>0</v>
      </c>
      <c r="ZS133">
        <v>0</v>
      </c>
      <c r="ZT133">
        <v>0</v>
      </c>
      <c r="ZU133">
        <v>0</v>
      </c>
      <c r="ZV133">
        <v>0</v>
      </c>
      <c r="ZW133">
        <v>0</v>
      </c>
      <c r="ZX133">
        <v>0</v>
      </c>
      <c r="ZY133">
        <v>0</v>
      </c>
      <c r="ZZ133">
        <v>0</v>
      </c>
      <c r="AAA133">
        <v>0</v>
      </c>
      <c r="AAB133">
        <v>0</v>
      </c>
      <c r="AAC133">
        <v>0</v>
      </c>
      <c r="AAD133">
        <v>0</v>
      </c>
      <c r="AAE133">
        <v>0</v>
      </c>
      <c r="AAF133">
        <v>2</v>
      </c>
      <c r="AAG133">
        <v>2</v>
      </c>
      <c r="AAH133">
        <v>2</v>
      </c>
      <c r="AAI133">
        <v>2</v>
      </c>
      <c r="AAJ133">
        <v>2</v>
      </c>
      <c r="AAK133">
        <v>2</v>
      </c>
      <c r="AAL133">
        <v>2</v>
      </c>
      <c r="AAM133">
        <v>2</v>
      </c>
      <c r="AAN133">
        <v>2</v>
      </c>
      <c r="AAO133">
        <v>2</v>
      </c>
      <c r="AAP133">
        <v>2</v>
      </c>
      <c r="AAQ133">
        <v>2</v>
      </c>
      <c r="AAR133">
        <v>2</v>
      </c>
      <c r="AAS133">
        <v>2</v>
      </c>
      <c r="AAT133">
        <v>2</v>
      </c>
      <c r="AAU133">
        <v>2</v>
      </c>
      <c r="AAV133">
        <v>2</v>
      </c>
      <c r="AAW133">
        <v>2</v>
      </c>
      <c r="AAX133">
        <v>2</v>
      </c>
      <c r="AAY133">
        <v>2</v>
      </c>
      <c r="AAZ133">
        <v>2</v>
      </c>
      <c r="ABA133">
        <v>2</v>
      </c>
      <c r="ABB133">
        <v>2</v>
      </c>
      <c r="ABC133">
        <v>2</v>
      </c>
      <c r="ABD133">
        <v>2</v>
      </c>
      <c r="ABE133">
        <v>2</v>
      </c>
      <c r="ABG133" s="1137">
        <f t="shared" si="37"/>
        <v>0</v>
      </c>
      <c r="ABH133" s="1137">
        <f t="shared" si="37"/>
        <v>0</v>
      </c>
      <c r="ABI133" s="1137">
        <f t="shared" si="37"/>
        <v>8</v>
      </c>
      <c r="ABJ133" s="1137">
        <f t="shared" si="37"/>
        <v>30</v>
      </c>
      <c r="ABK133" s="1137">
        <f t="shared" si="37"/>
        <v>30</v>
      </c>
      <c r="ABL133" s="1137">
        <f t="shared" si="37"/>
        <v>3</v>
      </c>
      <c r="ABM133" s="1137">
        <f t="shared" si="37"/>
        <v>30</v>
      </c>
      <c r="ABN133" s="1137">
        <f t="shared" si="37"/>
        <v>9</v>
      </c>
      <c r="ABO133" s="1137">
        <f t="shared" si="37"/>
        <v>0</v>
      </c>
      <c r="ABP133" s="1137">
        <f t="shared" si="37"/>
        <v>0</v>
      </c>
      <c r="ABQ133" s="1137">
        <f t="shared" si="37"/>
        <v>0</v>
      </c>
      <c r="ABR133" s="1137">
        <f t="shared" si="37"/>
        <v>0</v>
      </c>
      <c r="ABS133" s="1137">
        <f t="shared" si="37"/>
        <v>0</v>
      </c>
      <c r="ABT133" s="1137">
        <f t="shared" si="37"/>
        <v>0</v>
      </c>
      <c r="ABU133" s="1137">
        <f t="shared" si="37"/>
        <v>0</v>
      </c>
      <c r="ABV133" s="1137">
        <f t="shared" si="37"/>
        <v>12</v>
      </c>
      <c r="ABW133" s="1137">
        <f t="shared" si="31"/>
        <v>31</v>
      </c>
      <c r="ABX133" s="1137">
        <f t="shared" si="34"/>
        <v>30</v>
      </c>
      <c r="ABY133" s="1137">
        <f t="shared" si="34"/>
        <v>31</v>
      </c>
      <c r="ABZ133" s="1137">
        <f t="shared" si="34"/>
        <v>31</v>
      </c>
      <c r="ACA133" s="1137">
        <f t="shared" si="34"/>
        <v>25</v>
      </c>
      <c r="ACB133" s="1137">
        <f t="shared" si="34"/>
        <v>0</v>
      </c>
      <c r="ACC133" s="1137">
        <f t="shared" si="34"/>
        <v>0</v>
      </c>
      <c r="ACD133" s="1137">
        <f t="shared" si="34"/>
        <v>26</v>
      </c>
      <c r="ACE133" s="1137" t="s">
        <v>55</v>
      </c>
      <c r="ACF133" s="1137">
        <f t="shared" si="33"/>
        <v>0</v>
      </c>
      <c r="ACG133" s="1137">
        <f t="shared" si="33"/>
        <v>0</v>
      </c>
      <c r="ACH133" s="1137">
        <f t="shared" si="33"/>
        <v>0</v>
      </c>
      <c r="ACI133" s="1137">
        <f t="shared" si="33"/>
        <v>1</v>
      </c>
      <c r="ACJ133" s="1137">
        <f t="shared" si="33"/>
        <v>1</v>
      </c>
      <c r="ACK133" s="1137">
        <f t="shared" si="33"/>
        <v>0</v>
      </c>
      <c r="ACL133" s="1137">
        <f t="shared" si="33"/>
        <v>1</v>
      </c>
      <c r="ACM133" s="1137">
        <f t="shared" si="33"/>
        <v>0</v>
      </c>
      <c r="ACN133" s="1137">
        <f t="shared" si="33"/>
        <v>0</v>
      </c>
      <c r="ACO133" s="1137">
        <f t="shared" si="33"/>
        <v>0</v>
      </c>
      <c r="ACP133" s="1137">
        <f t="shared" si="33"/>
        <v>0</v>
      </c>
      <c r="ACQ133" s="1137">
        <f t="shared" si="32"/>
        <v>0</v>
      </c>
      <c r="ACR133" s="1137">
        <f t="shared" si="32"/>
        <v>0</v>
      </c>
      <c r="ACS133" s="1137">
        <f t="shared" si="32"/>
        <v>0</v>
      </c>
      <c r="ACT133" s="1137">
        <f t="shared" si="32"/>
        <v>0</v>
      </c>
      <c r="ACU133" s="1137">
        <f t="shared" si="32"/>
        <v>1</v>
      </c>
      <c r="ACV133" s="1137">
        <f t="shared" si="32"/>
        <v>1</v>
      </c>
      <c r="ACW133" s="1137">
        <f t="shared" si="32"/>
        <v>1</v>
      </c>
      <c r="ACX133" s="1137">
        <f t="shared" si="32"/>
        <v>1</v>
      </c>
      <c r="ACY133" s="1137">
        <f t="shared" si="32"/>
        <v>1</v>
      </c>
      <c r="ACZ133" s="1137">
        <f t="shared" si="32"/>
        <v>1</v>
      </c>
      <c r="ADA133" s="1137">
        <f t="shared" si="35"/>
        <v>0</v>
      </c>
      <c r="ADB133" s="1137">
        <f t="shared" si="35"/>
        <v>0</v>
      </c>
      <c r="ADC133" s="1137">
        <f t="shared" si="35"/>
        <v>1</v>
      </c>
    </row>
    <row r="134" spans="1:783" x14ac:dyDescent="0.25">
      <c r="A134" t="s">
        <v>1933</v>
      </c>
      <c r="B134" t="s">
        <v>233</v>
      </c>
      <c r="C134">
        <v>0</v>
      </c>
      <c r="D134">
        <v>0</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0</v>
      </c>
      <c r="AS134">
        <v>0</v>
      </c>
      <c r="AT134">
        <v>0</v>
      </c>
      <c r="AU134">
        <v>0</v>
      </c>
      <c r="AV134">
        <v>0</v>
      </c>
      <c r="AW134">
        <v>0</v>
      </c>
      <c r="AX134">
        <v>0</v>
      </c>
      <c r="AY134">
        <v>0</v>
      </c>
      <c r="AZ134">
        <v>0</v>
      </c>
      <c r="BA134">
        <v>0</v>
      </c>
      <c r="BB134">
        <v>0</v>
      </c>
      <c r="BC134">
        <v>0</v>
      </c>
      <c r="BD134">
        <v>0</v>
      </c>
      <c r="BE134">
        <v>0</v>
      </c>
      <c r="BF134">
        <v>0</v>
      </c>
      <c r="BG134">
        <v>0</v>
      </c>
      <c r="BH134">
        <v>0</v>
      </c>
      <c r="BI134">
        <v>0</v>
      </c>
      <c r="BJ134">
        <v>0</v>
      </c>
      <c r="BK134">
        <v>0</v>
      </c>
      <c r="BL134">
        <v>0</v>
      </c>
      <c r="BM134">
        <v>0</v>
      </c>
      <c r="BN134">
        <v>0</v>
      </c>
      <c r="BO134">
        <v>0</v>
      </c>
      <c r="BP134">
        <v>0</v>
      </c>
      <c r="BQ134">
        <v>0</v>
      </c>
      <c r="BR134">
        <v>0</v>
      </c>
      <c r="BS134">
        <v>0</v>
      </c>
      <c r="BT134">
        <v>0</v>
      </c>
      <c r="BU134">
        <v>0</v>
      </c>
      <c r="BV134">
        <v>0</v>
      </c>
      <c r="BW134">
        <v>0</v>
      </c>
      <c r="BX134">
        <v>0</v>
      </c>
      <c r="BY134">
        <v>0</v>
      </c>
      <c r="BZ134">
        <v>0</v>
      </c>
      <c r="CA134">
        <v>0</v>
      </c>
      <c r="CB134">
        <v>0</v>
      </c>
      <c r="CC134">
        <v>0</v>
      </c>
      <c r="CD134">
        <v>0</v>
      </c>
      <c r="CE134">
        <v>0</v>
      </c>
      <c r="CF134">
        <v>0</v>
      </c>
      <c r="CG134">
        <v>2</v>
      </c>
      <c r="CH134">
        <v>2</v>
      </c>
      <c r="CI134">
        <v>2</v>
      </c>
      <c r="CJ134">
        <v>2</v>
      </c>
      <c r="CK134">
        <v>2</v>
      </c>
      <c r="CL134">
        <v>2</v>
      </c>
      <c r="CM134">
        <v>2</v>
      </c>
      <c r="CN134">
        <v>2</v>
      </c>
      <c r="CO134">
        <v>2</v>
      </c>
      <c r="CP134">
        <v>2</v>
      </c>
      <c r="CQ134">
        <v>2</v>
      </c>
      <c r="CR134">
        <v>2</v>
      </c>
      <c r="CS134">
        <v>2</v>
      </c>
      <c r="CT134">
        <v>2</v>
      </c>
      <c r="CU134">
        <v>2</v>
      </c>
      <c r="CV134">
        <v>2</v>
      </c>
      <c r="CW134">
        <v>2</v>
      </c>
      <c r="CX134">
        <v>2</v>
      </c>
      <c r="CY134">
        <v>2</v>
      </c>
      <c r="CZ134">
        <v>2</v>
      </c>
      <c r="DA134">
        <v>2</v>
      </c>
      <c r="DB134">
        <v>2</v>
      </c>
      <c r="DC134">
        <v>2</v>
      </c>
      <c r="DD134">
        <v>2</v>
      </c>
      <c r="DE134">
        <v>2</v>
      </c>
      <c r="DF134">
        <v>2</v>
      </c>
      <c r="DG134">
        <v>2</v>
      </c>
      <c r="DH134">
        <v>2</v>
      </c>
      <c r="DI134">
        <v>2</v>
      </c>
      <c r="DJ134">
        <v>2</v>
      </c>
      <c r="DK134">
        <v>2</v>
      </c>
      <c r="DL134">
        <v>2</v>
      </c>
      <c r="DM134">
        <v>2</v>
      </c>
      <c r="DN134">
        <v>2</v>
      </c>
      <c r="DO134">
        <v>2</v>
      </c>
      <c r="DP134">
        <v>2</v>
      </c>
      <c r="DQ134">
        <v>2</v>
      </c>
      <c r="DR134">
        <v>2</v>
      </c>
      <c r="DS134">
        <v>2</v>
      </c>
      <c r="DT134">
        <v>2</v>
      </c>
      <c r="DU134">
        <v>2</v>
      </c>
      <c r="DV134">
        <v>2</v>
      </c>
      <c r="DW134">
        <v>2</v>
      </c>
      <c r="DX134">
        <v>2</v>
      </c>
      <c r="DY134">
        <v>2</v>
      </c>
      <c r="DZ134">
        <v>2</v>
      </c>
      <c r="EA134">
        <v>2</v>
      </c>
      <c r="EB134">
        <v>2</v>
      </c>
      <c r="EC134">
        <v>2</v>
      </c>
      <c r="ED134">
        <v>2</v>
      </c>
      <c r="EE134">
        <v>2</v>
      </c>
      <c r="EF134">
        <v>2</v>
      </c>
      <c r="EG134">
        <v>2</v>
      </c>
      <c r="EH134">
        <v>2</v>
      </c>
      <c r="EI134">
        <v>2</v>
      </c>
      <c r="EJ134">
        <v>2</v>
      </c>
      <c r="EK134">
        <v>2</v>
      </c>
      <c r="EL134">
        <v>2</v>
      </c>
      <c r="EM134">
        <v>2</v>
      </c>
      <c r="EN134">
        <v>2</v>
      </c>
      <c r="EO134">
        <v>2</v>
      </c>
      <c r="EP134">
        <v>2</v>
      </c>
      <c r="EQ134">
        <v>2</v>
      </c>
      <c r="ER134">
        <v>2</v>
      </c>
      <c r="ES134">
        <v>2</v>
      </c>
      <c r="ET134">
        <v>2</v>
      </c>
      <c r="EU134">
        <v>2</v>
      </c>
      <c r="EV134">
        <v>2</v>
      </c>
      <c r="EW134">
        <v>2</v>
      </c>
      <c r="EX134">
        <v>2</v>
      </c>
      <c r="EY134">
        <v>2</v>
      </c>
      <c r="EZ134">
        <v>2</v>
      </c>
      <c r="FA134">
        <v>2</v>
      </c>
      <c r="FB134">
        <v>2</v>
      </c>
      <c r="FC134">
        <v>2</v>
      </c>
      <c r="FD134">
        <v>2</v>
      </c>
      <c r="FE134">
        <v>2</v>
      </c>
      <c r="FF134">
        <v>2</v>
      </c>
      <c r="FG134">
        <v>2</v>
      </c>
      <c r="FH134">
        <v>2</v>
      </c>
      <c r="FI134">
        <v>2</v>
      </c>
      <c r="FJ134">
        <v>2</v>
      </c>
      <c r="FK134">
        <v>2</v>
      </c>
      <c r="FL134">
        <v>2</v>
      </c>
      <c r="FM134">
        <v>2</v>
      </c>
      <c r="FN134">
        <v>2</v>
      </c>
      <c r="FO134">
        <v>2</v>
      </c>
      <c r="FP134">
        <v>2</v>
      </c>
      <c r="FQ134">
        <v>2</v>
      </c>
      <c r="FR134">
        <v>2</v>
      </c>
      <c r="FS134">
        <v>2</v>
      </c>
      <c r="FT134">
        <v>2</v>
      </c>
      <c r="FU134">
        <v>2</v>
      </c>
      <c r="FV134">
        <v>2</v>
      </c>
      <c r="FW134">
        <v>2</v>
      </c>
      <c r="FX134">
        <v>2</v>
      </c>
      <c r="FY134">
        <v>2</v>
      </c>
      <c r="FZ134">
        <v>2</v>
      </c>
      <c r="GA134">
        <v>2</v>
      </c>
      <c r="GB134">
        <v>2</v>
      </c>
      <c r="GC134">
        <v>2</v>
      </c>
      <c r="GD134">
        <v>2</v>
      </c>
      <c r="GE134">
        <v>2</v>
      </c>
      <c r="GF134">
        <v>2</v>
      </c>
      <c r="GG134">
        <v>2</v>
      </c>
      <c r="GH134">
        <v>2</v>
      </c>
      <c r="GI134">
        <v>2</v>
      </c>
      <c r="GJ134">
        <v>2</v>
      </c>
      <c r="GK134">
        <v>2</v>
      </c>
      <c r="GL134">
        <v>2</v>
      </c>
      <c r="GM134">
        <v>2</v>
      </c>
      <c r="GN134">
        <v>2</v>
      </c>
      <c r="GO134">
        <v>2</v>
      </c>
      <c r="GP134">
        <v>2</v>
      </c>
      <c r="GQ134">
        <v>2</v>
      </c>
      <c r="GR134">
        <v>2</v>
      </c>
      <c r="GS134">
        <v>2</v>
      </c>
      <c r="GT134">
        <v>2</v>
      </c>
      <c r="GU134">
        <v>2</v>
      </c>
      <c r="GV134">
        <v>2</v>
      </c>
      <c r="GW134">
        <v>2</v>
      </c>
      <c r="GX134">
        <v>2</v>
      </c>
      <c r="GY134">
        <v>2</v>
      </c>
      <c r="GZ134">
        <v>2</v>
      </c>
      <c r="HA134">
        <v>2</v>
      </c>
      <c r="HB134">
        <v>2</v>
      </c>
      <c r="HC134">
        <v>2</v>
      </c>
      <c r="HD134">
        <v>2</v>
      </c>
      <c r="HE134">
        <v>2</v>
      </c>
      <c r="HF134">
        <v>2</v>
      </c>
      <c r="HG134">
        <v>2</v>
      </c>
      <c r="HH134">
        <v>2</v>
      </c>
      <c r="HI134">
        <v>2</v>
      </c>
      <c r="HJ134">
        <v>2</v>
      </c>
      <c r="HK134">
        <v>2</v>
      </c>
      <c r="HL134">
        <v>2</v>
      </c>
      <c r="HM134">
        <v>2</v>
      </c>
      <c r="HN134">
        <v>2</v>
      </c>
      <c r="HO134">
        <v>2</v>
      </c>
      <c r="HP134">
        <v>2</v>
      </c>
      <c r="HQ134">
        <v>2</v>
      </c>
      <c r="HR134">
        <v>2</v>
      </c>
      <c r="HS134">
        <v>2</v>
      </c>
      <c r="HT134">
        <v>2</v>
      </c>
      <c r="HU134">
        <v>2</v>
      </c>
      <c r="HV134">
        <v>2</v>
      </c>
      <c r="HW134">
        <v>2</v>
      </c>
      <c r="HX134">
        <v>2</v>
      </c>
      <c r="HY134">
        <v>2</v>
      </c>
      <c r="HZ134">
        <v>2</v>
      </c>
      <c r="IA134">
        <v>2</v>
      </c>
      <c r="IB134">
        <v>2</v>
      </c>
      <c r="IC134">
        <v>2</v>
      </c>
      <c r="ID134">
        <v>2</v>
      </c>
      <c r="IE134">
        <v>2</v>
      </c>
      <c r="IF134">
        <v>2</v>
      </c>
      <c r="IG134">
        <v>2</v>
      </c>
      <c r="IH134">
        <v>2</v>
      </c>
      <c r="II134">
        <v>2</v>
      </c>
      <c r="IJ134">
        <v>2</v>
      </c>
      <c r="IK134">
        <v>2</v>
      </c>
      <c r="IL134">
        <v>2</v>
      </c>
      <c r="IM134">
        <v>2</v>
      </c>
      <c r="IN134">
        <v>2</v>
      </c>
      <c r="IO134">
        <v>2</v>
      </c>
      <c r="IP134">
        <v>2</v>
      </c>
      <c r="IQ134">
        <v>2</v>
      </c>
      <c r="IR134">
        <v>2</v>
      </c>
      <c r="IS134">
        <v>2</v>
      </c>
      <c r="IT134">
        <v>2</v>
      </c>
      <c r="IU134">
        <v>2</v>
      </c>
      <c r="IV134">
        <v>2</v>
      </c>
      <c r="IW134">
        <v>2</v>
      </c>
      <c r="IX134">
        <v>2</v>
      </c>
      <c r="IY134">
        <v>2</v>
      </c>
      <c r="IZ134">
        <v>2</v>
      </c>
      <c r="JA134">
        <v>2</v>
      </c>
      <c r="JB134">
        <v>2</v>
      </c>
      <c r="JC134">
        <v>2</v>
      </c>
      <c r="JD134">
        <v>2</v>
      </c>
      <c r="JE134">
        <v>2</v>
      </c>
      <c r="JF134">
        <v>2</v>
      </c>
      <c r="JG134">
        <v>2</v>
      </c>
      <c r="JH134">
        <v>2</v>
      </c>
      <c r="JI134">
        <v>2</v>
      </c>
      <c r="JJ134">
        <v>2</v>
      </c>
      <c r="JK134">
        <v>2</v>
      </c>
      <c r="JL134">
        <v>2</v>
      </c>
      <c r="JM134">
        <v>2</v>
      </c>
      <c r="JN134">
        <v>2</v>
      </c>
      <c r="JO134">
        <v>2</v>
      </c>
      <c r="JP134">
        <v>2</v>
      </c>
      <c r="JQ134">
        <v>2</v>
      </c>
      <c r="JR134">
        <v>2</v>
      </c>
      <c r="JS134">
        <v>2</v>
      </c>
      <c r="JT134">
        <v>2</v>
      </c>
      <c r="JU134">
        <v>2</v>
      </c>
      <c r="JV134">
        <v>2</v>
      </c>
      <c r="JW134">
        <v>2</v>
      </c>
      <c r="JX134">
        <v>2</v>
      </c>
      <c r="JY134">
        <v>2</v>
      </c>
      <c r="JZ134">
        <v>2</v>
      </c>
      <c r="KA134">
        <v>2</v>
      </c>
      <c r="KB134">
        <v>0</v>
      </c>
      <c r="KC134">
        <v>0</v>
      </c>
      <c r="KD134">
        <v>0</v>
      </c>
      <c r="KE134">
        <v>0</v>
      </c>
      <c r="KF134">
        <v>0</v>
      </c>
      <c r="KG134">
        <v>0</v>
      </c>
      <c r="KH134">
        <v>0</v>
      </c>
      <c r="KI134">
        <v>0</v>
      </c>
      <c r="KJ134">
        <v>0</v>
      </c>
      <c r="KK134">
        <v>0</v>
      </c>
      <c r="KL134">
        <v>0</v>
      </c>
      <c r="KM134">
        <v>0</v>
      </c>
      <c r="KN134">
        <v>0</v>
      </c>
      <c r="KO134">
        <v>0</v>
      </c>
      <c r="KP134">
        <v>0</v>
      </c>
      <c r="KQ134">
        <v>0</v>
      </c>
      <c r="KR134">
        <v>0</v>
      </c>
      <c r="KS134">
        <v>0</v>
      </c>
      <c r="KT134">
        <v>0</v>
      </c>
      <c r="KU134">
        <v>0</v>
      </c>
      <c r="KV134">
        <v>0</v>
      </c>
      <c r="KW134">
        <v>0</v>
      </c>
      <c r="KX134">
        <v>0</v>
      </c>
      <c r="KY134">
        <v>0</v>
      </c>
      <c r="KZ134">
        <v>0</v>
      </c>
      <c r="LA134">
        <v>0</v>
      </c>
      <c r="LB134">
        <v>0</v>
      </c>
      <c r="LC134">
        <v>0</v>
      </c>
      <c r="LD134">
        <v>0</v>
      </c>
      <c r="LE134">
        <v>0</v>
      </c>
      <c r="LF134">
        <v>0</v>
      </c>
      <c r="LG134">
        <v>0</v>
      </c>
      <c r="LH134">
        <v>0</v>
      </c>
      <c r="LI134">
        <v>0</v>
      </c>
      <c r="LJ134">
        <v>0</v>
      </c>
      <c r="LK134">
        <v>0</v>
      </c>
      <c r="LL134">
        <v>0</v>
      </c>
      <c r="LM134">
        <v>0</v>
      </c>
      <c r="LN134">
        <v>0</v>
      </c>
      <c r="LO134">
        <v>0</v>
      </c>
      <c r="LP134">
        <v>0</v>
      </c>
      <c r="LQ134">
        <v>0</v>
      </c>
      <c r="LR134">
        <v>0</v>
      </c>
      <c r="LS134">
        <v>0</v>
      </c>
      <c r="LT134">
        <v>0</v>
      </c>
      <c r="LU134">
        <v>0</v>
      </c>
      <c r="LV134">
        <v>0</v>
      </c>
      <c r="LW134">
        <v>0</v>
      </c>
      <c r="LX134">
        <v>0</v>
      </c>
      <c r="LY134">
        <v>0</v>
      </c>
      <c r="LZ134">
        <v>1</v>
      </c>
      <c r="MA134">
        <v>1</v>
      </c>
      <c r="MB134">
        <v>1</v>
      </c>
      <c r="MC134">
        <v>1</v>
      </c>
      <c r="MD134">
        <v>1</v>
      </c>
      <c r="ME134">
        <v>1</v>
      </c>
      <c r="MF134">
        <v>1</v>
      </c>
      <c r="MG134">
        <v>1</v>
      </c>
      <c r="MH134">
        <v>1</v>
      </c>
      <c r="MI134">
        <v>1</v>
      </c>
      <c r="MJ134">
        <v>1</v>
      </c>
      <c r="MK134">
        <v>1</v>
      </c>
      <c r="ML134">
        <v>1</v>
      </c>
      <c r="MM134">
        <v>1</v>
      </c>
      <c r="MN134">
        <v>0</v>
      </c>
      <c r="MO134">
        <v>0</v>
      </c>
      <c r="MP134">
        <v>0</v>
      </c>
      <c r="MQ134">
        <v>0</v>
      </c>
      <c r="MR134">
        <v>0</v>
      </c>
      <c r="MS134">
        <v>0</v>
      </c>
      <c r="MT134">
        <v>0</v>
      </c>
      <c r="MU134">
        <v>0</v>
      </c>
      <c r="MV134">
        <v>0</v>
      </c>
      <c r="MW134">
        <v>0</v>
      </c>
      <c r="MX134">
        <v>0</v>
      </c>
      <c r="MY134">
        <v>0</v>
      </c>
      <c r="MZ134">
        <v>0</v>
      </c>
      <c r="NA134">
        <v>1</v>
      </c>
      <c r="NB134">
        <v>1</v>
      </c>
      <c r="NC134">
        <v>1</v>
      </c>
      <c r="ND134">
        <v>2</v>
      </c>
      <c r="NE134">
        <v>2</v>
      </c>
      <c r="NF134">
        <v>2</v>
      </c>
      <c r="NG134">
        <v>2</v>
      </c>
      <c r="NH134">
        <v>2</v>
      </c>
      <c r="NI134">
        <v>2</v>
      </c>
      <c r="NJ134">
        <v>2</v>
      </c>
      <c r="NK134">
        <v>2</v>
      </c>
      <c r="NL134">
        <v>2</v>
      </c>
      <c r="NM134">
        <v>2</v>
      </c>
      <c r="NN134">
        <v>2</v>
      </c>
      <c r="NO134">
        <v>2</v>
      </c>
      <c r="NP134">
        <v>2</v>
      </c>
      <c r="NQ134">
        <v>2</v>
      </c>
      <c r="NR134">
        <v>2</v>
      </c>
      <c r="NS134">
        <v>2</v>
      </c>
      <c r="NT134">
        <v>2</v>
      </c>
      <c r="NU134">
        <v>2</v>
      </c>
      <c r="NV134">
        <v>2</v>
      </c>
      <c r="NW134">
        <v>2</v>
      </c>
      <c r="NX134">
        <v>2</v>
      </c>
      <c r="NY134">
        <v>2</v>
      </c>
      <c r="NZ134">
        <v>2</v>
      </c>
      <c r="OA134">
        <v>2</v>
      </c>
      <c r="OB134">
        <v>2</v>
      </c>
      <c r="OC134">
        <v>2</v>
      </c>
      <c r="OD134">
        <v>2</v>
      </c>
      <c r="OE134">
        <v>2</v>
      </c>
      <c r="OF134">
        <v>2</v>
      </c>
      <c r="OG134">
        <v>2</v>
      </c>
      <c r="OH134">
        <v>2</v>
      </c>
      <c r="OI134">
        <v>2</v>
      </c>
      <c r="OJ134">
        <v>2</v>
      </c>
      <c r="OK134">
        <v>2</v>
      </c>
      <c r="OL134">
        <v>2</v>
      </c>
      <c r="OM134">
        <v>2</v>
      </c>
      <c r="ON134">
        <v>2</v>
      </c>
      <c r="OO134">
        <v>2</v>
      </c>
      <c r="OP134">
        <v>2</v>
      </c>
      <c r="OQ134">
        <v>2</v>
      </c>
      <c r="OR134">
        <v>2</v>
      </c>
      <c r="OS134">
        <v>2</v>
      </c>
      <c r="OT134">
        <v>2</v>
      </c>
      <c r="OU134">
        <v>2</v>
      </c>
      <c r="OV134">
        <v>2</v>
      </c>
      <c r="OW134">
        <v>2</v>
      </c>
      <c r="OX134">
        <v>2</v>
      </c>
      <c r="OY134">
        <v>2</v>
      </c>
      <c r="OZ134">
        <v>2</v>
      </c>
      <c r="PA134">
        <v>2</v>
      </c>
      <c r="PB134">
        <v>2</v>
      </c>
      <c r="PC134">
        <v>2</v>
      </c>
      <c r="PD134">
        <v>2</v>
      </c>
      <c r="PE134">
        <v>2</v>
      </c>
      <c r="PF134">
        <v>2</v>
      </c>
      <c r="PG134">
        <v>2</v>
      </c>
      <c r="PH134">
        <v>2</v>
      </c>
      <c r="PI134">
        <v>2</v>
      </c>
      <c r="PJ134">
        <v>2</v>
      </c>
      <c r="PK134">
        <v>2</v>
      </c>
      <c r="PL134">
        <v>2</v>
      </c>
      <c r="PM134">
        <v>2</v>
      </c>
      <c r="PN134">
        <v>2</v>
      </c>
      <c r="PO134">
        <v>2</v>
      </c>
      <c r="PP134">
        <v>2</v>
      </c>
      <c r="PQ134">
        <v>2</v>
      </c>
      <c r="PR134">
        <v>2</v>
      </c>
      <c r="PS134">
        <v>2</v>
      </c>
      <c r="PT134">
        <v>2</v>
      </c>
      <c r="PU134">
        <v>2</v>
      </c>
      <c r="PV134">
        <v>2</v>
      </c>
      <c r="PW134">
        <v>2</v>
      </c>
      <c r="PX134">
        <v>2</v>
      </c>
      <c r="PY134">
        <v>2</v>
      </c>
      <c r="PZ134">
        <v>2</v>
      </c>
      <c r="QA134">
        <v>2</v>
      </c>
      <c r="QB134">
        <v>2</v>
      </c>
      <c r="QC134">
        <v>2</v>
      </c>
      <c r="QD134">
        <v>2</v>
      </c>
      <c r="QE134">
        <v>2</v>
      </c>
      <c r="QF134">
        <v>2</v>
      </c>
      <c r="QG134">
        <v>2</v>
      </c>
      <c r="QH134">
        <v>2</v>
      </c>
      <c r="QI134">
        <v>2</v>
      </c>
      <c r="QJ134">
        <v>2</v>
      </c>
      <c r="QK134">
        <v>2</v>
      </c>
      <c r="QL134">
        <v>2</v>
      </c>
      <c r="QM134">
        <v>2</v>
      </c>
      <c r="QN134">
        <v>2</v>
      </c>
      <c r="QO134">
        <v>0</v>
      </c>
      <c r="QP134">
        <v>0</v>
      </c>
      <c r="QQ134">
        <v>0</v>
      </c>
      <c r="QR134">
        <v>0</v>
      </c>
      <c r="QS134">
        <v>0</v>
      </c>
      <c r="QT134">
        <v>0</v>
      </c>
      <c r="QU134">
        <v>0</v>
      </c>
      <c r="QV134">
        <v>0</v>
      </c>
      <c r="QW134">
        <v>0</v>
      </c>
      <c r="QX134">
        <v>0</v>
      </c>
      <c r="QY134">
        <v>0</v>
      </c>
      <c r="QZ134">
        <v>0</v>
      </c>
      <c r="RA134">
        <v>0</v>
      </c>
      <c r="RB134">
        <v>0</v>
      </c>
      <c r="RC134">
        <v>0</v>
      </c>
      <c r="RD134">
        <v>0</v>
      </c>
      <c r="RE134">
        <v>0</v>
      </c>
      <c r="RF134">
        <v>0</v>
      </c>
      <c r="RG134">
        <v>0</v>
      </c>
      <c r="RH134">
        <v>0</v>
      </c>
      <c r="RI134">
        <v>0</v>
      </c>
      <c r="RJ134">
        <v>0</v>
      </c>
      <c r="RK134">
        <v>0</v>
      </c>
      <c r="RL134">
        <v>0</v>
      </c>
      <c r="RM134">
        <v>0</v>
      </c>
      <c r="RN134">
        <v>0</v>
      </c>
      <c r="RO134">
        <v>0</v>
      </c>
      <c r="RP134">
        <v>0</v>
      </c>
      <c r="RQ134">
        <v>0</v>
      </c>
      <c r="RR134">
        <v>0</v>
      </c>
      <c r="RS134">
        <v>0</v>
      </c>
      <c r="RT134">
        <v>0</v>
      </c>
      <c r="RU134">
        <v>0</v>
      </c>
      <c r="RV134">
        <v>0</v>
      </c>
      <c r="RW134">
        <v>0</v>
      </c>
      <c r="RX134">
        <v>0</v>
      </c>
      <c r="RY134">
        <v>0</v>
      </c>
      <c r="RZ134">
        <v>0</v>
      </c>
      <c r="SA134">
        <v>0</v>
      </c>
      <c r="SB134">
        <v>0</v>
      </c>
      <c r="SC134">
        <v>0</v>
      </c>
      <c r="SD134">
        <v>0</v>
      </c>
      <c r="SE134">
        <v>0</v>
      </c>
      <c r="SF134">
        <v>0</v>
      </c>
      <c r="SG134">
        <v>0</v>
      </c>
      <c r="SH134">
        <v>0</v>
      </c>
      <c r="SI134">
        <v>0</v>
      </c>
      <c r="SJ134">
        <v>0</v>
      </c>
      <c r="SK134">
        <v>0</v>
      </c>
      <c r="SL134">
        <v>0</v>
      </c>
      <c r="SM134">
        <v>0</v>
      </c>
      <c r="SN134">
        <v>0</v>
      </c>
      <c r="SO134">
        <v>0</v>
      </c>
      <c r="SP134">
        <v>0</v>
      </c>
      <c r="SQ134">
        <v>0</v>
      </c>
      <c r="SR134">
        <v>0</v>
      </c>
      <c r="SS134">
        <v>0</v>
      </c>
      <c r="ST134">
        <v>0</v>
      </c>
      <c r="SU134">
        <v>0</v>
      </c>
      <c r="SV134">
        <v>0</v>
      </c>
      <c r="SW134">
        <v>0</v>
      </c>
      <c r="SX134">
        <v>0</v>
      </c>
      <c r="SY134">
        <v>0</v>
      </c>
      <c r="SZ134">
        <v>0</v>
      </c>
      <c r="TA134">
        <v>0</v>
      </c>
      <c r="TB134">
        <v>0</v>
      </c>
      <c r="TC134">
        <v>0</v>
      </c>
      <c r="TD134">
        <v>0</v>
      </c>
      <c r="TE134">
        <v>0</v>
      </c>
      <c r="TF134">
        <v>0</v>
      </c>
      <c r="TG134">
        <v>0</v>
      </c>
      <c r="TH134">
        <v>0</v>
      </c>
      <c r="TI134">
        <v>0</v>
      </c>
      <c r="TJ134">
        <v>0</v>
      </c>
      <c r="TK134">
        <v>0</v>
      </c>
      <c r="TL134">
        <v>0</v>
      </c>
      <c r="TM134">
        <v>0</v>
      </c>
      <c r="TN134">
        <v>0</v>
      </c>
      <c r="TO134">
        <v>0</v>
      </c>
      <c r="TP134">
        <v>0</v>
      </c>
      <c r="TQ134">
        <v>0</v>
      </c>
      <c r="TR134">
        <v>0</v>
      </c>
      <c r="TS134">
        <v>0</v>
      </c>
      <c r="TT134">
        <v>0</v>
      </c>
      <c r="TU134">
        <v>0</v>
      </c>
      <c r="TV134">
        <v>0</v>
      </c>
      <c r="TW134">
        <v>0</v>
      </c>
      <c r="TX134">
        <v>0</v>
      </c>
      <c r="TY134">
        <v>0</v>
      </c>
      <c r="TZ134">
        <v>0</v>
      </c>
      <c r="UA134">
        <v>0</v>
      </c>
      <c r="UB134">
        <v>0</v>
      </c>
      <c r="UC134">
        <v>0</v>
      </c>
      <c r="UD134">
        <v>0</v>
      </c>
      <c r="UE134">
        <v>0</v>
      </c>
      <c r="UF134">
        <v>1</v>
      </c>
      <c r="UG134">
        <v>1</v>
      </c>
      <c r="UH134">
        <v>1</v>
      </c>
      <c r="UI134">
        <v>1</v>
      </c>
      <c r="UJ134">
        <v>1</v>
      </c>
      <c r="UK134">
        <v>1</v>
      </c>
      <c r="UL134">
        <v>1</v>
      </c>
      <c r="UM134">
        <v>1</v>
      </c>
      <c r="UN134">
        <v>1</v>
      </c>
      <c r="UO134">
        <v>1</v>
      </c>
      <c r="UP134">
        <v>1</v>
      </c>
      <c r="UQ134">
        <v>1</v>
      </c>
      <c r="UR134">
        <v>1</v>
      </c>
      <c r="US134">
        <v>1</v>
      </c>
      <c r="UT134">
        <v>1</v>
      </c>
      <c r="UU134">
        <v>1</v>
      </c>
      <c r="UV134">
        <v>1</v>
      </c>
      <c r="UW134">
        <v>1</v>
      </c>
      <c r="UX134">
        <v>1</v>
      </c>
      <c r="UY134">
        <v>1</v>
      </c>
      <c r="UZ134">
        <v>1</v>
      </c>
      <c r="VA134">
        <v>1</v>
      </c>
      <c r="VB134">
        <v>1</v>
      </c>
      <c r="VC134">
        <v>1</v>
      </c>
      <c r="VD134">
        <v>1</v>
      </c>
      <c r="VE134">
        <v>1</v>
      </c>
      <c r="VF134">
        <v>1</v>
      </c>
      <c r="VG134">
        <v>1</v>
      </c>
      <c r="VH134">
        <v>1</v>
      </c>
      <c r="VI134">
        <v>1</v>
      </c>
      <c r="VJ134">
        <v>1</v>
      </c>
      <c r="VK134">
        <v>1</v>
      </c>
      <c r="VL134">
        <v>1</v>
      </c>
      <c r="VM134">
        <v>1</v>
      </c>
      <c r="VN134">
        <v>1</v>
      </c>
      <c r="VO134">
        <v>1</v>
      </c>
      <c r="VP134">
        <v>1</v>
      </c>
      <c r="VQ134">
        <v>1</v>
      </c>
      <c r="VR134">
        <v>1</v>
      </c>
      <c r="VS134">
        <v>1</v>
      </c>
      <c r="VT134">
        <v>1</v>
      </c>
      <c r="VU134">
        <v>1</v>
      </c>
      <c r="VV134">
        <v>1</v>
      </c>
      <c r="VW134">
        <v>1</v>
      </c>
      <c r="VX134">
        <v>1</v>
      </c>
      <c r="VY134">
        <v>1</v>
      </c>
      <c r="VZ134">
        <v>1</v>
      </c>
      <c r="WA134">
        <v>1</v>
      </c>
      <c r="WB134">
        <v>1</v>
      </c>
      <c r="WC134">
        <v>1</v>
      </c>
      <c r="WD134">
        <v>1</v>
      </c>
      <c r="WE134">
        <v>2</v>
      </c>
      <c r="WF134">
        <v>2</v>
      </c>
      <c r="WG134">
        <v>2</v>
      </c>
      <c r="WH134">
        <v>2</v>
      </c>
      <c r="WI134">
        <v>2</v>
      </c>
      <c r="WJ134">
        <v>2</v>
      </c>
      <c r="WK134">
        <v>2</v>
      </c>
      <c r="WL134">
        <v>2</v>
      </c>
      <c r="WM134">
        <v>2</v>
      </c>
      <c r="WN134">
        <v>2</v>
      </c>
      <c r="WO134">
        <v>2</v>
      </c>
      <c r="WP134">
        <v>2</v>
      </c>
      <c r="WQ134">
        <v>2</v>
      </c>
      <c r="WR134">
        <v>2</v>
      </c>
      <c r="WS134">
        <v>2</v>
      </c>
      <c r="WT134">
        <v>2</v>
      </c>
      <c r="WU134">
        <v>2</v>
      </c>
      <c r="WV134">
        <v>2</v>
      </c>
      <c r="WW134">
        <v>2</v>
      </c>
      <c r="WX134">
        <v>2</v>
      </c>
      <c r="WY134">
        <v>2</v>
      </c>
      <c r="WZ134">
        <v>2</v>
      </c>
      <c r="XA134">
        <v>2</v>
      </c>
      <c r="XB134">
        <v>2</v>
      </c>
      <c r="XC134">
        <v>2</v>
      </c>
      <c r="XD134">
        <v>2</v>
      </c>
      <c r="XE134">
        <v>2</v>
      </c>
      <c r="XF134">
        <v>2</v>
      </c>
      <c r="XG134">
        <v>2</v>
      </c>
      <c r="XH134">
        <v>2</v>
      </c>
      <c r="XI134">
        <v>2</v>
      </c>
      <c r="XJ134">
        <v>2</v>
      </c>
      <c r="XK134">
        <v>2</v>
      </c>
      <c r="XL134">
        <v>2</v>
      </c>
      <c r="XM134">
        <v>2</v>
      </c>
      <c r="XN134">
        <v>2</v>
      </c>
      <c r="XO134">
        <v>2</v>
      </c>
      <c r="XP134">
        <v>2</v>
      </c>
      <c r="XQ134">
        <v>2</v>
      </c>
      <c r="XR134">
        <v>2</v>
      </c>
      <c r="XS134">
        <v>2</v>
      </c>
      <c r="XT134">
        <v>2</v>
      </c>
      <c r="XU134">
        <v>2</v>
      </c>
      <c r="XV134">
        <v>2</v>
      </c>
      <c r="XW134">
        <v>2</v>
      </c>
      <c r="XX134">
        <v>0</v>
      </c>
      <c r="XY134">
        <v>0</v>
      </c>
      <c r="XZ134">
        <v>0</v>
      </c>
      <c r="YA134">
        <v>0</v>
      </c>
      <c r="YB134">
        <v>0</v>
      </c>
      <c r="YC134">
        <v>0</v>
      </c>
      <c r="YD134">
        <v>0</v>
      </c>
      <c r="YE134">
        <v>0</v>
      </c>
      <c r="YF134">
        <v>0</v>
      </c>
      <c r="YG134">
        <v>0</v>
      </c>
      <c r="YH134">
        <v>0</v>
      </c>
      <c r="YI134">
        <v>0</v>
      </c>
      <c r="YJ134">
        <v>0</v>
      </c>
      <c r="YK134">
        <v>0</v>
      </c>
      <c r="YL134">
        <v>0</v>
      </c>
      <c r="YM134">
        <v>0</v>
      </c>
      <c r="YN134">
        <v>0</v>
      </c>
      <c r="YO134">
        <v>0</v>
      </c>
      <c r="YP134">
        <v>0</v>
      </c>
      <c r="YQ134">
        <v>0</v>
      </c>
      <c r="YR134">
        <v>0</v>
      </c>
      <c r="YS134">
        <v>0</v>
      </c>
      <c r="YT134">
        <v>0</v>
      </c>
      <c r="YU134">
        <v>0</v>
      </c>
      <c r="YV134">
        <v>0</v>
      </c>
      <c r="YW134">
        <v>0</v>
      </c>
      <c r="YX134">
        <v>0</v>
      </c>
      <c r="YY134">
        <v>0</v>
      </c>
      <c r="YZ134">
        <v>0</v>
      </c>
      <c r="ZA134">
        <v>0</v>
      </c>
      <c r="ZB134">
        <v>0</v>
      </c>
      <c r="ZC134">
        <v>0</v>
      </c>
      <c r="ZD134">
        <v>0</v>
      </c>
      <c r="ZE134">
        <v>0</v>
      </c>
      <c r="ZF134">
        <v>0</v>
      </c>
      <c r="ZG134">
        <v>0</v>
      </c>
      <c r="ZH134">
        <v>0</v>
      </c>
      <c r="ZI134">
        <v>0</v>
      </c>
      <c r="ZJ134">
        <v>0</v>
      </c>
      <c r="ZK134">
        <v>0</v>
      </c>
      <c r="ZL134">
        <v>0</v>
      </c>
      <c r="ZM134">
        <v>0</v>
      </c>
      <c r="ZN134">
        <v>0</v>
      </c>
      <c r="ZO134">
        <v>0</v>
      </c>
      <c r="ZP134">
        <v>0</v>
      </c>
      <c r="ZQ134">
        <v>0</v>
      </c>
      <c r="ZR134">
        <v>0</v>
      </c>
      <c r="ZS134">
        <v>0</v>
      </c>
      <c r="ZT134">
        <v>0</v>
      </c>
      <c r="ZU134">
        <v>0</v>
      </c>
      <c r="ZV134">
        <v>0</v>
      </c>
      <c r="ZW134">
        <v>0</v>
      </c>
      <c r="ZX134">
        <v>0</v>
      </c>
      <c r="ZY134">
        <v>0</v>
      </c>
      <c r="ZZ134">
        <v>0</v>
      </c>
      <c r="AAA134">
        <v>0</v>
      </c>
      <c r="AAB134">
        <v>0</v>
      </c>
      <c r="AAC134">
        <v>0</v>
      </c>
      <c r="AAD134">
        <v>0</v>
      </c>
      <c r="AAE134">
        <v>0</v>
      </c>
      <c r="AAF134">
        <v>0</v>
      </c>
      <c r="AAG134">
        <v>0</v>
      </c>
      <c r="AAH134">
        <v>0</v>
      </c>
      <c r="AAI134">
        <v>0</v>
      </c>
      <c r="AAJ134">
        <v>0</v>
      </c>
      <c r="AAK134">
        <v>0</v>
      </c>
      <c r="AAL134">
        <v>0</v>
      </c>
      <c r="AAM134">
        <v>0</v>
      </c>
      <c r="AAN134">
        <v>0</v>
      </c>
      <c r="AAO134">
        <v>0</v>
      </c>
      <c r="AAP134">
        <v>0</v>
      </c>
      <c r="AAQ134">
        <v>0</v>
      </c>
      <c r="AAR134">
        <v>0</v>
      </c>
      <c r="AAS134">
        <v>0</v>
      </c>
      <c r="AAT134">
        <v>0</v>
      </c>
      <c r="AAU134">
        <v>0</v>
      </c>
      <c r="AAV134">
        <v>0</v>
      </c>
      <c r="AAW134">
        <v>0</v>
      </c>
      <c r="AAX134">
        <v>0</v>
      </c>
      <c r="AAY134">
        <v>0</v>
      </c>
      <c r="AAZ134">
        <v>0</v>
      </c>
      <c r="ABA134">
        <v>0</v>
      </c>
      <c r="ABB134">
        <v>0</v>
      </c>
      <c r="ABC134">
        <v>0</v>
      </c>
      <c r="ABD134">
        <v>0</v>
      </c>
      <c r="ABE134">
        <v>0</v>
      </c>
      <c r="ABG134" s="1137">
        <f t="shared" si="37"/>
        <v>0</v>
      </c>
      <c r="ABH134" s="1137">
        <f t="shared" si="37"/>
        <v>0</v>
      </c>
      <c r="ABI134" s="1137">
        <f t="shared" si="37"/>
        <v>9</v>
      </c>
      <c r="ABJ134" s="1137">
        <f t="shared" si="37"/>
        <v>30</v>
      </c>
      <c r="ABK134" s="1137">
        <f t="shared" si="37"/>
        <v>31</v>
      </c>
      <c r="ABL134" s="1137">
        <f t="shared" si="37"/>
        <v>30</v>
      </c>
      <c r="ABM134" s="1137">
        <f t="shared" si="37"/>
        <v>31</v>
      </c>
      <c r="ABN134" s="1137">
        <f t="shared" si="37"/>
        <v>31</v>
      </c>
      <c r="ABO134" s="1137">
        <f t="shared" si="37"/>
        <v>30</v>
      </c>
      <c r="ABP134" s="1137">
        <f t="shared" si="37"/>
        <v>11</v>
      </c>
      <c r="ABQ134" s="1137">
        <f t="shared" si="37"/>
        <v>0</v>
      </c>
      <c r="ABR134" s="1137">
        <f t="shared" si="37"/>
        <v>18</v>
      </c>
      <c r="ABS134" s="1137">
        <f t="shared" si="37"/>
        <v>31</v>
      </c>
      <c r="ABT134" s="1137">
        <f t="shared" si="37"/>
        <v>28</v>
      </c>
      <c r="ABU134" s="1137">
        <f t="shared" si="37"/>
        <v>29</v>
      </c>
      <c r="ABV134" s="1137">
        <f t="shared" si="37"/>
        <v>0</v>
      </c>
      <c r="ABW134" s="1137">
        <f t="shared" si="31"/>
        <v>0</v>
      </c>
      <c r="ABX134" s="1137">
        <f t="shared" si="34"/>
        <v>0</v>
      </c>
      <c r="ABY134" s="1137">
        <f t="shared" si="34"/>
        <v>29</v>
      </c>
      <c r="ABZ134" s="1137">
        <f t="shared" si="34"/>
        <v>31</v>
      </c>
      <c r="ACA134" s="1137">
        <f t="shared" si="34"/>
        <v>30</v>
      </c>
      <c r="ACB134" s="1137">
        <f t="shared" si="34"/>
        <v>6</v>
      </c>
      <c r="ACC134" s="1137">
        <f t="shared" si="34"/>
        <v>0</v>
      </c>
      <c r="ACD134" s="1137">
        <f t="shared" si="34"/>
        <v>0</v>
      </c>
      <c r="ACE134" s="1137" t="s">
        <v>233</v>
      </c>
      <c r="ACF134" s="1137">
        <f t="shared" si="33"/>
        <v>0</v>
      </c>
      <c r="ACG134" s="1137">
        <f t="shared" si="33"/>
        <v>0</v>
      </c>
      <c r="ACH134" s="1137">
        <f t="shared" si="33"/>
        <v>0</v>
      </c>
      <c r="ACI134" s="1137">
        <f t="shared" si="33"/>
        <v>1</v>
      </c>
      <c r="ACJ134" s="1137">
        <f t="shared" si="33"/>
        <v>1</v>
      </c>
      <c r="ACK134" s="1137">
        <f t="shared" si="33"/>
        <v>1</v>
      </c>
      <c r="ACL134" s="1137">
        <f t="shared" si="33"/>
        <v>1</v>
      </c>
      <c r="ACM134" s="1137">
        <f t="shared" si="33"/>
        <v>1</v>
      </c>
      <c r="ACN134" s="1137">
        <f t="shared" si="33"/>
        <v>1</v>
      </c>
      <c r="ACO134" s="1137">
        <f t="shared" si="33"/>
        <v>1</v>
      </c>
      <c r="ACP134" s="1137">
        <f t="shared" si="33"/>
        <v>0</v>
      </c>
      <c r="ACQ134" s="1137">
        <f t="shared" si="32"/>
        <v>1</v>
      </c>
      <c r="ACR134" s="1137">
        <f t="shared" si="32"/>
        <v>1</v>
      </c>
      <c r="ACS134" s="1137">
        <f t="shared" si="32"/>
        <v>1</v>
      </c>
      <c r="ACT134" s="1137">
        <f t="shared" si="32"/>
        <v>1</v>
      </c>
      <c r="ACU134" s="1137">
        <f t="shared" si="32"/>
        <v>0</v>
      </c>
      <c r="ACV134" s="1137">
        <f t="shared" si="32"/>
        <v>0</v>
      </c>
      <c r="ACW134" s="1137">
        <f t="shared" si="32"/>
        <v>0</v>
      </c>
      <c r="ACX134" s="1137">
        <f t="shared" si="32"/>
        <v>1</v>
      </c>
      <c r="ACY134" s="1137">
        <f t="shared" si="32"/>
        <v>1</v>
      </c>
      <c r="ACZ134" s="1137">
        <f t="shared" si="32"/>
        <v>1</v>
      </c>
      <c r="ADA134" s="1137">
        <f t="shared" si="35"/>
        <v>0</v>
      </c>
      <c r="ADB134" s="1137">
        <f t="shared" si="35"/>
        <v>0</v>
      </c>
      <c r="ADC134" s="1137">
        <f t="shared" si="35"/>
        <v>0</v>
      </c>
    </row>
    <row r="135" spans="1:783" x14ac:dyDescent="0.25">
      <c r="A135" t="s">
        <v>1934</v>
      </c>
      <c r="B135" t="s">
        <v>235</v>
      </c>
      <c r="C135">
        <v>0</v>
      </c>
      <c r="D135">
        <v>0</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c r="BF135">
        <v>0</v>
      </c>
      <c r="BG135">
        <v>0</v>
      </c>
      <c r="BH135">
        <v>0</v>
      </c>
      <c r="BI135">
        <v>0</v>
      </c>
      <c r="BJ135">
        <v>0</v>
      </c>
      <c r="BK135">
        <v>0</v>
      </c>
      <c r="BL135">
        <v>0</v>
      </c>
      <c r="BM135">
        <v>0</v>
      </c>
      <c r="BN135">
        <v>0</v>
      </c>
      <c r="BO135">
        <v>0</v>
      </c>
      <c r="BP135">
        <v>0</v>
      </c>
      <c r="BQ135">
        <v>0</v>
      </c>
      <c r="BR135">
        <v>0</v>
      </c>
      <c r="BS135">
        <v>0</v>
      </c>
      <c r="BT135">
        <v>0</v>
      </c>
      <c r="BU135">
        <v>0</v>
      </c>
      <c r="BV135">
        <v>0</v>
      </c>
      <c r="BW135">
        <v>0</v>
      </c>
      <c r="BX135">
        <v>1</v>
      </c>
      <c r="BY135">
        <v>2</v>
      </c>
      <c r="BZ135">
        <v>2</v>
      </c>
      <c r="CA135">
        <v>2</v>
      </c>
      <c r="CB135">
        <v>2</v>
      </c>
      <c r="CC135">
        <v>2</v>
      </c>
      <c r="CD135">
        <v>2</v>
      </c>
      <c r="CE135">
        <v>2</v>
      </c>
      <c r="CF135">
        <v>2</v>
      </c>
      <c r="CG135">
        <v>2</v>
      </c>
      <c r="CH135">
        <v>2</v>
      </c>
      <c r="CI135">
        <v>2</v>
      </c>
      <c r="CJ135">
        <v>2</v>
      </c>
      <c r="CK135">
        <v>2</v>
      </c>
      <c r="CL135">
        <v>2</v>
      </c>
      <c r="CM135">
        <v>2</v>
      </c>
      <c r="CN135">
        <v>2</v>
      </c>
      <c r="CO135">
        <v>2</v>
      </c>
      <c r="CP135">
        <v>2</v>
      </c>
      <c r="CQ135">
        <v>2</v>
      </c>
      <c r="CR135">
        <v>2</v>
      </c>
      <c r="CS135">
        <v>2</v>
      </c>
      <c r="CT135">
        <v>2</v>
      </c>
      <c r="CU135">
        <v>2</v>
      </c>
      <c r="CV135">
        <v>2</v>
      </c>
      <c r="CW135">
        <v>2</v>
      </c>
      <c r="CX135">
        <v>2</v>
      </c>
      <c r="CY135">
        <v>2</v>
      </c>
      <c r="CZ135">
        <v>2</v>
      </c>
      <c r="DA135">
        <v>2</v>
      </c>
      <c r="DB135">
        <v>2</v>
      </c>
      <c r="DC135">
        <v>2</v>
      </c>
      <c r="DD135">
        <v>2</v>
      </c>
      <c r="DE135">
        <v>2</v>
      </c>
      <c r="DF135">
        <v>2</v>
      </c>
      <c r="DG135">
        <v>2</v>
      </c>
      <c r="DH135">
        <v>2</v>
      </c>
      <c r="DI135">
        <v>2</v>
      </c>
      <c r="DJ135">
        <v>2</v>
      </c>
      <c r="DK135">
        <v>2</v>
      </c>
      <c r="DL135">
        <v>2</v>
      </c>
      <c r="DM135">
        <v>2</v>
      </c>
      <c r="DN135">
        <v>2</v>
      </c>
      <c r="DO135">
        <v>2</v>
      </c>
      <c r="DP135">
        <v>2</v>
      </c>
      <c r="DQ135">
        <v>2</v>
      </c>
      <c r="DR135">
        <v>2</v>
      </c>
      <c r="DS135">
        <v>2</v>
      </c>
      <c r="DT135">
        <v>2</v>
      </c>
      <c r="DU135">
        <v>2</v>
      </c>
      <c r="DV135">
        <v>2</v>
      </c>
      <c r="DW135">
        <v>2</v>
      </c>
      <c r="DX135">
        <v>2</v>
      </c>
      <c r="DY135">
        <v>2</v>
      </c>
      <c r="DZ135">
        <v>2</v>
      </c>
      <c r="EA135">
        <v>2</v>
      </c>
      <c r="EB135">
        <v>2</v>
      </c>
      <c r="EC135">
        <v>2</v>
      </c>
      <c r="ED135">
        <v>2</v>
      </c>
      <c r="EE135">
        <v>2</v>
      </c>
      <c r="EF135">
        <v>2</v>
      </c>
      <c r="EG135">
        <v>2</v>
      </c>
      <c r="EH135">
        <v>2</v>
      </c>
      <c r="EI135">
        <v>2</v>
      </c>
      <c r="EJ135">
        <v>2</v>
      </c>
      <c r="EK135">
        <v>2</v>
      </c>
      <c r="EL135">
        <v>2</v>
      </c>
      <c r="EM135">
        <v>2</v>
      </c>
      <c r="EN135">
        <v>2</v>
      </c>
      <c r="EO135">
        <v>2</v>
      </c>
      <c r="EP135">
        <v>2</v>
      </c>
      <c r="EQ135">
        <v>2</v>
      </c>
      <c r="ER135">
        <v>2</v>
      </c>
      <c r="ES135">
        <v>2</v>
      </c>
      <c r="ET135">
        <v>2</v>
      </c>
      <c r="EU135">
        <v>2</v>
      </c>
      <c r="EV135">
        <v>2</v>
      </c>
      <c r="EW135">
        <v>2</v>
      </c>
      <c r="EX135">
        <v>2</v>
      </c>
      <c r="EY135">
        <v>2</v>
      </c>
      <c r="EZ135">
        <v>2</v>
      </c>
      <c r="FA135">
        <v>2</v>
      </c>
      <c r="FB135">
        <v>2</v>
      </c>
      <c r="FC135">
        <v>2</v>
      </c>
      <c r="FD135">
        <v>2</v>
      </c>
      <c r="FE135">
        <v>2</v>
      </c>
      <c r="FF135">
        <v>2</v>
      </c>
      <c r="FG135">
        <v>2</v>
      </c>
      <c r="FH135">
        <v>2</v>
      </c>
      <c r="FI135">
        <v>2</v>
      </c>
      <c r="FJ135">
        <v>2</v>
      </c>
      <c r="FK135">
        <v>2</v>
      </c>
      <c r="FL135">
        <v>2</v>
      </c>
      <c r="FM135">
        <v>2</v>
      </c>
      <c r="FN135">
        <v>2</v>
      </c>
      <c r="FO135">
        <v>2</v>
      </c>
      <c r="FP135">
        <v>2</v>
      </c>
      <c r="FQ135">
        <v>2</v>
      </c>
      <c r="FR135">
        <v>2</v>
      </c>
      <c r="FS135">
        <v>2</v>
      </c>
      <c r="FT135">
        <v>2</v>
      </c>
      <c r="FU135">
        <v>2</v>
      </c>
      <c r="FV135">
        <v>2</v>
      </c>
      <c r="FW135">
        <v>2</v>
      </c>
      <c r="FX135">
        <v>2</v>
      </c>
      <c r="FY135">
        <v>2</v>
      </c>
      <c r="FZ135">
        <v>2</v>
      </c>
      <c r="GA135">
        <v>2</v>
      </c>
      <c r="GB135">
        <v>2</v>
      </c>
      <c r="GC135">
        <v>2</v>
      </c>
      <c r="GD135">
        <v>2</v>
      </c>
      <c r="GE135">
        <v>2</v>
      </c>
      <c r="GF135">
        <v>2</v>
      </c>
      <c r="GG135">
        <v>2</v>
      </c>
      <c r="GH135">
        <v>2</v>
      </c>
      <c r="GI135">
        <v>2</v>
      </c>
      <c r="GJ135">
        <v>2</v>
      </c>
      <c r="GK135">
        <v>2</v>
      </c>
      <c r="GL135">
        <v>2</v>
      </c>
      <c r="GM135">
        <v>2</v>
      </c>
      <c r="GN135">
        <v>2</v>
      </c>
      <c r="GO135">
        <v>2</v>
      </c>
      <c r="GP135">
        <v>2</v>
      </c>
      <c r="GQ135">
        <v>2</v>
      </c>
      <c r="GR135">
        <v>2</v>
      </c>
      <c r="GS135">
        <v>2</v>
      </c>
      <c r="GT135">
        <v>2</v>
      </c>
      <c r="GU135">
        <v>2</v>
      </c>
      <c r="GV135">
        <v>2</v>
      </c>
      <c r="GW135">
        <v>2</v>
      </c>
      <c r="GX135">
        <v>2</v>
      </c>
      <c r="GY135">
        <v>2</v>
      </c>
      <c r="GZ135">
        <v>2</v>
      </c>
      <c r="HA135">
        <v>2</v>
      </c>
      <c r="HB135">
        <v>2</v>
      </c>
      <c r="HC135">
        <v>2</v>
      </c>
      <c r="HD135">
        <v>2</v>
      </c>
      <c r="HE135">
        <v>2</v>
      </c>
      <c r="HF135">
        <v>2</v>
      </c>
      <c r="HG135">
        <v>2</v>
      </c>
      <c r="HH135">
        <v>2</v>
      </c>
      <c r="HI135">
        <v>2</v>
      </c>
      <c r="HJ135">
        <v>2</v>
      </c>
      <c r="HK135">
        <v>2</v>
      </c>
      <c r="HL135">
        <v>2</v>
      </c>
      <c r="HM135">
        <v>2</v>
      </c>
      <c r="HN135">
        <v>2</v>
      </c>
      <c r="HO135">
        <v>2</v>
      </c>
      <c r="HP135">
        <v>2</v>
      </c>
      <c r="HQ135">
        <v>2</v>
      </c>
      <c r="HR135">
        <v>2</v>
      </c>
      <c r="HS135">
        <v>2</v>
      </c>
      <c r="HT135">
        <v>2</v>
      </c>
      <c r="HU135">
        <v>2</v>
      </c>
      <c r="HV135">
        <v>2</v>
      </c>
      <c r="HW135">
        <v>2</v>
      </c>
      <c r="HX135">
        <v>2</v>
      </c>
      <c r="HY135">
        <v>2</v>
      </c>
      <c r="HZ135">
        <v>2</v>
      </c>
      <c r="IA135">
        <v>2</v>
      </c>
      <c r="IB135">
        <v>2</v>
      </c>
      <c r="IC135">
        <v>2</v>
      </c>
      <c r="ID135">
        <v>2</v>
      </c>
      <c r="IE135">
        <v>2</v>
      </c>
      <c r="IF135">
        <v>2</v>
      </c>
      <c r="IG135">
        <v>2</v>
      </c>
      <c r="IH135">
        <v>2</v>
      </c>
      <c r="II135">
        <v>2</v>
      </c>
      <c r="IJ135">
        <v>2</v>
      </c>
      <c r="IK135">
        <v>2</v>
      </c>
      <c r="IL135">
        <v>2</v>
      </c>
      <c r="IM135">
        <v>2</v>
      </c>
      <c r="IN135">
        <v>2</v>
      </c>
      <c r="IO135">
        <v>2</v>
      </c>
      <c r="IP135">
        <v>2</v>
      </c>
      <c r="IQ135">
        <v>2</v>
      </c>
      <c r="IR135">
        <v>2</v>
      </c>
      <c r="IS135">
        <v>2</v>
      </c>
      <c r="IT135">
        <v>2</v>
      </c>
      <c r="IU135">
        <v>2</v>
      </c>
      <c r="IV135">
        <v>2</v>
      </c>
      <c r="IW135">
        <v>2</v>
      </c>
      <c r="IX135">
        <v>2</v>
      </c>
      <c r="IY135">
        <v>2</v>
      </c>
      <c r="IZ135">
        <v>2</v>
      </c>
      <c r="JA135">
        <v>2</v>
      </c>
      <c r="JB135">
        <v>2</v>
      </c>
      <c r="JC135">
        <v>2</v>
      </c>
      <c r="JD135">
        <v>2</v>
      </c>
      <c r="JE135">
        <v>2</v>
      </c>
      <c r="JF135">
        <v>2</v>
      </c>
      <c r="JG135">
        <v>2</v>
      </c>
      <c r="JH135">
        <v>2</v>
      </c>
      <c r="JI135">
        <v>2</v>
      </c>
      <c r="JJ135">
        <v>2</v>
      </c>
      <c r="JK135">
        <v>2</v>
      </c>
      <c r="JL135">
        <v>2</v>
      </c>
      <c r="JM135">
        <v>2</v>
      </c>
      <c r="JN135">
        <v>2</v>
      </c>
      <c r="JO135">
        <v>2</v>
      </c>
      <c r="JP135">
        <v>2</v>
      </c>
      <c r="JQ135">
        <v>2</v>
      </c>
      <c r="JR135">
        <v>2</v>
      </c>
      <c r="JS135">
        <v>2</v>
      </c>
      <c r="JT135">
        <v>2</v>
      </c>
      <c r="JU135">
        <v>2</v>
      </c>
      <c r="JV135">
        <v>2</v>
      </c>
      <c r="JW135">
        <v>2</v>
      </c>
      <c r="JX135">
        <v>2</v>
      </c>
      <c r="JY135">
        <v>2</v>
      </c>
      <c r="JZ135">
        <v>2</v>
      </c>
      <c r="KA135">
        <v>2</v>
      </c>
      <c r="KB135">
        <v>2</v>
      </c>
      <c r="KC135">
        <v>2</v>
      </c>
      <c r="KD135">
        <v>2</v>
      </c>
      <c r="KE135">
        <v>2</v>
      </c>
      <c r="KF135">
        <v>2</v>
      </c>
      <c r="KG135">
        <v>2</v>
      </c>
      <c r="KH135">
        <v>2</v>
      </c>
      <c r="KI135">
        <v>2</v>
      </c>
      <c r="KJ135">
        <v>2</v>
      </c>
      <c r="KK135">
        <v>2</v>
      </c>
      <c r="KL135">
        <v>1</v>
      </c>
      <c r="KM135">
        <v>1</v>
      </c>
      <c r="KN135">
        <v>1</v>
      </c>
      <c r="KO135">
        <v>1</v>
      </c>
      <c r="KP135">
        <v>1</v>
      </c>
      <c r="KQ135">
        <v>1</v>
      </c>
      <c r="KR135">
        <v>1</v>
      </c>
      <c r="KS135">
        <v>1</v>
      </c>
      <c r="KT135">
        <v>1</v>
      </c>
      <c r="KU135">
        <v>1</v>
      </c>
      <c r="KV135">
        <v>1</v>
      </c>
      <c r="KW135">
        <v>1</v>
      </c>
      <c r="KX135">
        <v>1</v>
      </c>
      <c r="KY135">
        <v>1</v>
      </c>
      <c r="KZ135">
        <v>1</v>
      </c>
      <c r="LA135">
        <v>1</v>
      </c>
      <c r="LB135">
        <v>1</v>
      </c>
      <c r="LC135">
        <v>1</v>
      </c>
      <c r="LD135">
        <v>1</v>
      </c>
      <c r="LE135">
        <v>1</v>
      </c>
      <c r="LF135">
        <v>1</v>
      </c>
      <c r="LG135">
        <v>1</v>
      </c>
      <c r="LH135">
        <v>1</v>
      </c>
      <c r="LI135">
        <v>1</v>
      </c>
      <c r="LJ135">
        <v>1</v>
      </c>
      <c r="LK135">
        <v>1</v>
      </c>
      <c r="LL135">
        <v>2</v>
      </c>
      <c r="LM135">
        <v>2</v>
      </c>
      <c r="LN135">
        <v>2</v>
      </c>
      <c r="LO135">
        <v>2</v>
      </c>
      <c r="LP135">
        <v>2</v>
      </c>
      <c r="LQ135">
        <v>2</v>
      </c>
      <c r="LR135">
        <v>2</v>
      </c>
      <c r="LS135">
        <v>2</v>
      </c>
      <c r="LT135">
        <v>2</v>
      </c>
      <c r="LU135">
        <v>2</v>
      </c>
      <c r="LV135">
        <v>2</v>
      </c>
      <c r="LW135">
        <v>2</v>
      </c>
      <c r="LX135">
        <v>2</v>
      </c>
      <c r="LY135">
        <v>2</v>
      </c>
      <c r="LZ135">
        <v>2</v>
      </c>
      <c r="MA135">
        <v>2</v>
      </c>
      <c r="MB135">
        <v>2</v>
      </c>
      <c r="MC135">
        <v>2</v>
      </c>
      <c r="MD135">
        <v>2</v>
      </c>
      <c r="ME135">
        <v>2</v>
      </c>
      <c r="MF135">
        <v>2</v>
      </c>
      <c r="MG135">
        <v>2</v>
      </c>
      <c r="MH135">
        <v>2</v>
      </c>
      <c r="MI135">
        <v>2</v>
      </c>
      <c r="MJ135">
        <v>2</v>
      </c>
      <c r="MK135">
        <v>2</v>
      </c>
      <c r="ML135">
        <v>2</v>
      </c>
      <c r="MM135">
        <v>2</v>
      </c>
      <c r="MN135">
        <v>2</v>
      </c>
      <c r="MO135">
        <v>2</v>
      </c>
      <c r="MP135">
        <v>2</v>
      </c>
      <c r="MQ135">
        <v>2</v>
      </c>
      <c r="MR135">
        <v>2</v>
      </c>
      <c r="MS135">
        <v>2</v>
      </c>
      <c r="MT135">
        <v>0</v>
      </c>
      <c r="MU135">
        <v>0</v>
      </c>
      <c r="MV135">
        <v>0</v>
      </c>
      <c r="MW135">
        <v>0</v>
      </c>
      <c r="MX135">
        <v>0</v>
      </c>
      <c r="MY135">
        <v>0</v>
      </c>
      <c r="MZ135">
        <v>0</v>
      </c>
      <c r="NA135">
        <v>0</v>
      </c>
      <c r="NB135">
        <v>0</v>
      </c>
      <c r="NC135">
        <v>0</v>
      </c>
      <c r="ND135">
        <v>0</v>
      </c>
      <c r="NE135">
        <v>0</v>
      </c>
      <c r="NF135">
        <v>0</v>
      </c>
      <c r="NG135">
        <v>0</v>
      </c>
      <c r="NH135">
        <v>0</v>
      </c>
      <c r="NI135">
        <v>0</v>
      </c>
      <c r="NJ135">
        <v>0</v>
      </c>
      <c r="NK135">
        <v>0</v>
      </c>
      <c r="NL135">
        <v>0</v>
      </c>
      <c r="NM135">
        <v>0</v>
      </c>
      <c r="NN135">
        <v>0</v>
      </c>
      <c r="NO135">
        <v>0</v>
      </c>
      <c r="NP135">
        <v>0</v>
      </c>
      <c r="NQ135">
        <v>0</v>
      </c>
      <c r="NR135">
        <v>0</v>
      </c>
      <c r="NS135">
        <v>0</v>
      </c>
      <c r="NT135">
        <v>0</v>
      </c>
      <c r="NU135">
        <v>0</v>
      </c>
      <c r="NV135">
        <v>0</v>
      </c>
      <c r="NW135">
        <v>0</v>
      </c>
      <c r="NX135">
        <v>0</v>
      </c>
      <c r="NY135">
        <v>0</v>
      </c>
      <c r="NZ135">
        <v>0</v>
      </c>
      <c r="OA135">
        <v>0</v>
      </c>
      <c r="OB135">
        <v>0</v>
      </c>
      <c r="OC135">
        <v>0</v>
      </c>
      <c r="OD135">
        <v>0</v>
      </c>
      <c r="OE135">
        <v>2</v>
      </c>
      <c r="OF135">
        <v>2</v>
      </c>
      <c r="OG135">
        <v>2</v>
      </c>
      <c r="OH135">
        <v>2</v>
      </c>
      <c r="OI135">
        <v>2</v>
      </c>
      <c r="OJ135">
        <v>2</v>
      </c>
      <c r="OK135">
        <v>2</v>
      </c>
      <c r="OL135">
        <v>2</v>
      </c>
      <c r="OM135">
        <v>2</v>
      </c>
      <c r="ON135">
        <v>2</v>
      </c>
      <c r="OO135">
        <v>2</v>
      </c>
      <c r="OP135">
        <v>2</v>
      </c>
      <c r="OQ135">
        <v>2</v>
      </c>
      <c r="OR135">
        <v>2</v>
      </c>
      <c r="OS135">
        <v>2</v>
      </c>
      <c r="OT135">
        <v>2</v>
      </c>
      <c r="OU135">
        <v>2</v>
      </c>
      <c r="OV135">
        <v>2</v>
      </c>
      <c r="OW135">
        <v>2</v>
      </c>
      <c r="OX135">
        <v>2</v>
      </c>
      <c r="OY135">
        <v>2</v>
      </c>
      <c r="OZ135">
        <v>2</v>
      </c>
      <c r="PA135">
        <v>2</v>
      </c>
      <c r="PB135">
        <v>2</v>
      </c>
      <c r="PC135">
        <v>2</v>
      </c>
      <c r="PD135">
        <v>2</v>
      </c>
      <c r="PE135">
        <v>2</v>
      </c>
      <c r="PF135">
        <v>2</v>
      </c>
      <c r="PG135">
        <v>2</v>
      </c>
      <c r="PH135">
        <v>2</v>
      </c>
      <c r="PI135">
        <v>2</v>
      </c>
      <c r="PJ135">
        <v>2</v>
      </c>
      <c r="PK135">
        <v>2</v>
      </c>
      <c r="PL135">
        <v>2</v>
      </c>
      <c r="PM135">
        <v>2</v>
      </c>
      <c r="PN135">
        <v>2</v>
      </c>
      <c r="PO135">
        <v>2</v>
      </c>
      <c r="PP135">
        <v>2</v>
      </c>
      <c r="PQ135">
        <v>2</v>
      </c>
      <c r="PR135">
        <v>2</v>
      </c>
      <c r="PS135">
        <v>2</v>
      </c>
      <c r="PT135">
        <v>2</v>
      </c>
      <c r="PU135">
        <v>2</v>
      </c>
      <c r="PV135">
        <v>2</v>
      </c>
      <c r="PW135">
        <v>2</v>
      </c>
      <c r="PX135">
        <v>2</v>
      </c>
      <c r="PY135">
        <v>2</v>
      </c>
      <c r="PZ135">
        <v>2</v>
      </c>
      <c r="QA135">
        <v>2</v>
      </c>
      <c r="QB135">
        <v>2</v>
      </c>
      <c r="QC135">
        <v>2</v>
      </c>
      <c r="QD135">
        <v>2</v>
      </c>
      <c r="QE135">
        <v>2</v>
      </c>
      <c r="QF135">
        <v>2</v>
      </c>
      <c r="QG135">
        <v>2</v>
      </c>
      <c r="QH135">
        <v>2</v>
      </c>
      <c r="QI135">
        <v>2</v>
      </c>
      <c r="QJ135">
        <v>2</v>
      </c>
      <c r="QK135">
        <v>2</v>
      </c>
      <c r="QL135">
        <v>2</v>
      </c>
      <c r="QM135">
        <v>2</v>
      </c>
      <c r="QN135">
        <v>2</v>
      </c>
      <c r="QO135">
        <v>2</v>
      </c>
      <c r="QP135">
        <v>2</v>
      </c>
      <c r="QQ135">
        <v>2</v>
      </c>
      <c r="QR135">
        <v>2</v>
      </c>
      <c r="QS135">
        <v>2</v>
      </c>
      <c r="QT135">
        <v>2</v>
      </c>
      <c r="QU135">
        <v>2</v>
      </c>
      <c r="QV135">
        <v>2</v>
      </c>
      <c r="QW135">
        <v>2</v>
      </c>
      <c r="QX135">
        <v>2</v>
      </c>
      <c r="QY135">
        <v>2</v>
      </c>
      <c r="QZ135">
        <v>2</v>
      </c>
      <c r="RA135">
        <v>2</v>
      </c>
      <c r="RB135">
        <v>2</v>
      </c>
      <c r="RC135">
        <v>2</v>
      </c>
      <c r="RD135">
        <v>2</v>
      </c>
      <c r="RE135">
        <v>2</v>
      </c>
      <c r="RF135">
        <v>2</v>
      </c>
      <c r="RG135">
        <v>2</v>
      </c>
      <c r="RH135">
        <v>2</v>
      </c>
      <c r="RI135">
        <v>2</v>
      </c>
      <c r="RJ135">
        <v>2</v>
      </c>
      <c r="RK135">
        <v>2</v>
      </c>
      <c r="RL135">
        <v>2</v>
      </c>
      <c r="RM135">
        <v>2</v>
      </c>
      <c r="RN135">
        <v>2</v>
      </c>
      <c r="RO135">
        <v>2</v>
      </c>
      <c r="RP135">
        <v>2</v>
      </c>
      <c r="RQ135">
        <v>2</v>
      </c>
      <c r="RR135">
        <v>2</v>
      </c>
      <c r="RS135">
        <v>2</v>
      </c>
      <c r="RT135">
        <v>2</v>
      </c>
      <c r="RU135">
        <v>2</v>
      </c>
      <c r="RV135">
        <v>2</v>
      </c>
      <c r="RW135">
        <v>2</v>
      </c>
      <c r="RX135">
        <v>2</v>
      </c>
      <c r="RY135">
        <v>2</v>
      </c>
      <c r="RZ135">
        <v>2</v>
      </c>
      <c r="SA135">
        <v>2</v>
      </c>
      <c r="SB135">
        <v>2</v>
      </c>
      <c r="SC135">
        <v>2</v>
      </c>
      <c r="SD135">
        <v>2</v>
      </c>
      <c r="SE135">
        <v>2</v>
      </c>
      <c r="SF135">
        <v>2</v>
      </c>
      <c r="SG135">
        <v>2</v>
      </c>
      <c r="SH135">
        <v>2</v>
      </c>
      <c r="SI135">
        <v>2</v>
      </c>
      <c r="SJ135">
        <v>2</v>
      </c>
      <c r="SK135">
        <v>2</v>
      </c>
      <c r="SL135">
        <v>2</v>
      </c>
      <c r="SM135">
        <v>2</v>
      </c>
      <c r="SN135">
        <v>2</v>
      </c>
      <c r="SO135">
        <v>2</v>
      </c>
      <c r="SP135">
        <v>2</v>
      </c>
      <c r="SQ135">
        <v>2</v>
      </c>
      <c r="SR135">
        <v>2</v>
      </c>
      <c r="SS135">
        <v>2</v>
      </c>
      <c r="ST135">
        <v>2</v>
      </c>
      <c r="SU135">
        <v>2</v>
      </c>
      <c r="SV135">
        <v>2</v>
      </c>
      <c r="SW135">
        <v>2</v>
      </c>
      <c r="SX135">
        <v>2</v>
      </c>
      <c r="SY135">
        <v>2</v>
      </c>
      <c r="SZ135">
        <v>2</v>
      </c>
      <c r="TA135">
        <v>2</v>
      </c>
      <c r="TB135">
        <v>2</v>
      </c>
      <c r="TC135">
        <v>2</v>
      </c>
      <c r="TD135">
        <v>2</v>
      </c>
      <c r="TE135">
        <v>2</v>
      </c>
      <c r="TF135">
        <v>2</v>
      </c>
      <c r="TG135">
        <v>2</v>
      </c>
      <c r="TH135">
        <v>2</v>
      </c>
      <c r="TI135">
        <v>2</v>
      </c>
      <c r="TJ135">
        <v>2</v>
      </c>
      <c r="TK135">
        <v>2</v>
      </c>
      <c r="TL135">
        <v>2</v>
      </c>
      <c r="TM135">
        <v>2</v>
      </c>
      <c r="TN135">
        <v>2</v>
      </c>
      <c r="TO135">
        <v>2</v>
      </c>
      <c r="TP135">
        <v>2</v>
      </c>
      <c r="TQ135">
        <v>2</v>
      </c>
      <c r="TR135">
        <v>2</v>
      </c>
      <c r="TS135">
        <v>2</v>
      </c>
      <c r="TT135">
        <v>2</v>
      </c>
      <c r="TU135">
        <v>2</v>
      </c>
      <c r="TV135">
        <v>2</v>
      </c>
      <c r="TW135">
        <v>2</v>
      </c>
      <c r="TX135">
        <v>2</v>
      </c>
      <c r="TY135">
        <v>2</v>
      </c>
      <c r="TZ135">
        <v>2</v>
      </c>
      <c r="UA135">
        <v>2</v>
      </c>
      <c r="UB135">
        <v>2</v>
      </c>
      <c r="UC135">
        <v>2</v>
      </c>
      <c r="UD135">
        <v>2</v>
      </c>
      <c r="UE135">
        <v>2</v>
      </c>
      <c r="UF135">
        <v>2</v>
      </c>
      <c r="UG135">
        <v>2</v>
      </c>
      <c r="UH135">
        <v>2</v>
      </c>
      <c r="UI135">
        <v>2</v>
      </c>
      <c r="UJ135">
        <v>2</v>
      </c>
      <c r="UK135">
        <v>2</v>
      </c>
      <c r="UL135">
        <v>2</v>
      </c>
      <c r="UM135">
        <v>2</v>
      </c>
      <c r="UN135">
        <v>2</v>
      </c>
      <c r="UO135">
        <v>2</v>
      </c>
      <c r="UP135">
        <v>2</v>
      </c>
      <c r="UQ135">
        <v>2</v>
      </c>
      <c r="UR135">
        <v>2</v>
      </c>
      <c r="US135">
        <v>2</v>
      </c>
      <c r="UT135">
        <v>2</v>
      </c>
      <c r="UU135">
        <v>2</v>
      </c>
      <c r="UV135">
        <v>1</v>
      </c>
      <c r="UW135">
        <v>1</v>
      </c>
      <c r="UX135">
        <v>1</v>
      </c>
      <c r="UY135">
        <v>1</v>
      </c>
      <c r="UZ135">
        <v>1</v>
      </c>
      <c r="VA135">
        <v>1</v>
      </c>
      <c r="VB135">
        <v>1</v>
      </c>
      <c r="VC135">
        <v>1</v>
      </c>
      <c r="VD135">
        <v>1</v>
      </c>
      <c r="VE135">
        <v>1</v>
      </c>
      <c r="VF135">
        <v>1</v>
      </c>
      <c r="VG135">
        <v>1</v>
      </c>
      <c r="VH135">
        <v>1</v>
      </c>
      <c r="VI135">
        <v>1</v>
      </c>
      <c r="VJ135">
        <v>1</v>
      </c>
      <c r="VK135">
        <v>1</v>
      </c>
      <c r="VL135">
        <v>1</v>
      </c>
      <c r="VM135">
        <v>1</v>
      </c>
      <c r="VN135">
        <v>1</v>
      </c>
      <c r="VO135">
        <v>1</v>
      </c>
      <c r="VP135">
        <v>1</v>
      </c>
      <c r="VQ135">
        <v>2</v>
      </c>
      <c r="VR135">
        <v>2</v>
      </c>
      <c r="VS135">
        <v>2</v>
      </c>
      <c r="VT135">
        <v>2</v>
      </c>
      <c r="VU135">
        <v>2</v>
      </c>
      <c r="VV135">
        <v>2</v>
      </c>
      <c r="VW135">
        <v>2</v>
      </c>
      <c r="VX135">
        <v>2</v>
      </c>
      <c r="VY135">
        <v>2</v>
      </c>
      <c r="VZ135">
        <v>2</v>
      </c>
      <c r="WA135">
        <v>2</v>
      </c>
      <c r="WB135">
        <v>2</v>
      </c>
      <c r="WC135">
        <v>2</v>
      </c>
      <c r="WD135">
        <v>2</v>
      </c>
      <c r="WE135">
        <v>2</v>
      </c>
      <c r="WF135">
        <v>2</v>
      </c>
      <c r="WG135">
        <v>2</v>
      </c>
      <c r="WH135">
        <v>2</v>
      </c>
      <c r="WI135">
        <v>2</v>
      </c>
      <c r="WJ135">
        <v>2</v>
      </c>
      <c r="WK135">
        <v>2</v>
      </c>
      <c r="WL135">
        <v>2</v>
      </c>
      <c r="WM135">
        <v>2</v>
      </c>
      <c r="WN135">
        <v>2</v>
      </c>
      <c r="WO135">
        <v>2</v>
      </c>
      <c r="WP135">
        <v>2</v>
      </c>
      <c r="WQ135">
        <v>2</v>
      </c>
      <c r="WR135">
        <v>2</v>
      </c>
      <c r="WS135">
        <v>1</v>
      </c>
      <c r="WT135">
        <v>1</v>
      </c>
      <c r="WU135">
        <v>1</v>
      </c>
      <c r="WV135">
        <v>1</v>
      </c>
      <c r="WW135">
        <v>1</v>
      </c>
      <c r="WX135">
        <v>1</v>
      </c>
      <c r="WY135">
        <v>1</v>
      </c>
      <c r="WZ135">
        <v>1</v>
      </c>
      <c r="XA135">
        <v>1</v>
      </c>
      <c r="XB135">
        <v>1</v>
      </c>
      <c r="XC135">
        <v>1</v>
      </c>
      <c r="XD135">
        <v>1</v>
      </c>
      <c r="XE135">
        <v>1</v>
      </c>
      <c r="XF135">
        <v>1</v>
      </c>
      <c r="XG135">
        <v>1</v>
      </c>
      <c r="XH135">
        <v>1</v>
      </c>
      <c r="XI135">
        <v>1</v>
      </c>
      <c r="XJ135">
        <v>1</v>
      </c>
      <c r="XK135">
        <v>1</v>
      </c>
      <c r="XL135">
        <v>1</v>
      </c>
      <c r="XM135">
        <v>1</v>
      </c>
      <c r="XN135">
        <v>1</v>
      </c>
      <c r="XO135">
        <v>1</v>
      </c>
      <c r="XP135">
        <v>1</v>
      </c>
      <c r="XQ135">
        <v>1</v>
      </c>
      <c r="XR135">
        <v>1</v>
      </c>
      <c r="XS135">
        <v>1</v>
      </c>
      <c r="XT135">
        <v>1</v>
      </c>
      <c r="XU135">
        <v>1</v>
      </c>
      <c r="XV135">
        <v>1</v>
      </c>
      <c r="XW135">
        <v>1</v>
      </c>
      <c r="XX135">
        <v>1</v>
      </c>
      <c r="XY135">
        <v>1</v>
      </c>
      <c r="XZ135">
        <v>1</v>
      </c>
      <c r="YA135">
        <v>1</v>
      </c>
      <c r="YB135">
        <v>1</v>
      </c>
      <c r="YC135">
        <v>1</v>
      </c>
      <c r="YD135">
        <v>1</v>
      </c>
      <c r="YE135">
        <v>1</v>
      </c>
      <c r="YF135">
        <v>1</v>
      </c>
      <c r="YG135">
        <v>1</v>
      </c>
      <c r="YH135">
        <v>1</v>
      </c>
      <c r="YI135">
        <v>1</v>
      </c>
      <c r="YJ135">
        <v>1</v>
      </c>
      <c r="YK135">
        <v>1</v>
      </c>
      <c r="YL135">
        <v>1</v>
      </c>
      <c r="YM135">
        <v>1</v>
      </c>
      <c r="YN135">
        <v>1</v>
      </c>
      <c r="YO135">
        <v>1</v>
      </c>
      <c r="YP135">
        <v>1</v>
      </c>
      <c r="YQ135">
        <v>1</v>
      </c>
      <c r="YR135">
        <v>1</v>
      </c>
      <c r="YS135">
        <v>1</v>
      </c>
      <c r="YT135">
        <v>1</v>
      </c>
      <c r="YU135">
        <v>1</v>
      </c>
      <c r="YV135">
        <v>1</v>
      </c>
      <c r="YW135">
        <v>1</v>
      </c>
      <c r="YX135">
        <v>1</v>
      </c>
      <c r="YY135">
        <v>1</v>
      </c>
      <c r="YZ135">
        <v>1</v>
      </c>
      <c r="ZA135">
        <v>1</v>
      </c>
      <c r="ZB135">
        <v>1</v>
      </c>
      <c r="ZC135">
        <v>1</v>
      </c>
      <c r="ZD135">
        <v>1</v>
      </c>
      <c r="ZE135">
        <v>1</v>
      </c>
      <c r="ZF135">
        <v>1</v>
      </c>
      <c r="ZG135">
        <v>1</v>
      </c>
      <c r="ZH135">
        <v>1</v>
      </c>
      <c r="ZI135">
        <v>1</v>
      </c>
      <c r="ZJ135">
        <v>1</v>
      </c>
      <c r="ZK135">
        <v>1</v>
      </c>
      <c r="ZL135">
        <v>1</v>
      </c>
      <c r="ZM135">
        <v>1</v>
      </c>
      <c r="ZN135">
        <v>1</v>
      </c>
      <c r="ZO135">
        <v>1</v>
      </c>
      <c r="ZP135">
        <v>1</v>
      </c>
      <c r="ZQ135">
        <v>1</v>
      </c>
      <c r="ZR135">
        <v>1</v>
      </c>
      <c r="ZS135">
        <v>1</v>
      </c>
      <c r="ZT135">
        <v>1</v>
      </c>
      <c r="ZU135">
        <v>1</v>
      </c>
      <c r="ZV135">
        <v>1</v>
      </c>
      <c r="ZW135">
        <v>1</v>
      </c>
      <c r="ZX135">
        <v>1</v>
      </c>
      <c r="ZY135">
        <v>1</v>
      </c>
      <c r="ZZ135">
        <v>1</v>
      </c>
      <c r="AAA135">
        <v>1</v>
      </c>
      <c r="AAB135">
        <v>1</v>
      </c>
      <c r="AAC135">
        <v>1</v>
      </c>
      <c r="AAD135">
        <v>1</v>
      </c>
      <c r="AAE135">
        <v>1</v>
      </c>
      <c r="AAF135">
        <v>1</v>
      </c>
      <c r="AAG135">
        <v>1</v>
      </c>
      <c r="AAH135">
        <v>1</v>
      </c>
      <c r="AAI135">
        <v>1</v>
      </c>
      <c r="AAJ135">
        <v>1</v>
      </c>
      <c r="AAK135">
        <v>1</v>
      </c>
      <c r="AAL135">
        <v>1</v>
      </c>
      <c r="AAM135">
        <v>1</v>
      </c>
      <c r="AAN135">
        <v>1</v>
      </c>
      <c r="AAO135">
        <v>1</v>
      </c>
      <c r="AAP135">
        <v>1</v>
      </c>
      <c r="AAQ135">
        <v>1</v>
      </c>
      <c r="AAR135">
        <v>1</v>
      </c>
      <c r="AAS135">
        <v>1</v>
      </c>
      <c r="AAT135">
        <v>1</v>
      </c>
      <c r="AAU135">
        <v>1</v>
      </c>
      <c r="AAV135">
        <v>1</v>
      </c>
      <c r="AAW135">
        <v>1</v>
      </c>
      <c r="AAX135">
        <v>1</v>
      </c>
      <c r="AAY135">
        <v>1</v>
      </c>
      <c r="AAZ135">
        <v>1</v>
      </c>
      <c r="ABA135">
        <v>1</v>
      </c>
      <c r="ABB135">
        <v>1</v>
      </c>
      <c r="ABC135">
        <v>1</v>
      </c>
      <c r="ABD135">
        <v>1</v>
      </c>
      <c r="ABE135">
        <v>1</v>
      </c>
      <c r="ABG135" s="1137">
        <f t="shared" si="37"/>
        <v>0</v>
      </c>
      <c r="ABH135" s="1137">
        <f t="shared" si="37"/>
        <v>0</v>
      </c>
      <c r="ABI135" s="1137">
        <f t="shared" si="37"/>
        <v>18</v>
      </c>
      <c r="ABJ135" s="1137">
        <f t="shared" si="37"/>
        <v>30</v>
      </c>
      <c r="ABK135" s="1137">
        <f t="shared" si="37"/>
        <v>31</v>
      </c>
      <c r="ABL135" s="1137">
        <f t="shared" si="37"/>
        <v>30</v>
      </c>
      <c r="ABM135" s="1137">
        <f t="shared" si="37"/>
        <v>31</v>
      </c>
      <c r="ABN135" s="1137">
        <f t="shared" si="37"/>
        <v>31</v>
      </c>
      <c r="ABO135" s="1137">
        <f t="shared" si="37"/>
        <v>30</v>
      </c>
      <c r="ABP135" s="1137">
        <f t="shared" si="37"/>
        <v>31</v>
      </c>
      <c r="ABQ135" s="1137">
        <f t="shared" si="37"/>
        <v>30</v>
      </c>
      <c r="ABR135" s="1137">
        <f t="shared" si="37"/>
        <v>20</v>
      </c>
      <c r="ABS135" s="1137">
        <f t="shared" si="37"/>
        <v>5</v>
      </c>
      <c r="ABT135" s="1137">
        <f t="shared" si="37"/>
        <v>28</v>
      </c>
      <c r="ABU135" s="1137">
        <f t="shared" si="37"/>
        <v>31</v>
      </c>
      <c r="ABV135" s="1137">
        <f t="shared" si="37"/>
        <v>30</v>
      </c>
      <c r="ABW135" s="1137">
        <f t="shared" si="31"/>
        <v>31</v>
      </c>
      <c r="ABX135" s="1137">
        <f t="shared" si="34"/>
        <v>30</v>
      </c>
      <c r="ABY135" s="1137">
        <f t="shared" si="34"/>
        <v>31</v>
      </c>
      <c r="ABZ135" s="1137">
        <f t="shared" si="34"/>
        <v>31</v>
      </c>
      <c r="ACA135" s="1137">
        <f t="shared" si="34"/>
        <v>30</v>
      </c>
      <c r="ACB135" s="1137">
        <f t="shared" si="34"/>
        <v>31</v>
      </c>
      <c r="ACC135" s="1137">
        <f t="shared" si="34"/>
        <v>30</v>
      </c>
      <c r="ACD135" s="1137">
        <f t="shared" si="34"/>
        <v>31</v>
      </c>
      <c r="ACE135" s="1137" t="s">
        <v>235</v>
      </c>
      <c r="ACF135" s="1137">
        <f t="shared" si="33"/>
        <v>0</v>
      </c>
      <c r="ACG135" s="1137">
        <f t="shared" si="33"/>
        <v>0</v>
      </c>
      <c r="ACH135" s="1137">
        <f t="shared" si="33"/>
        <v>1</v>
      </c>
      <c r="ACI135" s="1137">
        <f t="shared" si="33"/>
        <v>1</v>
      </c>
      <c r="ACJ135" s="1137">
        <f t="shared" si="33"/>
        <v>1</v>
      </c>
      <c r="ACK135" s="1137">
        <f t="shared" si="33"/>
        <v>1</v>
      </c>
      <c r="ACL135" s="1137">
        <f t="shared" si="33"/>
        <v>1</v>
      </c>
      <c r="ACM135" s="1137">
        <f t="shared" si="33"/>
        <v>1</v>
      </c>
      <c r="ACN135" s="1137">
        <f t="shared" si="33"/>
        <v>1</v>
      </c>
      <c r="ACO135" s="1137">
        <f t="shared" si="33"/>
        <v>1</v>
      </c>
      <c r="ACP135" s="1137">
        <f t="shared" si="33"/>
        <v>1</v>
      </c>
      <c r="ACQ135" s="1137">
        <f t="shared" si="32"/>
        <v>1</v>
      </c>
      <c r="ACR135" s="1137">
        <f t="shared" si="32"/>
        <v>0</v>
      </c>
      <c r="ACS135" s="1137">
        <f t="shared" si="32"/>
        <v>1</v>
      </c>
      <c r="ACT135" s="1137">
        <f t="shared" si="32"/>
        <v>1</v>
      </c>
      <c r="ACU135" s="1137">
        <f t="shared" si="32"/>
        <v>1</v>
      </c>
      <c r="ACV135" s="1137">
        <f t="shared" si="32"/>
        <v>1</v>
      </c>
      <c r="ACW135" s="1137">
        <f t="shared" si="32"/>
        <v>1</v>
      </c>
      <c r="ACX135" s="1137">
        <f t="shared" si="32"/>
        <v>1</v>
      </c>
      <c r="ACY135" s="1137">
        <f t="shared" si="32"/>
        <v>1</v>
      </c>
      <c r="ACZ135" s="1137">
        <f t="shared" si="32"/>
        <v>1</v>
      </c>
      <c r="ADA135" s="1137">
        <f t="shared" si="35"/>
        <v>1</v>
      </c>
      <c r="ADB135" s="1137">
        <f t="shared" si="35"/>
        <v>1</v>
      </c>
      <c r="ADC135" s="1137">
        <f t="shared" si="35"/>
        <v>1</v>
      </c>
    </row>
    <row r="136" spans="1:783" x14ac:dyDescent="0.25">
      <c r="A136" t="s">
        <v>1935</v>
      </c>
      <c r="B136" t="s">
        <v>57</v>
      </c>
      <c r="C136">
        <v>0</v>
      </c>
      <c r="D136">
        <v>0</v>
      </c>
      <c r="E136">
        <v>0</v>
      </c>
      <c r="F136">
        <v>0</v>
      </c>
      <c r="G136">
        <v>0</v>
      </c>
      <c r="H136">
        <v>0</v>
      </c>
      <c r="I136">
        <v>0</v>
      </c>
      <c r="J136">
        <v>0</v>
      </c>
      <c r="K136">
        <v>0</v>
      </c>
      <c r="L136">
        <v>0</v>
      </c>
      <c r="M136">
        <v>0</v>
      </c>
      <c r="N136">
        <v>0</v>
      </c>
      <c r="O136">
        <v>0</v>
      </c>
      <c r="P136">
        <v>0</v>
      </c>
      <c r="Q136">
        <v>0</v>
      </c>
      <c r="R136">
        <v>0</v>
      </c>
      <c r="S136">
        <v>0</v>
      </c>
      <c r="T136">
        <v>0</v>
      </c>
      <c r="U136">
        <v>0</v>
      </c>
      <c r="V136">
        <v>0</v>
      </c>
      <c r="W136">
        <v>0</v>
      </c>
      <c r="X136">
        <v>0</v>
      </c>
      <c r="Y136">
        <v>0</v>
      </c>
      <c r="Z136">
        <v>0</v>
      </c>
      <c r="AA136">
        <v>0</v>
      </c>
      <c r="AB136">
        <v>0</v>
      </c>
      <c r="AC136">
        <v>0</v>
      </c>
      <c r="AD136">
        <v>0</v>
      </c>
      <c r="AE136">
        <v>0</v>
      </c>
      <c r="AF136">
        <v>0</v>
      </c>
      <c r="AG136">
        <v>0</v>
      </c>
      <c r="AH136">
        <v>0</v>
      </c>
      <c r="AI136">
        <v>0</v>
      </c>
      <c r="AJ136">
        <v>0</v>
      </c>
      <c r="AK136">
        <v>0</v>
      </c>
      <c r="AL136">
        <v>0</v>
      </c>
      <c r="AM136">
        <v>0</v>
      </c>
      <c r="AN136">
        <v>0</v>
      </c>
      <c r="AO136">
        <v>0</v>
      </c>
      <c r="AP136">
        <v>0</v>
      </c>
      <c r="AQ136">
        <v>0</v>
      </c>
      <c r="AR136">
        <v>0</v>
      </c>
      <c r="AS136">
        <v>0</v>
      </c>
      <c r="AT136">
        <v>0</v>
      </c>
      <c r="AU136">
        <v>0</v>
      </c>
      <c r="AV136">
        <v>0</v>
      </c>
      <c r="AW136">
        <v>0</v>
      </c>
      <c r="AX136">
        <v>0</v>
      </c>
      <c r="AY136">
        <v>0</v>
      </c>
      <c r="AZ136">
        <v>0</v>
      </c>
      <c r="BA136">
        <v>0</v>
      </c>
      <c r="BB136">
        <v>0</v>
      </c>
      <c r="BC136">
        <v>0</v>
      </c>
      <c r="BD136">
        <v>0</v>
      </c>
      <c r="BE136">
        <v>0</v>
      </c>
      <c r="BF136">
        <v>0</v>
      </c>
      <c r="BG136">
        <v>0</v>
      </c>
      <c r="BH136">
        <v>0</v>
      </c>
      <c r="BI136">
        <v>0</v>
      </c>
      <c r="BJ136">
        <v>0</v>
      </c>
      <c r="BK136">
        <v>0</v>
      </c>
      <c r="BL136">
        <v>0</v>
      </c>
      <c r="BM136">
        <v>0</v>
      </c>
      <c r="BN136">
        <v>0</v>
      </c>
      <c r="BO136">
        <v>0</v>
      </c>
      <c r="BP136">
        <v>0</v>
      </c>
      <c r="BQ136">
        <v>0</v>
      </c>
      <c r="BR136">
        <v>0</v>
      </c>
      <c r="BS136">
        <v>0</v>
      </c>
      <c r="BT136">
        <v>0</v>
      </c>
      <c r="BU136">
        <v>0</v>
      </c>
      <c r="BV136">
        <v>0</v>
      </c>
      <c r="BW136">
        <v>0</v>
      </c>
      <c r="BX136">
        <v>0</v>
      </c>
      <c r="BY136">
        <v>2</v>
      </c>
      <c r="BZ136">
        <v>2</v>
      </c>
      <c r="CA136">
        <v>2</v>
      </c>
      <c r="CB136">
        <v>2</v>
      </c>
      <c r="CC136">
        <v>2</v>
      </c>
      <c r="CD136">
        <v>2</v>
      </c>
      <c r="CE136">
        <v>2</v>
      </c>
      <c r="CF136">
        <v>2</v>
      </c>
      <c r="CG136">
        <v>2</v>
      </c>
      <c r="CH136">
        <v>2</v>
      </c>
      <c r="CI136">
        <v>2</v>
      </c>
      <c r="CJ136">
        <v>2</v>
      </c>
      <c r="CK136">
        <v>2</v>
      </c>
      <c r="CL136">
        <v>2</v>
      </c>
      <c r="CM136">
        <v>2</v>
      </c>
      <c r="CN136">
        <v>2</v>
      </c>
      <c r="CO136">
        <v>2</v>
      </c>
      <c r="CP136">
        <v>2</v>
      </c>
      <c r="CQ136">
        <v>2</v>
      </c>
      <c r="CR136">
        <v>2</v>
      </c>
      <c r="CS136">
        <v>2</v>
      </c>
      <c r="CT136">
        <v>2</v>
      </c>
      <c r="CU136">
        <v>2</v>
      </c>
      <c r="CV136">
        <v>2</v>
      </c>
      <c r="CW136">
        <v>2</v>
      </c>
      <c r="CX136">
        <v>2</v>
      </c>
      <c r="CY136">
        <v>2</v>
      </c>
      <c r="CZ136">
        <v>2</v>
      </c>
      <c r="DA136">
        <v>2</v>
      </c>
      <c r="DB136">
        <v>2</v>
      </c>
      <c r="DC136">
        <v>2</v>
      </c>
      <c r="DD136">
        <v>2</v>
      </c>
      <c r="DE136">
        <v>2</v>
      </c>
      <c r="DF136">
        <v>2</v>
      </c>
      <c r="DG136">
        <v>2</v>
      </c>
      <c r="DH136">
        <v>2</v>
      </c>
      <c r="DI136">
        <v>2</v>
      </c>
      <c r="DJ136">
        <v>2</v>
      </c>
      <c r="DK136">
        <v>2</v>
      </c>
      <c r="DL136">
        <v>2</v>
      </c>
      <c r="DM136">
        <v>2</v>
      </c>
      <c r="DN136">
        <v>2</v>
      </c>
      <c r="DO136">
        <v>2</v>
      </c>
      <c r="DP136">
        <v>2</v>
      </c>
      <c r="DQ136">
        <v>2</v>
      </c>
      <c r="DR136">
        <v>2</v>
      </c>
      <c r="DS136">
        <v>2</v>
      </c>
      <c r="DT136">
        <v>2</v>
      </c>
      <c r="DU136">
        <v>2</v>
      </c>
      <c r="DV136">
        <v>2</v>
      </c>
      <c r="DW136">
        <v>2</v>
      </c>
      <c r="DX136">
        <v>2</v>
      </c>
      <c r="DY136">
        <v>2</v>
      </c>
      <c r="DZ136">
        <v>2</v>
      </c>
      <c r="EA136">
        <v>2</v>
      </c>
      <c r="EB136">
        <v>2</v>
      </c>
      <c r="EC136">
        <v>2</v>
      </c>
      <c r="ED136">
        <v>2</v>
      </c>
      <c r="EE136">
        <v>2</v>
      </c>
      <c r="EF136">
        <v>2</v>
      </c>
      <c r="EG136">
        <v>2</v>
      </c>
      <c r="EH136">
        <v>2</v>
      </c>
      <c r="EI136">
        <v>2</v>
      </c>
      <c r="EJ136">
        <v>2</v>
      </c>
      <c r="EK136">
        <v>2</v>
      </c>
      <c r="EL136">
        <v>2</v>
      </c>
      <c r="EM136">
        <v>2</v>
      </c>
      <c r="EN136">
        <v>2</v>
      </c>
      <c r="EO136">
        <v>2</v>
      </c>
      <c r="EP136">
        <v>2</v>
      </c>
      <c r="EQ136">
        <v>2</v>
      </c>
      <c r="ER136">
        <v>2</v>
      </c>
      <c r="ES136">
        <v>2</v>
      </c>
      <c r="ET136">
        <v>2</v>
      </c>
      <c r="EU136">
        <v>2</v>
      </c>
      <c r="EV136">
        <v>1</v>
      </c>
      <c r="EW136">
        <v>1</v>
      </c>
      <c r="EX136">
        <v>1</v>
      </c>
      <c r="EY136">
        <v>1</v>
      </c>
      <c r="EZ136">
        <v>1</v>
      </c>
      <c r="FA136">
        <v>1</v>
      </c>
      <c r="FB136">
        <v>1</v>
      </c>
      <c r="FC136">
        <v>1</v>
      </c>
      <c r="FD136">
        <v>1</v>
      </c>
      <c r="FE136">
        <v>1</v>
      </c>
      <c r="FF136">
        <v>1</v>
      </c>
      <c r="FG136">
        <v>1</v>
      </c>
      <c r="FH136">
        <v>1</v>
      </c>
      <c r="FI136">
        <v>1</v>
      </c>
      <c r="FJ136">
        <v>1</v>
      </c>
      <c r="FK136">
        <v>1</v>
      </c>
      <c r="FL136">
        <v>1</v>
      </c>
      <c r="FM136">
        <v>1</v>
      </c>
      <c r="FN136">
        <v>1</v>
      </c>
      <c r="FO136">
        <v>1</v>
      </c>
      <c r="FP136">
        <v>1</v>
      </c>
      <c r="FQ136">
        <v>1</v>
      </c>
      <c r="FR136">
        <v>1</v>
      </c>
      <c r="FS136">
        <v>1</v>
      </c>
      <c r="FT136">
        <v>1</v>
      </c>
      <c r="FU136">
        <v>1</v>
      </c>
      <c r="FV136">
        <v>1</v>
      </c>
      <c r="FW136">
        <v>1</v>
      </c>
      <c r="FX136">
        <v>1</v>
      </c>
      <c r="FY136">
        <v>1</v>
      </c>
      <c r="FZ136">
        <v>1</v>
      </c>
      <c r="GA136">
        <v>1</v>
      </c>
      <c r="GB136">
        <v>1</v>
      </c>
      <c r="GC136">
        <v>1</v>
      </c>
      <c r="GD136">
        <v>1</v>
      </c>
      <c r="GE136">
        <v>1</v>
      </c>
      <c r="GF136">
        <v>1</v>
      </c>
      <c r="GG136">
        <v>1</v>
      </c>
      <c r="GH136">
        <v>1</v>
      </c>
      <c r="GI136">
        <v>1</v>
      </c>
      <c r="GJ136">
        <v>1</v>
      </c>
      <c r="GK136">
        <v>1</v>
      </c>
      <c r="GL136">
        <v>1</v>
      </c>
      <c r="GM136">
        <v>1</v>
      </c>
      <c r="GN136">
        <v>1</v>
      </c>
      <c r="GO136">
        <v>1</v>
      </c>
      <c r="GP136">
        <v>1</v>
      </c>
      <c r="GQ136">
        <v>1</v>
      </c>
      <c r="GR136">
        <v>1</v>
      </c>
      <c r="GS136">
        <v>1</v>
      </c>
      <c r="GT136">
        <v>1</v>
      </c>
      <c r="GU136">
        <v>1</v>
      </c>
      <c r="GV136">
        <v>1</v>
      </c>
      <c r="GW136">
        <v>1</v>
      </c>
      <c r="GX136">
        <v>1</v>
      </c>
      <c r="GY136">
        <v>1</v>
      </c>
      <c r="GZ136">
        <v>1</v>
      </c>
      <c r="HA136">
        <v>1</v>
      </c>
      <c r="HB136">
        <v>1</v>
      </c>
      <c r="HC136">
        <v>1</v>
      </c>
      <c r="HD136">
        <v>1</v>
      </c>
      <c r="HE136">
        <v>1</v>
      </c>
      <c r="HF136">
        <v>1</v>
      </c>
      <c r="HG136">
        <v>1</v>
      </c>
      <c r="HH136">
        <v>1</v>
      </c>
      <c r="HI136">
        <v>1</v>
      </c>
      <c r="HJ136">
        <v>1</v>
      </c>
      <c r="HK136">
        <v>1</v>
      </c>
      <c r="HL136">
        <v>1</v>
      </c>
      <c r="HM136">
        <v>1</v>
      </c>
      <c r="HN136">
        <v>1</v>
      </c>
      <c r="HO136">
        <v>1</v>
      </c>
      <c r="HP136">
        <v>1</v>
      </c>
      <c r="HQ136">
        <v>1</v>
      </c>
      <c r="HR136">
        <v>1</v>
      </c>
      <c r="HS136">
        <v>1</v>
      </c>
      <c r="HT136">
        <v>1</v>
      </c>
      <c r="HU136">
        <v>1</v>
      </c>
      <c r="HV136">
        <v>1</v>
      </c>
      <c r="HW136">
        <v>1</v>
      </c>
      <c r="HX136">
        <v>1</v>
      </c>
      <c r="HY136">
        <v>1</v>
      </c>
      <c r="HZ136">
        <v>1</v>
      </c>
      <c r="IA136">
        <v>1</v>
      </c>
      <c r="IB136">
        <v>1</v>
      </c>
      <c r="IC136">
        <v>1</v>
      </c>
      <c r="ID136">
        <v>1</v>
      </c>
      <c r="IE136">
        <v>1</v>
      </c>
      <c r="IF136">
        <v>1</v>
      </c>
      <c r="IG136">
        <v>1</v>
      </c>
      <c r="IH136">
        <v>1</v>
      </c>
      <c r="II136">
        <v>1</v>
      </c>
      <c r="IJ136">
        <v>1</v>
      </c>
      <c r="IK136">
        <v>1</v>
      </c>
      <c r="IL136">
        <v>1</v>
      </c>
      <c r="IM136">
        <v>1</v>
      </c>
      <c r="IN136">
        <v>1</v>
      </c>
      <c r="IO136">
        <v>1</v>
      </c>
      <c r="IP136">
        <v>1</v>
      </c>
      <c r="IQ136">
        <v>1</v>
      </c>
      <c r="IR136">
        <v>1</v>
      </c>
      <c r="IS136">
        <v>1</v>
      </c>
      <c r="IT136">
        <v>1</v>
      </c>
      <c r="IU136">
        <v>1</v>
      </c>
      <c r="IV136">
        <v>1</v>
      </c>
      <c r="IW136">
        <v>1</v>
      </c>
      <c r="IX136">
        <v>1</v>
      </c>
      <c r="IY136">
        <v>1</v>
      </c>
      <c r="IZ136">
        <v>1</v>
      </c>
      <c r="JA136">
        <v>1</v>
      </c>
      <c r="JB136">
        <v>1</v>
      </c>
      <c r="JC136">
        <v>1</v>
      </c>
      <c r="JD136">
        <v>1</v>
      </c>
      <c r="JE136">
        <v>1</v>
      </c>
      <c r="JF136">
        <v>1</v>
      </c>
      <c r="JG136">
        <v>1</v>
      </c>
      <c r="JH136">
        <v>1</v>
      </c>
      <c r="JI136">
        <v>1</v>
      </c>
      <c r="JJ136">
        <v>1</v>
      </c>
      <c r="JK136">
        <v>1</v>
      </c>
      <c r="JL136">
        <v>1</v>
      </c>
      <c r="JM136">
        <v>1</v>
      </c>
      <c r="JN136">
        <v>1</v>
      </c>
      <c r="JO136">
        <v>1</v>
      </c>
      <c r="JP136">
        <v>1</v>
      </c>
      <c r="JQ136">
        <v>1</v>
      </c>
      <c r="JR136">
        <v>1</v>
      </c>
      <c r="JS136">
        <v>1</v>
      </c>
      <c r="JT136">
        <v>1</v>
      </c>
      <c r="JU136">
        <v>1</v>
      </c>
      <c r="JV136">
        <v>1</v>
      </c>
      <c r="JW136">
        <v>1</v>
      </c>
      <c r="JX136">
        <v>1</v>
      </c>
      <c r="JY136">
        <v>1</v>
      </c>
      <c r="JZ136">
        <v>1</v>
      </c>
      <c r="KA136">
        <v>1</v>
      </c>
      <c r="KB136">
        <v>1</v>
      </c>
      <c r="KC136">
        <v>1</v>
      </c>
      <c r="KD136">
        <v>1</v>
      </c>
      <c r="KE136">
        <v>1</v>
      </c>
      <c r="KF136">
        <v>1</v>
      </c>
      <c r="KG136">
        <v>1</v>
      </c>
      <c r="KH136">
        <v>1</v>
      </c>
      <c r="KI136">
        <v>1</v>
      </c>
      <c r="KJ136">
        <v>1</v>
      </c>
      <c r="KK136">
        <v>1</v>
      </c>
      <c r="KL136">
        <v>1</v>
      </c>
      <c r="KM136">
        <v>1</v>
      </c>
      <c r="KN136">
        <v>1</v>
      </c>
      <c r="KO136">
        <v>1</v>
      </c>
      <c r="KP136">
        <v>1</v>
      </c>
      <c r="KQ136">
        <v>1</v>
      </c>
      <c r="KR136">
        <v>1</v>
      </c>
      <c r="KS136">
        <v>1</v>
      </c>
      <c r="KT136">
        <v>1</v>
      </c>
      <c r="KU136">
        <v>1</v>
      </c>
      <c r="KV136">
        <v>1</v>
      </c>
      <c r="KW136">
        <v>1</v>
      </c>
      <c r="KX136">
        <v>1</v>
      </c>
      <c r="KY136">
        <v>1</v>
      </c>
      <c r="KZ136">
        <v>1</v>
      </c>
      <c r="LA136">
        <v>1</v>
      </c>
      <c r="LB136">
        <v>1</v>
      </c>
      <c r="LC136">
        <v>1</v>
      </c>
      <c r="LD136">
        <v>1</v>
      </c>
      <c r="LE136">
        <v>1</v>
      </c>
      <c r="LF136">
        <v>1</v>
      </c>
      <c r="LG136">
        <v>1</v>
      </c>
      <c r="LH136">
        <v>1</v>
      </c>
      <c r="LI136">
        <v>1</v>
      </c>
      <c r="LJ136">
        <v>1</v>
      </c>
      <c r="LK136">
        <v>1</v>
      </c>
      <c r="LL136">
        <v>1</v>
      </c>
      <c r="LM136">
        <v>1</v>
      </c>
      <c r="LN136">
        <v>1</v>
      </c>
      <c r="LO136">
        <v>1</v>
      </c>
      <c r="LP136">
        <v>1</v>
      </c>
      <c r="LQ136">
        <v>1</v>
      </c>
      <c r="LR136">
        <v>1</v>
      </c>
      <c r="LS136">
        <v>1</v>
      </c>
      <c r="LT136">
        <v>1</v>
      </c>
      <c r="LU136">
        <v>1</v>
      </c>
      <c r="LV136">
        <v>1</v>
      </c>
      <c r="LW136">
        <v>1</v>
      </c>
      <c r="LX136">
        <v>1</v>
      </c>
      <c r="LY136">
        <v>1</v>
      </c>
      <c r="LZ136">
        <v>1</v>
      </c>
      <c r="MA136">
        <v>1</v>
      </c>
      <c r="MB136">
        <v>1</v>
      </c>
      <c r="MC136">
        <v>1</v>
      </c>
      <c r="MD136">
        <v>1</v>
      </c>
      <c r="ME136">
        <v>1</v>
      </c>
      <c r="MF136">
        <v>1</v>
      </c>
      <c r="MG136">
        <v>1</v>
      </c>
      <c r="MH136">
        <v>1</v>
      </c>
      <c r="MI136">
        <v>1</v>
      </c>
      <c r="MJ136">
        <v>1</v>
      </c>
      <c r="MK136">
        <v>1</v>
      </c>
      <c r="ML136">
        <v>1</v>
      </c>
      <c r="MM136">
        <v>1</v>
      </c>
      <c r="MN136">
        <v>1</v>
      </c>
      <c r="MO136">
        <v>1</v>
      </c>
      <c r="MP136">
        <v>1</v>
      </c>
      <c r="MQ136">
        <v>1</v>
      </c>
      <c r="MR136">
        <v>1</v>
      </c>
      <c r="MS136">
        <v>1</v>
      </c>
      <c r="MT136">
        <v>1</v>
      </c>
      <c r="MU136">
        <v>1</v>
      </c>
      <c r="MV136">
        <v>1</v>
      </c>
      <c r="MW136">
        <v>1</v>
      </c>
      <c r="MX136">
        <v>1</v>
      </c>
      <c r="MY136">
        <v>1</v>
      </c>
      <c r="MZ136">
        <v>1</v>
      </c>
      <c r="NA136">
        <v>1</v>
      </c>
      <c r="NB136">
        <v>1</v>
      </c>
      <c r="NC136">
        <v>1</v>
      </c>
      <c r="ND136">
        <v>1</v>
      </c>
      <c r="NE136">
        <v>1</v>
      </c>
      <c r="NF136">
        <v>1</v>
      </c>
      <c r="NG136">
        <v>1</v>
      </c>
      <c r="NH136">
        <v>1</v>
      </c>
      <c r="NI136">
        <v>1</v>
      </c>
      <c r="NJ136">
        <v>1</v>
      </c>
      <c r="NK136">
        <v>1</v>
      </c>
      <c r="NL136">
        <v>1</v>
      </c>
      <c r="NM136">
        <v>1</v>
      </c>
      <c r="NN136">
        <v>1</v>
      </c>
      <c r="NO136">
        <v>1</v>
      </c>
      <c r="NP136">
        <v>2</v>
      </c>
      <c r="NQ136">
        <v>2</v>
      </c>
      <c r="NR136">
        <v>2</v>
      </c>
      <c r="NS136">
        <v>2</v>
      </c>
      <c r="NT136">
        <v>2</v>
      </c>
      <c r="NU136">
        <v>2</v>
      </c>
      <c r="NV136">
        <v>2</v>
      </c>
      <c r="NW136">
        <v>2</v>
      </c>
      <c r="NX136">
        <v>2</v>
      </c>
      <c r="NY136">
        <v>2</v>
      </c>
      <c r="NZ136">
        <v>2</v>
      </c>
      <c r="OA136">
        <v>2</v>
      </c>
      <c r="OB136">
        <v>2</v>
      </c>
      <c r="OC136">
        <v>2</v>
      </c>
      <c r="OD136">
        <v>2</v>
      </c>
      <c r="OE136">
        <v>2</v>
      </c>
      <c r="OF136">
        <v>2</v>
      </c>
      <c r="OG136">
        <v>2</v>
      </c>
      <c r="OH136">
        <v>2</v>
      </c>
      <c r="OI136">
        <v>2</v>
      </c>
      <c r="OJ136">
        <v>2</v>
      </c>
      <c r="OK136">
        <v>2</v>
      </c>
      <c r="OL136">
        <v>2</v>
      </c>
      <c r="OM136">
        <v>2</v>
      </c>
      <c r="ON136">
        <v>2</v>
      </c>
      <c r="OO136">
        <v>2</v>
      </c>
      <c r="OP136">
        <v>2</v>
      </c>
      <c r="OQ136">
        <v>2</v>
      </c>
      <c r="OR136">
        <v>2</v>
      </c>
      <c r="OS136">
        <v>2</v>
      </c>
      <c r="OT136">
        <v>2</v>
      </c>
      <c r="OU136">
        <v>2</v>
      </c>
      <c r="OV136">
        <v>2</v>
      </c>
      <c r="OW136">
        <v>2</v>
      </c>
      <c r="OX136">
        <v>2</v>
      </c>
      <c r="OY136">
        <v>2</v>
      </c>
      <c r="OZ136">
        <v>2</v>
      </c>
      <c r="PA136">
        <v>2</v>
      </c>
      <c r="PB136">
        <v>2</v>
      </c>
      <c r="PC136">
        <v>2</v>
      </c>
      <c r="PD136">
        <v>2</v>
      </c>
      <c r="PE136">
        <v>2</v>
      </c>
      <c r="PF136">
        <v>2</v>
      </c>
      <c r="PG136">
        <v>2</v>
      </c>
      <c r="PH136">
        <v>2</v>
      </c>
      <c r="PI136">
        <v>2</v>
      </c>
      <c r="PJ136">
        <v>2</v>
      </c>
      <c r="PK136">
        <v>2</v>
      </c>
      <c r="PL136">
        <v>2</v>
      </c>
      <c r="PM136">
        <v>2</v>
      </c>
      <c r="PN136">
        <v>2</v>
      </c>
      <c r="PO136">
        <v>2</v>
      </c>
      <c r="PP136">
        <v>2</v>
      </c>
      <c r="PQ136">
        <v>2</v>
      </c>
      <c r="PR136">
        <v>2</v>
      </c>
      <c r="PS136">
        <v>2</v>
      </c>
      <c r="PT136">
        <v>2</v>
      </c>
      <c r="PU136">
        <v>2</v>
      </c>
      <c r="PV136">
        <v>2</v>
      </c>
      <c r="PW136">
        <v>2</v>
      </c>
      <c r="PX136">
        <v>2</v>
      </c>
      <c r="PY136">
        <v>2</v>
      </c>
      <c r="PZ136">
        <v>2</v>
      </c>
      <c r="QA136">
        <v>2</v>
      </c>
      <c r="QB136">
        <v>2</v>
      </c>
      <c r="QC136">
        <v>2</v>
      </c>
      <c r="QD136">
        <v>2</v>
      </c>
      <c r="QE136">
        <v>2</v>
      </c>
      <c r="QF136">
        <v>2</v>
      </c>
      <c r="QG136">
        <v>2</v>
      </c>
      <c r="QH136">
        <v>2</v>
      </c>
      <c r="QI136">
        <v>2</v>
      </c>
      <c r="QJ136">
        <v>2</v>
      </c>
      <c r="QK136">
        <v>2</v>
      </c>
      <c r="QL136">
        <v>2</v>
      </c>
      <c r="QM136">
        <v>2</v>
      </c>
      <c r="QN136">
        <v>2</v>
      </c>
      <c r="QO136">
        <v>2</v>
      </c>
      <c r="QP136">
        <v>2</v>
      </c>
      <c r="QQ136">
        <v>2</v>
      </c>
      <c r="QR136">
        <v>2</v>
      </c>
      <c r="QS136">
        <v>2</v>
      </c>
      <c r="QT136">
        <v>2</v>
      </c>
      <c r="QU136">
        <v>2</v>
      </c>
      <c r="QV136">
        <v>2</v>
      </c>
      <c r="QW136">
        <v>2</v>
      </c>
      <c r="QX136">
        <v>2</v>
      </c>
      <c r="QY136">
        <v>2</v>
      </c>
      <c r="QZ136">
        <v>2</v>
      </c>
      <c r="RA136">
        <v>2</v>
      </c>
      <c r="RB136">
        <v>2</v>
      </c>
      <c r="RC136">
        <v>2</v>
      </c>
      <c r="RD136">
        <v>2</v>
      </c>
      <c r="RE136">
        <v>2</v>
      </c>
      <c r="RF136">
        <v>2</v>
      </c>
      <c r="RG136">
        <v>2</v>
      </c>
      <c r="RH136">
        <v>2</v>
      </c>
      <c r="RI136">
        <v>2</v>
      </c>
      <c r="RJ136">
        <v>2</v>
      </c>
      <c r="RK136">
        <v>2</v>
      </c>
      <c r="RL136">
        <v>2</v>
      </c>
      <c r="RM136">
        <v>2</v>
      </c>
      <c r="RN136">
        <v>2</v>
      </c>
      <c r="RO136">
        <v>2</v>
      </c>
      <c r="RP136">
        <v>2</v>
      </c>
      <c r="RQ136">
        <v>2</v>
      </c>
      <c r="RR136">
        <v>2</v>
      </c>
      <c r="RS136">
        <v>2</v>
      </c>
      <c r="RT136">
        <v>2</v>
      </c>
      <c r="RU136">
        <v>2</v>
      </c>
      <c r="RV136">
        <v>2</v>
      </c>
      <c r="RW136">
        <v>2</v>
      </c>
      <c r="RX136">
        <v>2</v>
      </c>
      <c r="RY136">
        <v>2</v>
      </c>
      <c r="RZ136">
        <v>2</v>
      </c>
      <c r="SA136">
        <v>2</v>
      </c>
      <c r="SB136">
        <v>2</v>
      </c>
      <c r="SC136">
        <v>2</v>
      </c>
      <c r="SD136">
        <v>2</v>
      </c>
      <c r="SE136">
        <v>2</v>
      </c>
      <c r="SF136">
        <v>2</v>
      </c>
      <c r="SG136">
        <v>2</v>
      </c>
      <c r="SH136">
        <v>2</v>
      </c>
      <c r="SI136">
        <v>2</v>
      </c>
      <c r="SJ136">
        <v>2</v>
      </c>
      <c r="SK136">
        <v>2</v>
      </c>
      <c r="SL136">
        <v>2</v>
      </c>
      <c r="SM136">
        <v>2</v>
      </c>
      <c r="SN136">
        <v>2</v>
      </c>
      <c r="SO136">
        <v>2</v>
      </c>
      <c r="SP136">
        <v>2</v>
      </c>
      <c r="SQ136">
        <v>2</v>
      </c>
      <c r="SR136">
        <v>2</v>
      </c>
      <c r="SS136">
        <v>2</v>
      </c>
      <c r="ST136">
        <v>2</v>
      </c>
      <c r="SU136">
        <v>2</v>
      </c>
      <c r="SV136">
        <v>2</v>
      </c>
      <c r="SW136">
        <v>2</v>
      </c>
      <c r="SX136">
        <v>2</v>
      </c>
      <c r="SY136">
        <v>2</v>
      </c>
      <c r="SZ136">
        <v>2</v>
      </c>
      <c r="TA136">
        <v>2</v>
      </c>
      <c r="TB136">
        <v>2</v>
      </c>
      <c r="TC136">
        <v>2</v>
      </c>
      <c r="TD136">
        <v>2</v>
      </c>
      <c r="TE136">
        <v>2</v>
      </c>
      <c r="TF136">
        <v>2</v>
      </c>
      <c r="TG136">
        <v>2</v>
      </c>
      <c r="TH136">
        <v>2</v>
      </c>
      <c r="TI136">
        <v>2</v>
      </c>
      <c r="TJ136">
        <v>2</v>
      </c>
      <c r="TK136">
        <v>2</v>
      </c>
      <c r="TL136">
        <v>2</v>
      </c>
      <c r="TM136">
        <v>2</v>
      </c>
      <c r="TN136">
        <v>2</v>
      </c>
      <c r="TO136">
        <v>2</v>
      </c>
      <c r="TP136">
        <v>2</v>
      </c>
      <c r="TQ136">
        <v>2</v>
      </c>
      <c r="TR136">
        <v>2</v>
      </c>
      <c r="TS136">
        <v>2</v>
      </c>
      <c r="TT136">
        <v>2</v>
      </c>
      <c r="TU136">
        <v>2</v>
      </c>
      <c r="TV136">
        <v>2</v>
      </c>
      <c r="TW136">
        <v>2</v>
      </c>
      <c r="TX136">
        <v>2</v>
      </c>
      <c r="TY136">
        <v>2</v>
      </c>
      <c r="TZ136">
        <v>2</v>
      </c>
      <c r="UA136">
        <v>2</v>
      </c>
      <c r="UB136">
        <v>2</v>
      </c>
      <c r="UC136">
        <v>2</v>
      </c>
      <c r="UD136">
        <v>2</v>
      </c>
      <c r="UE136">
        <v>2</v>
      </c>
      <c r="UF136">
        <v>2</v>
      </c>
      <c r="UG136">
        <v>2</v>
      </c>
      <c r="UH136">
        <v>2</v>
      </c>
      <c r="UI136">
        <v>2</v>
      </c>
      <c r="UJ136">
        <v>2</v>
      </c>
      <c r="UK136">
        <v>2</v>
      </c>
      <c r="UL136">
        <v>2</v>
      </c>
      <c r="UM136">
        <v>2</v>
      </c>
      <c r="UN136">
        <v>2</v>
      </c>
      <c r="UO136">
        <v>2</v>
      </c>
      <c r="UP136">
        <v>2</v>
      </c>
      <c r="UQ136">
        <v>2</v>
      </c>
      <c r="UR136">
        <v>2</v>
      </c>
      <c r="US136">
        <v>2</v>
      </c>
      <c r="UT136">
        <v>2</v>
      </c>
      <c r="UU136">
        <v>2</v>
      </c>
      <c r="UV136">
        <v>2</v>
      </c>
      <c r="UW136">
        <v>2</v>
      </c>
      <c r="UX136">
        <v>2</v>
      </c>
      <c r="UY136">
        <v>2</v>
      </c>
      <c r="UZ136">
        <v>2</v>
      </c>
      <c r="VA136">
        <v>2</v>
      </c>
      <c r="VB136">
        <v>2</v>
      </c>
      <c r="VC136">
        <v>2</v>
      </c>
      <c r="VD136">
        <v>2</v>
      </c>
      <c r="VE136">
        <v>2</v>
      </c>
      <c r="VF136">
        <v>2</v>
      </c>
      <c r="VG136">
        <v>2</v>
      </c>
      <c r="VH136">
        <v>2</v>
      </c>
      <c r="VI136">
        <v>2</v>
      </c>
      <c r="VJ136">
        <v>2</v>
      </c>
      <c r="VK136">
        <v>1</v>
      </c>
      <c r="VL136">
        <v>1</v>
      </c>
      <c r="VM136">
        <v>1</v>
      </c>
      <c r="VN136">
        <v>1</v>
      </c>
      <c r="VO136">
        <v>1</v>
      </c>
      <c r="VP136">
        <v>1</v>
      </c>
      <c r="VQ136">
        <v>1</v>
      </c>
      <c r="VR136">
        <v>1</v>
      </c>
      <c r="VS136">
        <v>1</v>
      </c>
      <c r="VT136">
        <v>1</v>
      </c>
      <c r="VU136">
        <v>1</v>
      </c>
      <c r="VV136">
        <v>1</v>
      </c>
      <c r="VW136">
        <v>1</v>
      </c>
      <c r="VX136">
        <v>1</v>
      </c>
      <c r="VY136">
        <v>1</v>
      </c>
      <c r="VZ136">
        <v>1</v>
      </c>
      <c r="WA136">
        <v>1</v>
      </c>
      <c r="WB136">
        <v>1</v>
      </c>
      <c r="WC136">
        <v>1</v>
      </c>
      <c r="WD136">
        <v>1</v>
      </c>
      <c r="WE136">
        <v>1</v>
      </c>
      <c r="WF136">
        <v>1</v>
      </c>
      <c r="WG136">
        <v>1</v>
      </c>
      <c r="WH136">
        <v>1</v>
      </c>
      <c r="WI136">
        <v>1</v>
      </c>
      <c r="WJ136">
        <v>1</v>
      </c>
      <c r="WK136">
        <v>1</v>
      </c>
      <c r="WL136">
        <v>1</v>
      </c>
      <c r="WM136">
        <v>1</v>
      </c>
      <c r="WN136">
        <v>1</v>
      </c>
      <c r="WO136">
        <v>1</v>
      </c>
      <c r="WP136">
        <v>1</v>
      </c>
      <c r="WQ136">
        <v>1</v>
      </c>
      <c r="WR136">
        <v>1</v>
      </c>
      <c r="WS136">
        <v>1</v>
      </c>
      <c r="WT136">
        <v>1</v>
      </c>
      <c r="WU136">
        <v>1</v>
      </c>
      <c r="WV136">
        <v>1</v>
      </c>
      <c r="WW136">
        <v>1</v>
      </c>
      <c r="WX136">
        <v>1</v>
      </c>
      <c r="WY136">
        <v>2</v>
      </c>
      <c r="WZ136">
        <v>2</v>
      </c>
      <c r="XA136">
        <v>2</v>
      </c>
      <c r="XB136">
        <v>2</v>
      </c>
      <c r="XC136">
        <v>2</v>
      </c>
      <c r="XD136">
        <v>2</v>
      </c>
      <c r="XE136">
        <v>2</v>
      </c>
      <c r="XF136">
        <v>2</v>
      </c>
      <c r="XG136">
        <v>2</v>
      </c>
      <c r="XH136">
        <v>2</v>
      </c>
      <c r="XI136">
        <v>2</v>
      </c>
      <c r="XJ136">
        <v>2</v>
      </c>
      <c r="XK136">
        <v>2</v>
      </c>
      <c r="XL136">
        <v>2</v>
      </c>
      <c r="XM136">
        <v>2</v>
      </c>
      <c r="XN136">
        <v>2</v>
      </c>
      <c r="XO136">
        <v>2</v>
      </c>
      <c r="XP136">
        <v>2</v>
      </c>
      <c r="XQ136">
        <v>2</v>
      </c>
      <c r="XR136">
        <v>2</v>
      </c>
      <c r="XS136">
        <v>2</v>
      </c>
      <c r="XT136">
        <v>2</v>
      </c>
      <c r="XU136">
        <v>2</v>
      </c>
      <c r="XV136">
        <v>2</v>
      </c>
      <c r="XW136">
        <v>2</v>
      </c>
      <c r="XX136">
        <v>2</v>
      </c>
      <c r="XY136">
        <v>2</v>
      </c>
      <c r="XZ136">
        <v>2</v>
      </c>
      <c r="YA136">
        <v>2</v>
      </c>
      <c r="YB136">
        <v>2</v>
      </c>
      <c r="YC136">
        <v>2</v>
      </c>
      <c r="YD136">
        <v>2</v>
      </c>
      <c r="YE136">
        <v>2</v>
      </c>
      <c r="YF136">
        <v>2</v>
      </c>
      <c r="YG136">
        <v>2</v>
      </c>
      <c r="YH136">
        <v>2</v>
      </c>
      <c r="YI136">
        <v>2</v>
      </c>
      <c r="YJ136">
        <v>2</v>
      </c>
      <c r="YK136">
        <v>2</v>
      </c>
      <c r="YL136">
        <v>2</v>
      </c>
      <c r="YM136">
        <v>2</v>
      </c>
      <c r="YN136">
        <v>2</v>
      </c>
      <c r="YO136">
        <v>2</v>
      </c>
      <c r="YP136">
        <v>2</v>
      </c>
      <c r="YQ136">
        <v>2</v>
      </c>
      <c r="YR136">
        <v>2</v>
      </c>
      <c r="YS136">
        <v>2</v>
      </c>
      <c r="YT136">
        <v>2</v>
      </c>
      <c r="YU136">
        <v>2</v>
      </c>
      <c r="YV136">
        <v>2</v>
      </c>
      <c r="YW136">
        <v>2</v>
      </c>
      <c r="YX136">
        <v>2</v>
      </c>
      <c r="YY136">
        <v>2</v>
      </c>
      <c r="YZ136">
        <v>2</v>
      </c>
      <c r="ZA136">
        <v>2</v>
      </c>
      <c r="ZB136">
        <v>2</v>
      </c>
      <c r="ZC136">
        <v>2</v>
      </c>
      <c r="ZD136">
        <v>0</v>
      </c>
      <c r="ZE136">
        <v>0</v>
      </c>
      <c r="ZF136">
        <v>0</v>
      </c>
      <c r="ZG136">
        <v>0</v>
      </c>
      <c r="ZH136">
        <v>0</v>
      </c>
      <c r="ZI136">
        <v>0</v>
      </c>
      <c r="ZJ136">
        <v>0</v>
      </c>
      <c r="ZK136">
        <v>0</v>
      </c>
      <c r="ZL136">
        <v>0</v>
      </c>
      <c r="ZM136">
        <v>0</v>
      </c>
      <c r="ZN136">
        <v>0</v>
      </c>
      <c r="ZO136">
        <v>0</v>
      </c>
      <c r="ZP136">
        <v>0</v>
      </c>
      <c r="ZQ136">
        <v>0</v>
      </c>
      <c r="ZR136">
        <v>0</v>
      </c>
      <c r="ZS136">
        <v>0</v>
      </c>
      <c r="ZT136">
        <v>0</v>
      </c>
      <c r="ZU136">
        <v>0</v>
      </c>
      <c r="ZV136">
        <v>0</v>
      </c>
      <c r="ZW136">
        <v>0</v>
      </c>
      <c r="ZX136">
        <v>0</v>
      </c>
      <c r="ZY136">
        <v>0</v>
      </c>
      <c r="ZZ136">
        <v>0</v>
      </c>
      <c r="AAA136">
        <v>0</v>
      </c>
      <c r="AAB136">
        <v>0</v>
      </c>
      <c r="AAC136">
        <v>0</v>
      </c>
      <c r="AAD136">
        <v>2</v>
      </c>
      <c r="AAE136">
        <v>2</v>
      </c>
      <c r="AAF136">
        <v>2</v>
      </c>
      <c r="AAG136">
        <v>2</v>
      </c>
      <c r="AAH136">
        <v>2</v>
      </c>
      <c r="AAI136">
        <v>2</v>
      </c>
      <c r="AAJ136">
        <v>2</v>
      </c>
      <c r="AAK136">
        <v>2</v>
      </c>
      <c r="AAL136">
        <v>2</v>
      </c>
      <c r="AAM136">
        <v>2</v>
      </c>
      <c r="AAN136">
        <v>2</v>
      </c>
      <c r="AAO136">
        <v>2</v>
      </c>
      <c r="AAP136">
        <v>2</v>
      </c>
      <c r="AAQ136">
        <v>2</v>
      </c>
      <c r="AAR136">
        <v>2</v>
      </c>
      <c r="AAS136">
        <v>2</v>
      </c>
      <c r="AAT136">
        <v>2</v>
      </c>
      <c r="AAU136">
        <v>2</v>
      </c>
      <c r="AAV136">
        <v>2</v>
      </c>
      <c r="AAW136">
        <v>2</v>
      </c>
      <c r="AAX136">
        <v>2</v>
      </c>
      <c r="AAY136">
        <v>2</v>
      </c>
      <c r="AAZ136">
        <v>2</v>
      </c>
      <c r="ABA136">
        <v>2</v>
      </c>
      <c r="ABB136">
        <v>2</v>
      </c>
      <c r="ABC136">
        <v>2</v>
      </c>
      <c r="ABD136">
        <v>2</v>
      </c>
      <c r="ABE136">
        <v>2</v>
      </c>
      <c r="ABG136" s="1137">
        <f t="shared" si="37"/>
        <v>0</v>
      </c>
      <c r="ABH136" s="1137">
        <f t="shared" si="37"/>
        <v>0</v>
      </c>
      <c r="ABI136" s="1137">
        <f t="shared" si="37"/>
        <v>17</v>
      </c>
      <c r="ABJ136" s="1137">
        <f t="shared" si="37"/>
        <v>30</v>
      </c>
      <c r="ABK136" s="1137">
        <f t="shared" si="37"/>
        <v>31</v>
      </c>
      <c r="ABL136" s="1137">
        <f t="shared" si="37"/>
        <v>30</v>
      </c>
      <c r="ABM136" s="1137">
        <f t="shared" si="37"/>
        <v>31</v>
      </c>
      <c r="ABN136" s="1137">
        <f t="shared" si="37"/>
        <v>31</v>
      </c>
      <c r="ABO136" s="1137">
        <f t="shared" si="37"/>
        <v>30</v>
      </c>
      <c r="ABP136" s="1137">
        <f t="shared" si="37"/>
        <v>31</v>
      </c>
      <c r="ABQ136" s="1137">
        <f t="shared" si="37"/>
        <v>30</v>
      </c>
      <c r="ABR136" s="1137">
        <f t="shared" si="37"/>
        <v>31</v>
      </c>
      <c r="ABS136" s="1137">
        <f t="shared" si="37"/>
        <v>31</v>
      </c>
      <c r="ABT136" s="1137">
        <f t="shared" si="37"/>
        <v>28</v>
      </c>
      <c r="ABU136" s="1137">
        <f t="shared" si="37"/>
        <v>31</v>
      </c>
      <c r="ABV136" s="1137">
        <f t="shared" si="37"/>
        <v>30</v>
      </c>
      <c r="ABW136" s="1137">
        <f t="shared" si="31"/>
        <v>31</v>
      </c>
      <c r="ABX136" s="1137">
        <f t="shared" si="34"/>
        <v>30</v>
      </c>
      <c r="ABY136" s="1137">
        <f t="shared" si="34"/>
        <v>31</v>
      </c>
      <c r="ABZ136" s="1137">
        <f t="shared" si="34"/>
        <v>31</v>
      </c>
      <c r="ACA136" s="1137">
        <f t="shared" si="34"/>
        <v>30</v>
      </c>
      <c r="ACB136" s="1137">
        <f t="shared" si="34"/>
        <v>31</v>
      </c>
      <c r="ACC136" s="1137">
        <f t="shared" si="34"/>
        <v>7</v>
      </c>
      <c r="ACD136" s="1137">
        <f t="shared" si="34"/>
        <v>28</v>
      </c>
      <c r="ACE136" s="1137" t="s">
        <v>57</v>
      </c>
      <c r="ACF136" s="1137">
        <f t="shared" si="33"/>
        <v>0</v>
      </c>
      <c r="ACG136" s="1137">
        <f t="shared" si="33"/>
        <v>0</v>
      </c>
      <c r="ACH136" s="1137">
        <f t="shared" si="33"/>
        <v>1</v>
      </c>
      <c r="ACI136" s="1137">
        <f t="shared" si="33"/>
        <v>1</v>
      </c>
      <c r="ACJ136" s="1137">
        <f t="shared" si="33"/>
        <v>1</v>
      </c>
      <c r="ACK136" s="1137">
        <f t="shared" si="33"/>
        <v>1</v>
      </c>
      <c r="ACL136" s="1137">
        <f t="shared" si="33"/>
        <v>1</v>
      </c>
      <c r="ACM136" s="1137">
        <f t="shared" si="33"/>
        <v>1</v>
      </c>
      <c r="ACN136" s="1137">
        <f t="shared" si="33"/>
        <v>1</v>
      </c>
      <c r="ACO136" s="1137">
        <f t="shared" si="33"/>
        <v>1</v>
      </c>
      <c r="ACP136" s="1137">
        <f t="shared" si="33"/>
        <v>1</v>
      </c>
      <c r="ACQ136" s="1137">
        <f t="shared" si="32"/>
        <v>1</v>
      </c>
      <c r="ACR136" s="1137">
        <f t="shared" si="32"/>
        <v>1</v>
      </c>
      <c r="ACS136" s="1137">
        <f t="shared" si="32"/>
        <v>1</v>
      </c>
      <c r="ACT136" s="1137">
        <f t="shared" si="32"/>
        <v>1</v>
      </c>
      <c r="ACU136" s="1137">
        <f t="shared" si="32"/>
        <v>1</v>
      </c>
      <c r="ACV136" s="1137">
        <f t="shared" si="32"/>
        <v>1</v>
      </c>
      <c r="ACW136" s="1137">
        <f t="shared" si="32"/>
        <v>1</v>
      </c>
      <c r="ACX136" s="1137">
        <f t="shared" si="32"/>
        <v>1</v>
      </c>
      <c r="ACY136" s="1137">
        <f t="shared" si="32"/>
        <v>1</v>
      </c>
      <c r="ACZ136" s="1137">
        <f t="shared" si="32"/>
        <v>1</v>
      </c>
      <c r="ADA136" s="1137">
        <f t="shared" si="35"/>
        <v>1</v>
      </c>
      <c r="ADB136" s="1137">
        <f t="shared" si="35"/>
        <v>0</v>
      </c>
      <c r="ADC136" s="1137">
        <f t="shared" si="35"/>
        <v>1</v>
      </c>
    </row>
    <row r="137" spans="1:783" x14ac:dyDescent="0.25">
      <c r="A137" t="s">
        <v>1936</v>
      </c>
      <c r="B137" t="s">
        <v>56</v>
      </c>
      <c r="C137">
        <v>0</v>
      </c>
      <c r="D137">
        <v>0</v>
      </c>
      <c r="E137">
        <v>0</v>
      </c>
      <c r="F137">
        <v>0</v>
      </c>
      <c r="G137">
        <v>0</v>
      </c>
      <c r="H137">
        <v>0</v>
      </c>
      <c r="I137">
        <v>0</v>
      </c>
      <c r="J137">
        <v>0</v>
      </c>
      <c r="K137">
        <v>0</v>
      </c>
      <c r="L137">
        <v>0</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v>0</v>
      </c>
      <c r="AI137">
        <v>0</v>
      </c>
      <c r="AJ137">
        <v>0</v>
      </c>
      <c r="AK137">
        <v>0</v>
      </c>
      <c r="AL137">
        <v>0</v>
      </c>
      <c r="AM137">
        <v>0</v>
      </c>
      <c r="AN137">
        <v>0</v>
      </c>
      <c r="AO137">
        <v>0</v>
      </c>
      <c r="AP137">
        <v>0</v>
      </c>
      <c r="AQ137">
        <v>0</v>
      </c>
      <c r="AR137">
        <v>0</v>
      </c>
      <c r="AS137">
        <v>0</v>
      </c>
      <c r="AT137">
        <v>0</v>
      </c>
      <c r="AU137">
        <v>0</v>
      </c>
      <c r="AV137">
        <v>0</v>
      </c>
      <c r="AW137">
        <v>0</v>
      </c>
      <c r="AX137">
        <v>0</v>
      </c>
      <c r="AY137">
        <v>0</v>
      </c>
      <c r="AZ137">
        <v>0</v>
      </c>
      <c r="BA137">
        <v>0</v>
      </c>
      <c r="BB137">
        <v>0</v>
      </c>
      <c r="BC137">
        <v>0</v>
      </c>
      <c r="BD137">
        <v>0</v>
      </c>
      <c r="BE137">
        <v>0</v>
      </c>
      <c r="BF137">
        <v>0</v>
      </c>
      <c r="BG137">
        <v>0</v>
      </c>
      <c r="BH137">
        <v>0</v>
      </c>
      <c r="BI137">
        <v>0</v>
      </c>
      <c r="BJ137">
        <v>0</v>
      </c>
      <c r="BK137">
        <v>0</v>
      </c>
      <c r="BL137">
        <v>0</v>
      </c>
      <c r="BM137">
        <v>0</v>
      </c>
      <c r="BN137">
        <v>0</v>
      </c>
      <c r="BO137">
        <v>0</v>
      </c>
      <c r="BP137">
        <v>0</v>
      </c>
      <c r="BQ137">
        <v>0</v>
      </c>
      <c r="BR137">
        <v>0</v>
      </c>
      <c r="BS137">
        <v>0</v>
      </c>
      <c r="BT137">
        <v>0</v>
      </c>
      <c r="BU137">
        <v>0</v>
      </c>
      <c r="BV137">
        <v>0</v>
      </c>
      <c r="BW137">
        <v>0</v>
      </c>
      <c r="BX137">
        <v>0</v>
      </c>
      <c r="BY137">
        <v>0</v>
      </c>
      <c r="BZ137">
        <v>0</v>
      </c>
      <c r="CA137">
        <v>0</v>
      </c>
      <c r="CB137">
        <v>0</v>
      </c>
      <c r="CC137">
        <v>0</v>
      </c>
      <c r="CD137">
        <v>0</v>
      </c>
      <c r="CE137">
        <v>0</v>
      </c>
      <c r="CF137">
        <v>0</v>
      </c>
      <c r="CG137">
        <v>0</v>
      </c>
      <c r="CH137">
        <v>2</v>
      </c>
      <c r="CI137">
        <v>2</v>
      </c>
      <c r="CJ137">
        <v>2</v>
      </c>
      <c r="CK137">
        <v>2</v>
      </c>
      <c r="CL137">
        <v>2</v>
      </c>
      <c r="CM137">
        <v>2</v>
      </c>
      <c r="CN137">
        <v>2</v>
      </c>
      <c r="CO137">
        <v>2</v>
      </c>
      <c r="CP137">
        <v>2</v>
      </c>
      <c r="CQ137">
        <v>2</v>
      </c>
      <c r="CR137">
        <v>2</v>
      </c>
      <c r="CS137">
        <v>2</v>
      </c>
      <c r="CT137">
        <v>2</v>
      </c>
      <c r="CU137">
        <v>2</v>
      </c>
      <c r="CV137">
        <v>2</v>
      </c>
      <c r="CW137">
        <v>2</v>
      </c>
      <c r="CX137">
        <v>2</v>
      </c>
      <c r="CY137">
        <v>2</v>
      </c>
      <c r="CZ137">
        <v>2</v>
      </c>
      <c r="DA137">
        <v>2</v>
      </c>
      <c r="DB137">
        <v>2</v>
      </c>
      <c r="DC137">
        <v>2</v>
      </c>
      <c r="DD137">
        <v>2</v>
      </c>
      <c r="DE137">
        <v>2</v>
      </c>
      <c r="DF137">
        <v>2</v>
      </c>
      <c r="DG137">
        <v>2</v>
      </c>
      <c r="DH137">
        <v>2</v>
      </c>
      <c r="DI137">
        <v>2</v>
      </c>
      <c r="DJ137">
        <v>2</v>
      </c>
      <c r="DK137">
        <v>2</v>
      </c>
      <c r="DL137">
        <v>2</v>
      </c>
      <c r="DM137">
        <v>2</v>
      </c>
      <c r="DN137">
        <v>2</v>
      </c>
      <c r="DO137">
        <v>2</v>
      </c>
      <c r="DP137">
        <v>2</v>
      </c>
      <c r="DQ137">
        <v>2</v>
      </c>
      <c r="DR137">
        <v>2</v>
      </c>
      <c r="DS137">
        <v>2</v>
      </c>
      <c r="DT137">
        <v>2</v>
      </c>
      <c r="DU137">
        <v>2</v>
      </c>
      <c r="DV137">
        <v>2</v>
      </c>
      <c r="DW137">
        <v>2</v>
      </c>
      <c r="DX137">
        <v>2</v>
      </c>
      <c r="DY137">
        <v>2</v>
      </c>
      <c r="DZ137">
        <v>2</v>
      </c>
      <c r="EA137">
        <v>2</v>
      </c>
      <c r="EB137">
        <v>2</v>
      </c>
      <c r="EC137">
        <v>2</v>
      </c>
      <c r="ED137">
        <v>2</v>
      </c>
      <c r="EE137">
        <v>2</v>
      </c>
      <c r="EF137">
        <v>0</v>
      </c>
      <c r="EG137">
        <v>0</v>
      </c>
      <c r="EH137">
        <v>0</v>
      </c>
      <c r="EI137">
        <v>0</v>
      </c>
      <c r="EJ137">
        <v>0</v>
      </c>
      <c r="EK137">
        <v>0</v>
      </c>
      <c r="EL137">
        <v>0</v>
      </c>
      <c r="EM137">
        <v>0</v>
      </c>
      <c r="EN137">
        <v>0</v>
      </c>
      <c r="EO137">
        <v>0</v>
      </c>
      <c r="EP137">
        <v>0</v>
      </c>
      <c r="EQ137">
        <v>0</v>
      </c>
      <c r="ER137">
        <v>0</v>
      </c>
      <c r="ES137">
        <v>0</v>
      </c>
      <c r="ET137">
        <v>0</v>
      </c>
      <c r="EU137">
        <v>0</v>
      </c>
      <c r="EV137">
        <v>0</v>
      </c>
      <c r="EW137">
        <v>0</v>
      </c>
      <c r="EX137">
        <v>0</v>
      </c>
      <c r="EY137">
        <v>0</v>
      </c>
      <c r="EZ137">
        <v>0</v>
      </c>
      <c r="FA137">
        <v>0</v>
      </c>
      <c r="FB137">
        <v>0</v>
      </c>
      <c r="FC137">
        <v>0</v>
      </c>
      <c r="FD137">
        <v>0</v>
      </c>
      <c r="FE137">
        <v>0</v>
      </c>
      <c r="FF137">
        <v>0</v>
      </c>
      <c r="FG137">
        <v>0</v>
      </c>
      <c r="FH137">
        <v>0</v>
      </c>
      <c r="FI137">
        <v>0</v>
      </c>
      <c r="FJ137">
        <v>0</v>
      </c>
      <c r="FK137">
        <v>0</v>
      </c>
      <c r="FL137">
        <v>0</v>
      </c>
      <c r="FM137">
        <v>0</v>
      </c>
      <c r="FN137">
        <v>0</v>
      </c>
      <c r="FO137">
        <v>0</v>
      </c>
      <c r="FP137">
        <v>0</v>
      </c>
      <c r="FQ137">
        <v>0</v>
      </c>
      <c r="FR137">
        <v>0</v>
      </c>
      <c r="FS137">
        <v>0</v>
      </c>
      <c r="FT137">
        <v>0</v>
      </c>
      <c r="FU137">
        <v>0</v>
      </c>
      <c r="FV137">
        <v>0</v>
      </c>
      <c r="FW137">
        <v>0</v>
      </c>
      <c r="FX137">
        <v>0</v>
      </c>
      <c r="FY137">
        <v>0</v>
      </c>
      <c r="FZ137">
        <v>0</v>
      </c>
      <c r="GA137">
        <v>0</v>
      </c>
      <c r="GB137">
        <v>0</v>
      </c>
      <c r="GC137">
        <v>0</v>
      </c>
      <c r="GD137">
        <v>0</v>
      </c>
      <c r="GE137">
        <v>0</v>
      </c>
      <c r="GF137">
        <v>0</v>
      </c>
      <c r="GG137">
        <v>0</v>
      </c>
      <c r="GH137">
        <v>0</v>
      </c>
      <c r="GI137">
        <v>0</v>
      </c>
      <c r="GJ137">
        <v>0</v>
      </c>
      <c r="GK137">
        <v>0</v>
      </c>
      <c r="GL137">
        <v>0</v>
      </c>
      <c r="GM137">
        <v>0</v>
      </c>
      <c r="GN137">
        <v>0</v>
      </c>
      <c r="GO137">
        <v>0</v>
      </c>
      <c r="GP137">
        <v>0</v>
      </c>
      <c r="GQ137">
        <v>0</v>
      </c>
      <c r="GR137">
        <v>0</v>
      </c>
      <c r="GS137">
        <v>0</v>
      </c>
      <c r="GT137">
        <v>0</v>
      </c>
      <c r="GU137">
        <v>0</v>
      </c>
      <c r="GV137">
        <v>0</v>
      </c>
      <c r="GW137">
        <v>0</v>
      </c>
      <c r="GX137">
        <v>0</v>
      </c>
      <c r="GY137">
        <v>0</v>
      </c>
      <c r="GZ137">
        <v>0</v>
      </c>
      <c r="HA137">
        <v>0</v>
      </c>
      <c r="HB137">
        <v>0</v>
      </c>
      <c r="HC137">
        <v>0</v>
      </c>
      <c r="HD137">
        <v>0</v>
      </c>
      <c r="HE137">
        <v>0</v>
      </c>
      <c r="HF137">
        <v>0</v>
      </c>
      <c r="HG137">
        <v>0</v>
      </c>
      <c r="HH137">
        <v>0</v>
      </c>
      <c r="HI137">
        <v>0</v>
      </c>
      <c r="HJ137">
        <v>0</v>
      </c>
      <c r="HK137">
        <v>0</v>
      </c>
      <c r="HL137">
        <v>0</v>
      </c>
      <c r="HM137">
        <v>0</v>
      </c>
      <c r="HN137">
        <v>2</v>
      </c>
      <c r="HO137">
        <v>2</v>
      </c>
      <c r="HP137">
        <v>2</v>
      </c>
      <c r="HQ137">
        <v>2</v>
      </c>
      <c r="HR137">
        <v>2</v>
      </c>
      <c r="HS137">
        <v>2</v>
      </c>
      <c r="HT137">
        <v>2</v>
      </c>
      <c r="HU137">
        <v>2</v>
      </c>
      <c r="HV137">
        <v>2</v>
      </c>
      <c r="HW137">
        <v>2</v>
      </c>
      <c r="HX137">
        <v>0</v>
      </c>
      <c r="HY137">
        <v>0</v>
      </c>
      <c r="HZ137">
        <v>0</v>
      </c>
      <c r="IA137">
        <v>0</v>
      </c>
      <c r="IB137">
        <v>0</v>
      </c>
      <c r="IC137">
        <v>0</v>
      </c>
      <c r="ID137">
        <v>0</v>
      </c>
      <c r="IE137">
        <v>0</v>
      </c>
      <c r="IF137">
        <v>0</v>
      </c>
      <c r="IG137">
        <v>0</v>
      </c>
      <c r="IH137">
        <v>0</v>
      </c>
      <c r="II137">
        <v>0</v>
      </c>
      <c r="IJ137">
        <v>0</v>
      </c>
      <c r="IK137">
        <v>0</v>
      </c>
      <c r="IL137">
        <v>0</v>
      </c>
      <c r="IM137">
        <v>0</v>
      </c>
      <c r="IN137">
        <v>0</v>
      </c>
      <c r="IO137">
        <v>0</v>
      </c>
      <c r="IP137">
        <v>0</v>
      </c>
      <c r="IQ137">
        <v>0</v>
      </c>
      <c r="IR137">
        <v>0</v>
      </c>
      <c r="IS137">
        <v>0</v>
      </c>
      <c r="IT137">
        <v>0</v>
      </c>
      <c r="IU137">
        <v>0</v>
      </c>
      <c r="IV137">
        <v>0</v>
      </c>
      <c r="IW137">
        <v>0</v>
      </c>
      <c r="IX137">
        <v>0</v>
      </c>
      <c r="IY137">
        <v>0</v>
      </c>
      <c r="IZ137">
        <v>0</v>
      </c>
      <c r="JA137">
        <v>0</v>
      </c>
      <c r="JB137">
        <v>0</v>
      </c>
      <c r="JC137">
        <v>0</v>
      </c>
      <c r="JD137">
        <v>0</v>
      </c>
      <c r="JE137">
        <v>0</v>
      </c>
      <c r="JF137">
        <v>0</v>
      </c>
      <c r="JG137">
        <v>0</v>
      </c>
      <c r="JH137">
        <v>0</v>
      </c>
      <c r="JI137">
        <v>0</v>
      </c>
      <c r="JJ137">
        <v>0</v>
      </c>
      <c r="JK137">
        <v>0</v>
      </c>
      <c r="JL137">
        <v>0</v>
      </c>
      <c r="JM137">
        <v>0</v>
      </c>
      <c r="JN137">
        <v>0</v>
      </c>
      <c r="JO137">
        <v>0</v>
      </c>
      <c r="JP137">
        <v>0</v>
      </c>
      <c r="JQ137">
        <v>0</v>
      </c>
      <c r="JR137">
        <v>0</v>
      </c>
      <c r="JS137">
        <v>0</v>
      </c>
      <c r="JT137">
        <v>0</v>
      </c>
      <c r="JU137">
        <v>0</v>
      </c>
      <c r="JV137">
        <v>0</v>
      </c>
      <c r="JW137">
        <v>0</v>
      </c>
      <c r="JX137">
        <v>0</v>
      </c>
      <c r="JY137">
        <v>0</v>
      </c>
      <c r="JZ137">
        <v>0</v>
      </c>
      <c r="KA137">
        <v>0</v>
      </c>
      <c r="KB137">
        <v>0</v>
      </c>
      <c r="KC137">
        <v>0</v>
      </c>
      <c r="KD137">
        <v>0</v>
      </c>
      <c r="KE137">
        <v>0</v>
      </c>
      <c r="KF137">
        <v>0</v>
      </c>
      <c r="KG137">
        <v>0</v>
      </c>
      <c r="KH137">
        <v>0</v>
      </c>
      <c r="KI137">
        <v>0</v>
      </c>
      <c r="KJ137">
        <v>0</v>
      </c>
      <c r="KK137">
        <v>0</v>
      </c>
      <c r="KL137">
        <v>0</v>
      </c>
      <c r="KM137">
        <v>0</v>
      </c>
      <c r="KN137">
        <v>0</v>
      </c>
      <c r="KO137">
        <v>0</v>
      </c>
      <c r="KP137">
        <v>0</v>
      </c>
      <c r="KQ137">
        <v>0</v>
      </c>
      <c r="KR137">
        <v>0</v>
      </c>
      <c r="KS137">
        <v>0</v>
      </c>
      <c r="KT137">
        <v>0</v>
      </c>
      <c r="KU137">
        <v>0</v>
      </c>
      <c r="KV137">
        <v>0</v>
      </c>
      <c r="KW137">
        <v>0</v>
      </c>
      <c r="KX137">
        <v>0</v>
      </c>
      <c r="KY137">
        <v>0</v>
      </c>
      <c r="KZ137">
        <v>0</v>
      </c>
      <c r="LA137">
        <v>0</v>
      </c>
      <c r="LB137">
        <v>0</v>
      </c>
      <c r="LC137">
        <v>0</v>
      </c>
      <c r="LD137">
        <v>0</v>
      </c>
      <c r="LE137">
        <v>0</v>
      </c>
      <c r="LF137">
        <v>0</v>
      </c>
      <c r="LG137">
        <v>0</v>
      </c>
      <c r="LH137">
        <v>0</v>
      </c>
      <c r="LI137">
        <v>0</v>
      </c>
      <c r="LJ137">
        <v>0</v>
      </c>
      <c r="LK137">
        <v>0</v>
      </c>
      <c r="LL137">
        <v>0</v>
      </c>
      <c r="LM137">
        <v>0</v>
      </c>
      <c r="LN137">
        <v>0</v>
      </c>
      <c r="LO137">
        <v>0</v>
      </c>
      <c r="LP137">
        <v>0</v>
      </c>
      <c r="LQ137">
        <v>0</v>
      </c>
      <c r="LR137">
        <v>0</v>
      </c>
      <c r="LS137">
        <v>0</v>
      </c>
      <c r="LT137">
        <v>0</v>
      </c>
      <c r="LU137">
        <v>0</v>
      </c>
      <c r="LV137">
        <v>0</v>
      </c>
      <c r="LW137">
        <v>0</v>
      </c>
      <c r="LX137">
        <v>0</v>
      </c>
      <c r="LY137">
        <v>0</v>
      </c>
      <c r="LZ137">
        <v>0</v>
      </c>
      <c r="MA137">
        <v>0</v>
      </c>
      <c r="MB137">
        <v>0</v>
      </c>
      <c r="MC137">
        <v>0</v>
      </c>
      <c r="MD137">
        <v>0</v>
      </c>
      <c r="ME137">
        <v>0</v>
      </c>
      <c r="MF137">
        <v>0</v>
      </c>
      <c r="MG137">
        <v>0</v>
      </c>
      <c r="MH137">
        <v>0</v>
      </c>
      <c r="MI137">
        <v>0</v>
      </c>
      <c r="MJ137">
        <v>0</v>
      </c>
      <c r="MK137">
        <v>0</v>
      </c>
      <c r="ML137">
        <v>0</v>
      </c>
      <c r="MM137">
        <v>0</v>
      </c>
      <c r="MN137">
        <v>0</v>
      </c>
      <c r="MO137">
        <v>0</v>
      </c>
      <c r="MP137">
        <v>0</v>
      </c>
      <c r="MQ137">
        <v>0</v>
      </c>
      <c r="MR137">
        <v>0</v>
      </c>
      <c r="MS137">
        <v>0</v>
      </c>
      <c r="MT137">
        <v>0</v>
      </c>
      <c r="MU137">
        <v>0</v>
      </c>
      <c r="MV137">
        <v>0</v>
      </c>
      <c r="MW137">
        <v>0</v>
      </c>
      <c r="MX137">
        <v>0</v>
      </c>
      <c r="MY137">
        <v>0</v>
      </c>
      <c r="MZ137">
        <v>0</v>
      </c>
      <c r="NA137">
        <v>0</v>
      </c>
      <c r="NB137">
        <v>0</v>
      </c>
      <c r="NC137">
        <v>0</v>
      </c>
      <c r="ND137">
        <v>0</v>
      </c>
      <c r="NE137">
        <v>0</v>
      </c>
      <c r="NF137">
        <v>0</v>
      </c>
      <c r="NG137">
        <v>2</v>
      </c>
      <c r="NH137">
        <v>2</v>
      </c>
      <c r="NI137">
        <v>2</v>
      </c>
      <c r="NJ137">
        <v>2</v>
      </c>
      <c r="NK137">
        <v>2</v>
      </c>
      <c r="NL137">
        <v>2</v>
      </c>
      <c r="NM137">
        <v>2</v>
      </c>
      <c r="NN137">
        <v>2</v>
      </c>
      <c r="NO137">
        <v>2</v>
      </c>
      <c r="NP137">
        <v>2</v>
      </c>
      <c r="NQ137">
        <v>2</v>
      </c>
      <c r="NR137">
        <v>2</v>
      </c>
      <c r="NS137">
        <v>2</v>
      </c>
      <c r="NT137">
        <v>2</v>
      </c>
      <c r="NU137">
        <v>2</v>
      </c>
      <c r="NV137">
        <v>2</v>
      </c>
      <c r="NW137">
        <v>2</v>
      </c>
      <c r="NX137">
        <v>2</v>
      </c>
      <c r="NY137">
        <v>2</v>
      </c>
      <c r="NZ137">
        <v>2</v>
      </c>
      <c r="OA137">
        <v>2</v>
      </c>
      <c r="OB137">
        <v>2</v>
      </c>
      <c r="OC137">
        <v>2</v>
      </c>
      <c r="OD137">
        <v>2</v>
      </c>
      <c r="OE137">
        <v>2</v>
      </c>
      <c r="OF137">
        <v>2</v>
      </c>
      <c r="OG137">
        <v>2</v>
      </c>
      <c r="OH137">
        <v>2</v>
      </c>
      <c r="OI137">
        <v>2</v>
      </c>
      <c r="OJ137">
        <v>2</v>
      </c>
      <c r="OK137">
        <v>1</v>
      </c>
      <c r="OL137">
        <v>1</v>
      </c>
      <c r="OM137">
        <v>1</v>
      </c>
      <c r="ON137">
        <v>1</v>
      </c>
      <c r="OO137">
        <v>1</v>
      </c>
      <c r="OP137">
        <v>1</v>
      </c>
      <c r="OQ137">
        <v>1</v>
      </c>
      <c r="OR137">
        <v>1</v>
      </c>
      <c r="OS137">
        <v>1</v>
      </c>
      <c r="OT137">
        <v>1</v>
      </c>
      <c r="OU137">
        <v>1</v>
      </c>
      <c r="OV137">
        <v>1</v>
      </c>
      <c r="OW137">
        <v>1</v>
      </c>
      <c r="OX137">
        <v>1</v>
      </c>
      <c r="OY137">
        <v>2</v>
      </c>
      <c r="OZ137">
        <v>2</v>
      </c>
      <c r="PA137">
        <v>2</v>
      </c>
      <c r="PB137">
        <v>2</v>
      </c>
      <c r="PC137">
        <v>2</v>
      </c>
      <c r="PD137">
        <v>2</v>
      </c>
      <c r="PE137">
        <v>2</v>
      </c>
      <c r="PF137">
        <v>2</v>
      </c>
      <c r="PG137">
        <v>2</v>
      </c>
      <c r="PH137">
        <v>2</v>
      </c>
      <c r="PI137">
        <v>2</v>
      </c>
      <c r="PJ137">
        <v>2</v>
      </c>
      <c r="PK137">
        <v>2</v>
      </c>
      <c r="PL137">
        <v>2</v>
      </c>
      <c r="PM137">
        <v>2</v>
      </c>
      <c r="PN137">
        <v>2</v>
      </c>
      <c r="PO137">
        <v>2</v>
      </c>
      <c r="PP137">
        <v>2</v>
      </c>
      <c r="PQ137">
        <v>2</v>
      </c>
      <c r="PR137">
        <v>2</v>
      </c>
      <c r="PS137">
        <v>1</v>
      </c>
      <c r="PT137">
        <v>1</v>
      </c>
      <c r="PU137">
        <v>1</v>
      </c>
      <c r="PV137">
        <v>1</v>
      </c>
      <c r="PW137">
        <v>1</v>
      </c>
      <c r="PX137">
        <v>1</v>
      </c>
      <c r="PY137">
        <v>1</v>
      </c>
      <c r="PZ137">
        <v>1</v>
      </c>
      <c r="QA137">
        <v>1</v>
      </c>
      <c r="QB137">
        <v>1</v>
      </c>
      <c r="QC137">
        <v>1</v>
      </c>
      <c r="QD137">
        <v>1</v>
      </c>
      <c r="QE137">
        <v>1</v>
      </c>
      <c r="QF137">
        <v>1</v>
      </c>
      <c r="QG137">
        <v>1</v>
      </c>
      <c r="QH137">
        <v>1</v>
      </c>
      <c r="QI137">
        <v>1</v>
      </c>
      <c r="QJ137">
        <v>1</v>
      </c>
      <c r="QK137">
        <v>1</v>
      </c>
      <c r="QL137">
        <v>1</v>
      </c>
      <c r="QM137">
        <v>1</v>
      </c>
      <c r="QN137">
        <v>1</v>
      </c>
      <c r="QO137">
        <v>1</v>
      </c>
      <c r="QP137">
        <v>1</v>
      </c>
      <c r="QQ137">
        <v>1</v>
      </c>
      <c r="QR137">
        <v>1</v>
      </c>
      <c r="QS137">
        <v>1</v>
      </c>
      <c r="QT137">
        <v>1</v>
      </c>
      <c r="QU137">
        <v>2</v>
      </c>
      <c r="QV137">
        <v>2</v>
      </c>
      <c r="QW137">
        <v>2</v>
      </c>
      <c r="QX137">
        <v>2</v>
      </c>
      <c r="QY137">
        <v>2</v>
      </c>
      <c r="QZ137">
        <v>2</v>
      </c>
      <c r="RA137">
        <v>2</v>
      </c>
      <c r="RB137">
        <v>2</v>
      </c>
      <c r="RC137">
        <v>2</v>
      </c>
      <c r="RD137">
        <v>1</v>
      </c>
      <c r="RE137">
        <v>1</v>
      </c>
      <c r="RF137">
        <v>1</v>
      </c>
      <c r="RG137">
        <v>1</v>
      </c>
      <c r="RH137">
        <v>1</v>
      </c>
      <c r="RI137">
        <v>1</v>
      </c>
      <c r="RJ137">
        <v>1</v>
      </c>
      <c r="RK137">
        <v>1</v>
      </c>
      <c r="RL137">
        <v>1</v>
      </c>
      <c r="RM137">
        <v>1</v>
      </c>
      <c r="RN137">
        <v>1</v>
      </c>
      <c r="RO137">
        <v>1</v>
      </c>
      <c r="RP137">
        <v>1</v>
      </c>
      <c r="RQ137">
        <v>1</v>
      </c>
      <c r="RR137">
        <v>1</v>
      </c>
      <c r="RS137">
        <v>1</v>
      </c>
      <c r="RT137">
        <v>1</v>
      </c>
      <c r="RU137">
        <v>1</v>
      </c>
      <c r="RV137">
        <v>1</v>
      </c>
      <c r="RW137">
        <v>1</v>
      </c>
      <c r="RX137">
        <v>1</v>
      </c>
      <c r="RY137">
        <v>1</v>
      </c>
      <c r="RZ137">
        <v>1</v>
      </c>
      <c r="SA137">
        <v>1</v>
      </c>
      <c r="SB137">
        <v>1</v>
      </c>
      <c r="SC137">
        <v>1</v>
      </c>
      <c r="SD137">
        <v>1</v>
      </c>
      <c r="SE137">
        <v>1</v>
      </c>
      <c r="SF137">
        <v>1</v>
      </c>
      <c r="SG137">
        <v>1</v>
      </c>
      <c r="SH137">
        <v>1</v>
      </c>
      <c r="SI137">
        <v>1</v>
      </c>
      <c r="SJ137">
        <v>1</v>
      </c>
      <c r="SK137">
        <v>1</v>
      </c>
      <c r="SL137">
        <v>1</v>
      </c>
      <c r="SM137">
        <v>1</v>
      </c>
      <c r="SN137">
        <v>1</v>
      </c>
      <c r="SO137">
        <v>1</v>
      </c>
      <c r="SP137">
        <v>1</v>
      </c>
      <c r="SQ137">
        <v>1</v>
      </c>
      <c r="SR137">
        <v>1</v>
      </c>
      <c r="SS137">
        <v>1</v>
      </c>
      <c r="ST137">
        <v>1</v>
      </c>
      <c r="SU137">
        <v>1</v>
      </c>
      <c r="SV137">
        <v>1</v>
      </c>
      <c r="SW137">
        <v>1</v>
      </c>
      <c r="SX137">
        <v>1</v>
      </c>
      <c r="SY137">
        <v>1</v>
      </c>
      <c r="SZ137">
        <v>1</v>
      </c>
      <c r="TA137">
        <v>1</v>
      </c>
      <c r="TB137">
        <v>1</v>
      </c>
      <c r="TC137">
        <v>1</v>
      </c>
      <c r="TD137">
        <v>1</v>
      </c>
      <c r="TE137">
        <v>1</v>
      </c>
      <c r="TF137">
        <v>1</v>
      </c>
      <c r="TG137">
        <v>2</v>
      </c>
      <c r="TH137">
        <v>2</v>
      </c>
      <c r="TI137">
        <v>2</v>
      </c>
      <c r="TJ137">
        <v>2</v>
      </c>
      <c r="TK137">
        <v>2</v>
      </c>
      <c r="TL137">
        <v>2</v>
      </c>
      <c r="TM137">
        <v>2</v>
      </c>
      <c r="TN137">
        <v>2</v>
      </c>
      <c r="TO137">
        <v>2</v>
      </c>
      <c r="TP137">
        <v>2</v>
      </c>
      <c r="TQ137">
        <v>2</v>
      </c>
      <c r="TR137">
        <v>2</v>
      </c>
      <c r="TS137">
        <v>2</v>
      </c>
      <c r="TT137">
        <v>2</v>
      </c>
      <c r="TU137">
        <v>1</v>
      </c>
      <c r="TV137">
        <v>1</v>
      </c>
      <c r="TW137">
        <v>1</v>
      </c>
      <c r="TX137">
        <v>1</v>
      </c>
      <c r="TY137">
        <v>1</v>
      </c>
      <c r="TZ137">
        <v>1</v>
      </c>
      <c r="UA137">
        <v>1</v>
      </c>
      <c r="UB137">
        <v>1</v>
      </c>
      <c r="UC137">
        <v>1</v>
      </c>
      <c r="UD137">
        <v>1</v>
      </c>
      <c r="UE137">
        <v>1</v>
      </c>
      <c r="UF137">
        <v>1</v>
      </c>
      <c r="UG137">
        <v>1</v>
      </c>
      <c r="UH137">
        <v>1</v>
      </c>
      <c r="UI137">
        <v>1</v>
      </c>
      <c r="UJ137">
        <v>1</v>
      </c>
      <c r="UK137">
        <v>1</v>
      </c>
      <c r="UL137">
        <v>1</v>
      </c>
      <c r="UM137">
        <v>1</v>
      </c>
      <c r="UN137">
        <v>1</v>
      </c>
      <c r="UO137">
        <v>1</v>
      </c>
      <c r="UP137">
        <v>1</v>
      </c>
      <c r="UQ137">
        <v>1</v>
      </c>
      <c r="UR137">
        <v>1</v>
      </c>
      <c r="US137">
        <v>1</v>
      </c>
      <c r="UT137">
        <v>1</v>
      </c>
      <c r="UU137">
        <v>1</v>
      </c>
      <c r="UV137">
        <v>1</v>
      </c>
      <c r="UW137">
        <v>1</v>
      </c>
      <c r="UX137">
        <v>1</v>
      </c>
      <c r="UY137">
        <v>1</v>
      </c>
      <c r="UZ137">
        <v>1</v>
      </c>
      <c r="VA137">
        <v>1</v>
      </c>
      <c r="VB137">
        <v>1</v>
      </c>
      <c r="VC137">
        <v>1</v>
      </c>
      <c r="VD137">
        <v>1</v>
      </c>
      <c r="VE137">
        <v>1</v>
      </c>
      <c r="VF137">
        <v>1</v>
      </c>
      <c r="VG137">
        <v>1</v>
      </c>
      <c r="VH137">
        <v>1</v>
      </c>
      <c r="VI137">
        <v>1</v>
      </c>
      <c r="VJ137">
        <v>1</v>
      </c>
      <c r="VK137">
        <v>1</v>
      </c>
      <c r="VL137">
        <v>1</v>
      </c>
      <c r="VM137">
        <v>1</v>
      </c>
      <c r="VN137">
        <v>1</v>
      </c>
      <c r="VO137">
        <v>1</v>
      </c>
      <c r="VP137">
        <v>1</v>
      </c>
      <c r="VQ137">
        <v>1</v>
      </c>
      <c r="VR137">
        <v>1</v>
      </c>
      <c r="VS137">
        <v>1</v>
      </c>
      <c r="VT137">
        <v>1</v>
      </c>
      <c r="VU137">
        <v>1</v>
      </c>
      <c r="VV137">
        <v>1</v>
      </c>
      <c r="VW137">
        <v>1</v>
      </c>
      <c r="VX137">
        <v>1</v>
      </c>
      <c r="VY137">
        <v>1</v>
      </c>
      <c r="VZ137">
        <v>1</v>
      </c>
      <c r="WA137">
        <v>1</v>
      </c>
      <c r="WB137">
        <v>1</v>
      </c>
      <c r="WC137">
        <v>1</v>
      </c>
      <c r="WD137">
        <v>1</v>
      </c>
      <c r="WE137">
        <v>1</v>
      </c>
      <c r="WF137">
        <v>1</v>
      </c>
      <c r="WG137">
        <v>1</v>
      </c>
      <c r="WH137">
        <v>1</v>
      </c>
      <c r="WI137">
        <v>1</v>
      </c>
      <c r="WJ137">
        <v>1</v>
      </c>
      <c r="WK137">
        <v>1</v>
      </c>
      <c r="WL137">
        <v>1</v>
      </c>
      <c r="WM137">
        <v>1</v>
      </c>
      <c r="WN137">
        <v>1</v>
      </c>
      <c r="WO137">
        <v>1</v>
      </c>
      <c r="WP137">
        <v>1</v>
      </c>
      <c r="WQ137">
        <v>1</v>
      </c>
      <c r="WR137">
        <v>1</v>
      </c>
      <c r="WS137">
        <v>1</v>
      </c>
      <c r="WT137">
        <v>1</v>
      </c>
      <c r="WU137">
        <v>1</v>
      </c>
      <c r="WV137">
        <v>1</v>
      </c>
      <c r="WW137">
        <v>1</v>
      </c>
      <c r="WX137">
        <v>1</v>
      </c>
      <c r="WY137">
        <v>1</v>
      </c>
      <c r="WZ137">
        <v>1</v>
      </c>
      <c r="XA137">
        <v>1</v>
      </c>
      <c r="XB137">
        <v>1</v>
      </c>
      <c r="XC137">
        <v>1</v>
      </c>
      <c r="XD137">
        <v>2</v>
      </c>
      <c r="XE137">
        <v>2</v>
      </c>
      <c r="XF137">
        <v>1</v>
      </c>
      <c r="XG137">
        <v>1</v>
      </c>
      <c r="XH137">
        <v>1</v>
      </c>
      <c r="XI137">
        <v>1</v>
      </c>
      <c r="XJ137">
        <v>1</v>
      </c>
      <c r="XK137">
        <v>1</v>
      </c>
      <c r="XL137">
        <v>1</v>
      </c>
      <c r="XM137">
        <v>1</v>
      </c>
      <c r="XN137">
        <v>1</v>
      </c>
      <c r="XO137">
        <v>1</v>
      </c>
      <c r="XP137">
        <v>1</v>
      </c>
      <c r="XQ137">
        <v>1</v>
      </c>
      <c r="XR137">
        <v>1</v>
      </c>
      <c r="XS137">
        <v>1</v>
      </c>
      <c r="XT137">
        <v>1</v>
      </c>
      <c r="XU137">
        <v>1</v>
      </c>
      <c r="XV137">
        <v>1</v>
      </c>
      <c r="XW137">
        <v>2</v>
      </c>
      <c r="XX137">
        <v>2</v>
      </c>
      <c r="XY137">
        <v>2</v>
      </c>
      <c r="XZ137">
        <v>2</v>
      </c>
      <c r="YA137">
        <v>2</v>
      </c>
      <c r="YB137">
        <v>2</v>
      </c>
      <c r="YC137">
        <v>2</v>
      </c>
      <c r="YD137">
        <v>2</v>
      </c>
      <c r="YE137">
        <v>2</v>
      </c>
      <c r="YF137">
        <v>2</v>
      </c>
      <c r="YG137">
        <v>2</v>
      </c>
      <c r="YH137">
        <v>2</v>
      </c>
      <c r="YI137">
        <v>2</v>
      </c>
      <c r="YJ137">
        <v>2</v>
      </c>
      <c r="YK137">
        <v>2</v>
      </c>
      <c r="YL137">
        <v>2</v>
      </c>
      <c r="YM137">
        <v>2</v>
      </c>
      <c r="YN137">
        <v>2</v>
      </c>
      <c r="YO137">
        <v>2</v>
      </c>
      <c r="YP137">
        <v>2</v>
      </c>
      <c r="YQ137">
        <v>2</v>
      </c>
      <c r="YR137">
        <v>2</v>
      </c>
      <c r="YS137">
        <v>2</v>
      </c>
      <c r="YT137">
        <v>2</v>
      </c>
      <c r="YU137">
        <v>2</v>
      </c>
      <c r="YV137">
        <v>2</v>
      </c>
      <c r="YW137">
        <v>2</v>
      </c>
      <c r="YX137">
        <v>2</v>
      </c>
      <c r="YY137">
        <v>2</v>
      </c>
      <c r="YZ137">
        <v>2</v>
      </c>
      <c r="ZA137">
        <v>2</v>
      </c>
      <c r="ZB137">
        <v>2</v>
      </c>
      <c r="ZC137">
        <v>2</v>
      </c>
      <c r="ZD137">
        <v>2</v>
      </c>
      <c r="ZE137">
        <v>2</v>
      </c>
      <c r="ZF137">
        <v>2</v>
      </c>
      <c r="ZG137">
        <v>2</v>
      </c>
      <c r="ZH137">
        <v>2</v>
      </c>
      <c r="ZI137">
        <v>2</v>
      </c>
      <c r="ZJ137">
        <v>2</v>
      </c>
      <c r="ZK137">
        <v>2</v>
      </c>
      <c r="ZL137">
        <v>2</v>
      </c>
      <c r="ZM137">
        <v>2</v>
      </c>
      <c r="ZN137">
        <v>2</v>
      </c>
      <c r="ZO137">
        <v>2</v>
      </c>
      <c r="ZP137">
        <v>2</v>
      </c>
      <c r="ZQ137">
        <v>2</v>
      </c>
      <c r="ZR137">
        <v>2</v>
      </c>
      <c r="ZS137">
        <v>2</v>
      </c>
      <c r="ZT137">
        <v>2</v>
      </c>
      <c r="ZU137">
        <v>2</v>
      </c>
      <c r="ZV137">
        <v>2</v>
      </c>
      <c r="ZW137">
        <v>2</v>
      </c>
      <c r="ZX137">
        <v>2</v>
      </c>
      <c r="ZY137">
        <v>1</v>
      </c>
      <c r="ZZ137">
        <v>1</v>
      </c>
      <c r="AAA137">
        <v>1</v>
      </c>
      <c r="AAB137">
        <v>1</v>
      </c>
      <c r="AAC137">
        <v>1</v>
      </c>
      <c r="AAD137">
        <v>1</v>
      </c>
      <c r="AAE137">
        <v>1</v>
      </c>
      <c r="AAF137">
        <v>1</v>
      </c>
      <c r="AAG137">
        <v>1</v>
      </c>
      <c r="AAH137">
        <v>1</v>
      </c>
      <c r="AAI137">
        <v>1</v>
      </c>
      <c r="AAJ137">
        <v>2</v>
      </c>
      <c r="AAK137">
        <v>2</v>
      </c>
      <c r="AAL137">
        <v>2</v>
      </c>
      <c r="AAM137">
        <v>2</v>
      </c>
      <c r="AAN137">
        <v>2</v>
      </c>
      <c r="AAO137">
        <v>2</v>
      </c>
      <c r="AAP137">
        <v>2</v>
      </c>
      <c r="AAQ137">
        <v>2</v>
      </c>
      <c r="AAR137">
        <v>2</v>
      </c>
      <c r="AAS137">
        <v>2</v>
      </c>
      <c r="AAT137">
        <v>2</v>
      </c>
      <c r="AAU137">
        <v>2</v>
      </c>
      <c r="AAV137">
        <v>2</v>
      </c>
      <c r="AAW137">
        <v>2</v>
      </c>
      <c r="AAX137">
        <v>2</v>
      </c>
      <c r="AAY137">
        <v>2</v>
      </c>
      <c r="AAZ137">
        <v>2</v>
      </c>
      <c r="ABA137">
        <v>2</v>
      </c>
      <c r="ABB137">
        <v>2</v>
      </c>
      <c r="ABC137">
        <v>2</v>
      </c>
      <c r="ABD137">
        <v>2</v>
      </c>
      <c r="ABE137">
        <v>2</v>
      </c>
      <c r="ABG137" s="1137">
        <f t="shared" si="37"/>
        <v>0</v>
      </c>
      <c r="ABH137" s="1137">
        <f t="shared" si="37"/>
        <v>0</v>
      </c>
      <c r="ABI137" s="1137">
        <f t="shared" si="37"/>
        <v>8</v>
      </c>
      <c r="ABJ137" s="1137">
        <f t="shared" si="37"/>
        <v>30</v>
      </c>
      <c r="ABK137" s="1137">
        <f t="shared" si="37"/>
        <v>12</v>
      </c>
      <c r="ABL137" s="1137">
        <f t="shared" si="37"/>
        <v>0</v>
      </c>
      <c r="ABM137" s="1137">
        <f t="shared" si="37"/>
        <v>0</v>
      </c>
      <c r="ABN137" s="1137">
        <f t="shared" si="37"/>
        <v>10</v>
      </c>
      <c r="ABO137" s="1137">
        <f t="shared" si="37"/>
        <v>0</v>
      </c>
      <c r="ABP137" s="1137">
        <f t="shared" si="37"/>
        <v>0</v>
      </c>
      <c r="ABQ137" s="1137">
        <f t="shared" si="37"/>
        <v>0</v>
      </c>
      <c r="ABR137" s="1137">
        <f t="shared" si="37"/>
        <v>0</v>
      </c>
      <c r="ABS137" s="1137">
        <f t="shared" si="37"/>
        <v>29</v>
      </c>
      <c r="ABT137" s="1137">
        <f t="shared" si="37"/>
        <v>28</v>
      </c>
      <c r="ABU137" s="1137">
        <f t="shared" si="37"/>
        <v>31</v>
      </c>
      <c r="ABV137" s="1137">
        <f t="shared" si="37"/>
        <v>30</v>
      </c>
      <c r="ABW137" s="1137">
        <f t="shared" si="31"/>
        <v>31</v>
      </c>
      <c r="ABX137" s="1137">
        <f t="shared" si="34"/>
        <v>30</v>
      </c>
      <c r="ABY137" s="1137">
        <f t="shared" si="34"/>
        <v>31</v>
      </c>
      <c r="ABZ137" s="1137">
        <f t="shared" si="34"/>
        <v>31</v>
      </c>
      <c r="ACA137" s="1137">
        <f t="shared" si="34"/>
        <v>30</v>
      </c>
      <c r="ACB137" s="1137">
        <f t="shared" si="34"/>
        <v>31</v>
      </c>
      <c r="ACC137" s="1137">
        <f t="shared" si="34"/>
        <v>30</v>
      </c>
      <c r="ACD137" s="1137">
        <f t="shared" si="34"/>
        <v>31</v>
      </c>
      <c r="ACE137" s="1137" t="s">
        <v>56</v>
      </c>
      <c r="ACF137" s="1137">
        <f t="shared" si="33"/>
        <v>0</v>
      </c>
      <c r="ACG137" s="1137">
        <f t="shared" si="33"/>
        <v>0</v>
      </c>
      <c r="ACH137" s="1137">
        <f t="shared" si="33"/>
        <v>0</v>
      </c>
      <c r="ACI137" s="1137">
        <f t="shared" si="33"/>
        <v>1</v>
      </c>
      <c r="ACJ137" s="1137">
        <f t="shared" si="33"/>
        <v>1</v>
      </c>
      <c r="ACK137" s="1137">
        <f t="shared" si="33"/>
        <v>0</v>
      </c>
      <c r="ACL137" s="1137">
        <f t="shared" si="33"/>
        <v>0</v>
      </c>
      <c r="ACM137" s="1137">
        <f t="shared" si="33"/>
        <v>0</v>
      </c>
      <c r="ACN137" s="1137">
        <f t="shared" si="33"/>
        <v>0</v>
      </c>
      <c r="ACO137" s="1137">
        <f t="shared" si="33"/>
        <v>0</v>
      </c>
      <c r="ACP137" s="1137">
        <f t="shared" si="33"/>
        <v>0</v>
      </c>
      <c r="ACQ137" s="1137">
        <f t="shared" si="32"/>
        <v>0</v>
      </c>
      <c r="ACR137" s="1137">
        <f t="shared" si="32"/>
        <v>1</v>
      </c>
      <c r="ACS137" s="1137">
        <f t="shared" si="32"/>
        <v>1</v>
      </c>
      <c r="ACT137" s="1137">
        <f t="shared" si="32"/>
        <v>1</v>
      </c>
      <c r="ACU137" s="1137">
        <f t="shared" si="32"/>
        <v>1</v>
      </c>
      <c r="ACV137" s="1137">
        <f t="shared" si="32"/>
        <v>1</v>
      </c>
      <c r="ACW137" s="1137">
        <f t="shared" si="32"/>
        <v>1</v>
      </c>
      <c r="ACX137" s="1137">
        <f t="shared" si="32"/>
        <v>1</v>
      </c>
      <c r="ACY137" s="1137">
        <f t="shared" si="32"/>
        <v>1</v>
      </c>
      <c r="ACZ137" s="1137">
        <f t="shared" si="32"/>
        <v>1</v>
      </c>
      <c r="ADA137" s="1137">
        <f t="shared" si="35"/>
        <v>1</v>
      </c>
      <c r="ADB137" s="1137">
        <f t="shared" si="35"/>
        <v>1</v>
      </c>
      <c r="ADC137" s="1137">
        <f t="shared" si="35"/>
        <v>1</v>
      </c>
    </row>
    <row r="138" spans="1:783" x14ac:dyDescent="0.25">
      <c r="A138" t="s">
        <v>1937</v>
      </c>
      <c r="B138" t="s">
        <v>236</v>
      </c>
      <c r="C138">
        <v>0</v>
      </c>
      <c r="D138">
        <v>0</v>
      </c>
      <c r="E138">
        <v>0</v>
      </c>
      <c r="F138">
        <v>0</v>
      </c>
      <c r="G138">
        <v>0</v>
      </c>
      <c r="H138">
        <v>0</v>
      </c>
      <c r="I138">
        <v>0</v>
      </c>
      <c r="J138">
        <v>0</v>
      </c>
      <c r="K138">
        <v>0</v>
      </c>
      <c r="L138">
        <v>0</v>
      </c>
      <c r="M138">
        <v>0</v>
      </c>
      <c r="N138">
        <v>0</v>
      </c>
      <c r="O138">
        <v>0</v>
      </c>
      <c r="P138">
        <v>0</v>
      </c>
      <c r="Q138">
        <v>0</v>
      </c>
      <c r="R138">
        <v>0</v>
      </c>
      <c r="S138">
        <v>0</v>
      </c>
      <c r="T138">
        <v>0</v>
      </c>
      <c r="U138">
        <v>0</v>
      </c>
      <c r="V138">
        <v>0</v>
      </c>
      <c r="W138">
        <v>0</v>
      </c>
      <c r="X138">
        <v>0</v>
      </c>
      <c r="Y138">
        <v>0</v>
      </c>
      <c r="Z138">
        <v>0</v>
      </c>
      <c r="AA138">
        <v>0</v>
      </c>
      <c r="AB138">
        <v>0</v>
      </c>
      <c r="AC138">
        <v>0</v>
      </c>
      <c r="AD138">
        <v>0</v>
      </c>
      <c r="AE138">
        <v>0</v>
      </c>
      <c r="AF138">
        <v>0</v>
      </c>
      <c r="AG138">
        <v>0</v>
      </c>
      <c r="AH138">
        <v>0</v>
      </c>
      <c r="AI138">
        <v>0</v>
      </c>
      <c r="AJ138">
        <v>0</v>
      </c>
      <c r="AK138">
        <v>0</v>
      </c>
      <c r="AL138">
        <v>0</v>
      </c>
      <c r="AM138">
        <v>0</v>
      </c>
      <c r="AN138">
        <v>0</v>
      </c>
      <c r="AO138">
        <v>0</v>
      </c>
      <c r="AP138">
        <v>0</v>
      </c>
      <c r="AQ138">
        <v>0</v>
      </c>
      <c r="AR138">
        <v>0</v>
      </c>
      <c r="AS138">
        <v>0</v>
      </c>
      <c r="AT138">
        <v>0</v>
      </c>
      <c r="AU138">
        <v>0</v>
      </c>
      <c r="AV138">
        <v>0</v>
      </c>
      <c r="AW138">
        <v>0</v>
      </c>
      <c r="AX138">
        <v>0</v>
      </c>
      <c r="AY138">
        <v>0</v>
      </c>
      <c r="AZ138">
        <v>0</v>
      </c>
      <c r="BA138">
        <v>0</v>
      </c>
      <c r="BB138">
        <v>0</v>
      </c>
      <c r="BC138">
        <v>0</v>
      </c>
      <c r="BD138">
        <v>0</v>
      </c>
      <c r="BE138">
        <v>0</v>
      </c>
      <c r="BF138">
        <v>0</v>
      </c>
      <c r="BG138">
        <v>0</v>
      </c>
      <c r="BH138">
        <v>0</v>
      </c>
      <c r="BI138">
        <v>0</v>
      </c>
      <c r="BJ138">
        <v>0</v>
      </c>
      <c r="BK138">
        <v>0</v>
      </c>
      <c r="BL138">
        <v>0</v>
      </c>
      <c r="BM138">
        <v>0</v>
      </c>
      <c r="BN138">
        <v>0</v>
      </c>
      <c r="BO138">
        <v>0</v>
      </c>
      <c r="BP138">
        <v>0</v>
      </c>
      <c r="BQ138">
        <v>0</v>
      </c>
      <c r="BR138">
        <v>0</v>
      </c>
      <c r="BS138">
        <v>0</v>
      </c>
      <c r="BT138">
        <v>0</v>
      </c>
      <c r="BU138">
        <v>0</v>
      </c>
      <c r="BV138">
        <v>1</v>
      </c>
      <c r="BW138">
        <v>1</v>
      </c>
      <c r="BX138">
        <v>1</v>
      </c>
      <c r="BY138">
        <v>1</v>
      </c>
      <c r="BZ138">
        <v>1</v>
      </c>
      <c r="CA138">
        <v>1</v>
      </c>
      <c r="CB138">
        <v>1</v>
      </c>
      <c r="CC138">
        <v>1</v>
      </c>
      <c r="CD138">
        <v>1</v>
      </c>
      <c r="CE138">
        <v>1</v>
      </c>
      <c r="CF138">
        <v>1</v>
      </c>
      <c r="CG138">
        <v>1</v>
      </c>
      <c r="CH138">
        <v>1</v>
      </c>
      <c r="CI138">
        <v>1</v>
      </c>
      <c r="CJ138">
        <v>1</v>
      </c>
      <c r="CK138">
        <v>1</v>
      </c>
      <c r="CL138">
        <v>1</v>
      </c>
      <c r="CM138">
        <v>1</v>
      </c>
      <c r="CN138">
        <v>1</v>
      </c>
      <c r="CO138">
        <v>2</v>
      </c>
      <c r="CP138">
        <v>2</v>
      </c>
      <c r="CQ138">
        <v>2</v>
      </c>
      <c r="CR138">
        <v>2</v>
      </c>
      <c r="CS138">
        <v>2</v>
      </c>
      <c r="CT138">
        <v>2</v>
      </c>
      <c r="CU138">
        <v>2</v>
      </c>
      <c r="CV138">
        <v>2</v>
      </c>
      <c r="CW138">
        <v>2</v>
      </c>
      <c r="CX138">
        <v>2</v>
      </c>
      <c r="CY138">
        <v>2</v>
      </c>
      <c r="CZ138">
        <v>2</v>
      </c>
      <c r="DA138">
        <v>2</v>
      </c>
      <c r="DB138">
        <v>2</v>
      </c>
      <c r="DC138">
        <v>2</v>
      </c>
      <c r="DD138">
        <v>2</v>
      </c>
      <c r="DE138">
        <v>2</v>
      </c>
      <c r="DF138">
        <v>2</v>
      </c>
      <c r="DG138">
        <v>2</v>
      </c>
      <c r="DH138">
        <v>2</v>
      </c>
      <c r="DI138">
        <v>2</v>
      </c>
      <c r="DJ138">
        <v>2</v>
      </c>
      <c r="DK138">
        <v>2</v>
      </c>
      <c r="DL138">
        <v>2</v>
      </c>
      <c r="DM138">
        <v>2</v>
      </c>
      <c r="DN138">
        <v>2</v>
      </c>
      <c r="DO138">
        <v>2</v>
      </c>
      <c r="DP138">
        <v>2</v>
      </c>
      <c r="DQ138">
        <v>2</v>
      </c>
      <c r="DR138">
        <v>2</v>
      </c>
      <c r="DS138">
        <v>2</v>
      </c>
      <c r="DT138">
        <v>2</v>
      </c>
      <c r="DU138">
        <v>2</v>
      </c>
      <c r="DV138">
        <v>2</v>
      </c>
      <c r="DW138">
        <v>2</v>
      </c>
      <c r="DX138">
        <v>2</v>
      </c>
      <c r="DY138">
        <v>2</v>
      </c>
      <c r="DZ138">
        <v>2</v>
      </c>
      <c r="EA138">
        <v>2</v>
      </c>
      <c r="EB138">
        <v>2</v>
      </c>
      <c r="EC138">
        <v>2</v>
      </c>
      <c r="ED138">
        <v>2</v>
      </c>
      <c r="EE138">
        <v>2</v>
      </c>
      <c r="EF138">
        <v>2</v>
      </c>
      <c r="EG138">
        <v>2</v>
      </c>
      <c r="EH138">
        <v>2</v>
      </c>
      <c r="EI138">
        <v>2</v>
      </c>
      <c r="EJ138">
        <v>2</v>
      </c>
      <c r="EK138">
        <v>2</v>
      </c>
      <c r="EL138">
        <v>2</v>
      </c>
      <c r="EM138">
        <v>2</v>
      </c>
      <c r="EN138">
        <v>2</v>
      </c>
      <c r="EO138">
        <v>2</v>
      </c>
      <c r="EP138">
        <v>2</v>
      </c>
      <c r="EQ138">
        <v>2</v>
      </c>
      <c r="ER138">
        <v>2</v>
      </c>
      <c r="ES138">
        <v>2</v>
      </c>
      <c r="ET138">
        <v>2</v>
      </c>
      <c r="EU138">
        <v>2</v>
      </c>
      <c r="EV138">
        <v>2</v>
      </c>
      <c r="EW138">
        <v>2</v>
      </c>
      <c r="EX138">
        <v>2</v>
      </c>
      <c r="EY138">
        <v>2</v>
      </c>
      <c r="EZ138">
        <v>0</v>
      </c>
      <c r="FA138">
        <v>0</v>
      </c>
      <c r="FB138">
        <v>0</v>
      </c>
      <c r="FC138">
        <v>0</v>
      </c>
      <c r="FD138">
        <v>0</v>
      </c>
      <c r="FE138">
        <v>0</v>
      </c>
      <c r="FF138">
        <v>0</v>
      </c>
      <c r="FG138">
        <v>0</v>
      </c>
      <c r="FH138">
        <v>0</v>
      </c>
      <c r="FI138">
        <v>0</v>
      </c>
      <c r="FJ138">
        <v>0</v>
      </c>
      <c r="FK138">
        <v>0</v>
      </c>
      <c r="FL138">
        <v>0</v>
      </c>
      <c r="FM138">
        <v>0</v>
      </c>
      <c r="FN138">
        <v>0</v>
      </c>
      <c r="FO138">
        <v>0</v>
      </c>
      <c r="FP138">
        <v>0</v>
      </c>
      <c r="FQ138">
        <v>0</v>
      </c>
      <c r="FR138">
        <v>0</v>
      </c>
      <c r="FS138">
        <v>0</v>
      </c>
      <c r="FT138">
        <v>0</v>
      </c>
      <c r="FU138">
        <v>0</v>
      </c>
      <c r="FV138">
        <v>0</v>
      </c>
      <c r="FW138">
        <v>0</v>
      </c>
      <c r="FX138">
        <v>0</v>
      </c>
      <c r="FY138">
        <v>0</v>
      </c>
      <c r="FZ138">
        <v>0</v>
      </c>
      <c r="GA138">
        <v>0</v>
      </c>
      <c r="GB138">
        <v>0</v>
      </c>
      <c r="GC138">
        <v>0</v>
      </c>
      <c r="GD138">
        <v>0</v>
      </c>
      <c r="GE138">
        <v>0</v>
      </c>
      <c r="GF138">
        <v>0</v>
      </c>
      <c r="GG138">
        <v>0</v>
      </c>
      <c r="GH138">
        <v>0</v>
      </c>
      <c r="GI138">
        <v>0</v>
      </c>
      <c r="GJ138">
        <v>0</v>
      </c>
      <c r="GK138">
        <v>0</v>
      </c>
      <c r="GL138">
        <v>0</v>
      </c>
      <c r="GM138">
        <v>0</v>
      </c>
      <c r="GN138">
        <v>0</v>
      </c>
      <c r="GO138">
        <v>0</v>
      </c>
      <c r="GP138">
        <v>0</v>
      </c>
      <c r="GQ138">
        <v>0</v>
      </c>
      <c r="GR138">
        <v>0</v>
      </c>
      <c r="GS138">
        <v>0</v>
      </c>
      <c r="GT138">
        <v>0</v>
      </c>
      <c r="GU138">
        <v>0</v>
      </c>
      <c r="GV138">
        <v>0</v>
      </c>
      <c r="GW138">
        <v>0</v>
      </c>
      <c r="GX138">
        <v>0</v>
      </c>
      <c r="GY138">
        <v>0</v>
      </c>
      <c r="GZ138">
        <v>0</v>
      </c>
      <c r="HA138">
        <v>0</v>
      </c>
      <c r="HB138">
        <v>0</v>
      </c>
      <c r="HC138">
        <v>0</v>
      </c>
      <c r="HD138">
        <v>0</v>
      </c>
      <c r="HE138">
        <v>0</v>
      </c>
      <c r="HF138">
        <v>0</v>
      </c>
      <c r="HG138">
        <v>0</v>
      </c>
      <c r="HH138">
        <v>0</v>
      </c>
      <c r="HI138">
        <v>0</v>
      </c>
      <c r="HJ138">
        <v>0</v>
      </c>
      <c r="HK138">
        <v>0</v>
      </c>
      <c r="HL138">
        <v>0</v>
      </c>
      <c r="HM138">
        <v>0</v>
      </c>
      <c r="HN138">
        <v>0</v>
      </c>
      <c r="HO138">
        <v>0</v>
      </c>
      <c r="HP138">
        <v>0</v>
      </c>
      <c r="HQ138">
        <v>0</v>
      </c>
      <c r="HR138">
        <v>0</v>
      </c>
      <c r="HS138">
        <v>0</v>
      </c>
      <c r="HT138">
        <v>0</v>
      </c>
      <c r="HU138">
        <v>0</v>
      </c>
      <c r="HV138">
        <v>0</v>
      </c>
      <c r="HW138">
        <v>0</v>
      </c>
      <c r="HX138">
        <v>0</v>
      </c>
      <c r="HY138">
        <v>0</v>
      </c>
      <c r="HZ138">
        <v>0</v>
      </c>
      <c r="IA138">
        <v>0</v>
      </c>
      <c r="IB138">
        <v>0</v>
      </c>
      <c r="IC138">
        <v>0</v>
      </c>
      <c r="ID138">
        <v>0</v>
      </c>
      <c r="IE138">
        <v>0</v>
      </c>
      <c r="IF138">
        <v>0</v>
      </c>
      <c r="IG138">
        <v>0</v>
      </c>
      <c r="IH138">
        <v>0</v>
      </c>
      <c r="II138">
        <v>0</v>
      </c>
      <c r="IJ138">
        <v>0</v>
      </c>
      <c r="IK138">
        <v>0</v>
      </c>
      <c r="IL138">
        <v>0</v>
      </c>
      <c r="IM138">
        <v>0</v>
      </c>
      <c r="IN138">
        <v>0</v>
      </c>
      <c r="IO138">
        <v>0</v>
      </c>
      <c r="IP138">
        <v>0</v>
      </c>
      <c r="IQ138">
        <v>0</v>
      </c>
      <c r="IR138">
        <v>0</v>
      </c>
      <c r="IS138">
        <v>0</v>
      </c>
      <c r="IT138">
        <v>0</v>
      </c>
      <c r="IU138">
        <v>0</v>
      </c>
      <c r="IV138">
        <v>0</v>
      </c>
      <c r="IW138">
        <v>0</v>
      </c>
      <c r="IX138">
        <v>0</v>
      </c>
      <c r="IY138">
        <v>0</v>
      </c>
      <c r="IZ138">
        <v>0</v>
      </c>
      <c r="JA138">
        <v>0</v>
      </c>
      <c r="JB138">
        <v>0</v>
      </c>
      <c r="JC138">
        <v>0</v>
      </c>
      <c r="JD138">
        <v>0</v>
      </c>
      <c r="JE138">
        <v>0</v>
      </c>
      <c r="JF138">
        <v>0</v>
      </c>
      <c r="JG138">
        <v>0</v>
      </c>
      <c r="JH138">
        <v>0</v>
      </c>
      <c r="JI138">
        <v>0</v>
      </c>
      <c r="JJ138">
        <v>0</v>
      </c>
      <c r="JK138">
        <v>0</v>
      </c>
      <c r="JL138">
        <v>0</v>
      </c>
      <c r="JM138">
        <v>0</v>
      </c>
      <c r="JN138">
        <v>0</v>
      </c>
      <c r="JO138">
        <v>0</v>
      </c>
      <c r="JP138">
        <v>0</v>
      </c>
      <c r="JQ138">
        <v>0</v>
      </c>
      <c r="JR138">
        <v>0</v>
      </c>
      <c r="JS138">
        <v>0</v>
      </c>
      <c r="JT138">
        <v>0</v>
      </c>
      <c r="JU138">
        <v>0</v>
      </c>
      <c r="JV138">
        <v>0</v>
      </c>
      <c r="JW138">
        <v>0</v>
      </c>
      <c r="JX138">
        <v>0</v>
      </c>
      <c r="JY138">
        <v>0</v>
      </c>
      <c r="JZ138">
        <v>0</v>
      </c>
      <c r="KA138">
        <v>0</v>
      </c>
      <c r="KB138">
        <v>0</v>
      </c>
      <c r="KC138">
        <v>0</v>
      </c>
      <c r="KD138">
        <v>0</v>
      </c>
      <c r="KE138">
        <v>0</v>
      </c>
      <c r="KF138">
        <v>0</v>
      </c>
      <c r="KG138">
        <v>0</v>
      </c>
      <c r="KH138">
        <v>0</v>
      </c>
      <c r="KI138">
        <v>0</v>
      </c>
      <c r="KJ138">
        <v>0</v>
      </c>
      <c r="KK138">
        <v>0</v>
      </c>
      <c r="KL138">
        <v>0</v>
      </c>
      <c r="KM138">
        <v>0</v>
      </c>
      <c r="KN138">
        <v>1</v>
      </c>
      <c r="KO138">
        <v>1</v>
      </c>
      <c r="KP138">
        <v>1</v>
      </c>
      <c r="KQ138">
        <v>1</v>
      </c>
      <c r="KR138">
        <v>1</v>
      </c>
      <c r="KS138">
        <v>1</v>
      </c>
      <c r="KT138">
        <v>1</v>
      </c>
      <c r="KU138">
        <v>1</v>
      </c>
      <c r="KV138">
        <v>1</v>
      </c>
      <c r="KW138">
        <v>1</v>
      </c>
      <c r="KX138">
        <v>1</v>
      </c>
      <c r="KY138">
        <v>1</v>
      </c>
      <c r="KZ138">
        <v>1</v>
      </c>
      <c r="LA138">
        <v>1</v>
      </c>
      <c r="LB138">
        <v>1</v>
      </c>
      <c r="LC138">
        <v>1</v>
      </c>
      <c r="LD138">
        <v>1</v>
      </c>
      <c r="LE138">
        <v>1</v>
      </c>
      <c r="LF138">
        <v>1</v>
      </c>
      <c r="LG138">
        <v>1</v>
      </c>
      <c r="LH138">
        <v>1</v>
      </c>
      <c r="LI138">
        <v>1</v>
      </c>
      <c r="LJ138">
        <v>1</v>
      </c>
      <c r="LK138">
        <v>1</v>
      </c>
      <c r="LL138">
        <v>1</v>
      </c>
      <c r="LM138">
        <v>1</v>
      </c>
      <c r="LN138">
        <v>1</v>
      </c>
      <c r="LO138">
        <v>1</v>
      </c>
      <c r="LP138">
        <v>1</v>
      </c>
      <c r="LQ138">
        <v>1</v>
      </c>
      <c r="LR138">
        <v>1</v>
      </c>
      <c r="LS138">
        <v>1</v>
      </c>
      <c r="LT138">
        <v>1</v>
      </c>
      <c r="LU138">
        <v>1</v>
      </c>
      <c r="LV138">
        <v>1</v>
      </c>
      <c r="LW138">
        <v>1</v>
      </c>
      <c r="LX138">
        <v>1</v>
      </c>
      <c r="LY138">
        <v>1</v>
      </c>
      <c r="LZ138">
        <v>1</v>
      </c>
      <c r="MA138">
        <v>1</v>
      </c>
      <c r="MB138">
        <v>1</v>
      </c>
      <c r="MC138">
        <v>1</v>
      </c>
      <c r="MD138">
        <v>1</v>
      </c>
      <c r="ME138">
        <v>1</v>
      </c>
      <c r="MF138">
        <v>1</v>
      </c>
      <c r="MG138">
        <v>1</v>
      </c>
      <c r="MH138">
        <v>1</v>
      </c>
      <c r="MI138">
        <v>1</v>
      </c>
      <c r="MJ138">
        <v>1</v>
      </c>
      <c r="MK138">
        <v>1</v>
      </c>
      <c r="ML138">
        <v>1</v>
      </c>
      <c r="MM138">
        <v>1</v>
      </c>
      <c r="MN138">
        <v>1</v>
      </c>
      <c r="MO138">
        <v>1</v>
      </c>
      <c r="MP138">
        <v>1</v>
      </c>
      <c r="MQ138">
        <v>1</v>
      </c>
      <c r="MR138">
        <v>1</v>
      </c>
      <c r="MS138">
        <v>1</v>
      </c>
      <c r="MT138">
        <v>1</v>
      </c>
      <c r="MU138">
        <v>1</v>
      </c>
      <c r="MV138">
        <v>1</v>
      </c>
      <c r="MW138">
        <v>1</v>
      </c>
      <c r="MX138">
        <v>1</v>
      </c>
      <c r="MY138">
        <v>1</v>
      </c>
      <c r="MZ138">
        <v>1</v>
      </c>
      <c r="NA138">
        <v>1</v>
      </c>
      <c r="NB138">
        <v>1</v>
      </c>
      <c r="NC138">
        <v>1</v>
      </c>
      <c r="ND138">
        <v>2</v>
      </c>
      <c r="NE138">
        <v>2</v>
      </c>
      <c r="NF138">
        <v>1</v>
      </c>
      <c r="NG138">
        <v>1</v>
      </c>
      <c r="NH138">
        <v>1</v>
      </c>
      <c r="NI138">
        <v>1</v>
      </c>
      <c r="NJ138">
        <v>1</v>
      </c>
      <c r="NK138">
        <v>1</v>
      </c>
      <c r="NL138">
        <v>1</v>
      </c>
      <c r="NM138">
        <v>1</v>
      </c>
      <c r="NN138">
        <v>1</v>
      </c>
      <c r="NO138">
        <v>1</v>
      </c>
      <c r="NP138">
        <v>1</v>
      </c>
      <c r="NQ138">
        <v>1</v>
      </c>
      <c r="NR138">
        <v>1</v>
      </c>
      <c r="NS138">
        <v>1</v>
      </c>
      <c r="NT138">
        <v>1</v>
      </c>
      <c r="NU138">
        <v>1</v>
      </c>
      <c r="NV138">
        <v>1</v>
      </c>
      <c r="NW138">
        <v>1</v>
      </c>
      <c r="NX138">
        <v>1</v>
      </c>
      <c r="NY138">
        <v>1</v>
      </c>
      <c r="NZ138">
        <v>1</v>
      </c>
      <c r="OA138">
        <v>1</v>
      </c>
      <c r="OB138">
        <v>1</v>
      </c>
      <c r="OC138">
        <v>1</v>
      </c>
      <c r="OD138">
        <v>1</v>
      </c>
      <c r="OE138">
        <v>1</v>
      </c>
      <c r="OF138">
        <v>1</v>
      </c>
      <c r="OG138">
        <v>1</v>
      </c>
      <c r="OH138">
        <v>1</v>
      </c>
      <c r="OI138">
        <v>1</v>
      </c>
      <c r="OJ138">
        <v>1</v>
      </c>
      <c r="OK138">
        <v>1</v>
      </c>
      <c r="OL138">
        <v>1</v>
      </c>
      <c r="OM138">
        <v>1</v>
      </c>
      <c r="ON138">
        <v>1</v>
      </c>
      <c r="OO138">
        <v>1</v>
      </c>
      <c r="OP138">
        <v>1</v>
      </c>
      <c r="OQ138">
        <v>1</v>
      </c>
      <c r="OR138">
        <v>1</v>
      </c>
      <c r="OS138">
        <v>1</v>
      </c>
      <c r="OT138">
        <v>1</v>
      </c>
      <c r="OU138">
        <v>1</v>
      </c>
      <c r="OV138">
        <v>1</v>
      </c>
      <c r="OW138">
        <v>1</v>
      </c>
      <c r="OX138">
        <v>1</v>
      </c>
      <c r="OY138">
        <v>1</v>
      </c>
      <c r="OZ138">
        <v>1</v>
      </c>
      <c r="PA138">
        <v>1</v>
      </c>
      <c r="PB138">
        <v>1</v>
      </c>
      <c r="PC138">
        <v>1</v>
      </c>
      <c r="PD138">
        <v>1</v>
      </c>
      <c r="PE138">
        <v>1</v>
      </c>
      <c r="PF138">
        <v>1</v>
      </c>
      <c r="PG138">
        <v>1</v>
      </c>
      <c r="PH138">
        <v>1</v>
      </c>
      <c r="PI138">
        <v>1</v>
      </c>
      <c r="PJ138">
        <v>1</v>
      </c>
      <c r="PK138">
        <v>1</v>
      </c>
      <c r="PL138">
        <v>1</v>
      </c>
      <c r="PM138">
        <v>1</v>
      </c>
      <c r="PN138">
        <v>1</v>
      </c>
      <c r="PO138">
        <v>1</v>
      </c>
      <c r="PP138">
        <v>1</v>
      </c>
      <c r="PQ138">
        <v>1</v>
      </c>
      <c r="PR138">
        <v>1</v>
      </c>
      <c r="PS138">
        <v>1</v>
      </c>
      <c r="PT138">
        <v>1</v>
      </c>
      <c r="PU138">
        <v>1</v>
      </c>
      <c r="PV138">
        <v>1</v>
      </c>
      <c r="PW138">
        <v>1</v>
      </c>
      <c r="PX138">
        <v>1</v>
      </c>
      <c r="PY138">
        <v>1</v>
      </c>
      <c r="PZ138">
        <v>1</v>
      </c>
      <c r="QA138">
        <v>1</v>
      </c>
      <c r="QB138">
        <v>1</v>
      </c>
      <c r="QC138">
        <v>1</v>
      </c>
      <c r="QD138">
        <v>1</v>
      </c>
      <c r="QE138">
        <v>1</v>
      </c>
      <c r="QF138">
        <v>1</v>
      </c>
      <c r="QG138">
        <v>1</v>
      </c>
      <c r="QH138">
        <v>1</v>
      </c>
      <c r="QI138">
        <v>1</v>
      </c>
      <c r="QJ138">
        <v>1</v>
      </c>
      <c r="QK138">
        <v>1</v>
      </c>
      <c r="QL138">
        <v>1</v>
      </c>
      <c r="QM138">
        <v>1</v>
      </c>
      <c r="QN138">
        <v>1</v>
      </c>
      <c r="QO138">
        <v>1</v>
      </c>
      <c r="QP138">
        <v>1</v>
      </c>
      <c r="QQ138">
        <v>1</v>
      </c>
      <c r="QR138">
        <v>1</v>
      </c>
      <c r="QS138">
        <v>1</v>
      </c>
      <c r="QT138">
        <v>1</v>
      </c>
      <c r="QU138">
        <v>1</v>
      </c>
      <c r="QV138">
        <v>1</v>
      </c>
      <c r="QW138">
        <v>1</v>
      </c>
      <c r="QX138">
        <v>1</v>
      </c>
      <c r="QY138">
        <v>1</v>
      </c>
      <c r="QZ138">
        <v>1</v>
      </c>
      <c r="RA138">
        <v>1</v>
      </c>
      <c r="RB138">
        <v>1</v>
      </c>
      <c r="RC138">
        <v>1</v>
      </c>
      <c r="RD138">
        <v>1</v>
      </c>
      <c r="RE138">
        <v>1</v>
      </c>
      <c r="RF138">
        <v>1</v>
      </c>
      <c r="RG138">
        <v>1</v>
      </c>
      <c r="RH138">
        <v>1</v>
      </c>
      <c r="RI138">
        <v>1</v>
      </c>
      <c r="RJ138">
        <v>1</v>
      </c>
      <c r="RK138">
        <v>1</v>
      </c>
      <c r="RL138">
        <v>1</v>
      </c>
      <c r="RM138">
        <v>1</v>
      </c>
      <c r="RN138">
        <v>1</v>
      </c>
      <c r="RO138">
        <v>1</v>
      </c>
      <c r="RP138">
        <v>1</v>
      </c>
      <c r="RQ138">
        <v>1</v>
      </c>
      <c r="RR138">
        <v>1</v>
      </c>
      <c r="RS138">
        <v>1</v>
      </c>
      <c r="RT138">
        <v>1</v>
      </c>
      <c r="RU138">
        <v>1</v>
      </c>
      <c r="RV138">
        <v>1</v>
      </c>
      <c r="RW138">
        <v>1</v>
      </c>
      <c r="RX138">
        <v>1</v>
      </c>
      <c r="RY138">
        <v>1</v>
      </c>
      <c r="RZ138">
        <v>1</v>
      </c>
      <c r="SA138">
        <v>1</v>
      </c>
      <c r="SB138">
        <v>1</v>
      </c>
      <c r="SC138">
        <v>1</v>
      </c>
      <c r="SD138">
        <v>1</v>
      </c>
      <c r="SE138">
        <v>1</v>
      </c>
      <c r="SF138">
        <v>1</v>
      </c>
      <c r="SG138">
        <v>1</v>
      </c>
      <c r="SH138">
        <v>1</v>
      </c>
      <c r="SI138">
        <v>1</v>
      </c>
      <c r="SJ138">
        <v>1</v>
      </c>
      <c r="SK138">
        <v>1</v>
      </c>
      <c r="SL138">
        <v>1</v>
      </c>
      <c r="SM138">
        <v>1</v>
      </c>
      <c r="SN138">
        <v>1</v>
      </c>
      <c r="SO138">
        <v>1</v>
      </c>
      <c r="SP138">
        <v>1</v>
      </c>
      <c r="SQ138">
        <v>1</v>
      </c>
      <c r="SR138">
        <v>1</v>
      </c>
      <c r="SS138">
        <v>1</v>
      </c>
      <c r="ST138">
        <v>1</v>
      </c>
      <c r="SU138">
        <v>1</v>
      </c>
      <c r="SV138">
        <v>1</v>
      </c>
      <c r="SW138">
        <v>1</v>
      </c>
      <c r="SX138">
        <v>1</v>
      </c>
      <c r="SY138">
        <v>1</v>
      </c>
      <c r="SZ138">
        <v>1</v>
      </c>
      <c r="TA138">
        <v>1</v>
      </c>
      <c r="TB138">
        <v>1</v>
      </c>
      <c r="TC138">
        <v>1</v>
      </c>
      <c r="TD138">
        <v>1</v>
      </c>
      <c r="TE138">
        <v>1</v>
      </c>
      <c r="TF138">
        <v>1</v>
      </c>
      <c r="TG138">
        <v>1</v>
      </c>
      <c r="TH138">
        <v>1</v>
      </c>
      <c r="TI138">
        <v>1</v>
      </c>
      <c r="TJ138">
        <v>1</v>
      </c>
      <c r="TK138">
        <v>1</v>
      </c>
      <c r="TL138">
        <v>1</v>
      </c>
      <c r="TM138">
        <v>1</v>
      </c>
      <c r="TN138">
        <v>1</v>
      </c>
      <c r="TO138">
        <v>1</v>
      </c>
      <c r="TP138">
        <v>1</v>
      </c>
      <c r="TQ138">
        <v>1</v>
      </c>
      <c r="TR138">
        <v>1</v>
      </c>
      <c r="TS138">
        <v>1</v>
      </c>
      <c r="TT138">
        <v>1</v>
      </c>
      <c r="TU138">
        <v>1</v>
      </c>
      <c r="TV138">
        <v>1</v>
      </c>
      <c r="TW138">
        <v>1</v>
      </c>
      <c r="TX138">
        <v>1</v>
      </c>
      <c r="TY138">
        <v>1</v>
      </c>
      <c r="TZ138">
        <v>1</v>
      </c>
      <c r="UA138">
        <v>1</v>
      </c>
      <c r="UB138">
        <v>1</v>
      </c>
      <c r="UC138">
        <v>1</v>
      </c>
      <c r="UD138">
        <v>1</v>
      </c>
      <c r="UE138">
        <v>1</v>
      </c>
      <c r="UF138">
        <v>1</v>
      </c>
      <c r="UG138">
        <v>1</v>
      </c>
      <c r="UH138">
        <v>1</v>
      </c>
      <c r="UI138">
        <v>1</v>
      </c>
      <c r="UJ138">
        <v>1</v>
      </c>
      <c r="UK138">
        <v>1</v>
      </c>
      <c r="UL138">
        <v>1</v>
      </c>
      <c r="UM138">
        <v>1</v>
      </c>
      <c r="UN138">
        <v>1</v>
      </c>
      <c r="UO138">
        <v>1</v>
      </c>
      <c r="UP138">
        <v>1</v>
      </c>
      <c r="UQ138">
        <v>1</v>
      </c>
      <c r="UR138">
        <v>1</v>
      </c>
      <c r="US138">
        <v>1</v>
      </c>
      <c r="UT138">
        <v>1</v>
      </c>
      <c r="UU138">
        <v>1</v>
      </c>
      <c r="UV138">
        <v>1</v>
      </c>
      <c r="UW138">
        <v>1</v>
      </c>
      <c r="UX138">
        <v>1</v>
      </c>
      <c r="UY138">
        <v>1</v>
      </c>
      <c r="UZ138">
        <v>1</v>
      </c>
      <c r="VA138">
        <v>1</v>
      </c>
      <c r="VB138">
        <v>1</v>
      </c>
      <c r="VC138">
        <v>1</v>
      </c>
      <c r="VD138">
        <v>0</v>
      </c>
      <c r="VE138">
        <v>0</v>
      </c>
      <c r="VF138">
        <v>0</v>
      </c>
      <c r="VG138">
        <v>0</v>
      </c>
      <c r="VH138">
        <v>0</v>
      </c>
      <c r="VI138">
        <v>0</v>
      </c>
      <c r="VJ138">
        <v>0</v>
      </c>
      <c r="VK138">
        <v>0</v>
      </c>
      <c r="VL138">
        <v>0</v>
      </c>
      <c r="VM138">
        <v>0</v>
      </c>
      <c r="VN138">
        <v>0</v>
      </c>
      <c r="VO138">
        <v>0</v>
      </c>
      <c r="VP138">
        <v>0</v>
      </c>
      <c r="VQ138">
        <v>0</v>
      </c>
      <c r="VR138">
        <v>0</v>
      </c>
      <c r="VS138">
        <v>0</v>
      </c>
      <c r="VT138">
        <v>0</v>
      </c>
      <c r="VU138">
        <v>0</v>
      </c>
      <c r="VV138">
        <v>0</v>
      </c>
      <c r="VW138">
        <v>0</v>
      </c>
      <c r="VX138">
        <v>0</v>
      </c>
      <c r="VY138">
        <v>0</v>
      </c>
      <c r="VZ138">
        <v>0</v>
      </c>
      <c r="WA138">
        <v>0</v>
      </c>
      <c r="WB138">
        <v>0</v>
      </c>
      <c r="WC138">
        <v>0</v>
      </c>
      <c r="WD138">
        <v>0</v>
      </c>
      <c r="WE138">
        <v>0</v>
      </c>
      <c r="WF138">
        <v>0</v>
      </c>
      <c r="WG138">
        <v>0</v>
      </c>
      <c r="WH138">
        <v>0</v>
      </c>
      <c r="WI138">
        <v>0</v>
      </c>
      <c r="WJ138">
        <v>0</v>
      </c>
      <c r="WK138">
        <v>0</v>
      </c>
      <c r="WL138">
        <v>0</v>
      </c>
      <c r="WM138">
        <v>0</v>
      </c>
      <c r="WN138">
        <v>0</v>
      </c>
      <c r="WO138">
        <v>0</v>
      </c>
      <c r="WP138">
        <v>0</v>
      </c>
      <c r="WQ138">
        <v>0</v>
      </c>
      <c r="WR138">
        <v>0</v>
      </c>
      <c r="WS138">
        <v>0</v>
      </c>
      <c r="WT138">
        <v>0</v>
      </c>
      <c r="WU138">
        <v>0</v>
      </c>
      <c r="WV138">
        <v>0</v>
      </c>
      <c r="WW138">
        <v>0</v>
      </c>
      <c r="WX138">
        <v>0</v>
      </c>
      <c r="WY138">
        <v>0</v>
      </c>
      <c r="WZ138">
        <v>0</v>
      </c>
      <c r="XA138">
        <v>0</v>
      </c>
      <c r="XB138">
        <v>0</v>
      </c>
      <c r="XC138">
        <v>0</v>
      </c>
      <c r="XD138">
        <v>0</v>
      </c>
      <c r="XE138">
        <v>0</v>
      </c>
      <c r="XF138">
        <v>0</v>
      </c>
      <c r="XG138">
        <v>0</v>
      </c>
      <c r="XH138">
        <v>0</v>
      </c>
      <c r="XI138">
        <v>0</v>
      </c>
      <c r="XJ138">
        <v>0</v>
      </c>
      <c r="XK138">
        <v>0</v>
      </c>
      <c r="XL138">
        <v>0</v>
      </c>
      <c r="XM138">
        <v>0</v>
      </c>
      <c r="XN138">
        <v>0</v>
      </c>
      <c r="XO138">
        <v>0</v>
      </c>
      <c r="XP138">
        <v>0</v>
      </c>
      <c r="XQ138">
        <v>0</v>
      </c>
      <c r="XR138">
        <v>0</v>
      </c>
      <c r="XS138">
        <v>0</v>
      </c>
      <c r="XT138">
        <v>0</v>
      </c>
      <c r="XU138">
        <v>0</v>
      </c>
      <c r="XV138">
        <v>0</v>
      </c>
      <c r="XW138">
        <v>0</v>
      </c>
      <c r="XX138">
        <v>0</v>
      </c>
      <c r="XY138">
        <v>0</v>
      </c>
      <c r="XZ138">
        <v>0</v>
      </c>
      <c r="YA138">
        <v>0</v>
      </c>
      <c r="YB138">
        <v>0</v>
      </c>
      <c r="YC138">
        <v>0</v>
      </c>
      <c r="YD138">
        <v>0</v>
      </c>
      <c r="YE138">
        <v>0</v>
      </c>
      <c r="YF138">
        <v>0</v>
      </c>
      <c r="YG138">
        <v>0</v>
      </c>
      <c r="YH138">
        <v>0</v>
      </c>
      <c r="YI138">
        <v>0</v>
      </c>
      <c r="YJ138">
        <v>0</v>
      </c>
      <c r="YK138">
        <v>0</v>
      </c>
      <c r="YL138">
        <v>0</v>
      </c>
      <c r="YM138">
        <v>0</v>
      </c>
      <c r="YN138">
        <v>0</v>
      </c>
      <c r="YO138">
        <v>0</v>
      </c>
      <c r="YP138">
        <v>0</v>
      </c>
      <c r="YQ138">
        <v>0</v>
      </c>
      <c r="YR138">
        <v>0</v>
      </c>
      <c r="YS138">
        <v>0</v>
      </c>
      <c r="YT138">
        <v>0</v>
      </c>
      <c r="YU138">
        <v>0</v>
      </c>
      <c r="YV138">
        <v>0</v>
      </c>
      <c r="YW138">
        <v>0</v>
      </c>
      <c r="YX138">
        <v>0</v>
      </c>
      <c r="YY138">
        <v>0</v>
      </c>
      <c r="YZ138">
        <v>0</v>
      </c>
      <c r="ZA138">
        <v>0</v>
      </c>
      <c r="ZB138">
        <v>0</v>
      </c>
      <c r="ZC138">
        <v>0</v>
      </c>
      <c r="ZD138">
        <v>0</v>
      </c>
      <c r="ZE138">
        <v>0</v>
      </c>
      <c r="ZF138">
        <v>0</v>
      </c>
      <c r="ZG138">
        <v>0</v>
      </c>
      <c r="ZH138">
        <v>0</v>
      </c>
      <c r="ZI138">
        <v>0</v>
      </c>
      <c r="ZJ138">
        <v>0</v>
      </c>
      <c r="ZK138">
        <v>0</v>
      </c>
      <c r="ZL138">
        <v>0</v>
      </c>
      <c r="ZM138">
        <v>0</v>
      </c>
      <c r="ZN138">
        <v>0</v>
      </c>
      <c r="ZO138">
        <v>0</v>
      </c>
      <c r="ZP138">
        <v>0</v>
      </c>
      <c r="ZQ138">
        <v>0</v>
      </c>
      <c r="ZR138">
        <v>0</v>
      </c>
      <c r="ZS138">
        <v>0</v>
      </c>
      <c r="ZT138">
        <v>0</v>
      </c>
      <c r="ZU138">
        <v>0</v>
      </c>
      <c r="ZV138">
        <v>0</v>
      </c>
      <c r="ZW138">
        <v>0</v>
      </c>
      <c r="ZX138">
        <v>0</v>
      </c>
      <c r="ZY138">
        <v>0</v>
      </c>
      <c r="ZZ138">
        <v>0</v>
      </c>
      <c r="AAA138">
        <v>0</v>
      </c>
      <c r="AAB138">
        <v>0</v>
      </c>
      <c r="AAC138">
        <v>0</v>
      </c>
      <c r="AAD138">
        <v>0</v>
      </c>
      <c r="AAE138">
        <v>0</v>
      </c>
      <c r="AAF138">
        <v>0</v>
      </c>
      <c r="AAG138">
        <v>0</v>
      </c>
      <c r="AAH138">
        <v>0</v>
      </c>
      <c r="AAI138">
        <v>0</v>
      </c>
      <c r="AAJ138">
        <v>0</v>
      </c>
      <c r="AAK138">
        <v>0</v>
      </c>
      <c r="AAL138">
        <v>0</v>
      </c>
      <c r="AAM138">
        <v>0</v>
      </c>
      <c r="AAN138">
        <v>0</v>
      </c>
      <c r="AAO138">
        <v>0</v>
      </c>
      <c r="AAP138">
        <v>0</v>
      </c>
      <c r="AAQ138">
        <v>0</v>
      </c>
      <c r="AAR138">
        <v>0</v>
      </c>
      <c r="AAS138">
        <v>0</v>
      </c>
      <c r="AAT138">
        <v>0</v>
      </c>
      <c r="AAU138">
        <v>0</v>
      </c>
      <c r="AAV138">
        <v>0</v>
      </c>
      <c r="AAW138">
        <v>0</v>
      </c>
      <c r="AAX138">
        <v>0</v>
      </c>
      <c r="AAY138">
        <v>0</v>
      </c>
      <c r="AAZ138">
        <v>0</v>
      </c>
      <c r="ABA138">
        <v>0</v>
      </c>
      <c r="ABB138">
        <v>0</v>
      </c>
      <c r="ABC138">
        <v>0</v>
      </c>
      <c r="ABD138">
        <v>0</v>
      </c>
      <c r="ABE138">
        <v>0</v>
      </c>
      <c r="ABG138" s="1137">
        <f t="shared" si="37"/>
        <v>0</v>
      </c>
      <c r="ABH138" s="1137">
        <f t="shared" si="37"/>
        <v>0</v>
      </c>
      <c r="ABI138" s="1137">
        <f t="shared" si="37"/>
        <v>20</v>
      </c>
      <c r="ABJ138" s="1137">
        <f t="shared" si="37"/>
        <v>30</v>
      </c>
      <c r="ABK138" s="1137">
        <f t="shared" si="37"/>
        <v>31</v>
      </c>
      <c r="ABL138" s="1137">
        <f t="shared" si="37"/>
        <v>1</v>
      </c>
      <c r="ABM138" s="1137">
        <f t="shared" si="37"/>
        <v>0</v>
      </c>
      <c r="ABN138" s="1137">
        <f t="shared" si="37"/>
        <v>0</v>
      </c>
      <c r="ABO138" s="1137">
        <f t="shared" si="37"/>
        <v>0</v>
      </c>
      <c r="ABP138" s="1137">
        <f t="shared" si="37"/>
        <v>8</v>
      </c>
      <c r="ABQ138" s="1137">
        <f t="shared" si="37"/>
        <v>30</v>
      </c>
      <c r="ABR138" s="1137">
        <f t="shared" si="37"/>
        <v>31</v>
      </c>
      <c r="ABS138" s="1137">
        <f t="shared" si="37"/>
        <v>31</v>
      </c>
      <c r="ABT138" s="1137">
        <f t="shared" si="37"/>
        <v>28</v>
      </c>
      <c r="ABU138" s="1137">
        <f t="shared" si="37"/>
        <v>31</v>
      </c>
      <c r="ABV138" s="1137">
        <f t="shared" si="37"/>
        <v>30</v>
      </c>
      <c r="ABW138" s="1137">
        <f t="shared" si="31"/>
        <v>31</v>
      </c>
      <c r="ABX138" s="1137">
        <f t="shared" si="34"/>
        <v>30</v>
      </c>
      <c r="ABY138" s="1137">
        <f t="shared" si="34"/>
        <v>26</v>
      </c>
      <c r="ABZ138" s="1137">
        <f t="shared" si="34"/>
        <v>0</v>
      </c>
      <c r="ACA138" s="1137">
        <f t="shared" si="34"/>
        <v>0</v>
      </c>
      <c r="ACB138" s="1137">
        <f t="shared" si="34"/>
        <v>0</v>
      </c>
      <c r="ACC138" s="1137">
        <f t="shared" si="34"/>
        <v>0</v>
      </c>
      <c r="ACD138" s="1137">
        <f t="shared" si="34"/>
        <v>0</v>
      </c>
      <c r="ACE138" s="1137" t="s">
        <v>236</v>
      </c>
      <c r="ACF138" s="1137">
        <f t="shared" si="33"/>
        <v>0</v>
      </c>
      <c r="ACG138" s="1137">
        <f t="shared" si="33"/>
        <v>0</v>
      </c>
      <c r="ACH138" s="1137">
        <f t="shared" si="33"/>
        <v>1</v>
      </c>
      <c r="ACI138" s="1137">
        <f t="shared" si="33"/>
        <v>1</v>
      </c>
      <c r="ACJ138" s="1137">
        <f t="shared" si="33"/>
        <v>1</v>
      </c>
      <c r="ACK138" s="1137">
        <f t="shared" si="33"/>
        <v>0</v>
      </c>
      <c r="ACL138" s="1137">
        <f t="shared" si="33"/>
        <v>0</v>
      </c>
      <c r="ACM138" s="1137">
        <f t="shared" si="33"/>
        <v>0</v>
      </c>
      <c r="ACN138" s="1137">
        <f t="shared" si="33"/>
        <v>0</v>
      </c>
      <c r="ACO138" s="1137">
        <f t="shared" si="33"/>
        <v>0</v>
      </c>
      <c r="ACP138" s="1137">
        <f t="shared" si="33"/>
        <v>1</v>
      </c>
      <c r="ACQ138" s="1137">
        <f t="shared" si="32"/>
        <v>1</v>
      </c>
      <c r="ACR138" s="1137">
        <f t="shared" si="32"/>
        <v>1</v>
      </c>
      <c r="ACS138" s="1137">
        <f t="shared" si="32"/>
        <v>1</v>
      </c>
      <c r="ACT138" s="1137">
        <f t="shared" si="32"/>
        <v>1</v>
      </c>
      <c r="ACU138" s="1137">
        <f t="shared" si="32"/>
        <v>1</v>
      </c>
      <c r="ACV138" s="1137">
        <f t="shared" si="32"/>
        <v>1</v>
      </c>
      <c r="ACW138" s="1137">
        <f t="shared" si="32"/>
        <v>1</v>
      </c>
      <c r="ACX138" s="1137">
        <f t="shared" si="32"/>
        <v>1</v>
      </c>
      <c r="ACY138" s="1137">
        <f t="shared" si="32"/>
        <v>0</v>
      </c>
      <c r="ACZ138" s="1137">
        <f t="shared" si="32"/>
        <v>0</v>
      </c>
      <c r="ADA138" s="1137">
        <f t="shared" si="35"/>
        <v>0</v>
      </c>
      <c r="ADB138" s="1137">
        <f t="shared" si="35"/>
        <v>0</v>
      </c>
      <c r="ADC138" s="1137">
        <f t="shared" si="35"/>
        <v>0</v>
      </c>
    </row>
    <row r="139" spans="1:783" x14ac:dyDescent="0.25">
      <c r="A139" t="s">
        <v>1938</v>
      </c>
      <c r="B139" t="s">
        <v>238</v>
      </c>
      <c r="C139">
        <v>0</v>
      </c>
      <c r="D139">
        <v>0</v>
      </c>
      <c r="E139">
        <v>0</v>
      </c>
      <c r="F139">
        <v>0</v>
      </c>
      <c r="G139">
        <v>0</v>
      </c>
      <c r="H139">
        <v>0</v>
      </c>
      <c r="I139">
        <v>0</v>
      </c>
      <c r="J139">
        <v>0</v>
      </c>
      <c r="K139">
        <v>0</v>
      </c>
      <c r="L139">
        <v>0</v>
      </c>
      <c r="M139">
        <v>0</v>
      </c>
      <c r="N139">
        <v>0</v>
      </c>
      <c r="O139">
        <v>0</v>
      </c>
      <c r="P139">
        <v>0</v>
      </c>
      <c r="Q139">
        <v>0</v>
      </c>
      <c r="R139">
        <v>0</v>
      </c>
      <c r="S139">
        <v>0</v>
      </c>
      <c r="T139">
        <v>0</v>
      </c>
      <c r="U139">
        <v>0</v>
      </c>
      <c r="V139">
        <v>0</v>
      </c>
      <c r="W139">
        <v>0</v>
      </c>
      <c r="X139">
        <v>0</v>
      </c>
      <c r="Y139">
        <v>0</v>
      </c>
      <c r="Z139">
        <v>0</v>
      </c>
      <c r="AA139">
        <v>0</v>
      </c>
      <c r="AB139">
        <v>0</v>
      </c>
      <c r="AC139">
        <v>0</v>
      </c>
      <c r="AD139">
        <v>0</v>
      </c>
      <c r="AE139">
        <v>0</v>
      </c>
      <c r="AF139">
        <v>0</v>
      </c>
      <c r="AG139">
        <v>0</v>
      </c>
      <c r="AH139">
        <v>0</v>
      </c>
      <c r="AI139">
        <v>0</v>
      </c>
      <c r="AJ139">
        <v>0</v>
      </c>
      <c r="AK139">
        <v>0</v>
      </c>
      <c r="AL139">
        <v>0</v>
      </c>
      <c r="AM139">
        <v>0</v>
      </c>
      <c r="AN139">
        <v>0</v>
      </c>
      <c r="AO139">
        <v>0</v>
      </c>
      <c r="AP139">
        <v>0</v>
      </c>
      <c r="AQ139">
        <v>0</v>
      </c>
      <c r="AR139">
        <v>0</v>
      </c>
      <c r="AS139">
        <v>0</v>
      </c>
      <c r="AT139">
        <v>0</v>
      </c>
      <c r="AU139">
        <v>0</v>
      </c>
      <c r="AV139">
        <v>0</v>
      </c>
      <c r="AW139">
        <v>0</v>
      </c>
      <c r="AX139">
        <v>0</v>
      </c>
      <c r="AY139">
        <v>0</v>
      </c>
      <c r="AZ139">
        <v>0</v>
      </c>
      <c r="BA139">
        <v>0</v>
      </c>
      <c r="BB139">
        <v>0</v>
      </c>
      <c r="BC139">
        <v>0</v>
      </c>
      <c r="BD139">
        <v>0</v>
      </c>
      <c r="BE139">
        <v>0</v>
      </c>
      <c r="BF139">
        <v>0</v>
      </c>
      <c r="BG139">
        <v>0</v>
      </c>
      <c r="BH139">
        <v>0</v>
      </c>
      <c r="BI139">
        <v>0</v>
      </c>
      <c r="BJ139">
        <v>0</v>
      </c>
      <c r="BK139">
        <v>0</v>
      </c>
      <c r="BL139">
        <v>0</v>
      </c>
      <c r="BM139">
        <v>0</v>
      </c>
      <c r="BN139">
        <v>0</v>
      </c>
      <c r="BO139">
        <v>0</v>
      </c>
      <c r="BP139">
        <v>0</v>
      </c>
      <c r="BQ139">
        <v>0</v>
      </c>
      <c r="BR139">
        <v>0</v>
      </c>
      <c r="BS139">
        <v>0</v>
      </c>
      <c r="BT139">
        <v>0</v>
      </c>
      <c r="BU139">
        <v>0</v>
      </c>
      <c r="BV139">
        <v>2</v>
      </c>
      <c r="BW139">
        <v>2</v>
      </c>
      <c r="BX139">
        <v>2</v>
      </c>
      <c r="BY139">
        <v>2</v>
      </c>
      <c r="BZ139">
        <v>2</v>
      </c>
      <c r="CA139">
        <v>2</v>
      </c>
      <c r="CB139">
        <v>2</v>
      </c>
      <c r="CC139">
        <v>2</v>
      </c>
      <c r="CD139">
        <v>2</v>
      </c>
      <c r="CE139">
        <v>2</v>
      </c>
      <c r="CF139">
        <v>2</v>
      </c>
      <c r="CG139">
        <v>2</v>
      </c>
      <c r="CH139">
        <v>2</v>
      </c>
      <c r="CI139">
        <v>2</v>
      </c>
      <c r="CJ139">
        <v>2</v>
      </c>
      <c r="CK139">
        <v>2</v>
      </c>
      <c r="CL139">
        <v>2</v>
      </c>
      <c r="CM139">
        <v>2</v>
      </c>
      <c r="CN139">
        <v>2</v>
      </c>
      <c r="CO139">
        <v>2</v>
      </c>
      <c r="CP139">
        <v>2</v>
      </c>
      <c r="CQ139">
        <v>2</v>
      </c>
      <c r="CR139">
        <v>2</v>
      </c>
      <c r="CS139">
        <v>2</v>
      </c>
      <c r="CT139">
        <v>2</v>
      </c>
      <c r="CU139">
        <v>2</v>
      </c>
      <c r="CV139">
        <v>2</v>
      </c>
      <c r="CW139">
        <v>2</v>
      </c>
      <c r="CX139">
        <v>2</v>
      </c>
      <c r="CY139">
        <v>2</v>
      </c>
      <c r="CZ139">
        <v>2</v>
      </c>
      <c r="DA139">
        <v>2</v>
      </c>
      <c r="DB139">
        <v>2</v>
      </c>
      <c r="DC139">
        <v>2</v>
      </c>
      <c r="DD139">
        <v>2</v>
      </c>
      <c r="DE139">
        <v>2</v>
      </c>
      <c r="DF139">
        <v>2</v>
      </c>
      <c r="DG139">
        <v>2</v>
      </c>
      <c r="DH139">
        <v>2</v>
      </c>
      <c r="DI139">
        <v>2</v>
      </c>
      <c r="DJ139">
        <v>2</v>
      </c>
      <c r="DK139">
        <v>2</v>
      </c>
      <c r="DL139">
        <v>2</v>
      </c>
      <c r="DM139">
        <v>2</v>
      </c>
      <c r="DN139">
        <v>2</v>
      </c>
      <c r="DO139">
        <v>2</v>
      </c>
      <c r="DP139">
        <v>2</v>
      </c>
      <c r="DQ139">
        <v>2</v>
      </c>
      <c r="DR139">
        <v>2</v>
      </c>
      <c r="DS139">
        <v>2</v>
      </c>
      <c r="DT139">
        <v>2</v>
      </c>
      <c r="DU139">
        <v>2</v>
      </c>
      <c r="DV139">
        <v>2</v>
      </c>
      <c r="DW139">
        <v>2</v>
      </c>
      <c r="DX139">
        <v>2</v>
      </c>
      <c r="DY139">
        <v>2</v>
      </c>
      <c r="DZ139">
        <v>2</v>
      </c>
      <c r="EA139">
        <v>2</v>
      </c>
      <c r="EB139">
        <v>2</v>
      </c>
      <c r="EC139">
        <v>2</v>
      </c>
      <c r="ED139">
        <v>2</v>
      </c>
      <c r="EE139">
        <v>2</v>
      </c>
      <c r="EF139">
        <v>2</v>
      </c>
      <c r="EG139">
        <v>2</v>
      </c>
      <c r="EH139">
        <v>2</v>
      </c>
      <c r="EI139">
        <v>2</v>
      </c>
      <c r="EJ139">
        <v>2</v>
      </c>
      <c r="EK139">
        <v>2</v>
      </c>
      <c r="EL139">
        <v>2</v>
      </c>
      <c r="EM139">
        <v>2</v>
      </c>
      <c r="EN139">
        <v>2</v>
      </c>
      <c r="EO139">
        <v>2</v>
      </c>
      <c r="EP139">
        <v>2</v>
      </c>
      <c r="EQ139">
        <v>2</v>
      </c>
      <c r="ER139">
        <v>2</v>
      </c>
      <c r="ES139">
        <v>2</v>
      </c>
      <c r="ET139">
        <v>2</v>
      </c>
      <c r="EU139">
        <v>2</v>
      </c>
      <c r="EV139">
        <v>2</v>
      </c>
      <c r="EW139">
        <v>2</v>
      </c>
      <c r="EX139">
        <v>2</v>
      </c>
      <c r="EY139">
        <v>2</v>
      </c>
      <c r="EZ139">
        <v>2</v>
      </c>
      <c r="FA139">
        <v>2</v>
      </c>
      <c r="FB139">
        <v>2</v>
      </c>
      <c r="FC139">
        <v>2</v>
      </c>
      <c r="FD139">
        <v>2</v>
      </c>
      <c r="FE139">
        <v>2</v>
      </c>
      <c r="FF139">
        <v>2</v>
      </c>
      <c r="FG139">
        <v>2</v>
      </c>
      <c r="FH139">
        <v>2</v>
      </c>
      <c r="FI139">
        <v>2</v>
      </c>
      <c r="FJ139">
        <v>2</v>
      </c>
      <c r="FK139">
        <v>2</v>
      </c>
      <c r="FL139">
        <v>2</v>
      </c>
      <c r="FM139">
        <v>2</v>
      </c>
      <c r="FN139">
        <v>0</v>
      </c>
      <c r="FO139">
        <v>0</v>
      </c>
      <c r="FP139">
        <v>0</v>
      </c>
      <c r="FQ139">
        <v>0</v>
      </c>
      <c r="FR139">
        <v>0</v>
      </c>
      <c r="FS139">
        <v>0</v>
      </c>
      <c r="FT139">
        <v>0</v>
      </c>
      <c r="FU139">
        <v>0</v>
      </c>
      <c r="FV139">
        <v>0</v>
      </c>
      <c r="FW139">
        <v>0</v>
      </c>
      <c r="FX139">
        <v>0</v>
      </c>
      <c r="FY139">
        <v>0</v>
      </c>
      <c r="FZ139">
        <v>0</v>
      </c>
      <c r="GA139">
        <v>0</v>
      </c>
      <c r="GB139">
        <v>0</v>
      </c>
      <c r="GC139">
        <v>0</v>
      </c>
      <c r="GD139">
        <v>0</v>
      </c>
      <c r="GE139">
        <v>0</v>
      </c>
      <c r="GF139">
        <v>0</v>
      </c>
      <c r="GG139">
        <v>0</v>
      </c>
      <c r="GH139">
        <v>0</v>
      </c>
      <c r="GI139">
        <v>0</v>
      </c>
      <c r="GJ139">
        <v>0</v>
      </c>
      <c r="GK139">
        <v>0</v>
      </c>
      <c r="GL139">
        <v>0</v>
      </c>
      <c r="GM139">
        <v>0</v>
      </c>
      <c r="GN139">
        <v>0</v>
      </c>
      <c r="GO139">
        <v>0</v>
      </c>
      <c r="GP139">
        <v>0</v>
      </c>
      <c r="GQ139">
        <v>0</v>
      </c>
      <c r="GR139">
        <v>0</v>
      </c>
      <c r="GS139">
        <v>0</v>
      </c>
      <c r="GT139">
        <v>0</v>
      </c>
      <c r="GU139">
        <v>0</v>
      </c>
      <c r="GV139">
        <v>0</v>
      </c>
      <c r="GW139">
        <v>0</v>
      </c>
      <c r="GX139">
        <v>0</v>
      </c>
      <c r="GY139">
        <v>0</v>
      </c>
      <c r="GZ139">
        <v>0</v>
      </c>
      <c r="HA139">
        <v>0</v>
      </c>
      <c r="HB139">
        <v>0</v>
      </c>
      <c r="HC139">
        <v>0</v>
      </c>
      <c r="HD139">
        <v>0</v>
      </c>
      <c r="HE139">
        <v>0</v>
      </c>
      <c r="HF139">
        <v>0</v>
      </c>
      <c r="HG139">
        <v>0</v>
      </c>
      <c r="HH139">
        <v>0</v>
      </c>
      <c r="HI139">
        <v>0</v>
      </c>
      <c r="HJ139">
        <v>0</v>
      </c>
      <c r="HK139">
        <v>0</v>
      </c>
      <c r="HL139">
        <v>0</v>
      </c>
      <c r="HM139">
        <v>0</v>
      </c>
      <c r="HN139">
        <v>0</v>
      </c>
      <c r="HO139">
        <v>0</v>
      </c>
      <c r="HP139">
        <v>0</v>
      </c>
      <c r="HQ139">
        <v>0</v>
      </c>
      <c r="HR139">
        <v>0</v>
      </c>
      <c r="HS139">
        <v>0</v>
      </c>
      <c r="HT139">
        <v>0</v>
      </c>
      <c r="HU139">
        <v>0</v>
      </c>
      <c r="HV139">
        <v>0</v>
      </c>
      <c r="HW139">
        <v>0</v>
      </c>
      <c r="HX139">
        <v>0</v>
      </c>
      <c r="HY139">
        <v>0</v>
      </c>
      <c r="HZ139">
        <v>0</v>
      </c>
      <c r="IA139">
        <v>0</v>
      </c>
      <c r="IB139">
        <v>0</v>
      </c>
      <c r="IC139">
        <v>0</v>
      </c>
      <c r="ID139">
        <v>0</v>
      </c>
      <c r="IE139">
        <v>0</v>
      </c>
      <c r="IF139">
        <v>0</v>
      </c>
      <c r="IG139">
        <v>0</v>
      </c>
      <c r="IH139">
        <v>0</v>
      </c>
      <c r="II139">
        <v>0</v>
      </c>
      <c r="IJ139">
        <v>0</v>
      </c>
      <c r="IK139">
        <v>0</v>
      </c>
      <c r="IL139">
        <v>0</v>
      </c>
      <c r="IM139">
        <v>0</v>
      </c>
      <c r="IN139">
        <v>0</v>
      </c>
      <c r="IO139">
        <v>0</v>
      </c>
      <c r="IP139">
        <v>0</v>
      </c>
      <c r="IQ139">
        <v>0</v>
      </c>
      <c r="IR139">
        <v>0</v>
      </c>
      <c r="IS139">
        <v>0</v>
      </c>
      <c r="IT139">
        <v>0</v>
      </c>
      <c r="IU139">
        <v>0</v>
      </c>
      <c r="IV139">
        <v>0</v>
      </c>
      <c r="IW139">
        <v>0</v>
      </c>
      <c r="IX139">
        <v>0</v>
      </c>
      <c r="IY139">
        <v>0</v>
      </c>
      <c r="IZ139">
        <v>0</v>
      </c>
      <c r="JA139">
        <v>0</v>
      </c>
      <c r="JB139">
        <v>0</v>
      </c>
      <c r="JC139">
        <v>0</v>
      </c>
      <c r="JD139">
        <v>0</v>
      </c>
      <c r="JE139">
        <v>0</v>
      </c>
      <c r="JF139">
        <v>0</v>
      </c>
      <c r="JG139">
        <v>0</v>
      </c>
      <c r="JH139">
        <v>0</v>
      </c>
      <c r="JI139">
        <v>0</v>
      </c>
      <c r="JJ139">
        <v>0</v>
      </c>
      <c r="JK139">
        <v>0</v>
      </c>
      <c r="JL139">
        <v>0</v>
      </c>
      <c r="JM139">
        <v>0</v>
      </c>
      <c r="JN139">
        <v>0</v>
      </c>
      <c r="JO139">
        <v>0</v>
      </c>
      <c r="JP139">
        <v>0</v>
      </c>
      <c r="JQ139">
        <v>0</v>
      </c>
      <c r="JR139">
        <v>0</v>
      </c>
      <c r="JS139">
        <v>0</v>
      </c>
      <c r="JT139">
        <v>0</v>
      </c>
      <c r="JU139">
        <v>0</v>
      </c>
      <c r="JV139">
        <v>0</v>
      </c>
      <c r="JW139">
        <v>0</v>
      </c>
      <c r="JX139">
        <v>0</v>
      </c>
      <c r="JY139">
        <v>0</v>
      </c>
      <c r="JZ139">
        <v>0</v>
      </c>
      <c r="KA139">
        <v>0</v>
      </c>
      <c r="KB139">
        <v>0</v>
      </c>
      <c r="KC139">
        <v>0</v>
      </c>
      <c r="KD139">
        <v>0</v>
      </c>
      <c r="KE139">
        <v>0</v>
      </c>
      <c r="KF139">
        <v>0</v>
      </c>
      <c r="KG139">
        <v>1</v>
      </c>
      <c r="KH139">
        <v>1</v>
      </c>
      <c r="KI139">
        <v>1</v>
      </c>
      <c r="KJ139">
        <v>1</v>
      </c>
      <c r="KK139">
        <v>1</v>
      </c>
      <c r="KL139">
        <v>1</v>
      </c>
      <c r="KM139">
        <v>1</v>
      </c>
      <c r="KN139">
        <v>1</v>
      </c>
      <c r="KO139">
        <v>1</v>
      </c>
      <c r="KP139">
        <v>1</v>
      </c>
      <c r="KQ139">
        <v>1</v>
      </c>
      <c r="KR139">
        <v>1</v>
      </c>
      <c r="KS139">
        <v>1</v>
      </c>
      <c r="KT139">
        <v>1</v>
      </c>
      <c r="KU139">
        <v>1</v>
      </c>
      <c r="KV139">
        <v>1</v>
      </c>
      <c r="KW139">
        <v>1</v>
      </c>
      <c r="KX139">
        <v>1</v>
      </c>
      <c r="KY139">
        <v>1</v>
      </c>
      <c r="KZ139">
        <v>1</v>
      </c>
      <c r="LA139">
        <v>1</v>
      </c>
      <c r="LB139">
        <v>1</v>
      </c>
      <c r="LC139">
        <v>1</v>
      </c>
      <c r="LD139">
        <v>1</v>
      </c>
      <c r="LE139">
        <v>1</v>
      </c>
      <c r="LF139">
        <v>1</v>
      </c>
      <c r="LG139">
        <v>1</v>
      </c>
      <c r="LH139">
        <v>1</v>
      </c>
      <c r="LI139">
        <v>1</v>
      </c>
      <c r="LJ139">
        <v>1</v>
      </c>
      <c r="LK139">
        <v>1</v>
      </c>
      <c r="LL139">
        <v>1</v>
      </c>
      <c r="LM139">
        <v>1</v>
      </c>
      <c r="LN139">
        <v>1</v>
      </c>
      <c r="LO139">
        <v>1</v>
      </c>
      <c r="LP139">
        <v>1</v>
      </c>
      <c r="LQ139">
        <v>1</v>
      </c>
      <c r="LR139">
        <v>1</v>
      </c>
      <c r="LS139">
        <v>1</v>
      </c>
      <c r="LT139">
        <v>1</v>
      </c>
      <c r="LU139">
        <v>1</v>
      </c>
      <c r="LV139">
        <v>1</v>
      </c>
      <c r="LW139">
        <v>1</v>
      </c>
      <c r="LX139">
        <v>1</v>
      </c>
      <c r="LY139">
        <v>1</v>
      </c>
      <c r="LZ139">
        <v>1</v>
      </c>
      <c r="MA139">
        <v>1</v>
      </c>
      <c r="MB139">
        <v>1</v>
      </c>
      <c r="MC139">
        <v>1</v>
      </c>
      <c r="MD139">
        <v>1</v>
      </c>
      <c r="ME139">
        <v>1</v>
      </c>
      <c r="MF139">
        <v>1</v>
      </c>
      <c r="MG139">
        <v>1</v>
      </c>
      <c r="MH139">
        <v>1</v>
      </c>
      <c r="MI139">
        <v>1</v>
      </c>
      <c r="MJ139">
        <v>1</v>
      </c>
      <c r="MK139">
        <v>1</v>
      </c>
      <c r="ML139">
        <v>1</v>
      </c>
      <c r="MM139">
        <v>1</v>
      </c>
      <c r="MN139">
        <v>1</v>
      </c>
      <c r="MO139">
        <v>1</v>
      </c>
      <c r="MP139">
        <v>1</v>
      </c>
      <c r="MQ139">
        <v>1</v>
      </c>
      <c r="MR139">
        <v>1</v>
      </c>
      <c r="MS139">
        <v>1</v>
      </c>
      <c r="MT139">
        <v>1</v>
      </c>
      <c r="MU139">
        <v>1</v>
      </c>
      <c r="MV139">
        <v>1</v>
      </c>
      <c r="MW139">
        <v>1</v>
      </c>
      <c r="MX139">
        <v>1</v>
      </c>
      <c r="MY139">
        <v>1</v>
      </c>
      <c r="MZ139">
        <v>1</v>
      </c>
      <c r="NA139">
        <v>1</v>
      </c>
      <c r="NB139">
        <v>1</v>
      </c>
      <c r="NC139">
        <v>1</v>
      </c>
      <c r="ND139">
        <v>1</v>
      </c>
      <c r="NE139">
        <v>1</v>
      </c>
      <c r="NF139">
        <v>1</v>
      </c>
      <c r="NG139">
        <v>1</v>
      </c>
      <c r="NH139">
        <v>1</v>
      </c>
      <c r="NI139">
        <v>1</v>
      </c>
      <c r="NJ139">
        <v>1</v>
      </c>
      <c r="NK139">
        <v>1</v>
      </c>
      <c r="NL139">
        <v>1</v>
      </c>
      <c r="NM139">
        <v>1</v>
      </c>
      <c r="NN139">
        <v>1</v>
      </c>
      <c r="NO139">
        <v>1</v>
      </c>
      <c r="NP139">
        <v>1</v>
      </c>
      <c r="NQ139">
        <v>1</v>
      </c>
      <c r="NR139">
        <v>1</v>
      </c>
      <c r="NS139">
        <v>1</v>
      </c>
      <c r="NT139">
        <v>1</v>
      </c>
      <c r="NU139">
        <v>1</v>
      </c>
      <c r="NV139">
        <v>1</v>
      </c>
      <c r="NW139">
        <v>1</v>
      </c>
      <c r="NX139">
        <v>1</v>
      </c>
      <c r="NY139">
        <v>1</v>
      </c>
      <c r="NZ139">
        <v>1</v>
      </c>
      <c r="OA139">
        <v>1</v>
      </c>
      <c r="OB139">
        <v>1</v>
      </c>
      <c r="OC139">
        <v>1</v>
      </c>
      <c r="OD139">
        <v>1</v>
      </c>
      <c r="OE139">
        <v>1</v>
      </c>
      <c r="OF139">
        <v>1</v>
      </c>
      <c r="OG139">
        <v>1</v>
      </c>
      <c r="OH139">
        <v>1</v>
      </c>
      <c r="OI139">
        <v>1</v>
      </c>
      <c r="OJ139">
        <v>1</v>
      </c>
      <c r="OK139">
        <v>1</v>
      </c>
      <c r="OL139">
        <v>1</v>
      </c>
      <c r="OM139">
        <v>1</v>
      </c>
      <c r="ON139">
        <v>1</v>
      </c>
      <c r="OO139">
        <v>1</v>
      </c>
      <c r="OP139">
        <v>1</v>
      </c>
      <c r="OQ139">
        <v>1</v>
      </c>
      <c r="OR139">
        <v>1</v>
      </c>
      <c r="OS139">
        <v>1</v>
      </c>
      <c r="OT139">
        <v>1</v>
      </c>
      <c r="OU139">
        <v>1</v>
      </c>
      <c r="OV139">
        <v>1</v>
      </c>
      <c r="OW139">
        <v>1</v>
      </c>
      <c r="OX139">
        <v>1</v>
      </c>
      <c r="OY139">
        <v>1</v>
      </c>
      <c r="OZ139">
        <v>1</v>
      </c>
      <c r="PA139">
        <v>1</v>
      </c>
      <c r="PB139">
        <v>1</v>
      </c>
      <c r="PC139">
        <v>1</v>
      </c>
      <c r="PD139">
        <v>1</v>
      </c>
      <c r="PE139">
        <v>1</v>
      </c>
      <c r="PF139">
        <v>1</v>
      </c>
      <c r="PG139">
        <v>1</v>
      </c>
      <c r="PH139">
        <v>1</v>
      </c>
      <c r="PI139">
        <v>1</v>
      </c>
      <c r="PJ139">
        <v>1</v>
      </c>
      <c r="PK139">
        <v>1</v>
      </c>
      <c r="PL139">
        <v>1</v>
      </c>
      <c r="PM139">
        <v>1</v>
      </c>
      <c r="PN139">
        <v>1</v>
      </c>
      <c r="PO139">
        <v>1</v>
      </c>
      <c r="PP139">
        <v>1</v>
      </c>
      <c r="PQ139">
        <v>1</v>
      </c>
      <c r="PR139">
        <v>1</v>
      </c>
      <c r="PS139">
        <v>1</v>
      </c>
      <c r="PT139">
        <v>1</v>
      </c>
      <c r="PU139">
        <v>1</v>
      </c>
      <c r="PV139">
        <v>1</v>
      </c>
      <c r="PW139">
        <v>1</v>
      </c>
      <c r="PX139">
        <v>1</v>
      </c>
      <c r="PY139">
        <v>1</v>
      </c>
      <c r="PZ139">
        <v>1</v>
      </c>
      <c r="QA139">
        <v>1</v>
      </c>
      <c r="QB139">
        <v>1</v>
      </c>
      <c r="QC139">
        <v>1</v>
      </c>
      <c r="QD139">
        <v>1</v>
      </c>
      <c r="QE139">
        <v>1</v>
      </c>
      <c r="QF139">
        <v>1</v>
      </c>
      <c r="QG139">
        <v>1</v>
      </c>
      <c r="QH139">
        <v>1</v>
      </c>
      <c r="QI139">
        <v>1</v>
      </c>
      <c r="QJ139">
        <v>1</v>
      </c>
      <c r="QK139">
        <v>1</v>
      </c>
      <c r="QL139">
        <v>1</v>
      </c>
      <c r="QM139">
        <v>1</v>
      </c>
      <c r="QN139">
        <v>1</v>
      </c>
      <c r="QO139">
        <v>1</v>
      </c>
      <c r="QP139">
        <v>1</v>
      </c>
      <c r="QQ139">
        <v>1</v>
      </c>
      <c r="QR139">
        <v>1</v>
      </c>
      <c r="QS139">
        <v>1</v>
      </c>
      <c r="QT139">
        <v>1</v>
      </c>
      <c r="QU139">
        <v>1</v>
      </c>
      <c r="QV139">
        <v>1</v>
      </c>
      <c r="QW139">
        <v>1</v>
      </c>
      <c r="QX139">
        <v>1</v>
      </c>
      <c r="QY139">
        <v>1</v>
      </c>
      <c r="QZ139">
        <v>1</v>
      </c>
      <c r="RA139">
        <v>1</v>
      </c>
      <c r="RB139">
        <v>1</v>
      </c>
      <c r="RC139">
        <v>1</v>
      </c>
      <c r="RD139">
        <v>1</v>
      </c>
      <c r="RE139">
        <v>1</v>
      </c>
      <c r="RF139">
        <v>1</v>
      </c>
      <c r="RG139">
        <v>1</v>
      </c>
      <c r="RH139">
        <v>1</v>
      </c>
      <c r="RI139">
        <v>1</v>
      </c>
      <c r="RJ139">
        <v>1</v>
      </c>
      <c r="RK139">
        <v>1</v>
      </c>
      <c r="RL139">
        <v>1</v>
      </c>
      <c r="RM139">
        <v>1</v>
      </c>
      <c r="RN139">
        <v>1</v>
      </c>
      <c r="RO139">
        <v>1</v>
      </c>
      <c r="RP139">
        <v>1</v>
      </c>
      <c r="RQ139">
        <v>1</v>
      </c>
      <c r="RR139">
        <v>1</v>
      </c>
      <c r="RS139">
        <v>1</v>
      </c>
      <c r="RT139">
        <v>1</v>
      </c>
      <c r="RU139">
        <v>1</v>
      </c>
      <c r="RV139">
        <v>1</v>
      </c>
      <c r="RW139">
        <v>1</v>
      </c>
      <c r="RX139">
        <v>1</v>
      </c>
      <c r="RY139">
        <v>1</v>
      </c>
      <c r="RZ139">
        <v>1</v>
      </c>
      <c r="SA139">
        <v>1</v>
      </c>
      <c r="SB139">
        <v>1</v>
      </c>
      <c r="SC139">
        <v>1</v>
      </c>
      <c r="SD139">
        <v>1</v>
      </c>
      <c r="SE139">
        <v>1</v>
      </c>
      <c r="SF139">
        <v>1</v>
      </c>
      <c r="SG139">
        <v>1</v>
      </c>
      <c r="SH139">
        <v>1</v>
      </c>
      <c r="SI139">
        <v>1</v>
      </c>
      <c r="SJ139">
        <v>1</v>
      </c>
      <c r="SK139">
        <v>1</v>
      </c>
      <c r="SL139">
        <v>1</v>
      </c>
      <c r="SM139">
        <v>1</v>
      </c>
      <c r="SN139">
        <v>1</v>
      </c>
      <c r="SO139">
        <v>1</v>
      </c>
      <c r="SP139">
        <v>1</v>
      </c>
      <c r="SQ139">
        <v>1</v>
      </c>
      <c r="SR139">
        <v>0</v>
      </c>
      <c r="SS139">
        <v>0</v>
      </c>
      <c r="ST139">
        <v>0</v>
      </c>
      <c r="SU139">
        <v>0</v>
      </c>
      <c r="SV139">
        <v>0</v>
      </c>
      <c r="SW139">
        <v>0</v>
      </c>
      <c r="SX139">
        <v>0</v>
      </c>
      <c r="SY139">
        <v>0</v>
      </c>
      <c r="SZ139">
        <v>0</v>
      </c>
      <c r="TA139">
        <v>0</v>
      </c>
      <c r="TB139">
        <v>0</v>
      </c>
      <c r="TC139">
        <v>0</v>
      </c>
      <c r="TD139">
        <v>0</v>
      </c>
      <c r="TE139">
        <v>0</v>
      </c>
      <c r="TF139">
        <v>0</v>
      </c>
      <c r="TG139">
        <v>0</v>
      </c>
      <c r="TH139">
        <v>0</v>
      </c>
      <c r="TI139">
        <v>0</v>
      </c>
      <c r="TJ139">
        <v>0</v>
      </c>
      <c r="TK139">
        <v>0</v>
      </c>
      <c r="TL139">
        <v>0</v>
      </c>
      <c r="TM139">
        <v>0</v>
      </c>
      <c r="TN139">
        <v>0</v>
      </c>
      <c r="TO139">
        <v>0</v>
      </c>
      <c r="TP139">
        <v>0</v>
      </c>
      <c r="TQ139">
        <v>0</v>
      </c>
      <c r="TR139">
        <v>0</v>
      </c>
      <c r="TS139">
        <v>0</v>
      </c>
      <c r="TT139">
        <v>0</v>
      </c>
      <c r="TU139">
        <v>0</v>
      </c>
      <c r="TV139">
        <v>0</v>
      </c>
      <c r="TW139">
        <v>0</v>
      </c>
      <c r="TX139">
        <v>0</v>
      </c>
      <c r="TY139">
        <v>0</v>
      </c>
      <c r="TZ139">
        <v>0</v>
      </c>
      <c r="UA139">
        <v>0</v>
      </c>
      <c r="UB139">
        <v>0</v>
      </c>
      <c r="UC139">
        <v>0</v>
      </c>
      <c r="UD139">
        <v>0</v>
      </c>
      <c r="UE139">
        <v>0</v>
      </c>
      <c r="UF139">
        <v>0</v>
      </c>
      <c r="UG139">
        <v>0</v>
      </c>
      <c r="UH139">
        <v>0</v>
      </c>
      <c r="UI139">
        <v>0</v>
      </c>
      <c r="UJ139">
        <v>0</v>
      </c>
      <c r="UK139">
        <v>0</v>
      </c>
      <c r="UL139">
        <v>0</v>
      </c>
      <c r="UM139">
        <v>0</v>
      </c>
      <c r="UN139">
        <v>0</v>
      </c>
      <c r="UO139">
        <v>0</v>
      </c>
      <c r="UP139">
        <v>0</v>
      </c>
      <c r="UQ139">
        <v>0</v>
      </c>
      <c r="UR139">
        <v>0</v>
      </c>
      <c r="US139">
        <v>0</v>
      </c>
      <c r="UT139">
        <v>0</v>
      </c>
      <c r="UU139">
        <v>0</v>
      </c>
      <c r="UV139">
        <v>0</v>
      </c>
      <c r="UW139">
        <v>0</v>
      </c>
      <c r="UX139">
        <v>0</v>
      </c>
      <c r="UY139">
        <v>0</v>
      </c>
      <c r="UZ139">
        <v>0</v>
      </c>
      <c r="VA139">
        <v>0</v>
      </c>
      <c r="VB139">
        <v>0</v>
      </c>
      <c r="VC139">
        <v>0</v>
      </c>
      <c r="VD139">
        <v>0</v>
      </c>
      <c r="VE139">
        <v>0</v>
      </c>
      <c r="VF139">
        <v>0</v>
      </c>
      <c r="VG139">
        <v>0</v>
      </c>
      <c r="VH139">
        <v>0</v>
      </c>
      <c r="VI139">
        <v>0</v>
      </c>
      <c r="VJ139">
        <v>0</v>
      </c>
      <c r="VK139">
        <v>0</v>
      </c>
      <c r="VL139">
        <v>0</v>
      </c>
      <c r="VM139">
        <v>0</v>
      </c>
      <c r="VN139">
        <v>0</v>
      </c>
      <c r="VO139">
        <v>0</v>
      </c>
      <c r="VP139">
        <v>0</v>
      </c>
      <c r="VQ139">
        <v>0</v>
      </c>
      <c r="VR139">
        <v>0</v>
      </c>
      <c r="VS139">
        <v>0</v>
      </c>
      <c r="VT139">
        <v>0</v>
      </c>
      <c r="VU139">
        <v>0</v>
      </c>
      <c r="VV139">
        <v>0</v>
      </c>
      <c r="VW139">
        <v>0</v>
      </c>
      <c r="VX139">
        <v>0</v>
      </c>
      <c r="VY139">
        <v>0</v>
      </c>
      <c r="VZ139">
        <v>0</v>
      </c>
      <c r="WA139">
        <v>0</v>
      </c>
      <c r="WB139">
        <v>0</v>
      </c>
      <c r="WC139">
        <v>0</v>
      </c>
      <c r="WD139">
        <v>0</v>
      </c>
      <c r="WE139">
        <v>0</v>
      </c>
      <c r="WF139">
        <v>0</v>
      </c>
      <c r="WG139">
        <v>0</v>
      </c>
      <c r="WH139">
        <v>0</v>
      </c>
      <c r="WI139">
        <v>0</v>
      </c>
      <c r="WJ139">
        <v>0</v>
      </c>
      <c r="WK139">
        <v>0</v>
      </c>
      <c r="WL139">
        <v>0</v>
      </c>
      <c r="WM139">
        <v>0</v>
      </c>
      <c r="WN139">
        <v>0</v>
      </c>
      <c r="WO139">
        <v>0</v>
      </c>
      <c r="WP139">
        <v>0</v>
      </c>
      <c r="WQ139">
        <v>0</v>
      </c>
      <c r="WR139">
        <v>0</v>
      </c>
      <c r="WS139">
        <v>0</v>
      </c>
      <c r="WT139">
        <v>0</v>
      </c>
      <c r="WU139">
        <v>0</v>
      </c>
      <c r="WV139">
        <v>0</v>
      </c>
      <c r="WW139">
        <v>0</v>
      </c>
      <c r="WX139">
        <v>0</v>
      </c>
      <c r="WY139">
        <v>0</v>
      </c>
      <c r="WZ139">
        <v>0</v>
      </c>
      <c r="XA139">
        <v>0</v>
      </c>
      <c r="XB139">
        <v>0</v>
      </c>
      <c r="XC139">
        <v>0</v>
      </c>
      <c r="XD139">
        <v>0</v>
      </c>
      <c r="XE139">
        <v>0</v>
      </c>
      <c r="XF139">
        <v>0</v>
      </c>
      <c r="XG139">
        <v>0</v>
      </c>
      <c r="XH139">
        <v>0</v>
      </c>
      <c r="XI139">
        <v>0</v>
      </c>
      <c r="XJ139">
        <v>0</v>
      </c>
      <c r="XK139">
        <v>0</v>
      </c>
      <c r="XL139">
        <v>0</v>
      </c>
      <c r="XM139">
        <v>0</v>
      </c>
      <c r="XN139">
        <v>0</v>
      </c>
      <c r="XO139">
        <v>0</v>
      </c>
      <c r="XP139">
        <v>0</v>
      </c>
      <c r="XQ139">
        <v>0</v>
      </c>
      <c r="XR139">
        <v>0</v>
      </c>
      <c r="XS139">
        <v>0</v>
      </c>
      <c r="XT139">
        <v>0</v>
      </c>
      <c r="XU139">
        <v>0</v>
      </c>
      <c r="XV139">
        <v>0</v>
      </c>
      <c r="XW139">
        <v>0</v>
      </c>
      <c r="XX139">
        <v>0</v>
      </c>
      <c r="XY139">
        <v>0</v>
      </c>
      <c r="XZ139">
        <v>0</v>
      </c>
      <c r="YA139">
        <v>0</v>
      </c>
      <c r="YB139">
        <v>0</v>
      </c>
      <c r="YC139">
        <v>0</v>
      </c>
      <c r="YD139">
        <v>0</v>
      </c>
      <c r="YE139">
        <v>0</v>
      </c>
      <c r="YF139">
        <v>0</v>
      </c>
      <c r="YG139">
        <v>0</v>
      </c>
      <c r="YH139">
        <v>0</v>
      </c>
      <c r="YI139">
        <v>0</v>
      </c>
      <c r="YJ139">
        <v>0</v>
      </c>
      <c r="YK139">
        <v>0</v>
      </c>
      <c r="YL139">
        <v>0</v>
      </c>
      <c r="YM139">
        <v>0</v>
      </c>
      <c r="YN139">
        <v>0</v>
      </c>
      <c r="YO139">
        <v>0</v>
      </c>
      <c r="YP139">
        <v>0</v>
      </c>
      <c r="YQ139">
        <v>0</v>
      </c>
      <c r="YR139">
        <v>0</v>
      </c>
      <c r="YS139">
        <v>0</v>
      </c>
      <c r="YT139">
        <v>0</v>
      </c>
      <c r="YU139">
        <v>0</v>
      </c>
      <c r="YV139">
        <v>0</v>
      </c>
      <c r="YW139">
        <v>0</v>
      </c>
      <c r="YX139">
        <v>0</v>
      </c>
      <c r="YY139">
        <v>0</v>
      </c>
      <c r="YZ139">
        <v>0</v>
      </c>
      <c r="ZA139">
        <v>0</v>
      </c>
      <c r="ZB139">
        <v>0</v>
      </c>
      <c r="ZC139">
        <v>0</v>
      </c>
      <c r="ZD139">
        <v>0</v>
      </c>
      <c r="ZE139">
        <v>0</v>
      </c>
      <c r="ZF139">
        <v>0</v>
      </c>
      <c r="ZG139">
        <v>0</v>
      </c>
      <c r="ZH139">
        <v>0</v>
      </c>
      <c r="ZI139">
        <v>0</v>
      </c>
      <c r="ZJ139">
        <v>0</v>
      </c>
      <c r="ZK139">
        <v>0</v>
      </c>
      <c r="ZL139">
        <v>0</v>
      </c>
      <c r="ZM139">
        <v>0</v>
      </c>
      <c r="ZN139">
        <v>0</v>
      </c>
      <c r="ZO139">
        <v>0</v>
      </c>
      <c r="ZP139">
        <v>0</v>
      </c>
      <c r="ZQ139">
        <v>0</v>
      </c>
      <c r="ZR139">
        <v>0</v>
      </c>
      <c r="ZS139">
        <v>0</v>
      </c>
      <c r="ZT139">
        <v>0</v>
      </c>
      <c r="ZU139">
        <v>0</v>
      </c>
      <c r="ZV139">
        <v>0</v>
      </c>
      <c r="ZW139">
        <v>0</v>
      </c>
      <c r="ZX139">
        <v>0</v>
      </c>
      <c r="ZY139">
        <v>0</v>
      </c>
      <c r="ZZ139">
        <v>0</v>
      </c>
      <c r="AAA139">
        <v>0</v>
      </c>
      <c r="AAB139">
        <v>0</v>
      </c>
      <c r="AAC139">
        <v>0</v>
      </c>
      <c r="AAD139">
        <v>0</v>
      </c>
      <c r="AAE139">
        <v>0</v>
      </c>
      <c r="AAF139">
        <v>0</v>
      </c>
      <c r="AAG139">
        <v>0</v>
      </c>
      <c r="AAH139">
        <v>0</v>
      </c>
      <c r="AAI139">
        <v>0</v>
      </c>
      <c r="AAJ139">
        <v>0</v>
      </c>
      <c r="AAK139">
        <v>0</v>
      </c>
      <c r="AAL139">
        <v>0</v>
      </c>
      <c r="AAM139">
        <v>0</v>
      </c>
      <c r="AAN139">
        <v>0</v>
      </c>
      <c r="AAO139">
        <v>0</v>
      </c>
      <c r="AAP139">
        <v>0</v>
      </c>
      <c r="AAQ139">
        <v>0</v>
      </c>
      <c r="AAR139">
        <v>0</v>
      </c>
      <c r="AAS139">
        <v>0</v>
      </c>
      <c r="AAT139">
        <v>0</v>
      </c>
      <c r="AAU139">
        <v>0</v>
      </c>
      <c r="AAV139">
        <v>0</v>
      </c>
      <c r="AAW139">
        <v>0</v>
      </c>
      <c r="AAX139">
        <v>0</v>
      </c>
      <c r="AAY139">
        <v>0</v>
      </c>
      <c r="AAZ139">
        <v>0</v>
      </c>
      <c r="ABA139">
        <v>2</v>
      </c>
      <c r="ABB139">
        <v>2</v>
      </c>
      <c r="ABC139">
        <v>2</v>
      </c>
      <c r="ABD139">
        <v>2</v>
      </c>
      <c r="ABE139">
        <v>2</v>
      </c>
      <c r="ABG139" s="1137">
        <f t="shared" si="37"/>
        <v>0</v>
      </c>
      <c r="ABH139" s="1137">
        <f t="shared" si="37"/>
        <v>0</v>
      </c>
      <c r="ABI139" s="1137">
        <f t="shared" si="37"/>
        <v>20</v>
      </c>
      <c r="ABJ139" s="1137">
        <f t="shared" si="37"/>
        <v>30</v>
      </c>
      <c r="ABK139" s="1137">
        <f t="shared" si="37"/>
        <v>31</v>
      </c>
      <c r="ABL139" s="1137">
        <f t="shared" si="37"/>
        <v>15</v>
      </c>
      <c r="ABM139" s="1137">
        <f t="shared" si="37"/>
        <v>0</v>
      </c>
      <c r="ABN139" s="1137">
        <f t="shared" si="37"/>
        <v>0</v>
      </c>
      <c r="ABO139" s="1137">
        <f t="shared" si="37"/>
        <v>0</v>
      </c>
      <c r="ABP139" s="1137">
        <f t="shared" si="37"/>
        <v>15</v>
      </c>
      <c r="ABQ139" s="1137">
        <f t="shared" si="37"/>
        <v>30</v>
      </c>
      <c r="ABR139" s="1137">
        <f t="shared" si="37"/>
        <v>31</v>
      </c>
      <c r="ABS139" s="1137">
        <f t="shared" si="37"/>
        <v>31</v>
      </c>
      <c r="ABT139" s="1137">
        <f t="shared" si="37"/>
        <v>28</v>
      </c>
      <c r="ABU139" s="1137">
        <f t="shared" si="37"/>
        <v>31</v>
      </c>
      <c r="ABV139" s="1137">
        <f t="shared" si="37"/>
        <v>30</v>
      </c>
      <c r="ABW139" s="1137">
        <f t="shared" si="31"/>
        <v>23</v>
      </c>
      <c r="ABX139" s="1137">
        <f t="shared" si="34"/>
        <v>0</v>
      </c>
      <c r="ABY139" s="1137">
        <f t="shared" si="34"/>
        <v>0</v>
      </c>
      <c r="ABZ139" s="1137">
        <f t="shared" si="34"/>
        <v>0</v>
      </c>
      <c r="ACA139" s="1137">
        <f t="shared" si="34"/>
        <v>0</v>
      </c>
      <c r="ACB139" s="1137">
        <f t="shared" si="34"/>
        <v>0</v>
      </c>
      <c r="ACC139" s="1137">
        <f t="shared" si="34"/>
        <v>0</v>
      </c>
      <c r="ACD139" s="1137">
        <f t="shared" si="34"/>
        <v>5</v>
      </c>
      <c r="ACE139" s="1137" t="s">
        <v>238</v>
      </c>
      <c r="ACF139" s="1137">
        <f t="shared" si="33"/>
        <v>0</v>
      </c>
      <c r="ACG139" s="1137">
        <f t="shared" si="33"/>
        <v>0</v>
      </c>
      <c r="ACH139" s="1137">
        <f t="shared" si="33"/>
        <v>1</v>
      </c>
      <c r="ACI139" s="1137">
        <f t="shared" si="33"/>
        <v>1</v>
      </c>
      <c r="ACJ139" s="1137">
        <f t="shared" si="33"/>
        <v>1</v>
      </c>
      <c r="ACK139" s="1137">
        <f t="shared" si="33"/>
        <v>1</v>
      </c>
      <c r="ACL139" s="1137">
        <f t="shared" si="33"/>
        <v>0</v>
      </c>
      <c r="ACM139" s="1137">
        <f t="shared" si="33"/>
        <v>0</v>
      </c>
      <c r="ACN139" s="1137">
        <f t="shared" si="33"/>
        <v>0</v>
      </c>
      <c r="ACO139" s="1137">
        <f t="shared" si="33"/>
        <v>1</v>
      </c>
      <c r="ACP139" s="1137">
        <f t="shared" si="33"/>
        <v>1</v>
      </c>
      <c r="ACQ139" s="1137">
        <f t="shared" si="32"/>
        <v>1</v>
      </c>
      <c r="ACR139" s="1137">
        <f t="shared" si="32"/>
        <v>1</v>
      </c>
      <c r="ACS139" s="1137">
        <f t="shared" si="32"/>
        <v>1</v>
      </c>
      <c r="ACT139" s="1137">
        <f t="shared" si="32"/>
        <v>1</v>
      </c>
      <c r="ACU139" s="1137">
        <f t="shared" si="32"/>
        <v>1</v>
      </c>
      <c r="ACV139" s="1137">
        <f t="shared" si="32"/>
        <v>1</v>
      </c>
      <c r="ACW139" s="1137">
        <f t="shared" si="32"/>
        <v>0</v>
      </c>
      <c r="ACX139" s="1137">
        <f t="shared" si="32"/>
        <v>0</v>
      </c>
      <c r="ACY139" s="1137">
        <f t="shared" si="32"/>
        <v>0</v>
      </c>
      <c r="ACZ139" s="1137">
        <f t="shared" si="32"/>
        <v>0</v>
      </c>
      <c r="ADA139" s="1137">
        <f t="shared" si="35"/>
        <v>0</v>
      </c>
      <c r="ADB139" s="1137">
        <f t="shared" si="35"/>
        <v>0</v>
      </c>
      <c r="ADC139" s="1137">
        <f t="shared" si="35"/>
        <v>0</v>
      </c>
    </row>
    <row r="140" spans="1:783" x14ac:dyDescent="0.25">
      <c r="A140" t="s">
        <v>1939</v>
      </c>
      <c r="B140" t="s">
        <v>237</v>
      </c>
      <c r="C140">
        <v>0</v>
      </c>
      <c r="D140">
        <v>0</v>
      </c>
      <c r="E140">
        <v>0</v>
      </c>
      <c r="F140">
        <v>0</v>
      </c>
      <c r="G140">
        <v>0</v>
      </c>
      <c r="H140">
        <v>0</v>
      </c>
      <c r="I140">
        <v>0</v>
      </c>
      <c r="J140">
        <v>0</v>
      </c>
      <c r="K140">
        <v>0</v>
      </c>
      <c r="L140">
        <v>0</v>
      </c>
      <c r="M140">
        <v>0</v>
      </c>
      <c r="N140">
        <v>0</v>
      </c>
      <c r="O140">
        <v>0</v>
      </c>
      <c r="P140">
        <v>0</v>
      </c>
      <c r="Q140">
        <v>0</v>
      </c>
      <c r="R140">
        <v>0</v>
      </c>
      <c r="S140">
        <v>0</v>
      </c>
      <c r="T140">
        <v>0</v>
      </c>
      <c r="U140">
        <v>0</v>
      </c>
      <c r="V140">
        <v>0</v>
      </c>
      <c r="W140">
        <v>0</v>
      </c>
      <c r="X140">
        <v>0</v>
      </c>
      <c r="Y140">
        <v>0</v>
      </c>
      <c r="Z140">
        <v>0</v>
      </c>
      <c r="AA140">
        <v>0</v>
      </c>
      <c r="AB140">
        <v>0</v>
      </c>
      <c r="AC140">
        <v>0</v>
      </c>
      <c r="AD140">
        <v>0</v>
      </c>
      <c r="AE140">
        <v>0</v>
      </c>
      <c r="AF140">
        <v>0</v>
      </c>
      <c r="AG140">
        <v>0</v>
      </c>
      <c r="AH140">
        <v>0</v>
      </c>
      <c r="AI140">
        <v>0</v>
      </c>
      <c r="AJ140">
        <v>0</v>
      </c>
      <c r="AK140">
        <v>0</v>
      </c>
      <c r="AL140">
        <v>0</v>
      </c>
      <c r="AM140">
        <v>0</v>
      </c>
      <c r="AN140">
        <v>0</v>
      </c>
      <c r="AO140">
        <v>0</v>
      </c>
      <c r="AP140">
        <v>0</v>
      </c>
      <c r="AQ140">
        <v>0</v>
      </c>
      <c r="AR140">
        <v>0</v>
      </c>
      <c r="AS140">
        <v>0</v>
      </c>
      <c r="AT140">
        <v>0</v>
      </c>
      <c r="AU140">
        <v>0</v>
      </c>
      <c r="AV140">
        <v>0</v>
      </c>
      <c r="AW140">
        <v>0</v>
      </c>
      <c r="AX140">
        <v>0</v>
      </c>
      <c r="AY140">
        <v>0</v>
      </c>
      <c r="AZ140">
        <v>0</v>
      </c>
      <c r="BA140">
        <v>0</v>
      </c>
      <c r="BB140">
        <v>0</v>
      </c>
      <c r="BC140">
        <v>0</v>
      </c>
      <c r="BD140">
        <v>0</v>
      </c>
      <c r="BE140">
        <v>0</v>
      </c>
      <c r="BF140">
        <v>0</v>
      </c>
      <c r="BG140">
        <v>0</v>
      </c>
      <c r="BH140">
        <v>0</v>
      </c>
      <c r="BI140">
        <v>0</v>
      </c>
      <c r="BJ140">
        <v>0</v>
      </c>
      <c r="BK140">
        <v>0</v>
      </c>
      <c r="BL140">
        <v>0</v>
      </c>
      <c r="BM140">
        <v>0</v>
      </c>
      <c r="BN140">
        <v>0</v>
      </c>
      <c r="BO140">
        <v>0</v>
      </c>
      <c r="BP140">
        <v>0</v>
      </c>
      <c r="BQ140">
        <v>0</v>
      </c>
      <c r="BR140">
        <v>0</v>
      </c>
      <c r="BS140">
        <v>0</v>
      </c>
      <c r="BT140">
        <v>0</v>
      </c>
      <c r="BU140">
        <v>0</v>
      </c>
      <c r="BV140">
        <v>0</v>
      </c>
      <c r="BW140">
        <v>0</v>
      </c>
      <c r="BX140">
        <v>0</v>
      </c>
      <c r="BY140">
        <v>0</v>
      </c>
      <c r="BZ140">
        <v>0</v>
      </c>
      <c r="CA140">
        <v>0</v>
      </c>
      <c r="CB140">
        <v>0</v>
      </c>
      <c r="CC140">
        <v>1</v>
      </c>
      <c r="CD140">
        <v>1</v>
      </c>
      <c r="CE140">
        <v>1</v>
      </c>
      <c r="CF140">
        <v>1</v>
      </c>
      <c r="CG140">
        <v>1</v>
      </c>
      <c r="CH140">
        <v>1</v>
      </c>
      <c r="CI140">
        <v>1</v>
      </c>
      <c r="CJ140">
        <v>1</v>
      </c>
      <c r="CK140">
        <v>1</v>
      </c>
      <c r="CL140">
        <v>1</v>
      </c>
      <c r="CM140">
        <v>1</v>
      </c>
      <c r="CN140">
        <v>1</v>
      </c>
      <c r="CO140">
        <v>1</v>
      </c>
      <c r="CP140">
        <v>1</v>
      </c>
      <c r="CQ140">
        <v>1</v>
      </c>
      <c r="CR140">
        <v>1</v>
      </c>
      <c r="CS140">
        <v>1</v>
      </c>
      <c r="CT140">
        <v>1</v>
      </c>
      <c r="CU140">
        <v>1</v>
      </c>
      <c r="CV140">
        <v>1</v>
      </c>
      <c r="CW140">
        <v>1</v>
      </c>
      <c r="CX140">
        <v>2</v>
      </c>
      <c r="CY140">
        <v>2</v>
      </c>
      <c r="CZ140">
        <v>2</v>
      </c>
      <c r="DA140">
        <v>2</v>
      </c>
      <c r="DB140">
        <v>2</v>
      </c>
      <c r="DC140">
        <v>1</v>
      </c>
      <c r="DD140">
        <v>1</v>
      </c>
      <c r="DE140">
        <v>1</v>
      </c>
      <c r="DF140">
        <v>1</v>
      </c>
      <c r="DG140">
        <v>1</v>
      </c>
      <c r="DH140">
        <v>1</v>
      </c>
      <c r="DI140">
        <v>1</v>
      </c>
      <c r="DJ140">
        <v>1</v>
      </c>
      <c r="DK140">
        <v>1</v>
      </c>
      <c r="DL140">
        <v>1</v>
      </c>
      <c r="DM140">
        <v>1</v>
      </c>
      <c r="DN140">
        <v>1</v>
      </c>
      <c r="DO140">
        <v>1</v>
      </c>
      <c r="DP140">
        <v>1</v>
      </c>
      <c r="DQ140">
        <v>1</v>
      </c>
      <c r="DR140">
        <v>1</v>
      </c>
      <c r="DS140">
        <v>1</v>
      </c>
      <c r="DT140">
        <v>2</v>
      </c>
      <c r="DU140">
        <v>2</v>
      </c>
      <c r="DV140">
        <v>2</v>
      </c>
      <c r="DW140">
        <v>0</v>
      </c>
      <c r="DX140">
        <v>0</v>
      </c>
      <c r="DY140">
        <v>0</v>
      </c>
      <c r="DZ140">
        <v>0</v>
      </c>
      <c r="EA140">
        <v>0</v>
      </c>
      <c r="EB140">
        <v>0</v>
      </c>
      <c r="EC140">
        <v>0</v>
      </c>
      <c r="ED140">
        <v>0</v>
      </c>
      <c r="EE140">
        <v>0</v>
      </c>
      <c r="EF140">
        <v>0</v>
      </c>
      <c r="EG140">
        <v>0</v>
      </c>
      <c r="EH140">
        <v>0</v>
      </c>
      <c r="EI140">
        <v>0</v>
      </c>
      <c r="EJ140">
        <v>0</v>
      </c>
      <c r="EK140">
        <v>0</v>
      </c>
      <c r="EL140">
        <v>0</v>
      </c>
      <c r="EM140">
        <v>0</v>
      </c>
      <c r="EN140">
        <v>0</v>
      </c>
      <c r="EO140">
        <v>0</v>
      </c>
      <c r="EP140">
        <v>0</v>
      </c>
      <c r="EQ140">
        <v>0</v>
      </c>
      <c r="ER140">
        <v>0</v>
      </c>
      <c r="ES140">
        <v>0</v>
      </c>
      <c r="ET140">
        <v>0</v>
      </c>
      <c r="EU140">
        <v>0</v>
      </c>
      <c r="EV140">
        <v>0</v>
      </c>
      <c r="EW140">
        <v>0</v>
      </c>
      <c r="EX140">
        <v>0</v>
      </c>
      <c r="EY140">
        <v>0</v>
      </c>
      <c r="EZ140">
        <v>0</v>
      </c>
      <c r="FA140">
        <v>0</v>
      </c>
      <c r="FB140">
        <v>0</v>
      </c>
      <c r="FC140">
        <v>0</v>
      </c>
      <c r="FD140">
        <v>0</v>
      </c>
      <c r="FE140">
        <v>0</v>
      </c>
      <c r="FF140">
        <v>0</v>
      </c>
      <c r="FG140">
        <v>0</v>
      </c>
      <c r="FH140">
        <v>0</v>
      </c>
      <c r="FI140">
        <v>0</v>
      </c>
      <c r="FJ140">
        <v>0</v>
      </c>
      <c r="FK140">
        <v>0</v>
      </c>
      <c r="FL140">
        <v>0</v>
      </c>
      <c r="FM140">
        <v>0</v>
      </c>
      <c r="FN140">
        <v>0</v>
      </c>
      <c r="FO140">
        <v>0</v>
      </c>
      <c r="FP140">
        <v>0</v>
      </c>
      <c r="FQ140">
        <v>0</v>
      </c>
      <c r="FR140">
        <v>0</v>
      </c>
      <c r="FS140">
        <v>0</v>
      </c>
      <c r="FT140">
        <v>0</v>
      </c>
      <c r="FU140">
        <v>0</v>
      </c>
      <c r="FV140">
        <v>0</v>
      </c>
      <c r="FW140">
        <v>0</v>
      </c>
      <c r="FX140">
        <v>0</v>
      </c>
      <c r="FY140">
        <v>0</v>
      </c>
      <c r="FZ140">
        <v>0</v>
      </c>
      <c r="GA140">
        <v>0</v>
      </c>
      <c r="GB140">
        <v>0</v>
      </c>
      <c r="GC140">
        <v>0</v>
      </c>
      <c r="GD140">
        <v>0</v>
      </c>
      <c r="GE140">
        <v>0</v>
      </c>
      <c r="GF140">
        <v>0</v>
      </c>
      <c r="GG140">
        <v>0</v>
      </c>
      <c r="GH140">
        <v>0</v>
      </c>
      <c r="GI140">
        <v>0</v>
      </c>
      <c r="GJ140">
        <v>0</v>
      </c>
      <c r="GK140">
        <v>0</v>
      </c>
      <c r="GL140">
        <v>0</v>
      </c>
      <c r="GM140">
        <v>0</v>
      </c>
      <c r="GN140">
        <v>0</v>
      </c>
      <c r="GO140">
        <v>0</v>
      </c>
      <c r="GP140">
        <v>0</v>
      </c>
      <c r="GQ140">
        <v>0</v>
      </c>
      <c r="GR140">
        <v>0</v>
      </c>
      <c r="GS140">
        <v>0</v>
      </c>
      <c r="GT140">
        <v>0</v>
      </c>
      <c r="GU140">
        <v>0</v>
      </c>
      <c r="GV140">
        <v>0</v>
      </c>
      <c r="GW140">
        <v>0</v>
      </c>
      <c r="GX140">
        <v>0</v>
      </c>
      <c r="GY140">
        <v>0</v>
      </c>
      <c r="GZ140">
        <v>0</v>
      </c>
      <c r="HA140">
        <v>0</v>
      </c>
      <c r="HB140">
        <v>0</v>
      </c>
      <c r="HC140">
        <v>0</v>
      </c>
      <c r="HD140">
        <v>0</v>
      </c>
      <c r="HE140">
        <v>0</v>
      </c>
      <c r="HF140">
        <v>0</v>
      </c>
      <c r="HG140">
        <v>0</v>
      </c>
      <c r="HH140">
        <v>0</v>
      </c>
      <c r="HI140">
        <v>0</v>
      </c>
      <c r="HJ140">
        <v>0</v>
      </c>
      <c r="HK140">
        <v>0</v>
      </c>
      <c r="HL140">
        <v>0</v>
      </c>
      <c r="HM140">
        <v>0</v>
      </c>
      <c r="HN140">
        <v>0</v>
      </c>
      <c r="HO140">
        <v>0</v>
      </c>
      <c r="HP140">
        <v>0</v>
      </c>
      <c r="HQ140">
        <v>0</v>
      </c>
      <c r="HR140">
        <v>0</v>
      </c>
      <c r="HS140">
        <v>0</v>
      </c>
      <c r="HT140">
        <v>0</v>
      </c>
      <c r="HU140">
        <v>0</v>
      </c>
      <c r="HV140">
        <v>0</v>
      </c>
      <c r="HW140">
        <v>0</v>
      </c>
      <c r="HX140">
        <v>0</v>
      </c>
      <c r="HY140">
        <v>0</v>
      </c>
      <c r="HZ140">
        <v>0</v>
      </c>
      <c r="IA140">
        <v>0</v>
      </c>
      <c r="IB140">
        <v>0</v>
      </c>
      <c r="IC140">
        <v>0</v>
      </c>
      <c r="ID140">
        <v>0</v>
      </c>
      <c r="IE140">
        <v>0</v>
      </c>
      <c r="IF140">
        <v>0</v>
      </c>
      <c r="IG140">
        <v>0</v>
      </c>
      <c r="IH140">
        <v>0</v>
      </c>
      <c r="II140">
        <v>0</v>
      </c>
      <c r="IJ140">
        <v>0</v>
      </c>
      <c r="IK140">
        <v>0</v>
      </c>
      <c r="IL140">
        <v>0</v>
      </c>
      <c r="IM140">
        <v>0</v>
      </c>
      <c r="IN140">
        <v>0</v>
      </c>
      <c r="IO140">
        <v>0</v>
      </c>
      <c r="IP140">
        <v>0</v>
      </c>
      <c r="IQ140">
        <v>0</v>
      </c>
      <c r="IR140">
        <v>0</v>
      </c>
      <c r="IS140">
        <v>0</v>
      </c>
      <c r="IT140">
        <v>0</v>
      </c>
      <c r="IU140">
        <v>0</v>
      </c>
      <c r="IV140">
        <v>0</v>
      </c>
      <c r="IW140">
        <v>0</v>
      </c>
      <c r="IX140">
        <v>0</v>
      </c>
      <c r="IY140">
        <v>0</v>
      </c>
      <c r="IZ140">
        <v>0</v>
      </c>
      <c r="JA140">
        <v>0</v>
      </c>
      <c r="JB140">
        <v>0</v>
      </c>
      <c r="JC140">
        <v>0</v>
      </c>
      <c r="JD140">
        <v>0</v>
      </c>
      <c r="JE140">
        <v>0</v>
      </c>
      <c r="JF140">
        <v>0</v>
      </c>
      <c r="JG140">
        <v>0</v>
      </c>
      <c r="JH140">
        <v>0</v>
      </c>
      <c r="JI140">
        <v>0</v>
      </c>
      <c r="JJ140">
        <v>0</v>
      </c>
      <c r="JK140">
        <v>0</v>
      </c>
      <c r="JL140">
        <v>0</v>
      </c>
      <c r="JM140">
        <v>0</v>
      </c>
      <c r="JN140">
        <v>0</v>
      </c>
      <c r="JO140">
        <v>0</v>
      </c>
      <c r="JP140">
        <v>0</v>
      </c>
      <c r="JQ140">
        <v>0</v>
      </c>
      <c r="JR140">
        <v>0</v>
      </c>
      <c r="JS140">
        <v>0</v>
      </c>
      <c r="JT140">
        <v>0</v>
      </c>
      <c r="JU140">
        <v>0</v>
      </c>
      <c r="JV140">
        <v>0</v>
      </c>
      <c r="JW140">
        <v>0</v>
      </c>
      <c r="JX140">
        <v>0</v>
      </c>
      <c r="JY140">
        <v>0</v>
      </c>
      <c r="JZ140">
        <v>0</v>
      </c>
      <c r="KA140">
        <v>0</v>
      </c>
      <c r="KB140">
        <v>0</v>
      </c>
      <c r="KC140">
        <v>0</v>
      </c>
      <c r="KD140">
        <v>0</v>
      </c>
      <c r="KE140">
        <v>0</v>
      </c>
      <c r="KF140">
        <v>0</v>
      </c>
      <c r="KG140">
        <v>0</v>
      </c>
      <c r="KH140">
        <v>0</v>
      </c>
      <c r="KI140">
        <v>0</v>
      </c>
      <c r="KJ140">
        <v>0</v>
      </c>
      <c r="KK140">
        <v>0</v>
      </c>
      <c r="KL140">
        <v>0</v>
      </c>
      <c r="KM140">
        <v>0</v>
      </c>
      <c r="KN140">
        <v>0</v>
      </c>
      <c r="KO140">
        <v>0</v>
      </c>
      <c r="KP140">
        <v>0</v>
      </c>
      <c r="KQ140">
        <v>0</v>
      </c>
      <c r="KR140">
        <v>0</v>
      </c>
      <c r="KS140">
        <v>0</v>
      </c>
      <c r="KT140">
        <v>2</v>
      </c>
      <c r="KU140">
        <v>2</v>
      </c>
      <c r="KV140">
        <v>2</v>
      </c>
      <c r="KW140">
        <v>2</v>
      </c>
      <c r="KX140">
        <v>2</v>
      </c>
      <c r="KY140">
        <v>0</v>
      </c>
      <c r="KZ140">
        <v>0</v>
      </c>
      <c r="LA140">
        <v>0</v>
      </c>
      <c r="LB140">
        <v>0</v>
      </c>
      <c r="LC140">
        <v>0</v>
      </c>
      <c r="LD140">
        <v>0</v>
      </c>
      <c r="LE140">
        <v>0</v>
      </c>
      <c r="LF140">
        <v>0</v>
      </c>
      <c r="LG140">
        <v>0</v>
      </c>
      <c r="LH140">
        <v>0</v>
      </c>
      <c r="LI140">
        <v>0</v>
      </c>
      <c r="LJ140">
        <v>0</v>
      </c>
      <c r="LK140">
        <v>0</v>
      </c>
      <c r="LL140">
        <v>0</v>
      </c>
      <c r="LM140">
        <v>0</v>
      </c>
      <c r="LN140">
        <v>0</v>
      </c>
      <c r="LO140">
        <v>0</v>
      </c>
      <c r="LP140">
        <v>0</v>
      </c>
      <c r="LQ140">
        <v>0</v>
      </c>
      <c r="LR140">
        <v>0</v>
      </c>
      <c r="LS140">
        <v>0</v>
      </c>
      <c r="LT140">
        <v>0</v>
      </c>
      <c r="LU140">
        <v>0</v>
      </c>
      <c r="LV140">
        <v>2</v>
      </c>
      <c r="LW140">
        <v>2</v>
      </c>
      <c r="LX140">
        <v>2</v>
      </c>
      <c r="LY140">
        <v>2</v>
      </c>
      <c r="LZ140">
        <v>2</v>
      </c>
      <c r="MA140">
        <v>0</v>
      </c>
      <c r="MB140">
        <v>0</v>
      </c>
      <c r="MC140">
        <v>2</v>
      </c>
      <c r="MD140">
        <v>2</v>
      </c>
      <c r="ME140">
        <v>2</v>
      </c>
      <c r="MF140">
        <v>2</v>
      </c>
      <c r="MG140">
        <v>2</v>
      </c>
      <c r="MH140">
        <v>0</v>
      </c>
      <c r="MI140">
        <v>0</v>
      </c>
      <c r="MJ140">
        <v>0</v>
      </c>
      <c r="MK140">
        <v>0</v>
      </c>
      <c r="ML140">
        <v>0</v>
      </c>
      <c r="MM140">
        <v>0</v>
      </c>
      <c r="MN140">
        <v>0</v>
      </c>
      <c r="MO140">
        <v>0</v>
      </c>
      <c r="MP140">
        <v>0</v>
      </c>
      <c r="MQ140">
        <v>0</v>
      </c>
      <c r="MR140">
        <v>0</v>
      </c>
      <c r="MS140">
        <v>0</v>
      </c>
      <c r="MT140">
        <v>0</v>
      </c>
      <c r="MU140">
        <v>0</v>
      </c>
      <c r="MV140">
        <v>0</v>
      </c>
      <c r="MW140">
        <v>0</v>
      </c>
      <c r="MX140">
        <v>0</v>
      </c>
      <c r="MY140">
        <v>0</v>
      </c>
      <c r="MZ140">
        <v>0</v>
      </c>
      <c r="NA140">
        <v>0</v>
      </c>
      <c r="NB140">
        <v>0</v>
      </c>
      <c r="NC140">
        <v>0</v>
      </c>
      <c r="ND140">
        <v>2</v>
      </c>
      <c r="NE140">
        <v>2</v>
      </c>
      <c r="NF140">
        <v>2</v>
      </c>
      <c r="NG140">
        <v>2</v>
      </c>
      <c r="NH140">
        <v>0</v>
      </c>
      <c r="NI140">
        <v>0</v>
      </c>
      <c r="NJ140">
        <v>0</v>
      </c>
      <c r="NK140">
        <v>0</v>
      </c>
      <c r="NL140">
        <v>0</v>
      </c>
      <c r="NM140">
        <v>2</v>
      </c>
      <c r="NN140">
        <v>2</v>
      </c>
      <c r="NO140">
        <v>0</v>
      </c>
      <c r="NP140">
        <v>0</v>
      </c>
      <c r="NQ140">
        <v>0</v>
      </c>
      <c r="NR140">
        <v>0</v>
      </c>
      <c r="NS140">
        <v>0</v>
      </c>
      <c r="NT140">
        <v>0</v>
      </c>
      <c r="NU140">
        <v>0</v>
      </c>
      <c r="NV140">
        <v>0</v>
      </c>
      <c r="NW140">
        <v>0</v>
      </c>
      <c r="NX140">
        <v>0</v>
      </c>
      <c r="NY140">
        <v>0</v>
      </c>
      <c r="NZ140">
        <v>2</v>
      </c>
      <c r="OA140">
        <v>2</v>
      </c>
      <c r="OB140">
        <v>2</v>
      </c>
      <c r="OC140">
        <v>0</v>
      </c>
      <c r="OD140">
        <v>0</v>
      </c>
      <c r="OE140">
        <v>0</v>
      </c>
      <c r="OF140">
        <v>0</v>
      </c>
      <c r="OG140">
        <v>2</v>
      </c>
      <c r="OH140">
        <v>2</v>
      </c>
      <c r="OI140">
        <v>2</v>
      </c>
      <c r="OJ140">
        <v>0</v>
      </c>
      <c r="OK140">
        <v>0</v>
      </c>
      <c r="OL140">
        <v>0</v>
      </c>
      <c r="OM140">
        <v>0</v>
      </c>
      <c r="ON140">
        <v>2</v>
      </c>
      <c r="OO140">
        <v>2</v>
      </c>
      <c r="OP140">
        <v>2</v>
      </c>
      <c r="OQ140">
        <v>0</v>
      </c>
      <c r="OR140">
        <v>0</v>
      </c>
      <c r="OS140">
        <v>0</v>
      </c>
      <c r="OT140">
        <v>0</v>
      </c>
      <c r="OU140">
        <v>2</v>
      </c>
      <c r="OV140">
        <v>2</v>
      </c>
      <c r="OW140">
        <v>2</v>
      </c>
      <c r="OX140">
        <v>0</v>
      </c>
      <c r="OY140">
        <v>0</v>
      </c>
      <c r="OZ140">
        <v>0</v>
      </c>
      <c r="PA140">
        <v>0</v>
      </c>
      <c r="PB140">
        <v>2</v>
      </c>
      <c r="PC140">
        <v>2</v>
      </c>
      <c r="PD140">
        <v>2</v>
      </c>
      <c r="PE140">
        <v>0</v>
      </c>
      <c r="PF140">
        <v>0</v>
      </c>
      <c r="PG140">
        <v>0</v>
      </c>
      <c r="PH140">
        <v>0</v>
      </c>
      <c r="PI140">
        <v>2</v>
      </c>
      <c r="PJ140">
        <v>2</v>
      </c>
      <c r="PK140">
        <v>2</v>
      </c>
      <c r="PL140">
        <v>0</v>
      </c>
      <c r="PM140">
        <v>0</v>
      </c>
      <c r="PN140">
        <v>0</v>
      </c>
      <c r="PO140">
        <v>0</v>
      </c>
      <c r="PP140">
        <v>2</v>
      </c>
      <c r="PQ140">
        <v>2</v>
      </c>
      <c r="PR140">
        <v>2</v>
      </c>
      <c r="PS140">
        <v>0</v>
      </c>
      <c r="PT140">
        <v>0</v>
      </c>
      <c r="PU140">
        <v>0</v>
      </c>
      <c r="PV140">
        <v>0</v>
      </c>
      <c r="PW140">
        <v>2</v>
      </c>
      <c r="PX140">
        <v>2</v>
      </c>
      <c r="PY140">
        <v>2</v>
      </c>
      <c r="PZ140">
        <v>0</v>
      </c>
      <c r="QA140">
        <v>0</v>
      </c>
      <c r="QB140">
        <v>0</v>
      </c>
      <c r="QC140">
        <v>0</v>
      </c>
      <c r="QD140">
        <v>2</v>
      </c>
      <c r="QE140">
        <v>2</v>
      </c>
      <c r="QF140">
        <v>2</v>
      </c>
      <c r="QG140">
        <v>0</v>
      </c>
      <c r="QH140">
        <v>0</v>
      </c>
      <c r="QI140">
        <v>0</v>
      </c>
      <c r="QJ140">
        <v>0</v>
      </c>
      <c r="QK140">
        <v>2</v>
      </c>
      <c r="QL140">
        <v>2</v>
      </c>
      <c r="QM140">
        <v>2</v>
      </c>
      <c r="QN140">
        <v>2</v>
      </c>
      <c r="QO140">
        <v>2</v>
      </c>
      <c r="QP140">
        <v>2</v>
      </c>
      <c r="QQ140">
        <v>2</v>
      </c>
      <c r="QR140">
        <v>2</v>
      </c>
      <c r="QS140">
        <v>2</v>
      </c>
      <c r="QT140">
        <v>2</v>
      </c>
      <c r="QU140">
        <v>0</v>
      </c>
      <c r="QV140">
        <v>0</v>
      </c>
      <c r="QW140">
        <v>0</v>
      </c>
      <c r="QX140">
        <v>0</v>
      </c>
      <c r="QY140">
        <v>0</v>
      </c>
      <c r="QZ140">
        <v>0</v>
      </c>
      <c r="RA140">
        <v>0</v>
      </c>
      <c r="RB140">
        <v>0</v>
      </c>
      <c r="RC140">
        <v>0</v>
      </c>
      <c r="RD140">
        <v>0</v>
      </c>
      <c r="RE140">
        <v>0</v>
      </c>
      <c r="RF140">
        <v>0</v>
      </c>
      <c r="RG140">
        <v>0</v>
      </c>
      <c r="RH140">
        <v>0</v>
      </c>
      <c r="RI140">
        <v>2</v>
      </c>
      <c r="RJ140">
        <v>2</v>
      </c>
      <c r="RK140">
        <v>2</v>
      </c>
      <c r="RL140">
        <v>2</v>
      </c>
      <c r="RM140">
        <v>2</v>
      </c>
      <c r="RN140">
        <v>2</v>
      </c>
      <c r="RO140">
        <v>2</v>
      </c>
      <c r="RP140">
        <v>2</v>
      </c>
      <c r="RQ140">
        <v>2</v>
      </c>
      <c r="RR140">
        <v>2</v>
      </c>
      <c r="RS140">
        <v>2</v>
      </c>
      <c r="RT140">
        <v>2</v>
      </c>
      <c r="RU140">
        <v>2</v>
      </c>
      <c r="RV140">
        <v>2</v>
      </c>
      <c r="RW140">
        <v>2</v>
      </c>
      <c r="RX140">
        <v>2</v>
      </c>
      <c r="RY140">
        <v>2</v>
      </c>
      <c r="RZ140">
        <v>2</v>
      </c>
      <c r="SA140">
        <v>2</v>
      </c>
      <c r="SB140">
        <v>2</v>
      </c>
      <c r="SC140">
        <v>2</v>
      </c>
      <c r="SD140">
        <v>2</v>
      </c>
      <c r="SE140">
        <v>0</v>
      </c>
      <c r="SF140">
        <v>0</v>
      </c>
      <c r="SG140">
        <v>0</v>
      </c>
      <c r="SH140">
        <v>0</v>
      </c>
      <c r="SI140">
        <v>0</v>
      </c>
      <c r="SJ140">
        <v>0</v>
      </c>
      <c r="SK140">
        <v>0</v>
      </c>
      <c r="SL140">
        <v>0</v>
      </c>
      <c r="SM140">
        <v>0</v>
      </c>
      <c r="SN140">
        <v>0</v>
      </c>
      <c r="SO140">
        <v>0</v>
      </c>
      <c r="SP140">
        <v>0</v>
      </c>
      <c r="SQ140">
        <v>0</v>
      </c>
      <c r="SR140">
        <v>0</v>
      </c>
      <c r="SS140">
        <v>0</v>
      </c>
      <c r="ST140">
        <v>0</v>
      </c>
      <c r="SU140">
        <v>0</v>
      </c>
      <c r="SV140">
        <v>0</v>
      </c>
      <c r="SW140">
        <v>0</v>
      </c>
      <c r="SX140">
        <v>0</v>
      </c>
      <c r="SY140">
        <v>0</v>
      </c>
      <c r="SZ140">
        <v>0</v>
      </c>
      <c r="TA140">
        <v>0</v>
      </c>
      <c r="TB140">
        <v>0</v>
      </c>
      <c r="TC140">
        <v>0</v>
      </c>
      <c r="TD140">
        <v>0</v>
      </c>
      <c r="TE140">
        <v>0</v>
      </c>
      <c r="TF140">
        <v>0</v>
      </c>
      <c r="TG140">
        <v>0</v>
      </c>
      <c r="TH140">
        <v>0</v>
      </c>
      <c r="TI140">
        <v>0</v>
      </c>
      <c r="TJ140">
        <v>0</v>
      </c>
      <c r="TK140">
        <v>0</v>
      </c>
      <c r="TL140">
        <v>0</v>
      </c>
      <c r="TM140">
        <v>0</v>
      </c>
      <c r="TN140">
        <v>0</v>
      </c>
      <c r="TO140">
        <v>0</v>
      </c>
      <c r="TP140">
        <v>0</v>
      </c>
      <c r="TQ140">
        <v>2</v>
      </c>
      <c r="TR140">
        <v>2</v>
      </c>
      <c r="TS140">
        <v>2</v>
      </c>
      <c r="TT140">
        <v>0</v>
      </c>
      <c r="TU140">
        <v>0</v>
      </c>
      <c r="TV140">
        <v>0</v>
      </c>
      <c r="TW140">
        <v>0</v>
      </c>
      <c r="TX140">
        <v>2</v>
      </c>
      <c r="TY140">
        <v>2</v>
      </c>
      <c r="TZ140">
        <v>2</v>
      </c>
      <c r="UA140">
        <v>0</v>
      </c>
      <c r="UB140">
        <v>0</v>
      </c>
      <c r="UC140">
        <v>0</v>
      </c>
      <c r="UD140">
        <v>0</v>
      </c>
      <c r="UE140">
        <v>2</v>
      </c>
      <c r="UF140">
        <v>2</v>
      </c>
      <c r="UG140">
        <v>2</v>
      </c>
      <c r="UH140">
        <v>0</v>
      </c>
      <c r="UI140">
        <v>0</v>
      </c>
      <c r="UJ140">
        <v>0</v>
      </c>
      <c r="UK140">
        <v>0</v>
      </c>
      <c r="UL140">
        <v>0</v>
      </c>
      <c r="UM140">
        <v>0</v>
      </c>
      <c r="UN140">
        <v>0</v>
      </c>
      <c r="UO140">
        <v>0</v>
      </c>
      <c r="UP140">
        <v>0</v>
      </c>
      <c r="UQ140">
        <v>0</v>
      </c>
      <c r="UR140">
        <v>0</v>
      </c>
      <c r="US140">
        <v>0</v>
      </c>
      <c r="UT140">
        <v>0</v>
      </c>
      <c r="UU140">
        <v>0</v>
      </c>
      <c r="UV140">
        <v>0</v>
      </c>
      <c r="UW140">
        <v>0</v>
      </c>
      <c r="UX140">
        <v>0</v>
      </c>
      <c r="UY140">
        <v>0</v>
      </c>
      <c r="UZ140">
        <v>0</v>
      </c>
      <c r="VA140">
        <v>0</v>
      </c>
      <c r="VB140">
        <v>0</v>
      </c>
      <c r="VC140">
        <v>0</v>
      </c>
      <c r="VD140">
        <v>0</v>
      </c>
      <c r="VE140">
        <v>0</v>
      </c>
      <c r="VF140">
        <v>0</v>
      </c>
      <c r="VG140">
        <v>0</v>
      </c>
      <c r="VH140">
        <v>0</v>
      </c>
      <c r="VI140">
        <v>0</v>
      </c>
      <c r="VJ140">
        <v>0</v>
      </c>
      <c r="VK140">
        <v>0</v>
      </c>
      <c r="VL140">
        <v>0</v>
      </c>
      <c r="VM140">
        <v>0</v>
      </c>
      <c r="VN140">
        <v>0</v>
      </c>
      <c r="VO140">
        <v>0</v>
      </c>
      <c r="VP140">
        <v>0</v>
      </c>
      <c r="VQ140">
        <v>0</v>
      </c>
      <c r="VR140">
        <v>0</v>
      </c>
      <c r="VS140">
        <v>0</v>
      </c>
      <c r="VT140">
        <v>0</v>
      </c>
      <c r="VU140">
        <v>0</v>
      </c>
      <c r="VV140">
        <v>0</v>
      </c>
      <c r="VW140">
        <v>0</v>
      </c>
      <c r="VX140">
        <v>0</v>
      </c>
      <c r="VY140">
        <v>0</v>
      </c>
      <c r="VZ140">
        <v>0</v>
      </c>
      <c r="WA140">
        <v>0</v>
      </c>
      <c r="WB140">
        <v>0</v>
      </c>
      <c r="WC140">
        <v>0</v>
      </c>
      <c r="WD140">
        <v>0</v>
      </c>
      <c r="WE140">
        <v>0</v>
      </c>
      <c r="WF140">
        <v>0</v>
      </c>
      <c r="WG140">
        <v>0</v>
      </c>
      <c r="WH140">
        <v>0</v>
      </c>
      <c r="WI140">
        <v>0</v>
      </c>
      <c r="WJ140">
        <v>0</v>
      </c>
      <c r="WK140">
        <v>0</v>
      </c>
      <c r="WL140">
        <v>0</v>
      </c>
      <c r="WM140">
        <v>0</v>
      </c>
      <c r="WN140">
        <v>0</v>
      </c>
      <c r="WO140">
        <v>0</v>
      </c>
      <c r="WP140">
        <v>0</v>
      </c>
      <c r="WQ140">
        <v>0</v>
      </c>
      <c r="WR140">
        <v>0</v>
      </c>
      <c r="WS140">
        <v>0</v>
      </c>
      <c r="WT140">
        <v>0</v>
      </c>
      <c r="WU140">
        <v>0</v>
      </c>
      <c r="WV140">
        <v>0</v>
      </c>
      <c r="WW140">
        <v>0</v>
      </c>
      <c r="WX140">
        <v>0</v>
      </c>
      <c r="WY140">
        <v>0</v>
      </c>
      <c r="WZ140">
        <v>0</v>
      </c>
      <c r="XA140">
        <v>0</v>
      </c>
      <c r="XB140">
        <v>0</v>
      </c>
      <c r="XC140">
        <v>0</v>
      </c>
      <c r="XD140">
        <v>0</v>
      </c>
      <c r="XE140">
        <v>0</v>
      </c>
      <c r="XF140">
        <v>0</v>
      </c>
      <c r="XG140">
        <v>0</v>
      </c>
      <c r="XH140">
        <v>0</v>
      </c>
      <c r="XI140">
        <v>0</v>
      </c>
      <c r="XJ140">
        <v>0</v>
      </c>
      <c r="XK140">
        <v>0</v>
      </c>
      <c r="XL140">
        <v>0</v>
      </c>
      <c r="XM140">
        <v>0</v>
      </c>
      <c r="XN140">
        <v>0</v>
      </c>
      <c r="XO140">
        <v>0</v>
      </c>
      <c r="XP140">
        <v>0</v>
      </c>
      <c r="XQ140">
        <v>0</v>
      </c>
      <c r="XR140">
        <v>0</v>
      </c>
      <c r="XS140">
        <v>0</v>
      </c>
      <c r="XT140">
        <v>0</v>
      </c>
      <c r="XU140">
        <v>0</v>
      </c>
      <c r="XV140">
        <v>0</v>
      </c>
      <c r="XW140">
        <v>0</v>
      </c>
      <c r="XX140">
        <v>0</v>
      </c>
      <c r="XY140">
        <v>0</v>
      </c>
      <c r="XZ140">
        <v>0</v>
      </c>
      <c r="YA140">
        <v>0</v>
      </c>
      <c r="YB140">
        <v>0</v>
      </c>
      <c r="YC140">
        <v>0</v>
      </c>
      <c r="YD140">
        <v>0</v>
      </c>
      <c r="YE140">
        <v>0</v>
      </c>
      <c r="YF140">
        <v>0</v>
      </c>
      <c r="YG140">
        <v>0</v>
      </c>
      <c r="YH140">
        <v>0</v>
      </c>
      <c r="YI140">
        <v>0</v>
      </c>
      <c r="YJ140">
        <v>0</v>
      </c>
      <c r="YK140">
        <v>0</v>
      </c>
      <c r="YL140">
        <v>0</v>
      </c>
      <c r="YM140">
        <v>0</v>
      </c>
      <c r="YN140">
        <v>0</v>
      </c>
      <c r="YO140">
        <v>0</v>
      </c>
      <c r="YP140">
        <v>0</v>
      </c>
      <c r="YQ140">
        <v>0</v>
      </c>
      <c r="YR140">
        <v>0</v>
      </c>
      <c r="YS140">
        <v>0</v>
      </c>
      <c r="YT140">
        <v>0</v>
      </c>
      <c r="YU140">
        <v>0</v>
      </c>
      <c r="YV140">
        <v>0</v>
      </c>
      <c r="YW140">
        <v>0</v>
      </c>
      <c r="YX140">
        <v>0</v>
      </c>
      <c r="YY140">
        <v>0</v>
      </c>
      <c r="YZ140">
        <v>0</v>
      </c>
      <c r="ZA140">
        <v>0</v>
      </c>
      <c r="ZB140">
        <v>0</v>
      </c>
      <c r="ZC140">
        <v>0</v>
      </c>
      <c r="ZD140">
        <v>0</v>
      </c>
      <c r="ZE140">
        <v>0</v>
      </c>
      <c r="ZF140">
        <v>0</v>
      </c>
      <c r="ZG140">
        <v>0</v>
      </c>
      <c r="ZH140">
        <v>0</v>
      </c>
      <c r="ZI140">
        <v>0</v>
      </c>
      <c r="ZJ140">
        <v>0</v>
      </c>
      <c r="ZK140">
        <v>0</v>
      </c>
      <c r="ZL140">
        <v>0</v>
      </c>
      <c r="ZM140">
        <v>0</v>
      </c>
      <c r="ZN140">
        <v>0</v>
      </c>
      <c r="ZO140">
        <v>0</v>
      </c>
      <c r="ZP140">
        <v>0</v>
      </c>
      <c r="ZQ140">
        <v>0</v>
      </c>
      <c r="ZR140">
        <v>0</v>
      </c>
      <c r="ZS140">
        <v>0</v>
      </c>
      <c r="ZT140">
        <v>0</v>
      </c>
      <c r="ZU140">
        <v>0</v>
      </c>
      <c r="ZV140">
        <v>0</v>
      </c>
      <c r="ZW140">
        <v>0</v>
      </c>
      <c r="ZX140">
        <v>0</v>
      </c>
      <c r="ZY140">
        <v>0</v>
      </c>
      <c r="ZZ140">
        <v>0</v>
      </c>
      <c r="AAA140">
        <v>0</v>
      </c>
      <c r="AAB140">
        <v>0</v>
      </c>
      <c r="AAC140">
        <v>0</v>
      </c>
      <c r="AAD140">
        <v>0</v>
      </c>
      <c r="AAE140">
        <v>0</v>
      </c>
      <c r="AAF140">
        <v>0</v>
      </c>
      <c r="AAG140">
        <v>0</v>
      </c>
      <c r="AAH140">
        <v>0</v>
      </c>
      <c r="AAI140">
        <v>0</v>
      </c>
      <c r="AAJ140">
        <v>0</v>
      </c>
      <c r="AAK140">
        <v>0</v>
      </c>
      <c r="AAL140">
        <v>0</v>
      </c>
      <c r="AAM140">
        <v>0</v>
      </c>
      <c r="AAN140">
        <v>0</v>
      </c>
      <c r="AAO140">
        <v>0</v>
      </c>
      <c r="AAP140">
        <v>0</v>
      </c>
      <c r="AAQ140">
        <v>0</v>
      </c>
      <c r="AAR140">
        <v>0</v>
      </c>
      <c r="AAS140">
        <v>0</v>
      </c>
      <c r="AAT140">
        <v>0</v>
      </c>
      <c r="AAU140">
        <v>0</v>
      </c>
      <c r="AAV140">
        <v>0</v>
      </c>
      <c r="AAW140">
        <v>0</v>
      </c>
      <c r="AAX140">
        <v>0</v>
      </c>
      <c r="AAY140">
        <v>0</v>
      </c>
      <c r="AAZ140">
        <v>0</v>
      </c>
      <c r="ABA140">
        <v>0</v>
      </c>
      <c r="ABB140">
        <v>0</v>
      </c>
      <c r="ABC140">
        <v>0</v>
      </c>
      <c r="ABD140">
        <v>0</v>
      </c>
      <c r="ABE140">
        <v>0</v>
      </c>
      <c r="ABG140" s="1137">
        <f t="shared" si="37"/>
        <v>0</v>
      </c>
      <c r="ABH140" s="1137">
        <f t="shared" si="37"/>
        <v>0</v>
      </c>
      <c r="ABI140" s="1137">
        <f t="shared" si="37"/>
        <v>13</v>
      </c>
      <c r="ABJ140" s="1137">
        <f t="shared" si="37"/>
        <v>30</v>
      </c>
      <c r="ABK140" s="1137">
        <f t="shared" si="37"/>
        <v>3</v>
      </c>
      <c r="ABL140" s="1137">
        <f t="shared" si="37"/>
        <v>0</v>
      </c>
      <c r="ABM140" s="1137">
        <f t="shared" si="37"/>
        <v>0</v>
      </c>
      <c r="ABN140" s="1137">
        <f t="shared" si="37"/>
        <v>0</v>
      </c>
      <c r="ABO140" s="1137">
        <f t="shared" si="37"/>
        <v>0</v>
      </c>
      <c r="ABP140" s="1137">
        <f t="shared" si="37"/>
        <v>2</v>
      </c>
      <c r="ABQ140" s="1137">
        <f t="shared" si="37"/>
        <v>7</v>
      </c>
      <c r="ABR140" s="1137">
        <f t="shared" si="37"/>
        <v>7</v>
      </c>
      <c r="ABS140" s="1137">
        <f t="shared" si="37"/>
        <v>11</v>
      </c>
      <c r="ABT140" s="1137">
        <f t="shared" si="37"/>
        <v>12</v>
      </c>
      <c r="ABU140" s="1137">
        <f t="shared" si="37"/>
        <v>15</v>
      </c>
      <c r="ABV140" s="1137">
        <f t="shared" si="37"/>
        <v>16</v>
      </c>
      <c r="ABW140" s="1137">
        <f t="shared" si="31"/>
        <v>10</v>
      </c>
      <c r="ABX140" s="1137">
        <f t="shared" si="34"/>
        <v>6</v>
      </c>
      <c r="ABY140" s="1137">
        <f t="shared" si="34"/>
        <v>3</v>
      </c>
      <c r="ABZ140" s="1137">
        <f t="shared" si="34"/>
        <v>0</v>
      </c>
      <c r="ACA140" s="1137">
        <f t="shared" si="34"/>
        <v>0</v>
      </c>
      <c r="ACB140" s="1137">
        <f t="shared" si="34"/>
        <v>0</v>
      </c>
      <c r="ACC140" s="1137">
        <f t="shared" si="34"/>
        <v>0</v>
      </c>
      <c r="ACD140" s="1137">
        <f t="shared" si="34"/>
        <v>0</v>
      </c>
      <c r="ACE140" s="1137" t="s">
        <v>237</v>
      </c>
      <c r="ACF140" s="1137">
        <f t="shared" si="33"/>
        <v>0</v>
      </c>
      <c r="ACG140" s="1137">
        <f t="shared" si="33"/>
        <v>0</v>
      </c>
      <c r="ACH140" s="1137">
        <f t="shared" si="33"/>
        <v>1</v>
      </c>
      <c r="ACI140" s="1137">
        <f t="shared" si="33"/>
        <v>1</v>
      </c>
      <c r="ACJ140" s="1137">
        <f t="shared" si="33"/>
        <v>0</v>
      </c>
      <c r="ACK140" s="1137">
        <f t="shared" si="33"/>
        <v>0</v>
      </c>
      <c r="ACL140" s="1137">
        <f t="shared" si="33"/>
        <v>0</v>
      </c>
      <c r="ACM140" s="1137">
        <f t="shared" si="33"/>
        <v>0</v>
      </c>
      <c r="ACN140" s="1137">
        <f t="shared" si="33"/>
        <v>0</v>
      </c>
      <c r="ACO140" s="1137">
        <f t="shared" si="33"/>
        <v>0</v>
      </c>
      <c r="ACP140" s="1137">
        <f t="shared" si="33"/>
        <v>0</v>
      </c>
      <c r="ACQ140" s="1137">
        <f t="shared" si="32"/>
        <v>0</v>
      </c>
      <c r="ACR140" s="1137">
        <f t="shared" si="32"/>
        <v>1</v>
      </c>
      <c r="ACS140" s="1137">
        <f t="shared" si="32"/>
        <v>1</v>
      </c>
      <c r="ACT140" s="1137">
        <f t="shared" si="32"/>
        <v>1</v>
      </c>
      <c r="ACU140" s="1137">
        <f t="shared" si="32"/>
        <v>1</v>
      </c>
      <c r="ACV140" s="1137">
        <f t="shared" si="32"/>
        <v>0</v>
      </c>
      <c r="ACW140" s="1137">
        <f t="shared" si="32"/>
        <v>0</v>
      </c>
      <c r="ACX140" s="1137">
        <f t="shared" si="32"/>
        <v>0</v>
      </c>
      <c r="ACY140" s="1137">
        <f t="shared" si="32"/>
        <v>0</v>
      </c>
      <c r="ACZ140" s="1137">
        <f t="shared" si="32"/>
        <v>0</v>
      </c>
      <c r="ADA140" s="1137">
        <f t="shared" si="35"/>
        <v>0</v>
      </c>
      <c r="ADB140" s="1137">
        <f t="shared" si="35"/>
        <v>0</v>
      </c>
      <c r="ADC140" s="1137">
        <f t="shared" si="35"/>
        <v>0</v>
      </c>
    </row>
    <row r="141" spans="1:783" x14ac:dyDescent="0.25">
      <c r="A141" t="s">
        <v>1940</v>
      </c>
      <c r="B141" t="s">
        <v>234</v>
      </c>
      <c r="C141">
        <v>0</v>
      </c>
      <c r="D141">
        <v>0</v>
      </c>
      <c r="E141">
        <v>0</v>
      </c>
      <c r="F141">
        <v>0</v>
      </c>
      <c r="G141">
        <v>0</v>
      </c>
      <c r="H141">
        <v>0</v>
      </c>
      <c r="I141">
        <v>0</v>
      </c>
      <c r="J141">
        <v>0</v>
      </c>
      <c r="K141">
        <v>0</v>
      </c>
      <c r="L141">
        <v>0</v>
      </c>
      <c r="M141">
        <v>0</v>
      </c>
      <c r="N141">
        <v>0</v>
      </c>
      <c r="O141">
        <v>0</v>
      </c>
      <c r="P141">
        <v>0</v>
      </c>
      <c r="Q141">
        <v>0</v>
      </c>
      <c r="R141">
        <v>0</v>
      </c>
      <c r="S141">
        <v>0</v>
      </c>
      <c r="T141">
        <v>0</v>
      </c>
      <c r="U141">
        <v>0</v>
      </c>
      <c r="V141">
        <v>0</v>
      </c>
      <c r="W141">
        <v>0</v>
      </c>
      <c r="X141">
        <v>0</v>
      </c>
      <c r="Y141">
        <v>0</v>
      </c>
      <c r="Z141">
        <v>0</v>
      </c>
      <c r="AA141">
        <v>0</v>
      </c>
      <c r="AB141">
        <v>0</v>
      </c>
      <c r="AC141">
        <v>0</v>
      </c>
      <c r="AD141">
        <v>0</v>
      </c>
      <c r="AE141">
        <v>0</v>
      </c>
      <c r="AF141">
        <v>0</v>
      </c>
      <c r="AG141">
        <v>0</v>
      </c>
      <c r="AH141">
        <v>0</v>
      </c>
      <c r="AI141">
        <v>0</v>
      </c>
      <c r="AJ141">
        <v>0</v>
      </c>
      <c r="AK141">
        <v>0</v>
      </c>
      <c r="AL141">
        <v>0</v>
      </c>
      <c r="AM141">
        <v>0</v>
      </c>
      <c r="AN141">
        <v>0</v>
      </c>
      <c r="AO141">
        <v>0</v>
      </c>
      <c r="AP141">
        <v>0</v>
      </c>
      <c r="AQ141">
        <v>0</v>
      </c>
      <c r="AR141">
        <v>0</v>
      </c>
      <c r="AS141">
        <v>0</v>
      </c>
      <c r="AT141">
        <v>0</v>
      </c>
      <c r="AU141">
        <v>0</v>
      </c>
      <c r="AV141">
        <v>0</v>
      </c>
      <c r="AW141">
        <v>0</v>
      </c>
      <c r="AX141">
        <v>0</v>
      </c>
      <c r="AY141">
        <v>0</v>
      </c>
      <c r="AZ141">
        <v>0</v>
      </c>
      <c r="BA141">
        <v>0</v>
      </c>
      <c r="BB141">
        <v>0</v>
      </c>
      <c r="BC141">
        <v>0</v>
      </c>
      <c r="BD141">
        <v>0</v>
      </c>
      <c r="BE141">
        <v>0</v>
      </c>
      <c r="BF141">
        <v>0</v>
      </c>
      <c r="BG141">
        <v>0</v>
      </c>
      <c r="BH141">
        <v>0</v>
      </c>
      <c r="BI141">
        <v>0</v>
      </c>
      <c r="BJ141">
        <v>0</v>
      </c>
      <c r="BK141">
        <v>0</v>
      </c>
      <c r="BL141">
        <v>0</v>
      </c>
      <c r="BM141">
        <v>0</v>
      </c>
      <c r="BN141">
        <v>0</v>
      </c>
      <c r="BO141">
        <v>0</v>
      </c>
      <c r="BP141">
        <v>0</v>
      </c>
      <c r="BQ141">
        <v>0</v>
      </c>
      <c r="BR141">
        <v>0</v>
      </c>
      <c r="BS141">
        <v>0</v>
      </c>
      <c r="BT141">
        <v>0</v>
      </c>
      <c r="BU141">
        <v>0</v>
      </c>
      <c r="BV141">
        <v>0</v>
      </c>
      <c r="BW141">
        <v>0</v>
      </c>
      <c r="BX141">
        <v>0</v>
      </c>
      <c r="BY141">
        <v>0</v>
      </c>
      <c r="BZ141">
        <v>0</v>
      </c>
      <c r="CA141">
        <v>0</v>
      </c>
      <c r="CB141">
        <v>0</v>
      </c>
      <c r="CC141">
        <v>0</v>
      </c>
      <c r="CD141">
        <v>0</v>
      </c>
      <c r="CE141">
        <v>0</v>
      </c>
      <c r="CF141">
        <v>0</v>
      </c>
      <c r="CG141">
        <v>0</v>
      </c>
      <c r="CH141">
        <v>0</v>
      </c>
      <c r="CI141">
        <v>0</v>
      </c>
      <c r="CJ141">
        <v>0</v>
      </c>
      <c r="CK141">
        <v>0</v>
      </c>
      <c r="CL141">
        <v>0</v>
      </c>
      <c r="CM141">
        <v>0</v>
      </c>
      <c r="CN141">
        <v>0</v>
      </c>
      <c r="CO141">
        <v>0</v>
      </c>
      <c r="CP141">
        <v>0</v>
      </c>
      <c r="CQ141">
        <v>0</v>
      </c>
      <c r="CR141">
        <v>0</v>
      </c>
      <c r="CS141">
        <v>0</v>
      </c>
      <c r="CT141">
        <v>0</v>
      </c>
      <c r="CU141">
        <v>0</v>
      </c>
      <c r="CV141">
        <v>0</v>
      </c>
      <c r="CW141">
        <v>0</v>
      </c>
      <c r="CX141">
        <v>0</v>
      </c>
      <c r="CY141">
        <v>0</v>
      </c>
      <c r="CZ141">
        <v>0</v>
      </c>
      <c r="DA141">
        <v>0</v>
      </c>
      <c r="DB141">
        <v>2</v>
      </c>
      <c r="DC141">
        <v>2</v>
      </c>
      <c r="DD141">
        <v>2</v>
      </c>
      <c r="DE141">
        <v>2</v>
      </c>
      <c r="DF141">
        <v>2</v>
      </c>
      <c r="DG141">
        <v>2</v>
      </c>
      <c r="DH141">
        <v>2</v>
      </c>
      <c r="DI141">
        <v>2</v>
      </c>
      <c r="DJ141">
        <v>2</v>
      </c>
      <c r="DK141">
        <v>2</v>
      </c>
      <c r="DL141">
        <v>2</v>
      </c>
      <c r="DM141">
        <v>2</v>
      </c>
      <c r="DN141">
        <v>2</v>
      </c>
      <c r="DO141">
        <v>2</v>
      </c>
      <c r="DP141">
        <v>2</v>
      </c>
      <c r="DQ141">
        <v>2</v>
      </c>
      <c r="DR141">
        <v>2</v>
      </c>
      <c r="DS141">
        <v>2</v>
      </c>
      <c r="DT141">
        <v>2</v>
      </c>
      <c r="DU141">
        <v>2</v>
      </c>
      <c r="DV141">
        <v>2</v>
      </c>
      <c r="DW141">
        <v>2</v>
      </c>
      <c r="DX141">
        <v>2</v>
      </c>
      <c r="DY141">
        <v>2</v>
      </c>
      <c r="DZ141">
        <v>2</v>
      </c>
      <c r="EA141">
        <v>2</v>
      </c>
      <c r="EB141">
        <v>2</v>
      </c>
      <c r="EC141">
        <v>2</v>
      </c>
      <c r="ED141">
        <v>2</v>
      </c>
      <c r="EE141">
        <v>2</v>
      </c>
      <c r="EF141">
        <v>2</v>
      </c>
      <c r="EG141">
        <v>2</v>
      </c>
      <c r="EH141">
        <v>2</v>
      </c>
      <c r="EI141">
        <v>2</v>
      </c>
      <c r="EJ141">
        <v>2</v>
      </c>
      <c r="EK141">
        <v>2</v>
      </c>
      <c r="EL141">
        <v>2</v>
      </c>
      <c r="EM141">
        <v>2</v>
      </c>
      <c r="EN141">
        <v>2</v>
      </c>
      <c r="EO141">
        <v>2</v>
      </c>
      <c r="EP141">
        <v>2</v>
      </c>
      <c r="EQ141">
        <v>2</v>
      </c>
      <c r="ER141">
        <v>1</v>
      </c>
      <c r="ES141">
        <v>1</v>
      </c>
      <c r="ET141">
        <v>1</v>
      </c>
      <c r="EU141">
        <v>1</v>
      </c>
      <c r="EV141">
        <v>1</v>
      </c>
      <c r="EW141">
        <v>1</v>
      </c>
      <c r="EX141">
        <v>1</v>
      </c>
      <c r="EY141">
        <v>1</v>
      </c>
      <c r="EZ141">
        <v>1</v>
      </c>
      <c r="FA141">
        <v>1</v>
      </c>
      <c r="FB141">
        <v>1</v>
      </c>
      <c r="FC141">
        <v>1</v>
      </c>
      <c r="FD141">
        <v>1</v>
      </c>
      <c r="FE141">
        <v>1</v>
      </c>
      <c r="FF141">
        <v>1</v>
      </c>
      <c r="FG141">
        <v>1</v>
      </c>
      <c r="FH141">
        <v>1</v>
      </c>
      <c r="FI141">
        <v>1</v>
      </c>
      <c r="FJ141">
        <v>1</v>
      </c>
      <c r="FK141">
        <v>1</v>
      </c>
      <c r="FL141">
        <v>1</v>
      </c>
      <c r="FM141">
        <v>2</v>
      </c>
      <c r="FN141">
        <v>2</v>
      </c>
      <c r="FO141">
        <v>2</v>
      </c>
      <c r="FP141">
        <v>2</v>
      </c>
      <c r="FQ141">
        <v>2</v>
      </c>
      <c r="FR141">
        <v>2</v>
      </c>
      <c r="FS141">
        <v>2</v>
      </c>
      <c r="FT141">
        <v>2</v>
      </c>
      <c r="FU141">
        <v>2</v>
      </c>
      <c r="FV141">
        <v>2</v>
      </c>
      <c r="FW141">
        <v>2</v>
      </c>
      <c r="FX141">
        <v>2</v>
      </c>
      <c r="FY141">
        <v>2</v>
      </c>
      <c r="FZ141">
        <v>2</v>
      </c>
      <c r="GA141">
        <v>2</v>
      </c>
      <c r="GB141">
        <v>2</v>
      </c>
      <c r="GC141">
        <v>2</v>
      </c>
      <c r="GD141">
        <v>2</v>
      </c>
      <c r="GE141">
        <v>2</v>
      </c>
      <c r="GF141">
        <v>2</v>
      </c>
      <c r="GG141">
        <v>2</v>
      </c>
      <c r="GH141">
        <v>2</v>
      </c>
      <c r="GI141">
        <v>2</v>
      </c>
      <c r="GJ141">
        <v>2</v>
      </c>
      <c r="GK141">
        <v>2</v>
      </c>
      <c r="GL141">
        <v>2</v>
      </c>
      <c r="GM141">
        <v>2</v>
      </c>
      <c r="GN141">
        <v>2</v>
      </c>
      <c r="GO141">
        <v>2</v>
      </c>
      <c r="GP141">
        <v>2</v>
      </c>
      <c r="GQ141">
        <v>2</v>
      </c>
      <c r="GR141">
        <v>2</v>
      </c>
      <c r="GS141">
        <v>2</v>
      </c>
      <c r="GT141">
        <v>2</v>
      </c>
      <c r="GU141">
        <v>2</v>
      </c>
      <c r="GV141">
        <v>2</v>
      </c>
      <c r="GW141">
        <v>2</v>
      </c>
      <c r="GX141">
        <v>2</v>
      </c>
      <c r="GY141">
        <v>2</v>
      </c>
      <c r="GZ141">
        <v>2</v>
      </c>
      <c r="HA141">
        <v>2</v>
      </c>
      <c r="HB141">
        <v>2</v>
      </c>
      <c r="HC141">
        <v>2</v>
      </c>
      <c r="HD141">
        <v>2</v>
      </c>
      <c r="HE141">
        <v>2</v>
      </c>
      <c r="HF141">
        <v>2</v>
      </c>
      <c r="HG141">
        <v>2</v>
      </c>
      <c r="HH141">
        <v>2</v>
      </c>
      <c r="HI141">
        <v>2</v>
      </c>
      <c r="HJ141">
        <v>2</v>
      </c>
      <c r="HK141">
        <v>2</v>
      </c>
      <c r="HL141">
        <v>2</v>
      </c>
      <c r="HM141">
        <v>2</v>
      </c>
      <c r="HN141">
        <v>2</v>
      </c>
      <c r="HO141">
        <v>2</v>
      </c>
      <c r="HP141">
        <v>2</v>
      </c>
      <c r="HQ141">
        <v>2</v>
      </c>
      <c r="HR141">
        <v>2</v>
      </c>
      <c r="HS141">
        <v>2</v>
      </c>
      <c r="HT141">
        <v>2</v>
      </c>
      <c r="HU141">
        <v>2</v>
      </c>
      <c r="HV141">
        <v>2</v>
      </c>
      <c r="HW141">
        <v>2</v>
      </c>
      <c r="HX141">
        <v>2</v>
      </c>
      <c r="HY141">
        <v>2</v>
      </c>
      <c r="HZ141">
        <v>2</v>
      </c>
      <c r="IA141">
        <v>2</v>
      </c>
      <c r="IB141">
        <v>2</v>
      </c>
      <c r="IC141">
        <v>2</v>
      </c>
      <c r="ID141">
        <v>2</v>
      </c>
      <c r="IE141">
        <v>2</v>
      </c>
      <c r="IF141">
        <v>2</v>
      </c>
      <c r="IG141">
        <v>2</v>
      </c>
      <c r="IH141">
        <v>2</v>
      </c>
      <c r="II141">
        <v>2</v>
      </c>
      <c r="IJ141">
        <v>2</v>
      </c>
      <c r="IK141">
        <v>2</v>
      </c>
      <c r="IL141">
        <v>2</v>
      </c>
      <c r="IM141">
        <v>2</v>
      </c>
      <c r="IN141">
        <v>2</v>
      </c>
      <c r="IO141">
        <v>2</v>
      </c>
      <c r="IP141">
        <v>2</v>
      </c>
      <c r="IQ141">
        <v>2</v>
      </c>
      <c r="IR141">
        <v>2</v>
      </c>
      <c r="IS141">
        <v>2</v>
      </c>
      <c r="IT141">
        <v>2</v>
      </c>
      <c r="IU141">
        <v>2</v>
      </c>
      <c r="IV141">
        <v>2</v>
      </c>
      <c r="IW141">
        <v>2</v>
      </c>
      <c r="IX141">
        <v>2</v>
      </c>
      <c r="IY141">
        <v>2</v>
      </c>
      <c r="IZ141">
        <v>2</v>
      </c>
      <c r="JA141">
        <v>2</v>
      </c>
      <c r="JB141">
        <v>2</v>
      </c>
      <c r="JC141">
        <v>2</v>
      </c>
      <c r="JD141">
        <v>2</v>
      </c>
      <c r="JE141">
        <v>2</v>
      </c>
      <c r="JF141">
        <v>2</v>
      </c>
      <c r="JG141">
        <v>2</v>
      </c>
      <c r="JH141">
        <v>2</v>
      </c>
      <c r="JI141">
        <v>2</v>
      </c>
      <c r="JJ141">
        <v>2</v>
      </c>
      <c r="JK141">
        <v>2</v>
      </c>
      <c r="JL141">
        <v>2</v>
      </c>
      <c r="JM141">
        <v>2</v>
      </c>
      <c r="JN141">
        <v>2</v>
      </c>
      <c r="JO141">
        <v>2</v>
      </c>
      <c r="JP141">
        <v>2</v>
      </c>
      <c r="JQ141">
        <v>2</v>
      </c>
      <c r="JR141">
        <v>2</v>
      </c>
      <c r="JS141">
        <v>2</v>
      </c>
      <c r="JT141">
        <v>2</v>
      </c>
      <c r="JU141">
        <v>0</v>
      </c>
      <c r="JV141">
        <v>0</v>
      </c>
      <c r="JW141">
        <v>0</v>
      </c>
      <c r="JX141">
        <v>0</v>
      </c>
      <c r="JY141">
        <v>0</v>
      </c>
      <c r="JZ141">
        <v>0</v>
      </c>
      <c r="KA141">
        <v>0</v>
      </c>
      <c r="KB141">
        <v>0</v>
      </c>
      <c r="KC141">
        <v>0</v>
      </c>
      <c r="KD141">
        <v>0</v>
      </c>
      <c r="KE141">
        <v>0</v>
      </c>
      <c r="KF141">
        <v>0</v>
      </c>
      <c r="KG141">
        <v>0</v>
      </c>
      <c r="KH141">
        <v>0</v>
      </c>
      <c r="KI141">
        <v>0</v>
      </c>
      <c r="KJ141">
        <v>0</v>
      </c>
      <c r="KK141">
        <v>0</v>
      </c>
      <c r="KL141">
        <v>0</v>
      </c>
      <c r="KM141">
        <v>0</v>
      </c>
      <c r="KN141">
        <v>0</v>
      </c>
      <c r="KO141">
        <v>0</v>
      </c>
      <c r="KP141">
        <v>0</v>
      </c>
      <c r="KQ141">
        <v>0</v>
      </c>
      <c r="KR141">
        <v>0</v>
      </c>
      <c r="KS141">
        <v>0</v>
      </c>
      <c r="KT141">
        <v>0</v>
      </c>
      <c r="KU141">
        <v>0</v>
      </c>
      <c r="KV141">
        <v>0</v>
      </c>
      <c r="KW141">
        <v>0</v>
      </c>
      <c r="KX141">
        <v>0</v>
      </c>
      <c r="KY141">
        <v>0</v>
      </c>
      <c r="KZ141">
        <v>0</v>
      </c>
      <c r="LA141">
        <v>0</v>
      </c>
      <c r="LB141">
        <v>0</v>
      </c>
      <c r="LC141">
        <v>0</v>
      </c>
      <c r="LD141">
        <v>0</v>
      </c>
      <c r="LE141">
        <v>0</v>
      </c>
      <c r="LF141">
        <v>0</v>
      </c>
      <c r="LG141">
        <v>0</v>
      </c>
      <c r="LH141">
        <v>0</v>
      </c>
      <c r="LI141">
        <v>0</v>
      </c>
      <c r="LJ141">
        <v>0</v>
      </c>
      <c r="LK141">
        <v>0</v>
      </c>
      <c r="LL141">
        <v>0</v>
      </c>
      <c r="LM141">
        <v>0</v>
      </c>
      <c r="LN141">
        <v>0</v>
      </c>
      <c r="LO141">
        <v>0</v>
      </c>
      <c r="LP141">
        <v>0</v>
      </c>
      <c r="LQ141">
        <v>0</v>
      </c>
      <c r="LR141">
        <v>0</v>
      </c>
      <c r="LS141">
        <v>0</v>
      </c>
      <c r="LT141">
        <v>0</v>
      </c>
      <c r="LU141">
        <v>0</v>
      </c>
      <c r="LV141">
        <v>0</v>
      </c>
      <c r="LW141">
        <v>0</v>
      </c>
      <c r="LX141">
        <v>0</v>
      </c>
      <c r="LY141">
        <v>0</v>
      </c>
      <c r="LZ141">
        <v>0</v>
      </c>
      <c r="MA141">
        <v>0</v>
      </c>
      <c r="MB141">
        <v>0</v>
      </c>
      <c r="MC141">
        <v>0</v>
      </c>
      <c r="MD141">
        <v>0</v>
      </c>
      <c r="ME141">
        <v>0</v>
      </c>
      <c r="MF141">
        <v>0</v>
      </c>
      <c r="MG141">
        <v>0</v>
      </c>
      <c r="MH141">
        <v>0</v>
      </c>
      <c r="MI141">
        <v>0</v>
      </c>
      <c r="MJ141">
        <v>0</v>
      </c>
      <c r="MK141">
        <v>0</v>
      </c>
      <c r="ML141">
        <v>0</v>
      </c>
      <c r="MM141">
        <v>0</v>
      </c>
      <c r="MN141">
        <v>0</v>
      </c>
      <c r="MO141">
        <v>0</v>
      </c>
      <c r="MP141">
        <v>0</v>
      </c>
      <c r="MQ141">
        <v>0</v>
      </c>
      <c r="MR141">
        <v>0</v>
      </c>
      <c r="MS141">
        <v>0</v>
      </c>
      <c r="MT141">
        <v>0</v>
      </c>
      <c r="MU141">
        <v>0</v>
      </c>
      <c r="MV141">
        <v>0</v>
      </c>
      <c r="MW141">
        <v>0</v>
      </c>
      <c r="MX141">
        <v>0</v>
      </c>
      <c r="MY141">
        <v>0</v>
      </c>
      <c r="MZ141">
        <v>0</v>
      </c>
      <c r="NA141">
        <v>0</v>
      </c>
      <c r="NB141">
        <v>0</v>
      </c>
      <c r="NC141">
        <v>0</v>
      </c>
      <c r="ND141">
        <v>0</v>
      </c>
      <c r="NE141">
        <v>0</v>
      </c>
      <c r="NF141">
        <v>0</v>
      </c>
      <c r="NG141">
        <v>0</v>
      </c>
      <c r="NH141">
        <v>0</v>
      </c>
      <c r="NI141">
        <v>0</v>
      </c>
      <c r="NJ141">
        <v>0</v>
      </c>
      <c r="NK141">
        <v>0</v>
      </c>
      <c r="NL141">
        <v>0</v>
      </c>
      <c r="NM141">
        <v>0</v>
      </c>
      <c r="NN141">
        <v>0</v>
      </c>
      <c r="NO141">
        <v>0</v>
      </c>
      <c r="NP141">
        <v>0</v>
      </c>
      <c r="NQ141">
        <v>0</v>
      </c>
      <c r="NR141">
        <v>0</v>
      </c>
      <c r="NS141">
        <v>0</v>
      </c>
      <c r="NT141">
        <v>0</v>
      </c>
      <c r="NU141">
        <v>0</v>
      </c>
      <c r="NV141">
        <v>0</v>
      </c>
      <c r="NW141">
        <v>0</v>
      </c>
      <c r="NX141">
        <v>0</v>
      </c>
      <c r="NY141">
        <v>0</v>
      </c>
      <c r="NZ141">
        <v>0</v>
      </c>
      <c r="OA141">
        <v>0</v>
      </c>
      <c r="OB141">
        <v>0</v>
      </c>
      <c r="OC141">
        <v>0</v>
      </c>
      <c r="OD141">
        <v>0</v>
      </c>
      <c r="OE141">
        <v>0</v>
      </c>
      <c r="OF141">
        <v>0</v>
      </c>
      <c r="OG141">
        <v>0</v>
      </c>
      <c r="OH141">
        <v>0</v>
      </c>
      <c r="OI141">
        <v>0</v>
      </c>
      <c r="OJ141">
        <v>0</v>
      </c>
      <c r="OK141">
        <v>0</v>
      </c>
      <c r="OL141">
        <v>0</v>
      </c>
      <c r="OM141">
        <v>0</v>
      </c>
      <c r="ON141">
        <v>0</v>
      </c>
      <c r="OO141">
        <v>0</v>
      </c>
      <c r="OP141">
        <v>0</v>
      </c>
      <c r="OQ141">
        <v>0</v>
      </c>
      <c r="OR141">
        <v>0</v>
      </c>
      <c r="OS141">
        <v>0</v>
      </c>
      <c r="OT141">
        <v>0</v>
      </c>
      <c r="OU141">
        <v>0</v>
      </c>
      <c r="OV141">
        <v>0</v>
      </c>
      <c r="OW141">
        <v>0</v>
      </c>
      <c r="OX141">
        <v>0</v>
      </c>
      <c r="OY141">
        <v>0</v>
      </c>
      <c r="OZ141">
        <v>0</v>
      </c>
      <c r="PA141">
        <v>0</v>
      </c>
      <c r="PB141">
        <v>0</v>
      </c>
      <c r="PC141">
        <v>0</v>
      </c>
      <c r="PD141">
        <v>0</v>
      </c>
      <c r="PE141">
        <v>0</v>
      </c>
      <c r="PF141">
        <v>0</v>
      </c>
      <c r="PG141">
        <v>0</v>
      </c>
      <c r="PH141">
        <v>0</v>
      </c>
      <c r="PI141">
        <v>0</v>
      </c>
      <c r="PJ141">
        <v>0</v>
      </c>
      <c r="PK141">
        <v>0</v>
      </c>
      <c r="PL141">
        <v>0</v>
      </c>
      <c r="PM141">
        <v>0</v>
      </c>
      <c r="PN141">
        <v>0</v>
      </c>
      <c r="PO141">
        <v>0</v>
      </c>
      <c r="PP141">
        <v>0</v>
      </c>
      <c r="PQ141">
        <v>0</v>
      </c>
      <c r="PR141">
        <v>0</v>
      </c>
      <c r="PS141">
        <v>0</v>
      </c>
      <c r="PT141">
        <v>0</v>
      </c>
      <c r="PU141">
        <v>0</v>
      </c>
      <c r="PV141">
        <v>0</v>
      </c>
      <c r="PW141">
        <v>0</v>
      </c>
      <c r="PX141">
        <v>0</v>
      </c>
      <c r="PY141">
        <v>0</v>
      </c>
      <c r="PZ141">
        <v>0</v>
      </c>
      <c r="QA141">
        <v>0</v>
      </c>
      <c r="QB141">
        <v>0</v>
      </c>
      <c r="QC141">
        <v>0</v>
      </c>
      <c r="QD141">
        <v>0</v>
      </c>
      <c r="QE141">
        <v>0</v>
      </c>
      <c r="QF141">
        <v>0</v>
      </c>
      <c r="QG141">
        <v>0</v>
      </c>
      <c r="QH141">
        <v>0</v>
      </c>
      <c r="QI141">
        <v>0</v>
      </c>
      <c r="QJ141">
        <v>0</v>
      </c>
      <c r="QK141">
        <v>0</v>
      </c>
      <c r="QL141">
        <v>0</v>
      </c>
      <c r="QM141">
        <v>0</v>
      </c>
      <c r="QN141">
        <v>0</v>
      </c>
      <c r="QO141">
        <v>0</v>
      </c>
      <c r="QP141">
        <v>0</v>
      </c>
      <c r="QQ141">
        <v>0</v>
      </c>
      <c r="QR141">
        <v>0</v>
      </c>
      <c r="QS141">
        <v>0</v>
      </c>
      <c r="QT141">
        <v>0</v>
      </c>
      <c r="QU141">
        <v>0</v>
      </c>
      <c r="QV141">
        <v>0</v>
      </c>
      <c r="QW141">
        <v>0</v>
      </c>
      <c r="QX141">
        <v>0</v>
      </c>
      <c r="QY141">
        <v>0</v>
      </c>
      <c r="QZ141">
        <v>0</v>
      </c>
      <c r="RA141">
        <v>0</v>
      </c>
      <c r="RB141">
        <v>0</v>
      </c>
      <c r="RC141">
        <v>0</v>
      </c>
      <c r="RD141">
        <v>0</v>
      </c>
      <c r="RE141">
        <v>0</v>
      </c>
      <c r="RF141">
        <v>0</v>
      </c>
      <c r="RG141">
        <v>0</v>
      </c>
      <c r="RH141">
        <v>0</v>
      </c>
      <c r="RI141">
        <v>0</v>
      </c>
      <c r="RJ141">
        <v>0</v>
      </c>
      <c r="RK141">
        <v>0</v>
      </c>
      <c r="RL141">
        <v>0</v>
      </c>
      <c r="RM141">
        <v>0</v>
      </c>
      <c r="RN141">
        <v>0</v>
      </c>
      <c r="RO141">
        <v>0</v>
      </c>
      <c r="RP141">
        <v>0</v>
      </c>
      <c r="RQ141">
        <v>0</v>
      </c>
      <c r="RR141">
        <v>0</v>
      </c>
      <c r="RS141">
        <v>0</v>
      </c>
      <c r="RT141">
        <v>0</v>
      </c>
      <c r="RU141">
        <v>0</v>
      </c>
      <c r="RV141">
        <v>0</v>
      </c>
      <c r="RW141">
        <v>0</v>
      </c>
      <c r="RX141">
        <v>0</v>
      </c>
      <c r="RY141">
        <v>0</v>
      </c>
      <c r="RZ141">
        <v>0</v>
      </c>
      <c r="SA141">
        <v>0</v>
      </c>
      <c r="SB141">
        <v>0</v>
      </c>
      <c r="SC141">
        <v>0</v>
      </c>
      <c r="SD141">
        <v>0</v>
      </c>
      <c r="SE141">
        <v>0</v>
      </c>
      <c r="SF141">
        <v>0</v>
      </c>
      <c r="SG141">
        <v>0</v>
      </c>
      <c r="SH141">
        <v>0</v>
      </c>
      <c r="SI141">
        <v>0</v>
      </c>
      <c r="SJ141">
        <v>0</v>
      </c>
      <c r="SK141">
        <v>0</v>
      </c>
      <c r="SL141">
        <v>0</v>
      </c>
      <c r="SM141">
        <v>0</v>
      </c>
      <c r="SN141">
        <v>0</v>
      </c>
      <c r="SO141">
        <v>0</v>
      </c>
      <c r="SP141">
        <v>0</v>
      </c>
      <c r="SQ141">
        <v>0</v>
      </c>
      <c r="SR141">
        <v>0</v>
      </c>
      <c r="SS141">
        <v>0</v>
      </c>
      <c r="ST141">
        <v>0</v>
      </c>
      <c r="SU141">
        <v>0</v>
      </c>
      <c r="SV141">
        <v>0</v>
      </c>
      <c r="SW141">
        <v>0</v>
      </c>
      <c r="SX141">
        <v>0</v>
      </c>
      <c r="SY141">
        <v>0</v>
      </c>
      <c r="SZ141">
        <v>0</v>
      </c>
      <c r="TA141">
        <v>0</v>
      </c>
      <c r="TB141">
        <v>0</v>
      </c>
      <c r="TC141">
        <v>0</v>
      </c>
      <c r="TD141">
        <v>0</v>
      </c>
      <c r="TE141">
        <v>0</v>
      </c>
      <c r="TF141">
        <v>0</v>
      </c>
      <c r="TG141">
        <v>0</v>
      </c>
      <c r="TH141">
        <v>0</v>
      </c>
      <c r="TI141">
        <v>0</v>
      </c>
      <c r="TJ141">
        <v>0</v>
      </c>
      <c r="TK141">
        <v>0</v>
      </c>
      <c r="TL141">
        <v>0</v>
      </c>
      <c r="TM141">
        <v>0</v>
      </c>
      <c r="TN141">
        <v>0</v>
      </c>
      <c r="TO141">
        <v>0</v>
      </c>
      <c r="TP141">
        <v>0</v>
      </c>
      <c r="TQ141">
        <v>0</v>
      </c>
      <c r="TR141">
        <v>0</v>
      </c>
      <c r="TS141">
        <v>0</v>
      </c>
      <c r="TT141">
        <v>0</v>
      </c>
      <c r="TU141">
        <v>0</v>
      </c>
      <c r="TV141">
        <v>0</v>
      </c>
      <c r="TW141">
        <v>0</v>
      </c>
      <c r="TX141">
        <v>0</v>
      </c>
      <c r="TY141">
        <v>0</v>
      </c>
      <c r="TZ141">
        <v>0</v>
      </c>
      <c r="UA141">
        <v>0</v>
      </c>
      <c r="UB141">
        <v>0</v>
      </c>
      <c r="UC141">
        <v>0</v>
      </c>
      <c r="UD141">
        <v>0</v>
      </c>
      <c r="UE141">
        <v>0</v>
      </c>
      <c r="UF141">
        <v>0</v>
      </c>
      <c r="UG141">
        <v>0</v>
      </c>
      <c r="UH141">
        <v>0</v>
      </c>
      <c r="UI141">
        <v>0</v>
      </c>
      <c r="UJ141">
        <v>0</v>
      </c>
      <c r="UK141">
        <v>0</v>
      </c>
      <c r="UL141">
        <v>0</v>
      </c>
      <c r="UM141">
        <v>0</v>
      </c>
      <c r="UN141">
        <v>0</v>
      </c>
      <c r="UO141">
        <v>0</v>
      </c>
      <c r="UP141">
        <v>0</v>
      </c>
      <c r="UQ141">
        <v>0</v>
      </c>
      <c r="UR141">
        <v>0</v>
      </c>
      <c r="US141">
        <v>0</v>
      </c>
      <c r="UT141">
        <v>0</v>
      </c>
      <c r="UU141">
        <v>0</v>
      </c>
      <c r="UV141">
        <v>0</v>
      </c>
      <c r="UW141">
        <v>0</v>
      </c>
      <c r="UX141">
        <v>0</v>
      </c>
      <c r="UY141">
        <v>0</v>
      </c>
      <c r="UZ141">
        <v>0</v>
      </c>
      <c r="VA141">
        <v>0</v>
      </c>
      <c r="VB141">
        <v>0</v>
      </c>
      <c r="VC141">
        <v>0</v>
      </c>
      <c r="VD141">
        <v>0</v>
      </c>
      <c r="VE141">
        <v>0</v>
      </c>
      <c r="VF141">
        <v>0</v>
      </c>
      <c r="VG141">
        <v>0</v>
      </c>
      <c r="VH141">
        <v>0</v>
      </c>
      <c r="VI141">
        <v>0</v>
      </c>
      <c r="VJ141">
        <v>0</v>
      </c>
      <c r="VK141">
        <v>0</v>
      </c>
      <c r="VL141">
        <v>0</v>
      </c>
      <c r="VM141">
        <v>0</v>
      </c>
      <c r="VN141">
        <v>0</v>
      </c>
      <c r="VO141">
        <v>0</v>
      </c>
      <c r="VP141">
        <v>0</v>
      </c>
      <c r="VQ141">
        <v>0</v>
      </c>
      <c r="VR141">
        <v>0</v>
      </c>
      <c r="VS141">
        <v>0</v>
      </c>
      <c r="VT141">
        <v>0</v>
      </c>
      <c r="VU141">
        <v>0</v>
      </c>
      <c r="VV141">
        <v>0</v>
      </c>
      <c r="VW141">
        <v>0</v>
      </c>
      <c r="VX141">
        <v>0</v>
      </c>
      <c r="VY141">
        <v>0</v>
      </c>
      <c r="VZ141">
        <v>0</v>
      </c>
      <c r="WA141">
        <v>0</v>
      </c>
      <c r="WB141">
        <v>0</v>
      </c>
      <c r="WC141">
        <v>0</v>
      </c>
      <c r="WD141">
        <v>0</v>
      </c>
      <c r="WE141">
        <v>0</v>
      </c>
      <c r="WF141">
        <v>0</v>
      </c>
      <c r="WG141">
        <v>0</v>
      </c>
      <c r="WH141">
        <v>0</v>
      </c>
      <c r="WI141">
        <v>0</v>
      </c>
      <c r="WJ141">
        <v>0</v>
      </c>
      <c r="WK141">
        <v>0</v>
      </c>
      <c r="WL141">
        <v>0</v>
      </c>
      <c r="WM141">
        <v>0</v>
      </c>
      <c r="WN141">
        <v>0</v>
      </c>
      <c r="WO141">
        <v>0</v>
      </c>
      <c r="WP141">
        <v>0</v>
      </c>
      <c r="WQ141">
        <v>0</v>
      </c>
      <c r="WR141">
        <v>0</v>
      </c>
      <c r="WS141">
        <v>0</v>
      </c>
      <c r="WT141">
        <v>0</v>
      </c>
      <c r="WU141">
        <v>0</v>
      </c>
      <c r="WV141">
        <v>0</v>
      </c>
      <c r="WW141">
        <v>0</v>
      </c>
      <c r="WX141">
        <v>0</v>
      </c>
      <c r="WY141">
        <v>0</v>
      </c>
      <c r="WZ141">
        <v>0</v>
      </c>
      <c r="XA141">
        <v>0</v>
      </c>
      <c r="XB141">
        <v>0</v>
      </c>
      <c r="XC141">
        <v>0</v>
      </c>
      <c r="XD141">
        <v>0</v>
      </c>
      <c r="XE141">
        <v>0</v>
      </c>
      <c r="XF141">
        <v>0</v>
      </c>
      <c r="XG141">
        <v>0</v>
      </c>
      <c r="XH141">
        <v>0</v>
      </c>
      <c r="XI141">
        <v>0</v>
      </c>
      <c r="XJ141">
        <v>0</v>
      </c>
      <c r="XK141">
        <v>0</v>
      </c>
      <c r="XL141">
        <v>0</v>
      </c>
      <c r="XM141">
        <v>0</v>
      </c>
      <c r="XN141">
        <v>0</v>
      </c>
      <c r="XO141">
        <v>0</v>
      </c>
      <c r="XP141">
        <v>0</v>
      </c>
      <c r="XQ141">
        <v>0</v>
      </c>
      <c r="XR141">
        <v>0</v>
      </c>
      <c r="XS141">
        <v>0</v>
      </c>
      <c r="XT141">
        <v>0</v>
      </c>
      <c r="XU141">
        <v>0</v>
      </c>
      <c r="XV141">
        <v>0</v>
      </c>
      <c r="XW141">
        <v>0</v>
      </c>
      <c r="XX141">
        <v>0</v>
      </c>
      <c r="XY141">
        <v>0</v>
      </c>
      <c r="XZ141">
        <v>0</v>
      </c>
      <c r="YA141">
        <v>0</v>
      </c>
      <c r="YB141">
        <v>0</v>
      </c>
      <c r="YC141">
        <v>0</v>
      </c>
      <c r="YD141">
        <v>0</v>
      </c>
      <c r="YE141">
        <v>0</v>
      </c>
      <c r="YF141">
        <v>0</v>
      </c>
      <c r="YG141">
        <v>0</v>
      </c>
      <c r="YH141">
        <v>0</v>
      </c>
      <c r="YI141">
        <v>0</v>
      </c>
      <c r="YJ141">
        <v>0</v>
      </c>
      <c r="YK141">
        <v>0</v>
      </c>
      <c r="YL141">
        <v>0</v>
      </c>
      <c r="YM141">
        <v>0</v>
      </c>
      <c r="YN141">
        <v>0</v>
      </c>
      <c r="YO141">
        <v>0</v>
      </c>
      <c r="YP141">
        <v>0</v>
      </c>
      <c r="YQ141">
        <v>0</v>
      </c>
      <c r="YR141">
        <v>0</v>
      </c>
      <c r="YS141">
        <v>0</v>
      </c>
      <c r="YT141">
        <v>0</v>
      </c>
      <c r="YU141">
        <v>0</v>
      </c>
      <c r="YV141">
        <v>0</v>
      </c>
      <c r="YW141">
        <v>0</v>
      </c>
      <c r="YX141">
        <v>0</v>
      </c>
      <c r="YY141">
        <v>0</v>
      </c>
      <c r="YZ141">
        <v>0</v>
      </c>
      <c r="ZA141">
        <v>0</v>
      </c>
      <c r="ZB141">
        <v>0</v>
      </c>
      <c r="ZC141">
        <v>0</v>
      </c>
      <c r="ZD141">
        <v>0</v>
      </c>
      <c r="ZE141">
        <v>0</v>
      </c>
      <c r="ZF141">
        <v>0</v>
      </c>
      <c r="ZG141">
        <v>0</v>
      </c>
      <c r="ZH141">
        <v>0</v>
      </c>
      <c r="ZI141">
        <v>0</v>
      </c>
      <c r="ZJ141">
        <v>0</v>
      </c>
      <c r="ZK141">
        <v>0</v>
      </c>
      <c r="ZL141">
        <v>0</v>
      </c>
      <c r="ZM141">
        <v>0</v>
      </c>
      <c r="ZN141">
        <v>0</v>
      </c>
      <c r="ZO141">
        <v>0</v>
      </c>
      <c r="ZP141">
        <v>0</v>
      </c>
      <c r="ZQ141">
        <v>0</v>
      </c>
      <c r="ZR141">
        <v>0</v>
      </c>
      <c r="ZS141">
        <v>0</v>
      </c>
      <c r="ZT141">
        <v>0</v>
      </c>
      <c r="ZU141">
        <v>0</v>
      </c>
      <c r="ZV141">
        <v>0</v>
      </c>
      <c r="ZW141">
        <v>0</v>
      </c>
      <c r="ZX141">
        <v>0</v>
      </c>
      <c r="ZY141">
        <v>0</v>
      </c>
      <c r="ZZ141">
        <v>0</v>
      </c>
      <c r="AAA141">
        <v>0</v>
      </c>
      <c r="AAB141">
        <v>0</v>
      </c>
      <c r="AAC141">
        <v>0</v>
      </c>
      <c r="AAD141">
        <v>0</v>
      </c>
      <c r="AAE141">
        <v>0</v>
      </c>
      <c r="AAF141">
        <v>0</v>
      </c>
      <c r="AAG141">
        <v>0</v>
      </c>
      <c r="AAH141">
        <v>0</v>
      </c>
      <c r="AAI141">
        <v>0</v>
      </c>
      <c r="AAJ141">
        <v>0</v>
      </c>
      <c r="AAK141">
        <v>0</v>
      </c>
      <c r="AAL141">
        <v>0</v>
      </c>
      <c r="AAM141">
        <v>0</v>
      </c>
      <c r="AAN141">
        <v>0</v>
      </c>
      <c r="AAO141">
        <v>0</v>
      </c>
      <c r="AAP141">
        <v>0</v>
      </c>
      <c r="AAQ141">
        <v>0</v>
      </c>
      <c r="AAR141">
        <v>0</v>
      </c>
      <c r="AAS141">
        <v>0</v>
      </c>
      <c r="AAT141">
        <v>0</v>
      </c>
      <c r="AAU141">
        <v>0</v>
      </c>
      <c r="AAV141">
        <v>0</v>
      </c>
      <c r="AAW141">
        <v>0</v>
      </c>
      <c r="AAX141">
        <v>0</v>
      </c>
      <c r="AAY141">
        <v>0</v>
      </c>
      <c r="AAZ141">
        <v>0</v>
      </c>
      <c r="ABA141">
        <v>0</v>
      </c>
      <c r="ABB141">
        <v>0</v>
      </c>
      <c r="ABC141">
        <v>0</v>
      </c>
      <c r="ABD141">
        <v>0</v>
      </c>
      <c r="ABE141">
        <v>0</v>
      </c>
      <c r="ABG141" s="1137">
        <f t="shared" si="37"/>
        <v>0</v>
      </c>
      <c r="ABH141" s="1137">
        <f t="shared" si="37"/>
        <v>0</v>
      </c>
      <c r="ABI141" s="1137">
        <f t="shared" si="37"/>
        <v>0</v>
      </c>
      <c r="ABJ141" s="1137">
        <f t="shared" si="37"/>
        <v>18</v>
      </c>
      <c r="ABK141" s="1137">
        <f t="shared" si="37"/>
        <v>31</v>
      </c>
      <c r="ABL141" s="1137">
        <f t="shared" si="37"/>
        <v>30</v>
      </c>
      <c r="ABM141" s="1137">
        <f t="shared" si="37"/>
        <v>31</v>
      </c>
      <c r="ABN141" s="1137">
        <f t="shared" si="37"/>
        <v>31</v>
      </c>
      <c r="ABO141" s="1137">
        <f t="shared" si="37"/>
        <v>30</v>
      </c>
      <c r="ABP141" s="1137">
        <f t="shared" si="37"/>
        <v>4</v>
      </c>
      <c r="ABQ141" s="1137">
        <f t="shared" si="37"/>
        <v>0</v>
      </c>
      <c r="ABR141" s="1137">
        <f t="shared" si="37"/>
        <v>0</v>
      </c>
      <c r="ABS141" s="1137">
        <f t="shared" si="37"/>
        <v>0</v>
      </c>
      <c r="ABT141" s="1137">
        <f t="shared" si="37"/>
        <v>0</v>
      </c>
      <c r="ABU141" s="1137">
        <f t="shared" si="37"/>
        <v>0</v>
      </c>
      <c r="ABV141" s="1137">
        <f t="shared" si="37"/>
        <v>0</v>
      </c>
      <c r="ABW141" s="1137">
        <f t="shared" si="31"/>
        <v>0</v>
      </c>
      <c r="ABX141" s="1137">
        <f t="shared" si="34"/>
        <v>0</v>
      </c>
      <c r="ABY141" s="1137">
        <f t="shared" si="34"/>
        <v>0</v>
      </c>
      <c r="ABZ141" s="1137">
        <f t="shared" si="34"/>
        <v>0</v>
      </c>
      <c r="ACA141" s="1137">
        <f t="shared" si="34"/>
        <v>0</v>
      </c>
      <c r="ACB141" s="1137">
        <f t="shared" si="34"/>
        <v>0</v>
      </c>
      <c r="ACC141" s="1137">
        <f t="shared" si="34"/>
        <v>0</v>
      </c>
      <c r="ACD141" s="1137">
        <f t="shared" si="34"/>
        <v>0</v>
      </c>
      <c r="ACE141" s="1137" t="s">
        <v>234</v>
      </c>
      <c r="ACF141" s="1137">
        <f t="shared" si="33"/>
        <v>0</v>
      </c>
      <c r="ACG141" s="1137">
        <f t="shared" si="33"/>
        <v>0</v>
      </c>
      <c r="ACH141" s="1137">
        <f t="shared" si="33"/>
        <v>0</v>
      </c>
      <c r="ACI141" s="1137">
        <f t="shared" si="33"/>
        <v>1</v>
      </c>
      <c r="ACJ141" s="1137">
        <f t="shared" si="33"/>
        <v>1</v>
      </c>
      <c r="ACK141" s="1137">
        <f t="shared" si="33"/>
        <v>1</v>
      </c>
      <c r="ACL141" s="1137">
        <f t="shared" si="33"/>
        <v>1</v>
      </c>
      <c r="ACM141" s="1137">
        <f t="shared" si="33"/>
        <v>1</v>
      </c>
      <c r="ACN141" s="1137">
        <f t="shared" si="33"/>
        <v>1</v>
      </c>
      <c r="ACO141" s="1137">
        <f t="shared" si="33"/>
        <v>0</v>
      </c>
      <c r="ACP141" s="1137">
        <f t="shared" si="33"/>
        <v>0</v>
      </c>
      <c r="ACQ141" s="1137">
        <f t="shared" si="32"/>
        <v>0</v>
      </c>
      <c r="ACR141" s="1137">
        <f t="shared" si="32"/>
        <v>0</v>
      </c>
      <c r="ACS141" s="1137">
        <f t="shared" si="32"/>
        <v>0</v>
      </c>
      <c r="ACT141" s="1137">
        <f t="shared" si="32"/>
        <v>0</v>
      </c>
      <c r="ACU141" s="1137">
        <f t="shared" si="32"/>
        <v>0</v>
      </c>
      <c r="ACV141" s="1137">
        <f t="shared" si="32"/>
        <v>0</v>
      </c>
      <c r="ACW141" s="1137">
        <f t="shared" si="32"/>
        <v>0</v>
      </c>
      <c r="ACX141" s="1137">
        <f t="shared" si="32"/>
        <v>0</v>
      </c>
      <c r="ACY141" s="1137">
        <f t="shared" si="32"/>
        <v>0</v>
      </c>
      <c r="ACZ141" s="1137">
        <f t="shared" si="32"/>
        <v>0</v>
      </c>
      <c r="ADA141" s="1137">
        <f t="shared" si="35"/>
        <v>0</v>
      </c>
      <c r="ADB141" s="1137">
        <f t="shared" si="35"/>
        <v>0</v>
      </c>
      <c r="ADC141" s="1137">
        <f t="shared" si="35"/>
        <v>0</v>
      </c>
    </row>
    <row r="142" spans="1:783" x14ac:dyDescent="0.25">
      <c r="A142" t="s">
        <v>1941</v>
      </c>
      <c r="B142" t="s">
        <v>2380</v>
      </c>
      <c r="C142">
        <v>0</v>
      </c>
      <c r="D142">
        <v>0</v>
      </c>
      <c r="E142">
        <v>0</v>
      </c>
      <c r="F142">
        <v>0</v>
      </c>
      <c r="G142">
        <v>0</v>
      </c>
      <c r="H142">
        <v>0</v>
      </c>
      <c r="I142">
        <v>0</v>
      </c>
      <c r="J142">
        <v>0</v>
      </c>
      <c r="K142">
        <v>0</v>
      </c>
      <c r="L142">
        <v>0</v>
      </c>
      <c r="M142">
        <v>0</v>
      </c>
      <c r="N142">
        <v>0</v>
      </c>
      <c r="O142">
        <v>0</v>
      </c>
      <c r="P142">
        <v>0</v>
      </c>
      <c r="Q142">
        <v>0</v>
      </c>
      <c r="R142">
        <v>0</v>
      </c>
      <c r="S142">
        <v>0</v>
      </c>
      <c r="T142">
        <v>0</v>
      </c>
      <c r="U142">
        <v>0</v>
      </c>
      <c r="V142">
        <v>0</v>
      </c>
      <c r="W142">
        <v>0</v>
      </c>
      <c r="X142">
        <v>0</v>
      </c>
      <c r="Y142">
        <v>0</v>
      </c>
      <c r="Z142">
        <v>0</v>
      </c>
      <c r="AA142">
        <v>0</v>
      </c>
      <c r="AB142">
        <v>0</v>
      </c>
      <c r="AC142">
        <v>0</v>
      </c>
      <c r="AD142">
        <v>0</v>
      </c>
      <c r="AE142">
        <v>0</v>
      </c>
      <c r="AF142">
        <v>0</v>
      </c>
      <c r="AG142">
        <v>0</v>
      </c>
      <c r="AH142">
        <v>0</v>
      </c>
      <c r="AI142">
        <v>0</v>
      </c>
      <c r="AJ142">
        <v>0</v>
      </c>
      <c r="AK142">
        <v>0</v>
      </c>
      <c r="AL142">
        <v>0</v>
      </c>
      <c r="AM142">
        <v>0</v>
      </c>
      <c r="AN142">
        <v>0</v>
      </c>
      <c r="AO142">
        <v>0</v>
      </c>
      <c r="AP142">
        <v>0</v>
      </c>
      <c r="AQ142">
        <v>0</v>
      </c>
      <c r="AR142">
        <v>0</v>
      </c>
      <c r="AS142">
        <v>0</v>
      </c>
      <c r="AT142">
        <v>0</v>
      </c>
      <c r="AU142">
        <v>0</v>
      </c>
      <c r="AV142">
        <v>0</v>
      </c>
      <c r="AW142">
        <v>0</v>
      </c>
      <c r="AX142">
        <v>0</v>
      </c>
      <c r="AY142">
        <v>0</v>
      </c>
      <c r="AZ142">
        <v>0</v>
      </c>
      <c r="BA142">
        <v>0</v>
      </c>
      <c r="BB142">
        <v>0</v>
      </c>
      <c r="BC142">
        <v>0</v>
      </c>
      <c r="BD142">
        <v>0</v>
      </c>
      <c r="BE142">
        <v>0</v>
      </c>
      <c r="BF142">
        <v>0</v>
      </c>
      <c r="BG142">
        <v>0</v>
      </c>
      <c r="BH142">
        <v>0</v>
      </c>
      <c r="BI142">
        <v>0</v>
      </c>
      <c r="BJ142">
        <v>0</v>
      </c>
      <c r="BK142">
        <v>0</v>
      </c>
      <c r="BL142">
        <v>0</v>
      </c>
      <c r="BM142">
        <v>0</v>
      </c>
      <c r="BN142">
        <v>0</v>
      </c>
      <c r="BO142">
        <v>2</v>
      </c>
      <c r="BP142">
        <v>2</v>
      </c>
      <c r="BQ142">
        <v>2</v>
      </c>
      <c r="BR142">
        <v>2</v>
      </c>
      <c r="BS142">
        <v>2</v>
      </c>
      <c r="BT142">
        <v>2</v>
      </c>
      <c r="BU142">
        <v>2</v>
      </c>
      <c r="BV142">
        <v>2</v>
      </c>
      <c r="BW142">
        <v>2</v>
      </c>
      <c r="BX142">
        <v>2</v>
      </c>
      <c r="BY142">
        <v>2</v>
      </c>
      <c r="BZ142">
        <v>2</v>
      </c>
      <c r="CA142">
        <v>2</v>
      </c>
      <c r="CB142">
        <v>2</v>
      </c>
      <c r="CC142">
        <v>2</v>
      </c>
      <c r="CD142">
        <v>2</v>
      </c>
      <c r="CE142">
        <v>2</v>
      </c>
      <c r="CF142">
        <v>2</v>
      </c>
      <c r="CG142">
        <v>2</v>
      </c>
      <c r="CH142">
        <v>2</v>
      </c>
      <c r="CI142">
        <v>2</v>
      </c>
      <c r="CJ142">
        <v>2</v>
      </c>
      <c r="CK142">
        <v>2</v>
      </c>
      <c r="CL142">
        <v>2</v>
      </c>
      <c r="CM142">
        <v>2</v>
      </c>
      <c r="CN142">
        <v>2</v>
      </c>
      <c r="CO142">
        <v>2</v>
      </c>
      <c r="CP142">
        <v>2</v>
      </c>
      <c r="CQ142">
        <v>2</v>
      </c>
      <c r="CR142">
        <v>2</v>
      </c>
      <c r="CS142">
        <v>2</v>
      </c>
      <c r="CT142">
        <v>2</v>
      </c>
      <c r="CU142">
        <v>2</v>
      </c>
      <c r="CV142">
        <v>2</v>
      </c>
      <c r="CW142">
        <v>2</v>
      </c>
      <c r="CX142">
        <v>2</v>
      </c>
      <c r="CY142">
        <v>2</v>
      </c>
      <c r="CZ142">
        <v>2</v>
      </c>
      <c r="DA142">
        <v>2</v>
      </c>
      <c r="DB142">
        <v>2</v>
      </c>
      <c r="DC142">
        <v>2</v>
      </c>
      <c r="DD142">
        <v>2</v>
      </c>
      <c r="DE142">
        <v>2</v>
      </c>
      <c r="DF142">
        <v>2</v>
      </c>
      <c r="DG142">
        <v>2</v>
      </c>
      <c r="DH142">
        <v>2</v>
      </c>
      <c r="DI142">
        <v>2</v>
      </c>
      <c r="DJ142">
        <v>2</v>
      </c>
      <c r="DK142">
        <v>2</v>
      </c>
      <c r="DL142">
        <v>2</v>
      </c>
      <c r="DM142">
        <v>2</v>
      </c>
      <c r="DN142">
        <v>2</v>
      </c>
      <c r="DO142">
        <v>2</v>
      </c>
      <c r="DP142">
        <v>2</v>
      </c>
      <c r="DQ142">
        <v>2</v>
      </c>
      <c r="DR142">
        <v>2</v>
      </c>
      <c r="DS142">
        <v>2</v>
      </c>
      <c r="DT142">
        <v>2</v>
      </c>
      <c r="DU142">
        <v>2</v>
      </c>
      <c r="DV142">
        <v>2</v>
      </c>
      <c r="DW142">
        <v>2</v>
      </c>
      <c r="DX142">
        <v>2</v>
      </c>
      <c r="DY142">
        <v>2</v>
      </c>
      <c r="DZ142">
        <v>2</v>
      </c>
      <c r="EA142">
        <v>2</v>
      </c>
      <c r="EB142">
        <v>2</v>
      </c>
      <c r="EC142">
        <v>2</v>
      </c>
      <c r="ED142">
        <v>2</v>
      </c>
      <c r="EE142">
        <v>2</v>
      </c>
      <c r="EF142">
        <v>2</v>
      </c>
      <c r="EG142">
        <v>2</v>
      </c>
      <c r="EH142">
        <v>2</v>
      </c>
      <c r="EI142">
        <v>2</v>
      </c>
      <c r="EJ142">
        <v>2</v>
      </c>
      <c r="EK142">
        <v>2</v>
      </c>
      <c r="EL142">
        <v>2</v>
      </c>
      <c r="EM142">
        <v>2</v>
      </c>
      <c r="EN142">
        <v>2</v>
      </c>
      <c r="EO142">
        <v>2</v>
      </c>
      <c r="EP142">
        <v>2</v>
      </c>
      <c r="EQ142">
        <v>2</v>
      </c>
      <c r="ER142">
        <v>2</v>
      </c>
      <c r="ES142">
        <v>2</v>
      </c>
      <c r="ET142">
        <v>2</v>
      </c>
      <c r="EU142">
        <v>2</v>
      </c>
      <c r="EV142">
        <v>2</v>
      </c>
      <c r="EW142">
        <v>2</v>
      </c>
      <c r="EX142">
        <v>2</v>
      </c>
      <c r="EY142">
        <v>2</v>
      </c>
      <c r="EZ142">
        <v>2</v>
      </c>
      <c r="FA142">
        <v>2</v>
      </c>
      <c r="FB142">
        <v>2</v>
      </c>
      <c r="FC142">
        <v>2</v>
      </c>
      <c r="FD142">
        <v>2</v>
      </c>
      <c r="FE142">
        <v>2</v>
      </c>
      <c r="FF142">
        <v>2</v>
      </c>
      <c r="FG142">
        <v>2</v>
      </c>
      <c r="FH142">
        <v>2</v>
      </c>
      <c r="FI142">
        <v>2</v>
      </c>
      <c r="FJ142">
        <v>2</v>
      </c>
      <c r="FK142">
        <v>2</v>
      </c>
      <c r="FL142">
        <v>2</v>
      </c>
      <c r="FM142">
        <v>2</v>
      </c>
      <c r="FN142">
        <v>2</v>
      </c>
      <c r="FO142">
        <v>2</v>
      </c>
      <c r="FP142">
        <v>2</v>
      </c>
      <c r="FQ142">
        <v>2</v>
      </c>
      <c r="FR142">
        <v>2</v>
      </c>
      <c r="FS142">
        <v>2</v>
      </c>
      <c r="FT142">
        <v>2</v>
      </c>
      <c r="FU142">
        <v>2</v>
      </c>
      <c r="FV142">
        <v>2</v>
      </c>
      <c r="FW142">
        <v>2</v>
      </c>
      <c r="FX142">
        <v>2</v>
      </c>
      <c r="FY142">
        <v>2</v>
      </c>
      <c r="FZ142">
        <v>2</v>
      </c>
      <c r="GA142">
        <v>2</v>
      </c>
      <c r="GB142">
        <v>2</v>
      </c>
      <c r="GC142">
        <v>2</v>
      </c>
      <c r="GD142">
        <v>2</v>
      </c>
      <c r="GE142">
        <v>2</v>
      </c>
      <c r="GF142">
        <v>2</v>
      </c>
      <c r="GG142">
        <v>2</v>
      </c>
      <c r="GH142">
        <v>2</v>
      </c>
      <c r="GI142">
        <v>2</v>
      </c>
      <c r="GJ142">
        <v>2</v>
      </c>
      <c r="GK142">
        <v>2</v>
      </c>
      <c r="GL142">
        <v>2</v>
      </c>
      <c r="GM142">
        <v>2</v>
      </c>
      <c r="GN142">
        <v>2</v>
      </c>
      <c r="GO142">
        <v>2</v>
      </c>
      <c r="GP142">
        <v>2</v>
      </c>
      <c r="GQ142">
        <v>2</v>
      </c>
      <c r="GR142">
        <v>2</v>
      </c>
      <c r="GS142">
        <v>2</v>
      </c>
      <c r="GT142">
        <v>2</v>
      </c>
      <c r="GU142">
        <v>2</v>
      </c>
      <c r="GV142">
        <v>2</v>
      </c>
      <c r="GW142">
        <v>2</v>
      </c>
      <c r="GX142">
        <v>2</v>
      </c>
      <c r="GY142">
        <v>2</v>
      </c>
      <c r="GZ142">
        <v>2</v>
      </c>
      <c r="HA142">
        <v>2</v>
      </c>
      <c r="HB142">
        <v>2</v>
      </c>
      <c r="HC142">
        <v>2</v>
      </c>
      <c r="HD142">
        <v>2</v>
      </c>
      <c r="HE142">
        <v>2</v>
      </c>
      <c r="HF142">
        <v>2</v>
      </c>
      <c r="HG142">
        <v>2</v>
      </c>
      <c r="HH142">
        <v>2</v>
      </c>
      <c r="HI142">
        <v>2</v>
      </c>
      <c r="HJ142">
        <v>2</v>
      </c>
      <c r="HK142">
        <v>2</v>
      </c>
      <c r="HL142">
        <v>2</v>
      </c>
      <c r="HM142">
        <v>2</v>
      </c>
      <c r="HN142">
        <v>2</v>
      </c>
      <c r="HO142">
        <v>2</v>
      </c>
      <c r="HP142">
        <v>2</v>
      </c>
      <c r="HQ142">
        <v>2</v>
      </c>
      <c r="HR142">
        <v>2</v>
      </c>
      <c r="HS142">
        <v>2</v>
      </c>
      <c r="HT142">
        <v>2</v>
      </c>
      <c r="HU142">
        <v>2</v>
      </c>
      <c r="HV142">
        <v>2</v>
      </c>
      <c r="HW142">
        <v>2</v>
      </c>
      <c r="HX142">
        <v>2</v>
      </c>
      <c r="HY142">
        <v>2</v>
      </c>
      <c r="HZ142">
        <v>2</v>
      </c>
      <c r="IA142">
        <v>2</v>
      </c>
      <c r="IB142">
        <v>2</v>
      </c>
      <c r="IC142">
        <v>2</v>
      </c>
      <c r="ID142">
        <v>2</v>
      </c>
      <c r="IE142">
        <v>2</v>
      </c>
      <c r="IF142">
        <v>2</v>
      </c>
      <c r="IG142">
        <v>2</v>
      </c>
      <c r="IH142">
        <v>2</v>
      </c>
      <c r="II142">
        <v>2</v>
      </c>
      <c r="IJ142">
        <v>2</v>
      </c>
      <c r="IK142">
        <v>2</v>
      </c>
      <c r="IL142">
        <v>2</v>
      </c>
      <c r="IM142">
        <v>2</v>
      </c>
      <c r="IN142">
        <v>2</v>
      </c>
      <c r="IO142">
        <v>2</v>
      </c>
      <c r="IP142">
        <v>2</v>
      </c>
      <c r="IQ142">
        <v>2</v>
      </c>
      <c r="IR142">
        <v>2</v>
      </c>
      <c r="IS142">
        <v>2</v>
      </c>
      <c r="IT142">
        <v>2</v>
      </c>
      <c r="IU142">
        <v>2</v>
      </c>
      <c r="IV142">
        <v>2</v>
      </c>
      <c r="IW142">
        <v>2</v>
      </c>
      <c r="IX142">
        <v>2</v>
      </c>
      <c r="IY142">
        <v>2</v>
      </c>
      <c r="IZ142">
        <v>2</v>
      </c>
      <c r="JA142">
        <v>2</v>
      </c>
      <c r="JB142">
        <v>2</v>
      </c>
      <c r="JC142">
        <v>2</v>
      </c>
      <c r="JD142">
        <v>2</v>
      </c>
      <c r="JE142">
        <v>2</v>
      </c>
      <c r="JF142">
        <v>2</v>
      </c>
      <c r="JG142">
        <v>2</v>
      </c>
      <c r="JH142">
        <v>2</v>
      </c>
      <c r="JI142">
        <v>2</v>
      </c>
      <c r="JJ142">
        <v>2</v>
      </c>
      <c r="JK142">
        <v>2</v>
      </c>
      <c r="JL142">
        <v>2</v>
      </c>
      <c r="JM142">
        <v>2</v>
      </c>
      <c r="JN142">
        <v>2</v>
      </c>
      <c r="JO142">
        <v>2</v>
      </c>
      <c r="JP142">
        <v>2</v>
      </c>
      <c r="JQ142">
        <v>2</v>
      </c>
      <c r="JR142">
        <v>2</v>
      </c>
      <c r="JS142">
        <v>2</v>
      </c>
      <c r="JT142">
        <v>2</v>
      </c>
      <c r="JU142">
        <v>2</v>
      </c>
      <c r="JV142">
        <v>2</v>
      </c>
      <c r="JW142">
        <v>2</v>
      </c>
      <c r="JX142">
        <v>2</v>
      </c>
      <c r="JY142">
        <v>2</v>
      </c>
      <c r="JZ142">
        <v>2</v>
      </c>
      <c r="KA142">
        <v>2</v>
      </c>
      <c r="KB142">
        <v>2</v>
      </c>
      <c r="KC142">
        <v>2</v>
      </c>
      <c r="KD142">
        <v>2</v>
      </c>
      <c r="KE142">
        <v>2</v>
      </c>
      <c r="KF142">
        <v>2</v>
      </c>
      <c r="KG142">
        <v>2</v>
      </c>
      <c r="KH142">
        <v>2</v>
      </c>
      <c r="KI142">
        <v>2</v>
      </c>
      <c r="KJ142">
        <v>2</v>
      </c>
      <c r="KK142">
        <v>2</v>
      </c>
      <c r="KL142">
        <v>2</v>
      </c>
      <c r="KM142">
        <v>2</v>
      </c>
      <c r="KN142">
        <v>2</v>
      </c>
      <c r="KO142">
        <v>2</v>
      </c>
      <c r="KP142">
        <v>2</v>
      </c>
      <c r="KQ142">
        <v>2</v>
      </c>
      <c r="KR142">
        <v>2</v>
      </c>
      <c r="KS142">
        <v>2</v>
      </c>
      <c r="KT142">
        <v>2</v>
      </c>
      <c r="KU142">
        <v>2</v>
      </c>
      <c r="KV142">
        <v>2</v>
      </c>
      <c r="KW142">
        <v>2</v>
      </c>
      <c r="KX142">
        <v>2</v>
      </c>
      <c r="KY142">
        <v>2</v>
      </c>
      <c r="KZ142">
        <v>2</v>
      </c>
      <c r="LA142">
        <v>2</v>
      </c>
      <c r="LB142">
        <v>2</v>
      </c>
      <c r="LC142">
        <v>2</v>
      </c>
      <c r="LD142">
        <v>2</v>
      </c>
      <c r="LE142">
        <v>2</v>
      </c>
      <c r="LF142">
        <v>2</v>
      </c>
      <c r="LG142">
        <v>2</v>
      </c>
      <c r="LH142">
        <v>2</v>
      </c>
      <c r="LI142">
        <v>2</v>
      </c>
      <c r="LJ142">
        <v>2</v>
      </c>
      <c r="LK142">
        <v>2</v>
      </c>
      <c r="LL142">
        <v>2</v>
      </c>
      <c r="LM142">
        <v>2</v>
      </c>
      <c r="LN142">
        <v>2</v>
      </c>
      <c r="LO142">
        <v>2</v>
      </c>
      <c r="LP142">
        <v>2</v>
      </c>
      <c r="LQ142">
        <v>2</v>
      </c>
      <c r="LR142">
        <v>2</v>
      </c>
      <c r="LS142">
        <v>2</v>
      </c>
      <c r="LT142">
        <v>2</v>
      </c>
      <c r="LU142">
        <v>2</v>
      </c>
      <c r="LV142">
        <v>2</v>
      </c>
      <c r="LW142">
        <v>2</v>
      </c>
      <c r="LX142">
        <v>2</v>
      </c>
      <c r="LY142">
        <v>2</v>
      </c>
      <c r="LZ142">
        <v>2</v>
      </c>
      <c r="MA142">
        <v>2</v>
      </c>
      <c r="MB142">
        <v>2</v>
      </c>
      <c r="MC142">
        <v>2</v>
      </c>
      <c r="MD142">
        <v>2</v>
      </c>
      <c r="ME142">
        <v>2</v>
      </c>
      <c r="MF142">
        <v>2</v>
      </c>
      <c r="MG142">
        <v>2</v>
      </c>
      <c r="MH142">
        <v>2</v>
      </c>
      <c r="MI142">
        <v>2</v>
      </c>
      <c r="MJ142">
        <v>2</v>
      </c>
      <c r="MK142">
        <v>2</v>
      </c>
      <c r="ML142">
        <v>2</v>
      </c>
      <c r="MM142">
        <v>2</v>
      </c>
      <c r="MN142">
        <v>2</v>
      </c>
      <c r="MO142">
        <v>2</v>
      </c>
      <c r="MP142">
        <v>2</v>
      </c>
      <c r="MQ142">
        <v>2</v>
      </c>
      <c r="MR142">
        <v>2</v>
      </c>
      <c r="MS142">
        <v>2</v>
      </c>
      <c r="MT142">
        <v>2</v>
      </c>
      <c r="MU142">
        <v>2</v>
      </c>
      <c r="MV142">
        <v>2</v>
      </c>
      <c r="MW142">
        <v>2</v>
      </c>
      <c r="MX142">
        <v>2</v>
      </c>
      <c r="MY142">
        <v>2</v>
      </c>
      <c r="MZ142">
        <v>2</v>
      </c>
      <c r="NA142">
        <v>2</v>
      </c>
      <c r="NB142">
        <v>2</v>
      </c>
      <c r="NC142">
        <v>2</v>
      </c>
      <c r="ND142">
        <v>2</v>
      </c>
      <c r="NE142">
        <v>2</v>
      </c>
      <c r="NF142">
        <v>2</v>
      </c>
      <c r="NG142">
        <v>2</v>
      </c>
      <c r="NH142">
        <v>2</v>
      </c>
      <c r="NI142">
        <v>2</v>
      </c>
      <c r="NJ142">
        <v>2</v>
      </c>
      <c r="NK142">
        <v>2</v>
      </c>
      <c r="NL142">
        <v>2</v>
      </c>
      <c r="NM142">
        <v>2</v>
      </c>
      <c r="NN142">
        <v>2</v>
      </c>
      <c r="NO142">
        <v>2</v>
      </c>
      <c r="NP142">
        <v>2</v>
      </c>
      <c r="NQ142">
        <v>2</v>
      </c>
      <c r="NR142">
        <v>2</v>
      </c>
      <c r="NS142">
        <v>2</v>
      </c>
      <c r="NT142">
        <v>2</v>
      </c>
      <c r="NU142">
        <v>2</v>
      </c>
      <c r="NV142">
        <v>2</v>
      </c>
      <c r="NW142">
        <v>2</v>
      </c>
      <c r="NX142">
        <v>2</v>
      </c>
      <c r="NY142">
        <v>2</v>
      </c>
      <c r="NZ142">
        <v>2</v>
      </c>
      <c r="OA142">
        <v>2</v>
      </c>
      <c r="OB142">
        <v>2</v>
      </c>
      <c r="OC142">
        <v>2</v>
      </c>
      <c r="OD142">
        <v>2</v>
      </c>
      <c r="OE142">
        <v>2</v>
      </c>
      <c r="OF142">
        <v>2</v>
      </c>
      <c r="OG142">
        <v>2</v>
      </c>
      <c r="OH142">
        <v>2</v>
      </c>
      <c r="OI142">
        <v>2</v>
      </c>
      <c r="OJ142">
        <v>2</v>
      </c>
      <c r="OK142">
        <v>2</v>
      </c>
      <c r="OL142">
        <v>2</v>
      </c>
      <c r="OM142">
        <v>2</v>
      </c>
      <c r="ON142">
        <v>2</v>
      </c>
      <c r="OO142">
        <v>2</v>
      </c>
      <c r="OP142">
        <v>2</v>
      </c>
      <c r="OQ142">
        <v>2</v>
      </c>
      <c r="OR142">
        <v>2</v>
      </c>
      <c r="OS142">
        <v>2</v>
      </c>
      <c r="OT142">
        <v>2</v>
      </c>
      <c r="OU142">
        <v>2</v>
      </c>
      <c r="OV142">
        <v>2</v>
      </c>
      <c r="OW142">
        <v>2</v>
      </c>
      <c r="OX142">
        <v>2</v>
      </c>
      <c r="OY142">
        <v>2</v>
      </c>
      <c r="OZ142">
        <v>2</v>
      </c>
      <c r="PA142">
        <v>2</v>
      </c>
      <c r="PB142">
        <v>2</v>
      </c>
      <c r="PC142">
        <v>2</v>
      </c>
      <c r="PD142">
        <v>2</v>
      </c>
      <c r="PE142">
        <v>2</v>
      </c>
      <c r="PF142">
        <v>2</v>
      </c>
      <c r="PG142">
        <v>2</v>
      </c>
      <c r="PH142">
        <v>2</v>
      </c>
      <c r="PI142">
        <v>2</v>
      </c>
      <c r="PJ142">
        <v>2</v>
      </c>
      <c r="PK142">
        <v>2</v>
      </c>
      <c r="PL142">
        <v>2</v>
      </c>
      <c r="PM142">
        <v>2</v>
      </c>
      <c r="PN142">
        <v>2</v>
      </c>
      <c r="PO142">
        <v>2</v>
      </c>
      <c r="PP142">
        <v>2</v>
      </c>
      <c r="PQ142">
        <v>2</v>
      </c>
      <c r="PR142">
        <v>2</v>
      </c>
      <c r="PS142">
        <v>2</v>
      </c>
      <c r="PT142">
        <v>2</v>
      </c>
      <c r="PU142">
        <v>2</v>
      </c>
      <c r="PV142">
        <v>2</v>
      </c>
      <c r="PW142">
        <v>2</v>
      </c>
      <c r="PX142">
        <v>2</v>
      </c>
      <c r="PY142">
        <v>2</v>
      </c>
      <c r="PZ142">
        <v>2</v>
      </c>
      <c r="QA142">
        <v>2</v>
      </c>
      <c r="QB142">
        <v>2</v>
      </c>
      <c r="QC142">
        <v>2</v>
      </c>
      <c r="QD142">
        <v>2</v>
      </c>
      <c r="QE142">
        <v>2</v>
      </c>
      <c r="QF142">
        <v>2</v>
      </c>
      <c r="QG142">
        <v>2</v>
      </c>
      <c r="QH142">
        <v>2</v>
      </c>
      <c r="QI142">
        <v>2</v>
      </c>
      <c r="QJ142">
        <v>2</v>
      </c>
      <c r="QK142">
        <v>2</v>
      </c>
      <c r="QL142">
        <v>2</v>
      </c>
      <c r="QM142">
        <v>2</v>
      </c>
      <c r="QN142">
        <v>2</v>
      </c>
      <c r="QO142">
        <v>2</v>
      </c>
      <c r="QP142">
        <v>2</v>
      </c>
      <c r="QQ142">
        <v>2</v>
      </c>
      <c r="QR142">
        <v>2</v>
      </c>
      <c r="QS142">
        <v>2</v>
      </c>
      <c r="QT142">
        <v>2</v>
      </c>
      <c r="QU142">
        <v>2</v>
      </c>
      <c r="QV142">
        <v>2</v>
      </c>
      <c r="QW142">
        <v>2</v>
      </c>
      <c r="QX142">
        <v>2</v>
      </c>
      <c r="QY142">
        <v>2</v>
      </c>
      <c r="QZ142">
        <v>2</v>
      </c>
      <c r="RA142">
        <v>2</v>
      </c>
      <c r="RB142">
        <v>2</v>
      </c>
      <c r="RC142">
        <v>2</v>
      </c>
      <c r="RD142">
        <v>2</v>
      </c>
      <c r="RE142">
        <v>2</v>
      </c>
      <c r="RF142">
        <v>2</v>
      </c>
      <c r="RG142">
        <v>2</v>
      </c>
      <c r="RH142">
        <v>2</v>
      </c>
      <c r="RI142">
        <v>2</v>
      </c>
      <c r="RJ142">
        <v>2</v>
      </c>
      <c r="RK142">
        <v>2</v>
      </c>
      <c r="RL142">
        <v>2</v>
      </c>
      <c r="RM142">
        <v>2</v>
      </c>
      <c r="RN142">
        <v>2</v>
      </c>
      <c r="RO142">
        <v>2</v>
      </c>
      <c r="RP142">
        <v>2</v>
      </c>
      <c r="RQ142">
        <v>2</v>
      </c>
      <c r="RR142">
        <v>2</v>
      </c>
      <c r="RS142">
        <v>2</v>
      </c>
      <c r="RT142">
        <v>2</v>
      </c>
      <c r="RU142">
        <v>2</v>
      </c>
      <c r="RV142">
        <v>2</v>
      </c>
      <c r="RW142">
        <v>2</v>
      </c>
      <c r="RX142">
        <v>2</v>
      </c>
      <c r="RY142">
        <v>2</v>
      </c>
      <c r="RZ142">
        <v>2</v>
      </c>
      <c r="SA142">
        <v>2</v>
      </c>
      <c r="SB142">
        <v>2</v>
      </c>
      <c r="SC142">
        <v>2</v>
      </c>
      <c r="SD142">
        <v>2</v>
      </c>
      <c r="SE142">
        <v>2</v>
      </c>
      <c r="SF142">
        <v>2</v>
      </c>
      <c r="SG142">
        <v>2</v>
      </c>
      <c r="SH142">
        <v>2</v>
      </c>
      <c r="SI142">
        <v>2</v>
      </c>
      <c r="SJ142">
        <v>2</v>
      </c>
      <c r="SK142">
        <v>2</v>
      </c>
      <c r="SL142">
        <v>2</v>
      </c>
      <c r="SM142">
        <v>2</v>
      </c>
      <c r="SN142">
        <v>2</v>
      </c>
      <c r="SO142">
        <v>2</v>
      </c>
      <c r="SP142">
        <v>2</v>
      </c>
      <c r="SQ142">
        <v>2</v>
      </c>
      <c r="SR142">
        <v>2</v>
      </c>
      <c r="SS142">
        <v>2</v>
      </c>
      <c r="ST142">
        <v>2</v>
      </c>
      <c r="SU142">
        <v>2</v>
      </c>
      <c r="SV142">
        <v>2</v>
      </c>
      <c r="SW142">
        <v>2</v>
      </c>
      <c r="SX142">
        <v>2</v>
      </c>
      <c r="SY142">
        <v>2</v>
      </c>
      <c r="SZ142">
        <v>2</v>
      </c>
      <c r="TA142">
        <v>2</v>
      </c>
      <c r="TB142">
        <v>2</v>
      </c>
      <c r="TC142">
        <v>2</v>
      </c>
      <c r="TD142">
        <v>2</v>
      </c>
      <c r="TE142">
        <v>2</v>
      </c>
      <c r="TF142">
        <v>2</v>
      </c>
      <c r="TG142">
        <v>2</v>
      </c>
      <c r="TH142">
        <v>2</v>
      </c>
      <c r="TI142">
        <v>2</v>
      </c>
      <c r="TJ142">
        <v>2</v>
      </c>
      <c r="TK142">
        <v>2</v>
      </c>
      <c r="TL142">
        <v>2</v>
      </c>
      <c r="TM142">
        <v>2</v>
      </c>
      <c r="TN142">
        <v>2</v>
      </c>
      <c r="TO142">
        <v>2</v>
      </c>
      <c r="TP142">
        <v>2</v>
      </c>
      <c r="TQ142">
        <v>2</v>
      </c>
      <c r="TR142">
        <v>2</v>
      </c>
      <c r="TS142">
        <v>2</v>
      </c>
      <c r="TT142">
        <v>2</v>
      </c>
      <c r="TU142">
        <v>2</v>
      </c>
      <c r="TV142">
        <v>2</v>
      </c>
      <c r="TW142">
        <v>2</v>
      </c>
      <c r="TX142">
        <v>2</v>
      </c>
      <c r="TY142">
        <v>2</v>
      </c>
      <c r="TZ142">
        <v>2</v>
      </c>
      <c r="UA142">
        <v>2</v>
      </c>
      <c r="UB142">
        <v>2</v>
      </c>
      <c r="UC142">
        <v>2</v>
      </c>
      <c r="UD142">
        <v>2</v>
      </c>
      <c r="UE142">
        <v>2</v>
      </c>
      <c r="UF142">
        <v>2</v>
      </c>
      <c r="UG142">
        <v>2</v>
      </c>
      <c r="UH142">
        <v>2</v>
      </c>
      <c r="UI142">
        <v>2</v>
      </c>
      <c r="UJ142">
        <v>2</v>
      </c>
      <c r="UK142">
        <v>2</v>
      </c>
      <c r="UL142">
        <v>2</v>
      </c>
      <c r="UM142">
        <v>2</v>
      </c>
      <c r="UN142">
        <v>2</v>
      </c>
      <c r="UO142">
        <v>2</v>
      </c>
      <c r="UP142">
        <v>2</v>
      </c>
      <c r="UQ142">
        <v>2</v>
      </c>
      <c r="UR142">
        <v>2</v>
      </c>
      <c r="US142">
        <v>2</v>
      </c>
      <c r="UT142">
        <v>2</v>
      </c>
      <c r="UU142">
        <v>2</v>
      </c>
      <c r="UV142">
        <v>2</v>
      </c>
      <c r="UW142">
        <v>2</v>
      </c>
      <c r="UX142">
        <v>2</v>
      </c>
      <c r="UY142">
        <v>2</v>
      </c>
      <c r="UZ142">
        <v>2</v>
      </c>
      <c r="VA142">
        <v>2</v>
      </c>
      <c r="VB142">
        <v>2</v>
      </c>
      <c r="VC142">
        <v>2</v>
      </c>
      <c r="VD142">
        <v>2</v>
      </c>
      <c r="VE142">
        <v>2</v>
      </c>
      <c r="VF142">
        <v>2</v>
      </c>
      <c r="VG142">
        <v>2</v>
      </c>
      <c r="VH142">
        <v>2</v>
      </c>
      <c r="VI142">
        <v>2</v>
      </c>
      <c r="VJ142">
        <v>2</v>
      </c>
      <c r="VK142">
        <v>2</v>
      </c>
      <c r="VL142">
        <v>2</v>
      </c>
      <c r="VM142">
        <v>2</v>
      </c>
      <c r="VN142">
        <v>2</v>
      </c>
      <c r="VO142">
        <v>2</v>
      </c>
      <c r="VP142">
        <v>2</v>
      </c>
      <c r="VQ142">
        <v>2</v>
      </c>
      <c r="VR142">
        <v>2</v>
      </c>
      <c r="VS142">
        <v>2</v>
      </c>
      <c r="VT142">
        <v>2</v>
      </c>
      <c r="VU142">
        <v>2</v>
      </c>
      <c r="VV142">
        <v>2</v>
      </c>
      <c r="VW142">
        <v>2</v>
      </c>
      <c r="VX142">
        <v>2</v>
      </c>
      <c r="VY142">
        <v>2</v>
      </c>
      <c r="VZ142">
        <v>2</v>
      </c>
      <c r="WA142">
        <v>2</v>
      </c>
      <c r="WB142">
        <v>2</v>
      </c>
      <c r="WC142">
        <v>2</v>
      </c>
      <c r="WD142">
        <v>2</v>
      </c>
      <c r="WE142">
        <v>2</v>
      </c>
      <c r="WF142">
        <v>2</v>
      </c>
      <c r="WG142">
        <v>2</v>
      </c>
      <c r="WH142">
        <v>2</v>
      </c>
      <c r="WI142">
        <v>2</v>
      </c>
      <c r="WJ142">
        <v>2</v>
      </c>
      <c r="WK142">
        <v>2</v>
      </c>
      <c r="WL142">
        <v>2</v>
      </c>
      <c r="WM142">
        <v>2</v>
      </c>
      <c r="WN142">
        <v>2</v>
      </c>
      <c r="WO142">
        <v>2</v>
      </c>
      <c r="WP142">
        <v>2</v>
      </c>
      <c r="WQ142">
        <v>2</v>
      </c>
      <c r="WR142">
        <v>2</v>
      </c>
      <c r="WS142">
        <v>2</v>
      </c>
      <c r="WT142">
        <v>2</v>
      </c>
      <c r="WU142">
        <v>2</v>
      </c>
      <c r="WV142">
        <v>2</v>
      </c>
      <c r="WW142">
        <v>2</v>
      </c>
      <c r="WX142">
        <v>2</v>
      </c>
      <c r="WY142">
        <v>2</v>
      </c>
      <c r="WZ142">
        <v>2</v>
      </c>
      <c r="XA142">
        <v>2</v>
      </c>
      <c r="XB142">
        <v>2</v>
      </c>
      <c r="XC142">
        <v>2</v>
      </c>
      <c r="XD142">
        <v>2</v>
      </c>
      <c r="XE142">
        <v>2</v>
      </c>
      <c r="XF142">
        <v>2</v>
      </c>
      <c r="XG142">
        <v>2</v>
      </c>
      <c r="XH142">
        <v>2</v>
      </c>
      <c r="XI142">
        <v>2</v>
      </c>
      <c r="XJ142">
        <v>2</v>
      </c>
      <c r="XK142">
        <v>2</v>
      </c>
      <c r="XL142">
        <v>2</v>
      </c>
      <c r="XM142">
        <v>2</v>
      </c>
      <c r="XN142">
        <v>2</v>
      </c>
      <c r="XO142">
        <v>2</v>
      </c>
      <c r="XP142">
        <v>2</v>
      </c>
      <c r="XQ142">
        <v>2</v>
      </c>
      <c r="XR142">
        <v>2</v>
      </c>
      <c r="XS142">
        <v>2</v>
      </c>
      <c r="XT142">
        <v>2</v>
      </c>
      <c r="XU142">
        <v>2</v>
      </c>
      <c r="XV142">
        <v>2</v>
      </c>
      <c r="XW142">
        <v>2</v>
      </c>
      <c r="XX142">
        <v>2</v>
      </c>
      <c r="XY142">
        <v>2</v>
      </c>
      <c r="XZ142">
        <v>2</v>
      </c>
      <c r="YA142">
        <v>2</v>
      </c>
      <c r="YB142">
        <v>2</v>
      </c>
      <c r="YC142">
        <v>2</v>
      </c>
      <c r="YD142">
        <v>2</v>
      </c>
      <c r="YE142">
        <v>2</v>
      </c>
      <c r="YF142">
        <v>2</v>
      </c>
      <c r="YG142">
        <v>2</v>
      </c>
      <c r="YH142">
        <v>2</v>
      </c>
      <c r="YI142">
        <v>2</v>
      </c>
      <c r="YJ142">
        <v>2</v>
      </c>
      <c r="YK142">
        <v>2</v>
      </c>
      <c r="YL142">
        <v>2</v>
      </c>
      <c r="YM142">
        <v>2</v>
      </c>
      <c r="YN142">
        <v>2</v>
      </c>
      <c r="YO142">
        <v>2</v>
      </c>
      <c r="YP142">
        <v>2</v>
      </c>
      <c r="YQ142">
        <v>2</v>
      </c>
      <c r="YR142">
        <v>2</v>
      </c>
      <c r="YS142">
        <v>2</v>
      </c>
      <c r="YT142">
        <v>2</v>
      </c>
      <c r="YU142">
        <v>2</v>
      </c>
      <c r="YV142">
        <v>2</v>
      </c>
      <c r="YW142">
        <v>2</v>
      </c>
      <c r="YX142">
        <v>2</v>
      </c>
      <c r="YY142">
        <v>2</v>
      </c>
      <c r="YZ142">
        <v>2</v>
      </c>
      <c r="ZA142">
        <v>2</v>
      </c>
      <c r="ZB142">
        <v>2</v>
      </c>
      <c r="ZC142">
        <v>2</v>
      </c>
      <c r="ZD142">
        <v>2</v>
      </c>
      <c r="ZE142">
        <v>2</v>
      </c>
      <c r="ZF142">
        <v>2</v>
      </c>
      <c r="ZG142">
        <v>2</v>
      </c>
      <c r="ZH142">
        <v>2</v>
      </c>
      <c r="ZI142">
        <v>2</v>
      </c>
      <c r="ZJ142">
        <v>2</v>
      </c>
      <c r="ZK142">
        <v>2</v>
      </c>
      <c r="ZL142">
        <v>2</v>
      </c>
      <c r="ZM142">
        <v>2</v>
      </c>
      <c r="ZN142">
        <v>2</v>
      </c>
      <c r="ZO142">
        <v>2</v>
      </c>
      <c r="ZP142">
        <v>2</v>
      </c>
      <c r="ZQ142">
        <v>2</v>
      </c>
      <c r="ZR142">
        <v>2</v>
      </c>
      <c r="ZS142">
        <v>2</v>
      </c>
      <c r="ZT142">
        <v>2</v>
      </c>
      <c r="ZU142">
        <v>2</v>
      </c>
      <c r="ZV142">
        <v>2</v>
      </c>
      <c r="ZW142">
        <v>2</v>
      </c>
      <c r="ZX142">
        <v>2</v>
      </c>
      <c r="ZY142">
        <v>2</v>
      </c>
      <c r="ZZ142">
        <v>2</v>
      </c>
      <c r="AAA142">
        <v>2</v>
      </c>
      <c r="AAB142">
        <v>2</v>
      </c>
      <c r="AAC142">
        <v>2</v>
      </c>
      <c r="AAD142">
        <v>2</v>
      </c>
      <c r="AAE142">
        <v>2</v>
      </c>
      <c r="AAF142">
        <v>2</v>
      </c>
      <c r="AAG142">
        <v>2</v>
      </c>
      <c r="AAH142">
        <v>2</v>
      </c>
      <c r="AAI142">
        <v>2</v>
      </c>
      <c r="AAJ142">
        <v>2</v>
      </c>
      <c r="AAK142">
        <v>2</v>
      </c>
      <c r="AAL142">
        <v>2</v>
      </c>
      <c r="AAM142">
        <v>2</v>
      </c>
      <c r="AAN142">
        <v>2</v>
      </c>
      <c r="AAO142">
        <v>2</v>
      </c>
      <c r="AAP142">
        <v>2</v>
      </c>
      <c r="AAQ142">
        <v>2</v>
      </c>
      <c r="AAR142">
        <v>2</v>
      </c>
      <c r="AAS142">
        <v>2</v>
      </c>
      <c r="AAT142">
        <v>2</v>
      </c>
      <c r="AAU142">
        <v>2</v>
      </c>
      <c r="AAV142">
        <v>2</v>
      </c>
      <c r="AAW142">
        <v>2</v>
      </c>
      <c r="AAX142">
        <v>2</v>
      </c>
      <c r="AAY142">
        <v>2</v>
      </c>
      <c r="AAZ142">
        <v>2</v>
      </c>
      <c r="ABA142">
        <v>2</v>
      </c>
      <c r="ABB142">
        <v>2</v>
      </c>
      <c r="ABC142">
        <v>2</v>
      </c>
      <c r="ABD142">
        <v>2</v>
      </c>
      <c r="ABE142">
        <v>2</v>
      </c>
      <c r="ABG142" s="1137">
        <f t="shared" si="37"/>
        <v>0</v>
      </c>
      <c r="ABH142" s="1137">
        <f t="shared" si="37"/>
        <v>0</v>
      </c>
      <c r="ABI142" s="1137">
        <f t="shared" si="37"/>
        <v>27</v>
      </c>
      <c r="ABJ142" s="1137">
        <f t="shared" si="37"/>
        <v>30</v>
      </c>
      <c r="ABK142" s="1137">
        <f t="shared" si="37"/>
        <v>31</v>
      </c>
      <c r="ABL142" s="1137">
        <f t="shared" si="37"/>
        <v>30</v>
      </c>
      <c r="ABM142" s="1137">
        <f t="shared" si="37"/>
        <v>31</v>
      </c>
      <c r="ABN142" s="1137">
        <f t="shared" si="37"/>
        <v>31</v>
      </c>
      <c r="ABO142" s="1137">
        <f t="shared" si="37"/>
        <v>30</v>
      </c>
      <c r="ABP142" s="1137">
        <f t="shared" si="37"/>
        <v>31</v>
      </c>
      <c r="ABQ142" s="1137">
        <f t="shared" si="37"/>
        <v>30</v>
      </c>
      <c r="ABR142" s="1137">
        <f t="shared" si="37"/>
        <v>31</v>
      </c>
      <c r="ABS142" s="1137">
        <f t="shared" si="37"/>
        <v>31</v>
      </c>
      <c r="ABT142" s="1137">
        <f t="shared" si="37"/>
        <v>28</v>
      </c>
      <c r="ABU142" s="1137">
        <f t="shared" si="37"/>
        <v>31</v>
      </c>
      <c r="ABV142" s="1137">
        <f t="shared" si="37"/>
        <v>30</v>
      </c>
      <c r="ABW142" s="1137">
        <f t="shared" si="31"/>
        <v>31</v>
      </c>
      <c r="ABX142" s="1137">
        <f t="shared" si="34"/>
        <v>30</v>
      </c>
      <c r="ABY142" s="1137">
        <f t="shared" si="34"/>
        <v>31</v>
      </c>
      <c r="ABZ142" s="1137">
        <f t="shared" si="34"/>
        <v>31</v>
      </c>
      <c r="ACA142" s="1137">
        <f t="shared" si="34"/>
        <v>30</v>
      </c>
      <c r="ACB142" s="1137">
        <f t="shared" si="34"/>
        <v>31</v>
      </c>
      <c r="ACC142" s="1137">
        <f t="shared" si="34"/>
        <v>30</v>
      </c>
      <c r="ACD142" s="1137">
        <f t="shared" si="34"/>
        <v>31</v>
      </c>
      <c r="ACE142" s="1137" t="s">
        <v>67</v>
      </c>
      <c r="ACF142" s="1137">
        <f t="shared" si="33"/>
        <v>0</v>
      </c>
      <c r="ACG142" s="1137">
        <f t="shared" si="33"/>
        <v>0</v>
      </c>
      <c r="ACH142" s="1137">
        <f t="shared" si="33"/>
        <v>1</v>
      </c>
      <c r="ACI142" s="1137">
        <f t="shared" si="33"/>
        <v>1</v>
      </c>
      <c r="ACJ142" s="1137">
        <f t="shared" si="33"/>
        <v>1</v>
      </c>
      <c r="ACK142" s="1137">
        <f t="shared" si="33"/>
        <v>1</v>
      </c>
      <c r="ACL142" s="1137">
        <f t="shared" si="33"/>
        <v>1</v>
      </c>
      <c r="ACM142" s="1137">
        <f t="shared" si="33"/>
        <v>1</v>
      </c>
      <c r="ACN142" s="1137">
        <f t="shared" si="33"/>
        <v>1</v>
      </c>
      <c r="ACO142" s="1137">
        <f t="shared" si="33"/>
        <v>1</v>
      </c>
      <c r="ACP142" s="1137">
        <f t="shared" si="33"/>
        <v>1</v>
      </c>
      <c r="ACQ142" s="1137">
        <f t="shared" si="32"/>
        <v>1</v>
      </c>
      <c r="ACR142" s="1137">
        <f t="shared" si="32"/>
        <v>1</v>
      </c>
      <c r="ACS142" s="1137">
        <f t="shared" si="32"/>
        <v>1</v>
      </c>
      <c r="ACT142" s="1137">
        <f t="shared" si="32"/>
        <v>1</v>
      </c>
      <c r="ACU142" s="1137">
        <f t="shared" si="32"/>
        <v>1</v>
      </c>
      <c r="ACV142" s="1137">
        <f t="shared" si="32"/>
        <v>1</v>
      </c>
      <c r="ACW142" s="1137">
        <f t="shared" si="32"/>
        <v>1</v>
      </c>
      <c r="ACX142" s="1137">
        <f t="shared" si="32"/>
        <v>1</v>
      </c>
      <c r="ACY142" s="1137">
        <f t="shared" si="32"/>
        <v>1</v>
      </c>
      <c r="ACZ142" s="1137">
        <f t="shared" si="32"/>
        <v>1</v>
      </c>
      <c r="ADA142" s="1137">
        <f t="shared" si="35"/>
        <v>1</v>
      </c>
      <c r="ADB142" s="1137">
        <f t="shared" si="35"/>
        <v>1</v>
      </c>
      <c r="ADC142" s="1137">
        <f t="shared" si="35"/>
        <v>1</v>
      </c>
    </row>
    <row r="143" spans="1:783" x14ac:dyDescent="0.25">
      <c r="A143" t="s">
        <v>1942</v>
      </c>
      <c r="B143" t="s">
        <v>239</v>
      </c>
      <c r="C143">
        <v>0</v>
      </c>
      <c r="D143">
        <v>0</v>
      </c>
      <c r="E143">
        <v>0</v>
      </c>
      <c r="F143">
        <v>0</v>
      </c>
      <c r="G143">
        <v>0</v>
      </c>
      <c r="H143">
        <v>0</v>
      </c>
      <c r="I143">
        <v>0</v>
      </c>
      <c r="J143">
        <v>0</v>
      </c>
      <c r="K143">
        <v>0</v>
      </c>
      <c r="L143">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0</v>
      </c>
      <c r="AI143">
        <v>0</v>
      </c>
      <c r="AJ143">
        <v>0</v>
      </c>
      <c r="AK143">
        <v>0</v>
      </c>
      <c r="AL143">
        <v>0</v>
      </c>
      <c r="AM143">
        <v>0</v>
      </c>
      <c r="AN143">
        <v>0</v>
      </c>
      <c r="AO143">
        <v>0</v>
      </c>
      <c r="AP143">
        <v>0</v>
      </c>
      <c r="AQ143">
        <v>0</v>
      </c>
      <c r="AR143">
        <v>0</v>
      </c>
      <c r="AS143">
        <v>0</v>
      </c>
      <c r="AT143">
        <v>0</v>
      </c>
      <c r="AU143">
        <v>0</v>
      </c>
      <c r="AV143">
        <v>0</v>
      </c>
      <c r="AW143">
        <v>0</v>
      </c>
      <c r="AX143">
        <v>0</v>
      </c>
      <c r="AY143">
        <v>0</v>
      </c>
      <c r="AZ143">
        <v>0</v>
      </c>
      <c r="BA143">
        <v>0</v>
      </c>
      <c r="BB143">
        <v>0</v>
      </c>
      <c r="BC143">
        <v>0</v>
      </c>
      <c r="BD143">
        <v>0</v>
      </c>
      <c r="BE143">
        <v>0</v>
      </c>
      <c r="BF143">
        <v>0</v>
      </c>
      <c r="BG143">
        <v>0</v>
      </c>
      <c r="BH143">
        <v>0</v>
      </c>
      <c r="BI143">
        <v>0</v>
      </c>
      <c r="BJ143">
        <v>0</v>
      </c>
      <c r="BK143">
        <v>0</v>
      </c>
      <c r="BL143">
        <v>0</v>
      </c>
      <c r="BM143">
        <v>0</v>
      </c>
      <c r="BN143">
        <v>0</v>
      </c>
      <c r="BO143">
        <v>0</v>
      </c>
      <c r="BP143">
        <v>0</v>
      </c>
      <c r="BQ143">
        <v>0</v>
      </c>
      <c r="BR143">
        <v>0</v>
      </c>
      <c r="BS143">
        <v>0</v>
      </c>
      <c r="BT143">
        <v>0</v>
      </c>
      <c r="BU143">
        <v>0</v>
      </c>
      <c r="BV143">
        <v>0</v>
      </c>
      <c r="BW143">
        <v>0</v>
      </c>
      <c r="BX143">
        <v>0</v>
      </c>
      <c r="BY143">
        <v>0</v>
      </c>
      <c r="BZ143">
        <v>0</v>
      </c>
      <c r="CA143">
        <v>2</v>
      </c>
      <c r="CB143">
        <v>2</v>
      </c>
      <c r="CC143">
        <v>2</v>
      </c>
      <c r="CD143">
        <v>2</v>
      </c>
      <c r="CE143">
        <v>2</v>
      </c>
      <c r="CF143">
        <v>2</v>
      </c>
      <c r="CG143">
        <v>2</v>
      </c>
      <c r="CH143">
        <v>2</v>
      </c>
      <c r="CI143">
        <v>2</v>
      </c>
      <c r="CJ143">
        <v>2</v>
      </c>
      <c r="CK143">
        <v>2</v>
      </c>
      <c r="CL143">
        <v>2</v>
      </c>
      <c r="CM143">
        <v>2</v>
      </c>
      <c r="CN143">
        <v>2</v>
      </c>
      <c r="CO143">
        <v>2</v>
      </c>
      <c r="CP143">
        <v>2</v>
      </c>
      <c r="CQ143">
        <v>2</v>
      </c>
      <c r="CR143">
        <v>2</v>
      </c>
      <c r="CS143">
        <v>2</v>
      </c>
      <c r="CT143">
        <v>2</v>
      </c>
      <c r="CU143">
        <v>2</v>
      </c>
      <c r="CV143">
        <v>2</v>
      </c>
      <c r="CW143">
        <v>2</v>
      </c>
      <c r="CX143">
        <v>2</v>
      </c>
      <c r="CY143">
        <v>2</v>
      </c>
      <c r="CZ143">
        <v>2</v>
      </c>
      <c r="DA143">
        <v>2</v>
      </c>
      <c r="DB143">
        <v>2</v>
      </c>
      <c r="DC143">
        <v>2</v>
      </c>
      <c r="DD143">
        <v>2</v>
      </c>
      <c r="DE143">
        <v>2</v>
      </c>
      <c r="DF143">
        <v>2</v>
      </c>
      <c r="DG143">
        <v>2</v>
      </c>
      <c r="DH143">
        <v>2</v>
      </c>
      <c r="DI143">
        <v>2</v>
      </c>
      <c r="DJ143">
        <v>2</v>
      </c>
      <c r="DK143">
        <v>1</v>
      </c>
      <c r="DL143">
        <v>1</v>
      </c>
      <c r="DM143">
        <v>1</v>
      </c>
      <c r="DN143">
        <v>1</v>
      </c>
      <c r="DO143">
        <v>1</v>
      </c>
      <c r="DP143">
        <v>1</v>
      </c>
      <c r="DQ143">
        <v>1</v>
      </c>
      <c r="DR143">
        <v>1</v>
      </c>
      <c r="DS143">
        <v>1</v>
      </c>
      <c r="DT143">
        <v>1</v>
      </c>
      <c r="DU143">
        <v>1</v>
      </c>
      <c r="DV143">
        <v>1</v>
      </c>
      <c r="DW143">
        <v>1</v>
      </c>
      <c r="DX143">
        <v>1</v>
      </c>
      <c r="DY143">
        <v>1</v>
      </c>
      <c r="DZ143">
        <v>1</v>
      </c>
      <c r="EA143">
        <v>1</v>
      </c>
      <c r="EB143">
        <v>1</v>
      </c>
      <c r="EC143">
        <v>1</v>
      </c>
      <c r="ED143">
        <v>1</v>
      </c>
      <c r="EE143">
        <v>1</v>
      </c>
      <c r="EF143">
        <v>1</v>
      </c>
      <c r="EG143">
        <v>1</v>
      </c>
      <c r="EH143">
        <v>1</v>
      </c>
      <c r="EI143">
        <v>1</v>
      </c>
      <c r="EJ143">
        <v>1</v>
      </c>
      <c r="EK143">
        <v>1</v>
      </c>
      <c r="EL143">
        <v>1</v>
      </c>
      <c r="EM143">
        <v>1</v>
      </c>
      <c r="EN143">
        <v>1</v>
      </c>
      <c r="EO143">
        <v>1</v>
      </c>
      <c r="EP143">
        <v>1</v>
      </c>
      <c r="EQ143">
        <v>1</v>
      </c>
      <c r="ER143">
        <v>1</v>
      </c>
      <c r="ES143">
        <v>1</v>
      </c>
      <c r="ET143">
        <v>1</v>
      </c>
      <c r="EU143">
        <v>1</v>
      </c>
      <c r="EV143">
        <v>1</v>
      </c>
      <c r="EW143">
        <v>1</v>
      </c>
      <c r="EX143">
        <v>1</v>
      </c>
      <c r="EY143">
        <v>1</v>
      </c>
      <c r="EZ143">
        <v>1</v>
      </c>
      <c r="FA143">
        <v>1</v>
      </c>
      <c r="FB143">
        <v>1</v>
      </c>
      <c r="FC143">
        <v>1</v>
      </c>
      <c r="FD143">
        <v>1</v>
      </c>
      <c r="FE143">
        <v>1</v>
      </c>
      <c r="FF143">
        <v>1</v>
      </c>
      <c r="FG143">
        <v>1</v>
      </c>
      <c r="FH143">
        <v>1</v>
      </c>
      <c r="FI143">
        <v>1</v>
      </c>
      <c r="FJ143">
        <v>1</v>
      </c>
      <c r="FK143">
        <v>1</v>
      </c>
      <c r="FL143">
        <v>1</v>
      </c>
      <c r="FM143">
        <v>1</v>
      </c>
      <c r="FN143">
        <v>1</v>
      </c>
      <c r="FO143">
        <v>1</v>
      </c>
      <c r="FP143">
        <v>1</v>
      </c>
      <c r="FQ143">
        <v>1</v>
      </c>
      <c r="FR143">
        <v>1</v>
      </c>
      <c r="FS143">
        <v>1</v>
      </c>
      <c r="FT143">
        <v>1</v>
      </c>
      <c r="FU143">
        <v>1</v>
      </c>
      <c r="FV143">
        <v>1</v>
      </c>
      <c r="FW143">
        <v>1</v>
      </c>
      <c r="FX143">
        <v>1</v>
      </c>
      <c r="FY143">
        <v>1</v>
      </c>
      <c r="FZ143">
        <v>1</v>
      </c>
      <c r="GA143">
        <v>1</v>
      </c>
      <c r="GB143">
        <v>1</v>
      </c>
      <c r="GC143">
        <v>1</v>
      </c>
      <c r="GD143">
        <v>1</v>
      </c>
      <c r="GE143">
        <v>1</v>
      </c>
      <c r="GF143">
        <v>1</v>
      </c>
      <c r="GG143">
        <v>1</v>
      </c>
      <c r="GH143">
        <v>1</v>
      </c>
      <c r="GI143">
        <v>1</v>
      </c>
      <c r="GJ143">
        <v>1</v>
      </c>
      <c r="GK143">
        <v>1</v>
      </c>
      <c r="GL143">
        <v>1</v>
      </c>
      <c r="GM143">
        <v>1</v>
      </c>
      <c r="GN143">
        <v>1</v>
      </c>
      <c r="GO143">
        <v>1</v>
      </c>
      <c r="GP143">
        <v>1</v>
      </c>
      <c r="GQ143">
        <v>1</v>
      </c>
      <c r="GR143">
        <v>1</v>
      </c>
      <c r="GS143">
        <v>1</v>
      </c>
      <c r="GT143">
        <v>1</v>
      </c>
      <c r="GU143">
        <v>1</v>
      </c>
      <c r="GV143">
        <v>1</v>
      </c>
      <c r="GW143">
        <v>1</v>
      </c>
      <c r="GX143">
        <v>1</v>
      </c>
      <c r="GY143">
        <v>1</v>
      </c>
      <c r="GZ143">
        <v>1</v>
      </c>
      <c r="HA143">
        <v>1</v>
      </c>
      <c r="HB143">
        <v>1</v>
      </c>
      <c r="HC143">
        <v>1</v>
      </c>
      <c r="HD143">
        <v>1</v>
      </c>
      <c r="HE143">
        <v>1</v>
      </c>
      <c r="HF143">
        <v>1</v>
      </c>
      <c r="HG143">
        <v>1</v>
      </c>
      <c r="HH143">
        <v>1</v>
      </c>
      <c r="HI143">
        <v>1</v>
      </c>
      <c r="HJ143">
        <v>1</v>
      </c>
      <c r="HK143">
        <v>1</v>
      </c>
      <c r="HL143">
        <v>1</v>
      </c>
      <c r="HM143">
        <v>1</v>
      </c>
      <c r="HN143">
        <v>1</v>
      </c>
      <c r="HO143">
        <v>1</v>
      </c>
      <c r="HP143">
        <v>1</v>
      </c>
      <c r="HQ143">
        <v>1</v>
      </c>
      <c r="HR143">
        <v>1</v>
      </c>
      <c r="HS143">
        <v>1</v>
      </c>
      <c r="HT143">
        <v>1</v>
      </c>
      <c r="HU143">
        <v>1</v>
      </c>
      <c r="HV143">
        <v>1</v>
      </c>
      <c r="HW143">
        <v>1</v>
      </c>
      <c r="HX143">
        <v>1</v>
      </c>
      <c r="HY143">
        <v>1</v>
      </c>
      <c r="HZ143">
        <v>1</v>
      </c>
      <c r="IA143">
        <v>1</v>
      </c>
      <c r="IB143">
        <v>1</v>
      </c>
      <c r="IC143">
        <v>1</v>
      </c>
      <c r="ID143">
        <v>1</v>
      </c>
      <c r="IE143">
        <v>1</v>
      </c>
      <c r="IF143">
        <v>1</v>
      </c>
      <c r="IG143">
        <v>1</v>
      </c>
      <c r="IH143">
        <v>1</v>
      </c>
      <c r="II143">
        <v>1</v>
      </c>
      <c r="IJ143">
        <v>1</v>
      </c>
      <c r="IK143">
        <v>1</v>
      </c>
      <c r="IL143">
        <v>1</v>
      </c>
      <c r="IM143">
        <v>1</v>
      </c>
      <c r="IN143">
        <v>1</v>
      </c>
      <c r="IO143">
        <v>1</v>
      </c>
      <c r="IP143">
        <v>1</v>
      </c>
      <c r="IQ143">
        <v>1</v>
      </c>
      <c r="IR143">
        <v>1</v>
      </c>
      <c r="IS143">
        <v>1</v>
      </c>
      <c r="IT143">
        <v>1</v>
      </c>
      <c r="IU143">
        <v>1</v>
      </c>
      <c r="IV143">
        <v>1</v>
      </c>
      <c r="IW143">
        <v>1</v>
      </c>
      <c r="IX143">
        <v>1</v>
      </c>
      <c r="IY143">
        <v>1</v>
      </c>
      <c r="IZ143">
        <v>1</v>
      </c>
      <c r="JA143">
        <v>1</v>
      </c>
      <c r="JB143">
        <v>1</v>
      </c>
      <c r="JC143">
        <v>1</v>
      </c>
      <c r="JD143">
        <v>1</v>
      </c>
      <c r="JE143">
        <v>1</v>
      </c>
      <c r="JF143">
        <v>1</v>
      </c>
      <c r="JG143">
        <v>1</v>
      </c>
      <c r="JH143">
        <v>1</v>
      </c>
      <c r="JI143">
        <v>1</v>
      </c>
      <c r="JJ143">
        <v>1</v>
      </c>
      <c r="JK143">
        <v>1</v>
      </c>
      <c r="JL143">
        <v>1</v>
      </c>
      <c r="JM143">
        <v>1</v>
      </c>
      <c r="JN143">
        <v>1</v>
      </c>
      <c r="JO143">
        <v>1</v>
      </c>
      <c r="JP143">
        <v>1</v>
      </c>
      <c r="JQ143">
        <v>1</v>
      </c>
      <c r="JR143">
        <v>1</v>
      </c>
      <c r="JS143">
        <v>1</v>
      </c>
      <c r="JT143">
        <v>1</v>
      </c>
      <c r="JU143">
        <v>1</v>
      </c>
      <c r="JV143">
        <v>1</v>
      </c>
      <c r="JW143">
        <v>1</v>
      </c>
      <c r="JX143">
        <v>1</v>
      </c>
      <c r="JY143">
        <v>1</v>
      </c>
      <c r="JZ143">
        <v>1</v>
      </c>
      <c r="KA143">
        <v>1</v>
      </c>
      <c r="KB143">
        <v>1</v>
      </c>
      <c r="KC143">
        <v>1</v>
      </c>
      <c r="KD143">
        <v>1</v>
      </c>
      <c r="KE143">
        <v>1</v>
      </c>
      <c r="KF143">
        <v>1</v>
      </c>
      <c r="KG143">
        <v>1</v>
      </c>
      <c r="KH143">
        <v>1</v>
      </c>
      <c r="KI143">
        <v>1</v>
      </c>
      <c r="KJ143">
        <v>1</v>
      </c>
      <c r="KK143">
        <v>1</v>
      </c>
      <c r="KL143">
        <v>1</v>
      </c>
      <c r="KM143">
        <v>1</v>
      </c>
      <c r="KN143">
        <v>1</v>
      </c>
      <c r="KO143">
        <v>1</v>
      </c>
      <c r="KP143">
        <v>1</v>
      </c>
      <c r="KQ143">
        <v>1</v>
      </c>
      <c r="KR143">
        <v>1</v>
      </c>
      <c r="KS143">
        <v>1</v>
      </c>
      <c r="KT143">
        <v>1</v>
      </c>
      <c r="KU143">
        <v>1</v>
      </c>
      <c r="KV143">
        <v>1</v>
      </c>
      <c r="KW143">
        <v>1</v>
      </c>
      <c r="KX143">
        <v>1</v>
      </c>
      <c r="KY143">
        <v>1</v>
      </c>
      <c r="KZ143">
        <v>1</v>
      </c>
      <c r="LA143">
        <v>1</v>
      </c>
      <c r="LB143">
        <v>1</v>
      </c>
      <c r="LC143">
        <v>1</v>
      </c>
      <c r="LD143">
        <v>1</v>
      </c>
      <c r="LE143">
        <v>1</v>
      </c>
      <c r="LF143">
        <v>1</v>
      </c>
      <c r="LG143">
        <v>1</v>
      </c>
      <c r="LH143">
        <v>1</v>
      </c>
      <c r="LI143">
        <v>1</v>
      </c>
      <c r="LJ143">
        <v>1</v>
      </c>
      <c r="LK143">
        <v>1</v>
      </c>
      <c r="LL143">
        <v>1</v>
      </c>
      <c r="LM143">
        <v>1</v>
      </c>
      <c r="LN143">
        <v>1</v>
      </c>
      <c r="LO143">
        <v>1</v>
      </c>
      <c r="LP143">
        <v>1</v>
      </c>
      <c r="LQ143">
        <v>1</v>
      </c>
      <c r="LR143">
        <v>1</v>
      </c>
      <c r="LS143">
        <v>1</v>
      </c>
      <c r="LT143">
        <v>1</v>
      </c>
      <c r="LU143">
        <v>1</v>
      </c>
      <c r="LV143">
        <v>1</v>
      </c>
      <c r="LW143">
        <v>1</v>
      </c>
      <c r="LX143">
        <v>1</v>
      </c>
      <c r="LY143">
        <v>1</v>
      </c>
      <c r="LZ143">
        <v>1</v>
      </c>
      <c r="MA143">
        <v>1</v>
      </c>
      <c r="MB143">
        <v>1</v>
      </c>
      <c r="MC143">
        <v>1</v>
      </c>
      <c r="MD143">
        <v>1</v>
      </c>
      <c r="ME143">
        <v>1</v>
      </c>
      <c r="MF143">
        <v>1</v>
      </c>
      <c r="MG143">
        <v>1</v>
      </c>
      <c r="MH143">
        <v>1</v>
      </c>
      <c r="MI143">
        <v>1</v>
      </c>
      <c r="MJ143">
        <v>1</v>
      </c>
      <c r="MK143">
        <v>1</v>
      </c>
      <c r="ML143">
        <v>1</v>
      </c>
      <c r="MM143">
        <v>1</v>
      </c>
      <c r="MN143">
        <v>1</v>
      </c>
      <c r="MO143">
        <v>1</v>
      </c>
      <c r="MP143">
        <v>1</v>
      </c>
      <c r="MQ143">
        <v>1</v>
      </c>
      <c r="MR143">
        <v>1</v>
      </c>
      <c r="MS143">
        <v>1</v>
      </c>
      <c r="MT143">
        <v>1</v>
      </c>
      <c r="MU143">
        <v>0</v>
      </c>
      <c r="MV143">
        <v>0</v>
      </c>
      <c r="MW143">
        <v>0</v>
      </c>
      <c r="MX143">
        <v>0</v>
      </c>
      <c r="MY143">
        <v>0</v>
      </c>
      <c r="MZ143">
        <v>0</v>
      </c>
      <c r="NA143">
        <v>0</v>
      </c>
      <c r="NB143">
        <v>0</v>
      </c>
      <c r="NC143">
        <v>0</v>
      </c>
      <c r="ND143">
        <v>0</v>
      </c>
      <c r="NE143">
        <v>0</v>
      </c>
      <c r="NF143">
        <v>0</v>
      </c>
      <c r="NG143">
        <v>0</v>
      </c>
      <c r="NH143">
        <v>0</v>
      </c>
      <c r="NI143">
        <v>0</v>
      </c>
      <c r="NJ143">
        <v>0</v>
      </c>
      <c r="NK143">
        <v>0</v>
      </c>
      <c r="NL143">
        <v>0</v>
      </c>
      <c r="NM143">
        <v>0</v>
      </c>
      <c r="NN143">
        <v>0</v>
      </c>
      <c r="NO143">
        <v>0</v>
      </c>
      <c r="NP143">
        <v>0</v>
      </c>
      <c r="NQ143">
        <v>0</v>
      </c>
      <c r="NR143">
        <v>0</v>
      </c>
      <c r="NS143">
        <v>0</v>
      </c>
      <c r="NT143">
        <v>0</v>
      </c>
      <c r="NU143">
        <v>0</v>
      </c>
      <c r="NV143">
        <v>0</v>
      </c>
      <c r="NW143">
        <v>0</v>
      </c>
      <c r="NX143">
        <v>0</v>
      </c>
      <c r="NY143">
        <v>0</v>
      </c>
      <c r="NZ143">
        <v>0</v>
      </c>
      <c r="OA143">
        <v>0</v>
      </c>
      <c r="OB143">
        <v>0</v>
      </c>
      <c r="OC143">
        <v>0</v>
      </c>
      <c r="OD143">
        <v>0</v>
      </c>
      <c r="OE143">
        <v>0</v>
      </c>
      <c r="OF143">
        <v>0</v>
      </c>
      <c r="OG143">
        <v>0</v>
      </c>
      <c r="OH143">
        <v>0</v>
      </c>
      <c r="OI143">
        <v>0</v>
      </c>
      <c r="OJ143">
        <v>0</v>
      </c>
      <c r="OK143">
        <v>0</v>
      </c>
      <c r="OL143">
        <v>0</v>
      </c>
      <c r="OM143">
        <v>0</v>
      </c>
      <c r="ON143">
        <v>0</v>
      </c>
      <c r="OO143">
        <v>0</v>
      </c>
      <c r="OP143">
        <v>0</v>
      </c>
      <c r="OQ143">
        <v>0</v>
      </c>
      <c r="OR143">
        <v>0</v>
      </c>
      <c r="OS143">
        <v>0</v>
      </c>
      <c r="OT143">
        <v>0</v>
      </c>
      <c r="OU143">
        <v>0</v>
      </c>
      <c r="OV143">
        <v>0</v>
      </c>
      <c r="OW143">
        <v>0</v>
      </c>
      <c r="OX143">
        <v>0</v>
      </c>
      <c r="OY143">
        <v>0</v>
      </c>
      <c r="OZ143">
        <v>0</v>
      </c>
      <c r="PA143">
        <v>0</v>
      </c>
      <c r="PB143">
        <v>0</v>
      </c>
      <c r="PC143">
        <v>0</v>
      </c>
      <c r="PD143">
        <v>0</v>
      </c>
      <c r="PE143">
        <v>0</v>
      </c>
      <c r="PF143">
        <v>0</v>
      </c>
      <c r="PG143">
        <v>0</v>
      </c>
      <c r="PH143">
        <v>0</v>
      </c>
      <c r="PI143">
        <v>0</v>
      </c>
      <c r="PJ143">
        <v>0</v>
      </c>
      <c r="PK143">
        <v>0</v>
      </c>
      <c r="PL143">
        <v>0</v>
      </c>
      <c r="PM143">
        <v>0</v>
      </c>
      <c r="PN143">
        <v>0</v>
      </c>
      <c r="PO143">
        <v>0</v>
      </c>
      <c r="PP143">
        <v>0</v>
      </c>
      <c r="PQ143">
        <v>0</v>
      </c>
      <c r="PR143">
        <v>0</v>
      </c>
      <c r="PS143">
        <v>0</v>
      </c>
      <c r="PT143">
        <v>0</v>
      </c>
      <c r="PU143">
        <v>0</v>
      </c>
      <c r="PV143">
        <v>0</v>
      </c>
      <c r="PW143">
        <v>0</v>
      </c>
      <c r="PX143">
        <v>0</v>
      </c>
      <c r="PY143">
        <v>0</v>
      </c>
      <c r="PZ143">
        <v>0</v>
      </c>
      <c r="QA143">
        <v>0</v>
      </c>
      <c r="QB143">
        <v>0</v>
      </c>
      <c r="QC143">
        <v>0</v>
      </c>
      <c r="QD143">
        <v>0</v>
      </c>
      <c r="QE143">
        <v>0</v>
      </c>
      <c r="QF143">
        <v>0</v>
      </c>
      <c r="QG143">
        <v>0</v>
      </c>
      <c r="QH143">
        <v>1</v>
      </c>
      <c r="QI143">
        <v>1</v>
      </c>
      <c r="QJ143">
        <v>1</v>
      </c>
      <c r="QK143">
        <v>1</v>
      </c>
      <c r="QL143">
        <v>1</v>
      </c>
      <c r="QM143">
        <v>1</v>
      </c>
      <c r="QN143">
        <v>1</v>
      </c>
      <c r="QO143">
        <v>1</v>
      </c>
      <c r="QP143">
        <v>1</v>
      </c>
      <c r="QQ143">
        <v>1</v>
      </c>
      <c r="QR143">
        <v>1</v>
      </c>
      <c r="QS143">
        <v>1</v>
      </c>
      <c r="QT143">
        <v>1</v>
      </c>
      <c r="QU143">
        <v>1</v>
      </c>
      <c r="QV143">
        <v>1</v>
      </c>
      <c r="QW143">
        <v>1</v>
      </c>
      <c r="QX143">
        <v>1</v>
      </c>
      <c r="QY143">
        <v>1</v>
      </c>
      <c r="QZ143">
        <v>1</v>
      </c>
      <c r="RA143">
        <v>1</v>
      </c>
      <c r="RB143">
        <v>1</v>
      </c>
      <c r="RC143">
        <v>1</v>
      </c>
      <c r="RD143">
        <v>1</v>
      </c>
      <c r="RE143">
        <v>1</v>
      </c>
      <c r="RF143">
        <v>1</v>
      </c>
      <c r="RG143">
        <v>1</v>
      </c>
      <c r="RH143">
        <v>1</v>
      </c>
      <c r="RI143">
        <v>1</v>
      </c>
      <c r="RJ143">
        <v>1</v>
      </c>
      <c r="RK143">
        <v>1</v>
      </c>
      <c r="RL143">
        <v>0</v>
      </c>
      <c r="RM143">
        <v>0</v>
      </c>
      <c r="RN143">
        <v>0</v>
      </c>
      <c r="RO143">
        <v>0</v>
      </c>
      <c r="RP143">
        <v>0</v>
      </c>
      <c r="RQ143">
        <v>0</v>
      </c>
      <c r="RR143">
        <v>0</v>
      </c>
      <c r="RS143">
        <v>0</v>
      </c>
      <c r="RT143">
        <v>0</v>
      </c>
      <c r="RU143">
        <v>0</v>
      </c>
      <c r="RV143">
        <v>0</v>
      </c>
      <c r="RW143">
        <v>0</v>
      </c>
      <c r="RX143">
        <v>0</v>
      </c>
      <c r="RY143">
        <v>0</v>
      </c>
      <c r="RZ143">
        <v>0</v>
      </c>
      <c r="SA143">
        <v>0</v>
      </c>
      <c r="SB143">
        <v>0</v>
      </c>
      <c r="SC143">
        <v>0</v>
      </c>
      <c r="SD143">
        <v>0</v>
      </c>
      <c r="SE143">
        <v>0</v>
      </c>
      <c r="SF143">
        <v>0</v>
      </c>
      <c r="SG143">
        <v>0</v>
      </c>
      <c r="SH143">
        <v>0</v>
      </c>
      <c r="SI143">
        <v>0</v>
      </c>
      <c r="SJ143">
        <v>0</v>
      </c>
      <c r="SK143">
        <v>0</v>
      </c>
      <c r="SL143">
        <v>0</v>
      </c>
      <c r="SM143">
        <v>1</v>
      </c>
      <c r="SN143">
        <v>1</v>
      </c>
      <c r="SO143">
        <v>1</v>
      </c>
      <c r="SP143">
        <v>1</v>
      </c>
      <c r="SQ143">
        <v>1</v>
      </c>
      <c r="SR143">
        <v>1</v>
      </c>
      <c r="SS143">
        <v>1</v>
      </c>
      <c r="ST143">
        <v>1</v>
      </c>
      <c r="SU143">
        <v>1</v>
      </c>
      <c r="SV143">
        <v>1</v>
      </c>
      <c r="SW143">
        <v>1</v>
      </c>
      <c r="SX143">
        <v>1</v>
      </c>
      <c r="SY143">
        <v>1</v>
      </c>
      <c r="SZ143">
        <v>1</v>
      </c>
      <c r="TA143">
        <v>1</v>
      </c>
      <c r="TB143">
        <v>1</v>
      </c>
      <c r="TC143">
        <v>1</v>
      </c>
      <c r="TD143">
        <v>1</v>
      </c>
      <c r="TE143">
        <v>1</v>
      </c>
      <c r="TF143">
        <v>1</v>
      </c>
      <c r="TG143">
        <v>0</v>
      </c>
      <c r="TH143">
        <v>0</v>
      </c>
      <c r="TI143">
        <v>0</v>
      </c>
      <c r="TJ143">
        <v>0</v>
      </c>
      <c r="TK143">
        <v>0</v>
      </c>
      <c r="TL143">
        <v>0</v>
      </c>
      <c r="TM143">
        <v>0</v>
      </c>
      <c r="TN143">
        <v>0</v>
      </c>
      <c r="TO143">
        <v>0</v>
      </c>
      <c r="TP143">
        <v>0</v>
      </c>
      <c r="TQ143">
        <v>0</v>
      </c>
      <c r="TR143">
        <v>0</v>
      </c>
      <c r="TS143">
        <v>0</v>
      </c>
      <c r="TT143">
        <v>0</v>
      </c>
      <c r="TU143">
        <v>0</v>
      </c>
      <c r="TV143">
        <v>0</v>
      </c>
      <c r="TW143">
        <v>0</v>
      </c>
      <c r="TX143">
        <v>0</v>
      </c>
      <c r="TY143">
        <v>0</v>
      </c>
      <c r="TZ143">
        <v>0</v>
      </c>
      <c r="UA143">
        <v>0</v>
      </c>
      <c r="UB143">
        <v>0</v>
      </c>
      <c r="UC143">
        <v>0</v>
      </c>
      <c r="UD143">
        <v>0</v>
      </c>
      <c r="UE143">
        <v>0</v>
      </c>
      <c r="UF143">
        <v>0</v>
      </c>
      <c r="UG143">
        <v>0</v>
      </c>
      <c r="UH143">
        <v>0</v>
      </c>
      <c r="UI143">
        <v>0</v>
      </c>
      <c r="UJ143">
        <v>0</v>
      </c>
      <c r="UK143">
        <v>0</v>
      </c>
      <c r="UL143">
        <v>0</v>
      </c>
      <c r="UM143">
        <v>0</v>
      </c>
      <c r="UN143">
        <v>0</v>
      </c>
      <c r="UO143">
        <v>0</v>
      </c>
      <c r="UP143">
        <v>0</v>
      </c>
      <c r="UQ143">
        <v>0</v>
      </c>
      <c r="UR143">
        <v>0</v>
      </c>
      <c r="US143">
        <v>0</v>
      </c>
      <c r="UT143">
        <v>0</v>
      </c>
      <c r="UU143">
        <v>0</v>
      </c>
      <c r="UV143">
        <v>0</v>
      </c>
      <c r="UW143">
        <v>0</v>
      </c>
      <c r="UX143">
        <v>0</v>
      </c>
      <c r="UY143">
        <v>0</v>
      </c>
      <c r="UZ143">
        <v>0</v>
      </c>
      <c r="VA143">
        <v>0</v>
      </c>
      <c r="VB143">
        <v>0</v>
      </c>
      <c r="VC143">
        <v>0</v>
      </c>
      <c r="VD143">
        <v>0</v>
      </c>
      <c r="VE143">
        <v>0</v>
      </c>
      <c r="VF143">
        <v>0</v>
      </c>
      <c r="VG143">
        <v>0</v>
      </c>
      <c r="VH143">
        <v>0</v>
      </c>
      <c r="VI143">
        <v>0</v>
      </c>
      <c r="VJ143">
        <v>0</v>
      </c>
      <c r="VK143">
        <v>0</v>
      </c>
      <c r="VL143">
        <v>0</v>
      </c>
      <c r="VM143">
        <v>0</v>
      </c>
      <c r="VN143">
        <v>0</v>
      </c>
      <c r="VO143">
        <v>0</v>
      </c>
      <c r="VP143">
        <v>0</v>
      </c>
      <c r="VQ143">
        <v>0</v>
      </c>
      <c r="VR143">
        <v>0</v>
      </c>
      <c r="VS143">
        <v>0</v>
      </c>
      <c r="VT143">
        <v>0</v>
      </c>
      <c r="VU143">
        <v>0</v>
      </c>
      <c r="VV143">
        <v>0</v>
      </c>
      <c r="VW143">
        <v>0</v>
      </c>
      <c r="VX143">
        <v>0</v>
      </c>
      <c r="VY143">
        <v>0</v>
      </c>
      <c r="VZ143">
        <v>0</v>
      </c>
      <c r="WA143">
        <v>0</v>
      </c>
      <c r="WB143">
        <v>0</v>
      </c>
      <c r="WC143">
        <v>0</v>
      </c>
      <c r="WD143">
        <v>0</v>
      </c>
      <c r="WE143">
        <v>0</v>
      </c>
      <c r="WF143">
        <v>0</v>
      </c>
      <c r="WG143">
        <v>0</v>
      </c>
      <c r="WH143">
        <v>0</v>
      </c>
      <c r="WI143">
        <v>0</v>
      </c>
      <c r="WJ143">
        <v>0</v>
      </c>
      <c r="WK143">
        <v>0</v>
      </c>
      <c r="WL143">
        <v>0</v>
      </c>
      <c r="WM143">
        <v>0</v>
      </c>
      <c r="WN143">
        <v>0</v>
      </c>
      <c r="WO143">
        <v>0</v>
      </c>
      <c r="WP143">
        <v>0</v>
      </c>
      <c r="WQ143">
        <v>0</v>
      </c>
      <c r="WR143">
        <v>0</v>
      </c>
      <c r="WS143">
        <v>0</v>
      </c>
      <c r="WT143">
        <v>0</v>
      </c>
      <c r="WU143">
        <v>0</v>
      </c>
      <c r="WV143">
        <v>0</v>
      </c>
      <c r="WW143">
        <v>1</v>
      </c>
      <c r="WX143">
        <v>1</v>
      </c>
      <c r="WY143">
        <v>1</v>
      </c>
      <c r="WZ143">
        <v>1</v>
      </c>
      <c r="XA143">
        <v>1</v>
      </c>
      <c r="XB143">
        <v>1</v>
      </c>
      <c r="XC143">
        <v>1</v>
      </c>
      <c r="XD143">
        <v>1</v>
      </c>
      <c r="XE143">
        <v>1</v>
      </c>
      <c r="XF143">
        <v>1</v>
      </c>
      <c r="XG143">
        <v>1</v>
      </c>
      <c r="XH143">
        <v>1</v>
      </c>
      <c r="XI143">
        <v>1</v>
      </c>
      <c r="XJ143">
        <v>1</v>
      </c>
      <c r="XK143">
        <v>1</v>
      </c>
      <c r="XL143">
        <v>1</v>
      </c>
      <c r="XM143">
        <v>1</v>
      </c>
      <c r="XN143">
        <v>1</v>
      </c>
      <c r="XO143">
        <v>1</v>
      </c>
      <c r="XP143">
        <v>1</v>
      </c>
      <c r="XQ143">
        <v>1</v>
      </c>
      <c r="XR143">
        <v>1</v>
      </c>
      <c r="XS143">
        <v>1</v>
      </c>
      <c r="XT143">
        <v>1</v>
      </c>
      <c r="XU143">
        <v>1</v>
      </c>
      <c r="XV143">
        <v>1</v>
      </c>
      <c r="XW143">
        <v>1</v>
      </c>
      <c r="XX143">
        <v>1</v>
      </c>
      <c r="XY143">
        <v>1</v>
      </c>
      <c r="XZ143">
        <v>1</v>
      </c>
      <c r="YA143">
        <v>1</v>
      </c>
      <c r="YB143">
        <v>1</v>
      </c>
      <c r="YC143">
        <v>1</v>
      </c>
      <c r="YD143">
        <v>1</v>
      </c>
      <c r="YE143">
        <v>1</v>
      </c>
      <c r="YF143">
        <v>1</v>
      </c>
      <c r="YG143">
        <v>1</v>
      </c>
      <c r="YH143">
        <v>1</v>
      </c>
      <c r="YI143">
        <v>1</v>
      </c>
      <c r="YJ143">
        <v>1</v>
      </c>
      <c r="YK143">
        <v>1</v>
      </c>
      <c r="YL143">
        <v>1</v>
      </c>
      <c r="YM143">
        <v>1</v>
      </c>
      <c r="YN143">
        <v>1</v>
      </c>
      <c r="YO143">
        <v>1</v>
      </c>
      <c r="YP143">
        <v>1</v>
      </c>
      <c r="YQ143">
        <v>1</v>
      </c>
      <c r="YR143">
        <v>1</v>
      </c>
      <c r="YS143">
        <v>1</v>
      </c>
      <c r="YT143">
        <v>1</v>
      </c>
      <c r="YU143">
        <v>1</v>
      </c>
      <c r="YV143">
        <v>1</v>
      </c>
      <c r="YW143">
        <v>1</v>
      </c>
      <c r="YX143">
        <v>1</v>
      </c>
      <c r="YY143">
        <v>1</v>
      </c>
      <c r="YZ143">
        <v>1</v>
      </c>
      <c r="ZA143">
        <v>1</v>
      </c>
      <c r="ZB143">
        <v>1</v>
      </c>
      <c r="ZC143">
        <v>1</v>
      </c>
      <c r="ZD143">
        <v>1</v>
      </c>
      <c r="ZE143">
        <v>1</v>
      </c>
      <c r="ZF143">
        <v>1</v>
      </c>
      <c r="ZG143">
        <v>1</v>
      </c>
      <c r="ZH143">
        <v>1</v>
      </c>
      <c r="ZI143">
        <v>1</v>
      </c>
      <c r="ZJ143">
        <v>1</v>
      </c>
      <c r="ZK143">
        <v>1</v>
      </c>
      <c r="ZL143">
        <v>1</v>
      </c>
      <c r="ZM143">
        <v>1</v>
      </c>
      <c r="ZN143">
        <v>1</v>
      </c>
      <c r="ZO143">
        <v>1</v>
      </c>
      <c r="ZP143">
        <v>1</v>
      </c>
      <c r="ZQ143">
        <v>1</v>
      </c>
      <c r="ZR143">
        <v>1</v>
      </c>
      <c r="ZS143">
        <v>1</v>
      </c>
      <c r="ZT143">
        <v>1</v>
      </c>
      <c r="ZU143">
        <v>1</v>
      </c>
      <c r="ZV143">
        <v>1</v>
      </c>
      <c r="ZW143">
        <v>1</v>
      </c>
      <c r="ZX143">
        <v>1</v>
      </c>
      <c r="ZY143">
        <v>1</v>
      </c>
      <c r="ZZ143">
        <v>1</v>
      </c>
      <c r="AAA143">
        <v>1</v>
      </c>
      <c r="AAB143">
        <v>1</v>
      </c>
      <c r="AAC143">
        <v>1</v>
      </c>
      <c r="AAD143">
        <v>1</v>
      </c>
      <c r="AAE143">
        <v>1</v>
      </c>
      <c r="AAF143">
        <v>1</v>
      </c>
      <c r="AAG143">
        <v>1</v>
      </c>
      <c r="AAH143">
        <v>1</v>
      </c>
      <c r="AAI143">
        <v>1</v>
      </c>
      <c r="AAJ143">
        <v>1</v>
      </c>
      <c r="AAK143">
        <v>1</v>
      </c>
      <c r="AAL143">
        <v>1</v>
      </c>
      <c r="AAM143">
        <v>1</v>
      </c>
      <c r="AAN143">
        <v>1</v>
      </c>
      <c r="AAO143">
        <v>1</v>
      </c>
      <c r="AAP143">
        <v>1</v>
      </c>
      <c r="AAQ143">
        <v>1</v>
      </c>
      <c r="AAR143">
        <v>1</v>
      </c>
      <c r="AAS143">
        <v>1</v>
      </c>
      <c r="AAT143">
        <v>1</v>
      </c>
      <c r="AAU143">
        <v>1</v>
      </c>
      <c r="AAV143">
        <v>0</v>
      </c>
      <c r="AAW143">
        <v>0</v>
      </c>
      <c r="AAX143">
        <v>0</v>
      </c>
      <c r="AAY143">
        <v>0</v>
      </c>
      <c r="AAZ143">
        <v>0</v>
      </c>
      <c r="ABA143">
        <v>0</v>
      </c>
      <c r="ABB143">
        <v>0</v>
      </c>
      <c r="ABC143">
        <v>0</v>
      </c>
      <c r="ABD143">
        <v>0</v>
      </c>
      <c r="ABE143">
        <v>0</v>
      </c>
      <c r="ABG143" s="1137">
        <f t="shared" si="37"/>
        <v>0</v>
      </c>
      <c r="ABH143" s="1137">
        <f t="shared" si="37"/>
        <v>0</v>
      </c>
      <c r="ABI143" s="1137">
        <f t="shared" si="37"/>
        <v>15</v>
      </c>
      <c r="ABJ143" s="1137">
        <f t="shared" si="37"/>
        <v>30</v>
      </c>
      <c r="ABK143" s="1137">
        <f t="shared" si="37"/>
        <v>31</v>
      </c>
      <c r="ABL143" s="1137">
        <f t="shared" si="37"/>
        <v>30</v>
      </c>
      <c r="ABM143" s="1137">
        <f t="shared" si="37"/>
        <v>31</v>
      </c>
      <c r="ABN143" s="1137">
        <f t="shared" si="37"/>
        <v>31</v>
      </c>
      <c r="ABO143" s="1137">
        <f t="shared" si="37"/>
        <v>30</v>
      </c>
      <c r="ABP143" s="1137">
        <f t="shared" si="37"/>
        <v>31</v>
      </c>
      <c r="ABQ143" s="1137">
        <f t="shared" si="37"/>
        <v>30</v>
      </c>
      <c r="ABR143" s="1137">
        <f t="shared" si="37"/>
        <v>21</v>
      </c>
      <c r="ABS143" s="1137">
        <f t="shared" si="37"/>
        <v>0</v>
      </c>
      <c r="ABT143" s="1137">
        <f t="shared" si="37"/>
        <v>0</v>
      </c>
      <c r="ABU143" s="1137">
        <f t="shared" si="37"/>
        <v>9</v>
      </c>
      <c r="ABV143" s="1137">
        <f t="shared" si="37"/>
        <v>21</v>
      </c>
      <c r="ABW143" s="1137">
        <f t="shared" si="31"/>
        <v>13</v>
      </c>
      <c r="ABX143" s="1137">
        <f t="shared" si="34"/>
        <v>7</v>
      </c>
      <c r="ABY143" s="1137">
        <f t="shared" si="34"/>
        <v>0</v>
      </c>
      <c r="ABZ143" s="1137">
        <f t="shared" si="34"/>
        <v>0</v>
      </c>
      <c r="ACA143" s="1137">
        <f t="shared" si="34"/>
        <v>21</v>
      </c>
      <c r="ACB143" s="1137">
        <f t="shared" si="34"/>
        <v>31</v>
      </c>
      <c r="ACC143" s="1137">
        <f t="shared" si="34"/>
        <v>30</v>
      </c>
      <c r="ACD143" s="1137">
        <f t="shared" si="34"/>
        <v>21</v>
      </c>
      <c r="ACE143" s="1137" t="s">
        <v>239</v>
      </c>
      <c r="ACF143" s="1137">
        <f t="shared" si="33"/>
        <v>0</v>
      </c>
      <c r="ACG143" s="1137">
        <f t="shared" si="33"/>
        <v>0</v>
      </c>
      <c r="ACH143" s="1137">
        <f t="shared" ref="ACH143:ACW161" si="38">IF(ABI143&gt;10, 1, 0)</f>
        <v>1</v>
      </c>
      <c r="ACI143" s="1137">
        <f t="shared" si="38"/>
        <v>1</v>
      </c>
      <c r="ACJ143" s="1137">
        <f t="shared" si="38"/>
        <v>1</v>
      </c>
      <c r="ACK143" s="1137">
        <f t="shared" si="38"/>
        <v>1</v>
      </c>
      <c r="ACL143" s="1137">
        <f t="shared" si="38"/>
        <v>1</v>
      </c>
      <c r="ACM143" s="1137">
        <f t="shared" si="38"/>
        <v>1</v>
      </c>
      <c r="ACN143" s="1137">
        <f t="shared" si="38"/>
        <v>1</v>
      </c>
      <c r="ACO143" s="1137">
        <f t="shared" si="38"/>
        <v>1</v>
      </c>
      <c r="ACP143" s="1137">
        <f t="shared" si="38"/>
        <v>1</v>
      </c>
      <c r="ACQ143" s="1137">
        <f t="shared" si="32"/>
        <v>1</v>
      </c>
      <c r="ACR143" s="1137">
        <f t="shared" si="32"/>
        <v>0</v>
      </c>
      <c r="ACS143" s="1137">
        <f t="shared" si="32"/>
        <v>0</v>
      </c>
      <c r="ACT143" s="1137">
        <f t="shared" si="32"/>
        <v>0</v>
      </c>
      <c r="ACU143" s="1137">
        <f t="shared" si="32"/>
        <v>1</v>
      </c>
      <c r="ACV143" s="1137">
        <f t="shared" si="32"/>
        <v>1</v>
      </c>
      <c r="ACW143" s="1137">
        <f t="shared" si="32"/>
        <v>0</v>
      </c>
      <c r="ACX143" s="1137">
        <f t="shared" si="32"/>
        <v>0</v>
      </c>
      <c r="ACY143" s="1137">
        <f t="shared" si="32"/>
        <v>0</v>
      </c>
      <c r="ACZ143" s="1137">
        <f t="shared" si="32"/>
        <v>1</v>
      </c>
      <c r="ADA143" s="1137">
        <f t="shared" si="35"/>
        <v>1</v>
      </c>
      <c r="ADB143" s="1137">
        <f t="shared" si="35"/>
        <v>1</v>
      </c>
      <c r="ADC143" s="1137">
        <f t="shared" si="35"/>
        <v>1</v>
      </c>
    </row>
    <row r="144" spans="1:783" x14ac:dyDescent="0.25">
      <c r="A144" t="s">
        <v>1943</v>
      </c>
      <c r="B144" t="s">
        <v>1944</v>
      </c>
      <c r="C144">
        <v>0</v>
      </c>
      <c r="D144">
        <v>0</v>
      </c>
      <c r="E144">
        <v>0</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0</v>
      </c>
      <c r="AF144">
        <v>0</v>
      </c>
      <c r="AG144">
        <v>0</v>
      </c>
      <c r="AH144">
        <v>0</v>
      </c>
      <c r="AI144">
        <v>0</v>
      </c>
      <c r="AJ144">
        <v>0</v>
      </c>
      <c r="AK144">
        <v>0</v>
      </c>
      <c r="AL144">
        <v>0</v>
      </c>
      <c r="AM144">
        <v>0</v>
      </c>
      <c r="AN144">
        <v>0</v>
      </c>
      <c r="AO144">
        <v>0</v>
      </c>
      <c r="AP144">
        <v>0</v>
      </c>
      <c r="AQ144">
        <v>0</v>
      </c>
      <c r="AR144">
        <v>0</v>
      </c>
      <c r="AS144">
        <v>0</v>
      </c>
      <c r="AT144">
        <v>0</v>
      </c>
      <c r="AU144">
        <v>0</v>
      </c>
      <c r="AV144">
        <v>0</v>
      </c>
      <c r="AW144">
        <v>0</v>
      </c>
      <c r="AX144">
        <v>0</v>
      </c>
      <c r="AY144">
        <v>0</v>
      </c>
      <c r="AZ144">
        <v>0</v>
      </c>
      <c r="BA144">
        <v>0</v>
      </c>
      <c r="BB144">
        <v>0</v>
      </c>
      <c r="BC144">
        <v>0</v>
      </c>
      <c r="BD144">
        <v>0</v>
      </c>
      <c r="BE144">
        <v>0</v>
      </c>
      <c r="BF144">
        <v>0</v>
      </c>
      <c r="BG144">
        <v>0</v>
      </c>
      <c r="BH144">
        <v>0</v>
      </c>
      <c r="BI144">
        <v>0</v>
      </c>
      <c r="BJ144">
        <v>0</v>
      </c>
      <c r="BK144">
        <v>0</v>
      </c>
      <c r="BL144">
        <v>0</v>
      </c>
      <c r="BM144">
        <v>0</v>
      </c>
      <c r="BN144">
        <v>0</v>
      </c>
      <c r="BO144">
        <v>0</v>
      </c>
      <c r="BP144">
        <v>0</v>
      </c>
      <c r="BQ144">
        <v>0</v>
      </c>
      <c r="BR144">
        <v>0</v>
      </c>
      <c r="BS144">
        <v>0</v>
      </c>
      <c r="BT144">
        <v>0</v>
      </c>
      <c r="BU144">
        <v>0</v>
      </c>
      <c r="BV144">
        <v>0</v>
      </c>
      <c r="BW144">
        <v>2</v>
      </c>
      <c r="BX144">
        <v>2</v>
      </c>
      <c r="BY144">
        <v>2</v>
      </c>
      <c r="BZ144">
        <v>2</v>
      </c>
      <c r="CA144">
        <v>2</v>
      </c>
      <c r="CB144">
        <v>2</v>
      </c>
      <c r="CC144">
        <v>2</v>
      </c>
      <c r="CD144">
        <v>2</v>
      </c>
      <c r="CE144">
        <v>2</v>
      </c>
      <c r="CF144">
        <v>2</v>
      </c>
      <c r="CG144">
        <v>2</v>
      </c>
      <c r="CH144">
        <v>2</v>
      </c>
      <c r="CI144">
        <v>2</v>
      </c>
      <c r="CJ144">
        <v>2</v>
      </c>
      <c r="CK144">
        <v>2</v>
      </c>
      <c r="CL144">
        <v>2</v>
      </c>
      <c r="CM144">
        <v>2</v>
      </c>
      <c r="CN144">
        <v>2</v>
      </c>
      <c r="CO144">
        <v>2</v>
      </c>
      <c r="CP144">
        <v>2</v>
      </c>
      <c r="CQ144">
        <v>2</v>
      </c>
      <c r="CR144">
        <v>2</v>
      </c>
      <c r="CS144">
        <v>2</v>
      </c>
      <c r="CT144">
        <v>2</v>
      </c>
      <c r="CU144">
        <v>2</v>
      </c>
      <c r="CV144">
        <v>2</v>
      </c>
      <c r="CW144">
        <v>2</v>
      </c>
      <c r="CX144">
        <v>2</v>
      </c>
      <c r="CY144">
        <v>2</v>
      </c>
      <c r="CZ144">
        <v>2</v>
      </c>
      <c r="DA144">
        <v>2</v>
      </c>
      <c r="DB144">
        <v>2</v>
      </c>
      <c r="DC144">
        <v>2</v>
      </c>
      <c r="DD144">
        <v>2</v>
      </c>
      <c r="DE144">
        <v>2</v>
      </c>
      <c r="DF144">
        <v>2</v>
      </c>
      <c r="DG144">
        <v>2</v>
      </c>
      <c r="DH144">
        <v>2</v>
      </c>
      <c r="DI144">
        <v>2</v>
      </c>
      <c r="DJ144">
        <v>2</v>
      </c>
      <c r="DK144">
        <v>2</v>
      </c>
      <c r="DL144">
        <v>2</v>
      </c>
      <c r="DM144">
        <v>2</v>
      </c>
      <c r="DN144">
        <v>2</v>
      </c>
      <c r="DO144">
        <v>2</v>
      </c>
      <c r="DP144">
        <v>2</v>
      </c>
      <c r="DQ144">
        <v>2</v>
      </c>
      <c r="DR144">
        <v>2</v>
      </c>
      <c r="DS144">
        <v>2</v>
      </c>
      <c r="DT144">
        <v>2</v>
      </c>
      <c r="DU144">
        <v>2</v>
      </c>
      <c r="DV144">
        <v>2</v>
      </c>
      <c r="DW144">
        <v>2</v>
      </c>
      <c r="DX144">
        <v>2</v>
      </c>
      <c r="DY144">
        <v>2</v>
      </c>
      <c r="DZ144">
        <v>2</v>
      </c>
      <c r="EA144">
        <v>2</v>
      </c>
      <c r="EB144">
        <v>2</v>
      </c>
      <c r="EC144">
        <v>2</v>
      </c>
      <c r="ED144">
        <v>2</v>
      </c>
      <c r="EE144">
        <v>2</v>
      </c>
      <c r="EF144">
        <v>2</v>
      </c>
      <c r="EG144">
        <v>2</v>
      </c>
      <c r="EH144">
        <v>2</v>
      </c>
      <c r="EI144">
        <v>2</v>
      </c>
      <c r="EJ144">
        <v>2</v>
      </c>
      <c r="EK144">
        <v>2</v>
      </c>
      <c r="EL144">
        <v>2</v>
      </c>
      <c r="EM144">
        <v>2</v>
      </c>
      <c r="EN144">
        <v>2</v>
      </c>
      <c r="EO144">
        <v>2</v>
      </c>
      <c r="EP144">
        <v>2</v>
      </c>
      <c r="EQ144">
        <v>2</v>
      </c>
      <c r="ER144">
        <v>2</v>
      </c>
      <c r="ES144">
        <v>2</v>
      </c>
      <c r="ET144">
        <v>2</v>
      </c>
      <c r="EU144">
        <v>2</v>
      </c>
      <c r="EV144">
        <v>2</v>
      </c>
      <c r="EW144">
        <v>2</v>
      </c>
      <c r="EX144">
        <v>2</v>
      </c>
      <c r="EY144">
        <v>2</v>
      </c>
      <c r="EZ144">
        <v>2</v>
      </c>
      <c r="FA144">
        <v>2</v>
      </c>
      <c r="FB144">
        <v>2</v>
      </c>
      <c r="FC144">
        <v>2</v>
      </c>
      <c r="FD144">
        <v>2</v>
      </c>
      <c r="FE144">
        <v>2</v>
      </c>
      <c r="FF144">
        <v>0</v>
      </c>
      <c r="FG144">
        <v>0</v>
      </c>
      <c r="FH144">
        <v>0</v>
      </c>
      <c r="FI144">
        <v>0</v>
      </c>
      <c r="FJ144">
        <v>0</v>
      </c>
      <c r="FK144">
        <v>0</v>
      </c>
      <c r="FL144">
        <v>0</v>
      </c>
      <c r="FM144">
        <v>0</v>
      </c>
      <c r="FN144">
        <v>0</v>
      </c>
      <c r="FO144">
        <v>0</v>
      </c>
      <c r="FP144">
        <v>0</v>
      </c>
      <c r="FQ144">
        <v>0</v>
      </c>
      <c r="FR144">
        <v>0</v>
      </c>
      <c r="FS144">
        <v>0</v>
      </c>
      <c r="FT144">
        <v>0</v>
      </c>
      <c r="FU144">
        <v>0</v>
      </c>
      <c r="FV144">
        <v>0</v>
      </c>
      <c r="FW144">
        <v>0</v>
      </c>
      <c r="FX144">
        <v>0</v>
      </c>
      <c r="FY144">
        <v>0</v>
      </c>
      <c r="FZ144">
        <v>0</v>
      </c>
      <c r="GA144">
        <v>0</v>
      </c>
      <c r="GB144">
        <v>0</v>
      </c>
      <c r="GC144">
        <v>0</v>
      </c>
      <c r="GD144">
        <v>0</v>
      </c>
      <c r="GE144">
        <v>0</v>
      </c>
      <c r="GF144">
        <v>0</v>
      </c>
      <c r="GG144">
        <v>0</v>
      </c>
      <c r="GH144">
        <v>0</v>
      </c>
      <c r="GI144">
        <v>0</v>
      </c>
      <c r="GJ144">
        <v>0</v>
      </c>
      <c r="GK144">
        <v>0</v>
      </c>
      <c r="GL144">
        <v>0</v>
      </c>
      <c r="GM144">
        <v>0</v>
      </c>
      <c r="GN144">
        <v>0</v>
      </c>
      <c r="GO144">
        <v>0</v>
      </c>
      <c r="GP144">
        <v>0</v>
      </c>
      <c r="GQ144">
        <v>0</v>
      </c>
      <c r="GR144">
        <v>0</v>
      </c>
      <c r="GS144">
        <v>0</v>
      </c>
      <c r="GT144">
        <v>0</v>
      </c>
      <c r="GU144">
        <v>0</v>
      </c>
      <c r="GV144">
        <v>0</v>
      </c>
      <c r="GW144">
        <v>0</v>
      </c>
      <c r="GX144">
        <v>0</v>
      </c>
      <c r="GY144">
        <v>0</v>
      </c>
      <c r="GZ144">
        <v>0</v>
      </c>
      <c r="HA144">
        <v>0</v>
      </c>
      <c r="HB144">
        <v>0</v>
      </c>
      <c r="HC144">
        <v>0</v>
      </c>
      <c r="HD144">
        <v>0</v>
      </c>
      <c r="HE144">
        <v>0</v>
      </c>
      <c r="HF144">
        <v>0</v>
      </c>
      <c r="HG144">
        <v>2</v>
      </c>
      <c r="HH144">
        <v>2</v>
      </c>
      <c r="HI144">
        <v>2</v>
      </c>
      <c r="HJ144">
        <v>2</v>
      </c>
      <c r="HK144">
        <v>2</v>
      </c>
      <c r="HL144">
        <v>2</v>
      </c>
      <c r="HM144">
        <v>2</v>
      </c>
      <c r="HN144">
        <v>2</v>
      </c>
      <c r="HO144">
        <v>2</v>
      </c>
      <c r="HP144">
        <v>2</v>
      </c>
      <c r="HQ144">
        <v>2</v>
      </c>
      <c r="HR144">
        <v>2</v>
      </c>
      <c r="HS144">
        <v>2</v>
      </c>
      <c r="HT144">
        <v>2</v>
      </c>
      <c r="HU144">
        <v>2</v>
      </c>
      <c r="HV144">
        <v>2</v>
      </c>
      <c r="HW144">
        <v>2</v>
      </c>
      <c r="HX144">
        <v>2</v>
      </c>
      <c r="HY144">
        <v>2</v>
      </c>
      <c r="HZ144">
        <v>2</v>
      </c>
      <c r="IA144">
        <v>2</v>
      </c>
      <c r="IB144">
        <v>2</v>
      </c>
      <c r="IC144">
        <v>2</v>
      </c>
      <c r="ID144">
        <v>2</v>
      </c>
      <c r="IE144">
        <v>2</v>
      </c>
      <c r="IF144">
        <v>2</v>
      </c>
      <c r="IG144">
        <v>2</v>
      </c>
      <c r="IH144">
        <v>2</v>
      </c>
      <c r="II144">
        <v>0</v>
      </c>
      <c r="IJ144">
        <v>0</v>
      </c>
      <c r="IK144">
        <v>0</v>
      </c>
      <c r="IL144">
        <v>0</v>
      </c>
      <c r="IM144">
        <v>0</v>
      </c>
      <c r="IN144">
        <v>0</v>
      </c>
      <c r="IO144">
        <v>0</v>
      </c>
      <c r="IP144">
        <v>0</v>
      </c>
      <c r="IQ144">
        <v>0</v>
      </c>
      <c r="IR144">
        <v>0</v>
      </c>
      <c r="IS144">
        <v>0</v>
      </c>
      <c r="IT144">
        <v>0</v>
      </c>
      <c r="IU144">
        <v>0</v>
      </c>
      <c r="IV144">
        <v>0</v>
      </c>
      <c r="IW144">
        <v>0</v>
      </c>
      <c r="IX144">
        <v>0</v>
      </c>
      <c r="IY144">
        <v>0</v>
      </c>
      <c r="IZ144">
        <v>0</v>
      </c>
      <c r="JA144">
        <v>0</v>
      </c>
      <c r="JB144">
        <v>0</v>
      </c>
      <c r="JC144">
        <v>0</v>
      </c>
      <c r="JD144">
        <v>0</v>
      </c>
      <c r="JE144">
        <v>0</v>
      </c>
      <c r="JF144">
        <v>0</v>
      </c>
      <c r="JG144">
        <v>0</v>
      </c>
      <c r="JH144">
        <v>0</v>
      </c>
      <c r="JI144">
        <v>0</v>
      </c>
      <c r="JJ144">
        <v>0</v>
      </c>
      <c r="JK144">
        <v>0</v>
      </c>
      <c r="JL144">
        <v>0</v>
      </c>
      <c r="JM144">
        <v>0</v>
      </c>
      <c r="JN144">
        <v>0</v>
      </c>
      <c r="JO144">
        <v>0</v>
      </c>
      <c r="JP144">
        <v>0</v>
      </c>
      <c r="JQ144">
        <v>0</v>
      </c>
      <c r="JR144">
        <v>0</v>
      </c>
      <c r="JS144">
        <v>0</v>
      </c>
      <c r="JT144">
        <v>0</v>
      </c>
      <c r="JU144">
        <v>0</v>
      </c>
      <c r="JV144">
        <v>0</v>
      </c>
      <c r="JW144">
        <v>0</v>
      </c>
      <c r="JX144">
        <v>0</v>
      </c>
      <c r="JY144">
        <v>0</v>
      </c>
      <c r="JZ144">
        <v>0</v>
      </c>
      <c r="KA144">
        <v>0</v>
      </c>
      <c r="KB144">
        <v>0</v>
      </c>
      <c r="KC144">
        <v>0</v>
      </c>
      <c r="KD144">
        <v>0</v>
      </c>
      <c r="KE144">
        <v>0</v>
      </c>
      <c r="KF144">
        <v>0</v>
      </c>
      <c r="KG144">
        <v>0</v>
      </c>
      <c r="KH144">
        <v>0</v>
      </c>
      <c r="KI144">
        <v>0</v>
      </c>
      <c r="KJ144">
        <v>0</v>
      </c>
      <c r="KK144">
        <v>0</v>
      </c>
      <c r="KL144">
        <v>0</v>
      </c>
      <c r="KM144">
        <v>0</v>
      </c>
      <c r="KN144">
        <v>0</v>
      </c>
      <c r="KO144">
        <v>0</v>
      </c>
      <c r="KP144">
        <v>0</v>
      </c>
      <c r="KQ144">
        <v>0</v>
      </c>
      <c r="KR144">
        <v>0</v>
      </c>
      <c r="KS144">
        <v>0</v>
      </c>
      <c r="KT144">
        <v>0</v>
      </c>
      <c r="KU144">
        <v>0</v>
      </c>
      <c r="KV144">
        <v>0</v>
      </c>
      <c r="KW144">
        <v>0</v>
      </c>
      <c r="KX144">
        <v>0</v>
      </c>
      <c r="KY144">
        <v>0</v>
      </c>
      <c r="KZ144">
        <v>0</v>
      </c>
      <c r="LA144">
        <v>2</v>
      </c>
      <c r="LB144">
        <v>2</v>
      </c>
      <c r="LC144">
        <v>2</v>
      </c>
      <c r="LD144">
        <v>2</v>
      </c>
      <c r="LE144">
        <v>2</v>
      </c>
      <c r="LF144">
        <v>2</v>
      </c>
      <c r="LG144">
        <v>2</v>
      </c>
      <c r="LH144">
        <v>2</v>
      </c>
      <c r="LI144">
        <v>2</v>
      </c>
      <c r="LJ144">
        <v>2</v>
      </c>
      <c r="LK144">
        <v>2</v>
      </c>
      <c r="LL144">
        <v>2</v>
      </c>
      <c r="LM144">
        <v>2</v>
      </c>
      <c r="LN144">
        <v>2</v>
      </c>
      <c r="LO144">
        <v>2</v>
      </c>
      <c r="LP144">
        <v>2</v>
      </c>
      <c r="LQ144">
        <v>2</v>
      </c>
      <c r="LR144">
        <v>2</v>
      </c>
      <c r="LS144">
        <v>2</v>
      </c>
      <c r="LT144">
        <v>2</v>
      </c>
      <c r="LU144">
        <v>2</v>
      </c>
      <c r="LV144">
        <v>2</v>
      </c>
      <c r="LW144">
        <v>2</v>
      </c>
      <c r="LX144">
        <v>2</v>
      </c>
      <c r="LY144">
        <v>2</v>
      </c>
      <c r="LZ144">
        <v>2</v>
      </c>
      <c r="MA144">
        <v>2</v>
      </c>
      <c r="MB144">
        <v>2</v>
      </c>
      <c r="MC144">
        <v>2</v>
      </c>
      <c r="MD144">
        <v>2</v>
      </c>
      <c r="ME144">
        <v>2</v>
      </c>
      <c r="MF144">
        <v>2</v>
      </c>
      <c r="MG144">
        <v>2</v>
      </c>
      <c r="MH144">
        <v>2</v>
      </c>
      <c r="MI144">
        <v>2</v>
      </c>
      <c r="MJ144">
        <v>2</v>
      </c>
      <c r="MK144">
        <v>2</v>
      </c>
      <c r="ML144">
        <v>2</v>
      </c>
      <c r="MM144">
        <v>2</v>
      </c>
      <c r="MN144">
        <v>2</v>
      </c>
      <c r="MO144">
        <v>2</v>
      </c>
      <c r="MP144">
        <v>2</v>
      </c>
      <c r="MQ144">
        <v>2</v>
      </c>
      <c r="MR144">
        <v>2</v>
      </c>
      <c r="MS144">
        <v>2</v>
      </c>
      <c r="MT144">
        <v>2</v>
      </c>
      <c r="MU144">
        <v>2</v>
      </c>
      <c r="MV144">
        <v>2</v>
      </c>
      <c r="MW144">
        <v>2</v>
      </c>
      <c r="MX144">
        <v>2</v>
      </c>
      <c r="MY144">
        <v>2</v>
      </c>
      <c r="MZ144">
        <v>2</v>
      </c>
      <c r="NA144">
        <v>2</v>
      </c>
      <c r="NB144">
        <v>2</v>
      </c>
      <c r="NC144">
        <v>2</v>
      </c>
      <c r="ND144">
        <v>2</v>
      </c>
      <c r="NE144">
        <v>2</v>
      </c>
      <c r="NF144">
        <v>2</v>
      </c>
      <c r="NG144">
        <v>2</v>
      </c>
      <c r="NH144">
        <v>2</v>
      </c>
      <c r="NI144">
        <v>2</v>
      </c>
      <c r="NJ144">
        <v>2</v>
      </c>
      <c r="NK144">
        <v>2</v>
      </c>
      <c r="NL144">
        <v>2</v>
      </c>
      <c r="NM144">
        <v>2</v>
      </c>
      <c r="NN144">
        <v>2</v>
      </c>
      <c r="NO144">
        <v>2</v>
      </c>
      <c r="NP144">
        <v>2</v>
      </c>
      <c r="NQ144">
        <v>2</v>
      </c>
      <c r="NR144">
        <v>2</v>
      </c>
      <c r="NS144">
        <v>2</v>
      </c>
      <c r="NT144">
        <v>2</v>
      </c>
      <c r="NU144">
        <v>2</v>
      </c>
      <c r="NV144">
        <v>2</v>
      </c>
      <c r="NW144">
        <v>2</v>
      </c>
      <c r="NX144">
        <v>2</v>
      </c>
      <c r="NY144">
        <v>2</v>
      </c>
      <c r="NZ144">
        <v>2</v>
      </c>
      <c r="OA144">
        <v>2</v>
      </c>
      <c r="OB144">
        <v>2</v>
      </c>
      <c r="OC144">
        <v>2</v>
      </c>
      <c r="OD144">
        <v>2</v>
      </c>
      <c r="OE144">
        <v>2</v>
      </c>
      <c r="OF144">
        <v>2</v>
      </c>
      <c r="OG144">
        <v>2</v>
      </c>
      <c r="OH144">
        <v>2</v>
      </c>
      <c r="OI144">
        <v>2</v>
      </c>
      <c r="OJ144">
        <v>2</v>
      </c>
      <c r="OK144">
        <v>2</v>
      </c>
      <c r="OL144">
        <v>2</v>
      </c>
      <c r="OM144">
        <v>2</v>
      </c>
      <c r="ON144">
        <v>2</v>
      </c>
      <c r="OO144">
        <v>2</v>
      </c>
      <c r="OP144">
        <v>2</v>
      </c>
      <c r="OQ144">
        <v>2</v>
      </c>
      <c r="OR144">
        <v>2</v>
      </c>
      <c r="OS144">
        <v>2</v>
      </c>
      <c r="OT144">
        <v>2</v>
      </c>
      <c r="OU144">
        <v>2</v>
      </c>
      <c r="OV144">
        <v>2</v>
      </c>
      <c r="OW144">
        <v>2</v>
      </c>
      <c r="OX144">
        <v>2</v>
      </c>
      <c r="OY144">
        <v>2</v>
      </c>
      <c r="OZ144">
        <v>2</v>
      </c>
      <c r="PA144">
        <v>2</v>
      </c>
      <c r="PB144">
        <v>2</v>
      </c>
      <c r="PC144">
        <v>2</v>
      </c>
      <c r="PD144">
        <v>2</v>
      </c>
      <c r="PE144">
        <v>2</v>
      </c>
      <c r="PF144">
        <v>2</v>
      </c>
      <c r="PG144">
        <v>2</v>
      </c>
      <c r="PH144">
        <v>2</v>
      </c>
      <c r="PI144">
        <v>2</v>
      </c>
      <c r="PJ144">
        <v>2</v>
      </c>
      <c r="PK144">
        <v>2</v>
      </c>
      <c r="PL144">
        <v>2</v>
      </c>
      <c r="PM144">
        <v>2</v>
      </c>
      <c r="PN144">
        <v>2</v>
      </c>
      <c r="PO144">
        <v>2</v>
      </c>
      <c r="PP144">
        <v>2</v>
      </c>
      <c r="PQ144">
        <v>2</v>
      </c>
      <c r="PR144">
        <v>2</v>
      </c>
      <c r="PS144">
        <v>2</v>
      </c>
      <c r="PT144">
        <v>2</v>
      </c>
      <c r="PU144">
        <v>2</v>
      </c>
      <c r="PV144">
        <v>2</v>
      </c>
      <c r="PW144">
        <v>2</v>
      </c>
      <c r="PX144">
        <v>2</v>
      </c>
      <c r="PY144">
        <v>2</v>
      </c>
      <c r="PZ144">
        <v>2</v>
      </c>
      <c r="QA144">
        <v>2</v>
      </c>
      <c r="QB144">
        <v>2</v>
      </c>
      <c r="QC144">
        <v>2</v>
      </c>
      <c r="QD144">
        <v>2</v>
      </c>
      <c r="QE144">
        <v>2</v>
      </c>
      <c r="QF144">
        <v>2</v>
      </c>
      <c r="QG144">
        <v>2</v>
      </c>
      <c r="QH144">
        <v>2</v>
      </c>
      <c r="QI144">
        <v>2</v>
      </c>
      <c r="QJ144">
        <v>2</v>
      </c>
      <c r="QK144">
        <v>2</v>
      </c>
      <c r="QL144">
        <v>2</v>
      </c>
      <c r="QM144">
        <v>2</v>
      </c>
      <c r="QN144">
        <v>2</v>
      </c>
      <c r="QO144">
        <v>2</v>
      </c>
      <c r="QP144">
        <v>2</v>
      </c>
      <c r="QQ144">
        <v>2</v>
      </c>
      <c r="QR144">
        <v>2</v>
      </c>
      <c r="QS144">
        <v>2</v>
      </c>
      <c r="QT144">
        <v>2</v>
      </c>
      <c r="QU144">
        <v>2</v>
      </c>
      <c r="QV144">
        <v>2</v>
      </c>
      <c r="QW144">
        <v>2</v>
      </c>
      <c r="QX144">
        <v>2</v>
      </c>
      <c r="QY144">
        <v>2</v>
      </c>
      <c r="QZ144">
        <v>2</v>
      </c>
      <c r="RA144">
        <v>2</v>
      </c>
      <c r="RB144">
        <v>2</v>
      </c>
      <c r="RC144">
        <v>0</v>
      </c>
      <c r="RD144">
        <v>0</v>
      </c>
      <c r="RE144">
        <v>0</v>
      </c>
      <c r="RF144">
        <v>0</v>
      </c>
      <c r="RG144">
        <v>0</v>
      </c>
      <c r="RH144">
        <v>0</v>
      </c>
      <c r="RI144">
        <v>0</v>
      </c>
      <c r="RJ144">
        <v>0</v>
      </c>
      <c r="RK144">
        <v>0</v>
      </c>
      <c r="RL144">
        <v>0</v>
      </c>
      <c r="RM144">
        <v>0</v>
      </c>
      <c r="RN144">
        <v>0</v>
      </c>
      <c r="RO144">
        <v>0</v>
      </c>
      <c r="RP144">
        <v>0</v>
      </c>
      <c r="RQ144">
        <v>0</v>
      </c>
      <c r="RR144">
        <v>0</v>
      </c>
      <c r="RS144">
        <v>0</v>
      </c>
      <c r="RT144">
        <v>0</v>
      </c>
      <c r="RU144">
        <v>0</v>
      </c>
      <c r="RV144">
        <v>0</v>
      </c>
      <c r="RW144">
        <v>0</v>
      </c>
      <c r="RX144">
        <v>0</v>
      </c>
      <c r="RY144">
        <v>0</v>
      </c>
      <c r="RZ144">
        <v>0</v>
      </c>
      <c r="SA144">
        <v>0</v>
      </c>
      <c r="SB144">
        <v>0</v>
      </c>
      <c r="SC144">
        <v>0</v>
      </c>
      <c r="SD144">
        <v>0</v>
      </c>
      <c r="SE144">
        <v>0</v>
      </c>
      <c r="SF144">
        <v>0</v>
      </c>
      <c r="SG144">
        <v>0</v>
      </c>
      <c r="SH144">
        <v>0</v>
      </c>
      <c r="SI144">
        <v>0</v>
      </c>
      <c r="SJ144">
        <v>0</v>
      </c>
      <c r="SK144">
        <v>0</v>
      </c>
      <c r="SL144">
        <v>0</v>
      </c>
      <c r="SM144">
        <v>0</v>
      </c>
      <c r="SN144">
        <v>0</v>
      </c>
      <c r="SO144">
        <v>0</v>
      </c>
      <c r="SP144">
        <v>0</v>
      </c>
      <c r="SQ144">
        <v>0</v>
      </c>
      <c r="SR144">
        <v>0</v>
      </c>
      <c r="SS144">
        <v>0</v>
      </c>
      <c r="ST144">
        <v>0</v>
      </c>
      <c r="SU144">
        <v>0</v>
      </c>
      <c r="SV144">
        <v>0</v>
      </c>
      <c r="SW144">
        <v>0</v>
      </c>
      <c r="SX144">
        <v>0</v>
      </c>
      <c r="SY144">
        <v>0</v>
      </c>
      <c r="SZ144">
        <v>0</v>
      </c>
      <c r="TA144">
        <v>0</v>
      </c>
      <c r="TB144">
        <v>0</v>
      </c>
      <c r="TC144">
        <v>0</v>
      </c>
      <c r="TD144">
        <v>0</v>
      </c>
      <c r="TE144">
        <v>0</v>
      </c>
      <c r="TF144">
        <v>0</v>
      </c>
      <c r="TG144">
        <v>0</v>
      </c>
      <c r="TH144">
        <v>0</v>
      </c>
      <c r="TI144">
        <v>0</v>
      </c>
      <c r="TJ144">
        <v>0</v>
      </c>
      <c r="TK144">
        <v>0</v>
      </c>
      <c r="TL144">
        <v>0</v>
      </c>
      <c r="TM144">
        <v>0</v>
      </c>
      <c r="TN144">
        <v>0</v>
      </c>
      <c r="TO144">
        <v>0</v>
      </c>
      <c r="TP144">
        <v>0</v>
      </c>
      <c r="TQ144">
        <v>0</v>
      </c>
      <c r="TR144">
        <v>0</v>
      </c>
      <c r="TS144">
        <v>0</v>
      </c>
      <c r="TT144">
        <v>0</v>
      </c>
      <c r="TU144">
        <v>0</v>
      </c>
      <c r="TV144">
        <v>0</v>
      </c>
      <c r="TW144">
        <v>0</v>
      </c>
      <c r="TX144">
        <v>0</v>
      </c>
      <c r="TY144">
        <v>0</v>
      </c>
      <c r="TZ144">
        <v>0</v>
      </c>
      <c r="UA144">
        <v>0</v>
      </c>
      <c r="UB144">
        <v>0</v>
      </c>
      <c r="UC144">
        <v>0</v>
      </c>
      <c r="UD144">
        <v>0</v>
      </c>
      <c r="UE144">
        <v>0</v>
      </c>
      <c r="UF144">
        <v>0</v>
      </c>
      <c r="UG144">
        <v>0</v>
      </c>
      <c r="UH144">
        <v>0</v>
      </c>
      <c r="UI144">
        <v>0</v>
      </c>
      <c r="UJ144">
        <v>0</v>
      </c>
      <c r="UK144">
        <v>0</v>
      </c>
      <c r="UL144">
        <v>0</v>
      </c>
      <c r="UM144">
        <v>0</v>
      </c>
      <c r="UN144">
        <v>0</v>
      </c>
      <c r="UO144">
        <v>0</v>
      </c>
      <c r="UP144">
        <v>0</v>
      </c>
      <c r="UQ144">
        <v>0</v>
      </c>
      <c r="UR144">
        <v>0</v>
      </c>
      <c r="US144">
        <v>0</v>
      </c>
      <c r="UT144">
        <v>0</v>
      </c>
      <c r="UU144">
        <v>0</v>
      </c>
      <c r="UV144">
        <v>0</v>
      </c>
      <c r="UW144">
        <v>0</v>
      </c>
      <c r="UX144">
        <v>0</v>
      </c>
      <c r="UY144">
        <v>0</v>
      </c>
      <c r="UZ144">
        <v>0</v>
      </c>
      <c r="VA144">
        <v>0</v>
      </c>
      <c r="VB144">
        <v>0</v>
      </c>
      <c r="VC144">
        <v>0</v>
      </c>
      <c r="VD144">
        <v>0</v>
      </c>
      <c r="VE144">
        <v>0</v>
      </c>
      <c r="VF144">
        <v>0</v>
      </c>
      <c r="VG144">
        <v>0</v>
      </c>
      <c r="VH144">
        <v>0</v>
      </c>
      <c r="VI144">
        <v>0</v>
      </c>
      <c r="VJ144">
        <v>0</v>
      </c>
      <c r="VK144">
        <v>0</v>
      </c>
      <c r="VL144">
        <v>0</v>
      </c>
      <c r="VM144">
        <v>0</v>
      </c>
      <c r="VN144">
        <v>0</v>
      </c>
      <c r="VO144">
        <v>0</v>
      </c>
      <c r="VP144">
        <v>0</v>
      </c>
      <c r="VQ144">
        <v>0</v>
      </c>
      <c r="VR144">
        <v>0</v>
      </c>
      <c r="VS144">
        <v>0</v>
      </c>
      <c r="VT144">
        <v>0</v>
      </c>
      <c r="VU144">
        <v>0</v>
      </c>
      <c r="VV144">
        <v>0</v>
      </c>
      <c r="VW144">
        <v>0</v>
      </c>
      <c r="VX144">
        <v>0</v>
      </c>
      <c r="VY144">
        <v>0</v>
      </c>
      <c r="VZ144">
        <v>0</v>
      </c>
      <c r="WA144">
        <v>0</v>
      </c>
      <c r="WB144">
        <v>0</v>
      </c>
      <c r="WC144">
        <v>0</v>
      </c>
      <c r="WD144">
        <v>0</v>
      </c>
      <c r="WE144">
        <v>0</v>
      </c>
      <c r="WF144">
        <v>0</v>
      </c>
      <c r="WG144">
        <v>0</v>
      </c>
      <c r="WH144">
        <v>0</v>
      </c>
      <c r="WI144">
        <v>0</v>
      </c>
      <c r="WJ144">
        <v>0</v>
      </c>
      <c r="WK144">
        <v>0</v>
      </c>
      <c r="WL144">
        <v>0</v>
      </c>
      <c r="WM144">
        <v>0</v>
      </c>
      <c r="WN144">
        <v>0</v>
      </c>
      <c r="WO144">
        <v>0</v>
      </c>
      <c r="WP144">
        <v>0</v>
      </c>
      <c r="WQ144">
        <v>0</v>
      </c>
      <c r="WR144">
        <v>0</v>
      </c>
      <c r="WS144">
        <v>0</v>
      </c>
      <c r="WT144">
        <v>0</v>
      </c>
      <c r="WU144">
        <v>0</v>
      </c>
      <c r="WV144">
        <v>0</v>
      </c>
      <c r="WW144">
        <v>0</v>
      </c>
      <c r="WX144">
        <v>0</v>
      </c>
      <c r="WY144">
        <v>0</v>
      </c>
      <c r="WZ144">
        <v>0</v>
      </c>
      <c r="XA144">
        <v>0</v>
      </c>
      <c r="XB144">
        <v>0</v>
      </c>
      <c r="XC144">
        <v>0</v>
      </c>
      <c r="XD144">
        <v>0</v>
      </c>
      <c r="XE144">
        <v>0</v>
      </c>
      <c r="XF144">
        <v>0</v>
      </c>
      <c r="XG144">
        <v>0</v>
      </c>
      <c r="XH144">
        <v>0</v>
      </c>
      <c r="XI144">
        <v>0</v>
      </c>
      <c r="XJ144">
        <v>0</v>
      </c>
      <c r="XK144">
        <v>0</v>
      </c>
      <c r="XL144">
        <v>0</v>
      </c>
      <c r="XM144">
        <v>0</v>
      </c>
      <c r="XN144">
        <v>0</v>
      </c>
      <c r="XO144">
        <v>0</v>
      </c>
      <c r="XP144">
        <v>0</v>
      </c>
      <c r="XQ144">
        <v>0</v>
      </c>
      <c r="XR144">
        <v>0</v>
      </c>
      <c r="XS144">
        <v>0</v>
      </c>
      <c r="XT144">
        <v>0</v>
      </c>
      <c r="XU144">
        <v>0</v>
      </c>
      <c r="XV144">
        <v>0</v>
      </c>
      <c r="XW144">
        <v>0</v>
      </c>
      <c r="XX144">
        <v>0</v>
      </c>
      <c r="XY144">
        <v>0</v>
      </c>
      <c r="XZ144">
        <v>0</v>
      </c>
      <c r="YA144">
        <v>0</v>
      </c>
      <c r="YB144">
        <v>0</v>
      </c>
      <c r="YC144">
        <v>0</v>
      </c>
      <c r="YD144">
        <v>0</v>
      </c>
      <c r="YE144">
        <v>0</v>
      </c>
      <c r="YF144">
        <v>0</v>
      </c>
      <c r="YG144">
        <v>0</v>
      </c>
      <c r="YH144">
        <v>0</v>
      </c>
      <c r="YI144">
        <v>0</v>
      </c>
      <c r="YJ144">
        <v>0</v>
      </c>
      <c r="YK144">
        <v>0</v>
      </c>
      <c r="YL144">
        <v>0</v>
      </c>
      <c r="YM144">
        <v>0</v>
      </c>
      <c r="YN144">
        <v>0</v>
      </c>
      <c r="YO144">
        <v>0</v>
      </c>
      <c r="YP144">
        <v>0</v>
      </c>
      <c r="YQ144">
        <v>0</v>
      </c>
      <c r="YR144">
        <v>0</v>
      </c>
      <c r="YS144">
        <v>0</v>
      </c>
      <c r="YT144">
        <v>0</v>
      </c>
      <c r="YU144">
        <v>0</v>
      </c>
      <c r="YV144">
        <v>0</v>
      </c>
      <c r="YW144">
        <v>0</v>
      </c>
      <c r="YX144">
        <v>0</v>
      </c>
      <c r="YY144">
        <v>0</v>
      </c>
      <c r="YZ144">
        <v>0</v>
      </c>
      <c r="ZA144">
        <v>0</v>
      </c>
      <c r="ZB144">
        <v>0</v>
      </c>
      <c r="ZC144">
        <v>0</v>
      </c>
      <c r="ZD144">
        <v>0</v>
      </c>
      <c r="ZE144">
        <v>0</v>
      </c>
      <c r="ZF144">
        <v>0</v>
      </c>
      <c r="ZG144">
        <v>0</v>
      </c>
      <c r="ZH144">
        <v>0</v>
      </c>
      <c r="ZI144">
        <v>0</v>
      </c>
      <c r="ZJ144">
        <v>0</v>
      </c>
      <c r="ZK144">
        <v>0</v>
      </c>
      <c r="ZL144">
        <v>0</v>
      </c>
      <c r="ZM144">
        <v>0</v>
      </c>
      <c r="ZN144">
        <v>0</v>
      </c>
      <c r="ZO144">
        <v>0</v>
      </c>
      <c r="ZP144">
        <v>0</v>
      </c>
      <c r="ZQ144">
        <v>0</v>
      </c>
      <c r="ZR144">
        <v>0</v>
      </c>
      <c r="ZS144">
        <v>0</v>
      </c>
      <c r="ZT144">
        <v>0</v>
      </c>
      <c r="ZU144">
        <v>0</v>
      </c>
      <c r="ZV144">
        <v>0</v>
      </c>
      <c r="ZW144">
        <v>0</v>
      </c>
      <c r="ZX144">
        <v>0</v>
      </c>
      <c r="ZY144">
        <v>0</v>
      </c>
      <c r="ZZ144">
        <v>0</v>
      </c>
      <c r="AAA144">
        <v>0</v>
      </c>
      <c r="AAB144">
        <v>0</v>
      </c>
      <c r="AAC144">
        <v>0</v>
      </c>
      <c r="AAD144">
        <v>0</v>
      </c>
      <c r="AAE144">
        <v>0</v>
      </c>
      <c r="AAF144">
        <v>0</v>
      </c>
      <c r="AAG144">
        <v>0</v>
      </c>
      <c r="AAH144">
        <v>0</v>
      </c>
      <c r="AAI144">
        <v>0</v>
      </c>
      <c r="AAJ144">
        <v>0</v>
      </c>
      <c r="AAK144">
        <v>0</v>
      </c>
      <c r="AAL144">
        <v>0</v>
      </c>
      <c r="AAM144">
        <v>0</v>
      </c>
      <c r="AAN144">
        <v>0</v>
      </c>
      <c r="AAO144">
        <v>0</v>
      </c>
      <c r="AAP144">
        <v>0</v>
      </c>
      <c r="AAQ144">
        <v>0</v>
      </c>
      <c r="AAR144">
        <v>0</v>
      </c>
      <c r="AAS144">
        <v>0</v>
      </c>
      <c r="AAT144">
        <v>0</v>
      </c>
      <c r="AAU144">
        <v>0</v>
      </c>
      <c r="AAV144">
        <v>0</v>
      </c>
      <c r="AAW144">
        <v>0</v>
      </c>
      <c r="AAX144">
        <v>0</v>
      </c>
      <c r="AAY144">
        <v>0</v>
      </c>
      <c r="AAZ144">
        <v>0</v>
      </c>
      <c r="ABA144">
        <v>0</v>
      </c>
      <c r="ABB144">
        <v>0</v>
      </c>
      <c r="ABC144">
        <v>0</v>
      </c>
      <c r="ABD144">
        <v>0</v>
      </c>
      <c r="ABE144">
        <v>0</v>
      </c>
      <c r="ABG144" s="1137">
        <f t="shared" si="37"/>
        <v>0</v>
      </c>
      <c r="ABH144" s="1137">
        <f t="shared" si="37"/>
        <v>0</v>
      </c>
      <c r="ABI144" s="1137">
        <f t="shared" si="37"/>
        <v>19</v>
      </c>
      <c r="ABJ144" s="1137">
        <f t="shared" si="37"/>
        <v>30</v>
      </c>
      <c r="ABK144" s="1137">
        <f t="shared" si="37"/>
        <v>31</v>
      </c>
      <c r="ABL144" s="1137">
        <f t="shared" si="37"/>
        <v>7</v>
      </c>
      <c r="ABM144" s="1137">
        <f t="shared" si="37"/>
        <v>1</v>
      </c>
      <c r="ABN144" s="1137">
        <f t="shared" si="37"/>
        <v>27</v>
      </c>
      <c r="ABO144" s="1137">
        <f t="shared" si="37"/>
        <v>0</v>
      </c>
      <c r="ABP144" s="1137">
        <f t="shared" si="37"/>
        <v>0</v>
      </c>
      <c r="ABQ144" s="1137">
        <f t="shared" si="37"/>
        <v>25</v>
      </c>
      <c r="ABR144" s="1137">
        <f t="shared" si="37"/>
        <v>31</v>
      </c>
      <c r="ABS144" s="1137">
        <f t="shared" si="37"/>
        <v>31</v>
      </c>
      <c r="ABT144" s="1137">
        <f t="shared" si="37"/>
        <v>28</v>
      </c>
      <c r="ABU144" s="1137">
        <f t="shared" si="37"/>
        <v>31</v>
      </c>
      <c r="ABV144" s="1137">
        <f t="shared" si="37"/>
        <v>12</v>
      </c>
      <c r="ABW144" s="1137">
        <f t="shared" si="31"/>
        <v>0</v>
      </c>
      <c r="ABX144" s="1137">
        <f t="shared" si="34"/>
        <v>0</v>
      </c>
      <c r="ABY144" s="1137">
        <f t="shared" si="34"/>
        <v>0</v>
      </c>
      <c r="ABZ144" s="1137">
        <f t="shared" si="34"/>
        <v>0</v>
      </c>
      <c r="ACA144" s="1137">
        <f t="shared" si="34"/>
        <v>0</v>
      </c>
      <c r="ACB144" s="1137">
        <f t="shared" si="34"/>
        <v>0</v>
      </c>
      <c r="ACC144" s="1137">
        <f t="shared" si="34"/>
        <v>0</v>
      </c>
      <c r="ACD144" s="1137">
        <f t="shared" si="34"/>
        <v>0</v>
      </c>
      <c r="ACE144" s="1137" t="s">
        <v>1944</v>
      </c>
      <c r="ACF144" s="1137">
        <f t="shared" ref="ACF144:ACS179" si="39">IF(ABG144&gt;10, 1, 0)</f>
        <v>0</v>
      </c>
      <c r="ACG144" s="1137">
        <f t="shared" si="39"/>
        <v>0</v>
      </c>
      <c r="ACH144" s="1137">
        <f t="shared" si="38"/>
        <v>1</v>
      </c>
      <c r="ACI144" s="1137">
        <f t="shared" si="38"/>
        <v>1</v>
      </c>
      <c r="ACJ144" s="1137">
        <f t="shared" si="38"/>
        <v>1</v>
      </c>
      <c r="ACK144" s="1137">
        <f t="shared" si="38"/>
        <v>0</v>
      </c>
      <c r="ACL144" s="1137">
        <f t="shared" si="38"/>
        <v>0</v>
      </c>
      <c r="ACM144" s="1137">
        <f t="shared" si="38"/>
        <v>1</v>
      </c>
      <c r="ACN144" s="1137">
        <f t="shared" si="38"/>
        <v>0</v>
      </c>
      <c r="ACO144" s="1137">
        <f t="shared" si="38"/>
        <v>0</v>
      </c>
      <c r="ACP144" s="1137">
        <f t="shared" si="38"/>
        <v>1</v>
      </c>
      <c r="ACQ144" s="1137">
        <f t="shared" si="32"/>
        <v>1</v>
      </c>
      <c r="ACR144" s="1137">
        <f t="shared" si="32"/>
        <v>1</v>
      </c>
      <c r="ACS144" s="1137">
        <f t="shared" si="32"/>
        <v>1</v>
      </c>
      <c r="ACT144" s="1137">
        <f t="shared" si="32"/>
        <v>1</v>
      </c>
      <c r="ACU144" s="1137">
        <f t="shared" si="32"/>
        <v>1</v>
      </c>
      <c r="ACV144" s="1137">
        <f t="shared" si="32"/>
        <v>0</v>
      </c>
      <c r="ACW144" s="1137">
        <f t="shared" si="32"/>
        <v>0</v>
      </c>
      <c r="ACX144" s="1137">
        <f t="shared" si="32"/>
        <v>0</v>
      </c>
      <c r="ACY144" s="1137">
        <f t="shared" si="32"/>
        <v>0</v>
      </c>
      <c r="ACZ144" s="1137">
        <f t="shared" si="32"/>
        <v>0</v>
      </c>
      <c r="ADA144" s="1137">
        <f t="shared" si="35"/>
        <v>0</v>
      </c>
      <c r="ADB144" s="1137">
        <f t="shared" si="35"/>
        <v>0</v>
      </c>
      <c r="ADC144" s="1137">
        <f t="shared" si="35"/>
        <v>0</v>
      </c>
    </row>
    <row r="145" spans="1:783" x14ac:dyDescent="0.25">
      <c r="A145" t="s">
        <v>1945</v>
      </c>
      <c r="B145" t="s">
        <v>243</v>
      </c>
      <c r="C145">
        <v>0</v>
      </c>
      <c r="D145">
        <v>0</v>
      </c>
      <c r="E145">
        <v>0</v>
      </c>
      <c r="F145">
        <v>0</v>
      </c>
      <c r="G145">
        <v>0</v>
      </c>
      <c r="H145">
        <v>0</v>
      </c>
      <c r="I145">
        <v>0</v>
      </c>
      <c r="J145">
        <v>0</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0</v>
      </c>
      <c r="AR145">
        <v>0</v>
      </c>
      <c r="AS145">
        <v>0</v>
      </c>
      <c r="AT145">
        <v>0</v>
      </c>
      <c r="AU145">
        <v>0</v>
      </c>
      <c r="AV145">
        <v>0</v>
      </c>
      <c r="AW145">
        <v>0</v>
      </c>
      <c r="AX145">
        <v>0</v>
      </c>
      <c r="AY145">
        <v>0</v>
      </c>
      <c r="AZ145">
        <v>0</v>
      </c>
      <c r="BA145">
        <v>0</v>
      </c>
      <c r="BB145">
        <v>0</v>
      </c>
      <c r="BC145">
        <v>0</v>
      </c>
      <c r="BD145">
        <v>0</v>
      </c>
      <c r="BE145">
        <v>0</v>
      </c>
      <c r="BF145">
        <v>0</v>
      </c>
      <c r="BG145">
        <v>0</v>
      </c>
      <c r="BH145">
        <v>0</v>
      </c>
      <c r="BI145">
        <v>0</v>
      </c>
      <c r="BJ145">
        <v>0</v>
      </c>
      <c r="BK145">
        <v>0</v>
      </c>
      <c r="BL145">
        <v>0</v>
      </c>
      <c r="BM145">
        <v>0</v>
      </c>
      <c r="BN145">
        <v>0</v>
      </c>
      <c r="BO145">
        <v>0</v>
      </c>
      <c r="BP145">
        <v>0</v>
      </c>
      <c r="BQ145">
        <v>0</v>
      </c>
      <c r="BR145">
        <v>0</v>
      </c>
      <c r="BS145">
        <v>0</v>
      </c>
      <c r="BT145">
        <v>0</v>
      </c>
      <c r="BU145">
        <v>0</v>
      </c>
      <c r="BV145">
        <v>0</v>
      </c>
      <c r="BW145">
        <v>0</v>
      </c>
      <c r="BX145">
        <v>0</v>
      </c>
      <c r="BY145">
        <v>0</v>
      </c>
      <c r="BZ145">
        <v>0</v>
      </c>
      <c r="CA145">
        <v>0</v>
      </c>
      <c r="CB145">
        <v>0</v>
      </c>
      <c r="CC145">
        <v>0</v>
      </c>
      <c r="CD145">
        <v>0</v>
      </c>
      <c r="CE145">
        <v>1</v>
      </c>
      <c r="CF145">
        <v>1</v>
      </c>
      <c r="CG145">
        <v>1</v>
      </c>
      <c r="CH145">
        <v>1</v>
      </c>
      <c r="CI145">
        <v>1</v>
      </c>
      <c r="CJ145">
        <v>1</v>
      </c>
      <c r="CK145">
        <v>1</v>
      </c>
      <c r="CL145">
        <v>1</v>
      </c>
      <c r="CM145">
        <v>1</v>
      </c>
      <c r="CN145">
        <v>2</v>
      </c>
      <c r="CO145">
        <v>2</v>
      </c>
      <c r="CP145">
        <v>2</v>
      </c>
      <c r="CQ145">
        <v>2</v>
      </c>
      <c r="CR145">
        <v>2</v>
      </c>
      <c r="CS145">
        <v>2</v>
      </c>
      <c r="CT145">
        <v>2</v>
      </c>
      <c r="CU145">
        <v>2</v>
      </c>
      <c r="CV145">
        <v>2</v>
      </c>
      <c r="CW145">
        <v>2</v>
      </c>
      <c r="CX145">
        <v>2</v>
      </c>
      <c r="CY145">
        <v>2</v>
      </c>
      <c r="CZ145">
        <v>2</v>
      </c>
      <c r="DA145">
        <v>2</v>
      </c>
      <c r="DB145">
        <v>2</v>
      </c>
      <c r="DC145">
        <v>2</v>
      </c>
      <c r="DD145">
        <v>2</v>
      </c>
      <c r="DE145">
        <v>2</v>
      </c>
      <c r="DF145">
        <v>2</v>
      </c>
      <c r="DG145">
        <v>2</v>
      </c>
      <c r="DH145">
        <v>2</v>
      </c>
      <c r="DI145">
        <v>2</v>
      </c>
      <c r="DJ145">
        <v>2</v>
      </c>
      <c r="DK145">
        <v>2</v>
      </c>
      <c r="DL145">
        <v>2</v>
      </c>
      <c r="DM145">
        <v>2</v>
      </c>
      <c r="DN145">
        <v>2</v>
      </c>
      <c r="DO145">
        <v>2</v>
      </c>
      <c r="DP145">
        <v>2</v>
      </c>
      <c r="DQ145">
        <v>2</v>
      </c>
      <c r="DR145">
        <v>2</v>
      </c>
      <c r="DS145">
        <v>2</v>
      </c>
      <c r="DT145">
        <v>2</v>
      </c>
      <c r="DU145">
        <v>2</v>
      </c>
      <c r="DV145">
        <v>2</v>
      </c>
      <c r="DW145">
        <v>2</v>
      </c>
      <c r="DX145">
        <v>2</v>
      </c>
      <c r="DY145">
        <v>2</v>
      </c>
      <c r="DZ145">
        <v>2</v>
      </c>
      <c r="EA145">
        <v>2</v>
      </c>
      <c r="EB145">
        <v>2</v>
      </c>
      <c r="EC145">
        <v>2</v>
      </c>
      <c r="ED145">
        <v>2</v>
      </c>
      <c r="EE145">
        <v>2</v>
      </c>
      <c r="EF145">
        <v>2</v>
      </c>
      <c r="EG145">
        <v>2</v>
      </c>
      <c r="EH145">
        <v>2</v>
      </c>
      <c r="EI145">
        <v>2</v>
      </c>
      <c r="EJ145">
        <v>2</v>
      </c>
      <c r="EK145">
        <v>2</v>
      </c>
      <c r="EL145">
        <v>2</v>
      </c>
      <c r="EM145">
        <v>2</v>
      </c>
      <c r="EN145">
        <v>2</v>
      </c>
      <c r="EO145">
        <v>2</v>
      </c>
      <c r="EP145">
        <v>2</v>
      </c>
      <c r="EQ145">
        <v>2</v>
      </c>
      <c r="ER145">
        <v>2</v>
      </c>
      <c r="ES145">
        <v>2</v>
      </c>
      <c r="ET145">
        <v>2</v>
      </c>
      <c r="EU145">
        <v>2</v>
      </c>
      <c r="EV145">
        <v>2</v>
      </c>
      <c r="EW145">
        <v>2</v>
      </c>
      <c r="EX145">
        <v>2</v>
      </c>
      <c r="EY145">
        <v>0</v>
      </c>
      <c r="EZ145">
        <v>0</v>
      </c>
      <c r="FA145">
        <v>0</v>
      </c>
      <c r="FB145">
        <v>0</v>
      </c>
      <c r="FC145">
        <v>0</v>
      </c>
      <c r="FD145">
        <v>0</v>
      </c>
      <c r="FE145">
        <v>0</v>
      </c>
      <c r="FF145">
        <v>0</v>
      </c>
      <c r="FG145">
        <v>0</v>
      </c>
      <c r="FH145">
        <v>0</v>
      </c>
      <c r="FI145">
        <v>0</v>
      </c>
      <c r="FJ145">
        <v>0</v>
      </c>
      <c r="FK145">
        <v>0</v>
      </c>
      <c r="FL145">
        <v>0</v>
      </c>
      <c r="FM145">
        <v>0</v>
      </c>
      <c r="FN145">
        <v>0</v>
      </c>
      <c r="FO145">
        <v>0</v>
      </c>
      <c r="FP145">
        <v>0</v>
      </c>
      <c r="FQ145">
        <v>0</v>
      </c>
      <c r="FR145">
        <v>0</v>
      </c>
      <c r="FS145">
        <v>0</v>
      </c>
      <c r="FT145">
        <v>0</v>
      </c>
      <c r="FU145">
        <v>0</v>
      </c>
      <c r="FV145">
        <v>0</v>
      </c>
      <c r="FW145">
        <v>0</v>
      </c>
      <c r="FX145">
        <v>0</v>
      </c>
      <c r="FY145">
        <v>0</v>
      </c>
      <c r="FZ145">
        <v>0</v>
      </c>
      <c r="GA145">
        <v>0</v>
      </c>
      <c r="GB145">
        <v>0</v>
      </c>
      <c r="GC145">
        <v>0</v>
      </c>
      <c r="GD145">
        <v>0</v>
      </c>
      <c r="GE145">
        <v>0</v>
      </c>
      <c r="GF145">
        <v>0</v>
      </c>
      <c r="GG145">
        <v>0</v>
      </c>
      <c r="GH145">
        <v>0</v>
      </c>
      <c r="GI145">
        <v>0</v>
      </c>
      <c r="GJ145">
        <v>0</v>
      </c>
      <c r="GK145">
        <v>0</v>
      </c>
      <c r="GL145">
        <v>0</v>
      </c>
      <c r="GM145">
        <v>0</v>
      </c>
      <c r="GN145">
        <v>0</v>
      </c>
      <c r="GO145">
        <v>0</v>
      </c>
      <c r="GP145">
        <v>0</v>
      </c>
      <c r="GQ145">
        <v>0</v>
      </c>
      <c r="GR145">
        <v>0</v>
      </c>
      <c r="GS145">
        <v>0</v>
      </c>
      <c r="GT145">
        <v>0</v>
      </c>
      <c r="GU145">
        <v>0</v>
      </c>
      <c r="GV145">
        <v>0</v>
      </c>
      <c r="GW145">
        <v>0</v>
      </c>
      <c r="GX145">
        <v>0</v>
      </c>
      <c r="GY145">
        <v>0</v>
      </c>
      <c r="GZ145">
        <v>0</v>
      </c>
      <c r="HA145">
        <v>0</v>
      </c>
      <c r="HB145">
        <v>0</v>
      </c>
      <c r="HC145">
        <v>0</v>
      </c>
      <c r="HD145">
        <v>0</v>
      </c>
      <c r="HE145">
        <v>0</v>
      </c>
      <c r="HF145">
        <v>0</v>
      </c>
      <c r="HG145">
        <v>0</v>
      </c>
      <c r="HH145">
        <v>0</v>
      </c>
      <c r="HI145">
        <v>0</v>
      </c>
      <c r="HJ145">
        <v>0</v>
      </c>
      <c r="HK145">
        <v>0</v>
      </c>
      <c r="HL145">
        <v>0</v>
      </c>
      <c r="HM145">
        <v>0</v>
      </c>
      <c r="HN145">
        <v>0</v>
      </c>
      <c r="HO145">
        <v>0</v>
      </c>
      <c r="HP145">
        <v>0</v>
      </c>
      <c r="HQ145">
        <v>0</v>
      </c>
      <c r="HR145">
        <v>0</v>
      </c>
      <c r="HS145">
        <v>0</v>
      </c>
      <c r="HT145">
        <v>0</v>
      </c>
      <c r="HU145">
        <v>0</v>
      </c>
      <c r="HV145">
        <v>0</v>
      </c>
      <c r="HW145">
        <v>0</v>
      </c>
      <c r="HX145">
        <v>0</v>
      </c>
      <c r="HY145">
        <v>0</v>
      </c>
      <c r="HZ145">
        <v>0</v>
      </c>
      <c r="IA145">
        <v>0</v>
      </c>
      <c r="IB145">
        <v>0</v>
      </c>
      <c r="IC145">
        <v>0</v>
      </c>
      <c r="ID145">
        <v>0</v>
      </c>
      <c r="IE145">
        <v>0</v>
      </c>
      <c r="IF145">
        <v>0</v>
      </c>
      <c r="IG145">
        <v>0</v>
      </c>
      <c r="IH145">
        <v>0</v>
      </c>
      <c r="II145">
        <v>0</v>
      </c>
      <c r="IJ145">
        <v>0</v>
      </c>
      <c r="IK145">
        <v>0</v>
      </c>
      <c r="IL145">
        <v>0</v>
      </c>
      <c r="IM145">
        <v>0</v>
      </c>
      <c r="IN145">
        <v>0</v>
      </c>
      <c r="IO145">
        <v>0</v>
      </c>
      <c r="IP145">
        <v>0</v>
      </c>
      <c r="IQ145">
        <v>0</v>
      </c>
      <c r="IR145">
        <v>0</v>
      </c>
      <c r="IS145">
        <v>0</v>
      </c>
      <c r="IT145">
        <v>0</v>
      </c>
      <c r="IU145">
        <v>0</v>
      </c>
      <c r="IV145">
        <v>0</v>
      </c>
      <c r="IW145">
        <v>0</v>
      </c>
      <c r="IX145">
        <v>0</v>
      </c>
      <c r="IY145">
        <v>0</v>
      </c>
      <c r="IZ145">
        <v>0</v>
      </c>
      <c r="JA145">
        <v>0</v>
      </c>
      <c r="JB145">
        <v>0</v>
      </c>
      <c r="JC145">
        <v>0</v>
      </c>
      <c r="JD145">
        <v>0</v>
      </c>
      <c r="JE145">
        <v>0</v>
      </c>
      <c r="JF145">
        <v>0</v>
      </c>
      <c r="JG145">
        <v>0</v>
      </c>
      <c r="JH145">
        <v>0</v>
      </c>
      <c r="JI145">
        <v>0</v>
      </c>
      <c r="JJ145">
        <v>0</v>
      </c>
      <c r="JK145">
        <v>0</v>
      </c>
      <c r="JL145">
        <v>0</v>
      </c>
      <c r="JM145">
        <v>0</v>
      </c>
      <c r="JN145">
        <v>0</v>
      </c>
      <c r="JO145">
        <v>0</v>
      </c>
      <c r="JP145">
        <v>0</v>
      </c>
      <c r="JQ145">
        <v>0</v>
      </c>
      <c r="JR145">
        <v>0</v>
      </c>
      <c r="JS145">
        <v>0</v>
      </c>
      <c r="JT145">
        <v>0</v>
      </c>
      <c r="JU145">
        <v>0</v>
      </c>
      <c r="JV145">
        <v>0</v>
      </c>
      <c r="JW145">
        <v>0</v>
      </c>
      <c r="JX145">
        <v>0</v>
      </c>
      <c r="JY145">
        <v>0</v>
      </c>
      <c r="JZ145">
        <v>0</v>
      </c>
      <c r="KA145">
        <v>0</v>
      </c>
      <c r="KB145">
        <v>0</v>
      </c>
      <c r="KC145">
        <v>0</v>
      </c>
      <c r="KD145">
        <v>0</v>
      </c>
      <c r="KE145">
        <v>0</v>
      </c>
      <c r="KF145">
        <v>0</v>
      </c>
      <c r="KG145">
        <v>0</v>
      </c>
      <c r="KH145">
        <v>0</v>
      </c>
      <c r="KI145">
        <v>0</v>
      </c>
      <c r="KJ145">
        <v>0</v>
      </c>
      <c r="KK145">
        <v>0</v>
      </c>
      <c r="KL145">
        <v>0</v>
      </c>
      <c r="KM145">
        <v>0</v>
      </c>
      <c r="KN145">
        <v>0</v>
      </c>
      <c r="KO145">
        <v>0</v>
      </c>
      <c r="KP145">
        <v>0</v>
      </c>
      <c r="KQ145">
        <v>0</v>
      </c>
      <c r="KR145">
        <v>0</v>
      </c>
      <c r="KS145">
        <v>0</v>
      </c>
      <c r="KT145">
        <v>0</v>
      </c>
      <c r="KU145">
        <v>0</v>
      </c>
      <c r="KV145">
        <v>0</v>
      </c>
      <c r="KW145">
        <v>0</v>
      </c>
      <c r="KX145">
        <v>0</v>
      </c>
      <c r="KY145">
        <v>0</v>
      </c>
      <c r="KZ145">
        <v>0</v>
      </c>
      <c r="LA145">
        <v>0</v>
      </c>
      <c r="LB145">
        <v>0</v>
      </c>
      <c r="LC145">
        <v>0</v>
      </c>
      <c r="LD145">
        <v>0</v>
      </c>
      <c r="LE145">
        <v>0</v>
      </c>
      <c r="LF145">
        <v>0</v>
      </c>
      <c r="LG145">
        <v>0</v>
      </c>
      <c r="LH145">
        <v>0</v>
      </c>
      <c r="LI145">
        <v>0</v>
      </c>
      <c r="LJ145">
        <v>0</v>
      </c>
      <c r="LK145">
        <v>2</v>
      </c>
      <c r="LL145">
        <v>2</v>
      </c>
      <c r="LM145">
        <v>2</v>
      </c>
      <c r="LN145">
        <v>2</v>
      </c>
      <c r="LO145">
        <v>2</v>
      </c>
      <c r="LP145">
        <v>2</v>
      </c>
      <c r="LQ145">
        <v>2</v>
      </c>
      <c r="LR145">
        <v>2</v>
      </c>
      <c r="LS145">
        <v>2</v>
      </c>
      <c r="LT145">
        <v>2</v>
      </c>
      <c r="LU145">
        <v>2</v>
      </c>
      <c r="LV145">
        <v>2</v>
      </c>
      <c r="LW145">
        <v>2</v>
      </c>
      <c r="LX145">
        <v>2</v>
      </c>
      <c r="LY145">
        <v>2</v>
      </c>
      <c r="LZ145">
        <v>2</v>
      </c>
      <c r="MA145">
        <v>2</v>
      </c>
      <c r="MB145">
        <v>2</v>
      </c>
      <c r="MC145">
        <v>2</v>
      </c>
      <c r="MD145">
        <v>2</v>
      </c>
      <c r="ME145">
        <v>2</v>
      </c>
      <c r="MF145">
        <v>2</v>
      </c>
      <c r="MG145">
        <v>2</v>
      </c>
      <c r="MH145">
        <v>2</v>
      </c>
      <c r="MI145">
        <v>2</v>
      </c>
      <c r="MJ145">
        <v>2</v>
      </c>
      <c r="MK145">
        <v>2</v>
      </c>
      <c r="ML145">
        <v>2</v>
      </c>
      <c r="MM145">
        <v>2</v>
      </c>
      <c r="MN145">
        <v>2</v>
      </c>
      <c r="MO145">
        <v>2</v>
      </c>
      <c r="MP145">
        <v>2</v>
      </c>
      <c r="MQ145">
        <v>2</v>
      </c>
      <c r="MR145">
        <v>2</v>
      </c>
      <c r="MS145">
        <v>2</v>
      </c>
      <c r="MT145">
        <v>2</v>
      </c>
      <c r="MU145">
        <v>2</v>
      </c>
      <c r="MV145">
        <v>2</v>
      </c>
      <c r="MW145">
        <v>2</v>
      </c>
      <c r="MX145">
        <v>2</v>
      </c>
      <c r="MY145">
        <v>2</v>
      </c>
      <c r="MZ145">
        <v>2</v>
      </c>
      <c r="NA145">
        <v>2</v>
      </c>
      <c r="NB145">
        <v>2</v>
      </c>
      <c r="NC145">
        <v>2</v>
      </c>
      <c r="ND145">
        <v>2</v>
      </c>
      <c r="NE145">
        <v>2</v>
      </c>
      <c r="NF145">
        <v>2</v>
      </c>
      <c r="NG145">
        <v>2</v>
      </c>
      <c r="NH145">
        <v>2</v>
      </c>
      <c r="NI145">
        <v>2</v>
      </c>
      <c r="NJ145">
        <v>2</v>
      </c>
      <c r="NK145">
        <v>2</v>
      </c>
      <c r="NL145">
        <v>2</v>
      </c>
      <c r="NM145">
        <v>2</v>
      </c>
      <c r="NN145">
        <v>2</v>
      </c>
      <c r="NO145">
        <v>2</v>
      </c>
      <c r="NP145">
        <v>2</v>
      </c>
      <c r="NQ145">
        <v>2</v>
      </c>
      <c r="NR145">
        <v>2</v>
      </c>
      <c r="NS145">
        <v>2</v>
      </c>
      <c r="NT145">
        <v>2</v>
      </c>
      <c r="NU145">
        <v>2</v>
      </c>
      <c r="NV145">
        <v>2</v>
      </c>
      <c r="NW145">
        <v>2</v>
      </c>
      <c r="NX145">
        <v>2</v>
      </c>
      <c r="NY145">
        <v>2</v>
      </c>
      <c r="NZ145">
        <v>2</v>
      </c>
      <c r="OA145">
        <v>2</v>
      </c>
      <c r="OB145">
        <v>2</v>
      </c>
      <c r="OC145">
        <v>2</v>
      </c>
      <c r="OD145">
        <v>2</v>
      </c>
      <c r="OE145">
        <v>2</v>
      </c>
      <c r="OF145">
        <v>2</v>
      </c>
      <c r="OG145">
        <v>2</v>
      </c>
      <c r="OH145">
        <v>2</v>
      </c>
      <c r="OI145">
        <v>2</v>
      </c>
      <c r="OJ145">
        <v>2</v>
      </c>
      <c r="OK145">
        <v>2</v>
      </c>
      <c r="OL145">
        <v>2</v>
      </c>
      <c r="OM145">
        <v>2</v>
      </c>
      <c r="ON145">
        <v>2</v>
      </c>
      <c r="OO145">
        <v>2</v>
      </c>
      <c r="OP145">
        <v>2</v>
      </c>
      <c r="OQ145">
        <v>2</v>
      </c>
      <c r="OR145">
        <v>2</v>
      </c>
      <c r="OS145">
        <v>2</v>
      </c>
      <c r="OT145">
        <v>2</v>
      </c>
      <c r="OU145">
        <v>2</v>
      </c>
      <c r="OV145">
        <v>2</v>
      </c>
      <c r="OW145">
        <v>2</v>
      </c>
      <c r="OX145">
        <v>2</v>
      </c>
      <c r="OY145">
        <v>2</v>
      </c>
      <c r="OZ145">
        <v>2</v>
      </c>
      <c r="PA145">
        <v>2</v>
      </c>
      <c r="PB145">
        <v>2</v>
      </c>
      <c r="PC145">
        <v>2</v>
      </c>
      <c r="PD145">
        <v>2</v>
      </c>
      <c r="PE145">
        <v>2</v>
      </c>
      <c r="PF145">
        <v>2</v>
      </c>
      <c r="PG145">
        <v>2</v>
      </c>
      <c r="PH145">
        <v>2</v>
      </c>
      <c r="PI145">
        <v>2</v>
      </c>
      <c r="PJ145">
        <v>2</v>
      </c>
      <c r="PK145">
        <v>2</v>
      </c>
      <c r="PL145">
        <v>2</v>
      </c>
      <c r="PM145">
        <v>2</v>
      </c>
      <c r="PN145">
        <v>2</v>
      </c>
      <c r="PO145">
        <v>2</v>
      </c>
      <c r="PP145">
        <v>2</v>
      </c>
      <c r="PQ145">
        <v>2</v>
      </c>
      <c r="PR145">
        <v>2</v>
      </c>
      <c r="PS145">
        <v>2</v>
      </c>
      <c r="PT145">
        <v>2</v>
      </c>
      <c r="PU145">
        <v>2</v>
      </c>
      <c r="PV145">
        <v>2</v>
      </c>
      <c r="PW145">
        <v>2</v>
      </c>
      <c r="PX145">
        <v>2</v>
      </c>
      <c r="PY145">
        <v>2</v>
      </c>
      <c r="PZ145">
        <v>2</v>
      </c>
      <c r="QA145">
        <v>2</v>
      </c>
      <c r="QB145">
        <v>2</v>
      </c>
      <c r="QC145">
        <v>2</v>
      </c>
      <c r="QD145">
        <v>2</v>
      </c>
      <c r="QE145">
        <v>2</v>
      </c>
      <c r="QF145">
        <v>2</v>
      </c>
      <c r="QG145">
        <v>2</v>
      </c>
      <c r="QH145">
        <v>2</v>
      </c>
      <c r="QI145">
        <v>2</v>
      </c>
      <c r="QJ145">
        <v>2</v>
      </c>
      <c r="QK145">
        <v>2</v>
      </c>
      <c r="QL145">
        <v>2</v>
      </c>
      <c r="QM145">
        <v>2</v>
      </c>
      <c r="QN145">
        <v>2</v>
      </c>
      <c r="QO145">
        <v>2</v>
      </c>
      <c r="QP145">
        <v>2</v>
      </c>
      <c r="QQ145">
        <v>2</v>
      </c>
      <c r="QR145">
        <v>2</v>
      </c>
      <c r="QS145">
        <v>2</v>
      </c>
      <c r="QT145">
        <v>2</v>
      </c>
      <c r="QU145">
        <v>2</v>
      </c>
      <c r="QV145">
        <v>2</v>
      </c>
      <c r="QW145">
        <v>2</v>
      </c>
      <c r="QX145">
        <v>2</v>
      </c>
      <c r="QY145">
        <v>2</v>
      </c>
      <c r="QZ145">
        <v>2</v>
      </c>
      <c r="RA145">
        <v>2</v>
      </c>
      <c r="RB145">
        <v>2</v>
      </c>
      <c r="RC145">
        <v>2</v>
      </c>
      <c r="RD145">
        <v>2</v>
      </c>
      <c r="RE145">
        <v>2</v>
      </c>
      <c r="RF145">
        <v>2</v>
      </c>
      <c r="RG145">
        <v>2</v>
      </c>
      <c r="RH145">
        <v>2</v>
      </c>
      <c r="RI145">
        <v>2</v>
      </c>
      <c r="RJ145">
        <v>2</v>
      </c>
      <c r="RK145">
        <v>2</v>
      </c>
      <c r="RL145">
        <v>2</v>
      </c>
      <c r="RM145">
        <v>2</v>
      </c>
      <c r="RN145">
        <v>2</v>
      </c>
      <c r="RO145">
        <v>2</v>
      </c>
      <c r="RP145">
        <v>2</v>
      </c>
      <c r="RQ145">
        <v>2</v>
      </c>
      <c r="RR145">
        <v>2</v>
      </c>
      <c r="RS145">
        <v>2</v>
      </c>
      <c r="RT145">
        <v>2</v>
      </c>
      <c r="RU145">
        <v>2</v>
      </c>
      <c r="RV145">
        <v>2</v>
      </c>
      <c r="RW145">
        <v>2</v>
      </c>
      <c r="RX145">
        <v>2</v>
      </c>
      <c r="RY145">
        <v>2</v>
      </c>
      <c r="RZ145">
        <v>2</v>
      </c>
      <c r="SA145">
        <v>2</v>
      </c>
      <c r="SB145">
        <v>2</v>
      </c>
      <c r="SC145">
        <v>2</v>
      </c>
      <c r="SD145">
        <v>2</v>
      </c>
      <c r="SE145">
        <v>2</v>
      </c>
      <c r="SF145">
        <v>2</v>
      </c>
      <c r="SG145">
        <v>2</v>
      </c>
      <c r="SH145">
        <v>2</v>
      </c>
      <c r="SI145">
        <v>0</v>
      </c>
      <c r="SJ145">
        <v>0</v>
      </c>
      <c r="SK145">
        <v>0</v>
      </c>
      <c r="SL145">
        <v>0</v>
      </c>
      <c r="SM145">
        <v>0</v>
      </c>
      <c r="SN145">
        <v>0</v>
      </c>
      <c r="SO145">
        <v>0</v>
      </c>
      <c r="SP145">
        <v>0</v>
      </c>
      <c r="SQ145">
        <v>0</v>
      </c>
      <c r="SR145">
        <v>0</v>
      </c>
      <c r="SS145">
        <v>0</v>
      </c>
      <c r="ST145">
        <v>0</v>
      </c>
      <c r="SU145">
        <v>0</v>
      </c>
      <c r="SV145">
        <v>0</v>
      </c>
      <c r="SW145">
        <v>0</v>
      </c>
      <c r="SX145">
        <v>0</v>
      </c>
      <c r="SY145">
        <v>0</v>
      </c>
      <c r="SZ145">
        <v>0</v>
      </c>
      <c r="TA145">
        <v>0</v>
      </c>
      <c r="TB145">
        <v>0</v>
      </c>
      <c r="TC145">
        <v>0</v>
      </c>
      <c r="TD145">
        <v>0</v>
      </c>
      <c r="TE145">
        <v>0</v>
      </c>
      <c r="TF145">
        <v>0</v>
      </c>
      <c r="TG145">
        <v>0</v>
      </c>
      <c r="TH145">
        <v>0</v>
      </c>
      <c r="TI145">
        <v>0</v>
      </c>
      <c r="TJ145">
        <v>0</v>
      </c>
      <c r="TK145">
        <v>0</v>
      </c>
      <c r="TL145">
        <v>0</v>
      </c>
      <c r="TM145">
        <v>0</v>
      </c>
      <c r="TN145">
        <v>0</v>
      </c>
      <c r="TO145">
        <v>0</v>
      </c>
      <c r="TP145">
        <v>0</v>
      </c>
      <c r="TQ145">
        <v>0</v>
      </c>
      <c r="TR145">
        <v>0</v>
      </c>
      <c r="TS145">
        <v>0</v>
      </c>
      <c r="TT145">
        <v>0</v>
      </c>
      <c r="TU145">
        <v>0</v>
      </c>
      <c r="TV145">
        <v>0</v>
      </c>
      <c r="TW145">
        <v>0</v>
      </c>
      <c r="TX145">
        <v>0</v>
      </c>
      <c r="TY145">
        <v>0</v>
      </c>
      <c r="TZ145">
        <v>0</v>
      </c>
      <c r="UA145">
        <v>0</v>
      </c>
      <c r="UB145">
        <v>0</v>
      </c>
      <c r="UC145">
        <v>0</v>
      </c>
      <c r="UD145">
        <v>0</v>
      </c>
      <c r="UE145">
        <v>0</v>
      </c>
      <c r="UF145">
        <v>0</v>
      </c>
      <c r="UG145">
        <v>0</v>
      </c>
      <c r="UH145">
        <v>0</v>
      </c>
      <c r="UI145">
        <v>0</v>
      </c>
      <c r="UJ145">
        <v>0</v>
      </c>
      <c r="UK145">
        <v>0</v>
      </c>
      <c r="UL145">
        <v>0</v>
      </c>
      <c r="UM145">
        <v>0</v>
      </c>
      <c r="UN145">
        <v>0</v>
      </c>
      <c r="UO145">
        <v>0</v>
      </c>
      <c r="UP145">
        <v>0</v>
      </c>
      <c r="UQ145">
        <v>0</v>
      </c>
      <c r="UR145">
        <v>0</v>
      </c>
      <c r="US145">
        <v>0</v>
      </c>
      <c r="UT145">
        <v>0</v>
      </c>
      <c r="UU145">
        <v>0</v>
      </c>
      <c r="UV145">
        <v>0</v>
      </c>
      <c r="UW145">
        <v>0</v>
      </c>
      <c r="UX145">
        <v>0</v>
      </c>
      <c r="UY145">
        <v>0</v>
      </c>
      <c r="UZ145">
        <v>0</v>
      </c>
      <c r="VA145">
        <v>0</v>
      </c>
      <c r="VB145">
        <v>0</v>
      </c>
      <c r="VC145">
        <v>0</v>
      </c>
      <c r="VD145">
        <v>0</v>
      </c>
      <c r="VE145">
        <v>0</v>
      </c>
      <c r="VF145">
        <v>0</v>
      </c>
      <c r="VG145">
        <v>0</v>
      </c>
      <c r="VH145">
        <v>0</v>
      </c>
      <c r="VI145">
        <v>0</v>
      </c>
      <c r="VJ145">
        <v>0</v>
      </c>
      <c r="VK145">
        <v>0</v>
      </c>
      <c r="VL145">
        <v>0</v>
      </c>
      <c r="VM145">
        <v>0</v>
      </c>
      <c r="VN145">
        <v>0</v>
      </c>
      <c r="VO145">
        <v>0</v>
      </c>
      <c r="VP145">
        <v>0</v>
      </c>
      <c r="VQ145">
        <v>1</v>
      </c>
      <c r="VR145">
        <v>1</v>
      </c>
      <c r="VS145">
        <v>1</v>
      </c>
      <c r="VT145">
        <v>1</v>
      </c>
      <c r="VU145">
        <v>1</v>
      </c>
      <c r="VV145">
        <v>1</v>
      </c>
      <c r="VW145">
        <v>1</v>
      </c>
      <c r="VX145">
        <v>1</v>
      </c>
      <c r="VY145">
        <v>1</v>
      </c>
      <c r="VZ145">
        <v>1</v>
      </c>
      <c r="WA145">
        <v>1</v>
      </c>
      <c r="WB145">
        <v>1</v>
      </c>
      <c r="WC145">
        <v>1</v>
      </c>
      <c r="WD145">
        <v>1</v>
      </c>
      <c r="WE145">
        <v>1</v>
      </c>
      <c r="WF145">
        <v>1</v>
      </c>
      <c r="WG145">
        <v>1</v>
      </c>
      <c r="WH145">
        <v>1</v>
      </c>
      <c r="WI145">
        <v>1</v>
      </c>
      <c r="WJ145">
        <v>1</v>
      </c>
      <c r="WK145">
        <v>1</v>
      </c>
      <c r="WL145">
        <v>1</v>
      </c>
      <c r="WM145">
        <v>1</v>
      </c>
      <c r="WN145">
        <v>1</v>
      </c>
      <c r="WO145">
        <v>1</v>
      </c>
      <c r="WP145">
        <v>1</v>
      </c>
      <c r="WQ145">
        <v>1</v>
      </c>
      <c r="WR145">
        <v>1</v>
      </c>
      <c r="WS145">
        <v>1</v>
      </c>
      <c r="WT145">
        <v>1</v>
      </c>
      <c r="WU145">
        <v>1</v>
      </c>
      <c r="WV145">
        <v>1</v>
      </c>
      <c r="WW145">
        <v>1</v>
      </c>
      <c r="WX145">
        <v>1</v>
      </c>
      <c r="WY145">
        <v>1</v>
      </c>
      <c r="WZ145">
        <v>1</v>
      </c>
      <c r="XA145">
        <v>1</v>
      </c>
      <c r="XB145">
        <v>1</v>
      </c>
      <c r="XC145">
        <v>1</v>
      </c>
      <c r="XD145">
        <v>1</v>
      </c>
      <c r="XE145">
        <v>1</v>
      </c>
      <c r="XF145">
        <v>1</v>
      </c>
      <c r="XG145">
        <v>1</v>
      </c>
      <c r="XH145">
        <v>1</v>
      </c>
      <c r="XI145">
        <v>1</v>
      </c>
      <c r="XJ145">
        <v>1</v>
      </c>
      <c r="XK145">
        <v>1</v>
      </c>
      <c r="XL145">
        <v>1</v>
      </c>
      <c r="XM145">
        <v>1</v>
      </c>
      <c r="XN145">
        <v>1</v>
      </c>
      <c r="XO145">
        <v>2</v>
      </c>
      <c r="XP145">
        <v>2</v>
      </c>
      <c r="XQ145">
        <v>2</v>
      </c>
      <c r="XR145">
        <v>2</v>
      </c>
      <c r="XS145">
        <v>2</v>
      </c>
      <c r="XT145">
        <v>2</v>
      </c>
      <c r="XU145">
        <v>2</v>
      </c>
      <c r="XV145">
        <v>2</v>
      </c>
      <c r="XW145">
        <v>2</v>
      </c>
      <c r="XX145">
        <v>2</v>
      </c>
      <c r="XY145">
        <v>2</v>
      </c>
      <c r="XZ145">
        <v>2</v>
      </c>
      <c r="YA145">
        <v>2</v>
      </c>
      <c r="YB145">
        <v>2</v>
      </c>
      <c r="YC145">
        <v>2</v>
      </c>
      <c r="YD145">
        <v>2</v>
      </c>
      <c r="YE145">
        <v>2</v>
      </c>
      <c r="YF145">
        <v>2</v>
      </c>
      <c r="YG145">
        <v>2</v>
      </c>
      <c r="YH145">
        <v>2</v>
      </c>
      <c r="YI145">
        <v>2</v>
      </c>
      <c r="YJ145">
        <v>2</v>
      </c>
      <c r="YK145">
        <v>2</v>
      </c>
      <c r="YL145">
        <v>2</v>
      </c>
      <c r="YM145">
        <v>2</v>
      </c>
      <c r="YN145">
        <v>2</v>
      </c>
      <c r="YO145">
        <v>2</v>
      </c>
      <c r="YP145">
        <v>1</v>
      </c>
      <c r="YQ145">
        <v>1</v>
      </c>
      <c r="YR145">
        <v>1</v>
      </c>
      <c r="YS145">
        <v>1</v>
      </c>
      <c r="YT145">
        <v>1</v>
      </c>
      <c r="YU145">
        <v>1</v>
      </c>
      <c r="YV145">
        <v>1</v>
      </c>
      <c r="YW145">
        <v>1</v>
      </c>
      <c r="YX145">
        <v>1</v>
      </c>
      <c r="YY145">
        <v>1</v>
      </c>
      <c r="YZ145">
        <v>1</v>
      </c>
      <c r="ZA145">
        <v>1</v>
      </c>
      <c r="ZB145">
        <v>1</v>
      </c>
      <c r="ZC145">
        <v>1</v>
      </c>
      <c r="ZD145">
        <v>1</v>
      </c>
      <c r="ZE145">
        <v>1</v>
      </c>
      <c r="ZF145">
        <v>1</v>
      </c>
      <c r="ZG145">
        <v>1</v>
      </c>
      <c r="ZH145">
        <v>1</v>
      </c>
      <c r="ZI145">
        <v>1</v>
      </c>
      <c r="ZJ145">
        <v>1</v>
      </c>
      <c r="ZK145">
        <v>1</v>
      </c>
      <c r="ZL145">
        <v>1</v>
      </c>
      <c r="ZM145">
        <v>1</v>
      </c>
      <c r="ZN145">
        <v>1</v>
      </c>
      <c r="ZO145">
        <v>1</v>
      </c>
      <c r="ZP145">
        <v>1</v>
      </c>
      <c r="ZQ145">
        <v>1</v>
      </c>
      <c r="ZR145">
        <v>1</v>
      </c>
      <c r="ZS145">
        <v>1</v>
      </c>
      <c r="ZT145">
        <v>1</v>
      </c>
      <c r="ZU145">
        <v>1</v>
      </c>
      <c r="ZV145">
        <v>1</v>
      </c>
      <c r="ZW145">
        <v>1</v>
      </c>
      <c r="ZX145">
        <v>1</v>
      </c>
      <c r="ZY145">
        <v>1</v>
      </c>
      <c r="ZZ145">
        <v>1</v>
      </c>
      <c r="AAA145">
        <v>1</v>
      </c>
      <c r="AAB145">
        <v>1</v>
      </c>
      <c r="AAC145">
        <v>1</v>
      </c>
      <c r="AAD145">
        <v>1</v>
      </c>
      <c r="AAE145">
        <v>1</v>
      </c>
      <c r="AAF145">
        <v>1</v>
      </c>
      <c r="AAG145">
        <v>1</v>
      </c>
      <c r="AAH145">
        <v>1</v>
      </c>
      <c r="AAI145">
        <v>1</v>
      </c>
      <c r="AAJ145">
        <v>1</v>
      </c>
      <c r="AAK145">
        <v>1</v>
      </c>
      <c r="AAL145">
        <v>1</v>
      </c>
      <c r="AAM145">
        <v>1</v>
      </c>
      <c r="AAN145">
        <v>1</v>
      </c>
      <c r="AAO145">
        <v>1</v>
      </c>
      <c r="AAP145">
        <v>1</v>
      </c>
      <c r="AAQ145">
        <v>1</v>
      </c>
      <c r="AAR145">
        <v>1</v>
      </c>
      <c r="AAS145">
        <v>1</v>
      </c>
      <c r="AAT145">
        <v>1</v>
      </c>
      <c r="AAU145">
        <v>1</v>
      </c>
      <c r="AAV145">
        <v>1</v>
      </c>
      <c r="AAW145">
        <v>1</v>
      </c>
      <c r="AAX145">
        <v>1</v>
      </c>
      <c r="AAY145">
        <v>1</v>
      </c>
      <c r="AAZ145">
        <v>1</v>
      </c>
      <c r="ABA145">
        <v>1</v>
      </c>
      <c r="ABB145">
        <v>1</v>
      </c>
      <c r="ABC145">
        <v>1</v>
      </c>
      <c r="ABD145">
        <v>1</v>
      </c>
      <c r="ABE145">
        <v>1</v>
      </c>
      <c r="ABG145" s="1137">
        <f t="shared" si="37"/>
        <v>0</v>
      </c>
      <c r="ABH145" s="1137">
        <f t="shared" si="37"/>
        <v>0</v>
      </c>
      <c r="ABI145" s="1137">
        <f t="shared" si="37"/>
        <v>11</v>
      </c>
      <c r="ABJ145" s="1137">
        <f t="shared" si="37"/>
        <v>30</v>
      </c>
      <c r="ABK145" s="1137">
        <f t="shared" si="37"/>
        <v>31</v>
      </c>
      <c r="ABL145" s="1137">
        <f t="shared" si="37"/>
        <v>0</v>
      </c>
      <c r="ABM145" s="1137">
        <f t="shared" si="37"/>
        <v>0</v>
      </c>
      <c r="ABN145" s="1137">
        <f t="shared" si="37"/>
        <v>0</v>
      </c>
      <c r="ABO145" s="1137">
        <f t="shared" si="37"/>
        <v>0</v>
      </c>
      <c r="ABP145" s="1137">
        <f t="shared" si="37"/>
        <v>0</v>
      </c>
      <c r="ABQ145" s="1137">
        <f t="shared" si="37"/>
        <v>15</v>
      </c>
      <c r="ABR145" s="1137">
        <f t="shared" si="37"/>
        <v>31</v>
      </c>
      <c r="ABS145" s="1137">
        <f t="shared" si="37"/>
        <v>31</v>
      </c>
      <c r="ABT145" s="1137">
        <f t="shared" si="37"/>
        <v>28</v>
      </c>
      <c r="ABU145" s="1137">
        <f t="shared" si="37"/>
        <v>31</v>
      </c>
      <c r="ABV145" s="1137">
        <f t="shared" si="37"/>
        <v>30</v>
      </c>
      <c r="ABW145" s="1137">
        <f t="shared" si="31"/>
        <v>14</v>
      </c>
      <c r="ABX145" s="1137">
        <f t="shared" si="34"/>
        <v>0</v>
      </c>
      <c r="ABY145" s="1137">
        <f t="shared" si="34"/>
        <v>0</v>
      </c>
      <c r="ABZ145" s="1137">
        <f t="shared" si="34"/>
        <v>23</v>
      </c>
      <c r="ACA145" s="1137">
        <f t="shared" si="34"/>
        <v>30</v>
      </c>
      <c r="ACB145" s="1137">
        <f t="shared" si="34"/>
        <v>31</v>
      </c>
      <c r="ACC145" s="1137">
        <f t="shared" si="34"/>
        <v>30</v>
      </c>
      <c r="ACD145" s="1137">
        <f t="shared" si="34"/>
        <v>31</v>
      </c>
      <c r="ACE145" s="1137" t="s">
        <v>243</v>
      </c>
      <c r="ACF145" s="1137">
        <f t="shared" si="39"/>
        <v>0</v>
      </c>
      <c r="ACG145" s="1137">
        <f t="shared" si="39"/>
        <v>0</v>
      </c>
      <c r="ACH145" s="1137">
        <f t="shared" si="38"/>
        <v>1</v>
      </c>
      <c r="ACI145" s="1137">
        <f t="shared" si="38"/>
        <v>1</v>
      </c>
      <c r="ACJ145" s="1137">
        <f t="shared" si="38"/>
        <v>1</v>
      </c>
      <c r="ACK145" s="1137">
        <f t="shared" si="38"/>
        <v>0</v>
      </c>
      <c r="ACL145" s="1137">
        <f t="shared" si="38"/>
        <v>0</v>
      </c>
      <c r="ACM145" s="1137">
        <f t="shared" si="38"/>
        <v>0</v>
      </c>
      <c r="ACN145" s="1137">
        <f t="shared" si="38"/>
        <v>0</v>
      </c>
      <c r="ACO145" s="1137">
        <f t="shared" si="38"/>
        <v>0</v>
      </c>
      <c r="ACP145" s="1137">
        <f t="shared" si="38"/>
        <v>1</v>
      </c>
      <c r="ACQ145" s="1137">
        <f t="shared" si="32"/>
        <v>1</v>
      </c>
      <c r="ACR145" s="1137">
        <f t="shared" si="32"/>
        <v>1</v>
      </c>
      <c r="ACS145" s="1137">
        <f t="shared" si="32"/>
        <v>1</v>
      </c>
      <c r="ACT145" s="1137">
        <f t="shared" si="32"/>
        <v>1</v>
      </c>
      <c r="ACU145" s="1137">
        <f t="shared" si="32"/>
        <v>1</v>
      </c>
      <c r="ACV145" s="1137">
        <f t="shared" si="32"/>
        <v>1</v>
      </c>
      <c r="ACW145" s="1137">
        <f t="shared" si="32"/>
        <v>0</v>
      </c>
      <c r="ACX145" s="1137">
        <f t="shared" si="32"/>
        <v>0</v>
      </c>
      <c r="ACY145" s="1137">
        <f t="shared" si="32"/>
        <v>1</v>
      </c>
      <c r="ACZ145" s="1137">
        <f t="shared" si="32"/>
        <v>1</v>
      </c>
      <c r="ADA145" s="1137">
        <f t="shared" si="35"/>
        <v>1</v>
      </c>
      <c r="ADB145" s="1137">
        <f t="shared" si="35"/>
        <v>1</v>
      </c>
      <c r="ADC145" s="1137">
        <f t="shared" si="35"/>
        <v>1</v>
      </c>
    </row>
    <row r="146" spans="1:783" x14ac:dyDescent="0.25">
      <c r="A146" t="s">
        <v>1946</v>
      </c>
      <c r="B146" t="s">
        <v>1947</v>
      </c>
      <c r="C146">
        <v>0</v>
      </c>
      <c r="D146">
        <v>0</v>
      </c>
      <c r="E146">
        <v>0</v>
      </c>
      <c r="F146">
        <v>0</v>
      </c>
      <c r="G146">
        <v>0</v>
      </c>
      <c r="H146">
        <v>0</v>
      </c>
      <c r="I146">
        <v>0</v>
      </c>
      <c r="J146">
        <v>0</v>
      </c>
      <c r="K146">
        <v>0</v>
      </c>
      <c r="L146">
        <v>0</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0</v>
      </c>
      <c r="AG146">
        <v>0</v>
      </c>
      <c r="AH146">
        <v>0</v>
      </c>
      <c r="AI146">
        <v>0</v>
      </c>
      <c r="AJ146">
        <v>0</v>
      </c>
      <c r="AK146">
        <v>0</v>
      </c>
      <c r="AL146">
        <v>0</v>
      </c>
      <c r="AM146">
        <v>0</v>
      </c>
      <c r="AN146">
        <v>0</v>
      </c>
      <c r="AO146">
        <v>0</v>
      </c>
      <c r="AP146">
        <v>0</v>
      </c>
      <c r="AQ146">
        <v>0</v>
      </c>
      <c r="AR146">
        <v>0</v>
      </c>
      <c r="AS146">
        <v>0</v>
      </c>
      <c r="AT146">
        <v>0</v>
      </c>
      <c r="AU146">
        <v>0</v>
      </c>
      <c r="AV146">
        <v>0</v>
      </c>
      <c r="AW146">
        <v>0</v>
      </c>
      <c r="AX146">
        <v>0</v>
      </c>
      <c r="AY146">
        <v>0</v>
      </c>
      <c r="AZ146">
        <v>0</v>
      </c>
      <c r="BA146">
        <v>0</v>
      </c>
      <c r="BB146">
        <v>0</v>
      </c>
      <c r="BC146">
        <v>0</v>
      </c>
      <c r="BD146">
        <v>0</v>
      </c>
      <c r="BE146">
        <v>0</v>
      </c>
      <c r="BF146">
        <v>0</v>
      </c>
      <c r="BG146">
        <v>0</v>
      </c>
      <c r="BH146">
        <v>0</v>
      </c>
      <c r="BI146">
        <v>0</v>
      </c>
      <c r="BJ146">
        <v>0</v>
      </c>
      <c r="BK146">
        <v>0</v>
      </c>
      <c r="BL146">
        <v>0</v>
      </c>
      <c r="BM146">
        <v>0</v>
      </c>
      <c r="BN146">
        <v>0</v>
      </c>
      <c r="BO146">
        <v>2</v>
      </c>
      <c r="BP146">
        <v>2</v>
      </c>
      <c r="BQ146">
        <v>2</v>
      </c>
      <c r="BR146">
        <v>2</v>
      </c>
      <c r="BS146">
        <v>2</v>
      </c>
      <c r="BT146">
        <v>2</v>
      </c>
      <c r="BU146">
        <v>2</v>
      </c>
      <c r="BV146">
        <v>2</v>
      </c>
      <c r="BW146">
        <v>2</v>
      </c>
      <c r="BX146">
        <v>2</v>
      </c>
      <c r="BY146">
        <v>2</v>
      </c>
      <c r="BZ146">
        <v>2</v>
      </c>
      <c r="CA146">
        <v>2</v>
      </c>
      <c r="CB146">
        <v>2</v>
      </c>
      <c r="CC146">
        <v>2</v>
      </c>
      <c r="CD146">
        <v>2</v>
      </c>
      <c r="CE146">
        <v>2</v>
      </c>
      <c r="CF146">
        <v>2</v>
      </c>
      <c r="CG146">
        <v>2</v>
      </c>
      <c r="CH146">
        <v>2</v>
      </c>
      <c r="CI146">
        <v>2</v>
      </c>
      <c r="CJ146">
        <v>2</v>
      </c>
      <c r="CK146">
        <v>2</v>
      </c>
      <c r="CL146">
        <v>2</v>
      </c>
      <c r="CM146">
        <v>2</v>
      </c>
      <c r="CN146">
        <v>2</v>
      </c>
      <c r="CO146">
        <v>2</v>
      </c>
      <c r="CP146">
        <v>2</v>
      </c>
      <c r="CQ146">
        <v>2</v>
      </c>
      <c r="CR146">
        <v>2</v>
      </c>
      <c r="CS146">
        <v>2</v>
      </c>
      <c r="CT146">
        <v>2</v>
      </c>
      <c r="CU146">
        <v>2</v>
      </c>
      <c r="CV146">
        <v>2</v>
      </c>
      <c r="CW146">
        <v>2</v>
      </c>
      <c r="CX146">
        <v>2</v>
      </c>
      <c r="CY146">
        <v>2</v>
      </c>
      <c r="CZ146">
        <v>2</v>
      </c>
      <c r="DA146">
        <v>2</v>
      </c>
      <c r="DB146">
        <v>2</v>
      </c>
      <c r="DC146">
        <v>2</v>
      </c>
      <c r="DD146">
        <v>2</v>
      </c>
      <c r="DE146">
        <v>2</v>
      </c>
      <c r="DF146">
        <v>2</v>
      </c>
      <c r="DG146">
        <v>2</v>
      </c>
      <c r="DH146">
        <v>2</v>
      </c>
      <c r="DI146">
        <v>2</v>
      </c>
      <c r="DJ146">
        <v>2</v>
      </c>
      <c r="DK146">
        <v>2</v>
      </c>
      <c r="DL146">
        <v>2</v>
      </c>
      <c r="DM146">
        <v>2</v>
      </c>
      <c r="DN146">
        <v>2</v>
      </c>
      <c r="DO146">
        <v>2</v>
      </c>
      <c r="DP146">
        <v>2</v>
      </c>
      <c r="DQ146">
        <v>2</v>
      </c>
      <c r="DR146">
        <v>2</v>
      </c>
      <c r="DS146">
        <v>2</v>
      </c>
      <c r="DT146">
        <v>2</v>
      </c>
      <c r="DU146">
        <v>2</v>
      </c>
      <c r="DV146">
        <v>2</v>
      </c>
      <c r="DW146">
        <v>2</v>
      </c>
      <c r="DX146">
        <v>2</v>
      </c>
      <c r="DY146">
        <v>2</v>
      </c>
      <c r="DZ146">
        <v>2</v>
      </c>
      <c r="EA146">
        <v>2</v>
      </c>
      <c r="EB146">
        <v>2</v>
      </c>
      <c r="EC146">
        <v>2</v>
      </c>
      <c r="ED146">
        <v>2</v>
      </c>
      <c r="EE146">
        <v>2</v>
      </c>
      <c r="EF146">
        <v>2</v>
      </c>
      <c r="EG146">
        <v>2</v>
      </c>
      <c r="EH146">
        <v>2</v>
      </c>
      <c r="EI146">
        <v>2</v>
      </c>
      <c r="EJ146">
        <v>2</v>
      </c>
      <c r="EK146">
        <v>2</v>
      </c>
      <c r="EL146">
        <v>2</v>
      </c>
      <c r="EM146">
        <v>2</v>
      </c>
      <c r="EN146">
        <v>2</v>
      </c>
      <c r="EO146">
        <v>2</v>
      </c>
      <c r="EP146">
        <v>2</v>
      </c>
      <c r="EQ146">
        <v>2</v>
      </c>
      <c r="ER146">
        <v>2</v>
      </c>
      <c r="ES146">
        <v>2</v>
      </c>
      <c r="ET146">
        <v>2</v>
      </c>
      <c r="EU146">
        <v>2</v>
      </c>
      <c r="EV146">
        <v>2</v>
      </c>
      <c r="EW146">
        <v>2</v>
      </c>
      <c r="EX146">
        <v>2</v>
      </c>
      <c r="EY146">
        <v>2</v>
      </c>
      <c r="EZ146">
        <v>2</v>
      </c>
      <c r="FA146">
        <v>2</v>
      </c>
      <c r="FB146">
        <v>2</v>
      </c>
      <c r="FC146">
        <v>2</v>
      </c>
      <c r="FD146">
        <v>2</v>
      </c>
      <c r="FE146">
        <v>2</v>
      </c>
      <c r="FF146">
        <v>2</v>
      </c>
      <c r="FG146">
        <v>2</v>
      </c>
      <c r="FH146">
        <v>2</v>
      </c>
      <c r="FI146">
        <v>2</v>
      </c>
      <c r="FJ146">
        <v>2</v>
      </c>
      <c r="FK146">
        <v>2</v>
      </c>
      <c r="FL146">
        <v>2</v>
      </c>
      <c r="FM146">
        <v>2</v>
      </c>
      <c r="FN146">
        <v>2</v>
      </c>
      <c r="FO146">
        <v>2</v>
      </c>
      <c r="FP146">
        <v>2</v>
      </c>
      <c r="FQ146">
        <v>2</v>
      </c>
      <c r="FR146">
        <v>2</v>
      </c>
      <c r="FS146">
        <v>2</v>
      </c>
      <c r="FT146">
        <v>2</v>
      </c>
      <c r="FU146">
        <v>2</v>
      </c>
      <c r="FV146">
        <v>2</v>
      </c>
      <c r="FW146">
        <v>2</v>
      </c>
      <c r="FX146">
        <v>2</v>
      </c>
      <c r="FY146">
        <v>2</v>
      </c>
      <c r="FZ146">
        <v>2</v>
      </c>
      <c r="GA146">
        <v>2</v>
      </c>
      <c r="GB146">
        <v>2</v>
      </c>
      <c r="GC146">
        <v>2</v>
      </c>
      <c r="GD146">
        <v>2</v>
      </c>
      <c r="GE146">
        <v>2</v>
      </c>
      <c r="GF146">
        <v>2</v>
      </c>
      <c r="GG146">
        <v>2</v>
      </c>
      <c r="GH146">
        <v>2</v>
      </c>
      <c r="GI146">
        <v>2</v>
      </c>
      <c r="GJ146">
        <v>2</v>
      </c>
      <c r="GK146">
        <v>2</v>
      </c>
      <c r="GL146">
        <v>2</v>
      </c>
      <c r="GM146">
        <v>2</v>
      </c>
      <c r="GN146">
        <v>2</v>
      </c>
      <c r="GO146">
        <v>2</v>
      </c>
      <c r="GP146">
        <v>2</v>
      </c>
      <c r="GQ146">
        <v>2</v>
      </c>
      <c r="GR146">
        <v>2</v>
      </c>
      <c r="GS146">
        <v>2</v>
      </c>
      <c r="GT146">
        <v>2</v>
      </c>
      <c r="GU146">
        <v>2</v>
      </c>
      <c r="GV146">
        <v>2</v>
      </c>
      <c r="GW146">
        <v>2</v>
      </c>
      <c r="GX146">
        <v>2</v>
      </c>
      <c r="GY146">
        <v>2</v>
      </c>
      <c r="GZ146">
        <v>2</v>
      </c>
      <c r="HA146">
        <v>2</v>
      </c>
      <c r="HB146">
        <v>2</v>
      </c>
      <c r="HC146">
        <v>2</v>
      </c>
      <c r="HD146">
        <v>2</v>
      </c>
      <c r="HE146">
        <v>2</v>
      </c>
      <c r="HF146">
        <v>2</v>
      </c>
      <c r="HG146">
        <v>2</v>
      </c>
      <c r="HH146">
        <v>2</v>
      </c>
      <c r="HI146">
        <v>2</v>
      </c>
      <c r="HJ146">
        <v>2</v>
      </c>
      <c r="HK146">
        <v>2</v>
      </c>
      <c r="HL146">
        <v>2</v>
      </c>
      <c r="HM146">
        <v>2</v>
      </c>
      <c r="HN146">
        <v>2</v>
      </c>
      <c r="HO146">
        <v>2</v>
      </c>
      <c r="HP146">
        <v>2</v>
      </c>
      <c r="HQ146">
        <v>2</v>
      </c>
      <c r="HR146">
        <v>2</v>
      </c>
      <c r="HS146">
        <v>2</v>
      </c>
      <c r="HT146">
        <v>2</v>
      </c>
      <c r="HU146">
        <v>2</v>
      </c>
      <c r="HV146">
        <v>2</v>
      </c>
      <c r="HW146">
        <v>2</v>
      </c>
      <c r="HX146">
        <v>2</v>
      </c>
      <c r="HY146">
        <v>2</v>
      </c>
      <c r="HZ146">
        <v>2</v>
      </c>
      <c r="IA146">
        <v>2</v>
      </c>
      <c r="IB146">
        <v>0</v>
      </c>
      <c r="IC146">
        <v>0</v>
      </c>
      <c r="ID146">
        <v>0</v>
      </c>
      <c r="IE146">
        <v>0</v>
      </c>
      <c r="IF146">
        <v>0</v>
      </c>
      <c r="IG146">
        <v>0</v>
      </c>
      <c r="IH146">
        <v>0</v>
      </c>
      <c r="II146">
        <v>0</v>
      </c>
      <c r="IJ146">
        <v>0</v>
      </c>
      <c r="IK146">
        <v>0</v>
      </c>
      <c r="IL146">
        <v>0</v>
      </c>
      <c r="IM146">
        <v>0</v>
      </c>
      <c r="IN146">
        <v>0</v>
      </c>
      <c r="IO146">
        <v>0</v>
      </c>
      <c r="IP146">
        <v>0</v>
      </c>
      <c r="IQ146">
        <v>0</v>
      </c>
      <c r="IR146">
        <v>0</v>
      </c>
      <c r="IS146">
        <v>0</v>
      </c>
      <c r="IT146">
        <v>0</v>
      </c>
      <c r="IU146">
        <v>0</v>
      </c>
      <c r="IV146">
        <v>0</v>
      </c>
      <c r="IW146">
        <v>0</v>
      </c>
      <c r="IX146">
        <v>0</v>
      </c>
      <c r="IY146">
        <v>0</v>
      </c>
      <c r="IZ146">
        <v>0</v>
      </c>
      <c r="JA146">
        <v>0</v>
      </c>
      <c r="JB146">
        <v>0</v>
      </c>
      <c r="JC146">
        <v>0</v>
      </c>
      <c r="JD146">
        <v>0</v>
      </c>
      <c r="JE146">
        <v>0</v>
      </c>
      <c r="JF146">
        <v>0</v>
      </c>
      <c r="JG146">
        <v>0</v>
      </c>
      <c r="JH146">
        <v>0</v>
      </c>
      <c r="JI146">
        <v>0</v>
      </c>
      <c r="JJ146">
        <v>0</v>
      </c>
      <c r="JK146">
        <v>0</v>
      </c>
      <c r="JL146">
        <v>0</v>
      </c>
      <c r="JM146">
        <v>0</v>
      </c>
      <c r="JN146">
        <v>0</v>
      </c>
      <c r="JO146">
        <v>0</v>
      </c>
      <c r="JP146">
        <v>0</v>
      </c>
      <c r="JQ146">
        <v>0</v>
      </c>
      <c r="JR146">
        <v>0</v>
      </c>
      <c r="JS146">
        <v>0</v>
      </c>
      <c r="JT146">
        <v>0</v>
      </c>
      <c r="JU146">
        <v>0</v>
      </c>
      <c r="JV146">
        <v>0</v>
      </c>
      <c r="JW146">
        <v>0</v>
      </c>
      <c r="JX146">
        <v>0</v>
      </c>
      <c r="JY146">
        <v>0</v>
      </c>
      <c r="JZ146">
        <v>0</v>
      </c>
      <c r="KA146">
        <v>0</v>
      </c>
      <c r="KB146">
        <v>0</v>
      </c>
      <c r="KC146">
        <v>0</v>
      </c>
      <c r="KD146">
        <v>0</v>
      </c>
      <c r="KE146">
        <v>0</v>
      </c>
      <c r="KF146">
        <v>0</v>
      </c>
      <c r="KG146">
        <v>0</v>
      </c>
      <c r="KH146">
        <v>0</v>
      </c>
      <c r="KI146">
        <v>0</v>
      </c>
      <c r="KJ146">
        <v>0</v>
      </c>
      <c r="KK146">
        <v>0</v>
      </c>
      <c r="KL146">
        <v>0</v>
      </c>
      <c r="KM146">
        <v>0</v>
      </c>
      <c r="KN146">
        <v>0</v>
      </c>
      <c r="KO146">
        <v>0</v>
      </c>
      <c r="KP146">
        <v>0</v>
      </c>
      <c r="KQ146">
        <v>0</v>
      </c>
      <c r="KR146">
        <v>0</v>
      </c>
      <c r="KS146">
        <v>0</v>
      </c>
      <c r="KT146">
        <v>0</v>
      </c>
      <c r="KU146">
        <v>0</v>
      </c>
      <c r="KV146">
        <v>0</v>
      </c>
      <c r="KW146">
        <v>0</v>
      </c>
      <c r="KX146">
        <v>0</v>
      </c>
      <c r="KY146">
        <v>0</v>
      </c>
      <c r="KZ146">
        <v>0</v>
      </c>
      <c r="LA146">
        <v>0</v>
      </c>
      <c r="LB146">
        <v>0</v>
      </c>
      <c r="LC146">
        <v>0</v>
      </c>
      <c r="LD146">
        <v>0</v>
      </c>
      <c r="LE146">
        <v>0</v>
      </c>
      <c r="LF146">
        <v>0</v>
      </c>
      <c r="LG146">
        <v>0</v>
      </c>
      <c r="LH146">
        <v>0</v>
      </c>
      <c r="LI146">
        <v>0</v>
      </c>
      <c r="LJ146">
        <v>0</v>
      </c>
      <c r="LK146">
        <v>0</v>
      </c>
      <c r="LL146">
        <v>0</v>
      </c>
      <c r="LM146">
        <v>0</v>
      </c>
      <c r="LN146">
        <v>0</v>
      </c>
      <c r="LO146">
        <v>0</v>
      </c>
      <c r="LP146">
        <v>0</v>
      </c>
      <c r="LQ146">
        <v>0</v>
      </c>
      <c r="LR146">
        <v>0</v>
      </c>
      <c r="LS146">
        <v>0</v>
      </c>
      <c r="LT146">
        <v>0</v>
      </c>
      <c r="LU146">
        <v>0</v>
      </c>
      <c r="LV146">
        <v>0</v>
      </c>
      <c r="LW146">
        <v>0</v>
      </c>
      <c r="LX146">
        <v>0</v>
      </c>
      <c r="LY146">
        <v>0</v>
      </c>
      <c r="LZ146">
        <v>0</v>
      </c>
      <c r="MA146">
        <v>0</v>
      </c>
      <c r="MB146">
        <v>0</v>
      </c>
      <c r="MC146">
        <v>0</v>
      </c>
      <c r="MD146">
        <v>0</v>
      </c>
      <c r="ME146">
        <v>0</v>
      </c>
      <c r="MF146">
        <v>0</v>
      </c>
      <c r="MG146">
        <v>0</v>
      </c>
      <c r="MH146">
        <v>0</v>
      </c>
      <c r="MI146">
        <v>0</v>
      </c>
      <c r="MJ146">
        <v>0</v>
      </c>
      <c r="MK146">
        <v>0</v>
      </c>
      <c r="ML146">
        <v>0</v>
      </c>
      <c r="MM146">
        <v>0</v>
      </c>
      <c r="MN146">
        <v>0</v>
      </c>
      <c r="MO146">
        <v>0</v>
      </c>
      <c r="MP146">
        <v>0</v>
      </c>
      <c r="MQ146">
        <v>0</v>
      </c>
      <c r="MR146">
        <v>0</v>
      </c>
      <c r="MS146">
        <v>0</v>
      </c>
      <c r="MT146">
        <v>0</v>
      </c>
      <c r="MU146">
        <v>0</v>
      </c>
      <c r="MV146">
        <v>0</v>
      </c>
      <c r="MW146">
        <v>0</v>
      </c>
      <c r="MX146">
        <v>0</v>
      </c>
      <c r="MY146">
        <v>0</v>
      </c>
      <c r="MZ146">
        <v>0</v>
      </c>
      <c r="NA146">
        <v>0</v>
      </c>
      <c r="NB146">
        <v>0</v>
      </c>
      <c r="NC146">
        <v>0</v>
      </c>
      <c r="ND146">
        <v>0</v>
      </c>
      <c r="NE146">
        <v>0</v>
      </c>
      <c r="NF146">
        <v>0</v>
      </c>
      <c r="NG146">
        <v>0</v>
      </c>
      <c r="NH146">
        <v>0</v>
      </c>
      <c r="NI146">
        <v>1</v>
      </c>
      <c r="NJ146">
        <v>1</v>
      </c>
      <c r="NK146">
        <v>1</v>
      </c>
      <c r="NL146">
        <v>1</v>
      </c>
      <c r="NM146">
        <v>1</v>
      </c>
      <c r="NN146">
        <v>1</v>
      </c>
      <c r="NO146">
        <v>1</v>
      </c>
      <c r="NP146">
        <v>1</v>
      </c>
      <c r="NQ146">
        <v>1</v>
      </c>
      <c r="NR146">
        <v>1</v>
      </c>
      <c r="NS146">
        <v>1</v>
      </c>
      <c r="NT146">
        <v>1</v>
      </c>
      <c r="NU146">
        <v>1</v>
      </c>
      <c r="NV146">
        <v>1</v>
      </c>
      <c r="NW146">
        <v>1</v>
      </c>
      <c r="NX146">
        <v>1</v>
      </c>
      <c r="NY146">
        <v>1</v>
      </c>
      <c r="NZ146">
        <v>1</v>
      </c>
      <c r="OA146">
        <v>1</v>
      </c>
      <c r="OB146">
        <v>1</v>
      </c>
      <c r="OC146">
        <v>1</v>
      </c>
      <c r="OD146">
        <v>1</v>
      </c>
      <c r="OE146">
        <v>1</v>
      </c>
      <c r="OF146">
        <v>1</v>
      </c>
      <c r="OG146">
        <v>1</v>
      </c>
      <c r="OH146">
        <v>1</v>
      </c>
      <c r="OI146">
        <v>1</v>
      </c>
      <c r="OJ146">
        <v>0</v>
      </c>
      <c r="OK146">
        <v>0</v>
      </c>
      <c r="OL146">
        <v>0</v>
      </c>
      <c r="OM146">
        <v>0</v>
      </c>
      <c r="ON146">
        <v>0</v>
      </c>
      <c r="OO146">
        <v>0</v>
      </c>
      <c r="OP146">
        <v>0</v>
      </c>
      <c r="OQ146">
        <v>0</v>
      </c>
      <c r="OR146">
        <v>0</v>
      </c>
      <c r="OS146">
        <v>0</v>
      </c>
      <c r="OT146">
        <v>0</v>
      </c>
      <c r="OU146">
        <v>0</v>
      </c>
      <c r="OV146">
        <v>0</v>
      </c>
      <c r="OW146">
        <v>0</v>
      </c>
      <c r="OX146">
        <v>0</v>
      </c>
      <c r="OY146">
        <v>0</v>
      </c>
      <c r="OZ146">
        <v>0</v>
      </c>
      <c r="PA146">
        <v>0</v>
      </c>
      <c r="PB146">
        <v>0</v>
      </c>
      <c r="PC146">
        <v>0</v>
      </c>
      <c r="PD146">
        <v>0</v>
      </c>
      <c r="PE146">
        <v>0</v>
      </c>
      <c r="PF146">
        <v>0</v>
      </c>
      <c r="PG146">
        <v>0</v>
      </c>
      <c r="PH146">
        <v>0</v>
      </c>
      <c r="PI146">
        <v>0</v>
      </c>
      <c r="PJ146">
        <v>0</v>
      </c>
      <c r="PK146">
        <v>0</v>
      </c>
      <c r="PL146">
        <v>0</v>
      </c>
      <c r="PM146">
        <v>0</v>
      </c>
      <c r="PN146">
        <v>0</v>
      </c>
      <c r="PO146">
        <v>0</v>
      </c>
      <c r="PP146">
        <v>0</v>
      </c>
      <c r="PQ146">
        <v>0</v>
      </c>
      <c r="PR146">
        <v>0</v>
      </c>
      <c r="PS146">
        <v>0</v>
      </c>
      <c r="PT146">
        <v>0</v>
      </c>
      <c r="PU146">
        <v>0</v>
      </c>
      <c r="PV146">
        <v>0</v>
      </c>
      <c r="PW146">
        <v>0</v>
      </c>
      <c r="PX146">
        <v>0</v>
      </c>
      <c r="PY146">
        <v>0</v>
      </c>
      <c r="PZ146">
        <v>0</v>
      </c>
      <c r="QA146">
        <v>0</v>
      </c>
      <c r="QB146">
        <v>0</v>
      </c>
      <c r="QC146">
        <v>0</v>
      </c>
      <c r="QD146">
        <v>0</v>
      </c>
      <c r="QE146">
        <v>0</v>
      </c>
      <c r="QF146">
        <v>0</v>
      </c>
      <c r="QG146">
        <v>0</v>
      </c>
      <c r="QH146">
        <v>0</v>
      </c>
      <c r="QI146">
        <v>0</v>
      </c>
      <c r="QJ146">
        <v>0</v>
      </c>
      <c r="QK146">
        <v>0</v>
      </c>
      <c r="QL146">
        <v>0</v>
      </c>
      <c r="QM146">
        <v>0</v>
      </c>
      <c r="QN146">
        <v>0</v>
      </c>
      <c r="QO146">
        <v>0</v>
      </c>
      <c r="QP146">
        <v>0</v>
      </c>
      <c r="QQ146">
        <v>0</v>
      </c>
      <c r="QR146">
        <v>0</v>
      </c>
      <c r="QS146">
        <v>0</v>
      </c>
      <c r="QT146">
        <v>0</v>
      </c>
      <c r="QU146">
        <v>0</v>
      </c>
      <c r="QV146">
        <v>0</v>
      </c>
      <c r="QW146">
        <v>0</v>
      </c>
      <c r="QX146">
        <v>0</v>
      </c>
      <c r="QY146">
        <v>0</v>
      </c>
      <c r="QZ146">
        <v>0</v>
      </c>
      <c r="RA146">
        <v>0</v>
      </c>
      <c r="RB146">
        <v>0</v>
      </c>
      <c r="RC146">
        <v>0</v>
      </c>
      <c r="RD146">
        <v>0</v>
      </c>
      <c r="RE146">
        <v>0</v>
      </c>
      <c r="RF146">
        <v>0</v>
      </c>
      <c r="RG146">
        <v>0</v>
      </c>
      <c r="RH146">
        <v>0</v>
      </c>
      <c r="RI146">
        <v>0</v>
      </c>
      <c r="RJ146">
        <v>0</v>
      </c>
      <c r="RK146">
        <v>0</v>
      </c>
      <c r="RL146">
        <v>0</v>
      </c>
      <c r="RM146">
        <v>0</v>
      </c>
      <c r="RN146">
        <v>0</v>
      </c>
      <c r="RO146">
        <v>0</v>
      </c>
      <c r="RP146">
        <v>0</v>
      </c>
      <c r="RQ146">
        <v>0</v>
      </c>
      <c r="RR146">
        <v>0</v>
      </c>
      <c r="RS146">
        <v>0</v>
      </c>
      <c r="RT146">
        <v>0</v>
      </c>
      <c r="RU146">
        <v>0</v>
      </c>
      <c r="RV146">
        <v>0</v>
      </c>
      <c r="RW146">
        <v>0</v>
      </c>
      <c r="RX146">
        <v>0</v>
      </c>
      <c r="RY146">
        <v>0</v>
      </c>
      <c r="RZ146">
        <v>0</v>
      </c>
      <c r="SA146">
        <v>0</v>
      </c>
      <c r="SB146">
        <v>0</v>
      </c>
      <c r="SC146">
        <v>0</v>
      </c>
      <c r="SD146">
        <v>0</v>
      </c>
      <c r="SE146">
        <v>0</v>
      </c>
      <c r="SF146">
        <v>0</v>
      </c>
      <c r="SG146">
        <v>0</v>
      </c>
      <c r="SH146">
        <v>0</v>
      </c>
      <c r="SI146">
        <v>0</v>
      </c>
      <c r="SJ146">
        <v>0</v>
      </c>
      <c r="SK146">
        <v>0</v>
      </c>
      <c r="SL146">
        <v>0</v>
      </c>
      <c r="SM146">
        <v>0</v>
      </c>
      <c r="SN146">
        <v>0</v>
      </c>
      <c r="SO146">
        <v>0</v>
      </c>
      <c r="SP146">
        <v>0</v>
      </c>
      <c r="SQ146">
        <v>0</v>
      </c>
      <c r="SR146">
        <v>0</v>
      </c>
      <c r="SS146">
        <v>0</v>
      </c>
      <c r="ST146">
        <v>0</v>
      </c>
      <c r="SU146">
        <v>0</v>
      </c>
      <c r="SV146">
        <v>0</v>
      </c>
      <c r="SW146">
        <v>0</v>
      </c>
      <c r="SX146">
        <v>0</v>
      </c>
      <c r="SY146">
        <v>0</v>
      </c>
      <c r="SZ146">
        <v>0</v>
      </c>
      <c r="TA146">
        <v>0</v>
      </c>
      <c r="TB146">
        <v>0</v>
      </c>
      <c r="TC146">
        <v>0</v>
      </c>
      <c r="TD146">
        <v>0</v>
      </c>
      <c r="TE146">
        <v>0</v>
      </c>
      <c r="TF146">
        <v>0</v>
      </c>
      <c r="TG146">
        <v>0</v>
      </c>
      <c r="TH146">
        <v>0</v>
      </c>
      <c r="TI146">
        <v>0</v>
      </c>
      <c r="TJ146">
        <v>0</v>
      </c>
      <c r="TK146">
        <v>0</v>
      </c>
      <c r="TL146">
        <v>0</v>
      </c>
      <c r="TM146">
        <v>0</v>
      </c>
      <c r="TN146">
        <v>0</v>
      </c>
      <c r="TO146">
        <v>0</v>
      </c>
      <c r="TP146">
        <v>0</v>
      </c>
      <c r="TQ146">
        <v>0</v>
      </c>
      <c r="TR146">
        <v>0</v>
      </c>
      <c r="TS146">
        <v>0</v>
      </c>
      <c r="TT146">
        <v>0</v>
      </c>
      <c r="TU146">
        <v>0</v>
      </c>
      <c r="TV146">
        <v>0</v>
      </c>
      <c r="TW146">
        <v>0</v>
      </c>
      <c r="TX146">
        <v>0</v>
      </c>
      <c r="TY146">
        <v>0</v>
      </c>
      <c r="TZ146">
        <v>0</v>
      </c>
      <c r="UA146">
        <v>0</v>
      </c>
      <c r="UB146">
        <v>0</v>
      </c>
      <c r="UC146">
        <v>0</v>
      </c>
      <c r="UD146">
        <v>0</v>
      </c>
      <c r="UE146">
        <v>0</v>
      </c>
      <c r="UF146">
        <v>0</v>
      </c>
      <c r="UG146">
        <v>0</v>
      </c>
      <c r="UH146">
        <v>0</v>
      </c>
      <c r="UI146">
        <v>0</v>
      </c>
      <c r="UJ146">
        <v>0</v>
      </c>
      <c r="UK146">
        <v>0</v>
      </c>
      <c r="UL146">
        <v>0</v>
      </c>
      <c r="UM146">
        <v>0</v>
      </c>
      <c r="UN146">
        <v>0</v>
      </c>
      <c r="UO146">
        <v>0</v>
      </c>
      <c r="UP146">
        <v>0</v>
      </c>
      <c r="UQ146">
        <v>0</v>
      </c>
      <c r="UR146">
        <v>0</v>
      </c>
      <c r="US146">
        <v>0</v>
      </c>
      <c r="UT146">
        <v>0</v>
      </c>
      <c r="UU146">
        <v>0</v>
      </c>
      <c r="UV146">
        <v>0</v>
      </c>
      <c r="UW146">
        <v>0</v>
      </c>
      <c r="UX146">
        <v>0</v>
      </c>
      <c r="UY146">
        <v>0</v>
      </c>
      <c r="UZ146">
        <v>0</v>
      </c>
      <c r="VA146">
        <v>0</v>
      </c>
      <c r="VB146">
        <v>0</v>
      </c>
      <c r="VC146">
        <v>0</v>
      </c>
      <c r="VD146">
        <v>0</v>
      </c>
      <c r="VE146">
        <v>0</v>
      </c>
      <c r="VF146">
        <v>0</v>
      </c>
      <c r="VG146">
        <v>0</v>
      </c>
      <c r="VH146">
        <v>0</v>
      </c>
      <c r="VI146">
        <v>0</v>
      </c>
      <c r="VJ146">
        <v>2</v>
      </c>
      <c r="VK146">
        <v>2</v>
      </c>
      <c r="VL146">
        <v>2</v>
      </c>
      <c r="VM146">
        <v>2</v>
      </c>
      <c r="VN146">
        <v>2</v>
      </c>
      <c r="VO146">
        <v>2</v>
      </c>
      <c r="VP146">
        <v>2</v>
      </c>
      <c r="VQ146">
        <v>2</v>
      </c>
      <c r="VR146">
        <v>2</v>
      </c>
      <c r="VS146">
        <v>2</v>
      </c>
      <c r="VT146">
        <v>2</v>
      </c>
      <c r="VU146">
        <v>2</v>
      </c>
      <c r="VV146">
        <v>2</v>
      </c>
      <c r="VW146">
        <v>2</v>
      </c>
      <c r="VX146">
        <v>2</v>
      </c>
      <c r="VY146">
        <v>2</v>
      </c>
      <c r="VZ146">
        <v>2</v>
      </c>
      <c r="WA146">
        <v>2</v>
      </c>
      <c r="WB146">
        <v>2</v>
      </c>
      <c r="WC146">
        <v>2</v>
      </c>
      <c r="WD146">
        <v>2</v>
      </c>
      <c r="WE146">
        <v>2</v>
      </c>
      <c r="WF146">
        <v>2</v>
      </c>
      <c r="WG146">
        <v>2</v>
      </c>
      <c r="WH146">
        <v>2</v>
      </c>
      <c r="WI146">
        <v>2</v>
      </c>
      <c r="WJ146">
        <v>2</v>
      </c>
      <c r="WK146">
        <v>2</v>
      </c>
      <c r="WL146">
        <v>2</v>
      </c>
      <c r="WM146">
        <v>2</v>
      </c>
      <c r="WN146">
        <v>2</v>
      </c>
      <c r="WO146">
        <v>2</v>
      </c>
      <c r="WP146">
        <v>2</v>
      </c>
      <c r="WQ146">
        <v>2</v>
      </c>
      <c r="WR146">
        <v>2</v>
      </c>
      <c r="WS146">
        <v>2</v>
      </c>
      <c r="WT146">
        <v>2</v>
      </c>
      <c r="WU146">
        <v>2</v>
      </c>
      <c r="WV146">
        <v>2</v>
      </c>
      <c r="WW146">
        <v>2</v>
      </c>
      <c r="WX146">
        <v>2</v>
      </c>
      <c r="WY146">
        <v>2</v>
      </c>
      <c r="WZ146">
        <v>2</v>
      </c>
      <c r="XA146">
        <v>2</v>
      </c>
      <c r="XB146">
        <v>2</v>
      </c>
      <c r="XC146">
        <v>2</v>
      </c>
      <c r="XD146">
        <v>2</v>
      </c>
      <c r="XE146">
        <v>2</v>
      </c>
      <c r="XF146">
        <v>2</v>
      </c>
      <c r="XG146">
        <v>2</v>
      </c>
      <c r="XH146">
        <v>2</v>
      </c>
      <c r="XI146">
        <v>2</v>
      </c>
      <c r="XJ146">
        <v>2</v>
      </c>
      <c r="XK146">
        <v>2</v>
      </c>
      <c r="XL146">
        <v>2</v>
      </c>
      <c r="XM146">
        <v>2</v>
      </c>
      <c r="XN146">
        <v>2</v>
      </c>
      <c r="XO146">
        <v>2</v>
      </c>
      <c r="XP146">
        <v>2</v>
      </c>
      <c r="XQ146">
        <v>2</v>
      </c>
      <c r="XR146">
        <v>2</v>
      </c>
      <c r="XS146">
        <v>2</v>
      </c>
      <c r="XT146">
        <v>2</v>
      </c>
      <c r="XU146">
        <v>2</v>
      </c>
      <c r="XV146">
        <v>2</v>
      </c>
      <c r="XW146">
        <v>2</v>
      </c>
      <c r="XX146">
        <v>2</v>
      </c>
      <c r="XY146">
        <v>2</v>
      </c>
      <c r="XZ146">
        <v>2</v>
      </c>
      <c r="YA146">
        <v>2</v>
      </c>
      <c r="YB146">
        <v>2</v>
      </c>
      <c r="YC146">
        <v>2</v>
      </c>
      <c r="YD146">
        <v>2</v>
      </c>
      <c r="YE146">
        <v>2</v>
      </c>
      <c r="YF146">
        <v>2</v>
      </c>
      <c r="YG146">
        <v>2</v>
      </c>
      <c r="YH146">
        <v>2</v>
      </c>
      <c r="YI146">
        <v>2</v>
      </c>
      <c r="YJ146">
        <v>2</v>
      </c>
      <c r="YK146">
        <v>2</v>
      </c>
      <c r="YL146">
        <v>2</v>
      </c>
      <c r="YM146">
        <v>2</v>
      </c>
      <c r="YN146">
        <v>2</v>
      </c>
      <c r="YO146">
        <v>2</v>
      </c>
      <c r="YP146">
        <v>2</v>
      </c>
      <c r="YQ146">
        <v>2</v>
      </c>
      <c r="YR146">
        <v>2</v>
      </c>
      <c r="YS146">
        <v>2</v>
      </c>
      <c r="YT146">
        <v>2</v>
      </c>
      <c r="YU146">
        <v>2</v>
      </c>
      <c r="YV146">
        <v>2</v>
      </c>
      <c r="YW146">
        <v>2</v>
      </c>
      <c r="YX146">
        <v>2</v>
      </c>
      <c r="YY146">
        <v>2</v>
      </c>
      <c r="YZ146">
        <v>2</v>
      </c>
      <c r="ZA146">
        <v>2</v>
      </c>
      <c r="ZB146">
        <v>2</v>
      </c>
      <c r="ZC146">
        <v>2</v>
      </c>
      <c r="ZD146">
        <v>2</v>
      </c>
      <c r="ZE146">
        <v>2</v>
      </c>
      <c r="ZF146">
        <v>2</v>
      </c>
      <c r="ZG146">
        <v>2</v>
      </c>
      <c r="ZH146">
        <v>2</v>
      </c>
      <c r="ZI146">
        <v>2</v>
      </c>
      <c r="ZJ146">
        <v>2</v>
      </c>
      <c r="ZK146">
        <v>2</v>
      </c>
      <c r="ZL146">
        <v>2</v>
      </c>
      <c r="ZM146">
        <v>2</v>
      </c>
      <c r="ZN146">
        <v>2</v>
      </c>
      <c r="ZO146">
        <v>2</v>
      </c>
      <c r="ZP146">
        <v>2</v>
      </c>
      <c r="ZQ146">
        <v>2</v>
      </c>
      <c r="ZR146">
        <v>2</v>
      </c>
      <c r="ZS146">
        <v>2</v>
      </c>
      <c r="ZT146">
        <v>2</v>
      </c>
      <c r="ZU146">
        <v>2</v>
      </c>
      <c r="ZV146">
        <v>2</v>
      </c>
      <c r="ZW146">
        <v>2</v>
      </c>
      <c r="ZX146">
        <v>2</v>
      </c>
      <c r="ZY146">
        <v>2</v>
      </c>
      <c r="ZZ146">
        <v>2</v>
      </c>
      <c r="AAA146">
        <v>2</v>
      </c>
      <c r="AAB146">
        <v>2</v>
      </c>
      <c r="AAC146">
        <v>2</v>
      </c>
      <c r="AAD146">
        <v>2</v>
      </c>
      <c r="AAE146">
        <v>2</v>
      </c>
      <c r="AAF146">
        <v>2</v>
      </c>
      <c r="AAG146">
        <v>2</v>
      </c>
      <c r="AAH146">
        <v>2</v>
      </c>
      <c r="AAI146">
        <v>2</v>
      </c>
      <c r="AAJ146">
        <v>2</v>
      </c>
      <c r="AAK146">
        <v>2</v>
      </c>
      <c r="AAL146">
        <v>2</v>
      </c>
      <c r="AAM146">
        <v>2</v>
      </c>
      <c r="AAN146">
        <v>2</v>
      </c>
      <c r="AAO146">
        <v>2</v>
      </c>
      <c r="AAP146">
        <v>2</v>
      </c>
      <c r="AAQ146">
        <v>2</v>
      </c>
      <c r="AAR146">
        <v>2</v>
      </c>
      <c r="AAS146">
        <v>2</v>
      </c>
      <c r="AAT146">
        <v>2</v>
      </c>
      <c r="AAU146">
        <v>2</v>
      </c>
      <c r="AAV146">
        <v>2</v>
      </c>
      <c r="AAW146">
        <v>2</v>
      </c>
      <c r="AAX146">
        <v>2</v>
      </c>
      <c r="AAY146">
        <v>2</v>
      </c>
      <c r="AAZ146">
        <v>2</v>
      </c>
      <c r="ABA146">
        <v>2</v>
      </c>
      <c r="ABB146">
        <v>2</v>
      </c>
      <c r="ABC146">
        <v>2</v>
      </c>
      <c r="ABD146">
        <v>2</v>
      </c>
      <c r="ABE146">
        <v>2</v>
      </c>
      <c r="ABG146" s="1137">
        <f t="shared" si="37"/>
        <v>0</v>
      </c>
      <c r="ABH146" s="1137">
        <f t="shared" si="37"/>
        <v>0</v>
      </c>
      <c r="ABI146" s="1137">
        <f t="shared" si="37"/>
        <v>27</v>
      </c>
      <c r="ABJ146" s="1137">
        <f t="shared" si="37"/>
        <v>30</v>
      </c>
      <c r="ABK146" s="1137">
        <f t="shared" si="37"/>
        <v>31</v>
      </c>
      <c r="ABL146" s="1137">
        <f t="shared" si="37"/>
        <v>30</v>
      </c>
      <c r="ABM146" s="1137">
        <f t="shared" si="37"/>
        <v>31</v>
      </c>
      <c r="ABN146" s="1137">
        <f t="shared" si="37"/>
        <v>20</v>
      </c>
      <c r="ABO146" s="1137">
        <f t="shared" si="37"/>
        <v>0</v>
      </c>
      <c r="ABP146" s="1137">
        <f t="shared" si="37"/>
        <v>0</v>
      </c>
      <c r="ABQ146" s="1137">
        <f t="shared" si="37"/>
        <v>0</v>
      </c>
      <c r="ABR146" s="1137">
        <f t="shared" si="37"/>
        <v>0</v>
      </c>
      <c r="ABS146" s="1137">
        <f t="shared" si="37"/>
        <v>27</v>
      </c>
      <c r="ABT146" s="1137">
        <f t="shared" si="37"/>
        <v>0</v>
      </c>
      <c r="ABU146" s="1137">
        <f t="shared" si="37"/>
        <v>0</v>
      </c>
      <c r="ABV146" s="1137">
        <f t="shared" si="37"/>
        <v>0</v>
      </c>
      <c r="ABW146" s="1137">
        <f t="shared" si="31"/>
        <v>0</v>
      </c>
      <c r="ABX146" s="1137">
        <f t="shared" si="34"/>
        <v>0</v>
      </c>
      <c r="ABY146" s="1137">
        <f t="shared" si="34"/>
        <v>0</v>
      </c>
      <c r="ABZ146" s="1137">
        <f t="shared" si="34"/>
        <v>30</v>
      </c>
      <c r="ACA146" s="1137">
        <f t="shared" si="34"/>
        <v>30</v>
      </c>
      <c r="ACB146" s="1137">
        <f t="shared" si="34"/>
        <v>31</v>
      </c>
      <c r="ACC146" s="1137">
        <f t="shared" si="34"/>
        <v>30</v>
      </c>
      <c r="ACD146" s="1137">
        <f t="shared" si="34"/>
        <v>31</v>
      </c>
      <c r="ACE146" s="1137" t="s">
        <v>1947</v>
      </c>
      <c r="ACF146" s="1137">
        <f t="shared" si="39"/>
        <v>0</v>
      </c>
      <c r="ACG146" s="1137">
        <f t="shared" si="39"/>
        <v>0</v>
      </c>
      <c r="ACH146" s="1137">
        <f t="shared" si="38"/>
        <v>1</v>
      </c>
      <c r="ACI146" s="1137">
        <f t="shared" si="38"/>
        <v>1</v>
      </c>
      <c r="ACJ146" s="1137">
        <f t="shared" si="38"/>
        <v>1</v>
      </c>
      <c r="ACK146" s="1137">
        <f t="shared" si="38"/>
        <v>1</v>
      </c>
      <c r="ACL146" s="1137">
        <f t="shared" si="38"/>
        <v>1</v>
      </c>
      <c r="ACM146" s="1137">
        <f t="shared" si="38"/>
        <v>1</v>
      </c>
      <c r="ACN146" s="1137">
        <f t="shared" si="38"/>
        <v>0</v>
      </c>
      <c r="ACO146" s="1137">
        <f t="shared" si="38"/>
        <v>0</v>
      </c>
      <c r="ACP146" s="1137">
        <f t="shared" si="38"/>
        <v>0</v>
      </c>
      <c r="ACQ146" s="1137">
        <f t="shared" si="32"/>
        <v>0</v>
      </c>
      <c r="ACR146" s="1137">
        <f t="shared" si="32"/>
        <v>1</v>
      </c>
      <c r="ACS146" s="1137">
        <f t="shared" si="32"/>
        <v>0</v>
      </c>
      <c r="ACT146" s="1137">
        <f t="shared" si="32"/>
        <v>0</v>
      </c>
      <c r="ACU146" s="1137">
        <f t="shared" si="32"/>
        <v>0</v>
      </c>
      <c r="ACV146" s="1137">
        <f t="shared" si="32"/>
        <v>0</v>
      </c>
      <c r="ACW146" s="1137">
        <f t="shared" si="32"/>
        <v>0</v>
      </c>
      <c r="ACX146" s="1137">
        <f t="shared" si="32"/>
        <v>0</v>
      </c>
      <c r="ACY146" s="1137">
        <f t="shared" si="32"/>
        <v>1</v>
      </c>
      <c r="ACZ146" s="1137">
        <f t="shared" si="32"/>
        <v>1</v>
      </c>
      <c r="ADA146" s="1137">
        <f t="shared" si="35"/>
        <v>1</v>
      </c>
      <c r="ADB146" s="1137">
        <f t="shared" si="35"/>
        <v>1</v>
      </c>
      <c r="ADC146" s="1137">
        <f t="shared" si="35"/>
        <v>1</v>
      </c>
    </row>
    <row r="147" spans="1:783" x14ac:dyDescent="0.25">
      <c r="A147" t="s">
        <v>1948</v>
      </c>
      <c r="B147" t="s">
        <v>58</v>
      </c>
      <c r="C147">
        <v>0</v>
      </c>
      <c r="D147">
        <v>0</v>
      </c>
      <c r="E147">
        <v>0</v>
      </c>
      <c r="F147">
        <v>0</v>
      </c>
      <c r="G147">
        <v>0</v>
      </c>
      <c r="H147">
        <v>0</v>
      </c>
      <c r="I147">
        <v>0</v>
      </c>
      <c r="J147">
        <v>0</v>
      </c>
      <c r="K147">
        <v>0</v>
      </c>
      <c r="L147">
        <v>0</v>
      </c>
      <c r="M147">
        <v>0</v>
      </c>
      <c r="N147">
        <v>0</v>
      </c>
      <c r="O147">
        <v>0</v>
      </c>
      <c r="P147">
        <v>0</v>
      </c>
      <c r="Q147">
        <v>0</v>
      </c>
      <c r="R147">
        <v>0</v>
      </c>
      <c r="S147">
        <v>0</v>
      </c>
      <c r="T147">
        <v>0</v>
      </c>
      <c r="U147">
        <v>0</v>
      </c>
      <c r="V147">
        <v>0</v>
      </c>
      <c r="W147">
        <v>0</v>
      </c>
      <c r="X147">
        <v>0</v>
      </c>
      <c r="Y147">
        <v>0</v>
      </c>
      <c r="Z147">
        <v>0</v>
      </c>
      <c r="AA147">
        <v>0</v>
      </c>
      <c r="AB147">
        <v>0</v>
      </c>
      <c r="AC147">
        <v>0</v>
      </c>
      <c r="AD147">
        <v>0</v>
      </c>
      <c r="AE147">
        <v>0</v>
      </c>
      <c r="AF147">
        <v>0</v>
      </c>
      <c r="AG147">
        <v>0</v>
      </c>
      <c r="AH147">
        <v>0</v>
      </c>
      <c r="AI147">
        <v>0</v>
      </c>
      <c r="AJ147">
        <v>0</v>
      </c>
      <c r="AK147">
        <v>0</v>
      </c>
      <c r="AL147">
        <v>0</v>
      </c>
      <c r="AM147">
        <v>0</v>
      </c>
      <c r="AN147">
        <v>0</v>
      </c>
      <c r="AO147">
        <v>0</v>
      </c>
      <c r="AP147">
        <v>0</v>
      </c>
      <c r="AQ147">
        <v>0</v>
      </c>
      <c r="AR147">
        <v>0</v>
      </c>
      <c r="AS147">
        <v>0</v>
      </c>
      <c r="AT147">
        <v>0</v>
      </c>
      <c r="AU147">
        <v>0</v>
      </c>
      <c r="AV147">
        <v>0</v>
      </c>
      <c r="AW147">
        <v>0</v>
      </c>
      <c r="AX147">
        <v>0</v>
      </c>
      <c r="AY147">
        <v>0</v>
      </c>
      <c r="AZ147">
        <v>0</v>
      </c>
      <c r="BA147">
        <v>0</v>
      </c>
      <c r="BB147">
        <v>0</v>
      </c>
      <c r="BC147">
        <v>0</v>
      </c>
      <c r="BD147">
        <v>0</v>
      </c>
      <c r="BE147">
        <v>0</v>
      </c>
      <c r="BF147">
        <v>0</v>
      </c>
      <c r="BG147">
        <v>0</v>
      </c>
      <c r="BH147">
        <v>0</v>
      </c>
      <c r="BI147">
        <v>0</v>
      </c>
      <c r="BJ147">
        <v>0</v>
      </c>
      <c r="BK147">
        <v>0</v>
      </c>
      <c r="BL147">
        <v>0</v>
      </c>
      <c r="BM147">
        <v>0</v>
      </c>
      <c r="BN147">
        <v>0</v>
      </c>
      <c r="BO147">
        <v>0</v>
      </c>
      <c r="BP147">
        <v>0</v>
      </c>
      <c r="BQ147">
        <v>0</v>
      </c>
      <c r="BR147">
        <v>0</v>
      </c>
      <c r="BS147">
        <v>0</v>
      </c>
      <c r="BT147">
        <v>0</v>
      </c>
      <c r="BU147">
        <v>0</v>
      </c>
      <c r="BV147">
        <v>0</v>
      </c>
      <c r="BW147">
        <v>0</v>
      </c>
      <c r="BX147">
        <v>0</v>
      </c>
      <c r="BY147">
        <v>0</v>
      </c>
      <c r="BZ147">
        <v>0</v>
      </c>
      <c r="CA147">
        <v>0</v>
      </c>
      <c r="CB147">
        <v>0</v>
      </c>
      <c r="CC147">
        <v>0</v>
      </c>
      <c r="CD147">
        <v>0</v>
      </c>
      <c r="CE147">
        <v>2</v>
      </c>
      <c r="CF147">
        <v>2</v>
      </c>
      <c r="CG147">
        <v>2</v>
      </c>
      <c r="CH147">
        <v>2</v>
      </c>
      <c r="CI147">
        <v>2</v>
      </c>
      <c r="CJ147">
        <v>2</v>
      </c>
      <c r="CK147">
        <v>2</v>
      </c>
      <c r="CL147">
        <v>2</v>
      </c>
      <c r="CM147">
        <v>2</v>
      </c>
      <c r="CN147">
        <v>2</v>
      </c>
      <c r="CO147">
        <v>2</v>
      </c>
      <c r="CP147">
        <v>2</v>
      </c>
      <c r="CQ147">
        <v>2</v>
      </c>
      <c r="CR147">
        <v>2</v>
      </c>
      <c r="CS147">
        <v>2</v>
      </c>
      <c r="CT147">
        <v>2</v>
      </c>
      <c r="CU147">
        <v>2</v>
      </c>
      <c r="CV147">
        <v>2</v>
      </c>
      <c r="CW147">
        <v>2</v>
      </c>
      <c r="CX147">
        <v>2</v>
      </c>
      <c r="CY147">
        <v>2</v>
      </c>
      <c r="CZ147">
        <v>2</v>
      </c>
      <c r="DA147">
        <v>2</v>
      </c>
      <c r="DB147">
        <v>2</v>
      </c>
      <c r="DC147">
        <v>2</v>
      </c>
      <c r="DD147">
        <v>2</v>
      </c>
      <c r="DE147">
        <v>2</v>
      </c>
      <c r="DF147">
        <v>2</v>
      </c>
      <c r="DG147">
        <v>2</v>
      </c>
      <c r="DH147">
        <v>2</v>
      </c>
      <c r="DI147">
        <v>2</v>
      </c>
      <c r="DJ147">
        <v>2</v>
      </c>
      <c r="DK147">
        <v>2</v>
      </c>
      <c r="DL147">
        <v>2</v>
      </c>
      <c r="DM147">
        <v>2</v>
      </c>
      <c r="DN147">
        <v>2</v>
      </c>
      <c r="DO147">
        <v>2</v>
      </c>
      <c r="DP147">
        <v>2</v>
      </c>
      <c r="DQ147">
        <v>2</v>
      </c>
      <c r="DR147">
        <v>2</v>
      </c>
      <c r="DS147">
        <v>2</v>
      </c>
      <c r="DT147">
        <v>2</v>
      </c>
      <c r="DU147">
        <v>2</v>
      </c>
      <c r="DV147">
        <v>2</v>
      </c>
      <c r="DW147">
        <v>1</v>
      </c>
      <c r="DX147">
        <v>1</v>
      </c>
      <c r="DY147">
        <v>1</v>
      </c>
      <c r="DZ147">
        <v>1</v>
      </c>
      <c r="EA147">
        <v>1</v>
      </c>
      <c r="EB147">
        <v>1</v>
      </c>
      <c r="EC147">
        <v>1</v>
      </c>
      <c r="ED147">
        <v>1</v>
      </c>
      <c r="EE147">
        <v>1</v>
      </c>
      <c r="EF147">
        <v>1</v>
      </c>
      <c r="EG147">
        <v>1</v>
      </c>
      <c r="EH147">
        <v>1</v>
      </c>
      <c r="EI147">
        <v>1</v>
      </c>
      <c r="EJ147">
        <v>1</v>
      </c>
      <c r="EK147">
        <v>1</v>
      </c>
      <c r="EL147">
        <v>1</v>
      </c>
      <c r="EM147">
        <v>1</v>
      </c>
      <c r="EN147">
        <v>1</v>
      </c>
      <c r="EO147">
        <v>1</v>
      </c>
      <c r="EP147">
        <v>1</v>
      </c>
      <c r="EQ147">
        <v>1</v>
      </c>
      <c r="ER147">
        <v>1</v>
      </c>
      <c r="ES147">
        <v>1</v>
      </c>
      <c r="ET147">
        <v>1</v>
      </c>
      <c r="EU147">
        <v>1</v>
      </c>
      <c r="EV147">
        <v>1</v>
      </c>
      <c r="EW147">
        <v>1</v>
      </c>
      <c r="EX147">
        <v>1</v>
      </c>
      <c r="EY147">
        <v>1</v>
      </c>
      <c r="EZ147">
        <v>2</v>
      </c>
      <c r="FA147">
        <v>2</v>
      </c>
      <c r="FB147">
        <v>2</v>
      </c>
      <c r="FC147">
        <v>2</v>
      </c>
      <c r="FD147">
        <v>2</v>
      </c>
      <c r="FE147">
        <v>2</v>
      </c>
      <c r="FF147">
        <v>2</v>
      </c>
      <c r="FG147">
        <v>2</v>
      </c>
      <c r="FH147">
        <v>2</v>
      </c>
      <c r="FI147">
        <v>2</v>
      </c>
      <c r="FJ147">
        <v>2</v>
      </c>
      <c r="FK147">
        <v>2</v>
      </c>
      <c r="FL147">
        <v>2</v>
      </c>
      <c r="FM147">
        <v>2</v>
      </c>
      <c r="FN147">
        <v>0</v>
      </c>
      <c r="FO147">
        <v>0</v>
      </c>
      <c r="FP147">
        <v>0</v>
      </c>
      <c r="FQ147">
        <v>0</v>
      </c>
      <c r="FR147">
        <v>0</v>
      </c>
      <c r="FS147">
        <v>0</v>
      </c>
      <c r="FT147">
        <v>0</v>
      </c>
      <c r="FU147">
        <v>0</v>
      </c>
      <c r="FV147">
        <v>2</v>
      </c>
      <c r="FW147">
        <v>2</v>
      </c>
      <c r="FX147">
        <v>2</v>
      </c>
      <c r="FY147">
        <v>2</v>
      </c>
      <c r="FZ147">
        <v>2</v>
      </c>
      <c r="GA147">
        <v>2</v>
      </c>
      <c r="GB147">
        <v>2</v>
      </c>
      <c r="GC147">
        <v>2</v>
      </c>
      <c r="GD147">
        <v>2</v>
      </c>
      <c r="GE147">
        <v>2</v>
      </c>
      <c r="GF147">
        <v>2</v>
      </c>
      <c r="GG147">
        <v>2</v>
      </c>
      <c r="GH147">
        <v>2</v>
      </c>
      <c r="GI147">
        <v>2</v>
      </c>
      <c r="GJ147">
        <v>2</v>
      </c>
      <c r="GK147">
        <v>2</v>
      </c>
      <c r="GL147">
        <v>2</v>
      </c>
      <c r="GM147">
        <v>2</v>
      </c>
      <c r="GN147">
        <v>2</v>
      </c>
      <c r="GO147">
        <v>2</v>
      </c>
      <c r="GP147">
        <v>2</v>
      </c>
      <c r="GQ147">
        <v>2</v>
      </c>
      <c r="GR147">
        <v>2</v>
      </c>
      <c r="GS147">
        <v>2</v>
      </c>
      <c r="GT147">
        <v>2</v>
      </c>
      <c r="GU147">
        <v>2</v>
      </c>
      <c r="GV147">
        <v>2</v>
      </c>
      <c r="GW147">
        <v>2</v>
      </c>
      <c r="GX147">
        <v>2</v>
      </c>
      <c r="GY147">
        <v>2</v>
      </c>
      <c r="GZ147">
        <v>2</v>
      </c>
      <c r="HA147">
        <v>2</v>
      </c>
      <c r="HB147">
        <v>2</v>
      </c>
      <c r="HC147">
        <v>2</v>
      </c>
      <c r="HD147">
        <v>2</v>
      </c>
      <c r="HE147">
        <v>2</v>
      </c>
      <c r="HF147">
        <v>2</v>
      </c>
      <c r="HG147">
        <v>2</v>
      </c>
      <c r="HH147">
        <v>2</v>
      </c>
      <c r="HI147">
        <v>2</v>
      </c>
      <c r="HJ147">
        <v>2</v>
      </c>
      <c r="HK147">
        <v>2</v>
      </c>
      <c r="HL147">
        <v>2</v>
      </c>
      <c r="HM147">
        <v>2</v>
      </c>
      <c r="HN147">
        <v>2</v>
      </c>
      <c r="HO147">
        <v>2</v>
      </c>
      <c r="HP147">
        <v>2</v>
      </c>
      <c r="HQ147">
        <v>2</v>
      </c>
      <c r="HR147">
        <v>2</v>
      </c>
      <c r="HS147">
        <v>2</v>
      </c>
      <c r="HT147">
        <v>2</v>
      </c>
      <c r="HU147">
        <v>2</v>
      </c>
      <c r="HV147">
        <v>2</v>
      </c>
      <c r="HW147">
        <v>2</v>
      </c>
      <c r="HX147">
        <v>2</v>
      </c>
      <c r="HY147">
        <v>2</v>
      </c>
      <c r="HZ147">
        <v>2</v>
      </c>
      <c r="IA147">
        <v>2</v>
      </c>
      <c r="IB147">
        <v>2</v>
      </c>
      <c r="IC147">
        <v>2</v>
      </c>
      <c r="ID147">
        <v>2</v>
      </c>
      <c r="IE147">
        <v>2</v>
      </c>
      <c r="IF147">
        <v>2</v>
      </c>
      <c r="IG147">
        <v>2</v>
      </c>
      <c r="IH147">
        <v>2</v>
      </c>
      <c r="II147">
        <v>2</v>
      </c>
      <c r="IJ147">
        <v>2</v>
      </c>
      <c r="IK147">
        <v>2</v>
      </c>
      <c r="IL147">
        <v>2</v>
      </c>
      <c r="IM147">
        <v>2</v>
      </c>
      <c r="IN147">
        <v>2</v>
      </c>
      <c r="IO147">
        <v>2</v>
      </c>
      <c r="IP147">
        <v>2</v>
      </c>
      <c r="IQ147">
        <v>2</v>
      </c>
      <c r="IR147">
        <v>2</v>
      </c>
      <c r="IS147">
        <v>2</v>
      </c>
      <c r="IT147">
        <v>2</v>
      </c>
      <c r="IU147">
        <v>2</v>
      </c>
      <c r="IV147">
        <v>2</v>
      </c>
      <c r="IW147">
        <v>2</v>
      </c>
      <c r="IX147">
        <v>2</v>
      </c>
      <c r="IY147">
        <v>2</v>
      </c>
      <c r="IZ147">
        <v>2</v>
      </c>
      <c r="JA147">
        <v>2</v>
      </c>
      <c r="JB147">
        <v>2</v>
      </c>
      <c r="JC147">
        <v>2</v>
      </c>
      <c r="JD147">
        <v>2</v>
      </c>
      <c r="JE147">
        <v>2</v>
      </c>
      <c r="JF147">
        <v>2</v>
      </c>
      <c r="JG147">
        <v>2</v>
      </c>
      <c r="JH147">
        <v>2</v>
      </c>
      <c r="JI147">
        <v>2</v>
      </c>
      <c r="JJ147">
        <v>2</v>
      </c>
      <c r="JK147">
        <v>1</v>
      </c>
      <c r="JL147">
        <v>1</v>
      </c>
      <c r="JM147">
        <v>1</v>
      </c>
      <c r="JN147">
        <v>1</v>
      </c>
      <c r="JO147">
        <v>1</v>
      </c>
      <c r="JP147">
        <v>1</v>
      </c>
      <c r="JQ147">
        <v>1</v>
      </c>
      <c r="JR147">
        <v>1</v>
      </c>
      <c r="JS147">
        <v>1</v>
      </c>
      <c r="JT147">
        <v>1</v>
      </c>
      <c r="JU147">
        <v>1</v>
      </c>
      <c r="JV147">
        <v>1</v>
      </c>
      <c r="JW147">
        <v>1</v>
      </c>
      <c r="JX147">
        <v>1</v>
      </c>
      <c r="JY147">
        <v>1</v>
      </c>
      <c r="JZ147">
        <v>1</v>
      </c>
      <c r="KA147">
        <v>1</v>
      </c>
      <c r="KB147">
        <v>1</v>
      </c>
      <c r="KC147">
        <v>0</v>
      </c>
      <c r="KD147">
        <v>0</v>
      </c>
      <c r="KE147">
        <v>0</v>
      </c>
      <c r="KF147">
        <v>0</v>
      </c>
      <c r="KG147">
        <v>0</v>
      </c>
      <c r="KH147">
        <v>0</v>
      </c>
      <c r="KI147">
        <v>0</v>
      </c>
      <c r="KJ147">
        <v>0</v>
      </c>
      <c r="KK147">
        <v>0</v>
      </c>
      <c r="KL147">
        <v>0</v>
      </c>
      <c r="KM147">
        <v>0</v>
      </c>
      <c r="KN147">
        <v>0</v>
      </c>
      <c r="KO147">
        <v>0</v>
      </c>
      <c r="KP147">
        <v>0</v>
      </c>
      <c r="KQ147">
        <v>0</v>
      </c>
      <c r="KR147">
        <v>0</v>
      </c>
      <c r="KS147">
        <v>0</v>
      </c>
      <c r="KT147">
        <v>0</v>
      </c>
      <c r="KU147">
        <v>0</v>
      </c>
      <c r="KV147">
        <v>0</v>
      </c>
      <c r="KW147">
        <v>0</v>
      </c>
      <c r="KX147">
        <v>0</v>
      </c>
      <c r="KY147">
        <v>0</v>
      </c>
      <c r="KZ147">
        <v>0</v>
      </c>
      <c r="LA147">
        <v>0</v>
      </c>
      <c r="LB147">
        <v>0</v>
      </c>
      <c r="LC147">
        <v>0</v>
      </c>
      <c r="LD147">
        <v>0</v>
      </c>
      <c r="LE147">
        <v>0</v>
      </c>
      <c r="LF147">
        <v>0</v>
      </c>
      <c r="LG147">
        <v>0</v>
      </c>
      <c r="LH147">
        <v>0</v>
      </c>
      <c r="LI147">
        <v>0</v>
      </c>
      <c r="LJ147">
        <v>0</v>
      </c>
      <c r="LK147">
        <v>0</v>
      </c>
      <c r="LL147">
        <v>0</v>
      </c>
      <c r="LM147">
        <v>0</v>
      </c>
      <c r="LN147">
        <v>0</v>
      </c>
      <c r="LO147">
        <v>0</v>
      </c>
      <c r="LP147">
        <v>0</v>
      </c>
      <c r="LQ147">
        <v>0</v>
      </c>
      <c r="LR147">
        <v>0</v>
      </c>
      <c r="LS147">
        <v>0</v>
      </c>
      <c r="LT147">
        <v>2</v>
      </c>
      <c r="LU147">
        <v>2</v>
      </c>
      <c r="LV147">
        <v>2</v>
      </c>
      <c r="LW147">
        <v>2</v>
      </c>
      <c r="LX147">
        <v>2</v>
      </c>
      <c r="LY147">
        <v>2</v>
      </c>
      <c r="LZ147">
        <v>2</v>
      </c>
      <c r="MA147">
        <v>2</v>
      </c>
      <c r="MB147">
        <v>2</v>
      </c>
      <c r="MC147">
        <v>2</v>
      </c>
      <c r="MD147">
        <v>2</v>
      </c>
      <c r="ME147">
        <v>2</v>
      </c>
      <c r="MF147">
        <v>2</v>
      </c>
      <c r="MG147">
        <v>2</v>
      </c>
      <c r="MH147">
        <v>2</v>
      </c>
      <c r="MI147">
        <v>2</v>
      </c>
      <c r="MJ147">
        <v>2</v>
      </c>
      <c r="MK147">
        <v>2</v>
      </c>
      <c r="ML147">
        <v>2</v>
      </c>
      <c r="MM147">
        <v>2</v>
      </c>
      <c r="MN147">
        <v>2</v>
      </c>
      <c r="MO147">
        <v>2</v>
      </c>
      <c r="MP147">
        <v>2</v>
      </c>
      <c r="MQ147">
        <v>2</v>
      </c>
      <c r="MR147">
        <v>2</v>
      </c>
      <c r="MS147">
        <v>2</v>
      </c>
      <c r="MT147">
        <v>2</v>
      </c>
      <c r="MU147">
        <v>2</v>
      </c>
      <c r="MV147">
        <v>2</v>
      </c>
      <c r="MW147">
        <v>2</v>
      </c>
      <c r="MX147">
        <v>2</v>
      </c>
      <c r="MY147">
        <v>2</v>
      </c>
      <c r="MZ147">
        <v>2</v>
      </c>
      <c r="NA147">
        <v>2</v>
      </c>
      <c r="NB147">
        <v>2</v>
      </c>
      <c r="NC147">
        <v>2</v>
      </c>
      <c r="ND147">
        <v>2</v>
      </c>
      <c r="NE147">
        <v>2</v>
      </c>
      <c r="NF147">
        <v>2</v>
      </c>
      <c r="NG147">
        <v>2</v>
      </c>
      <c r="NH147">
        <v>2</v>
      </c>
      <c r="NI147">
        <v>2</v>
      </c>
      <c r="NJ147">
        <v>2</v>
      </c>
      <c r="NK147">
        <v>2</v>
      </c>
      <c r="NL147">
        <v>2</v>
      </c>
      <c r="NM147">
        <v>2</v>
      </c>
      <c r="NN147">
        <v>2</v>
      </c>
      <c r="NO147">
        <v>2</v>
      </c>
      <c r="NP147">
        <v>0</v>
      </c>
      <c r="NQ147">
        <v>0</v>
      </c>
      <c r="NR147">
        <v>0</v>
      </c>
      <c r="NS147">
        <v>0</v>
      </c>
      <c r="NT147">
        <v>0</v>
      </c>
      <c r="NU147">
        <v>0</v>
      </c>
      <c r="NV147">
        <v>2</v>
      </c>
      <c r="NW147">
        <v>2</v>
      </c>
      <c r="NX147">
        <v>2</v>
      </c>
      <c r="NY147">
        <v>2</v>
      </c>
      <c r="NZ147">
        <v>2</v>
      </c>
      <c r="OA147">
        <v>2</v>
      </c>
      <c r="OB147">
        <v>2</v>
      </c>
      <c r="OC147">
        <v>2</v>
      </c>
      <c r="OD147">
        <v>2</v>
      </c>
      <c r="OE147">
        <v>2</v>
      </c>
      <c r="OF147">
        <v>2</v>
      </c>
      <c r="OG147">
        <v>2</v>
      </c>
      <c r="OH147">
        <v>2</v>
      </c>
      <c r="OI147">
        <v>2</v>
      </c>
      <c r="OJ147">
        <v>2</v>
      </c>
      <c r="OK147">
        <v>2</v>
      </c>
      <c r="OL147">
        <v>2</v>
      </c>
      <c r="OM147">
        <v>2</v>
      </c>
      <c r="ON147">
        <v>2</v>
      </c>
      <c r="OO147">
        <v>2</v>
      </c>
      <c r="OP147">
        <v>2</v>
      </c>
      <c r="OQ147">
        <v>2</v>
      </c>
      <c r="OR147">
        <v>2</v>
      </c>
      <c r="OS147">
        <v>2</v>
      </c>
      <c r="OT147">
        <v>2</v>
      </c>
      <c r="OU147">
        <v>2</v>
      </c>
      <c r="OV147">
        <v>2</v>
      </c>
      <c r="OW147">
        <v>2</v>
      </c>
      <c r="OX147">
        <v>2</v>
      </c>
      <c r="OY147">
        <v>2</v>
      </c>
      <c r="OZ147">
        <v>2</v>
      </c>
      <c r="PA147">
        <v>2</v>
      </c>
      <c r="PB147">
        <v>2</v>
      </c>
      <c r="PC147">
        <v>2</v>
      </c>
      <c r="PD147">
        <v>2</v>
      </c>
      <c r="PE147">
        <v>2</v>
      </c>
      <c r="PF147">
        <v>2</v>
      </c>
      <c r="PG147">
        <v>2</v>
      </c>
      <c r="PH147">
        <v>2</v>
      </c>
      <c r="PI147">
        <v>2</v>
      </c>
      <c r="PJ147">
        <v>2</v>
      </c>
      <c r="PK147">
        <v>2</v>
      </c>
      <c r="PL147">
        <v>2</v>
      </c>
      <c r="PM147">
        <v>2</v>
      </c>
      <c r="PN147">
        <v>2</v>
      </c>
      <c r="PO147">
        <v>2</v>
      </c>
      <c r="PP147">
        <v>2</v>
      </c>
      <c r="PQ147">
        <v>2</v>
      </c>
      <c r="PR147">
        <v>2</v>
      </c>
      <c r="PS147">
        <v>2</v>
      </c>
      <c r="PT147">
        <v>2</v>
      </c>
      <c r="PU147">
        <v>2</v>
      </c>
      <c r="PV147">
        <v>2</v>
      </c>
      <c r="PW147">
        <v>2</v>
      </c>
      <c r="PX147">
        <v>2</v>
      </c>
      <c r="PY147">
        <v>2</v>
      </c>
      <c r="PZ147">
        <v>2</v>
      </c>
      <c r="QA147">
        <v>2</v>
      </c>
      <c r="QB147">
        <v>2</v>
      </c>
      <c r="QC147">
        <v>2</v>
      </c>
      <c r="QD147">
        <v>2</v>
      </c>
      <c r="QE147">
        <v>2</v>
      </c>
      <c r="QF147">
        <v>2</v>
      </c>
      <c r="QG147">
        <v>2</v>
      </c>
      <c r="QH147">
        <v>2</v>
      </c>
      <c r="QI147">
        <v>2</v>
      </c>
      <c r="QJ147">
        <v>2</v>
      </c>
      <c r="QK147">
        <v>2</v>
      </c>
      <c r="QL147">
        <v>2</v>
      </c>
      <c r="QM147">
        <v>2</v>
      </c>
      <c r="QN147">
        <v>2</v>
      </c>
      <c r="QO147">
        <v>2</v>
      </c>
      <c r="QP147">
        <v>2</v>
      </c>
      <c r="QQ147">
        <v>2</v>
      </c>
      <c r="QR147">
        <v>2</v>
      </c>
      <c r="QS147">
        <v>2</v>
      </c>
      <c r="QT147">
        <v>2</v>
      </c>
      <c r="QU147">
        <v>2</v>
      </c>
      <c r="QV147">
        <v>2</v>
      </c>
      <c r="QW147">
        <v>2</v>
      </c>
      <c r="QX147">
        <v>2</v>
      </c>
      <c r="QY147">
        <v>2</v>
      </c>
      <c r="QZ147">
        <v>2</v>
      </c>
      <c r="RA147">
        <v>2</v>
      </c>
      <c r="RB147">
        <v>2</v>
      </c>
      <c r="RC147">
        <v>2</v>
      </c>
      <c r="RD147">
        <v>2</v>
      </c>
      <c r="RE147">
        <v>2</v>
      </c>
      <c r="RF147">
        <v>2</v>
      </c>
      <c r="RG147">
        <v>2</v>
      </c>
      <c r="RH147">
        <v>2</v>
      </c>
      <c r="RI147">
        <v>2</v>
      </c>
      <c r="RJ147">
        <v>2</v>
      </c>
      <c r="RK147">
        <v>2</v>
      </c>
      <c r="RL147">
        <v>2</v>
      </c>
      <c r="RM147">
        <v>2</v>
      </c>
      <c r="RN147">
        <v>2</v>
      </c>
      <c r="RO147">
        <v>2</v>
      </c>
      <c r="RP147">
        <v>2</v>
      </c>
      <c r="RQ147">
        <v>2</v>
      </c>
      <c r="RR147">
        <v>2</v>
      </c>
      <c r="RS147">
        <v>2</v>
      </c>
      <c r="RT147">
        <v>2</v>
      </c>
      <c r="RU147">
        <v>2</v>
      </c>
      <c r="RV147">
        <v>2</v>
      </c>
      <c r="RW147">
        <v>2</v>
      </c>
      <c r="RX147">
        <v>2</v>
      </c>
      <c r="RY147">
        <v>2</v>
      </c>
      <c r="RZ147">
        <v>2</v>
      </c>
      <c r="SA147">
        <v>2</v>
      </c>
      <c r="SB147">
        <v>2</v>
      </c>
      <c r="SC147">
        <v>2</v>
      </c>
      <c r="SD147">
        <v>2</v>
      </c>
      <c r="SE147">
        <v>1</v>
      </c>
      <c r="SF147">
        <v>1</v>
      </c>
      <c r="SG147">
        <v>1</v>
      </c>
      <c r="SH147">
        <v>1</v>
      </c>
      <c r="SI147">
        <v>1</v>
      </c>
      <c r="SJ147">
        <v>1</v>
      </c>
      <c r="SK147">
        <v>1</v>
      </c>
      <c r="SL147">
        <v>1</v>
      </c>
      <c r="SM147">
        <v>1</v>
      </c>
      <c r="SN147">
        <v>1</v>
      </c>
      <c r="SO147">
        <v>1</v>
      </c>
      <c r="SP147">
        <v>1</v>
      </c>
      <c r="SQ147">
        <v>1</v>
      </c>
      <c r="SR147">
        <v>1</v>
      </c>
      <c r="SS147">
        <v>1</v>
      </c>
      <c r="ST147">
        <v>1</v>
      </c>
      <c r="SU147">
        <v>1</v>
      </c>
      <c r="SV147">
        <v>1</v>
      </c>
      <c r="SW147">
        <v>1</v>
      </c>
      <c r="SX147">
        <v>1</v>
      </c>
      <c r="SY147">
        <v>1</v>
      </c>
      <c r="SZ147">
        <v>0</v>
      </c>
      <c r="TA147">
        <v>0</v>
      </c>
      <c r="TB147">
        <v>0</v>
      </c>
      <c r="TC147">
        <v>0</v>
      </c>
      <c r="TD147">
        <v>0</v>
      </c>
      <c r="TE147">
        <v>0</v>
      </c>
      <c r="TF147">
        <v>0</v>
      </c>
      <c r="TG147">
        <v>0</v>
      </c>
      <c r="TH147">
        <v>0</v>
      </c>
      <c r="TI147">
        <v>0</v>
      </c>
      <c r="TJ147">
        <v>0</v>
      </c>
      <c r="TK147">
        <v>0</v>
      </c>
      <c r="TL147">
        <v>0</v>
      </c>
      <c r="TM147">
        <v>0</v>
      </c>
      <c r="TN147">
        <v>0</v>
      </c>
      <c r="TO147">
        <v>0</v>
      </c>
      <c r="TP147">
        <v>0</v>
      </c>
      <c r="TQ147">
        <v>0</v>
      </c>
      <c r="TR147">
        <v>0</v>
      </c>
      <c r="TS147">
        <v>0</v>
      </c>
      <c r="TT147">
        <v>0</v>
      </c>
      <c r="TU147">
        <v>0</v>
      </c>
      <c r="TV147">
        <v>0</v>
      </c>
      <c r="TW147">
        <v>0</v>
      </c>
      <c r="TX147">
        <v>0</v>
      </c>
      <c r="TY147">
        <v>0</v>
      </c>
      <c r="TZ147">
        <v>0</v>
      </c>
      <c r="UA147">
        <v>0</v>
      </c>
      <c r="UB147">
        <v>0</v>
      </c>
      <c r="UC147">
        <v>0</v>
      </c>
      <c r="UD147">
        <v>0</v>
      </c>
      <c r="UE147">
        <v>0</v>
      </c>
      <c r="UF147">
        <v>0</v>
      </c>
      <c r="UG147">
        <v>0</v>
      </c>
      <c r="UH147">
        <v>0</v>
      </c>
      <c r="UI147">
        <v>0</v>
      </c>
      <c r="UJ147">
        <v>0</v>
      </c>
      <c r="UK147">
        <v>0</v>
      </c>
      <c r="UL147">
        <v>0</v>
      </c>
      <c r="UM147">
        <v>0</v>
      </c>
      <c r="UN147">
        <v>0</v>
      </c>
      <c r="UO147">
        <v>0</v>
      </c>
      <c r="UP147">
        <v>0</v>
      </c>
      <c r="UQ147">
        <v>0</v>
      </c>
      <c r="UR147">
        <v>0</v>
      </c>
      <c r="US147">
        <v>0</v>
      </c>
      <c r="UT147">
        <v>0</v>
      </c>
      <c r="UU147">
        <v>0</v>
      </c>
      <c r="UV147">
        <v>0</v>
      </c>
      <c r="UW147">
        <v>0</v>
      </c>
      <c r="UX147">
        <v>0</v>
      </c>
      <c r="UY147">
        <v>0</v>
      </c>
      <c r="UZ147">
        <v>0</v>
      </c>
      <c r="VA147">
        <v>0</v>
      </c>
      <c r="VB147">
        <v>0</v>
      </c>
      <c r="VC147">
        <v>0</v>
      </c>
      <c r="VD147">
        <v>0</v>
      </c>
      <c r="VE147">
        <v>0</v>
      </c>
      <c r="VF147">
        <v>0</v>
      </c>
      <c r="VG147">
        <v>0</v>
      </c>
      <c r="VH147">
        <v>0</v>
      </c>
      <c r="VI147">
        <v>0</v>
      </c>
      <c r="VJ147">
        <v>0</v>
      </c>
      <c r="VK147">
        <v>0</v>
      </c>
      <c r="VL147">
        <v>0</v>
      </c>
      <c r="VM147">
        <v>0</v>
      </c>
      <c r="VN147">
        <v>0</v>
      </c>
      <c r="VO147">
        <v>0</v>
      </c>
      <c r="VP147">
        <v>0</v>
      </c>
      <c r="VQ147">
        <v>0</v>
      </c>
      <c r="VR147">
        <v>0</v>
      </c>
      <c r="VS147">
        <v>0</v>
      </c>
      <c r="VT147">
        <v>0</v>
      </c>
      <c r="VU147">
        <v>0</v>
      </c>
      <c r="VV147">
        <v>0</v>
      </c>
      <c r="VW147">
        <v>0</v>
      </c>
      <c r="VX147">
        <v>0</v>
      </c>
      <c r="VY147">
        <v>0</v>
      </c>
      <c r="VZ147">
        <v>0</v>
      </c>
      <c r="WA147">
        <v>0</v>
      </c>
      <c r="WB147">
        <v>0</v>
      </c>
      <c r="WC147">
        <v>0</v>
      </c>
      <c r="WD147">
        <v>0</v>
      </c>
      <c r="WE147">
        <v>0</v>
      </c>
      <c r="WF147">
        <v>0</v>
      </c>
      <c r="WG147">
        <v>0</v>
      </c>
      <c r="WH147">
        <v>0</v>
      </c>
      <c r="WI147">
        <v>0</v>
      </c>
      <c r="WJ147">
        <v>0</v>
      </c>
      <c r="WK147">
        <v>0</v>
      </c>
      <c r="WL147">
        <v>0</v>
      </c>
      <c r="WM147">
        <v>0</v>
      </c>
      <c r="WN147">
        <v>0</v>
      </c>
      <c r="WO147">
        <v>0</v>
      </c>
      <c r="WP147">
        <v>0</v>
      </c>
      <c r="WQ147">
        <v>0</v>
      </c>
      <c r="WR147">
        <v>0</v>
      </c>
      <c r="WS147">
        <v>0</v>
      </c>
      <c r="WT147">
        <v>0</v>
      </c>
      <c r="WU147">
        <v>0</v>
      </c>
      <c r="WV147">
        <v>0</v>
      </c>
      <c r="WW147">
        <v>0</v>
      </c>
      <c r="WX147">
        <v>0</v>
      </c>
      <c r="WY147">
        <v>0</v>
      </c>
      <c r="WZ147">
        <v>0</v>
      </c>
      <c r="XA147">
        <v>0</v>
      </c>
      <c r="XB147">
        <v>0</v>
      </c>
      <c r="XC147">
        <v>0</v>
      </c>
      <c r="XD147">
        <v>0</v>
      </c>
      <c r="XE147">
        <v>0</v>
      </c>
      <c r="XF147">
        <v>0</v>
      </c>
      <c r="XG147">
        <v>0</v>
      </c>
      <c r="XH147">
        <v>0</v>
      </c>
      <c r="XI147">
        <v>0</v>
      </c>
      <c r="XJ147">
        <v>0</v>
      </c>
      <c r="XK147">
        <v>0</v>
      </c>
      <c r="XL147">
        <v>0</v>
      </c>
      <c r="XM147">
        <v>0</v>
      </c>
      <c r="XN147">
        <v>0</v>
      </c>
      <c r="XO147">
        <v>0</v>
      </c>
      <c r="XP147">
        <v>0</v>
      </c>
      <c r="XQ147">
        <v>0</v>
      </c>
      <c r="XR147">
        <v>0</v>
      </c>
      <c r="XS147">
        <v>0</v>
      </c>
      <c r="XT147">
        <v>0</v>
      </c>
      <c r="XU147">
        <v>0</v>
      </c>
      <c r="XV147">
        <v>0</v>
      </c>
      <c r="XW147">
        <v>0</v>
      </c>
      <c r="XX147">
        <v>0</v>
      </c>
      <c r="XY147">
        <v>0</v>
      </c>
      <c r="XZ147">
        <v>0</v>
      </c>
      <c r="YA147">
        <v>0</v>
      </c>
      <c r="YB147">
        <v>0</v>
      </c>
      <c r="YC147">
        <v>0</v>
      </c>
      <c r="YD147">
        <v>0</v>
      </c>
      <c r="YE147">
        <v>0</v>
      </c>
      <c r="YF147">
        <v>0</v>
      </c>
      <c r="YG147">
        <v>0</v>
      </c>
      <c r="YH147">
        <v>0</v>
      </c>
      <c r="YI147">
        <v>0</v>
      </c>
      <c r="YJ147">
        <v>0</v>
      </c>
      <c r="YK147">
        <v>0</v>
      </c>
      <c r="YL147">
        <v>0</v>
      </c>
      <c r="YM147">
        <v>0</v>
      </c>
      <c r="YN147">
        <v>0</v>
      </c>
      <c r="YO147">
        <v>0</v>
      </c>
      <c r="YP147">
        <v>0</v>
      </c>
      <c r="YQ147">
        <v>0</v>
      </c>
      <c r="YR147">
        <v>0</v>
      </c>
      <c r="YS147">
        <v>0</v>
      </c>
      <c r="YT147">
        <v>0</v>
      </c>
      <c r="YU147">
        <v>0</v>
      </c>
      <c r="YV147">
        <v>0</v>
      </c>
      <c r="YW147">
        <v>0</v>
      </c>
      <c r="YX147">
        <v>0</v>
      </c>
      <c r="YY147">
        <v>0</v>
      </c>
      <c r="YZ147">
        <v>0</v>
      </c>
      <c r="ZA147">
        <v>0</v>
      </c>
      <c r="ZB147">
        <v>0</v>
      </c>
      <c r="ZC147">
        <v>0</v>
      </c>
      <c r="ZD147">
        <v>0</v>
      </c>
      <c r="ZE147">
        <v>0</v>
      </c>
      <c r="ZF147">
        <v>0</v>
      </c>
      <c r="ZG147">
        <v>0</v>
      </c>
      <c r="ZH147">
        <v>0</v>
      </c>
      <c r="ZI147">
        <v>0</v>
      </c>
      <c r="ZJ147">
        <v>0</v>
      </c>
      <c r="ZK147">
        <v>0</v>
      </c>
      <c r="ZL147">
        <v>0</v>
      </c>
      <c r="ZM147">
        <v>0</v>
      </c>
      <c r="ZN147">
        <v>0</v>
      </c>
      <c r="ZO147">
        <v>0</v>
      </c>
      <c r="ZP147">
        <v>0</v>
      </c>
      <c r="ZQ147">
        <v>0</v>
      </c>
      <c r="ZR147">
        <v>0</v>
      </c>
      <c r="ZS147">
        <v>0</v>
      </c>
      <c r="ZT147">
        <v>0</v>
      </c>
      <c r="ZU147">
        <v>0</v>
      </c>
      <c r="ZV147">
        <v>0</v>
      </c>
      <c r="ZW147">
        <v>0</v>
      </c>
      <c r="ZX147">
        <v>0</v>
      </c>
      <c r="ZY147">
        <v>0</v>
      </c>
      <c r="ZZ147">
        <v>0</v>
      </c>
      <c r="AAA147">
        <v>0</v>
      </c>
      <c r="AAB147">
        <v>0</v>
      </c>
      <c r="AAC147">
        <v>0</v>
      </c>
      <c r="AAD147">
        <v>0</v>
      </c>
      <c r="AAE147">
        <v>0</v>
      </c>
      <c r="AAF147">
        <v>0</v>
      </c>
      <c r="AAG147">
        <v>0</v>
      </c>
      <c r="AAH147">
        <v>0</v>
      </c>
      <c r="AAI147">
        <v>0</v>
      </c>
      <c r="AAJ147">
        <v>0</v>
      </c>
      <c r="AAK147">
        <v>0</v>
      </c>
      <c r="AAL147">
        <v>0</v>
      </c>
      <c r="AAM147">
        <v>0</v>
      </c>
      <c r="AAN147">
        <v>0</v>
      </c>
      <c r="AAO147">
        <v>0</v>
      </c>
      <c r="AAP147">
        <v>0</v>
      </c>
      <c r="AAQ147">
        <v>0</v>
      </c>
      <c r="AAR147">
        <v>0</v>
      </c>
      <c r="AAS147">
        <v>0</v>
      </c>
      <c r="AAT147">
        <v>0</v>
      </c>
      <c r="AAU147">
        <v>0</v>
      </c>
      <c r="AAV147">
        <v>0</v>
      </c>
      <c r="AAW147">
        <v>0</v>
      </c>
      <c r="AAX147">
        <v>0</v>
      </c>
      <c r="AAY147">
        <v>0</v>
      </c>
      <c r="AAZ147">
        <v>0</v>
      </c>
      <c r="ABA147">
        <v>0</v>
      </c>
      <c r="ABB147">
        <v>0</v>
      </c>
      <c r="ABC147">
        <v>0</v>
      </c>
      <c r="ABD147">
        <v>0</v>
      </c>
      <c r="ABE147">
        <v>0</v>
      </c>
      <c r="ABG147" s="1137">
        <f t="shared" si="37"/>
        <v>0</v>
      </c>
      <c r="ABH147" s="1137">
        <f t="shared" si="37"/>
        <v>0</v>
      </c>
      <c r="ABI147" s="1137">
        <f t="shared" si="37"/>
        <v>11</v>
      </c>
      <c r="ABJ147" s="1137">
        <f t="shared" si="37"/>
        <v>30</v>
      </c>
      <c r="ABK147" s="1137">
        <f t="shared" si="37"/>
        <v>31</v>
      </c>
      <c r="ABL147" s="1137">
        <f t="shared" si="37"/>
        <v>22</v>
      </c>
      <c r="ABM147" s="1137">
        <f t="shared" si="37"/>
        <v>31</v>
      </c>
      <c r="ABN147" s="1137">
        <f t="shared" si="37"/>
        <v>31</v>
      </c>
      <c r="ABO147" s="1137">
        <f t="shared" si="37"/>
        <v>30</v>
      </c>
      <c r="ABP147" s="1137">
        <f t="shared" si="37"/>
        <v>12</v>
      </c>
      <c r="ABQ147" s="1137">
        <f t="shared" si="37"/>
        <v>6</v>
      </c>
      <c r="ABR147" s="1137">
        <f t="shared" si="37"/>
        <v>31</v>
      </c>
      <c r="ABS147" s="1137">
        <f t="shared" si="37"/>
        <v>25</v>
      </c>
      <c r="ABT147" s="1137">
        <f t="shared" si="37"/>
        <v>28</v>
      </c>
      <c r="ABU147" s="1137">
        <f t="shared" si="37"/>
        <v>31</v>
      </c>
      <c r="ABV147" s="1137">
        <f t="shared" ref="ABV147" si="40">COUNTIFS($C$3:$ABE$3, ABV$3, $C$4:$ABE$4, ABV$4, $C147:$ABE147, "&gt;0")</f>
        <v>30</v>
      </c>
      <c r="ABW147" s="1137">
        <f t="shared" si="31"/>
        <v>31</v>
      </c>
      <c r="ABX147" s="1137">
        <f t="shared" si="34"/>
        <v>0</v>
      </c>
      <c r="ABY147" s="1137">
        <f t="shared" si="34"/>
        <v>0</v>
      </c>
      <c r="ABZ147" s="1137">
        <f t="shared" si="34"/>
        <v>0</v>
      </c>
      <c r="ACA147" s="1137">
        <f t="shared" si="34"/>
        <v>0</v>
      </c>
      <c r="ACB147" s="1137">
        <f t="shared" si="34"/>
        <v>0</v>
      </c>
      <c r="ACC147" s="1137">
        <f t="shared" si="34"/>
        <v>0</v>
      </c>
      <c r="ACD147" s="1137">
        <f t="shared" si="34"/>
        <v>0</v>
      </c>
      <c r="ACE147" s="1137" t="s">
        <v>58</v>
      </c>
      <c r="ACF147" s="1137">
        <f t="shared" si="39"/>
        <v>0</v>
      </c>
      <c r="ACG147" s="1137">
        <f t="shared" si="39"/>
        <v>0</v>
      </c>
      <c r="ACH147" s="1137">
        <f t="shared" si="38"/>
        <v>1</v>
      </c>
      <c r="ACI147" s="1137">
        <f t="shared" si="38"/>
        <v>1</v>
      </c>
      <c r="ACJ147" s="1137">
        <f t="shared" si="38"/>
        <v>1</v>
      </c>
      <c r="ACK147" s="1137">
        <f t="shared" si="38"/>
        <v>1</v>
      </c>
      <c r="ACL147" s="1137">
        <f t="shared" si="38"/>
        <v>1</v>
      </c>
      <c r="ACM147" s="1137">
        <f t="shared" si="38"/>
        <v>1</v>
      </c>
      <c r="ACN147" s="1137">
        <f t="shared" si="38"/>
        <v>1</v>
      </c>
      <c r="ACO147" s="1137">
        <f t="shared" si="38"/>
        <v>1</v>
      </c>
      <c r="ACP147" s="1137">
        <f t="shared" si="38"/>
        <v>0</v>
      </c>
      <c r="ACQ147" s="1137">
        <f t="shared" si="32"/>
        <v>1</v>
      </c>
      <c r="ACR147" s="1137">
        <f t="shared" si="32"/>
        <v>1</v>
      </c>
      <c r="ACS147" s="1137">
        <f t="shared" si="32"/>
        <v>1</v>
      </c>
      <c r="ACT147" s="1137">
        <f t="shared" si="32"/>
        <v>1</v>
      </c>
      <c r="ACU147" s="1137">
        <f t="shared" si="32"/>
        <v>1</v>
      </c>
      <c r="ACV147" s="1137">
        <f t="shared" si="32"/>
        <v>1</v>
      </c>
      <c r="ACW147" s="1137">
        <f t="shared" si="32"/>
        <v>0</v>
      </c>
      <c r="ACX147" s="1137">
        <f t="shared" si="32"/>
        <v>0</v>
      </c>
      <c r="ACY147" s="1137">
        <f t="shared" si="32"/>
        <v>0</v>
      </c>
      <c r="ACZ147" s="1137">
        <f t="shared" si="32"/>
        <v>0</v>
      </c>
      <c r="ADA147" s="1137">
        <f t="shared" si="35"/>
        <v>0</v>
      </c>
      <c r="ADB147" s="1137">
        <f t="shared" si="35"/>
        <v>0</v>
      </c>
      <c r="ADC147" s="1137">
        <f t="shared" si="35"/>
        <v>0</v>
      </c>
    </row>
    <row r="148" spans="1:783" x14ac:dyDescent="0.25">
      <c r="A148" t="s">
        <v>1949</v>
      </c>
      <c r="B148" t="s">
        <v>251</v>
      </c>
      <c r="C148">
        <v>0</v>
      </c>
      <c r="D148">
        <v>0</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0</v>
      </c>
      <c r="AY148">
        <v>0</v>
      </c>
      <c r="AZ148">
        <v>0</v>
      </c>
      <c r="BA148">
        <v>0</v>
      </c>
      <c r="BB148">
        <v>0</v>
      </c>
      <c r="BC148">
        <v>0</v>
      </c>
      <c r="BD148">
        <v>0</v>
      </c>
      <c r="BE148">
        <v>0</v>
      </c>
      <c r="BF148">
        <v>0</v>
      </c>
      <c r="BG148">
        <v>0</v>
      </c>
      <c r="BH148">
        <v>0</v>
      </c>
      <c r="BI148">
        <v>0</v>
      </c>
      <c r="BJ148">
        <v>0</v>
      </c>
      <c r="BK148">
        <v>0</v>
      </c>
      <c r="BL148">
        <v>0</v>
      </c>
      <c r="BM148">
        <v>0</v>
      </c>
      <c r="BN148">
        <v>0</v>
      </c>
      <c r="BO148">
        <v>0</v>
      </c>
      <c r="BP148">
        <v>0</v>
      </c>
      <c r="BQ148">
        <v>0</v>
      </c>
      <c r="BR148">
        <v>2</v>
      </c>
      <c r="BS148">
        <v>2</v>
      </c>
      <c r="BT148">
        <v>2</v>
      </c>
      <c r="BU148">
        <v>2</v>
      </c>
      <c r="BV148">
        <v>2</v>
      </c>
      <c r="BW148">
        <v>2</v>
      </c>
      <c r="BX148">
        <v>2</v>
      </c>
      <c r="BY148">
        <v>2</v>
      </c>
      <c r="BZ148">
        <v>2</v>
      </c>
      <c r="CA148">
        <v>2</v>
      </c>
      <c r="CB148">
        <v>2</v>
      </c>
      <c r="CC148">
        <v>2</v>
      </c>
      <c r="CD148">
        <v>2</v>
      </c>
      <c r="CE148">
        <v>2</v>
      </c>
      <c r="CF148">
        <v>2</v>
      </c>
      <c r="CG148">
        <v>2</v>
      </c>
      <c r="CH148">
        <v>2</v>
      </c>
      <c r="CI148">
        <v>2</v>
      </c>
      <c r="CJ148">
        <v>2</v>
      </c>
      <c r="CK148">
        <v>2</v>
      </c>
      <c r="CL148">
        <v>2</v>
      </c>
      <c r="CM148">
        <v>2</v>
      </c>
      <c r="CN148">
        <v>2</v>
      </c>
      <c r="CO148">
        <v>2</v>
      </c>
      <c r="CP148">
        <v>2</v>
      </c>
      <c r="CQ148">
        <v>2</v>
      </c>
      <c r="CR148">
        <v>2</v>
      </c>
      <c r="CS148">
        <v>2</v>
      </c>
      <c r="CT148">
        <v>2</v>
      </c>
      <c r="CU148">
        <v>2</v>
      </c>
      <c r="CV148">
        <v>2</v>
      </c>
      <c r="CW148">
        <v>2</v>
      </c>
      <c r="CX148">
        <v>2</v>
      </c>
      <c r="CY148">
        <v>2</v>
      </c>
      <c r="CZ148">
        <v>2</v>
      </c>
      <c r="DA148">
        <v>2</v>
      </c>
      <c r="DB148">
        <v>2</v>
      </c>
      <c r="DC148">
        <v>2</v>
      </c>
      <c r="DD148">
        <v>2</v>
      </c>
      <c r="DE148">
        <v>2</v>
      </c>
      <c r="DF148">
        <v>2</v>
      </c>
      <c r="DG148">
        <v>2</v>
      </c>
      <c r="DH148">
        <v>2</v>
      </c>
      <c r="DI148">
        <v>2</v>
      </c>
      <c r="DJ148">
        <v>2</v>
      </c>
      <c r="DK148">
        <v>2</v>
      </c>
      <c r="DL148">
        <v>2</v>
      </c>
      <c r="DM148">
        <v>2</v>
      </c>
      <c r="DN148">
        <v>2</v>
      </c>
      <c r="DO148">
        <v>2</v>
      </c>
      <c r="DP148">
        <v>2</v>
      </c>
      <c r="DQ148">
        <v>2</v>
      </c>
      <c r="DR148">
        <v>2</v>
      </c>
      <c r="DS148">
        <v>2</v>
      </c>
      <c r="DT148">
        <v>2</v>
      </c>
      <c r="DU148">
        <v>2</v>
      </c>
      <c r="DV148">
        <v>2</v>
      </c>
      <c r="DW148">
        <v>2</v>
      </c>
      <c r="DX148">
        <v>2</v>
      </c>
      <c r="DY148">
        <v>2</v>
      </c>
      <c r="DZ148">
        <v>2</v>
      </c>
      <c r="EA148">
        <v>2</v>
      </c>
      <c r="EB148">
        <v>2</v>
      </c>
      <c r="EC148">
        <v>2</v>
      </c>
      <c r="ED148">
        <v>2</v>
      </c>
      <c r="EE148">
        <v>2</v>
      </c>
      <c r="EF148">
        <v>2</v>
      </c>
      <c r="EG148">
        <v>2</v>
      </c>
      <c r="EH148">
        <v>2</v>
      </c>
      <c r="EI148">
        <v>2</v>
      </c>
      <c r="EJ148">
        <v>2</v>
      </c>
      <c r="EK148">
        <v>2</v>
      </c>
      <c r="EL148">
        <v>2</v>
      </c>
      <c r="EM148">
        <v>2</v>
      </c>
      <c r="EN148">
        <v>2</v>
      </c>
      <c r="EO148">
        <v>2</v>
      </c>
      <c r="EP148">
        <v>2</v>
      </c>
      <c r="EQ148">
        <v>2</v>
      </c>
      <c r="ER148">
        <v>2</v>
      </c>
      <c r="ES148">
        <v>2</v>
      </c>
      <c r="ET148">
        <v>2</v>
      </c>
      <c r="EU148">
        <v>2</v>
      </c>
      <c r="EV148">
        <v>2</v>
      </c>
      <c r="EW148">
        <v>2</v>
      </c>
      <c r="EX148">
        <v>2</v>
      </c>
      <c r="EY148">
        <v>2</v>
      </c>
      <c r="EZ148">
        <v>2</v>
      </c>
      <c r="FA148">
        <v>2</v>
      </c>
      <c r="FB148">
        <v>2</v>
      </c>
      <c r="FC148">
        <v>2</v>
      </c>
      <c r="FD148">
        <v>2</v>
      </c>
      <c r="FE148">
        <v>2</v>
      </c>
      <c r="FF148">
        <v>2</v>
      </c>
      <c r="FG148">
        <v>2</v>
      </c>
      <c r="FH148">
        <v>2</v>
      </c>
      <c r="FI148">
        <v>2</v>
      </c>
      <c r="FJ148">
        <v>2</v>
      </c>
      <c r="FK148">
        <v>2</v>
      </c>
      <c r="FL148">
        <v>2</v>
      </c>
      <c r="FM148">
        <v>2</v>
      </c>
      <c r="FN148">
        <v>2</v>
      </c>
      <c r="FO148">
        <v>2</v>
      </c>
      <c r="FP148">
        <v>2</v>
      </c>
      <c r="FQ148">
        <v>2</v>
      </c>
      <c r="FR148">
        <v>2</v>
      </c>
      <c r="FS148">
        <v>1</v>
      </c>
      <c r="FT148">
        <v>1</v>
      </c>
      <c r="FU148">
        <v>1</v>
      </c>
      <c r="FV148">
        <v>1</v>
      </c>
      <c r="FW148">
        <v>1</v>
      </c>
      <c r="FX148">
        <v>1</v>
      </c>
      <c r="FY148">
        <v>1</v>
      </c>
      <c r="FZ148">
        <v>1</v>
      </c>
      <c r="GA148">
        <v>1</v>
      </c>
      <c r="GB148">
        <v>1</v>
      </c>
      <c r="GC148">
        <v>1</v>
      </c>
      <c r="GD148">
        <v>1</v>
      </c>
      <c r="GE148">
        <v>1</v>
      </c>
      <c r="GF148">
        <v>1</v>
      </c>
      <c r="GG148">
        <v>1</v>
      </c>
      <c r="GH148">
        <v>1</v>
      </c>
      <c r="GI148">
        <v>1</v>
      </c>
      <c r="GJ148">
        <v>1</v>
      </c>
      <c r="GK148">
        <v>1</v>
      </c>
      <c r="GL148">
        <v>1</v>
      </c>
      <c r="GM148">
        <v>1</v>
      </c>
      <c r="GN148">
        <v>1</v>
      </c>
      <c r="GO148">
        <v>1</v>
      </c>
      <c r="GP148">
        <v>1</v>
      </c>
      <c r="GQ148">
        <v>1</v>
      </c>
      <c r="GR148">
        <v>1</v>
      </c>
      <c r="GS148">
        <v>1</v>
      </c>
      <c r="GT148">
        <v>1</v>
      </c>
      <c r="GU148">
        <v>1</v>
      </c>
      <c r="GV148">
        <v>1</v>
      </c>
      <c r="GW148">
        <v>1</v>
      </c>
      <c r="GX148">
        <v>1</v>
      </c>
      <c r="GY148">
        <v>1</v>
      </c>
      <c r="GZ148">
        <v>1</v>
      </c>
      <c r="HA148">
        <v>1</v>
      </c>
      <c r="HB148">
        <v>1</v>
      </c>
      <c r="HC148">
        <v>1</v>
      </c>
      <c r="HD148">
        <v>1</v>
      </c>
      <c r="HE148">
        <v>1</v>
      </c>
      <c r="HF148">
        <v>1</v>
      </c>
      <c r="HG148">
        <v>1</v>
      </c>
      <c r="HH148">
        <v>1</v>
      </c>
      <c r="HI148">
        <v>1</v>
      </c>
      <c r="HJ148">
        <v>1</v>
      </c>
      <c r="HK148">
        <v>1</v>
      </c>
      <c r="HL148">
        <v>1</v>
      </c>
      <c r="HM148">
        <v>1</v>
      </c>
      <c r="HN148">
        <v>1</v>
      </c>
      <c r="HO148">
        <v>1</v>
      </c>
      <c r="HP148">
        <v>1</v>
      </c>
      <c r="HQ148">
        <v>1</v>
      </c>
      <c r="HR148">
        <v>0</v>
      </c>
      <c r="HS148">
        <v>0</v>
      </c>
      <c r="HT148">
        <v>0</v>
      </c>
      <c r="HU148">
        <v>0</v>
      </c>
      <c r="HV148">
        <v>0</v>
      </c>
      <c r="HW148">
        <v>0</v>
      </c>
      <c r="HX148">
        <v>0</v>
      </c>
      <c r="HY148">
        <v>0</v>
      </c>
      <c r="HZ148">
        <v>0</v>
      </c>
      <c r="IA148">
        <v>0</v>
      </c>
      <c r="IB148">
        <v>0</v>
      </c>
      <c r="IC148">
        <v>0</v>
      </c>
      <c r="ID148">
        <v>0</v>
      </c>
      <c r="IE148">
        <v>0</v>
      </c>
      <c r="IF148">
        <v>0</v>
      </c>
      <c r="IG148">
        <v>0</v>
      </c>
      <c r="IH148">
        <v>0</v>
      </c>
      <c r="II148">
        <v>0</v>
      </c>
      <c r="IJ148">
        <v>0</v>
      </c>
      <c r="IK148">
        <v>0</v>
      </c>
      <c r="IL148">
        <v>0</v>
      </c>
      <c r="IM148">
        <v>0</v>
      </c>
      <c r="IN148">
        <v>0</v>
      </c>
      <c r="IO148">
        <v>0</v>
      </c>
      <c r="IP148">
        <v>0</v>
      </c>
      <c r="IQ148">
        <v>0</v>
      </c>
      <c r="IR148">
        <v>0</v>
      </c>
      <c r="IS148">
        <v>0</v>
      </c>
      <c r="IT148">
        <v>0</v>
      </c>
      <c r="IU148">
        <v>0</v>
      </c>
      <c r="IV148">
        <v>0</v>
      </c>
      <c r="IW148">
        <v>0</v>
      </c>
      <c r="IX148">
        <v>0</v>
      </c>
      <c r="IY148">
        <v>0</v>
      </c>
      <c r="IZ148">
        <v>0</v>
      </c>
      <c r="JA148">
        <v>0</v>
      </c>
      <c r="JB148">
        <v>0</v>
      </c>
      <c r="JC148">
        <v>0</v>
      </c>
      <c r="JD148">
        <v>0</v>
      </c>
      <c r="JE148">
        <v>0</v>
      </c>
      <c r="JF148">
        <v>0</v>
      </c>
      <c r="JG148">
        <v>0</v>
      </c>
      <c r="JH148">
        <v>0</v>
      </c>
      <c r="JI148">
        <v>0</v>
      </c>
      <c r="JJ148">
        <v>0</v>
      </c>
      <c r="JK148">
        <v>0</v>
      </c>
      <c r="JL148">
        <v>0</v>
      </c>
      <c r="JM148">
        <v>0</v>
      </c>
      <c r="JN148">
        <v>0</v>
      </c>
      <c r="JO148">
        <v>0</v>
      </c>
      <c r="JP148">
        <v>0</v>
      </c>
      <c r="JQ148">
        <v>0</v>
      </c>
      <c r="JR148">
        <v>0</v>
      </c>
      <c r="JS148">
        <v>0</v>
      </c>
      <c r="JT148">
        <v>0</v>
      </c>
      <c r="JU148">
        <v>0</v>
      </c>
      <c r="JV148">
        <v>0</v>
      </c>
      <c r="JW148">
        <v>0</v>
      </c>
      <c r="JX148">
        <v>0</v>
      </c>
      <c r="JY148">
        <v>0</v>
      </c>
      <c r="JZ148">
        <v>0</v>
      </c>
      <c r="KA148">
        <v>0</v>
      </c>
      <c r="KB148">
        <v>0</v>
      </c>
      <c r="KC148">
        <v>0</v>
      </c>
      <c r="KD148">
        <v>0</v>
      </c>
      <c r="KE148">
        <v>0</v>
      </c>
      <c r="KF148">
        <v>0</v>
      </c>
      <c r="KG148">
        <v>0</v>
      </c>
      <c r="KH148">
        <v>0</v>
      </c>
      <c r="KI148">
        <v>0</v>
      </c>
      <c r="KJ148">
        <v>0</v>
      </c>
      <c r="KK148">
        <v>0</v>
      </c>
      <c r="KL148">
        <v>0</v>
      </c>
      <c r="KM148">
        <v>0</v>
      </c>
      <c r="KN148">
        <v>0</v>
      </c>
      <c r="KO148">
        <v>0</v>
      </c>
      <c r="KP148">
        <v>0</v>
      </c>
      <c r="KQ148">
        <v>0</v>
      </c>
      <c r="KR148">
        <v>0</v>
      </c>
      <c r="KS148">
        <v>0</v>
      </c>
      <c r="KT148">
        <v>0</v>
      </c>
      <c r="KU148">
        <v>0</v>
      </c>
      <c r="KV148">
        <v>0</v>
      </c>
      <c r="KW148">
        <v>0</v>
      </c>
      <c r="KX148">
        <v>0</v>
      </c>
      <c r="KY148">
        <v>0</v>
      </c>
      <c r="KZ148">
        <v>0</v>
      </c>
      <c r="LA148">
        <v>0</v>
      </c>
      <c r="LB148">
        <v>0</v>
      </c>
      <c r="LC148">
        <v>0</v>
      </c>
      <c r="LD148">
        <v>0</v>
      </c>
      <c r="LE148">
        <v>0</v>
      </c>
      <c r="LF148">
        <v>0</v>
      </c>
      <c r="LG148">
        <v>0</v>
      </c>
      <c r="LH148">
        <v>0</v>
      </c>
      <c r="LI148">
        <v>0</v>
      </c>
      <c r="LJ148">
        <v>0</v>
      </c>
      <c r="LK148">
        <v>0</v>
      </c>
      <c r="LL148">
        <v>0</v>
      </c>
      <c r="LM148">
        <v>0</v>
      </c>
      <c r="LN148">
        <v>0</v>
      </c>
      <c r="LO148">
        <v>0</v>
      </c>
      <c r="LP148">
        <v>0</v>
      </c>
      <c r="LQ148">
        <v>0</v>
      </c>
      <c r="LR148">
        <v>0</v>
      </c>
      <c r="LS148">
        <v>0</v>
      </c>
      <c r="LT148">
        <v>0</v>
      </c>
      <c r="LU148">
        <v>0</v>
      </c>
      <c r="LV148">
        <v>0</v>
      </c>
      <c r="LW148">
        <v>0</v>
      </c>
      <c r="LX148">
        <v>0</v>
      </c>
      <c r="LY148">
        <v>0</v>
      </c>
      <c r="LZ148">
        <v>0</v>
      </c>
      <c r="MA148">
        <v>0</v>
      </c>
      <c r="MB148">
        <v>0</v>
      </c>
      <c r="MC148">
        <v>0</v>
      </c>
      <c r="MD148">
        <v>0</v>
      </c>
      <c r="ME148">
        <v>0</v>
      </c>
      <c r="MF148">
        <v>0</v>
      </c>
      <c r="MG148">
        <v>0</v>
      </c>
      <c r="MH148">
        <v>0</v>
      </c>
      <c r="MI148">
        <v>0</v>
      </c>
      <c r="MJ148">
        <v>0</v>
      </c>
      <c r="MK148">
        <v>0</v>
      </c>
      <c r="ML148">
        <v>0</v>
      </c>
      <c r="MM148">
        <v>0</v>
      </c>
      <c r="MN148">
        <v>0</v>
      </c>
      <c r="MO148">
        <v>0</v>
      </c>
      <c r="MP148">
        <v>0</v>
      </c>
      <c r="MQ148">
        <v>0</v>
      </c>
      <c r="MR148">
        <v>0</v>
      </c>
      <c r="MS148">
        <v>0</v>
      </c>
      <c r="MT148">
        <v>0</v>
      </c>
      <c r="MU148">
        <v>0</v>
      </c>
      <c r="MV148">
        <v>0</v>
      </c>
      <c r="MW148">
        <v>0</v>
      </c>
      <c r="MX148">
        <v>0</v>
      </c>
      <c r="MY148">
        <v>0</v>
      </c>
      <c r="MZ148">
        <v>0</v>
      </c>
      <c r="NA148">
        <v>0</v>
      </c>
      <c r="NB148">
        <v>0</v>
      </c>
      <c r="NC148">
        <v>0</v>
      </c>
      <c r="ND148">
        <v>0</v>
      </c>
      <c r="NE148">
        <v>0</v>
      </c>
      <c r="NF148">
        <v>0</v>
      </c>
      <c r="NG148">
        <v>0</v>
      </c>
      <c r="NH148">
        <v>0</v>
      </c>
      <c r="NI148">
        <v>0</v>
      </c>
      <c r="NJ148">
        <v>0</v>
      </c>
      <c r="NK148">
        <v>0</v>
      </c>
      <c r="NL148">
        <v>0</v>
      </c>
      <c r="NM148">
        <v>0</v>
      </c>
      <c r="NN148">
        <v>0</v>
      </c>
      <c r="NO148">
        <v>0</v>
      </c>
      <c r="NP148">
        <v>0</v>
      </c>
      <c r="NQ148">
        <v>0</v>
      </c>
      <c r="NR148">
        <v>0</v>
      </c>
      <c r="NS148">
        <v>0</v>
      </c>
      <c r="NT148">
        <v>0</v>
      </c>
      <c r="NU148">
        <v>0</v>
      </c>
      <c r="NV148">
        <v>0</v>
      </c>
      <c r="NW148">
        <v>0</v>
      </c>
      <c r="NX148">
        <v>0</v>
      </c>
      <c r="NY148">
        <v>0</v>
      </c>
      <c r="NZ148">
        <v>0</v>
      </c>
      <c r="OA148">
        <v>0</v>
      </c>
      <c r="OB148">
        <v>0</v>
      </c>
      <c r="OC148">
        <v>0</v>
      </c>
      <c r="OD148">
        <v>0</v>
      </c>
      <c r="OE148">
        <v>0</v>
      </c>
      <c r="OF148">
        <v>0</v>
      </c>
      <c r="OG148">
        <v>0</v>
      </c>
      <c r="OH148">
        <v>0</v>
      </c>
      <c r="OI148">
        <v>0</v>
      </c>
      <c r="OJ148">
        <v>0</v>
      </c>
      <c r="OK148">
        <v>0</v>
      </c>
      <c r="OL148">
        <v>0</v>
      </c>
      <c r="OM148">
        <v>0</v>
      </c>
      <c r="ON148">
        <v>0</v>
      </c>
      <c r="OO148">
        <v>0</v>
      </c>
      <c r="OP148">
        <v>0</v>
      </c>
      <c r="OQ148">
        <v>0</v>
      </c>
      <c r="OR148">
        <v>0</v>
      </c>
      <c r="OS148">
        <v>0</v>
      </c>
      <c r="OT148">
        <v>0</v>
      </c>
      <c r="OU148">
        <v>0</v>
      </c>
      <c r="OV148">
        <v>0</v>
      </c>
      <c r="OW148">
        <v>0</v>
      </c>
      <c r="OX148">
        <v>0</v>
      </c>
      <c r="OY148">
        <v>0</v>
      </c>
      <c r="OZ148">
        <v>0</v>
      </c>
      <c r="PA148">
        <v>0</v>
      </c>
      <c r="PB148">
        <v>0</v>
      </c>
      <c r="PC148">
        <v>0</v>
      </c>
      <c r="PD148">
        <v>0</v>
      </c>
      <c r="PE148">
        <v>0</v>
      </c>
      <c r="PF148">
        <v>0</v>
      </c>
      <c r="PG148">
        <v>0</v>
      </c>
      <c r="PH148">
        <v>0</v>
      </c>
      <c r="PI148">
        <v>0</v>
      </c>
      <c r="PJ148">
        <v>0</v>
      </c>
      <c r="PK148">
        <v>0</v>
      </c>
      <c r="PL148">
        <v>0</v>
      </c>
      <c r="PM148">
        <v>0</v>
      </c>
      <c r="PN148">
        <v>0</v>
      </c>
      <c r="PO148">
        <v>0</v>
      </c>
      <c r="PP148">
        <v>0</v>
      </c>
      <c r="PQ148">
        <v>0</v>
      </c>
      <c r="PR148">
        <v>0</v>
      </c>
      <c r="PS148">
        <v>0</v>
      </c>
      <c r="PT148">
        <v>0</v>
      </c>
      <c r="PU148">
        <v>0</v>
      </c>
      <c r="PV148">
        <v>0</v>
      </c>
      <c r="PW148">
        <v>0</v>
      </c>
      <c r="PX148">
        <v>0</v>
      </c>
      <c r="PY148">
        <v>0</v>
      </c>
      <c r="PZ148">
        <v>0</v>
      </c>
      <c r="QA148">
        <v>0</v>
      </c>
      <c r="QB148">
        <v>0</v>
      </c>
      <c r="QC148">
        <v>0</v>
      </c>
      <c r="QD148">
        <v>0</v>
      </c>
      <c r="QE148">
        <v>0</v>
      </c>
      <c r="QF148">
        <v>0</v>
      </c>
      <c r="QG148">
        <v>0</v>
      </c>
      <c r="QH148">
        <v>0</v>
      </c>
      <c r="QI148">
        <v>0</v>
      </c>
      <c r="QJ148">
        <v>0</v>
      </c>
      <c r="QK148">
        <v>0</v>
      </c>
      <c r="QL148">
        <v>0</v>
      </c>
      <c r="QM148">
        <v>0</v>
      </c>
      <c r="QN148">
        <v>0</v>
      </c>
      <c r="QO148">
        <v>0</v>
      </c>
      <c r="QP148">
        <v>0</v>
      </c>
      <c r="QQ148">
        <v>0</v>
      </c>
      <c r="QR148">
        <v>0</v>
      </c>
      <c r="QS148">
        <v>0</v>
      </c>
      <c r="QT148">
        <v>0</v>
      </c>
      <c r="QU148">
        <v>0</v>
      </c>
      <c r="QV148">
        <v>0</v>
      </c>
      <c r="QW148">
        <v>0</v>
      </c>
      <c r="QX148">
        <v>0</v>
      </c>
      <c r="QY148">
        <v>0</v>
      </c>
      <c r="QZ148">
        <v>0</v>
      </c>
      <c r="RA148">
        <v>0</v>
      </c>
      <c r="RB148">
        <v>0</v>
      </c>
      <c r="RC148">
        <v>0</v>
      </c>
      <c r="RD148">
        <v>0</v>
      </c>
      <c r="RE148">
        <v>0</v>
      </c>
      <c r="RF148">
        <v>0</v>
      </c>
      <c r="RG148">
        <v>0</v>
      </c>
      <c r="RH148">
        <v>0</v>
      </c>
      <c r="RI148">
        <v>0</v>
      </c>
      <c r="RJ148">
        <v>0</v>
      </c>
      <c r="RK148">
        <v>0</v>
      </c>
      <c r="RL148">
        <v>0</v>
      </c>
      <c r="RM148">
        <v>0</v>
      </c>
      <c r="RN148">
        <v>0</v>
      </c>
      <c r="RO148">
        <v>0</v>
      </c>
      <c r="RP148">
        <v>0</v>
      </c>
      <c r="RQ148">
        <v>0</v>
      </c>
      <c r="RR148">
        <v>0</v>
      </c>
      <c r="RS148">
        <v>0</v>
      </c>
      <c r="RT148">
        <v>0</v>
      </c>
      <c r="RU148">
        <v>0</v>
      </c>
      <c r="RV148">
        <v>0</v>
      </c>
      <c r="RW148">
        <v>0</v>
      </c>
      <c r="RX148">
        <v>0</v>
      </c>
      <c r="RY148">
        <v>0</v>
      </c>
      <c r="RZ148">
        <v>0</v>
      </c>
      <c r="SA148">
        <v>0</v>
      </c>
      <c r="SB148">
        <v>0</v>
      </c>
      <c r="SC148">
        <v>0</v>
      </c>
      <c r="SD148">
        <v>0</v>
      </c>
      <c r="SE148">
        <v>0</v>
      </c>
      <c r="SF148">
        <v>0</v>
      </c>
      <c r="SG148">
        <v>0</v>
      </c>
      <c r="SH148">
        <v>0</v>
      </c>
      <c r="SI148">
        <v>0</v>
      </c>
      <c r="SJ148">
        <v>0</v>
      </c>
      <c r="SK148">
        <v>0</v>
      </c>
      <c r="SL148">
        <v>0</v>
      </c>
      <c r="SM148">
        <v>0</v>
      </c>
      <c r="SN148">
        <v>0</v>
      </c>
      <c r="SO148">
        <v>0</v>
      </c>
      <c r="SP148">
        <v>0</v>
      </c>
      <c r="SQ148">
        <v>0</v>
      </c>
      <c r="SR148">
        <v>0</v>
      </c>
      <c r="SS148">
        <v>0</v>
      </c>
      <c r="ST148">
        <v>0</v>
      </c>
      <c r="SU148">
        <v>0</v>
      </c>
      <c r="SV148">
        <v>0</v>
      </c>
      <c r="SW148">
        <v>0</v>
      </c>
      <c r="SX148">
        <v>0</v>
      </c>
      <c r="SY148">
        <v>0</v>
      </c>
      <c r="SZ148">
        <v>0</v>
      </c>
      <c r="TA148">
        <v>0</v>
      </c>
      <c r="TB148">
        <v>0</v>
      </c>
      <c r="TC148">
        <v>0</v>
      </c>
      <c r="TD148">
        <v>0</v>
      </c>
      <c r="TE148">
        <v>0</v>
      </c>
      <c r="TF148">
        <v>0</v>
      </c>
      <c r="TG148">
        <v>0</v>
      </c>
      <c r="TH148">
        <v>0</v>
      </c>
      <c r="TI148">
        <v>0</v>
      </c>
      <c r="TJ148">
        <v>0</v>
      </c>
      <c r="TK148">
        <v>0</v>
      </c>
      <c r="TL148">
        <v>0</v>
      </c>
      <c r="TM148">
        <v>0</v>
      </c>
      <c r="TN148">
        <v>0</v>
      </c>
      <c r="TO148">
        <v>0</v>
      </c>
      <c r="TP148">
        <v>0</v>
      </c>
      <c r="TQ148">
        <v>0</v>
      </c>
      <c r="TR148">
        <v>0</v>
      </c>
      <c r="TS148">
        <v>0</v>
      </c>
      <c r="TT148">
        <v>0</v>
      </c>
      <c r="TU148">
        <v>0</v>
      </c>
      <c r="TV148">
        <v>0</v>
      </c>
      <c r="TW148">
        <v>0</v>
      </c>
      <c r="TX148">
        <v>0</v>
      </c>
      <c r="TY148">
        <v>0</v>
      </c>
      <c r="TZ148">
        <v>0</v>
      </c>
      <c r="UA148">
        <v>0</v>
      </c>
      <c r="UB148">
        <v>0</v>
      </c>
      <c r="UC148">
        <v>0</v>
      </c>
      <c r="UD148">
        <v>0</v>
      </c>
      <c r="UE148">
        <v>0</v>
      </c>
      <c r="UF148">
        <v>0</v>
      </c>
      <c r="UG148">
        <v>0</v>
      </c>
      <c r="UH148">
        <v>0</v>
      </c>
      <c r="UI148">
        <v>0</v>
      </c>
      <c r="UJ148">
        <v>0</v>
      </c>
      <c r="UK148">
        <v>0</v>
      </c>
      <c r="UL148">
        <v>0</v>
      </c>
      <c r="UM148">
        <v>0</v>
      </c>
      <c r="UN148">
        <v>0</v>
      </c>
      <c r="UO148">
        <v>0</v>
      </c>
      <c r="UP148">
        <v>0</v>
      </c>
      <c r="UQ148">
        <v>0</v>
      </c>
      <c r="UR148">
        <v>0</v>
      </c>
      <c r="US148">
        <v>0</v>
      </c>
      <c r="UT148">
        <v>0</v>
      </c>
      <c r="UU148">
        <v>0</v>
      </c>
      <c r="UV148">
        <v>0</v>
      </c>
      <c r="UW148">
        <v>0</v>
      </c>
      <c r="UX148">
        <v>0</v>
      </c>
      <c r="UY148">
        <v>0</v>
      </c>
      <c r="UZ148">
        <v>0</v>
      </c>
      <c r="VA148">
        <v>0</v>
      </c>
      <c r="VB148">
        <v>0</v>
      </c>
      <c r="VC148">
        <v>0</v>
      </c>
      <c r="VD148">
        <v>0</v>
      </c>
      <c r="VE148">
        <v>0</v>
      </c>
      <c r="VF148">
        <v>0</v>
      </c>
      <c r="VG148">
        <v>0</v>
      </c>
      <c r="VH148">
        <v>0</v>
      </c>
      <c r="VI148">
        <v>0</v>
      </c>
      <c r="VJ148">
        <v>0</v>
      </c>
      <c r="VK148">
        <v>0</v>
      </c>
      <c r="VL148">
        <v>0</v>
      </c>
      <c r="VM148">
        <v>0</v>
      </c>
      <c r="VN148">
        <v>0</v>
      </c>
      <c r="VO148">
        <v>0</v>
      </c>
      <c r="VP148">
        <v>0</v>
      </c>
      <c r="VQ148">
        <v>0</v>
      </c>
      <c r="VR148">
        <v>0</v>
      </c>
      <c r="VS148">
        <v>0</v>
      </c>
      <c r="VT148">
        <v>0</v>
      </c>
      <c r="VU148">
        <v>0</v>
      </c>
      <c r="VV148">
        <v>0</v>
      </c>
      <c r="VW148">
        <v>0</v>
      </c>
      <c r="VX148">
        <v>0</v>
      </c>
      <c r="VY148">
        <v>0</v>
      </c>
      <c r="VZ148">
        <v>0</v>
      </c>
      <c r="WA148">
        <v>0</v>
      </c>
      <c r="WB148">
        <v>0</v>
      </c>
      <c r="WC148">
        <v>0</v>
      </c>
      <c r="WD148">
        <v>0</v>
      </c>
      <c r="WE148">
        <v>0</v>
      </c>
      <c r="WF148">
        <v>0</v>
      </c>
      <c r="WG148">
        <v>0</v>
      </c>
      <c r="WH148">
        <v>0</v>
      </c>
      <c r="WI148">
        <v>0</v>
      </c>
      <c r="WJ148">
        <v>0</v>
      </c>
      <c r="WK148">
        <v>0</v>
      </c>
      <c r="WL148">
        <v>0</v>
      </c>
      <c r="WM148">
        <v>0</v>
      </c>
      <c r="WN148">
        <v>0</v>
      </c>
      <c r="WO148">
        <v>0</v>
      </c>
      <c r="WP148">
        <v>0</v>
      </c>
      <c r="WQ148">
        <v>0</v>
      </c>
      <c r="WR148">
        <v>0</v>
      </c>
      <c r="WS148">
        <v>0</v>
      </c>
      <c r="WT148">
        <v>0</v>
      </c>
      <c r="WU148">
        <v>0</v>
      </c>
      <c r="WV148">
        <v>0</v>
      </c>
      <c r="WW148">
        <v>0</v>
      </c>
      <c r="WX148">
        <v>0</v>
      </c>
      <c r="WY148">
        <v>0</v>
      </c>
      <c r="WZ148">
        <v>0</v>
      </c>
      <c r="XA148">
        <v>0</v>
      </c>
      <c r="XB148">
        <v>0</v>
      </c>
      <c r="XC148">
        <v>0</v>
      </c>
      <c r="XD148">
        <v>0</v>
      </c>
      <c r="XE148">
        <v>0</v>
      </c>
      <c r="XF148">
        <v>0</v>
      </c>
      <c r="XG148">
        <v>0</v>
      </c>
      <c r="XH148">
        <v>0</v>
      </c>
      <c r="XI148">
        <v>0</v>
      </c>
      <c r="XJ148">
        <v>0</v>
      </c>
      <c r="XK148">
        <v>0</v>
      </c>
      <c r="XL148">
        <v>0</v>
      </c>
      <c r="XM148">
        <v>0</v>
      </c>
      <c r="XN148">
        <v>0</v>
      </c>
      <c r="XO148">
        <v>0</v>
      </c>
      <c r="XP148">
        <v>0</v>
      </c>
      <c r="XQ148">
        <v>0</v>
      </c>
      <c r="XR148">
        <v>0</v>
      </c>
      <c r="XS148">
        <v>0</v>
      </c>
      <c r="XT148">
        <v>0</v>
      </c>
      <c r="XU148">
        <v>0</v>
      </c>
      <c r="XV148">
        <v>0</v>
      </c>
      <c r="XW148">
        <v>0</v>
      </c>
      <c r="XX148">
        <v>0</v>
      </c>
      <c r="XY148">
        <v>0</v>
      </c>
      <c r="XZ148">
        <v>0</v>
      </c>
      <c r="YA148">
        <v>0</v>
      </c>
      <c r="YB148">
        <v>0</v>
      </c>
      <c r="YC148">
        <v>0</v>
      </c>
      <c r="YD148">
        <v>0</v>
      </c>
      <c r="YE148">
        <v>0</v>
      </c>
      <c r="YF148">
        <v>0</v>
      </c>
      <c r="YG148">
        <v>0</v>
      </c>
      <c r="YH148">
        <v>0</v>
      </c>
      <c r="YI148">
        <v>1</v>
      </c>
      <c r="YJ148">
        <v>1</v>
      </c>
      <c r="YK148">
        <v>1</v>
      </c>
      <c r="YL148">
        <v>1</v>
      </c>
      <c r="YM148">
        <v>1</v>
      </c>
      <c r="YN148">
        <v>1</v>
      </c>
      <c r="YO148">
        <v>1</v>
      </c>
      <c r="YP148">
        <v>1</v>
      </c>
      <c r="YQ148">
        <v>1</v>
      </c>
      <c r="YR148">
        <v>1</v>
      </c>
      <c r="YS148">
        <v>1</v>
      </c>
      <c r="YT148">
        <v>1</v>
      </c>
      <c r="YU148">
        <v>1</v>
      </c>
      <c r="YV148">
        <v>1</v>
      </c>
      <c r="YW148">
        <v>1</v>
      </c>
      <c r="YX148">
        <v>1</v>
      </c>
      <c r="YY148">
        <v>1</v>
      </c>
      <c r="YZ148">
        <v>1</v>
      </c>
      <c r="ZA148">
        <v>1</v>
      </c>
      <c r="ZB148">
        <v>1</v>
      </c>
      <c r="ZC148">
        <v>1</v>
      </c>
      <c r="ZD148">
        <v>1</v>
      </c>
      <c r="ZE148">
        <v>1</v>
      </c>
      <c r="ZF148">
        <v>1</v>
      </c>
      <c r="ZG148">
        <v>1</v>
      </c>
      <c r="ZH148">
        <v>1</v>
      </c>
      <c r="ZI148">
        <v>1</v>
      </c>
      <c r="ZJ148">
        <v>1</v>
      </c>
      <c r="ZK148">
        <v>1</v>
      </c>
      <c r="ZL148">
        <v>1</v>
      </c>
      <c r="ZM148">
        <v>1</v>
      </c>
      <c r="ZN148">
        <v>1</v>
      </c>
      <c r="ZO148">
        <v>1</v>
      </c>
      <c r="ZP148">
        <v>1</v>
      </c>
      <c r="ZQ148">
        <v>1</v>
      </c>
      <c r="ZR148">
        <v>1</v>
      </c>
      <c r="ZS148">
        <v>1</v>
      </c>
      <c r="ZT148">
        <v>1</v>
      </c>
      <c r="ZU148">
        <v>1</v>
      </c>
      <c r="ZV148">
        <v>1</v>
      </c>
      <c r="ZW148">
        <v>1</v>
      </c>
      <c r="ZX148">
        <v>1</v>
      </c>
      <c r="ZY148">
        <v>1</v>
      </c>
      <c r="ZZ148">
        <v>1</v>
      </c>
      <c r="AAA148">
        <v>1</v>
      </c>
      <c r="AAB148">
        <v>1</v>
      </c>
      <c r="AAC148">
        <v>1</v>
      </c>
      <c r="AAD148">
        <v>1</v>
      </c>
      <c r="AAE148">
        <v>1</v>
      </c>
      <c r="AAF148">
        <v>1</v>
      </c>
      <c r="AAG148">
        <v>1</v>
      </c>
      <c r="AAH148">
        <v>1</v>
      </c>
      <c r="AAI148">
        <v>1</v>
      </c>
      <c r="AAJ148">
        <v>1</v>
      </c>
      <c r="AAK148">
        <v>1</v>
      </c>
      <c r="AAL148">
        <v>1</v>
      </c>
      <c r="AAM148">
        <v>1</v>
      </c>
      <c r="AAN148">
        <v>1</v>
      </c>
      <c r="AAO148">
        <v>1</v>
      </c>
      <c r="AAP148">
        <v>1</v>
      </c>
      <c r="AAQ148">
        <v>1</v>
      </c>
      <c r="AAR148">
        <v>1</v>
      </c>
      <c r="AAS148">
        <v>1</v>
      </c>
      <c r="AAT148">
        <v>1</v>
      </c>
      <c r="AAU148">
        <v>1</v>
      </c>
      <c r="AAV148">
        <v>1</v>
      </c>
      <c r="AAW148">
        <v>1</v>
      </c>
      <c r="AAX148">
        <v>1</v>
      </c>
      <c r="AAY148">
        <v>1</v>
      </c>
      <c r="AAZ148">
        <v>1</v>
      </c>
      <c r="ABA148">
        <v>1</v>
      </c>
      <c r="ABB148">
        <v>1</v>
      </c>
      <c r="ABC148">
        <v>1</v>
      </c>
      <c r="ABD148">
        <v>1</v>
      </c>
      <c r="ABE148">
        <v>1</v>
      </c>
      <c r="ABG148" s="1137">
        <f t="shared" ref="ABG148:ABV163" si="41">COUNTIFS($C$3:$ABE$3, ABG$3, $C$4:$ABE$4, ABG$4, $C148:$ABE148, "&gt;0")</f>
        <v>0</v>
      </c>
      <c r="ABH148" s="1137">
        <f t="shared" si="41"/>
        <v>0</v>
      </c>
      <c r="ABI148" s="1137">
        <f t="shared" si="41"/>
        <v>24</v>
      </c>
      <c r="ABJ148" s="1137">
        <f t="shared" si="41"/>
        <v>30</v>
      </c>
      <c r="ABK148" s="1137">
        <f t="shared" si="41"/>
        <v>31</v>
      </c>
      <c r="ABL148" s="1137">
        <f t="shared" si="41"/>
        <v>30</v>
      </c>
      <c r="ABM148" s="1137">
        <f t="shared" si="41"/>
        <v>31</v>
      </c>
      <c r="ABN148" s="1137">
        <f t="shared" si="41"/>
        <v>10</v>
      </c>
      <c r="ABO148" s="1137">
        <f t="shared" si="41"/>
        <v>0</v>
      </c>
      <c r="ABP148" s="1137">
        <f t="shared" si="41"/>
        <v>0</v>
      </c>
      <c r="ABQ148" s="1137">
        <f t="shared" si="41"/>
        <v>0</v>
      </c>
      <c r="ABR148" s="1137">
        <f t="shared" si="41"/>
        <v>0</v>
      </c>
      <c r="ABS148" s="1137">
        <f t="shared" si="41"/>
        <v>0</v>
      </c>
      <c r="ABT148" s="1137">
        <f t="shared" si="41"/>
        <v>0</v>
      </c>
      <c r="ABU148" s="1137">
        <f t="shared" si="41"/>
        <v>0</v>
      </c>
      <c r="ABV148" s="1137">
        <f t="shared" si="41"/>
        <v>0</v>
      </c>
      <c r="ABW148" s="1137">
        <f t="shared" si="31"/>
        <v>0</v>
      </c>
      <c r="ABX148" s="1137">
        <f t="shared" si="34"/>
        <v>0</v>
      </c>
      <c r="ABY148" s="1137">
        <f t="shared" si="34"/>
        <v>0</v>
      </c>
      <c r="ABZ148" s="1137">
        <f t="shared" si="34"/>
        <v>0</v>
      </c>
      <c r="ACA148" s="1137">
        <f t="shared" si="34"/>
        <v>0</v>
      </c>
      <c r="ACB148" s="1137">
        <f t="shared" si="34"/>
        <v>14</v>
      </c>
      <c r="ACC148" s="1137">
        <f t="shared" si="34"/>
        <v>30</v>
      </c>
      <c r="ACD148" s="1137">
        <f t="shared" si="34"/>
        <v>31</v>
      </c>
      <c r="ACE148" s="1137" t="s">
        <v>251</v>
      </c>
      <c r="ACF148" s="1137">
        <f t="shared" si="39"/>
        <v>0</v>
      </c>
      <c r="ACG148" s="1137">
        <f t="shared" si="39"/>
        <v>0</v>
      </c>
      <c r="ACH148" s="1137">
        <f t="shared" si="38"/>
        <v>1</v>
      </c>
      <c r="ACI148" s="1137">
        <f t="shared" si="38"/>
        <v>1</v>
      </c>
      <c r="ACJ148" s="1137">
        <f t="shared" si="38"/>
        <v>1</v>
      </c>
      <c r="ACK148" s="1137">
        <f t="shared" si="38"/>
        <v>1</v>
      </c>
      <c r="ACL148" s="1137">
        <f t="shared" si="38"/>
        <v>1</v>
      </c>
      <c r="ACM148" s="1137">
        <f t="shared" si="38"/>
        <v>0</v>
      </c>
      <c r="ACN148" s="1137">
        <f t="shared" si="38"/>
        <v>0</v>
      </c>
      <c r="ACO148" s="1137">
        <f t="shared" si="38"/>
        <v>0</v>
      </c>
      <c r="ACP148" s="1137">
        <f t="shared" si="38"/>
        <v>0</v>
      </c>
      <c r="ACQ148" s="1137">
        <f t="shared" si="32"/>
        <v>0</v>
      </c>
      <c r="ACR148" s="1137">
        <f t="shared" si="32"/>
        <v>0</v>
      </c>
      <c r="ACS148" s="1137">
        <f t="shared" si="32"/>
        <v>0</v>
      </c>
      <c r="ACT148" s="1137">
        <f t="shared" si="32"/>
        <v>0</v>
      </c>
      <c r="ACU148" s="1137">
        <f t="shared" si="32"/>
        <v>0</v>
      </c>
      <c r="ACV148" s="1137">
        <f t="shared" si="32"/>
        <v>0</v>
      </c>
      <c r="ACW148" s="1137">
        <f t="shared" si="32"/>
        <v>0</v>
      </c>
      <c r="ACX148" s="1137">
        <f t="shared" si="32"/>
        <v>0</v>
      </c>
      <c r="ACY148" s="1137">
        <f t="shared" si="32"/>
        <v>0</v>
      </c>
      <c r="ACZ148" s="1137">
        <f t="shared" si="32"/>
        <v>0</v>
      </c>
      <c r="ADA148" s="1137">
        <f t="shared" si="35"/>
        <v>1</v>
      </c>
      <c r="ADB148" s="1137">
        <f t="shared" si="35"/>
        <v>1</v>
      </c>
      <c r="ADC148" s="1137">
        <f t="shared" si="35"/>
        <v>1</v>
      </c>
    </row>
    <row r="149" spans="1:783" x14ac:dyDescent="0.25">
      <c r="A149" t="s">
        <v>518</v>
      </c>
      <c r="B149" t="s">
        <v>68</v>
      </c>
      <c r="C149">
        <v>0</v>
      </c>
      <c r="D149">
        <v>0</v>
      </c>
      <c r="E149">
        <v>0</v>
      </c>
      <c r="F149">
        <v>0</v>
      </c>
      <c r="G149">
        <v>0</v>
      </c>
      <c r="H149">
        <v>0</v>
      </c>
      <c r="I149">
        <v>0</v>
      </c>
      <c r="J149">
        <v>0</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0</v>
      </c>
      <c r="AG149">
        <v>0</v>
      </c>
      <c r="AH149">
        <v>0</v>
      </c>
      <c r="AI149">
        <v>0</v>
      </c>
      <c r="AJ149">
        <v>0</v>
      </c>
      <c r="AK149">
        <v>0</v>
      </c>
      <c r="AL149">
        <v>0</v>
      </c>
      <c r="AM149">
        <v>0</v>
      </c>
      <c r="AN149">
        <v>0</v>
      </c>
      <c r="AO149">
        <v>0</v>
      </c>
      <c r="AP149">
        <v>0</v>
      </c>
      <c r="AQ149">
        <v>0</v>
      </c>
      <c r="AR149">
        <v>0</v>
      </c>
      <c r="AS149">
        <v>0</v>
      </c>
      <c r="AT149">
        <v>0</v>
      </c>
      <c r="AU149">
        <v>0</v>
      </c>
      <c r="AV149">
        <v>0</v>
      </c>
      <c r="AW149">
        <v>0</v>
      </c>
      <c r="AX149">
        <v>0</v>
      </c>
      <c r="AY149">
        <v>0</v>
      </c>
      <c r="AZ149">
        <v>0</v>
      </c>
      <c r="BA149">
        <v>0</v>
      </c>
      <c r="BB149">
        <v>0</v>
      </c>
      <c r="BC149">
        <v>0</v>
      </c>
      <c r="BD149">
        <v>0</v>
      </c>
      <c r="BE149">
        <v>0</v>
      </c>
      <c r="BF149">
        <v>0</v>
      </c>
      <c r="BG149">
        <v>0</v>
      </c>
      <c r="BH149">
        <v>0</v>
      </c>
      <c r="BI149">
        <v>0</v>
      </c>
      <c r="BJ149">
        <v>0</v>
      </c>
      <c r="BK149">
        <v>0</v>
      </c>
      <c r="BL149">
        <v>0</v>
      </c>
      <c r="BM149">
        <v>0</v>
      </c>
      <c r="BN149">
        <v>0</v>
      </c>
      <c r="BO149">
        <v>0</v>
      </c>
      <c r="BP149">
        <v>0</v>
      </c>
      <c r="BQ149">
        <v>0</v>
      </c>
      <c r="BR149">
        <v>0</v>
      </c>
      <c r="BS149">
        <v>0</v>
      </c>
      <c r="BT149">
        <v>0</v>
      </c>
      <c r="BU149">
        <v>0</v>
      </c>
      <c r="BV149">
        <v>0</v>
      </c>
      <c r="BW149">
        <v>0</v>
      </c>
      <c r="BX149">
        <v>0</v>
      </c>
      <c r="BY149">
        <v>0</v>
      </c>
      <c r="BZ149">
        <v>0</v>
      </c>
      <c r="CA149">
        <v>0</v>
      </c>
      <c r="CB149">
        <v>0</v>
      </c>
      <c r="CC149">
        <v>0</v>
      </c>
      <c r="CD149">
        <v>0</v>
      </c>
      <c r="CE149">
        <v>0</v>
      </c>
      <c r="CF149">
        <v>0</v>
      </c>
      <c r="CG149">
        <v>1</v>
      </c>
      <c r="CH149">
        <v>1</v>
      </c>
      <c r="CI149">
        <v>1</v>
      </c>
      <c r="CJ149">
        <v>1</v>
      </c>
      <c r="CK149">
        <v>1</v>
      </c>
      <c r="CL149">
        <v>1</v>
      </c>
      <c r="CM149">
        <v>1</v>
      </c>
      <c r="CN149">
        <v>1</v>
      </c>
      <c r="CO149">
        <v>1</v>
      </c>
      <c r="CP149">
        <v>1</v>
      </c>
      <c r="CQ149">
        <v>1</v>
      </c>
      <c r="CR149">
        <v>1</v>
      </c>
      <c r="CS149">
        <v>1</v>
      </c>
      <c r="CT149">
        <v>1</v>
      </c>
      <c r="CU149">
        <v>1</v>
      </c>
      <c r="CV149">
        <v>1</v>
      </c>
      <c r="CW149">
        <v>1</v>
      </c>
      <c r="CX149">
        <v>1</v>
      </c>
      <c r="CY149">
        <v>1</v>
      </c>
      <c r="CZ149">
        <v>1</v>
      </c>
      <c r="DA149">
        <v>1</v>
      </c>
      <c r="DB149">
        <v>2</v>
      </c>
      <c r="DC149">
        <v>2</v>
      </c>
      <c r="DD149">
        <v>2</v>
      </c>
      <c r="DE149">
        <v>2</v>
      </c>
      <c r="DF149">
        <v>2</v>
      </c>
      <c r="DG149">
        <v>2</v>
      </c>
      <c r="DH149">
        <v>2</v>
      </c>
      <c r="DI149">
        <v>2</v>
      </c>
      <c r="DJ149">
        <v>2</v>
      </c>
      <c r="DK149">
        <v>2</v>
      </c>
      <c r="DL149">
        <v>2</v>
      </c>
      <c r="DM149">
        <v>2</v>
      </c>
      <c r="DN149">
        <v>2</v>
      </c>
      <c r="DO149">
        <v>2</v>
      </c>
      <c r="DP149">
        <v>2</v>
      </c>
      <c r="DQ149">
        <v>2</v>
      </c>
      <c r="DR149">
        <v>2</v>
      </c>
      <c r="DS149">
        <v>2</v>
      </c>
      <c r="DT149">
        <v>2</v>
      </c>
      <c r="DU149">
        <v>2</v>
      </c>
      <c r="DV149">
        <v>2</v>
      </c>
      <c r="DW149">
        <v>2</v>
      </c>
      <c r="DX149">
        <v>2</v>
      </c>
      <c r="DY149">
        <v>2</v>
      </c>
      <c r="DZ149">
        <v>2</v>
      </c>
      <c r="EA149">
        <v>2</v>
      </c>
      <c r="EB149">
        <v>2</v>
      </c>
      <c r="EC149">
        <v>2</v>
      </c>
      <c r="ED149">
        <v>2</v>
      </c>
      <c r="EE149">
        <v>2</v>
      </c>
      <c r="EF149">
        <v>2</v>
      </c>
      <c r="EG149">
        <v>2</v>
      </c>
      <c r="EH149">
        <v>2</v>
      </c>
      <c r="EI149">
        <v>2</v>
      </c>
      <c r="EJ149">
        <v>2</v>
      </c>
      <c r="EK149">
        <v>2</v>
      </c>
      <c r="EL149">
        <v>2</v>
      </c>
      <c r="EM149">
        <v>2</v>
      </c>
      <c r="EN149">
        <v>2</v>
      </c>
      <c r="EO149">
        <v>2</v>
      </c>
      <c r="EP149">
        <v>2</v>
      </c>
      <c r="EQ149">
        <v>2</v>
      </c>
      <c r="ER149">
        <v>2</v>
      </c>
      <c r="ES149">
        <v>2</v>
      </c>
      <c r="ET149">
        <v>2</v>
      </c>
      <c r="EU149">
        <v>2</v>
      </c>
      <c r="EV149">
        <v>2</v>
      </c>
      <c r="EW149">
        <v>2</v>
      </c>
      <c r="EX149">
        <v>2</v>
      </c>
      <c r="EY149">
        <v>2</v>
      </c>
      <c r="EZ149">
        <v>2</v>
      </c>
      <c r="FA149">
        <v>2</v>
      </c>
      <c r="FB149">
        <v>2</v>
      </c>
      <c r="FC149">
        <v>2</v>
      </c>
      <c r="FD149">
        <v>2</v>
      </c>
      <c r="FE149">
        <v>2</v>
      </c>
      <c r="FF149">
        <v>2</v>
      </c>
      <c r="FG149">
        <v>2</v>
      </c>
      <c r="FH149">
        <v>2</v>
      </c>
      <c r="FI149">
        <v>2</v>
      </c>
      <c r="FJ149">
        <v>2</v>
      </c>
      <c r="FK149">
        <v>2</v>
      </c>
      <c r="FL149">
        <v>2</v>
      </c>
      <c r="FM149">
        <v>2</v>
      </c>
      <c r="FN149">
        <v>2</v>
      </c>
      <c r="FO149">
        <v>2</v>
      </c>
      <c r="FP149">
        <v>2</v>
      </c>
      <c r="FQ149">
        <v>2</v>
      </c>
      <c r="FR149">
        <v>2</v>
      </c>
      <c r="FS149">
        <v>2</v>
      </c>
      <c r="FT149">
        <v>2</v>
      </c>
      <c r="FU149">
        <v>2</v>
      </c>
      <c r="FV149">
        <v>2</v>
      </c>
      <c r="FW149">
        <v>2</v>
      </c>
      <c r="FX149">
        <v>2</v>
      </c>
      <c r="FY149">
        <v>2</v>
      </c>
      <c r="FZ149">
        <v>2</v>
      </c>
      <c r="GA149">
        <v>2</v>
      </c>
      <c r="GB149">
        <v>2</v>
      </c>
      <c r="GC149">
        <v>2</v>
      </c>
      <c r="GD149">
        <v>2</v>
      </c>
      <c r="GE149">
        <v>2</v>
      </c>
      <c r="GF149">
        <v>2</v>
      </c>
      <c r="GG149">
        <v>2</v>
      </c>
      <c r="GH149">
        <v>2</v>
      </c>
      <c r="GI149">
        <v>2</v>
      </c>
      <c r="GJ149">
        <v>2</v>
      </c>
      <c r="GK149">
        <v>2</v>
      </c>
      <c r="GL149">
        <v>2</v>
      </c>
      <c r="GM149">
        <v>2</v>
      </c>
      <c r="GN149">
        <v>2</v>
      </c>
      <c r="GO149">
        <v>2</v>
      </c>
      <c r="GP149">
        <v>2</v>
      </c>
      <c r="GQ149">
        <v>2</v>
      </c>
      <c r="GR149">
        <v>2</v>
      </c>
      <c r="GS149">
        <v>2</v>
      </c>
      <c r="GT149">
        <v>2</v>
      </c>
      <c r="GU149">
        <v>2</v>
      </c>
      <c r="GV149">
        <v>2</v>
      </c>
      <c r="GW149">
        <v>2</v>
      </c>
      <c r="GX149">
        <v>2</v>
      </c>
      <c r="GY149">
        <v>2</v>
      </c>
      <c r="GZ149">
        <v>2</v>
      </c>
      <c r="HA149">
        <v>2</v>
      </c>
      <c r="HB149">
        <v>2</v>
      </c>
      <c r="HC149">
        <v>2</v>
      </c>
      <c r="HD149">
        <v>2</v>
      </c>
      <c r="HE149">
        <v>2</v>
      </c>
      <c r="HF149">
        <v>2</v>
      </c>
      <c r="HG149">
        <v>2</v>
      </c>
      <c r="HH149">
        <v>2</v>
      </c>
      <c r="HI149">
        <v>2</v>
      </c>
      <c r="HJ149">
        <v>2</v>
      </c>
      <c r="HK149">
        <v>2</v>
      </c>
      <c r="HL149">
        <v>2</v>
      </c>
      <c r="HM149">
        <v>2</v>
      </c>
      <c r="HN149">
        <v>2</v>
      </c>
      <c r="HO149">
        <v>2</v>
      </c>
      <c r="HP149">
        <v>2</v>
      </c>
      <c r="HQ149">
        <v>2</v>
      </c>
      <c r="HR149">
        <v>2</v>
      </c>
      <c r="HS149">
        <v>2</v>
      </c>
      <c r="HT149">
        <v>2</v>
      </c>
      <c r="HU149">
        <v>2</v>
      </c>
      <c r="HV149">
        <v>2</v>
      </c>
      <c r="HW149">
        <v>2</v>
      </c>
      <c r="HX149">
        <v>2</v>
      </c>
      <c r="HY149">
        <v>2</v>
      </c>
      <c r="HZ149">
        <v>2</v>
      </c>
      <c r="IA149">
        <v>2</v>
      </c>
      <c r="IB149">
        <v>2</v>
      </c>
      <c r="IC149">
        <v>2</v>
      </c>
      <c r="ID149">
        <v>2</v>
      </c>
      <c r="IE149">
        <v>2</v>
      </c>
      <c r="IF149">
        <v>2</v>
      </c>
      <c r="IG149">
        <v>2</v>
      </c>
      <c r="IH149">
        <v>2</v>
      </c>
      <c r="II149">
        <v>2</v>
      </c>
      <c r="IJ149">
        <v>2</v>
      </c>
      <c r="IK149">
        <v>2</v>
      </c>
      <c r="IL149">
        <v>2</v>
      </c>
      <c r="IM149">
        <v>1</v>
      </c>
      <c r="IN149">
        <v>1</v>
      </c>
      <c r="IO149">
        <v>1</v>
      </c>
      <c r="IP149">
        <v>1</v>
      </c>
      <c r="IQ149">
        <v>1</v>
      </c>
      <c r="IR149">
        <v>1</v>
      </c>
      <c r="IS149">
        <v>1</v>
      </c>
      <c r="IT149">
        <v>1</v>
      </c>
      <c r="IU149">
        <v>1</v>
      </c>
      <c r="IV149">
        <v>1</v>
      </c>
      <c r="IW149">
        <v>0</v>
      </c>
      <c r="IX149">
        <v>0</v>
      </c>
      <c r="IY149">
        <v>0</v>
      </c>
      <c r="IZ149">
        <v>0</v>
      </c>
      <c r="JA149">
        <v>0</v>
      </c>
      <c r="JB149">
        <v>0</v>
      </c>
      <c r="JC149">
        <v>0</v>
      </c>
      <c r="JD149">
        <v>0</v>
      </c>
      <c r="JE149">
        <v>0</v>
      </c>
      <c r="JF149">
        <v>0</v>
      </c>
      <c r="JG149">
        <v>0</v>
      </c>
      <c r="JH149">
        <v>0</v>
      </c>
      <c r="JI149">
        <v>0</v>
      </c>
      <c r="JJ149">
        <v>0</v>
      </c>
      <c r="JK149">
        <v>0</v>
      </c>
      <c r="JL149">
        <v>0</v>
      </c>
      <c r="JM149">
        <v>0</v>
      </c>
      <c r="JN149">
        <v>0</v>
      </c>
      <c r="JO149">
        <v>0</v>
      </c>
      <c r="JP149">
        <v>0</v>
      </c>
      <c r="JQ149">
        <v>0</v>
      </c>
      <c r="JR149">
        <v>0</v>
      </c>
      <c r="JS149">
        <v>0</v>
      </c>
      <c r="JT149">
        <v>0</v>
      </c>
      <c r="JU149">
        <v>0</v>
      </c>
      <c r="JV149">
        <v>0</v>
      </c>
      <c r="JW149">
        <v>0</v>
      </c>
      <c r="JX149">
        <v>0</v>
      </c>
      <c r="JY149">
        <v>0</v>
      </c>
      <c r="JZ149">
        <v>0</v>
      </c>
      <c r="KA149">
        <v>0</v>
      </c>
      <c r="KB149">
        <v>0</v>
      </c>
      <c r="KC149">
        <v>0</v>
      </c>
      <c r="KD149">
        <v>0</v>
      </c>
      <c r="KE149">
        <v>0</v>
      </c>
      <c r="KF149">
        <v>0</v>
      </c>
      <c r="KG149">
        <v>0</v>
      </c>
      <c r="KH149">
        <v>0</v>
      </c>
      <c r="KI149">
        <v>0</v>
      </c>
      <c r="KJ149">
        <v>0</v>
      </c>
      <c r="KK149">
        <v>0</v>
      </c>
      <c r="KL149">
        <v>0</v>
      </c>
      <c r="KM149">
        <v>0</v>
      </c>
      <c r="KN149">
        <v>0</v>
      </c>
      <c r="KO149">
        <v>0</v>
      </c>
      <c r="KP149">
        <v>0</v>
      </c>
      <c r="KQ149">
        <v>0</v>
      </c>
      <c r="KR149">
        <v>0</v>
      </c>
      <c r="KS149">
        <v>0</v>
      </c>
      <c r="KT149">
        <v>0</v>
      </c>
      <c r="KU149">
        <v>0</v>
      </c>
      <c r="KV149">
        <v>0</v>
      </c>
      <c r="KW149">
        <v>0</v>
      </c>
      <c r="KX149">
        <v>0</v>
      </c>
      <c r="KY149">
        <v>0</v>
      </c>
      <c r="KZ149">
        <v>0</v>
      </c>
      <c r="LA149">
        <v>0</v>
      </c>
      <c r="LB149">
        <v>0</v>
      </c>
      <c r="LC149">
        <v>0</v>
      </c>
      <c r="LD149">
        <v>0</v>
      </c>
      <c r="LE149">
        <v>0</v>
      </c>
      <c r="LF149">
        <v>0</v>
      </c>
      <c r="LG149">
        <v>0</v>
      </c>
      <c r="LH149">
        <v>0</v>
      </c>
      <c r="LI149">
        <v>0</v>
      </c>
      <c r="LJ149">
        <v>0</v>
      </c>
      <c r="LK149">
        <v>0</v>
      </c>
      <c r="LL149">
        <v>1</v>
      </c>
      <c r="LM149">
        <v>1</v>
      </c>
      <c r="LN149">
        <v>1</v>
      </c>
      <c r="LO149">
        <v>1</v>
      </c>
      <c r="LP149">
        <v>1</v>
      </c>
      <c r="LQ149">
        <v>1</v>
      </c>
      <c r="LR149">
        <v>1</v>
      </c>
      <c r="LT149">
        <v>1</v>
      </c>
      <c r="LU149">
        <v>1</v>
      </c>
      <c r="LV149">
        <v>1</v>
      </c>
      <c r="LW149">
        <v>1</v>
      </c>
      <c r="LX149">
        <v>1</v>
      </c>
      <c r="LY149">
        <v>1</v>
      </c>
      <c r="LZ149">
        <v>1</v>
      </c>
      <c r="MA149">
        <v>1</v>
      </c>
      <c r="MB149">
        <v>1</v>
      </c>
      <c r="MC149">
        <v>1</v>
      </c>
      <c r="MD149">
        <v>1</v>
      </c>
      <c r="ME149">
        <v>1</v>
      </c>
      <c r="MF149">
        <v>1</v>
      </c>
      <c r="MG149">
        <v>0</v>
      </c>
      <c r="MH149">
        <v>0</v>
      </c>
      <c r="MI149">
        <v>0</v>
      </c>
      <c r="MJ149">
        <v>0</v>
      </c>
      <c r="MK149">
        <v>0</v>
      </c>
      <c r="ML149">
        <v>0</v>
      </c>
      <c r="MM149">
        <v>0</v>
      </c>
      <c r="MN149">
        <v>0</v>
      </c>
      <c r="MO149">
        <v>0</v>
      </c>
      <c r="MP149">
        <v>0</v>
      </c>
      <c r="MQ149">
        <v>0</v>
      </c>
      <c r="MR149">
        <v>0</v>
      </c>
      <c r="MS149">
        <v>0</v>
      </c>
      <c r="MT149">
        <v>0</v>
      </c>
      <c r="MU149">
        <v>0</v>
      </c>
      <c r="MV149">
        <v>0</v>
      </c>
      <c r="MW149">
        <v>0</v>
      </c>
      <c r="MX149">
        <v>0</v>
      </c>
      <c r="MY149">
        <v>0</v>
      </c>
      <c r="MZ149">
        <v>0</v>
      </c>
      <c r="NA149">
        <v>0</v>
      </c>
      <c r="NB149">
        <v>0</v>
      </c>
      <c r="NC149">
        <v>0</v>
      </c>
      <c r="ND149">
        <v>0</v>
      </c>
      <c r="NE149">
        <v>0</v>
      </c>
      <c r="NF149">
        <v>0</v>
      </c>
      <c r="NG149">
        <v>0</v>
      </c>
      <c r="NH149">
        <v>0</v>
      </c>
      <c r="NI149">
        <v>0</v>
      </c>
      <c r="NJ149">
        <v>0</v>
      </c>
      <c r="NK149">
        <v>0</v>
      </c>
      <c r="NL149">
        <v>0</v>
      </c>
      <c r="NM149">
        <v>0</v>
      </c>
      <c r="NN149">
        <v>0</v>
      </c>
      <c r="NO149">
        <v>0</v>
      </c>
      <c r="NP149">
        <v>0</v>
      </c>
      <c r="NQ149">
        <v>0</v>
      </c>
      <c r="NR149">
        <v>0</v>
      </c>
      <c r="NS149">
        <v>0</v>
      </c>
      <c r="NT149">
        <v>0</v>
      </c>
      <c r="NU149">
        <v>0</v>
      </c>
      <c r="NV149">
        <v>0</v>
      </c>
      <c r="NW149">
        <v>0</v>
      </c>
      <c r="NX149">
        <v>0</v>
      </c>
      <c r="NY149">
        <v>0</v>
      </c>
      <c r="NZ149">
        <v>0</v>
      </c>
      <c r="OA149">
        <v>0</v>
      </c>
      <c r="OB149">
        <v>0</v>
      </c>
      <c r="OC149">
        <v>0</v>
      </c>
      <c r="OD149">
        <v>0</v>
      </c>
      <c r="OE149">
        <v>0</v>
      </c>
      <c r="OF149">
        <v>0</v>
      </c>
      <c r="OG149">
        <v>0</v>
      </c>
      <c r="OH149">
        <v>0</v>
      </c>
      <c r="OI149">
        <v>0</v>
      </c>
      <c r="OJ149">
        <v>0</v>
      </c>
      <c r="OK149">
        <v>0</v>
      </c>
      <c r="OL149">
        <v>0</v>
      </c>
      <c r="OM149">
        <v>0</v>
      </c>
      <c r="ON149">
        <v>0</v>
      </c>
      <c r="OO149">
        <v>0</v>
      </c>
      <c r="OP149">
        <v>0</v>
      </c>
      <c r="OQ149">
        <v>0</v>
      </c>
      <c r="OR149">
        <v>0</v>
      </c>
      <c r="OS149">
        <v>0</v>
      </c>
      <c r="OT149">
        <v>0</v>
      </c>
      <c r="OU149">
        <v>0</v>
      </c>
      <c r="OV149">
        <v>0</v>
      </c>
      <c r="OW149">
        <v>0</v>
      </c>
      <c r="OX149">
        <v>0</v>
      </c>
      <c r="OY149">
        <v>0</v>
      </c>
      <c r="OZ149">
        <v>0</v>
      </c>
      <c r="PA149">
        <v>0</v>
      </c>
      <c r="PB149">
        <v>0</v>
      </c>
      <c r="PC149">
        <v>0</v>
      </c>
      <c r="PD149">
        <v>0</v>
      </c>
      <c r="PE149">
        <v>0</v>
      </c>
      <c r="PF149">
        <v>0</v>
      </c>
      <c r="PG149">
        <v>0</v>
      </c>
      <c r="PH149">
        <v>0</v>
      </c>
      <c r="PI149">
        <v>0</v>
      </c>
      <c r="PJ149">
        <v>0</v>
      </c>
      <c r="PK149">
        <v>0</v>
      </c>
      <c r="PL149">
        <v>0</v>
      </c>
      <c r="PM149">
        <v>0</v>
      </c>
      <c r="PN149">
        <v>0</v>
      </c>
      <c r="PO149">
        <v>0</v>
      </c>
      <c r="PP149">
        <v>0</v>
      </c>
      <c r="PQ149">
        <v>0</v>
      </c>
      <c r="PR149">
        <v>0</v>
      </c>
      <c r="PS149">
        <v>0</v>
      </c>
      <c r="PT149">
        <v>0</v>
      </c>
      <c r="PU149">
        <v>0</v>
      </c>
      <c r="PV149">
        <v>0</v>
      </c>
      <c r="PW149">
        <v>0</v>
      </c>
      <c r="PX149">
        <v>0</v>
      </c>
      <c r="PY149">
        <v>0</v>
      </c>
      <c r="PZ149">
        <v>0</v>
      </c>
      <c r="QA149">
        <v>0</v>
      </c>
      <c r="QB149">
        <v>0</v>
      </c>
      <c r="QC149">
        <v>0</v>
      </c>
      <c r="QD149">
        <v>0</v>
      </c>
      <c r="QE149">
        <v>0</v>
      </c>
      <c r="QF149">
        <v>0</v>
      </c>
      <c r="QG149">
        <v>0</v>
      </c>
      <c r="QH149">
        <v>0</v>
      </c>
      <c r="QI149">
        <v>0</v>
      </c>
      <c r="QJ149">
        <v>0</v>
      </c>
      <c r="QK149">
        <v>0</v>
      </c>
      <c r="QL149">
        <v>0</v>
      </c>
      <c r="QM149">
        <v>0</v>
      </c>
      <c r="QN149">
        <v>0</v>
      </c>
      <c r="QO149">
        <v>0</v>
      </c>
      <c r="QP149">
        <v>0</v>
      </c>
      <c r="QQ149">
        <v>0</v>
      </c>
      <c r="QR149">
        <v>0</v>
      </c>
      <c r="QS149">
        <v>0</v>
      </c>
      <c r="QT149">
        <v>0</v>
      </c>
      <c r="QU149">
        <v>0</v>
      </c>
      <c r="QV149">
        <v>0</v>
      </c>
      <c r="QW149">
        <v>0</v>
      </c>
      <c r="QX149">
        <v>0</v>
      </c>
      <c r="QY149">
        <v>0</v>
      </c>
      <c r="QZ149">
        <v>0</v>
      </c>
      <c r="RA149">
        <v>0</v>
      </c>
      <c r="RB149">
        <v>0</v>
      </c>
      <c r="RC149">
        <v>0</v>
      </c>
      <c r="RD149">
        <v>0</v>
      </c>
      <c r="RE149">
        <v>0</v>
      </c>
      <c r="RF149">
        <v>0</v>
      </c>
      <c r="RG149">
        <v>0</v>
      </c>
      <c r="RH149">
        <v>0</v>
      </c>
      <c r="RI149">
        <v>0</v>
      </c>
      <c r="RJ149">
        <v>0</v>
      </c>
      <c r="RK149">
        <v>0</v>
      </c>
      <c r="RL149">
        <v>0</v>
      </c>
      <c r="RM149">
        <v>0</v>
      </c>
      <c r="RN149">
        <v>0</v>
      </c>
      <c r="RO149">
        <v>0</v>
      </c>
      <c r="RP149">
        <v>0</v>
      </c>
      <c r="RQ149">
        <v>0</v>
      </c>
      <c r="RR149">
        <v>0</v>
      </c>
      <c r="RS149">
        <v>0</v>
      </c>
      <c r="RT149">
        <v>0</v>
      </c>
      <c r="RU149">
        <v>0</v>
      </c>
      <c r="RV149">
        <v>0</v>
      </c>
      <c r="RW149">
        <v>0</v>
      </c>
      <c r="RX149">
        <v>0</v>
      </c>
      <c r="RY149">
        <v>0</v>
      </c>
      <c r="RZ149">
        <v>0</v>
      </c>
      <c r="SA149">
        <v>0</v>
      </c>
      <c r="SB149">
        <v>0</v>
      </c>
      <c r="SC149">
        <v>0</v>
      </c>
      <c r="SD149">
        <v>0</v>
      </c>
      <c r="SE149">
        <v>0</v>
      </c>
      <c r="SF149">
        <v>0</v>
      </c>
      <c r="SG149">
        <v>0</v>
      </c>
      <c r="SH149">
        <v>0</v>
      </c>
      <c r="SI149">
        <v>0</v>
      </c>
      <c r="SJ149">
        <v>0</v>
      </c>
      <c r="SK149">
        <v>0</v>
      </c>
      <c r="SL149">
        <v>0</v>
      </c>
      <c r="SM149">
        <v>0</v>
      </c>
      <c r="SN149">
        <v>0</v>
      </c>
      <c r="SO149">
        <v>0</v>
      </c>
      <c r="SP149">
        <v>0</v>
      </c>
      <c r="SQ149">
        <v>0</v>
      </c>
      <c r="SR149">
        <v>0</v>
      </c>
      <c r="SS149">
        <v>0</v>
      </c>
      <c r="ST149">
        <v>0</v>
      </c>
      <c r="SU149">
        <v>0</v>
      </c>
      <c r="SV149">
        <v>0</v>
      </c>
      <c r="SW149">
        <v>0</v>
      </c>
      <c r="SX149">
        <v>0</v>
      </c>
      <c r="SY149">
        <v>0</v>
      </c>
      <c r="SZ149">
        <v>0</v>
      </c>
      <c r="TA149">
        <v>0</v>
      </c>
      <c r="TB149">
        <v>0</v>
      </c>
      <c r="TC149">
        <v>0</v>
      </c>
      <c r="TD149">
        <v>0</v>
      </c>
      <c r="TE149">
        <v>0</v>
      </c>
      <c r="TF149">
        <v>0</v>
      </c>
      <c r="TG149">
        <v>0</v>
      </c>
      <c r="TH149">
        <v>0</v>
      </c>
      <c r="TI149">
        <v>0</v>
      </c>
      <c r="TJ149">
        <v>0</v>
      </c>
      <c r="TK149">
        <v>0</v>
      </c>
      <c r="TL149">
        <v>0</v>
      </c>
      <c r="TM149">
        <v>0</v>
      </c>
      <c r="TN149">
        <v>0</v>
      </c>
      <c r="TO149">
        <v>0</v>
      </c>
      <c r="TP149">
        <v>0</v>
      </c>
      <c r="TQ149">
        <v>0</v>
      </c>
      <c r="TR149">
        <v>0</v>
      </c>
      <c r="TS149">
        <v>0</v>
      </c>
      <c r="TT149">
        <v>0</v>
      </c>
      <c r="TU149">
        <v>0</v>
      </c>
      <c r="TV149">
        <v>0</v>
      </c>
      <c r="TW149">
        <v>0</v>
      </c>
      <c r="TX149">
        <v>0</v>
      </c>
      <c r="TY149">
        <v>0</v>
      </c>
      <c r="TZ149">
        <v>0</v>
      </c>
      <c r="UA149">
        <v>0</v>
      </c>
      <c r="UB149">
        <v>0</v>
      </c>
      <c r="UC149">
        <v>0</v>
      </c>
      <c r="UD149">
        <v>0</v>
      </c>
      <c r="UE149">
        <v>0</v>
      </c>
      <c r="UF149">
        <v>0</v>
      </c>
      <c r="UG149">
        <v>0</v>
      </c>
      <c r="UH149">
        <v>0</v>
      </c>
      <c r="UI149">
        <v>0</v>
      </c>
      <c r="UJ149">
        <v>0</v>
      </c>
      <c r="UK149">
        <v>0</v>
      </c>
      <c r="UL149">
        <v>0</v>
      </c>
      <c r="UM149">
        <v>0</v>
      </c>
      <c r="UN149">
        <v>0</v>
      </c>
      <c r="UO149">
        <v>0</v>
      </c>
      <c r="UP149">
        <v>0</v>
      </c>
      <c r="UQ149">
        <v>0</v>
      </c>
      <c r="UR149">
        <v>0</v>
      </c>
      <c r="US149">
        <v>0</v>
      </c>
      <c r="UT149">
        <v>0</v>
      </c>
      <c r="UU149">
        <v>0</v>
      </c>
      <c r="UV149">
        <v>0</v>
      </c>
      <c r="UW149">
        <v>0</v>
      </c>
      <c r="UX149">
        <v>0</v>
      </c>
      <c r="UY149">
        <v>0</v>
      </c>
      <c r="UZ149">
        <v>0</v>
      </c>
      <c r="VA149">
        <v>0</v>
      </c>
      <c r="VB149">
        <v>0</v>
      </c>
      <c r="VC149">
        <v>0</v>
      </c>
      <c r="VD149">
        <v>0</v>
      </c>
      <c r="VE149">
        <v>0</v>
      </c>
      <c r="VF149">
        <v>0</v>
      </c>
      <c r="VG149">
        <v>0</v>
      </c>
      <c r="VH149">
        <v>0</v>
      </c>
      <c r="VI149">
        <v>0</v>
      </c>
      <c r="VJ149">
        <v>0</v>
      </c>
      <c r="VK149">
        <v>0</v>
      </c>
      <c r="VL149">
        <v>0</v>
      </c>
      <c r="VM149">
        <v>0</v>
      </c>
      <c r="VN149">
        <v>0</v>
      </c>
      <c r="VO149">
        <v>0</v>
      </c>
      <c r="VP149">
        <v>0</v>
      </c>
      <c r="VQ149">
        <v>0</v>
      </c>
      <c r="VR149">
        <v>0</v>
      </c>
      <c r="VS149">
        <v>0</v>
      </c>
      <c r="VT149">
        <v>0</v>
      </c>
      <c r="VU149">
        <v>0</v>
      </c>
      <c r="VV149">
        <v>0</v>
      </c>
      <c r="VW149">
        <v>0</v>
      </c>
      <c r="VX149">
        <v>0</v>
      </c>
      <c r="VY149">
        <v>0</v>
      </c>
      <c r="VZ149">
        <v>0</v>
      </c>
      <c r="WA149">
        <v>0</v>
      </c>
      <c r="WB149">
        <v>0</v>
      </c>
      <c r="WC149">
        <v>0</v>
      </c>
      <c r="WD149">
        <v>0</v>
      </c>
      <c r="WE149">
        <v>0</v>
      </c>
      <c r="WF149">
        <v>0</v>
      </c>
      <c r="WG149">
        <v>0</v>
      </c>
      <c r="WH149">
        <v>0</v>
      </c>
      <c r="WI149">
        <v>0</v>
      </c>
      <c r="WJ149">
        <v>0</v>
      </c>
      <c r="WK149">
        <v>0</v>
      </c>
      <c r="WL149">
        <v>0</v>
      </c>
      <c r="WM149">
        <v>0</v>
      </c>
      <c r="WN149">
        <v>0</v>
      </c>
      <c r="WO149">
        <v>0</v>
      </c>
      <c r="WP149">
        <v>0</v>
      </c>
      <c r="WQ149">
        <v>0</v>
      </c>
      <c r="WR149">
        <v>0</v>
      </c>
      <c r="WS149">
        <v>0</v>
      </c>
      <c r="WT149">
        <v>0</v>
      </c>
      <c r="WU149">
        <v>0</v>
      </c>
      <c r="WV149">
        <v>0</v>
      </c>
      <c r="WW149">
        <v>0</v>
      </c>
      <c r="WX149">
        <v>0</v>
      </c>
      <c r="WY149">
        <v>0</v>
      </c>
      <c r="WZ149">
        <v>0</v>
      </c>
      <c r="XA149">
        <v>0</v>
      </c>
      <c r="XB149">
        <v>0</v>
      </c>
      <c r="XC149">
        <v>0</v>
      </c>
      <c r="XD149">
        <v>0</v>
      </c>
      <c r="XE149">
        <v>0</v>
      </c>
      <c r="XF149">
        <v>0</v>
      </c>
      <c r="XG149">
        <v>0</v>
      </c>
      <c r="XH149">
        <v>0</v>
      </c>
      <c r="XI149">
        <v>0</v>
      </c>
      <c r="XJ149">
        <v>0</v>
      </c>
      <c r="XK149">
        <v>0</v>
      </c>
      <c r="XL149">
        <v>0</v>
      </c>
      <c r="XM149">
        <v>0</v>
      </c>
      <c r="XN149">
        <v>0</v>
      </c>
      <c r="XO149">
        <v>0</v>
      </c>
      <c r="XP149">
        <v>0</v>
      </c>
      <c r="XQ149">
        <v>0</v>
      </c>
      <c r="XR149">
        <v>0</v>
      </c>
      <c r="XS149">
        <v>0</v>
      </c>
      <c r="XT149">
        <v>0</v>
      </c>
      <c r="XU149">
        <v>0</v>
      </c>
      <c r="XV149">
        <v>0</v>
      </c>
      <c r="XW149">
        <v>0</v>
      </c>
      <c r="XX149">
        <v>0</v>
      </c>
      <c r="XY149">
        <v>0</v>
      </c>
      <c r="XZ149">
        <v>0</v>
      </c>
      <c r="YA149">
        <v>0</v>
      </c>
      <c r="YB149">
        <v>0</v>
      </c>
      <c r="YC149">
        <v>0</v>
      </c>
      <c r="YD149">
        <v>0</v>
      </c>
      <c r="YE149">
        <v>0</v>
      </c>
      <c r="YF149">
        <v>0</v>
      </c>
      <c r="YG149">
        <v>0</v>
      </c>
      <c r="YH149">
        <v>0</v>
      </c>
      <c r="YI149">
        <v>0</v>
      </c>
      <c r="YJ149">
        <v>0</v>
      </c>
      <c r="YK149">
        <v>0</v>
      </c>
      <c r="YL149">
        <v>0</v>
      </c>
      <c r="YM149">
        <v>0</v>
      </c>
      <c r="YN149">
        <v>0</v>
      </c>
      <c r="YO149">
        <v>0</v>
      </c>
      <c r="YP149">
        <v>0</v>
      </c>
      <c r="YQ149">
        <v>0</v>
      </c>
      <c r="YR149">
        <v>0</v>
      </c>
      <c r="YS149">
        <v>0</v>
      </c>
      <c r="YT149">
        <v>0</v>
      </c>
      <c r="YU149">
        <v>0</v>
      </c>
      <c r="YV149">
        <v>0</v>
      </c>
      <c r="YW149">
        <v>0</v>
      </c>
      <c r="YX149">
        <v>0</v>
      </c>
      <c r="YY149">
        <v>0</v>
      </c>
      <c r="YZ149">
        <v>0</v>
      </c>
      <c r="ZA149">
        <v>0</v>
      </c>
      <c r="ZB149">
        <v>0</v>
      </c>
      <c r="ZC149">
        <v>0</v>
      </c>
      <c r="ZD149">
        <v>0</v>
      </c>
      <c r="ZE149">
        <v>0</v>
      </c>
      <c r="ZF149">
        <v>0</v>
      </c>
      <c r="ZG149">
        <v>0</v>
      </c>
      <c r="ZH149">
        <v>0</v>
      </c>
      <c r="ZI149">
        <v>0</v>
      </c>
      <c r="ZJ149">
        <v>0</v>
      </c>
      <c r="ZK149">
        <v>0</v>
      </c>
      <c r="ZL149">
        <v>0</v>
      </c>
      <c r="ZM149">
        <v>0</v>
      </c>
      <c r="ZN149">
        <v>0</v>
      </c>
      <c r="ZO149">
        <v>0</v>
      </c>
      <c r="ZP149">
        <v>0</v>
      </c>
      <c r="ZQ149">
        <v>0</v>
      </c>
      <c r="ZR149">
        <v>0</v>
      </c>
      <c r="ZS149">
        <v>0</v>
      </c>
      <c r="ZT149">
        <v>0</v>
      </c>
      <c r="ZU149">
        <v>0</v>
      </c>
      <c r="ZV149">
        <v>0</v>
      </c>
      <c r="ZW149">
        <v>0</v>
      </c>
      <c r="ZX149">
        <v>0</v>
      </c>
      <c r="ZY149">
        <v>0</v>
      </c>
      <c r="ZZ149">
        <v>0</v>
      </c>
      <c r="AAA149">
        <v>0</v>
      </c>
      <c r="AAB149">
        <v>0</v>
      </c>
      <c r="AAC149">
        <v>0</v>
      </c>
      <c r="AAD149">
        <v>0</v>
      </c>
      <c r="AAE149">
        <v>0</v>
      </c>
      <c r="AAF149">
        <v>0</v>
      </c>
      <c r="AAG149">
        <v>0</v>
      </c>
      <c r="AAH149">
        <v>0</v>
      </c>
      <c r="AAI149">
        <v>0</v>
      </c>
      <c r="AAJ149">
        <v>0</v>
      </c>
      <c r="AAK149">
        <v>0</v>
      </c>
      <c r="AAL149">
        <v>0</v>
      </c>
      <c r="AAM149">
        <v>0</v>
      </c>
      <c r="AAN149">
        <v>0</v>
      </c>
      <c r="AAO149">
        <v>0</v>
      </c>
      <c r="AAP149">
        <v>0</v>
      </c>
      <c r="AAQ149">
        <v>0</v>
      </c>
      <c r="AAR149">
        <v>0</v>
      </c>
      <c r="AAS149">
        <v>0</v>
      </c>
      <c r="AAT149">
        <v>0</v>
      </c>
      <c r="AAU149">
        <v>0</v>
      </c>
      <c r="AAV149">
        <v>0</v>
      </c>
      <c r="AAW149">
        <v>0</v>
      </c>
      <c r="AAX149">
        <v>0</v>
      </c>
      <c r="AAY149">
        <v>0</v>
      </c>
      <c r="AAZ149">
        <v>0</v>
      </c>
      <c r="ABA149">
        <v>0</v>
      </c>
      <c r="ABB149">
        <v>0</v>
      </c>
      <c r="ABC149">
        <v>0</v>
      </c>
      <c r="ABD149">
        <v>0</v>
      </c>
      <c r="ABE149">
        <v>0</v>
      </c>
      <c r="ABG149" s="1137">
        <f t="shared" si="41"/>
        <v>0</v>
      </c>
      <c r="ABH149" s="1137">
        <f t="shared" si="41"/>
        <v>0</v>
      </c>
      <c r="ABI149" s="1137">
        <f t="shared" si="41"/>
        <v>9</v>
      </c>
      <c r="ABJ149" s="1137">
        <f t="shared" si="41"/>
        <v>30</v>
      </c>
      <c r="ABK149" s="1137">
        <f t="shared" si="41"/>
        <v>31</v>
      </c>
      <c r="ABL149" s="1137">
        <f t="shared" si="41"/>
        <v>30</v>
      </c>
      <c r="ABM149" s="1137">
        <f t="shared" si="41"/>
        <v>31</v>
      </c>
      <c r="ABN149" s="1137">
        <f t="shared" si="41"/>
        <v>31</v>
      </c>
      <c r="ABO149" s="1137">
        <f t="shared" si="41"/>
        <v>10</v>
      </c>
      <c r="ABP149" s="1137">
        <f t="shared" si="41"/>
        <v>0</v>
      </c>
      <c r="ABQ149" s="1137">
        <f t="shared" si="41"/>
        <v>13</v>
      </c>
      <c r="ABR149" s="1137">
        <f t="shared" si="41"/>
        <v>7</v>
      </c>
      <c r="ABS149" s="1137">
        <f t="shared" si="41"/>
        <v>0</v>
      </c>
      <c r="ABT149" s="1137">
        <f t="shared" si="41"/>
        <v>0</v>
      </c>
      <c r="ABU149" s="1137">
        <f t="shared" si="41"/>
        <v>0</v>
      </c>
      <c r="ABV149" s="1137">
        <f t="shared" si="41"/>
        <v>0</v>
      </c>
      <c r="ABW149" s="1137">
        <f t="shared" si="31"/>
        <v>0</v>
      </c>
      <c r="ABX149" s="1137">
        <f t="shared" si="34"/>
        <v>0</v>
      </c>
      <c r="ABY149" s="1137">
        <f t="shared" si="34"/>
        <v>0</v>
      </c>
      <c r="ABZ149" s="1137">
        <f t="shared" si="34"/>
        <v>0</v>
      </c>
      <c r="ACA149" s="1137">
        <f t="shared" si="34"/>
        <v>0</v>
      </c>
      <c r="ACB149" s="1137">
        <f t="shared" si="34"/>
        <v>0</v>
      </c>
      <c r="ACC149" s="1137">
        <f t="shared" si="34"/>
        <v>0</v>
      </c>
      <c r="ACD149" s="1137">
        <f t="shared" si="34"/>
        <v>0</v>
      </c>
      <c r="ACE149" s="1137" t="s">
        <v>68</v>
      </c>
      <c r="ACF149" s="1137">
        <f t="shared" si="39"/>
        <v>0</v>
      </c>
      <c r="ACG149" s="1137">
        <f t="shared" si="39"/>
        <v>0</v>
      </c>
      <c r="ACH149" s="1137">
        <f t="shared" si="38"/>
        <v>0</v>
      </c>
      <c r="ACI149" s="1137">
        <f t="shared" si="38"/>
        <v>1</v>
      </c>
      <c r="ACJ149" s="1137">
        <f t="shared" si="38"/>
        <v>1</v>
      </c>
      <c r="ACK149" s="1137">
        <f t="shared" si="38"/>
        <v>1</v>
      </c>
      <c r="ACL149" s="1137">
        <f t="shared" si="38"/>
        <v>1</v>
      </c>
      <c r="ACM149" s="1137">
        <f t="shared" si="38"/>
        <v>1</v>
      </c>
      <c r="ACN149" s="1137">
        <f t="shared" si="38"/>
        <v>0</v>
      </c>
      <c r="ACO149" s="1137">
        <f t="shared" si="38"/>
        <v>0</v>
      </c>
      <c r="ACP149" s="1137">
        <f t="shared" si="38"/>
        <v>1</v>
      </c>
      <c r="ACQ149" s="1137">
        <f t="shared" si="38"/>
        <v>0</v>
      </c>
      <c r="ACR149" s="1137">
        <f t="shared" si="38"/>
        <v>0</v>
      </c>
      <c r="ACS149" s="1137">
        <f t="shared" si="38"/>
        <v>0</v>
      </c>
      <c r="ACT149" s="1137">
        <f t="shared" si="38"/>
        <v>0</v>
      </c>
      <c r="ACU149" s="1137">
        <f t="shared" si="38"/>
        <v>0</v>
      </c>
      <c r="ACV149" s="1137">
        <f t="shared" si="38"/>
        <v>0</v>
      </c>
      <c r="ACW149" s="1137">
        <f t="shared" si="38"/>
        <v>0</v>
      </c>
      <c r="ACX149" s="1137">
        <f t="shared" ref="ACX149:ACZ190" si="42">IF(ABY149&gt;10, 1, 0)</f>
        <v>0</v>
      </c>
      <c r="ACY149" s="1137">
        <f t="shared" si="42"/>
        <v>0</v>
      </c>
      <c r="ACZ149" s="1137">
        <f t="shared" si="42"/>
        <v>0</v>
      </c>
      <c r="ADA149" s="1137">
        <f t="shared" si="35"/>
        <v>0</v>
      </c>
      <c r="ADB149" s="1137">
        <f t="shared" si="35"/>
        <v>0</v>
      </c>
      <c r="ADC149" s="1137">
        <f t="shared" si="35"/>
        <v>0</v>
      </c>
    </row>
    <row r="150" spans="1:783" x14ac:dyDescent="0.25">
      <c r="A150" t="s">
        <v>1950</v>
      </c>
      <c r="B150" t="s">
        <v>60</v>
      </c>
      <c r="C150">
        <v>0</v>
      </c>
      <c r="D150">
        <v>0</v>
      </c>
      <c r="E150">
        <v>0</v>
      </c>
      <c r="F150">
        <v>0</v>
      </c>
      <c r="G150">
        <v>0</v>
      </c>
      <c r="H150">
        <v>0</v>
      </c>
      <c r="I150">
        <v>0</v>
      </c>
      <c r="J150">
        <v>0</v>
      </c>
      <c r="K150">
        <v>0</v>
      </c>
      <c r="L150">
        <v>0</v>
      </c>
      <c r="M150">
        <v>0</v>
      </c>
      <c r="N150">
        <v>0</v>
      </c>
      <c r="O150">
        <v>0</v>
      </c>
      <c r="P150">
        <v>0</v>
      </c>
      <c r="Q150">
        <v>0</v>
      </c>
      <c r="R150">
        <v>0</v>
      </c>
      <c r="S150">
        <v>0</v>
      </c>
      <c r="T150">
        <v>0</v>
      </c>
      <c r="U150">
        <v>0</v>
      </c>
      <c r="V150">
        <v>0</v>
      </c>
      <c r="W150">
        <v>0</v>
      </c>
      <c r="X150">
        <v>0</v>
      </c>
      <c r="Y150">
        <v>0</v>
      </c>
      <c r="Z150">
        <v>0</v>
      </c>
      <c r="AA150">
        <v>0</v>
      </c>
      <c r="AB150">
        <v>0</v>
      </c>
      <c r="AC150">
        <v>0</v>
      </c>
      <c r="AD150">
        <v>0</v>
      </c>
      <c r="AE150">
        <v>0</v>
      </c>
      <c r="AF150">
        <v>0</v>
      </c>
      <c r="AG150">
        <v>0</v>
      </c>
      <c r="AH150">
        <v>0</v>
      </c>
      <c r="AI150">
        <v>0</v>
      </c>
      <c r="AJ150">
        <v>0</v>
      </c>
      <c r="AK150">
        <v>0</v>
      </c>
      <c r="AL150">
        <v>0</v>
      </c>
      <c r="AM150">
        <v>0</v>
      </c>
      <c r="AN150">
        <v>0</v>
      </c>
      <c r="AO150">
        <v>0</v>
      </c>
      <c r="AP150">
        <v>0</v>
      </c>
      <c r="AQ150">
        <v>0</v>
      </c>
      <c r="AR150">
        <v>0</v>
      </c>
      <c r="AS150">
        <v>0</v>
      </c>
      <c r="AT150">
        <v>0</v>
      </c>
      <c r="AU150">
        <v>0</v>
      </c>
      <c r="AV150">
        <v>0</v>
      </c>
      <c r="AW150">
        <v>0</v>
      </c>
      <c r="AX150">
        <v>0</v>
      </c>
      <c r="AY150">
        <v>0</v>
      </c>
      <c r="AZ150">
        <v>0</v>
      </c>
      <c r="BA150">
        <v>0</v>
      </c>
      <c r="BB150">
        <v>0</v>
      </c>
      <c r="BC150">
        <v>0</v>
      </c>
      <c r="BD150">
        <v>0</v>
      </c>
      <c r="BE150">
        <v>0</v>
      </c>
      <c r="BF150">
        <v>0</v>
      </c>
      <c r="BG150">
        <v>0</v>
      </c>
      <c r="BH150">
        <v>0</v>
      </c>
      <c r="BI150">
        <v>0</v>
      </c>
      <c r="BJ150">
        <v>0</v>
      </c>
      <c r="BK150">
        <v>0</v>
      </c>
      <c r="BL150">
        <v>0</v>
      </c>
      <c r="BM150">
        <v>0</v>
      </c>
      <c r="BN150">
        <v>0</v>
      </c>
      <c r="BO150">
        <v>0</v>
      </c>
      <c r="BP150">
        <v>0</v>
      </c>
      <c r="BQ150">
        <v>0</v>
      </c>
      <c r="BR150">
        <v>0</v>
      </c>
      <c r="BS150">
        <v>0</v>
      </c>
      <c r="BT150">
        <v>0</v>
      </c>
      <c r="BU150">
        <v>0</v>
      </c>
      <c r="BV150">
        <v>0</v>
      </c>
      <c r="BW150">
        <v>0</v>
      </c>
      <c r="BX150">
        <v>0</v>
      </c>
      <c r="BY150">
        <v>0</v>
      </c>
      <c r="BZ150">
        <v>0</v>
      </c>
      <c r="CA150">
        <v>0</v>
      </c>
      <c r="CB150">
        <v>0</v>
      </c>
      <c r="CC150">
        <v>0</v>
      </c>
      <c r="CD150">
        <v>0</v>
      </c>
      <c r="CE150">
        <v>0</v>
      </c>
      <c r="CF150">
        <v>0</v>
      </c>
      <c r="CG150">
        <v>2</v>
      </c>
      <c r="CH150">
        <v>2</v>
      </c>
      <c r="CI150">
        <v>2</v>
      </c>
      <c r="CJ150">
        <v>2</v>
      </c>
      <c r="CK150">
        <v>2</v>
      </c>
      <c r="CL150">
        <v>2</v>
      </c>
      <c r="CM150">
        <v>2</v>
      </c>
      <c r="CN150">
        <v>2</v>
      </c>
      <c r="CO150">
        <v>2</v>
      </c>
      <c r="CP150">
        <v>2</v>
      </c>
      <c r="CQ150">
        <v>2</v>
      </c>
      <c r="CR150">
        <v>2</v>
      </c>
      <c r="CS150">
        <v>2</v>
      </c>
      <c r="CT150">
        <v>2</v>
      </c>
      <c r="CU150">
        <v>2</v>
      </c>
      <c r="CV150">
        <v>2</v>
      </c>
      <c r="CW150">
        <v>2</v>
      </c>
      <c r="CX150">
        <v>2</v>
      </c>
      <c r="CY150">
        <v>2</v>
      </c>
      <c r="CZ150">
        <v>2</v>
      </c>
      <c r="DA150">
        <v>2</v>
      </c>
      <c r="DB150">
        <v>2</v>
      </c>
      <c r="DC150">
        <v>2</v>
      </c>
      <c r="DD150">
        <v>2</v>
      </c>
      <c r="DE150">
        <v>2</v>
      </c>
      <c r="DF150">
        <v>2</v>
      </c>
      <c r="DG150">
        <v>2</v>
      </c>
      <c r="DH150">
        <v>2</v>
      </c>
      <c r="DI150">
        <v>2</v>
      </c>
      <c r="DJ150">
        <v>2</v>
      </c>
      <c r="DK150">
        <v>2</v>
      </c>
      <c r="DL150">
        <v>2</v>
      </c>
      <c r="DM150">
        <v>2</v>
      </c>
      <c r="DN150">
        <v>2</v>
      </c>
      <c r="DO150">
        <v>2</v>
      </c>
      <c r="DP150">
        <v>2</v>
      </c>
      <c r="DQ150">
        <v>2</v>
      </c>
      <c r="DR150">
        <v>2</v>
      </c>
      <c r="DS150">
        <v>2</v>
      </c>
      <c r="DT150">
        <v>2</v>
      </c>
      <c r="DU150">
        <v>2</v>
      </c>
      <c r="DV150">
        <v>2</v>
      </c>
      <c r="DW150">
        <v>2</v>
      </c>
      <c r="DX150">
        <v>2</v>
      </c>
      <c r="DY150">
        <v>2</v>
      </c>
      <c r="DZ150">
        <v>2</v>
      </c>
      <c r="EA150">
        <v>2</v>
      </c>
      <c r="EB150">
        <v>2</v>
      </c>
      <c r="EC150">
        <v>2</v>
      </c>
      <c r="ED150">
        <v>2</v>
      </c>
      <c r="EE150">
        <v>2</v>
      </c>
      <c r="EF150">
        <v>2</v>
      </c>
      <c r="EG150">
        <v>2</v>
      </c>
      <c r="EH150">
        <v>2</v>
      </c>
      <c r="EI150">
        <v>2</v>
      </c>
      <c r="EJ150">
        <v>2</v>
      </c>
      <c r="EK150">
        <v>2</v>
      </c>
      <c r="EL150">
        <v>2</v>
      </c>
      <c r="EM150">
        <v>2</v>
      </c>
      <c r="EN150">
        <v>2</v>
      </c>
      <c r="EO150">
        <v>2</v>
      </c>
      <c r="EP150">
        <v>2</v>
      </c>
      <c r="EQ150">
        <v>2</v>
      </c>
      <c r="ER150">
        <v>2</v>
      </c>
      <c r="ES150">
        <v>2</v>
      </c>
      <c r="ET150">
        <v>2</v>
      </c>
      <c r="EU150">
        <v>2</v>
      </c>
      <c r="EV150">
        <v>2</v>
      </c>
      <c r="EW150">
        <v>2</v>
      </c>
      <c r="EX150">
        <v>2</v>
      </c>
      <c r="EY150">
        <v>2</v>
      </c>
      <c r="EZ150">
        <v>2</v>
      </c>
      <c r="FA150">
        <v>2</v>
      </c>
      <c r="FB150">
        <v>2</v>
      </c>
      <c r="FC150">
        <v>2</v>
      </c>
      <c r="FD150">
        <v>2</v>
      </c>
      <c r="FE150">
        <v>0</v>
      </c>
      <c r="FF150">
        <v>0</v>
      </c>
      <c r="FG150">
        <v>0</v>
      </c>
      <c r="FH150">
        <v>0</v>
      </c>
      <c r="FI150">
        <v>0</v>
      </c>
      <c r="FJ150">
        <v>0</v>
      </c>
      <c r="FK150">
        <v>0</v>
      </c>
      <c r="FL150">
        <v>0</v>
      </c>
      <c r="FM150">
        <v>0</v>
      </c>
      <c r="FN150">
        <v>0</v>
      </c>
      <c r="FO150">
        <v>0</v>
      </c>
      <c r="FP150">
        <v>0</v>
      </c>
      <c r="FQ150">
        <v>0</v>
      </c>
      <c r="FR150">
        <v>0</v>
      </c>
      <c r="FS150">
        <v>0</v>
      </c>
      <c r="FT150">
        <v>0</v>
      </c>
      <c r="FU150">
        <v>0</v>
      </c>
      <c r="FV150">
        <v>0</v>
      </c>
      <c r="FW150">
        <v>0</v>
      </c>
      <c r="FX150">
        <v>0</v>
      </c>
      <c r="FY150">
        <v>0</v>
      </c>
      <c r="FZ150">
        <v>0</v>
      </c>
      <c r="GA150">
        <v>0</v>
      </c>
      <c r="GB150">
        <v>0</v>
      </c>
      <c r="GC150">
        <v>0</v>
      </c>
      <c r="GD150">
        <v>0</v>
      </c>
      <c r="GE150">
        <v>0</v>
      </c>
      <c r="GF150">
        <v>0</v>
      </c>
      <c r="GG150">
        <v>0</v>
      </c>
      <c r="GH150">
        <v>0</v>
      </c>
      <c r="GI150">
        <v>0</v>
      </c>
      <c r="GJ150">
        <v>0</v>
      </c>
      <c r="GK150">
        <v>0</v>
      </c>
      <c r="GL150">
        <v>0</v>
      </c>
      <c r="GM150">
        <v>0</v>
      </c>
      <c r="GN150">
        <v>0</v>
      </c>
      <c r="GO150">
        <v>0</v>
      </c>
      <c r="GP150">
        <v>0</v>
      </c>
      <c r="GQ150">
        <v>0</v>
      </c>
      <c r="GR150">
        <v>0</v>
      </c>
      <c r="GS150">
        <v>0</v>
      </c>
      <c r="GT150">
        <v>0</v>
      </c>
      <c r="GU150">
        <v>0</v>
      </c>
      <c r="GV150">
        <v>0</v>
      </c>
      <c r="GW150">
        <v>0</v>
      </c>
      <c r="GX150">
        <v>0</v>
      </c>
      <c r="GY150">
        <v>0</v>
      </c>
      <c r="GZ150">
        <v>0</v>
      </c>
      <c r="HA150">
        <v>0</v>
      </c>
      <c r="HB150">
        <v>0</v>
      </c>
      <c r="HC150">
        <v>0</v>
      </c>
      <c r="HD150">
        <v>0</v>
      </c>
      <c r="HE150">
        <v>0</v>
      </c>
      <c r="HF150">
        <v>0</v>
      </c>
      <c r="HG150">
        <v>0</v>
      </c>
      <c r="HH150">
        <v>0</v>
      </c>
      <c r="HI150">
        <v>0</v>
      </c>
      <c r="HJ150">
        <v>0</v>
      </c>
      <c r="HK150">
        <v>0</v>
      </c>
      <c r="HL150">
        <v>0</v>
      </c>
      <c r="HM150">
        <v>0</v>
      </c>
      <c r="HN150">
        <v>0</v>
      </c>
      <c r="HO150">
        <v>0</v>
      </c>
      <c r="HP150">
        <v>0</v>
      </c>
      <c r="HQ150">
        <v>0</v>
      </c>
      <c r="HR150">
        <v>0</v>
      </c>
      <c r="HS150">
        <v>0</v>
      </c>
      <c r="HT150">
        <v>0</v>
      </c>
      <c r="HU150">
        <v>0</v>
      </c>
      <c r="HV150">
        <v>0</v>
      </c>
      <c r="HW150">
        <v>0</v>
      </c>
      <c r="HX150">
        <v>0</v>
      </c>
      <c r="HY150">
        <v>0</v>
      </c>
      <c r="HZ150">
        <v>0</v>
      </c>
      <c r="IA150">
        <v>0</v>
      </c>
      <c r="IB150">
        <v>0</v>
      </c>
      <c r="IC150">
        <v>0</v>
      </c>
      <c r="ID150">
        <v>0</v>
      </c>
      <c r="IE150">
        <v>0</v>
      </c>
      <c r="IF150">
        <v>0</v>
      </c>
      <c r="IG150">
        <v>0</v>
      </c>
      <c r="IH150">
        <v>0</v>
      </c>
      <c r="II150">
        <v>0</v>
      </c>
      <c r="IJ150">
        <v>0</v>
      </c>
      <c r="IK150">
        <v>0</v>
      </c>
      <c r="IL150">
        <v>0</v>
      </c>
      <c r="IM150">
        <v>0</v>
      </c>
      <c r="IN150">
        <v>0</v>
      </c>
      <c r="IO150">
        <v>0</v>
      </c>
      <c r="IP150">
        <v>0</v>
      </c>
      <c r="IQ150">
        <v>0</v>
      </c>
      <c r="IR150">
        <v>0</v>
      </c>
      <c r="IS150">
        <v>0</v>
      </c>
      <c r="IT150">
        <v>0</v>
      </c>
      <c r="IU150">
        <v>0</v>
      </c>
      <c r="IV150">
        <v>0</v>
      </c>
      <c r="IW150">
        <v>0</v>
      </c>
      <c r="IX150">
        <v>0</v>
      </c>
      <c r="IY150">
        <v>0</v>
      </c>
      <c r="IZ150">
        <v>0</v>
      </c>
      <c r="JA150">
        <v>0</v>
      </c>
      <c r="JB150">
        <v>0</v>
      </c>
      <c r="JC150">
        <v>0</v>
      </c>
      <c r="JD150">
        <v>0</v>
      </c>
      <c r="JE150">
        <v>0</v>
      </c>
      <c r="JF150">
        <v>0</v>
      </c>
      <c r="JG150">
        <v>0</v>
      </c>
      <c r="JH150">
        <v>0</v>
      </c>
      <c r="JI150">
        <v>0</v>
      </c>
      <c r="JJ150">
        <v>0</v>
      </c>
      <c r="JK150">
        <v>0</v>
      </c>
      <c r="JL150">
        <v>0</v>
      </c>
      <c r="JM150">
        <v>0</v>
      </c>
      <c r="JN150">
        <v>0</v>
      </c>
      <c r="JO150">
        <v>0</v>
      </c>
      <c r="JP150">
        <v>0</v>
      </c>
      <c r="JQ150">
        <v>0</v>
      </c>
      <c r="JR150">
        <v>0</v>
      </c>
      <c r="JS150">
        <v>0</v>
      </c>
      <c r="JT150">
        <v>0</v>
      </c>
      <c r="JU150">
        <v>0</v>
      </c>
      <c r="JV150">
        <v>0</v>
      </c>
      <c r="JW150">
        <v>0</v>
      </c>
      <c r="JX150">
        <v>0</v>
      </c>
      <c r="JY150">
        <v>0</v>
      </c>
      <c r="JZ150">
        <v>0</v>
      </c>
      <c r="KA150">
        <v>0</v>
      </c>
      <c r="KB150">
        <v>0</v>
      </c>
      <c r="KC150">
        <v>0</v>
      </c>
      <c r="KD150">
        <v>0</v>
      </c>
      <c r="KE150">
        <v>0</v>
      </c>
      <c r="KF150">
        <v>0</v>
      </c>
      <c r="KG150">
        <v>0</v>
      </c>
      <c r="KH150">
        <v>0</v>
      </c>
      <c r="KI150">
        <v>0</v>
      </c>
      <c r="KJ150">
        <v>0</v>
      </c>
      <c r="KK150">
        <v>0</v>
      </c>
      <c r="KL150">
        <v>0</v>
      </c>
      <c r="KM150">
        <v>0</v>
      </c>
      <c r="KN150">
        <v>0</v>
      </c>
      <c r="KO150">
        <v>0</v>
      </c>
      <c r="KP150">
        <v>0</v>
      </c>
      <c r="KQ150">
        <v>0</v>
      </c>
      <c r="KR150">
        <v>0</v>
      </c>
      <c r="KS150">
        <v>0</v>
      </c>
      <c r="KT150">
        <v>0</v>
      </c>
      <c r="KU150">
        <v>0</v>
      </c>
      <c r="KV150">
        <v>0</v>
      </c>
      <c r="KW150">
        <v>0</v>
      </c>
      <c r="KX150">
        <v>0</v>
      </c>
      <c r="KY150">
        <v>0</v>
      </c>
      <c r="KZ150">
        <v>0</v>
      </c>
      <c r="LA150">
        <v>0</v>
      </c>
      <c r="LB150">
        <v>0</v>
      </c>
      <c r="LC150">
        <v>0</v>
      </c>
      <c r="LD150">
        <v>0</v>
      </c>
      <c r="LE150">
        <v>0</v>
      </c>
      <c r="LF150">
        <v>0</v>
      </c>
      <c r="LG150">
        <v>0</v>
      </c>
      <c r="LH150">
        <v>0</v>
      </c>
      <c r="LI150">
        <v>0</v>
      </c>
      <c r="LJ150">
        <v>0</v>
      </c>
      <c r="LK150">
        <v>0</v>
      </c>
      <c r="LL150">
        <v>0</v>
      </c>
      <c r="LM150">
        <v>0</v>
      </c>
      <c r="LN150">
        <v>0</v>
      </c>
      <c r="LO150">
        <v>0</v>
      </c>
      <c r="LP150">
        <v>0</v>
      </c>
      <c r="LQ150">
        <v>0</v>
      </c>
      <c r="LR150">
        <v>0</v>
      </c>
      <c r="LS150">
        <v>0</v>
      </c>
      <c r="LT150">
        <v>0</v>
      </c>
      <c r="LU150">
        <v>0</v>
      </c>
      <c r="LV150">
        <v>0</v>
      </c>
      <c r="LW150">
        <v>0</v>
      </c>
      <c r="LX150">
        <v>0</v>
      </c>
      <c r="LY150">
        <v>0</v>
      </c>
      <c r="LZ150">
        <v>0</v>
      </c>
      <c r="MA150">
        <v>0</v>
      </c>
      <c r="MB150">
        <v>0</v>
      </c>
      <c r="MC150">
        <v>0</v>
      </c>
      <c r="MD150">
        <v>0</v>
      </c>
      <c r="ME150">
        <v>0</v>
      </c>
      <c r="MF150">
        <v>0</v>
      </c>
      <c r="MG150">
        <v>0</v>
      </c>
      <c r="MH150">
        <v>0</v>
      </c>
      <c r="MI150">
        <v>0</v>
      </c>
      <c r="MJ150">
        <v>0</v>
      </c>
      <c r="MK150">
        <v>0</v>
      </c>
      <c r="ML150">
        <v>0</v>
      </c>
      <c r="MM150">
        <v>0</v>
      </c>
      <c r="MN150">
        <v>0</v>
      </c>
      <c r="MO150">
        <v>0</v>
      </c>
      <c r="MP150">
        <v>0</v>
      </c>
      <c r="MQ150">
        <v>0</v>
      </c>
      <c r="MR150">
        <v>0</v>
      </c>
      <c r="MS150">
        <v>0</v>
      </c>
      <c r="MT150">
        <v>0</v>
      </c>
      <c r="MU150">
        <v>0</v>
      </c>
      <c r="MV150">
        <v>0</v>
      </c>
      <c r="MW150">
        <v>0</v>
      </c>
      <c r="MX150">
        <v>0</v>
      </c>
      <c r="MY150">
        <v>0</v>
      </c>
      <c r="MZ150">
        <v>0</v>
      </c>
      <c r="NA150">
        <v>0</v>
      </c>
      <c r="NB150">
        <v>0</v>
      </c>
      <c r="NC150">
        <v>0</v>
      </c>
      <c r="ND150">
        <v>0</v>
      </c>
      <c r="NE150">
        <v>0</v>
      </c>
      <c r="NF150">
        <v>0</v>
      </c>
      <c r="NG150">
        <v>0</v>
      </c>
      <c r="NH150">
        <v>0</v>
      </c>
      <c r="NI150">
        <v>0</v>
      </c>
      <c r="NJ150">
        <v>2</v>
      </c>
      <c r="NK150">
        <v>2</v>
      </c>
      <c r="NL150">
        <v>2</v>
      </c>
      <c r="NM150">
        <v>2</v>
      </c>
      <c r="NN150">
        <v>2</v>
      </c>
      <c r="NO150">
        <v>2</v>
      </c>
      <c r="NP150">
        <v>0</v>
      </c>
      <c r="NQ150">
        <v>0</v>
      </c>
      <c r="NR150">
        <v>0</v>
      </c>
      <c r="NS150">
        <v>0</v>
      </c>
      <c r="NT150">
        <v>0</v>
      </c>
      <c r="NU150">
        <v>0</v>
      </c>
      <c r="NV150">
        <v>0</v>
      </c>
      <c r="NW150">
        <v>0</v>
      </c>
      <c r="NX150">
        <v>0</v>
      </c>
      <c r="NY150">
        <v>0</v>
      </c>
      <c r="NZ150">
        <v>0</v>
      </c>
      <c r="OA150">
        <v>0</v>
      </c>
      <c r="OB150">
        <v>0</v>
      </c>
      <c r="OC150">
        <v>0</v>
      </c>
      <c r="OD150">
        <v>0</v>
      </c>
      <c r="OE150">
        <v>0</v>
      </c>
      <c r="OF150">
        <v>0</v>
      </c>
      <c r="OG150">
        <v>0</v>
      </c>
      <c r="OH150">
        <v>0</v>
      </c>
      <c r="OI150">
        <v>0</v>
      </c>
      <c r="OJ150">
        <v>0</v>
      </c>
      <c r="OK150">
        <v>0</v>
      </c>
      <c r="OL150">
        <v>0</v>
      </c>
      <c r="OM150">
        <v>0</v>
      </c>
      <c r="ON150">
        <v>0</v>
      </c>
      <c r="OO150">
        <v>0</v>
      </c>
      <c r="OP150">
        <v>0</v>
      </c>
      <c r="OQ150">
        <v>0</v>
      </c>
      <c r="OR150">
        <v>0</v>
      </c>
      <c r="OS150">
        <v>0</v>
      </c>
      <c r="OT150">
        <v>0</v>
      </c>
      <c r="OU150">
        <v>0</v>
      </c>
      <c r="OV150">
        <v>0</v>
      </c>
      <c r="OW150">
        <v>0</v>
      </c>
      <c r="OX150">
        <v>0</v>
      </c>
      <c r="OY150">
        <v>0</v>
      </c>
      <c r="OZ150">
        <v>0</v>
      </c>
      <c r="PA150">
        <v>0</v>
      </c>
      <c r="PB150">
        <v>0</v>
      </c>
      <c r="PC150">
        <v>0</v>
      </c>
      <c r="PD150">
        <v>0</v>
      </c>
      <c r="PE150">
        <v>0</v>
      </c>
      <c r="PF150">
        <v>0</v>
      </c>
      <c r="PG150">
        <v>0</v>
      </c>
      <c r="PH150">
        <v>0</v>
      </c>
      <c r="PI150">
        <v>0</v>
      </c>
      <c r="PJ150">
        <v>0</v>
      </c>
      <c r="PK150">
        <v>0</v>
      </c>
      <c r="PL150">
        <v>0</v>
      </c>
      <c r="PM150">
        <v>0</v>
      </c>
      <c r="PN150">
        <v>0</v>
      </c>
      <c r="PO150">
        <v>0</v>
      </c>
      <c r="PP150">
        <v>0</v>
      </c>
      <c r="PQ150">
        <v>0</v>
      </c>
      <c r="PR150">
        <v>0</v>
      </c>
      <c r="PS150">
        <v>0</v>
      </c>
      <c r="PT150">
        <v>0</v>
      </c>
      <c r="PU150">
        <v>0</v>
      </c>
      <c r="PV150">
        <v>0</v>
      </c>
      <c r="PW150">
        <v>0</v>
      </c>
      <c r="PX150">
        <v>0</v>
      </c>
      <c r="PY150">
        <v>0</v>
      </c>
      <c r="PZ150">
        <v>0</v>
      </c>
      <c r="QA150">
        <v>0</v>
      </c>
      <c r="QB150">
        <v>0</v>
      </c>
      <c r="QC150">
        <v>0</v>
      </c>
      <c r="QD150">
        <v>0</v>
      </c>
      <c r="QE150">
        <v>0</v>
      </c>
      <c r="QF150">
        <v>0</v>
      </c>
      <c r="QG150">
        <v>0</v>
      </c>
      <c r="QH150">
        <v>0</v>
      </c>
      <c r="QI150">
        <v>0</v>
      </c>
      <c r="QJ150">
        <v>0</v>
      </c>
      <c r="QK150">
        <v>0</v>
      </c>
      <c r="QL150">
        <v>0</v>
      </c>
      <c r="QM150">
        <v>0</v>
      </c>
      <c r="QN150">
        <v>0</v>
      </c>
      <c r="QO150">
        <v>0</v>
      </c>
      <c r="QP150">
        <v>0</v>
      </c>
      <c r="QQ150">
        <v>0</v>
      </c>
      <c r="QR150">
        <v>0</v>
      </c>
      <c r="QS150">
        <v>0</v>
      </c>
      <c r="QT150">
        <v>0</v>
      </c>
      <c r="QU150">
        <v>0</v>
      </c>
      <c r="QV150">
        <v>0</v>
      </c>
      <c r="QW150">
        <v>0</v>
      </c>
      <c r="QX150">
        <v>0</v>
      </c>
      <c r="QY150">
        <v>0</v>
      </c>
      <c r="QZ150">
        <v>0</v>
      </c>
      <c r="RA150">
        <v>0</v>
      </c>
      <c r="RB150">
        <v>0</v>
      </c>
      <c r="RC150">
        <v>0</v>
      </c>
      <c r="RD150">
        <v>0</v>
      </c>
      <c r="RE150">
        <v>0</v>
      </c>
      <c r="RF150">
        <v>0</v>
      </c>
      <c r="RG150">
        <v>0</v>
      </c>
      <c r="RH150">
        <v>0</v>
      </c>
      <c r="RI150">
        <v>0</v>
      </c>
      <c r="RJ150">
        <v>0</v>
      </c>
      <c r="RK150">
        <v>0</v>
      </c>
      <c r="RL150">
        <v>0</v>
      </c>
      <c r="RM150">
        <v>0</v>
      </c>
      <c r="RN150">
        <v>0</v>
      </c>
      <c r="RO150">
        <v>0</v>
      </c>
      <c r="RP150">
        <v>0</v>
      </c>
      <c r="RQ150">
        <v>0</v>
      </c>
      <c r="RR150">
        <v>0</v>
      </c>
      <c r="RS150">
        <v>0</v>
      </c>
      <c r="RT150">
        <v>0</v>
      </c>
      <c r="RU150">
        <v>0</v>
      </c>
      <c r="RV150">
        <v>0</v>
      </c>
      <c r="RW150">
        <v>0</v>
      </c>
      <c r="RX150">
        <v>0</v>
      </c>
      <c r="RY150">
        <v>0</v>
      </c>
      <c r="RZ150">
        <v>0</v>
      </c>
      <c r="SA150">
        <v>0</v>
      </c>
      <c r="SB150">
        <v>0</v>
      </c>
      <c r="SC150">
        <v>0</v>
      </c>
      <c r="SD150">
        <v>0</v>
      </c>
      <c r="SE150">
        <v>0</v>
      </c>
      <c r="SF150">
        <v>0</v>
      </c>
      <c r="SG150">
        <v>0</v>
      </c>
      <c r="SH150">
        <v>0</v>
      </c>
      <c r="SI150">
        <v>0</v>
      </c>
      <c r="SJ150">
        <v>0</v>
      </c>
      <c r="SK150">
        <v>0</v>
      </c>
      <c r="SL150">
        <v>0</v>
      </c>
      <c r="SM150">
        <v>0</v>
      </c>
      <c r="SN150">
        <v>0</v>
      </c>
      <c r="SO150">
        <v>0</v>
      </c>
      <c r="SP150">
        <v>0</v>
      </c>
      <c r="SQ150">
        <v>0</v>
      </c>
      <c r="SR150">
        <v>0</v>
      </c>
      <c r="SS150">
        <v>0</v>
      </c>
      <c r="ST150">
        <v>0</v>
      </c>
      <c r="SU150">
        <v>0</v>
      </c>
      <c r="SV150">
        <v>0</v>
      </c>
      <c r="SW150">
        <v>0</v>
      </c>
      <c r="SX150">
        <v>0</v>
      </c>
      <c r="SY150">
        <v>0</v>
      </c>
      <c r="SZ150">
        <v>0</v>
      </c>
      <c r="TA150">
        <v>0</v>
      </c>
      <c r="TB150">
        <v>0</v>
      </c>
      <c r="TC150">
        <v>0</v>
      </c>
      <c r="TD150">
        <v>0</v>
      </c>
      <c r="TE150">
        <v>0</v>
      </c>
      <c r="TF150">
        <v>0</v>
      </c>
      <c r="TG150">
        <v>0</v>
      </c>
      <c r="TH150">
        <v>0</v>
      </c>
      <c r="TI150">
        <v>0</v>
      </c>
      <c r="TJ150">
        <v>0</v>
      </c>
      <c r="TK150">
        <v>0</v>
      </c>
      <c r="TL150">
        <v>0</v>
      </c>
      <c r="TM150">
        <v>0</v>
      </c>
      <c r="TN150">
        <v>0</v>
      </c>
      <c r="TO150">
        <v>0</v>
      </c>
      <c r="TP150">
        <v>0</v>
      </c>
      <c r="TQ150">
        <v>0</v>
      </c>
      <c r="TR150">
        <v>0</v>
      </c>
      <c r="TS150">
        <v>0</v>
      </c>
      <c r="TT150">
        <v>0</v>
      </c>
      <c r="TU150">
        <v>0</v>
      </c>
      <c r="TV150">
        <v>0</v>
      </c>
      <c r="TW150">
        <v>0</v>
      </c>
      <c r="TX150">
        <v>0</v>
      </c>
      <c r="TY150">
        <v>0</v>
      </c>
      <c r="TZ150">
        <v>0</v>
      </c>
      <c r="UA150">
        <v>0</v>
      </c>
      <c r="UB150">
        <v>0</v>
      </c>
      <c r="UC150">
        <v>0</v>
      </c>
      <c r="UD150">
        <v>0</v>
      </c>
      <c r="UE150">
        <v>0</v>
      </c>
      <c r="UF150">
        <v>0</v>
      </c>
      <c r="UG150">
        <v>0</v>
      </c>
      <c r="UH150">
        <v>1</v>
      </c>
      <c r="UI150">
        <v>1</v>
      </c>
      <c r="UJ150">
        <v>1</v>
      </c>
      <c r="UK150">
        <v>1</v>
      </c>
      <c r="UL150">
        <v>1</v>
      </c>
      <c r="UM150">
        <v>1</v>
      </c>
      <c r="UN150">
        <v>1</v>
      </c>
      <c r="UO150">
        <v>1</v>
      </c>
      <c r="UP150">
        <v>1</v>
      </c>
      <c r="UQ150">
        <v>1</v>
      </c>
      <c r="UR150">
        <v>1</v>
      </c>
      <c r="US150">
        <v>1</v>
      </c>
      <c r="UT150">
        <v>1</v>
      </c>
      <c r="UU150">
        <v>1</v>
      </c>
      <c r="UV150">
        <v>1</v>
      </c>
      <c r="UW150">
        <v>1</v>
      </c>
      <c r="UX150">
        <v>1</v>
      </c>
      <c r="UY150">
        <v>1</v>
      </c>
      <c r="UZ150">
        <v>1</v>
      </c>
      <c r="VA150">
        <v>1</v>
      </c>
      <c r="VB150">
        <v>1</v>
      </c>
      <c r="VC150">
        <v>0</v>
      </c>
      <c r="VD150">
        <v>0</v>
      </c>
      <c r="VE150">
        <v>0</v>
      </c>
      <c r="VF150">
        <v>0</v>
      </c>
      <c r="VG150">
        <v>0</v>
      </c>
      <c r="VH150">
        <v>0</v>
      </c>
      <c r="VI150">
        <v>0</v>
      </c>
      <c r="VJ150">
        <v>0</v>
      </c>
      <c r="VK150">
        <v>0</v>
      </c>
      <c r="VL150">
        <v>0</v>
      </c>
      <c r="VM150">
        <v>0</v>
      </c>
      <c r="VN150">
        <v>0</v>
      </c>
      <c r="VO150">
        <v>0</v>
      </c>
      <c r="VP150">
        <v>0</v>
      </c>
      <c r="VQ150">
        <v>0</v>
      </c>
      <c r="VR150">
        <v>0</v>
      </c>
      <c r="VS150">
        <v>0</v>
      </c>
      <c r="VT150">
        <v>0</v>
      </c>
      <c r="VU150">
        <v>0</v>
      </c>
      <c r="VV150">
        <v>0</v>
      </c>
      <c r="VW150">
        <v>0</v>
      </c>
      <c r="VX150">
        <v>0</v>
      </c>
      <c r="VY150">
        <v>0</v>
      </c>
      <c r="VZ150">
        <v>0</v>
      </c>
      <c r="WA150">
        <v>0</v>
      </c>
      <c r="WB150">
        <v>0</v>
      </c>
      <c r="WC150">
        <v>0</v>
      </c>
      <c r="WD150">
        <v>0</v>
      </c>
      <c r="WE150">
        <v>0</v>
      </c>
      <c r="WF150">
        <v>0</v>
      </c>
      <c r="WG150">
        <v>0</v>
      </c>
      <c r="WH150">
        <v>0</v>
      </c>
      <c r="WI150">
        <v>0</v>
      </c>
      <c r="WJ150">
        <v>0</v>
      </c>
      <c r="WK150">
        <v>0</v>
      </c>
      <c r="WL150">
        <v>0</v>
      </c>
      <c r="WM150">
        <v>1</v>
      </c>
      <c r="WN150">
        <v>1</v>
      </c>
      <c r="WO150">
        <v>1</v>
      </c>
      <c r="WP150">
        <v>1</v>
      </c>
      <c r="WQ150">
        <v>1</v>
      </c>
      <c r="WR150">
        <v>1</v>
      </c>
      <c r="WS150">
        <v>1</v>
      </c>
      <c r="WT150">
        <v>1</v>
      </c>
      <c r="WU150">
        <v>1</v>
      </c>
      <c r="WV150">
        <v>1</v>
      </c>
      <c r="WW150">
        <v>1</v>
      </c>
      <c r="WX150">
        <v>1</v>
      </c>
      <c r="WY150">
        <v>1</v>
      </c>
      <c r="WZ150">
        <v>1</v>
      </c>
      <c r="XA150">
        <v>1</v>
      </c>
      <c r="XB150">
        <v>1</v>
      </c>
      <c r="XC150">
        <v>1</v>
      </c>
      <c r="XD150">
        <v>1</v>
      </c>
      <c r="XE150">
        <v>1</v>
      </c>
      <c r="XF150">
        <v>1</v>
      </c>
      <c r="XG150">
        <v>1</v>
      </c>
      <c r="XH150">
        <v>1</v>
      </c>
      <c r="XI150">
        <v>1</v>
      </c>
      <c r="XJ150">
        <v>1</v>
      </c>
      <c r="XK150">
        <v>1</v>
      </c>
      <c r="XL150">
        <v>1</v>
      </c>
      <c r="XM150">
        <v>1</v>
      </c>
      <c r="XN150">
        <v>1</v>
      </c>
      <c r="XO150">
        <v>1</v>
      </c>
      <c r="XP150">
        <v>1</v>
      </c>
      <c r="XQ150">
        <v>1</v>
      </c>
      <c r="XR150">
        <v>1</v>
      </c>
      <c r="XS150">
        <v>1</v>
      </c>
      <c r="XT150">
        <v>1</v>
      </c>
      <c r="XU150">
        <v>0</v>
      </c>
      <c r="XV150">
        <v>0</v>
      </c>
      <c r="XW150">
        <v>0</v>
      </c>
      <c r="XX150">
        <v>0</v>
      </c>
      <c r="XY150">
        <v>0</v>
      </c>
      <c r="XZ150">
        <v>0</v>
      </c>
      <c r="YA150">
        <v>0</v>
      </c>
      <c r="YB150">
        <v>0</v>
      </c>
      <c r="YC150">
        <v>0</v>
      </c>
      <c r="YD150">
        <v>0</v>
      </c>
      <c r="YE150">
        <v>0</v>
      </c>
      <c r="YF150">
        <v>0</v>
      </c>
      <c r="YG150">
        <v>0</v>
      </c>
      <c r="YH150">
        <v>0</v>
      </c>
      <c r="YI150">
        <v>0</v>
      </c>
      <c r="YJ150">
        <v>0</v>
      </c>
      <c r="YK150">
        <v>0</v>
      </c>
      <c r="YL150">
        <v>0</v>
      </c>
      <c r="YM150">
        <v>0</v>
      </c>
      <c r="YN150">
        <v>0</v>
      </c>
      <c r="YO150">
        <v>0</v>
      </c>
      <c r="YP150">
        <v>0</v>
      </c>
      <c r="YQ150">
        <v>0</v>
      </c>
      <c r="YR150">
        <v>0</v>
      </c>
      <c r="YS150">
        <v>0</v>
      </c>
      <c r="YT150">
        <v>0</v>
      </c>
      <c r="YU150">
        <v>0</v>
      </c>
      <c r="YV150">
        <v>0</v>
      </c>
      <c r="YW150">
        <v>0</v>
      </c>
      <c r="YX150">
        <v>0</v>
      </c>
      <c r="YY150">
        <v>0</v>
      </c>
      <c r="YZ150">
        <v>0</v>
      </c>
      <c r="ZA150">
        <v>0</v>
      </c>
      <c r="ZB150">
        <v>0</v>
      </c>
      <c r="ZC150">
        <v>0</v>
      </c>
      <c r="ZD150">
        <v>0</v>
      </c>
      <c r="ZE150">
        <v>0</v>
      </c>
      <c r="ZF150">
        <v>0</v>
      </c>
      <c r="ZG150">
        <v>0</v>
      </c>
      <c r="ZH150">
        <v>0</v>
      </c>
      <c r="ZI150">
        <v>0</v>
      </c>
      <c r="ZJ150">
        <v>0</v>
      </c>
      <c r="ZK150">
        <v>0</v>
      </c>
      <c r="ZL150">
        <v>0</v>
      </c>
      <c r="ZM150">
        <v>0</v>
      </c>
      <c r="ZN150">
        <v>0</v>
      </c>
      <c r="ZO150">
        <v>0</v>
      </c>
      <c r="ZP150">
        <v>0</v>
      </c>
      <c r="ZQ150">
        <v>0</v>
      </c>
      <c r="ZR150">
        <v>0</v>
      </c>
      <c r="ZS150">
        <v>0</v>
      </c>
      <c r="ZT150">
        <v>0</v>
      </c>
      <c r="ZU150">
        <v>0</v>
      </c>
      <c r="ZV150">
        <v>0</v>
      </c>
      <c r="ZW150">
        <v>0</v>
      </c>
      <c r="ZX150">
        <v>0</v>
      </c>
      <c r="ZY150">
        <v>0</v>
      </c>
      <c r="ZZ150">
        <v>0</v>
      </c>
      <c r="AAA150">
        <v>0</v>
      </c>
      <c r="AAB150">
        <v>0</v>
      </c>
      <c r="AAC150">
        <v>0</v>
      </c>
      <c r="AAD150">
        <v>0</v>
      </c>
      <c r="AAE150">
        <v>0</v>
      </c>
      <c r="AAF150">
        <v>0</v>
      </c>
      <c r="AAG150">
        <v>0</v>
      </c>
      <c r="AAH150">
        <v>0</v>
      </c>
      <c r="AAI150">
        <v>0</v>
      </c>
      <c r="AAJ150">
        <v>0</v>
      </c>
      <c r="AAK150">
        <v>0</v>
      </c>
      <c r="AAL150">
        <v>0</v>
      </c>
      <c r="AAM150">
        <v>0</v>
      </c>
      <c r="AAN150">
        <v>0</v>
      </c>
      <c r="AAO150">
        <v>0</v>
      </c>
      <c r="AAP150">
        <v>0</v>
      </c>
      <c r="AAQ150">
        <v>0</v>
      </c>
      <c r="AAR150">
        <v>0</v>
      </c>
      <c r="AAS150">
        <v>0</v>
      </c>
      <c r="AAT150">
        <v>0</v>
      </c>
      <c r="AAU150">
        <v>0</v>
      </c>
      <c r="AAV150">
        <v>0</v>
      </c>
      <c r="AAW150">
        <v>0</v>
      </c>
      <c r="AAX150">
        <v>0</v>
      </c>
      <c r="AAY150">
        <v>0</v>
      </c>
      <c r="AAZ150">
        <v>0</v>
      </c>
      <c r="ABA150">
        <v>0</v>
      </c>
      <c r="ABB150">
        <v>0</v>
      </c>
      <c r="ABC150">
        <v>0</v>
      </c>
      <c r="ABD150">
        <v>0</v>
      </c>
      <c r="ABE150">
        <v>0</v>
      </c>
      <c r="ABG150" s="1137">
        <f t="shared" si="41"/>
        <v>0</v>
      </c>
      <c r="ABH150" s="1137">
        <f t="shared" si="41"/>
        <v>0</v>
      </c>
      <c r="ABI150" s="1137">
        <f t="shared" si="41"/>
        <v>9</v>
      </c>
      <c r="ABJ150" s="1137">
        <f t="shared" si="41"/>
        <v>30</v>
      </c>
      <c r="ABK150" s="1137">
        <f t="shared" si="41"/>
        <v>31</v>
      </c>
      <c r="ABL150" s="1137">
        <f t="shared" si="41"/>
        <v>6</v>
      </c>
      <c r="ABM150" s="1137">
        <f t="shared" si="41"/>
        <v>0</v>
      </c>
      <c r="ABN150" s="1137">
        <f t="shared" si="41"/>
        <v>0</v>
      </c>
      <c r="ABO150" s="1137">
        <f t="shared" si="41"/>
        <v>0</v>
      </c>
      <c r="ABP150" s="1137">
        <f t="shared" si="41"/>
        <v>0</v>
      </c>
      <c r="ABQ150" s="1137">
        <f t="shared" si="41"/>
        <v>0</v>
      </c>
      <c r="ABR150" s="1137">
        <f t="shared" si="41"/>
        <v>0</v>
      </c>
      <c r="ABS150" s="1137">
        <f t="shared" si="41"/>
        <v>6</v>
      </c>
      <c r="ABT150" s="1137">
        <f t="shared" si="41"/>
        <v>0</v>
      </c>
      <c r="ABU150" s="1137">
        <f t="shared" si="41"/>
        <v>0</v>
      </c>
      <c r="ABV150" s="1137">
        <f t="shared" si="41"/>
        <v>0</v>
      </c>
      <c r="ABW150" s="1137">
        <f t="shared" si="31"/>
        <v>0</v>
      </c>
      <c r="ABX150" s="1137">
        <f t="shared" si="34"/>
        <v>0</v>
      </c>
      <c r="ABY150" s="1137">
        <f t="shared" si="34"/>
        <v>21</v>
      </c>
      <c r="ABZ150" s="1137">
        <f t="shared" si="34"/>
        <v>1</v>
      </c>
      <c r="ACA150" s="1137">
        <f t="shared" si="34"/>
        <v>30</v>
      </c>
      <c r="ACB150" s="1137">
        <f t="shared" si="34"/>
        <v>3</v>
      </c>
      <c r="ACC150" s="1137">
        <f t="shared" si="34"/>
        <v>0</v>
      </c>
      <c r="ACD150" s="1137">
        <f t="shared" si="34"/>
        <v>0</v>
      </c>
      <c r="ACE150" s="1137" t="s">
        <v>60</v>
      </c>
      <c r="ACF150" s="1137">
        <f t="shared" si="39"/>
        <v>0</v>
      </c>
      <c r="ACG150" s="1137">
        <f t="shared" si="39"/>
        <v>0</v>
      </c>
      <c r="ACH150" s="1137">
        <f t="shared" si="38"/>
        <v>0</v>
      </c>
      <c r="ACI150" s="1137">
        <f t="shared" si="38"/>
        <v>1</v>
      </c>
      <c r="ACJ150" s="1137">
        <f t="shared" si="38"/>
        <v>1</v>
      </c>
      <c r="ACK150" s="1137">
        <f t="shared" si="38"/>
        <v>0</v>
      </c>
      <c r="ACL150" s="1137">
        <f t="shared" si="38"/>
        <v>0</v>
      </c>
      <c r="ACM150" s="1137">
        <f t="shared" si="38"/>
        <v>0</v>
      </c>
      <c r="ACN150" s="1137">
        <f t="shared" si="38"/>
        <v>0</v>
      </c>
      <c r="ACO150" s="1137">
        <f t="shared" si="38"/>
        <v>0</v>
      </c>
      <c r="ACP150" s="1137">
        <f t="shared" si="38"/>
        <v>0</v>
      </c>
      <c r="ACQ150" s="1137">
        <f t="shared" si="38"/>
        <v>0</v>
      </c>
      <c r="ACR150" s="1137">
        <f t="shared" si="38"/>
        <v>0</v>
      </c>
      <c r="ACS150" s="1137">
        <f t="shared" si="38"/>
        <v>0</v>
      </c>
      <c r="ACT150" s="1137">
        <f t="shared" si="38"/>
        <v>0</v>
      </c>
      <c r="ACU150" s="1137">
        <f t="shared" si="38"/>
        <v>0</v>
      </c>
      <c r="ACV150" s="1137">
        <f t="shared" si="38"/>
        <v>0</v>
      </c>
      <c r="ACW150" s="1137">
        <f t="shared" si="38"/>
        <v>0</v>
      </c>
      <c r="ACX150" s="1137">
        <f t="shared" si="42"/>
        <v>1</v>
      </c>
      <c r="ACY150" s="1137">
        <f t="shared" si="42"/>
        <v>0</v>
      </c>
      <c r="ACZ150" s="1137">
        <f t="shared" si="42"/>
        <v>1</v>
      </c>
      <c r="ADA150" s="1137">
        <f t="shared" si="35"/>
        <v>0</v>
      </c>
      <c r="ADB150" s="1137">
        <f t="shared" si="35"/>
        <v>0</v>
      </c>
      <c r="ADC150" s="1137">
        <f t="shared" si="35"/>
        <v>0</v>
      </c>
    </row>
    <row r="151" spans="1:783" x14ac:dyDescent="0.25">
      <c r="A151" t="s">
        <v>1951</v>
      </c>
      <c r="B151" t="s">
        <v>254</v>
      </c>
      <c r="C151">
        <v>0</v>
      </c>
      <c r="D151">
        <v>0</v>
      </c>
      <c r="E151">
        <v>0</v>
      </c>
      <c r="F151">
        <v>0</v>
      </c>
      <c r="G151">
        <v>0</v>
      </c>
      <c r="H151">
        <v>0</v>
      </c>
      <c r="I151">
        <v>0</v>
      </c>
      <c r="J151">
        <v>0</v>
      </c>
      <c r="K151">
        <v>0</v>
      </c>
      <c r="L151">
        <v>0</v>
      </c>
      <c r="M151">
        <v>0</v>
      </c>
      <c r="N151">
        <v>0</v>
      </c>
      <c r="O151">
        <v>0</v>
      </c>
      <c r="P151">
        <v>0</v>
      </c>
      <c r="Q151">
        <v>0</v>
      </c>
      <c r="R151">
        <v>0</v>
      </c>
      <c r="S151">
        <v>0</v>
      </c>
      <c r="T151">
        <v>0</v>
      </c>
      <c r="U151">
        <v>0</v>
      </c>
      <c r="V151">
        <v>0</v>
      </c>
      <c r="W151">
        <v>0</v>
      </c>
      <c r="X151">
        <v>0</v>
      </c>
      <c r="Y151">
        <v>0</v>
      </c>
      <c r="Z151">
        <v>0</v>
      </c>
      <c r="AA151">
        <v>0</v>
      </c>
      <c r="AB151">
        <v>0</v>
      </c>
      <c r="AC151">
        <v>0</v>
      </c>
      <c r="AD151">
        <v>0</v>
      </c>
      <c r="AE151">
        <v>0</v>
      </c>
      <c r="AF151">
        <v>0</v>
      </c>
      <c r="AG151">
        <v>0</v>
      </c>
      <c r="AH151">
        <v>0</v>
      </c>
      <c r="AI151">
        <v>0</v>
      </c>
      <c r="AJ151">
        <v>0</v>
      </c>
      <c r="AK151">
        <v>0</v>
      </c>
      <c r="AL151">
        <v>0</v>
      </c>
      <c r="AM151">
        <v>0</v>
      </c>
      <c r="AN151">
        <v>0</v>
      </c>
      <c r="AO151">
        <v>0</v>
      </c>
      <c r="AP151">
        <v>0</v>
      </c>
      <c r="AQ151">
        <v>0</v>
      </c>
      <c r="AR151">
        <v>0</v>
      </c>
      <c r="AS151">
        <v>0</v>
      </c>
      <c r="AT151">
        <v>0</v>
      </c>
      <c r="AU151">
        <v>0</v>
      </c>
      <c r="AV151">
        <v>0</v>
      </c>
      <c r="AW151">
        <v>0</v>
      </c>
      <c r="AX151">
        <v>0</v>
      </c>
      <c r="AY151">
        <v>0</v>
      </c>
      <c r="AZ151">
        <v>0</v>
      </c>
      <c r="BA151">
        <v>0</v>
      </c>
      <c r="BB151">
        <v>0</v>
      </c>
      <c r="BC151">
        <v>0</v>
      </c>
      <c r="BD151">
        <v>0</v>
      </c>
      <c r="BE151">
        <v>0</v>
      </c>
      <c r="BF151">
        <v>0</v>
      </c>
      <c r="BG151">
        <v>0</v>
      </c>
      <c r="BH151">
        <v>0</v>
      </c>
      <c r="BI151">
        <v>0</v>
      </c>
      <c r="BJ151">
        <v>0</v>
      </c>
      <c r="BK151">
        <v>0</v>
      </c>
      <c r="BL151">
        <v>0</v>
      </c>
      <c r="BM151">
        <v>0</v>
      </c>
      <c r="BN151">
        <v>0</v>
      </c>
      <c r="BO151">
        <v>0</v>
      </c>
      <c r="BP151">
        <v>0</v>
      </c>
      <c r="BQ151">
        <v>0</v>
      </c>
      <c r="BR151">
        <v>0</v>
      </c>
      <c r="BS151">
        <v>0</v>
      </c>
      <c r="BT151">
        <v>0</v>
      </c>
      <c r="BU151">
        <v>0</v>
      </c>
      <c r="BV151">
        <v>0</v>
      </c>
      <c r="BW151">
        <v>0</v>
      </c>
      <c r="BX151">
        <v>0</v>
      </c>
      <c r="BY151">
        <v>0</v>
      </c>
      <c r="BZ151">
        <v>0</v>
      </c>
      <c r="CA151">
        <v>0</v>
      </c>
      <c r="CB151">
        <v>0</v>
      </c>
      <c r="CC151">
        <v>0</v>
      </c>
      <c r="CD151">
        <v>0</v>
      </c>
      <c r="CE151">
        <v>0</v>
      </c>
      <c r="CF151">
        <v>0</v>
      </c>
      <c r="CG151">
        <v>0</v>
      </c>
      <c r="CH151">
        <v>0</v>
      </c>
      <c r="CI151">
        <v>0</v>
      </c>
      <c r="CJ151">
        <v>0</v>
      </c>
      <c r="CK151">
        <v>0</v>
      </c>
      <c r="CL151">
        <v>0</v>
      </c>
      <c r="CM151">
        <v>0</v>
      </c>
      <c r="CN151">
        <v>0</v>
      </c>
      <c r="CO151">
        <v>0</v>
      </c>
      <c r="CP151">
        <v>0</v>
      </c>
      <c r="CQ151">
        <v>0</v>
      </c>
      <c r="CR151">
        <v>1</v>
      </c>
      <c r="CS151">
        <v>1</v>
      </c>
      <c r="CT151">
        <v>1</v>
      </c>
      <c r="CU151">
        <v>1</v>
      </c>
      <c r="CV151">
        <v>1</v>
      </c>
      <c r="CW151">
        <v>2</v>
      </c>
      <c r="CX151">
        <v>2</v>
      </c>
      <c r="CY151">
        <v>2</v>
      </c>
      <c r="CZ151">
        <v>2</v>
      </c>
      <c r="DA151">
        <v>2</v>
      </c>
      <c r="DB151">
        <v>2</v>
      </c>
      <c r="DC151">
        <v>2</v>
      </c>
      <c r="DD151">
        <v>2</v>
      </c>
      <c r="DE151">
        <v>2</v>
      </c>
      <c r="DF151">
        <v>2</v>
      </c>
      <c r="DG151">
        <v>2</v>
      </c>
      <c r="DH151">
        <v>2</v>
      </c>
      <c r="DI151">
        <v>2</v>
      </c>
      <c r="DJ151">
        <v>2</v>
      </c>
      <c r="DK151">
        <v>2</v>
      </c>
      <c r="DL151">
        <v>2</v>
      </c>
      <c r="DM151">
        <v>2</v>
      </c>
      <c r="DN151">
        <v>2</v>
      </c>
      <c r="DO151">
        <v>2</v>
      </c>
      <c r="DP151">
        <v>2</v>
      </c>
      <c r="DQ151">
        <v>2</v>
      </c>
      <c r="DR151">
        <v>2</v>
      </c>
      <c r="DS151">
        <v>2</v>
      </c>
      <c r="DT151">
        <v>2</v>
      </c>
      <c r="DU151">
        <v>2</v>
      </c>
      <c r="DV151">
        <v>2</v>
      </c>
      <c r="DW151">
        <v>2</v>
      </c>
      <c r="DX151">
        <v>2</v>
      </c>
      <c r="DY151">
        <v>2</v>
      </c>
      <c r="DZ151">
        <v>2</v>
      </c>
      <c r="EA151">
        <v>2</v>
      </c>
      <c r="EB151">
        <v>2</v>
      </c>
      <c r="EC151">
        <v>2</v>
      </c>
      <c r="ED151">
        <v>2</v>
      </c>
      <c r="EE151">
        <v>2</v>
      </c>
      <c r="EF151">
        <v>2</v>
      </c>
      <c r="EG151">
        <v>2</v>
      </c>
      <c r="EH151">
        <v>2</v>
      </c>
      <c r="EI151">
        <v>2</v>
      </c>
      <c r="EJ151">
        <v>2</v>
      </c>
      <c r="EK151">
        <v>2</v>
      </c>
      <c r="EL151">
        <v>2</v>
      </c>
      <c r="EM151">
        <v>2</v>
      </c>
      <c r="EN151">
        <v>2</v>
      </c>
      <c r="EO151">
        <v>2</v>
      </c>
      <c r="EP151">
        <v>2</v>
      </c>
      <c r="EQ151">
        <v>2</v>
      </c>
      <c r="ER151">
        <v>2</v>
      </c>
      <c r="ES151">
        <v>2</v>
      </c>
      <c r="ET151">
        <v>2</v>
      </c>
      <c r="EU151">
        <v>2</v>
      </c>
      <c r="EV151">
        <v>2</v>
      </c>
      <c r="EW151">
        <v>2</v>
      </c>
      <c r="EX151">
        <v>2</v>
      </c>
      <c r="EY151">
        <v>2</v>
      </c>
      <c r="EZ151">
        <v>2</v>
      </c>
      <c r="FA151">
        <v>2</v>
      </c>
      <c r="FB151">
        <v>2</v>
      </c>
      <c r="FC151">
        <v>2</v>
      </c>
      <c r="FD151">
        <v>2</v>
      </c>
      <c r="FE151">
        <v>2</v>
      </c>
      <c r="FF151">
        <v>2</v>
      </c>
      <c r="FG151">
        <v>2</v>
      </c>
      <c r="FH151">
        <v>2</v>
      </c>
      <c r="FI151">
        <v>2</v>
      </c>
      <c r="FJ151">
        <v>2</v>
      </c>
      <c r="FK151">
        <v>2</v>
      </c>
      <c r="FL151">
        <v>2</v>
      </c>
      <c r="FM151">
        <v>2</v>
      </c>
      <c r="FN151">
        <v>2</v>
      </c>
      <c r="FO151">
        <v>2</v>
      </c>
      <c r="FP151">
        <v>2</v>
      </c>
      <c r="FQ151">
        <v>0</v>
      </c>
      <c r="FR151">
        <v>0</v>
      </c>
      <c r="FS151">
        <v>0</v>
      </c>
      <c r="FT151">
        <v>0</v>
      </c>
      <c r="FU151">
        <v>0</v>
      </c>
      <c r="FV151">
        <v>0</v>
      </c>
      <c r="FW151">
        <v>0</v>
      </c>
      <c r="FX151">
        <v>0</v>
      </c>
      <c r="FY151">
        <v>0</v>
      </c>
      <c r="FZ151">
        <v>0</v>
      </c>
      <c r="GA151">
        <v>0</v>
      </c>
      <c r="GB151">
        <v>0</v>
      </c>
      <c r="GC151">
        <v>0</v>
      </c>
      <c r="GD151">
        <v>0</v>
      </c>
      <c r="GE151">
        <v>0</v>
      </c>
      <c r="GF151">
        <v>0</v>
      </c>
      <c r="GG151">
        <v>0</v>
      </c>
      <c r="GH151">
        <v>0</v>
      </c>
      <c r="GI151">
        <v>0</v>
      </c>
      <c r="GJ151">
        <v>0</v>
      </c>
      <c r="GK151">
        <v>0</v>
      </c>
      <c r="GL151">
        <v>0</v>
      </c>
      <c r="GM151">
        <v>0</v>
      </c>
      <c r="GN151">
        <v>0</v>
      </c>
      <c r="GO151">
        <v>0</v>
      </c>
      <c r="GP151">
        <v>0</v>
      </c>
      <c r="GQ151">
        <v>0</v>
      </c>
      <c r="GR151">
        <v>0</v>
      </c>
      <c r="GS151">
        <v>0</v>
      </c>
      <c r="GT151">
        <v>0</v>
      </c>
      <c r="GU151">
        <v>0</v>
      </c>
      <c r="GV151">
        <v>0</v>
      </c>
      <c r="GW151">
        <v>0</v>
      </c>
      <c r="GX151">
        <v>0</v>
      </c>
      <c r="GY151">
        <v>0</v>
      </c>
      <c r="GZ151">
        <v>0</v>
      </c>
      <c r="HA151">
        <v>0</v>
      </c>
      <c r="HB151">
        <v>0</v>
      </c>
      <c r="HC151">
        <v>0</v>
      </c>
      <c r="HD151">
        <v>0</v>
      </c>
      <c r="HE151">
        <v>0</v>
      </c>
      <c r="HF151">
        <v>0</v>
      </c>
      <c r="HG151">
        <v>0</v>
      </c>
      <c r="HH151">
        <v>0</v>
      </c>
      <c r="HI151">
        <v>0</v>
      </c>
      <c r="HJ151">
        <v>0</v>
      </c>
      <c r="HK151">
        <v>0</v>
      </c>
      <c r="HL151">
        <v>0</v>
      </c>
      <c r="HM151">
        <v>0</v>
      </c>
      <c r="HN151">
        <v>0</v>
      </c>
      <c r="HO151">
        <v>0</v>
      </c>
      <c r="HP151">
        <v>0</v>
      </c>
      <c r="HQ151">
        <v>0</v>
      </c>
      <c r="HR151">
        <v>0</v>
      </c>
      <c r="HS151">
        <v>0</v>
      </c>
      <c r="HT151">
        <v>0</v>
      </c>
      <c r="HU151">
        <v>0</v>
      </c>
      <c r="HV151">
        <v>0</v>
      </c>
      <c r="HW151">
        <v>0</v>
      </c>
      <c r="HX151">
        <v>0</v>
      </c>
      <c r="HY151">
        <v>0</v>
      </c>
      <c r="HZ151">
        <v>0</v>
      </c>
      <c r="IA151">
        <v>0</v>
      </c>
      <c r="IB151">
        <v>0</v>
      </c>
      <c r="IC151">
        <v>0</v>
      </c>
      <c r="ID151">
        <v>0</v>
      </c>
      <c r="IE151">
        <v>0</v>
      </c>
      <c r="IF151">
        <v>0</v>
      </c>
      <c r="IG151">
        <v>0</v>
      </c>
      <c r="IH151">
        <v>0</v>
      </c>
      <c r="II151">
        <v>0</v>
      </c>
      <c r="IJ151">
        <v>0</v>
      </c>
      <c r="IK151">
        <v>0</v>
      </c>
      <c r="IL151">
        <v>0</v>
      </c>
      <c r="IM151">
        <v>0</v>
      </c>
      <c r="IN151">
        <v>0</v>
      </c>
      <c r="IO151">
        <v>0</v>
      </c>
      <c r="IP151">
        <v>0</v>
      </c>
      <c r="IQ151">
        <v>0</v>
      </c>
      <c r="IR151">
        <v>0</v>
      </c>
      <c r="IS151">
        <v>0</v>
      </c>
      <c r="IT151">
        <v>0</v>
      </c>
      <c r="IU151">
        <v>0</v>
      </c>
      <c r="IV151">
        <v>0</v>
      </c>
      <c r="IW151">
        <v>0</v>
      </c>
      <c r="IX151">
        <v>0</v>
      </c>
      <c r="IY151">
        <v>0</v>
      </c>
      <c r="IZ151">
        <v>0</v>
      </c>
      <c r="JA151">
        <v>0</v>
      </c>
      <c r="JB151">
        <v>0</v>
      </c>
      <c r="JC151">
        <v>0</v>
      </c>
      <c r="JD151">
        <v>0</v>
      </c>
      <c r="JE151">
        <v>0</v>
      </c>
      <c r="JF151">
        <v>0</v>
      </c>
      <c r="JG151">
        <v>0</v>
      </c>
      <c r="JH151">
        <v>0</v>
      </c>
      <c r="JI151">
        <v>0</v>
      </c>
      <c r="JJ151">
        <v>0</v>
      </c>
      <c r="JK151">
        <v>0</v>
      </c>
      <c r="JL151">
        <v>0</v>
      </c>
      <c r="JM151">
        <v>0</v>
      </c>
      <c r="JN151">
        <v>0</v>
      </c>
      <c r="JO151">
        <v>0</v>
      </c>
      <c r="JP151">
        <v>0</v>
      </c>
      <c r="JQ151">
        <v>0</v>
      </c>
      <c r="JR151">
        <v>0</v>
      </c>
      <c r="JS151">
        <v>0</v>
      </c>
      <c r="JT151">
        <v>0</v>
      </c>
      <c r="JU151">
        <v>0</v>
      </c>
      <c r="JV151">
        <v>0</v>
      </c>
      <c r="JW151">
        <v>0</v>
      </c>
      <c r="JX151">
        <v>0</v>
      </c>
      <c r="JY151">
        <v>0</v>
      </c>
      <c r="JZ151">
        <v>0</v>
      </c>
      <c r="KA151">
        <v>0</v>
      </c>
      <c r="KB151">
        <v>0</v>
      </c>
      <c r="KC151">
        <v>0</v>
      </c>
      <c r="KD151">
        <v>0</v>
      </c>
      <c r="KE151">
        <v>0</v>
      </c>
      <c r="KF151">
        <v>0</v>
      </c>
      <c r="KG151">
        <v>0</v>
      </c>
      <c r="KH151">
        <v>0</v>
      </c>
      <c r="KI151">
        <v>0</v>
      </c>
      <c r="KJ151">
        <v>0</v>
      </c>
      <c r="KK151">
        <v>0</v>
      </c>
      <c r="KL151">
        <v>0</v>
      </c>
      <c r="KM151">
        <v>0</v>
      </c>
      <c r="KN151">
        <v>0</v>
      </c>
      <c r="KO151">
        <v>0</v>
      </c>
      <c r="KP151">
        <v>0</v>
      </c>
      <c r="KQ151">
        <v>0</v>
      </c>
      <c r="KR151">
        <v>0</v>
      </c>
      <c r="KS151">
        <v>0</v>
      </c>
      <c r="KT151">
        <v>0</v>
      </c>
      <c r="KU151">
        <v>0</v>
      </c>
      <c r="KV151">
        <v>0</v>
      </c>
      <c r="KW151">
        <v>0</v>
      </c>
      <c r="KX151">
        <v>0</v>
      </c>
      <c r="KY151">
        <v>0</v>
      </c>
      <c r="KZ151">
        <v>0</v>
      </c>
      <c r="LA151">
        <v>0</v>
      </c>
      <c r="LB151">
        <v>0</v>
      </c>
      <c r="LC151">
        <v>0</v>
      </c>
      <c r="LD151">
        <v>0</v>
      </c>
      <c r="LE151">
        <v>0</v>
      </c>
      <c r="LF151">
        <v>0</v>
      </c>
      <c r="LG151">
        <v>0</v>
      </c>
      <c r="LH151">
        <v>0</v>
      </c>
      <c r="LI151">
        <v>0</v>
      </c>
      <c r="LJ151">
        <v>0</v>
      </c>
      <c r="LK151">
        <v>0</v>
      </c>
      <c r="LL151">
        <v>0</v>
      </c>
      <c r="LM151">
        <v>0</v>
      </c>
      <c r="LN151">
        <v>0</v>
      </c>
      <c r="LO151">
        <v>0</v>
      </c>
      <c r="LP151">
        <v>0</v>
      </c>
      <c r="LQ151">
        <v>0</v>
      </c>
      <c r="LR151">
        <v>0</v>
      </c>
      <c r="LS151">
        <v>0</v>
      </c>
      <c r="LT151">
        <v>0</v>
      </c>
      <c r="LU151">
        <v>0</v>
      </c>
      <c r="LV151">
        <v>0</v>
      </c>
      <c r="LW151">
        <v>0</v>
      </c>
      <c r="LX151">
        <v>0</v>
      </c>
      <c r="LY151">
        <v>0</v>
      </c>
      <c r="LZ151">
        <v>0</v>
      </c>
      <c r="MA151">
        <v>0</v>
      </c>
      <c r="MB151">
        <v>0</v>
      </c>
      <c r="MC151">
        <v>0</v>
      </c>
      <c r="MD151">
        <v>0</v>
      </c>
      <c r="ME151">
        <v>0</v>
      </c>
      <c r="MF151">
        <v>0</v>
      </c>
      <c r="MG151">
        <v>0</v>
      </c>
      <c r="MH151">
        <v>0</v>
      </c>
      <c r="MI151">
        <v>0</v>
      </c>
      <c r="MJ151">
        <v>0</v>
      </c>
      <c r="MK151">
        <v>0</v>
      </c>
      <c r="ML151">
        <v>0</v>
      </c>
      <c r="MM151">
        <v>0</v>
      </c>
      <c r="MN151">
        <v>0</v>
      </c>
      <c r="MO151">
        <v>0</v>
      </c>
      <c r="MP151">
        <v>0</v>
      </c>
      <c r="MQ151">
        <v>0</v>
      </c>
      <c r="MR151">
        <v>0</v>
      </c>
      <c r="MS151">
        <v>0</v>
      </c>
      <c r="MT151">
        <v>0</v>
      </c>
      <c r="MU151">
        <v>0</v>
      </c>
      <c r="MV151">
        <v>0</v>
      </c>
      <c r="MW151">
        <v>0</v>
      </c>
      <c r="MX151">
        <v>0</v>
      </c>
      <c r="MY151">
        <v>0</v>
      </c>
      <c r="MZ151">
        <v>0</v>
      </c>
      <c r="NA151">
        <v>0</v>
      </c>
      <c r="NB151">
        <v>0</v>
      </c>
      <c r="NC151">
        <v>0</v>
      </c>
      <c r="ND151">
        <v>0</v>
      </c>
      <c r="NE151">
        <v>0</v>
      </c>
      <c r="NF151">
        <v>0</v>
      </c>
      <c r="NG151">
        <v>0</v>
      </c>
      <c r="NH151">
        <v>0</v>
      </c>
      <c r="NI151">
        <v>0</v>
      </c>
      <c r="NJ151">
        <v>0</v>
      </c>
      <c r="NK151">
        <v>0</v>
      </c>
      <c r="NL151">
        <v>0</v>
      </c>
      <c r="NM151">
        <v>0</v>
      </c>
      <c r="NN151">
        <v>0</v>
      </c>
      <c r="NO151">
        <v>0</v>
      </c>
      <c r="NP151">
        <v>0</v>
      </c>
      <c r="NQ151">
        <v>0</v>
      </c>
      <c r="NR151">
        <v>0</v>
      </c>
      <c r="NS151">
        <v>0</v>
      </c>
      <c r="NT151">
        <v>0</v>
      </c>
      <c r="NU151">
        <v>0</v>
      </c>
      <c r="NV151">
        <v>0</v>
      </c>
      <c r="NW151">
        <v>0</v>
      </c>
      <c r="NX151">
        <v>0</v>
      </c>
      <c r="NY151">
        <v>0</v>
      </c>
      <c r="NZ151">
        <v>0</v>
      </c>
      <c r="OA151">
        <v>0</v>
      </c>
      <c r="OB151">
        <v>0</v>
      </c>
      <c r="OC151">
        <v>0</v>
      </c>
      <c r="OD151">
        <v>0</v>
      </c>
      <c r="OE151">
        <v>0</v>
      </c>
      <c r="OF151">
        <v>0</v>
      </c>
      <c r="OG151">
        <v>0</v>
      </c>
      <c r="OH151">
        <v>0</v>
      </c>
      <c r="OI151">
        <v>0</v>
      </c>
      <c r="OJ151">
        <v>0</v>
      </c>
      <c r="OK151">
        <v>0</v>
      </c>
      <c r="OL151">
        <v>0</v>
      </c>
      <c r="OM151">
        <v>0</v>
      </c>
      <c r="ON151">
        <v>0</v>
      </c>
      <c r="OO151">
        <v>0</v>
      </c>
      <c r="OP151">
        <v>0</v>
      </c>
      <c r="OQ151">
        <v>0</v>
      </c>
      <c r="OR151">
        <v>0</v>
      </c>
      <c r="OS151">
        <v>0</v>
      </c>
      <c r="OT151">
        <v>0</v>
      </c>
      <c r="OU151">
        <v>0</v>
      </c>
      <c r="OV151">
        <v>0</v>
      </c>
      <c r="OW151">
        <v>0</v>
      </c>
      <c r="OX151">
        <v>0</v>
      </c>
      <c r="OY151">
        <v>0</v>
      </c>
      <c r="OZ151">
        <v>0</v>
      </c>
      <c r="PA151">
        <v>0</v>
      </c>
      <c r="PB151">
        <v>0</v>
      </c>
      <c r="PC151">
        <v>0</v>
      </c>
      <c r="PD151">
        <v>0</v>
      </c>
      <c r="PE151">
        <v>0</v>
      </c>
      <c r="PF151">
        <v>0</v>
      </c>
      <c r="PG151">
        <v>0</v>
      </c>
      <c r="PH151">
        <v>0</v>
      </c>
      <c r="PI151">
        <v>0</v>
      </c>
      <c r="PJ151">
        <v>0</v>
      </c>
      <c r="PK151">
        <v>0</v>
      </c>
      <c r="PL151">
        <v>0</v>
      </c>
      <c r="PM151">
        <v>0</v>
      </c>
      <c r="PN151">
        <v>0</v>
      </c>
      <c r="PO151">
        <v>0</v>
      </c>
      <c r="PP151">
        <v>0</v>
      </c>
      <c r="PQ151">
        <v>0</v>
      </c>
      <c r="PR151">
        <v>0</v>
      </c>
      <c r="PS151">
        <v>0</v>
      </c>
      <c r="PT151">
        <v>0</v>
      </c>
      <c r="PU151">
        <v>0</v>
      </c>
      <c r="PV151">
        <v>0</v>
      </c>
      <c r="PW151">
        <v>0</v>
      </c>
      <c r="PX151">
        <v>0</v>
      </c>
      <c r="PY151">
        <v>0</v>
      </c>
      <c r="PZ151">
        <v>0</v>
      </c>
      <c r="QA151">
        <v>0</v>
      </c>
      <c r="QB151">
        <v>0</v>
      </c>
      <c r="QC151">
        <v>0</v>
      </c>
      <c r="QD151">
        <v>0</v>
      </c>
      <c r="QE151">
        <v>0</v>
      </c>
      <c r="QF151">
        <v>0</v>
      </c>
      <c r="QG151">
        <v>0</v>
      </c>
      <c r="QH151">
        <v>0</v>
      </c>
      <c r="QI151">
        <v>0</v>
      </c>
      <c r="QJ151">
        <v>0</v>
      </c>
      <c r="QK151">
        <v>0</v>
      </c>
      <c r="QL151">
        <v>0</v>
      </c>
      <c r="QM151">
        <v>0</v>
      </c>
      <c r="QN151">
        <v>0</v>
      </c>
      <c r="QO151">
        <v>0</v>
      </c>
      <c r="QP151">
        <v>0</v>
      </c>
      <c r="QQ151">
        <v>0</v>
      </c>
      <c r="QR151">
        <v>0</v>
      </c>
      <c r="QS151">
        <v>0</v>
      </c>
      <c r="QT151">
        <v>0</v>
      </c>
      <c r="QU151">
        <v>0</v>
      </c>
      <c r="QV151">
        <v>0</v>
      </c>
      <c r="QW151">
        <v>0</v>
      </c>
      <c r="QX151">
        <v>0</v>
      </c>
      <c r="QY151">
        <v>0</v>
      </c>
      <c r="QZ151">
        <v>0</v>
      </c>
      <c r="RA151">
        <v>0</v>
      </c>
      <c r="RB151">
        <v>0</v>
      </c>
      <c r="RC151">
        <v>0</v>
      </c>
      <c r="RD151">
        <v>0</v>
      </c>
      <c r="RE151">
        <v>0</v>
      </c>
      <c r="RF151">
        <v>0</v>
      </c>
      <c r="RG151">
        <v>0</v>
      </c>
      <c r="RH151">
        <v>0</v>
      </c>
      <c r="RI151">
        <v>0</v>
      </c>
      <c r="RJ151">
        <v>0</v>
      </c>
      <c r="RK151">
        <v>0</v>
      </c>
      <c r="RL151">
        <v>0</v>
      </c>
      <c r="RM151">
        <v>0</v>
      </c>
      <c r="RN151">
        <v>0</v>
      </c>
      <c r="RO151">
        <v>0</v>
      </c>
      <c r="RP151">
        <v>0</v>
      </c>
      <c r="RQ151">
        <v>0</v>
      </c>
      <c r="RR151">
        <v>0</v>
      </c>
      <c r="RS151">
        <v>0</v>
      </c>
      <c r="RT151">
        <v>0</v>
      </c>
      <c r="RU151">
        <v>0</v>
      </c>
      <c r="RV151">
        <v>0</v>
      </c>
      <c r="RW151">
        <v>0</v>
      </c>
      <c r="RX151">
        <v>0</v>
      </c>
      <c r="RY151">
        <v>0</v>
      </c>
      <c r="RZ151">
        <v>0</v>
      </c>
      <c r="SA151">
        <v>0</v>
      </c>
      <c r="SB151">
        <v>0</v>
      </c>
      <c r="SC151">
        <v>0</v>
      </c>
      <c r="SD151">
        <v>0</v>
      </c>
      <c r="SE151">
        <v>0</v>
      </c>
      <c r="SF151">
        <v>0</v>
      </c>
      <c r="SG151">
        <v>0</v>
      </c>
      <c r="SH151">
        <v>0</v>
      </c>
      <c r="SI151">
        <v>0</v>
      </c>
      <c r="SJ151">
        <v>0</v>
      </c>
      <c r="SK151">
        <v>0</v>
      </c>
      <c r="SL151">
        <v>0</v>
      </c>
      <c r="SM151">
        <v>0</v>
      </c>
      <c r="SN151">
        <v>0</v>
      </c>
      <c r="SO151">
        <v>0</v>
      </c>
      <c r="SP151">
        <v>0</v>
      </c>
      <c r="SQ151">
        <v>0</v>
      </c>
      <c r="SR151">
        <v>0</v>
      </c>
      <c r="SS151">
        <v>0</v>
      </c>
      <c r="ST151">
        <v>0</v>
      </c>
      <c r="SU151">
        <v>0</v>
      </c>
      <c r="SV151">
        <v>0</v>
      </c>
      <c r="SW151">
        <v>0</v>
      </c>
      <c r="SX151">
        <v>0</v>
      </c>
      <c r="SY151">
        <v>0</v>
      </c>
      <c r="SZ151">
        <v>0</v>
      </c>
      <c r="TA151">
        <v>0</v>
      </c>
      <c r="TB151">
        <v>0</v>
      </c>
      <c r="TC151">
        <v>0</v>
      </c>
      <c r="TD151">
        <v>0</v>
      </c>
      <c r="TE151">
        <v>0</v>
      </c>
      <c r="TF151">
        <v>0</v>
      </c>
      <c r="TG151">
        <v>0</v>
      </c>
      <c r="TH151">
        <v>0</v>
      </c>
      <c r="TI151">
        <v>0</v>
      </c>
      <c r="TJ151">
        <v>0</v>
      </c>
      <c r="TK151">
        <v>0</v>
      </c>
      <c r="TL151">
        <v>0</v>
      </c>
      <c r="TM151">
        <v>0</v>
      </c>
      <c r="TN151">
        <v>0</v>
      </c>
      <c r="TO151">
        <v>0</v>
      </c>
      <c r="TP151">
        <v>0</v>
      </c>
      <c r="TQ151">
        <v>0</v>
      </c>
      <c r="TR151">
        <v>0</v>
      </c>
      <c r="TS151">
        <v>0</v>
      </c>
      <c r="TT151">
        <v>0</v>
      </c>
      <c r="TU151">
        <v>0</v>
      </c>
      <c r="TV151">
        <v>0</v>
      </c>
      <c r="TW151">
        <v>0</v>
      </c>
      <c r="TX151">
        <v>0</v>
      </c>
      <c r="TY151">
        <v>0</v>
      </c>
      <c r="TZ151">
        <v>0</v>
      </c>
      <c r="UA151">
        <v>0</v>
      </c>
      <c r="UB151">
        <v>0</v>
      </c>
      <c r="UC151">
        <v>0</v>
      </c>
      <c r="UD151">
        <v>0</v>
      </c>
      <c r="UE151">
        <v>0</v>
      </c>
      <c r="UF151">
        <v>0</v>
      </c>
      <c r="UG151">
        <v>0</v>
      </c>
      <c r="UH151">
        <v>0</v>
      </c>
      <c r="UI151">
        <v>0</v>
      </c>
      <c r="UJ151">
        <v>0</v>
      </c>
      <c r="UK151">
        <v>0</v>
      </c>
      <c r="UL151">
        <v>0</v>
      </c>
      <c r="UM151">
        <v>0</v>
      </c>
      <c r="UN151">
        <v>0</v>
      </c>
      <c r="UO151">
        <v>0</v>
      </c>
      <c r="UP151">
        <v>0</v>
      </c>
      <c r="UQ151">
        <v>0</v>
      </c>
      <c r="UR151">
        <v>0</v>
      </c>
      <c r="US151">
        <v>0</v>
      </c>
      <c r="UT151">
        <v>0</v>
      </c>
      <c r="UU151">
        <v>0</v>
      </c>
      <c r="UV151">
        <v>0</v>
      </c>
      <c r="UW151">
        <v>0</v>
      </c>
      <c r="UX151">
        <v>0</v>
      </c>
      <c r="UY151">
        <v>0</v>
      </c>
      <c r="UZ151">
        <v>0</v>
      </c>
      <c r="VA151">
        <v>0</v>
      </c>
      <c r="VB151">
        <v>0</v>
      </c>
      <c r="VC151">
        <v>0</v>
      </c>
      <c r="VD151">
        <v>0</v>
      </c>
      <c r="VE151">
        <v>0</v>
      </c>
      <c r="VF151">
        <v>0</v>
      </c>
      <c r="VG151">
        <v>0</v>
      </c>
      <c r="VH151">
        <v>0</v>
      </c>
      <c r="VI151">
        <v>0</v>
      </c>
      <c r="VJ151">
        <v>0</v>
      </c>
      <c r="VK151">
        <v>0</v>
      </c>
      <c r="VL151">
        <v>0</v>
      </c>
      <c r="VM151">
        <v>0</v>
      </c>
      <c r="VN151">
        <v>0</v>
      </c>
      <c r="VO151">
        <v>0</v>
      </c>
      <c r="VP151">
        <v>0</v>
      </c>
      <c r="VQ151">
        <v>0</v>
      </c>
      <c r="VR151">
        <v>0</v>
      </c>
      <c r="VS151">
        <v>0</v>
      </c>
      <c r="VT151">
        <v>0</v>
      </c>
      <c r="VU151">
        <v>0</v>
      </c>
      <c r="VV151">
        <v>0</v>
      </c>
      <c r="VW151">
        <v>0</v>
      </c>
      <c r="VX151">
        <v>0</v>
      </c>
      <c r="VY151">
        <v>0</v>
      </c>
      <c r="VZ151">
        <v>0</v>
      </c>
      <c r="WA151">
        <v>0</v>
      </c>
      <c r="WB151">
        <v>0</v>
      </c>
      <c r="WC151">
        <v>0</v>
      </c>
      <c r="WD151">
        <v>0</v>
      </c>
      <c r="WE151">
        <v>0</v>
      </c>
      <c r="WF151">
        <v>0</v>
      </c>
      <c r="WG151">
        <v>0</v>
      </c>
      <c r="WH151">
        <v>0</v>
      </c>
      <c r="WI151">
        <v>0</v>
      </c>
      <c r="WJ151">
        <v>0</v>
      </c>
      <c r="WK151">
        <v>0</v>
      </c>
      <c r="WL151">
        <v>0</v>
      </c>
      <c r="WM151">
        <v>0</v>
      </c>
      <c r="WN151">
        <v>0</v>
      </c>
      <c r="WO151">
        <v>0</v>
      </c>
      <c r="WP151">
        <v>0</v>
      </c>
      <c r="WQ151">
        <v>0</v>
      </c>
      <c r="WR151">
        <v>0</v>
      </c>
      <c r="WS151">
        <v>0</v>
      </c>
      <c r="WT151">
        <v>0</v>
      </c>
      <c r="WU151">
        <v>0</v>
      </c>
      <c r="WV151">
        <v>0</v>
      </c>
      <c r="WW151">
        <v>0</v>
      </c>
      <c r="WX151">
        <v>0</v>
      </c>
      <c r="WY151">
        <v>0</v>
      </c>
      <c r="WZ151">
        <v>0</v>
      </c>
      <c r="XA151">
        <v>0</v>
      </c>
      <c r="XB151">
        <v>0</v>
      </c>
      <c r="XC151">
        <v>0</v>
      </c>
      <c r="XD151">
        <v>0</v>
      </c>
      <c r="XE151">
        <v>0</v>
      </c>
      <c r="XF151">
        <v>0</v>
      </c>
      <c r="XG151">
        <v>0</v>
      </c>
      <c r="XH151">
        <v>0</v>
      </c>
      <c r="XI151">
        <v>0</v>
      </c>
      <c r="XJ151">
        <v>0</v>
      </c>
      <c r="XK151">
        <v>0</v>
      </c>
      <c r="XL151">
        <v>0</v>
      </c>
      <c r="XM151">
        <v>0</v>
      </c>
      <c r="XN151">
        <v>0</v>
      </c>
      <c r="XO151">
        <v>0</v>
      </c>
      <c r="XP151">
        <v>0</v>
      </c>
      <c r="XQ151">
        <v>0</v>
      </c>
      <c r="XR151">
        <v>0</v>
      </c>
      <c r="XS151">
        <v>0</v>
      </c>
      <c r="XT151">
        <v>0</v>
      </c>
      <c r="XU151">
        <v>0</v>
      </c>
      <c r="XV151">
        <v>0</v>
      </c>
      <c r="XW151">
        <v>0</v>
      </c>
      <c r="XX151">
        <v>0</v>
      </c>
      <c r="XY151">
        <v>0</v>
      </c>
      <c r="XZ151">
        <v>0</v>
      </c>
      <c r="YA151">
        <v>0</v>
      </c>
      <c r="YB151">
        <v>0</v>
      </c>
      <c r="YC151">
        <v>0</v>
      </c>
      <c r="YD151">
        <v>0</v>
      </c>
      <c r="YE151">
        <v>0</v>
      </c>
      <c r="YF151">
        <v>0</v>
      </c>
      <c r="YG151">
        <v>0</v>
      </c>
      <c r="YH151">
        <v>0</v>
      </c>
      <c r="YI151">
        <v>0</v>
      </c>
      <c r="YJ151">
        <v>0</v>
      </c>
      <c r="YK151">
        <v>0</v>
      </c>
      <c r="YL151">
        <v>0</v>
      </c>
      <c r="YM151">
        <v>0</v>
      </c>
      <c r="YN151">
        <v>0</v>
      </c>
      <c r="YO151">
        <v>0</v>
      </c>
      <c r="YP151">
        <v>0</v>
      </c>
      <c r="YQ151">
        <v>0</v>
      </c>
      <c r="YR151">
        <v>0</v>
      </c>
      <c r="YS151">
        <v>0</v>
      </c>
      <c r="YT151">
        <v>0</v>
      </c>
      <c r="YU151">
        <v>0</v>
      </c>
      <c r="YV151">
        <v>0</v>
      </c>
      <c r="YW151">
        <v>0</v>
      </c>
      <c r="YX151">
        <v>0</v>
      </c>
      <c r="YY151">
        <v>0</v>
      </c>
      <c r="YZ151">
        <v>0</v>
      </c>
      <c r="ZA151">
        <v>0</v>
      </c>
      <c r="ZB151">
        <v>0</v>
      </c>
      <c r="ZC151">
        <v>0</v>
      </c>
      <c r="ZD151">
        <v>0</v>
      </c>
      <c r="ZE151">
        <v>0</v>
      </c>
      <c r="ZF151">
        <v>0</v>
      </c>
      <c r="ZG151">
        <v>0</v>
      </c>
      <c r="ZH151">
        <v>0</v>
      </c>
      <c r="ZI151">
        <v>0</v>
      </c>
      <c r="ZJ151">
        <v>0</v>
      </c>
      <c r="ZK151">
        <v>0</v>
      </c>
      <c r="ZL151">
        <v>0</v>
      </c>
      <c r="ZM151">
        <v>0</v>
      </c>
      <c r="ZN151">
        <v>0</v>
      </c>
      <c r="ZO151">
        <v>0</v>
      </c>
      <c r="ZP151">
        <v>0</v>
      </c>
      <c r="ZQ151">
        <v>0</v>
      </c>
      <c r="ZR151">
        <v>0</v>
      </c>
      <c r="ZS151">
        <v>0</v>
      </c>
      <c r="ZT151">
        <v>0</v>
      </c>
      <c r="ZU151">
        <v>0</v>
      </c>
      <c r="ZV151">
        <v>0</v>
      </c>
      <c r="ZW151">
        <v>0</v>
      </c>
      <c r="ZX151">
        <v>0</v>
      </c>
      <c r="ZY151">
        <v>0</v>
      </c>
      <c r="ZZ151">
        <v>0</v>
      </c>
      <c r="AAA151">
        <v>0</v>
      </c>
      <c r="AAB151">
        <v>0</v>
      </c>
      <c r="AAC151">
        <v>0</v>
      </c>
      <c r="AAD151">
        <v>0</v>
      </c>
      <c r="AAE151">
        <v>0</v>
      </c>
      <c r="AAF151">
        <v>0</v>
      </c>
      <c r="AAG151">
        <v>0</v>
      </c>
      <c r="AAH151">
        <v>0</v>
      </c>
      <c r="AAI151">
        <v>0</v>
      </c>
      <c r="AAJ151">
        <v>0</v>
      </c>
      <c r="AAK151">
        <v>0</v>
      </c>
      <c r="AAL151">
        <v>0</v>
      </c>
      <c r="AAM151">
        <v>0</v>
      </c>
      <c r="AAN151">
        <v>0</v>
      </c>
      <c r="AAO151">
        <v>0</v>
      </c>
      <c r="AAP151">
        <v>0</v>
      </c>
      <c r="AAQ151">
        <v>0</v>
      </c>
      <c r="AAR151">
        <v>0</v>
      </c>
      <c r="AAS151">
        <v>0</v>
      </c>
      <c r="AAT151">
        <v>0</v>
      </c>
      <c r="AAU151">
        <v>0</v>
      </c>
      <c r="AAV151">
        <v>0</v>
      </c>
      <c r="AAW151">
        <v>0</v>
      </c>
      <c r="AAX151">
        <v>0</v>
      </c>
      <c r="AAY151">
        <v>0</v>
      </c>
      <c r="AAZ151">
        <v>0</v>
      </c>
      <c r="ABA151">
        <v>0</v>
      </c>
      <c r="ABB151">
        <v>0</v>
      </c>
      <c r="ABC151">
        <v>0</v>
      </c>
      <c r="ABD151">
        <v>0</v>
      </c>
      <c r="ABE151">
        <v>0</v>
      </c>
      <c r="ABG151" s="1137">
        <f t="shared" si="41"/>
        <v>0</v>
      </c>
      <c r="ABH151" s="1137">
        <f t="shared" si="41"/>
        <v>0</v>
      </c>
      <c r="ABI151" s="1137">
        <f t="shared" si="41"/>
        <v>0</v>
      </c>
      <c r="ABJ151" s="1137">
        <f t="shared" si="41"/>
        <v>28</v>
      </c>
      <c r="ABK151" s="1137">
        <f t="shared" si="41"/>
        <v>31</v>
      </c>
      <c r="ABL151" s="1137">
        <f t="shared" si="41"/>
        <v>18</v>
      </c>
      <c r="ABM151" s="1137">
        <f t="shared" si="41"/>
        <v>0</v>
      </c>
      <c r="ABN151" s="1137">
        <f t="shared" si="41"/>
        <v>0</v>
      </c>
      <c r="ABO151" s="1137">
        <f t="shared" si="41"/>
        <v>0</v>
      </c>
      <c r="ABP151" s="1137">
        <f t="shared" si="41"/>
        <v>0</v>
      </c>
      <c r="ABQ151" s="1137">
        <f t="shared" si="41"/>
        <v>0</v>
      </c>
      <c r="ABR151" s="1137">
        <f t="shared" si="41"/>
        <v>0</v>
      </c>
      <c r="ABS151" s="1137">
        <f t="shared" si="41"/>
        <v>0</v>
      </c>
      <c r="ABT151" s="1137">
        <f t="shared" si="41"/>
        <v>0</v>
      </c>
      <c r="ABU151" s="1137">
        <f t="shared" si="41"/>
        <v>0</v>
      </c>
      <c r="ABV151" s="1137">
        <f t="shared" si="41"/>
        <v>0</v>
      </c>
      <c r="ABW151" s="1137">
        <f t="shared" si="31"/>
        <v>0</v>
      </c>
      <c r="ABX151" s="1137">
        <f t="shared" si="34"/>
        <v>0</v>
      </c>
      <c r="ABY151" s="1137">
        <f t="shared" si="34"/>
        <v>0</v>
      </c>
      <c r="ABZ151" s="1137">
        <f t="shared" si="34"/>
        <v>0</v>
      </c>
      <c r="ACA151" s="1137">
        <f t="shared" si="34"/>
        <v>0</v>
      </c>
      <c r="ACB151" s="1137">
        <f t="shared" si="34"/>
        <v>0</v>
      </c>
      <c r="ACC151" s="1137">
        <f t="shared" si="34"/>
        <v>0</v>
      </c>
      <c r="ACD151" s="1137">
        <f t="shared" si="34"/>
        <v>0</v>
      </c>
      <c r="ACE151" s="1137" t="s">
        <v>254</v>
      </c>
      <c r="ACF151" s="1137">
        <f t="shared" si="39"/>
        <v>0</v>
      </c>
      <c r="ACG151" s="1137">
        <f t="shared" si="39"/>
        <v>0</v>
      </c>
      <c r="ACH151" s="1137">
        <f t="shared" si="38"/>
        <v>0</v>
      </c>
      <c r="ACI151" s="1137">
        <f t="shared" si="38"/>
        <v>1</v>
      </c>
      <c r="ACJ151" s="1137">
        <f t="shared" si="38"/>
        <v>1</v>
      </c>
      <c r="ACK151" s="1137">
        <f t="shared" si="38"/>
        <v>1</v>
      </c>
      <c r="ACL151" s="1137">
        <f t="shared" si="38"/>
        <v>0</v>
      </c>
      <c r="ACM151" s="1137">
        <f t="shared" si="38"/>
        <v>0</v>
      </c>
      <c r="ACN151" s="1137">
        <f t="shared" si="38"/>
        <v>0</v>
      </c>
      <c r="ACO151" s="1137">
        <f t="shared" si="38"/>
        <v>0</v>
      </c>
      <c r="ACP151" s="1137">
        <f t="shared" si="38"/>
        <v>0</v>
      </c>
      <c r="ACQ151" s="1137">
        <f t="shared" si="38"/>
        <v>0</v>
      </c>
      <c r="ACR151" s="1137">
        <f t="shared" si="38"/>
        <v>0</v>
      </c>
      <c r="ACS151" s="1137">
        <f t="shared" si="38"/>
        <v>0</v>
      </c>
      <c r="ACT151" s="1137">
        <f t="shared" si="38"/>
        <v>0</v>
      </c>
      <c r="ACU151" s="1137">
        <f t="shared" si="38"/>
        <v>0</v>
      </c>
      <c r="ACV151" s="1137">
        <f t="shared" si="38"/>
        <v>0</v>
      </c>
      <c r="ACW151" s="1137">
        <f t="shared" si="38"/>
        <v>0</v>
      </c>
      <c r="ACX151" s="1137">
        <f t="shared" si="42"/>
        <v>0</v>
      </c>
      <c r="ACY151" s="1137">
        <f t="shared" si="42"/>
        <v>0</v>
      </c>
      <c r="ACZ151" s="1137">
        <f t="shared" si="42"/>
        <v>0</v>
      </c>
      <c r="ADA151" s="1137">
        <f t="shared" si="35"/>
        <v>0</v>
      </c>
      <c r="ADB151" s="1137">
        <f t="shared" si="35"/>
        <v>0</v>
      </c>
      <c r="ADC151" s="1137">
        <f t="shared" si="35"/>
        <v>0</v>
      </c>
    </row>
    <row r="152" spans="1:783" x14ac:dyDescent="0.25">
      <c r="A152" t="s">
        <v>1952</v>
      </c>
      <c r="B152" t="s">
        <v>62</v>
      </c>
      <c r="C152">
        <v>0</v>
      </c>
      <c r="D152">
        <v>0</v>
      </c>
      <c r="E152">
        <v>0</v>
      </c>
      <c r="F152">
        <v>0</v>
      </c>
      <c r="G152">
        <v>0</v>
      </c>
      <c r="H152">
        <v>0</v>
      </c>
      <c r="I152">
        <v>0</v>
      </c>
      <c r="J152">
        <v>0</v>
      </c>
      <c r="K152">
        <v>0</v>
      </c>
      <c r="L152">
        <v>0</v>
      </c>
      <c r="M152">
        <v>0</v>
      </c>
      <c r="N152">
        <v>0</v>
      </c>
      <c r="O152">
        <v>0</v>
      </c>
      <c r="P152">
        <v>0</v>
      </c>
      <c r="Q152">
        <v>0</v>
      </c>
      <c r="R152">
        <v>0</v>
      </c>
      <c r="S152">
        <v>0</v>
      </c>
      <c r="T152">
        <v>0</v>
      </c>
      <c r="U152">
        <v>0</v>
      </c>
      <c r="V152">
        <v>0</v>
      </c>
      <c r="W152">
        <v>0</v>
      </c>
      <c r="X152">
        <v>0</v>
      </c>
      <c r="Y152">
        <v>0</v>
      </c>
      <c r="Z152">
        <v>0</v>
      </c>
      <c r="AA152">
        <v>0</v>
      </c>
      <c r="AB152">
        <v>0</v>
      </c>
      <c r="AC152">
        <v>0</v>
      </c>
      <c r="AD152">
        <v>0</v>
      </c>
      <c r="AE152">
        <v>0</v>
      </c>
      <c r="AF152">
        <v>0</v>
      </c>
      <c r="AG152">
        <v>0</v>
      </c>
      <c r="AH152">
        <v>0</v>
      </c>
      <c r="AI152">
        <v>0</v>
      </c>
      <c r="AJ152">
        <v>0</v>
      </c>
      <c r="AK152">
        <v>0</v>
      </c>
      <c r="AL152">
        <v>0</v>
      </c>
      <c r="AM152">
        <v>0</v>
      </c>
      <c r="AN152">
        <v>0</v>
      </c>
      <c r="AO152">
        <v>0</v>
      </c>
      <c r="AP152">
        <v>0</v>
      </c>
      <c r="AQ152">
        <v>0</v>
      </c>
      <c r="AR152">
        <v>0</v>
      </c>
      <c r="AS152">
        <v>0</v>
      </c>
      <c r="AT152">
        <v>0</v>
      </c>
      <c r="AU152">
        <v>0</v>
      </c>
      <c r="AV152">
        <v>0</v>
      </c>
      <c r="AW152">
        <v>0</v>
      </c>
      <c r="AX152">
        <v>0</v>
      </c>
      <c r="AY152">
        <v>0</v>
      </c>
      <c r="AZ152">
        <v>0</v>
      </c>
      <c r="BA152">
        <v>0</v>
      </c>
      <c r="BB152">
        <v>0</v>
      </c>
      <c r="BC152">
        <v>0</v>
      </c>
      <c r="BD152">
        <v>0</v>
      </c>
      <c r="BE152">
        <v>0</v>
      </c>
      <c r="BF152">
        <v>0</v>
      </c>
      <c r="BG152">
        <v>0</v>
      </c>
      <c r="BH152">
        <v>0</v>
      </c>
      <c r="BI152">
        <v>0</v>
      </c>
      <c r="BJ152">
        <v>0</v>
      </c>
      <c r="BK152">
        <v>0</v>
      </c>
      <c r="BL152">
        <v>0</v>
      </c>
      <c r="BM152">
        <v>0</v>
      </c>
      <c r="BN152">
        <v>0</v>
      </c>
      <c r="BO152">
        <v>0</v>
      </c>
      <c r="BP152">
        <v>0</v>
      </c>
      <c r="BQ152">
        <v>0</v>
      </c>
      <c r="BR152">
        <v>0</v>
      </c>
      <c r="BS152">
        <v>0</v>
      </c>
      <c r="BT152">
        <v>0</v>
      </c>
      <c r="BU152">
        <v>0</v>
      </c>
      <c r="BV152">
        <v>0</v>
      </c>
      <c r="BW152">
        <v>0</v>
      </c>
      <c r="BX152">
        <v>0</v>
      </c>
      <c r="BY152">
        <v>0</v>
      </c>
      <c r="BZ152">
        <v>0</v>
      </c>
      <c r="CA152">
        <v>0</v>
      </c>
      <c r="CB152">
        <v>0</v>
      </c>
      <c r="CC152">
        <v>0</v>
      </c>
      <c r="CD152">
        <v>1</v>
      </c>
      <c r="CE152">
        <v>1</v>
      </c>
      <c r="CF152">
        <v>1</v>
      </c>
      <c r="CG152">
        <v>1</v>
      </c>
      <c r="CH152">
        <v>1</v>
      </c>
      <c r="CI152">
        <v>1</v>
      </c>
      <c r="CJ152">
        <v>1</v>
      </c>
      <c r="CK152">
        <v>1</v>
      </c>
      <c r="CL152">
        <v>1</v>
      </c>
      <c r="CM152">
        <v>1</v>
      </c>
      <c r="CN152">
        <v>1</v>
      </c>
      <c r="CO152">
        <v>1</v>
      </c>
      <c r="CP152">
        <v>1</v>
      </c>
      <c r="CQ152">
        <v>1</v>
      </c>
      <c r="CR152">
        <v>1</v>
      </c>
      <c r="CS152">
        <v>1</v>
      </c>
      <c r="CT152">
        <v>1</v>
      </c>
      <c r="CU152">
        <v>1</v>
      </c>
      <c r="CV152">
        <v>1</v>
      </c>
      <c r="CW152">
        <v>1</v>
      </c>
      <c r="CX152">
        <v>1</v>
      </c>
      <c r="CY152">
        <v>2</v>
      </c>
      <c r="CZ152">
        <v>2</v>
      </c>
      <c r="DA152">
        <v>1</v>
      </c>
      <c r="DB152">
        <v>1</v>
      </c>
      <c r="DC152">
        <v>1</v>
      </c>
      <c r="DD152">
        <v>1</v>
      </c>
      <c r="DE152">
        <v>1</v>
      </c>
      <c r="DF152">
        <v>1</v>
      </c>
      <c r="DG152">
        <v>1</v>
      </c>
      <c r="DH152">
        <v>1</v>
      </c>
      <c r="DI152">
        <v>1</v>
      </c>
      <c r="DJ152">
        <v>1</v>
      </c>
      <c r="DK152">
        <v>1</v>
      </c>
      <c r="DL152">
        <v>1</v>
      </c>
      <c r="DM152">
        <v>1</v>
      </c>
      <c r="DN152">
        <v>1</v>
      </c>
      <c r="DO152">
        <v>1</v>
      </c>
      <c r="DP152">
        <v>1</v>
      </c>
      <c r="DQ152">
        <v>1</v>
      </c>
      <c r="DR152">
        <v>1</v>
      </c>
      <c r="DS152">
        <v>1</v>
      </c>
      <c r="DT152">
        <v>1</v>
      </c>
      <c r="DU152">
        <v>1</v>
      </c>
      <c r="DV152">
        <v>1</v>
      </c>
      <c r="DW152">
        <v>1</v>
      </c>
      <c r="DX152">
        <v>1</v>
      </c>
      <c r="DY152">
        <v>1</v>
      </c>
      <c r="DZ152">
        <v>1</v>
      </c>
      <c r="EA152">
        <v>1</v>
      </c>
      <c r="EB152">
        <v>1</v>
      </c>
      <c r="EC152">
        <v>1</v>
      </c>
      <c r="ED152">
        <v>1</v>
      </c>
      <c r="EE152">
        <v>1</v>
      </c>
      <c r="EF152">
        <v>1</v>
      </c>
      <c r="EG152">
        <v>1</v>
      </c>
      <c r="EH152">
        <v>1</v>
      </c>
      <c r="EI152">
        <v>1</v>
      </c>
      <c r="EJ152">
        <v>1</v>
      </c>
      <c r="EK152">
        <v>1</v>
      </c>
      <c r="EL152">
        <v>1</v>
      </c>
      <c r="EM152">
        <v>2</v>
      </c>
      <c r="EN152">
        <v>2</v>
      </c>
      <c r="EO152">
        <v>2</v>
      </c>
      <c r="EP152">
        <v>1</v>
      </c>
      <c r="EQ152">
        <v>1</v>
      </c>
      <c r="ER152">
        <v>1</v>
      </c>
      <c r="ES152">
        <v>1</v>
      </c>
      <c r="ET152">
        <v>1</v>
      </c>
      <c r="EU152">
        <v>1</v>
      </c>
      <c r="EV152">
        <v>1</v>
      </c>
      <c r="EW152">
        <v>1</v>
      </c>
      <c r="EX152">
        <v>1</v>
      </c>
      <c r="EY152">
        <v>1</v>
      </c>
      <c r="EZ152">
        <v>1</v>
      </c>
      <c r="FA152">
        <v>1</v>
      </c>
      <c r="FB152">
        <v>1</v>
      </c>
      <c r="FC152">
        <v>1</v>
      </c>
      <c r="FD152">
        <v>1</v>
      </c>
      <c r="FE152">
        <v>1</v>
      </c>
      <c r="FF152">
        <v>1</v>
      </c>
      <c r="FG152">
        <v>1</v>
      </c>
      <c r="FH152">
        <v>1</v>
      </c>
      <c r="FI152">
        <v>1</v>
      </c>
      <c r="FJ152">
        <v>1</v>
      </c>
      <c r="FK152">
        <v>1</v>
      </c>
      <c r="FL152">
        <v>1</v>
      </c>
      <c r="FM152">
        <v>1</v>
      </c>
      <c r="FN152">
        <v>1</v>
      </c>
      <c r="FO152">
        <v>1</v>
      </c>
      <c r="FP152">
        <v>1</v>
      </c>
      <c r="FQ152">
        <v>1</v>
      </c>
      <c r="FR152">
        <v>1</v>
      </c>
      <c r="FS152">
        <v>1</v>
      </c>
      <c r="FT152">
        <v>1</v>
      </c>
      <c r="FU152">
        <v>1</v>
      </c>
      <c r="FV152">
        <v>1</v>
      </c>
      <c r="FW152">
        <v>1</v>
      </c>
      <c r="FX152">
        <v>1</v>
      </c>
      <c r="FY152">
        <v>1</v>
      </c>
      <c r="FZ152">
        <v>1</v>
      </c>
      <c r="GA152">
        <v>1</v>
      </c>
      <c r="GB152">
        <v>1</v>
      </c>
      <c r="GC152">
        <v>1</v>
      </c>
      <c r="GD152">
        <v>1</v>
      </c>
      <c r="GE152">
        <v>1</v>
      </c>
      <c r="GF152">
        <v>1</v>
      </c>
      <c r="GG152">
        <v>1</v>
      </c>
      <c r="GH152">
        <v>1</v>
      </c>
      <c r="GI152">
        <v>1</v>
      </c>
      <c r="GJ152">
        <v>1</v>
      </c>
      <c r="GK152">
        <v>1</v>
      </c>
      <c r="GL152">
        <v>1</v>
      </c>
      <c r="GM152">
        <v>1</v>
      </c>
      <c r="GN152">
        <v>1</v>
      </c>
      <c r="GO152">
        <v>1</v>
      </c>
      <c r="GP152">
        <v>1</v>
      </c>
      <c r="GQ152">
        <v>1</v>
      </c>
      <c r="GR152">
        <v>1</v>
      </c>
      <c r="GS152">
        <v>1</v>
      </c>
      <c r="GT152">
        <v>1</v>
      </c>
      <c r="GU152">
        <v>1</v>
      </c>
      <c r="GV152">
        <v>1</v>
      </c>
      <c r="GW152">
        <v>1</v>
      </c>
      <c r="GX152">
        <v>1</v>
      </c>
      <c r="GY152">
        <v>1</v>
      </c>
      <c r="GZ152">
        <v>1</v>
      </c>
      <c r="HA152">
        <v>1</v>
      </c>
      <c r="HB152">
        <v>1</v>
      </c>
      <c r="HC152">
        <v>1</v>
      </c>
      <c r="HD152">
        <v>1</v>
      </c>
      <c r="HE152">
        <v>1</v>
      </c>
      <c r="HF152">
        <v>1</v>
      </c>
      <c r="HG152">
        <v>1</v>
      </c>
      <c r="HH152">
        <v>1</v>
      </c>
      <c r="HI152">
        <v>1</v>
      </c>
      <c r="HJ152">
        <v>1</v>
      </c>
      <c r="HK152">
        <v>1</v>
      </c>
      <c r="HL152">
        <v>1</v>
      </c>
      <c r="HM152">
        <v>1</v>
      </c>
      <c r="HN152">
        <v>1</v>
      </c>
      <c r="HO152">
        <v>1</v>
      </c>
      <c r="HP152">
        <v>1</v>
      </c>
      <c r="HQ152">
        <v>1</v>
      </c>
      <c r="HR152">
        <v>1</v>
      </c>
      <c r="HS152">
        <v>1</v>
      </c>
      <c r="HT152">
        <v>1</v>
      </c>
      <c r="HU152">
        <v>1</v>
      </c>
      <c r="HV152">
        <v>1</v>
      </c>
      <c r="HW152">
        <v>1</v>
      </c>
      <c r="HX152">
        <v>1</v>
      </c>
      <c r="HY152">
        <v>1</v>
      </c>
      <c r="HZ152">
        <v>1</v>
      </c>
      <c r="IA152">
        <v>1</v>
      </c>
      <c r="IB152">
        <v>1</v>
      </c>
      <c r="IC152">
        <v>1</v>
      </c>
      <c r="ID152">
        <v>1</v>
      </c>
      <c r="IE152">
        <v>1</v>
      </c>
      <c r="IF152">
        <v>1</v>
      </c>
      <c r="IG152">
        <v>1</v>
      </c>
      <c r="IH152">
        <v>1</v>
      </c>
      <c r="II152">
        <v>1</v>
      </c>
      <c r="IJ152">
        <v>1</v>
      </c>
      <c r="IK152">
        <v>1</v>
      </c>
      <c r="IL152">
        <v>1</v>
      </c>
      <c r="IM152">
        <v>1</v>
      </c>
      <c r="IN152">
        <v>1</v>
      </c>
      <c r="IO152">
        <v>1</v>
      </c>
      <c r="IP152">
        <v>1</v>
      </c>
      <c r="IQ152">
        <v>1</v>
      </c>
      <c r="IR152">
        <v>1</v>
      </c>
      <c r="IS152">
        <v>1</v>
      </c>
      <c r="IT152">
        <v>1</v>
      </c>
      <c r="IU152">
        <v>1</v>
      </c>
      <c r="IV152">
        <v>1</v>
      </c>
      <c r="IW152">
        <v>1</v>
      </c>
      <c r="IX152">
        <v>1</v>
      </c>
      <c r="IY152">
        <v>1</v>
      </c>
      <c r="IZ152">
        <v>1</v>
      </c>
      <c r="JA152">
        <v>1</v>
      </c>
      <c r="JB152">
        <v>1</v>
      </c>
      <c r="JC152">
        <v>1</v>
      </c>
      <c r="JD152">
        <v>1</v>
      </c>
      <c r="JE152">
        <v>1</v>
      </c>
      <c r="JF152">
        <v>1</v>
      </c>
      <c r="JG152">
        <v>1</v>
      </c>
      <c r="JH152">
        <v>1</v>
      </c>
      <c r="JI152">
        <v>1</v>
      </c>
      <c r="JJ152">
        <v>1</v>
      </c>
      <c r="JK152">
        <v>1</v>
      </c>
      <c r="JL152">
        <v>1</v>
      </c>
      <c r="JM152">
        <v>1</v>
      </c>
      <c r="JN152">
        <v>1</v>
      </c>
      <c r="JO152">
        <v>1</v>
      </c>
      <c r="JP152">
        <v>1</v>
      </c>
      <c r="JQ152">
        <v>1</v>
      </c>
      <c r="JR152">
        <v>1</v>
      </c>
      <c r="JS152">
        <v>1</v>
      </c>
      <c r="JT152">
        <v>1</v>
      </c>
      <c r="JU152">
        <v>1</v>
      </c>
      <c r="JV152">
        <v>1</v>
      </c>
      <c r="JW152">
        <v>1</v>
      </c>
      <c r="JX152">
        <v>1</v>
      </c>
      <c r="JY152">
        <v>1</v>
      </c>
      <c r="JZ152">
        <v>1</v>
      </c>
      <c r="KA152">
        <v>1</v>
      </c>
      <c r="KB152">
        <v>1</v>
      </c>
      <c r="KC152">
        <v>1</v>
      </c>
      <c r="KD152">
        <v>1</v>
      </c>
      <c r="KE152">
        <v>1</v>
      </c>
      <c r="KF152">
        <v>1</v>
      </c>
      <c r="KG152">
        <v>1</v>
      </c>
      <c r="KH152">
        <v>1</v>
      </c>
      <c r="KI152">
        <v>1</v>
      </c>
      <c r="KJ152">
        <v>1</v>
      </c>
      <c r="KK152">
        <v>1</v>
      </c>
      <c r="KL152">
        <v>1</v>
      </c>
      <c r="KM152">
        <v>1</v>
      </c>
      <c r="KN152">
        <v>1</v>
      </c>
      <c r="KO152">
        <v>1</v>
      </c>
      <c r="KP152">
        <v>1</v>
      </c>
      <c r="KQ152">
        <v>1</v>
      </c>
      <c r="KR152">
        <v>1</v>
      </c>
      <c r="KS152">
        <v>1</v>
      </c>
      <c r="KT152">
        <v>1</v>
      </c>
      <c r="KU152">
        <v>1</v>
      </c>
      <c r="KV152">
        <v>1</v>
      </c>
      <c r="KW152">
        <v>1</v>
      </c>
      <c r="KX152">
        <v>1</v>
      </c>
      <c r="KY152">
        <v>1</v>
      </c>
      <c r="KZ152">
        <v>1</v>
      </c>
      <c r="LA152">
        <v>1</v>
      </c>
      <c r="LB152">
        <v>1</v>
      </c>
      <c r="LC152">
        <v>1</v>
      </c>
      <c r="LD152">
        <v>1</v>
      </c>
      <c r="LE152">
        <v>1</v>
      </c>
      <c r="LF152">
        <v>1</v>
      </c>
      <c r="LG152">
        <v>1</v>
      </c>
      <c r="LH152">
        <v>1</v>
      </c>
      <c r="LI152">
        <v>1</v>
      </c>
      <c r="LJ152">
        <v>1</v>
      </c>
      <c r="LK152">
        <v>1</v>
      </c>
      <c r="LL152">
        <v>1</v>
      </c>
      <c r="LM152">
        <v>1</v>
      </c>
      <c r="LN152">
        <v>1</v>
      </c>
      <c r="LO152">
        <v>1</v>
      </c>
      <c r="LP152">
        <v>1</v>
      </c>
      <c r="LQ152">
        <v>1</v>
      </c>
      <c r="LR152">
        <v>1</v>
      </c>
      <c r="LS152">
        <v>1</v>
      </c>
      <c r="LT152">
        <v>1</v>
      </c>
      <c r="LU152">
        <v>1</v>
      </c>
      <c r="LV152">
        <v>1</v>
      </c>
      <c r="LW152">
        <v>1</v>
      </c>
      <c r="LX152">
        <v>1</v>
      </c>
      <c r="LY152">
        <v>1</v>
      </c>
      <c r="LZ152">
        <v>1</v>
      </c>
      <c r="MA152">
        <v>1</v>
      </c>
      <c r="MB152">
        <v>1</v>
      </c>
      <c r="MC152">
        <v>1</v>
      </c>
      <c r="MD152">
        <v>1</v>
      </c>
      <c r="ME152">
        <v>1</v>
      </c>
      <c r="MF152">
        <v>1</v>
      </c>
      <c r="MG152">
        <v>1</v>
      </c>
      <c r="MH152">
        <v>1</v>
      </c>
      <c r="MI152">
        <v>1</v>
      </c>
      <c r="MJ152">
        <v>1</v>
      </c>
      <c r="MK152">
        <v>1</v>
      </c>
      <c r="ML152">
        <v>1</v>
      </c>
      <c r="MM152">
        <v>1</v>
      </c>
      <c r="MN152">
        <v>1</v>
      </c>
      <c r="MO152">
        <v>1</v>
      </c>
      <c r="MP152">
        <v>1</v>
      </c>
      <c r="MQ152">
        <v>1</v>
      </c>
      <c r="MR152">
        <v>1</v>
      </c>
      <c r="MS152">
        <v>1</v>
      </c>
      <c r="MT152">
        <v>1</v>
      </c>
      <c r="MU152">
        <v>1</v>
      </c>
      <c r="MV152">
        <v>1</v>
      </c>
      <c r="MW152">
        <v>1</v>
      </c>
      <c r="MX152">
        <v>1</v>
      </c>
      <c r="MY152">
        <v>1</v>
      </c>
      <c r="MZ152">
        <v>1</v>
      </c>
      <c r="NA152">
        <v>1</v>
      </c>
      <c r="NB152">
        <v>1</v>
      </c>
      <c r="NC152">
        <v>1</v>
      </c>
      <c r="ND152">
        <v>1</v>
      </c>
      <c r="NE152">
        <v>1</v>
      </c>
      <c r="NF152">
        <v>1</v>
      </c>
      <c r="NG152">
        <v>1</v>
      </c>
      <c r="NH152">
        <v>1</v>
      </c>
      <c r="NI152">
        <v>1</v>
      </c>
      <c r="NJ152">
        <v>1</v>
      </c>
      <c r="NK152">
        <v>1</v>
      </c>
      <c r="NL152">
        <v>1</v>
      </c>
      <c r="NM152">
        <v>1</v>
      </c>
      <c r="NN152">
        <v>1</v>
      </c>
      <c r="NO152">
        <v>1</v>
      </c>
      <c r="NP152">
        <v>1</v>
      </c>
      <c r="NQ152">
        <v>1</v>
      </c>
      <c r="NR152">
        <v>1</v>
      </c>
      <c r="NS152">
        <v>1</v>
      </c>
      <c r="NT152">
        <v>1</v>
      </c>
      <c r="NU152">
        <v>1</v>
      </c>
      <c r="NV152">
        <v>1</v>
      </c>
      <c r="NW152">
        <v>1</v>
      </c>
      <c r="NX152">
        <v>1</v>
      </c>
      <c r="NY152">
        <v>1</v>
      </c>
      <c r="NZ152">
        <v>1</v>
      </c>
      <c r="OA152">
        <v>1</v>
      </c>
      <c r="OB152">
        <v>1</v>
      </c>
      <c r="OC152">
        <v>1</v>
      </c>
      <c r="OD152">
        <v>1</v>
      </c>
      <c r="OE152">
        <v>1</v>
      </c>
      <c r="OF152">
        <v>1</v>
      </c>
      <c r="OG152">
        <v>1</v>
      </c>
      <c r="OH152">
        <v>1</v>
      </c>
      <c r="OI152">
        <v>1</v>
      </c>
      <c r="OJ152">
        <v>1</v>
      </c>
      <c r="OK152">
        <v>1</v>
      </c>
      <c r="OL152">
        <v>1</v>
      </c>
      <c r="OM152">
        <v>1</v>
      </c>
      <c r="ON152">
        <v>1</v>
      </c>
      <c r="OO152">
        <v>1</v>
      </c>
      <c r="OP152">
        <v>1</v>
      </c>
      <c r="OQ152">
        <v>1</v>
      </c>
      <c r="OR152">
        <v>1</v>
      </c>
      <c r="OS152">
        <v>1</v>
      </c>
      <c r="OT152">
        <v>1</v>
      </c>
      <c r="OU152">
        <v>1</v>
      </c>
      <c r="OV152">
        <v>1</v>
      </c>
      <c r="OW152">
        <v>1</v>
      </c>
      <c r="OX152">
        <v>1</v>
      </c>
      <c r="OY152">
        <v>1</v>
      </c>
      <c r="OZ152">
        <v>1</v>
      </c>
      <c r="PA152">
        <v>1</v>
      </c>
      <c r="PB152">
        <v>1</v>
      </c>
      <c r="PC152">
        <v>1</v>
      </c>
      <c r="PD152">
        <v>1</v>
      </c>
      <c r="PE152">
        <v>1</v>
      </c>
      <c r="PF152">
        <v>1</v>
      </c>
      <c r="PG152">
        <v>1</v>
      </c>
      <c r="PH152">
        <v>1</v>
      </c>
      <c r="PI152">
        <v>1</v>
      </c>
      <c r="PJ152">
        <v>1</v>
      </c>
      <c r="PK152">
        <v>1</v>
      </c>
      <c r="PL152">
        <v>1</v>
      </c>
      <c r="PM152">
        <v>1</v>
      </c>
      <c r="PN152">
        <v>1</v>
      </c>
      <c r="PO152">
        <v>1</v>
      </c>
      <c r="PP152">
        <v>1</v>
      </c>
      <c r="PQ152">
        <v>1</v>
      </c>
      <c r="PR152">
        <v>1</v>
      </c>
      <c r="PS152">
        <v>1</v>
      </c>
      <c r="PT152">
        <v>1</v>
      </c>
      <c r="PU152">
        <v>1</v>
      </c>
      <c r="PV152">
        <v>1</v>
      </c>
      <c r="PW152">
        <v>1</v>
      </c>
      <c r="PX152">
        <v>1</v>
      </c>
      <c r="PY152">
        <v>1</v>
      </c>
      <c r="PZ152">
        <v>1</v>
      </c>
      <c r="QA152">
        <v>1</v>
      </c>
      <c r="QB152">
        <v>1</v>
      </c>
      <c r="QC152">
        <v>1</v>
      </c>
      <c r="QD152">
        <v>1</v>
      </c>
      <c r="QE152">
        <v>1</v>
      </c>
      <c r="QF152">
        <v>1</v>
      </c>
      <c r="QG152">
        <v>1</v>
      </c>
      <c r="QH152">
        <v>1</v>
      </c>
      <c r="QI152">
        <v>1</v>
      </c>
      <c r="QJ152">
        <v>1</v>
      </c>
      <c r="QK152">
        <v>1</v>
      </c>
      <c r="QL152">
        <v>1</v>
      </c>
      <c r="QM152">
        <v>1</v>
      </c>
      <c r="QN152">
        <v>1</v>
      </c>
      <c r="QO152">
        <v>1</v>
      </c>
      <c r="QP152">
        <v>1</v>
      </c>
      <c r="QQ152">
        <v>1</v>
      </c>
      <c r="QR152">
        <v>1</v>
      </c>
      <c r="QS152">
        <v>1</v>
      </c>
      <c r="QT152">
        <v>1</v>
      </c>
      <c r="QU152">
        <v>1</v>
      </c>
      <c r="QV152">
        <v>1</v>
      </c>
      <c r="QW152">
        <v>1</v>
      </c>
      <c r="QX152">
        <v>1</v>
      </c>
      <c r="QY152">
        <v>1</v>
      </c>
      <c r="QZ152">
        <v>1</v>
      </c>
      <c r="RA152">
        <v>1</v>
      </c>
      <c r="RB152">
        <v>1</v>
      </c>
      <c r="RC152">
        <v>1</v>
      </c>
      <c r="RD152">
        <v>1</v>
      </c>
      <c r="RE152">
        <v>1</v>
      </c>
      <c r="RF152">
        <v>1</v>
      </c>
      <c r="RG152">
        <v>1</v>
      </c>
      <c r="RH152">
        <v>1</v>
      </c>
      <c r="RI152">
        <v>1</v>
      </c>
      <c r="RJ152">
        <v>1</v>
      </c>
      <c r="RK152">
        <v>1</v>
      </c>
      <c r="RL152">
        <v>1</v>
      </c>
      <c r="RM152">
        <v>1</v>
      </c>
      <c r="RN152">
        <v>1</v>
      </c>
      <c r="RO152">
        <v>1</v>
      </c>
      <c r="RP152">
        <v>1</v>
      </c>
      <c r="RQ152">
        <v>0</v>
      </c>
      <c r="RR152">
        <v>0</v>
      </c>
      <c r="RS152">
        <v>0</v>
      </c>
      <c r="RT152">
        <v>0</v>
      </c>
      <c r="RU152">
        <v>0</v>
      </c>
      <c r="RV152">
        <v>0</v>
      </c>
      <c r="RW152">
        <v>0</v>
      </c>
      <c r="RX152">
        <v>0</v>
      </c>
      <c r="RY152">
        <v>0</v>
      </c>
      <c r="RZ152">
        <v>0</v>
      </c>
      <c r="SA152">
        <v>0</v>
      </c>
      <c r="SB152">
        <v>0</v>
      </c>
      <c r="SC152">
        <v>0</v>
      </c>
      <c r="SD152">
        <v>0</v>
      </c>
      <c r="SE152">
        <v>0</v>
      </c>
      <c r="SF152">
        <v>0</v>
      </c>
      <c r="SG152">
        <v>0</v>
      </c>
      <c r="SH152">
        <v>0</v>
      </c>
      <c r="SI152">
        <v>0</v>
      </c>
      <c r="SJ152">
        <v>0</v>
      </c>
      <c r="SK152">
        <v>0</v>
      </c>
      <c r="SL152">
        <v>0</v>
      </c>
      <c r="SM152">
        <v>0</v>
      </c>
      <c r="SN152">
        <v>0</v>
      </c>
      <c r="SO152">
        <v>0</v>
      </c>
      <c r="SP152">
        <v>0</v>
      </c>
      <c r="SQ152">
        <v>0</v>
      </c>
      <c r="SR152">
        <v>0</v>
      </c>
      <c r="SS152">
        <v>0</v>
      </c>
      <c r="ST152">
        <v>0</v>
      </c>
      <c r="SU152">
        <v>0</v>
      </c>
      <c r="SV152">
        <v>0</v>
      </c>
      <c r="SW152">
        <v>0</v>
      </c>
      <c r="SX152">
        <v>0</v>
      </c>
      <c r="SY152">
        <v>0</v>
      </c>
      <c r="SZ152">
        <v>0</v>
      </c>
      <c r="TA152">
        <v>0</v>
      </c>
      <c r="TB152">
        <v>0</v>
      </c>
      <c r="TC152">
        <v>0</v>
      </c>
      <c r="TD152">
        <v>0</v>
      </c>
      <c r="TE152">
        <v>0</v>
      </c>
      <c r="TF152">
        <v>0</v>
      </c>
      <c r="TG152">
        <v>0</v>
      </c>
      <c r="TH152">
        <v>0</v>
      </c>
      <c r="TI152">
        <v>0</v>
      </c>
      <c r="TJ152">
        <v>0</v>
      </c>
      <c r="TK152">
        <v>0</v>
      </c>
      <c r="TL152">
        <v>0</v>
      </c>
      <c r="TM152">
        <v>0</v>
      </c>
      <c r="TN152">
        <v>0</v>
      </c>
      <c r="TO152">
        <v>0</v>
      </c>
      <c r="TP152">
        <v>0</v>
      </c>
      <c r="TQ152">
        <v>0</v>
      </c>
      <c r="TR152">
        <v>0</v>
      </c>
      <c r="TS152">
        <v>0</v>
      </c>
      <c r="TT152">
        <v>0</v>
      </c>
      <c r="TU152">
        <v>0</v>
      </c>
      <c r="TV152">
        <v>0</v>
      </c>
      <c r="TW152">
        <v>0</v>
      </c>
      <c r="TX152">
        <v>0</v>
      </c>
      <c r="TY152">
        <v>0</v>
      </c>
      <c r="TZ152">
        <v>0</v>
      </c>
      <c r="UA152">
        <v>0</v>
      </c>
      <c r="UB152">
        <v>0</v>
      </c>
      <c r="UC152">
        <v>0</v>
      </c>
      <c r="UD152">
        <v>0</v>
      </c>
      <c r="UE152">
        <v>0</v>
      </c>
      <c r="UF152">
        <v>0</v>
      </c>
      <c r="UG152">
        <v>0</v>
      </c>
      <c r="UH152">
        <v>0</v>
      </c>
      <c r="UI152">
        <v>0</v>
      </c>
      <c r="UJ152">
        <v>0</v>
      </c>
      <c r="UK152">
        <v>0</v>
      </c>
      <c r="UL152">
        <v>0</v>
      </c>
      <c r="UM152">
        <v>0</v>
      </c>
      <c r="UN152">
        <v>0</v>
      </c>
      <c r="UO152">
        <v>0</v>
      </c>
      <c r="UP152">
        <v>0</v>
      </c>
      <c r="UQ152">
        <v>0</v>
      </c>
      <c r="UR152">
        <v>0</v>
      </c>
      <c r="US152">
        <v>0</v>
      </c>
      <c r="UT152">
        <v>0</v>
      </c>
      <c r="UU152">
        <v>0</v>
      </c>
      <c r="UV152">
        <v>0</v>
      </c>
      <c r="UW152">
        <v>2</v>
      </c>
      <c r="UX152">
        <v>2</v>
      </c>
      <c r="UY152">
        <v>2</v>
      </c>
      <c r="UZ152">
        <v>2</v>
      </c>
      <c r="VA152">
        <v>2</v>
      </c>
      <c r="VB152">
        <v>2</v>
      </c>
      <c r="VC152">
        <v>2</v>
      </c>
      <c r="VD152">
        <v>2</v>
      </c>
      <c r="VE152">
        <v>2</v>
      </c>
      <c r="VF152">
        <v>2</v>
      </c>
      <c r="VG152">
        <v>2</v>
      </c>
      <c r="VH152">
        <v>2</v>
      </c>
      <c r="VI152">
        <v>2</v>
      </c>
      <c r="VJ152">
        <v>2</v>
      </c>
      <c r="VK152">
        <v>2</v>
      </c>
      <c r="VL152">
        <v>2</v>
      </c>
      <c r="VM152">
        <v>2</v>
      </c>
      <c r="VN152">
        <v>2</v>
      </c>
      <c r="VO152">
        <v>2</v>
      </c>
      <c r="VP152">
        <v>2</v>
      </c>
      <c r="VQ152">
        <v>2</v>
      </c>
      <c r="VR152">
        <v>2</v>
      </c>
      <c r="VS152">
        <v>2</v>
      </c>
      <c r="VT152">
        <v>2</v>
      </c>
      <c r="VU152">
        <v>2</v>
      </c>
      <c r="VV152">
        <v>2</v>
      </c>
      <c r="VW152">
        <v>2</v>
      </c>
      <c r="VX152">
        <v>2</v>
      </c>
      <c r="VY152">
        <v>2</v>
      </c>
      <c r="VZ152">
        <v>2</v>
      </c>
      <c r="WA152">
        <v>2</v>
      </c>
      <c r="WB152">
        <v>2</v>
      </c>
      <c r="WC152">
        <v>2</v>
      </c>
      <c r="WD152">
        <v>2</v>
      </c>
      <c r="WE152">
        <v>2</v>
      </c>
      <c r="WF152">
        <v>2</v>
      </c>
      <c r="WG152">
        <v>2</v>
      </c>
      <c r="WH152">
        <v>2</v>
      </c>
      <c r="WI152">
        <v>2</v>
      </c>
      <c r="WJ152">
        <v>2</v>
      </c>
      <c r="WK152">
        <v>2</v>
      </c>
      <c r="WL152">
        <v>2</v>
      </c>
      <c r="WM152">
        <v>2</v>
      </c>
      <c r="WN152">
        <v>2</v>
      </c>
      <c r="WO152">
        <v>2</v>
      </c>
      <c r="WP152">
        <v>2</v>
      </c>
      <c r="WQ152">
        <v>2</v>
      </c>
      <c r="WR152">
        <v>2</v>
      </c>
      <c r="WS152">
        <v>2</v>
      </c>
      <c r="WT152">
        <v>2</v>
      </c>
      <c r="WU152">
        <v>2</v>
      </c>
      <c r="WV152">
        <v>2</v>
      </c>
      <c r="WW152">
        <v>2</v>
      </c>
      <c r="WX152">
        <v>2</v>
      </c>
      <c r="WY152">
        <v>2</v>
      </c>
      <c r="WZ152">
        <v>2</v>
      </c>
      <c r="XA152">
        <v>0</v>
      </c>
      <c r="XB152">
        <v>0</v>
      </c>
      <c r="XC152">
        <v>0</v>
      </c>
      <c r="XD152">
        <v>0</v>
      </c>
      <c r="XE152">
        <v>0</v>
      </c>
      <c r="XF152">
        <v>0</v>
      </c>
      <c r="XG152">
        <v>0</v>
      </c>
      <c r="XH152">
        <v>0</v>
      </c>
      <c r="XI152">
        <v>0</v>
      </c>
      <c r="XJ152">
        <v>0</v>
      </c>
      <c r="XK152">
        <v>0</v>
      </c>
      <c r="XL152">
        <v>0</v>
      </c>
      <c r="XM152">
        <v>0</v>
      </c>
      <c r="XN152">
        <v>0</v>
      </c>
      <c r="XO152">
        <v>0</v>
      </c>
      <c r="XP152">
        <v>0</v>
      </c>
      <c r="XQ152">
        <v>0</v>
      </c>
      <c r="XR152">
        <v>0</v>
      </c>
      <c r="XS152">
        <v>0</v>
      </c>
      <c r="XT152">
        <v>0</v>
      </c>
      <c r="XU152">
        <v>0</v>
      </c>
      <c r="XV152">
        <v>0</v>
      </c>
      <c r="XW152">
        <v>0</v>
      </c>
      <c r="XX152">
        <v>0</v>
      </c>
      <c r="XY152">
        <v>0</v>
      </c>
      <c r="XZ152">
        <v>0</v>
      </c>
      <c r="YA152">
        <v>0</v>
      </c>
      <c r="YB152">
        <v>0</v>
      </c>
      <c r="YC152">
        <v>0</v>
      </c>
      <c r="YD152">
        <v>0</v>
      </c>
      <c r="YE152">
        <v>0</v>
      </c>
      <c r="YF152">
        <v>0</v>
      </c>
      <c r="YG152">
        <v>0</v>
      </c>
      <c r="YH152">
        <v>0</v>
      </c>
      <c r="YI152">
        <v>0</v>
      </c>
      <c r="YJ152">
        <v>0</v>
      </c>
      <c r="YK152">
        <v>0</v>
      </c>
      <c r="YL152">
        <v>0</v>
      </c>
      <c r="YM152">
        <v>0</v>
      </c>
      <c r="YN152">
        <v>0</v>
      </c>
      <c r="YO152">
        <v>0</v>
      </c>
      <c r="YP152">
        <v>0</v>
      </c>
      <c r="YQ152">
        <v>0</v>
      </c>
      <c r="YR152">
        <v>0</v>
      </c>
      <c r="YS152">
        <v>0</v>
      </c>
      <c r="YT152">
        <v>0</v>
      </c>
      <c r="YU152">
        <v>0</v>
      </c>
      <c r="YV152">
        <v>0</v>
      </c>
      <c r="YW152">
        <v>0</v>
      </c>
      <c r="YX152">
        <v>0</v>
      </c>
      <c r="YY152">
        <v>0</v>
      </c>
      <c r="YZ152">
        <v>0</v>
      </c>
      <c r="ZA152">
        <v>0</v>
      </c>
      <c r="ZB152">
        <v>0</v>
      </c>
      <c r="ZC152">
        <v>0</v>
      </c>
      <c r="ZD152">
        <v>0</v>
      </c>
      <c r="ZE152">
        <v>0</v>
      </c>
      <c r="ZF152">
        <v>0</v>
      </c>
      <c r="ZG152">
        <v>0</v>
      </c>
      <c r="ZH152">
        <v>0</v>
      </c>
      <c r="ZI152">
        <v>0</v>
      </c>
      <c r="ZJ152">
        <v>0</v>
      </c>
      <c r="ZK152">
        <v>0</v>
      </c>
      <c r="ZL152">
        <v>0</v>
      </c>
      <c r="ZM152">
        <v>0</v>
      </c>
      <c r="ZN152">
        <v>0</v>
      </c>
      <c r="ZO152">
        <v>0</v>
      </c>
      <c r="ZP152">
        <v>0</v>
      </c>
      <c r="ZQ152">
        <v>0</v>
      </c>
      <c r="ZR152">
        <v>0</v>
      </c>
      <c r="ZS152">
        <v>0</v>
      </c>
      <c r="ZT152">
        <v>0</v>
      </c>
      <c r="ZU152">
        <v>0</v>
      </c>
      <c r="ZV152">
        <v>0</v>
      </c>
      <c r="ZW152">
        <v>0</v>
      </c>
      <c r="ZX152">
        <v>0</v>
      </c>
      <c r="ZY152">
        <v>0</v>
      </c>
      <c r="ZZ152">
        <v>0</v>
      </c>
      <c r="AAA152">
        <v>0</v>
      </c>
      <c r="AAB152">
        <v>0</v>
      </c>
      <c r="AAC152">
        <v>0</v>
      </c>
      <c r="AAD152">
        <v>0</v>
      </c>
      <c r="AAE152">
        <v>0</v>
      </c>
      <c r="AAF152">
        <v>0</v>
      </c>
      <c r="AAG152">
        <v>0</v>
      </c>
      <c r="AAH152">
        <v>0</v>
      </c>
      <c r="AAI152">
        <v>0</v>
      </c>
      <c r="AAJ152">
        <v>0</v>
      </c>
      <c r="AAK152">
        <v>0</v>
      </c>
      <c r="AAL152">
        <v>0</v>
      </c>
      <c r="AAM152">
        <v>0</v>
      </c>
      <c r="AAN152">
        <v>0</v>
      </c>
      <c r="AAO152">
        <v>0</v>
      </c>
      <c r="AAP152">
        <v>0</v>
      </c>
      <c r="AAQ152">
        <v>0</v>
      </c>
      <c r="AAR152">
        <v>0</v>
      </c>
      <c r="AAS152">
        <v>0</v>
      </c>
      <c r="AAT152">
        <v>0</v>
      </c>
      <c r="AAU152">
        <v>0</v>
      </c>
      <c r="AAV152">
        <v>0</v>
      </c>
      <c r="AAW152">
        <v>0</v>
      </c>
      <c r="AAX152">
        <v>0</v>
      </c>
      <c r="AAY152">
        <v>0</v>
      </c>
      <c r="AAZ152">
        <v>0</v>
      </c>
      <c r="ABA152">
        <v>0</v>
      </c>
      <c r="ABB152">
        <v>0</v>
      </c>
      <c r="ABC152">
        <v>0</v>
      </c>
      <c r="ABD152">
        <v>0</v>
      </c>
      <c r="ABE152">
        <v>0</v>
      </c>
      <c r="ABG152" s="1137">
        <f t="shared" si="41"/>
        <v>0</v>
      </c>
      <c r="ABH152" s="1137">
        <f t="shared" si="41"/>
        <v>0</v>
      </c>
      <c r="ABI152" s="1137">
        <f t="shared" si="41"/>
        <v>12</v>
      </c>
      <c r="ABJ152" s="1137">
        <f t="shared" si="41"/>
        <v>30</v>
      </c>
      <c r="ABK152" s="1137">
        <f t="shared" si="41"/>
        <v>31</v>
      </c>
      <c r="ABL152" s="1137">
        <f t="shared" si="41"/>
        <v>30</v>
      </c>
      <c r="ABM152" s="1137">
        <f t="shared" si="41"/>
        <v>31</v>
      </c>
      <c r="ABN152" s="1137">
        <f t="shared" si="41"/>
        <v>31</v>
      </c>
      <c r="ABO152" s="1137">
        <f t="shared" si="41"/>
        <v>30</v>
      </c>
      <c r="ABP152" s="1137">
        <f t="shared" si="41"/>
        <v>31</v>
      </c>
      <c r="ABQ152" s="1137">
        <f t="shared" si="41"/>
        <v>30</v>
      </c>
      <c r="ABR152" s="1137">
        <f t="shared" si="41"/>
        <v>31</v>
      </c>
      <c r="ABS152" s="1137">
        <f t="shared" si="41"/>
        <v>31</v>
      </c>
      <c r="ABT152" s="1137">
        <f t="shared" si="41"/>
        <v>28</v>
      </c>
      <c r="ABU152" s="1137">
        <f t="shared" si="41"/>
        <v>31</v>
      </c>
      <c r="ABV152" s="1137">
        <f t="shared" si="41"/>
        <v>26</v>
      </c>
      <c r="ABW152" s="1137">
        <f t="shared" si="31"/>
        <v>0</v>
      </c>
      <c r="ABX152" s="1137">
        <f t="shared" si="34"/>
        <v>0</v>
      </c>
      <c r="ABY152" s="1137">
        <f t="shared" si="34"/>
        <v>12</v>
      </c>
      <c r="ABZ152" s="1137">
        <f t="shared" si="34"/>
        <v>31</v>
      </c>
      <c r="ACA152" s="1137">
        <f t="shared" si="34"/>
        <v>13</v>
      </c>
      <c r="ACB152" s="1137">
        <f t="shared" si="34"/>
        <v>0</v>
      </c>
      <c r="ACC152" s="1137">
        <f t="shared" si="34"/>
        <v>0</v>
      </c>
      <c r="ACD152" s="1137">
        <f t="shared" si="34"/>
        <v>0</v>
      </c>
      <c r="ACE152" s="1137" t="s">
        <v>62</v>
      </c>
      <c r="ACF152" s="1137">
        <f t="shared" si="39"/>
        <v>0</v>
      </c>
      <c r="ACG152" s="1137">
        <f t="shared" si="39"/>
        <v>0</v>
      </c>
      <c r="ACH152" s="1137">
        <f t="shared" si="38"/>
        <v>1</v>
      </c>
      <c r="ACI152" s="1137">
        <f t="shared" si="38"/>
        <v>1</v>
      </c>
      <c r="ACJ152" s="1137">
        <f t="shared" si="38"/>
        <v>1</v>
      </c>
      <c r="ACK152" s="1137">
        <f t="shared" si="38"/>
        <v>1</v>
      </c>
      <c r="ACL152" s="1137">
        <f t="shared" si="38"/>
        <v>1</v>
      </c>
      <c r="ACM152" s="1137">
        <f t="shared" si="38"/>
        <v>1</v>
      </c>
      <c r="ACN152" s="1137">
        <f t="shared" si="38"/>
        <v>1</v>
      </c>
      <c r="ACO152" s="1137">
        <f t="shared" si="38"/>
        <v>1</v>
      </c>
      <c r="ACP152" s="1137">
        <f t="shared" si="38"/>
        <v>1</v>
      </c>
      <c r="ACQ152" s="1137">
        <f t="shared" si="38"/>
        <v>1</v>
      </c>
      <c r="ACR152" s="1137">
        <f t="shared" si="38"/>
        <v>1</v>
      </c>
      <c r="ACS152" s="1137">
        <f t="shared" si="38"/>
        <v>1</v>
      </c>
      <c r="ACT152" s="1137">
        <f t="shared" si="38"/>
        <v>1</v>
      </c>
      <c r="ACU152" s="1137">
        <f t="shared" si="38"/>
        <v>1</v>
      </c>
      <c r="ACV152" s="1137">
        <f t="shared" si="38"/>
        <v>0</v>
      </c>
      <c r="ACW152" s="1137">
        <f t="shared" si="38"/>
        <v>0</v>
      </c>
      <c r="ACX152" s="1137">
        <f t="shared" si="42"/>
        <v>1</v>
      </c>
      <c r="ACY152" s="1137">
        <f t="shared" si="42"/>
        <v>1</v>
      </c>
      <c r="ACZ152" s="1137">
        <f t="shared" si="42"/>
        <v>1</v>
      </c>
      <c r="ADA152" s="1137">
        <f t="shared" si="35"/>
        <v>0</v>
      </c>
      <c r="ADB152" s="1137">
        <f t="shared" si="35"/>
        <v>0</v>
      </c>
      <c r="ADC152" s="1137">
        <f t="shared" si="35"/>
        <v>0</v>
      </c>
    </row>
    <row r="153" spans="1:783" x14ac:dyDescent="0.25">
      <c r="A153" t="s">
        <v>1953</v>
      </c>
      <c r="B153" t="s">
        <v>61</v>
      </c>
      <c r="C153">
        <v>0</v>
      </c>
      <c r="D153">
        <v>0</v>
      </c>
      <c r="E153">
        <v>0</v>
      </c>
      <c r="F153">
        <v>0</v>
      </c>
      <c r="G153">
        <v>0</v>
      </c>
      <c r="H153">
        <v>0</v>
      </c>
      <c r="I153">
        <v>0</v>
      </c>
      <c r="J153">
        <v>0</v>
      </c>
      <c r="K153">
        <v>0</v>
      </c>
      <c r="L153">
        <v>0</v>
      </c>
      <c r="M153">
        <v>0</v>
      </c>
      <c r="N153">
        <v>0</v>
      </c>
      <c r="O153">
        <v>0</v>
      </c>
      <c r="P153">
        <v>0</v>
      </c>
      <c r="Q153">
        <v>0</v>
      </c>
      <c r="R153">
        <v>0</v>
      </c>
      <c r="S153">
        <v>0</v>
      </c>
      <c r="T153">
        <v>0</v>
      </c>
      <c r="U153">
        <v>0</v>
      </c>
      <c r="V153">
        <v>0</v>
      </c>
      <c r="W153">
        <v>0</v>
      </c>
      <c r="X153">
        <v>0</v>
      </c>
      <c r="Y153">
        <v>0</v>
      </c>
      <c r="Z153">
        <v>0</v>
      </c>
      <c r="AA153">
        <v>0</v>
      </c>
      <c r="AB153">
        <v>0</v>
      </c>
      <c r="AC153">
        <v>0</v>
      </c>
      <c r="AD153">
        <v>0</v>
      </c>
      <c r="AE153">
        <v>0</v>
      </c>
      <c r="AF153">
        <v>0</v>
      </c>
      <c r="AG153">
        <v>0</v>
      </c>
      <c r="AH153">
        <v>0</v>
      </c>
      <c r="AI153">
        <v>0</v>
      </c>
      <c r="AJ153">
        <v>0</v>
      </c>
      <c r="AK153">
        <v>0</v>
      </c>
      <c r="AL153">
        <v>0</v>
      </c>
      <c r="AM153">
        <v>0</v>
      </c>
      <c r="AN153">
        <v>0</v>
      </c>
      <c r="AO153">
        <v>0</v>
      </c>
      <c r="AP153">
        <v>0</v>
      </c>
      <c r="AQ153">
        <v>0</v>
      </c>
      <c r="AR153">
        <v>0</v>
      </c>
      <c r="AS153">
        <v>0</v>
      </c>
      <c r="AT153">
        <v>0</v>
      </c>
      <c r="AU153">
        <v>0</v>
      </c>
      <c r="AV153">
        <v>0</v>
      </c>
      <c r="AW153">
        <v>0</v>
      </c>
      <c r="AX153">
        <v>0</v>
      </c>
      <c r="AY153">
        <v>0</v>
      </c>
      <c r="AZ153">
        <v>0</v>
      </c>
      <c r="BA153">
        <v>0</v>
      </c>
      <c r="BB153">
        <v>0</v>
      </c>
      <c r="BC153">
        <v>0</v>
      </c>
      <c r="BD153">
        <v>0</v>
      </c>
      <c r="BE153">
        <v>0</v>
      </c>
      <c r="BF153">
        <v>0</v>
      </c>
      <c r="BG153">
        <v>0</v>
      </c>
      <c r="BH153">
        <v>0</v>
      </c>
      <c r="BI153">
        <v>0</v>
      </c>
      <c r="BJ153">
        <v>0</v>
      </c>
      <c r="BK153">
        <v>0</v>
      </c>
      <c r="BL153">
        <v>0</v>
      </c>
      <c r="BM153">
        <v>0</v>
      </c>
      <c r="BN153">
        <v>0</v>
      </c>
      <c r="BO153">
        <v>0</v>
      </c>
      <c r="BP153">
        <v>0</v>
      </c>
      <c r="BQ153">
        <v>0</v>
      </c>
      <c r="BR153">
        <v>0</v>
      </c>
      <c r="BS153">
        <v>0</v>
      </c>
      <c r="BT153">
        <v>0</v>
      </c>
      <c r="BU153">
        <v>0</v>
      </c>
      <c r="BV153">
        <v>0</v>
      </c>
      <c r="BW153">
        <v>0</v>
      </c>
      <c r="BX153">
        <v>0</v>
      </c>
      <c r="BY153">
        <v>0</v>
      </c>
      <c r="BZ153">
        <v>0</v>
      </c>
      <c r="CA153">
        <v>0</v>
      </c>
      <c r="CB153">
        <v>0</v>
      </c>
      <c r="CC153">
        <v>0</v>
      </c>
      <c r="CD153">
        <v>0</v>
      </c>
      <c r="CE153">
        <v>0</v>
      </c>
      <c r="CF153">
        <v>0</v>
      </c>
      <c r="CG153">
        <v>0</v>
      </c>
      <c r="CH153">
        <v>0</v>
      </c>
      <c r="CI153">
        <v>0</v>
      </c>
      <c r="CJ153">
        <v>0</v>
      </c>
      <c r="CK153">
        <v>0</v>
      </c>
      <c r="CL153">
        <v>0</v>
      </c>
      <c r="CM153">
        <v>0</v>
      </c>
      <c r="CN153">
        <v>0</v>
      </c>
      <c r="CO153">
        <v>0</v>
      </c>
      <c r="CP153">
        <v>0</v>
      </c>
      <c r="CQ153">
        <v>0</v>
      </c>
      <c r="CR153">
        <v>0</v>
      </c>
      <c r="CS153">
        <v>0</v>
      </c>
      <c r="CT153">
        <v>2</v>
      </c>
      <c r="CU153">
        <v>2</v>
      </c>
      <c r="CV153">
        <v>2</v>
      </c>
      <c r="CW153">
        <v>2</v>
      </c>
      <c r="CX153">
        <v>2</v>
      </c>
      <c r="CY153">
        <v>2</v>
      </c>
      <c r="CZ153">
        <v>2</v>
      </c>
      <c r="DA153">
        <v>2</v>
      </c>
      <c r="DB153">
        <v>2</v>
      </c>
      <c r="DC153">
        <v>2</v>
      </c>
      <c r="DD153">
        <v>2</v>
      </c>
      <c r="DE153">
        <v>2</v>
      </c>
      <c r="DF153">
        <v>2</v>
      </c>
      <c r="DG153">
        <v>2</v>
      </c>
      <c r="DH153">
        <v>2</v>
      </c>
      <c r="DI153">
        <v>2</v>
      </c>
      <c r="DJ153">
        <v>2</v>
      </c>
      <c r="DK153">
        <v>2</v>
      </c>
      <c r="DL153">
        <v>2</v>
      </c>
      <c r="DM153">
        <v>2</v>
      </c>
      <c r="DN153">
        <v>2</v>
      </c>
      <c r="DO153">
        <v>2</v>
      </c>
      <c r="DP153">
        <v>2</v>
      </c>
      <c r="DQ153">
        <v>2</v>
      </c>
      <c r="DR153">
        <v>2</v>
      </c>
      <c r="DS153">
        <v>2</v>
      </c>
      <c r="DT153">
        <v>2</v>
      </c>
      <c r="DU153">
        <v>2</v>
      </c>
      <c r="DV153">
        <v>2</v>
      </c>
      <c r="DW153">
        <v>2</v>
      </c>
      <c r="DX153">
        <v>2</v>
      </c>
      <c r="DY153">
        <v>2</v>
      </c>
      <c r="DZ153">
        <v>2</v>
      </c>
      <c r="EA153">
        <v>2</v>
      </c>
      <c r="EB153">
        <v>2</v>
      </c>
      <c r="EC153">
        <v>2</v>
      </c>
      <c r="ED153">
        <v>2</v>
      </c>
      <c r="EE153">
        <v>2</v>
      </c>
      <c r="EF153">
        <v>2</v>
      </c>
      <c r="EG153">
        <v>2</v>
      </c>
      <c r="EH153">
        <v>2</v>
      </c>
      <c r="EI153">
        <v>2</v>
      </c>
      <c r="EJ153">
        <v>2</v>
      </c>
      <c r="EK153">
        <v>2</v>
      </c>
      <c r="EL153">
        <v>2</v>
      </c>
      <c r="EM153">
        <v>2</v>
      </c>
      <c r="EN153">
        <v>2</v>
      </c>
      <c r="EO153">
        <v>2</v>
      </c>
      <c r="EP153">
        <v>2</v>
      </c>
      <c r="EQ153">
        <v>2</v>
      </c>
      <c r="ER153">
        <v>2</v>
      </c>
      <c r="ES153">
        <v>2</v>
      </c>
      <c r="ET153">
        <v>2</v>
      </c>
      <c r="EU153">
        <v>2</v>
      </c>
      <c r="EV153">
        <v>2</v>
      </c>
      <c r="EW153">
        <v>2</v>
      </c>
      <c r="EX153">
        <v>2</v>
      </c>
      <c r="EY153">
        <v>2</v>
      </c>
      <c r="EZ153">
        <v>2</v>
      </c>
      <c r="FA153">
        <v>2</v>
      </c>
      <c r="FB153">
        <v>2</v>
      </c>
      <c r="FC153">
        <v>2</v>
      </c>
      <c r="FD153">
        <v>2</v>
      </c>
      <c r="FE153">
        <v>2</v>
      </c>
      <c r="FF153">
        <v>0</v>
      </c>
      <c r="FG153">
        <v>0</v>
      </c>
      <c r="FH153">
        <v>0</v>
      </c>
      <c r="FI153">
        <v>0</v>
      </c>
      <c r="FJ153">
        <v>0</v>
      </c>
      <c r="FK153">
        <v>0</v>
      </c>
      <c r="FL153">
        <v>0</v>
      </c>
      <c r="FM153">
        <v>0</v>
      </c>
      <c r="FN153">
        <v>0</v>
      </c>
      <c r="FO153">
        <v>0</v>
      </c>
      <c r="FP153">
        <v>0</v>
      </c>
      <c r="FQ153">
        <v>0</v>
      </c>
      <c r="FR153">
        <v>0</v>
      </c>
      <c r="FS153">
        <v>0</v>
      </c>
      <c r="FT153">
        <v>0</v>
      </c>
      <c r="FU153">
        <v>0</v>
      </c>
      <c r="FV153">
        <v>0</v>
      </c>
      <c r="FW153">
        <v>0</v>
      </c>
      <c r="FX153">
        <v>0</v>
      </c>
      <c r="FY153">
        <v>0</v>
      </c>
      <c r="FZ153">
        <v>0</v>
      </c>
      <c r="GA153">
        <v>0</v>
      </c>
      <c r="GB153">
        <v>0</v>
      </c>
      <c r="GC153">
        <v>0</v>
      </c>
      <c r="GD153">
        <v>0</v>
      </c>
      <c r="GE153">
        <v>0</v>
      </c>
      <c r="GF153">
        <v>0</v>
      </c>
      <c r="GG153">
        <v>0</v>
      </c>
      <c r="GH153">
        <v>0</v>
      </c>
      <c r="GI153">
        <v>0</v>
      </c>
      <c r="GJ153">
        <v>0</v>
      </c>
      <c r="GK153">
        <v>0</v>
      </c>
      <c r="GL153">
        <v>0</v>
      </c>
      <c r="GM153">
        <v>0</v>
      </c>
      <c r="GN153">
        <v>0</v>
      </c>
      <c r="GO153">
        <v>0</v>
      </c>
      <c r="GP153">
        <v>0</v>
      </c>
      <c r="GQ153">
        <v>0</v>
      </c>
      <c r="GR153">
        <v>0</v>
      </c>
      <c r="GS153">
        <v>0</v>
      </c>
      <c r="GT153">
        <v>0</v>
      </c>
      <c r="GU153">
        <v>0</v>
      </c>
      <c r="GV153">
        <v>0</v>
      </c>
      <c r="GW153">
        <v>0</v>
      </c>
      <c r="GX153">
        <v>0</v>
      </c>
      <c r="GY153">
        <v>0</v>
      </c>
      <c r="GZ153">
        <v>0</v>
      </c>
      <c r="HA153">
        <v>0</v>
      </c>
      <c r="HB153">
        <v>0</v>
      </c>
      <c r="HC153">
        <v>0</v>
      </c>
      <c r="HD153">
        <v>0</v>
      </c>
      <c r="HE153">
        <v>0</v>
      </c>
      <c r="HF153">
        <v>0</v>
      </c>
      <c r="HG153">
        <v>0</v>
      </c>
      <c r="HH153">
        <v>0</v>
      </c>
      <c r="HI153">
        <v>0</v>
      </c>
      <c r="HJ153">
        <v>0</v>
      </c>
      <c r="HK153">
        <v>0</v>
      </c>
      <c r="HL153">
        <v>0</v>
      </c>
      <c r="HM153">
        <v>0</v>
      </c>
      <c r="HN153">
        <v>0</v>
      </c>
      <c r="HO153">
        <v>0</v>
      </c>
      <c r="HP153">
        <v>0</v>
      </c>
      <c r="HQ153">
        <v>0</v>
      </c>
      <c r="HR153">
        <v>0</v>
      </c>
      <c r="HS153">
        <v>0</v>
      </c>
      <c r="HT153">
        <v>0</v>
      </c>
      <c r="HU153">
        <v>0</v>
      </c>
      <c r="HV153">
        <v>0</v>
      </c>
      <c r="HW153">
        <v>0</v>
      </c>
      <c r="HX153">
        <v>0</v>
      </c>
      <c r="HY153">
        <v>0</v>
      </c>
      <c r="HZ153">
        <v>0</v>
      </c>
      <c r="IA153">
        <v>0</v>
      </c>
      <c r="IB153">
        <v>0</v>
      </c>
      <c r="IC153">
        <v>0</v>
      </c>
      <c r="ID153">
        <v>0</v>
      </c>
      <c r="IE153">
        <v>0</v>
      </c>
      <c r="IF153">
        <v>0</v>
      </c>
      <c r="IG153">
        <v>0</v>
      </c>
      <c r="IH153">
        <v>0</v>
      </c>
      <c r="II153">
        <v>0</v>
      </c>
      <c r="IJ153">
        <v>0</v>
      </c>
      <c r="IK153">
        <v>0</v>
      </c>
      <c r="IL153">
        <v>0</v>
      </c>
      <c r="IM153">
        <v>0</v>
      </c>
      <c r="IN153">
        <v>0</v>
      </c>
      <c r="IO153">
        <v>0</v>
      </c>
      <c r="IP153">
        <v>0</v>
      </c>
      <c r="IQ153">
        <v>0</v>
      </c>
      <c r="IR153">
        <v>0</v>
      </c>
      <c r="IS153">
        <v>0</v>
      </c>
      <c r="IT153">
        <v>0</v>
      </c>
      <c r="IU153">
        <v>0</v>
      </c>
      <c r="IV153">
        <v>0</v>
      </c>
      <c r="IW153">
        <v>0</v>
      </c>
      <c r="IX153">
        <v>0</v>
      </c>
      <c r="IY153">
        <v>0</v>
      </c>
      <c r="IZ153">
        <v>0</v>
      </c>
      <c r="JA153">
        <v>0</v>
      </c>
      <c r="JB153">
        <v>0</v>
      </c>
      <c r="JC153">
        <v>0</v>
      </c>
      <c r="JD153">
        <v>0</v>
      </c>
      <c r="JE153">
        <v>0</v>
      </c>
      <c r="JF153">
        <v>0</v>
      </c>
      <c r="JG153">
        <v>0</v>
      </c>
      <c r="JH153">
        <v>0</v>
      </c>
      <c r="JI153">
        <v>0</v>
      </c>
      <c r="JJ153">
        <v>0</v>
      </c>
      <c r="JK153">
        <v>0</v>
      </c>
      <c r="JL153">
        <v>0</v>
      </c>
      <c r="JM153">
        <v>0</v>
      </c>
      <c r="JN153">
        <v>0</v>
      </c>
      <c r="JO153">
        <v>0</v>
      </c>
      <c r="JP153">
        <v>0</v>
      </c>
      <c r="JQ153">
        <v>0</v>
      </c>
      <c r="JR153">
        <v>0</v>
      </c>
      <c r="JS153">
        <v>0</v>
      </c>
      <c r="JT153">
        <v>0</v>
      </c>
      <c r="JU153">
        <v>0</v>
      </c>
      <c r="JV153">
        <v>0</v>
      </c>
      <c r="JW153">
        <v>0</v>
      </c>
      <c r="JX153">
        <v>0</v>
      </c>
      <c r="JY153">
        <v>0</v>
      </c>
      <c r="JZ153">
        <v>0</v>
      </c>
      <c r="KA153">
        <v>0</v>
      </c>
      <c r="KB153">
        <v>0</v>
      </c>
      <c r="KC153">
        <v>0</v>
      </c>
      <c r="KD153">
        <v>0</v>
      </c>
      <c r="KE153">
        <v>0</v>
      </c>
      <c r="KF153">
        <v>0</v>
      </c>
      <c r="KG153">
        <v>0</v>
      </c>
      <c r="KH153">
        <v>0</v>
      </c>
      <c r="KI153">
        <v>0</v>
      </c>
      <c r="KJ153">
        <v>0</v>
      </c>
      <c r="KK153">
        <v>0</v>
      </c>
      <c r="KL153">
        <v>0</v>
      </c>
      <c r="KM153">
        <v>0</v>
      </c>
      <c r="KN153">
        <v>0</v>
      </c>
      <c r="KO153">
        <v>0</v>
      </c>
      <c r="KP153">
        <v>0</v>
      </c>
      <c r="KQ153">
        <v>0</v>
      </c>
      <c r="KR153">
        <v>0</v>
      </c>
      <c r="KS153">
        <v>0</v>
      </c>
      <c r="KT153">
        <v>0</v>
      </c>
      <c r="KU153">
        <v>0</v>
      </c>
      <c r="KV153">
        <v>0</v>
      </c>
      <c r="KW153">
        <v>0</v>
      </c>
      <c r="KX153">
        <v>0</v>
      </c>
      <c r="KY153">
        <v>0</v>
      </c>
      <c r="KZ153">
        <v>0</v>
      </c>
      <c r="LA153">
        <v>0</v>
      </c>
      <c r="LB153">
        <v>0</v>
      </c>
      <c r="LC153">
        <v>0</v>
      </c>
      <c r="LD153">
        <v>0</v>
      </c>
      <c r="LE153">
        <v>0</v>
      </c>
      <c r="LF153">
        <v>0</v>
      </c>
      <c r="LG153">
        <v>0</v>
      </c>
      <c r="LH153">
        <v>0</v>
      </c>
      <c r="LI153">
        <v>0</v>
      </c>
      <c r="LJ153">
        <v>0</v>
      </c>
      <c r="LK153">
        <v>0</v>
      </c>
      <c r="LL153">
        <v>0</v>
      </c>
      <c r="LM153">
        <v>0</v>
      </c>
      <c r="LN153">
        <v>0</v>
      </c>
      <c r="LO153">
        <v>0</v>
      </c>
      <c r="LP153">
        <v>0</v>
      </c>
      <c r="LQ153">
        <v>0</v>
      </c>
      <c r="LR153">
        <v>0</v>
      </c>
      <c r="LS153">
        <v>0</v>
      </c>
      <c r="LT153">
        <v>0</v>
      </c>
      <c r="LU153">
        <v>0</v>
      </c>
      <c r="LV153">
        <v>0</v>
      </c>
      <c r="LW153">
        <v>0</v>
      </c>
      <c r="LX153">
        <v>0</v>
      </c>
      <c r="LY153">
        <v>0</v>
      </c>
      <c r="LZ153">
        <v>0</v>
      </c>
      <c r="MA153">
        <v>0</v>
      </c>
      <c r="MB153">
        <v>0</v>
      </c>
      <c r="MC153">
        <v>0</v>
      </c>
      <c r="MD153">
        <v>0</v>
      </c>
      <c r="ME153">
        <v>0</v>
      </c>
      <c r="MF153">
        <v>0</v>
      </c>
      <c r="MG153">
        <v>0</v>
      </c>
      <c r="MH153">
        <v>0</v>
      </c>
      <c r="MI153">
        <v>0</v>
      </c>
      <c r="MJ153">
        <v>0</v>
      </c>
      <c r="MK153">
        <v>0</v>
      </c>
      <c r="ML153">
        <v>0</v>
      </c>
      <c r="MM153">
        <v>0</v>
      </c>
      <c r="MN153">
        <v>0</v>
      </c>
      <c r="MO153">
        <v>0</v>
      </c>
      <c r="MP153">
        <v>0</v>
      </c>
      <c r="MQ153">
        <v>0</v>
      </c>
      <c r="MR153">
        <v>0</v>
      </c>
      <c r="MS153">
        <v>0</v>
      </c>
      <c r="MT153">
        <v>0</v>
      </c>
      <c r="MU153">
        <v>0</v>
      </c>
      <c r="MV153">
        <v>0</v>
      </c>
      <c r="MW153">
        <v>0</v>
      </c>
      <c r="MX153">
        <v>0</v>
      </c>
      <c r="MY153">
        <v>0</v>
      </c>
      <c r="MZ153">
        <v>0</v>
      </c>
      <c r="NA153">
        <v>0</v>
      </c>
      <c r="NB153">
        <v>0</v>
      </c>
      <c r="NC153">
        <v>0</v>
      </c>
      <c r="ND153">
        <v>0</v>
      </c>
      <c r="NE153">
        <v>0</v>
      </c>
      <c r="NF153">
        <v>0</v>
      </c>
      <c r="NG153">
        <v>0</v>
      </c>
      <c r="NH153">
        <v>0</v>
      </c>
      <c r="NI153">
        <v>0</v>
      </c>
      <c r="NJ153">
        <v>0</v>
      </c>
      <c r="NK153">
        <v>0</v>
      </c>
      <c r="NL153">
        <v>0</v>
      </c>
      <c r="NM153">
        <v>0</v>
      </c>
      <c r="NN153">
        <v>0</v>
      </c>
      <c r="NO153">
        <v>0</v>
      </c>
      <c r="NP153">
        <v>0</v>
      </c>
      <c r="NQ153">
        <v>0</v>
      </c>
      <c r="NR153">
        <v>0</v>
      </c>
      <c r="NS153">
        <v>0</v>
      </c>
      <c r="NT153">
        <v>0</v>
      </c>
      <c r="NU153">
        <v>0</v>
      </c>
      <c r="NV153">
        <v>0</v>
      </c>
      <c r="NW153">
        <v>0</v>
      </c>
      <c r="NX153">
        <v>0</v>
      </c>
      <c r="NY153">
        <v>0</v>
      </c>
      <c r="NZ153">
        <v>0</v>
      </c>
      <c r="OA153">
        <v>0</v>
      </c>
      <c r="OB153">
        <v>0</v>
      </c>
      <c r="OC153">
        <v>2</v>
      </c>
      <c r="OD153">
        <v>2</v>
      </c>
      <c r="OE153">
        <v>2</v>
      </c>
      <c r="OF153">
        <v>2</v>
      </c>
      <c r="OG153">
        <v>2</v>
      </c>
      <c r="OH153">
        <v>2</v>
      </c>
      <c r="OI153">
        <v>2</v>
      </c>
      <c r="OJ153">
        <v>2</v>
      </c>
      <c r="OK153">
        <v>2</v>
      </c>
      <c r="OL153">
        <v>2</v>
      </c>
      <c r="OM153">
        <v>2</v>
      </c>
      <c r="ON153">
        <v>2</v>
      </c>
      <c r="OO153">
        <v>2</v>
      </c>
      <c r="OP153">
        <v>2</v>
      </c>
      <c r="OQ153">
        <v>0</v>
      </c>
      <c r="OR153">
        <v>0</v>
      </c>
      <c r="OS153">
        <v>0</v>
      </c>
      <c r="OT153">
        <v>0</v>
      </c>
      <c r="OU153">
        <v>0</v>
      </c>
      <c r="OV153">
        <v>0</v>
      </c>
      <c r="OW153">
        <v>0</v>
      </c>
      <c r="OX153">
        <v>0</v>
      </c>
      <c r="OY153">
        <v>0</v>
      </c>
      <c r="OZ153">
        <v>0</v>
      </c>
      <c r="PA153">
        <v>0</v>
      </c>
      <c r="PB153">
        <v>0</v>
      </c>
      <c r="PC153">
        <v>0</v>
      </c>
      <c r="PD153">
        <v>0</v>
      </c>
      <c r="PE153">
        <v>0</v>
      </c>
      <c r="PF153">
        <v>0</v>
      </c>
      <c r="PG153">
        <v>0</v>
      </c>
      <c r="PH153">
        <v>0</v>
      </c>
      <c r="PI153">
        <v>0</v>
      </c>
      <c r="PJ153">
        <v>0</v>
      </c>
      <c r="PK153">
        <v>0</v>
      </c>
      <c r="PL153">
        <v>0</v>
      </c>
      <c r="PM153">
        <v>0</v>
      </c>
      <c r="PN153">
        <v>0</v>
      </c>
      <c r="PO153">
        <v>0</v>
      </c>
      <c r="PP153">
        <v>0</v>
      </c>
      <c r="PQ153">
        <v>0</v>
      </c>
      <c r="PR153">
        <v>0</v>
      </c>
      <c r="PS153">
        <v>0</v>
      </c>
      <c r="PT153">
        <v>0</v>
      </c>
      <c r="PU153">
        <v>0</v>
      </c>
      <c r="PV153">
        <v>0</v>
      </c>
      <c r="PW153">
        <v>0</v>
      </c>
      <c r="PX153">
        <v>0</v>
      </c>
      <c r="PY153">
        <v>0</v>
      </c>
      <c r="PZ153">
        <v>0</v>
      </c>
      <c r="QA153">
        <v>0</v>
      </c>
      <c r="QB153">
        <v>0</v>
      </c>
      <c r="QC153">
        <v>0</v>
      </c>
      <c r="QD153">
        <v>0</v>
      </c>
      <c r="QE153">
        <v>0</v>
      </c>
      <c r="QF153">
        <v>0</v>
      </c>
      <c r="QG153">
        <v>0</v>
      </c>
      <c r="QH153">
        <v>0</v>
      </c>
      <c r="QI153">
        <v>0</v>
      </c>
      <c r="QJ153">
        <v>0</v>
      </c>
      <c r="QK153">
        <v>0</v>
      </c>
      <c r="QL153">
        <v>0</v>
      </c>
      <c r="QM153">
        <v>0</v>
      </c>
      <c r="QN153">
        <v>0</v>
      </c>
      <c r="QO153">
        <v>0</v>
      </c>
      <c r="QP153">
        <v>0</v>
      </c>
      <c r="QQ153">
        <v>0</v>
      </c>
      <c r="QR153">
        <v>0</v>
      </c>
      <c r="QS153">
        <v>0</v>
      </c>
      <c r="QT153">
        <v>0</v>
      </c>
      <c r="QU153">
        <v>0</v>
      </c>
      <c r="QV153">
        <v>0</v>
      </c>
      <c r="QW153">
        <v>0</v>
      </c>
      <c r="QX153">
        <v>0</v>
      </c>
      <c r="QY153">
        <v>0</v>
      </c>
      <c r="QZ153">
        <v>0</v>
      </c>
      <c r="RA153">
        <v>0</v>
      </c>
      <c r="RB153">
        <v>0</v>
      </c>
      <c r="RC153">
        <v>0</v>
      </c>
      <c r="RD153">
        <v>0</v>
      </c>
      <c r="RE153">
        <v>0</v>
      </c>
      <c r="RF153">
        <v>0</v>
      </c>
      <c r="RG153">
        <v>0</v>
      </c>
      <c r="RH153">
        <v>0</v>
      </c>
      <c r="RI153">
        <v>0</v>
      </c>
      <c r="RJ153">
        <v>0</v>
      </c>
      <c r="RK153">
        <v>0</v>
      </c>
      <c r="RL153">
        <v>0</v>
      </c>
      <c r="RM153">
        <v>0</v>
      </c>
      <c r="RN153">
        <v>0</v>
      </c>
      <c r="RO153">
        <v>0</v>
      </c>
      <c r="RP153">
        <v>0</v>
      </c>
      <c r="RQ153">
        <v>0</v>
      </c>
      <c r="RR153">
        <v>0</v>
      </c>
      <c r="RS153">
        <v>0</v>
      </c>
      <c r="RT153">
        <v>0</v>
      </c>
      <c r="RU153">
        <v>0</v>
      </c>
      <c r="RV153">
        <v>0</v>
      </c>
      <c r="RW153">
        <v>0</v>
      </c>
      <c r="RX153">
        <v>0</v>
      </c>
      <c r="RY153">
        <v>0</v>
      </c>
      <c r="RZ153">
        <v>0</v>
      </c>
      <c r="SA153">
        <v>0</v>
      </c>
      <c r="SB153">
        <v>0</v>
      </c>
      <c r="SC153">
        <v>0</v>
      </c>
      <c r="SD153">
        <v>0</v>
      </c>
      <c r="SE153">
        <v>0</v>
      </c>
      <c r="SF153">
        <v>0</v>
      </c>
      <c r="SG153">
        <v>0</v>
      </c>
      <c r="SH153">
        <v>0</v>
      </c>
      <c r="SI153">
        <v>0</v>
      </c>
      <c r="SJ153">
        <v>0</v>
      </c>
      <c r="SK153">
        <v>0</v>
      </c>
      <c r="SL153">
        <v>0</v>
      </c>
      <c r="SM153">
        <v>0</v>
      </c>
      <c r="SN153">
        <v>0</v>
      </c>
      <c r="SO153">
        <v>0</v>
      </c>
      <c r="SP153">
        <v>0</v>
      </c>
      <c r="SQ153">
        <v>0</v>
      </c>
      <c r="SR153">
        <v>0</v>
      </c>
      <c r="SS153">
        <v>0</v>
      </c>
      <c r="ST153">
        <v>0</v>
      </c>
      <c r="SU153">
        <v>0</v>
      </c>
      <c r="SV153">
        <v>0</v>
      </c>
      <c r="SW153">
        <v>0</v>
      </c>
      <c r="SX153">
        <v>0</v>
      </c>
      <c r="SY153">
        <v>0</v>
      </c>
      <c r="SZ153">
        <v>0</v>
      </c>
      <c r="TA153">
        <v>0</v>
      </c>
      <c r="TB153">
        <v>0</v>
      </c>
      <c r="TC153">
        <v>0</v>
      </c>
      <c r="TD153">
        <v>0</v>
      </c>
      <c r="TE153">
        <v>0</v>
      </c>
      <c r="TF153">
        <v>0</v>
      </c>
      <c r="TG153">
        <v>0</v>
      </c>
      <c r="TH153">
        <v>0</v>
      </c>
      <c r="TI153">
        <v>0</v>
      </c>
      <c r="TJ153">
        <v>0</v>
      </c>
      <c r="TK153">
        <v>0</v>
      </c>
      <c r="TL153">
        <v>0</v>
      </c>
      <c r="TM153">
        <v>0</v>
      </c>
      <c r="TN153">
        <v>0</v>
      </c>
      <c r="TO153">
        <v>0</v>
      </c>
      <c r="TP153">
        <v>0</v>
      </c>
      <c r="TQ153">
        <v>0</v>
      </c>
      <c r="TR153">
        <v>0</v>
      </c>
      <c r="TS153">
        <v>0</v>
      </c>
      <c r="TT153">
        <v>0</v>
      </c>
      <c r="TU153">
        <v>0</v>
      </c>
      <c r="TV153">
        <v>0</v>
      </c>
      <c r="TW153">
        <v>0</v>
      </c>
      <c r="TX153">
        <v>0</v>
      </c>
      <c r="TY153">
        <v>0</v>
      </c>
      <c r="TZ153">
        <v>0</v>
      </c>
      <c r="UA153">
        <v>0</v>
      </c>
      <c r="UB153">
        <v>0</v>
      </c>
      <c r="UC153">
        <v>0</v>
      </c>
      <c r="UD153">
        <v>0</v>
      </c>
      <c r="UE153">
        <v>0</v>
      </c>
      <c r="UF153">
        <v>0</v>
      </c>
      <c r="UG153">
        <v>0</v>
      </c>
      <c r="UH153">
        <v>0</v>
      </c>
      <c r="UI153">
        <v>0</v>
      </c>
      <c r="UJ153">
        <v>0</v>
      </c>
      <c r="UK153">
        <v>0</v>
      </c>
      <c r="UL153">
        <v>0</v>
      </c>
      <c r="UM153">
        <v>0</v>
      </c>
      <c r="UN153">
        <v>0</v>
      </c>
      <c r="UO153">
        <v>0</v>
      </c>
      <c r="UP153">
        <v>0</v>
      </c>
      <c r="UQ153">
        <v>0</v>
      </c>
      <c r="UR153">
        <v>0</v>
      </c>
      <c r="US153">
        <v>0</v>
      </c>
      <c r="UT153">
        <v>0</v>
      </c>
      <c r="UU153">
        <v>0</v>
      </c>
      <c r="UV153">
        <v>0</v>
      </c>
      <c r="UW153">
        <v>0</v>
      </c>
      <c r="UX153">
        <v>0</v>
      </c>
      <c r="UY153">
        <v>0</v>
      </c>
      <c r="UZ153">
        <v>0</v>
      </c>
      <c r="VA153">
        <v>0</v>
      </c>
      <c r="VB153">
        <v>0</v>
      </c>
      <c r="VC153">
        <v>0</v>
      </c>
      <c r="VD153">
        <v>0</v>
      </c>
      <c r="VE153">
        <v>0</v>
      </c>
      <c r="VF153">
        <v>0</v>
      </c>
      <c r="VG153">
        <v>0</v>
      </c>
      <c r="VH153">
        <v>0</v>
      </c>
      <c r="VI153">
        <v>0</v>
      </c>
      <c r="VJ153">
        <v>0</v>
      </c>
      <c r="VK153">
        <v>0</v>
      </c>
      <c r="VL153">
        <v>0</v>
      </c>
      <c r="VM153">
        <v>0</v>
      </c>
      <c r="VN153">
        <v>0</v>
      </c>
      <c r="VO153">
        <v>0</v>
      </c>
      <c r="VP153">
        <v>0</v>
      </c>
      <c r="VQ153">
        <v>0</v>
      </c>
      <c r="VR153">
        <v>0</v>
      </c>
      <c r="VS153">
        <v>0</v>
      </c>
      <c r="VT153">
        <v>0</v>
      </c>
      <c r="VU153">
        <v>0</v>
      </c>
      <c r="VV153">
        <v>0</v>
      </c>
      <c r="VW153">
        <v>0</v>
      </c>
      <c r="VX153">
        <v>0</v>
      </c>
      <c r="VY153">
        <v>0</v>
      </c>
      <c r="VZ153">
        <v>0</v>
      </c>
      <c r="WA153">
        <v>0</v>
      </c>
      <c r="WB153">
        <v>0</v>
      </c>
      <c r="WC153">
        <v>0</v>
      </c>
      <c r="WD153">
        <v>0</v>
      </c>
      <c r="WE153">
        <v>0</v>
      </c>
      <c r="WF153">
        <v>0</v>
      </c>
      <c r="WG153">
        <v>0</v>
      </c>
      <c r="WH153">
        <v>0</v>
      </c>
      <c r="WI153">
        <v>0</v>
      </c>
      <c r="WJ153">
        <v>0</v>
      </c>
      <c r="WK153">
        <v>0</v>
      </c>
      <c r="WL153">
        <v>0</v>
      </c>
      <c r="WM153">
        <v>0</v>
      </c>
      <c r="WN153">
        <v>0</v>
      </c>
      <c r="WO153">
        <v>0</v>
      </c>
      <c r="WP153">
        <v>0</v>
      </c>
      <c r="WQ153">
        <v>0</v>
      </c>
      <c r="WR153">
        <v>0</v>
      </c>
      <c r="WS153">
        <v>0</v>
      </c>
      <c r="WT153">
        <v>0</v>
      </c>
      <c r="WU153">
        <v>0</v>
      </c>
      <c r="WV153">
        <v>0</v>
      </c>
      <c r="WW153">
        <v>0</v>
      </c>
      <c r="WX153">
        <v>0</v>
      </c>
      <c r="WY153">
        <v>0</v>
      </c>
      <c r="WZ153">
        <v>0</v>
      </c>
      <c r="XA153">
        <v>0</v>
      </c>
      <c r="XB153">
        <v>0</v>
      </c>
      <c r="XC153">
        <v>0</v>
      </c>
      <c r="XD153">
        <v>0</v>
      </c>
      <c r="XE153">
        <v>0</v>
      </c>
      <c r="XF153">
        <v>0</v>
      </c>
      <c r="XG153">
        <v>0</v>
      </c>
      <c r="XH153">
        <v>0</v>
      </c>
      <c r="XI153">
        <v>0</v>
      </c>
      <c r="XJ153">
        <v>0</v>
      </c>
      <c r="XK153">
        <v>0</v>
      </c>
      <c r="XL153">
        <v>0</v>
      </c>
      <c r="XM153">
        <v>0</v>
      </c>
      <c r="XN153">
        <v>0</v>
      </c>
      <c r="XO153">
        <v>0</v>
      </c>
      <c r="XP153">
        <v>0</v>
      </c>
      <c r="XQ153">
        <v>0</v>
      </c>
      <c r="XR153">
        <v>0</v>
      </c>
      <c r="XS153">
        <v>0</v>
      </c>
      <c r="XT153">
        <v>0</v>
      </c>
      <c r="XU153">
        <v>0</v>
      </c>
      <c r="XV153">
        <v>0</v>
      </c>
      <c r="XW153">
        <v>0</v>
      </c>
      <c r="XX153">
        <v>0</v>
      </c>
      <c r="XY153">
        <v>0</v>
      </c>
      <c r="XZ153">
        <v>0</v>
      </c>
      <c r="YA153">
        <v>0</v>
      </c>
      <c r="YB153">
        <v>0</v>
      </c>
      <c r="YC153">
        <v>0</v>
      </c>
      <c r="YD153">
        <v>0</v>
      </c>
      <c r="YE153">
        <v>0</v>
      </c>
      <c r="YF153">
        <v>0</v>
      </c>
      <c r="YG153">
        <v>0</v>
      </c>
      <c r="YH153">
        <v>0</v>
      </c>
      <c r="YI153">
        <v>0</v>
      </c>
      <c r="YJ153">
        <v>0</v>
      </c>
      <c r="YK153">
        <v>0</v>
      </c>
      <c r="YL153">
        <v>0</v>
      </c>
      <c r="YM153">
        <v>0</v>
      </c>
      <c r="YN153">
        <v>0</v>
      </c>
      <c r="YO153">
        <v>0</v>
      </c>
      <c r="YP153">
        <v>0</v>
      </c>
      <c r="YQ153">
        <v>0</v>
      </c>
      <c r="YR153">
        <v>0</v>
      </c>
      <c r="YS153">
        <v>0</v>
      </c>
      <c r="YT153">
        <v>0</v>
      </c>
      <c r="YU153">
        <v>0</v>
      </c>
      <c r="YV153">
        <v>0</v>
      </c>
      <c r="YW153">
        <v>0</v>
      </c>
      <c r="YX153">
        <v>0</v>
      </c>
      <c r="YY153">
        <v>0</v>
      </c>
      <c r="YZ153">
        <v>0</v>
      </c>
      <c r="ZA153">
        <v>0</v>
      </c>
      <c r="ZB153">
        <v>0</v>
      </c>
      <c r="ZC153">
        <v>0</v>
      </c>
      <c r="ZD153">
        <v>0</v>
      </c>
      <c r="ZE153">
        <v>0</v>
      </c>
      <c r="ZF153">
        <v>0</v>
      </c>
      <c r="ZG153">
        <v>0</v>
      </c>
      <c r="ZH153">
        <v>0</v>
      </c>
      <c r="ZI153">
        <v>0</v>
      </c>
      <c r="ZJ153">
        <v>0</v>
      </c>
      <c r="ZK153">
        <v>0</v>
      </c>
      <c r="ZL153">
        <v>0</v>
      </c>
      <c r="ZM153">
        <v>0</v>
      </c>
      <c r="ZN153">
        <v>0</v>
      </c>
      <c r="ZO153">
        <v>0</v>
      </c>
      <c r="ZP153">
        <v>0</v>
      </c>
      <c r="ZQ153">
        <v>0</v>
      </c>
      <c r="ZR153">
        <v>0</v>
      </c>
      <c r="ZS153">
        <v>0</v>
      </c>
      <c r="ZT153">
        <v>0</v>
      </c>
      <c r="ZU153">
        <v>0</v>
      </c>
      <c r="ZV153">
        <v>0</v>
      </c>
      <c r="ZW153">
        <v>0</v>
      </c>
      <c r="ZX153">
        <v>0</v>
      </c>
      <c r="ZY153">
        <v>0</v>
      </c>
      <c r="ZZ153">
        <v>0</v>
      </c>
      <c r="AAA153">
        <v>0</v>
      </c>
      <c r="AAB153">
        <v>0</v>
      </c>
      <c r="AAC153">
        <v>0</v>
      </c>
      <c r="AAD153">
        <v>0</v>
      </c>
      <c r="AAE153">
        <v>0</v>
      </c>
      <c r="AAF153">
        <v>0</v>
      </c>
      <c r="AAG153">
        <v>0</v>
      </c>
      <c r="AAH153">
        <v>0</v>
      </c>
      <c r="AAI153">
        <v>0</v>
      </c>
      <c r="AAJ153">
        <v>0</v>
      </c>
      <c r="AAK153">
        <v>0</v>
      </c>
      <c r="AAL153">
        <v>0</v>
      </c>
      <c r="AAM153">
        <v>0</v>
      </c>
      <c r="AAN153">
        <v>0</v>
      </c>
      <c r="AAO153">
        <v>0</v>
      </c>
      <c r="AAP153">
        <v>0</v>
      </c>
      <c r="AAQ153">
        <v>0</v>
      </c>
      <c r="AAR153">
        <v>0</v>
      </c>
      <c r="AAS153">
        <v>0</v>
      </c>
      <c r="AAT153">
        <v>0</v>
      </c>
      <c r="AAU153">
        <v>0</v>
      </c>
      <c r="AAV153">
        <v>0</v>
      </c>
      <c r="AAW153">
        <v>0</v>
      </c>
      <c r="AAX153">
        <v>0</v>
      </c>
      <c r="AAY153">
        <v>0</v>
      </c>
      <c r="AAZ153">
        <v>0</v>
      </c>
      <c r="ABA153">
        <v>0</v>
      </c>
      <c r="ABB153">
        <v>0</v>
      </c>
      <c r="ABC153">
        <v>0</v>
      </c>
      <c r="ABD153">
        <v>0</v>
      </c>
      <c r="ABE153">
        <v>0</v>
      </c>
      <c r="ABG153" s="1137">
        <f t="shared" si="41"/>
        <v>0</v>
      </c>
      <c r="ABH153" s="1137">
        <f t="shared" si="41"/>
        <v>0</v>
      </c>
      <c r="ABI153" s="1137">
        <f t="shared" si="41"/>
        <v>0</v>
      </c>
      <c r="ABJ153" s="1137">
        <f t="shared" si="41"/>
        <v>26</v>
      </c>
      <c r="ABK153" s="1137">
        <f t="shared" si="41"/>
        <v>31</v>
      </c>
      <c r="ABL153" s="1137">
        <f t="shared" si="41"/>
        <v>7</v>
      </c>
      <c r="ABM153" s="1137">
        <f t="shared" si="41"/>
        <v>0</v>
      </c>
      <c r="ABN153" s="1137">
        <f t="shared" si="41"/>
        <v>0</v>
      </c>
      <c r="ABO153" s="1137">
        <f t="shared" si="41"/>
        <v>0</v>
      </c>
      <c r="ABP153" s="1137">
        <f t="shared" si="41"/>
        <v>0</v>
      </c>
      <c r="ABQ153" s="1137">
        <f t="shared" si="41"/>
        <v>0</v>
      </c>
      <c r="ABR153" s="1137">
        <f t="shared" si="41"/>
        <v>0</v>
      </c>
      <c r="ABS153" s="1137">
        <f t="shared" si="41"/>
        <v>7</v>
      </c>
      <c r="ABT153" s="1137">
        <f t="shared" si="41"/>
        <v>7</v>
      </c>
      <c r="ABU153" s="1137">
        <f t="shared" si="41"/>
        <v>0</v>
      </c>
      <c r="ABV153" s="1137">
        <f t="shared" si="41"/>
        <v>0</v>
      </c>
      <c r="ABW153" s="1137">
        <f t="shared" si="31"/>
        <v>0</v>
      </c>
      <c r="ABX153" s="1137">
        <f t="shared" si="34"/>
        <v>0</v>
      </c>
      <c r="ABY153" s="1137">
        <f t="shared" si="34"/>
        <v>0</v>
      </c>
      <c r="ABZ153" s="1137">
        <f t="shared" si="34"/>
        <v>0</v>
      </c>
      <c r="ACA153" s="1137">
        <f t="shared" si="34"/>
        <v>0</v>
      </c>
      <c r="ACB153" s="1137">
        <f t="shared" si="34"/>
        <v>0</v>
      </c>
      <c r="ACC153" s="1137">
        <f t="shared" si="34"/>
        <v>0</v>
      </c>
      <c r="ACD153" s="1137">
        <f t="shared" si="34"/>
        <v>0</v>
      </c>
      <c r="ACE153" s="1137" t="s">
        <v>61</v>
      </c>
      <c r="ACF153" s="1137">
        <f t="shared" si="39"/>
        <v>0</v>
      </c>
      <c r="ACG153" s="1137">
        <f t="shared" si="39"/>
        <v>0</v>
      </c>
      <c r="ACH153" s="1137">
        <f t="shared" si="38"/>
        <v>0</v>
      </c>
      <c r="ACI153" s="1137">
        <f t="shared" si="38"/>
        <v>1</v>
      </c>
      <c r="ACJ153" s="1137">
        <f t="shared" si="38"/>
        <v>1</v>
      </c>
      <c r="ACK153" s="1137">
        <f t="shared" si="38"/>
        <v>0</v>
      </c>
      <c r="ACL153" s="1137">
        <f t="shared" si="38"/>
        <v>0</v>
      </c>
      <c r="ACM153" s="1137">
        <f t="shared" si="38"/>
        <v>0</v>
      </c>
      <c r="ACN153" s="1137">
        <f t="shared" si="38"/>
        <v>0</v>
      </c>
      <c r="ACO153" s="1137">
        <f t="shared" si="38"/>
        <v>0</v>
      </c>
      <c r="ACP153" s="1137">
        <f t="shared" si="38"/>
        <v>0</v>
      </c>
      <c r="ACQ153" s="1137">
        <f t="shared" si="38"/>
        <v>0</v>
      </c>
      <c r="ACR153" s="1137">
        <f t="shared" si="38"/>
        <v>0</v>
      </c>
      <c r="ACS153" s="1137">
        <f t="shared" si="38"/>
        <v>0</v>
      </c>
      <c r="ACT153" s="1137">
        <f t="shared" si="38"/>
        <v>0</v>
      </c>
      <c r="ACU153" s="1137">
        <f t="shared" si="38"/>
        <v>0</v>
      </c>
      <c r="ACV153" s="1137">
        <f t="shared" si="38"/>
        <v>0</v>
      </c>
      <c r="ACW153" s="1137">
        <f t="shared" si="38"/>
        <v>0</v>
      </c>
      <c r="ACX153" s="1137">
        <f t="shared" si="42"/>
        <v>0</v>
      </c>
      <c r="ACY153" s="1137">
        <f t="shared" si="42"/>
        <v>0</v>
      </c>
      <c r="ACZ153" s="1137">
        <f t="shared" si="42"/>
        <v>0</v>
      </c>
      <c r="ADA153" s="1137">
        <f t="shared" si="35"/>
        <v>0</v>
      </c>
      <c r="ADB153" s="1137">
        <f t="shared" si="35"/>
        <v>0</v>
      </c>
      <c r="ADC153" s="1137">
        <f t="shared" si="35"/>
        <v>0</v>
      </c>
    </row>
    <row r="154" spans="1:783" x14ac:dyDescent="0.25">
      <c r="A154" t="s">
        <v>1954</v>
      </c>
      <c r="B154" t="s">
        <v>174</v>
      </c>
      <c r="C154">
        <v>0</v>
      </c>
      <c r="D154">
        <v>0</v>
      </c>
      <c r="E154">
        <v>0</v>
      </c>
      <c r="F154">
        <v>0</v>
      </c>
      <c r="G154">
        <v>0</v>
      </c>
      <c r="H154">
        <v>0</v>
      </c>
      <c r="I154">
        <v>0</v>
      </c>
      <c r="J154">
        <v>0</v>
      </c>
      <c r="K154">
        <v>0</v>
      </c>
      <c r="L154">
        <v>0</v>
      </c>
      <c r="M154">
        <v>0</v>
      </c>
      <c r="N154">
        <v>0</v>
      </c>
      <c r="O154">
        <v>0</v>
      </c>
      <c r="P154">
        <v>0</v>
      </c>
      <c r="Q154">
        <v>0</v>
      </c>
      <c r="R154">
        <v>0</v>
      </c>
      <c r="S154">
        <v>0</v>
      </c>
      <c r="T154">
        <v>0</v>
      </c>
      <c r="U154">
        <v>0</v>
      </c>
      <c r="V154">
        <v>0</v>
      </c>
      <c r="W154">
        <v>0</v>
      </c>
      <c r="X154">
        <v>0</v>
      </c>
      <c r="Y154">
        <v>0</v>
      </c>
      <c r="Z154">
        <v>0</v>
      </c>
      <c r="AA154">
        <v>0</v>
      </c>
      <c r="AB154">
        <v>0</v>
      </c>
      <c r="AC154">
        <v>0</v>
      </c>
      <c r="AD154">
        <v>0</v>
      </c>
      <c r="AE154">
        <v>0</v>
      </c>
      <c r="AF154">
        <v>0</v>
      </c>
      <c r="AG154">
        <v>0</v>
      </c>
      <c r="AH154">
        <v>0</v>
      </c>
      <c r="AI154">
        <v>0</v>
      </c>
      <c r="AJ154">
        <v>0</v>
      </c>
      <c r="AK154">
        <v>0</v>
      </c>
      <c r="AL154">
        <v>0</v>
      </c>
      <c r="AM154">
        <v>0</v>
      </c>
      <c r="AN154">
        <v>0</v>
      </c>
      <c r="AO154">
        <v>0</v>
      </c>
      <c r="AP154">
        <v>0</v>
      </c>
      <c r="AQ154">
        <v>0</v>
      </c>
      <c r="AR154">
        <v>0</v>
      </c>
      <c r="AS154">
        <v>0</v>
      </c>
      <c r="AT154">
        <v>0</v>
      </c>
      <c r="AU154">
        <v>0</v>
      </c>
      <c r="AV154">
        <v>0</v>
      </c>
      <c r="AW154">
        <v>0</v>
      </c>
      <c r="AX154">
        <v>0</v>
      </c>
      <c r="AY154">
        <v>0</v>
      </c>
      <c r="AZ154">
        <v>0</v>
      </c>
      <c r="BA154">
        <v>0</v>
      </c>
      <c r="BB154">
        <v>0</v>
      </c>
      <c r="BC154">
        <v>0</v>
      </c>
      <c r="BD154">
        <v>0</v>
      </c>
      <c r="BE154">
        <v>0</v>
      </c>
      <c r="BF154">
        <v>0</v>
      </c>
      <c r="BG154">
        <v>0</v>
      </c>
      <c r="BH154">
        <v>0</v>
      </c>
      <c r="BI154">
        <v>0</v>
      </c>
      <c r="BJ154">
        <v>0</v>
      </c>
      <c r="BK154">
        <v>0</v>
      </c>
      <c r="BL154">
        <v>0</v>
      </c>
      <c r="BM154">
        <v>0</v>
      </c>
      <c r="BN154">
        <v>0</v>
      </c>
      <c r="BO154">
        <v>0</v>
      </c>
      <c r="BP154">
        <v>0</v>
      </c>
      <c r="BQ154">
        <v>0</v>
      </c>
      <c r="BR154">
        <v>0</v>
      </c>
      <c r="BS154">
        <v>0</v>
      </c>
      <c r="BT154">
        <v>0</v>
      </c>
      <c r="BU154">
        <v>0</v>
      </c>
      <c r="BV154">
        <v>0</v>
      </c>
      <c r="BW154">
        <v>0</v>
      </c>
      <c r="BX154">
        <v>0</v>
      </c>
      <c r="BY154">
        <v>0</v>
      </c>
      <c r="BZ154">
        <v>0</v>
      </c>
      <c r="CA154">
        <v>0</v>
      </c>
      <c r="CB154">
        <v>2</v>
      </c>
      <c r="CC154">
        <v>2</v>
      </c>
      <c r="CD154">
        <v>2</v>
      </c>
      <c r="CE154">
        <v>2</v>
      </c>
      <c r="CF154">
        <v>2</v>
      </c>
      <c r="CG154">
        <v>2</v>
      </c>
      <c r="CH154">
        <v>2</v>
      </c>
      <c r="CI154">
        <v>2</v>
      </c>
      <c r="CJ154">
        <v>2</v>
      </c>
      <c r="CK154">
        <v>2</v>
      </c>
      <c r="CL154">
        <v>2</v>
      </c>
      <c r="CM154">
        <v>2</v>
      </c>
      <c r="CN154">
        <v>2</v>
      </c>
      <c r="CO154">
        <v>2</v>
      </c>
      <c r="CP154">
        <v>2</v>
      </c>
      <c r="CQ154">
        <v>2</v>
      </c>
      <c r="CR154">
        <v>2</v>
      </c>
      <c r="CS154">
        <v>2</v>
      </c>
      <c r="CT154">
        <v>2</v>
      </c>
      <c r="CU154">
        <v>2</v>
      </c>
      <c r="CV154">
        <v>2</v>
      </c>
      <c r="CW154">
        <v>2</v>
      </c>
      <c r="CX154">
        <v>2</v>
      </c>
      <c r="CY154">
        <v>2</v>
      </c>
      <c r="CZ154">
        <v>2</v>
      </c>
      <c r="DA154">
        <v>2</v>
      </c>
      <c r="DB154">
        <v>2</v>
      </c>
      <c r="DC154">
        <v>2</v>
      </c>
      <c r="DD154">
        <v>2</v>
      </c>
      <c r="DE154">
        <v>2</v>
      </c>
      <c r="DF154">
        <v>2</v>
      </c>
      <c r="DG154">
        <v>2</v>
      </c>
      <c r="DH154">
        <v>2</v>
      </c>
      <c r="DI154">
        <v>2</v>
      </c>
      <c r="DJ154">
        <v>2</v>
      </c>
      <c r="DK154">
        <v>2</v>
      </c>
      <c r="DL154">
        <v>2</v>
      </c>
      <c r="DM154">
        <v>2</v>
      </c>
      <c r="DN154">
        <v>2</v>
      </c>
      <c r="DO154">
        <v>2</v>
      </c>
      <c r="DP154">
        <v>2</v>
      </c>
      <c r="DQ154">
        <v>2</v>
      </c>
      <c r="DR154">
        <v>2</v>
      </c>
      <c r="DS154">
        <v>2</v>
      </c>
      <c r="DT154">
        <v>2</v>
      </c>
      <c r="DU154">
        <v>2</v>
      </c>
      <c r="DV154">
        <v>2</v>
      </c>
      <c r="DW154">
        <v>2</v>
      </c>
      <c r="DX154">
        <v>2</v>
      </c>
      <c r="DY154">
        <v>2</v>
      </c>
      <c r="DZ154">
        <v>2</v>
      </c>
      <c r="EA154">
        <v>2</v>
      </c>
      <c r="EB154">
        <v>2</v>
      </c>
      <c r="EC154">
        <v>2</v>
      </c>
      <c r="ED154">
        <v>2</v>
      </c>
      <c r="EE154">
        <v>2</v>
      </c>
      <c r="EF154">
        <v>2</v>
      </c>
      <c r="EG154">
        <v>2</v>
      </c>
      <c r="EH154">
        <v>2</v>
      </c>
      <c r="EI154">
        <v>2</v>
      </c>
      <c r="EJ154">
        <v>2</v>
      </c>
      <c r="EK154">
        <v>2</v>
      </c>
      <c r="EL154">
        <v>2</v>
      </c>
      <c r="EM154">
        <v>2</v>
      </c>
      <c r="EN154">
        <v>2</v>
      </c>
      <c r="EO154">
        <v>2</v>
      </c>
      <c r="EP154">
        <v>2</v>
      </c>
      <c r="EQ154">
        <v>2</v>
      </c>
      <c r="ER154">
        <v>2</v>
      </c>
      <c r="ES154">
        <v>2</v>
      </c>
      <c r="ET154">
        <v>2</v>
      </c>
      <c r="EU154">
        <v>2</v>
      </c>
      <c r="EV154">
        <v>2</v>
      </c>
      <c r="EW154">
        <v>2</v>
      </c>
      <c r="EX154">
        <v>2</v>
      </c>
      <c r="EY154">
        <v>2</v>
      </c>
      <c r="EZ154">
        <v>2</v>
      </c>
      <c r="FA154">
        <v>2</v>
      </c>
      <c r="FB154">
        <v>2</v>
      </c>
      <c r="FC154">
        <v>2</v>
      </c>
      <c r="FD154">
        <v>2</v>
      </c>
      <c r="FE154">
        <v>2</v>
      </c>
      <c r="FF154">
        <v>2</v>
      </c>
      <c r="FG154">
        <v>2</v>
      </c>
      <c r="FH154">
        <v>2</v>
      </c>
      <c r="FI154">
        <v>2</v>
      </c>
      <c r="FJ154">
        <v>2</v>
      </c>
      <c r="FK154">
        <v>2</v>
      </c>
      <c r="FL154">
        <v>2</v>
      </c>
      <c r="FM154">
        <v>2</v>
      </c>
      <c r="FN154">
        <v>2</v>
      </c>
      <c r="FO154">
        <v>2</v>
      </c>
      <c r="FP154">
        <v>2</v>
      </c>
      <c r="FQ154">
        <v>2</v>
      </c>
      <c r="FR154">
        <v>2</v>
      </c>
      <c r="FS154">
        <v>2</v>
      </c>
      <c r="FT154">
        <v>2</v>
      </c>
      <c r="FU154">
        <v>2</v>
      </c>
      <c r="FV154">
        <v>2</v>
      </c>
      <c r="FW154">
        <v>2</v>
      </c>
      <c r="FX154">
        <v>2</v>
      </c>
      <c r="FY154">
        <v>2</v>
      </c>
      <c r="FZ154">
        <v>2</v>
      </c>
      <c r="GA154">
        <v>2</v>
      </c>
      <c r="GB154">
        <v>2</v>
      </c>
      <c r="GC154">
        <v>2</v>
      </c>
      <c r="GD154">
        <v>2</v>
      </c>
      <c r="GE154">
        <v>2</v>
      </c>
      <c r="GF154">
        <v>2</v>
      </c>
      <c r="GG154">
        <v>2</v>
      </c>
      <c r="GH154">
        <v>2</v>
      </c>
      <c r="GI154">
        <v>2</v>
      </c>
      <c r="GJ154">
        <v>2</v>
      </c>
      <c r="GK154">
        <v>2</v>
      </c>
      <c r="GL154">
        <v>2</v>
      </c>
      <c r="GM154">
        <v>2</v>
      </c>
      <c r="GN154">
        <v>2</v>
      </c>
      <c r="GO154">
        <v>2</v>
      </c>
      <c r="GP154">
        <v>2</v>
      </c>
      <c r="GQ154">
        <v>2</v>
      </c>
      <c r="GR154">
        <v>2</v>
      </c>
      <c r="GS154">
        <v>2</v>
      </c>
      <c r="GT154">
        <v>2</v>
      </c>
      <c r="GU154">
        <v>2</v>
      </c>
      <c r="GV154">
        <v>2</v>
      </c>
      <c r="GW154">
        <v>2</v>
      </c>
      <c r="GX154">
        <v>2</v>
      </c>
      <c r="GY154">
        <v>2</v>
      </c>
      <c r="GZ154">
        <v>2</v>
      </c>
      <c r="HA154">
        <v>2</v>
      </c>
      <c r="HB154">
        <v>2</v>
      </c>
      <c r="HC154">
        <v>2</v>
      </c>
      <c r="HD154">
        <v>2</v>
      </c>
      <c r="HE154">
        <v>2</v>
      </c>
      <c r="HF154">
        <v>2</v>
      </c>
      <c r="HG154">
        <v>2</v>
      </c>
      <c r="HH154">
        <v>2</v>
      </c>
      <c r="HI154">
        <v>2</v>
      </c>
      <c r="HJ154">
        <v>2</v>
      </c>
      <c r="HK154">
        <v>2</v>
      </c>
      <c r="HL154">
        <v>2</v>
      </c>
      <c r="HM154">
        <v>2</v>
      </c>
      <c r="HN154">
        <v>2</v>
      </c>
      <c r="HO154">
        <v>2</v>
      </c>
      <c r="HP154">
        <v>2</v>
      </c>
      <c r="HQ154">
        <v>2</v>
      </c>
      <c r="HR154">
        <v>2</v>
      </c>
      <c r="HS154">
        <v>2</v>
      </c>
      <c r="HT154">
        <v>2</v>
      </c>
      <c r="HU154">
        <v>2</v>
      </c>
      <c r="HV154">
        <v>2</v>
      </c>
      <c r="HW154">
        <v>2</v>
      </c>
      <c r="HX154">
        <v>2</v>
      </c>
      <c r="HY154">
        <v>2</v>
      </c>
      <c r="HZ154">
        <v>2</v>
      </c>
      <c r="IA154">
        <v>2</v>
      </c>
      <c r="IB154">
        <v>2</v>
      </c>
      <c r="IC154">
        <v>2</v>
      </c>
      <c r="ID154">
        <v>2</v>
      </c>
      <c r="IE154">
        <v>2</v>
      </c>
      <c r="IF154">
        <v>2</v>
      </c>
      <c r="IG154">
        <v>2</v>
      </c>
      <c r="IH154">
        <v>2</v>
      </c>
      <c r="II154">
        <v>2</v>
      </c>
      <c r="IJ154">
        <v>2</v>
      </c>
      <c r="IK154">
        <v>2</v>
      </c>
      <c r="IL154">
        <v>2</v>
      </c>
      <c r="IM154">
        <v>2</v>
      </c>
      <c r="IN154">
        <v>2</v>
      </c>
      <c r="IO154">
        <v>2</v>
      </c>
      <c r="IP154">
        <v>2</v>
      </c>
      <c r="IQ154">
        <v>2</v>
      </c>
      <c r="IR154">
        <v>2</v>
      </c>
      <c r="IS154">
        <v>2</v>
      </c>
      <c r="IT154">
        <v>2</v>
      </c>
      <c r="IU154">
        <v>2</v>
      </c>
      <c r="IV154">
        <v>2</v>
      </c>
      <c r="IW154">
        <v>2</v>
      </c>
      <c r="IX154">
        <v>2</v>
      </c>
      <c r="IY154">
        <v>2</v>
      </c>
      <c r="IZ154">
        <v>2</v>
      </c>
      <c r="JA154">
        <v>2</v>
      </c>
      <c r="JB154">
        <v>2</v>
      </c>
      <c r="JC154">
        <v>2</v>
      </c>
      <c r="JD154">
        <v>2</v>
      </c>
      <c r="JE154">
        <v>1</v>
      </c>
      <c r="JF154">
        <v>1</v>
      </c>
      <c r="JG154">
        <v>1</v>
      </c>
      <c r="JH154">
        <v>1</v>
      </c>
      <c r="JI154">
        <v>1</v>
      </c>
      <c r="JJ154">
        <v>1</v>
      </c>
      <c r="JK154">
        <v>1</v>
      </c>
      <c r="JL154">
        <v>1</v>
      </c>
      <c r="JM154">
        <v>1</v>
      </c>
      <c r="JN154">
        <v>1</v>
      </c>
      <c r="JO154">
        <v>1</v>
      </c>
      <c r="JP154">
        <v>1</v>
      </c>
      <c r="JQ154">
        <v>1</v>
      </c>
      <c r="JR154">
        <v>1</v>
      </c>
      <c r="JS154">
        <v>1</v>
      </c>
      <c r="JT154">
        <v>1</v>
      </c>
      <c r="JU154">
        <v>1</v>
      </c>
      <c r="JV154">
        <v>1</v>
      </c>
      <c r="JW154">
        <v>1</v>
      </c>
      <c r="JX154">
        <v>1</v>
      </c>
      <c r="JY154">
        <v>1</v>
      </c>
      <c r="JZ154">
        <v>1</v>
      </c>
      <c r="KA154">
        <v>1</v>
      </c>
      <c r="KB154">
        <v>1</v>
      </c>
      <c r="KC154">
        <v>1</v>
      </c>
      <c r="KD154">
        <v>1</v>
      </c>
      <c r="KE154">
        <v>1</v>
      </c>
      <c r="KF154">
        <v>1</v>
      </c>
      <c r="KG154">
        <v>1</v>
      </c>
      <c r="KH154">
        <v>1</v>
      </c>
      <c r="KI154">
        <v>1</v>
      </c>
      <c r="KJ154">
        <v>1</v>
      </c>
      <c r="KK154">
        <v>1</v>
      </c>
      <c r="KL154">
        <v>1</v>
      </c>
      <c r="KM154">
        <v>1</v>
      </c>
      <c r="KN154">
        <v>1</v>
      </c>
      <c r="KO154">
        <v>1</v>
      </c>
      <c r="KP154">
        <v>1</v>
      </c>
      <c r="KQ154">
        <v>1</v>
      </c>
      <c r="KR154">
        <v>1</v>
      </c>
      <c r="KS154">
        <v>1</v>
      </c>
      <c r="KT154">
        <v>1</v>
      </c>
      <c r="KU154">
        <v>1</v>
      </c>
      <c r="KV154">
        <v>1</v>
      </c>
      <c r="KW154">
        <v>1</v>
      </c>
      <c r="KX154">
        <v>1</v>
      </c>
      <c r="KY154">
        <v>1</v>
      </c>
      <c r="KZ154">
        <v>1</v>
      </c>
      <c r="LA154">
        <v>1</v>
      </c>
      <c r="LB154">
        <v>1</v>
      </c>
      <c r="LC154">
        <v>1</v>
      </c>
      <c r="LD154">
        <v>1</v>
      </c>
      <c r="LE154">
        <v>1</v>
      </c>
      <c r="LF154">
        <v>1</v>
      </c>
      <c r="LG154">
        <v>1</v>
      </c>
      <c r="LH154">
        <v>1</v>
      </c>
      <c r="LI154">
        <v>1</v>
      </c>
      <c r="LJ154">
        <v>1</v>
      </c>
      <c r="LK154">
        <v>1</v>
      </c>
      <c r="LL154">
        <v>1</v>
      </c>
      <c r="LM154">
        <v>1</v>
      </c>
      <c r="LN154">
        <v>1</v>
      </c>
      <c r="LO154">
        <v>1</v>
      </c>
      <c r="LP154">
        <v>1</v>
      </c>
      <c r="LQ154">
        <v>1</v>
      </c>
      <c r="LR154">
        <v>1</v>
      </c>
      <c r="LS154">
        <v>1</v>
      </c>
      <c r="LT154">
        <v>1</v>
      </c>
      <c r="LU154">
        <v>1</v>
      </c>
      <c r="LV154">
        <v>1</v>
      </c>
      <c r="LW154">
        <v>1</v>
      </c>
      <c r="LX154">
        <v>1</v>
      </c>
      <c r="LY154">
        <v>1</v>
      </c>
      <c r="LZ154">
        <v>1</v>
      </c>
      <c r="MA154">
        <v>1</v>
      </c>
      <c r="MB154">
        <v>1</v>
      </c>
      <c r="MC154">
        <v>1</v>
      </c>
      <c r="MD154">
        <v>1</v>
      </c>
      <c r="ME154">
        <v>1</v>
      </c>
      <c r="MF154">
        <v>1</v>
      </c>
      <c r="MG154">
        <v>1</v>
      </c>
      <c r="MH154">
        <v>1</v>
      </c>
      <c r="MI154">
        <v>1</v>
      </c>
      <c r="MJ154">
        <v>1</v>
      </c>
      <c r="MK154">
        <v>1</v>
      </c>
      <c r="ML154">
        <v>1</v>
      </c>
      <c r="MM154">
        <v>1</v>
      </c>
      <c r="MN154">
        <v>1</v>
      </c>
      <c r="MO154">
        <v>1</v>
      </c>
      <c r="MP154">
        <v>1</v>
      </c>
      <c r="MQ154">
        <v>1</v>
      </c>
      <c r="MR154">
        <v>1</v>
      </c>
      <c r="MS154">
        <v>1</v>
      </c>
      <c r="MT154">
        <v>1</v>
      </c>
      <c r="MU154">
        <v>1</v>
      </c>
      <c r="MV154">
        <v>1</v>
      </c>
      <c r="MW154">
        <v>1</v>
      </c>
      <c r="MX154">
        <v>1</v>
      </c>
      <c r="MY154">
        <v>1</v>
      </c>
      <c r="MZ154">
        <v>1</v>
      </c>
      <c r="NA154">
        <v>1</v>
      </c>
      <c r="NB154">
        <v>1</v>
      </c>
      <c r="NC154">
        <v>1</v>
      </c>
      <c r="ND154">
        <v>1</v>
      </c>
      <c r="NE154">
        <v>1</v>
      </c>
      <c r="NF154">
        <v>1</v>
      </c>
      <c r="NG154">
        <v>1</v>
      </c>
      <c r="NH154">
        <v>1</v>
      </c>
      <c r="NI154">
        <v>1</v>
      </c>
      <c r="NJ154">
        <v>1</v>
      </c>
      <c r="NK154">
        <v>1</v>
      </c>
      <c r="NL154">
        <v>1</v>
      </c>
      <c r="NM154">
        <v>1</v>
      </c>
      <c r="NN154">
        <v>1</v>
      </c>
      <c r="NO154">
        <v>1</v>
      </c>
      <c r="NP154">
        <v>1</v>
      </c>
      <c r="NQ154">
        <v>1</v>
      </c>
      <c r="NR154">
        <v>1</v>
      </c>
      <c r="NS154">
        <v>1</v>
      </c>
      <c r="NT154">
        <v>1</v>
      </c>
      <c r="NU154">
        <v>1</v>
      </c>
      <c r="NV154">
        <v>1</v>
      </c>
      <c r="NW154">
        <v>1</v>
      </c>
      <c r="NX154">
        <v>1</v>
      </c>
      <c r="NY154">
        <v>1</v>
      </c>
      <c r="NZ154">
        <v>1</v>
      </c>
      <c r="OA154">
        <v>1</v>
      </c>
      <c r="OB154">
        <v>1</v>
      </c>
      <c r="OC154">
        <v>1</v>
      </c>
      <c r="OD154">
        <v>1</v>
      </c>
      <c r="OE154">
        <v>1</v>
      </c>
      <c r="OF154">
        <v>1</v>
      </c>
      <c r="OG154">
        <v>1</v>
      </c>
      <c r="OH154">
        <v>1</v>
      </c>
      <c r="OI154">
        <v>1</v>
      </c>
      <c r="OJ154">
        <v>1</v>
      </c>
      <c r="OK154">
        <v>1</v>
      </c>
      <c r="OL154">
        <v>1</v>
      </c>
      <c r="OM154">
        <v>1</v>
      </c>
      <c r="ON154">
        <v>1</v>
      </c>
      <c r="OO154">
        <v>1</v>
      </c>
      <c r="OP154">
        <v>1</v>
      </c>
      <c r="OQ154">
        <v>1</v>
      </c>
      <c r="OR154">
        <v>1</v>
      </c>
      <c r="OS154">
        <v>1</v>
      </c>
      <c r="OT154">
        <v>1</v>
      </c>
      <c r="OU154">
        <v>1</v>
      </c>
      <c r="OV154">
        <v>1</v>
      </c>
      <c r="OW154">
        <v>1</v>
      </c>
      <c r="OX154">
        <v>1</v>
      </c>
      <c r="OY154">
        <v>1</v>
      </c>
      <c r="OZ154">
        <v>1</v>
      </c>
      <c r="PA154">
        <v>1</v>
      </c>
      <c r="PB154">
        <v>1</v>
      </c>
      <c r="PC154">
        <v>1</v>
      </c>
      <c r="PD154">
        <v>1</v>
      </c>
      <c r="PE154">
        <v>1</v>
      </c>
      <c r="PF154">
        <v>1</v>
      </c>
      <c r="PG154">
        <v>1</v>
      </c>
      <c r="PH154">
        <v>1</v>
      </c>
      <c r="PI154">
        <v>1</v>
      </c>
      <c r="PJ154">
        <v>1</v>
      </c>
      <c r="PK154">
        <v>1</v>
      </c>
      <c r="PL154">
        <v>1</v>
      </c>
      <c r="PM154">
        <v>1</v>
      </c>
      <c r="PN154">
        <v>1</v>
      </c>
      <c r="PO154">
        <v>1</v>
      </c>
      <c r="PP154">
        <v>1</v>
      </c>
      <c r="PQ154">
        <v>1</v>
      </c>
      <c r="PR154">
        <v>1</v>
      </c>
      <c r="PS154">
        <v>1</v>
      </c>
      <c r="PT154">
        <v>1</v>
      </c>
      <c r="PU154">
        <v>1</v>
      </c>
      <c r="PV154">
        <v>1</v>
      </c>
      <c r="PW154">
        <v>1</v>
      </c>
      <c r="PX154">
        <v>1</v>
      </c>
      <c r="PY154">
        <v>1</v>
      </c>
      <c r="PZ154">
        <v>1</v>
      </c>
      <c r="QA154">
        <v>1</v>
      </c>
      <c r="QB154">
        <v>1</v>
      </c>
      <c r="QC154">
        <v>1</v>
      </c>
      <c r="QD154">
        <v>1</v>
      </c>
      <c r="QE154">
        <v>1</v>
      </c>
      <c r="QF154">
        <v>1</v>
      </c>
      <c r="QG154">
        <v>1</v>
      </c>
      <c r="QH154">
        <v>1</v>
      </c>
      <c r="QI154">
        <v>1</v>
      </c>
      <c r="QJ154">
        <v>1</v>
      </c>
      <c r="QK154">
        <v>1</v>
      </c>
      <c r="QL154">
        <v>1</v>
      </c>
      <c r="QM154">
        <v>1</v>
      </c>
      <c r="QN154">
        <v>1</v>
      </c>
      <c r="QO154">
        <v>0</v>
      </c>
      <c r="QP154">
        <v>0</v>
      </c>
      <c r="QQ154">
        <v>0</v>
      </c>
      <c r="QR154">
        <v>0</v>
      </c>
      <c r="QS154">
        <v>0</v>
      </c>
      <c r="QT154">
        <v>0</v>
      </c>
      <c r="QU154">
        <v>0</v>
      </c>
      <c r="QV154">
        <v>0</v>
      </c>
      <c r="QW154">
        <v>0</v>
      </c>
      <c r="QX154">
        <v>0</v>
      </c>
      <c r="QY154">
        <v>0</v>
      </c>
      <c r="QZ154">
        <v>0</v>
      </c>
      <c r="RA154">
        <v>0</v>
      </c>
      <c r="RB154">
        <v>0</v>
      </c>
      <c r="RC154">
        <v>0</v>
      </c>
      <c r="RD154">
        <v>0</v>
      </c>
      <c r="RE154">
        <v>0</v>
      </c>
      <c r="RF154">
        <v>0</v>
      </c>
      <c r="RG154">
        <v>0</v>
      </c>
      <c r="RH154">
        <v>0</v>
      </c>
      <c r="RI154">
        <v>0</v>
      </c>
      <c r="RJ154">
        <v>0</v>
      </c>
      <c r="RK154">
        <v>0</v>
      </c>
      <c r="RL154">
        <v>0</v>
      </c>
      <c r="RM154">
        <v>0</v>
      </c>
      <c r="RN154">
        <v>0</v>
      </c>
      <c r="RO154">
        <v>0</v>
      </c>
      <c r="RP154">
        <v>0</v>
      </c>
      <c r="RQ154">
        <v>0</v>
      </c>
      <c r="RR154">
        <v>0</v>
      </c>
      <c r="RS154">
        <v>0</v>
      </c>
      <c r="RT154">
        <v>0</v>
      </c>
      <c r="RU154">
        <v>0</v>
      </c>
      <c r="RV154">
        <v>0</v>
      </c>
      <c r="RW154">
        <v>0</v>
      </c>
      <c r="RX154">
        <v>0</v>
      </c>
      <c r="RY154">
        <v>0</v>
      </c>
      <c r="RZ154">
        <v>0</v>
      </c>
      <c r="SA154">
        <v>0</v>
      </c>
      <c r="SB154">
        <v>0</v>
      </c>
      <c r="SC154">
        <v>0</v>
      </c>
      <c r="SD154">
        <v>0</v>
      </c>
      <c r="SE154">
        <v>0</v>
      </c>
      <c r="SF154">
        <v>0</v>
      </c>
      <c r="SG154">
        <v>0</v>
      </c>
      <c r="SH154">
        <v>0</v>
      </c>
      <c r="SI154">
        <v>0</v>
      </c>
      <c r="SJ154">
        <v>0</v>
      </c>
      <c r="SK154">
        <v>0</v>
      </c>
      <c r="SL154">
        <v>0</v>
      </c>
      <c r="SM154">
        <v>0</v>
      </c>
      <c r="SN154">
        <v>0</v>
      </c>
      <c r="SO154">
        <v>0</v>
      </c>
      <c r="SP154">
        <v>0</v>
      </c>
      <c r="SQ154">
        <v>0</v>
      </c>
      <c r="SR154">
        <v>0</v>
      </c>
      <c r="SS154">
        <v>0</v>
      </c>
      <c r="ST154">
        <v>0</v>
      </c>
      <c r="SU154">
        <v>0</v>
      </c>
      <c r="SV154">
        <v>0</v>
      </c>
      <c r="SW154">
        <v>0</v>
      </c>
      <c r="SX154">
        <v>0</v>
      </c>
      <c r="SY154">
        <v>0</v>
      </c>
      <c r="SZ154">
        <v>0</v>
      </c>
      <c r="TA154">
        <v>0</v>
      </c>
      <c r="TB154">
        <v>0</v>
      </c>
      <c r="TC154">
        <v>0</v>
      </c>
      <c r="TD154">
        <v>0</v>
      </c>
      <c r="TE154">
        <v>0</v>
      </c>
      <c r="TF154">
        <v>0</v>
      </c>
      <c r="TG154">
        <v>0</v>
      </c>
      <c r="TH154">
        <v>0</v>
      </c>
      <c r="TI154">
        <v>0</v>
      </c>
      <c r="TJ154">
        <v>0</v>
      </c>
      <c r="TK154">
        <v>0</v>
      </c>
      <c r="TL154">
        <v>0</v>
      </c>
      <c r="TM154">
        <v>0</v>
      </c>
      <c r="TN154">
        <v>0</v>
      </c>
      <c r="TO154">
        <v>0</v>
      </c>
      <c r="TP154">
        <v>0</v>
      </c>
      <c r="TQ154">
        <v>0</v>
      </c>
      <c r="TR154">
        <v>0</v>
      </c>
      <c r="TS154">
        <v>0</v>
      </c>
      <c r="TT154">
        <v>0</v>
      </c>
      <c r="TU154">
        <v>0</v>
      </c>
      <c r="TV154">
        <v>0</v>
      </c>
      <c r="TW154">
        <v>0</v>
      </c>
      <c r="TX154">
        <v>0</v>
      </c>
      <c r="TY154">
        <v>0</v>
      </c>
      <c r="TZ154">
        <v>0</v>
      </c>
      <c r="UA154">
        <v>0</v>
      </c>
      <c r="UB154">
        <v>0</v>
      </c>
      <c r="UC154">
        <v>0</v>
      </c>
      <c r="UD154">
        <v>0</v>
      </c>
      <c r="UE154">
        <v>0</v>
      </c>
      <c r="UF154">
        <v>0</v>
      </c>
      <c r="UG154">
        <v>0</v>
      </c>
      <c r="UH154">
        <v>0</v>
      </c>
      <c r="UI154">
        <v>0</v>
      </c>
      <c r="UJ154">
        <v>0</v>
      </c>
      <c r="UK154">
        <v>0</v>
      </c>
      <c r="UL154">
        <v>0</v>
      </c>
      <c r="UM154">
        <v>0</v>
      </c>
      <c r="UN154">
        <v>0</v>
      </c>
      <c r="UO154">
        <v>0</v>
      </c>
      <c r="UP154">
        <v>0</v>
      </c>
      <c r="UQ154">
        <v>0</v>
      </c>
      <c r="UR154">
        <v>0</v>
      </c>
      <c r="US154">
        <v>0</v>
      </c>
      <c r="UT154">
        <v>0</v>
      </c>
      <c r="UU154">
        <v>0</v>
      </c>
      <c r="UV154">
        <v>0</v>
      </c>
      <c r="UW154">
        <v>0</v>
      </c>
      <c r="UX154">
        <v>0</v>
      </c>
      <c r="UY154">
        <v>0</v>
      </c>
      <c r="UZ154">
        <v>0</v>
      </c>
      <c r="VA154">
        <v>0</v>
      </c>
      <c r="VB154">
        <v>0</v>
      </c>
      <c r="VC154">
        <v>0</v>
      </c>
      <c r="VD154">
        <v>0</v>
      </c>
      <c r="VE154">
        <v>0</v>
      </c>
      <c r="VF154">
        <v>0</v>
      </c>
      <c r="VG154">
        <v>0</v>
      </c>
      <c r="VH154">
        <v>0</v>
      </c>
      <c r="VI154">
        <v>0</v>
      </c>
      <c r="VJ154">
        <v>0</v>
      </c>
      <c r="VK154">
        <v>0</v>
      </c>
      <c r="VL154">
        <v>0</v>
      </c>
      <c r="VM154">
        <v>0</v>
      </c>
      <c r="VN154">
        <v>0</v>
      </c>
      <c r="VO154">
        <v>0</v>
      </c>
      <c r="VP154">
        <v>0</v>
      </c>
      <c r="VQ154">
        <v>0</v>
      </c>
      <c r="VR154">
        <v>0</v>
      </c>
      <c r="VS154">
        <v>0</v>
      </c>
      <c r="VT154">
        <v>0</v>
      </c>
      <c r="VU154">
        <v>0</v>
      </c>
      <c r="VV154">
        <v>0</v>
      </c>
      <c r="VW154">
        <v>0</v>
      </c>
      <c r="VX154">
        <v>0</v>
      </c>
      <c r="VY154">
        <v>0</v>
      </c>
      <c r="VZ154">
        <v>0</v>
      </c>
      <c r="WA154">
        <v>0</v>
      </c>
      <c r="WB154">
        <v>0</v>
      </c>
      <c r="WC154">
        <v>0</v>
      </c>
      <c r="WD154">
        <v>0</v>
      </c>
      <c r="WE154">
        <v>0</v>
      </c>
      <c r="WF154">
        <v>0</v>
      </c>
      <c r="WG154">
        <v>0</v>
      </c>
      <c r="WH154">
        <v>0</v>
      </c>
      <c r="WI154">
        <v>0</v>
      </c>
      <c r="WJ154">
        <v>0</v>
      </c>
      <c r="WK154">
        <v>0</v>
      </c>
      <c r="WL154">
        <v>0</v>
      </c>
      <c r="WM154">
        <v>0</v>
      </c>
      <c r="WN154">
        <v>0</v>
      </c>
      <c r="WO154">
        <v>0</v>
      </c>
      <c r="WP154">
        <v>0</v>
      </c>
      <c r="WQ154">
        <v>0</v>
      </c>
      <c r="WR154">
        <v>0</v>
      </c>
      <c r="WS154">
        <v>0</v>
      </c>
      <c r="WT154">
        <v>0</v>
      </c>
      <c r="WU154">
        <v>0</v>
      </c>
      <c r="WV154">
        <v>0</v>
      </c>
      <c r="WW154">
        <v>0</v>
      </c>
      <c r="WX154">
        <v>0</v>
      </c>
      <c r="WY154">
        <v>0</v>
      </c>
      <c r="WZ154">
        <v>0</v>
      </c>
      <c r="XA154">
        <v>0</v>
      </c>
      <c r="XB154">
        <v>0</v>
      </c>
      <c r="XC154">
        <v>0</v>
      </c>
      <c r="XD154">
        <v>0</v>
      </c>
      <c r="XE154">
        <v>0</v>
      </c>
      <c r="XF154">
        <v>0</v>
      </c>
      <c r="XG154">
        <v>0</v>
      </c>
      <c r="XH154">
        <v>0</v>
      </c>
      <c r="XI154">
        <v>0</v>
      </c>
      <c r="XJ154">
        <v>0</v>
      </c>
      <c r="XK154">
        <v>0</v>
      </c>
      <c r="XL154">
        <v>0</v>
      </c>
      <c r="XM154">
        <v>0</v>
      </c>
      <c r="XN154">
        <v>0</v>
      </c>
      <c r="XO154">
        <v>0</v>
      </c>
      <c r="XP154">
        <v>0</v>
      </c>
      <c r="XQ154">
        <v>0</v>
      </c>
      <c r="XR154">
        <v>0</v>
      </c>
      <c r="XS154">
        <v>0</v>
      </c>
      <c r="XT154">
        <v>0</v>
      </c>
      <c r="XU154">
        <v>0</v>
      </c>
      <c r="XV154">
        <v>0</v>
      </c>
      <c r="XW154">
        <v>0</v>
      </c>
      <c r="XX154">
        <v>0</v>
      </c>
      <c r="XY154">
        <v>0</v>
      </c>
      <c r="XZ154">
        <v>0</v>
      </c>
      <c r="YA154">
        <v>0</v>
      </c>
      <c r="YB154">
        <v>0</v>
      </c>
      <c r="YC154">
        <v>0</v>
      </c>
      <c r="YD154">
        <v>0</v>
      </c>
      <c r="YE154">
        <v>0</v>
      </c>
      <c r="YF154">
        <v>0</v>
      </c>
      <c r="YG154">
        <v>0</v>
      </c>
      <c r="YH154">
        <v>0</v>
      </c>
      <c r="YI154">
        <v>0</v>
      </c>
      <c r="YJ154">
        <v>0</v>
      </c>
      <c r="YK154">
        <v>0</v>
      </c>
      <c r="YL154">
        <v>0</v>
      </c>
      <c r="YM154">
        <v>0</v>
      </c>
      <c r="YN154">
        <v>0</v>
      </c>
      <c r="YO154">
        <v>0</v>
      </c>
      <c r="YP154">
        <v>0</v>
      </c>
      <c r="YQ154">
        <v>0</v>
      </c>
      <c r="YR154">
        <v>0</v>
      </c>
      <c r="YS154">
        <v>0</v>
      </c>
      <c r="YT154">
        <v>0</v>
      </c>
      <c r="YU154">
        <v>0</v>
      </c>
      <c r="YV154">
        <v>0</v>
      </c>
      <c r="YW154">
        <v>0</v>
      </c>
      <c r="YX154">
        <v>0</v>
      </c>
      <c r="YY154">
        <v>0</v>
      </c>
      <c r="YZ154">
        <v>0</v>
      </c>
      <c r="ZA154">
        <v>0</v>
      </c>
      <c r="ZB154">
        <v>0</v>
      </c>
      <c r="ZC154">
        <v>0</v>
      </c>
      <c r="ZD154">
        <v>0</v>
      </c>
      <c r="ZE154">
        <v>0</v>
      </c>
      <c r="ZF154">
        <v>0</v>
      </c>
      <c r="ZG154">
        <v>0</v>
      </c>
      <c r="ZH154">
        <v>0</v>
      </c>
      <c r="ZI154">
        <v>0</v>
      </c>
      <c r="ZJ154">
        <v>0</v>
      </c>
      <c r="ZK154">
        <v>0</v>
      </c>
      <c r="ZL154">
        <v>0</v>
      </c>
      <c r="ZM154">
        <v>0</v>
      </c>
      <c r="ZN154">
        <v>0</v>
      </c>
      <c r="ZO154">
        <v>0</v>
      </c>
      <c r="ZP154">
        <v>0</v>
      </c>
      <c r="ZQ154">
        <v>0</v>
      </c>
      <c r="ZR154">
        <v>0</v>
      </c>
      <c r="ZS154">
        <v>0</v>
      </c>
      <c r="ZT154">
        <v>0</v>
      </c>
      <c r="ZU154">
        <v>0</v>
      </c>
      <c r="ZV154">
        <v>0</v>
      </c>
      <c r="ZW154">
        <v>0</v>
      </c>
      <c r="ZX154">
        <v>0</v>
      </c>
      <c r="ZY154">
        <v>0</v>
      </c>
      <c r="ZZ154">
        <v>0</v>
      </c>
      <c r="AAA154">
        <v>0</v>
      </c>
      <c r="AAB154">
        <v>0</v>
      </c>
      <c r="AAC154">
        <v>0</v>
      </c>
      <c r="AAD154">
        <v>0</v>
      </c>
      <c r="AAE154">
        <v>0</v>
      </c>
      <c r="AAF154">
        <v>0</v>
      </c>
      <c r="AAG154">
        <v>0</v>
      </c>
      <c r="AAH154">
        <v>0</v>
      </c>
      <c r="AAI154">
        <v>0</v>
      </c>
      <c r="AAJ154">
        <v>0</v>
      </c>
      <c r="AAK154">
        <v>0</v>
      </c>
      <c r="AAL154">
        <v>0</v>
      </c>
      <c r="AAM154">
        <v>0</v>
      </c>
      <c r="AAN154">
        <v>0</v>
      </c>
      <c r="AAO154">
        <v>0</v>
      </c>
      <c r="AAP154">
        <v>0</v>
      </c>
      <c r="AAQ154">
        <v>0</v>
      </c>
      <c r="AAR154">
        <v>0</v>
      </c>
      <c r="AAS154">
        <v>0</v>
      </c>
      <c r="AAT154">
        <v>0</v>
      </c>
      <c r="AAU154">
        <v>0</v>
      </c>
      <c r="AAV154">
        <v>0</v>
      </c>
      <c r="AAW154">
        <v>0</v>
      </c>
      <c r="AAX154">
        <v>0</v>
      </c>
      <c r="AAY154">
        <v>0</v>
      </c>
      <c r="AAZ154">
        <v>0</v>
      </c>
      <c r="ABA154">
        <v>0</v>
      </c>
      <c r="ABB154">
        <v>0</v>
      </c>
      <c r="ABC154">
        <v>0</v>
      </c>
      <c r="ABD154">
        <v>0</v>
      </c>
      <c r="ABE154">
        <v>0</v>
      </c>
      <c r="ABG154" s="1137">
        <f t="shared" si="41"/>
        <v>0</v>
      </c>
      <c r="ABH154" s="1137">
        <f t="shared" si="41"/>
        <v>0</v>
      </c>
      <c r="ABI154" s="1137">
        <f t="shared" si="41"/>
        <v>14</v>
      </c>
      <c r="ABJ154" s="1137">
        <f t="shared" si="41"/>
        <v>30</v>
      </c>
      <c r="ABK154" s="1137">
        <f t="shared" si="41"/>
        <v>31</v>
      </c>
      <c r="ABL154" s="1137">
        <f t="shared" si="41"/>
        <v>30</v>
      </c>
      <c r="ABM154" s="1137">
        <f t="shared" si="41"/>
        <v>31</v>
      </c>
      <c r="ABN154" s="1137">
        <f t="shared" si="41"/>
        <v>31</v>
      </c>
      <c r="ABO154" s="1137">
        <f t="shared" si="41"/>
        <v>30</v>
      </c>
      <c r="ABP154" s="1137">
        <f t="shared" si="41"/>
        <v>31</v>
      </c>
      <c r="ABQ154" s="1137">
        <f t="shared" si="41"/>
        <v>30</v>
      </c>
      <c r="ABR154" s="1137">
        <f t="shared" si="41"/>
        <v>31</v>
      </c>
      <c r="ABS154" s="1137">
        <f t="shared" si="41"/>
        <v>31</v>
      </c>
      <c r="ABT154" s="1137">
        <f t="shared" si="41"/>
        <v>28</v>
      </c>
      <c r="ABU154" s="1137">
        <f t="shared" si="41"/>
        <v>29</v>
      </c>
      <c r="ABV154" s="1137">
        <f t="shared" si="41"/>
        <v>0</v>
      </c>
      <c r="ABW154" s="1137">
        <f t="shared" si="31"/>
        <v>0</v>
      </c>
      <c r="ABX154" s="1137">
        <f t="shared" si="34"/>
        <v>0</v>
      </c>
      <c r="ABY154" s="1137">
        <f t="shared" si="34"/>
        <v>0</v>
      </c>
      <c r="ABZ154" s="1137">
        <f t="shared" si="34"/>
        <v>0</v>
      </c>
      <c r="ACA154" s="1137">
        <f t="shared" si="34"/>
        <v>0</v>
      </c>
      <c r="ACB154" s="1137">
        <f t="shared" si="34"/>
        <v>0</v>
      </c>
      <c r="ACC154" s="1137">
        <f t="shared" si="34"/>
        <v>0</v>
      </c>
      <c r="ACD154" s="1137">
        <f t="shared" si="34"/>
        <v>0</v>
      </c>
      <c r="ACE154" s="1137" t="s">
        <v>174</v>
      </c>
      <c r="ACF154" s="1137">
        <f t="shared" si="39"/>
        <v>0</v>
      </c>
      <c r="ACG154" s="1137">
        <f t="shared" si="39"/>
        <v>0</v>
      </c>
      <c r="ACH154" s="1137">
        <f t="shared" si="38"/>
        <v>1</v>
      </c>
      <c r="ACI154" s="1137">
        <f t="shared" si="38"/>
        <v>1</v>
      </c>
      <c r="ACJ154" s="1137">
        <f t="shared" si="38"/>
        <v>1</v>
      </c>
      <c r="ACK154" s="1137">
        <f t="shared" si="38"/>
        <v>1</v>
      </c>
      <c r="ACL154" s="1137">
        <f t="shared" si="38"/>
        <v>1</v>
      </c>
      <c r="ACM154" s="1137">
        <f t="shared" si="38"/>
        <v>1</v>
      </c>
      <c r="ACN154" s="1137">
        <f t="shared" si="38"/>
        <v>1</v>
      </c>
      <c r="ACO154" s="1137">
        <f t="shared" si="38"/>
        <v>1</v>
      </c>
      <c r="ACP154" s="1137">
        <f t="shared" si="38"/>
        <v>1</v>
      </c>
      <c r="ACQ154" s="1137">
        <f t="shared" si="38"/>
        <v>1</v>
      </c>
      <c r="ACR154" s="1137">
        <f t="shared" si="38"/>
        <v>1</v>
      </c>
      <c r="ACS154" s="1137">
        <f t="shared" si="38"/>
        <v>1</v>
      </c>
      <c r="ACT154" s="1137">
        <f t="shared" si="38"/>
        <v>1</v>
      </c>
      <c r="ACU154" s="1137">
        <f t="shared" si="38"/>
        <v>0</v>
      </c>
      <c r="ACV154" s="1137">
        <f t="shared" si="38"/>
        <v>0</v>
      </c>
      <c r="ACW154" s="1137">
        <f t="shared" si="38"/>
        <v>0</v>
      </c>
      <c r="ACX154" s="1137">
        <f t="shared" si="42"/>
        <v>0</v>
      </c>
      <c r="ACY154" s="1137">
        <f t="shared" si="42"/>
        <v>0</v>
      </c>
      <c r="ACZ154" s="1137">
        <f t="shared" si="42"/>
        <v>0</v>
      </c>
      <c r="ADA154" s="1137">
        <f t="shared" si="35"/>
        <v>0</v>
      </c>
      <c r="ADB154" s="1137">
        <f t="shared" si="35"/>
        <v>0</v>
      </c>
      <c r="ADC154" s="1137">
        <f t="shared" si="35"/>
        <v>0</v>
      </c>
    </row>
    <row r="155" spans="1:783" x14ac:dyDescent="0.25">
      <c r="A155" t="s">
        <v>1955</v>
      </c>
      <c r="B155" t="s">
        <v>250</v>
      </c>
      <c r="C155">
        <v>0</v>
      </c>
      <c r="D155">
        <v>0</v>
      </c>
      <c r="E155">
        <v>0</v>
      </c>
      <c r="F155">
        <v>0</v>
      </c>
      <c r="G155">
        <v>0</v>
      </c>
      <c r="H155">
        <v>0</v>
      </c>
      <c r="I155">
        <v>0</v>
      </c>
      <c r="J155">
        <v>0</v>
      </c>
      <c r="K155">
        <v>0</v>
      </c>
      <c r="L155">
        <v>0</v>
      </c>
      <c r="M155">
        <v>0</v>
      </c>
      <c r="N155">
        <v>0</v>
      </c>
      <c r="O155">
        <v>0</v>
      </c>
      <c r="P155">
        <v>0</v>
      </c>
      <c r="Q155">
        <v>0</v>
      </c>
      <c r="R155">
        <v>0</v>
      </c>
      <c r="S155">
        <v>0</v>
      </c>
      <c r="T155">
        <v>0</v>
      </c>
      <c r="U155">
        <v>0</v>
      </c>
      <c r="V155">
        <v>0</v>
      </c>
      <c r="W155">
        <v>0</v>
      </c>
      <c r="X155">
        <v>0</v>
      </c>
      <c r="Y155">
        <v>0</v>
      </c>
      <c r="Z155">
        <v>0</v>
      </c>
      <c r="AA155">
        <v>0</v>
      </c>
      <c r="AB155">
        <v>0</v>
      </c>
      <c r="AC155">
        <v>0</v>
      </c>
      <c r="AD155">
        <v>0</v>
      </c>
      <c r="AE155">
        <v>0</v>
      </c>
      <c r="AF155">
        <v>0</v>
      </c>
      <c r="AG155">
        <v>0</v>
      </c>
      <c r="AH155">
        <v>0</v>
      </c>
      <c r="AI155">
        <v>0</v>
      </c>
      <c r="AJ155">
        <v>0</v>
      </c>
      <c r="AK155">
        <v>0</v>
      </c>
      <c r="AL155">
        <v>0</v>
      </c>
      <c r="AM155">
        <v>0</v>
      </c>
      <c r="AN155">
        <v>0</v>
      </c>
      <c r="AO155">
        <v>0</v>
      </c>
      <c r="AP155">
        <v>0</v>
      </c>
      <c r="AQ155">
        <v>0</v>
      </c>
      <c r="AR155">
        <v>0</v>
      </c>
      <c r="AS155">
        <v>0</v>
      </c>
      <c r="AT155">
        <v>0</v>
      </c>
      <c r="AU155">
        <v>0</v>
      </c>
      <c r="AV155">
        <v>0</v>
      </c>
      <c r="AW155">
        <v>0</v>
      </c>
      <c r="AX155">
        <v>0</v>
      </c>
      <c r="AY155">
        <v>0</v>
      </c>
      <c r="AZ155">
        <v>0</v>
      </c>
      <c r="BA155">
        <v>0</v>
      </c>
      <c r="BB155">
        <v>0</v>
      </c>
      <c r="BC155">
        <v>0</v>
      </c>
      <c r="BD155">
        <v>0</v>
      </c>
      <c r="BE155">
        <v>0</v>
      </c>
      <c r="BF155">
        <v>0</v>
      </c>
      <c r="BG155">
        <v>0</v>
      </c>
      <c r="BH155">
        <v>0</v>
      </c>
      <c r="BI155">
        <v>0</v>
      </c>
      <c r="BJ155">
        <v>0</v>
      </c>
      <c r="BK155">
        <v>0</v>
      </c>
      <c r="BL155">
        <v>0</v>
      </c>
      <c r="BM155">
        <v>0</v>
      </c>
      <c r="BN155">
        <v>0</v>
      </c>
      <c r="BO155">
        <v>0</v>
      </c>
      <c r="BP155">
        <v>0</v>
      </c>
      <c r="BQ155">
        <v>0</v>
      </c>
      <c r="BR155">
        <v>1</v>
      </c>
      <c r="BS155">
        <v>1</v>
      </c>
      <c r="BT155">
        <v>1</v>
      </c>
      <c r="BU155">
        <v>1</v>
      </c>
      <c r="BV155">
        <v>1</v>
      </c>
      <c r="BW155">
        <v>1</v>
      </c>
      <c r="BX155">
        <v>1</v>
      </c>
      <c r="BY155">
        <v>1</v>
      </c>
      <c r="BZ155">
        <v>1</v>
      </c>
      <c r="CA155">
        <v>1</v>
      </c>
      <c r="CB155">
        <v>1</v>
      </c>
      <c r="CC155">
        <v>1</v>
      </c>
      <c r="CD155">
        <v>1</v>
      </c>
      <c r="CE155">
        <v>1</v>
      </c>
      <c r="CF155">
        <v>1</v>
      </c>
      <c r="CG155">
        <v>1</v>
      </c>
      <c r="CH155">
        <v>1</v>
      </c>
      <c r="CI155">
        <v>1</v>
      </c>
      <c r="CJ155">
        <v>1</v>
      </c>
      <c r="CK155">
        <v>1</v>
      </c>
      <c r="CL155">
        <v>1</v>
      </c>
      <c r="CM155">
        <v>1</v>
      </c>
      <c r="CN155">
        <v>1</v>
      </c>
      <c r="CO155">
        <v>1</v>
      </c>
      <c r="CP155">
        <v>1</v>
      </c>
      <c r="CQ155">
        <v>1</v>
      </c>
      <c r="CR155">
        <v>1</v>
      </c>
      <c r="CS155">
        <v>1</v>
      </c>
      <c r="CT155">
        <v>1</v>
      </c>
      <c r="CU155">
        <v>1</v>
      </c>
      <c r="CV155">
        <v>1</v>
      </c>
      <c r="CW155">
        <v>1</v>
      </c>
      <c r="CX155">
        <v>1</v>
      </c>
      <c r="CY155">
        <v>1</v>
      </c>
      <c r="CZ155">
        <v>1</v>
      </c>
      <c r="DA155">
        <v>1</v>
      </c>
      <c r="DB155">
        <v>1</v>
      </c>
      <c r="DC155">
        <v>1</v>
      </c>
      <c r="DD155">
        <v>1</v>
      </c>
      <c r="DE155">
        <v>1</v>
      </c>
      <c r="DF155">
        <v>2</v>
      </c>
      <c r="DG155">
        <v>2</v>
      </c>
      <c r="DH155">
        <v>2</v>
      </c>
      <c r="DI155">
        <v>2</v>
      </c>
      <c r="DJ155">
        <v>2</v>
      </c>
      <c r="DK155">
        <v>2</v>
      </c>
      <c r="DL155">
        <v>2</v>
      </c>
      <c r="DM155">
        <v>2</v>
      </c>
      <c r="DN155">
        <v>2</v>
      </c>
      <c r="DO155">
        <v>2</v>
      </c>
      <c r="DP155">
        <v>2</v>
      </c>
      <c r="DQ155">
        <v>2</v>
      </c>
      <c r="DR155">
        <v>2</v>
      </c>
      <c r="DS155">
        <v>2</v>
      </c>
      <c r="DT155">
        <v>2</v>
      </c>
      <c r="DU155">
        <v>2</v>
      </c>
      <c r="DV155">
        <v>1</v>
      </c>
      <c r="DW155">
        <v>1</v>
      </c>
      <c r="DX155">
        <v>1</v>
      </c>
      <c r="DY155">
        <v>1</v>
      </c>
      <c r="DZ155">
        <v>1</v>
      </c>
      <c r="EA155">
        <v>1</v>
      </c>
      <c r="EB155">
        <v>1</v>
      </c>
      <c r="EC155">
        <v>1</v>
      </c>
      <c r="ED155">
        <v>1</v>
      </c>
      <c r="EE155">
        <v>1</v>
      </c>
      <c r="EF155">
        <v>1</v>
      </c>
      <c r="EG155">
        <v>1</v>
      </c>
      <c r="EH155">
        <v>1</v>
      </c>
      <c r="EI155">
        <v>1</v>
      </c>
      <c r="EJ155">
        <v>1</v>
      </c>
      <c r="EK155">
        <v>1</v>
      </c>
      <c r="EL155">
        <v>1</v>
      </c>
      <c r="EM155">
        <v>1</v>
      </c>
      <c r="EN155">
        <v>1</v>
      </c>
      <c r="EO155">
        <v>1</v>
      </c>
      <c r="EP155">
        <v>1</v>
      </c>
      <c r="EQ155">
        <v>1</v>
      </c>
      <c r="ER155">
        <v>1</v>
      </c>
      <c r="ES155">
        <v>1</v>
      </c>
      <c r="ET155">
        <v>1</v>
      </c>
      <c r="EU155">
        <v>1</v>
      </c>
      <c r="EV155">
        <v>1</v>
      </c>
      <c r="EW155">
        <v>1</v>
      </c>
      <c r="EX155">
        <v>1</v>
      </c>
      <c r="EY155">
        <v>0</v>
      </c>
      <c r="EZ155">
        <v>0</v>
      </c>
      <c r="FA155">
        <v>0</v>
      </c>
      <c r="FB155">
        <v>0</v>
      </c>
      <c r="FC155">
        <v>0</v>
      </c>
      <c r="FD155">
        <v>0</v>
      </c>
      <c r="FE155">
        <v>0</v>
      </c>
      <c r="FF155">
        <v>0</v>
      </c>
      <c r="FG155">
        <v>0</v>
      </c>
      <c r="FH155">
        <v>0</v>
      </c>
      <c r="FI155">
        <v>0</v>
      </c>
      <c r="FJ155">
        <v>0</v>
      </c>
      <c r="FK155">
        <v>0</v>
      </c>
      <c r="FL155">
        <v>0</v>
      </c>
      <c r="FM155">
        <v>0</v>
      </c>
      <c r="FN155">
        <v>0</v>
      </c>
      <c r="FO155">
        <v>0</v>
      </c>
      <c r="FP155">
        <v>0</v>
      </c>
      <c r="FQ155">
        <v>0</v>
      </c>
      <c r="FR155">
        <v>0</v>
      </c>
      <c r="FS155">
        <v>0</v>
      </c>
      <c r="FT155">
        <v>0</v>
      </c>
      <c r="FU155">
        <v>0</v>
      </c>
      <c r="FV155">
        <v>0</v>
      </c>
      <c r="FW155">
        <v>0</v>
      </c>
      <c r="FX155">
        <v>0</v>
      </c>
      <c r="FY155">
        <v>0</v>
      </c>
      <c r="FZ155">
        <v>0</v>
      </c>
      <c r="GA155">
        <v>0</v>
      </c>
      <c r="GB155">
        <v>0</v>
      </c>
      <c r="GC155">
        <v>0</v>
      </c>
      <c r="GD155">
        <v>0</v>
      </c>
      <c r="GE155">
        <v>0</v>
      </c>
      <c r="GF155">
        <v>0</v>
      </c>
      <c r="GG155">
        <v>0</v>
      </c>
      <c r="GH155">
        <v>0</v>
      </c>
      <c r="GI155">
        <v>0</v>
      </c>
      <c r="GJ155">
        <v>0</v>
      </c>
      <c r="GK155">
        <v>0</v>
      </c>
      <c r="GL155">
        <v>0</v>
      </c>
      <c r="GM155">
        <v>0</v>
      </c>
      <c r="GN155">
        <v>0</v>
      </c>
      <c r="GO155">
        <v>0</v>
      </c>
      <c r="GP155">
        <v>0</v>
      </c>
      <c r="GQ155">
        <v>0</v>
      </c>
      <c r="GR155">
        <v>0</v>
      </c>
      <c r="GS155">
        <v>0</v>
      </c>
      <c r="GT155">
        <v>0</v>
      </c>
      <c r="GU155">
        <v>0</v>
      </c>
      <c r="GV155">
        <v>0</v>
      </c>
      <c r="GW155">
        <v>0</v>
      </c>
      <c r="GX155">
        <v>0</v>
      </c>
      <c r="GY155">
        <v>0</v>
      </c>
      <c r="GZ155">
        <v>0</v>
      </c>
      <c r="HA155">
        <v>0</v>
      </c>
      <c r="HB155">
        <v>0</v>
      </c>
      <c r="HC155">
        <v>0</v>
      </c>
      <c r="HD155">
        <v>0</v>
      </c>
      <c r="HE155">
        <v>0</v>
      </c>
      <c r="HF155">
        <v>0</v>
      </c>
      <c r="HG155">
        <v>0</v>
      </c>
      <c r="HH155">
        <v>0</v>
      </c>
      <c r="HI155">
        <v>0</v>
      </c>
      <c r="HJ155">
        <v>0</v>
      </c>
      <c r="HK155">
        <v>0</v>
      </c>
      <c r="HL155">
        <v>0</v>
      </c>
      <c r="HM155">
        <v>0</v>
      </c>
      <c r="HN155">
        <v>0</v>
      </c>
      <c r="HO155">
        <v>0</v>
      </c>
      <c r="HP155">
        <v>0</v>
      </c>
      <c r="HQ155">
        <v>0</v>
      </c>
      <c r="HR155">
        <v>0</v>
      </c>
      <c r="HS155">
        <v>0</v>
      </c>
      <c r="HT155">
        <v>0</v>
      </c>
      <c r="HU155">
        <v>0</v>
      </c>
      <c r="HV155">
        <v>0</v>
      </c>
      <c r="HW155">
        <v>0</v>
      </c>
      <c r="HX155">
        <v>0</v>
      </c>
      <c r="HY155">
        <v>0</v>
      </c>
      <c r="HZ155">
        <v>0</v>
      </c>
      <c r="IA155">
        <v>0</v>
      </c>
      <c r="IB155">
        <v>0</v>
      </c>
      <c r="IC155">
        <v>0</v>
      </c>
      <c r="ID155">
        <v>0</v>
      </c>
      <c r="IE155">
        <v>0</v>
      </c>
      <c r="IF155">
        <v>0</v>
      </c>
      <c r="IG155">
        <v>0</v>
      </c>
      <c r="IH155">
        <v>0</v>
      </c>
      <c r="II155">
        <v>0</v>
      </c>
      <c r="IJ155">
        <v>0</v>
      </c>
      <c r="IK155">
        <v>0</v>
      </c>
      <c r="IL155">
        <v>0</v>
      </c>
      <c r="IM155">
        <v>0</v>
      </c>
      <c r="IN155">
        <v>0</v>
      </c>
      <c r="IO155">
        <v>0</v>
      </c>
      <c r="IP155">
        <v>0</v>
      </c>
      <c r="IQ155">
        <v>0</v>
      </c>
      <c r="IR155">
        <v>0</v>
      </c>
      <c r="IS155">
        <v>0</v>
      </c>
      <c r="IT155">
        <v>0</v>
      </c>
      <c r="IU155">
        <v>0</v>
      </c>
      <c r="IV155">
        <v>0</v>
      </c>
      <c r="IW155">
        <v>0</v>
      </c>
      <c r="IX155">
        <v>0</v>
      </c>
      <c r="IY155">
        <v>0</v>
      </c>
      <c r="IZ155">
        <v>0</v>
      </c>
      <c r="JA155">
        <v>0</v>
      </c>
      <c r="JB155">
        <v>0</v>
      </c>
      <c r="JC155">
        <v>0</v>
      </c>
      <c r="JD155">
        <v>0</v>
      </c>
      <c r="JE155">
        <v>0</v>
      </c>
      <c r="JF155">
        <v>0</v>
      </c>
      <c r="JG155">
        <v>0</v>
      </c>
      <c r="JH155">
        <v>0</v>
      </c>
      <c r="JI155">
        <v>0</v>
      </c>
      <c r="JJ155">
        <v>0</v>
      </c>
      <c r="JK155">
        <v>0</v>
      </c>
      <c r="JL155">
        <v>0</v>
      </c>
      <c r="JM155">
        <v>0</v>
      </c>
      <c r="JN155">
        <v>0</v>
      </c>
      <c r="JO155">
        <v>0</v>
      </c>
      <c r="JP155">
        <v>0</v>
      </c>
      <c r="JQ155">
        <v>0</v>
      </c>
      <c r="JR155">
        <v>0</v>
      </c>
      <c r="JS155">
        <v>0</v>
      </c>
      <c r="JT155">
        <v>0</v>
      </c>
      <c r="JU155">
        <v>0</v>
      </c>
      <c r="JV155">
        <v>0</v>
      </c>
      <c r="JW155">
        <v>0</v>
      </c>
      <c r="JX155">
        <v>0</v>
      </c>
      <c r="JY155">
        <v>0</v>
      </c>
      <c r="JZ155">
        <v>0</v>
      </c>
      <c r="KA155">
        <v>0</v>
      </c>
      <c r="KB155">
        <v>0</v>
      </c>
      <c r="KC155">
        <v>0</v>
      </c>
      <c r="KD155">
        <v>0</v>
      </c>
      <c r="KE155">
        <v>0</v>
      </c>
      <c r="KF155">
        <v>0</v>
      </c>
      <c r="KG155">
        <v>0</v>
      </c>
      <c r="KH155">
        <v>0</v>
      </c>
      <c r="KI155">
        <v>0</v>
      </c>
      <c r="KJ155">
        <v>0</v>
      </c>
      <c r="KK155">
        <v>0</v>
      </c>
      <c r="KL155">
        <v>0</v>
      </c>
      <c r="KM155">
        <v>0</v>
      </c>
      <c r="KN155">
        <v>0</v>
      </c>
      <c r="KO155">
        <v>0</v>
      </c>
      <c r="KP155">
        <v>0</v>
      </c>
      <c r="KQ155">
        <v>0</v>
      </c>
      <c r="KR155">
        <v>0</v>
      </c>
      <c r="KS155">
        <v>0</v>
      </c>
      <c r="KT155">
        <v>0</v>
      </c>
      <c r="KU155">
        <v>0</v>
      </c>
      <c r="KV155">
        <v>0</v>
      </c>
      <c r="KW155">
        <v>0</v>
      </c>
      <c r="KX155">
        <v>0</v>
      </c>
      <c r="KY155">
        <v>0</v>
      </c>
      <c r="KZ155">
        <v>0</v>
      </c>
      <c r="LA155">
        <v>0</v>
      </c>
      <c r="LB155">
        <v>0</v>
      </c>
      <c r="LC155">
        <v>0</v>
      </c>
      <c r="LD155">
        <v>0</v>
      </c>
      <c r="LE155">
        <v>0</v>
      </c>
      <c r="LF155">
        <v>0</v>
      </c>
      <c r="LG155">
        <v>0</v>
      </c>
      <c r="LH155">
        <v>0</v>
      </c>
      <c r="LI155">
        <v>0</v>
      </c>
      <c r="LJ155">
        <v>0</v>
      </c>
      <c r="LK155">
        <v>0</v>
      </c>
      <c r="LL155">
        <v>0</v>
      </c>
      <c r="LM155">
        <v>0</v>
      </c>
      <c r="LN155">
        <v>0</v>
      </c>
      <c r="LO155">
        <v>0</v>
      </c>
      <c r="LP155">
        <v>0</v>
      </c>
      <c r="LQ155">
        <v>0</v>
      </c>
      <c r="LR155">
        <v>0</v>
      </c>
      <c r="LS155">
        <v>0</v>
      </c>
      <c r="LT155">
        <v>0</v>
      </c>
      <c r="LU155">
        <v>0</v>
      </c>
      <c r="LV155">
        <v>0</v>
      </c>
      <c r="LW155">
        <v>0</v>
      </c>
      <c r="LX155">
        <v>0</v>
      </c>
      <c r="LY155">
        <v>0</v>
      </c>
      <c r="LZ155">
        <v>0</v>
      </c>
      <c r="MA155">
        <v>0</v>
      </c>
      <c r="MB155">
        <v>0</v>
      </c>
      <c r="MC155">
        <v>0</v>
      </c>
      <c r="MD155">
        <v>0</v>
      </c>
      <c r="ME155">
        <v>0</v>
      </c>
      <c r="MF155">
        <v>0</v>
      </c>
      <c r="MG155">
        <v>0</v>
      </c>
      <c r="MH155">
        <v>0</v>
      </c>
      <c r="MI155">
        <v>0</v>
      </c>
      <c r="MJ155">
        <v>0</v>
      </c>
      <c r="MK155">
        <v>0</v>
      </c>
      <c r="ML155">
        <v>0</v>
      </c>
      <c r="MM155">
        <v>0</v>
      </c>
      <c r="MN155">
        <v>0</v>
      </c>
      <c r="MO155">
        <v>0</v>
      </c>
      <c r="MP155">
        <v>0</v>
      </c>
      <c r="MQ155">
        <v>0</v>
      </c>
      <c r="MR155">
        <v>0</v>
      </c>
      <c r="MS155">
        <v>0</v>
      </c>
      <c r="MT155">
        <v>0</v>
      </c>
      <c r="MU155">
        <v>0</v>
      </c>
      <c r="MV155">
        <v>0</v>
      </c>
      <c r="MW155">
        <v>2</v>
      </c>
      <c r="MX155">
        <v>2</v>
      </c>
      <c r="MY155">
        <v>2</v>
      </c>
      <c r="MZ155">
        <v>2</v>
      </c>
      <c r="NA155">
        <v>0</v>
      </c>
      <c r="NB155">
        <v>0</v>
      </c>
      <c r="NC155">
        <v>0</v>
      </c>
      <c r="ND155">
        <v>2</v>
      </c>
      <c r="NE155">
        <v>2</v>
      </c>
      <c r="NF155">
        <v>2</v>
      </c>
      <c r="NG155">
        <v>2</v>
      </c>
      <c r="NH155">
        <v>2</v>
      </c>
      <c r="NI155">
        <v>2</v>
      </c>
      <c r="NJ155">
        <v>2</v>
      </c>
      <c r="NK155">
        <v>1</v>
      </c>
      <c r="NL155">
        <v>1</v>
      </c>
      <c r="NM155">
        <v>1</v>
      </c>
      <c r="NN155">
        <v>1</v>
      </c>
      <c r="NO155">
        <v>1</v>
      </c>
      <c r="NP155">
        <v>1</v>
      </c>
      <c r="NQ155">
        <v>1</v>
      </c>
      <c r="NR155">
        <v>1</v>
      </c>
      <c r="NS155">
        <v>1</v>
      </c>
      <c r="NT155">
        <v>1</v>
      </c>
      <c r="NU155">
        <v>1</v>
      </c>
      <c r="NV155">
        <v>1</v>
      </c>
      <c r="NW155">
        <v>1</v>
      </c>
      <c r="NX155">
        <v>1</v>
      </c>
      <c r="NY155">
        <v>1</v>
      </c>
      <c r="NZ155">
        <v>1</v>
      </c>
      <c r="OA155">
        <v>1</v>
      </c>
      <c r="OB155">
        <v>1</v>
      </c>
      <c r="OC155">
        <v>1</v>
      </c>
      <c r="OD155">
        <v>1</v>
      </c>
      <c r="OE155">
        <v>1</v>
      </c>
      <c r="OF155">
        <v>1</v>
      </c>
      <c r="OG155">
        <v>1</v>
      </c>
      <c r="OH155">
        <v>1</v>
      </c>
      <c r="OI155">
        <v>1</v>
      </c>
      <c r="OJ155">
        <v>1</v>
      </c>
      <c r="OK155">
        <v>1</v>
      </c>
      <c r="OL155">
        <v>1</v>
      </c>
      <c r="OM155">
        <v>1</v>
      </c>
      <c r="ON155">
        <v>1</v>
      </c>
      <c r="OO155">
        <v>1</v>
      </c>
      <c r="OP155">
        <v>1</v>
      </c>
      <c r="OQ155">
        <v>1</v>
      </c>
      <c r="OR155">
        <v>1</v>
      </c>
      <c r="OS155">
        <v>1</v>
      </c>
      <c r="OT155">
        <v>1</v>
      </c>
      <c r="OU155">
        <v>1</v>
      </c>
      <c r="OV155">
        <v>1</v>
      </c>
      <c r="OW155">
        <v>1</v>
      </c>
      <c r="OX155">
        <v>1</v>
      </c>
      <c r="OY155">
        <v>1</v>
      </c>
      <c r="OZ155">
        <v>1</v>
      </c>
      <c r="PA155">
        <v>1</v>
      </c>
      <c r="PB155">
        <v>1</v>
      </c>
      <c r="PC155">
        <v>1</v>
      </c>
      <c r="PD155">
        <v>1</v>
      </c>
      <c r="PE155">
        <v>1</v>
      </c>
      <c r="PF155">
        <v>1</v>
      </c>
      <c r="PG155">
        <v>1</v>
      </c>
      <c r="PH155">
        <v>1</v>
      </c>
      <c r="PI155">
        <v>1</v>
      </c>
      <c r="PJ155">
        <v>1</v>
      </c>
      <c r="PK155">
        <v>1</v>
      </c>
      <c r="PL155">
        <v>1</v>
      </c>
      <c r="PM155">
        <v>1</v>
      </c>
      <c r="PN155">
        <v>1</v>
      </c>
      <c r="PO155">
        <v>1</v>
      </c>
      <c r="PP155">
        <v>1</v>
      </c>
      <c r="PQ155">
        <v>1</v>
      </c>
      <c r="PR155">
        <v>1</v>
      </c>
      <c r="PS155">
        <v>1</v>
      </c>
      <c r="PT155">
        <v>1</v>
      </c>
      <c r="PU155">
        <v>1</v>
      </c>
      <c r="PV155">
        <v>1</v>
      </c>
      <c r="PW155">
        <v>1</v>
      </c>
      <c r="PX155">
        <v>1</v>
      </c>
      <c r="PY155">
        <v>1</v>
      </c>
      <c r="PZ155">
        <v>1</v>
      </c>
      <c r="QA155">
        <v>1</v>
      </c>
      <c r="QB155">
        <v>1</v>
      </c>
      <c r="QC155">
        <v>1</v>
      </c>
      <c r="QD155">
        <v>1</v>
      </c>
      <c r="QE155">
        <v>1</v>
      </c>
      <c r="QF155">
        <v>1</v>
      </c>
      <c r="QG155">
        <v>1</v>
      </c>
      <c r="QH155">
        <v>1</v>
      </c>
      <c r="QI155">
        <v>1</v>
      </c>
      <c r="QJ155">
        <v>1</v>
      </c>
      <c r="QK155">
        <v>1</v>
      </c>
      <c r="QL155">
        <v>1</v>
      </c>
      <c r="QM155">
        <v>1</v>
      </c>
      <c r="QN155">
        <v>1</v>
      </c>
      <c r="QO155">
        <v>1</v>
      </c>
      <c r="QP155">
        <v>1</v>
      </c>
      <c r="QQ155">
        <v>1</v>
      </c>
      <c r="QR155">
        <v>1</v>
      </c>
      <c r="QS155">
        <v>1</v>
      </c>
      <c r="QT155">
        <v>1</v>
      </c>
      <c r="QU155">
        <v>1</v>
      </c>
      <c r="QV155">
        <v>1</v>
      </c>
      <c r="QW155">
        <v>1</v>
      </c>
      <c r="QX155">
        <v>1</v>
      </c>
      <c r="QY155">
        <v>1</v>
      </c>
      <c r="QZ155">
        <v>1</v>
      </c>
      <c r="RA155">
        <v>1</v>
      </c>
      <c r="RB155">
        <v>1</v>
      </c>
      <c r="RC155">
        <v>1</v>
      </c>
      <c r="RD155">
        <v>1</v>
      </c>
      <c r="RE155">
        <v>1</v>
      </c>
      <c r="RF155">
        <v>1</v>
      </c>
      <c r="RG155">
        <v>1</v>
      </c>
      <c r="RH155">
        <v>1</v>
      </c>
      <c r="RI155">
        <v>1</v>
      </c>
      <c r="RJ155">
        <v>1</v>
      </c>
      <c r="RK155">
        <v>1</v>
      </c>
      <c r="RL155">
        <v>1</v>
      </c>
      <c r="RM155">
        <v>1</v>
      </c>
      <c r="RN155">
        <v>1</v>
      </c>
      <c r="RO155">
        <v>1</v>
      </c>
      <c r="RP155">
        <v>1</v>
      </c>
      <c r="RQ155">
        <v>0</v>
      </c>
      <c r="RR155">
        <v>0</v>
      </c>
      <c r="RS155">
        <v>0</v>
      </c>
      <c r="RT155">
        <v>0</v>
      </c>
      <c r="RU155">
        <v>0</v>
      </c>
      <c r="RV155">
        <v>0</v>
      </c>
      <c r="RW155">
        <v>0</v>
      </c>
      <c r="RX155">
        <v>0</v>
      </c>
      <c r="RY155">
        <v>0</v>
      </c>
      <c r="RZ155">
        <v>0</v>
      </c>
      <c r="SA155">
        <v>0</v>
      </c>
      <c r="SB155">
        <v>0</v>
      </c>
      <c r="SC155">
        <v>0</v>
      </c>
      <c r="SD155">
        <v>0</v>
      </c>
      <c r="SE155">
        <v>0</v>
      </c>
      <c r="SF155">
        <v>0</v>
      </c>
      <c r="SG155">
        <v>0</v>
      </c>
      <c r="SH155">
        <v>0</v>
      </c>
      <c r="SI155">
        <v>0</v>
      </c>
      <c r="SJ155">
        <v>0</v>
      </c>
      <c r="SK155">
        <v>0</v>
      </c>
      <c r="SL155">
        <v>0</v>
      </c>
      <c r="SM155">
        <v>0</v>
      </c>
      <c r="SN155">
        <v>0</v>
      </c>
      <c r="SO155">
        <v>0</v>
      </c>
      <c r="SP155">
        <v>0</v>
      </c>
      <c r="SQ155">
        <v>0</v>
      </c>
      <c r="SR155">
        <v>0</v>
      </c>
      <c r="SS155">
        <v>0</v>
      </c>
      <c r="ST155">
        <v>0</v>
      </c>
      <c r="SU155">
        <v>0</v>
      </c>
      <c r="SV155">
        <v>0</v>
      </c>
      <c r="SW155">
        <v>0</v>
      </c>
      <c r="SX155">
        <v>0</v>
      </c>
      <c r="SY155">
        <v>0</v>
      </c>
      <c r="SZ155">
        <v>0</v>
      </c>
      <c r="TA155">
        <v>0</v>
      </c>
      <c r="TB155">
        <v>0</v>
      </c>
      <c r="TC155">
        <v>0</v>
      </c>
      <c r="TD155">
        <v>0</v>
      </c>
      <c r="TE155">
        <v>0</v>
      </c>
      <c r="TF155">
        <v>0</v>
      </c>
      <c r="TG155">
        <v>0</v>
      </c>
      <c r="TH155">
        <v>0</v>
      </c>
      <c r="TI155">
        <v>0</v>
      </c>
      <c r="TJ155">
        <v>0</v>
      </c>
      <c r="TK155">
        <v>0</v>
      </c>
      <c r="TL155">
        <v>0</v>
      </c>
      <c r="TM155">
        <v>0</v>
      </c>
      <c r="TN155">
        <v>0</v>
      </c>
      <c r="TO155">
        <v>0</v>
      </c>
      <c r="TP155">
        <v>0</v>
      </c>
      <c r="TQ155">
        <v>0</v>
      </c>
      <c r="TR155">
        <v>0</v>
      </c>
      <c r="TS155">
        <v>0</v>
      </c>
      <c r="TT155">
        <v>0</v>
      </c>
      <c r="TU155">
        <v>0</v>
      </c>
      <c r="TV155">
        <v>0</v>
      </c>
      <c r="TW155">
        <v>0</v>
      </c>
      <c r="TX155">
        <v>0</v>
      </c>
      <c r="TY155">
        <v>0</v>
      </c>
      <c r="TZ155">
        <v>0</v>
      </c>
      <c r="UA155">
        <v>0</v>
      </c>
      <c r="UB155">
        <v>0</v>
      </c>
      <c r="UC155">
        <v>0</v>
      </c>
      <c r="UD155">
        <v>0</v>
      </c>
      <c r="UE155">
        <v>0</v>
      </c>
      <c r="UF155">
        <v>0</v>
      </c>
      <c r="UG155">
        <v>0</v>
      </c>
      <c r="UH155">
        <v>0</v>
      </c>
      <c r="UI155">
        <v>0</v>
      </c>
      <c r="UJ155">
        <v>0</v>
      </c>
      <c r="UK155">
        <v>0</v>
      </c>
      <c r="UL155">
        <v>0</v>
      </c>
      <c r="UM155">
        <v>0</v>
      </c>
      <c r="UN155">
        <v>0</v>
      </c>
      <c r="UO155">
        <v>0</v>
      </c>
      <c r="UP155">
        <v>0</v>
      </c>
      <c r="UQ155">
        <v>0</v>
      </c>
      <c r="UR155">
        <v>0</v>
      </c>
      <c r="US155">
        <v>0</v>
      </c>
      <c r="UT155">
        <v>0</v>
      </c>
      <c r="UU155">
        <v>0</v>
      </c>
      <c r="UV155">
        <v>0</v>
      </c>
      <c r="UW155">
        <v>0</v>
      </c>
      <c r="UX155">
        <v>0</v>
      </c>
      <c r="UY155">
        <v>0</v>
      </c>
      <c r="UZ155">
        <v>0</v>
      </c>
      <c r="VA155">
        <v>0</v>
      </c>
      <c r="VB155">
        <v>0</v>
      </c>
      <c r="VC155">
        <v>0</v>
      </c>
      <c r="VD155">
        <v>0</v>
      </c>
      <c r="VE155">
        <v>0</v>
      </c>
      <c r="VF155">
        <v>0</v>
      </c>
      <c r="VG155">
        <v>0</v>
      </c>
      <c r="VH155">
        <v>0</v>
      </c>
      <c r="VI155">
        <v>0</v>
      </c>
      <c r="VJ155">
        <v>0</v>
      </c>
      <c r="VK155">
        <v>0</v>
      </c>
      <c r="VL155">
        <v>0</v>
      </c>
      <c r="VM155">
        <v>0</v>
      </c>
      <c r="VN155">
        <v>0</v>
      </c>
      <c r="VO155">
        <v>0</v>
      </c>
      <c r="VP155">
        <v>0</v>
      </c>
      <c r="VQ155">
        <v>0</v>
      </c>
      <c r="VR155">
        <v>0</v>
      </c>
      <c r="VS155">
        <v>0</v>
      </c>
      <c r="VT155">
        <v>0</v>
      </c>
      <c r="VU155">
        <v>0</v>
      </c>
      <c r="VV155">
        <v>0</v>
      </c>
      <c r="VW155">
        <v>0</v>
      </c>
      <c r="VX155">
        <v>0</v>
      </c>
      <c r="VY155">
        <v>0</v>
      </c>
      <c r="VZ155">
        <v>0</v>
      </c>
      <c r="WA155">
        <v>0</v>
      </c>
      <c r="WB155">
        <v>0</v>
      </c>
      <c r="WC155">
        <v>0</v>
      </c>
      <c r="WD155">
        <v>0</v>
      </c>
      <c r="WE155">
        <v>1</v>
      </c>
      <c r="WF155">
        <v>1</v>
      </c>
      <c r="WG155">
        <v>1</v>
      </c>
      <c r="WH155">
        <v>1</v>
      </c>
      <c r="WI155">
        <v>1</v>
      </c>
      <c r="WJ155">
        <v>1</v>
      </c>
      <c r="WK155">
        <v>1</v>
      </c>
      <c r="WL155">
        <v>1</v>
      </c>
      <c r="WM155">
        <v>1</v>
      </c>
      <c r="WN155">
        <v>1</v>
      </c>
      <c r="WO155">
        <v>1</v>
      </c>
      <c r="WP155">
        <v>1</v>
      </c>
      <c r="WQ155">
        <v>1</v>
      </c>
      <c r="WR155">
        <v>1</v>
      </c>
      <c r="WS155">
        <v>1</v>
      </c>
      <c r="WT155">
        <v>1</v>
      </c>
      <c r="WU155">
        <v>1</v>
      </c>
      <c r="WV155">
        <v>1</v>
      </c>
      <c r="WW155">
        <v>1</v>
      </c>
      <c r="WX155">
        <v>1</v>
      </c>
      <c r="WY155">
        <v>1</v>
      </c>
      <c r="WZ155">
        <v>1</v>
      </c>
      <c r="XA155">
        <v>1</v>
      </c>
      <c r="XB155">
        <v>1</v>
      </c>
      <c r="XC155">
        <v>1</v>
      </c>
      <c r="XD155">
        <v>1</v>
      </c>
      <c r="XE155">
        <v>1</v>
      </c>
      <c r="XF155">
        <v>1</v>
      </c>
      <c r="XG155">
        <v>1</v>
      </c>
      <c r="XH155">
        <v>1</v>
      </c>
      <c r="XI155">
        <v>1</v>
      </c>
      <c r="XJ155">
        <v>1</v>
      </c>
      <c r="XK155">
        <v>1</v>
      </c>
      <c r="XL155">
        <v>1</v>
      </c>
      <c r="XM155">
        <v>1</v>
      </c>
      <c r="XN155">
        <v>1</v>
      </c>
      <c r="XO155">
        <v>1</v>
      </c>
      <c r="XP155">
        <v>1</v>
      </c>
      <c r="XQ155">
        <v>1</v>
      </c>
      <c r="XR155">
        <v>1</v>
      </c>
      <c r="XS155">
        <v>1</v>
      </c>
      <c r="XT155">
        <v>1</v>
      </c>
      <c r="XU155">
        <v>1</v>
      </c>
      <c r="XV155">
        <v>0</v>
      </c>
      <c r="XW155">
        <v>0</v>
      </c>
      <c r="XX155">
        <v>0</v>
      </c>
      <c r="XY155">
        <v>0</v>
      </c>
      <c r="XZ155">
        <v>0</v>
      </c>
      <c r="YA155">
        <v>0</v>
      </c>
      <c r="YB155">
        <v>0</v>
      </c>
      <c r="YC155">
        <v>0</v>
      </c>
      <c r="YD155">
        <v>0</v>
      </c>
      <c r="YE155">
        <v>0</v>
      </c>
      <c r="YF155">
        <v>0</v>
      </c>
      <c r="YG155">
        <v>0</v>
      </c>
      <c r="YH155">
        <v>0</v>
      </c>
      <c r="YI155">
        <v>0</v>
      </c>
      <c r="YJ155">
        <v>0</v>
      </c>
      <c r="YK155">
        <v>0</v>
      </c>
      <c r="YL155">
        <v>0</v>
      </c>
      <c r="YM155">
        <v>0</v>
      </c>
      <c r="YN155">
        <v>0</v>
      </c>
      <c r="YO155">
        <v>0</v>
      </c>
      <c r="YP155">
        <v>0</v>
      </c>
      <c r="YQ155">
        <v>0</v>
      </c>
      <c r="YR155">
        <v>0</v>
      </c>
      <c r="YS155">
        <v>0</v>
      </c>
      <c r="YT155">
        <v>0</v>
      </c>
      <c r="YU155">
        <v>0</v>
      </c>
      <c r="YV155">
        <v>0</v>
      </c>
      <c r="YW155">
        <v>0</v>
      </c>
      <c r="YX155">
        <v>0</v>
      </c>
      <c r="YY155">
        <v>0</v>
      </c>
      <c r="YZ155">
        <v>0</v>
      </c>
      <c r="ZA155">
        <v>0</v>
      </c>
      <c r="ZB155">
        <v>0</v>
      </c>
      <c r="ZC155">
        <v>0</v>
      </c>
      <c r="ZD155">
        <v>0</v>
      </c>
      <c r="ZE155">
        <v>0</v>
      </c>
      <c r="ZF155">
        <v>0</v>
      </c>
      <c r="ZG155">
        <v>0</v>
      </c>
      <c r="ZH155">
        <v>0</v>
      </c>
      <c r="ZI155">
        <v>0</v>
      </c>
      <c r="ZJ155">
        <v>0</v>
      </c>
      <c r="ZK155">
        <v>0</v>
      </c>
      <c r="ZL155">
        <v>0</v>
      </c>
      <c r="ZM155">
        <v>0</v>
      </c>
      <c r="ZN155">
        <v>0</v>
      </c>
      <c r="ZO155">
        <v>0</v>
      </c>
      <c r="ZP155">
        <v>0</v>
      </c>
      <c r="ZQ155">
        <v>0</v>
      </c>
      <c r="ZR155">
        <v>0</v>
      </c>
      <c r="ZS155">
        <v>0</v>
      </c>
      <c r="ZT155">
        <v>0</v>
      </c>
      <c r="ZU155">
        <v>0</v>
      </c>
      <c r="ZV155">
        <v>0</v>
      </c>
      <c r="ZW155">
        <v>0</v>
      </c>
      <c r="ZX155">
        <v>0</v>
      </c>
      <c r="ZY155">
        <v>0</v>
      </c>
      <c r="ZZ155">
        <v>0</v>
      </c>
      <c r="AAA155">
        <v>0</v>
      </c>
      <c r="AAB155">
        <v>0</v>
      </c>
      <c r="AAC155">
        <v>0</v>
      </c>
      <c r="AAD155">
        <v>0</v>
      </c>
      <c r="AAE155">
        <v>0</v>
      </c>
      <c r="AAF155">
        <v>0</v>
      </c>
      <c r="AAG155">
        <v>0</v>
      </c>
      <c r="AAH155">
        <v>0</v>
      </c>
      <c r="AAI155">
        <v>0</v>
      </c>
      <c r="AAJ155">
        <v>0</v>
      </c>
      <c r="AAK155">
        <v>0</v>
      </c>
      <c r="AAL155">
        <v>0</v>
      </c>
      <c r="AAM155">
        <v>0</v>
      </c>
      <c r="AAN155">
        <v>0</v>
      </c>
      <c r="AAO155">
        <v>0</v>
      </c>
      <c r="AAP155">
        <v>0</v>
      </c>
      <c r="AAQ155">
        <v>0</v>
      </c>
      <c r="AAR155">
        <v>0</v>
      </c>
      <c r="AAS155">
        <v>0</v>
      </c>
      <c r="AAT155">
        <v>0</v>
      </c>
      <c r="AAU155">
        <v>0</v>
      </c>
      <c r="AAV155">
        <v>0</v>
      </c>
      <c r="AAW155">
        <v>0</v>
      </c>
      <c r="AAX155">
        <v>0</v>
      </c>
      <c r="AAY155">
        <v>0</v>
      </c>
      <c r="AAZ155">
        <v>0</v>
      </c>
      <c r="ABA155">
        <v>0</v>
      </c>
      <c r="ABB155">
        <v>0</v>
      </c>
      <c r="ABC155">
        <v>0</v>
      </c>
      <c r="ABD155">
        <v>0</v>
      </c>
      <c r="ABE155">
        <v>0</v>
      </c>
      <c r="ABG155" s="1137">
        <f t="shared" si="41"/>
        <v>0</v>
      </c>
      <c r="ABH155" s="1137">
        <f t="shared" si="41"/>
        <v>0</v>
      </c>
      <c r="ABI155" s="1137">
        <f t="shared" si="41"/>
        <v>24</v>
      </c>
      <c r="ABJ155" s="1137">
        <f t="shared" si="41"/>
        <v>30</v>
      </c>
      <c r="ABK155" s="1137">
        <f t="shared" si="41"/>
        <v>31</v>
      </c>
      <c r="ABL155" s="1137">
        <f t="shared" si="41"/>
        <v>0</v>
      </c>
      <c r="ABM155" s="1137">
        <f t="shared" si="41"/>
        <v>0</v>
      </c>
      <c r="ABN155" s="1137">
        <f t="shared" si="41"/>
        <v>0</v>
      </c>
      <c r="ABO155" s="1137">
        <f t="shared" si="41"/>
        <v>0</v>
      </c>
      <c r="ABP155" s="1137">
        <f t="shared" si="41"/>
        <v>0</v>
      </c>
      <c r="ABQ155" s="1137">
        <f t="shared" si="41"/>
        <v>0</v>
      </c>
      <c r="ABR155" s="1137">
        <f t="shared" si="41"/>
        <v>5</v>
      </c>
      <c r="ABS155" s="1137">
        <f t="shared" si="41"/>
        <v>31</v>
      </c>
      <c r="ABT155" s="1137">
        <f t="shared" si="41"/>
        <v>28</v>
      </c>
      <c r="ABU155" s="1137">
        <f t="shared" si="41"/>
        <v>31</v>
      </c>
      <c r="ABV155" s="1137">
        <f t="shared" si="41"/>
        <v>26</v>
      </c>
      <c r="ABW155" s="1137">
        <f t="shared" si="31"/>
        <v>0</v>
      </c>
      <c r="ABX155" s="1137">
        <f t="shared" si="34"/>
        <v>0</v>
      </c>
      <c r="ABY155" s="1137">
        <f t="shared" si="34"/>
        <v>0</v>
      </c>
      <c r="ABZ155" s="1137">
        <f t="shared" si="34"/>
        <v>9</v>
      </c>
      <c r="ACA155" s="1137">
        <f t="shared" si="34"/>
        <v>30</v>
      </c>
      <c r="ACB155" s="1137">
        <f t="shared" si="34"/>
        <v>4</v>
      </c>
      <c r="ACC155" s="1137">
        <f t="shared" si="34"/>
        <v>0</v>
      </c>
      <c r="ACD155" s="1137">
        <f t="shared" si="34"/>
        <v>0</v>
      </c>
      <c r="ACE155" s="1137" t="s">
        <v>250</v>
      </c>
      <c r="ACF155" s="1137">
        <f t="shared" si="39"/>
        <v>0</v>
      </c>
      <c r="ACG155" s="1137">
        <f t="shared" si="39"/>
        <v>0</v>
      </c>
      <c r="ACH155" s="1137">
        <f t="shared" si="38"/>
        <v>1</v>
      </c>
      <c r="ACI155" s="1137">
        <f t="shared" si="38"/>
        <v>1</v>
      </c>
      <c r="ACJ155" s="1137">
        <f t="shared" si="38"/>
        <v>1</v>
      </c>
      <c r="ACK155" s="1137">
        <f t="shared" si="38"/>
        <v>0</v>
      </c>
      <c r="ACL155" s="1137">
        <f t="shared" si="38"/>
        <v>0</v>
      </c>
      <c r="ACM155" s="1137">
        <f t="shared" si="38"/>
        <v>0</v>
      </c>
      <c r="ACN155" s="1137">
        <f t="shared" si="38"/>
        <v>0</v>
      </c>
      <c r="ACO155" s="1137">
        <f t="shared" si="38"/>
        <v>0</v>
      </c>
      <c r="ACP155" s="1137">
        <f t="shared" si="38"/>
        <v>0</v>
      </c>
      <c r="ACQ155" s="1137">
        <f t="shared" si="38"/>
        <v>0</v>
      </c>
      <c r="ACR155" s="1137">
        <f t="shared" si="38"/>
        <v>1</v>
      </c>
      <c r="ACS155" s="1137">
        <f t="shared" si="38"/>
        <v>1</v>
      </c>
      <c r="ACT155" s="1137">
        <f t="shared" si="38"/>
        <v>1</v>
      </c>
      <c r="ACU155" s="1137">
        <f t="shared" si="38"/>
        <v>1</v>
      </c>
      <c r="ACV155" s="1137">
        <f t="shared" si="38"/>
        <v>0</v>
      </c>
      <c r="ACW155" s="1137">
        <f t="shared" si="38"/>
        <v>0</v>
      </c>
      <c r="ACX155" s="1137">
        <f t="shared" si="42"/>
        <v>0</v>
      </c>
      <c r="ACY155" s="1137">
        <f t="shared" si="42"/>
        <v>0</v>
      </c>
      <c r="ACZ155" s="1137">
        <f t="shared" si="42"/>
        <v>1</v>
      </c>
      <c r="ADA155" s="1137">
        <f t="shared" si="35"/>
        <v>0</v>
      </c>
      <c r="ADB155" s="1137">
        <f t="shared" si="35"/>
        <v>0</v>
      </c>
      <c r="ADC155" s="1137">
        <f t="shared" si="35"/>
        <v>0</v>
      </c>
    </row>
    <row r="156" spans="1:783" x14ac:dyDescent="0.25">
      <c r="A156" t="s">
        <v>1956</v>
      </c>
      <c r="B156" t="s">
        <v>63</v>
      </c>
      <c r="C156">
        <v>0</v>
      </c>
      <c r="D156">
        <v>0</v>
      </c>
      <c r="E156">
        <v>0</v>
      </c>
      <c r="F156">
        <v>0</v>
      </c>
      <c r="G156">
        <v>0</v>
      </c>
      <c r="H156">
        <v>0</v>
      </c>
      <c r="I156">
        <v>0</v>
      </c>
      <c r="J156">
        <v>0</v>
      </c>
      <c r="K156">
        <v>0</v>
      </c>
      <c r="L156">
        <v>0</v>
      </c>
      <c r="M156">
        <v>0</v>
      </c>
      <c r="N156">
        <v>0</v>
      </c>
      <c r="O156">
        <v>0</v>
      </c>
      <c r="P156">
        <v>0</v>
      </c>
      <c r="Q156">
        <v>0</v>
      </c>
      <c r="R156">
        <v>0</v>
      </c>
      <c r="S156">
        <v>0</v>
      </c>
      <c r="T156">
        <v>0</v>
      </c>
      <c r="U156">
        <v>0</v>
      </c>
      <c r="V156">
        <v>0</v>
      </c>
      <c r="W156">
        <v>0</v>
      </c>
      <c r="X156">
        <v>0</v>
      </c>
      <c r="Y156">
        <v>0</v>
      </c>
      <c r="Z156">
        <v>0</v>
      </c>
      <c r="AA156">
        <v>0</v>
      </c>
      <c r="AB156">
        <v>0</v>
      </c>
      <c r="AC156">
        <v>0</v>
      </c>
      <c r="AD156">
        <v>0</v>
      </c>
      <c r="AE156">
        <v>0</v>
      </c>
      <c r="AF156">
        <v>0</v>
      </c>
      <c r="AG156">
        <v>0</v>
      </c>
      <c r="AH156">
        <v>0</v>
      </c>
      <c r="AI156">
        <v>0</v>
      </c>
      <c r="AJ156">
        <v>0</v>
      </c>
      <c r="AK156">
        <v>0</v>
      </c>
      <c r="AL156">
        <v>0</v>
      </c>
      <c r="AM156">
        <v>0</v>
      </c>
      <c r="AN156">
        <v>0</v>
      </c>
      <c r="AO156">
        <v>0</v>
      </c>
      <c r="AP156">
        <v>0</v>
      </c>
      <c r="AQ156">
        <v>0</v>
      </c>
      <c r="AR156">
        <v>0</v>
      </c>
      <c r="AS156">
        <v>0</v>
      </c>
      <c r="AT156">
        <v>0</v>
      </c>
      <c r="AU156">
        <v>0</v>
      </c>
      <c r="AV156">
        <v>0</v>
      </c>
      <c r="AW156">
        <v>0</v>
      </c>
      <c r="AX156">
        <v>0</v>
      </c>
      <c r="AY156">
        <v>0</v>
      </c>
      <c r="AZ156">
        <v>0</v>
      </c>
      <c r="BA156">
        <v>0</v>
      </c>
      <c r="BB156">
        <v>0</v>
      </c>
      <c r="BC156">
        <v>0</v>
      </c>
      <c r="BD156">
        <v>0</v>
      </c>
      <c r="BE156">
        <v>0</v>
      </c>
      <c r="BF156">
        <v>0</v>
      </c>
      <c r="BG156">
        <v>0</v>
      </c>
      <c r="BH156">
        <v>0</v>
      </c>
      <c r="BI156">
        <v>0</v>
      </c>
      <c r="BJ156">
        <v>0</v>
      </c>
      <c r="BK156">
        <v>0</v>
      </c>
      <c r="BL156">
        <v>0</v>
      </c>
      <c r="BM156">
        <v>0</v>
      </c>
      <c r="BN156">
        <v>0</v>
      </c>
      <c r="BO156">
        <v>0</v>
      </c>
      <c r="BP156">
        <v>0</v>
      </c>
      <c r="BQ156">
        <v>0</v>
      </c>
      <c r="BR156">
        <v>0</v>
      </c>
      <c r="BS156">
        <v>0</v>
      </c>
      <c r="BT156">
        <v>0</v>
      </c>
      <c r="BU156">
        <v>0</v>
      </c>
      <c r="BV156">
        <v>0</v>
      </c>
      <c r="BW156">
        <v>0</v>
      </c>
      <c r="BX156">
        <v>0</v>
      </c>
      <c r="BY156">
        <v>0</v>
      </c>
      <c r="BZ156">
        <v>0</v>
      </c>
      <c r="CA156">
        <v>0</v>
      </c>
      <c r="CB156">
        <v>0</v>
      </c>
      <c r="CC156">
        <v>0</v>
      </c>
      <c r="CD156">
        <v>0</v>
      </c>
      <c r="CE156">
        <v>0</v>
      </c>
      <c r="CF156">
        <v>0</v>
      </c>
      <c r="CG156">
        <v>0</v>
      </c>
      <c r="CH156">
        <v>0</v>
      </c>
      <c r="CI156">
        <v>0</v>
      </c>
      <c r="CJ156">
        <v>0</v>
      </c>
      <c r="CK156">
        <v>0</v>
      </c>
      <c r="CL156">
        <v>0</v>
      </c>
      <c r="CM156">
        <v>0</v>
      </c>
      <c r="CN156">
        <v>0</v>
      </c>
      <c r="CO156">
        <v>0</v>
      </c>
      <c r="CP156">
        <v>0</v>
      </c>
      <c r="CQ156">
        <v>0</v>
      </c>
      <c r="CR156">
        <v>0</v>
      </c>
      <c r="CS156">
        <v>0</v>
      </c>
      <c r="CT156">
        <v>0</v>
      </c>
      <c r="CU156">
        <v>0</v>
      </c>
      <c r="CV156">
        <v>0</v>
      </c>
      <c r="CW156">
        <v>0</v>
      </c>
      <c r="CX156">
        <v>0</v>
      </c>
      <c r="CY156">
        <v>0</v>
      </c>
      <c r="CZ156">
        <v>0</v>
      </c>
      <c r="DA156">
        <v>0</v>
      </c>
      <c r="DB156">
        <v>0</v>
      </c>
      <c r="DC156">
        <v>0</v>
      </c>
      <c r="DD156">
        <v>0</v>
      </c>
      <c r="DE156">
        <v>0</v>
      </c>
      <c r="DF156">
        <v>0</v>
      </c>
      <c r="DG156">
        <v>0</v>
      </c>
      <c r="DH156">
        <v>0</v>
      </c>
      <c r="DI156">
        <v>0</v>
      </c>
      <c r="DJ156">
        <v>0</v>
      </c>
      <c r="DK156">
        <v>0</v>
      </c>
      <c r="DL156">
        <v>0</v>
      </c>
      <c r="DM156">
        <v>0</v>
      </c>
      <c r="DN156">
        <v>0</v>
      </c>
      <c r="DO156">
        <v>0</v>
      </c>
      <c r="DP156">
        <v>0</v>
      </c>
      <c r="DQ156">
        <v>0</v>
      </c>
      <c r="DR156">
        <v>0</v>
      </c>
      <c r="DS156">
        <v>0</v>
      </c>
      <c r="DT156">
        <v>0</v>
      </c>
      <c r="DU156">
        <v>0</v>
      </c>
      <c r="DV156">
        <v>0</v>
      </c>
      <c r="DW156">
        <v>0</v>
      </c>
      <c r="DX156">
        <v>0</v>
      </c>
      <c r="DY156">
        <v>0</v>
      </c>
      <c r="DZ156">
        <v>0</v>
      </c>
      <c r="EA156">
        <v>0</v>
      </c>
      <c r="EB156">
        <v>0</v>
      </c>
      <c r="EC156">
        <v>0</v>
      </c>
      <c r="ED156">
        <v>0</v>
      </c>
      <c r="EE156">
        <v>0</v>
      </c>
      <c r="EF156">
        <v>0</v>
      </c>
      <c r="EG156">
        <v>0</v>
      </c>
      <c r="EH156">
        <v>0</v>
      </c>
      <c r="EI156">
        <v>0</v>
      </c>
      <c r="EJ156">
        <v>0</v>
      </c>
      <c r="EK156">
        <v>0</v>
      </c>
      <c r="EL156">
        <v>0</v>
      </c>
      <c r="EM156">
        <v>0</v>
      </c>
      <c r="EN156">
        <v>0</v>
      </c>
      <c r="EO156">
        <v>0</v>
      </c>
      <c r="EP156">
        <v>0</v>
      </c>
      <c r="EQ156">
        <v>0</v>
      </c>
      <c r="ER156">
        <v>0</v>
      </c>
      <c r="ES156">
        <v>0</v>
      </c>
      <c r="ET156">
        <v>0</v>
      </c>
      <c r="EU156">
        <v>0</v>
      </c>
      <c r="EV156">
        <v>0</v>
      </c>
      <c r="EW156">
        <v>0</v>
      </c>
      <c r="EX156">
        <v>0</v>
      </c>
      <c r="EY156">
        <v>0</v>
      </c>
      <c r="EZ156">
        <v>0</v>
      </c>
      <c r="FA156">
        <v>0</v>
      </c>
      <c r="FB156">
        <v>0</v>
      </c>
      <c r="FC156">
        <v>0</v>
      </c>
      <c r="FD156">
        <v>0</v>
      </c>
      <c r="FE156">
        <v>0</v>
      </c>
      <c r="FF156">
        <v>0</v>
      </c>
      <c r="FG156">
        <v>0</v>
      </c>
      <c r="FH156">
        <v>0</v>
      </c>
      <c r="FI156">
        <v>0</v>
      </c>
      <c r="FJ156">
        <v>0</v>
      </c>
      <c r="FK156">
        <v>0</v>
      </c>
      <c r="FL156">
        <v>0</v>
      </c>
      <c r="FM156">
        <v>0</v>
      </c>
      <c r="FN156">
        <v>0</v>
      </c>
      <c r="FO156">
        <v>0</v>
      </c>
      <c r="FP156">
        <v>0</v>
      </c>
      <c r="FQ156">
        <v>0</v>
      </c>
      <c r="FR156">
        <v>0</v>
      </c>
      <c r="FS156">
        <v>0</v>
      </c>
      <c r="FT156">
        <v>0</v>
      </c>
      <c r="FU156">
        <v>2</v>
      </c>
      <c r="FV156">
        <v>2</v>
      </c>
      <c r="FW156">
        <v>2</v>
      </c>
      <c r="FX156">
        <v>2</v>
      </c>
      <c r="FY156">
        <v>2</v>
      </c>
      <c r="FZ156">
        <v>2</v>
      </c>
      <c r="GA156">
        <v>2</v>
      </c>
      <c r="GB156">
        <v>2</v>
      </c>
      <c r="GC156">
        <v>0</v>
      </c>
      <c r="GD156">
        <v>0</v>
      </c>
      <c r="GE156">
        <v>0</v>
      </c>
      <c r="GF156">
        <v>0</v>
      </c>
      <c r="GG156">
        <v>0</v>
      </c>
      <c r="GH156">
        <v>0</v>
      </c>
      <c r="GI156">
        <v>0</v>
      </c>
      <c r="GJ156">
        <v>0</v>
      </c>
      <c r="GK156">
        <v>0</v>
      </c>
      <c r="GL156">
        <v>0</v>
      </c>
      <c r="GM156">
        <v>0</v>
      </c>
      <c r="GN156">
        <v>0</v>
      </c>
      <c r="GO156">
        <v>0</v>
      </c>
      <c r="GP156">
        <v>0</v>
      </c>
      <c r="GQ156">
        <v>0</v>
      </c>
      <c r="GR156">
        <v>0</v>
      </c>
      <c r="GS156">
        <v>0</v>
      </c>
      <c r="GT156">
        <v>0</v>
      </c>
      <c r="GU156">
        <v>0</v>
      </c>
      <c r="GV156">
        <v>0</v>
      </c>
      <c r="GW156">
        <v>0</v>
      </c>
      <c r="GX156">
        <v>0</v>
      </c>
      <c r="GY156">
        <v>0</v>
      </c>
      <c r="GZ156">
        <v>0</v>
      </c>
      <c r="HA156">
        <v>0</v>
      </c>
      <c r="HB156">
        <v>0</v>
      </c>
      <c r="HC156">
        <v>0</v>
      </c>
      <c r="HD156">
        <v>0</v>
      </c>
      <c r="HE156">
        <v>0</v>
      </c>
      <c r="HF156">
        <v>0</v>
      </c>
      <c r="HG156">
        <v>0</v>
      </c>
      <c r="HH156">
        <v>0</v>
      </c>
      <c r="HI156">
        <v>0</v>
      </c>
      <c r="HJ156">
        <v>0</v>
      </c>
      <c r="HK156">
        <v>0</v>
      </c>
      <c r="HL156">
        <v>0</v>
      </c>
      <c r="HM156">
        <v>0</v>
      </c>
      <c r="HN156">
        <v>0</v>
      </c>
      <c r="HO156">
        <v>0</v>
      </c>
      <c r="HP156">
        <v>0</v>
      </c>
      <c r="HQ156">
        <v>0</v>
      </c>
      <c r="HR156">
        <v>0</v>
      </c>
      <c r="HS156">
        <v>0</v>
      </c>
      <c r="HT156">
        <v>0</v>
      </c>
      <c r="HU156">
        <v>0</v>
      </c>
      <c r="HV156">
        <v>0</v>
      </c>
      <c r="HW156">
        <v>0</v>
      </c>
      <c r="HX156">
        <v>0</v>
      </c>
      <c r="HY156">
        <v>0</v>
      </c>
      <c r="HZ156">
        <v>0</v>
      </c>
      <c r="IA156">
        <v>0</v>
      </c>
      <c r="IB156">
        <v>0</v>
      </c>
      <c r="IC156">
        <v>0</v>
      </c>
      <c r="ID156">
        <v>0</v>
      </c>
      <c r="IE156">
        <v>0</v>
      </c>
      <c r="IF156">
        <v>0</v>
      </c>
      <c r="IG156">
        <v>0</v>
      </c>
      <c r="IH156">
        <v>0</v>
      </c>
      <c r="II156">
        <v>0</v>
      </c>
      <c r="IJ156">
        <v>0</v>
      </c>
      <c r="IK156">
        <v>2</v>
      </c>
      <c r="IL156">
        <v>2</v>
      </c>
      <c r="IM156">
        <v>2</v>
      </c>
      <c r="IN156">
        <v>2</v>
      </c>
      <c r="IO156">
        <v>2</v>
      </c>
      <c r="IP156">
        <v>2</v>
      </c>
      <c r="IQ156">
        <v>2</v>
      </c>
      <c r="IR156">
        <v>2</v>
      </c>
      <c r="IS156">
        <v>2</v>
      </c>
      <c r="IT156">
        <v>2</v>
      </c>
      <c r="IU156">
        <v>2</v>
      </c>
      <c r="IV156">
        <v>2</v>
      </c>
      <c r="IW156">
        <v>2</v>
      </c>
      <c r="IX156">
        <v>2</v>
      </c>
      <c r="IY156">
        <v>2</v>
      </c>
      <c r="IZ156">
        <v>2</v>
      </c>
      <c r="JA156">
        <v>2</v>
      </c>
      <c r="JB156">
        <v>2</v>
      </c>
      <c r="JC156">
        <v>2</v>
      </c>
      <c r="JD156">
        <v>2</v>
      </c>
      <c r="JE156">
        <v>2</v>
      </c>
      <c r="JF156">
        <v>2</v>
      </c>
      <c r="JG156">
        <v>2</v>
      </c>
      <c r="JH156">
        <v>2</v>
      </c>
      <c r="JI156">
        <v>2</v>
      </c>
      <c r="JJ156">
        <v>2</v>
      </c>
      <c r="JK156">
        <v>2</v>
      </c>
      <c r="JL156">
        <v>2</v>
      </c>
      <c r="JM156">
        <v>2</v>
      </c>
      <c r="JN156">
        <v>2</v>
      </c>
      <c r="JO156">
        <v>2</v>
      </c>
      <c r="JP156">
        <v>2</v>
      </c>
      <c r="JQ156">
        <v>2</v>
      </c>
      <c r="JR156">
        <v>2</v>
      </c>
      <c r="JS156">
        <v>2</v>
      </c>
      <c r="JT156">
        <v>2</v>
      </c>
      <c r="JU156">
        <v>2</v>
      </c>
      <c r="JV156">
        <v>2</v>
      </c>
      <c r="JW156">
        <v>2</v>
      </c>
      <c r="JX156">
        <v>2</v>
      </c>
      <c r="JY156">
        <v>1</v>
      </c>
      <c r="JZ156">
        <v>1</v>
      </c>
      <c r="KA156">
        <v>1</v>
      </c>
      <c r="KB156">
        <v>1</v>
      </c>
      <c r="KC156">
        <v>1</v>
      </c>
      <c r="KD156">
        <v>1</v>
      </c>
      <c r="KE156">
        <v>1</v>
      </c>
      <c r="KF156">
        <v>0</v>
      </c>
      <c r="KG156">
        <v>0</v>
      </c>
      <c r="KH156">
        <v>0</v>
      </c>
      <c r="KI156">
        <v>0</v>
      </c>
      <c r="KJ156">
        <v>0</v>
      </c>
      <c r="KK156">
        <v>0</v>
      </c>
      <c r="KL156">
        <v>0</v>
      </c>
      <c r="KM156">
        <v>0</v>
      </c>
      <c r="KN156">
        <v>0</v>
      </c>
      <c r="KO156">
        <v>0</v>
      </c>
      <c r="KP156">
        <v>0</v>
      </c>
      <c r="KQ156">
        <v>0</v>
      </c>
      <c r="KR156">
        <v>0</v>
      </c>
      <c r="KS156">
        <v>0</v>
      </c>
      <c r="KT156">
        <v>0</v>
      </c>
      <c r="KU156">
        <v>0</v>
      </c>
      <c r="KV156">
        <v>0</v>
      </c>
      <c r="KW156">
        <v>0</v>
      </c>
      <c r="KX156">
        <v>0</v>
      </c>
      <c r="KY156">
        <v>0</v>
      </c>
      <c r="KZ156">
        <v>0</v>
      </c>
      <c r="LA156">
        <v>0</v>
      </c>
      <c r="LB156">
        <v>0</v>
      </c>
      <c r="LC156">
        <v>0</v>
      </c>
      <c r="LD156">
        <v>0</v>
      </c>
      <c r="LE156">
        <v>0</v>
      </c>
      <c r="LF156">
        <v>0</v>
      </c>
      <c r="LG156">
        <v>0</v>
      </c>
      <c r="LH156">
        <v>0</v>
      </c>
      <c r="LI156">
        <v>0</v>
      </c>
      <c r="LJ156">
        <v>0</v>
      </c>
      <c r="LK156">
        <v>0</v>
      </c>
      <c r="LL156">
        <v>0</v>
      </c>
      <c r="LM156">
        <v>0</v>
      </c>
      <c r="LN156">
        <v>0</v>
      </c>
      <c r="LO156">
        <v>0</v>
      </c>
      <c r="LP156">
        <v>0</v>
      </c>
      <c r="LQ156">
        <v>0</v>
      </c>
      <c r="LR156">
        <v>0</v>
      </c>
      <c r="LS156">
        <v>0</v>
      </c>
      <c r="LT156">
        <v>0</v>
      </c>
      <c r="LU156">
        <v>0</v>
      </c>
      <c r="LV156">
        <v>0</v>
      </c>
      <c r="LW156">
        <v>0</v>
      </c>
      <c r="LX156">
        <v>0</v>
      </c>
      <c r="LY156">
        <v>0</v>
      </c>
      <c r="LZ156">
        <v>0</v>
      </c>
      <c r="MA156">
        <v>0</v>
      </c>
      <c r="MB156">
        <v>0</v>
      </c>
      <c r="MC156">
        <v>0</v>
      </c>
      <c r="MD156">
        <v>0</v>
      </c>
      <c r="ME156">
        <v>0</v>
      </c>
      <c r="MF156">
        <v>0</v>
      </c>
      <c r="MG156">
        <v>0</v>
      </c>
      <c r="MH156">
        <v>0</v>
      </c>
      <c r="MI156">
        <v>0</v>
      </c>
      <c r="MJ156">
        <v>0</v>
      </c>
      <c r="MK156">
        <v>0</v>
      </c>
      <c r="ML156">
        <v>0</v>
      </c>
      <c r="MM156">
        <v>0</v>
      </c>
      <c r="MN156">
        <v>0</v>
      </c>
      <c r="MO156">
        <v>0</v>
      </c>
      <c r="MP156">
        <v>0</v>
      </c>
      <c r="MQ156">
        <v>0</v>
      </c>
      <c r="MR156">
        <v>0</v>
      </c>
      <c r="MS156">
        <v>0</v>
      </c>
      <c r="MT156">
        <v>0</v>
      </c>
      <c r="MU156">
        <v>0</v>
      </c>
      <c r="MV156">
        <v>0</v>
      </c>
      <c r="MW156">
        <v>0</v>
      </c>
      <c r="MX156">
        <v>0</v>
      </c>
      <c r="MY156">
        <v>0</v>
      </c>
      <c r="MZ156">
        <v>0</v>
      </c>
      <c r="NA156">
        <v>0</v>
      </c>
      <c r="NB156">
        <v>0</v>
      </c>
      <c r="NC156">
        <v>0</v>
      </c>
      <c r="ND156">
        <v>0</v>
      </c>
      <c r="NE156">
        <v>0</v>
      </c>
      <c r="NF156">
        <v>0</v>
      </c>
      <c r="NG156">
        <v>0</v>
      </c>
      <c r="NH156">
        <v>0</v>
      </c>
      <c r="NI156">
        <v>0</v>
      </c>
      <c r="NJ156">
        <v>0</v>
      </c>
      <c r="NK156">
        <v>0</v>
      </c>
      <c r="NL156">
        <v>0</v>
      </c>
      <c r="NM156">
        <v>0</v>
      </c>
      <c r="NN156">
        <v>0</v>
      </c>
      <c r="NO156">
        <v>0</v>
      </c>
      <c r="NP156">
        <v>0</v>
      </c>
      <c r="NQ156">
        <v>0</v>
      </c>
      <c r="NR156">
        <v>0</v>
      </c>
      <c r="NS156">
        <v>0</v>
      </c>
      <c r="NT156">
        <v>0</v>
      </c>
      <c r="NU156">
        <v>0</v>
      </c>
      <c r="NV156">
        <v>0</v>
      </c>
      <c r="NW156">
        <v>0</v>
      </c>
      <c r="NX156">
        <v>0</v>
      </c>
      <c r="NY156">
        <v>0</v>
      </c>
      <c r="NZ156">
        <v>0</v>
      </c>
      <c r="OA156">
        <v>0</v>
      </c>
      <c r="OB156">
        <v>0</v>
      </c>
      <c r="OC156">
        <v>0</v>
      </c>
      <c r="OD156">
        <v>0</v>
      </c>
      <c r="OE156">
        <v>0</v>
      </c>
      <c r="OF156">
        <v>0</v>
      </c>
      <c r="OG156">
        <v>0</v>
      </c>
      <c r="OH156">
        <v>0</v>
      </c>
      <c r="OI156">
        <v>0</v>
      </c>
      <c r="OJ156">
        <v>0</v>
      </c>
      <c r="OK156">
        <v>0</v>
      </c>
      <c r="OL156">
        <v>0</v>
      </c>
      <c r="OM156">
        <v>0</v>
      </c>
      <c r="ON156">
        <v>0</v>
      </c>
      <c r="OO156">
        <v>0</v>
      </c>
      <c r="OP156">
        <v>0</v>
      </c>
      <c r="OQ156">
        <v>0</v>
      </c>
      <c r="OR156">
        <v>0</v>
      </c>
      <c r="OS156">
        <v>0</v>
      </c>
      <c r="OT156">
        <v>0</v>
      </c>
      <c r="OU156">
        <v>0</v>
      </c>
      <c r="OV156">
        <v>0</v>
      </c>
      <c r="OW156">
        <v>0</v>
      </c>
      <c r="OX156">
        <v>0</v>
      </c>
      <c r="OY156">
        <v>0</v>
      </c>
      <c r="OZ156">
        <v>0</v>
      </c>
      <c r="PA156">
        <v>0</v>
      </c>
      <c r="PB156">
        <v>0</v>
      </c>
      <c r="PC156">
        <v>0</v>
      </c>
      <c r="PD156">
        <v>0</v>
      </c>
      <c r="PE156">
        <v>0</v>
      </c>
      <c r="PF156">
        <v>0</v>
      </c>
      <c r="PG156">
        <v>0</v>
      </c>
      <c r="PH156">
        <v>0</v>
      </c>
      <c r="PI156">
        <v>0</v>
      </c>
      <c r="PJ156">
        <v>0</v>
      </c>
      <c r="PK156">
        <v>0</v>
      </c>
      <c r="PL156">
        <v>0</v>
      </c>
      <c r="PM156">
        <v>0</v>
      </c>
      <c r="PN156">
        <v>2</v>
      </c>
      <c r="PO156">
        <v>2</v>
      </c>
      <c r="PP156">
        <v>2</v>
      </c>
      <c r="PQ156">
        <v>2</v>
      </c>
      <c r="PR156">
        <v>2</v>
      </c>
      <c r="PS156">
        <v>0</v>
      </c>
      <c r="PT156">
        <v>0</v>
      </c>
      <c r="PU156">
        <v>0</v>
      </c>
      <c r="PV156">
        <v>0</v>
      </c>
      <c r="PW156">
        <v>0</v>
      </c>
      <c r="PX156">
        <v>0</v>
      </c>
      <c r="PY156">
        <v>0</v>
      </c>
      <c r="PZ156">
        <v>0</v>
      </c>
      <c r="QA156">
        <v>0</v>
      </c>
      <c r="QB156">
        <v>0</v>
      </c>
      <c r="QC156">
        <v>0</v>
      </c>
      <c r="QD156">
        <v>0</v>
      </c>
      <c r="QE156">
        <v>0</v>
      </c>
      <c r="QF156">
        <v>0</v>
      </c>
      <c r="QG156">
        <v>0</v>
      </c>
      <c r="QH156">
        <v>0</v>
      </c>
      <c r="QI156">
        <v>0</v>
      </c>
      <c r="QJ156">
        <v>0</v>
      </c>
      <c r="QK156">
        <v>0</v>
      </c>
      <c r="QL156">
        <v>0</v>
      </c>
      <c r="QM156">
        <v>0</v>
      </c>
      <c r="QN156">
        <v>0</v>
      </c>
      <c r="QO156">
        <v>0</v>
      </c>
      <c r="QP156">
        <v>0</v>
      </c>
      <c r="QQ156">
        <v>0</v>
      </c>
      <c r="QR156">
        <v>0</v>
      </c>
      <c r="QS156">
        <v>0</v>
      </c>
      <c r="QT156">
        <v>0</v>
      </c>
      <c r="QU156">
        <v>0</v>
      </c>
      <c r="QV156">
        <v>0</v>
      </c>
      <c r="QW156">
        <v>0</v>
      </c>
      <c r="QX156">
        <v>0</v>
      </c>
      <c r="QY156">
        <v>0</v>
      </c>
      <c r="QZ156">
        <v>0</v>
      </c>
      <c r="RA156">
        <v>0</v>
      </c>
      <c r="RB156">
        <v>0</v>
      </c>
      <c r="RC156">
        <v>0</v>
      </c>
      <c r="RD156">
        <v>0</v>
      </c>
      <c r="RE156">
        <v>0</v>
      </c>
      <c r="RF156">
        <v>0</v>
      </c>
      <c r="RG156">
        <v>0</v>
      </c>
      <c r="RH156">
        <v>0</v>
      </c>
      <c r="RI156">
        <v>0</v>
      </c>
      <c r="RJ156">
        <v>0</v>
      </c>
      <c r="RK156">
        <v>0</v>
      </c>
      <c r="RL156">
        <v>0</v>
      </c>
      <c r="RM156">
        <v>0</v>
      </c>
      <c r="RN156">
        <v>0</v>
      </c>
      <c r="RO156">
        <v>0</v>
      </c>
      <c r="RP156">
        <v>0</v>
      </c>
      <c r="RQ156">
        <v>0</v>
      </c>
      <c r="RR156">
        <v>0</v>
      </c>
      <c r="RS156">
        <v>0</v>
      </c>
      <c r="RT156">
        <v>0</v>
      </c>
      <c r="RU156">
        <v>0</v>
      </c>
      <c r="RV156">
        <v>0</v>
      </c>
      <c r="RW156">
        <v>0</v>
      </c>
      <c r="RX156">
        <v>0</v>
      </c>
      <c r="RY156">
        <v>0</v>
      </c>
      <c r="RZ156">
        <v>0</v>
      </c>
      <c r="SA156">
        <v>0</v>
      </c>
      <c r="SB156">
        <v>0</v>
      </c>
      <c r="SC156">
        <v>0</v>
      </c>
      <c r="SD156">
        <v>0</v>
      </c>
      <c r="SE156">
        <v>0</v>
      </c>
      <c r="SF156">
        <v>0</v>
      </c>
      <c r="SG156">
        <v>0</v>
      </c>
      <c r="SH156">
        <v>0</v>
      </c>
      <c r="SI156">
        <v>0</v>
      </c>
      <c r="SJ156">
        <v>0</v>
      </c>
      <c r="SK156">
        <v>0</v>
      </c>
      <c r="SL156">
        <v>0</v>
      </c>
      <c r="SM156">
        <v>0</v>
      </c>
      <c r="SN156">
        <v>0</v>
      </c>
      <c r="SO156">
        <v>0</v>
      </c>
      <c r="SP156">
        <v>0</v>
      </c>
      <c r="SQ156">
        <v>0</v>
      </c>
      <c r="SR156">
        <v>0</v>
      </c>
      <c r="SS156">
        <v>0</v>
      </c>
      <c r="ST156">
        <v>0</v>
      </c>
      <c r="SU156">
        <v>0</v>
      </c>
      <c r="SV156">
        <v>0</v>
      </c>
      <c r="SW156">
        <v>0</v>
      </c>
      <c r="SX156">
        <v>0</v>
      </c>
      <c r="SY156">
        <v>0</v>
      </c>
      <c r="SZ156">
        <v>0</v>
      </c>
      <c r="TA156">
        <v>0</v>
      </c>
      <c r="TB156">
        <v>0</v>
      </c>
      <c r="TC156">
        <v>0</v>
      </c>
      <c r="TD156">
        <v>0</v>
      </c>
      <c r="TE156">
        <v>0</v>
      </c>
      <c r="TF156">
        <v>0</v>
      </c>
      <c r="TG156">
        <v>0</v>
      </c>
      <c r="TH156">
        <v>0</v>
      </c>
      <c r="TI156">
        <v>0</v>
      </c>
      <c r="TJ156">
        <v>0</v>
      </c>
      <c r="TK156">
        <v>0</v>
      </c>
      <c r="TL156">
        <v>0</v>
      </c>
      <c r="TM156">
        <v>0</v>
      </c>
      <c r="TN156">
        <v>0</v>
      </c>
      <c r="TO156">
        <v>0</v>
      </c>
      <c r="TP156">
        <v>0</v>
      </c>
      <c r="TQ156">
        <v>0</v>
      </c>
      <c r="TR156">
        <v>0</v>
      </c>
      <c r="TS156">
        <v>0</v>
      </c>
      <c r="TT156">
        <v>0</v>
      </c>
      <c r="TU156">
        <v>0</v>
      </c>
      <c r="TV156">
        <v>0</v>
      </c>
      <c r="TW156">
        <v>0</v>
      </c>
      <c r="TX156">
        <v>0</v>
      </c>
      <c r="TY156">
        <v>0</v>
      </c>
      <c r="TZ156">
        <v>0</v>
      </c>
      <c r="UA156">
        <v>0</v>
      </c>
      <c r="UB156">
        <v>0</v>
      </c>
      <c r="UC156">
        <v>0</v>
      </c>
      <c r="UD156">
        <v>0</v>
      </c>
      <c r="UE156">
        <v>0</v>
      </c>
      <c r="UF156">
        <v>0</v>
      </c>
      <c r="UG156">
        <v>0</v>
      </c>
      <c r="UH156">
        <v>0</v>
      </c>
      <c r="UI156">
        <v>0</v>
      </c>
      <c r="UJ156">
        <v>0</v>
      </c>
      <c r="UK156">
        <v>0</v>
      </c>
      <c r="UL156">
        <v>0</v>
      </c>
      <c r="UM156">
        <v>0</v>
      </c>
      <c r="UN156">
        <v>0</v>
      </c>
      <c r="UO156">
        <v>0</v>
      </c>
      <c r="UP156">
        <v>0</v>
      </c>
      <c r="UQ156">
        <v>0</v>
      </c>
      <c r="UR156">
        <v>0</v>
      </c>
      <c r="US156">
        <v>0</v>
      </c>
      <c r="UT156">
        <v>0</v>
      </c>
      <c r="UU156">
        <v>0</v>
      </c>
      <c r="UV156">
        <v>0</v>
      </c>
      <c r="UW156">
        <v>0</v>
      </c>
      <c r="UX156">
        <v>0</v>
      </c>
      <c r="UY156">
        <v>0</v>
      </c>
      <c r="UZ156">
        <v>0</v>
      </c>
      <c r="VA156">
        <v>0</v>
      </c>
      <c r="VB156">
        <v>0</v>
      </c>
      <c r="VC156">
        <v>0</v>
      </c>
      <c r="VD156">
        <v>0</v>
      </c>
      <c r="VE156">
        <v>0</v>
      </c>
      <c r="VF156">
        <v>0</v>
      </c>
      <c r="VG156">
        <v>0</v>
      </c>
      <c r="VH156">
        <v>0</v>
      </c>
      <c r="VI156">
        <v>0</v>
      </c>
      <c r="VJ156">
        <v>0</v>
      </c>
      <c r="VK156">
        <v>0</v>
      </c>
      <c r="VL156">
        <v>0</v>
      </c>
      <c r="VM156">
        <v>0</v>
      </c>
      <c r="VN156">
        <v>0</v>
      </c>
      <c r="VO156">
        <v>0</v>
      </c>
      <c r="VP156">
        <v>0</v>
      </c>
      <c r="VQ156">
        <v>0</v>
      </c>
      <c r="VR156">
        <v>0</v>
      </c>
      <c r="VS156">
        <v>0</v>
      </c>
      <c r="VT156">
        <v>0</v>
      </c>
      <c r="VU156">
        <v>0</v>
      </c>
      <c r="VV156">
        <v>0</v>
      </c>
      <c r="VW156">
        <v>0</v>
      </c>
      <c r="VX156">
        <v>0</v>
      </c>
      <c r="VY156">
        <v>0</v>
      </c>
      <c r="VZ156">
        <v>0</v>
      </c>
      <c r="WA156">
        <v>0</v>
      </c>
      <c r="WB156">
        <v>0</v>
      </c>
      <c r="WC156">
        <v>0</v>
      </c>
      <c r="WD156">
        <v>0</v>
      </c>
      <c r="WE156">
        <v>0</v>
      </c>
      <c r="WF156">
        <v>0</v>
      </c>
      <c r="WG156">
        <v>0</v>
      </c>
      <c r="WH156">
        <v>0</v>
      </c>
      <c r="WI156">
        <v>0</v>
      </c>
      <c r="WJ156">
        <v>0</v>
      </c>
      <c r="WK156">
        <v>0</v>
      </c>
      <c r="WL156">
        <v>0</v>
      </c>
      <c r="WM156">
        <v>0</v>
      </c>
      <c r="WN156">
        <v>0</v>
      </c>
      <c r="WO156">
        <v>0</v>
      </c>
      <c r="WP156">
        <v>0</v>
      </c>
      <c r="WQ156">
        <v>0</v>
      </c>
      <c r="WR156">
        <v>0</v>
      </c>
      <c r="WS156">
        <v>0</v>
      </c>
      <c r="WT156">
        <v>0</v>
      </c>
      <c r="WU156">
        <v>0</v>
      </c>
      <c r="WV156">
        <v>0</v>
      </c>
      <c r="WW156">
        <v>0</v>
      </c>
      <c r="WX156">
        <v>0</v>
      </c>
      <c r="WY156">
        <v>0</v>
      </c>
      <c r="WZ156">
        <v>0</v>
      </c>
      <c r="XA156">
        <v>0</v>
      </c>
      <c r="XB156">
        <v>0</v>
      </c>
      <c r="XC156">
        <v>0</v>
      </c>
      <c r="XD156">
        <v>0</v>
      </c>
      <c r="XE156">
        <v>0</v>
      </c>
      <c r="XF156">
        <v>0</v>
      </c>
      <c r="XG156">
        <v>0</v>
      </c>
      <c r="XH156">
        <v>0</v>
      </c>
      <c r="XI156">
        <v>0</v>
      </c>
      <c r="XJ156">
        <v>0</v>
      </c>
      <c r="XK156">
        <v>0</v>
      </c>
      <c r="XL156">
        <v>0</v>
      </c>
      <c r="XM156">
        <v>0</v>
      </c>
      <c r="XN156">
        <v>0</v>
      </c>
      <c r="XO156">
        <v>0</v>
      </c>
      <c r="XP156">
        <v>0</v>
      </c>
      <c r="XQ156">
        <v>0</v>
      </c>
      <c r="XR156">
        <v>0</v>
      </c>
      <c r="XS156">
        <v>0</v>
      </c>
      <c r="XT156">
        <v>0</v>
      </c>
      <c r="XU156">
        <v>0</v>
      </c>
      <c r="XV156">
        <v>0</v>
      </c>
      <c r="XW156">
        <v>0</v>
      </c>
      <c r="XX156">
        <v>0</v>
      </c>
      <c r="XY156">
        <v>0</v>
      </c>
      <c r="XZ156">
        <v>0</v>
      </c>
      <c r="YA156">
        <v>0</v>
      </c>
      <c r="YB156">
        <v>0</v>
      </c>
      <c r="YC156">
        <v>0</v>
      </c>
      <c r="YD156">
        <v>0</v>
      </c>
      <c r="YE156">
        <v>0</v>
      </c>
      <c r="YF156">
        <v>0</v>
      </c>
      <c r="YG156">
        <v>0</v>
      </c>
      <c r="YH156">
        <v>0</v>
      </c>
      <c r="YI156">
        <v>0</v>
      </c>
      <c r="YJ156">
        <v>0</v>
      </c>
      <c r="YK156">
        <v>0</v>
      </c>
      <c r="YL156">
        <v>0</v>
      </c>
      <c r="YM156">
        <v>0</v>
      </c>
      <c r="YN156">
        <v>0</v>
      </c>
      <c r="YO156">
        <v>0</v>
      </c>
      <c r="YP156">
        <v>0</v>
      </c>
      <c r="YQ156">
        <v>0</v>
      </c>
      <c r="YR156">
        <v>0</v>
      </c>
      <c r="YS156">
        <v>0</v>
      </c>
      <c r="YT156">
        <v>0</v>
      </c>
      <c r="YU156">
        <v>0</v>
      </c>
      <c r="YV156">
        <v>0</v>
      </c>
      <c r="YW156">
        <v>0</v>
      </c>
      <c r="YX156">
        <v>0</v>
      </c>
      <c r="YY156">
        <v>0</v>
      </c>
      <c r="YZ156">
        <v>0</v>
      </c>
      <c r="ZA156">
        <v>0</v>
      </c>
      <c r="ZB156">
        <v>0</v>
      </c>
      <c r="ZC156">
        <v>0</v>
      </c>
      <c r="ZD156">
        <v>0</v>
      </c>
      <c r="ZE156">
        <v>0</v>
      </c>
      <c r="ZF156">
        <v>0</v>
      </c>
      <c r="ZG156">
        <v>0</v>
      </c>
      <c r="ZH156">
        <v>0</v>
      </c>
      <c r="ZI156">
        <v>0</v>
      </c>
      <c r="ZJ156">
        <v>0</v>
      </c>
      <c r="ZK156">
        <v>0</v>
      </c>
      <c r="ZL156">
        <v>0</v>
      </c>
      <c r="ZM156">
        <v>0</v>
      </c>
      <c r="ZN156">
        <v>0</v>
      </c>
      <c r="ZO156">
        <v>0</v>
      </c>
      <c r="ZP156">
        <v>0</v>
      </c>
      <c r="ZQ156">
        <v>0</v>
      </c>
      <c r="ZR156">
        <v>0</v>
      </c>
      <c r="ZS156">
        <v>0</v>
      </c>
      <c r="ZT156">
        <v>0</v>
      </c>
      <c r="ZU156">
        <v>0</v>
      </c>
      <c r="ZV156">
        <v>0</v>
      </c>
      <c r="ZW156">
        <v>0</v>
      </c>
      <c r="ZX156">
        <v>0</v>
      </c>
      <c r="ZY156">
        <v>0</v>
      </c>
      <c r="ZZ156">
        <v>0</v>
      </c>
      <c r="AAA156">
        <v>0</v>
      </c>
      <c r="AAB156">
        <v>0</v>
      </c>
      <c r="AAC156">
        <v>0</v>
      </c>
      <c r="AAD156">
        <v>0</v>
      </c>
      <c r="AAE156">
        <v>0</v>
      </c>
      <c r="AAF156">
        <v>0</v>
      </c>
      <c r="AAG156">
        <v>0</v>
      </c>
      <c r="AAH156">
        <v>0</v>
      </c>
      <c r="AAI156">
        <v>0</v>
      </c>
      <c r="AAJ156">
        <v>0</v>
      </c>
      <c r="AAK156">
        <v>0</v>
      </c>
      <c r="AAL156">
        <v>0</v>
      </c>
      <c r="AAM156">
        <v>0</v>
      </c>
      <c r="AAN156">
        <v>0</v>
      </c>
      <c r="AAO156">
        <v>0</v>
      </c>
      <c r="AAP156">
        <v>0</v>
      </c>
      <c r="AAQ156">
        <v>0</v>
      </c>
      <c r="AAR156">
        <v>0</v>
      </c>
      <c r="AAS156">
        <v>0</v>
      </c>
      <c r="AAT156">
        <v>0</v>
      </c>
      <c r="AAU156">
        <v>0</v>
      </c>
      <c r="AAV156">
        <v>0</v>
      </c>
      <c r="AAW156">
        <v>0</v>
      </c>
      <c r="AAX156">
        <v>0</v>
      </c>
      <c r="AAY156">
        <v>0</v>
      </c>
      <c r="AAZ156">
        <v>0</v>
      </c>
      <c r="ABA156">
        <v>0</v>
      </c>
      <c r="ABB156">
        <v>0</v>
      </c>
      <c r="ABC156">
        <v>0</v>
      </c>
      <c r="ABD156">
        <v>0</v>
      </c>
      <c r="ABE156">
        <v>0</v>
      </c>
      <c r="ABG156" s="1137">
        <f t="shared" si="41"/>
        <v>0</v>
      </c>
      <c r="ABH156" s="1137">
        <f t="shared" si="41"/>
        <v>0</v>
      </c>
      <c r="ABI156" s="1137">
        <f t="shared" si="41"/>
        <v>0</v>
      </c>
      <c r="ABJ156" s="1137">
        <f t="shared" si="41"/>
        <v>0</v>
      </c>
      <c r="ABK156" s="1137">
        <f t="shared" si="41"/>
        <v>0</v>
      </c>
      <c r="ABL156" s="1137">
        <f t="shared" si="41"/>
        <v>8</v>
      </c>
      <c r="ABM156" s="1137">
        <f t="shared" si="41"/>
        <v>0</v>
      </c>
      <c r="ABN156" s="1137">
        <f t="shared" si="41"/>
        <v>2</v>
      </c>
      <c r="ABO156" s="1137">
        <f t="shared" si="41"/>
        <v>30</v>
      </c>
      <c r="ABP156" s="1137">
        <f t="shared" si="41"/>
        <v>15</v>
      </c>
      <c r="ABQ156" s="1137">
        <f t="shared" si="41"/>
        <v>0</v>
      </c>
      <c r="ABR156" s="1137">
        <f t="shared" si="41"/>
        <v>0</v>
      </c>
      <c r="ABS156" s="1137">
        <f t="shared" si="41"/>
        <v>0</v>
      </c>
      <c r="ABT156" s="1137">
        <f t="shared" si="41"/>
        <v>0</v>
      </c>
      <c r="ABU156" s="1137">
        <f t="shared" si="41"/>
        <v>5</v>
      </c>
      <c r="ABV156" s="1137">
        <f t="shared" si="41"/>
        <v>0</v>
      </c>
      <c r="ABW156" s="1137">
        <f t="shared" si="31"/>
        <v>0</v>
      </c>
      <c r="ABX156" s="1137">
        <f t="shared" si="34"/>
        <v>0</v>
      </c>
      <c r="ABY156" s="1137">
        <f t="shared" si="34"/>
        <v>0</v>
      </c>
      <c r="ABZ156" s="1137">
        <f t="shared" si="34"/>
        <v>0</v>
      </c>
      <c r="ACA156" s="1137">
        <f t="shared" si="34"/>
        <v>0</v>
      </c>
      <c r="ACB156" s="1137">
        <f t="shared" si="34"/>
        <v>0</v>
      </c>
      <c r="ACC156" s="1137">
        <f t="shared" si="34"/>
        <v>0</v>
      </c>
      <c r="ACD156" s="1137">
        <f t="shared" si="34"/>
        <v>0</v>
      </c>
      <c r="ACE156" s="1137" t="s">
        <v>63</v>
      </c>
      <c r="ACF156" s="1137">
        <f t="shared" si="39"/>
        <v>0</v>
      </c>
      <c r="ACG156" s="1137">
        <f t="shared" si="39"/>
        <v>0</v>
      </c>
      <c r="ACH156" s="1137">
        <f t="shared" si="38"/>
        <v>0</v>
      </c>
      <c r="ACI156" s="1137">
        <f t="shared" si="38"/>
        <v>0</v>
      </c>
      <c r="ACJ156" s="1137">
        <f t="shared" si="38"/>
        <v>0</v>
      </c>
      <c r="ACK156" s="1137">
        <f t="shared" si="38"/>
        <v>0</v>
      </c>
      <c r="ACL156" s="1137">
        <f t="shared" si="38"/>
        <v>0</v>
      </c>
      <c r="ACM156" s="1137">
        <f t="shared" si="38"/>
        <v>0</v>
      </c>
      <c r="ACN156" s="1137">
        <f t="shared" si="38"/>
        <v>1</v>
      </c>
      <c r="ACO156" s="1137">
        <f t="shared" si="38"/>
        <v>1</v>
      </c>
      <c r="ACP156" s="1137">
        <f t="shared" si="38"/>
        <v>0</v>
      </c>
      <c r="ACQ156" s="1137">
        <f t="shared" si="38"/>
        <v>0</v>
      </c>
      <c r="ACR156" s="1137">
        <f t="shared" si="38"/>
        <v>0</v>
      </c>
      <c r="ACS156" s="1137">
        <f t="shared" si="38"/>
        <v>0</v>
      </c>
      <c r="ACT156" s="1137">
        <f t="shared" si="38"/>
        <v>0</v>
      </c>
      <c r="ACU156" s="1137">
        <f t="shared" si="38"/>
        <v>0</v>
      </c>
      <c r="ACV156" s="1137">
        <f t="shared" si="38"/>
        <v>0</v>
      </c>
      <c r="ACW156" s="1137">
        <f t="shared" si="38"/>
        <v>0</v>
      </c>
      <c r="ACX156" s="1137">
        <f t="shared" si="42"/>
        <v>0</v>
      </c>
      <c r="ACY156" s="1137">
        <f t="shared" si="42"/>
        <v>0</v>
      </c>
      <c r="ACZ156" s="1137">
        <f t="shared" si="42"/>
        <v>0</v>
      </c>
      <c r="ADA156" s="1137">
        <f t="shared" si="35"/>
        <v>0</v>
      </c>
      <c r="ADB156" s="1137">
        <f t="shared" si="35"/>
        <v>0</v>
      </c>
      <c r="ADC156" s="1137">
        <f t="shared" si="35"/>
        <v>0</v>
      </c>
    </row>
    <row r="157" spans="1:783" x14ac:dyDescent="0.25">
      <c r="A157" t="s">
        <v>506</v>
      </c>
      <c r="B157" t="s">
        <v>252</v>
      </c>
      <c r="C157">
        <v>0</v>
      </c>
      <c r="D157">
        <v>0</v>
      </c>
      <c r="E157">
        <v>0</v>
      </c>
      <c r="F157">
        <v>0</v>
      </c>
      <c r="G157">
        <v>0</v>
      </c>
      <c r="H157">
        <v>0</v>
      </c>
      <c r="I157">
        <v>0</v>
      </c>
      <c r="J157">
        <v>0</v>
      </c>
      <c r="K157">
        <v>0</v>
      </c>
      <c r="L157">
        <v>0</v>
      </c>
      <c r="M157">
        <v>0</v>
      </c>
      <c r="N157">
        <v>0</v>
      </c>
      <c r="O157">
        <v>0</v>
      </c>
      <c r="P157">
        <v>0</v>
      </c>
      <c r="Q157">
        <v>0</v>
      </c>
      <c r="R157">
        <v>0</v>
      </c>
      <c r="S157">
        <v>0</v>
      </c>
      <c r="T157">
        <v>0</v>
      </c>
      <c r="U157">
        <v>0</v>
      </c>
      <c r="V157">
        <v>0</v>
      </c>
      <c r="W157">
        <v>0</v>
      </c>
      <c r="X157">
        <v>0</v>
      </c>
      <c r="Y157">
        <v>0</v>
      </c>
      <c r="Z157">
        <v>0</v>
      </c>
      <c r="AA157">
        <v>0</v>
      </c>
      <c r="AB157">
        <v>0</v>
      </c>
      <c r="AC157">
        <v>0</v>
      </c>
      <c r="AD157">
        <v>0</v>
      </c>
      <c r="AE157">
        <v>0</v>
      </c>
      <c r="AF157">
        <v>0</v>
      </c>
      <c r="AG157">
        <v>0</v>
      </c>
      <c r="AH157">
        <v>0</v>
      </c>
      <c r="AI157">
        <v>0</v>
      </c>
      <c r="AJ157">
        <v>0</v>
      </c>
      <c r="AK157">
        <v>0</v>
      </c>
      <c r="AL157">
        <v>0</v>
      </c>
      <c r="AM157">
        <v>0</v>
      </c>
      <c r="AN157">
        <v>0</v>
      </c>
      <c r="AO157">
        <v>0</v>
      </c>
      <c r="AP157">
        <v>0</v>
      </c>
      <c r="AQ157">
        <v>0</v>
      </c>
      <c r="AR157">
        <v>0</v>
      </c>
      <c r="AS157">
        <v>0</v>
      </c>
      <c r="AT157">
        <v>0</v>
      </c>
      <c r="AU157">
        <v>0</v>
      </c>
      <c r="AV157">
        <v>0</v>
      </c>
      <c r="AW157">
        <v>0</v>
      </c>
      <c r="AX157">
        <v>0</v>
      </c>
      <c r="AY157">
        <v>0</v>
      </c>
      <c r="AZ157">
        <v>0</v>
      </c>
      <c r="BA157">
        <v>0</v>
      </c>
      <c r="BB157">
        <v>0</v>
      </c>
      <c r="BC157">
        <v>0</v>
      </c>
      <c r="BD157">
        <v>0</v>
      </c>
      <c r="BE157">
        <v>0</v>
      </c>
      <c r="BF157">
        <v>0</v>
      </c>
      <c r="BG157">
        <v>0</v>
      </c>
      <c r="BH157">
        <v>0</v>
      </c>
      <c r="BI157">
        <v>0</v>
      </c>
      <c r="BJ157">
        <v>0</v>
      </c>
      <c r="BK157">
        <v>0</v>
      </c>
      <c r="BL157">
        <v>0</v>
      </c>
      <c r="BM157">
        <v>0</v>
      </c>
      <c r="BN157">
        <v>0</v>
      </c>
      <c r="BO157">
        <v>0</v>
      </c>
      <c r="BP157">
        <v>0</v>
      </c>
      <c r="BQ157">
        <v>0</v>
      </c>
      <c r="BR157">
        <v>0</v>
      </c>
      <c r="BS157">
        <v>0</v>
      </c>
      <c r="BT157">
        <v>0</v>
      </c>
      <c r="BU157">
        <v>0</v>
      </c>
      <c r="BV157">
        <v>0</v>
      </c>
      <c r="BW157">
        <v>0</v>
      </c>
      <c r="BX157">
        <v>0</v>
      </c>
      <c r="BY157">
        <v>0</v>
      </c>
      <c r="BZ157">
        <v>0</v>
      </c>
      <c r="CA157">
        <v>0</v>
      </c>
      <c r="CB157">
        <v>2</v>
      </c>
      <c r="CC157">
        <v>2</v>
      </c>
      <c r="CD157">
        <v>2</v>
      </c>
      <c r="CE157">
        <v>2</v>
      </c>
      <c r="CF157">
        <v>2</v>
      </c>
      <c r="CG157">
        <v>2</v>
      </c>
      <c r="CH157">
        <v>2</v>
      </c>
      <c r="CI157">
        <v>2</v>
      </c>
      <c r="CJ157">
        <v>2</v>
      </c>
      <c r="CK157">
        <v>2</v>
      </c>
      <c r="CL157">
        <v>2</v>
      </c>
      <c r="CM157">
        <v>2</v>
      </c>
      <c r="CN157">
        <v>2</v>
      </c>
      <c r="CO157">
        <v>2</v>
      </c>
      <c r="CP157">
        <v>2</v>
      </c>
      <c r="CQ157">
        <v>2</v>
      </c>
      <c r="CR157">
        <v>2</v>
      </c>
      <c r="CS157">
        <v>2</v>
      </c>
      <c r="CT157">
        <v>2</v>
      </c>
      <c r="CU157">
        <v>2</v>
      </c>
      <c r="CV157">
        <v>2</v>
      </c>
      <c r="CW157">
        <v>2</v>
      </c>
      <c r="CX157">
        <v>2</v>
      </c>
      <c r="CY157">
        <v>2</v>
      </c>
      <c r="CZ157">
        <v>2</v>
      </c>
      <c r="DA157">
        <v>2</v>
      </c>
      <c r="DB157">
        <v>2</v>
      </c>
      <c r="DC157">
        <v>2</v>
      </c>
      <c r="DD157">
        <v>2</v>
      </c>
      <c r="DE157">
        <v>2</v>
      </c>
      <c r="DF157">
        <v>2</v>
      </c>
      <c r="DG157">
        <v>2</v>
      </c>
      <c r="DH157">
        <v>2</v>
      </c>
      <c r="DI157">
        <v>2</v>
      </c>
      <c r="DJ157">
        <v>2</v>
      </c>
      <c r="DK157">
        <v>2</v>
      </c>
      <c r="DL157">
        <v>2</v>
      </c>
      <c r="DM157">
        <v>2</v>
      </c>
      <c r="DN157">
        <v>2</v>
      </c>
      <c r="DO157">
        <v>2</v>
      </c>
      <c r="DP157">
        <v>2</v>
      </c>
      <c r="DQ157">
        <v>2</v>
      </c>
      <c r="DR157">
        <v>2</v>
      </c>
      <c r="DS157">
        <v>2</v>
      </c>
      <c r="DT157">
        <v>2</v>
      </c>
      <c r="DU157">
        <v>2</v>
      </c>
      <c r="DV157">
        <v>2</v>
      </c>
      <c r="DW157">
        <v>2</v>
      </c>
      <c r="DX157">
        <v>2</v>
      </c>
      <c r="DY157">
        <v>2</v>
      </c>
      <c r="DZ157">
        <v>2</v>
      </c>
      <c r="EA157">
        <v>2</v>
      </c>
      <c r="EB157">
        <v>2</v>
      </c>
      <c r="EC157">
        <v>2</v>
      </c>
      <c r="ED157">
        <v>2</v>
      </c>
      <c r="EE157">
        <v>2</v>
      </c>
      <c r="EF157">
        <v>2</v>
      </c>
      <c r="EG157">
        <v>2</v>
      </c>
      <c r="EH157">
        <v>2</v>
      </c>
      <c r="EI157">
        <v>2</v>
      </c>
      <c r="EJ157">
        <v>0</v>
      </c>
      <c r="EK157">
        <v>0</v>
      </c>
      <c r="EL157">
        <v>0</v>
      </c>
      <c r="EM157">
        <v>0</v>
      </c>
      <c r="EN157">
        <v>0</v>
      </c>
      <c r="EO157">
        <v>0</v>
      </c>
      <c r="EP157">
        <v>0</v>
      </c>
      <c r="EQ157">
        <v>0</v>
      </c>
      <c r="ER157">
        <v>0</v>
      </c>
      <c r="ES157">
        <v>0</v>
      </c>
      <c r="ET157">
        <v>0</v>
      </c>
      <c r="EU157">
        <v>0</v>
      </c>
      <c r="EV157">
        <v>0</v>
      </c>
      <c r="EW157">
        <v>0</v>
      </c>
      <c r="EX157">
        <v>0</v>
      </c>
      <c r="EY157">
        <v>0</v>
      </c>
      <c r="EZ157">
        <v>0</v>
      </c>
      <c r="FA157">
        <v>0</v>
      </c>
      <c r="FB157">
        <v>0</v>
      </c>
      <c r="FC157">
        <v>0</v>
      </c>
      <c r="FD157">
        <v>0</v>
      </c>
      <c r="FE157">
        <v>0</v>
      </c>
      <c r="FF157">
        <v>0</v>
      </c>
      <c r="FG157">
        <v>0</v>
      </c>
      <c r="FH157">
        <v>0</v>
      </c>
      <c r="FI157">
        <v>0</v>
      </c>
      <c r="FJ157">
        <v>0</v>
      </c>
      <c r="FK157">
        <v>0</v>
      </c>
      <c r="FL157">
        <v>0</v>
      </c>
      <c r="FM157">
        <v>0</v>
      </c>
      <c r="FN157">
        <v>0</v>
      </c>
      <c r="FO157">
        <v>0</v>
      </c>
      <c r="FP157">
        <v>0</v>
      </c>
      <c r="FQ157">
        <v>0</v>
      </c>
      <c r="FR157">
        <v>0</v>
      </c>
      <c r="FS157">
        <v>0</v>
      </c>
      <c r="FT157">
        <v>0</v>
      </c>
      <c r="FU157">
        <v>0</v>
      </c>
      <c r="FV157">
        <v>0</v>
      </c>
      <c r="FW157">
        <v>0</v>
      </c>
      <c r="FX157">
        <v>0</v>
      </c>
      <c r="FY157">
        <v>0</v>
      </c>
      <c r="FZ157">
        <v>0</v>
      </c>
      <c r="GA157">
        <v>0</v>
      </c>
      <c r="GB157">
        <v>0</v>
      </c>
      <c r="GC157">
        <v>0</v>
      </c>
      <c r="GD157">
        <v>0</v>
      </c>
      <c r="GE157">
        <v>0</v>
      </c>
      <c r="GF157">
        <v>0</v>
      </c>
      <c r="GG157">
        <v>0</v>
      </c>
      <c r="GH157">
        <v>0</v>
      </c>
      <c r="GI157">
        <v>0</v>
      </c>
      <c r="GJ157">
        <v>0</v>
      </c>
      <c r="GK157">
        <v>0</v>
      </c>
      <c r="GL157">
        <v>1</v>
      </c>
      <c r="GM157">
        <v>1</v>
      </c>
      <c r="GN157">
        <v>1</v>
      </c>
      <c r="GO157">
        <v>1</v>
      </c>
      <c r="GP157">
        <v>1</v>
      </c>
      <c r="GQ157">
        <v>1</v>
      </c>
      <c r="GR157">
        <v>1</v>
      </c>
      <c r="GS157">
        <v>1</v>
      </c>
      <c r="GT157">
        <v>1</v>
      </c>
      <c r="GU157">
        <v>1</v>
      </c>
      <c r="GV157">
        <v>1</v>
      </c>
      <c r="GW157">
        <v>1</v>
      </c>
      <c r="GX157">
        <v>1</v>
      </c>
      <c r="GY157">
        <v>1</v>
      </c>
      <c r="GZ157">
        <v>1</v>
      </c>
      <c r="HA157">
        <v>1</v>
      </c>
      <c r="HB157">
        <v>1</v>
      </c>
      <c r="HC157">
        <v>1</v>
      </c>
      <c r="HD157">
        <v>1</v>
      </c>
      <c r="HE157">
        <v>1</v>
      </c>
      <c r="HF157">
        <v>1</v>
      </c>
      <c r="HG157">
        <v>1</v>
      </c>
      <c r="HH157">
        <v>1</v>
      </c>
      <c r="HI157">
        <v>1</v>
      </c>
      <c r="HJ157">
        <v>1</v>
      </c>
      <c r="HK157">
        <v>1</v>
      </c>
      <c r="HL157">
        <v>1</v>
      </c>
      <c r="HM157">
        <v>1</v>
      </c>
      <c r="HN157">
        <v>1</v>
      </c>
      <c r="HO157">
        <v>1</v>
      </c>
      <c r="HP157">
        <v>1</v>
      </c>
      <c r="HQ157">
        <v>1</v>
      </c>
      <c r="HR157">
        <v>1</v>
      </c>
      <c r="HS157">
        <v>1</v>
      </c>
      <c r="HT157">
        <v>1</v>
      </c>
      <c r="HU157">
        <v>1</v>
      </c>
      <c r="HV157">
        <v>1</v>
      </c>
      <c r="HW157">
        <v>1</v>
      </c>
      <c r="HX157">
        <v>1</v>
      </c>
      <c r="HY157">
        <v>1</v>
      </c>
      <c r="HZ157">
        <v>1</v>
      </c>
      <c r="IA157">
        <v>1</v>
      </c>
      <c r="IB157">
        <v>1</v>
      </c>
      <c r="IC157">
        <v>1</v>
      </c>
      <c r="ID157">
        <v>1</v>
      </c>
      <c r="IE157">
        <v>1</v>
      </c>
      <c r="IF157">
        <v>1</v>
      </c>
      <c r="IG157">
        <v>1</v>
      </c>
      <c r="IH157">
        <v>1</v>
      </c>
      <c r="II157">
        <v>1</v>
      </c>
      <c r="IJ157">
        <v>1</v>
      </c>
      <c r="IK157">
        <v>1</v>
      </c>
      <c r="IL157">
        <v>1</v>
      </c>
      <c r="IM157">
        <v>1</v>
      </c>
      <c r="IN157">
        <v>1</v>
      </c>
      <c r="IO157">
        <v>1</v>
      </c>
      <c r="IP157">
        <v>1</v>
      </c>
      <c r="IQ157">
        <v>1</v>
      </c>
      <c r="IR157">
        <v>1</v>
      </c>
      <c r="IS157">
        <v>1</v>
      </c>
      <c r="IT157">
        <v>1</v>
      </c>
      <c r="IU157">
        <v>1</v>
      </c>
      <c r="IV157">
        <v>1</v>
      </c>
      <c r="IW157">
        <v>1</v>
      </c>
      <c r="IX157">
        <v>1</v>
      </c>
      <c r="IY157">
        <v>1</v>
      </c>
      <c r="IZ157">
        <v>1</v>
      </c>
      <c r="JA157">
        <v>1</v>
      </c>
      <c r="JB157">
        <v>1</v>
      </c>
      <c r="JC157">
        <v>1</v>
      </c>
      <c r="JD157">
        <v>1</v>
      </c>
      <c r="JE157">
        <v>1</v>
      </c>
      <c r="JF157">
        <v>1</v>
      </c>
      <c r="JG157">
        <v>1</v>
      </c>
      <c r="JH157">
        <v>1</v>
      </c>
      <c r="JI157">
        <v>1</v>
      </c>
      <c r="JJ157">
        <v>1</v>
      </c>
      <c r="JK157">
        <v>1</v>
      </c>
      <c r="JL157">
        <v>1</v>
      </c>
      <c r="JM157">
        <v>1</v>
      </c>
      <c r="JN157">
        <v>1</v>
      </c>
      <c r="JO157">
        <v>1</v>
      </c>
      <c r="JP157">
        <v>1</v>
      </c>
      <c r="JQ157">
        <v>1</v>
      </c>
      <c r="JR157">
        <v>1</v>
      </c>
      <c r="JS157">
        <v>1</v>
      </c>
      <c r="JT157">
        <v>1</v>
      </c>
      <c r="JU157">
        <v>1</v>
      </c>
      <c r="JV157">
        <v>1</v>
      </c>
      <c r="JW157">
        <v>1</v>
      </c>
      <c r="JX157">
        <v>1</v>
      </c>
      <c r="JY157">
        <v>1</v>
      </c>
      <c r="JZ157">
        <v>1</v>
      </c>
      <c r="KA157">
        <v>1</v>
      </c>
      <c r="KB157">
        <v>1</v>
      </c>
      <c r="KC157">
        <v>1</v>
      </c>
      <c r="KD157">
        <v>1</v>
      </c>
      <c r="KE157">
        <v>1</v>
      </c>
      <c r="KF157">
        <v>1</v>
      </c>
      <c r="KG157">
        <v>1</v>
      </c>
      <c r="KH157">
        <v>1</v>
      </c>
      <c r="KI157">
        <v>1</v>
      </c>
      <c r="KJ157">
        <v>1</v>
      </c>
      <c r="KK157">
        <v>1</v>
      </c>
      <c r="KL157">
        <v>1</v>
      </c>
      <c r="KM157">
        <v>1</v>
      </c>
      <c r="KN157">
        <v>1</v>
      </c>
      <c r="KO157">
        <v>1</v>
      </c>
      <c r="KP157">
        <v>1</v>
      </c>
      <c r="KQ157">
        <v>1</v>
      </c>
      <c r="KR157">
        <v>1</v>
      </c>
      <c r="KS157">
        <v>1</v>
      </c>
      <c r="KT157">
        <v>1</v>
      </c>
      <c r="KU157">
        <v>1</v>
      </c>
      <c r="KV157">
        <v>1</v>
      </c>
      <c r="KW157">
        <v>1</v>
      </c>
      <c r="KX157">
        <v>1</v>
      </c>
      <c r="KY157">
        <v>1</v>
      </c>
      <c r="KZ157">
        <v>1</v>
      </c>
      <c r="LA157">
        <v>1</v>
      </c>
      <c r="LB157">
        <v>1</v>
      </c>
      <c r="LC157">
        <v>1</v>
      </c>
      <c r="LD157">
        <v>1</v>
      </c>
      <c r="LE157">
        <v>1</v>
      </c>
      <c r="LF157">
        <v>1</v>
      </c>
      <c r="LG157">
        <v>1</v>
      </c>
      <c r="LH157">
        <v>1</v>
      </c>
      <c r="LI157">
        <v>1</v>
      </c>
      <c r="LJ157">
        <v>1</v>
      </c>
      <c r="LK157">
        <v>1</v>
      </c>
      <c r="LL157">
        <v>1</v>
      </c>
      <c r="LM157">
        <v>1</v>
      </c>
      <c r="LN157">
        <v>1</v>
      </c>
      <c r="LO157">
        <v>1</v>
      </c>
      <c r="LP157">
        <v>1</v>
      </c>
      <c r="LQ157">
        <v>1</v>
      </c>
      <c r="LR157">
        <v>1</v>
      </c>
      <c r="LS157">
        <v>1</v>
      </c>
      <c r="LT157">
        <v>1</v>
      </c>
      <c r="LU157">
        <v>1</v>
      </c>
      <c r="LV157">
        <v>1</v>
      </c>
      <c r="LW157">
        <v>1</v>
      </c>
      <c r="LX157">
        <v>1</v>
      </c>
      <c r="LY157">
        <v>1</v>
      </c>
      <c r="LZ157">
        <v>1</v>
      </c>
      <c r="MA157">
        <v>1</v>
      </c>
      <c r="MB157">
        <v>1</v>
      </c>
      <c r="MC157">
        <v>1</v>
      </c>
      <c r="MD157">
        <v>1</v>
      </c>
      <c r="ME157">
        <v>1</v>
      </c>
      <c r="MF157">
        <v>1</v>
      </c>
      <c r="MG157">
        <v>1</v>
      </c>
      <c r="MH157">
        <v>1</v>
      </c>
      <c r="MI157">
        <v>1</v>
      </c>
      <c r="MJ157">
        <v>1</v>
      </c>
      <c r="MK157">
        <v>1</v>
      </c>
      <c r="ML157">
        <v>1</v>
      </c>
      <c r="MM157">
        <v>1</v>
      </c>
      <c r="MN157">
        <v>1</v>
      </c>
      <c r="MO157">
        <v>1</v>
      </c>
      <c r="MP157">
        <v>1</v>
      </c>
      <c r="MQ157">
        <v>1</v>
      </c>
      <c r="MR157">
        <v>1</v>
      </c>
      <c r="MS157">
        <v>1</v>
      </c>
      <c r="MT157">
        <v>1</v>
      </c>
      <c r="MU157">
        <v>1</v>
      </c>
      <c r="MV157">
        <v>1</v>
      </c>
      <c r="MW157">
        <v>1</v>
      </c>
      <c r="MX157">
        <v>1</v>
      </c>
      <c r="MY157">
        <v>1</v>
      </c>
      <c r="MZ157">
        <v>1</v>
      </c>
      <c r="NA157">
        <v>1</v>
      </c>
      <c r="NB157">
        <v>1</v>
      </c>
      <c r="NC157">
        <v>1</v>
      </c>
      <c r="ND157">
        <v>1</v>
      </c>
      <c r="NE157">
        <v>1</v>
      </c>
      <c r="NF157">
        <v>1</v>
      </c>
      <c r="NG157">
        <v>1</v>
      </c>
      <c r="NH157">
        <v>1</v>
      </c>
      <c r="NI157">
        <v>1</v>
      </c>
      <c r="NJ157">
        <v>1</v>
      </c>
      <c r="NK157">
        <v>1</v>
      </c>
      <c r="NL157">
        <v>1</v>
      </c>
      <c r="NM157">
        <v>1</v>
      </c>
      <c r="NN157">
        <v>1</v>
      </c>
      <c r="NO157">
        <v>1</v>
      </c>
      <c r="NP157">
        <v>1</v>
      </c>
      <c r="NQ157">
        <v>1</v>
      </c>
      <c r="NR157">
        <v>1</v>
      </c>
      <c r="NS157">
        <v>1</v>
      </c>
      <c r="NT157">
        <v>1</v>
      </c>
      <c r="NU157">
        <v>1</v>
      </c>
      <c r="NV157">
        <v>1</v>
      </c>
      <c r="NW157">
        <v>1</v>
      </c>
      <c r="NX157">
        <v>1</v>
      </c>
      <c r="NY157">
        <v>1</v>
      </c>
      <c r="NZ157">
        <v>1</v>
      </c>
      <c r="OA157">
        <v>1</v>
      </c>
      <c r="OB157">
        <v>1</v>
      </c>
      <c r="OC157">
        <v>1</v>
      </c>
      <c r="OD157">
        <v>1</v>
      </c>
      <c r="OE157">
        <v>1</v>
      </c>
      <c r="OF157">
        <v>1</v>
      </c>
      <c r="OG157">
        <v>1</v>
      </c>
      <c r="OH157">
        <v>1</v>
      </c>
      <c r="OI157">
        <v>1</v>
      </c>
      <c r="OJ157">
        <v>1</v>
      </c>
      <c r="OK157">
        <v>1</v>
      </c>
      <c r="OL157">
        <v>1</v>
      </c>
      <c r="OM157">
        <v>1</v>
      </c>
      <c r="ON157">
        <v>1</v>
      </c>
      <c r="OO157">
        <v>1</v>
      </c>
      <c r="OP157">
        <v>1</v>
      </c>
      <c r="OQ157">
        <v>1</v>
      </c>
      <c r="OR157">
        <v>1</v>
      </c>
      <c r="OS157">
        <v>1</v>
      </c>
      <c r="OT157">
        <v>1</v>
      </c>
      <c r="OU157">
        <v>1</v>
      </c>
      <c r="OV157">
        <v>1</v>
      </c>
      <c r="OW157">
        <v>1</v>
      </c>
      <c r="OX157">
        <v>1</v>
      </c>
      <c r="OY157">
        <v>1</v>
      </c>
      <c r="OZ157">
        <v>1</v>
      </c>
      <c r="PA157">
        <v>1</v>
      </c>
      <c r="PB157">
        <v>1</v>
      </c>
      <c r="PC157">
        <v>1</v>
      </c>
      <c r="PD157">
        <v>1</v>
      </c>
      <c r="PE157">
        <v>1</v>
      </c>
      <c r="PF157">
        <v>1</v>
      </c>
      <c r="PG157">
        <v>1</v>
      </c>
      <c r="PH157">
        <v>1</v>
      </c>
      <c r="PI157">
        <v>1</v>
      </c>
      <c r="PJ157">
        <v>1</v>
      </c>
      <c r="PK157">
        <v>1</v>
      </c>
      <c r="PL157">
        <v>1</v>
      </c>
      <c r="PM157">
        <v>1</v>
      </c>
      <c r="PN157">
        <v>1</v>
      </c>
      <c r="PO157">
        <v>1</v>
      </c>
      <c r="PP157">
        <v>1</v>
      </c>
      <c r="PQ157">
        <v>1</v>
      </c>
      <c r="PR157">
        <v>1</v>
      </c>
      <c r="PS157">
        <v>0</v>
      </c>
      <c r="PT157">
        <v>0</v>
      </c>
      <c r="PU157">
        <v>0</v>
      </c>
      <c r="PV157">
        <v>0</v>
      </c>
      <c r="PW157">
        <v>0</v>
      </c>
      <c r="PX157">
        <v>0</v>
      </c>
      <c r="PY157">
        <v>0</v>
      </c>
      <c r="PZ157">
        <v>0</v>
      </c>
      <c r="QA157">
        <v>0</v>
      </c>
      <c r="QB157">
        <v>0</v>
      </c>
      <c r="QC157">
        <v>0</v>
      </c>
      <c r="QD157">
        <v>0</v>
      </c>
      <c r="QE157">
        <v>0</v>
      </c>
      <c r="QF157">
        <v>0</v>
      </c>
      <c r="QG157">
        <v>0</v>
      </c>
      <c r="QH157">
        <v>0</v>
      </c>
      <c r="QI157">
        <v>0</v>
      </c>
      <c r="QJ157">
        <v>0</v>
      </c>
      <c r="QK157">
        <v>0</v>
      </c>
      <c r="QL157">
        <v>0</v>
      </c>
      <c r="QM157">
        <v>0</v>
      </c>
      <c r="QN157">
        <v>0</v>
      </c>
      <c r="QO157">
        <v>0</v>
      </c>
      <c r="QP157">
        <v>0</v>
      </c>
      <c r="QQ157">
        <v>0</v>
      </c>
      <c r="QR157">
        <v>0</v>
      </c>
      <c r="QS157">
        <v>0</v>
      </c>
      <c r="QT157">
        <v>0</v>
      </c>
      <c r="QU157">
        <v>0</v>
      </c>
      <c r="QV157">
        <v>0</v>
      </c>
      <c r="QW157">
        <v>0</v>
      </c>
      <c r="QX157">
        <v>0</v>
      </c>
      <c r="QY157">
        <v>0</v>
      </c>
      <c r="QZ157">
        <v>0</v>
      </c>
      <c r="RA157">
        <v>0</v>
      </c>
      <c r="RB157">
        <v>0</v>
      </c>
      <c r="RC157">
        <v>0</v>
      </c>
      <c r="RD157">
        <v>0</v>
      </c>
      <c r="RE157">
        <v>0</v>
      </c>
      <c r="RF157">
        <v>0</v>
      </c>
      <c r="RG157">
        <v>0</v>
      </c>
      <c r="RH157">
        <v>0</v>
      </c>
      <c r="RI157">
        <v>0</v>
      </c>
      <c r="RJ157">
        <v>0</v>
      </c>
      <c r="RK157">
        <v>0</v>
      </c>
      <c r="RL157">
        <v>0</v>
      </c>
      <c r="RM157">
        <v>0</v>
      </c>
      <c r="RN157">
        <v>0</v>
      </c>
      <c r="RO157">
        <v>0</v>
      </c>
      <c r="RP157">
        <v>0</v>
      </c>
      <c r="RQ157">
        <v>0</v>
      </c>
      <c r="RR157">
        <v>0</v>
      </c>
      <c r="RS157">
        <v>0</v>
      </c>
      <c r="RT157">
        <v>0</v>
      </c>
      <c r="RU157">
        <v>0</v>
      </c>
      <c r="RV157">
        <v>0</v>
      </c>
      <c r="RW157">
        <v>0</v>
      </c>
      <c r="RX157">
        <v>0</v>
      </c>
      <c r="RY157">
        <v>0</v>
      </c>
      <c r="RZ157">
        <v>0</v>
      </c>
      <c r="SA157">
        <v>0</v>
      </c>
      <c r="SB157">
        <v>0</v>
      </c>
      <c r="SC157">
        <v>0</v>
      </c>
      <c r="SD157">
        <v>0</v>
      </c>
      <c r="SE157">
        <v>0</v>
      </c>
      <c r="SF157">
        <v>0</v>
      </c>
      <c r="SG157">
        <v>0</v>
      </c>
      <c r="SH157">
        <v>0</v>
      </c>
      <c r="SI157">
        <v>0</v>
      </c>
      <c r="SJ157">
        <v>0</v>
      </c>
      <c r="SK157">
        <v>0</v>
      </c>
      <c r="SL157">
        <v>0</v>
      </c>
      <c r="SM157">
        <v>0</v>
      </c>
      <c r="SN157">
        <v>0</v>
      </c>
      <c r="SO157">
        <v>0</v>
      </c>
      <c r="SP157">
        <v>0</v>
      </c>
      <c r="SQ157">
        <v>0</v>
      </c>
      <c r="SR157">
        <v>0</v>
      </c>
      <c r="SS157">
        <v>0</v>
      </c>
      <c r="ST157">
        <v>0</v>
      </c>
      <c r="SU157">
        <v>0</v>
      </c>
      <c r="SV157">
        <v>0</v>
      </c>
      <c r="SW157">
        <v>0</v>
      </c>
      <c r="SX157">
        <v>0</v>
      </c>
      <c r="SY157">
        <v>0</v>
      </c>
      <c r="SZ157">
        <v>0</v>
      </c>
      <c r="TA157">
        <v>0</v>
      </c>
      <c r="TB157">
        <v>0</v>
      </c>
      <c r="TC157">
        <v>0</v>
      </c>
      <c r="TD157">
        <v>0</v>
      </c>
      <c r="TE157">
        <v>0</v>
      </c>
      <c r="TF157">
        <v>0</v>
      </c>
      <c r="TG157">
        <v>0</v>
      </c>
      <c r="TH157">
        <v>0</v>
      </c>
      <c r="TI157">
        <v>0</v>
      </c>
      <c r="TJ157">
        <v>0</v>
      </c>
      <c r="TK157">
        <v>0</v>
      </c>
      <c r="TL157">
        <v>0</v>
      </c>
      <c r="TM157">
        <v>0</v>
      </c>
      <c r="TN157">
        <v>0</v>
      </c>
      <c r="TO157">
        <v>0</v>
      </c>
      <c r="TP157">
        <v>0</v>
      </c>
      <c r="TQ157">
        <v>0</v>
      </c>
      <c r="TR157">
        <v>0</v>
      </c>
      <c r="TS157">
        <v>0</v>
      </c>
      <c r="TT157">
        <v>0</v>
      </c>
      <c r="TU157">
        <v>0</v>
      </c>
      <c r="TV157">
        <v>0</v>
      </c>
      <c r="TW157">
        <v>0</v>
      </c>
      <c r="TX157">
        <v>0</v>
      </c>
      <c r="TY157">
        <v>0</v>
      </c>
      <c r="TZ157">
        <v>0</v>
      </c>
      <c r="UA157">
        <v>0</v>
      </c>
      <c r="UB157">
        <v>0</v>
      </c>
      <c r="UC157">
        <v>0</v>
      </c>
      <c r="UD157">
        <v>0</v>
      </c>
      <c r="UE157">
        <v>0</v>
      </c>
      <c r="UF157">
        <v>0</v>
      </c>
      <c r="UG157">
        <v>0</v>
      </c>
      <c r="UH157">
        <v>0</v>
      </c>
      <c r="UI157">
        <v>0</v>
      </c>
      <c r="UJ157">
        <v>0</v>
      </c>
      <c r="UK157">
        <v>0</v>
      </c>
      <c r="UL157">
        <v>0</v>
      </c>
      <c r="UM157">
        <v>0</v>
      </c>
      <c r="UN157">
        <v>0</v>
      </c>
      <c r="UO157">
        <v>0</v>
      </c>
      <c r="UP157">
        <v>0</v>
      </c>
      <c r="UQ157">
        <v>0</v>
      </c>
      <c r="UR157">
        <v>0</v>
      </c>
      <c r="US157">
        <v>0</v>
      </c>
      <c r="UT157">
        <v>0</v>
      </c>
      <c r="UU157">
        <v>0</v>
      </c>
      <c r="UV157">
        <v>0</v>
      </c>
      <c r="UW157">
        <v>0</v>
      </c>
      <c r="UX157">
        <v>0</v>
      </c>
      <c r="UY157">
        <v>0</v>
      </c>
      <c r="UZ157">
        <v>0</v>
      </c>
      <c r="VA157">
        <v>0</v>
      </c>
      <c r="VB157">
        <v>0</v>
      </c>
      <c r="VC157">
        <v>0</v>
      </c>
      <c r="VD157">
        <v>0</v>
      </c>
      <c r="VE157">
        <v>0</v>
      </c>
      <c r="VF157">
        <v>0</v>
      </c>
      <c r="VG157">
        <v>0</v>
      </c>
      <c r="VH157">
        <v>0</v>
      </c>
      <c r="VI157">
        <v>0</v>
      </c>
      <c r="VJ157">
        <v>0</v>
      </c>
      <c r="VK157">
        <v>0</v>
      </c>
      <c r="VL157">
        <v>0</v>
      </c>
      <c r="VM157">
        <v>0</v>
      </c>
      <c r="VN157">
        <v>0</v>
      </c>
      <c r="VO157">
        <v>0</v>
      </c>
      <c r="VP157">
        <v>0</v>
      </c>
      <c r="VQ157">
        <v>0</v>
      </c>
      <c r="VR157">
        <v>0</v>
      </c>
      <c r="VS157">
        <v>0</v>
      </c>
      <c r="VT157">
        <v>0</v>
      </c>
      <c r="VU157">
        <v>0</v>
      </c>
      <c r="VV157">
        <v>0</v>
      </c>
      <c r="VW157">
        <v>0</v>
      </c>
      <c r="VX157">
        <v>0</v>
      </c>
      <c r="VY157">
        <v>0</v>
      </c>
      <c r="VZ157">
        <v>0</v>
      </c>
      <c r="WA157">
        <v>0</v>
      </c>
      <c r="WB157">
        <v>0</v>
      </c>
      <c r="WC157">
        <v>0</v>
      </c>
      <c r="WD157">
        <v>0</v>
      </c>
      <c r="WE157">
        <v>0</v>
      </c>
      <c r="WF157">
        <v>0</v>
      </c>
      <c r="WG157">
        <v>0</v>
      </c>
      <c r="WH157">
        <v>0</v>
      </c>
      <c r="WI157">
        <v>0</v>
      </c>
      <c r="WJ157">
        <v>0</v>
      </c>
      <c r="WK157">
        <v>0</v>
      </c>
      <c r="WL157">
        <v>0</v>
      </c>
      <c r="WM157">
        <v>0</v>
      </c>
      <c r="WN157">
        <v>0</v>
      </c>
      <c r="WO157">
        <v>0</v>
      </c>
      <c r="WP157">
        <v>0</v>
      </c>
      <c r="WQ157">
        <v>0</v>
      </c>
      <c r="WR157">
        <v>0</v>
      </c>
      <c r="WS157">
        <v>0</v>
      </c>
      <c r="WT157">
        <v>0</v>
      </c>
      <c r="WU157">
        <v>0</v>
      </c>
      <c r="WV157">
        <v>0</v>
      </c>
      <c r="WW157">
        <v>0</v>
      </c>
      <c r="WX157">
        <v>0</v>
      </c>
      <c r="WY157">
        <v>0</v>
      </c>
      <c r="WZ157">
        <v>0</v>
      </c>
      <c r="XA157">
        <v>0</v>
      </c>
      <c r="XB157">
        <v>0</v>
      </c>
      <c r="XC157">
        <v>0</v>
      </c>
      <c r="XD157">
        <v>0</v>
      </c>
      <c r="XE157">
        <v>0</v>
      </c>
      <c r="XF157">
        <v>0</v>
      </c>
      <c r="XG157">
        <v>0</v>
      </c>
      <c r="XH157">
        <v>0</v>
      </c>
      <c r="XI157">
        <v>1</v>
      </c>
      <c r="XJ157">
        <v>1</v>
      </c>
      <c r="XK157">
        <v>1</v>
      </c>
      <c r="XL157">
        <v>1</v>
      </c>
      <c r="XM157">
        <v>1</v>
      </c>
      <c r="XN157">
        <v>1</v>
      </c>
      <c r="XO157">
        <v>1</v>
      </c>
      <c r="XP157">
        <v>1</v>
      </c>
      <c r="XQ157">
        <v>1</v>
      </c>
      <c r="XR157">
        <v>1</v>
      </c>
      <c r="XS157">
        <v>1</v>
      </c>
      <c r="XT157">
        <v>1</v>
      </c>
      <c r="XU157">
        <v>1</v>
      </c>
      <c r="XV157">
        <v>0</v>
      </c>
      <c r="XW157">
        <v>0</v>
      </c>
      <c r="XX157">
        <v>0</v>
      </c>
      <c r="XY157">
        <v>0</v>
      </c>
      <c r="XZ157">
        <v>0</v>
      </c>
      <c r="YA157">
        <v>0</v>
      </c>
      <c r="YB157">
        <v>0</v>
      </c>
      <c r="YC157">
        <v>0</v>
      </c>
      <c r="YD157">
        <v>0</v>
      </c>
      <c r="YE157">
        <v>0</v>
      </c>
      <c r="YF157">
        <v>0</v>
      </c>
      <c r="YG157">
        <v>0</v>
      </c>
      <c r="YH157">
        <v>0</v>
      </c>
      <c r="YI157">
        <v>0</v>
      </c>
      <c r="YJ157">
        <v>0</v>
      </c>
      <c r="YK157">
        <v>0</v>
      </c>
      <c r="YL157">
        <v>0</v>
      </c>
      <c r="YM157">
        <v>0</v>
      </c>
      <c r="YN157">
        <v>0</v>
      </c>
      <c r="YO157">
        <v>0</v>
      </c>
      <c r="YP157">
        <v>0</v>
      </c>
      <c r="YQ157">
        <v>0</v>
      </c>
      <c r="YR157">
        <v>0</v>
      </c>
      <c r="YS157">
        <v>0</v>
      </c>
      <c r="YT157">
        <v>0</v>
      </c>
      <c r="YU157">
        <v>0</v>
      </c>
      <c r="YV157">
        <v>0</v>
      </c>
      <c r="YW157">
        <v>0</v>
      </c>
      <c r="YX157">
        <v>0</v>
      </c>
      <c r="YY157">
        <v>0</v>
      </c>
      <c r="YZ157">
        <v>0</v>
      </c>
      <c r="ZA157">
        <v>0</v>
      </c>
      <c r="ZB157">
        <v>0</v>
      </c>
      <c r="ZC157">
        <v>0</v>
      </c>
      <c r="ZD157">
        <v>0</v>
      </c>
      <c r="ZE157">
        <v>0</v>
      </c>
      <c r="ZF157">
        <v>0</v>
      </c>
      <c r="ZG157">
        <v>0</v>
      </c>
      <c r="ZH157">
        <v>0</v>
      </c>
      <c r="ZI157">
        <v>0</v>
      </c>
      <c r="ZJ157">
        <v>0</v>
      </c>
      <c r="ZK157">
        <v>0</v>
      </c>
      <c r="ZL157">
        <v>0</v>
      </c>
      <c r="ZM157">
        <v>0</v>
      </c>
      <c r="ZN157">
        <v>0</v>
      </c>
      <c r="ZO157">
        <v>0</v>
      </c>
      <c r="ZP157">
        <v>0</v>
      </c>
      <c r="ZQ157">
        <v>0</v>
      </c>
      <c r="ZR157">
        <v>0</v>
      </c>
      <c r="ZS157">
        <v>0</v>
      </c>
      <c r="ZT157">
        <v>0</v>
      </c>
      <c r="ZU157">
        <v>0</v>
      </c>
      <c r="ZV157">
        <v>0</v>
      </c>
      <c r="ZW157">
        <v>0</v>
      </c>
      <c r="ZX157">
        <v>0</v>
      </c>
      <c r="ZY157">
        <v>0</v>
      </c>
      <c r="ZZ157">
        <v>0</v>
      </c>
      <c r="AAA157">
        <v>0</v>
      </c>
      <c r="AAB157">
        <v>0</v>
      </c>
      <c r="AAC157">
        <v>0</v>
      </c>
      <c r="AAD157">
        <v>0</v>
      </c>
      <c r="AAE157">
        <v>0</v>
      </c>
      <c r="AAF157">
        <v>0</v>
      </c>
      <c r="AAG157">
        <v>0</v>
      </c>
      <c r="AAH157">
        <v>0</v>
      </c>
      <c r="AAI157">
        <v>0</v>
      </c>
      <c r="AAJ157">
        <v>0</v>
      </c>
      <c r="AAK157">
        <v>0</v>
      </c>
      <c r="AAL157">
        <v>0</v>
      </c>
      <c r="AAM157">
        <v>0</v>
      </c>
      <c r="AAN157">
        <v>0</v>
      </c>
      <c r="AAO157">
        <v>0</v>
      </c>
      <c r="AAP157">
        <v>0</v>
      </c>
      <c r="AAQ157">
        <v>0</v>
      </c>
      <c r="AAR157">
        <v>0</v>
      </c>
      <c r="AAS157">
        <v>0</v>
      </c>
      <c r="AAT157">
        <v>0</v>
      </c>
      <c r="AAU157">
        <v>0</v>
      </c>
      <c r="AAV157">
        <v>0</v>
      </c>
      <c r="AAW157">
        <v>0</v>
      </c>
      <c r="AAX157">
        <v>0</v>
      </c>
      <c r="AAY157">
        <v>0</v>
      </c>
      <c r="AAZ157">
        <v>0</v>
      </c>
      <c r="ABA157">
        <v>0</v>
      </c>
      <c r="ABB157">
        <v>0</v>
      </c>
      <c r="ABC157">
        <v>0</v>
      </c>
      <c r="ABD157">
        <v>0</v>
      </c>
      <c r="ABE157">
        <v>0</v>
      </c>
      <c r="ABG157" s="1137">
        <f t="shared" si="41"/>
        <v>0</v>
      </c>
      <c r="ABH157" s="1137">
        <f t="shared" si="41"/>
        <v>0</v>
      </c>
      <c r="ABI157" s="1137">
        <f t="shared" si="41"/>
        <v>14</v>
      </c>
      <c r="ABJ157" s="1137">
        <f t="shared" si="41"/>
        <v>30</v>
      </c>
      <c r="ABK157" s="1137">
        <f t="shared" si="41"/>
        <v>16</v>
      </c>
      <c r="ABL157" s="1137">
        <f t="shared" si="41"/>
        <v>0</v>
      </c>
      <c r="ABM157" s="1137">
        <f t="shared" si="41"/>
        <v>22</v>
      </c>
      <c r="ABN157" s="1137">
        <f t="shared" si="41"/>
        <v>31</v>
      </c>
      <c r="ABO157" s="1137">
        <f t="shared" si="41"/>
        <v>30</v>
      </c>
      <c r="ABP157" s="1137">
        <f t="shared" si="41"/>
        <v>31</v>
      </c>
      <c r="ABQ157" s="1137">
        <f t="shared" si="41"/>
        <v>30</v>
      </c>
      <c r="ABR157" s="1137">
        <f t="shared" si="41"/>
        <v>31</v>
      </c>
      <c r="ABS157" s="1137">
        <f t="shared" si="41"/>
        <v>31</v>
      </c>
      <c r="ABT157" s="1137">
        <f t="shared" si="41"/>
        <v>28</v>
      </c>
      <c r="ABU157" s="1137">
        <f t="shared" si="41"/>
        <v>7</v>
      </c>
      <c r="ABV157" s="1137">
        <f t="shared" si="41"/>
        <v>0</v>
      </c>
      <c r="ABW157" s="1137">
        <f t="shared" si="31"/>
        <v>0</v>
      </c>
      <c r="ABX157" s="1137">
        <f t="shared" si="34"/>
        <v>0</v>
      </c>
      <c r="ABY157" s="1137">
        <f t="shared" si="34"/>
        <v>0</v>
      </c>
      <c r="ABZ157" s="1137">
        <f t="shared" si="34"/>
        <v>0</v>
      </c>
      <c r="ACA157" s="1137">
        <f t="shared" si="34"/>
        <v>9</v>
      </c>
      <c r="ACB157" s="1137">
        <f t="shared" si="34"/>
        <v>4</v>
      </c>
      <c r="ACC157" s="1137">
        <f t="shared" si="34"/>
        <v>0</v>
      </c>
      <c r="ACD157" s="1137">
        <f t="shared" si="34"/>
        <v>0</v>
      </c>
      <c r="ACE157" s="1137" t="s">
        <v>252</v>
      </c>
      <c r="ACF157" s="1137">
        <f t="shared" si="39"/>
        <v>0</v>
      </c>
      <c r="ACG157" s="1137">
        <f t="shared" si="39"/>
        <v>0</v>
      </c>
      <c r="ACH157" s="1137">
        <f t="shared" si="38"/>
        <v>1</v>
      </c>
      <c r="ACI157" s="1137">
        <f t="shared" si="38"/>
        <v>1</v>
      </c>
      <c r="ACJ157" s="1137">
        <f t="shared" si="38"/>
        <v>1</v>
      </c>
      <c r="ACK157" s="1137">
        <f t="shared" si="38"/>
        <v>0</v>
      </c>
      <c r="ACL157" s="1137">
        <f t="shared" si="38"/>
        <v>1</v>
      </c>
      <c r="ACM157" s="1137">
        <f t="shared" si="38"/>
        <v>1</v>
      </c>
      <c r="ACN157" s="1137">
        <f t="shared" si="38"/>
        <v>1</v>
      </c>
      <c r="ACO157" s="1137">
        <f t="shared" si="38"/>
        <v>1</v>
      </c>
      <c r="ACP157" s="1137">
        <f t="shared" si="38"/>
        <v>1</v>
      </c>
      <c r="ACQ157" s="1137">
        <f t="shared" si="38"/>
        <v>1</v>
      </c>
      <c r="ACR157" s="1137">
        <f t="shared" si="38"/>
        <v>1</v>
      </c>
      <c r="ACS157" s="1137">
        <f t="shared" si="38"/>
        <v>1</v>
      </c>
      <c r="ACT157" s="1137">
        <f t="shared" si="38"/>
        <v>0</v>
      </c>
      <c r="ACU157" s="1137">
        <f t="shared" si="38"/>
        <v>0</v>
      </c>
      <c r="ACV157" s="1137">
        <f t="shared" si="38"/>
        <v>0</v>
      </c>
      <c r="ACW157" s="1137">
        <f t="shared" si="38"/>
        <v>0</v>
      </c>
      <c r="ACX157" s="1137">
        <f t="shared" si="42"/>
        <v>0</v>
      </c>
      <c r="ACY157" s="1137">
        <f t="shared" si="42"/>
        <v>0</v>
      </c>
      <c r="ACZ157" s="1137">
        <f t="shared" si="42"/>
        <v>0</v>
      </c>
      <c r="ADA157" s="1137">
        <f t="shared" si="35"/>
        <v>0</v>
      </c>
      <c r="ADB157" s="1137">
        <f t="shared" si="35"/>
        <v>0</v>
      </c>
      <c r="ADC157" s="1137">
        <f t="shared" si="35"/>
        <v>0</v>
      </c>
    </row>
    <row r="158" spans="1:783" x14ac:dyDescent="0.25">
      <c r="A158" t="s">
        <v>514</v>
      </c>
      <c r="B158" t="s">
        <v>65</v>
      </c>
      <c r="C158">
        <v>0</v>
      </c>
      <c r="D158">
        <v>0</v>
      </c>
      <c r="E158">
        <v>0</v>
      </c>
      <c r="F158">
        <v>0</v>
      </c>
      <c r="G158">
        <v>0</v>
      </c>
      <c r="H158">
        <v>0</v>
      </c>
      <c r="I158">
        <v>0</v>
      </c>
      <c r="J158">
        <v>0</v>
      </c>
      <c r="K158">
        <v>0</v>
      </c>
      <c r="L158">
        <v>0</v>
      </c>
      <c r="M158">
        <v>0</v>
      </c>
      <c r="N158">
        <v>0</v>
      </c>
      <c r="O158">
        <v>0</v>
      </c>
      <c r="P158">
        <v>0</v>
      </c>
      <c r="Q158">
        <v>0</v>
      </c>
      <c r="R158">
        <v>0</v>
      </c>
      <c r="S158">
        <v>0</v>
      </c>
      <c r="T158">
        <v>0</v>
      </c>
      <c r="U158">
        <v>0</v>
      </c>
      <c r="V158">
        <v>0</v>
      </c>
      <c r="W158">
        <v>0</v>
      </c>
      <c r="X158">
        <v>0</v>
      </c>
      <c r="Y158">
        <v>0</v>
      </c>
      <c r="Z158">
        <v>0</v>
      </c>
      <c r="AA158">
        <v>0</v>
      </c>
      <c r="AB158">
        <v>0</v>
      </c>
      <c r="AC158">
        <v>0</v>
      </c>
      <c r="AD158">
        <v>0</v>
      </c>
      <c r="AE158">
        <v>0</v>
      </c>
      <c r="AF158">
        <v>0</v>
      </c>
      <c r="AG158">
        <v>0</v>
      </c>
      <c r="AH158">
        <v>0</v>
      </c>
      <c r="AI158">
        <v>0</v>
      </c>
      <c r="AJ158">
        <v>0</v>
      </c>
      <c r="AK158">
        <v>0</v>
      </c>
      <c r="AL158">
        <v>0</v>
      </c>
      <c r="AM158">
        <v>0</v>
      </c>
      <c r="AN158">
        <v>0</v>
      </c>
      <c r="AO158">
        <v>0</v>
      </c>
      <c r="AP158">
        <v>0</v>
      </c>
      <c r="AQ158">
        <v>0</v>
      </c>
      <c r="AR158">
        <v>0</v>
      </c>
      <c r="AS158">
        <v>0</v>
      </c>
      <c r="AT158">
        <v>0</v>
      </c>
      <c r="AU158">
        <v>0</v>
      </c>
      <c r="AV158">
        <v>0</v>
      </c>
      <c r="AW158">
        <v>0</v>
      </c>
      <c r="AX158">
        <v>0</v>
      </c>
      <c r="AY158">
        <v>0</v>
      </c>
      <c r="AZ158">
        <v>0</v>
      </c>
      <c r="BA158">
        <v>0</v>
      </c>
      <c r="BB158">
        <v>0</v>
      </c>
      <c r="BC158">
        <v>0</v>
      </c>
      <c r="BD158">
        <v>0</v>
      </c>
      <c r="BE158">
        <v>0</v>
      </c>
      <c r="BF158">
        <v>0</v>
      </c>
      <c r="BG158">
        <v>0</v>
      </c>
      <c r="BH158">
        <v>0</v>
      </c>
      <c r="BI158">
        <v>0</v>
      </c>
      <c r="BJ158">
        <v>0</v>
      </c>
      <c r="BK158">
        <v>0</v>
      </c>
      <c r="BL158">
        <v>0</v>
      </c>
      <c r="BM158">
        <v>0</v>
      </c>
      <c r="BN158">
        <v>0</v>
      </c>
      <c r="BO158">
        <v>0</v>
      </c>
      <c r="BP158">
        <v>0</v>
      </c>
      <c r="BQ158">
        <v>0</v>
      </c>
      <c r="BR158">
        <v>0</v>
      </c>
      <c r="BS158">
        <v>0</v>
      </c>
      <c r="BT158">
        <v>0</v>
      </c>
      <c r="BU158">
        <v>0</v>
      </c>
      <c r="BV158">
        <v>0</v>
      </c>
      <c r="BW158">
        <v>0</v>
      </c>
      <c r="BX158">
        <v>0</v>
      </c>
      <c r="BY158">
        <v>0</v>
      </c>
      <c r="BZ158">
        <v>0</v>
      </c>
      <c r="CA158">
        <v>0</v>
      </c>
      <c r="CB158">
        <v>0</v>
      </c>
      <c r="CC158">
        <v>0</v>
      </c>
      <c r="CD158">
        <v>0</v>
      </c>
      <c r="CE158">
        <v>0</v>
      </c>
      <c r="CF158">
        <v>0</v>
      </c>
      <c r="CG158">
        <v>0</v>
      </c>
      <c r="CH158">
        <v>0</v>
      </c>
      <c r="CI158">
        <v>0</v>
      </c>
      <c r="CJ158">
        <v>0</v>
      </c>
      <c r="CK158">
        <v>0</v>
      </c>
      <c r="CL158">
        <v>0</v>
      </c>
      <c r="CM158">
        <v>0</v>
      </c>
      <c r="CN158">
        <v>0</v>
      </c>
      <c r="CO158">
        <v>0</v>
      </c>
      <c r="CP158">
        <v>0</v>
      </c>
      <c r="CQ158">
        <v>0</v>
      </c>
      <c r="CR158">
        <v>0</v>
      </c>
      <c r="CS158">
        <v>0</v>
      </c>
      <c r="CT158">
        <v>0</v>
      </c>
      <c r="CU158">
        <v>0</v>
      </c>
      <c r="CV158">
        <v>0</v>
      </c>
      <c r="CW158">
        <v>0</v>
      </c>
      <c r="CX158">
        <v>0</v>
      </c>
      <c r="CY158">
        <v>0</v>
      </c>
      <c r="CZ158">
        <v>0</v>
      </c>
      <c r="DA158">
        <v>2</v>
      </c>
      <c r="DB158">
        <v>2</v>
      </c>
      <c r="DC158">
        <v>2</v>
      </c>
      <c r="DD158">
        <v>2</v>
      </c>
      <c r="DE158">
        <v>2</v>
      </c>
      <c r="DF158">
        <v>2</v>
      </c>
      <c r="DG158">
        <v>2</v>
      </c>
      <c r="DH158">
        <v>2</v>
      </c>
      <c r="DI158">
        <v>2</v>
      </c>
      <c r="DJ158">
        <v>2</v>
      </c>
      <c r="DK158">
        <v>2</v>
      </c>
      <c r="DL158">
        <v>2</v>
      </c>
      <c r="DM158">
        <v>2</v>
      </c>
      <c r="DN158">
        <v>2</v>
      </c>
      <c r="DO158">
        <v>2</v>
      </c>
      <c r="DP158">
        <v>2</v>
      </c>
      <c r="DQ158">
        <v>2</v>
      </c>
      <c r="DR158">
        <v>2</v>
      </c>
      <c r="DS158">
        <v>2</v>
      </c>
      <c r="DT158">
        <v>2</v>
      </c>
      <c r="DU158">
        <v>2</v>
      </c>
      <c r="DV158">
        <v>2</v>
      </c>
      <c r="DW158">
        <v>2</v>
      </c>
      <c r="DX158">
        <v>2</v>
      </c>
      <c r="DY158">
        <v>2</v>
      </c>
      <c r="DZ158">
        <v>2</v>
      </c>
      <c r="EA158">
        <v>2</v>
      </c>
      <c r="EB158">
        <v>2</v>
      </c>
      <c r="EC158">
        <v>2</v>
      </c>
      <c r="ED158">
        <v>2</v>
      </c>
      <c r="EE158">
        <v>2</v>
      </c>
      <c r="EF158">
        <v>2</v>
      </c>
      <c r="EG158">
        <v>2</v>
      </c>
      <c r="EH158">
        <v>2</v>
      </c>
      <c r="EI158">
        <v>2</v>
      </c>
      <c r="EJ158">
        <v>2</v>
      </c>
      <c r="EK158">
        <v>2</v>
      </c>
      <c r="EL158">
        <v>2</v>
      </c>
      <c r="EM158">
        <v>2</v>
      </c>
      <c r="EN158">
        <v>2</v>
      </c>
      <c r="EO158">
        <v>2</v>
      </c>
      <c r="EP158">
        <v>2</v>
      </c>
      <c r="EQ158">
        <v>2</v>
      </c>
      <c r="ER158">
        <v>2</v>
      </c>
      <c r="ES158">
        <v>2</v>
      </c>
      <c r="ET158">
        <v>2</v>
      </c>
      <c r="EU158">
        <v>2</v>
      </c>
      <c r="EV158">
        <v>2</v>
      </c>
      <c r="EW158">
        <v>2</v>
      </c>
      <c r="EX158">
        <v>2</v>
      </c>
      <c r="EY158">
        <v>2</v>
      </c>
      <c r="EZ158">
        <v>2</v>
      </c>
      <c r="FA158">
        <v>2</v>
      </c>
      <c r="FB158">
        <v>2</v>
      </c>
      <c r="FC158">
        <v>2</v>
      </c>
      <c r="FD158">
        <v>2</v>
      </c>
      <c r="FE158">
        <v>2</v>
      </c>
      <c r="FF158">
        <v>2</v>
      </c>
      <c r="FG158">
        <v>2</v>
      </c>
      <c r="FH158">
        <v>2</v>
      </c>
      <c r="FI158">
        <v>2</v>
      </c>
      <c r="FJ158">
        <v>2</v>
      </c>
      <c r="FK158">
        <v>2</v>
      </c>
      <c r="FL158">
        <v>2</v>
      </c>
      <c r="FM158">
        <v>2</v>
      </c>
      <c r="FN158">
        <v>2</v>
      </c>
      <c r="FO158">
        <v>2</v>
      </c>
      <c r="FP158">
        <v>2</v>
      </c>
      <c r="FQ158">
        <v>2</v>
      </c>
      <c r="FR158">
        <v>2</v>
      </c>
      <c r="FS158">
        <v>2</v>
      </c>
      <c r="FT158">
        <v>2</v>
      </c>
      <c r="FU158">
        <v>2</v>
      </c>
      <c r="FV158">
        <v>2</v>
      </c>
      <c r="FW158">
        <v>2</v>
      </c>
      <c r="FX158">
        <v>2</v>
      </c>
      <c r="FY158">
        <v>2</v>
      </c>
      <c r="FZ158">
        <v>2</v>
      </c>
      <c r="GA158">
        <v>2</v>
      </c>
      <c r="GB158">
        <v>2</v>
      </c>
      <c r="GC158">
        <v>2</v>
      </c>
      <c r="GD158">
        <v>2</v>
      </c>
      <c r="GE158">
        <v>2</v>
      </c>
      <c r="GF158">
        <v>2</v>
      </c>
      <c r="GG158">
        <v>2</v>
      </c>
      <c r="GH158">
        <v>2</v>
      </c>
      <c r="GI158">
        <v>2</v>
      </c>
      <c r="GJ158">
        <v>1</v>
      </c>
      <c r="GK158">
        <v>1</v>
      </c>
      <c r="GL158">
        <v>1</v>
      </c>
      <c r="GM158">
        <v>1</v>
      </c>
      <c r="GN158">
        <v>1</v>
      </c>
      <c r="GO158">
        <v>1</v>
      </c>
      <c r="GP158">
        <v>1</v>
      </c>
      <c r="GQ158">
        <v>1</v>
      </c>
      <c r="GR158">
        <v>1</v>
      </c>
      <c r="GS158">
        <v>1</v>
      </c>
      <c r="GT158">
        <v>1</v>
      </c>
      <c r="GU158">
        <v>1</v>
      </c>
      <c r="GV158">
        <v>1</v>
      </c>
      <c r="GW158">
        <v>1</v>
      </c>
      <c r="GX158">
        <v>1</v>
      </c>
      <c r="GY158">
        <v>1</v>
      </c>
      <c r="GZ158">
        <v>1</v>
      </c>
      <c r="HA158">
        <v>1</v>
      </c>
      <c r="HB158">
        <v>1</v>
      </c>
      <c r="HC158">
        <v>1</v>
      </c>
      <c r="HD158">
        <v>1</v>
      </c>
      <c r="HE158">
        <v>1</v>
      </c>
      <c r="HF158">
        <v>1</v>
      </c>
      <c r="HG158">
        <v>1</v>
      </c>
      <c r="HH158">
        <v>1</v>
      </c>
      <c r="HI158">
        <v>1</v>
      </c>
      <c r="HJ158">
        <v>1</v>
      </c>
      <c r="HK158">
        <v>1</v>
      </c>
      <c r="HL158">
        <v>1</v>
      </c>
      <c r="HM158">
        <v>1</v>
      </c>
      <c r="HN158">
        <v>1</v>
      </c>
      <c r="HO158">
        <v>1</v>
      </c>
      <c r="HP158">
        <v>1</v>
      </c>
      <c r="HQ158">
        <v>1</v>
      </c>
      <c r="HR158">
        <v>1</v>
      </c>
      <c r="HS158">
        <v>1</v>
      </c>
      <c r="HT158">
        <v>1</v>
      </c>
      <c r="HU158">
        <v>1</v>
      </c>
      <c r="HV158">
        <v>1</v>
      </c>
      <c r="HW158">
        <v>1</v>
      </c>
      <c r="HX158">
        <v>1</v>
      </c>
      <c r="HY158">
        <v>1</v>
      </c>
      <c r="HZ158">
        <v>1</v>
      </c>
      <c r="IA158">
        <v>1</v>
      </c>
      <c r="IB158">
        <v>1</v>
      </c>
      <c r="IC158">
        <v>1</v>
      </c>
      <c r="ID158">
        <v>1</v>
      </c>
      <c r="IE158">
        <v>1</v>
      </c>
      <c r="IF158">
        <v>1</v>
      </c>
      <c r="IG158">
        <v>1</v>
      </c>
      <c r="IH158">
        <v>1</v>
      </c>
      <c r="II158">
        <v>1</v>
      </c>
      <c r="IJ158">
        <v>1</v>
      </c>
      <c r="IK158">
        <v>1</v>
      </c>
      <c r="IL158">
        <v>1</v>
      </c>
      <c r="IM158">
        <v>1</v>
      </c>
      <c r="IN158">
        <v>1</v>
      </c>
      <c r="IO158">
        <v>1</v>
      </c>
      <c r="IP158">
        <v>1</v>
      </c>
      <c r="IQ158">
        <v>1</v>
      </c>
      <c r="IR158">
        <v>1</v>
      </c>
      <c r="IS158">
        <v>1</v>
      </c>
      <c r="IT158">
        <v>1</v>
      </c>
      <c r="IU158">
        <v>1</v>
      </c>
      <c r="IV158">
        <v>1</v>
      </c>
      <c r="IW158">
        <v>1</v>
      </c>
      <c r="IX158">
        <v>1</v>
      </c>
      <c r="IY158">
        <v>1</v>
      </c>
      <c r="IZ158">
        <v>1</v>
      </c>
      <c r="JA158">
        <v>1</v>
      </c>
      <c r="JB158">
        <v>1</v>
      </c>
      <c r="JC158">
        <v>1</v>
      </c>
      <c r="JD158">
        <v>1</v>
      </c>
      <c r="JE158">
        <v>1</v>
      </c>
      <c r="JF158">
        <v>1</v>
      </c>
      <c r="JG158">
        <v>1</v>
      </c>
      <c r="JH158">
        <v>0</v>
      </c>
      <c r="JI158">
        <v>0</v>
      </c>
      <c r="JJ158">
        <v>0</v>
      </c>
      <c r="JK158">
        <v>0</v>
      </c>
      <c r="JL158">
        <v>0</v>
      </c>
      <c r="JM158">
        <v>0</v>
      </c>
      <c r="JN158">
        <v>0</v>
      </c>
      <c r="JO158">
        <v>0</v>
      </c>
      <c r="JP158">
        <v>0</v>
      </c>
      <c r="JQ158">
        <v>0</v>
      </c>
      <c r="JR158">
        <v>0</v>
      </c>
      <c r="JS158">
        <v>0</v>
      </c>
      <c r="JT158">
        <v>0</v>
      </c>
      <c r="JU158">
        <v>0</v>
      </c>
      <c r="JV158">
        <v>0</v>
      </c>
      <c r="JW158">
        <v>0</v>
      </c>
      <c r="JX158">
        <v>0</v>
      </c>
      <c r="JY158">
        <v>0</v>
      </c>
      <c r="JZ158">
        <v>0</v>
      </c>
      <c r="KA158">
        <v>0</v>
      </c>
      <c r="KB158">
        <v>0</v>
      </c>
      <c r="KC158">
        <v>0</v>
      </c>
      <c r="KD158">
        <v>0</v>
      </c>
      <c r="KE158">
        <v>0</v>
      </c>
      <c r="KF158">
        <v>0</v>
      </c>
      <c r="KG158">
        <v>0</v>
      </c>
      <c r="KH158">
        <v>0</v>
      </c>
      <c r="KI158">
        <v>0</v>
      </c>
      <c r="KJ158">
        <v>0</v>
      </c>
      <c r="KK158">
        <v>0</v>
      </c>
      <c r="KL158">
        <v>0</v>
      </c>
      <c r="KM158">
        <v>0</v>
      </c>
      <c r="KN158">
        <v>0</v>
      </c>
      <c r="KO158">
        <v>0</v>
      </c>
      <c r="KP158">
        <v>0</v>
      </c>
      <c r="KQ158">
        <v>0</v>
      </c>
      <c r="KR158">
        <v>0</v>
      </c>
      <c r="KS158">
        <v>0</v>
      </c>
      <c r="KT158">
        <v>0</v>
      </c>
      <c r="KU158">
        <v>0</v>
      </c>
      <c r="KV158">
        <v>0</v>
      </c>
      <c r="KW158">
        <v>0</v>
      </c>
      <c r="KX158">
        <v>0</v>
      </c>
      <c r="KY158">
        <v>0</v>
      </c>
      <c r="KZ158">
        <v>0</v>
      </c>
      <c r="LA158">
        <v>0</v>
      </c>
      <c r="LB158">
        <v>0</v>
      </c>
      <c r="LC158">
        <v>0</v>
      </c>
      <c r="LD158">
        <v>0</v>
      </c>
      <c r="LE158">
        <v>0</v>
      </c>
      <c r="LF158">
        <v>0</v>
      </c>
      <c r="LG158">
        <v>0</v>
      </c>
      <c r="LH158">
        <v>0</v>
      </c>
      <c r="LI158">
        <v>0</v>
      </c>
      <c r="LJ158">
        <v>0</v>
      </c>
      <c r="LK158">
        <v>0</v>
      </c>
      <c r="LL158">
        <v>0</v>
      </c>
      <c r="LM158">
        <v>0</v>
      </c>
      <c r="LN158">
        <v>0</v>
      </c>
      <c r="LO158">
        <v>0</v>
      </c>
      <c r="LP158">
        <v>0</v>
      </c>
      <c r="LQ158">
        <v>0</v>
      </c>
      <c r="LR158">
        <v>0</v>
      </c>
      <c r="LS158">
        <v>0</v>
      </c>
      <c r="LT158">
        <v>0</v>
      </c>
      <c r="LU158">
        <v>0</v>
      </c>
      <c r="LV158">
        <v>0</v>
      </c>
      <c r="LW158">
        <v>0</v>
      </c>
      <c r="LX158">
        <v>0</v>
      </c>
      <c r="LY158">
        <v>0</v>
      </c>
      <c r="LZ158">
        <v>1</v>
      </c>
      <c r="MA158">
        <v>1</v>
      </c>
      <c r="MB158">
        <v>1</v>
      </c>
      <c r="MC158">
        <v>1</v>
      </c>
      <c r="MD158">
        <v>1</v>
      </c>
      <c r="ME158">
        <v>1</v>
      </c>
      <c r="MF158">
        <v>1</v>
      </c>
      <c r="MG158">
        <v>1</v>
      </c>
      <c r="MH158">
        <v>1</v>
      </c>
      <c r="MI158">
        <v>1</v>
      </c>
      <c r="MJ158">
        <v>1</v>
      </c>
      <c r="MK158">
        <v>1</v>
      </c>
      <c r="ML158">
        <v>1</v>
      </c>
      <c r="MM158">
        <v>1</v>
      </c>
      <c r="MN158">
        <v>1</v>
      </c>
      <c r="MO158">
        <v>1</v>
      </c>
      <c r="MP158">
        <v>1</v>
      </c>
      <c r="MQ158">
        <v>1</v>
      </c>
      <c r="MR158">
        <v>1</v>
      </c>
      <c r="MS158">
        <v>1</v>
      </c>
      <c r="MT158">
        <v>1</v>
      </c>
      <c r="MU158">
        <v>1</v>
      </c>
      <c r="MV158">
        <v>1</v>
      </c>
      <c r="MW158">
        <v>1</v>
      </c>
      <c r="MX158">
        <v>1</v>
      </c>
      <c r="MY158">
        <v>1</v>
      </c>
      <c r="MZ158">
        <v>1</v>
      </c>
      <c r="NA158">
        <v>1</v>
      </c>
      <c r="NB158">
        <v>1</v>
      </c>
      <c r="NC158">
        <v>1</v>
      </c>
      <c r="ND158">
        <v>1</v>
      </c>
      <c r="NE158">
        <v>1</v>
      </c>
      <c r="NF158">
        <v>1</v>
      </c>
      <c r="NG158">
        <v>1</v>
      </c>
      <c r="NH158">
        <v>1</v>
      </c>
      <c r="NI158">
        <v>1</v>
      </c>
      <c r="NJ158">
        <v>1</v>
      </c>
      <c r="NK158">
        <v>1</v>
      </c>
      <c r="NL158">
        <v>1</v>
      </c>
      <c r="NM158">
        <v>1</v>
      </c>
      <c r="NN158">
        <v>1</v>
      </c>
      <c r="NO158">
        <v>1</v>
      </c>
      <c r="NP158">
        <v>0</v>
      </c>
      <c r="NQ158">
        <v>0</v>
      </c>
      <c r="NR158">
        <v>0</v>
      </c>
      <c r="NS158">
        <v>0</v>
      </c>
      <c r="NT158">
        <v>0</v>
      </c>
      <c r="NU158">
        <v>0</v>
      </c>
      <c r="NV158">
        <v>0</v>
      </c>
      <c r="NW158">
        <v>1</v>
      </c>
      <c r="NX158">
        <v>1</v>
      </c>
      <c r="NY158">
        <v>1</v>
      </c>
      <c r="NZ158">
        <v>1</v>
      </c>
      <c r="OA158">
        <v>1</v>
      </c>
      <c r="OB158">
        <v>1</v>
      </c>
      <c r="OC158">
        <v>1</v>
      </c>
      <c r="OD158">
        <v>1</v>
      </c>
      <c r="OE158">
        <v>1</v>
      </c>
      <c r="OF158">
        <v>1</v>
      </c>
      <c r="OG158">
        <v>1</v>
      </c>
      <c r="OH158">
        <v>1</v>
      </c>
      <c r="OI158">
        <v>1</v>
      </c>
      <c r="OJ158">
        <v>1</v>
      </c>
      <c r="OK158">
        <v>1</v>
      </c>
      <c r="OL158">
        <v>1</v>
      </c>
      <c r="OM158">
        <v>1</v>
      </c>
      <c r="ON158">
        <v>1</v>
      </c>
      <c r="OO158">
        <v>1</v>
      </c>
      <c r="OP158">
        <v>1</v>
      </c>
      <c r="OQ158">
        <v>2</v>
      </c>
      <c r="OR158">
        <v>2</v>
      </c>
      <c r="OS158">
        <v>2</v>
      </c>
      <c r="OT158">
        <v>2</v>
      </c>
      <c r="OU158">
        <v>2</v>
      </c>
      <c r="OV158">
        <v>2</v>
      </c>
      <c r="OW158">
        <v>2</v>
      </c>
      <c r="OX158">
        <v>2</v>
      </c>
      <c r="OY158">
        <v>2</v>
      </c>
      <c r="OZ158">
        <v>2</v>
      </c>
      <c r="PA158">
        <v>2</v>
      </c>
      <c r="PB158">
        <v>2</v>
      </c>
      <c r="PC158">
        <v>2</v>
      </c>
      <c r="PD158">
        <v>2</v>
      </c>
      <c r="PE158">
        <v>2</v>
      </c>
      <c r="PF158">
        <v>2</v>
      </c>
      <c r="PG158">
        <v>2</v>
      </c>
      <c r="PH158">
        <v>2</v>
      </c>
      <c r="PI158">
        <v>2</v>
      </c>
      <c r="PJ158">
        <v>2</v>
      </c>
      <c r="PK158">
        <v>2</v>
      </c>
      <c r="PL158">
        <v>2</v>
      </c>
      <c r="PM158">
        <v>2</v>
      </c>
      <c r="PN158">
        <v>2</v>
      </c>
      <c r="PO158">
        <v>2</v>
      </c>
      <c r="PP158">
        <v>2</v>
      </c>
      <c r="PQ158">
        <v>2</v>
      </c>
      <c r="PR158">
        <v>2</v>
      </c>
      <c r="PS158">
        <v>2</v>
      </c>
      <c r="PT158">
        <v>2</v>
      </c>
      <c r="PU158">
        <v>2</v>
      </c>
      <c r="PV158">
        <v>2</v>
      </c>
      <c r="PW158">
        <v>2</v>
      </c>
      <c r="PX158">
        <v>2</v>
      </c>
      <c r="PY158">
        <v>2</v>
      </c>
      <c r="PZ158">
        <v>1</v>
      </c>
      <c r="QA158">
        <v>1</v>
      </c>
      <c r="QB158">
        <v>1</v>
      </c>
      <c r="QC158">
        <v>1</v>
      </c>
      <c r="QD158">
        <v>1</v>
      </c>
      <c r="QE158">
        <v>1</v>
      </c>
      <c r="QF158">
        <v>1</v>
      </c>
      <c r="QG158">
        <v>1</v>
      </c>
      <c r="QH158">
        <v>1</v>
      </c>
      <c r="QI158">
        <v>1</v>
      </c>
      <c r="QJ158">
        <v>1</v>
      </c>
      <c r="QK158">
        <v>1</v>
      </c>
      <c r="QL158">
        <v>1</v>
      </c>
      <c r="QM158">
        <v>1</v>
      </c>
      <c r="QN158">
        <v>1</v>
      </c>
      <c r="QO158">
        <v>1</v>
      </c>
      <c r="QP158">
        <v>1</v>
      </c>
      <c r="QQ158">
        <v>1</v>
      </c>
      <c r="QR158">
        <v>1</v>
      </c>
      <c r="QS158">
        <v>1</v>
      </c>
      <c r="QT158">
        <v>1</v>
      </c>
      <c r="QU158">
        <v>1</v>
      </c>
      <c r="QV158">
        <v>1</v>
      </c>
      <c r="QW158">
        <v>1</v>
      </c>
      <c r="QX158">
        <v>1</v>
      </c>
      <c r="QY158">
        <v>1</v>
      </c>
      <c r="QZ158">
        <v>1</v>
      </c>
      <c r="RA158">
        <v>1</v>
      </c>
      <c r="RB158">
        <v>1</v>
      </c>
      <c r="RC158">
        <v>1</v>
      </c>
      <c r="RD158">
        <v>1</v>
      </c>
      <c r="RE158">
        <v>1</v>
      </c>
      <c r="RF158">
        <v>1</v>
      </c>
      <c r="RG158">
        <v>1</v>
      </c>
      <c r="RH158">
        <v>1</v>
      </c>
      <c r="RI158">
        <v>1</v>
      </c>
      <c r="RJ158">
        <v>1</v>
      </c>
      <c r="RK158">
        <v>1</v>
      </c>
      <c r="RL158">
        <v>1</v>
      </c>
      <c r="RM158">
        <v>1</v>
      </c>
      <c r="RN158">
        <v>1</v>
      </c>
      <c r="RO158">
        <v>1</v>
      </c>
      <c r="RP158">
        <v>1</v>
      </c>
      <c r="RQ158">
        <v>1</v>
      </c>
      <c r="RR158">
        <v>1</v>
      </c>
      <c r="RS158">
        <v>1</v>
      </c>
      <c r="RT158">
        <v>1</v>
      </c>
      <c r="RU158">
        <v>1</v>
      </c>
      <c r="RV158">
        <v>1</v>
      </c>
      <c r="RW158">
        <v>1</v>
      </c>
      <c r="RX158">
        <v>1</v>
      </c>
      <c r="RY158">
        <v>1</v>
      </c>
      <c r="RZ158">
        <v>1</v>
      </c>
      <c r="SA158">
        <v>1</v>
      </c>
      <c r="SB158">
        <v>1</v>
      </c>
      <c r="SC158">
        <v>1</v>
      </c>
      <c r="SD158">
        <v>1</v>
      </c>
      <c r="SE158">
        <v>1</v>
      </c>
      <c r="SF158">
        <v>1</v>
      </c>
      <c r="SG158">
        <v>1</v>
      </c>
      <c r="SH158">
        <v>1</v>
      </c>
      <c r="SI158">
        <v>1</v>
      </c>
      <c r="SJ158">
        <v>1</v>
      </c>
      <c r="SK158">
        <v>1</v>
      </c>
      <c r="SL158">
        <v>1</v>
      </c>
      <c r="SM158">
        <v>1</v>
      </c>
      <c r="SN158">
        <v>1</v>
      </c>
      <c r="SO158">
        <v>1</v>
      </c>
      <c r="SP158">
        <v>1</v>
      </c>
      <c r="SQ158">
        <v>1</v>
      </c>
      <c r="SR158">
        <v>1</v>
      </c>
      <c r="SS158">
        <v>1</v>
      </c>
      <c r="ST158">
        <v>1</v>
      </c>
      <c r="SU158">
        <v>1</v>
      </c>
      <c r="SV158">
        <v>1</v>
      </c>
      <c r="SW158">
        <v>1</v>
      </c>
      <c r="SX158">
        <v>1</v>
      </c>
      <c r="SY158">
        <v>1</v>
      </c>
      <c r="SZ158">
        <v>0</v>
      </c>
      <c r="TA158">
        <v>0</v>
      </c>
      <c r="TB158">
        <v>0</v>
      </c>
      <c r="TC158">
        <v>0</v>
      </c>
      <c r="TD158">
        <v>0</v>
      </c>
      <c r="TE158">
        <v>0</v>
      </c>
      <c r="TF158">
        <v>0</v>
      </c>
      <c r="TG158">
        <v>0</v>
      </c>
      <c r="TH158">
        <v>0</v>
      </c>
      <c r="TI158">
        <v>0</v>
      </c>
      <c r="TJ158">
        <v>0</v>
      </c>
      <c r="TK158">
        <v>0</v>
      </c>
      <c r="TL158">
        <v>0</v>
      </c>
      <c r="TM158">
        <v>0</v>
      </c>
      <c r="TN158">
        <v>0</v>
      </c>
      <c r="TO158">
        <v>0</v>
      </c>
      <c r="TP158">
        <v>0</v>
      </c>
      <c r="TQ158">
        <v>0</v>
      </c>
      <c r="TR158">
        <v>0</v>
      </c>
      <c r="TS158">
        <v>0</v>
      </c>
      <c r="TT158">
        <v>0</v>
      </c>
      <c r="TU158">
        <v>0</v>
      </c>
      <c r="TV158">
        <v>0</v>
      </c>
      <c r="TW158">
        <v>0</v>
      </c>
      <c r="TX158">
        <v>0</v>
      </c>
      <c r="TY158">
        <v>0</v>
      </c>
      <c r="TZ158">
        <v>0</v>
      </c>
      <c r="UA158">
        <v>0</v>
      </c>
      <c r="UB158">
        <v>0</v>
      </c>
      <c r="UC158">
        <v>0</v>
      </c>
      <c r="UD158">
        <v>0</v>
      </c>
      <c r="UE158">
        <v>0</v>
      </c>
      <c r="UF158">
        <v>0</v>
      </c>
      <c r="UG158">
        <v>0</v>
      </c>
      <c r="UH158">
        <v>0</v>
      </c>
      <c r="UI158">
        <v>0</v>
      </c>
      <c r="UJ158">
        <v>0</v>
      </c>
      <c r="UK158">
        <v>0</v>
      </c>
      <c r="UL158">
        <v>0</v>
      </c>
      <c r="UM158">
        <v>0</v>
      </c>
      <c r="UN158">
        <v>0</v>
      </c>
      <c r="UO158">
        <v>0</v>
      </c>
      <c r="UP158">
        <v>0</v>
      </c>
      <c r="UQ158">
        <v>0</v>
      </c>
      <c r="UR158">
        <v>0</v>
      </c>
      <c r="US158">
        <v>0</v>
      </c>
      <c r="UT158">
        <v>0</v>
      </c>
      <c r="UU158">
        <v>0</v>
      </c>
      <c r="UV158">
        <v>0</v>
      </c>
      <c r="UW158">
        <v>0</v>
      </c>
      <c r="UX158">
        <v>0</v>
      </c>
      <c r="UY158">
        <v>0</v>
      </c>
      <c r="UZ158">
        <v>0</v>
      </c>
      <c r="VA158">
        <v>0</v>
      </c>
      <c r="VB158">
        <v>0</v>
      </c>
      <c r="VC158">
        <v>0</v>
      </c>
      <c r="VD158">
        <v>0</v>
      </c>
      <c r="VE158">
        <v>0</v>
      </c>
      <c r="VF158">
        <v>0</v>
      </c>
      <c r="VG158">
        <v>0</v>
      </c>
      <c r="VH158">
        <v>0</v>
      </c>
      <c r="VI158">
        <v>0</v>
      </c>
      <c r="VJ158">
        <v>0</v>
      </c>
      <c r="VK158">
        <v>0</v>
      </c>
      <c r="VL158">
        <v>0</v>
      </c>
      <c r="VM158">
        <v>0</v>
      </c>
      <c r="VN158">
        <v>0</v>
      </c>
      <c r="VO158">
        <v>0</v>
      </c>
      <c r="VP158">
        <v>0</v>
      </c>
      <c r="VQ158">
        <v>0</v>
      </c>
      <c r="VR158">
        <v>0</v>
      </c>
      <c r="VS158">
        <v>0</v>
      </c>
      <c r="VT158">
        <v>0</v>
      </c>
      <c r="VU158">
        <v>0</v>
      </c>
      <c r="VV158">
        <v>0</v>
      </c>
      <c r="VW158">
        <v>0</v>
      </c>
      <c r="VX158">
        <v>0</v>
      </c>
      <c r="VY158">
        <v>0</v>
      </c>
      <c r="VZ158">
        <v>0</v>
      </c>
      <c r="WA158">
        <v>0</v>
      </c>
      <c r="WB158">
        <v>0</v>
      </c>
      <c r="WC158">
        <v>0</v>
      </c>
      <c r="WD158">
        <v>0</v>
      </c>
      <c r="WE158">
        <v>0</v>
      </c>
      <c r="WF158">
        <v>0</v>
      </c>
      <c r="WG158">
        <v>0</v>
      </c>
      <c r="WH158">
        <v>0</v>
      </c>
      <c r="WI158">
        <v>0</v>
      </c>
      <c r="WJ158">
        <v>0</v>
      </c>
      <c r="WK158">
        <v>0</v>
      </c>
      <c r="WL158">
        <v>0</v>
      </c>
      <c r="WM158">
        <v>0</v>
      </c>
      <c r="WN158">
        <v>0</v>
      </c>
      <c r="WO158">
        <v>0</v>
      </c>
      <c r="WP158">
        <v>0</v>
      </c>
      <c r="WQ158">
        <v>0</v>
      </c>
      <c r="WR158">
        <v>0</v>
      </c>
      <c r="WS158">
        <v>0</v>
      </c>
      <c r="WT158">
        <v>0</v>
      </c>
      <c r="WU158">
        <v>0</v>
      </c>
      <c r="WV158">
        <v>0</v>
      </c>
      <c r="WW158">
        <v>0</v>
      </c>
      <c r="WX158">
        <v>0</v>
      </c>
      <c r="WY158">
        <v>0</v>
      </c>
      <c r="WZ158">
        <v>0</v>
      </c>
      <c r="XA158">
        <v>0</v>
      </c>
      <c r="XB158">
        <v>0</v>
      </c>
      <c r="XC158">
        <v>0</v>
      </c>
      <c r="XD158">
        <v>0</v>
      </c>
      <c r="XE158">
        <v>0</v>
      </c>
      <c r="XF158">
        <v>0</v>
      </c>
      <c r="XG158">
        <v>0</v>
      </c>
      <c r="XH158">
        <v>0</v>
      </c>
      <c r="XI158">
        <v>0</v>
      </c>
      <c r="XJ158">
        <v>0</v>
      </c>
      <c r="XK158">
        <v>0</v>
      </c>
      <c r="XL158">
        <v>0</v>
      </c>
      <c r="XM158">
        <v>0</v>
      </c>
      <c r="XN158">
        <v>0</v>
      </c>
      <c r="XO158">
        <v>0</v>
      </c>
      <c r="XP158">
        <v>0</v>
      </c>
      <c r="XQ158">
        <v>0</v>
      </c>
      <c r="XR158">
        <v>0</v>
      </c>
      <c r="XS158">
        <v>0</v>
      </c>
      <c r="XT158">
        <v>0</v>
      </c>
      <c r="XU158">
        <v>0</v>
      </c>
      <c r="XV158">
        <v>0</v>
      </c>
      <c r="XW158">
        <v>0</v>
      </c>
      <c r="XX158">
        <v>0</v>
      </c>
      <c r="XY158">
        <v>0</v>
      </c>
      <c r="XZ158">
        <v>0</v>
      </c>
      <c r="YA158">
        <v>0</v>
      </c>
      <c r="YB158">
        <v>0</v>
      </c>
      <c r="YC158">
        <v>0</v>
      </c>
      <c r="YD158">
        <v>0</v>
      </c>
      <c r="YE158">
        <v>0</v>
      </c>
      <c r="YF158">
        <v>0</v>
      </c>
      <c r="YG158">
        <v>0</v>
      </c>
      <c r="YH158">
        <v>0</v>
      </c>
      <c r="YI158">
        <v>0</v>
      </c>
      <c r="YJ158">
        <v>0</v>
      </c>
      <c r="YK158">
        <v>0</v>
      </c>
      <c r="YL158">
        <v>0</v>
      </c>
      <c r="YM158">
        <v>0</v>
      </c>
      <c r="YN158">
        <v>0</v>
      </c>
      <c r="YO158">
        <v>0</v>
      </c>
      <c r="YP158">
        <v>0</v>
      </c>
      <c r="YQ158">
        <v>0</v>
      </c>
      <c r="YR158">
        <v>0</v>
      </c>
      <c r="YS158">
        <v>0</v>
      </c>
      <c r="YT158">
        <v>0</v>
      </c>
      <c r="YU158">
        <v>0</v>
      </c>
      <c r="YV158">
        <v>0</v>
      </c>
      <c r="YW158">
        <v>0</v>
      </c>
      <c r="YX158">
        <v>0</v>
      </c>
      <c r="YY158">
        <v>0</v>
      </c>
      <c r="YZ158">
        <v>0</v>
      </c>
      <c r="ZA158">
        <v>0</v>
      </c>
      <c r="ZB158">
        <v>0</v>
      </c>
      <c r="ZC158">
        <v>0</v>
      </c>
      <c r="ZD158">
        <v>0</v>
      </c>
      <c r="ZE158">
        <v>0</v>
      </c>
      <c r="ZF158">
        <v>0</v>
      </c>
      <c r="ZG158">
        <v>0</v>
      </c>
      <c r="ZH158">
        <v>0</v>
      </c>
      <c r="ZI158">
        <v>0</v>
      </c>
      <c r="ZJ158">
        <v>0</v>
      </c>
      <c r="ZK158">
        <v>0</v>
      </c>
      <c r="ZL158">
        <v>0</v>
      </c>
      <c r="ZM158">
        <v>0</v>
      </c>
      <c r="ZN158">
        <v>0</v>
      </c>
      <c r="ZO158">
        <v>0</v>
      </c>
      <c r="ZP158">
        <v>0</v>
      </c>
      <c r="ZQ158">
        <v>0</v>
      </c>
      <c r="ZR158">
        <v>0</v>
      </c>
      <c r="ZS158">
        <v>0</v>
      </c>
      <c r="ZT158">
        <v>0</v>
      </c>
      <c r="ZU158">
        <v>0</v>
      </c>
      <c r="ZV158">
        <v>0</v>
      </c>
      <c r="ZW158">
        <v>0</v>
      </c>
      <c r="ZX158">
        <v>0</v>
      </c>
      <c r="ZY158">
        <v>0</v>
      </c>
      <c r="ZZ158">
        <v>1</v>
      </c>
      <c r="AAA158">
        <v>1</v>
      </c>
      <c r="AAB158">
        <v>1</v>
      </c>
      <c r="AAC158">
        <v>1</v>
      </c>
      <c r="AAD158">
        <v>1</v>
      </c>
      <c r="AAE158">
        <v>1</v>
      </c>
      <c r="AAF158">
        <v>1</v>
      </c>
      <c r="AAG158">
        <v>1</v>
      </c>
      <c r="AAH158">
        <v>1</v>
      </c>
      <c r="AAI158">
        <v>1</v>
      </c>
      <c r="AAJ158">
        <v>1</v>
      </c>
      <c r="AAK158">
        <v>1</v>
      </c>
      <c r="AAL158">
        <v>1</v>
      </c>
      <c r="AAM158">
        <v>1</v>
      </c>
      <c r="AAN158">
        <v>1</v>
      </c>
      <c r="AAO158">
        <v>1</v>
      </c>
      <c r="AAP158">
        <v>1</v>
      </c>
      <c r="AAQ158">
        <v>1</v>
      </c>
      <c r="AAR158">
        <v>1</v>
      </c>
      <c r="AAS158">
        <v>1</v>
      </c>
      <c r="AAT158">
        <v>1</v>
      </c>
      <c r="AAU158">
        <v>1</v>
      </c>
      <c r="AAV158">
        <v>1</v>
      </c>
      <c r="AAW158">
        <v>1</v>
      </c>
      <c r="AAX158">
        <v>1</v>
      </c>
      <c r="AAY158">
        <v>1</v>
      </c>
      <c r="AAZ158">
        <v>1</v>
      </c>
      <c r="ABA158">
        <v>1</v>
      </c>
      <c r="ABB158">
        <v>1</v>
      </c>
      <c r="ABC158">
        <v>1</v>
      </c>
      <c r="ABD158">
        <v>1</v>
      </c>
      <c r="ABE158">
        <v>1</v>
      </c>
      <c r="ABG158" s="1137">
        <f t="shared" si="41"/>
        <v>0</v>
      </c>
      <c r="ABH158" s="1137">
        <f t="shared" si="41"/>
        <v>0</v>
      </c>
      <c r="ABI158" s="1137">
        <f t="shared" si="41"/>
        <v>0</v>
      </c>
      <c r="ABJ158" s="1137">
        <f t="shared" si="41"/>
        <v>19</v>
      </c>
      <c r="ABK158" s="1137">
        <f t="shared" si="41"/>
        <v>31</v>
      </c>
      <c r="ABL158" s="1137">
        <f t="shared" si="41"/>
        <v>30</v>
      </c>
      <c r="ABM158" s="1137">
        <f t="shared" si="41"/>
        <v>31</v>
      </c>
      <c r="ABN158" s="1137">
        <f t="shared" si="41"/>
        <v>31</v>
      </c>
      <c r="ABO158" s="1137">
        <f t="shared" si="41"/>
        <v>21</v>
      </c>
      <c r="ABP158" s="1137">
        <f t="shared" si="41"/>
        <v>0</v>
      </c>
      <c r="ABQ158" s="1137">
        <f t="shared" si="41"/>
        <v>0</v>
      </c>
      <c r="ABR158" s="1137">
        <f t="shared" si="41"/>
        <v>31</v>
      </c>
      <c r="ABS158" s="1137">
        <f t="shared" si="41"/>
        <v>24</v>
      </c>
      <c r="ABT158" s="1137">
        <f t="shared" si="41"/>
        <v>28</v>
      </c>
      <c r="ABU158" s="1137">
        <f t="shared" si="41"/>
        <v>31</v>
      </c>
      <c r="ABV158" s="1137">
        <f t="shared" si="41"/>
        <v>30</v>
      </c>
      <c r="ABW158" s="1137">
        <f t="shared" si="31"/>
        <v>31</v>
      </c>
      <c r="ABX158" s="1137">
        <f t="shared" si="34"/>
        <v>0</v>
      </c>
      <c r="ABY158" s="1137">
        <f t="shared" si="34"/>
        <v>0</v>
      </c>
      <c r="ABZ158" s="1137">
        <f t="shared" si="34"/>
        <v>0</v>
      </c>
      <c r="ACA158" s="1137">
        <f t="shared" si="34"/>
        <v>0</v>
      </c>
      <c r="ACB158" s="1137">
        <f t="shared" si="34"/>
        <v>0</v>
      </c>
      <c r="ACC158" s="1137">
        <f t="shared" si="34"/>
        <v>1</v>
      </c>
      <c r="ACD158" s="1137">
        <f t="shared" si="34"/>
        <v>31</v>
      </c>
      <c r="ACE158" s="1137" t="s">
        <v>65</v>
      </c>
      <c r="ACF158" s="1137">
        <f t="shared" si="39"/>
        <v>0</v>
      </c>
      <c r="ACG158" s="1137">
        <f t="shared" si="39"/>
        <v>0</v>
      </c>
      <c r="ACH158" s="1137">
        <f t="shared" si="38"/>
        <v>0</v>
      </c>
      <c r="ACI158" s="1137">
        <f t="shared" si="38"/>
        <v>1</v>
      </c>
      <c r="ACJ158" s="1137">
        <f t="shared" si="38"/>
        <v>1</v>
      </c>
      <c r="ACK158" s="1137">
        <f t="shared" si="38"/>
        <v>1</v>
      </c>
      <c r="ACL158" s="1137">
        <f t="shared" si="38"/>
        <v>1</v>
      </c>
      <c r="ACM158" s="1137">
        <f t="shared" si="38"/>
        <v>1</v>
      </c>
      <c r="ACN158" s="1137">
        <f t="shared" si="38"/>
        <v>1</v>
      </c>
      <c r="ACO158" s="1137">
        <f t="shared" si="38"/>
        <v>0</v>
      </c>
      <c r="ACP158" s="1137">
        <f t="shared" si="38"/>
        <v>0</v>
      </c>
      <c r="ACQ158" s="1137">
        <f t="shared" si="38"/>
        <v>1</v>
      </c>
      <c r="ACR158" s="1137">
        <f t="shared" si="38"/>
        <v>1</v>
      </c>
      <c r="ACS158" s="1137">
        <f t="shared" si="38"/>
        <v>1</v>
      </c>
      <c r="ACT158" s="1137">
        <f t="shared" si="38"/>
        <v>1</v>
      </c>
      <c r="ACU158" s="1137">
        <f t="shared" si="38"/>
        <v>1</v>
      </c>
      <c r="ACV158" s="1137">
        <f t="shared" si="38"/>
        <v>1</v>
      </c>
      <c r="ACW158" s="1137">
        <f t="shared" si="38"/>
        <v>0</v>
      </c>
      <c r="ACX158" s="1137">
        <f t="shared" si="42"/>
        <v>0</v>
      </c>
      <c r="ACY158" s="1137">
        <f t="shared" si="42"/>
        <v>0</v>
      </c>
      <c r="ACZ158" s="1137">
        <f t="shared" si="42"/>
        <v>0</v>
      </c>
      <c r="ADA158" s="1137">
        <f t="shared" si="35"/>
        <v>0</v>
      </c>
      <c r="ADB158" s="1137">
        <f t="shared" si="35"/>
        <v>0</v>
      </c>
      <c r="ADC158" s="1137">
        <f t="shared" si="35"/>
        <v>1</v>
      </c>
    </row>
    <row r="159" spans="1:783" x14ac:dyDescent="0.25">
      <c r="A159" t="s">
        <v>1957</v>
      </c>
      <c r="B159" t="s">
        <v>258</v>
      </c>
      <c r="C159">
        <v>0</v>
      </c>
      <c r="D159">
        <v>0</v>
      </c>
      <c r="E159">
        <v>0</v>
      </c>
      <c r="F159">
        <v>0</v>
      </c>
      <c r="G159">
        <v>0</v>
      </c>
      <c r="H159">
        <v>0</v>
      </c>
      <c r="I159">
        <v>0</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v>0</v>
      </c>
      <c r="BD159">
        <v>0</v>
      </c>
      <c r="BE159">
        <v>0</v>
      </c>
      <c r="BF159">
        <v>0</v>
      </c>
      <c r="BG159">
        <v>0</v>
      </c>
      <c r="BH159">
        <v>0</v>
      </c>
      <c r="BI159">
        <v>0</v>
      </c>
      <c r="BJ159">
        <v>0</v>
      </c>
      <c r="BK159">
        <v>0</v>
      </c>
      <c r="BL159">
        <v>0</v>
      </c>
      <c r="BM159">
        <v>0</v>
      </c>
      <c r="BN159">
        <v>0</v>
      </c>
      <c r="BO159">
        <v>0</v>
      </c>
      <c r="BP159">
        <v>0</v>
      </c>
      <c r="BQ159">
        <v>0</v>
      </c>
      <c r="BR159">
        <v>0</v>
      </c>
      <c r="BS159">
        <v>0</v>
      </c>
      <c r="BT159">
        <v>0</v>
      </c>
      <c r="BU159">
        <v>0</v>
      </c>
      <c r="BV159">
        <v>0</v>
      </c>
      <c r="BW159">
        <v>0</v>
      </c>
      <c r="BX159">
        <v>0</v>
      </c>
      <c r="BY159">
        <v>0</v>
      </c>
      <c r="BZ159">
        <v>2</v>
      </c>
      <c r="CA159">
        <v>2</v>
      </c>
      <c r="CB159">
        <v>2</v>
      </c>
      <c r="CC159">
        <v>2</v>
      </c>
      <c r="CD159">
        <v>2</v>
      </c>
      <c r="CE159">
        <v>2</v>
      </c>
      <c r="CF159">
        <v>2</v>
      </c>
      <c r="CG159">
        <v>2</v>
      </c>
      <c r="CH159">
        <v>2</v>
      </c>
      <c r="CI159">
        <v>2</v>
      </c>
      <c r="CJ159">
        <v>2</v>
      </c>
      <c r="CK159">
        <v>2</v>
      </c>
      <c r="CL159">
        <v>2</v>
      </c>
      <c r="CM159">
        <v>2</v>
      </c>
      <c r="CN159">
        <v>2</v>
      </c>
      <c r="CO159">
        <v>2</v>
      </c>
      <c r="CP159">
        <v>2</v>
      </c>
      <c r="CQ159">
        <v>2</v>
      </c>
      <c r="CR159">
        <v>2</v>
      </c>
      <c r="CS159">
        <v>2</v>
      </c>
      <c r="CT159">
        <v>2</v>
      </c>
      <c r="CU159">
        <v>2</v>
      </c>
      <c r="CV159">
        <v>2</v>
      </c>
      <c r="CW159">
        <v>2</v>
      </c>
      <c r="CX159">
        <v>2</v>
      </c>
      <c r="CY159">
        <v>2</v>
      </c>
      <c r="CZ159">
        <v>2</v>
      </c>
      <c r="DA159">
        <v>2</v>
      </c>
      <c r="DB159">
        <v>2</v>
      </c>
      <c r="DC159">
        <v>2</v>
      </c>
      <c r="DD159">
        <v>2</v>
      </c>
      <c r="DE159">
        <v>2</v>
      </c>
      <c r="DF159">
        <v>2</v>
      </c>
      <c r="DG159">
        <v>2</v>
      </c>
      <c r="DH159">
        <v>2</v>
      </c>
      <c r="DI159">
        <v>2</v>
      </c>
      <c r="DJ159">
        <v>2</v>
      </c>
      <c r="DK159">
        <v>2</v>
      </c>
      <c r="DL159">
        <v>2</v>
      </c>
      <c r="DM159">
        <v>2</v>
      </c>
      <c r="DN159">
        <v>2</v>
      </c>
      <c r="DO159">
        <v>2</v>
      </c>
      <c r="DP159">
        <v>2</v>
      </c>
      <c r="DQ159">
        <v>2</v>
      </c>
      <c r="DR159">
        <v>2</v>
      </c>
      <c r="DS159">
        <v>2</v>
      </c>
      <c r="DT159">
        <v>2</v>
      </c>
      <c r="DU159">
        <v>2</v>
      </c>
      <c r="DV159">
        <v>2</v>
      </c>
      <c r="DW159">
        <v>2</v>
      </c>
      <c r="DX159">
        <v>2</v>
      </c>
      <c r="DY159">
        <v>2</v>
      </c>
      <c r="DZ159">
        <v>2</v>
      </c>
      <c r="EA159">
        <v>2</v>
      </c>
      <c r="EB159">
        <v>2</v>
      </c>
      <c r="EC159">
        <v>2</v>
      </c>
      <c r="ED159">
        <v>2</v>
      </c>
      <c r="EE159">
        <v>2</v>
      </c>
      <c r="EF159">
        <v>2</v>
      </c>
      <c r="EG159">
        <v>2</v>
      </c>
      <c r="EH159">
        <v>2</v>
      </c>
      <c r="EI159">
        <v>2</v>
      </c>
      <c r="EJ159">
        <v>2</v>
      </c>
      <c r="EK159">
        <v>2</v>
      </c>
      <c r="EL159">
        <v>2</v>
      </c>
      <c r="EM159">
        <v>2</v>
      </c>
      <c r="EN159">
        <v>2</v>
      </c>
      <c r="EO159">
        <v>2</v>
      </c>
      <c r="EP159">
        <v>2</v>
      </c>
      <c r="EQ159">
        <v>2</v>
      </c>
      <c r="ER159">
        <v>2</v>
      </c>
      <c r="ES159">
        <v>2</v>
      </c>
      <c r="ET159">
        <v>2</v>
      </c>
      <c r="EU159">
        <v>2</v>
      </c>
      <c r="EV159">
        <v>2</v>
      </c>
      <c r="EW159">
        <v>2</v>
      </c>
      <c r="EX159">
        <v>2</v>
      </c>
      <c r="EY159">
        <v>2</v>
      </c>
      <c r="EZ159">
        <v>2</v>
      </c>
      <c r="FA159">
        <v>2</v>
      </c>
      <c r="FB159">
        <v>2</v>
      </c>
      <c r="FC159">
        <v>2</v>
      </c>
      <c r="FD159">
        <v>2</v>
      </c>
      <c r="FE159">
        <v>2</v>
      </c>
      <c r="FF159">
        <v>2</v>
      </c>
      <c r="FG159">
        <v>2</v>
      </c>
      <c r="FH159">
        <v>2</v>
      </c>
      <c r="FI159">
        <v>2</v>
      </c>
      <c r="FJ159">
        <v>2</v>
      </c>
      <c r="FK159">
        <v>2</v>
      </c>
      <c r="FL159">
        <v>2</v>
      </c>
      <c r="FM159">
        <v>2</v>
      </c>
      <c r="FN159">
        <v>2</v>
      </c>
      <c r="FO159">
        <v>2</v>
      </c>
      <c r="FP159">
        <v>2</v>
      </c>
      <c r="FQ159">
        <v>2</v>
      </c>
      <c r="FR159">
        <v>2</v>
      </c>
      <c r="FS159">
        <v>0</v>
      </c>
      <c r="FT159">
        <v>0</v>
      </c>
      <c r="FU159">
        <v>0</v>
      </c>
      <c r="FV159">
        <v>0</v>
      </c>
      <c r="FW159">
        <v>0</v>
      </c>
      <c r="FX159">
        <v>0</v>
      </c>
      <c r="FY159">
        <v>0</v>
      </c>
      <c r="FZ159">
        <v>0</v>
      </c>
      <c r="GA159">
        <v>0</v>
      </c>
      <c r="GB159">
        <v>0</v>
      </c>
      <c r="GC159">
        <v>0</v>
      </c>
      <c r="GD159">
        <v>0</v>
      </c>
      <c r="GE159">
        <v>0</v>
      </c>
      <c r="GF159">
        <v>0</v>
      </c>
      <c r="GG159">
        <v>2</v>
      </c>
      <c r="GH159">
        <v>2</v>
      </c>
      <c r="GI159">
        <v>2</v>
      </c>
      <c r="GJ159">
        <v>2</v>
      </c>
      <c r="GK159">
        <v>2</v>
      </c>
      <c r="GL159">
        <v>2</v>
      </c>
      <c r="GM159">
        <v>2</v>
      </c>
      <c r="GN159">
        <v>2</v>
      </c>
      <c r="GO159">
        <v>2</v>
      </c>
      <c r="GP159">
        <v>2</v>
      </c>
      <c r="GQ159">
        <v>2</v>
      </c>
      <c r="GR159">
        <v>2</v>
      </c>
      <c r="GS159">
        <v>2</v>
      </c>
      <c r="GT159">
        <v>2</v>
      </c>
      <c r="GU159">
        <v>2</v>
      </c>
      <c r="GV159">
        <v>2</v>
      </c>
      <c r="GW159">
        <v>2</v>
      </c>
      <c r="GX159">
        <v>2</v>
      </c>
      <c r="GY159">
        <v>2</v>
      </c>
      <c r="GZ159">
        <v>2</v>
      </c>
      <c r="HA159">
        <v>2</v>
      </c>
      <c r="HB159">
        <v>2</v>
      </c>
      <c r="HC159">
        <v>2</v>
      </c>
      <c r="HD159">
        <v>2</v>
      </c>
      <c r="HE159">
        <v>2</v>
      </c>
      <c r="HF159">
        <v>2</v>
      </c>
      <c r="HG159">
        <v>2</v>
      </c>
      <c r="HH159">
        <v>2</v>
      </c>
      <c r="HI159">
        <v>2</v>
      </c>
      <c r="HJ159">
        <v>2</v>
      </c>
      <c r="HK159">
        <v>2</v>
      </c>
      <c r="HL159">
        <v>2</v>
      </c>
      <c r="HM159">
        <v>2</v>
      </c>
      <c r="HN159">
        <v>2</v>
      </c>
      <c r="HO159">
        <v>2</v>
      </c>
      <c r="HP159">
        <v>2</v>
      </c>
      <c r="HQ159">
        <v>2</v>
      </c>
      <c r="HR159">
        <v>2</v>
      </c>
      <c r="HS159">
        <v>2</v>
      </c>
      <c r="HT159">
        <v>2</v>
      </c>
      <c r="HU159">
        <v>2</v>
      </c>
      <c r="HV159">
        <v>2</v>
      </c>
      <c r="HW159">
        <v>2</v>
      </c>
      <c r="HX159">
        <v>2</v>
      </c>
      <c r="HY159">
        <v>2</v>
      </c>
      <c r="HZ159">
        <v>2</v>
      </c>
      <c r="IA159">
        <v>2</v>
      </c>
      <c r="IB159">
        <v>2</v>
      </c>
      <c r="IC159">
        <v>2</v>
      </c>
      <c r="ID159">
        <v>2</v>
      </c>
      <c r="IE159">
        <v>2</v>
      </c>
      <c r="IF159">
        <v>2</v>
      </c>
      <c r="IG159">
        <v>2</v>
      </c>
      <c r="IH159">
        <v>2</v>
      </c>
      <c r="II159">
        <v>2</v>
      </c>
      <c r="IJ159">
        <v>2</v>
      </c>
      <c r="IK159">
        <v>2</v>
      </c>
      <c r="IL159">
        <v>2</v>
      </c>
      <c r="IM159">
        <v>2</v>
      </c>
      <c r="IN159">
        <v>2</v>
      </c>
      <c r="IO159">
        <v>2</v>
      </c>
      <c r="IP159">
        <v>2</v>
      </c>
      <c r="IQ159">
        <v>2</v>
      </c>
      <c r="IR159">
        <v>2</v>
      </c>
      <c r="IS159">
        <v>2</v>
      </c>
      <c r="IT159">
        <v>2</v>
      </c>
      <c r="IU159">
        <v>2</v>
      </c>
      <c r="IV159">
        <v>2</v>
      </c>
      <c r="IW159">
        <v>2</v>
      </c>
      <c r="IX159">
        <v>2</v>
      </c>
      <c r="IY159">
        <v>2</v>
      </c>
      <c r="IZ159">
        <v>2</v>
      </c>
      <c r="JA159">
        <v>0</v>
      </c>
      <c r="JB159">
        <v>0</v>
      </c>
      <c r="JC159">
        <v>0</v>
      </c>
      <c r="JD159">
        <v>0</v>
      </c>
      <c r="JE159">
        <v>0</v>
      </c>
      <c r="JF159">
        <v>0</v>
      </c>
      <c r="JG159">
        <v>0</v>
      </c>
      <c r="JH159">
        <v>0</v>
      </c>
      <c r="JI159">
        <v>0</v>
      </c>
      <c r="JJ159">
        <v>0</v>
      </c>
      <c r="JK159">
        <v>0</v>
      </c>
      <c r="JL159">
        <v>0</v>
      </c>
      <c r="JM159">
        <v>0</v>
      </c>
      <c r="JN159">
        <v>0</v>
      </c>
      <c r="JO159">
        <v>0</v>
      </c>
      <c r="JP159">
        <v>0</v>
      </c>
      <c r="JQ159">
        <v>0</v>
      </c>
      <c r="JR159">
        <v>0</v>
      </c>
      <c r="JS159">
        <v>0</v>
      </c>
      <c r="JT159">
        <v>0</v>
      </c>
      <c r="JU159">
        <v>0</v>
      </c>
      <c r="JV159">
        <v>0</v>
      </c>
      <c r="JW159">
        <v>0</v>
      </c>
      <c r="JX159">
        <v>0</v>
      </c>
      <c r="JY159">
        <v>0</v>
      </c>
      <c r="JZ159">
        <v>0</v>
      </c>
      <c r="KA159">
        <v>0</v>
      </c>
      <c r="KB159">
        <v>0</v>
      </c>
      <c r="KC159">
        <v>0</v>
      </c>
      <c r="KD159">
        <v>0</v>
      </c>
      <c r="KE159">
        <v>0</v>
      </c>
      <c r="KF159">
        <v>0</v>
      </c>
      <c r="KG159">
        <v>0</v>
      </c>
      <c r="KH159">
        <v>0</v>
      </c>
      <c r="KI159">
        <v>0</v>
      </c>
      <c r="KJ159">
        <v>0</v>
      </c>
      <c r="KK159">
        <v>0</v>
      </c>
      <c r="KL159">
        <v>0</v>
      </c>
      <c r="KM159">
        <v>0</v>
      </c>
      <c r="KN159">
        <v>0</v>
      </c>
      <c r="KO159">
        <v>0</v>
      </c>
      <c r="KP159">
        <v>0</v>
      </c>
      <c r="KQ159">
        <v>0</v>
      </c>
      <c r="KR159">
        <v>0</v>
      </c>
      <c r="KS159">
        <v>0</v>
      </c>
      <c r="KT159">
        <v>0</v>
      </c>
      <c r="KU159">
        <v>0</v>
      </c>
      <c r="KV159">
        <v>0</v>
      </c>
      <c r="KW159">
        <v>0</v>
      </c>
      <c r="KX159">
        <v>0</v>
      </c>
      <c r="KY159">
        <v>0</v>
      </c>
      <c r="KZ159">
        <v>0</v>
      </c>
      <c r="LA159">
        <v>0</v>
      </c>
      <c r="LB159">
        <v>0</v>
      </c>
      <c r="LC159">
        <v>0</v>
      </c>
      <c r="LD159">
        <v>0</v>
      </c>
      <c r="LE159">
        <v>0</v>
      </c>
      <c r="LF159">
        <v>0</v>
      </c>
      <c r="LG159">
        <v>0</v>
      </c>
      <c r="LH159">
        <v>0</v>
      </c>
      <c r="LI159">
        <v>0</v>
      </c>
      <c r="LJ159">
        <v>0</v>
      </c>
      <c r="LK159">
        <v>0</v>
      </c>
      <c r="LL159">
        <v>0</v>
      </c>
      <c r="LM159">
        <v>0</v>
      </c>
      <c r="LN159">
        <v>0</v>
      </c>
      <c r="LO159">
        <v>0</v>
      </c>
      <c r="LP159">
        <v>0</v>
      </c>
      <c r="LQ159">
        <v>0</v>
      </c>
      <c r="LR159">
        <v>0</v>
      </c>
      <c r="LS159">
        <v>0</v>
      </c>
      <c r="LT159">
        <v>0</v>
      </c>
      <c r="LU159">
        <v>0</v>
      </c>
      <c r="LV159">
        <v>0</v>
      </c>
      <c r="LW159">
        <v>0</v>
      </c>
      <c r="LX159">
        <v>0</v>
      </c>
      <c r="LY159">
        <v>0</v>
      </c>
      <c r="LZ159">
        <v>0</v>
      </c>
      <c r="MA159">
        <v>0</v>
      </c>
      <c r="MB159">
        <v>0</v>
      </c>
      <c r="MC159">
        <v>0</v>
      </c>
      <c r="MD159">
        <v>0</v>
      </c>
      <c r="ME159">
        <v>0</v>
      </c>
      <c r="MF159">
        <v>0</v>
      </c>
      <c r="MG159">
        <v>0</v>
      </c>
      <c r="MH159">
        <v>0</v>
      </c>
      <c r="MI159">
        <v>0</v>
      </c>
      <c r="MJ159">
        <v>0</v>
      </c>
      <c r="MK159">
        <v>0</v>
      </c>
      <c r="ML159">
        <v>0</v>
      </c>
      <c r="MM159">
        <v>0</v>
      </c>
      <c r="MN159">
        <v>0</v>
      </c>
      <c r="MO159">
        <v>0</v>
      </c>
      <c r="MP159">
        <v>0</v>
      </c>
      <c r="MQ159">
        <v>0</v>
      </c>
      <c r="MR159">
        <v>0</v>
      </c>
      <c r="MS159">
        <v>0</v>
      </c>
      <c r="MT159">
        <v>0</v>
      </c>
      <c r="MU159">
        <v>0</v>
      </c>
      <c r="MV159">
        <v>0</v>
      </c>
      <c r="MW159">
        <v>0</v>
      </c>
      <c r="MX159">
        <v>0</v>
      </c>
      <c r="MY159">
        <v>0</v>
      </c>
      <c r="MZ159">
        <v>0</v>
      </c>
      <c r="NA159">
        <v>0</v>
      </c>
      <c r="NB159">
        <v>0</v>
      </c>
      <c r="NC159">
        <v>0</v>
      </c>
      <c r="ND159">
        <v>0</v>
      </c>
      <c r="NE159">
        <v>0</v>
      </c>
      <c r="NF159">
        <v>0</v>
      </c>
      <c r="NG159">
        <v>0</v>
      </c>
      <c r="NH159">
        <v>0</v>
      </c>
      <c r="NI159">
        <v>0</v>
      </c>
      <c r="NJ159">
        <v>0</v>
      </c>
      <c r="NK159">
        <v>0</v>
      </c>
      <c r="NL159">
        <v>0</v>
      </c>
      <c r="NM159">
        <v>0</v>
      </c>
      <c r="NN159">
        <v>0</v>
      </c>
      <c r="NO159">
        <v>0</v>
      </c>
      <c r="NP159">
        <v>0</v>
      </c>
      <c r="NQ159">
        <v>0</v>
      </c>
      <c r="NR159">
        <v>0</v>
      </c>
      <c r="NS159">
        <v>0</v>
      </c>
      <c r="NT159">
        <v>0</v>
      </c>
      <c r="NU159">
        <v>0</v>
      </c>
      <c r="NV159">
        <v>0</v>
      </c>
      <c r="NW159">
        <v>0</v>
      </c>
      <c r="NX159">
        <v>0</v>
      </c>
      <c r="NY159">
        <v>0</v>
      </c>
      <c r="NZ159">
        <v>0</v>
      </c>
      <c r="OA159">
        <v>0</v>
      </c>
      <c r="OB159">
        <v>0</v>
      </c>
      <c r="OC159">
        <v>0</v>
      </c>
      <c r="OD159">
        <v>0</v>
      </c>
      <c r="OE159">
        <v>0</v>
      </c>
      <c r="OF159">
        <v>0</v>
      </c>
      <c r="OG159">
        <v>0</v>
      </c>
      <c r="OH159">
        <v>0</v>
      </c>
      <c r="OI159">
        <v>0</v>
      </c>
      <c r="OJ159">
        <v>0</v>
      </c>
      <c r="OK159">
        <v>0</v>
      </c>
      <c r="OL159">
        <v>0</v>
      </c>
      <c r="OM159">
        <v>0</v>
      </c>
      <c r="ON159">
        <v>0</v>
      </c>
      <c r="OO159">
        <v>0</v>
      </c>
      <c r="OP159">
        <v>0</v>
      </c>
      <c r="OQ159">
        <v>0</v>
      </c>
      <c r="OR159">
        <v>0</v>
      </c>
      <c r="OS159">
        <v>0</v>
      </c>
      <c r="OT159">
        <v>0</v>
      </c>
      <c r="OU159">
        <v>0</v>
      </c>
      <c r="OV159">
        <v>0</v>
      </c>
      <c r="OW159">
        <v>0</v>
      </c>
      <c r="OX159">
        <v>0</v>
      </c>
      <c r="OY159">
        <v>0</v>
      </c>
      <c r="OZ159">
        <v>0</v>
      </c>
      <c r="PA159">
        <v>0</v>
      </c>
      <c r="PB159">
        <v>0</v>
      </c>
      <c r="PC159">
        <v>0</v>
      </c>
      <c r="PD159">
        <v>0</v>
      </c>
      <c r="PE159">
        <v>0</v>
      </c>
      <c r="PF159">
        <v>0</v>
      </c>
      <c r="PG159">
        <v>0</v>
      </c>
      <c r="PH159">
        <v>0</v>
      </c>
      <c r="PI159">
        <v>0</v>
      </c>
      <c r="PJ159">
        <v>0</v>
      </c>
      <c r="PK159">
        <v>0</v>
      </c>
      <c r="PL159">
        <v>0</v>
      </c>
      <c r="PM159">
        <v>0</v>
      </c>
      <c r="PN159">
        <v>0</v>
      </c>
      <c r="PO159">
        <v>0</v>
      </c>
      <c r="PP159">
        <v>0</v>
      </c>
      <c r="PQ159">
        <v>0</v>
      </c>
      <c r="PR159">
        <v>0</v>
      </c>
      <c r="PS159">
        <v>0</v>
      </c>
      <c r="PT159">
        <v>0</v>
      </c>
      <c r="PU159">
        <v>0</v>
      </c>
      <c r="PV159">
        <v>0</v>
      </c>
      <c r="PW159">
        <v>0</v>
      </c>
      <c r="PX159">
        <v>0</v>
      </c>
      <c r="PY159">
        <v>0</v>
      </c>
      <c r="PZ159">
        <v>0</v>
      </c>
      <c r="QA159">
        <v>0</v>
      </c>
      <c r="QB159">
        <v>0</v>
      </c>
      <c r="QC159">
        <v>0</v>
      </c>
      <c r="QD159">
        <v>0</v>
      </c>
      <c r="QE159">
        <v>0</v>
      </c>
      <c r="QF159">
        <v>0</v>
      </c>
      <c r="QG159">
        <v>0</v>
      </c>
      <c r="QH159">
        <v>0</v>
      </c>
      <c r="QI159">
        <v>0</v>
      </c>
      <c r="QJ159">
        <v>0</v>
      </c>
      <c r="QK159">
        <v>0</v>
      </c>
      <c r="QL159">
        <v>0</v>
      </c>
      <c r="QM159">
        <v>0</v>
      </c>
      <c r="QN159">
        <v>0</v>
      </c>
      <c r="QO159">
        <v>0</v>
      </c>
      <c r="QP159">
        <v>0</v>
      </c>
      <c r="QQ159">
        <v>0</v>
      </c>
      <c r="QR159">
        <v>0</v>
      </c>
      <c r="QS159">
        <v>0</v>
      </c>
      <c r="QT159">
        <v>0</v>
      </c>
      <c r="QU159">
        <v>0</v>
      </c>
      <c r="QV159">
        <v>0</v>
      </c>
      <c r="QW159">
        <v>0</v>
      </c>
      <c r="QX159">
        <v>0</v>
      </c>
      <c r="QY159">
        <v>0</v>
      </c>
      <c r="QZ159">
        <v>0</v>
      </c>
      <c r="RA159">
        <v>0</v>
      </c>
      <c r="RB159">
        <v>0</v>
      </c>
      <c r="RC159">
        <v>0</v>
      </c>
      <c r="RD159">
        <v>0</v>
      </c>
      <c r="RE159">
        <v>0</v>
      </c>
      <c r="RF159">
        <v>0</v>
      </c>
      <c r="RG159">
        <v>0</v>
      </c>
      <c r="RH159">
        <v>0</v>
      </c>
      <c r="RI159">
        <v>0</v>
      </c>
      <c r="RJ159">
        <v>0</v>
      </c>
      <c r="RK159">
        <v>0</v>
      </c>
      <c r="RL159">
        <v>0</v>
      </c>
      <c r="RM159">
        <v>0</v>
      </c>
      <c r="RN159">
        <v>0</v>
      </c>
      <c r="RO159">
        <v>0</v>
      </c>
      <c r="RP159">
        <v>0</v>
      </c>
      <c r="RQ159">
        <v>0</v>
      </c>
      <c r="RR159">
        <v>0</v>
      </c>
      <c r="RS159">
        <v>0</v>
      </c>
      <c r="RT159">
        <v>0</v>
      </c>
      <c r="RU159">
        <v>0</v>
      </c>
      <c r="RV159">
        <v>0</v>
      </c>
      <c r="RW159">
        <v>0</v>
      </c>
      <c r="RX159">
        <v>0</v>
      </c>
      <c r="RY159">
        <v>0</v>
      </c>
      <c r="RZ159">
        <v>0</v>
      </c>
      <c r="SA159">
        <v>0</v>
      </c>
      <c r="SB159">
        <v>0</v>
      </c>
      <c r="SC159">
        <v>0</v>
      </c>
      <c r="SD159">
        <v>0</v>
      </c>
      <c r="SE159">
        <v>0</v>
      </c>
      <c r="SF159">
        <v>0</v>
      </c>
      <c r="SG159">
        <v>0</v>
      </c>
      <c r="SH159">
        <v>0</v>
      </c>
      <c r="SI159">
        <v>0</v>
      </c>
      <c r="SJ159">
        <v>0</v>
      </c>
      <c r="SK159">
        <v>0</v>
      </c>
      <c r="SL159">
        <v>0</v>
      </c>
      <c r="SM159">
        <v>0</v>
      </c>
      <c r="SN159">
        <v>0</v>
      </c>
      <c r="SO159">
        <v>0</v>
      </c>
      <c r="SP159">
        <v>0</v>
      </c>
      <c r="SQ159">
        <v>0</v>
      </c>
      <c r="SR159">
        <v>0</v>
      </c>
      <c r="SS159">
        <v>0</v>
      </c>
      <c r="ST159">
        <v>0</v>
      </c>
      <c r="SU159">
        <v>0</v>
      </c>
      <c r="SV159">
        <v>0</v>
      </c>
      <c r="SW159">
        <v>0</v>
      </c>
      <c r="SX159">
        <v>0</v>
      </c>
      <c r="SY159">
        <v>0</v>
      </c>
      <c r="SZ159">
        <v>0</v>
      </c>
      <c r="TA159">
        <v>0</v>
      </c>
      <c r="TB159">
        <v>0</v>
      </c>
      <c r="TC159">
        <v>0</v>
      </c>
      <c r="TD159">
        <v>0</v>
      </c>
      <c r="TE159">
        <v>0</v>
      </c>
      <c r="TF159">
        <v>0</v>
      </c>
      <c r="TG159">
        <v>0</v>
      </c>
      <c r="TH159">
        <v>0</v>
      </c>
      <c r="TI159">
        <v>0</v>
      </c>
      <c r="TJ159">
        <v>0</v>
      </c>
      <c r="TK159">
        <v>0</v>
      </c>
      <c r="TL159">
        <v>2</v>
      </c>
      <c r="TM159">
        <v>2</v>
      </c>
      <c r="TN159">
        <v>2</v>
      </c>
      <c r="TO159">
        <v>2</v>
      </c>
      <c r="TP159">
        <v>2</v>
      </c>
      <c r="TQ159">
        <v>2</v>
      </c>
      <c r="TR159">
        <v>2</v>
      </c>
      <c r="TS159">
        <v>2</v>
      </c>
      <c r="TT159">
        <v>2</v>
      </c>
      <c r="TU159">
        <v>2</v>
      </c>
      <c r="TV159">
        <v>2</v>
      </c>
      <c r="TW159">
        <v>2</v>
      </c>
      <c r="TX159">
        <v>2</v>
      </c>
      <c r="TY159">
        <v>2</v>
      </c>
      <c r="TZ159">
        <v>2</v>
      </c>
      <c r="UA159">
        <v>2</v>
      </c>
      <c r="UB159">
        <v>2</v>
      </c>
      <c r="UC159">
        <v>2</v>
      </c>
      <c r="UD159">
        <v>2</v>
      </c>
      <c r="UE159">
        <v>2</v>
      </c>
      <c r="UF159">
        <v>2</v>
      </c>
      <c r="UG159">
        <v>2</v>
      </c>
      <c r="UH159">
        <v>2</v>
      </c>
      <c r="UI159">
        <v>2</v>
      </c>
      <c r="UJ159">
        <v>2</v>
      </c>
      <c r="UK159">
        <v>2</v>
      </c>
      <c r="UL159">
        <v>2</v>
      </c>
      <c r="UM159">
        <v>2</v>
      </c>
      <c r="UN159">
        <v>2</v>
      </c>
      <c r="UO159">
        <v>2</v>
      </c>
      <c r="UP159">
        <v>2</v>
      </c>
      <c r="UQ159">
        <v>2</v>
      </c>
      <c r="UR159">
        <v>2</v>
      </c>
      <c r="US159">
        <v>2</v>
      </c>
      <c r="UT159">
        <v>2</v>
      </c>
      <c r="UU159">
        <v>2</v>
      </c>
      <c r="UV159">
        <v>2</v>
      </c>
      <c r="UW159">
        <v>2</v>
      </c>
      <c r="UX159">
        <v>2</v>
      </c>
      <c r="UY159">
        <v>2</v>
      </c>
      <c r="UZ159">
        <v>2</v>
      </c>
      <c r="VA159">
        <v>2</v>
      </c>
      <c r="VB159">
        <v>2</v>
      </c>
      <c r="VC159">
        <v>2</v>
      </c>
      <c r="VD159">
        <v>2</v>
      </c>
      <c r="VE159">
        <v>2</v>
      </c>
      <c r="VF159">
        <v>2</v>
      </c>
      <c r="VG159">
        <v>2</v>
      </c>
      <c r="VH159">
        <v>2</v>
      </c>
      <c r="VI159">
        <v>2</v>
      </c>
      <c r="VJ159">
        <v>2</v>
      </c>
      <c r="VK159">
        <v>2</v>
      </c>
      <c r="VL159">
        <v>2</v>
      </c>
      <c r="VM159">
        <v>2</v>
      </c>
      <c r="VN159">
        <v>2</v>
      </c>
      <c r="VO159">
        <v>0</v>
      </c>
      <c r="VP159">
        <v>0</v>
      </c>
      <c r="VQ159">
        <v>2</v>
      </c>
      <c r="VR159">
        <v>2</v>
      </c>
      <c r="VS159">
        <v>2</v>
      </c>
      <c r="VT159">
        <v>2</v>
      </c>
      <c r="VU159">
        <v>2</v>
      </c>
      <c r="VV159">
        <v>2</v>
      </c>
      <c r="VW159">
        <v>2</v>
      </c>
      <c r="VX159">
        <v>2</v>
      </c>
      <c r="VY159">
        <v>2</v>
      </c>
      <c r="VZ159">
        <v>2</v>
      </c>
      <c r="WA159">
        <v>2</v>
      </c>
      <c r="WB159">
        <v>2</v>
      </c>
      <c r="WC159">
        <v>2</v>
      </c>
      <c r="WD159">
        <v>2</v>
      </c>
      <c r="WE159">
        <v>2</v>
      </c>
      <c r="WF159">
        <v>2</v>
      </c>
      <c r="WG159">
        <v>2</v>
      </c>
      <c r="WH159">
        <v>2</v>
      </c>
      <c r="WI159">
        <v>2</v>
      </c>
      <c r="WJ159">
        <v>2</v>
      </c>
      <c r="WK159">
        <v>2</v>
      </c>
      <c r="WL159">
        <v>2</v>
      </c>
      <c r="WM159">
        <v>2</v>
      </c>
      <c r="WN159">
        <v>2</v>
      </c>
      <c r="WO159">
        <v>2</v>
      </c>
      <c r="WP159">
        <v>2</v>
      </c>
      <c r="WQ159">
        <v>2</v>
      </c>
      <c r="WR159">
        <v>2</v>
      </c>
      <c r="WS159">
        <v>2</v>
      </c>
      <c r="WT159">
        <v>2</v>
      </c>
      <c r="WU159">
        <v>2</v>
      </c>
      <c r="WV159">
        <v>2</v>
      </c>
      <c r="WW159">
        <v>2</v>
      </c>
      <c r="WX159">
        <v>2</v>
      </c>
      <c r="WY159">
        <v>2</v>
      </c>
      <c r="WZ159">
        <v>2</v>
      </c>
      <c r="XA159">
        <v>2</v>
      </c>
      <c r="XB159">
        <v>2</v>
      </c>
      <c r="XC159">
        <v>2</v>
      </c>
      <c r="XD159">
        <v>0</v>
      </c>
      <c r="XE159">
        <v>0</v>
      </c>
      <c r="XF159">
        <v>0</v>
      </c>
      <c r="XG159">
        <v>0</v>
      </c>
      <c r="XH159">
        <v>0</v>
      </c>
      <c r="XI159">
        <v>0</v>
      </c>
      <c r="XJ159">
        <v>0</v>
      </c>
      <c r="XK159">
        <v>0</v>
      </c>
      <c r="XL159">
        <v>0</v>
      </c>
      <c r="XM159">
        <v>0</v>
      </c>
      <c r="XN159">
        <v>0</v>
      </c>
      <c r="XO159">
        <v>0</v>
      </c>
      <c r="XP159">
        <v>0</v>
      </c>
      <c r="XQ159">
        <v>0</v>
      </c>
      <c r="XR159">
        <v>0</v>
      </c>
      <c r="XS159">
        <v>0</v>
      </c>
      <c r="XT159">
        <v>0</v>
      </c>
      <c r="XU159">
        <v>0</v>
      </c>
      <c r="XV159">
        <v>0</v>
      </c>
      <c r="XW159">
        <v>0</v>
      </c>
      <c r="XX159">
        <v>0</v>
      </c>
      <c r="XY159">
        <v>0</v>
      </c>
      <c r="XZ159">
        <v>0</v>
      </c>
      <c r="YA159">
        <v>0</v>
      </c>
      <c r="YB159">
        <v>0</v>
      </c>
      <c r="YC159">
        <v>0</v>
      </c>
      <c r="YD159">
        <v>0</v>
      </c>
      <c r="YE159">
        <v>0</v>
      </c>
      <c r="YF159">
        <v>0</v>
      </c>
      <c r="YG159">
        <v>0</v>
      </c>
      <c r="YH159">
        <v>0</v>
      </c>
      <c r="YI159">
        <v>0</v>
      </c>
      <c r="YJ159">
        <v>0</v>
      </c>
      <c r="YK159">
        <v>0</v>
      </c>
      <c r="YL159">
        <v>0</v>
      </c>
      <c r="YM159">
        <v>0</v>
      </c>
      <c r="YN159">
        <v>0</v>
      </c>
      <c r="YO159">
        <v>0</v>
      </c>
      <c r="YP159">
        <v>0</v>
      </c>
      <c r="YQ159">
        <v>0</v>
      </c>
      <c r="YR159">
        <v>0</v>
      </c>
      <c r="YS159">
        <v>0</v>
      </c>
      <c r="YT159">
        <v>0</v>
      </c>
      <c r="YU159">
        <v>0</v>
      </c>
      <c r="YV159">
        <v>0</v>
      </c>
      <c r="YW159">
        <v>2</v>
      </c>
      <c r="YX159">
        <v>2</v>
      </c>
      <c r="YY159">
        <v>2</v>
      </c>
      <c r="YZ159">
        <v>2</v>
      </c>
      <c r="ZA159">
        <v>2</v>
      </c>
      <c r="ZB159">
        <v>2</v>
      </c>
      <c r="ZC159">
        <v>2</v>
      </c>
      <c r="ZD159">
        <v>2</v>
      </c>
      <c r="ZE159">
        <v>2</v>
      </c>
      <c r="ZF159">
        <v>2</v>
      </c>
      <c r="ZG159">
        <v>2</v>
      </c>
      <c r="ZH159">
        <v>2</v>
      </c>
      <c r="ZI159">
        <v>2</v>
      </c>
      <c r="ZJ159">
        <v>2</v>
      </c>
      <c r="ZK159">
        <v>2</v>
      </c>
      <c r="ZL159">
        <v>2</v>
      </c>
      <c r="ZM159">
        <v>2</v>
      </c>
      <c r="ZN159">
        <v>2</v>
      </c>
      <c r="ZO159">
        <v>2</v>
      </c>
      <c r="ZP159">
        <v>2</v>
      </c>
      <c r="ZQ159">
        <v>2</v>
      </c>
      <c r="ZR159">
        <v>2</v>
      </c>
      <c r="ZS159">
        <v>2</v>
      </c>
      <c r="ZT159">
        <v>2</v>
      </c>
      <c r="ZU159">
        <v>2</v>
      </c>
      <c r="ZV159">
        <v>2</v>
      </c>
      <c r="ZW159">
        <v>2</v>
      </c>
      <c r="ZX159">
        <v>2</v>
      </c>
      <c r="ZY159">
        <v>2</v>
      </c>
      <c r="ZZ159">
        <v>2</v>
      </c>
      <c r="AAA159">
        <v>2</v>
      </c>
      <c r="AAB159">
        <v>2</v>
      </c>
      <c r="AAC159">
        <v>2</v>
      </c>
      <c r="AAD159">
        <v>2</v>
      </c>
      <c r="AAE159">
        <v>2</v>
      </c>
      <c r="AAF159">
        <v>2</v>
      </c>
      <c r="AAG159">
        <v>2</v>
      </c>
      <c r="AAH159">
        <v>2</v>
      </c>
      <c r="AAI159">
        <v>2</v>
      </c>
      <c r="AAJ159">
        <v>2</v>
      </c>
      <c r="AAK159">
        <v>2</v>
      </c>
      <c r="AAL159">
        <v>2</v>
      </c>
      <c r="AAM159">
        <v>2</v>
      </c>
      <c r="AAN159">
        <v>2</v>
      </c>
      <c r="AAO159">
        <v>2</v>
      </c>
      <c r="AAP159">
        <v>2</v>
      </c>
      <c r="AAQ159">
        <v>2</v>
      </c>
      <c r="AAR159">
        <v>2</v>
      </c>
      <c r="AAS159">
        <v>2</v>
      </c>
      <c r="AAT159">
        <v>2</v>
      </c>
      <c r="AAU159">
        <v>2</v>
      </c>
      <c r="AAV159">
        <v>2</v>
      </c>
      <c r="AAW159">
        <v>2</v>
      </c>
      <c r="AAX159">
        <v>2</v>
      </c>
      <c r="AAY159">
        <v>2</v>
      </c>
      <c r="AAZ159">
        <v>2</v>
      </c>
      <c r="ABA159">
        <v>0</v>
      </c>
      <c r="ABB159">
        <v>0</v>
      </c>
      <c r="ABC159">
        <v>0</v>
      </c>
      <c r="ABD159">
        <v>0</v>
      </c>
      <c r="ABE159">
        <v>0</v>
      </c>
      <c r="ABG159" s="1137">
        <f t="shared" si="41"/>
        <v>0</v>
      </c>
      <c r="ABH159" s="1137">
        <f t="shared" si="41"/>
        <v>0</v>
      </c>
      <c r="ABI159" s="1137">
        <f t="shared" si="41"/>
        <v>16</v>
      </c>
      <c r="ABJ159" s="1137">
        <f t="shared" si="41"/>
        <v>30</v>
      </c>
      <c r="ABK159" s="1137">
        <f t="shared" si="41"/>
        <v>31</v>
      </c>
      <c r="ABL159" s="1137">
        <f t="shared" si="41"/>
        <v>20</v>
      </c>
      <c r="ABM159" s="1137">
        <f t="shared" si="41"/>
        <v>27</v>
      </c>
      <c r="ABN159" s="1137">
        <f t="shared" si="41"/>
        <v>31</v>
      </c>
      <c r="ABO159" s="1137">
        <f t="shared" si="41"/>
        <v>14</v>
      </c>
      <c r="ABP159" s="1137">
        <f t="shared" si="41"/>
        <v>0</v>
      </c>
      <c r="ABQ159" s="1137">
        <f t="shared" si="41"/>
        <v>0</v>
      </c>
      <c r="ABR159" s="1137">
        <f t="shared" si="41"/>
        <v>0</v>
      </c>
      <c r="ABS159" s="1137">
        <f t="shared" si="41"/>
        <v>0</v>
      </c>
      <c r="ABT159" s="1137">
        <f t="shared" si="41"/>
        <v>0</v>
      </c>
      <c r="ABU159" s="1137">
        <f t="shared" si="41"/>
        <v>0</v>
      </c>
      <c r="ABV159" s="1137">
        <f t="shared" si="41"/>
        <v>0</v>
      </c>
      <c r="ABW159" s="1137">
        <f t="shared" si="31"/>
        <v>0</v>
      </c>
      <c r="ABX159" s="1137">
        <f t="shared" si="34"/>
        <v>18</v>
      </c>
      <c r="ABY159" s="1137">
        <f t="shared" si="34"/>
        <v>31</v>
      </c>
      <c r="ABZ159" s="1137">
        <f t="shared" si="34"/>
        <v>29</v>
      </c>
      <c r="ACA159" s="1137">
        <f t="shared" si="34"/>
        <v>16</v>
      </c>
      <c r="ACB159" s="1137">
        <f t="shared" si="34"/>
        <v>0</v>
      </c>
      <c r="ACC159" s="1137">
        <f t="shared" si="34"/>
        <v>30</v>
      </c>
      <c r="ACD159" s="1137">
        <f t="shared" si="34"/>
        <v>26</v>
      </c>
      <c r="ACE159" s="1137" t="s">
        <v>258</v>
      </c>
      <c r="ACF159" s="1137">
        <f t="shared" si="39"/>
        <v>0</v>
      </c>
      <c r="ACG159" s="1137">
        <f t="shared" si="39"/>
        <v>0</v>
      </c>
      <c r="ACH159" s="1137">
        <f t="shared" si="38"/>
        <v>1</v>
      </c>
      <c r="ACI159" s="1137">
        <f t="shared" si="38"/>
        <v>1</v>
      </c>
      <c r="ACJ159" s="1137">
        <f t="shared" si="38"/>
        <v>1</v>
      </c>
      <c r="ACK159" s="1137">
        <f t="shared" si="38"/>
        <v>1</v>
      </c>
      <c r="ACL159" s="1137">
        <f t="shared" si="38"/>
        <v>1</v>
      </c>
      <c r="ACM159" s="1137">
        <f t="shared" si="38"/>
        <v>1</v>
      </c>
      <c r="ACN159" s="1137">
        <f t="shared" si="38"/>
        <v>1</v>
      </c>
      <c r="ACO159" s="1137">
        <f t="shared" si="38"/>
        <v>0</v>
      </c>
      <c r="ACP159" s="1137">
        <f t="shared" si="38"/>
        <v>0</v>
      </c>
      <c r="ACQ159" s="1137">
        <f t="shared" si="38"/>
        <v>0</v>
      </c>
      <c r="ACR159" s="1137">
        <f t="shared" si="38"/>
        <v>0</v>
      </c>
      <c r="ACS159" s="1137">
        <f t="shared" si="38"/>
        <v>0</v>
      </c>
      <c r="ACT159" s="1137">
        <f t="shared" si="38"/>
        <v>0</v>
      </c>
      <c r="ACU159" s="1137">
        <f t="shared" si="38"/>
        <v>0</v>
      </c>
      <c r="ACV159" s="1137">
        <f t="shared" si="38"/>
        <v>0</v>
      </c>
      <c r="ACW159" s="1137">
        <f t="shared" si="38"/>
        <v>1</v>
      </c>
      <c r="ACX159" s="1137">
        <f t="shared" si="42"/>
        <v>1</v>
      </c>
      <c r="ACY159" s="1137">
        <f t="shared" si="42"/>
        <v>1</v>
      </c>
      <c r="ACZ159" s="1137">
        <f t="shared" si="42"/>
        <v>1</v>
      </c>
      <c r="ADA159" s="1137">
        <f t="shared" si="35"/>
        <v>0</v>
      </c>
      <c r="ADB159" s="1137">
        <f t="shared" si="35"/>
        <v>1</v>
      </c>
      <c r="ADC159" s="1137">
        <f t="shared" si="35"/>
        <v>1</v>
      </c>
    </row>
    <row r="160" spans="1:783" x14ac:dyDescent="0.25">
      <c r="A160" t="s">
        <v>1958</v>
      </c>
      <c r="B160" t="s">
        <v>1959</v>
      </c>
      <c r="C160">
        <v>0</v>
      </c>
      <c r="D160">
        <v>0</v>
      </c>
      <c r="E160">
        <v>0</v>
      </c>
      <c r="F160">
        <v>0</v>
      </c>
      <c r="G160">
        <v>0</v>
      </c>
      <c r="H160">
        <v>0</v>
      </c>
      <c r="I160">
        <v>0</v>
      </c>
      <c r="J160">
        <v>0</v>
      </c>
      <c r="K160">
        <v>0</v>
      </c>
      <c r="L160">
        <v>0</v>
      </c>
      <c r="M160">
        <v>0</v>
      </c>
      <c r="N160">
        <v>0</v>
      </c>
      <c r="O160">
        <v>0</v>
      </c>
      <c r="P160">
        <v>0</v>
      </c>
      <c r="Q160">
        <v>0</v>
      </c>
      <c r="R160">
        <v>0</v>
      </c>
      <c r="S160">
        <v>0</v>
      </c>
      <c r="T160">
        <v>0</v>
      </c>
      <c r="U160">
        <v>0</v>
      </c>
      <c r="V160">
        <v>0</v>
      </c>
      <c r="W160">
        <v>0</v>
      </c>
      <c r="X160">
        <v>0</v>
      </c>
      <c r="Y160">
        <v>0</v>
      </c>
      <c r="Z160">
        <v>0</v>
      </c>
      <c r="AA160">
        <v>0</v>
      </c>
      <c r="AB160">
        <v>0</v>
      </c>
      <c r="AC160">
        <v>0</v>
      </c>
      <c r="AD160">
        <v>0</v>
      </c>
      <c r="AE160">
        <v>0</v>
      </c>
      <c r="AF160">
        <v>0</v>
      </c>
      <c r="AG160">
        <v>0</v>
      </c>
      <c r="AH160">
        <v>0</v>
      </c>
      <c r="AI160">
        <v>0</v>
      </c>
      <c r="AJ160">
        <v>0</v>
      </c>
      <c r="AK160">
        <v>0</v>
      </c>
      <c r="AL160">
        <v>0</v>
      </c>
      <c r="AM160">
        <v>0</v>
      </c>
      <c r="AN160">
        <v>0</v>
      </c>
      <c r="AO160">
        <v>0</v>
      </c>
      <c r="AP160">
        <v>0</v>
      </c>
      <c r="AQ160">
        <v>0</v>
      </c>
      <c r="AR160">
        <v>0</v>
      </c>
      <c r="AS160">
        <v>0</v>
      </c>
      <c r="AT160">
        <v>0</v>
      </c>
      <c r="AU160">
        <v>0</v>
      </c>
      <c r="AV160">
        <v>0</v>
      </c>
      <c r="AW160">
        <v>0</v>
      </c>
      <c r="AX160">
        <v>0</v>
      </c>
      <c r="AY160">
        <v>0</v>
      </c>
      <c r="AZ160">
        <v>0</v>
      </c>
      <c r="BA160">
        <v>0</v>
      </c>
      <c r="BB160">
        <v>0</v>
      </c>
      <c r="BC160">
        <v>0</v>
      </c>
      <c r="BD160">
        <v>0</v>
      </c>
      <c r="BE160">
        <v>0</v>
      </c>
      <c r="BF160">
        <v>0</v>
      </c>
      <c r="BG160">
        <v>0</v>
      </c>
      <c r="BH160">
        <v>0</v>
      </c>
      <c r="BI160">
        <v>0</v>
      </c>
      <c r="BJ160">
        <v>0</v>
      </c>
      <c r="BK160">
        <v>0</v>
      </c>
      <c r="BL160">
        <v>0</v>
      </c>
      <c r="BM160">
        <v>0</v>
      </c>
      <c r="BN160">
        <v>0</v>
      </c>
      <c r="BO160">
        <v>0</v>
      </c>
      <c r="BP160">
        <v>0</v>
      </c>
      <c r="BQ160">
        <v>0</v>
      </c>
      <c r="BR160">
        <v>0</v>
      </c>
      <c r="BS160">
        <v>0</v>
      </c>
      <c r="BT160">
        <v>0</v>
      </c>
      <c r="BU160">
        <v>0</v>
      </c>
      <c r="BV160">
        <v>0</v>
      </c>
      <c r="BW160">
        <v>0</v>
      </c>
      <c r="BX160">
        <v>0</v>
      </c>
      <c r="BY160">
        <v>0</v>
      </c>
      <c r="BZ160">
        <v>1</v>
      </c>
      <c r="CA160">
        <v>1</v>
      </c>
      <c r="CB160">
        <v>1</v>
      </c>
      <c r="CC160">
        <v>1</v>
      </c>
      <c r="CD160">
        <v>1</v>
      </c>
      <c r="CE160">
        <v>1</v>
      </c>
      <c r="CF160">
        <v>1</v>
      </c>
      <c r="CG160">
        <v>1</v>
      </c>
      <c r="CH160">
        <v>1</v>
      </c>
      <c r="CI160">
        <v>1</v>
      </c>
      <c r="CJ160">
        <v>1</v>
      </c>
      <c r="CK160">
        <v>1</v>
      </c>
      <c r="CL160">
        <v>1</v>
      </c>
      <c r="CM160">
        <v>1</v>
      </c>
      <c r="CN160">
        <v>1</v>
      </c>
      <c r="CO160">
        <v>1</v>
      </c>
      <c r="CP160">
        <v>1</v>
      </c>
      <c r="CQ160">
        <v>1</v>
      </c>
      <c r="CR160">
        <v>1</v>
      </c>
      <c r="CS160">
        <v>1</v>
      </c>
      <c r="CT160">
        <v>1</v>
      </c>
      <c r="CU160">
        <v>1</v>
      </c>
      <c r="CV160">
        <v>1</v>
      </c>
      <c r="CW160">
        <v>2</v>
      </c>
      <c r="CX160">
        <v>2</v>
      </c>
      <c r="CY160">
        <v>2</v>
      </c>
      <c r="CZ160">
        <v>2</v>
      </c>
      <c r="DA160">
        <v>2</v>
      </c>
      <c r="DB160">
        <v>2</v>
      </c>
      <c r="DC160">
        <v>1</v>
      </c>
      <c r="DD160">
        <v>1</v>
      </c>
      <c r="DE160">
        <v>1</v>
      </c>
      <c r="DF160">
        <v>1</v>
      </c>
      <c r="DG160">
        <v>1</v>
      </c>
      <c r="DH160">
        <v>1</v>
      </c>
      <c r="DI160">
        <v>1</v>
      </c>
      <c r="DJ160">
        <v>1</v>
      </c>
      <c r="DK160">
        <v>1</v>
      </c>
      <c r="DL160">
        <v>1</v>
      </c>
      <c r="DM160">
        <v>1</v>
      </c>
      <c r="DN160">
        <v>1</v>
      </c>
      <c r="DO160">
        <v>1</v>
      </c>
      <c r="DP160">
        <v>1</v>
      </c>
      <c r="DQ160">
        <v>1</v>
      </c>
      <c r="DR160">
        <v>1</v>
      </c>
      <c r="DS160">
        <v>1</v>
      </c>
      <c r="DT160">
        <v>1</v>
      </c>
      <c r="DU160">
        <v>1</v>
      </c>
      <c r="DV160">
        <v>1</v>
      </c>
      <c r="DW160">
        <v>1</v>
      </c>
      <c r="DX160">
        <v>1</v>
      </c>
      <c r="DY160">
        <v>1</v>
      </c>
      <c r="DZ160">
        <v>1</v>
      </c>
      <c r="EA160">
        <v>1</v>
      </c>
      <c r="EB160">
        <v>1</v>
      </c>
      <c r="EC160">
        <v>1</v>
      </c>
      <c r="ED160">
        <v>1</v>
      </c>
      <c r="EE160">
        <v>1</v>
      </c>
      <c r="EF160">
        <v>1</v>
      </c>
      <c r="EG160">
        <v>1</v>
      </c>
      <c r="EH160">
        <v>1</v>
      </c>
      <c r="EI160">
        <v>1</v>
      </c>
      <c r="EJ160">
        <v>1</v>
      </c>
      <c r="EK160">
        <v>1</v>
      </c>
      <c r="EL160">
        <v>1</v>
      </c>
      <c r="EM160">
        <v>1</v>
      </c>
      <c r="EN160">
        <v>1</v>
      </c>
      <c r="EO160">
        <v>1</v>
      </c>
      <c r="EP160">
        <v>1</v>
      </c>
      <c r="EQ160">
        <v>1</v>
      </c>
      <c r="ER160">
        <v>1</v>
      </c>
      <c r="ES160">
        <v>1</v>
      </c>
      <c r="ET160">
        <v>1</v>
      </c>
      <c r="EU160">
        <v>1</v>
      </c>
      <c r="EV160">
        <v>1</v>
      </c>
      <c r="EW160">
        <v>1</v>
      </c>
      <c r="EX160">
        <v>1</v>
      </c>
      <c r="EY160">
        <v>1</v>
      </c>
      <c r="EZ160">
        <v>1</v>
      </c>
      <c r="FA160">
        <v>1</v>
      </c>
      <c r="FB160">
        <v>1</v>
      </c>
      <c r="FC160">
        <v>1</v>
      </c>
      <c r="FD160">
        <v>1</v>
      </c>
      <c r="FE160">
        <v>1</v>
      </c>
      <c r="FF160">
        <v>1</v>
      </c>
      <c r="FG160">
        <v>1</v>
      </c>
      <c r="FH160">
        <v>1</v>
      </c>
      <c r="FI160">
        <v>1</v>
      </c>
      <c r="FJ160">
        <v>1</v>
      </c>
      <c r="FK160">
        <v>1</v>
      </c>
      <c r="FL160">
        <v>1</v>
      </c>
      <c r="FM160">
        <v>1</v>
      </c>
      <c r="FN160">
        <v>1</v>
      </c>
      <c r="FO160">
        <v>1</v>
      </c>
      <c r="FP160">
        <v>1</v>
      </c>
      <c r="FQ160">
        <v>1</v>
      </c>
      <c r="FR160">
        <v>1</v>
      </c>
      <c r="FS160">
        <v>1</v>
      </c>
      <c r="FT160">
        <v>1</v>
      </c>
      <c r="FU160">
        <v>1</v>
      </c>
      <c r="FV160">
        <v>1</v>
      </c>
      <c r="FW160">
        <v>1</v>
      </c>
      <c r="FX160">
        <v>1</v>
      </c>
      <c r="FY160">
        <v>1</v>
      </c>
      <c r="FZ160">
        <v>1</v>
      </c>
      <c r="GA160">
        <v>1</v>
      </c>
      <c r="GB160">
        <v>1</v>
      </c>
      <c r="GC160">
        <v>1</v>
      </c>
      <c r="GD160">
        <v>1</v>
      </c>
      <c r="GE160">
        <v>1</v>
      </c>
      <c r="GF160">
        <v>1</v>
      </c>
      <c r="GG160">
        <v>1</v>
      </c>
      <c r="GH160">
        <v>1</v>
      </c>
      <c r="GI160">
        <v>1</v>
      </c>
      <c r="GJ160">
        <v>1</v>
      </c>
      <c r="GK160">
        <v>1</v>
      </c>
      <c r="GL160">
        <v>1</v>
      </c>
      <c r="GM160">
        <v>1</v>
      </c>
      <c r="GN160">
        <v>1</v>
      </c>
      <c r="GO160">
        <v>1</v>
      </c>
      <c r="GP160">
        <v>1</v>
      </c>
      <c r="GQ160">
        <v>1</v>
      </c>
      <c r="GR160">
        <v>1</v>
      </c>
      <c r="GS160">
        <v>1</v>
      </c>
      <c r="GT160">
        <v>1</v>
      </c>
      <c r="GU160">
        <v>1</v>
      </c>
      <c r="GV160">
        <v>1</v>
      </c>
      <c r="GW160">
        <v>1</v>
      </c>
      <c r="GX160">
        <v>1</v>
      </c>
      <c r="GY160">
        <v>1</v>
      </c>
      <c r="GZ160">
        <v>1</v>
      </c>
      <c r="HA160">
        <v>1</v>
      </c>
      <c r="HB160">
        <v>1</v>
      </c>
      <c r="HC160">
        <v>1</v>
      </c>
      <c r="HD160">
        <v>1</v>
      </c>
      <c r="HE160">
        <v>1</v>
      </c>
      <c r="HF160">
        <v>1</v>
      </c>
      <c r="HG160">
        <v>1</v>
      </c>
      <c r="HH160">
        <v>1</v>
      </c>
      <c r="HI160">
        <v>1</v>
      </c>
      <c r="HJ160">
        <v>1</v>
      </c>
      <c r="HK160">
        <v>1</v>
      </c>
      <c r="HL160">
        <v>1</v>
      </c>
      <c r="HM160">
        <v>1</v>
      </c>
      <c r="HN160">
        <v>1</v>
      </c>
      <c r="HO160">
        <v>1</v>
      </c>
      <c r="HP160">
        <v>1</v>
      </c>
      <c r="HQ160">
        <v>1</v>
      </c>
      <c r="HR160">
        <v>1</v>
      </c>
      <c r="HS160">
        <v>1</v>
      </c>
      <c r="HT160">
        <v>1</v>
      </c>
      <c r="HU160">
        <v>1</v>
      </c>
      <c r="HV160">
        <v>1</v>
      </c>
      <c r="HW160">
        <v>0</v>
      </c>
      <c r="HX160">
        <v>0</v>
      </c>
      <c r="HY160">
        <v>0</v>
      </c>
      <c r="HZ160">
        <v>0</v>
      </c>
      <c r="IA160">
        <v>0</v>
      </c>
      <c r="IB160">
        <v>0</v>
      </c>
      <c r="IC160">
        <v>0</v>
      </c>
      <c r="ID160">
        <v>0</v>
      </c>
      <c r="IE160">
        <v>0</v>
      </c>
      <c r="IF160">
        <v>0</v>
      </c>
      <c r="IG160">
        <v>0</v>
      </c>
      <c r="IH160">
        <v>0</v>
      </c>
      <c r="II160">
        <v>0</v>
      </c>
      <c r="IJ160">
        <v>0</v>
      </c>
      <c r="IK160">
        <v>0</v>
      </c>
      <c r="IL160">
        <v>0</v>
      </c>
      <c r="IM160">
        <v>0</v>
      </c>
      <c r="IN160">
        <v>0</v>
      </c>
      <c r="IO160">
        <v>0</v>
      </c>
      <c r="IP160">
        <v>0</v>
      </c>
      <c r="IQ160">
        <v>0</v>
      </c>
      <c r="IR160">
        <v>0</v>
      </c>
      <c r="IS160">
        <v>0</v>
      </c>
      <c r="IT160">
        <v>0</v>
      </c>
      <c r="IU160">
        <v>0</v>
      </c>
      <c r="IV160">
        <v>0</v>
      </c>
      <c r="IW160">
        <v>1</v>
      </c>
      <c r="IX160">
        <v>1</v>
      </c>
      <c r="IY160">
        <v>1</v>
      </c>
      <c r="IZ160">
        <v>1</v>
      </c>
      <c r="JA160">
        <v>1</v>
      </c>
      <c r="JB160">
        <v>1</v>
      </c>
      <c r="JC160">
        <v>1</v>
      </c>
      <c r="JD160">
        <v>1</v>
      </c>
      <c r="JE160">
        <v>1</v>
      </c>
      <c r="JF160">
        <v>1</v>
      </c>
      <c r="JG160">
        <v>1</v>
      </c>
      <c r="JH160">
        <v>1</v>
      </c>
      <c r="JI160">
        <v>1</v>
      </c>
      <c r="JJ160">
        <v>1</v>
      </c>
      <c r="JK160">
        <v>1</v>
      </c>
      <c r="JL160">
        <v>1</v>
      </c>
      <c r="JM160">
        <v>1</v>
      </c>
      <c r="JN160">
        <v>1</v>
      </c>
      <c r="JO160">
        <v>1</v>
      </c>
      <c r="JP160">
        <v>1</v>
      </c>
      <c r="JQ160">
        <v>1</v>
      </c>
      <c r="JR160">
        <v>1</v>
      </c>
      <c r="JS160">
        <v>1</v>
      </c>
      <c r="JT160">
        <v>1</v>
      </c>
      <c r="JU160">
        <v>0</v>
      </c>
      <c r="JV160">
        <v>0</v>
      </c>
      <c r="JW160">
        <v>0</v>
      </c>
      <c r="JX160">
        <v>0</v>
      </c>
      <c r="JY160">
        <v>0</v>
      </c>
      <c r="JZ160">
        <v>0</v>
      </c>
      <c r="KA160">
        <v>0</v>
      </c>
      <c r="KB160">
        <v>0</v>
      </c>
      <c r="KC160">
        <v>0</v>
      </c>
      <c r="KD160">
        <v>0</v>
      </c>
      <c r="KE160">
        <v>0</v>
      </c>
      <c r="KF160">
        <v>0</v>
      </c>
      <c r="KG160">
        <v>0</v>
      </c>
      <c r="KH160">
        <v>0</v>
      </c>
      <c r="KI160">
        <v>0</v>
      </c>
      <c r="KJ160">
        <v>0</v>
      </c>
      <c r="KK160">
        <v>0</v>
      </c>
      <c r="KL160">
        <v>2</v>
      </c>
      <c r="KM160">
        <v>2</v>
      </c>
      <c r="KN160">
        <v>2</v>
      </c>
      <c r="KO160">
        <v>2</v>
      </c>
      <c r="KP160">
        <v>2</v>
      </c>
      <c r="KQ160">
        <v>2</v>
      </c>
      <c r="KR160">
        <v>2</v>
      </c>
      <c r="KS160">
        <v>2</v>
      </c>
      <c r="KT160">
        <v>2</v>
      </c>
      <c r="KU160">
        <v>2</v>
      </c>
      <c r="KV160">
        <v>2</v>
      </c>
      <c r="KW160">
        <v>2</v>
      </c>
      <c r="KX160">
        <v>2</v>
      </c>
      <c r="KY160">
        <v>2</v>
      </c>
      <c r="KZ160">
        <v>2</v>
      </c>
      <c r="LA160">
        <v>2</v>
      </c>
      <c r="LB160">
        <v>2</v>
      </c>
      <c r="LC160">
        <v>2</v>
      </c>
      <c r="LD160">
        <v>2</v>
      </c>
      <c r="LE160">
        <v>2</v>
      </c>
      <c r="LF160">
        <v>2</v>
      </c>
      <c r="LG160">
        <v>2</v>
      </c>
      <c r="LH160">
        <v>2</v>
      </c>
      <c r="LI160">
        <v>2</v>
      </c>
      <c r="LJ160">
        <v>2</v>
      </c>
      <c r="LK160">
        <v>2</v>
      </c>
      <c r="LL160">
        <v>2</v>
      </c>
      <c r="LM160">
        <v>2</v>
      </c>
      <c r="LN160">
        <v>2</v>
      </c>
      <c r="LO160">
        <v>2</v>
      </c>
      <c r="LP160">
        <v>2</v>
      </c>
      <c r="LQ160">
        <v>2</v>
      </c>
      <c r="LR160">
        <v>2</v>
      </c>
      <c r="LS160">
        <v>2</v>
      </c>
      <c r="LT160">
        <v>2</v>
      </c>
      <c r="LU160">
        <v>2</v>
      </c>
      <c r="LV160">
        <v>2</v>
      </c>
      <c r="LW160">
        <v>2</v>
      </c>
      <c r="LX160">
        <v>2</v>
      </c>
      <c r="LY160">
        <v>2</v>
      </c>
      <c r="LZ160">
        <v>2</v>
      </c>
      <c r="MA160">
        <v>2</v>
      </c>
      <c r="MB160">
        <v>2</v>
      </c>
      <c r="MC160">
        <v>2</v>
      </c>
      <c r="MD160">
        <v>2</v>
      </c>
      <c r="ME160">
        <v>2</v>
      </c>
      <c r="MF160">
        <v>2</v>
      </c>
      <c r="MG160">
        <v>2</v>
      </c>
      <c r="MH160">
        <v>2</v>
      </c>
      <c r="MI160">
        <v>2</v>
      </c>
      <c r="MJ160">
        <v>0</v>
      </c>
      <c r="MK160">
        <v>0</v>
      </c>
      <c r="ML160">
        <v>0</v>
      </c>
      <c r="MM160">
        <v>0</v>
      </c>
      <c r="MN160">
        <v>0</v>
      </c>
      <c r="MO160">
        <v>0</v>
      </c>
      <c r="MP160">
        <v>0</v>
      </c>
      <c r="MQ160">
        <v>0</v>
      </c>
      <c r="MR160">
        <v>0</v>
      </c>
      <c r="MS160">
        <v>0</v>
      </c>
      <c r="MT160">
        <v>0</v>
      </c>
      <c r="MU160">
        <v>0</v>
      </c>
      <c r="MV160">
        <v>0</v>
      </c>
      <c r="MW160">
        <v>0</v>
      </c>
      <c r="MX160">
        <v>0</v>
      </c>
      <c r="MY160">
        <v>0</v>
      </c>
      <c r="MZ160">
        <v>0</v>
      </c>
      <c r="NA160">
        <v>0</v>
      </c>
      <c r="NB160">
        <v>0</v>
      </c>
      <c r="NC160">
        <v>0</v>
      </c>
      <c r="ND160">
        <v>0</v>
      </c>
      <c r="NE160">
        <v>0</v>
      </c>
      <c r="NF160">
        <v>0</v>
      </c>
      <c r="NG160">
        <v>0</v>
      </c>
      <c r="NH160">
        <v>0</v>
      </c>
      <c r="NI160">
        <v>0</v>
      </c>
      <c r="NJ160">
        <v>0</v>
      </c>
      <c r="NK160">
        <v>2</v>
      </c>
      <c r="NL160">
        <v>2</v>
      </c>
      <c r="NM160">
        <v>2</v>
      </c>
      <c r="NN160">
        <v>2</v>
      </c>
      <c r="NO160">
        <v>2</v>
      </c>
      <c r="NP160">
        <v>2</v>
      </c>
      <c r="NQ160">
        <v>2</v>
      </c>
      <c r="NR160">
        <v>2</v>
      </c>
      <c r="NS160">
        <v>2</v>
      </c>
      <c r="NT160">
        <v>2</v>
      </c>
      <c r="NU160">
        <v>2</v>
      </c>
      <c r="NV160">
        <v>2</v>
      </c>
      <c r="NW160">
        <v>2</v>
      </c>
      <c r="NX160">
        <v>2</v>
      </c>
      <c r="NY160">
        <v>2</v>
      </c>
      <c r="NZ160">
        <v>2</v>
      </c>
      <c r="OA160">
        <v>2</v>
      </c>
      <c r="OB160">
        <v>2</v>
      </c>
      <c r="OC160">
        <v>2</v>
      </c>
      <c r="OD160">
        <v>2</v>
      </c>
      <c r="OE160">
        <v>2</v>
      </c>
      <c r="OF160">
        <v>2</v>
      </c>
      <c r="OG160">
        <v>2</v>
      </c>
      <c r="OH160">
        <v>2</v>
      </c>
      <c r="OI160">
        <v>2</v>
      </c>
      <c r="OJ160">
        <v>2</v>
      </c>
      <c r="OK160">
        <v>2</v>
      </c>
      <c r="OL160">
        <v>2</v>
      </c>
      <c r="OM160">
        <v>2</v>
      </c>
      <c r="ON160">
        <v>2</v>
      </c>
      <c r="OO160">
        <v>2</v>
      </c>
      <c r="OP160">
        <v>2</v>
      </c>
      <c r="OQ160">
        <v>2</v>
      </c>
      <c r="OR160">
        <v>2</v>
      </c>
      <c r="OS160">
        <v>2</v>
      </c>
      <c r="OT160">
        <v>2</v>
      </c>
      <c r="OU160">
        <v>2</v>
      </c>
      <c r="OV160">
        <v>2</v>
      </c>
      <c r="OW160">
        <v>2</v>
      </c>
      <c r="OX160">
        <v>2</v>
      </c>
      <c r="OY160">
        <v>2</v>
      </c>
      <c r="OZ160">
        <v>2</v>
      </c>
      <c r="PA160">
        <v>2</v>
      </c>
      <c r="PB160">
        <v>2</v>
      </c>
      <c r="PC160">
        <v>2</v>
      </c>
      <c r="PD160">
        <v>2</v>
      </c>
      <c r="PE160">
        <v>2</v>
      </c>
      <c r="PF160">
        <v>2</v>
      </c>
      <c r="PG160">
        <v>2</v>
      </c>
      <c r="PH160">
        <v>2</v>
      </c>
      <c r="PI160">
        <v>2</v>
      </c>
      <c r="PJ160">
        <v>2</v>
      </c>
      <c r="PK160">
        <v>2</v>
      </c>
      <c r="PL160">
        <v>2</v>
      </c>
      <c r="PM160">
        <v>2</v>
      </c>
      <c r="PN160">
        <v>2</v>
      </c>
      <c r="PO160">
        <v>2</v>
      </c>
      <c r="PP160">
        <v>2</v>
      </c>
      <c r="PQ160">
        <v>2</v>
      </c>
      <c r="PR160">
        <v>2</v>
      </c>
      <c r="PS160">
        <v>2</v>
      </c>
      <c r="PT160">
        <v>2</v>
      </c>
      <c r="PU160">
        <v>2</v>
      </c>
      <c r="PV160">
        <v>2</v>
      </c>
      <c r="PW160">
        <v>2</v>
      </c>
      <c r="PX160">
        <v>2</v>
      </c>
      <c r="PY160">
        <v>2</v>
      </c>
      <c r="PZ160">
        <v>2</v>
      </c>
      <c r="QA160">
        <v>2</v>
      </c>
      <c r="QB160">
        <v>2</v>
      </c>
      <c r="QC160">
        <v>2</v>
      </c>
      <c r="QD160">
        <v>2</v>
      </c>
      <c r="QE160">
        <v>2</v>
      </c>
      <c r="QF160">
        <v>2</v>
      </c>
      <c r="QG160">
        <v>2</v>
      </c>
      <c r="QH160">
        <v>2</v>
      </c>
      <c r="QI160">
        <v>2</v>
      </c>
      <c r="QJ160">
        <v>2</v>
      </c>
      <c r="QK160">
        <v>2</v>
      </c>
      <c r="QL160">
        <v>2</v>
      </c>
      <c r="QM160">
        <v>2</v>
      </c>
      <c r="QN160">
        <v>2</v>
      </c>
      <c r="QO160">
        <v>2</v>
      </c>
      <c r="QP160">
        <v>2</v>
      </c>
      <c r="QQ160">
        <v>2</v>
      </c>
      <c r="QR160">
        <v>2</v>
      </c>
      <c r="QS160">
        <v>2</v>
      </c>
      <c r="QT160">
        <v>2</v>
      </c>
      <c r="QU160">
        <v>2</v>
      </c>
      <c r="QV160">
        <v>2</v>
      </c>
      <c r="QW160">
        <v>2</v>
      </c>
      <c r="QX160">
        <v>2</v>
      </c>
      <c r="QY160">
        <v>2</v>
      </c>
      <c r="QZ160">
        <v>2</v>
      </c>
      <c r="RA160">
        <v>2</v>
      </c>
      <c r="RB160">
        <v>2</v>
      </c>
      <c r="RC160">
        <v>2</v>
      </c>
      <c r="RD160">
        <v>2</v>
      </c>
      <c r="RE160">
        <v>2</v>
      </c>
      <c r="RF160">
        <v>2</v>
      </c>
      <c r="RG160">
        <v>2</v>
      </c>
      <c r="RH160">
        <v>2</v>
      </c>
      <c r="RI160">
        <v>2</v>
      </c>
      <c r="RJ160">
        <v>2</v>
      </c>
      <c r="RK160">
        <v>2</v>
      </c>
      <c r="RL160">
        <v>2</v>
      </c>
      <c r="RM160">
        <v>2</v>
      </c>
      <c r="RN160">
        <v>2</v>
      </c>
      <c r="RO160">
        <v>2</v>
      </c>
      <c r="RP160">
        <v>2</v>
      </c>
      <c r="RQ160">
        <v>2</v>
      </c>
      <c r="RR160">
        <v>2</v>
      </c>
      <c r="RS160">
        <v>2</v>
      </c>
      <c r="RT160">
        <v>2</v>
      </c>
      <c r="RU160">
        <v>2</v>
      </c>
      <c r="RV160">
        <v>2</v>
      </c>
      <c r="RW160">
        <v>2</v>
      </c>
      <c r="RX160">
        <v>2</v>
      </c>
      <c r="RY160">
        <v>2</v>
      </c>
      <c r="RZ160">
        <v>2</v>
      </c>
      <c r="SA160">
        <v>2</v>
      </c>
      <c r="SB160">
        <v>2</v>
      </c>
      <c r="SC160">
        <v>2</v>
      </c>
      <c r="SD160">
        <v>2</v>
      </c>
      <c r="SE160">
        <v>2</v>
      </c>
      <c r="SF160">
        <v>0</v>
      </c>
      <c r="SG160">
        <v>0</v>
      </c>
      <c r="SH160">
        <v>0</v>
      </c>
      <c r="SI160">
        <v>0</v>
      </c>
      <c r="SJ160">
        <v>0</v>
      </c>
      <c r="SK160">
        <v>0</v>
      </c>
      <c r="SL160">
        <v>0</v>
      </c>
      <c r="SM160">
        <v>0</v>
      </c>
      <c r="SN160">
        <v>0</v>
      </c>
      <c r="SO160">
        <v>0</v>
      </c>
      <c r="SP160">
        <v>0</v>
      </c>
      <c r="SQ160">
        <v>0</v>
      </c>
      <c r="SR160">
        <v>0</v>
      </c>
      <c r="SS160">
        <v>0</v>
      </c>
      <c r="ST160">
        <v>0</v>
      </c>
      <c r="SU160">
        <v>0</v>
      </c>
      <c r="SV160">
        <v>0</v>
      </c>
      <c r="SW160">
        <v>0</v>
      </c>
      <c r="SX160">
        <v>0</v>
      </c>
      <c r="SY160">
        <v>0</v>
      </c>
      <c r="SZ160">
        <v>0</v>
      </c>
      <c r="TA160">
        <v>0</v>
      </c>
      <c r="TB160">
        <v>0</v>
      </c>
      <c r="TC160">
        <v>0</v>
      </c>
      <c r="TD160">
        <v>0</v>
      </c>
      <c r="TE160">
        <v>0</v>
      </c>
      <c r="TF160">
        <v>0</v>
      </c>
      <c r="TG160">
        <v>0</v>
      </c>
      <c r="TH160">
        <v>0</v>
      </c>
      <c r="TI160">
        <v>0</v>
      </c>
      <c r="TJ160">
        <v>0</v>
      </c>
      <c r="TK160">
        <v>0</v>
      </c>
      <c r="TL160">
        <v>0</v>
      </c>
      <c r="TM160">
        <v>0</v>
      </c>
      <c r="TN160">
        <v>0</v>
      </c>
      <c r="TO160">
        <v>0</v>
      </c>
      <c r="TP160">
        <v>0</v>
      </c>
      <c r="TQ160">
        <v>0</v>
      </c>
      <c r="TR160">
        <v>0</v>
      </c>
      <c r="TS160">
        <v>0</v>
      </c>
      <c r="TT160">
        <v>0</v>
      </c>
      <c r="TU160">
        <v>0</v>
      </c>
      <c r="TV160">
        <v>0</v>
      </c>
      <c r="TW160">
        <v>0</v>
      </c>
      <c r="TX160">
        <v>0</v>
      </c>
      <c r="TY160">
        <v>0</v>
      </c>
      <c r="TZ160">
        <v>0</v>
      </c>
      <c r="UA160">
        <v>0</v>
      </c>
      <c r="UB160">
        <v>0</v>
      </c>
      <c r="UC160">
        <v>0</v>
      </c>
      <c r="UD160">
        <v>0</v>
      </c>
      <c r="UE160">
        <v>0</v>
      </c>
      <c r="UF160">
        <v>0</v>
      </c>
      <c r="UG160">
        <v>0</v>
      </c>
      <c r="UH160">
        <v>0</v>
      </c>
      <c r="UI160">
        <v>0</v>
      </c>
      <c r="UJ160">
        <v>0</v>
      </c>
      <c r="UK160">
        <v>0</v>
      </c>
      <c r="UL160">
        <v>0</v>
      </c>
      <c r="UM160">
        <v>0</v>
      </c>
      <c r="UN160">
        <v>0</v>
      </c>
      <c r="UO160">
        <v>0</v>
      </c>
      <c r="UP160">
        <v>0</v>
      </c>
      <c r="UQ160">
        <v>0</v>
      </c>
      <c r="UR160">
        <v>0</v>
      </c>
      <c r="US160">
        <v>0</v>
      </c>
      <c r="UT160">
        <v>0</v>
      </c>
      <c r="UU160">
        <v>0</v>
      </c>
      <c r="UV160">
        <v>0</v>
      </c>
      <c r="UW160">
        <v>0</v>
      </c>
      <c r="UX160">
        <v>0</v>
      </c>
      <c r="UY160">
        <v>0</v>
      </c>
      <c r="UZ160">
        <v>0</v>
      </c>
      <c r="VA160">
        <v>0</v>
      </c>
      <c r="VB160">
        <v>0</v>
      </c>
      <c r="VC160">
        <v>0</v>
      </c>
      <c r="VD160">
        <v>0</v>
      </c>
      <c r="VE160">
        <v>0</v>
      </c>
      <c r="VF160">
        <v>0</v>
      </c>
      <c r="VG160">
        <v>0</v>
      </c>
      <c r="VH160">
        <v>0</v>
      </c>
      <c r="VI160">
        <v>0</v>
      </c>
      <c r="VJ160">
        <v>0</v>
      </c>
      <c r="VK160">
        <v>0</v>
      </c>
      <c r="VL160">
        <v>0</v>
      </c>
      <c r="VM160">
        <v>0</v>
      </c>
      <c r="VN160">
        <v>0</v>
      </c>
      <c r="VO160">
        <v>0</v>
      </c>
      <c r="VP160">
        <v>0</v>
      </c>
      <c r="VQ160">
        <v>0</v>
      </c>
      <c r="VR160">
        <v>0</v>
      </c>
      <c r="VS160">
        <v>0</v>
      </c>
      <c r="VT160">
        <v>0</v>
      </c>
      <c r="VU160">
        <v>0</v>
      </c>
      <c r="VV160">
        <v>0</v>
      </c>
      <c r="VW160">
        <v>0</v>
      </c>
      <c r="VX160">
        <v>0</v>
      </c>
      <c r="VY160">
        <v>0</v>
      </c>
      <c r="VZ160">
        <v>0</v>
      </c>
      <c r="WA160">
        <v>0</v>
      </c>
      <c r="WB160">
        <v>0</v>
      </c>
      <c r="WC160">
        <v>0</v>
      </c>
      <c r="WD160">
        <v>0</v>
      </c>
      <c r="WE160">
        <v>0</v>
      </c>
      <c r="WF160">
        <v>0</v>
      </c>
      <c r="WG160">
        <v>0</v>
      </c>
      <c r="WH160">
        <v>0</v>
      </c>
      <c r="WI160">
        <v>0</v>
      </c>
      <c r="WJ160">
        <v>0</v>
      </c>
      <c r="WK160">
        <v>0</v>
      </c>
      <c r="WL160">
        <v>0</v>
      </c>
      <c r="WM160">
        <v>0</v>
      </c>
      <c r="WN160">
        <v>0</v>
      </c>
      <c r="WO160">
        <v>0</v>
      </c>
      <c r="WP160">
        <v>0</v>
      </c>
      <c r="WQ160">
        <v>0</v>
      </c>
      <c r="WR160">
        <v>0</v>
      </c>
      <c r="WS160">
        <v>0</v>
      </c>
      <c r="WT160">
        <v>0</v>
      </c>
      <c r="WU160">
        <v>0</v>
      </c>
      <c r="WV160">
        <v>0</v>
      </c>
      <c r="WW160">
        <v>0</v>
      </c>
      <c r="WX160">
        <v>0</v>
      </c>
      <c r="WY160">
        <v>0</v>
      </c>
      <c r="WZ160">
        <v>0</v>
      </c>
      <c r="XA160">
        <v>0</v>
      </c>
      <c r="XB160">
        <v>0</v>
      </c>
      <c r="XC160">
        <v>0</v>
      </c>
      <c r="XD160">
        <v>0</v>
      </c>
      <c r="XE160">
        <v>0</v>
      </c>
      <c r="XF160">
        <v>0</v>
      </c>
      <c r="XG160">
        <v>0</v>
      </c>
      <c r="XH160">
        <v>0</v>
      </c>
      <c r="XI160">
        <v>0</v>
      </c>
      <c r="XJ160">
        <v>0</v>
      </c>
      <c r="XK160">
        <v>0</v>
      </c>
      <c r="XL160">
        <v>0</v>
      </c>
      <c r="XM160">
        <v>0</v>
      </c>
      <c r="XN160">
        <v>0</v>
      </c>
      <c r="XO160">
        <v>0</v>
      </c>
      <c r="XP160">
        <v>0</v>
      </c>
      <c r="XQ160">
        <v>0</v>
      </c>
      <c r="XR160">
        <v>0</v>
      </c>
      <c r="XS160">
        <v>0</v>
      </c>
      <c r="XT160">
        <v>0</v>
      </c>
      <c r="XU160">
        <v>0</v>
      </c>
      <c r="XV160">
        <v>0</v>
      </c>
      <c r="XW160">
        <v>0</v>
      </c>
      <c r="XX160">
        <v>0</v>
      </c>
      <c r="XY160">
        <v>0</v>
      </c>
      <c r="XZ160">
        <v>0</v>
      </c>
      <c r="YA160">
        <v>0</v>
      </c>
      <c r="YB160">
        <v>0</v>
      </c>
      <c r="YC160">
        <v>0</v>
      </c>
      <c r="YD160">
        <v>0</v>
      </c>
      <c r="YE160">
        <v>0</v>
      </c>
      <c r="YF160">
        <v>0</v>
      </c>
      <c r="YG160">
        <v>0</v>
      </c>
      <c r="YH160">
        <v>0</v>
      </c>
      <c r="YI160">
        <v>0</v>
      </c>
      <c r="YJ160">
        <v>0</v>
      </c>
      <c r="YK160">
        <v>0</v>
      </c>
      <c r="YL160">
        <v>0</v>
      </c>
      <c r="YM160">
        <v>0</v>
      </c>
      <c r="YN160">
        <v>0</v>
      </c>
      <c r="YO160">
        <v>0</v>
      </c>
      <c r="YP160">
        <v>0</v>
      </c>
      <c r="YQ160">
        <v>0</v>
      </c>
      <c r="YR160">
        <v>0</v>
      </c>
      <c r="YS160">
        <v>0</v>
      </c>
      <c r="YT160">
        <v>0</v>
      </c>
      <c r="YU160">
        <v>0</v>
      </c>
      <c r="YV160">
        <v>0</v>
      </c>
      <c r="YW160">
        <v>0</v>
      </c>
      <c r="YX160">
        <v>0</v>
      </c>
      <c r="YY160">
        <v>0</v>
      </c>
      <c r="YZ160">
        <v>0</v>
      </c>
      <c r="ZA160">
        <v>0</v>
      </c>
      <c r="ZB160">
        <v>0</v>
      </c>
      <c r="ZC160">
        <v>0</v>
      </c>
      <c r="ZD160">
        <v>0</v>
      </c>
      <c r="ZE160">
        <v>0</v>
      </c>
      <c r="ZF160">
        <v>0</v>
      </c>
      <c r="ZG160">
        <v>0</v>
      </c>
      <c r="ZH160">
        <v>0</v>
      </c>
      <c r="ZI160">
        <v>0</v>
      </c>
      <c r="ZJ160">
        <v>0</v>
      </c>
      <c r="ZK160">
        <v>0</v>
      </c>
      <c r="ZL160">
        <v>0</v>
      </c>
      <c r="ZM160">
        <v>0</v>
      </c>
      <c r="ZN160">
        <v>0</v>
      </c>
      <c r="ZO160">
        <v>0</v>
      </c>
      <c r="ZP160">
        <v>0</v>
      </c>
      <c r="ZQ160">
        <v>0</v>
      </c>
      <c r="ZR160">
        <v>0</v>
      </c>
      <c r="ZS160">
        <v>0</v>
      </c>
      <c r="ZT160">
        <v>0</v>
      </c>
      <c r="ZU160">
        <v>0</v>
      </c>
      <c r="ZV160">
        <v>0</v>
      </c>
      <c r="ZW160">
        <v>0</v>
      </c>
      <c r="ZX160">
        <v>0</v>
      </c>
      <c r="ZY160">
        <v>0</v>
      </c>
      <c r="ZZ160">
        <v>0</v>
      </c>
      <c r="AAA160">
        <v>0</v>
      </c>
      <c r="AAB160">
        <v>0</v>
      </c>
      <c r="AAC160">
        <v>0</v>
      </c>
      <c r="AAD160">
        <v>0</v>
      </c>
      <c r="AAE160">
        <v>0</v>
      </c>
      <c r="AAF160">
        <v>0</v>
      </c>
      <c r="AAG160">
        <v>0</v>
      </c>
      <c r="AAH160">
        <v>0</v>
      </c>
      <c r="AAI160">
        <v>0</v>
      </c>
      <c r="AAJ160">
        <v>0</v>
      </c>
      <c r="AAK160">
        <v>0</v>
      </c>
      <c r="AAL160">
        <v>0</v>
      </c>
      <c r="AAM160">
        <v>0</v>
      </c>
      <c r="AAN160">
        <v>0</v>
      </c>
      <c r="AAO160">
        <v>0</v>
      </c>
      <c r="AAP160">
        <v>0</v>
      </c>
      <c r="AAQ160">
        <v>0</v>
      </c>
      <c r="AAR160">
        <v>0</v>
      </c>
      <c r="AAS160">
        <v>0</v>
      </c>
      <c r="AAT160">
        <v>0</v>
      </c>
      <c r="AAU160">
        <v>0</v>
      </c>
      <c r="AAV160">
        <v>0</v>
      </c>
      <c r="AAW160">
        <v>0</v>
      </c>
      <c r="AAX160">
        <v>0</v>
      </c>
      <c r="AAY160">
        <v>0</v>
      </c>
      <c r="AAZ160">
        <v>0</v>
      </c>
      <c r="ABA160">
        <v>0</v>
      </c>
      <c r="ABB160">
        <v>0</v>
      </c>
      <c r="ABC160">
        <v>0</v>
      </c>
      <c r="ABD160">
        <v>0</v>
      </c>
      <c r="ABE160">
        <v>0</v>
      </c>
      <c r="ABG160" s="1137">
        <f t="shared" si="41"/>
        <v>0</v>
      </c>
      <c r="ABH160" s="1137">
        <f t="shared" si="41"/>
        <v>0</v>
      </c>
      <c r="ABI160" s="1137">
        <f t="shared" si="41"/>
        <v>16</v>
      </c>
      <c r="ABJ160" s="1137">
        <f t="shared" si="41"/>
        <v>30</v>
      </c>
      <c r="ABK160" s="1137">
        <f t="shared" si="41"/>
        <v>31</v>
      </c>
      <c r="ABL160" s="1137">
        <f t="shared" si="41"/>
        <v>30</v>
      </c>
      <c r="ABM160" s="1137">
        <f t="shared" si="41"/>
        <v>31</v>
      </c>
      <c r="ABN160" s="1137">
        <f t="shared" si="41"/>
        <v>15</v>
      </c>
      <c r="ABO160" s="1137">
        <f t="shared" si="41"/>
        <v>20</v>
      </c>
      <c r="ABP160" s="1137">
        <f t="shared" si="41"/>
        <v>14</v>
      </c>
      <c r="ABQ160" s="1137">
        <f t="shared" si="41"/>
        <v>30</v>
      </c>
      <c r="ABR160" s="1137">
        <f t="shared" si="41"/>
        <v>10</v>
      </c>
      <c r="ABS160" s="1137">
        <f t="shared" si="41"/>
        <v>25</v>
      </c>
      <c r="ABT160" s="1137">
        <f t="shared" si="41"/>
        <v>28</v>
      </c>
      <c r="ABU160" s="1137">
        <f t="shared" si="41"/>
        <v>31</v>
      </c>
      <c r="ABV160" s="1137">
        <f t="shared" si="41"/>
        <v>30</v>
      </c>
      <c r="ABW160" s="1137">
        <f t="shared" si="31"/>
        <v>11</v>
      </c>
      <c r="ABX160" s="1137">
        <f t="shared" si="34"/>
        <v>0</v>
      </c>
      <c r="ABY160" s="1137">
        <f t="shared" si="34"/>
        <v>0</v>
      </c>
      <c r="ABZ160" s="1137">
        <f t="shared" si="34"/>
        <v>0</v>
      </c>
      <c r="ACA160" s="1137">
        <f t="shared" si="34"/>
        <v>0</v>
      </c>
      <c r="ACB160" s="1137">
        <f t="shared" si="34"/>
        <v>0</v>
      </c>
      <c r="ACC160" s="1137">
        <f t="shared" si="34"/>
        <v>0</v>
      </c>
      <c r="ACD160" s="1137">
        <f t="shared" si="34"/>
        <v>0</v>
      </c>
      <c r="ACE160" s="1137" t="s">
        <v>1959</v>
      </c>
      <c r="ACF160" s="1137">
        <f t="shared" si="39"/>
        <v>0</v>
      </c>
      <c r="ACG160" s="1137">
        <f t="shared" si="39"/>
        <v>0</v>
      </c>
      <c r="ACH160" s="1137">
        <f t="shared" si="38"/>
        <v>1</v>
      </c>
      <c r="ACI160" s="1137">
        <f t="shared" si="38"/>
        <v>1</v>
      </c>
      <c r="ACJ160" s="1137">
        <f t="shared" si="38"/>
        <v>1</v>
      </c>
      <c r="ACK160" s="1137">
        <f t="shared" si="38"/>
        <v>1</v>
      </c>
      <c r="ACL160" s="1137">
        <f t="shared" si="38"/>
        <v>1</v>
      </c>
      <c r="ACM160" s="1137">
        <f t="shared" si="38"/>
        <v>1</v>
      </c>
      <c r="ACN160" s="1137">
        <f t="shared" si="38"/>
        <v>1</v>
      </c>
      <c r="ACO160" s="1137">
        <f t="shared" si="38"/>
        <v>1</v>
      </c>
      <c r="ACP160" s="1137">
        <f t="shared" si="38"/>
        <v>1</v>
      </c>
      <c r="ACQ160" s="1137">
        <f t="shared" si="38"/>
        <v>0</v>
      </c>
      <c r="ACR160" s="1137">
        <f t="shared" si="38"/>
        <v>1</v>
      </c>
      <c r="ACS160" s="1137">
        <f t="shared" si="38"/>
        <v>1</v>
      </c>
      <c r="ACT160" s="1137">
        <f t="shared" si="38"/>
        <v>1</v>
      </c>
      <c r="ACU160" s="1137">
        <f t="shared" si="38"/>
        <v>1</v>
      </c>
      <c r="ACV160" s="1137">
        <f t="shared" si="38"/>
        <v>1</v>
      </c>
      <c r="ACW160" s="1137">
        <f t="shared" si="38"/>
        <v>0</v>
      </c>
      <c r="ACX160" s="1137">
        <f t="shared" si="42"/>
        <v>0</v>
      </c>
      <c r="ACY160" s="1137">
        <f t="shared" si="42"/>
        <v>0</v>
      </c>
      <c r="ACZ160" s="1137">
        <f t="shared" si="42"/>
        <v>0</v>
      </c>
      <c r="ADA160" s="1137">
        <f t="shared" si="35"/>
        <v>0</v>
      </c>
      <c r="ADB160" s="1137">
        <f t="shared" si="35"/>
        <v>0</v>
      </c>
      <c r="ADC160" s="1137">
        <f t="shared" si="35"/>
        <v>0</v>
      </c>
    </row>
    <row r="161" spans="1:783" x14ac:dyDescent="0.25">
      <c r="A161" t="s">
        <v>1960</v>
      </c>
      <c r="B161" t="s">
        <v>256</v>
      </c>
      <c r="C161">
        <v>0</v>
      </c>
      <c r="D161">
        <v>0</v>
      </c>
      <c r="E161">
        <v>0</v>
      </c>
      <c r="F161">
        <v>0</v>
      </c>
      <c r="G161">
        <v>0</v>
      </c>
      <c r="H161">
        <v>0</v>
      </c>
      <c r="I161">
        <v>0</v>
      </c>
      <c r="J161">
        <v>0</v>
      </c>
      <c r="K161">
        <v>0</v>
      </c>
      <c r="L161">
        <v>0</v>
      </c>
      <c r="M161">
        <v>0</v>
      </c>
      <c r="N161">
        <v>0</v>
      </c>
      <c r="O161">
        <v>0</v>
      </c>
      <c r="P161">
        <v>0</v>
      </c>
      <c r="Q161">
        <v>0</v>
      </c>
      <c r="R161">
        <v>0</v>
      </c>
      <c r="S161">
        <v>0</v>
      </c>
      <c r="T161">
        <v>0</v>
      </c>
      <c r="U161">
        <v>0</v>
      </c>
      <c r="V161">
        <v>0</v>
      </c>
      <c r="W161">
        <v>0</v>
      </c>
      <c r="X161">
        <v>0</v>
      </c>
      <c r="Y161">
        <v>0</v>
      </c>
      <c r="Z161">
        <v>0</v>
      </c>
      <c r="AA161">
        <v>0</v>
      </c>
      <c r="AB161">
        <v>0</v>
      </c>
      <c r="AC161">
        <v>0</v>
      </c>
      <c r="AD161">
        <v>0</v>
      </c>
      <c r="AE161">
        <v>0</v>
      </c>
      <c r="AF161">
        <v>0</v>
      </c>
      <c r="AG161">
        <v>0</v>
      </c>
      <c r="AH161">
        <v>0</v>
      </c>
      <c r="AI161">
        <v>0</v>
      </c>
      <c r="AJ161">
        <v>0</v>
      </c>
      <c r="AK161">
        <v>0</v>
      </c>
      <c r="AL161">
        <v>0</v>
      </c>
      <c r="AM161">
        <v>0</v>
      </c>
      <c r="AN161">
        <v>0</v>
      </c>
      <c r="AO161">
        <v>0</v>
      </c>
      <c r="AP161">
        <v>0</v>
      </c>
      <c r="AQ161">
        <v>0</v>
      </c>
      <c r="AR161">
        <v>0</v>
      </c>
      <c r="AS161">
        <v>0</v>
      </c>
      <c r="AT161">
        <v>0</v>
      </c>
      <c r="AU161">
        <v>0</v>
      </c>
      <c r="AV161">
        <v>0</v>
      </c>
      <c r="AW161">
        <v>0</v>
      </c>
      <c r="AX161">
        <v>0</v>
      </c>
      <c r="AY161">
        <v>0</v>
      </c>
      <c r="AZ161">
        <v>0</v>
      </c>
      <c r="BA161">
        <v>0</v>
      </c>
      <c r="BB161">
        <v>0</v>
      </c>
      <c r="BC161">
        <v>0</v>
      </c>
      <c r="BD161">
        <v>0</v>
      </c>
      <c r="BE161">
        <v>0</v>
      </c>
      <c r="BF161">
        <v>0</v>
      </c>
      <c r="BG161">
        <v>0</v>
      </c>
      <c r="BH161">
        <v>0</v>
      </c>
      <c r="BI161">
        <v>0</v>
      </c>
      <c r="BJ161">
        <v>0</v>
      </c>
      <c r="BK161">
        <v>0</v>
      </c>
      <c r="BL161">
        <v>0</v>
      </c>
      <c r="BM161">
        <v>0</v>
      </c>
      <c r="BN161">
        <v>0</v>
      </c>
      <c r="BO161">
        <v>0</v>
      </c>
      <c r="BP161">
        <v>0</v>
      </c>
      <c r="BQ161">
        <v>0</v>
      </c>
      <c r="BR161">
        <v>0</v>
      </c>
      <c r="BS161">
        <v>0</v>
      </c>
      <c r="BT161">
        <v>0</v>
      </c>
      <c r="BU161">
        <v>0</v>
      </c>
      <c r="BV161">
        <v>0</v>
      </c>
      <c r="BW161">
        <v>0</v>
      </c>
      <c r="BX161">
        <v>0</v>
      </c>
      <c r="BY161">
        <v>0</v>
      </c>
      <c r="BZ161">
        <v>0</v>
      </c>
      <c r="CA161">
        <v>0</v>
      </c>
      <c r="CB161">
        <v>0</v>
      </c>
      <c r="CC161">
        <v>0</v>
      </c>
      <c r="CD161">
        <v>0</v>
      </c>
      <c r="CE161">
        <v>0</v>
      </c>
      <c r="CF161">
        <v>0</v>
      </c>
      <c r="CG161">
        <v>0</v>
      </c>
      <c r="CH161">
        <v>0</v>
      </c>
      <c r="CI161">
        <v>0</v>
      </c>
      <c r="CJ161">
        <v>0</v>
      </c>
      <c r="CK161">
        <v>0</v>
      </c>
      <c r="CL161">
        <v>0</v>
      </c>
      <c r="CM161">
        <v>0</v>
      </c>
      <c r="CN161">
        <v>2</v>
      </c>
      <c r="CO161">
        <v>2</v>
      </c>
      <c r="CP161">
        <v>2</v>
      </c>
      <c r="CQ161">
        <v>2</v>
      </c>
      <c r="CR161">
        <v>2</v>
      </c>
      <c r="CS161">
        <v>2</v>
      </c>
      <c r="CT161">
        <v>2</v>
      </c>
      <c r="CU161">
        <v>2</v>
      </c>
      <c r="CV161">
        <v>2</v>
      </c>
      <c r="CW161">
        <v>2</v>
      </c>
      <c r="CX161">
        <v>2</v>
      </c>
      <c r="CY161">
        <v>2</v>
      </c>
      <c r="CZ161">
        <v>2</v>
      </c>
      <c r="DA161">
        <v>2</v>
      </c>
      <c r="DB161">
        <v>2</v>
      </c>
      <c r="DC161">
        <v>2</v>
      </c>
      <c r="DD161">
        <v>2</v>
      </c>
      <c r="DE161">
        <v>2</v>
      </c>
      <c r="DF161">
        <v>2</v>
      </c>
      <c r="DG161">
        <v>2</v>
      </c>
      <c r="DH161">
        <v>2</v>
      </c>
      <c r="DI161">
        <v>2</v>
      </c>
      <c r="DJ161">
        <v>2</v>
      </c>
      <c r="DK161">
        <v>2</v>
      </c>
      <c r="DL161">
        <v>2</v>
      </c>
      <c r="DM161">
        <v>2</v>
      </c>
      <c r="DN161">
        <v>2</v>
      </c>
      <c r="DO161">
        <v>2</v>
      </c>
      <c r="DP161">
        <v>2</v>
      </c>
      <c r="DQ161">
        <v>2</v>
      </c>
      <c r="DR161">
        <v>2</v>
      </c>
      <c r="DS161">
        <v>0</v>
      </c>
      <c r="DT161">
        <v>0</v>
      </c>
      <c r="DU161">
        <v>0</v>
      </c>
      <c r="DV161">
        <v>0</v>
      </c>
      <c r="DW161">
        <v>0</v>
      </c>
      <c r="DX161">
        <v>0</v>
      </c>
      <c r="DY161">
        <v>0</v>
      </c>
      <c r="DZ161">
        <v>0</v>
      </c>
      <c r="EA161">
        <v>0</v>
      </c>
      <c r="EB161">
        <v>0</v>
      </c>
      <c r="EC161">
        <v>0</v>
      </c>
      <c r="ED161">
        <v>0</v>
      </c>
      <c r="EE161">
        <v>0</v>
      </c>
      <c r="EF161">
        <v>0</v>
      </c>
      <c r="EG161">
        <v>0</v>
      </c>
      <c r="EH161">
        <v>0</v>
      </c>
      <c r="EI161">
        <v>0</v>
      </c>
      <c r="EJ161">
        <v>0</v>
      </c>
      <c r="EK161">
        <v>0</v>
      </c>
      <c r="EL161">
        <v>0</v>
      </c>
      <c r="EM161">
        <v>0</v>
      </c>
      <c r="EN161">
        <v>0</v>
      </c>
      <c r="EO161">
        <v>0</v>
      </c>
      <c r="EP161">
        <v>0</v>
      </c>
      <c r="EQ161">
        <v>0</v>
      </c>
      <c r="ER161">
        <v>0</v>
      </c>
      <c r="ES161">
        <v>0</v>
      </c>
      <c r="ET161">
        <v>0</v>
      </c>
      <c r="EU161">
        <v>0</v>
      </c>
      <c r="EV161">
        <v>0</v>
      </c>
      <c r="EW161">
        <v>0</v>
      </c>
      <c r="EX161">
        <v>0</v>
      </c>
      <c r="EY161">
        <v>0</v>
      </c>
      <c r="EZ161">
        <v>0</v>
      </c>
      <c r="FA161">
        <v>0</v>
      </c>
      <c r="FB161">
        <v>0</v>
      </c>
      <c r="FC161">
        <v>0</v>
      </c>
      <c r="FD161">
        <v>0</v>
      </c>
      <c r="FE161">
        <v>0</v>
      </c>
      <c r="FF161">
        <v>0</v>
      </c>
      <c r="FG161">
        <v>0</v>
      </c>
      <c r="FH161">
        <v>0</v>
      </c>
      <c r="FI161">
        <v>0</v>
      </c>
      <c r="FJ161">
        <v>0</v>
      </c>
      <c r="FK161">
        <v>0</v>
      </c>
      <c r="FL161">
        <v>0</v>
      </c>
      <c r="FM161">
        <v>0</v>
      </c>
      <c r="FN161">
        <v>0</v>
      </c>
      <c r="FO161">
        <v>0</v>
      </c>
      <c r="FP161">
        <v>0</v>
      </c>
      <c r="FQ161">
        <v>0</v>
      </c>
      <c r="FR161">
        <v>0</v>
      </c>
      <c r="FS161">
        <v>0</v>
      </c>
      <c r="FT161">
        <v>0</v>
      </c>
      <c r="FU161">
        <v>0</v>
      </c>
      <c r="FV161">
        <v>0</v>
      </c>
      <c r="FW161">
        <v>0</v>
      </c>
      <c r="FX161">
        <v>0</v>
      </c>
      <c r="FY161">
        <v>0</v>
      </c>
      <c r="FZ161">
        <v>0</v>
      </c>
      <c r="GA161">
        <v>0</v>
      </c>
      <c r="GB161">
        <v>0</v>
      </c>
      <c r="GC161">
        <v>0</v>
      </c>
      <c r="GD161">
        <v>0</v>
      </c>
      <c r="GE161">
        <v>0</v>
      </c>
      <c r="GF161">
        <v>0</v>
      </c>
      <c r="GG161">
        <v>0</v>
      </c>
      <c r="GH161">
        <v>0</v>
      </c>
      <c r="GI161">
        <v>0</v>
      </c>
      <c r="GJ161">
        <v>0</v>
      </c>
      <c r="GK161">
        <v>0</v>
      </c>
      <c r="GL161">
        <v>0</v>
      </c>
      <c r="GM161">
        <v>0</v>
      </c>
      <c r="GN161">
        <v>0</v>
      </c>
      <c r="GO161">
        <v>0</v>
      </c>
      <c r="GP161">
        <v>0</v>
      </c>
      <c r="GQ161">
        <v>0</v>
      </c>
      <c r="GR161">
        <v>0</v>
      </c>
      <c r="GS161">
        <v>0</v>
      </c>
      <c r="GT161">
        <v>0</v>
      </c>
      <c r="GU161">
        <v>0</v>
      </c>
      <c r="GV161">
        <v>0</v>
      </c>
      <c r="GW161">
        <v>0</v>
      </c>
      <c r="GX161">
        <v>0</v>
      </c>
      <c r="GY161">
        <v>0</v>
      </c>
      <c r="GZ161">
        <v>0</v>
      </c>
      <c r="HA161">
        <v>0</v>
      </c>
      <c r="HB161">
        <v>0</v>
      </c>
      <c r="HC161">
        <v>0</v>
      </c>
      <c r="HD161">
        <v>0</v>
      </c>
      <c r="HE161">
        <v>0</v>
      </c>
      <c r="HF161">
        <v>0</v>
      </c>
      <c r="HG161">
        <v>0</v>
      </c>
      <c r="HH161">
        <v>0</v>
      </c>
      <c r="HI161">
        <v>0</v>
      </c>
      <c r="HJ161">
        <v>0</v>
      </c>
      <c r="HK161">
        <v>0</v>
      </c>
      <c r="HL161">
        <v>0</v>
      </c>
      <c r="HM161">
        <v>0</v>
      </c>
      <c r="HN161">
        <v>0</v>
      </c>
      <c r="HO161">
        <v>0</v>
      </c>
      <c r="HP161">
        <v>0</v>
      </c>
      <c r="HQ161">
        <v>0</v>
      </c>
      <c r="HR161">
        <v>0</v>
      </c>
      <c r="HS161">
        <v>0</v>
      </c>
      <c r="HT161">
        <v>0</v>
      </c>
      <c r="HU161">
        <v>0</v>
      </c>
      <c r="HV161">
        <v>0</v>
      </c>
      <c r="HW161">
        <v>0</v>
      </c>
      <c r="HX161">
        <v>0</v>
      </c>
      <c r="HY161">
        <v>0</v>
      </c>
      <c r="HZ161">
        <v>0</v>
      </c>
      <c r="IA161">
        <v>0</v>
      </c>
      <c r="IB161">
        <v>0</v>
      </c>
      <c r="IC161">
        <v>0</v>
      </c>
      <c r="ID161">
        <v>0</v>
      </c>
      <c r="IE161">
        <v>0</v>
      </c>
      <c r="IF161">
        <v>0</v>
      </c>
      <c r="IG161">
        <v>0</v>
      </c>
      <c r="IH161">
        <v>0</v>
      </c>
      <c r="II161">
        <v>0</v>
      </c>
      <c r="IJ161">
        <v>0</v>
      </c>
      <c r="IK161">
        <v>0</v>
      </c>
      <c r="IL161">
        <v>0</v>
      </c>
      <c r="IM161">
        <v>0</v>
      </c>
      <c r="IN161">
        <v>0</v>
      </c>
      <c r="IO161">
        <v>0</v>
      </c>
      <c r="IP161">
        <v>0</v>
      </c>
      <c r="IQ161">
        <v>0</v>
      </c>
      <c r="IR161">
        <v>0</v>
      </c>
      <c r="IS161">
        <v>0</v>
      </c>
      <c r="IT161">
        <v>0</v>
      </c>
      <c r="IU161">
        <v>0</v>
      </c>
      <c r="IV161">
        <v>0</v>
      </c>
      <c r="IW161">
        <v>0</v>
      </c>
      <c r="IX161">
        <v>0</v>
      </c>
      <c r="IY161">
        <v>0</v>
      </c>
      <c r="IZ161">
        <v>0</v>
      </c>
      <c r="JA161">
        <v>0</v>
      </c>
      <c r="JB161">
        <v>0</v>
      </c>
      <c r="JC161">
        <v>0</v>
      </c>
      <c r="JD161">
        <v>0</v>
      </c>
      <c r="JE161">
        <v>0</v>
      </c>
      <c r="JF161">
        <v>0</v>
      </c>
      <c r="JG161">
        <v>0</v>
      </c>
      <c r="JH161">
        <v>0</v>
      </c>
      <c r="JI161">
        <v>0</v>
      </c>
      <c r="JJ161">
        <v>0</v>
      </c>
      <c r="JK161">
        <v>0</v>
      </c>
      <c r="JL161">
        <v>0</v>
      </c>
      <c r="JM161">
        <v>0</v>
      </c>
      <c r="JN161">
        <v>0</v>
      </c>
      <c r="JO161">
        <v>0</v>
      </c>
      <c r="JP161">
        <v>0</v>
      </c>
      <c r="JQ161">
        <v>0</v>
      </c>
      <c r="JR161">
        <v>0</v>
      </c>
      <c r="JS161">
        <v>0</v>
      </c>
      <c r="JT161">
        <v>0</v>
      </c>
      <c r="JU161">
        <v>0</v>
      </c>
      <c r="JV161">
        <v>0</v>
      </c>
      <c r="JW161">
        <v>0</v>
      </c>
      <c r="JX161">
        <v>0</v>
      </c>
      <c r="JY161">
        <v>0</v>
      </c>
      <c r="JZ161">
        <v>0</v>
      </c>
      <c r="KA161">
        <v>0</v>
      </c>
      <c r="KB161">
        <v>0</v>
      </c>
      <c r="KC161">
        <v>0</v>
      </c>
      <c r="KD161">
        <v>0</v>
      </c>
      <c r="KE161">
        <v>0</v>
      </c>
      <c r="KF161">
        <v>0</v>
      </c>
      <c r="KG161">
        <v>0</v>
      </c>
      <c r="KH161">
        <v>0</v>
      </c>
      <c r="KI161">
        <v>2</v>
      </c>
      <c r="KJ161">
        <v>2</v>
      </c>
      <c r="KK161">
        <v>2</v>
      </c>
      <c r="KL161">
        <v>2</v>
      </c>
      <c r="KM161">
        <v>2</v>
      </c>
      <c r="KN161">
        <v>2</v>
      </c>
      <c r="KO161">
        <v>2</v>
      </c>
      <c r="KP161">
        <v>2</v>
      </c>
      <c r="KQ161">
        <v>2</v>
      </c>
      <c r="KR161">
        <v>2</v>
      </c>
      <c r="KS161">
        <v>2</v>
      </c>
      <c r="KT161">
        <v>2</v>
      </c>
      <c r="KU161">
        <v>2</v>
      </c>
      <c r="KV161">
        <v>2</v>
      </c>
      <c r="KW161">
        <v>2</v>
      </c>
      <c r="KX161">
        <v>2</v>
      </c>
      <c r="KY161">
        <v>2</v>
      </c>
      <c r="KZ161">
        <v>2</v>
      </c>
      <c r="LA161">
        <v>2</v>
      </c>
      <c r="LB161">
        <v>2</v>
      </c>
      <c r="LC161">
        <v>2</v>
      </c>
      <c r="LD161">
        <v>2</v>
      </c>
      <c r="LE161">
        <v>2</v>
      </c>
      <c r="LF161">
        <v>2</v>
      </c>
      <c r="LG161">
        <v>2</v>
      </c>
      <c r="LH161">
        <v>2</v>
      </c>
      <c r="LI161">
        <v>2</v>
      </c>
      <c r="LJ161">
        <v>2</v>
      </c>
      <c r="LK161">
        <v>2</v>
      </c>
      <c r="LL161">
        <v>2</v>
      </c>
      <c r="LM161">
        <v>2</v>
      </c>
      <c r="LN161">
        <v>2</v>
      </c>
      <c r="LO161">
        <v>2</v>
      </c>
      <c r="LP161">
        <v>2</v>
      </c>
      <c r="LQ161">
        <v>2</v>
      </c>
      <c r="LR161">
        <v>2</v>
      </c>
      <c r="LS161">
        <v>2</v>
      </c>
      <c r="LT161">
        <v>2</v>
      </c>
      <c r="LU161">
        <v>2</v>
      </c>
      <c r="LV161">
        <v>2</v>
      </c>
      <c r="LW161">
        <v>2</v>
      </c>
      <c r="LX161">
        <v>2</v>
      </c>
      <c r="LY161">
        <v>2</v>
      </c>
      <c r="LZ161">
        <v>2</v>
      </c>
      <c r="MA161">
        <v>2</v>
      </c>
      <c r="MB161">
        <v>2</v>
      </c>
      <c r="MC161">
        <v>2</v>
      </c>
      <c r="MD161">
        <v>2</v>
      </c>
      <c r="ME161">
        <v>2</v>
      </c>
      <c r="MF161">
        <v>2</v>
      </c>
      <c r="MG161">
        <v>2</v>
      </c>
      <c r="MH161">
        <v>2</v>
      </c>
      <c r="MI161">
        <v>2</v>
      </c>
      <c r="MJ161">
        <v>2</v>
      </c>
      <c r="MK161">
        <v>2</v>
      </c>
      <c r="ML161">
        <v>2</v>
      </c>
      <c r="MM161">
        <v>2</v>
      </c>
      <c r="MN161">
        <v>2</v>
      </c>
      <c r="MO161">
        <v>2</v>
      </c>
      <c r="MP161">
        <v>2</v>
      </c>
      <c r="MQ161">
        <v>2</v>
      </c>
      <c r="MR161">
        <v>2</v>
      </c>
      <c r="MS161">
        <v>2</v>
      </c>
      <c r="MT161">
        <v>2</v>
      </c>
      <c r="MU161">
        <v>2</v>
      </c>
      <c r="MV161">
        <v>2</v>
      </c>
      <c r="MW161">
        <v>2</v>
      </c>
      <c r="MX161">
        <v>2</v>
      </c>
      <c r="MY161">
        <v>2</v>
      </c>
      <c r="MZ161">
        <v>2</v>
      </c>
      <c r="NA161">
        <v>2</v>
      </c>
      <c r="NB161">
        <v>2</v>
      </c>
      <c r="NC161">
        <v>2</v>
      </c>
      <c r="ND161">
        <v>2</v>
      </c>
      <c r="NE161">
        <v>2</v>
      </c>
      <c r="NF161">
        <v>2</v>
      </c>
      <c r="NG161">
        <v>2</v>
      </c>
      <c r="NH161">
        <v>2</v>
      </c>
      <c r="NI161">
        <v>2</v>
      </c>
      <c r="NJ161">
        <v>2</v>
      </c>
      <c r="NK161">
        <v>2</v>
      </c>
      <c r="NL161">
        <v>2</v>
      </c>
      <c r="NM161">
        <v>2</v>
      </c>
      <c r="NN161">
        <v>2</v>
      </c>
      <c r="NO161">
        <v>2</v>
      </c>
      <c r="NP161">
        <v>2</v>
      </c>
      <c r="NQ161">
        <v>2</v>
      </c>
      <c r="NR161">
        <v>2</v>
      </c>
      <c r="NS161">
        <v>2</v>
      </c>
      <c r="NT161">
        <v>2</v>
      </c>
      <c r="NU161">
        <v>2</v>
      </c>
      <c r="NV161">
        <v>2</v>
      </c>
      <c r="NW161">
        <v>2</v>
      </c>
      <c r="NX161">
        <v>2</v>
      </c>
      <c r="NY161">
        <v>2</v>
      </c>
      <c r="NZ161">
        <v>2</v>
      </c>
      <c r="OA161">
        <v>2</v>
      </c>
      <c r="OB161">
        <v>2</v>
      </c>
      <c r="OC161">
        <v>2</v>
      </c>
      <c r="OD161">
        <v>2</v>
      </c>
      <c r="OE161">
        <v>2</v>
      </c>
      <c r="OF161">
        <v>2</v>
      </c>
      <c r="OG161">
        <v>2</v>
      </c>
      <c r="OH161">
        <v>2</v>
      </c>
      <c r="OI161">
        <v>2</v>
      </c>
      <c r="OJ161">
        <v>2</v>
      </c>
      <c r="OK161">
        <v>2</v>
      </c>
      <c r="OL161">
        <v>2</v>
      </c>
      <c r="OM161">
        <v>2</v>
      </c>
      <c r="ON161">
        <v>2</v>
      </c>
      <c r="OO161">
        <v>2</v>
      </c>
      <c r="OP161">
        <v>2</v>
      </c>
      <c r="OQ161">
        <v>2</v>
      </c>
      <c r="OR161">
        <v>2</v>
      </c>
      <c r="OS161">
        <v>2</v>
      </c>
      <c r="OT161">
        <v>2</v>
      </c>
      <c r="OU161">
        <v>2</v>
      </c>
      <c r="OV161">
        <v>2</v>
      </c>
      <c r="OW161">
        <v>2</v>
      </c>
      <c r="OX161">
        <v>0</v>
      </c>
      <c r="OY161">
        <v>0</v>
      </c>
      <c r="OZ161">
        <v>0</v>
      </c>
      <c r="PA161">
        <v>0</v>
      </c>
      <c r="PB161">
        <v>0</v>
      </c>
      <c r="PC161">
        <v>0</v>
      </c>
      <c r="PD161">
        <v>0</v>
      </c>
      <c r="PE161">
        <v>0</v>
      </c>
      <c r="PF161">
        <v>0</v>
      </c>
      <c r="PG161">
        <v>0</v>
      </c>
      <c r="PH161">
        <v>0</v>
      </c>
      <c r="PI161">
        <v>0</v>
      </c>
      <c r="PJ161">
        <v>2</v>
      </c>
      <c r="PK161">
        <v>2</v>
      </c>
      <c r="PL161">
        <v>2</v>
      </c>
      <c r="PM161">
        <v>2</v>
      </c>
      <c r="PN161">
        <v>2</v>
      </c>
      <c r="PO161">
        <v>2</v>
      </c>
      <c r="PP161">
        <v>2</v>
      </c>
      <c r="PQ161">
        <v>2</v>
      </c>
      <c r="PR161">
        <v>2</v>
      </c>
      <c r="PS161">
        <v>2</v>
      </c>
      <c r="PT161">
        <v>2</v>
      </c>
      <c r="PU161">
        <v>2</v>
      </c>
      <c r="PV161">
        <v>2</v>
      </c>
      <c r="PW161">
        <v>2</v>
      </c>
      <c r="PX161">
        <v>2</v>
      </c>
      <c r="PY161">
        <v>2</v>
      </c>
      <c r="PZ161">
        <v>2</v>
      </c>
      <c r="QA161">
        <v>2</v>
      </c>
      <c r="QB161">
        <v>2</v>
      </c>
      <c r="QC161">
        <v>2</v>
      </c>
      <c r="QD161">
        <v>2</v>
      </c>
      <c r="QE161">
        <v>2</v>
      </c>
      <c r="QF161">
        <v>2</v>
      </c>
      <c r="QG161">
        <v>2</v>
      </c>
      <c r="QH161">
        <v>2</v>
      </c>
      <c r="QI161">
        <v>2</v>
      </c>
      <c r="QJ161">
        <v>2</v>
      </c>
      <c r="QK161">
        <v>2</v>
      </c>
      <c r="QL161">
        <v>2</v>
      </c>
      <c r="QM161">
        <v>2</v>
      </c>
      <c r="QN161">
        <v>2</v>
      </c>
      <c r="QO161">
        <v>2</v>
      </c>
      <c r="QP161">
        <v>2</v>
      </c>
      <c r="QQ161">
        <v>2</v>
      </c>
      <c r="QR161">
        <v>2</v>
      </c>
      <c r="QS161">
        <v>2</v>
      </c>
      <c r="QT161">
        <v>2</v>
      </c>
      <c r="QU161">
        <v>2</v>
      </c>
      <c r="QV161">
        <v>2</v>
      </c>
      <c r="QW161">
        <v>2</v>
      </c>
      <c r="QX161">
        <v>2</v>
      </c>
      <c r="QY161">
        <v>2</v>
      </c>
      <c r="QZ161">
        <v>2</v>
      </c>
      <c r="RA161">
        <v>2</v>
      </c>
      <c r="RB161">
        <v>2</v>
      </c>
      <c r="RC161">
        <v>2</v>
      </c>
      <c r="RD161">
        <v>2</v>
      </c>
      <c r="RE161">
        <v>2</v>
      </c>
      <c r="RF161">
        <v>2</v>
      </c>
      <c r="RG161">
        <v>2</v>
      </c>
      <c r="RH161">
        <v>2</v>
      </c>
      <c r="RI161">
        <v>2</v>
      </c>
      <c r="RJ161">
        <v>2</v>
      </c>
      <c r="RK161">
        <v>2</v>
      </c>
      <c r="RL161">
        <v>2</v>
      </c>
      <c r="RM161">
        <v>1</v>
      </c>
      <c r="RN161">
        <v>1</v>
      </c>
      <c r="RO161">
        <v>1</v>
      </c>
      <c r="RP161">
        <v>1</v>
      </c>
      <c r="RQ161">
        <v>1</v>
      </c>
      <c r="RR161">
        <v>1</v>
      </c>
      <c r="RS161">
        <v>1</v>
      </c>
      <c r="RT161">
        <v>1</v>
      </c>
      <c r="RU161">
        <v>1</v>
      </c>
      <c r="RV161">
        <v>1</v>
      </c>
      <c r="RW161">
        <v>1</v>
      </c>
      <c r="RX161">
        <v>1</v>
      </c>
      <c r="RY161">
        <v>1</v>
      </c>
      <c r="RZ161">
        <v>1</v>
      </c>
      <c r="SA161">
        <v>1</v>
      </c>
      <c r="SB161">
        <v>1</v>
      </c>
      <c r="SC161">
        <v>1</v>
      </c>
      <c r="SD161">
        <v>1</v>
      </c>
      <c r="SE161">
        <v>1</v>
      </c>
      <c r="SF161">
        <v>1</v>
      </c>
      <c r="SG161">
        <v>1</v>
      </c>
      <c r="SH161">
        <v>1</v>
      </c>
      <c r="SI161">
        <v>1</v>
      </c>
      <c r="SJ161">
        <v>1</v>
      </c>
      <c r="SK161">
        <v>1</v>
      </c>
      <c r="SL161">
        <v>1</v>
      </c>
      <c r="SM161">
        <v>1</v>
      </c>
      <c r="SN161">
        <v>1</v>
      </c>
      <c r="SO161">
        <v>1</v>
      </c>
      <c r="SP161">
        <v>1</v>
      </c>
      <c r="SQ161">
        <v>1</v>
      </c>
      <c r="SR161">
        <v>1</v>
      </c>
      <c r="SS161">
        <v>0</v>
      </c>
      <c r="ST161">
        <v>0</v>
      </c>
      <c r="SU161">
        <v>0</v>
      </c>
      <c r="SV161">
        <v>0</v>
      </c>
      <c r="SW161">
        <v>0</v>
      </c>
      <c r="SX161">
        <v>0</v>
      </c>
      <c r="SY161">
        <v>0</v>
      </c>
      <c r="SZ161">
        <v>0</v>
      </c>
      <c r="TA161">
        <v>0</v>
      </c>
      <c r="TB161">
        <v>0</v>
      </c>
      <c r="TC161">
        <v>0</v>
      </c>
      <c r="TD161">
        <v>0</v>
      </c>
      <c r="TE161">
        <v>0</v>
      </c>
      <c r="TF161">
        <v>0</v>
      </c>
      <c r="TG161">
        <v>0</v>
      </c>
      <c r="TH161">
        <v>0</v>
      </c>
      <c r="TI161">
        <v>0</v>
      </c>
      <c r="TJ161">
        <v>0</v>
      </c>
      <c r="TK161">
        <v>0</v>
      </c>
      <c r="TL161">
        <v>0</v>
      </c>
      <c r="TM161">
        <v>0</v>
      </c>
      <c r="TN161">
        <v>0</v>
      </c>
      <c r="TO161">
        <v>0</v>
      </c>
      <c r="TP161">
        <v>0</v>
      </c>
      <c r="TQ161">
        <v>0</v>
      </c>
      <c r="TR161">
        <v>0</v>
      </c>
      <c r="TS161">
        <v>0</v>
      </c>
      <c r="TT161">
        <v>0</v>
      </c>
      <c r="TU161">
        <v>0</v>
      </c>
      <c r="TV161">
        <v>0</v>
      </c>
      <c r="TW161">
        <v>0</v>
      </c>
      <c r="TX161">
        <v>0</v>
      </c>
      <c r="TY161">
        <v>0</v>
      </c>
      <c r="TZ161">
        <v>0</v>
      </c>
      <c r="UA161">
        <v>0</v>
      </c>
      <c r="UB161">
        <v>0</v>
      </c>
      <c r="UC161">
        <v>0</v>
      </c>
      <c r="UD161">
        <v>0</v>
      </c>
      <c r="UE161">
        <v>0</v>
      </c>
      <c r="UF161">
        <v>0</v>
      </c>
      <c r="UG161">
        <v>0</v>
      </c>
      <c r="UH161">
        <v>0</v>
      </c>
      <c r="UI161">
        <v>0</v>
      </c>
      <c r="UJ161">
        <v>0</v>
      </c>
      <c r="UK161">
        <v>0</v>
      </c>
      <c r="UL161">
        <v>0</v>
      </c>
      <c r="UM161">
        <v>0</v>
      </c>
      <c r="UN161">
        <v>0</v>
      </c>
      <c r="UO161">
        <v>0</v>
      </c>
      <c r="UP161">
        <v>0</v>
      </c>
      <c r="UQ161">
        <v>0</v>
      </c>
      <c r="UR161">
        <v>0</v>
      </c>
      <c r="US161">
        <v>0</v>
      </c>
      <c r="UT161">
        <v>0</v>
      </c>
      <c r="UU161">
        <v>0</v>
      </c>
      <c r="UV161">
        <v>0</v>
      </c>
      <c r="UW161">
        <v>0</v>
      </c>
      <c r="UX161">
        <v>0</v>
      </c>
      <c r="UY161">
        <v>0</v>
      </c>
      <c r="UZ161">
        <v>0</v>
      </c>
      <c r="VA161">
        <v>0</v>
      </c>
      <c r="VB161">
        <v>0</v>
      </c>
      <c r="VC161">
        <v>0</v>
      </c>
      <c r="VD161">
        <v>0</v>
      </c>
      <c r="VE161">
        <v>0</v>
      </c>
      <c r="VF161">
        <v>0</v>
      </c>
      <c r="VG161">
        <v>0</v>
      </c>
      <c r="VH161">
        <v>0</v>
      </c>
      <c r="VI161">
        <v>0</v>
      </c>
      <c r="VJ161">
        <v>0</v>
      </c>
      <c r="VK161">
        <v>0</v>
      </c>
      <c r="VL161">
        <v>0</v>
      </c>
      <c r="VM161">
        <v>0</v>
      </c>
      <c r="VN161">
        <v>0</v>
      </c>
      <c r="VO161">
        <v>0</v>
      </c>
      <c r="VP161">
        <v>0</v>
      </c>
      <c r="VQ161">
        <v>0</v>
      </c>
      <c r="VR161">
        <v>0</v>
      </c>
      <c r="VS161">
        <v>0</v>
      </c>
      <c r="VT161">
        <v>0</v>
      </c>
      <c r="VU161">
        <v>0</v>
      </c>
      <c r="VV161">
        <v>0</v>
      </c>
      <c r="VW161">
        <v>0</v>
      </c>
      <c r="VX161">
        <v>0</v>
      </c>
      <c r="VY161">
        <v>0</v>
      </c>
      <c r="VZ161">
        <v>0</v>
      </c>
      <c r="WA161">
        <v>0</v>
      </c>
      <c r="WB161">
        <v>0</v>
      </c>
      <c r="WC161">
        <v>0</v>
      </c>
      <c r="WD161">
        <v>0</v>
      </c>
      <c r="WE161">
        <v>0</v>
      </c>
      <c r="WF161">
        <v>0</v>
      </c>
      <c r="WG161">
        <v>0</v>
      </c>
      <c r="WH161">
        <v>0</v>
      </c>
      <c r="WI161">
        <v>0</v>
      </c>
      <c r="WJ161">
        <v>0</v>
      </c>
      <c r="WK161">
        <v>0</v>
      </c>
      <c r="WL161">
        <v>0</v>
      </c>
      <c r="WM161">
        <v>0</v>
      </c>
      <c r="WN161">
        <v>0</v>
      </c>
      <c r="WO161">
        <v>0</v>
      </c>
      <c r="WP161">
        <v>0</v>
      </c>
      <c r="WQ161">
        <v>0</v>
      </c>
      <c r="WR161">
        <v>0</v>
      </c>
      <c r="WS161">
        <v>0</v>
      </c>
      <c r="WT161">
        <v>0</v>
      </c>
      <c r="WU161">
        <v>0</v>
      </c>
      <c r="WV161">
        <v>0</v>
      </c>
      <c r="WW161">
        <v>0</v>
      </c>
      <c r="WX161">
        <v>0</v>
      </c>
      <c r="WY161">
        <v>0</v>
      </c>
      <c r="WZ161">
        <v>0</v>
      </c>
      <c r="XA161">
        <v>0</v>
      </c>
      <c r="XB161">
        <v>0</v>
      </c>
      <c r="XC161">
        <v>0</v>
      </c>
      <c r="XD161">
        <v>0</v>
      </c>
      <c r="XE161">
        <v>0</v>
      </c>
      <c r="XF161">
        <v>0</v>
      </c>
      <c r="XG161">
        <v>0</v>
      </c>
      <c r="XH161">
        <v>0</v>
      </c>
      <c r="XI161">
        <v>0</v>
      </c>
      <c r="XJ161">
        <v>0</v>
      </c>
      <c r="XK161">
        <v>0</v>
      </c>
      <c r="XL161">
        <v>0</v>
      </c>
      <c r="XM161">
        <v>0</v>
      </c>
      <c r="XN161">
        <v>0</v>
      </c>
      <c r="XO161">
        <v>0</v>
      </c>
      <c r="XP161">
        <v>0</v>
      </c>
      <c r="XQ161">
        <v>0</v>
      </c>
      <c r="XR161">
        <v>0</v>
      </c>
      <c r="XS161">
        <v>0</v>
      </c>
      <c r="XT161">
        <v>0</v>
      </c>
      <c r="XU161">
        <v>0</v>
      </c>
      <c r="XV161">
        <v>0</v>
      </c>
      <c r="XW161">
        <v>0</v>
      </c>
      <c r="XX161">
        <v>0</v>
      </c>
      <c r="XY161">
        <v>0</v>
      </c>
      <c r="XZ161">
        <v>0</v>
      </c>
      <c r="YA161">
        <v>0</v>
      </c>
      <c r="YB161">
        <v>0</v>
      </c>
      <c r="YC161">
        <v>0</v>
      </c>
      <c r="YD161">
        <v>0</v>
      </c>
      <c r="YE161">
        <v>0</v>
      </c>
      <c r="YF161">
        <v>0</v>
      </c>
      <c r="YG161">
        <v>0</v>
      </c>
      <c r="YH161">
        <v>0</v>
      </c>
      <c r="YI161">
        <v>0</v>
      </c>
      <c r="YJ161">
        <v>0</v>
      </c>
      <c r="YK161">
        <v>0</v>
      </c>
      <c r="YL161">
        <v>0</v>
      </c>
      <c r="YM161">
        <v>0</v>
      </c>
      <c r="YN161">
        <v>0</v>
      </c>
      <c r="YO161">
        <v>0</v>
      </c>
      <c r="YP161">
        <v>0</v>
      </c>
      <c r="YQ161">
        <v>0</v>
      </c>
      <c r="YR161">
        <v>0</v>
      </c>
      <c r="YS161">
        <v>0</v>
      </c>
      <c r="YT161">
        <v>0</v>
      </c>
      <c r="YU161">
        <v>0</v>
      </c>
      <c r="YV161">
        <v>0</v>
      </c>
      <c r="YW161">
        <v>0</v>
      </c>
      <c r="YX161">
        <v>0</v>
      </c>
      <c r="YY161">
        <v>0</v>
      </c>
      <c r="YZ161">
        <v>0</v>
      </c>
      <c r="ZA161">
        <v>0</v>
      </c>
      <c r="ZB161">
        <v>0</v>
      </c>
      <c r="ZC161">
        <v>0</v>
      </c>
      <c r="ZD161">
        <v>0</v>
      </c>
      <c r="ZE161">
        <v>0</v>
      </c>
      <c r="ZF161">
        <v>0</v>
      </c>
      <c r="ZG161">
        <v>0</v>
      </c>
      <c r="ZH161">
        <v>0</v>
      </c>
      <c r="ZI161">
        <v>0</v>
      </c>
      <c r="ZJ161">
        <v>0</v>
      </c>
      <c r="ZK161">
        <v>0</v>
      </c>
      <c r="ZL161">
        <v>0</v>
      </c>
      <c r="ZM161">
        <v>0</v>
      </c>
      <c r="ZN161">
        <v>0</v>
      </c>
      <c r="ZO161">
        <v>0</v>
      </c>
      <c r="ZP161">
        <v>0</v>
      </c>
      <c r="ZQ161">
        <v>0</v>
      </c>
      <c r="ZR161">
        <v>0</v>
      </c>
      <c r="ZS161">
        <v>0</v>
      </c>
      <c r="ZT161">
        <v>0</v>
      </c>
      <c r="ZU161">
        <v>0</v>
      </c>
      <c r="ZV161">
        <v>0</v>
      </c>
      <c r="ZW161">
        <v>0</v>
      </c>
      <c r="ZX161">
        <v>0</v>
      </c>
      <c r="ZY161">
        <v>0</v>
      </c>
      <c r="ZZ161">
        <v>0</v>
      </c>
      <c r="AAA161">
        <v>0</v>
      </c>
      <c r="AAB161">
        <v>0</v>
      </c>
      <c r="AAC161">
        <v>0</v>
      </c>
      <c r="AAD161">
        <v>0</v>
      </c>
      <c r="AAE161">
        <v>0</v>
      </c>
      <c r="AAF161">
        <v>0</v>
      </c>
      <c r="AAG161">
        <v>0</v>
      </c>
      <c r="AAH161">
        <v>0</v>
      </c>
      <c r="AAI161">
        <v>0</v>
      </c>
      <c r="AAJ161">
        <v>0</v>
      </c>
      <c r="AAK161">
        <v>0</v>
      </c>
      <c r="AAL161">
        <v>0</v>
      </c>
      <c r="AAM161">
        <v>0</v>
      </c>
      <c r="AAN161">
        <v>0</v>
      </c>
      <c r="AAO161">
        <v>0</v>
      </c>
      <c r="AAP161">
        <v>0</v>
      </c>
      <c r="AAQ161">
        <v>0</v>
      </c>
      <c r="AAR161">
        <v>0</v>
      </c>
      <c r="AAS161">
        <v>0</v>
      </c>
      <c r="AAT161">
        <v>0</v>
      </c>
      <c r="AAU161">
        <v>0</v>
      </c>
      <c r="AAV161">
        <v>0</v>
      </c>
      <c r="AAW161">
        <v>0</v>
      </c>
      <c r="AAX161">
        <v>0</v>
      </c>
      <c r="AAY161">
        <v>0</v>
      </c>
      <c r="AAZ161">
        <v>0</v>
      </c>
      <c r="ABA161">
        <v>0</v>
      </c>
      <c r="ABB161">
        <v>0</v>
      </c>
      <c r="ABC161">
        <v>0</v>
      </c>
      <c r="ABD161">
        <v>0</v>
      </c>
      <c r="ABE161">
        <v>0</v>
      </c>
      <c r="ABG161" s="1137">
        <f t="shared" si="41"/>
        <v>0</v>
      </c>
      <c r="ABH161" s="1137">
        <f t="shared" si="41"/>
        <v>0</v>
      </c>
      <c r="ABI161" s="1137">
        <f t="shared" si="41"/>
        <v>2</v>
      </c>
      <c r="ABJ161" s="1137">
        <f t="shared" si="41"/>
        <v>29</v>
      </c>
      <c r="ABK161" s="1137">
        <f t="shared" si="41"/>
        <v>0</v>
      </c>
      <c r="ABL161" s="1137">
        <f t="shared" si="41"/>
        <v>0</v>
      </c>
      <c r="ABM161" s="1137">
        <f t="shared" si="41"/>
        <v>0</v>
      </c>
      <c r="ABN161" s="1137">
        <f t="shared" si="41"/>
        <v>0</v>
      </c>
      <c r="ABO161" s="1137">
        <f t="shared" si="41"/>
        <v>0</v>
      </c>
      <c r="ABP161" s="1137">
        <f t="shared" si="41"/>
        <v>13</v>
      </c>
      <c r="ABQ161" s="1137">
        <f t="shared" si="41"/>
        <v>30</v>
      </c>
      <c r="ABR161" s="1137">
        <f t="shared" si="41"/>
        <v>31</v>
      </c>
      <c r="ABS161" s="1137">
        <f t="shared" si="41"/>
        <v>31</v>
      </c>
      <c r="ABT161" s="1137">
        <f t="shared" si="41"/>
        <v>16</v>
      </c>
      <c r="ABU161" s="1137">
        <f t="shared" si="41"/>
        <v>31</v>
      </c>
      <c r="ABV161" s="1137">
        <f t="shared" si="41"/>
        <v>30</v>
      </c>
      <c r="ABW161" s="1137">
        <f t="shared" si="31"/>
        <v>24</v>
      </c>
      <c r="ABX161" s="1137">
        <f t="shared" si="34"/>
        <v>0</v>
      </c>
      <c r="ABY161" s="1137">
        <f t="shared" si="34"/>
        <v>0</v>
      </c>
      <c r="ABZ161" s="1137">
        <f t="shared" si="34"/>
        <v>0</v>
      </c>
      <c r="ACA161" s="1137">
        <f t="shared" si="34"/>
        <v>0</v>
      </c>
      <c r="ACB161" s="1137">
        <f t="shared" si="34"/>
        <v>0</v>
      </c>
      <c r="ACC161" s="1137">
        <f t="shared" si="34"/>
        <v>0</v>
      </c>
      <c r="ACD161" s="1137">
        <f t="shared" si="34"/>
        <v>0</v>
      </c>
      <c r="ACE161" s="1137" t="s">
        <v>256</v>
      </c>
      <c r="ACF161" s="1137">
        <f t="shared" si="39"/>
        <v>0</v>
      </c>
      <c r="ACG161" s="1137">
        <f t="shared" si="39"/>
        <v>0</v>
      </c>
      <c r="ACH161" s="1137">
        <f t="shared" si="38"/>
        <v>0</v>
      </c>
      <c r="ACI161" s="1137">
        <f t="shared" si="38"/>
        <v>1</v>
      </c>
      <c r="ACJ161" s="1137">
        <f t="shared" si="38"/>
        <v>0</v>
      </c>
      <c r="ACK161" s="1137">
        <f t="shared" si="38"/>
        <v>0</v>
      </c>
      <c r="ACL161" s="1137">
        <f t="shared" si="38"/>
        <v>0</v>
      </c>
      <c r="ACM161" s="1137">
        <f t="shared" si="38"/>
        <v>0</v>
      </c>
      <c r="ACN161" s="1137">
        <f t="shared" si="38"/>
        <v>0</v>
      </c>
      <c r="ACO161" s="1137">
        <f t="shared" si="38"/>
        <v>1</v>
      </c>
      <c r="ACP161" s="1137">
        <f t="shared" si="38"/>
        <v>1</v>
      </c>
      <c r="ACQ161" s="1137">
        <f t="shared" ref="ACQ161:ACW190" si="43">IF(ABR161&gt;10, 1, 0)</f>
        <v>1</v>
      </c>
      <c r="ACR161" s="1137">
        <f t="shared" si="43"/>
        <v>1</v>
      </c>
      <c r="ACS161" s="1137">
        <f t="shared" si="43"/>
        <v>1</v>
      </c>
      <c r="ACT161" s="1137">
        <f t="shared" si="43"/>
        <v>1</v>
      </c>
      <c r="ACU161" s="1137">
        <f t="shared" si="43"/>
        <v>1</v>
      </c>
      <c r="ACV161" s="1137">
        <f t="shared" si="43"/>
        <v>1</v>
      </c>
      <c r="ACW161" s="1137">
        <f t="shared" si="43"/>
        <v>0</v>
      </c>
      <c r="ACX161" s="1137">
        <f t="shared" si="42"/>
        <v>0</v>
      </c>
      <c r="ACY161" s="1137">
        <f t="shared" si="42"/>
        <v>0</v>
      </c>
      <c r="ACZ161" s="1137">
        <f t="shared" si="42"/>
        <v>0</v>
      </c>
      <c r="ADA161" s="1137">
        <f t="shared" si="35"/>
        <v>0</v>
      </c>
      <c r="ADB161" s="1137">
        <f t="shared" si="35"/>
        <v>0</v>
      </c>
      <c r="ADC161" s="1137">
        <f t="shared" si="35"/>
        <v>0</v>
      </c>
    </row>
    <row r="162" spans="1:783" x14ac:dyDescent="0.25">
      <c r="A162" t="s">
        <v>1961</v>
      </c>
      <c r="B162" t="s">
        <v>260</v>
      </c>
      <c r="C162">
        <v>0</v>
      </c>
      <c r="D162">
        <v>0</v>
      </c>
      <c r="E162">
        <v>0</v>
      </c>
      <c r="F162">
        <v>0</v>
      </c>
      <c r="G162">
        <v>0</v>
      </c>
      <c r="H162">
        <v>0</v>
      </c>
      <c r="I162">
        <v>0</v>
      </c>
      <c r="J162">
        <v>0</v>
      </c>
      <c r="K162">
        <v>0</v>
      </c>
      <c r="L162">
        <v>0</v>
      </c>
      <c r="M162">
        <v>0</v>
      </c>
      <c r="N162">
        <v>0</v>
      </c>
      <c r="O162">
        <v>0</v>
      </c>
      <c r="P162">
        <v>0</v>
      </c>
      <c r="Q162">
        <v>0</v>
      </c>
      <c r="R162">
        <v>0</v>
      </c>
      <c r="S162">
        <v>0</v>
      </c>
      <c r="T162">
        <v>0</v>
      </c>
      <c r="U162">
        <v>0</v>
      </c>
      <c r="V162">
        <v>0</v>
      </c>
      <c r="W162">
        <v>0</v>
      </c>
      <c r="X162">
        <v>0</v>
      </c>
      <c r="Y162">
        <v>0</v>
      </c>
      <c r="Z162">
        <v>0</v>
      </c>
      <c r="AA162">
        <v>0</v>
      </c>
      <c r="AB162">
        <v>0</v>
      </c>
      <c r="AC162">
        <v>0</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v>0</v>
      </c>
      <c r="BD162">
        <v>0</v>
      </c>
      <c r="BE162">
        <v>0</v>
      </c>
      <c r="BF162">
        <v>0</v>
      </c>
      <c r="BG162">
        <v>0</v>
      </c>
      <c r="BH162">
        <v>0</v>
      </c>
      <c r="BI162">
        <v>0</v>
      </c>
      <c r="BJ162">
        <v>0</v>
      </c>
      <c r="BK162">
        <v>0</v>
      </c>
      <c r="BL162">
        <v>0</v>
      </c>
      <c r="BM162">
        <v>0</v>
      </c>
      <c r="BN162">
        <v>0</v>
      </c>
      <c r="BO162">
        <v>0</v>
      </c>
      <c r="BP162">
        <v>0</v>
      </c>
      <c r="BQ162">
        <v>0</v>
      </c>
      <c r="BR162">
        <v>0</v>
      </c>
      <c r="BS162">
        <v>0</v>
      </c>
      <c r="BT162">
        <v>0</v>
      </c>
      <c r="BU162">
        <v>0</v>
      </c>
      <c r="BV162">
        <v>0</v>
      </c>
      <c r="BW162">
        <v>0</v>
      </c>
      <c r="BX162">
        <v>0</v>
      </c>
      <c r="BY162">
        <v>0</v>
      </c>
      <c r="BZ162">
        <v>0</v>
      </c>
      <c r="CA162">
        <v>0</v>
      </c>
      <c r="CB162">
        <v>0</v>
      </c>
      <c r="CC162">
        <v>1</v>
      </c>
      <c r="CD162">
        <v>1</v>
      </c>
      <c r="CE162">
        <v>1</v>
      </c>
      <c r="CF162">
        <v>1</v>
      </c>
      <c r="CG162">
        <v>1</v>
      </c>
      <c r="CH162">
        <v>1</v>
      </c>
      <c r="CI162">
        <v>1</v>
      </c>
      <c r="CJ162">
        <v>1</v>
      </c>
      <c r="CK162">
        <v>1</v>
      </c>
      <c r="CL162">
        <v>1</v>
      </c>
      <c r="CM162">
        <v>1</v>
      </c>
      <c r="CN162">
        <v>1</v>
      </c>
      <c r="CO162">
        <v>1</v>
      </c>
      <c r="CP162">
        <v>1</v>
      </c>
      <c r="CQ162">
        <v>1</v>
      </c>
      <c r="CR162">
        <v>1</v>
      </c>
      <c r="CS162">
        <v>1</v>
      </c>
      <c r="CT162">
        <v>1</v>
      </c>
      <c r="CU162">
        <v>1</v>
      </c>
      <c r="CV162">
        <v>1</v>
      </c>
      <c r="CW162">
        <v>1</v>
      </c>
      <c r="CX162">
        <v>1</v>
      </c>
      <c r="CY162">
        <v>1</v>
      </c>
      <c r="CZ162">
        <v>1</v>
      </c>
      <c r="DA162">
        <v>1</v>
      </c>
      <c r="DB162">
        <v>1</v>
      </c>
      <c r="DC162">
        <v>1</v>
      </c>
      <c r="DD162">
        <v>1</v>
      </c>
      <c r="DE162">
        <v>1</v>
      </c>
      <c r="DF162">
        <v>1</v>
      </c>
      <c r="DG162">
        <v>1</v>
      </c>
      <c r="DH162">
        <v>1</v>
      </c>
      <c r="DI162">
        <v>1</v>
      </c>
      <c r="DJ162">
        <v>1</v>
      </c>
      <c r="DK162">
        <v>1</v>
      </c>
      <c r="DL162">
        <v>1</v>
      </c>
      <c r="DM162">
        <v>1</v>
      </c>
      <c r="DN162">
        <v>1</v>
      </c>
      <c r="DO162">
        <v>1</v>
      </c>
      <c r="DP162">
        <v>1</v>
      </c>
      <c r="DQ162">
        <v>1</v>
      </c>
      <c r="DR162">
        <v>1</v>
      </c>
      <c r="DS162">
        <v>1</v>
      </c>
      <c r="DT162">
        <v>1</v>
      </c>
      <c r="DU162">
        <v>1</v>
      </c>
      <c r="DV162">
        <v>1</v>
      </c>
      <c r="DW162">
        <v>1</v>
      </c>
      <c r="DX162">
        <v>1</v>
      </c>
      <c r="DY162">
        <v>1</v>
      </c>
      <c r="DZ162">
        <v>1</v>
      </c>
      <c r="EA162">
        <v>1</v>
      </c>
      <c r="EB162">
        <v>1</v>
      </c>
      <c r="EC162">
        <v>1</v>
      </c>
      <c r="ED162">
        <v>1</v>
      </c>
      <c r="EE162">
        <v>1</v>
      </c>
      <c r="EF162">
        <v>1</v>
      </c>
      <c r="EG162">
        <v>1</v>
      </c>
      <c r="EH162">
        <v>1</v>
      </c>
      <c r="EI162">
        <v>1</v>
      </c>
      <c r="EJ162">
        <v>1</v>
      </c>
      <c r="EK162">
        <v>1</v>
      </c>
      <c r="EL162">
        <v>1</v>
      </c>
      <c r="EM162">
        <v>1</v>
      </c>
      <c r="EN162">
        <v>1</v>
      </c>
      <c r="EO162">
        <v>1</v>
      </c>
      <c r="EP162">
        <v>1</v>
      </c>
      <c r="EQ162">
        <v>1</v>
      </c>
      <c r="ER162">
        <v>1</v>
      </c>
      <c r="ES162">
        <v>1</v>
      </c>
      <c r="ET162">
        <v>1</v>
      </c>
      <c r="EU162">
        <v>1</v>
      </c>
      <c r="EV162">
        <v>1</v>
      </c>
      <c r="EW162">
        <v>1</v>
      </c>
      <c r="EX162">
        <v>1</v>
      </c>
      <c r="EY162">
        <v>1</v>
      </c>
      <c r="EZ162">
        <v>1</v>
      </c>
      <c r="FA162">
        <v>1</v>
      </c>
      <c r="FB162">
        <v>1</v>
      </c>
      <c r="FC162">
        <v>1</v>
      </c>
      <c r="FD162">
        <v>1</v>
      </c>
      <c r="FE162">
        <v>1</v>
      </c>
      <c r="FF162">
        <v>1</v>
      </c>
      <c r="FG162">
        <v>1</v>
      </c>
      <c r="FH162">
        <v>1</v>
      </c>
      <c r="FI162">
        <v>1</v>
      </c>
      <c r="FJ162">
        <v>1</v>
      </c>
      <c r="FK162">
        <v>0</v>
      </c>
      <c r="FL162">
        <v>0</v>
      </c>
      <c r="FM162">
        <v>0</v>
      </c>
      <c r="FN162">
        <v>0</v>
      </c>
      <c r="FO162">
        <v>0</v>
      </c>
      <c r="FP162">
        <v>0</v>
      </c>
      <c r="FQ162">
        <v>0</v>
      </c>
      <c r="FR162">
        <v>0</v>
      </c>
      <c r="FS162">
        <v>0</v>
      </c>
      <c r="FT162">
        <v>0</v>
      </c>
      <c r="FU162">
        <v>0</v>
      </c>
      <c r="FV162">
        <v>0</v>
      </c>
      <c r="FW162">
        <v>0</v>
      </c>
      <c r="FX162">
        <v>0</v>
      </c>
      <c r="FY162">
        <v>0</v>
      </c>
      <c r="FZ162">
        <v>0</v>
      </c>
      <c r="GA162">
        <v>0</v>
      </c>
      <c r="GB162">
        <v>0</v>
      </c>
      <c r="GC162">
        <v>0</v>
      </c>
      <c r="GD162">
        <v>0</v>
      </c>
      <c r="GE162">
        <v>0</v>
      </c>
      <c r="GF162">
        <v>0</v>
      </c>
      <c r="GG162">
        <v>0</v>
      </c>
      <c r="GH162">
        <v>0</v>
      </c>
      <c r="GI162">
        <v>0</v>
      </c>
      <c r="GJ162">
        <v>0</v>
      </c>
      <c r="GK162">
        <v>0</v>
      </c>
      <c r="GL162">
        <v>0</v>
      </c>
      <c r="GM162">
        <v>0</v>
      </c>
      <c r="GN162">
        <v>0</v>
      </c>
      <c r="GO162">
        <v>0</v>
      </c>
      <c r="GP162">
        <v>0</v>
      </c>
      <c r="GQ162">
        <v>0</v>
      </c>
      <c r="GR162">
        <v>0</v>
      </c>
      <c r="GS162">
        <v>0</v>
      </c>
      <c r="GT162">
        <v>0</v>
      </c>
      <c r="GU162">
        <v>0</v>
      </c>
      <c r="GV162">
        <v>0</v>
      </c>
      <c r="GW162">
        <v>0</v>
      </c>
      <c r="GX162">
        <v>0</v>
      </c>
      <c r="GY162">
        <v>0</v>
      </c>
      <c r="GZ162">
        <v>0</v>
      </c>
      <c r="HA162">
        <v>0</v>
      </c>
      <c r="HB162">
        <v>0</v>
      </c>
      <c r="HC162">
        <v>0</v>
      </c>
      <c r="HD162">
        <v>0</v>
      </c>
      <c r="HE162">
        <v>0</v>
      </c>
      <c r="HF162">
        <v>0</v>
      </c>
      <c r="HG162">
        <v>0</v>
      </c>
      <c r="HH162">
        <v>0</v>
      </c>
      <c r="HI162">
        <v>0</v>
      </c>
      <c r="HJ162">
        <v>0</v>
      </c>
      <c r="HK162">
        <v>0</v>
      </c>
      <c r="HL162">
        <v>0</v>
      </c>
      <c r="HM162">
        <v>0</v>
      </c>
      <c r="HN162">
        <v>0</v>
      </c>
      <c r="HO162">
        <v>0</v>
      </c>
      <c r="HP162">
        <v>0</v>
      </c>
      <c r="HQ162">
        <v>0</v>
      </c>
      <c r="HR162">
        <v>0</v>
      </c>
      <c r="HS162">
        <v>0</v>
      </c>
      <c r="HT162">
        <v>0</v>
      </c>
      <c r="HU162">
        <v>0</v>
      </c>
      <c r="HV162">
        <v>0</v>
      </c>
      <c r="HW162">
        <v>0</v>
      </c>
      <c r="HX162">
        <v>0</v>
      </c>
      <c r="HY162">
        <v>0</v>
      </c>
      <c r="HZ162">
        <v>0</v>
      </c>
      <c r="IA162">
        <v>0</v>
      </c>
      <c r="IB162">
        <v>0</v>
      </c>
      <c r="IC162">
        <v>0</v>
      </c>
      <c r="ID162">
        <v>0</v>
      </c>
      <c r="IE162">
        <v>0</v>
      </c>
      <c r="IF162">
        <v>0</v>
      </c>
      <c r="IG162">
        <v>0</v>
      </c>
      <c r="IH162">
        <v>0</v>
      </c>
      <c r="II162">
        <v>0</v>
      </c>
      <c r="IJ162">
        <v>0</v>
      </c>
      <c r="IK162">
        <v>0</v>
      </c>
      <c r="IL162">
        <v>0</v>
      </c>
      <c r="IM162">
        <v>0</v>
      </c>
      <c r="IN162">
        <v>0</v>
      </c>
      <c r="IO162">
        <v>0</v>
      </c>
      <c r="IP162">
        <v>0</v>
      </c>
      <c r="IQ162">
        <v>0</v>
      </c>
      <c r="IR162">
        <v>0</v>
      </c>
      <c r="IS162">
        <v>0</v>
      </c>
      <c r="IT162">
        <v>0</v>
      </c>
      <c r="IU162">
        <v>0</v>
      </c>
      <c r="IV162">
        <v>0</v>
      </c>
      <c r="IW162">
        <v>0</v>
      </c>
      <c r="IX162">
        <v>0</v>
      </c>
      <c r="IY162">
        <v>0</v>
      </c>
      <c r="IZ162">
        <v>0</v>
      </c>
      <c r="JA162">
        <v>0</v>
      </c>
      <c r="JB162">
        <v>0</v>
      </c>
      <c r="JC162">
        <v>0</v>
      </c>
      <c r="JD162">
        <v>0</v>
      </c>
      <c r="JE162">
        <v>0</v>
      </c>
      <c r="JF162">
        <v>0</v>
      </c>
      <c r="JG162">
        <v>0</v>
      </c>
      <c r="JH162">
        <v>0</v>
      </c>
      <c r="JI162">
        <v>0</v>
      </c>
      <c r="JJ162">
        <v>0</v>
      </c>
      <c r="JK162">
        <v>0</v>
      </c>
      <c r="JL162">
        <v>0</v>
      </c>
      <c r="JM162">
        <v>0</v>
      </c>
      <c r="JN162">
        <v>0</v>
      </c>
      <c r="JO162">
        <v>0</v>
      </c>
      <c r="JP162">
        <v>0</v>
      </c>
      <c r="JQ162">
        <v>0</v>
      </c>
      <c r="JR162">
        <v>0</v>
      </c>
      <c r="JS162">
        <v>0</v>
      </c>
      <c r="JT162">
        <v>0</v>
      </c>
      <c r="JU162">
        <v>0</v>
      </c>
      <c r="JV162">
        <v>0</v>
      </c>
      <c r="JW162">
        <v>0</v>
      </c>
      <c r="JX162">
        <v>0</v>
      </c>
      <c r="JY162">
        <v>0</v>
      </c>
      <c r="JZ162">
        <v>0</v>
      </c>
      <c r="KA162">
        <v>0</v>
      </c>
      <c r="KB162">
        <v>0</v>
      </c>
      <c r="KC162">
        <v>0</v>
      </c>
      <c r="KD162">
        <v>0</v>
      </c>
      <c r="KE162">
        <v>0</v>
      </c>
      <c r="KF162">
        <v>0</v>
      </c>
      <c r="KG162">
        <v>0</v>
      </c>
      <c r="KH162">
        <v>0</v>
      </c>
      <c r="KI162">
        <v>0</v>
      </c>
      <c r="KJ162">
        <v>0</v>
      </c>
      <c r="KK162">
        <v>0</v>
      </c>
      <c r="KL162">
        <v>0</v>
      </c>
      <c r="KM162">
        <v>0</v>
      </c>
      <c r="KN162">
        <v>0</v>
      </c>
      <c r="KO162">
        <v>0</v>
      </c>
      <c r="KP162">
        <v>0</v>
      </c>
      <c r="KQ162">
        <v>0</v>
      </c>
      <c r="KR162">
        <v>0</v>
      </c>
      <c r="KS162">
        <v>0</v>
      </c>
      <c r="KT162">
        <v>0</v>
      </c>
      <c r="KU162">
        <v>0</v>
      </c>
      <c r="KV162">
        <v>0</v>
      </c>
      <c r="KW162">
        <v>0</v>
      </c>
      <c r="KX162">
        <v>0</v>
      </c>
      <c r="KY162">
        <v>0</v>
      </c>
      <c r="KZ162">
        <v>0</v>
      </c>
      <c r="LA162">
        <v>0</v>
      </c>
      <c r="LB162">
        <v>0</v>
      </c>
      <c r="LC162">
        <v>0</v>
      </c>
      <c r="LD162">
        <v>0</v>
      </c>
      <c r="LE162">
        <v>1</v>
      </c>
      <c r="LF162">
        <v>1</v>
      </c>
      <c r="LG162">
        <v>1</v>
      </c>
      <c r="LH162">
        <v>1</v>
      </c>
      <c r="LI162">
        <v>1</v>
      </c>
      <c r="LJ162">
        <v>1</v>
      </c>
      <c r="LK162">
        <v>1</v>
      </c>
      <c r="LL162">
        <v>1</v>
      </c>
      <c r="LM162">
        <v>1</v>
      </c>
      <c r="LN162">
        <v>1</v>
      </c>
      <c r="LO162">
        <v>1</v>
      </c>
      <c r="LP162">
        <v>1</v>
      </c>
      <c r="LQ162">
        <v>1</v>
      </c>
      <c r="LR162">
        <v>1</v>
      </c>
      <c r="LS162">
        <v>1</v>
      </c>
      <c r="LT162">
        <v>1</v>
      </c>
      <c r="LU162">
        <v>1</v>
      </c>
      <c r="LV162">
        <v>1</v>
      </c>
      <c r="LW162">
        <v>1</v>
      </c>
      <c r="LX162">
        <v>1</v>
      </c>
      <c r="LY162">
        <v>1</v>
      </c>
      <c r="LZ162">
        <v>1</v>
      </c>
      <c r="MA162">
        <v>1</v>
      </c>
      <c r="MB162">
        <v>1</v>
      </c>
      <c r="MC162">
        <v>1</v>
      </c>
      <c r="MD162">
        <v>1</v>
      </c>
      <c r="ME162">
        <v>1</v>
      </c>
      <c r="MF162">
        <v>1</v>
      </c>
      <c r="MG162">
        <v>1</v>
      </c>
      <c r="MH162">
        <v>1</v>
      </c>
      <c r="MI162">
        <v>1</v>
      </c>
      <c r="MJ162">
        <v>1</v>
      </c>
      <c r="MK162">
        <v>1</v>
      </c>
      <c r="ML162">
        <v>1</v>
      </c>
      <c r="MM162">
        <v>1</v>
      </c>
      <c r="MN162">
        <v>1</v>
      </c>
      <c r="MO162">
        <v>1</v>
      </c>
      <c r="MP162">
        <v>1</v>
      </c>
      <c r="MQ162">
        <v>1</v>
      </c>
      <c r="MR162">
        <v>1</v>
      </c>
      <c r="MS162">
        <v>1</v>
      </c>
      <c r="MT162">
        <v>1</v>
      </c>
      <c r="MU162">
        <v>1</v>
      </c>
      <c r="MV162">
        <v>1</v>
      </c>
      <c r="MW162">
        <v>1</v>
      </c>
      <c r="MX162">
        <v>1</v>
      </c>
      <c r="MY162">
        <v>1</v>
      </c>
      <c r="MZ162">
        <v>1</v>
      </c>
      <c r="NA162">
        <v>1</v>
      </c>
      <c r="NB162">
        <v>1</v>
      </c>
      <c r="NC162">
        <v>1</v>
      </c>
      <c r="ND162">
        <v>1</v>
      </c>
      <c r="NE162">
        <v>1</v>
      </c>
      <c r="NF162">
        <v>1</v>
      </c>
      <c r="NG162">
        <v>1</v>
      </c>
      <c r="NH162">
        <v>1</v>
      </c>
      <c r="NI162">
        <v>1</v>
      </c>
      <c r="NJ162">
        <v>1</v>
      </c>
      <c r="NK162">
        <v>1</v>
      </c>
      <c r="NL162">
        <v>1</v>
      </c>
      <c r="NM162">
        <v>1</v>
      </c>
      <c r="NN162">
        <v>1</v>
      </c>
      <c r="NO162">
        <v>1</v>
      </c>
      <c r="NP162">
        <v>1</v>
      </c>
      <c r="NQ162">
        <v>1</v>
      </c>
      <c r="NR162">
        <v>1</v>
      </c>
      <c r="NS162">
        <v>1</v>
      </c>
      <c r="NT162">
        <v>1</v>
      </c>
      <c r="NU162">
        <v>1</v>
      </c>
      <c r="NV162">
        <v>1</v>
      </c>
      <c r="NW162">
        <v>1</v>
      </c>
      <c r="NX162">
        <v>1</v>
      </c>
      <c r="NY162">
        <v>1</v>
      </c>
      <c r="NZ162">
        <v>1</v>
      </c>
      <c r="OA162">
        <v>1</v>
      </c>
      <c r="OB162">
        <v>1</v>
      </c>
      <c r="OC162">
        <v>1</v>
      </c>
      <c r="OD162">
        <v>1</v>
      </c>
      <c r="OE162">
        <v>1</v>
      </c>
      <c r="OF162">
        <v>1</v>
      </c>
      <c r="OG162">
        <v>1</v>
      </c>
      <c r="OH162">
        <v>1</v>
      </c>
      <c r="OI162">
        <v>1</v>
      </c>
      <c r="OJ162">
        <v>1</v>
      </c>
      <c r="OK162">
        <v>1</v>
      </c>
      <c r="OL162">
        <v>1</v>
      </c>
      <c r="OM162">
        <v>1</v>
      </c>
      <c r="ON162">
        <v>1</v>
      </c>
      <c r="OO162">
        <v>1</v>
      </c>
      <c r="OP162">
        <v>1</v>
      </c>
      <c r="OQ162">
        <v>1</v>
      </c>
      <c r="OR162">
        <v>1</v>
      </c>
      <c r="OS162">
        <v>1</v>
      </c>
      <c r="OT162">
        <v>1</v>
      </c>
      <c r="OU162">
        <v>1</v>
      </c>
      <c r="OV162">
        <v>1</v>
      </c>
      <c r="OW162">
        <v>1</v>
      </c>
      <c r="OX162">
        <v>1</v>
      </c>
      <c r="OY162">
        <v>1</v>
      </c>
      <c r="OZ162">
        <v>1</v>
      </c>
      <c r="PA162">
        <v>1</v>
      </c>
      <c r="PB162">
        <v>1</v>
      </c>
      <c r="PC162">
        <v>1</v>
      </c>
      <c r="PD162">
        <v>1</v>
      </c>
      <c r="PE162">
        <v>1</v>
      </c>
      <c r="PF162">
        <v>1</v>
      </c>
      <c r="PG162">
        <v>1</v>
      </c>
      <c r="PH162">
        <v>1</v>
      </c>
      <c r="PI162">
        <v>1</v>
      </c>
      <c r="PJ162">
        <v>1</v>
      </c>
      <c r="PK162">
        <v>1</v>
      </c>
      <c r="PL162">
        <v>1</v>
      </c>
      <c r="PM162">
        <v>1</v>
      </c>
      <c r="PN162">
        <v>1</v>
      </c>
      <c r="PO162">
        <v>1</v>
      </c>
      <c r="PP162">
        <v>1</v>
      </c>
      <c r="PQ162">
        <v>1</v>
      </c>
      <c r="PR162">
        <v>1</v>
      </c>
      <c r="PS162">
        <v>1</v>
      </c>
      <c r="PT162">
        <v>1</v>
      </c>
      <c r="PU162">
        <v>1</v>
      </c>
      <c r="PV162">
        <v>1</v>
      </c>
      <c r="PW162">
        <v>1</v>
      </c>
      <c r="PX162">
        <v>1</v>
      </c>
      <c r="PY162">
        <v>1</v>
      </c>
      <c r="PZ162">
        <v>1</v>
      </c>
      <c r="QA162">
        <v>1</v>
      </c>
      <c r="QB162">
        <v>1</v>
      </c>
      <c r="QC162">
        <v>1</v>
      </c>
      <c r="QD162">
        <v>1</v>
      </c>
      <c r="QE162">
        <v>1</v>
      </c>
      <c r="QF162">
        <v>1</v>
      </c>
      <c r="QG162">
        <v>1</v>
      </c>
      <c r="QH162">
        <v>1</v>
      </c>
      <c r="QI162">
        <v>1</v>
      </c>
      <c r="QJ162">
        <v>1</v>
      </c>
      <c r="QK162">
        <v>1</v>
      </c>
      <c r="QL162">
        <v>1</v>
      </c>
      <c r="QM162">
        <v>1</v>
      </c>
      <c r="QN162">
        <v>1</v>
      </c>
      <c r="QO162">
        <v>1</v>
      </c>
      <c r="QP162">
        <v>1</v>
      </c>
      <c r="QQ162">
        <v>1</v>
      </c>
      <c r="QR162">
        <v>1</v>
      </c>
      <c r="QS162">
        <v>1</v>
      </c>
      <c r="QT162">
        <v>1</v>
      </c>
      <c r="QU162">
        <v>1</v>
      </c>
      <c r="QV162">
        <v>1</v>
      </c>
      <c r="QW162">
        <v>1</v>
      </c>
      <c r="QX162">
        <v>1</v>
      </c>
      <c r="QY162">
        <v>1</v>
      </c>
      <c r="QZ162">
        <v>1</v>
      </c>
      <c r="RA162">
        <v>1</v>
      </c>
      <c r="RB162">
        <v>1</v>
      </c>
      <c r="RC162">
        <v>1</v>
      </c>
      <c r="RD162">
        <v>1</v>
      </c>
      <c r="RE162">
        <v>1</v>
      </c>
      <c r="RF162">
        <v>1</v>
      </c>
      <c r="RG162">
        <v>1</v>
      </c>
      <c r="RH162">
        <v>1</v>
      </c>
      <c r="RI162">
        <v>1</v>
      </c>
      <c r="RJ162">
        <v>1</v>
      </c>
      <c r="RK162">
        <v>1</v>
      </c>
      <c r="RL162">
        <v>1</v>
      </c>
      <c r="RM162">
        <v>1</v>
      </c>
      <c r="RN162">
        <v>1</v>
      </c>
      <c r="RO162">
        <v>1</v>
      </c>
      <c r="RP162">
        <v>1</v>
      </c>
      <c r="RQ162">
        <v>1</v>
      </c>
      <c r="RR162">
        <v>1</v>
      </c>
      <c r="RS162">
        <v>1</v>
      </c>
      <c r="RT162">
        <v>1</v>
      </c>
      <c r="RU162">
        <v>1</v>
      </c>
      <c r="RV162">
        <v>1</v>
      </c>
      <c r="RW162">
        <v>1</v>
      </c>
      <c r="RX162">
        <v>1</v>
      </c>
      <c r="RY162">
        <v>1</v>
      </c>
      <c r="RZ162">
        <v>1</v>
      </c>
      <c r="SA162">
        <v>1</v>
      </c>
      <c r="SB162">
        <v>1</v>
      </c>
      <c r="SC162">
        <v>1</v>
      </c>
      <c r="SD162">
        <v>1</v>
      </c>
      <c r="SE162">
        <v>1</v>
      </c>
      <c r="SF162">
        <v>1</v>
      </c>
      <c r="SG162">
        <v>1</v>
      </c>
      <c r="SH162">
        <v>1</v>
      </c>
      <c r="SI162">
        <v>1</v>
      </c>
      <c r="SJ162">
        <v>1</v>
      </c>
      <c r="SK162">
        <v>1</v>
      </c>
      <c r="SL162">
        <v>1</v>
      </c>
      <c r="SM162">
        <v>1</v>
      </c>
      <c r="SN162">
        <v>1</v>
      </c>
      <c r="SO162">
        <v>1</v>
      </c>
      <c r="SP162">
        <v>1</v>
      </c>
      <c r="SQ162">
        <v>1</v>
      </c>
      <c r="SR162">
        <v>1</v>
      </c>
      <c r="SS162">
        <v>1</v>
      </c>
      <c r="ST162">
        <v>1</v>
      </c>
      <c r="SU162">
        <v>1</v>
      </c>
      <c r="SV162">
        <v>1</v>
      </c>
      <c r="SW162">
        <v>1</v>
      </c>
      <c r="SX162">
        <v>1</v>
      </c>
      <c r="SY162">
        <v>1</v>
      </c>
      <c r="SZ162">
        <v>1</v>
      </c>
      <c r="TA162">
        <v>1</v>
      </c>
      <c r="TB162">
        <v>1</v>
      </c>
      <c r="TC162">
        <v>1</v>
      </c>
      <c r="TD162">
        <v>1</v>
      </c>
      <c r="TE162">
        <v>1</v>
      </c>
      <c r="TF162">
        <v>1</v>
      </c>
      <c r="TG162">
        <v>1</v>
      </c>
      <c r="TH162">
        <v>1</v>
      </c>
      <c r="TI162">
        <v>1</v>
      </c>
      <c r="TJ162">
        <v>1</v>
      </c>
      <c r="TK162">
        <v>1</v>
      </c>
      <c r="TL162">
        <v>1</v>
      </c>
      <c r="TM162">
        <v>1</v>
      </c>
      <c r="TN162">
        <v>1</v>
      </c>
      <c r="TO162">
        <v>1</v>
      </c>
      <c r="TP162">
        <v>1</v>
      </c>
      <c r="TQ162">
        <v>1</v>
      </c>
      <c r="TR162">
        <v>1</v>
      </c>
      <c r="TS162">
        <v>1</v>
      </c>
      <c r="TT162">
        <v>1</v>
      </c>
      <c r="TU162">
        <v>1</v>
      </c>
      <c r="TV162">
        <v>1</v>
      </c>
      <c r="TW162">
        <v>1</v>
      </c>
      <c r="TX162">
        <v>1</v>
      </c>
      <c r="TY162">
        <v>1</v>
      </c>
      <c r="TZ162">
        <v>1</v>
      </c>
      <c r="UA162">
        <v>1</v>
      </c>
      <c r="UB162">
        <v>1</v>
      </c>
      <c r="UC162">
        <v>1</v>
      </c>
      <c r="UD162">
        <v>1</v>
      </c>
      <c r="UE162">
        <v>1</v>
      </c>
      <c r="UF162">
        <v>1</v>
      </c>
      <c r="UG162">
        <v>1</v>
      </c>
      <c r="UH162">
        <v>1</v>
      </c>
      <c r="UI162">
        <v>1</v>
      </c>
      <c r="UJ162">
        <v>1</v>
      </c>
      <c r="UK162">
        <v>1</v>
      </c>
      <c r="UL162">
        <v>1</v>
      </c>
      <c r="UM162">
        <v>1</v>
      </c>
      <c r="UN162">
        <v>1</v>
      </c>
      <c r="UO162">
        <v>1</v>
      </c>
      <c r="UP162">
        <v>1</v>
      </c>
      <c r="UQ162">
        <v>1</v>
      </c>
      <c r="UR162">
        <v>0</v>
      </c>
      <c r="US162">
        <v>0</v>
      </c>
      <c r="UT162">
        <v>0</v>
      </c>
      <c r="UU162">
        <v>0</v>
      </c>
      <c r="UV162">
        <v>0</v>
      </c>
      <c r="UW162">
        <v>0</v>
      </c>
      <c r="UX162">
        <v>0</v>
      </c>
      <c r="UY162">
        <v>0</v>
      </c>
      <c r="UZ162">
        <v>0</v>
      </c>
      <c r="VA162">
        <v>0</v>
      </c>
      <c r="VB162">
        <v>0</v>
      </c>
      <c r="VC162">
        <v>0</v>
      </c>
      <c r="VD162">
        <v>0</v>
      </c>
      <c r="VE162">
        <v>0</v>
      </c>
      <c r="VF162">
        <v>0</v>
      </c>
      <c r="VG162">
        <v>0</v>
      </c>
      <c r="VH162">
        <v>0</v>
      </c>
      <c r="VI162">
        <v>0</v>
      </c>
      <c r="VJ162">
        <v>0</v>
      </c>
      <c r="VK162">
        <v>0</v>
      </c>
      <c r="VL162">
        <v>0</v>
      </c>
      <c r="VM162">
        <v>0</v>
      </c>
      <c r="VN162">
        <v>0</v>
      </c>
      <c r="VO162">
        <v>0</v>
      </c>
      <c r="VP162">
        <v>0</v>
      </c>
      <c r="VQ162">
        <v>0</v>
      </c>
      <c r="VR162">
        <v>0</v>
      </c>
      <c r="VS162">
        <v>0</v>
      </c>
      <c r="VT162">
        <v>0</v>
      </c>
      <c r="VU162">
        <v>0</v>
      </c>
      <c r="VV162">
        <v>0</v>
      </c>
      <c r="VW162">
        <v>0</v>
      </c>
      <c r="VX162">
        <v>0</v>
      </c>
      <c r="VY162">
        <v>0</v>
      </c>
      <c r="VZ162">
        <v>0</v>
      </c>
      <c r="WA162">
        <v>0</v>
      </c>
      <c r="WB162">
        <v>0</v>
      </c>
      <c r="WC162">
        <v>0</v>
      </c>
      <c r="WD162">
        <v>0</v>
      </c>
      <c r="WE162">
        <v>0</v>
      </c>
      <c r="WF162">
        <v>0</v>
      </c>
      <c r="WG162">
        <v>0</v>
      </c>
      <c r="WH162">
        <v>0</v>
      </c>
      <c r="WI162">
        <v>0</v>
      </c>
      <c r="WJ162">
        <v>0</v>
      </c>
      <c r="WK162">
        <v>0</v>
      </c>
      <c r="WL162">
        <v>0</v>
      </c>
      <c r="WM162">
        <v>0</v>
      </c>
      <c r="WN162">
        <v>0</v>
      </c>
      <c r="WO162">
        <v>0</v>
      </c>
      <c r="WP162">
        <v>0</v>
      </c>
      <c r="WQ162">
        <v>0</v>
      </c>
      <c r="WR162">
        <v>0</v>
      </c>
      <c r="WS162">
        <v>0</v>
      </c>
      <c r="WT162">
        <v>0</v>
      </c>
      <c r="WU162">
        <v>0</v>
      </c>
      <c r="WV162">
        <v>0</v>
      </c>
      <c r="WW162">
        <v>0</v>
      </c>
      <c r="WX162">
        <v>0</v>
      </c>
      <c r="WY162">
        <v>0</v>
      </c>
      <c r="WZ162">
        <v>0</v>
      </c>
      <c r="XA162">
        <v>0</v>
      </c>
      <c r="XB162">
        <v>0</v>
      </c>
      <c r="XC162">
        <v>0</v>
      </c>
      <c r="XD162">
        <v>0</v>
      </c>
      <c r="XE162">
        <v>0</v>
      </c>
      <c r="XF162">
        <v>0</v>
      </c>
      <c r="XG162">
        <v>0</v>
      </c>
      <c r="XH162">
        <v>0</v>
      </c>
      <c r="XI162">
        <v>0</v>
      </c>
      <c r="XJ162">
        <v>0</v>
      </c>
      <c r="XK162">
        <v>0</v>
      </c>
      <c r="XL162">
        <v>0</v>
      </c>
      <c r="XM162">
        <v>0</v>
      </c>
      <c r="XN162">
        <v>0</v>
      </c>
      <c r="XO162">
        <v>0</v>
      </c>
      <c r="XP162">
        <v>0</v>
      </c>
      <c r="XQ162">
        <v>0</v>
      </c>
      <c r="XR162">
        <v>0</v>
      </c>
      <c r="XS162">
        <v>0</v>
      </c>
      <c r="XT162">
        <v>0</v>
      </c>
      <c r="XU162">
        <v>0</v>
      </c>
      <c r="XV162">
        <v>0</v>
      </c>
      <c r="XW162">
        <v>0</v>
      </c>
      <c r="XX162">
        <v>0</v>
      </c>
      <c r="XY162">
        <v>0</v>
      </c>
      <c r="XZ162">
        <v>0</v>
      </c>
      <c r="YA162">
        <v>0</v>
      </c>
      <c r="YB162">
        <v>0</v>
      </c>
      <c r="YC162">
        <v>0</v>
      </c>
      <c r="YD162">
        <v>0</v>
      </c>
      <c r="YE162">
        <v>0</v>
      </c>
      <c r="YF162">
        <v>0</v>
      </c>
      <c r="YG162">
        <v>0</v>
      </c>
      <c r="YH162">
        <v>0</v>
      </c>
      <c r="YI162">
        <v>0</v>
      </c>
      <c r="YJ162">
        <v>0</v>
      </c>
      <c r="YK162">
        <v>0</v>
      </c>
      <c r="YL162">
        <v>0</v>
      </c>
      <c r="YM162">
        <v>0</v>
      </c>
      <c r="YN162">
        <v>0</v>
      </c>
      <c r="YO162">
        <v>0</v>
      </c>
      <c r="YP162">
        <v>0</v>
      </c>
      <c r="YQ162">
        <v>0</v>
      </c>
      <c r="YR162">
        <v>0</v>
      </c>
      <c r="YS162">
        <v>0</v>
      </c>
      <c r="YT162">
        <v>0</v>
      </c>
      <c r="YU162">
        <v>0</v>
      </c>
      <c r="YV162">
        <v>0</v>
      </c>
      <c r="YW162">
        <v>0</v>
      </c>
      <c r="YX162">
        <v>0</v>
      </c>
      <c r="YY162">
        <v>0</v>
      </c>
      <c r="YZ162">
        <v>0</v>
      </c>
      <c r="ZA162">
        <v>0</v>
      </c>
      <c r="ZB162">
        <v>0</v>
      </c>
      <c r="ZC162">
        <v>0</v>
      </c>
      <c r="ZD162">
        <v>0</v>
      </c>
      <c r="ZE162">
        <v>0</v>
      </c>
      <c r="ZF162">
        <v>0</v>
      </c>
      <c r="ZG162">
        <v>0</v>
      </c>
      <c r="ZH162">
        <v>0</v>
      </c>
      <c r="ZI162">
        <v>0</v>
      </c>
      <c r="ZJ162">
        <v>0</v>
      </c>
      <c r="ZK162">
        <v>0</v>
      </c>
      <c r="ZL162">
        <v>0</v>
      </c>
      <c r="ZM162">
        <v>0</v>
      </c>
      <c r="ZN162">
        <v>0</v>
      </c>
      <c r="ZO162">
        <v>0</v>
      </c>
      <c r="ZP162">
        <v>0</v>
      </c>
      <c r="ZQ162">
        <v>0</v>
      </c>
      <c r="ZR162">
        <v>0</v>
      </c>
      <c r="ZS162">
        <v>0</v>
      </c>
      <c r="ZT162">
        <v>0</v>
      </c>
      <c r="ZU162">
        <v>0</v>
      </c>
      <c r="ZV162">
        <v>0</v>
      </c>
      <c r="ZW162">
        <v>0</v>
      </c>
      <c r="ZX162">
        <v>0</v>
      </c>
      <c r="ZY162">
        <v>0</v>
      </c>
      <c r="ZZ162">
        <v>0</v>
      </c>
      <c r="AAA162">
        <v>0</v>
      </c>
      <c r="AAB162">
        <v>0</v>
      </c>
      <c r="AAC162">
        <v>0</v>
      </c>
      <c r="AAD162">
        <v>0</v>
      </c>
      <c r="AAE162">
        <v>0</v>
      </c>
      <c r="AAF162">
        <v>0</v>
      </c>
      <c r="AAG162">
        <v>0</v>
      </c>
      <c r="AAH162">
        <v>0</v>
      </c>
      <c r="AAI162">
        <v>0</v>
      </c>
      <c r="AAJ162">
        <v>0</v>
      </c>
      <c r="AAK162">
        <v>0</v>
      </c>
      <c r="AAL162">
        <v>0</v>
      </c>
      <c r="AAM162">
        <v>0</v>
      </c>
      <c r="AAN162">
        <v>0</v>
      </c>
      <c r="AAO162">
        <v>0</v>
      </c>
      <c r="AAP162">
        <v>0</v>
      </c>
      <c r="AAQ162">
        <v>0</v>
      </c>
      <c r="AAR162">
        <v>0</v>
      </c>
      <c r="AAS162">
        <v>0</v>
      </c>
      <c r="AAT162">
        <v>0</v>
      </c>
      <c r="AAU162">
        <v>0</v>
      </c>
      <c r="AAV162">
        <v>0</v>
      </c>
      <c r="AAW162">
        <v>0</v>
      </c>
      <c r="AAX162">
        <v>0</v>
      </c>
      <c r="AAY162">
        <v>0</v>
      </c>
      <c r="AAZ162">
        <v>0</v>
      </c>
      <c r="ABA162">
        <v>0</v>
      </c>
      <c r="ABB162">
        <v>0</v>
      </c>
      <c r="ABC162">
        <v>0</v>
      </c>
      <c r="ABD162">
        <v>0</v>
      </c>
      <c r="ABE162">
        <v>0</v>
      </c>
      <c r="ABG162" s="1137">
        <f t="shared" si="41"/>
        <v>0</v>
      </c>
      <c r="ABH162" s="1137">
        <f t="shared" si="41"/>
        <v>0</v>
      </c>
      <c r="ABI162" s="1137">
        <f t="shared" si="41"/>
        <v>13</v>
      </c>
      <c r="ABJ162" s="1137">
        <f t="shared" si="41"/>
        <v>30</v>
      </c>
      <c r="ABK162" s="1137">
        <f t="shared" si="41"/>
        <v>31</v>
      </c>
      <c r="ABL162" s="1137">
        <f t="shared" si="41"/>
        <v>12</v>
      </c>
      <c r="ABM162" s="1137">
        <f t="shared" si="41"/>
        <v>0</v>
      </c>
      <c r="ABN162" s="1137">
        <f t="shared" si="41"/>
        <v>0</v>
      </c>
      <c r="ABO162" s="1137">
        <f t="shared" si="41"/>
        <v>0</v>
      </c>
      <c r="ABP162" s="1137">
        <f t="shared" si="41"/>
        <v>0</v>
      </c>
      <c r="ABQ162" s="1137">
        <f t="shared" si="41"/>
        <v>21</v>
      </c>
      <c r="ABR162" s="1137">
        <f t="shared" si="41"/>
        <v>31</v>
      </c>
      <c r="ABS162" s="1137">
        <f t="shared" si="41"/>
        <v>31</v>
      </c>
      <c r="ABT162" s="1137">
        <f t="shared" si="41"/>
        <v>28</v>
      </c>
      <c r="ABU162" s="1137">
        <f t="shared" si="41"/>
        <v>31</v>
      </c>
      <c r="ABV162" s="1137">
        <f t="shared" si="41"/>
        <v>30</v>
      </c>
      <c r="ABW162" s="1137">
        <f t="shared" si="31"/>
        <v>31</v>
      </c>
      <c r="ABX162" s="1137">
        <f t="shared" si="31"/>
        <v>30</v>
      </c>
      <c r="ABY162" s="1137">
        <f t="shared" si="31"/>
        <v>14</v>
      </c>
      <c r="ABZ162" s="1137">
        <f t="shared" si="31"/>
        <v>0</v>
      </c>
      <c r="ACA162" s="1137">
        <f t="shared" si="31"/>
        <v>0</v>
      </c>
      <c r="ACB162" s="1137">
        <f t="shared" si="31"/>
        <v>0</v>
      </c>
      <c r="ACC162" s="1137">
        <f t="shared" si="31"/>
        <v>0</v>
      </c>
      <c r="ACD162" s="1137">
        <f t="shared" si="31"/>
        <v>0</v>
      </c>
      <c r="ACE162" s="1137" t="s">
        <v>260</v>
      </c>
      <c r="ACF162" s="1137">
        <f t="shared" si="39"/>
        <v>0</v>
      </c>
      <c r="ACG162" s="1137">
        <f t="shared" si="39"/>
        <v>0</v>
      </c>
      <c r="ACH162" s="1137">
        <f t="shared" si="39"/>
        <v>1</v>
      </c>
      <c r="ACI162" s="1137">
        <f t="shared" si="39"/>
        <v>1</v>
      </c>
      <c r="ACJ162" s="1137">
        <f t="shared" si="39"/>
        <v>1</v>
      </c>
      <c r="ACK162" s="1137">
        <f t="shared" si="39"/>
        <v>1</v>
      </c>
      <c r="ACL162" s="1137">
        <f t="shared" si="39"/>
        <v>0</v>
      </c>
      <c r="ACM162" s="1137">
        <f t="shared" si="39"/>
        <v>0</v>
      </c>
      <c r="ACN162" s="1137">
        <f t="shared" si="39"/>
        <v>0</v>
      </c>
      <c r="ACO162" s="1137">
        <f t="shared" si="39"/>
        <v>0</v>
      </c>
      <c r="ACP162" s="1137">
        <f t="shared" si="39"/>
        <v>1</v>
      </c>
      <c r="ACQ162" s="1137">
        <f t="shared" si="43"/>
        <v>1</v>
      </c>
      <c r="ACR162" s="1137">
        <f t="shared" si="43"/>
        <v>1</v>
      </c>
      <c r="ACS162" s="1137">
        <f t="shared" si="43"/>
        <v>1</v>
      </c>
      <c r="ACT162" s="1137">
        <f t="shared" si="43"/>
        <v>1</v>
      </c>
      <c r="ACU162" s="1137">
        <f t="shared" si="43"/>
        <v>1</v>
      </c>
      <c r="ACV162" s="1137">
        <f t="shared" si="43"/>
        <v>1</v>
      </c>
      <c r="ACW162" s="1137">
        <f t="shared" si="43"/>
        <v>1</v>
      </c>
      <c r="ACX162" s="1137">
        <f t="shared" si="42"/>
        <v>1</v>
      </c>
      <c r="ACY162" s="1137">
        <f t="shared" si="42"/>
        <v>0</v>
      </c>
      <c r="ACZ162" s="1137">
        <f t="shared" si="42"/>
        <v>0</v>
      </c>
      <c r="ADA162" s="1137">
        <f t="shared" si="35"/>
        <v>0</v>
      </c>
      <c r="ADB162" s="1137">
        <f t="shared" si="35"/>
        <v>0</v>
      </c>
      <c r="ADC162" s="1137">
        <f t="shared" si="35"/>
        <v>0</v>
      </c>
    </row>
    <row r="163" spans="1:783" x14ac:dyDescent="0.25">
      <c r="A163" t="s">
        <v>1962</v>
      </c>
      <c r="B163" t="s">
        <v>1037</v>
      </c>
      <c r="C163">
        <v>0</v>
      </c>
      <c r="D163">
        <v>0</v>
      </c>
      <c r="E163">
        <v>0</v>
      </c>
      <c r="F163">
        <v>0</v>
      </c>
      <c r="G163">
        <v>0</v>
      </c>
      <c r="H163">
        <v>0</v>
      </c>
      <c r="I163">
        <v>0</v>
      </c>
      <c r="J163">
        <v>0</v>
      </c>
      <c r="K163">
        <v>0</v>
      </c>
      <c r="L163">
        <v>0</v>
      </c>
      <c r="M163">
        <v>0</v>
      </c>
      <c r="N163">
        <v>0</v>
      </c>
      <c r="O163">
        <v>0</v>
      </c>
      <c r="P163">
        <v>0</v>
      </c>
      <c r="Q163">
        <v>0</v>
      </c>
      <c r="R163">
        <v>0</v>
      </c>
      <c r="S163">
        <v>0</v>
      </c>
      <c r="T163">
        <v>0</v>
      </c>
      <c r="U163">
        <v>0</v>
      </c>
      <c r="V163">
        <v>0</v>
      </c>
      <c r="W163">
        <v>0</v>
      </c>
      <c r="X163">
        <v>0</v>
      </c>
      <c r="Y163">
        <v>0</v>
      </c>
      <c r="Z163">
        <v>0</v>
      </c>
      <c r="AA163">
        <v>0</v>
      </c>
      <c r="AB163">
        <v>0</v>
      </c>
      <c r="AC163">
        <v>0</v>
      </c>
      <c r="AD163">
        <v>0</v>
      </c>
      <c r="AE163">
        <v>0</v>
      </c>
      <c r="AF163">
        <v>0</v>
      </c>
      <c r="AG163">
        <v>0</v>
      </c>
      <c r="AH163">
        <v>0</v>
      </c>
      <c r="AI163">
        <v>0</v>
      </c>
      <c r="AJ163">
        <v>0</v>
      </c>
      <c r="AK163">
        <v>0</v>
      </c>
      <c r="AL163">
        <v>0</v>
      </c>
      <c r="AM163">
        <v>0</v>
      </c>
      <c r="AN163">
        <v>0</v>
      </c>
      <c r="AO163">
        <v>0</v>
      </c>
      <c r="AP163">
        <v>0</v>
      </c>
      <c r="AQ163">
        <v>0</v>
      </c>
      <c r="AR163">
        <v>0</v>
      </c>
      <c r="AS163">
        <v>0</v>
      </c>
      <c r="AT163">
        <v>0</v>
      </c>
      <c r="AU163">
        <v>0</v>
      </c>
      <c r="AV163">
        <v>0</v>
      </c>
      <c r="AW163">
        <v>0</v>
      </c>
      <c r="AX163">
        <v>0</v>
      </c>
      <c r="AY163">
        <v>0</v>
      </c>
      <c r="AZ163">
        <v>0</v>
      </c>
      <c r="BA163">
        <v>0</v>
      </c>
      <c r="BB163">
        <v>0</v>
      </c>
      <c r="BC163">
        <v>0</v>
      </c>
      <c r="BD163">
        <v>0</v>
      </c>
      <c r="BE163">
        <v>0</v>
      </c>
      <c r="BF163">
        <v>0</v>
      </c>
      <c r="BG163">
        <v>0</v>
      </c>
      <c r="BH163">
        <v>0</v>
      </c>
      <c r="BI163">
        <v>0</v>
      </c>
      <c r="BJ163">
        <v>0</v>
      </c>
      <c r="BK163">
        <v>0</v>
      </c>
      <c r="BL163">
        <v>0</v>
      </c>
      <c r="BM163">
        <v>0</v>
      </c>
      <c r="BN163">
        <v>0</v>
      </c>
      <c r="BO163">
        <v>0</v>
      </c>
      <c r="BP163">
        <v>0</v>
      </c>
      <c r="BQ163">
        <v>0</v>
      </c>
      <c r="BR163">
        <v>0</v>
      </c>
      <c r="BS163">
        <v>0</v>
      </c>
      <c r="BT163">
        <v>0</v>
      </c>
      <c r="BU163">
        <v>0</v>
      </c>
      <c r="BV163">
        <v>0</v>
      </c>
      <c r="BW163">
        <v>0</v>
      </c>
      <c r="BX163">
        <v>0</v>
      </c>
      <c r="BY163">
        <v>0</v>
      </c>
      <c r="BZ163">
        <v>0</v>
      </c>
      <c r="CA163">
        <v>1</v>
      </c>
      <c r="CB163">
        <v>1</v>
      </c>
      <c r="CC163">
        <v>1</v>
      </c>
      <c r="CD163">
        <v>1</v>
      </c>
      <c r="CE163">
        <v>1</v>
      </c>
      <c r="CF163">
        <v>1</v>
      </c>
      <c r="CG163">
        <v>1</v>
      </c>
      <c r="CH163">
        <v>1</v>
      </c>
      <c r="CI163">
        <v>1</v>
      </c>
      <c r="CJ163">
        <v>1</v>
      </c>
      <c r="CK163">
        <v>2</v>
      </c>
      <c r="CL163">
        <v>2</v>
      </c>
      <c r="CM163">
        <v>2</v>
      </c>
      <c r="CN163">
        <v>2</v>
      </c>
      <c r="CO163">
        <v>2</v>
      </c>
      <c r="CP163">
        <v>2</v>
      </c>
      <c r="CQ163">
        <v>2</v>
      </c>
      <c r="CR163">
        <v>2</v>
      </c>
      <c r="CS163">
        <v>2</v>
      </c>
      <c r="CT163">
        <v>2</v>
      </c>
      <c r="CU163">
        <v>2</v>
      </c>
      <c r="CV163">
        <v>2</v>
      </c>
      <c r="CW163">
        <v>2</v>
      </c>
      <c r="CX163">
        <v>2</v>
      </c>
      <c r="CY163">
        <v>2</v>
      </c>
      <c r="CZ163">
        <v>2</v>
      </c>
      <c r="DA163">
        <v>2</v>
      </c>
      <c r="DB163">
        <v>2</v>
      </c>
      <c r="DC163">
        <v>2</v>
      </c>
      <c r="DD163">
        <v>2</v>
      </c>
      <c r="DE163">
        <v>2</v>
      </c>
      <c r="DF163">
        <v>2</v>
      </c>
      <c r="DG163">
        <v>2</v>
      </c>
      <c r="DH163">
        <v>2</v>
      </c>
      <c r="DI163">
        <v>2</v>
      </c>
      <c r="DJ163">
        <v>2</v>
      </c>
      <c r="DK163">
        <v>2</v>
      </c>
      <c r="DL163">
        <v>2</v>
      </c>
      <c r="DM163">
        <v>2</v>
      </c>
      <c r="DN163">
        <v>2</v>
      </c>
      <c r="DO163">
        <v>2</v>
      </c>
      <c r="DP163">
        <v>2</v>
      </c>
      <c r="DQ163">
        <v>2</v>
      </c>
      <c r="DR163">
        <v>2</v>
      </c>
      <c r="DS163">
        <v>2</v>
      </c>
      <c r="DT163">
        <v>2</v>
      </c>
      <c r="DU163">
        <v>2</v>
      </c>
      <c r="DV163">
        <v>2</v>
      </c>
      <c r="DW163">
        <v>2</v>
      </c>
      <c r="DX163">
        <v>2</v>
      </c>
      <c r="DY163">
        <v>2</v>
      </c>
      <c r="DZ163">
        <v>2</v>
      </c>
      <c r="EA163">
        <v>2</v>
      </c>
      <c r="EB163">
        <v>2</v>
      </c>
      <c r="EC163">
        <v>2</v>
      </c>
      <c r="ED163">
        <v>2</v>
      </c>
      <c r="EE163">
        <v>2</v>
      </c>
      <c r="EF163">
        <v>2</v>
      </c>
      <c r="EG163">
        <v>2</v>
      </c>
      <c r="EH163">
        <v>2</v>
      </c>
      <c r="EI163">
        <v>2</v>
      </c>
      <c r="EJ163">
        <v>2</v>
      </c>
      <c r="EK163">
        <v>2</v>
      </c>
      <c r="EL163">
        <v>2</v>
      </c>
      <c r="EM163">
        <v>2</v>
      </c>
      <c r="EN163">
        <v>2</v>
      </c>
      <c r="EO163">
        <v>2</v>
      </c>
      <c r="EP163">
        <v>2</v>
      </c>
      <c r="EQ163">
        <v>2</v>
      </c>
      <c r="ER163">
        <v>2</v>
      </c>
      <c r="ES163">
        <v>2</v>
      </c>
      <c r="ET163">
        <v>2</v>
      </c>
      <c r="EU163">
        <v>2</v>
      </c>
      <c r="EV163">
        <v>2</v>
      </c>
      <c r="EW163">
        <v>2</v>
      </c>
      <c r="EX163">
        <v>2</v>
      </c>
      <c r="EY163">
        <v>2</v>
      </c>
      <c r="EZ163">
        <v>2</v>
      </c>
      <c r="FA163">
        <v>2</v>
      </c>
      <c r="FB163">
        <v>2</v>
      </c>
      <c r="FC163">
        <v>2</v>
      </c>
      <c r="FD163">
        <v>2</v>
      </c>
      <c r="FE163">
        <v>2</v>
      </c>
      <c r="FF163">
        <v>2</v>
      </c>
      <c r="FG163">
        <v>2</v>
      </c>
      <c r="FH163">
        <v>2</v>
      </c>
      <c r="FI163">
        <v>2</v>
      </c>
      <c r="FJ163">
        <v>2</v>
      </c>
      <c r="FK163">
        <v>2</v>
      </c>
      <c r="FL163">
        <v>2</v>
      </c>
      <c r="FM163">
        <v>2</v>
      </c>
      <c r="FN163">
        <v>2</v>
      </c>
      <c r="FO163">
        <v>2</v>
      </c>
      <c r="FP163">
        <v>2</v>
      </c>
      <c r="FQ163">
        <v>2</v>
      </c>
      <c r="FR163">
        <v>2</v>
      </c>
      <c r="FS163">
        <v>2</v>
      </c>
      <c r="FT163">
        <v>2</v>
      </c>
      <c r="FU163">
        <v>2</v>
      </c>
      <c r="FV163">
        <v>2</v>
      </c>
      <c r="FW163">
        <v>2</v>
      </c>
      <c r="FX163">
        <v>2</v>
      </c>
      <c r="FY163">
        <v>2</v>
      </c>
      <c r="FZ163">
        <v>2</v>
      </c>
      <c r="GA163">
        <v>2</v>
      </c>
      <c r="GB163">
        <v>2</v>
      </c>
      <c r="GC163">
        <v>2</v>
      </c>
      <c r="GD163">
        <v>2</v>
      </c>
      <c r="GE163">
        <v>2</v>
      </c>
      <c r="GF163">
        <v>2</v>
      </c>
      <c r="GG163">
        <v>2</v>
      </c>
      <c r="GH163">
        <v>2</v>
      </c>
      <c r="GI163">
        <v>2</v>
      </c>
      <c r="GJ163">
        <v>2</v>
      </c>
      <c r="GK163">
        <v>2</v>
      </c>
      <c r="GL163">
        <v>2</v>
      </c>
      <c r="GM163">
        <v>2</v>
      </c>
      <c r="GN163">
        <v>2</v>
      </c>
      <c r="GO163">
        <v>2</v>
      </c>
      <c r="GP163">
        <v>2</v>
      </c>
      <c r="GQ163">
        <v>2</v>
      </c>
      <c r="GR163">
        <v>2</v>
      </c>
      <c r="GS163">
        <v>2</v>
      </c>
      <c r="GT163">
        <v>2</v>
      </c>
      <c r="GU163">
        <v>2</v>
      </c>
      <c r="GV163">
        <v>2</v>
      </c>
      <c r="GW163">
        <v>2</v>
      </c>
      <c r="GX163">
        <v>2</v>
      </c>
      <c r="GY163">
        <v>2</v>
      </c>
      <c r="GZ163">
        <v>2</v>
      </c>
      <c r="HA163">
        <v>2</v>
      </c>
      <c r="HB163">
        <v>2</v>
      </c>
      <c r="HC163">
        <v>2</v>
      </c>
      <c r="HD163">
        <v>2</v>
      </c>
      <c r="HE163">
        <v>2</v>
      </c>
      <c r="HF163">
        <v>2</v>
      </c>
      <c r="HG163">
        <v>2</v>
      </c>
      <c r="HH163">
        <v>2</v>
      </c>
      <c r="HI163">
        <v>2</v>
      </c>
      <c r="HJ163">
        <v>2</v>
      </c>
      <c r="HK163">
        <v>2</v>
      </c>
      <c r="HL163">
        <v>2</v>
      </c>
      <c r="HM163">
        <v>2</v>
      </c>
      <c r="HN163">
        <v>2</v>
      </c>
      <c r="HO163">
        <v>2</v>
      </c>
      <c r="HP163">
        <v>2</v>
      </c>
      <c r="HQ163">
        <v>2</v>
      </c>
      <c r="HR163">
        <v>2</v>
      </c>
      <c r="HS163">
        <v>2</v>
      </c>
      <c r="HT163">
        <v>2</v>
      </c>
      <c r="HU163">
        <v>2</v>
      </c>
      <c r="HV163">
        <v>2</v>
      </c>
      <c r="HW163">
        <v>2</v>
      </c>
      <c r="HX163">
        <v>2</v>
      </c>
      <c r="HY163">
        <v>1</v>
      </c>
      <c r="HZ163">
        <v>1</v>
      </c>
      <c r="IA163">
        <v>1</v>
      </c>
      <c r="IB163">
        <v>1</v>
      </c>
      <c r="IC163">
        <v>1</v>
      </c>
      <c r="ID163">
        <v>1</v>
      </c>
      <c r="IE163">
        <v>1</v>
      </c>
      <c r="IF163">
        <v>1</v>
      </c>
      <c r="IG163">
        <v>1</v>
      </c>
      <c r="IH163">
        <v>1</v>
      </c>
      <c r="II163">
        <v>1</v>
      </c>
      <c r="IJ163">
        <v>1</v>
      </c>
      <c r="IK163">
        <v>1</v>
      </c>
      <c r="IL163">
        <v>1</v>
      </c>
      <c r="IM163">
        <v>1</v>
      </c>
      <c r="IN163">
        <v>1</v>
      </c>
      <c r="IO163">
        <v>1</v>
      </c>
      <c r="IP163">
        <v>1</v>
      </c>
      <c r="IQ163">
        <v>1</v>
      </c>
      <c r="IR163">
        <v>1</v>
      </c>
      <c r="IS163">
        <v>1</v>
      </c>
      <c r="IT163">
        <v>1</v>
      </c>
      <c r="IU163">
        <v>1</v>
      </c>
      <c r="IV163">
        <v>1</v>
      </c>
      <c r="IW163">
        <v>1</v>
      </c>
      <c r="IX163">
        <v>1</v>
      </c>
      <c r="IY163">
        <v>1</v>
      </c>
      <c r="IZ163">
        <v>1</v>
      </c>
      <c r="JA163">
        <v>1</v>
      </c>
      <c r="JB163">
        <v>1</v>
      </c>
      <c r="JC163">
        <v>1</v>
      </c>
      <c r="JD163">
        <v>1</v>
      </c>
      <c r="JE163">
        <v>1</v>
      </c>
      <c r="JF163">
        <v>1</v>
      </c>
      <c r="JG163">
        <v>1</v>
      </c>
      <c r="JH163">
        <v>1</v>
      </c>
      <c r="JI163">
        <v>1</v>
      </c>
      <c r="JJ163">
        <v>1</v>
      </c>
      <c r="JK163">
        <v>1</v>
      </c>
      <c r="JL163">
        <v>1</v>
      </c>
      <c r="JM163">
        <v>1</v>
      </c>
      <c r="JN163">
        <v>1</v>
      </c>
      <c r="JO163">
        <v>1</v>
      </c>
      <c r="JP163">
        <v>1</v>
      </c>
      <c r="JQ163">
        <v>1</v>
      </c>
      <c r="JR163">
        <v>1</v>
      </c>
      <c r="JS163">
        <v>1</v>
      </c>
      <c r="JT163">
        <v>1</v>
      </c>
      <c r="JU163">
        <v>1</v>
      </c>
      <c r="JV163">
        <v>1</v>
      </c>
      <c r="JW163">
        <v>1</v>
      </c>
      <c r="JX163">
        <v>1</v>
      </c>
      <c r="JY163">
        <v>1</v>
      </c>
      <c r="JZ163">
        <v>1</v>
      </c>
      <c r="KA163">
        <v>1</v>
      </c>
      <c r="KB163">
        <v>1</v>
      </c>
      <c r="KC163">
        <v>1</v>
      </c>
      <c r="KD163">
        <v>1</v>
      </c>
      <c r="KE163">
        <v>1</v>
      </c>
      <c r="KF163">
        <v>1</v>
      </c>
      <c r="KG163">
        <v>1</v>
      </c>
      <c r="KH163">
        <v>1</v>
      </c>
      <c r="KI163">
        <v>1</v>
      </c>
      <c r="KJ163">
        <v>1</v>
      </c>
      <c r="KK163">
        <v>1</v>
      </c>
      <c r="KL163">
        <v>1</v>
      </c>
      <c r="KM163">
        <v>1</v>
      </c>
      <c r="KN163">
        <v>1</v>
      </c>
      <c r="KO163">
        <v>1</v>
      </c>
      <c r="KP163">
        <v>1</v>
      </c>
      <c r="KQ163">
        <v>1</v>
      </c>
      <c r="KR163">
        <v>1</v>
      </c>
      <c r="KS163">
        <v>1</v>
      </c>
      <c r="KT163">
        <v>1</v>
      </c>
      <c r="KU163">
        <v>1</v>
      </c>
      <c r="KV163">
        <v>1</v>
      </c>
      <c r="KW163">
        <v>1</v>
      </c>
      <c r="KX163">
        <v>1</v>
      </c>
      <c r="KY163">
        <v>1</v>
      </c>
      <c r="KZ163">
        <v>1</v>
      </c>
      <c r="LA163">
        <v>1</v>
      </c>
      <c r="LB163">
        <v>1</v>
      </c>
      <c r="LC163">
        <v>1</v>
      </c>
      <c r="LD163">
        <v>1</v>
      </c>
      <c r="LE163">
        <v>1</v>
      </c>
      <c r="LF163">
        <v>1</v>
      </c>
      <c r="LG163">
        <v>1</v>
      </c>
      <c r="LH163">
        <v>1</v>
      </c>
      <c r="LI163">
        <v>1</v>
      </c>
      <c r="LJ163">
        <v>1</v>
      </c>
      <c r="LK163">
        <v>1</v>
      </c>
      <c r="LL163">
        <v>1</v>
      </c>
      <c r="LM163">
        <v>1</v>
      </c>
      <c r="LN163">
        <v>1</v>
      </c>
      <c r="LO163">
        <v>1</v>
      </c>
      <c r="LP163">
        <v>1</v>
      </c>
      <c r="LQ163">
        <v>1</v>
      </c>
      <c r="LR163">
        <v>1</v>
      </c>
      <c r="LS163">
        <v>1</v>
      </c>
      <c r="LT163">
        <v>1</v>
      </c>
      <c r="LU163">
        <v>1</v>
      </c>
      <c r="LV163">
        <v>1</v>
      </c>
      <c r="LW163">
        <v>1</v>
      </c>
      <c r="LX163">
        <v>1</v>
      </c>
      <c r="LY163">
        <v>1</v>
      </c>
      <c r="LZ163">
        <v>1</v>
      </c>
      <c r="MA163">
        <v>1</v>
      </c>
      <c r="MB163">
        <v>1</v>
      </c>
      <c r="MC163">
        <v>1</v>
      </c>
      <c r="MD163">
        <v>1</v>
      </c>
      <c r="ME163">
        <v>1</v>
      </c>
      <c r="MF163">
        <v>1</v>
      </c>
      <c r="MG163">
        <v>1</v>
      </c>
      <c r="MH163">
        <v>1</v>
      </c>
      <c r="MI163">
        <v>1</v>
      </c>
      <c r="MJ163">
        <v>1</v>
      </c>
      <c r="MK163">
        <v>1</v>
      </c>
      <c r="ML163">
        <v>1</v>
      </c>
      <c r="MM163">
        <v>1</v>
      </c>
      <c r="MN163">
        <v>1</v>
      </c>
      <c r="MO163">
        <v>1</v>
      </c>
      <c r="MP163">
        <v>1</v>
      </c>
      <c r="MQ163">
        <v>1</v>
      </c>
      <c r="MR163">
        <v>1</v>
      </c>
      <c r="MS163">
        <v>1</v>
      </c>
      <c r="MT163">
        <v>2</v>
      </c>
      <c r="MU163">
        <v>2</v>
      </c>
      <c r="MV163">
        <v>2</v>
      </c>
      <c r="MW163">
        <v>2</v>
      </c>
      <c r="MX163">
        <v>2</v>
      </c>
      <c r="MY163">
        <v>2</v>
      </c>
      <c r="MZ163">
        <v>2</v>
      </c>
      <c r="NA163">
        <v>2</v>
      </c>
      <c r="NB163">
        <v>2</v>
      </c>
      <c r="NC163">
        <v>2</v>
      </c>
      <c r="ND163">
        <v>2</v>
      </c>
      <c r="NE163">
        <v>2</v>
      </c>
      <c r="NF163">
        <v>2</v>
      </c>
      <c r="NG163">
        <v>2</v>
      </c>
      <c r="NH163">
        <v>2</v>
      </c>
      <c r="NI163">
        <v>2</v>
      </c>
      <c r="NJ163">
        <v>2</v>
      </c>
      <c r="NK163">
        <v>2</v>
      </c>
      <c r="NL163">
        <v>2</v>
      </c>
      <c r="NM163">
        <v>2</v>
      </c>
      <c r="NN163">
        <v>2</v>
      </c>
      <c r="NO163">
        <v>2</v>
      </c>
      <c r="NP163">
        <v>2</v>
      </c>
      <c r="NQ163">
        <v>2</v>
      </c>
      <c r="NR163">
        <v>2</v>
      </c>
      <c r="NS163">
        <v>2</v>
      </c>
      <c r="NT163">
        <v>2</v>
      </c>
      <c r="NU163">
        <v>2</v>
      </c>
      <c r="NV163">
        <v>2</v>
      </c>
      <c r="NW163">
        <v>2</v>
      </c>
      <c r="NX163">
        <v>2</v>
      </c>
      <c r="NY163">
        <v>2</v>
      </c>
      <c r="NZ163">
        <v>2</v>
      </c>
      <c r="OA163">
        <v>2</v>
      </c>
      <c r="OB163">
        <v>2</v>
      </c>
      <c r="OC163">
        <v>2</v>
      </c>
      <c r="OD163">
        <v>1</v>
      </c>
      <c r="OE163">
        <v>1</v>
      </c>
      <c r="OF163">
        <v>1</v>
      </c>
      <c r="OG163">
        <v>1</v>
      </c>
      <c r="OH163">
        <v>1</v>
      </c>
      <c r="OI163">
        <v>1</v>
      </c>
      <c r="OJ163">
        <v>1</v>
      </c>
      <c r="OK163">
        <v>2</v>
      </c>
      <c r="OL163">
        <v>2</v>
      </c>
      <c r="OM163">
        <v>2</v>
      </c>
      <c r="ON163">
        <v>2</v>
      </c>
      <c r="OO163">
        <v>2</v>
      </c>
      <c r="OP163">
        <v>2</v>
      </c>
      <c r="OQ163">
        <v>2</v>
      </c>
      <c r="OR163">
        <v>2</v>
      </c>
      <c r="OS163">
        <v>2</v>
      </c>
      <c r="OT163">
        <v>2</v>
      </c>
      <c r="OU163">
        <v>2</v>
      </c>
      <c r="OV163">
        <v>2</v>
      </c>
      <c r="OW163">
        <v>2</v>
      </c>
      <c r="OX163">
        <v>2</v>
      </c>
      <c r="OY163">
        <v>2</v>
      </c>
      <c r="OZ163">
        <v>2</v>
      </c>
      <c r="PA163">
        <v>2</v>
      </c>
      <c r="PB163">
        <v>2</v>
      </c>
      <c r="PC163">
        <v>2</v>
      </c>
      <c r="PD163">
        <v>2</v>
      </c>
      <c r="PE163">
        <v>2</v>
      </c>
      <c r="PF163">
        <v>2</v>
      </c>
      <c r="PG163">
        <v>2</v>
      </c>
      <c r="PH163">
        <v>2</v>
      </c>
      <c r="PI163">
        <v>2</v>
      </c>
      <c r="PJ163">
        <v>2</v>
      </c>
      <c r="PK163">
        <v>2</v>
      </c>
      <c r="PL163">
        <v>1</v>
      </c>
      <c r="PM163">
        <v>1</v>
      </c>
      <c r="PN163">
        <v>1</v>
      </c>
      <c r="PO163">
        <v>1</v>
      </c>
      <c r="PP163">
        <v>1</v>
      </c>
      <c r="PQ163">
        <v>1</v>
      </c>
      <c r="PR163">
        <v>1</v>
      </c>
      <c r="PS163">
        <v>1</v>
      </c>
      <c r="PT163">
        <v>2</v>
      </c>
      <c r="PU163">
        <v>2</v>
      </c>
      <c r="PV163">
        <v>2</v>
      </c>
      <c r="PW163">
        <v>2</v>
      </c>
      <c r="PX163">
        <v>2</v>
      </c>
      <c r="PY163">
        <v>2</v>
      </c>
      <c r="PZ163">
        <v>2</v>
      </c>
      <c r="QA163">
        <v>2</v>
      </c>
      <c r="QB163">
        <v>2</v>
      </c>
      <c r="QC163">
        <v>2</v>
      </c>
      <c r="QD163">
        <v>1</v>
      </c>
      <c r="QE163">
        <v>1</v>
      </c>
      <c r="QF163">
        <v>1</v>
      </c>
      <c r="QG163">
        <v>1</v>
      </c>
      <c r="QH163">
        <v>1</v>
      </c>
      <c r="QI163">
        <v>1</v>
      </c>
      <c r="QJ163">
        <v>1</v>
      </c>
      <c r="QK163">
        <v>1</v>
      </c>
      <c r="QL163">
        <v>1</v>
      </c>
      <c r="QM163">
        <v>1</v>
      </c>
      <c r="QN163">
        <v>1</v>
      </c>
      <c r="QO163">
        <v>1</v>
      </c>
      <c r="QP163">
        <v>1</v>
      </c>
      <c r="QQ163">
        <v>1</v>
      </c>
      <c r="QR163">
        <v>1</v>
      </c>
      <c r="QS163">
        <v>1</v>
      </c>
      <c r="QT163">
        <v>1</v>
      </c>
      <c r="QU163">
        <v>1</v>
      </c>
      <c r="QV163">
        <v>2</v>
      </c>
      <c r="QW163">
        <v>2</v>
      </c>
      <c r="QX163">
        <v>2</v>
      </c>
      <c r="QY163">
        <v>2</v>
      </c>
      <c r="QZ163">
        <v>2</v>
      </c>
      <c r="RA163">
        <v>2</v>
      </c>
      <c r="RB163">
        <v>2</v>
      </c>
      <c r="RC163">
        <v>2</v>
      </c>
      <c r="RD163">
        <v>2</v>
      </c>
      <c r="RE163">
        <v>2</v>
      </c>
      <c r="RF163">
        <v>2</v>
      </c>
      <c r="RG163">
        <v>2</v>
      </c>
      <c r="RH163">
        <v>2</v>
      </c>
      <c r="RI163">
        <v>2</v>
      </c>
      <c r="RJ163">
        <v>2</v>
      </c>
      <c r="RK163">
        <v>2</v>
      </c>
      <c r="RL163">
        <v>2</v>
      </c>
      <c r="RM163">
        <v>2</v>
      </c>
      <c r="RN163">
        <v>2</v>
      </c>
      <c r="RO163">
        <v>2</v>
      </c>
      <c r="RP163">
        <v>2</v>
      </c>
      <c r="RQ163">
        <v>2</v>
      </c>
      <c r="RR163">
        <v>2</v>
      </c>
      <c r="RS163">
        <v>2</v>
      </c>
      <c r="RT163">
        <v>2</v>
      </c>
      <c r="RU163">
        <v>2</v>
      </c>
      <c r="RV163">
        <v>2</v>
      </c>
      <c r="RW163">
        <v>2</v>
      </c>
      <c r="RX163">
        <v>2</v>
      </c>
      <c r="RY163">
        <v>2</v>
      </c>
      <c r="RZ163">
        <v>2</v>
      </c>
      <c r="SA163">
        <v>2</v>
      </c>
      <c r="SB163">
        <v>2</v>
      </c>
      <c r="SC163">
        <v>2</v>
      </c>
      <c r="SD163">
        <v>2</v>
      </c>
      <c r="SE163">
        <v>2</v>
      </c>
      <c r="SF163">
        <v>2</v>
      </c>
      <c r="SG163">
        <v>2</v>
      </c>
      <c r="SH163">
        <v>2</v>
      </c>
      <c r="SI163">
        <v>2</v>
      </c>
      <c r="SJ163">
        <v>2</v>
      </c>
      <c r="SK163">
        <v>2</v>
      </c>
      <c r="SL163">
        <v>2</v>
      </c>
      <c r="SM163">
        <v>2</v>
      </c>
      <c r="SN163">
        <v>2</v>
      </c>
      <c r="SO163">
        <v>2</v>
      </c>
      <c r="SP163">
        <v>2</v>
      </c>
      <c r="SQ163">
        <v>2</v>
      </c>
      <c r="SR163">
        <v>2</v>
      </c>
      <c r="SS163">
        <v>2</v>
      </c>
      <c r="ST163">
        <v>2</v>
      </c>
      <c r="SU163">
        <v>2</v>
      </c>
      <c r="SV163">
        <v>2</v>
      </c>
      <c r="SW163">
        <v>2</v>
      </c>
      <c r="SX163">
        <v>2</v>
      </c>
      <c r="SY163">
        <v>2</v>
      </c>
      <c r="SZ163">
        <v>2</v>
      </c>
      <c r="TA163">
        <v>2</v>
      </c>
      <c r="TB163">
        <v>2</v>
      </c>
      <c r="TC163">
        <v>2</v>
      </c>
      <c r="TD163">
        <v>2</v>
      </c>
      <c r="TE163">
        <v>2</v>
      </c>
      <c r="TF163">
        <v>2</v>
      </c>
      <c r="TG163">
        <v>2</v>
      </c>
      <c r="TH163">
        <v>2</v>
      </c>
      <c r="TI163">
        <v>2</v>
      </c>
      <c r="TJ163">
        <v>2</v>
      </c>
      <c r="TK163">
        <v>2</v>
      </c>
      <c r="TL163">
        <v>2</v>
      </c>
      <c r="TM163">
        <v>2</v>
      </c>
      <c r="TN163">
        <v>2</v>
      </c>
      <c r="TO163">
        <v>2</v>
      </c>
      <c r="TP163">
        <v>2</v>
      </c>
      <c r="TQ163">
        <v>2</v>
      </c>
      <c r="TR163">
        <v>2</v>
      </c>
      <c r="TS163">
        <v>2</v>
      </c>
      <c r="TT163">
        <v>2</v>
      </c>
      <c r="TU163">
        <v>2</v>
      </c>
      <c r="TV163">
        <v>2</v>
      </c>
      <c r="TW163">
        <v>2</v>
      </c>
      <c r="TX163">
        <v>2</v>
      </c>
      <c r="TY163">
        <v>2</v>
      </c>
      <c r="TZ163">
        <v>2</v>
      </c>
      <c r="UA163">
        <v>2</v>
      </c>
      <c r="UB163">
        <v>2</v>
      </c>
      <c r="UC163">
        <v>2</v>
      </c>
      <c r="UD163">
        <v>2</v>
      </c>
      <c r="UE163">
        <v>2</v>
      </c>
      <c r="UF163">
        <v>2</v>
      </c>
      <c r="UG163">
        <v>2</v>
      </c>
      <c r="UH163">
        <v>2</v>
      </c>
      <c r="UI163">
        <v>2</v>
      </c>
      <c r="UJ163">
        <v>2</v>
      </c>
      <c r="UK163">
        <v>2</v>
      </c>
      <c r="UL163">
        <v>2</v>
      </c>
      <c r="UM163">
        <v>2</v>
      </c>
      <c r="UN163">
        <v>2</v>
      </c>
      <c r="UO163">
        <v>2</v>
      </c>
      <c r="UP163">
        <v>2</v>
      </c>
      <c r="UQ163">
        <v>2</v>
      </c>
      <c r="UR163">
        <v>2</v>
      </c>
      <c r="US163">
        <v>2</v>
      </c>
      <c r="UT163">
        <v>2</v>
      </c>
      <c r="UU163">
        <v>2</v>
      </c>
      <c r="UV163">
        <v>2</v>
      </c>
      <c r="UW163">
        <v>2</v>
      </c>
      <c r="UX163">
        <v>2</v>
      </c>
      <c r="UY163">
        <v>2</v>
      </c>
      <c r="UZ163">
        <v>2</v>
      </c>
      <c r="VA163">
        <v>2</v>
      </c>
      <c r="VB163">
        <v>2</v>
      </c>
      <c r="VC163">
        <v>2</v>
      </c>
      <c r="VD163">
        <v>2</v>
      </c>
      <c r="VE163">
        <v>2</v>
      </c>
      <c r="VF163">
        <v>2</v>
      </c>
      <c r="VG163">
        <v>2</v>
      </c>
      <c r="VH163">
        <v>2</v>
      </c>
      <c r="VI163">
        <v>2</v>
      </c>
      <c r="VJ163">
        <v>2</v>
      </c>
      <c r="VK163">
        <v>2</v>
      </c>
      <c r="VL163">
        <v>2</v>
      </c>
      <c r="VM163">
        <v>2</v>
      </c>
      <c r="VN163">
        <v>2</v>
      </c>
      <c r="VO163">
        <v>2</v>
      </c>
      <c r="VP163">
        <v>2</v>
      </c>
      <c r="VQ163">
        <v>2</v>
      </c>
      <c r="VR163">
        <v>2</v>
      </c>
      <c r="VS163">
        <v>2</v>
      </c>
      <c r="VT163">
        <v>2</v>
      </c>
      <c r="VU163">
        <v>2</v>
      </c>
      <c r="VV163">
        <v>2</v>
      </c>
      <c r="VW163">
        <v>2</v>
      </c>
      <c r="VX163">
        <v>2</v>
      </c>
      <c r="VY163">
        <v>2</v>
      </c>
      <c r="VZ163">
        <v>2</v>
      </c>
      <c r="WA163">
        <v>2</v>
      </c>
      <c r="WB163">
        <v>2</v>
      </c>
      <c r="WC163">
        <v>2</v>
      </c>
      <c r="WD163">
        <v>2</v>
      </c>
      <c r="WE163">
        <v>2</v>
      </c>
      <c r="WF163">
        <v>2</v>
      </c>
      <c r="WG163">
        <v>2</v>
      </c>
      <c r="WH163">
        <v>2</v>
      </c>
      <c r="WI163">
        <v>2</v>
      </c>
      <c r="WJ163">
        <v>2</v>
      </c>
      <c r="WK163">
        <v>2</v>
      </c>
      <c r="WL163">
        <v>2</v>
      </c>
      <c r="WM163">
        <v>2</v>
      </c>
      <c r="WN163">
        <v>2</v>
      </c>
      <c r="WO163">
        <v>2</v>
      </c>
      <c r="WP163">
        <v>2</v>
      </c>
      <c r="WQ163">
        <v>2</v>
      </c>
      <c r="WR163">
        <v>2</v>
      </c>
      <c r="WS163">
        <v>2</v>
      </c>
      <c r="WT163">
        <v>2</v>
      </c>
      <c r="WU163">
        <v>2</v>
      </c>
      <c r="WV163">
        <v>2</v>
      </c>
      <c r="WW163">
        <v>2</v>
      </c>
      <c r="WX163">
        <v>2</v>
      </c>
      <c r="WY163">
        <v>2</v>
      </c>
      <c r="WZ163">
        <v>2</v>
      </c>
      <c r="XA163">
        <v>2</v>
      </c>
      <c r="XB163">
        <v>2</v>
      </c>
      <c r="XC163">
        <v>2</v>
      </c>
      <c r="XD163">
        <v>2</v>
      </c>
      <c r="XE163">
        <v>2</v>
      </c>
      <c r="XF163">
        <v>2</v>
      </c>
      <c r="XG163">
        <v>2</v>
      </c>
      <c r="XH163">
        <v>2</v>
      </c>
      <c r="XI163">
        <v>2</v>
      </c>
      <c r="XJ163">
        <v>2</v>
      </c>
      <c r="XK163">
        <v>2</v>
      </c>
      <c r="XL163">
        <v>2</v>
      </c>
      <c r="XM163">
        <v>2</v>
      </c>
      <c r="XN163">
        <v>2</v>
      </c>
      <c r="XO163">
        <v>1</v>
      </c>
      <c r="XP163">
        <v>1</v>
      </c>
      <c r="XQ163">
        <v>1</v>
      </c>
      <c r="XR163">
        <v>1</v>
      </c>
      <c r="XS163">
        <v>1</v>
      </c>
      <c r="XT163">
        <v>1</v>
      </c>
      <c r="XU163">
        <v>1</v>
      </c>
      <c r="XV163">
        <v>1</v>
      </c>
      <c r="XW163">
        <v>1</v>
      </c>
      <c r="XX163">
        <v>1</v>
      </c>
      <c r="XY163">
        <v>1</v>
      </c>
      <c r="XZ163">
        <v>1</v>
      </c>
      <c r="YA163">
        <v>1</v>
      </c>
      <c r="YB163">
        <v>1</v>
      </c>
      <c r="YC163">
        <v>1</v>
      </c>
      <c r="YD163">
        <v>1</v>
      </c>
      <c r="YE163">
        <v>1</v>
      </c>
      <c r="YF163">
        <v>1</v>
      </c>
      <c r="YG163">
        <v>1</v>
      </c>
      <c r="YH163">
        <v>1</v>
      </c>
      <c r="YI163">
        <v>1</v>
      </c>
      <c r="YJ163">
        <v>1</v>
      </c>
      <c r="YK163">
        <v>1</v>
      </c>
      <c r="YL163">
        <v>1</v>
      </c>
      <c r="YM163">
        <v>1</v>
      </c>
      <c r="YN163">
        <v>1</v>
      </c>
      <c r="YO163">
        <v>1</v>
      </c>
      <c r="YP163">
        <v>1</v>
      </c>
      <c r="YQ163">
        <v>1</v>
      </c>
      <c r="YR163">
        <v>1</v>
      </c>
      <c r="YS163">
        <v>1</v>
      </c>
      <c r="YT163">
        <v>1</v>
      </c>
      <c r="YU163">
        <v>1</v>
      </c>
      <c r="YV163">
        <v>1</v>
      </c>
      <c r="YW163">
        <v>1</v>
      </c>
      <c r="YX163">
        <v>2</v>
      </c>
      <c r="YY163">
        <v>2</v>
      </c>
      <c r="YZ163">
        <v>2</v>
      </c>
      <c r="ZA163">
        <v>2</v>
      </c>
      <c r="ZB163">
        <v>2</v>
      </c>
      <c r="ZC163">
        <v>2</v>
      </c>
      <c r="ZD163">
        <v>2</v>
      </c>
      <c r="ZE163">
        <v>2</v>
      </c>
      <c r="ZF163">
        <v>2</v>
      </c>
      <c r="ZG163">
        <v>2</v>
      </c>
      <c r="ZH163">
        <v>2</v>
      </c>
      <c r="ZI163">
        <v>2</v>
      </c>
      <c r="ZJ163">
        <v>2</v>
      </c>
      <c r="ZK163">
        <v>2</v>
      </c>
      <c r="ZL163">
        <v>2</v>
      </c>
      <c r="ZM163">
        <v>2</v>
      </c>
      <c r="ZN163">
        <v>2</v>
      </c>
      <c r="ZO163">
        <v>2</v>
      </c>
      <c r="ZP163">
        <v>2</v>
      </c>
      <c r="ZQ163">
        <v>2</v>
      </c>
      <c r="ZR163">
        <v>2</v>
      </c>
      <c r="ZS163">
        <v>1</v>
      </c>
      <c r="ZT163">
        <v>1</v>
      </c>
      <c r="ZU163">
        <v>1</v>
      </c>
      <c r="ZV163">
        <v>1</v>
      </c>
      <c r="ZW163">
        <v>1</v>
      </c>
      <c r="ZX163">
        <v>1</v>
      </c>
      <c r="ZY163">
        <v>1</v>
      </c>
      <c r="ZZ163">
        <v>1</v>
      </c>
      <c r="AAA163">
        <v>1</v>
      </c>
      <c r="AAB163">
        <v>1</v>
      </c>
      <c r="AAC163">
        <v>1</v>
      </c>
      <c r="AAD163">
        <v>1</v>
      </c>
      <c r="AAE163">
        <v>1</v>
      </c>
      <c r="AAF163">
        <v>1</v>
      </c>
      <c r="AAG163">
        <v>2</v>
      </c>
      <c r="AAH163">
        <v>2</v>
      </c>
      <c r="AAI163">
        <v>2</v>
      </c>
      <c r="AAJ163">
        <v>2</v>
      </c>
      <c r="AAK163">
        <v>2</v>
      </c>
      <c r="AAL163">
        <v>2</v>
      </c>
      <c r="AAM163">
        <v>2</v>
      </c>
      <c r="AAN163">
        <v>2</v>
      </c>
      <c r="AAO163">
        <v>2</v>
      </c>
      <c r="AAP163">
        <v>2</v>
      </c>
      <c r="AAQ163">
        <v>2</v>
      </c>
      <c r="AAR163">
        <v>2</v>
      </c>
      <c r="AAS163">
        <v>2</v>
      </c>
      <c r="AAT163">
        <v>2</v>
      </c>
      <c r="AAU163">
        <v>2</v>
      </c>
      <c r="AAV163">
        <v>2</v>
      </c>
      <c r="AAW163">
        <v>2</v>
      </c>
      <c r="AAX163">
        <v>2</v>
      </c>
      <c r="AAY163">
        <v>2</v>
      </c>
      <c r="AAZ163">
        <v>2</v>
      </c>
      <c r="ABA163">
        <v>2</v>
      </c>
      <c r="ABB163">
        <v>2</v>
      </c>
      <c r="ABC163">
        <v>2</v>
      </c>
      <c r="ABD163">
        <v>2</v>
      </c>
      <c r="ABE163">
        <v>2</v>
      </c>
      <c r="ABG163" s="1137">
        <f t="shared" si="41"/>
        <v>0</v>
      </c>
      <c r="ABH163" s="1137">
        <f t="shared" si="41"/>
        <v>0</v>
      </c>
      <c r="ABI163" s="1137">
        <f t="shared" si="41"/>
        <v>15</v>
      </c>
      <c r="ABJ163" s="1137">
        <f t="shared" si="41"/>
        <v>30</v>
      </c>
      <c r="ABK163" s="1137">
        <f t="shared" si="41"/>
        <v>31</v>
      </c>
      <c r="ABL163" s="1137">
        <f t="shared" si="41"/>
        <v>30</v>
      </c>
      <c r="ABM163" s="1137">
        <f t="shared" si="41"/>
        <v>31</v>
      </c>
      <c r="ABN163" s="1137">
        <f t="shared" si="41"/>
        <v>31</v>
      </c>
      <c r="ABO163" s="1137">
        <f t="shared" si="41"/>
        <v>30</v>
      </c>
      <c r="ABP163" s="1137">
        <f t="shared" si="41"/>
        <v>31</v>
      </c>
      <c r="ABQ163" s="1137">
        <f t="shared" si="41"/>
        <v>30</v>
      </c>
      <c r="ABR163" s="1137">
        <f t="shared" si="41"/>
        <v>31</v>
      </c>
      <c r="ABS163" s="1137">
        <f t="shared" si="41"/>
        <v>31</v>
      </c>
      <c r="ABT163" s="1137">
        <f t="shared" si="41"/>
        <v>28</v>
      </c>
      <c r="ABU163" s="1137">
        <f t="shared" si="41"/>
        <v>31</v>
      </c>
      <c r="ABV163" s="1137">
        <f t="shared" ref="ABV163" si="44">COUNTIFS($C$3:$ABE$3, ABV$3, $C$4:$ABE$4, ABV$4, $C163:$ABE163, "&gt;0")</f>
        <v>30</v>
      </c>
      <c r="ABW163" s="1137">
        <f t="shared" si="31"/>
        <v>31</v>
      </c>
      <c r="ABX163" s="1137">
        <f t="shared" si="31"/>
        <v>30</v>
      </c>
      <c r="ABY163" s="1137">
        <f t="shared" si="31"/>
        <v>31</v>
      </c>
      <c r="ABZ163" s="1137">
        <f t="shared" si="31"/>
        <v>31</v>
      </c>
      <c r="ACA163" s="1137">
        <f t="shared" si="31"/>
        <v>30</v>
      </c>
      <c r="ACB163" s="1137">
        <f t="shared" si="31"/>
        <v>31</v>
      </c>
      <c r="ACC163" s="1137">
        <f t="shared" si="31"/>
        <v>30</v>
      </c>
      <c r="ACD163" s="1137">
        <f t="shared" si="31"/>
        <v>31</v>
      </c>
      <c r="ACE163" s="1137" t="s">
        <v>1037</v>
      </c>
      <c r="ACF163" s="1137">
        <f t="shared" si="39"/>
        <v>0</v>
      </c>
      <c r="ACG163" s="1137">
        <f t="shared" si="39"/>
        <v>0</v>
      </c>
      <c r="ACH163" s="1137">
        <f t="shared" si="39"/>
        <v>1</v>
      </c>
      <c r="ACI163" s="1137">
        <f t="shared" si="39"/>
        <v>1</v>
      </c>
      <c r="ACJ163" s="1137">
        <f t="shared" si="39"/>
        <v>1</v>
      </c>
      <c r="ACK163" s="1137">
        <f t="shared" si="39"/>
        <v>1</v>
      </c>
      <c r="ACL163" s="1137">
        <f t="shared" si="39"/>
        <v>1</v>
      </c>
      <c r="ACM163" s="1137">
        <f t="shared" si="39"/>
        <v>1</v>
      </c>
      <c r="ACN163" s="1137">
        <f t="shared" si="39"/>
        <v>1</v>
      </c>
      <c r="ACO163" s="1137">
        <f t="shared" si="39"/>
        <v>1</v>
      </c>
      <c r="ACP163" s="1137">
        <f t="shared" si="39"/>
        <v>1</v>
      </c>
      <c r="ACQ163" s="1137">
        <f t="shared" si="43"/>
        <v>1</v>
      </c>
      <c r="ACR163" s="1137">
        <f t="shared" si="43"/>
        <v>1</v>
      </c>
      <c r="ACS163" s="1137">
        <f t="shared" si="43"/>
        <v>1</v>
      </c>
      <c r="ACT163" s="1137">
        <f t="shared" si="43"/>
        <v>1</v>
      </c>
      <c r="ACU163" s="1137">
        <f t="shared" si="43"/>
        <v>1</v>
      </c>
      <c r="ACV163" s="1137">
        <f t="shared" si="43"/>
        <v>1</v>
      </c>
      <c r="ACW163" s="1137">
        <f t="shared" si="43"/>
        <v>1</v>
      </c>
      <c r="ACX163" s="1137">
        <f t="shared" si="42"/>
        <v>1</v>
      </c>
      <c r="ACY163" s="1137">
        <f t="shared" si="42"/>
        <v>1</v>
      </c>
      <c r="ACZ163" s="1137">
        <f t="shared" si="42"/>
        <v>1</v>
      </c>
      <c r="ADA163" s="1137">
        <f t="shared" si="35"/>
        <v>1</v>
      </c>
      <c r="ADB163" s="1137">
        <f t="shared" si="35"/>
        <v>1</v>
      </c>
      <c r="ADC163" s="1137">
        <f t="shared" si="35"/>
        <v>1</v>
      </c>
    </row>
    <row r="164" spans="1:783" x14ac:dyDescent="0.25">
      <c r="A164" t="s">
        <v>1963</v>
      </c>
      <c r="B164" t="s">
        <v>253</v>
      </c>
      <c r="C164">
        <v>0</v>
      </c>
      <c r="D164">
        <v>0</v>
      </c>
      <c r="E164">
        <v>0</v>
      </c>
      <c r="F164">
        <v>0</v>
      </c>
      <c r="G164">
        <v>0</v>
      </c>
      <c r="H164">
        <v>0</v>
      </c>
      <c r="I164">
        <v>0</v>
      </c>
      <c r="J164">
        <v>0</v>
      </c>
      <c r="K164">
        <v>0</v>
      </c>
      <c r="L164">
        <v>0</v>
      </c>
      <c r="M164">
        <v>0</v>
      </c>
      <c r="N164">
        <v>0</v>
      </c>
      <c r="O164">
        <v>0</v>
      </c>
      <c r="P164">
        <v>0</v>
      </c>
      <c r="Q164">
        <v>0</v>
      </c>
      <c r="R164">
        <v>0</v>
      </c>
      <c r="S164">
        <v>0</v>
      </c>
      <c r="T164">
        <v>0</v>
      </c>
      <c r="U164">
        <v>0</v>
      </c>
      <c r="V164">
        <v>0</v>
      </c>
      <c r="W164">
        <v>0</v>
      </c>
      <c r="X164">
        <v>0</v>
      </c>
      <c r="Y164">
        <v>0</v>
      </c>
      <c r="Z164">
        <v>0</v>
      </c>
      <c r="AA164">
        <v>0</v>
      </c>
      <c r="AB164">
        <v>0</v>
      </c>
      <c r="AC164">
        <v>0</v>
      </c>
      <c r="AD164">
        <v>0</v>
      </c>
      <c r="AE164">
        <v>0</v>
      </c>
      <c r="AF164">
        <v>0</v>
      </c>
      <c r="AG164">
        <v>0</v>
      </c>
      <c r="AH164">
        <v>0</v>
      </c>
      <c r="AI164">
        <v>0</v>
      </c>
      <c r="AJ164">
        <v>0</v>
      </c>
      <c r="AK164">
        <v>0</v>
      </c>
      <c r="AL164">
        <v>0</v>
      </c>
      <c r="AM164">
        <v>0</v>
      </c>
      <c r="AN164">
        <v>0</v>
      </c>
      <c r="AO164">
        <v>0</v>
      </c>
      <c r="AP164">
        <v>0</v>
      </c>
      <c r="AQ164">
        <v>0</v>
      </c>
      <c r="AR164">
        <v>0</v>
      </c>
      <c r="AS164">
        <v>0</v>
      </c>
      <c r="AT164">
        <v>0</v>
      </c>
      <c r="AU164">
        <v>0</v>
      </c>
      <c r="AV164">
        <v>0</v>
      </c>
      <c r="AW164">
        <v>0</v>
      </c>
      <c r="AX164">
        <v>0</v>
      </c>
      <c r="AY164">
        <v>0</v>
      </c>
      <c r="AZ164">
        <v>0</v>
      </c>
      <c r="BA164">
        <v>0</v>
      </c>
      <c r="BB164">
        <v>0</v>
      </c>
      <c r="BC164">
        <v>0</v>
      </c>
      <c r="BD164">
        <v>0</v>
      </c>
      <c r="BE164">
        <v>0</v>
      </c>
      <c r="BF164">
        <v>0</v>
      </c>
      <c r="BG164">
        <v>0</v>
      </c>
      <c r="BH164">
        <v>0</v>
      </c>
      <c r="BI164">
        <v>0</v>
      </c>
      <c r="BJ164">
        <v>0</v>
      </c>
      <c r="BK164">
        <v>0</v>
      </c>
      <c r="BL164">
        <v>0</v>
      </c>
      <c r="BM164">
        <v>0</v>
      </c>
      <c r="BN164">
        <v>0</v>
      </c>
      <c r="BO164">
        <v>0</v>
      </c>
      <c r="BP164">
        <v>0</v>
      </c>
      <c r="BQ164">
        <v>0</v>
      </c>
      <c r="BR164">
        <v>0</v>
      </c>
      <c r="BS164">
        <v>0</v>
      </c>
      <c r="BT164">
        <v>0</v>
      </c>
      <c r="BU164">
        <v>0</v>
      </c>
      <c r="BV164">
        <v>0</v>
      </c>
      <c r="BW164">
        <v>0</v>
      </c>
      <c r="BX164">
        <v>0</v>
      </c>
      <c r="BY164">
        <v>0</v>
      </c>
      <c r="BZ164">
        <v>0</v>
      </c>
      <c r="CA164">
        <v>0</v>
      </c>
      <c r="CB164">
        <v>0</v>
      </c>
      <c r="CC164">
        <v>0</v>
      </c>
      <c r="CD164">
        <v>0</v>
      </c>
      <c r="CE164">
        <v>0</v>
      </c>
      <c r="CF164">
        <v>0</v>
      </c>
      <c r="CG164">
        <v>0</v>
      </c>
      <c r="CH164">
        <v>0</v>
      </c>
      <c r="CI164">
        <v>0</v>
      </c>
      <c r="CJ164">
        <v>0</v>
      </c>
      <c r="CK164">
        <v>0</v>
      </c>
      <c r="CL164">
        <v>0</v>
      </c>
      <c r="CM164">
        <v>0</v>
      </c>
      <c r="CN164">
        <v>0</v>
      </c>
      <c r="CO164">
        <v>0</v>
      </c>
      <c r="CP164">
        <v>0</v>
      </c>
      <c r="CQ164">
        <v>0</v>
      </c>
      <c r="CR164">
        <v>0</v>
      </c>
      <c r="CS164">
        <v>0</v>
      </c>
      <c r="CT164">
        <v>0</v>
      </c>
      <c r="CU164">
        <v>0</v>
      </c>
      <c r="CV164">
        <v>0</v>
      </c>
      <c r="CW164">
        <v>2</v>
      </c>
      <c r="CX164">
        <v>2</v>
      </c>
      <c r="CY164">
        <v>2</v>
      </c>
      <c r="CZ164">
        <v>2</v>
      </c>
      <c r="DA164">
        <v>2</v>
      </c>
      <c r="DB164">
        <v>2</v>
      </c>
      <c r="DC164">
        <v>2</v>
      </c>
      <c r="DD164">
        <v>2</v>
      </c>
      <c r="DE164">
        <v>2</v>
      </c>
      <c r="DF164">
        <v>2</v>
      </c>
      <c r="DG164">
        <v>2</v>
      </c>
      <c r="DH164">
        <v>2</v>
      </c>
      <c r="DI164">
        <v>2</v>
      </c>
      <c r="DJ164">
        <v>2</v>
      </c>
      <c r="DK164">
        <v>2</v>
      </c>
      <c r="DL164">
        <v>2</v>
      </c>
      <c r="DM164">
        <v>2</v>
      </c>
      <c r="DN164">
        <v>2</v>
      </c>
      <c r="DO164">
        <v>2</v>
      </c>
      <c r="DP164">
        <v>2</v>
      </c>
      <c r="DQ164">
        <v>2</v>
      </c>
      <c r="DR164">
        <v>2</v>
      </c>
      <c r="DS164">
        <v>2</v>
      </c>
      <c r="DT164">
        <v>2</v>
      </c>
      <c r="DU164">
        <v>2</v>
      </c>
      <c r="DV164">
        <v>2</v>
      </c>
      <c r="DW164">
        <v>0</v>
      </c>
      <c r="DX164">
        <v>0</v>
      </c>
      <c r="DY164">
        <v>0</v>
      </c>
      <c r="DZ164">
        <v>0</v>
      </c>
      <c r="EA164">
        <v>0</v>
      </c>
      <c r="EB164">
        <v>0</v>
      </c>
      <c r="EC164">
        <v>0</v>
      </c>
      <c r="ED164">
        <v>0</v>
      </c>
      <c r="EE164">
        <v>0</v>
      </c>
      <c r="EF164">
        <v>0</v>
      </c>
      <c r="EG164">
        <v>0</v>
      </c>
      <c r="EH164">
        <v>0</v>
      </c>
      <c r="EI164">
        <v>0</v>
      </c>
      <c r="EJ164">
        <v>0</v>
      </c>
      <c r="EK164">
        <v>0</v>
      </c>
      <c r="EL164">
        <v>0</v>
      </c>
      <c r="EM164">
        <v>0</v>
      </c>
      <c r="EN164">
        <v>0</v>
      </c>
      <c r="EO164">
        <v>0</v>
      </c>
      <c r="EP164">
        <v>0</v>
      </c>
      <c r="EQ164">
        <v>0</v>
      </c>
      <c r="ER164">
        <v>0</v>
      </c>
      <c r="ES164">
        <v>0</v>
      </c>
      <c r="ET164">
        <v>0</v>
      </c>
      <c r="EU164">
        <v>0</v>
      </c>
      <c r="EV164">
        <v>0</v>
      </c>
      <c r="EW164">
        <v>0</v>
      </c>
      <c r="EX164">
        <v>0</v>
      </c>
      <c r="EY164">
        <v>0</v>
      </c>
      <c r="EZ164">
        <v>0</v>
      </c>
      <c r="FA164">
        <v>0</v>
      </c>
      <c r="FB164">
        <v>0</v>
      </c>
      <c r="FC164">
        <v>0</v>
      </c>
      <c r="FD164">
        <v>0</v>
      </c>
      <c r="FE164">
        <v>0</v>
      </c>
      <c r="FF164">
        <v>0</v>
      </c>
      <c r="FG164">
        <v>0</v>
      </c>
      <c r="FH164">
        <v>0</v>
      </c>
      <c r="FI164">
        <v>0</v>
      </c>
      <c r="FJ164">
        <v>0</v>
      </c>
      <c r="FK164">
        <v>0</v>
      </c>
      <c r="FL164">
        <v>0</v>
      </c>
      <c r="FM164">
        <v>0</v>
      </c>
      <c r="FN164">
        <v>0</v>
      </c>
      <c r="FO164">
        <v>0</v>
      </c>
      <c r="FP164">
        <v>0</v>
      </c>
      <c r="FQ164">
        <v>0</v>
      </c>
      <c r="FR164">
        <v>0</v>
      </c>
      <c r="FS164">
        <v>0</v>
      </c>
      <c r="FT164">
        <v>0</v>
      </c>
      <c r="FU164">
        <v>0</v>
      </c>
      <c r="FV164">
        <v>0</v>
      </c>
      <c r="FW164">
        <v>0</v>
      </c>
      <c r="FX164">
        <v>0</v>
      </c>
      <c r="FY164">
        <v>0</v>
      </c>
      <c r="FZ164">
        <v>0</v>
      </c>
      <c r="GA164">
        <v>0</v>
      </c>
      <c r="GB164">
        <v>0</v>
      </c>
      <c r="GC164">
        <v>0</v>
      </c>
      <c r="GD164">
        <v>0</v>
      </c>
      <c r="GE164">
        <v>0</v>
      </c>
      <c r="GF164">
        <v>0</v>
      </c>
      <c r="GG164">
        <v>0</v>
      </c>
      <c r="GH164">
        <v>0</v>
      </c>
      <c r="GI164">
        <v>0</v>
      </c>
      <c r="GJ164">
        <v>0</v>
      </c>
      <c r="GK164">
        <v>0</v>
      </c>
      <c r="GL164">
        <v>0</v>
      </c>
      <c r="GM164">
        <v>0</v>
      </c>
      <c r="GN164">
        <v>0</v>
      </c>
      <c r="GO164">
        <v>0</v>
      </c>
      <c r="GP164">
        <v>0</v>
      </c>
      <c r="GQ164">
        <v>0</v>
      </c>
      <c r="GR164">
        <v>0</v>
      </c>
      <c r="GS164">
        <v>0</v>
      </c>
      <c r="GT164">
        <v>0</v>
      </c>
      <c r="GU164">
        <v>0</v>
      </c>
      <c r="GV164">
        <v>0</v>
      </c>
      <c r="GW164">
        <v>0</v>
      </c>
      <c r="GX164">
        <v>0</v>
      </c>
      <c r="GY164">
        <v>0</v>
      </c>
      <c r="GZ164">
        <v>0</v>
      </c>
      <c r="HA164">
        <v>0</v>
      </c>
      <c r="HB164">
        <v>0</v>
      </c>
      <c r="HC164">
        <v>0</v>
      </c>
      <c r="HD164">
        <v>0</v>
      </c>
      <c r="HE164">
        <v>0</v>
      </c>
      <c r="HF164">
        <v>0</v>
      </c>
      <c r="HG164">
        <v>0</v>
      </c>
      <c r="HH164">
        <v>0</v>
      </c>
      <c r="HI164">
        <v>0</v>
      </c>
      <c r="HJ164">
        <v>0</v>
      </c>
      <c r="HK164">
        <v>0</v>
      </c>
      <c r="HL164">
        <v>0</v>
      </c>
      <c r="HM164">
        <v>0</v>
      </c>
      <c r="HN164">
        <v>0</v>
      </c>
      <c r="HO164">
        <v>0</v>
      </c>
      <c r="HP164">
        <v>0</v>
      </c>
      <c r="HQ164">
        <v>0</v>
      </c>
      <c r="HR164">
        <v>0</v>
      </c>
      <c r="HS164">
        <v>0</v>
      </c>
      <c r="HT164">
        <v>0</v>
      </c>
      <c r="HU164">
        <v>0</v>
      </c>
      <c r="HV164">
        <v>0</v>
      </c>
      <c r="HW164">
        <v>0</v>
      </c>
      <c r="HX164">
        <v>0</v>
      </c>
      <c r="HY164">
        <v>0</v>
      </c>
      <c r="HZ164">
        <v>0</v>
      </c>
      <c r="IA164">
        <v>0</v>
      </c>
      <c r="IB164">
        <v>0</v>
      </c>
      <c r="IC164">
        <v>0</v>
      </c>
      <c r="ID164">
        <v>0</v>
      </c>
      <c r="IE164">
        <v>0</v>
      </c>
      <c r="IF164">
        <v>0</v>
      </c>
      <c r="IG164">
        <v>0</v>
      </c>
      <c r="IH164">
        <v>0</v>
      </c>
      <c r="II164">
        <v>0</v>
      </c>
      <c r="IJ164">
        <v>0</v>
      </c>
      <c r="IK164">
        <v>0</v>
      </c>
      <c r="IL164">
        <v>0</v>
      </c>
      <c r="IM164">
        <v>0</v>
      </c>
      <c r="IN164">
        <v>0</v>
      </c>
      <c r="IO164">
        <v>0</v>
      </c>
      <c r="IP164">
        <v>0</v>
      </c>
      <c r="IQ164">
        <v>0</v>
      </c>
      <c r="IR164">
        <v>0</v>
      </c>
      <c r="IS164">
        <v>0</v>
      </c>
      <c r="IT164">
        <v>0</v>
      </c>
      <c r="IU164">
        <v>0</v>
      </c>
      <c r="IV164">
        <v>0</v>
      </c>
      <c r="IW164">
        <v>0</v>
      </c>
      <c r="IX164">
        <v>0</v>
      </c>
      <c r="IY164">
        <v>0</v>
      </c>
      <c r="IZ164">
        <v>0</v>
      </c>
      <c r="JA164">
        <v>0</v>
      </c>
      <c r="JB164">
        <v>0</v>
      </c>
      <c r="JC164">
        <v>0</v>
      </c>
      <c r="JD164">
        <v>0</v>
      </c>
      <c r="JE164">
        <v>0</v>
      </c>
      <c r="JF164">
        <v>0</v>
      </c>
      <c r="JG164">
        <v>0</v>
      </c>
      <c r="JH164">
        <v>0</v>
      </c>
      <c r="JI164">
        <v>0</v>
      </c>
      <c r="JJ164">
        <v>0</v>
      </c>
      <c r="JK164">
        <v>0</v>
      </c>
      <c r="JL164">
        <v>0</v>
      </c>
      <c r="JM164">
        <v>0</v>
      </c>
      <c r="JN164">
        <v>0</v>
      </c>
      <c r="JO164">
        <v>0</v>
      </c>
      <c r="JP164">
        <v>0</v>
      </c>
      <c r="JQ164">
        <v>0</v>
      </c>
      <c r="JR164">
        <v>0</v>
      </c>
      <c r="JS164">
        <v>0</v>
      </c>
      <c r="JT164">
        <v>0</v>
      </c>
      <c r="JU164">
        <v>0</v>
      </c>
      <c r="JV164">
        <v>0</v>
      </c>
      <c r="JW164">
        <v>0</v>
      </c>
      <c r="JX164">
        <v>0</v>
      </c>
      <c r="JY164">
        <v>0</v>
      </c>
      <c r="JZ164">
        <v>0</v>
      </c>
      <c r="KA164">
        <v>0</v>
      </c>
      <c r="KB164">
        <v>0</v>
      </c>
      <c r="KC164">
        <v>0</v>
      </c>
      <c r="KD164">
        <v>0</v>
      </c>
      <c r="KE164">
        <v>0</v>
      </c>
      <c r="KF164">
        <v>0</v>
      </c>
      <c r="KG164">
        <v>0</v>
      </c>
      <c r="KH164">
        <v>0</v>
      </c>
      <c r="KI164">
        <v>0</v>
      </c>
      <c r="KJ164">
        <v>0</v>
      </c>
      <c r="KK164">
        <v>0</v>
      </c>
      <c r="KL164">
        <v>0</v>
      </c>
      <c r="KM164">
        <v>0</v>
      </c>
      <c r="KN164">
        <v>0</v>
      </c>
      <c r="KO164">
        <v>0</v>
      </c>
      <c r="KP164">
        <v>0</v>
      </c>
      <c r="KQ164">
        <v>0</v>
      </c>
      <c r="KR164">
        <v>0</v>
      </c>
      <c r="KS164">
        <v>0</v>
      </c>
      <c r="KT164">
        <v>0</v>
      </c>
      <c r="KU164">
        <v>0</v>
      </c>
      <c r="KV164">
        <v>0</v>
      </c>
      <c r="KW164">
        <v>0</v>
      </c>
      <c r="KX164">
        <v>0</v>
      </c>
      <c r="KY164">
        <v>0</v>
      </c>
      <c r="KZ164">
        <v>0</v>
      </c>
      <c r="LA164">
        <v>0</v>
      </c>
      <c r="LB164">
        <v>0</v>
      </c>
      <c r="LC164">
        <v>0</v>
      </c>
      <c r="LD164">
        <v>0</v>
      </c>
      <c r="LE164">
        <v>0</v>
      </c>
      <c r="LF164">
        <v>0</v>
      </c>
      <c r="LG164">
        <v>0</v>
      </c>
      <c r="LH164">
        <v>0</v>
      </c>
      <c r="LI164">
        <v>0</v>
      </c>
      <c r="LJ164">
        <v>0</v>
      </c>
      <c r="LK164">
        <v>0</v>
      </c>
      <c r="LL164">
        <v>0</v>
      </c>
      <c r="LM164">
        <v>0</v>
      </c>
      <c r="LN164">
        <v>0</v>
      </c>
      <c r="LO164">
        <v>0</v>
      </c>
      <c r="LP164">
        <v>0</v>
      </c>
      <c r="LQ164">
        <v>0</v>
      </c>
      <c r="LR164">
        <v>0</v>
      </c>
      <c r="LS164">
        <v>0</v>
      </c>
      <c r="LT164">
        <v>0</v>
      </c>
      <c r="LU164">
        <v>0</v>
      </c>
      <c r="LV164">
        <v>0</v>
      </c>
      <c r="LW164">
        <v>0</v>
      </c>
      <c r="LX164">
        <v>0</v>
      </c>
      <c r="LY164">
        <v>0</v>
      </c>
      <c r="LZ164">
        <v>0</v>
      </c>
      <c r="MA164">
        <v>0</v>
      </c>
      <c r="MB164">
        <v>0</v>
      </c>
      <c r="MC164">
        <v>0</v>
      </c>
      <c r="MD164">
        <v>0</v>
      </c>
      <c r="ME164">
        <v>0</v>
      </c>
      <c r="MF164">
        <v>0</v>
      </c>
      <c r="MG164">
        <v>0</v>
      </c>
      <c r="MH164">
        <v>0</v>
      </c>
      <c r="MI164">
        <v>0</v>
      </c>
      <c r="MJ164">
        <v>0</v>
      </c>
      <c r="MK164">
        <v>0</v>
      </c>
      <c r="ML164">
        <v>0</v>
      </c>
      <c r="MM164">
        <v>0</v>
      </c>
      <c r="MN164">
        <v>0</v>
      </c>
      <c r="MO164">
        <v>0</v>
      </c>
      <c r="MP164">
        <v>0</v>
      </c>
      <c r="MQ164">
        <v>0</v>
      </c>
      <c r="MR164">
        <v>0</v>
      </c>
      <c r="MS164">
        <v>0</v>
      </c>
      <c r="MT164">
        <v>0</v>
      </c>
      <c r="MU164">
        <v>0</v>
      </c>
      <c r="MV164">
        <v>0</v>
      </c>
      <c r="MW164">
        <v>0</v>
      </c>
      <c r="MX164">
        <v>0</v>
      </c>
      <c r="MY164">
        <v>0</v>
      </c>
      <c r="MZ164">
        <v>0</v>
      </c>
      <c r="NA164">
        <v>0</v>
      </c>
      <c r="NB164">
        <v>0</v>
      </c>
      <c r="NC164">
        <v>0</v>
      </c>
      <c r="ND164">
        <v>0</v>
      </c>
      <c r="NE164">
        <v>0</v>
      </c>
      <c r="NF164">
        <v>0</v>
      </c>
      <c r="NG164">
        <v>0</v>
      </c>
      <c r="NH164">
        <v>0</v>
      </c>
      <c r="NI164">
        <v>0</v>
      </c>
      <c r="NJ164">
        <v>0</v>
      </c>
      <c r="NK164">
        <v>0</v>
      </c>
      <c r="NL164">
        <v>0</v>
      </c>
      <c r="NM164">
        <v>0</v>
      </c>
      <c r="NN164">
        <v>0</v>
      </c>
      <c r="NO164">
        <v>0</v>
      </c>
      <c r="NP164">
        <v>0</v>
      </c>
      <c r="NQ164">
        <v>0</v>
      </c>
      <c r="NR164">
        <v>0</v>
      </c>
      <c r="NS164">
        <v>0</v>
      </c>
      <c r="NT164">
        <v>0</v>
      </c>
      <c r="NU164">
        <v>0</v>
      </c>
      <c r="NV164">
        <v>2</v>
      </c>
      <c r="NW164">
        <v>2</v>
      </c>
      <c r="NX164">
        <v>2</v>
      </c>
      <c r="NY164">
        <v>2</v>
      </c>
      <c r="NZ164">
        <v>2</v>
      </c>
      <c r="OA164">
        <v>2</v>
      </c>
      <c r="OB164">
        <v>2</v>
      </c>
      <c r="OC164">
        <v>2</v>
      </c>
      <c r="OD164">
        <v>1</v>
      </c>
      <c r="OE164">
        <v>1</v>
      </c>
      <c r="OF164">
        <v>1</v>
      </c>
      <c r="OG164">
        <v>1</v>
      </c>
      <c r="OH164">
        <v>1</v>
      </c>
      <c r="OI164">
        <v>1</v>
      </c>
      <c r="OJ164">
        <v>1</v>
      </c>
      <c r="OK164">
        <v>1</v>
      </c>
      <c r="OL164">
        <v>1</v>
      </c>
      <c r="OM164">
        <v>1</v>
      </c>
      <c r="ON164">
        <v>1</v>
      </c>
      <c r="OO164">
        <v>1</v>
      </c>
      <c r="OP164">
        <v>1</v>
      </c>
      <c r="OQ164">
        <v>1</v>
      </c>
      <c r="OR164">
        <v>1</v>
      </c>
      <c r="OS164">
        <v>1</v>
      </c>
      <c r="OT164">
        <v>1</v>
      </c>
      <c r="OU164">
        <v>1</v>
      </c>
      <c r="OV164">
        <v>1</v>
      </c>
      <c r="OW164">
        <v>1</v>
      </c>
      <c r="OX164">
        <v>1</v>
      </c>
      <c r="OY164">
        <v>1</v>
      </c>
      <c r="OZ164">
        <v>1</v>
      </c>
      <c r="PA164">
        <v>1</v>
      </c>
      <c r="PB164">
        <v>1</v>
      </c>
      <c r="PC164">
        <v>1</v>
      </c>
      <c r="PD164">
        <v>1</v>
      </c>
      <c r="PE164">
        <v>1</v>
      </c>
      <c r="PF164">
        <v>1</v>
      </c>
      <c r="PG164">
        <v>1</v>
      </c>
      <c r="PH164">
        <v>1</v>
      </c>
      <c r="PI164">
        <v>1</v>
      </c>
      <c r="PJ164">
        <v>1</v>
      </c>
      <c r="PK164">
        <v>1</v>
      </c>
      <c r="PL164">
        <v>1</v>
      </c>
      <c r="PM164">
        <v>1</v>
      </c>
      <c r="PN164">
        <v>1</v>
      </c>
      <c r="PO164">
        <v>1</v>
      </c>
      <c r="PP164">
        <v>1</v>
      </c>
      <c r="PQ164">
        <v>1</v>
      </c>
      <c r="PR164">
        <v>1</v>
      </c>
      <c r="PS164">
        <v>1</v>
      </c>
      <c r="PT164">
        <v>1</v>
      </c>
      <c r="PU164">
        <v>1</v>
      </c>
      <c r="PV164">
        <v>1</v>
      </c>
      <c r="PW164">
        <v>1</v>
      </c>
      <c r="PX164">
        <v>1</v>
      </c>
      <c r="PY164">
        <v>1</v>
      </c>
      <c r="PZ164">
        <v>1</v>
      </c>
      <c r="QA164">
        <v>1</v>
      </c>
      <c r="QB164">
        <v>1</v>
      </c>
      <c r="QC164">
        <v>1</v>
      </c>
      <c r="QD164">
        <v>1</v>
      </c>
      <c r="QE164">
        <v>1</v>
      </c>
      <c r="QF164">
        <v>1</v>
      </c>
      <c r="QG164">
        <v>1</v>
      </c>
      <c r="QH164">
        <v>1</v>
      </c>
      <c r="QI164">
        <v>1</v>
      </c>
      <c r="QJ164">
        <v>1</v>
      </c>
      <c r="QK164">
        <v>1</v>
      </c>
      <c r="QL164">
        <v>1</v>
      </c>
      <c r="QM164">
        <v>1</v>
      </c>
      <c r="QN164">
        <v>1</v>
      </c>
      <c r="QO164">
        <v>1</v>
      </c>
      <c r="QP164">
        <v>1</v>
      </c>
      <c r="QQ164">
        <v>1</v>
      </c>
      <c r="QR164">
        <v>1</v>
      </c>
      <c r="QS164">
        <v>1</v>
      </c>
      <c r="QT164">
        <v>1</v>
      </c>
      <c r="QU164">
        <v>1</v>
      </c>
      <c r="QV164">
        <v>1</v>
      </c>
      <c r="QW164">
        <v>1</v>
      </c>
      <c r="QX164">
        <v>1</v>
      </c>
      <c r="QY164">
        <v>1</v>
      </c>
      <c r="QZ164">
        <v>1</v>
      </c>
      <c r="RA164">
        <v>1</v>
      </c>
      <c r="RB164">
        <v>1</v>
      </c>
      <c r="RC164">
        <v>0</v>
      </c>
      <c r="RD164">
        <v>0</v>
      </c>
      <c r="RE164">
        <v>0</v>
      </c>
      <c r="RF164">
        <v>0</v>
      </c>
      <c r="RG164">
        <v>0</v>
      </c>
      <c r="RH164">
        <v>0</v>
      </c>
      <c r="RI164">
        <v>0</v>
      </c>
      <c r="RJ164">
        <v>0</v>
      </c>
      <c r="RK164">
        <v>0</v>
      </c>
      <c r="RL164">
        <v>0</v>
      </c>
      <c r="RM164">
        <v>0</v>
      </c>
      <c r="RN164">
        <v>0</v>
      </c>
      <c r="RO164">
        <v>0</v>
      </c>
      <c r="RP164">
        <v>0</v>
      </c>
      <c r="RQ164">
        <v>0</v>
      </c>
      <c r="RR164">
        <v>0</v>
      </c>
      <c r="RS164">
        <v>0</v>
      </c>
      <c r="RT164">
        <v>0</v>
      </c>
      <c r="RU164">
        <v>0</v>
      </c>
      <c r="RV164">
        <v>0</v>
      </c>
      <c r="RW164">
        <v>0</v>
      </c>
      <c r="RX164">
        <v>0</v>
      </c>
      <c r="RY164">
        <v>0</v>
      </c>
      <c r="RZ164">
        <v>0</v>
      </c>
      <c r="SA164">
        <v>0</v>
      </c>
      <c r="SB164">
        <v>0</v>
      </c>
      <c r="SC164">
        <v>0</v>
      </c>
      <c r="SD164">
        <v>0</v>
      </c>
      <c r="SE164">
        <v>0</v>
      </c>
      <c r="SF164">
        <v>0</v>
      </c>
      <c r="SG164">
        <v>0</v>
      </c>
      <c r="SH164">
        <v>0</v>
      </c>
      <c r="SI164">
        <v>0</v>
      </c>
      <c r="SJ164">
        <v>0</v>
      </c>
      <c r="SK164">
        <v>0</v>
      </c>
      <c r="SL164">
        <v>0</v>
      </c>
      <c r="SM164">
        <v>0</v>
      </c>
      <c r="SN164">
        <v>0</v>
      </c>
      <c r="SO164">
        <v>0</v>
      </c>
      <c r="SP164">
        <v>0</v>
      </c>
      <c r="SQ164">
        <v>0</v>
      </c>
      <c r="SR164">
        <v>0</v>
      </c>
      <c r="SS164">
        <v>0</v>
      </c>
      <c r="ST164">
        <v>0</v>
      </c>
      <c r="SU164">
        <v>0</v>
      </c>
      <c r="SV164">
        <v>0</v>
      </c>
      <c r="SW164">
        <v>0</v>
      </c>
      <c r="SX164">
        <v>0</v>
      </c>
      <c r="SY164">
        <v>0</v>
      </c>
      <c r="SZ164">
        <v>1</v>
      </c>
      <c r="TA164">
        <v>1</v>
      </c>
      <c r="TB164">
        <v>1</v>
      </c>
      <c r="TC164">
        <v>1</v>
      </c>
      <c r="TD164">
        <v>1</v>
      </c>
      <c r="TE164">
        <v>1</v>
      </c>
      <c r="TF164">
        <v>1</v>
      </c>
      <c r="TG164">
        <v>1</v>
      </c>
      <c r="TH164">
        <v>1</v>
      </c>
      <c r="TI164">
        <v>1</v>
      </c>
      <c r="TJ164">
        <v>1</v>
      </c>
      <c r="TK164">
        <v>1</v>
      </c>
      <c r="TL164">
        <v>1</v>
      </c>
      <c r="TM164">
        <v>1</v>
      </c>
      <c r="TN164">
        <v>2</v>
      </c>
      <c r="TO164">
        <v>2</v>
      </c>
      <c r="TP164">
        <v>2</v>
      </c>
      <c r="TQ164">
        <v>2</v>
      </c>
      <c r="TR164">
        <v>2</v>
      </c>
      <c r="TS164">
        <v>2</v>
      </c>
      <c r="TT164">
        <v>2</v>
      </c>
      <c r="TU164">
        <v>2</v>
      </c>
      <c r="TV164">
        <v>2</v>
      </c>
      <c r="TW164">
        <v>2</v>
      </c>
      <c r="TX164">
        <v>2</v>
      </c>
      <c r="TY164">
        <v>2</v>
      </c>
      <c r="TZ164">
        <v>2</v>
      </c>
      <c r="UA164">
        <v>2</v>
      </c>
      <c r="UB164">
        <v>2</v>
      </c>
      <c r="UC164">
        <v>2</v>
      </c>
      <c r="UD164">
        <v>2</v>
      </c>
      <c r="UE164">
        <v>2</v>
      </c>
      <c r="UF164">
        <v>2</v>
      </c>
      <c r="UG164">
        <v>2</v>
      </c>
      <c r="UH164">
        <v>2</v>
      </c>
      <c r="UI164">
        <v>2</v>
      </c>
      <c r="UJ164">
        <v>2</v>
      </c>
      <c r="UK164">
        <v>2</v>
      </c>
      <c r="UL164">
        <v>2</v>
      </c>
      <c r="UM164">
        <v>2</v>
      </c>
      <c r="UN164">
        <v>2</v>
      </c>
      <c r="UO164">
        <v>2</v>
      </c>
      <c r="UP164">
        <v>2</v>
      </c>
      <c r="UQ164">
        <v>2</v>
      </c>
      <c r="UR164">
        <v>2</v>
      </c>
      <c r="US164">
        <v>2</v>
      </c>
      <c r="UT164">
        <v>2</v>
      </c>
      <c r="UU164">
        <v>2</v>
      </c>
      <c r="UV164">
        <v>2</v>
      </c>
      <c r="UW164">
        <v>2</v>
      </c>
      <c r="UX164">
        <v>2</v>
      </c>
      <c r="UY164">
        <v>2</v>
      </c>
      <c r="UZ164">
        <v>2</v>
      </c>
      <c r="VA164">
        <v>2</v>
      </c>
      <c r="VB164">
        <v>2</v>
      </c>
      <c r="VC164">
        <v>2</v>
      </c>
      <c r="VD164">
        <v>2</v>
      </c>
      <c r="VE164">
        <v>2</v>
      </c>
      <c r="VF164">
        <v>2</v>
      </c>
      <c r="VG164">
        <v>2</v>
      </c>
      <c r="VH164">
        <v>2</v>
      </c>
      <c r="VI164">
        <v>2</v>
      </c>
      <c r="VJ164">
        <v>2</v>
      </c>
      <c r="VK164">
        <v>2</v>
      </c>
      <c r="VL164">
        <v>2</v>
      </c>
      <c r="VM164">
        <v>2</v>
      </c>
      <c r="VN164">
        <v>2</v>
      </c>
      <c r="VO164">
        <v>2</v>
      </c>
      <c r="VP164">
        <v>2</v>
      </c>
      <c r="VQ164">
        <v>2</v>
      </c>
      <c r="VR164">
        <v>2</v>
      </c>
      <c r="VS164">
        <v>2</v>
      </c>
      <c r="VT164">
        <v>2</v>
      </c>
      <c r="VU164">
        <v>2</v>
      </c>
      <c r="VV164">
        <v>2</v>
      </c>
      <c r="VW164">
        <v>2</v>
      </c>
      <c r="VX164">
        <v>2</v>
      </c>
      <c r="VY164">
        <v>2</v>
      </c>
      <c r="VZ164">
        <v>2</v>
      </c>
      <c r="WA164">
        <v>2</v>
      </c>
      <c r="WB164">
        <v>2</v>
      </c>
      <c r="WC164">
        <v>2</v>
      </c>
      <c r="WD164">
        <v>2</v>
      </c>
      <c r="WE164">
        <v>2</v>
      </c>
      <c r="WF164">
        <v>2</v>
      </c>
      <c r="WG164">
        <v>2</v>
      </c>
      <c r="WH164">
        <v>2</v>
      </c>
      <c r="WI164">
        <v>2</v>
      </c>
      <c r="WJ164">
        <v>2</v>
      </c>
      <c r="WK164">
        <v>2</v>
      </c>
      <c r="WL164">
        <v>2</v>
      </c>
      <c r="WM164">
        <v>2</v>
      </c>
      <c r="WN164">
        <v>2</v>
      </c>
      <c r="WO164">
        <v>2</v>
      </c>
      <c r="WP164">
        <v>2</v>
      </c>
      <c r="WQ164">
        <v>2</v>
      </c>
      <c r="WR164">
        <v>2</v>
      </c>
      <c r="WS164">
        <v>2</v>
      </c>
      <c r="WT164">
        <v>2</v>
      </c>
      <c r="WU164">
        <v>2</v>
      </c>
      <c r="WV164">
        <v>2</v>
      </c>
      <c r="WW164">
        <v>2</v>
      </c>
      <c r="WX164">
        <v>2</v>
      </c>
      <c r="WY164">
        <v>2</v>
      </c>
      <c r="WZ164">
        <v>2</v>
      </c>
      <c r="XA164">
        <v>2</v>
      </c>
      <c r="XB164">
        <v>2</v>
      </c>
      <c r="XC164">
        <v>2</v>
      </c>
      <c r="XD164">
        <v>2</v>
      </c>
      <c r="XE164">
        <v>2</v>
      </c>
      <c r="XF164">
        <v>2</v>
      </c>
      <c r="XG164">
        <v>2</v>
      </c>
      <c r="XH164">
        <v>2</v>
      </c>
      <c r="XI164">
        <v>2</v>
      </c>
      <c r="XJ164">
        <v>2</v>
      </c>
      <c r="XK164">
        <v>2</v>
      </c>
      <c r="XL164">
        <v>2</v>
      </c>
      <c r="XM164">
        <v>2</v>
      </c>
      <c r="XN164">
        <v>2</v>
      </c>
      <c r="XO164">
        <v>2</v>
      </c>
      <c r="XP164">
        <v>2</v>
      </c>
      <c r="XQ164">
        <v>2</v>
      </c>
      <c r="XR164">
        <v>2</v>
      </c>
      <c r="XS164">
        <v>2</v>
      </c>
      <c r="XT164">
        <v>2</v>
      </c>
      <c r="XU164">
        <v>2</v>
      </c>
      <c r="XV164">
        <v>0</v>
      </c>
      <c r="XW164">
        <v>0</v>
      </c>
      <c r="XX164">
        <v>0</v>
      </c>
      <c r="XY164">
        <v>0</v>
      </c>
      <c r="XZ164">
        <v>0</v>
      </c>
      <c r="YA164">
        <v>0</v>
      </c>
      <c r="YB164">
        <v>0</v>
      </c>
      <c r="YC164">
        <v>1</v>
      </c>
      <c r="YD164">
        <v>1</v>
      </c>
      <c r="YE164">
        <v>1</v>
      </c>
      <c r="YF164">
        <v>1</v>
      </c>
      <c r="YG164">
        <v>1</v>
      </c>
      <c r="YH164">
        <v>1</v>
      </c>
      <c r="YI164">
        <v>1</v>
      </c>
      <c r="YJ164">
        <v>2</v>
      </c>
      <c r="YK164">
        <v>2</v>
      </c>
      <c r="YL164">
        <v>2</v>
      </c>
      <c r="YM164">
        <v>2</v>
      </c>
      <c r="YN164">
        <v>2</v>
      </c>
      <c r="YO164">
        <v>2</v>
      </c>
      <c r="YP164">
        <v>2</v>
      </c>
      <c r="YQ164">
        <v>2</v>
      </c>
      <c r="YR164">
        <v>2</v>
      </c>
      <c r="YS164">
        <v>2</v>
      </c>
      <c r="YT164">
        <v>2</v>
      </c>
      <c r="YU164">
        <v>2</v>
      </c>
      <c r="YV164">
        <v>2</v>
      </c>
      <c r="YW164">
        <v>2</v>
      </c>
      <c r="YX164">
        <v>2</v>
      </c>
      <c r="YY164">
        <v>2</v>
      </c>
      <c r="YZ164">
        <v>2</v>
      </c>
      <c r="ZA164">
        <v>2</v>
      </c>
      <c r="ZB164">
        <v>2</v>
      </c>
      <c r="ZC164">
        <v>2</v>
      </c>
      <c r="ZD164">
        <v>2</v>
      </c>
      <c r="ZE164">
        <v>2</v>
      </c>
      <c r="ZF164">
        <v>2</v>
      </c>
      <c r="ZG164">
        <v>2</v>
      </c>
      <c r="ZH164">
        <v>2</v>
      </c>
      <c r="ZI164">
        <v>2</v>
      </c>
      <c r="ZJ164">
        <v>2</v>
      </c>
      <c r="ZK164">
        <v>2</v>
      </c>
      <c r="ZL164">
        <v>2</v>
      </c>
      <c r="ZM164">
        <v>2</v>
      </c>
      <c r="ZN164">
        <v>2</v>
      </c>
      <c r="ZO164">
        <v>2</v>
      </c>
      <c r="ZP164">
        <v>2</v>
      </c>
      <c r="ZQ164">
        <v>2</v>
      </c>
      <c r="ZR164">
        <v>2</v>
      </c>
      <c r="ZS164">
        <v>1</v>
      </c>
      <c r="ZT164">
        <v>1</v>
      </c>
      <c r="ZU164">
        <v>1</v>
      </c>
      <c r="ZV164">
        <v>1</v>
      </c>
      <c r="ZW164">
        <v>1</v>
      </c>
      <c r="ZX164">
        <v>1</v>
      </c>
      <c r="ZY164">
        <v>1</v>
      </c>
      <c r="ZZ164">
        <v>1</v>
      </c>
      <c r="AAA164">
        <v>1</v>
      </c>
      <c r="AAB164">
        <v>1</v>
      </c>
      <c r="AAC164">
        <v>1</v>
      </c>
      <c r="AAD164">
        <v>1</v>
      </c>
      <c r="AAE164">
        <v>1</v>
      </c>
      <c r="AAF164">
        <v>1</v>
      </c>
      <c r="AAG164">
        <v>1</v>
      </c>
      <c r="AAH164">
        <v>1</v>
      </c>
      <c r="AAI164">
        <v>1</v>
      </c>
      <c r="AAJ164">
        <v>1</v>
      </c>
      <c r="AAK164">
        <v>1</v>
      </c>
      <c r="AAL164">
        <v>1</v>
      </c>
      <c r="AAM164">
        <v>1</v>
      </c>
      <c r="AAN164">
        <v>1</v>
      </c>
      <c r="AAO164">
        <v>1</v>
      </c>
      <c r="AAP164">
        <v>1</v>
      </c>
      <c r="AAQ164">
        <v>1</v>
      </c>
      <c r="AAR164">
        <v>1</v>
      </c>
      <c r="AAS164">
        <v>1</v>
      </c>
      <c r="AAT164">
        <v>1</v>
      </c>
      <c r="AAU164">
        <v>1</v>
      </c>
      <c r="AAV164">
        <v>1</v>
      </c>
      <c r="AAW164">
        <v>1</v>
      </c>
      <c r="AAX164">
        <v>1</v>
      </c>
      <c r="AAY164">
        <v>1</v>
      </c>
      <c r="AAZ164">
        <v>1</v>
      </c>
      <c r="ABA164">
        <v>1</v>
      </c>
      <c r="ABB164">
        <v>1</v>
      </c>
      <c r="ABC164">
        <v>1</v>
      </c>
      <c r="ABD164">
        <v>1</v>
      </c>
      <c r="ABE164">
        <v>1</v>
      </c>
      <c r="ABG164" s="1137">
        <f t="shared" ref="ABG164:ABV179" si="45">COUNTIFS($C$3:$ABE$3, ABG$3, $C$4:$ABE$4, ABG$4, $C164:$ABE164, "&gt;0")</f>
        <v>0</v>
      </c>
      <c r="ABH164" s="1137">
        <f t="shared" si="45"/>
        <v>0</v>
      </c>
      <c r="ABI164" s="1137">
        <f t="shared" si="45"/>
        <v>0</v>
      </c>
      <c r="ABJ164" s="1137">
        <f t="shared" si="45"/>
        <v>23</v>
      </c>
      <c r="ABK164" s="1137">
        <f t="shared" si="45"/>
        <v>3</v>
      </c>
      <c r="ABL164" s="1137">
        <f t="shared" si="45"/>
        <v>0</v>
      </c>
      <c r="ABM164" s="1137">
        <f t="shared" si="45"/>
        <v>0</v>
      </c>
      <c r="ABN164" s="1137">
        <f t="shared" si="45"/>
        <v>0</v>
      </c>
      <c r="ABO164" s="1137">
        <f t="shared" si="45"/>
        <v>0</v>
      </c>
      <c r="ABP164" s="1137">
        <f t="shared" si="45"/>
        <v>0</v>
      </c>
      <c r="ABQ164" s="1137">
        <f t="shared" si="45"/>
        <v>0</v>
      </c>
      <c r="ABR164" s="1137">
        <f t="shared" si="45"/>
        <v>0</v>
      </c>
      <c r="ABS164" s="1137">
        <f t="shared" si="45"/>
        <v>14</v>
      </c>
      <c r="ABT164" s="1137">
        <f t="shared" si="45"/>
        <v>28</v>
      </c>
      <c r="ABU164" s="1137">
        <f t="shared" si="45"/>
        <v>31</v>
      </c>
      <c r="ABV164" s="1137">
        <f t="shared" si="45"/>
        <v>12</v>
      </c>
      <c r="ABW164" s="1137">
        <f t="shared" si="31"/>
        <v>0</v>
      </c>
      <c r="ABX164" s="1137">
        <f t="shared" si="31"/>
        <v>30</v>
      </c>
      <c r="ABY164" s="1137">
        <f t="shared" si="31"/>
        <v>31</v>
      </c>
      <c r="ABZ164" s="1137">
        <f t="shared" si="31"/>
        <v>31</v>
      </c>
      <c r="ACA164" s="1137">
        <f t="shared" si="31"/>
        <v>30</v>
      </c>
      <c r="ACB164" s="1137">
        <f t="shared" si="31"/>
        <v>24</v>
      </c>
      <c r="ACC164" s="1137">
        <f t="shared" si="31"/>
        <v>30</v>
      </c>
      <c r="ACD164" s="1137">
        <f t="shared" si="31"/>
        <v>31</v>
      </c>
      <c r="ACE164" s="1137" t="s">
        <v>253</v>
      </c>
      <c r="ACF164" s="1137">
        <f t="shared" si="39"/>
        <v>0</v>
      </c>
      <c r="ACG164" s="1137">
        <f t="shared" si="39"/>
        <v>0</v>
      </c>
      <c r="ACH164" s="1137">
        <f t="shared" si="39"/>
        <v>0</v>
      </c>
      <c r="ACI164" s="1137">
        <f t="shared" si="39"/>
        <v>1</v>
      </c>
      <c r="ACJ164" s="1137">
        <f t="shared" si="39"/>
        <v>0</v>
      </c>
      <c r="ACK164" s="1137">
        <f t="shared" si="39"/>
        <v>0</v>
      </c>
      <c r="ACL164" s="1137">
        <f t="shared" si="39"/>
        <v>0</v>
      </c>
      <c r="ACM164" s="1137">
        <f t="shared" si="39"/>
        <v>0</v>
      </c>
      <c r="ACN164" s="1137">
        <f t="shared" si="39"/>
        <v>0</v>
      </c>
      <c r="ACO164" s="1137">
        <f t="shared" si="39"/>
        <v>0</v>
      </c>
      <c r="ACP164" s="1137">
        <f t="shared" si="39"/>
        <v>0</v>
      </c>
      <c r="ACQ164" s="1137">
        <f t="shared" si="43"/>
        <v>0</v>
      </c>
      <c r="ACR164" s="1137">
        <f t="shared" si="43"/>
        <v>1</v>
      </c>
      <c r="ACS164" s="1137">
        <f t="shared" si="43"/>
        <v>1</v>
      </c>
      <c r="ACT164" s="1137">
        <f t="shared" si="43"/>
        <v>1</v>
      </c>
      <c r="ACU164" s="1137">
        <f t="shared" si="43"/>
        <v>1</v>
      </c>
      <c r="ACV164" s="1137">
        <f t="shared" si="43"/>
        <v>0</v>
      </c>
      <c r="ACW164" s="1137">
        <f t="shared" si="43"/>
        <v>1</v>
      </c>
      <c r="ACX164" s="1137">
        <f t="shared" si="42"/>
        <v>1</v>
      </c>
      <c r="ACY164" s="1137">
        <f t="shared" si="42"/>
        <v>1</v>
      </c>
      <c r="ACZ164" s="1137">
        <f t="shared" si="42"/>
        <v>1</v>
      </c>
      <c r="ADA164" s="1137">
        <f t="shared" si="35"/>
        <v>1</v>
      </c>
      <c r="ADB164" s="1137">
        <f t="shared" si="35"/>
        <v>1</v>
      </c>
      <c r="ADC164" s="1137">
        <f t="shared" si="35"/>
        <v>1</v>
      </c>
    </row>
    <row r="165" spans="1:783" x14ac:dyDescent="0.25">
      <c r="A165" t="s">
        <v>1964</v>
      </c>
      <c r="B165" t="s">
        <v>1234</v>
      </c>
      <c r="C165">
        <v>0</v>
      </c>
      <c r="D165">
        <v>0</v>
      </c>
      <c r="E165">
        <v>0</v>
      </c>
      <c r="F165">
        <v>0</v>
      </c>
      <c r="G165">
        <v>0</v>
      </c>
      <c r="H165">
        <v>0</v>
      </c>
      <c r="I165">
        <v>0</v>
      </c>
      <c r="J165">
        <v>0</v>
      </c>
      <c r="K165">
        <v>0</v>
      </c>
      <c r="L165">
        <v>0</v>
      </c>
      <c r="M165">
        <v>0</v>
      </c>
      <c r="N165">
        <v>0</v>
      </c>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c r="AO165">
        <v>0</v>
      </c>
      <c r="AP165">
        <v>0</v>
      </c>
      <c r="AQ165">
        <v>0</v>
      </c>
      <c r="AR165">
        <v>0</v>
      </c>
      <c r="AS165">
        <v>0</v>
      </c>
      <c r="AT165">
        <v>0</v>
      </c>
      <c r="AU165">
        <v>0</v>
      </c>
      <c r="AV165">
        <v>0</v>
      </c>
      <c r="AW165">
        <v>0</v>
      </c>
      <c r="AX165">
        <v>0</v>
      </c>
      <c r="AY165">
        <v>0</v>
      </c>
      <c r="AZ165">
        <v>0</v>
      </c>
      <c r="BA165">
        <v>0</v>
      </c>
      <c r="BB165">
        <v>0</v>
      </c>
      <c r="BC165">
        <v>0</v>
      </c>
      <c r="BD165">
        <v>0</v>
      </c>
      <c r="BE165">
        <v>0</v>
      </c>
      <c r="BF165">
        <v>0</v>
      </c>
      <c r="BG165">
        <v>0</v>
      </c>
      <c r="BH165">
        <v>0</v>
      </c>
      <c r="BI165">
        <v>0</v>
      </c>
      <c r="BJ165">
        <v>0</v>
      </c>
      <c r="BK165">
        <v>0</v>
      </c>
      <c r="BL165">
        <v>0</v>
      </c>
      <c r="BM165">
        <v>0</v>
      </c>
      <c r="BN165">
        <v>0</v>
      </c>
      <c r="BO165">
        <v>0</v>
      </c>
      <c r="BP165">
        <v>0</v>
      </c>
      <c r="BQ165">
        <v>0</v>
      </c>
      <c r="BR165">
        <v>0</v>
      </c>
      <c r="BS165">
        <v>0</v>
      </c>
      <c r="BT165">
        <v>0</v>
      </c>
      <c r="BU165">
        <v>0</v>
      </c>
      <c r="BV165">
        <v>0</v>
      </c>
      <c r="BW165">
        <v>0</v>
      </c>
      <c r="BX165">
        <v>0</v>
      </c>
      <c r="BY165">
        <v>0</v>
      </c>
      <c r="BZ165">
        <v>0</v>
      </c>
      <c r="CA165">
        <v>0</v>
      </c>
      <c r="CB165">
        <v>0</v>
      </c>
      <c r="CC165">
        <v>0</v>
      </c>
      <c r="CD165">
        <v>0</v>
      </c>
      <c r="CE165">
        <v>0</v>
      </c>
      <c r="CF165">
        <v>0</v>
      </c>
      <c r="CG165">
        <v>0</v>
      </c>
      <c r="CH165">
        <v>0</v>
      </c>
      <c r="CI165">
        <v>2</v>
      </c>
      <c r="CJ165">
        <v>2</v>
      </c>
      <c r="CK165">
        <v>2</v>
      </c>
      <c r="CL165">
        <v>2</v>
      </c>
      <c r="CM165">
        <v>2</v>
      </c>
      <c r="CN165">
        <v>2</v>
      </c>
      <c r="CO165">
        <v>2</v>
      </c>
      <c r="CP165">
        <v>2</v>
      </c>
      <c r="CQ165">
        <v>2</v>
      </c>
      <c r="CR165">
        <v>2</v>
      </c>
      <c r="CS165">
        <v>2</v>
      </c>
      <c r="CT165">
        <v>2</v>
      </c>
      <c r="CU165">
        <v>2</v>
      </c>
      <c r="CV165">
        <v>2</v>
      </c>
      <c r="CW165">
        <v>2</v>
      </c>
      <c r="CX165">
        <v>2</v>
      </c>
      <c r="CY165">
        <v>2</v>
      </c>
      <c r="CZ165">
        <v>2</v>
      </c>
      <c r="DA165">
        <v>2</v>
      </c>
      <c r="DB165">
        <v>2</v>
      </c>
      <c r="DC165">
        <v>2</v>
      </c>
      <c r="DD165">
        <v>2</v>
      </c>
      <c r="DE165">
        <v>2</v>
      </c>
      <c r="DF165">
        <v>2</v>
      </c>
      <c r="DG165">
        <v>2</v>
      </c>
      <c r="DH165">
        <v>2</v>
      </c>
      <c r="DI165">
        <v>0</v>
      </c>
      <c r="DJ165">
        <v>0</v>
      </c>
      <c r="DK165">
        <v>2</v>
      </c>
      <c r="DL165">
        <v>2</v>
      </c>
      <c r="DM165">
        <v>2</v>
      </c>
      <c r="DN165">
        <v>2</v>
      </c>
      <c r="DO165">
        <v>2</v>
      </c>
      <c r="DP165">
        <v>2</v>
      </c>
      <c r="DQ165">
        <v>2</v>
      </c>
      <c r="DR165">
        <v>2</v>
      </c>
      <c r="DS165">
        <v>2</v>
      </c>
      <c r="DT165">
        <v>2</v>
      </c>
      <c r="DU165">
        <v>2</v>
      </c>
      <c r="DV165">
        <v>2</v>
      </c>
      <c r="DW165">
        <v>2</v>
      </c>
      <c r="DX165">
        <v>2</v>
      </c>
      <c r="DY165">
        <v>2</v>
      </c>
      <c r="DZ165">
        <v>2</v>
      </c>
      <c r="EA165">
        <v>2</v>
      </c>
      <c r="EB165">
        <v>2</v>
      </c>
      <c r="EC165">
        <v>2</v>
      </c>
      <c r="ED165">
        <v>2</v>
      </c>
      <c r="EE165">
        <v>2</v>
      </c>
      <c r="EF165">
        <v>2</v>
      </c>
      <c r="EG165">
        <v>2</v>
      </c>
      <c r="EH165">
        <v>2</v>
      </c>
      <c r="EI165">
        <v>2</v>
      </c>
      <c r="EJ165">
        <v>2</v>
      </c>
      <c r="EK165">
        <v>2</v>
      </c>
      <c r="EL165">
        <v>2</v>
      </c>
      <c r="EM165">
        <v>2</v>
      </c>
      <c r="EN165">
        <v>2</v>
      </c>
      <c r="EO165">
        <v>2</v>
      </c>
      <c r="EP165">
        <v>2</v>
      </c>
      <c r="EQ165">
        <v>2</v>
      </c>
      <c r="ER165">
        <v>2</v>
      </c>
      <c r="ES165">
        <v>2</v>
      </c>
      <c r="ET165">
        <v>2</v>
      </c>
      <c r="EU165">
        <v>2</v>
      </c>
      <c r="EV165">
        <v>2</v>
      </c>
      <c r="EW165">
        <v>2</v>
      </c>
      <c r="EX165">
        <v>2</v>
      </c>
      <c r="EY165">
        <v>2</v>
      </c>
      <c r="EZ165">
        <v>2</v>
      </c>
      <c r="FA165">
        <v>2</v>
      </c>
      <c r="FB165">
        <v>2</v>
      </c>
      <c r="FC165">
        <v>2</v>
      </c>
      <c r="FD165">
        <v>2</v>
      </c>
      <c r="FE165">
        <v>2</v>
      </c>
      <c r="FF165">
        <v>2</v>
      </c>
      <c r="FG165">
        <v>2</v>
      </c>
      <c r="FH165">
        <v>2</v>
      </c>
      <c r="FI165">
        <v>2</v>
      </c>
      <c r="FJ165">
        <v>2</v>
      </c>
      <c r="FK165">
        <v>2</v>
      </c>
      <c r="FL165">
        <v>2</v>
      </c>
      <c r="FM165">
        <v>2</v>
      </c>
      <c r="FN165">
        <v>2</v>
      </c>
      <c r="FO165">
        <v>2</v>
      </c>
      <c r="FP165">
        <v>2</v>
      </c>
      <c r="FQ165">
        <v>2</v>
      </c>
      <c r="FR165">
        <v>2</v>
      </c>
      <c r="FS165">
        <v>2</v>
      </c>
      <c r="FT165">
        <v>2</v>
      </c>
      <c r="FU165">
        <v>2</v>
      </c>
      <c r="FV165">
        <v>2</v>
      </c>
      <c r="FW165">
        <v>2</v>
      </c>
      <c r="FX165">
        <v>2</v>
      </c>
      <c r="FY165">
        <v>2</v>
      </c>
      <c r="FZ165">
        <v>2</v>
      </c>
      <c r="GA165">
        <v>2</v>
      </c>
      <c r="GB165">
        <v>2</v>
      </c>
      <c r="GC165">
        <v>2</v>
      </c>
      <c r="GD165">
        <v>2</v>
      </c>
      <c r="GE165">
        <v>2</v>
      </c>
      <c r="GF165">
        <v>2</v>
      </c>
      <c r="GG165">
        <v>2</v>
      </c>
      <c r="GH165">
        <v>2</v>
      </c>
      <c r="GI165">
        <v>2</v>
      </c>
      <c r="GJ165">
        <v>2</v>
      </c>
      <c r="GK165">
        <v>2</v>
      </c>
      <c r="GL165">
        <v>2</v>
      </c>
      <c r="GM165">
        <v>2</v>
      </c>
      <c r="GN165">
        <v>2</v>
      </c>
      <c r="GO165">
        <v>2</v>
      </c>
      <c r="GP165">
        <v>2</v>
      </c>
      <c r="GQ165">
        <v>2</v>
      </c>
      <c r="GR165">
        <v>2</v>
      </c>
      <c r="GS165">
        <v>2</v>
      </c>
      <c r="GT165">
        <v>2</v>
      </c>
      <c r="GU165">
        <v>2</v>
      </c>
      <c r="GV165">
        <v>2</v>
      </c>
      <c r="GW165">
        <v>2</v>
      </c>
      <c r="GX165">
        <v>2</v>
      </c>
      <c r="GY165">
        <v>2</v>
      </c>
      <c r="GZ165">
        <v>2</v>
      </c>
      <c r="HA165">
        <v>2</v>
      </c>
      <c r="HB165">
        <v>2</v>
      </c>
      <c r="HC165">
        <v>2</v>
      </c>
      <c r="HD165">
        <v>2</v>
      </c>
      <c r="HE165">
        <v>2</v>
      </c>
      <c r="HF165">
        <v>2</v>
      </c>
      <c r="HG165">
        <v>2</v>
      </c>
      <c r="HH165">
        <v>2</v>
      </c>
      <c r="HI165">
        <v>2</v>
      </c>
      <c r="HJ165">
        <v>2</v>
      </c>
      <c r="HK165">
        <v>2</v>
      </c>
      <c r="HL165">
        <v>2</v>
      </c>
      <c r="HM165">
        <v>2</v>
      </c>
      <c r="HN165">
        <v>2</v>
      </c>
      <c r="HO165">
        <v>2</v>
      </c>
      <c r="HP165">
        <v>2</v>
      </c>
      <c r="HQ165">
        <v>2</v>
      </c>
      <c r="HR165">
        <v>2</v>
      </c>
      <c r="HS165">
        <v>2</v>
      </c>
      <c r="HT165">
        <v>2</v>
      </c>
      <c r="HU165">
        <v>2</v>
      </c>
      <c r="HV165">
        <v>2</v>
      </c>
      <c r="HW165">
        <v>2</v>
      </c>
      <c r="HX165">
        <v>2</v>
      </c>
      <c r="HY165">
        <v>2</v>
      </c>
      <c r="HZ165">
        <v>2</v>
      </c>
      <c r="IA165">
        <v>2</v>
      </c>
      <c r="IB165">
        <v>2</v>
      </c>
      <c r="IC165">
        <v>2</v>
      </c>
      <c r="ID165">
        <v>2</v>
      </c>
      <c r="IE165">
        <v>2</v>
      </c>
      <c r="IF165">
        <v>2</v>
      </c>
      <c r="IG165">
        <v>2</v>
      </c>
      <c r="IH165">
        <v>2</v>
      </c>
      <c r="II165">
        <v>2</v>
      </c>
      <c r="IJ165">
        <v>2</v>
      </c>
      <c r="IK165">
        <v>2</v>
      </c>
      <c r="IL165">
        <v>2</v>
      </c>
      <c r="IM165">
        <v>2</v>
      </c>
      <c r="IN165">
        <v>2</v>
      </c>
      <c r="IO165">
        <v>2</v>
      </c>
      <c r="IP165">
        <v>2</v>
      </c>
      <c r="IQ165">
        <v>2</v>
      </c>
      <c r="IR165">
        <v>2</v>
      </c>
      <c r="IS165">
        <v>2</v>
      </c>
      <c r="IT165">
        <v>2</v>
      </c>
      <c r="IU165">
        <v>2</v>
      </c>
      <c r="IV165">
        <v>2</v>
      </c>
      <c r="IW165">
        <v>2</v>
      </c>
      <c r="IX165">
        <v>2</v>
      </c>
      <c r="IY165">
        <v>2</v>
      </c>
      <c r="IZ165">
        <v>2</v>
      </c>
      <c r="JA165">
        <v>2</v>
      </c>
      <c r="JB165">
        <v>2</v>
      </c>
      <c r="JC165">
        <v>2</v>
      </c>
      <c r="JD165">
        <v>2</v>
      </c>
      <c r="JE165">
        <v>2</v>
      </c>
      <c r="JF165">
        <v>2</v>
      </c>
      <c r="JG165">
        <v>2</v>
      </c>
      <c r="JH165">
        <v>2</v>
      </c>
      <c r="JI165">
        <v>2</v>
      </c>
      <c r="JJ165">
        <v>2</v>
      </c>
      <c r="JK165">
        <v>2</v>
      </c>
      <c r="JL165">
        <v>2</v>
      </c>
      <c r="JM165">
        <v>2</v>
      </c>
      <c r="JN165">
        <v>2</v>
      </c>
      <c r="JO165">
        <v>2</v>
      </c>
      <c r="JP165">
        <v>2</v>
      </c>
      <c r="JQ165">
        <v>2</v>
      </c>
      <c r="JR165">
        <v>2</v>
      </c>
      <c r="JS165">
        <v>2</v>
      </c>
      <c r="JT165">
        <v>2</v>
      </c>
      <c r="JU165">
        <v>2</v>
      </c>
      <c r="JV165">
        <v>2</v>
      </c>
      <c r="JW165">
        <v>2</v>
      </c>
      <c r="JX165">
        <v>2</v>
      </c>
      <c r="JY165">
        <v>2</v>
      </c>
      <c r="JZ165">
        <v>2</v>
      </c>
      <c r="KA165">
        <v>2</v>
      </c>
      <c r="KB165">
        <v>2</v>
      </c>
      <c r="KC165">
        <v>2</v>
      </c>
      <c r="KD165">
        <v>2</v>
      </c>
      <c r="KE165">
        <v>2</v>
      </c>
      <c r="KF165">
        <v>2</v>
      </c>
      <c r="KG165">
        <v>2</v>
      </c>
      <c r="KH165">
        <v>2</v>
      </c>
      <c r="KI165">
        <v>2</v>
      </c>
      <c r="KJ165">
        <v>2</v>
      </c>
      <c r="KK165">
        <v>2</v>
      </c>
      <c r="KL165">
        <v>2</v>
      </c>
      <c r="KM165">
        <v>2</v>
      </c>
      <c r="KN165">
        <v>2</v>
      </c>
      <c r="KO165">
        <v>2</v>
      </c>
      <c r="KP165">
        <v>2</v>
      </c>
      <c r="KQ165">
        <v>2</v>
      </c>
      <c r="KR165">
        <v>2</v>
      </c>
      <c r="KS165">
        <v>2</v>
      </c>
      <c r="KT165">
        <v>2</v>
      </c>
      <c r="KU165">
        <v>2</v>
      </c>
      <c r="KV165">
        <v>2</v>
      </c>
      <c r="KW165">
        <v>2</v>
      </c>
      <c r="KX165">
        <v>2</v>
      </c>
      <c r="KY165">
        <v>2</v>
      </c>
      <c r="KZ165">
        <v>2</v>
      </c>
      <c r="LA165">
        <v>2</v>
      </c>
      <c r="LB165">
        <v>2</v>
      </c>
      <c r="LC165">
        <v>2</v>
      </c>
      <c r="LD165">
        <v>2</v>
      </c>
      <c r="LE165">
        <v>2</v>
      </c>
      <c r="LF165">
        <v>2</v>
      </c>
      <c r="LG165">
        <v>2</v>
      </c>
      <c r="LH165">
        <v>2</v>
      </c>
      <c r="LI165">
        <v>2</v>
      </c>
      <c r="LJ165">
        <v>2</v>
      </c>
      <c r="LK165">
        <v>2</v>
      </c>
      <c r="LL165">
        <v>2</v>
      </c>
      <c r="LM165">
        <v>2</v>
      </c>
      <c r="LN165">
        <v>2</v>
      </c>
      <c r="LO165">
        <v>2</v>
      </c>
      <c r="LP165">
        <v>2</v>
      </c>
      <c r="LQ165">
        <v>2</v>
      </c>
      <c r="LR165">
        <v>2</v>
      </c>
      <c r="LS165">
        <v>2</v>
      </c>
      <c r="LT165">
        <v>2</v>
      </c>
      <c r="LU165">
        <v>2</v>
      </c>
      <c r="LV165">
        <v>2</v>
      </c>
      <c r="LW165">
        <v>2</v>
      </c>
      <c r="LX165">
        <v>2</v>
      </c>
      <c r="LY165">
        <v>2</v>
      </c>
      <c r="LZ165">
        <v>2</v>
      </c>
      <c r="MA165">
        <v>2</v>
      </c>
      <c r="MB165">
        <v>2</v>
      </c>
      <c r="MC165">
        <v>2</v>
      </c>
      <c r="MD165">
        <v>2</v>
      </c>
      <c r="ME165">
        <v>2</v>
      </c>
      <c r="MF165">
        <v>2</v>
      </c>
      <c r="MG165">
        <v>2</v>
      </c>
      <c r="MH165">
        <v>2</v>
      </c>
      <c r="MI165">
        <v>2</v>
      </c>
      <c r="MJ165">
        <v>2</v>
      </c>
      <c r="MK165">
        <v>2</v>
      </c>
      <c r="ML165">
        <v>2</v>
      </c>
      <c r="MM165">
        <v>2</v>
      </c>
      <c r="MN165">
        <v>2</v>
      </c>
      <c r="MO165">
        <v>2</v>
      </c>
      <c r="MP165">
        <v>2</v>
      </c>
      <c r="MQ165">
        <v>2</v>
      </c>
      <c r="MR165">
        <v>2</v>
      </c>
      <c r="MS165">
        <v>2</v>
      </c>
      <c r="MT165">
        <v>2</v>
      </c>
      <c r="MU165">
        <v>2</v>
      </c>
      <c r="MV165">
        <v>2</v>
      </c>
      <c r="MW165">
        <v>2</v>
      </c>
      <c r="MX165">
        <v>2</v>
      </c>
      <c r="MY165">
        <v>2</v>
      </c>
      <c r="MZ165">
        <v>2</v>
      </c>
      <c r="NA165">
        <v>2</v>
      </c>
      <c r="NB165">
        <v>2</v>
      </c>
      <c r="NC165">
        <v>2</v>
      </c>
      <c r="ND165">
        <v>2</v>
      </c>
      <c r="NE165">
        <v>2</v>
      </c>
      <c r="NF165">
        <v>2</v>
      </c>
      <c r="NG165">
        <v>2</v>
      </c>
      <c r="NH165">
        <v>2</v>
      </c>
      <c r="NI165">
        <v>2</v>
      </c>
      <c r="NJ165">
        <v>2</v>
      </c>
      <c r="NK165">
        <v>2</v>
      </c>
      <c r="NL165">
        <v>2</v>
      </c>
      <c r="NM165">
        <v>2</v>
      </c>
      <c r="NN165">
        <v>2</v>
      </c>
      <c r="NO165">
        <v>2</v>
      </c>
      <c r="NP165">
        <v>2</v>
      </c>
      <c r="NQ165">
        <v>2</v>
      </c>
      <c r="NR165">
        <v>2</v>
      </c>
      <c r="NS165">
        <v>2</v>
      </c>
      <c r="NT165">
        <v>2</v>
      </c>
      <c r="NU165">
        <v>2</v>
      </c>
      <c r="NV165">
        <v>2</v>
      </c>
      <c r="NW165">
        <v>2</v>
      </c>
      <c r="NX165">
        <v>2</v>
      </c>
      <c r="NY165">
        <v>2</v>
      </c>
      <c r="NZ165">
        <v>2</v>
      </c>
      <c r="OA165">
        <v>2</v>
      </c>
      <c r="OB165">
        <v>2</v>
      </c>
      <c r="OC165">
        <v>2</v>
      </c>
      <c r="OD165">
        <v>2</v>
      </c>
      <c r="OE165">
        <v>2</v>
      </c>
      <c r="OF165">
        <v>2</v>
      </c>
      <c r="OG165">
        <v>2</v>
      </c>
      <c r="OH165">
        <v>2</v>
      </c>
      <c r="OI165">
        <v>2</v>
      </c>
      <c r="OJ165">
        <v>2</v>
      </c>
      <c r="OK165">
        <v>2</v>
      </c>
      <c r="OL165">
        <v>2</v>
      </c>
      <c r="OM165">
        <v>2</v>
      </c>
      <c r="ON165">
        <v>2</v>
      </c>
      <c r="OO165">
        <v>2</v>
      </c>
      <c r="OP165">
        <v>2</v>
      </c>
      <c r="OQ165">
        <v>2</v>
      </c>
      <c r="OR165">
        <v>2</v>
      </c>
      <c r="OS165">
        <v>2</v>
      </c>
      <c r="OT165">
        <v>2</v>
      </c>
      <c r="OU165">
        <v>2</v>
      </c>
      <c r="OV165">
        <v>2</v>
      </c>
      <c r="OW165">
        <v>2</v>
      </c>
      <c r="OX165">
        <v>2</v>
      </c>
      <c r="OY165">
        <v>2</v>
      </c>
      <c r="OZ165">
        <v>2</v>
      </c>
      <c r="PA165">
        <v>2</v>
      </c>
      <c r="PB165">
        <v>2</v>
      </c>
      <c r="PC165">
        <v>2</v>
      </c>
      <c r="PD165">
        <v>2</v>
      </c>
      <c r="PE165">
        <v>2</v>
      </c>
      <c r="PF165">
        <v>2</v>
      </c>
      <c r="PG165">
        <v>2</v>
      </c>
      <c r="PH165">
        <v>2</v>
      </c>
      <c r="PI165">
        <v>2</v>
      </c>
      <c r="PJ165">
        <v>2</v>
      </c>
      <c r="PK165">
        <v>2</v>
      </c>
      <c r="PL165">
        <v>2</v>
      </c>
      <c r="PM165">
        <v>2</v>
      </c>
      <c r="PN165">
        <v>2</v>
      </c>
      <c r="PO165">
        <v>2</v>
      </c>
      <c r="PP165">
        <v>2</v>
      </c>
      <c r="PQ165">
        <v>2</v>
      </c>
      <c r="PR165">
        <v>2</v>
      </c>
      <c r="PS165">
        <v>2</v>
      </c>
      <c r="PT165">
        <v>2</v>
      </c>
      <c r="PU165">
        <v>2</v>
      </c>
      <c r="PV165">
        <v>2</v>
      </c>
      <c r="PW165">
        <v>2</v>
      </c>
      <c r="PX165">
        <v>2</v>
      </c>
      <c r="PY165">
        <v>2</v>
      </c>
      <c r="PZ165">
        <v>2</v>
      </c>
      <c r="QA165">
        <v>2</v>
      </c>
      <c r="QB165">
        <v>2</v>
      </c>
      <c r="QC165">
        <v>2</v>
      </c>
      <c r="QD165">
        <v>2</v>
      </c>
      <c r="QE165">
        <v>2</v>
      </c>
      <c r="QF165">
        <v>2</v>
      </c>
      <c r="QG165">
        <v>2</v>
      </c>
      <c r="QH165">
        <v>2</v>
      </c>
      <c r="QI165">
        <v>2</v>
      </c>
      <c r="QJ165">
        <v>2</v>
      </c>
      <c r="QK165">
        <v>2</v>
      </c>
      <c r="QL165">
        <v>2</v>
      </c>
      <c r="QM165">
        <v>2</v>
      </c>
      <c r="QN165">
        <v>2</v>
      </c>
      <c r="QO165">
        <v>2</v>
      </c>
      <c r="QP165">
        <v>2</v>
      </c>
      <c r="QQ165">
        <v>2</v>
      </c>
      <c r="QR165">
        <v>2</v>
      </c>
      <c r="QS165">
        <v>2</v>
      </c>
      <c r="QT165">
        <v>2</v>
      </c>
      <c r="QU165">
        <v>2</v>
      </c>
      <c r="QV165">
        <v>2</v>
      </c>
      <c r="QW165">
        <v>2</v>
      </c>
      <c r="QX165">
        <v>2</v>
      </c>
      <c r="QY165">
        <v>2</v>
      </c>
      <c r="QZ165">
        <v>2</v>
      </c>
      <c r="RA165">
        <v>2</v>
      </c>
      <c r="RB165">
        <v>2</v>
      </c>
      <c r="RC165">
        <v>2</v>
      </c>
      <c r="RD165">
        <v>2</v>
      </c>
      <c r="RE165">
        <v>2</v>
      </c>
      <c r="RF165">
        <v>2</v>
      </c>
      <c r="RG165">
        <v>2</v>
      </c>
      <c r="RH165">
        <v>2</v>
      </c>
      <c r="RI165">
        <v>2</v>
      </c>
      <c r="RJ165">
        <v>2</v>
      </c>
      <c r="RK165">
        <v>2</v>
      </c>
      <c r="RL165">
        <v>2</v>
      </c>
      <c r="RM165">
        <v>2</v>
      </c>
      <c r="RN165">
        <v>2</v>
      </c>
      <c r="RO165">
        <v>2</v>
      </c>
      <c r="RP165">
        <v>2</v>
      </c>
      <c r="RQ165">
        <v>2</v>
      </c>
      <c r="RR165">
        <v>2</v>
      </c>
      <c r="RS165">
        <v>2</v>
      </c>
      <c r="RT165">
        <v>2</v>
      </c>
      <c r="RU165">
        <v>2</v>
      </c>
      <c r="RV165">
        <v>2</v>
      </c>
      <c r="RW165">
        <v>2</v>
      </c>
      <c r="RX165">
        <v>2</v>
      </c>
      <c r="RY165">
        <v>2</v>
      </c>
      <c r="RZ165">
        <v>2</v>
      </c>
      <c r="SA165">
        <v>2</v>
      </c>
      <c r="SB165">
        <v>2</v>
      </c>
      <c r="SC165">
        <v>2</v>
      </c>
      <c r="SD165">
        <v>2</v>
      </c>
      <c r="SE165">
        <v>2</v>
      </c>
      <c r="SF165">
        <v>2</v>
      </c>
      <c r="SG165">
        <v>2</v>
      </c>
      <c r="SH165">
        <v>2</v>
      </c>
      <c r="SI165">
        <v>2</v>
      </c>
      <c r="SJ165">
        <v>2</v>
      </c>
      <c r="SK165">
        <v>2</v>
      </c>
      <c r="SL165">
        <v>2</v>
      </c>
      <c r="SM165">
        <v>2</v>
      </c>
      <c r="SN165">
        <v>2</v>
      </c>
      <c r="SO165">
        <v>2</v>
      </c>
      <c r="SP165">
        <v>2</v>
      </c>
      <c r="SQ165">
        <v>2</v>
      </c>
      <c r="SR165">
        <v>2</v>
      </c>
      <c r="SS165">
        <v>2</v>
      </c>
      <c r="ST165">
        <v>2</v>
      </c>
      <c r="SU165">
        <v>2</v>
      </c>
      <c r="SV165">
        <v>2</v>
      </c>
      <c r="SW165">
        <v>2</v>
      </c>
      <c r="SX165">
        <v>2</v>
      </c>
      <c r="SY165">
        <v>2</v>
      </c>
      <c r="SZ165">
        <v>2</v>
      </c>
      <c r="TA165">
        <v>2</v>
      </c>
      <c r="TB165">
        <v>2</v>
      </c>
      <c r="TC165">
        <v>2</v>
      </c>
      <c r="TD165">
        <v>2</v>
      </c>
      <c r="TE165">
        <v>2</v>
      </c>
      <c r="TF165">
        <v>2</v>
      </c>
      <c r="TG165">
        <v>2</v>
      </c>
      <c r="TH165">
        <v>2</v>
      </c>
      <c r="TI165">
        <v>0</v>
      </c>
      <c r="TJ165">
        <v>0</v>
      </c>
      <c r="TK165">
        <v>0</v>
      </c>
      <c r="TL165">
        <v>0</v>
      </c>
      <c r="TM165">
        <v>0</v>
      </c>
      <c r="TN165">
        <v>0</v>
      </c>
      <c r="TO165">
        <v>0</v>
      </c>
      <c r="TP165">
        <v>0</v>
      </c>
      <c r="TQ165">
        <v>0</v>
      </c>
      <c r="TR165">
        <v>0</v>
      </c>
      <c r="TS165">
        <v>0</v>
      </c>
      <c r="TT165">
        <v>0</v>
      </c>
      <c r="TU165">
        <v>0</v>
      </c>
      <c r="TV165">
        <v>0</v>
      </c>
      <c r="TW165">
        <v>0</v>
      </c>
      <c r="TX165">
        <v>0</v>
      </c>
      <c r="TY165">
        <v>0</v>
      </c>
      <c r="TZ165">
        <v>0</v>
      </c>
      <c r="UA165">
        <v>0</v>
      </c>
      <c r="UB165">
        <v>0</v>
      </c>
      <c r="UC165">
        <v>0</v>
      </c>
      <c r="UD165">
        <v>0</v>
      </c>
      <c r="UE165">
        <v>0</v>
      </c>
      <c r="UF165">
        <v>0</v>
      </c>
      <c r="UG165">
        <v>0</v>
      </c>
      <c r="UH165">
        <v>0</v>
      </c>
      <c r="UI165">
        <v>0</v>
      </c>
      <c r="UJ165">
        <v>0</v>
      </c>
      <c r="UK165">
        <v>0</v>
      </c>
      <c r="UL165">
        <v>0</v>
      </c>
      <c r="UM165">
        <v>0</v>
      </c>
      <c r="UN165">
        <v>0</v>
      </c>
      <c r="UO165">
        <v>0</v>
      </c>
      <c r="UP165">
        <v>0</v>
      </c>
      <c r="UQ165">
        <v>0</v>
      </c>
      <c r="UR165">
        <v>0</v>
      </c>
      <c r="US165">
        <v>0</v>
      </c>
      <c r="UT165">
        <v>0</v>
      </c>
      <c r="UU165">
        <v>0</v>
      </c>
      <c r="UV165">
        <v>0</v>
      </c>
      <c r="UW165">
        <v>0</v>
      </c>
      <c r="UX165">
        <v>0</v>
      </c>
      <c r="UY165">
        <v>0</v>
      </c>
      <c r="UZ165">
        <v>0</v>
      </c>
      <c r="VA165">
        <v>0</v>
      </c>
      <c r="VB165">
        <v>0</v>
      </c>
      <c r="VC165">
        <v>0</v>
      </c>
      <c r="VD165">
        <v>0</v>
      </c>
      <c r="VE165">
        <v>0</v>
      </c>
      <c r="VF165">
        <v>0</v>
      </c>
      <c r="VG165">
        <v>0</v>
      </c>
      <c r="VH165">
        <v>0</v>
      </c>
      <c r="VI165">
        <v>0</v>
      </c>
      <c r="VJ165">
        <v>0</v>
      </c>
      <c r="VK165">
        <v>0</v>
      </c>
      <c r="VL165">
        <v>0</v>
      </c>
      <c r="VM165">
        <v>0</v>
      </c>
      <c r="VN165">
        <v>0</v>
      </c>
      <c r="VO165">
        <v>0</v>
      </c>
      <c r="VP165">
        <v>0</v>
      </c>
      <c r="VQ165">
        <v>0</v>
      </c>
      <c r="VR165">
        <v>0</v>
      </c>
      <c r="VS165">
        <v>0</v>
      </c>
      <c r="VT165">
        <v>0</v>
      </c>
      <c r="VU165">
        <v>0</v>
      </c>
      <c r="VV165">
        <v>0</v>
      </c>
      <c r="VW165">
        <v>0</v>
      </c>
      <c r="VX165">
        <v>0</v>
      </c>
      <c r="VY165">
        <v>0</v>
      </c>
      <c r="VZ165">
        <v>0</v>
      </c>
      <c r="WA165">
        <v>0</v>
      </c>
      <c r="WB165">
        <v>0</v>
      </c>
      <c r="WC165">
        <v>0</v>
      </c>
      <c r="WD165">
        <v>0</v>
      </c>
      <c r="WE165">
        <v>0</v>
      </c>
      <c r="WF165">
        <v>0</v>
      </c>
      <c r="WG165">
        <v>0</v>
      </c>
      <c r="WH165">
        <v>0</v>
      </c>
      <c r="WI165">
        <v>0</v>
      </c>
      <c r="WJ165">
        <v>0</v>
      </c>
      <c r="WK165">
        <v>0</v>
      </c>
      <c r="WL165">
        <v>0</v>
      </c>
      <c r="WM165">
        <v>0</v>
      </c>
      <c r="WN165">
        <v>0</v>
      </c>
      <c r="WO165">
        <v>0</v>
      </c>
      <c r="WP165">
        <v>0</v>
      </c>
      <c r="WQ165">
        <v>0</v>
      </c>
      <c r="WR165">
        <v>0</v>
      </c>
      <c r="WS165">
        <v>0</v>
      </c>
      <c r="WT165">
        <v>1</v>
      </c>
      <c r="WU165">
        <v>1</v>
      </c>
      <c r="WV165">
        <v>1</v>
      </c>
      <c r="WW165">
        <v>1</v>
      </c>
      <c r="WX165">
        <v>1</v>
      </c>
      <c r="WY165">
        <v>1</v>
      </c>
      <c r="WZ165">
        <v>1</v>
      </c>
      <c r="XA165">
        <v>1</v>
      </c>
      <c r="XB165">
        <v>1</v>
      </c>
      <c r="XC165">
        <v>1</v>
      </c>
      <c r="XD165">
        <v>1</v>
      </c>
      <c r="XE165">
        <v>1</v>
      </c>
      <c r="XF165">
        <v>1</v>
      </c>
      <c r="XG165">
        <v>1</v>
      </c>
      <c r="XH165">
        <v>1</v>
      </c>
      <c r="XI165">
        <v>1</v>
      </c>
      <c r="XJ165">
        <v>1</v>
      </c>
      <c r="XK165">
        <v>1</v>
      </c>
      <c r="XL165">
        <v>1</v>
      </c>
      <c r="XM165">
        <v>1</v>
      </c>
      <c r="XN165">
        <v>1</v>
      </c>
      <c r="XO165">
        <v>1</v>
      </c>
      <c r="XP165">
        <v>1</v>
      </c>
      <c r="XQ165">
        <v>1</v>
      </c>
      <c r="XR165">
        <v>1</v>
      </c>
      <c r="XS165">
        <v>1</v>
      </c>
      <c r="XT165">
        <v>1</v>
      </c>
      <c r="XU165">
        <v>1</v>
      </c>
      <c r="XV165">
        <v>1</v>
      </c>
      <c r="XW165">
        <v>1</v>
      </c>
      <c r="XX165">
        <v>1</v>
      </c>
      <c r="XY165">
        <v>1</v>
      </c>
      <c r="XZ165">
        <v>1</v>
      </c>
      <c r="YA165">
        <v>1</v>
      </c>
      <c r="YB165">
        <v>1</v>
      </c>
      <c r="YC165">
        <v>1</v>
      </c>
      <c r="YD165">
        <v>1</v>
      </c>
      <c r="YE165">
        <v>1</v>
      </c>
      <c r="YF165">
        <v>1</v>
      </c>
      <c r="YG165">
        <v>1</v>
      </c>
      <c r="YH165">
        <v>1</v>
      </c>
      <c r="YI165">
        <v>1</v>
      </c>
      <c r="YJ165">
        <v>1</v>
      </c>
      <c r="YK165">
        <v>1</v>
      </c>
      <c r="YL165">
        <v>1</v>
      </c>
      <c r="YM165">
        <v>1</v>
      </c>
      <c r="YN165">
        <v>1</v>
      </c>
      <c r="YO165">
        <v>1</v>
      </c>
      <c r="YP165">
        <v>1</v>
      </c>
      <c r="YQ165">
        <v>1</v>
      </c>
      <c r="YR165">
        <v>1</v>
      </c>
      <c r="YS165">
        <v>1</v>
      </c>
      <c r="YT165">
        <v>1</v>
      </c>
      <c r="YU165">
        <v>1</v>
      </c>
      <c r="YV165">
        <v>1</v>
      </c>
      <c r="YW165">
        <v>1</v>
      </c>
      <c r="YX165">
        <v>1</v>
      </c>
      <c r="YY165">
        <v>1</v>
      </c>
      <c r="YZ165">
        <v>1</v>
      </c>
      <c r="ZA165">
        <v>1</v>
      </c>
      <c r="ZB165">
        <v>1</v>
      </c>
      <c r="ZC165">
        <v>1</v>
      </c>
      <c r="ZD165">
        <v>1</v>
      </c>
      <c r="ZE165">
        <v>1</v>
      </c>
      <c r="ZF165">
        <v>1</v>
      </c>
      <c r="ZG165">
        <v>1</v>
      </c>
      <c r="ZH165">
        <v>1</v>
      </c>
      <c r="ZI165">
        <v>1</v>
      </c>
      <c r="ZJ165">
        <v>1</v>
      </c>
      <c r="ZK165">
        <v>1</v>
      </c>
      <c r="ZL165">
        <v>1</v>
      </c>
      <c r="ZM165">
        <v>1</v>
      </c>
      <c r="ZN165">
        <v>1</v>
      </c>
      <c r="ZO165">
        <v>1</v>
      </c>
      <c r="ZP165">
        <v>1</v>
      </c>
      <c r="ZQ165">
        <v>1</v>
      </c>
      <c r="ZR165">
        <v>1</v>
      </c>
      <c r="ZS165">
        <v>1</v>
      </c>
      <c r="ZT165">
        <v>1</v>
      </c>
      <c r="ZU165">
        <v>1</v>
      </c>
      <c r="ZV165">
        <v>1</v>
      </c>
      <c r="ZW165">
        <v>1</v>
      </c>
      <c r="ZX165">
        <v>1</v>
      </c>
      <c r="ZY165">
        <v>1</v>
      </c>
      <c r="ZZ165">
        <v>1</v>
      </c>
      <c r="AAA165">
        <v>1</v>
      </c>
      <c r="AAB165">
        <v>1</v>
      </c>
      <c r="AAC165">
        <v>1</v>
      </c>
      <c r="AAD165">
        <v>1</v>
      </c>
      <c r="AAE165">
        <v>1</v>
      </c>
      <c r="AAF165">
        <v>1</v>
      </c>
      <c r="AAG165">
        <v>1</v>
      </c>
      <c r="AAH165">
        <v>1</v>
      </c>
      <c r="AAI165">
        <v>1</v>
      </c>
      <c r="AAJ165">
        <v>1</v>
      </c>
      <c r="AAK165">
        <v>1</v>
      </c>
      <c r="AAL165">
        <v>1</v>
      </c>
      <c r="AAM165">
        <v>1</v>
      </c>
      <c r="AAN165">
        <v>1</v>
      </c>
      <c r="AAO165">
        <v>1</v>
      </c>
      <c r="AAP165">
        <v>1</v>
      </c>
      <c r="AAQ165">
        <v>1</v>
      </c>
      <c r="AAR165">
        <v>1</v>
      </c>
      <c r="AAS165">
        <v>1</v>
      </c>
      <c r="AAT165">
        <v>1</v>
      </c>
      <c r="AAU165">
        <v>1</v>
      </c>
      <c r="AAV165">
        <v>1</v>
      </c>
      <c r="AAW165">
        <v>1</v>
      </c>
      <c r="AAX165">
        <v>1</v>
      </c>
      <c r="AAY165">
        <v>1</v>
      </c>
      <c r="AAZ165">
        <v>1</v>
      </c>
      <c r="ABA165">
        <v>1</v>
      </c>
      <c r="ABB165">
        <v>1</v>
      </c>
      <c r="ABC165">
        <v>1</v>
      </c>
      <c r="ABD165">
        <v>1</v>
      </c>
      <c r="ABE165">
        <v>1</v>
      </c>
      <c r="ABG165" s="1137">
        <f t="shared" si="45"/>
        <v>0</v>
      </c>
      <c r="ABH165" s="1137">
        <f t="shared" si="45"/>
        <v>0</v>
      </c>
      <c r="ABI165" s="1137">
        <f t="shared" si="45"/>
        <v>7</v>
      </c>
      <c r="ABJ165" s="1137">
        <f t="shared" si="45"/>
        <v>28</v>
      </c>
      <c r="ABK165" s="1137">
        <f t="shared" si="45"/>
        <v>31</v>
      </c>
      <c r="ABL165" s="1137">
        <f t="shared" si="45"/>
        <v>30</v>
      </c>
      <c r="ABM165" s="1137">
        <f t="shared" si="45"/>
        <v>31</v>
      </c>
      <c r="ABN165" s="1137">
        <f t="shared" si="45"/>
        <v>31</v>
      </c>
      <c r="ABO165" s="1137">
        <f t="shared" si="45"/>
        <v>30</v>
      </c>
      <c r="ABP165" s="1137">
        <f t="shared" si="45"/>
        <v>31</v>
      </c>
      <c r="ABQ165" s="1137">
        <f t="shared" si="45"/>
        <v>30</v>
      </c>
      <c r="ABR165" s="1137">
        <f t="shared" si="45"/>
        <v>31</v>
      </c>
      <c r="ABS165" s="1137">
        <f t="shared" si="45"/>
        <v>31</v>
      </c>
      <c r="ABT165" s="1137">
        <f t="shared" si="45"/>
        <v>28</v>
      </c>
      <c r="ABU165" s="1137">
        <f t="shared" si="45"/>
        <v>31</v>
      </c>
      <c r="ABV165" s="1137">
        <f t="shared" si="45"/>
        <v>30</v>
      </c>
      <c r="ABW165" s="1137">
        <f t="shared" si="31"/>
        <v>31</v>
      </c>
      <c r="ABX165" s="1137">
        <f t="shared" si="31"/>
        <v>9</v>
      </c>
      <c r="ABY165" s="1137">
        <f t="shared" si="31"/>
        <v>0</v>
      </c>
      <c r="ABZ165" s="1137">
        <f t="shared" si="31"/>
        <v>0</v>
      </c>
      <c r="ACA165" s="1137">
        <f t="shared" si="31"/>
        <v>24</v>
      </c>
      <c r="ACB165" s="1137">
        <f t="shared" si="31"/>
        <v>31</v>
      </c>
      <c r="ACC165" s="1137">
        <f t="shared" si="31"/>
        <v>30</v>
      </c>
      <c r="ACD165" s="1137">
        <f t="shared" si="31"/>
        <v>31</v>
      </c>
      <c r="ACE165" s="1137" t="s">
        <v>1234</v>
      </c>
      <c r="ACF165" s="1137">
        <f t="shared" si="39"/>
        <v>0</v>
      </c>
      <c r="ACG165" s="1137">
        <f t="shared" si="39"/>
        <v>0</v>
      </c>
      <c r="ACH165" s="1137">
        <f t="shared" si="39"/>
        <v>0</v>
      </c>
      <c r="ACI165" s="1137">
        <f t="shared" si="39"/>
        <v>1</v>
      </c>
      <c r="ACJ165" s="1137">
        <f t="shared" si="39"/>
        <v>1</v>
      </c>
      <c r="ACK165" s="1137">
        <f t="shared" si="39"/>
        <v>1</v>
      </c>
      <c r="ACL165" s="1137">
        <f t="shared" si="39"/>
        <v>1</v>
      </c>
      <c r="ACM165" s="1137">
        <f t="shared" si="39"/>
        <v>1</v>
      </c>
      <c r="ACN165" s="1137">
        <f t="shared" si="39"/>
        <v>1</v>
      </c>
      <c r="ACO165" s="1137">
        <f t="shared" si="39"/>
        <v>1</v>
      </c>
      <c r="ACP165" s="1137">
        <f t="shared" si="39"/>
        <v>1</v>
      </c>
      <c r="ACQ165" s="1137">
        <f t="shared" si="43"/>
        <v>1</v>
      </c>
      <c r="ACR165" s="1137">
        <f t="shared" si="43"/>
        <v>1</v>
      </c>
      <c r="ACS165" s="1137">
        <f t="shared" si="43"/>
        <v>1</v>
      </c>
      <c r="ACT165" s="1137">
        <f t="shared" si="43"/>
        <v>1</v>
      </c>
      <c r="ACU165" s="1137">
        <f t="shared" si="43"/>
        <v>1</v>
      </c>
      <c r="ACV165" s="1137">
        <f t="shared" si="43"/>
        <v>1</v>
      </c>
      <c r="ACW165" s="1137">
        <f t="shared" si="43"/>
        <v>0</v>
      </c>
      <c r="ACX165" s="1137">
        <f t="shared" si="42"/>
        <v>0</v>
      </c>
      <c r="ACY165" s="1137">
        <f t="shared" si="42"/>
        <v>0</v>
      </c>
      <c r="ACZ165" s="1137">
        <f t="shared" si="42"/>
        <v>1</v>
      </c>
      <c r="ADA165" s="1137">
        <f t="shared" si="35"/>
        <v>1</v>
      </c>
      <c r="ADB165" s="1137">
        <f t="shared" si="35"/>
        <v>1</v>
      </c>
      <c r="ADC165" s="1137">
        <f t="shared" si="35"/>
        <v>1</v>
      </c>
    </row>
    <row r="166" spans="1:783" x14ac:dyDescent="0.25">
      <c r="A166" t="s">
        <v>1965</v>
      </c>
      <c r="B166" t="s">
        <v>20</v>
      </c>
      <c r="C166">
        <v>0</v>
      </c>
      <c r="D166">
        <v>0</v>
      </c>
      <c r="E166">
        <v>0</v>
      </c>
      <c r="F166">
        <v>0</v>
      </c>
      <c r="G166">
        <v>0</v>
      </c>
      <c r="H166">
        <v>0</v>
      </c>
      <c r="I166">
        <v>0</v>
      </c>
      <c r="J166">
        <v>0</v>
      </c>
      <c r="K166">
        <v>0</v>
      </c>
      <c r="L166">
        <v>0</v>
      </c>
      <c r="M166">
        <v>0</v>
      </c>
      <c r="N166">
        <v>0</v>
      </c>
      <c r="O166">
        <v>0</v>
      </c>
      <c r="P166">
        <v>0</v>
      </c>
      <c r="Q166">
        <v>0</v>
      </c>
      <c r="R166">
        <v>0</v>
      </c>
      <c r="S166">
        <v>0</v>
      </c>
      <c r="T166">
        <v>0</v>
      </c>
      <c r="U166">
        <v>0</v>
      </c>
      <c r="V166">
        <v>0</v>
      </c>
      <c r="W166">
        <v>0</v>
      </c>
      <c r="X166">
        <v>0</v>
      </c>
      <c r="Y166">
        <v>0</v>
      </c>
      <c r="Z166">
        <v>0</v>
      </c>
      <c r="AA166">
        <v>0</v>
      </c>
      <c r="AB166">
        <v>0</v>
      </c>
      <c r="AC166">
        <v>0</v>
      </c>
      <c r="AD166">
        <v>0</v>
      </c>
      <c r="AE166">
        <v>0</v>
      </c>
      <c r="AF166">
        <v>0</v>
      </c>
      <c r="AG166">
        <v>0</v>
      </c>
      <c r="AH166">
        <v>0</v>
      </c>
      <c r="AI166">
        <v>0</v>
      </c>
      <c r="AJ166">
        <v>0</v>
      </c>
      <c r="AK166">
        <v>0</v>
      </c>
      <c r="AL166">
        <v>0</v>
      </c>
      <c r="AM166">
        <v>0</v>
      </c>
      <c r="AN166">
        <v>0</v>
      </c>
      <c r="AO166">
        <v>0</v>
      </c>
      <c r="AP166">
        <v>0</v>
      </c>
      <c r="AQ166">
        <v>0</v>
      </c>
      <c r="AR166">
        <v>0</v>
      </c>
      <c r="AS166">
        <v>0</v>
      </c>
      <c r="AT166">
        <v>0</v>
      </c>
      <c r="AU166">
        <v>0</v>
      </c>
      <c r="AV166">
        <v>0</v>
      </c>
      <c r="AW166">
        <v>0</v>
      </c>
      <c r="AX166">
        <v>0</v>
      </c>
      <c r="AY166">
        <v>0</v>
      </c>
      <c r="AZ166">
        <v>0</v>
      </c>
      <c r="BA166">
        <v>0</v>
      </c>
      <c r="BB166">
        <v>0</v>
      </c>
      <c r="BC166">
        <v>0</v>
      </c>
      <c r="BD166">
        <v>0</v>
      </c>
      <c r="BE166">
        <v>0</v>
      </c>
      <c r="BF166">
        <v>0</v>
      </c>
      <c r="BG166">
        <v>0</v>
      </c>
      <c r="BH166">
        <v>0</v>
      </c>
      <c r="BI166">
        <v>0</v>
      </c>
      <c r="BJ166">
        <v>0</v>
      </c>
      <c r="BK166">
        <v>0</v>
      </c>
      <c r="BL166">
        <v>0</v>
      </c>
      <c r="BM166">
        <v>0</v>
      </c>
      <c r="BN166">
        <v>0</v>
      </c>
      <c r="BO166">
        <v>0</v>
      </c>
      <c r="BP166">
        <v>0</v>
      </c>
      <c r="BQ166">
        <v>0</v>
      </c>
      <c r="BR166">
        <v>0</v>
      </c>
      <c r="BS166">
        <v>0</v>
      </c>
      <c r="BT166">
        <v>0</v>
      </c>
      <c r="BU166">
        <v>0</v>
      </c>
      <c r="BV166">
        <v>0</v>
      </c>
      <c r="BW166">
        <v>0</v>
      </c>
      <c r="BX166">
        <v>0</v>
      </c>
      <c r="BY166">
        <v>0</v>
      </c>
      <c r="BZ166">
        <v>0</v>
      </c>
      <c r="CA166">
        <v>0</v>
      </c>
      <c r="CB166">
        <v>0</v>
      </c>
      <c r="CC166">
        <v>0</v>
      </c>
      <c r="CD166">
        <v>0</v>
      </c>
      <c r="CE166">
        <v>0</v>
      </c>
      <c r="CF166">
        <v>0</v>
      </c>
      <c r="CG166">
        <v>0</v>
      </c>
      <c r="CH166">
        <v>0</v>
      </c>
      <c r="CI166">
        <v>0</v>
      </c>
      <c r="CJ166">
        <v>0</v>
      </c>
      <c r="CK166">
        <v>0</v>
      </c>
      <c r="CL166">
        <v>0</v>
      </c>
      <c r="CM166">
        <v>0</v>
      </c>
      <c r="CN166">
        <v>0</v>
      </c>
      <c r="CO166">
        <v>0</v>
      </c>
      <c r="CP166">
        <v>0</v>
      </c>
      <c r="CQ166">
        <v>0</v>
      </c>
      <c r="CR166">
        <v>0</v>
      </c>
      <c r="CS166">
        <v>0</v>
      </c>
      <c r="CT166">
        <v>0</v>
      </c>
      <c r="CU166">
        <v>0</v>
      </c>
      <c r="CV166">
        <v>0</v>
      </c>
      <c r="CW166">
        <v>0</v>
      </c>
      <c r="CX166">
        <v>0</v>
      </c>
      <c r="CY166">
        <v>0</v>
      </c>
      <c r="CZ166">
        <v>0</v>
      </c>
      <c r="DA166">
        <v>0</v>
      </c>
      <c r="DB166">
        <v>2</v>
      </c>
      <c r="DC166">
        <v>2</v>
      </c>
      <c r="DD166">
        <v>2</v>
      </c>
      <c r="DE166">
        <v>2</v>
      </c>
      <c r="DF166">
        <v>2</v>
      </c>
      <c r="DG166">
        <v>2</v>
      </c>
      <c r="DH166">
        <v>2</v>
      </c>
      <c r="DI166">
        <v>2</v>
      </c>
      <c r="DJ166">
        <v>2</v>
      </c>
      <c r="DK166">
        <v>2</v>
      </c>
      <c r="DL166">
        <v>2</v>
      </c>
      <c r="DM166">
        <v>2</v>
      </c>
      <c r="DN166">
        <v>2</v>
      </c>
      <c r="DO166">
        <v>2</v>
      </c>
      <c r="DP166">
        <v>2</v>
      </c>
      <c r="DQ166">
        <v>2</v>
      </c>
      <c r="DR166">
        <v>2</v>
      </c>
      <c r="DS166">
        <v>2</v>
      </c>
      <c r="DT166">
        <v>2</v>
      </c>
      <c r="DU166">
        <v>2</v>
      </c>
      <c r="DV166">
        <v>2</v>
      </c>
      <c r="DW166">
        <v>2</v>
      </c>
      <c r="DX166">
        <v>2</v>
      </c>
      <c r="DY166">
        <v>2</v>
      </c>
      <c r="DZ166">
        <v>2</v>
      </c>
      <c r="EA166">
        <v>2</v>
      </c>
      <c r="EB166">
        <v>2</v>
      </c>
      <c r="EC166">
        <v>2</v>
      </c>
      <c r="ED166">
        <v>2</v>
      </c>
      <c r="EE166">
        <v>2</v>
      </c>
      <c r="EF166">
        <v>2</v>
      </c>
      <c r="EG166">
        <v>2</v>
      </c>
      <c r="EH166">
        <v>2</v>
      </c>
      <c r="EI166">
        <v>2</v>
      </c>
      <c r="EJ166">
        <v>2</v>
      </c>
      <c r="EK166">
        <v>2</v>
      </c>
      <c r="EL166">
        <v>2</v>
      </c>
      <c r="EM166">
        <v>2</v>
      </c>
      <c r="EN166">
        <v>2</v>
      </c>
      <c r="EO166">
        <v>2</v>
      </c>
      <c r="EP166">
        <v>2</v>
      </c>
      <c r="EQ166">
        <v>2</v>
      </c>
      <c r="ER166">
        <v>2</v>
      </c>
      <c r="ES166">
        <v>2</v>
      </c>
      <c r="ET166">
        <v>2</v>
      </c>
      <c r="EU166">
        <v>2</v>
      </c>
      <c r="EV166">
        <v>2</v>
      </c>
      <c r="EW166">
        <v>2</v>
      </c>
      <c r="EX166">
        <v>2</v>
      </c>
      <c r="EY166">
        <v>2</v>
      </c>
      <c r="EZ166">
        <v>2</v>
      </c>
      <c r="FA166">
        <v>2</v>
      </c>
      <c r="FB166">
        <v>2</v>
      </c>
      <c r="FC166">
        <v>2</v>
      </c>
      <c r="FD166">
        <v>2</v>
      </c>
      <c r="FE166">
        <v>2</v>
      </c>
      <c r="FF166">
        <v>2</v>
      </c>
      <c r="FG166">
        <v>2</v>
      </c>
      <c r="FH166">
        <v>2</v>
      </c>
      <c r="FI166">
        <v>2</v>
      </c>
      <c r="FJ166">
        <v>2</v>
      </c>
      <c r="FK166">
        <v>2</v>
      </c>
      <c r="FL166">
        <v>2</v>
      </c>
      <c r="FM166">
        <v>2</v>
      </c>
      <c r="FN166">
        <v>2</v>
      </c>
      <c r="FO166">
        <v>2</v>
      </c>
      <c r="FP166">
        <v>2</v>
      </c>
      <c r="FQ166">
        <v>2</v>
      </c>
      <c r="FR166">
        <v>2</v>
      </c>
      <c r="FS166">
        <v>2</v>
      </c>
      <c r="FT166">
        <v>2</v>
      </c>
      <c r="FU166">
        <v>2</v>
      </c>
      <c r="FV166">
        <v>2</v>
      </c>
      <c r="FW166">
        <v>1</v>
      </c>
      <c r="FX166">
        <v>1</v>
      </c>
      <c r="FY166">
        <v>1</v>
      </c>
      <c r="FZ166">
        <v>1</v>
      </c>
      <c r="GA166">
        <v>1</v>
      </c>
      <c r="GB166">
        <v>1</v>
      </c>
      <c r="GC166">
        <v>1</v>
      </c>
      <c r="GD166">
        <v>1</v>
      </c>
      <c r="GE166">
        <v>1</v>
      </c>
      <c r="GF166">
        <v>1</v>
      </c>
      <c r="GG166">
        <v>1</v>
      </c>
      <c r="GH166">
        <v>1</v>
      </c>
      <c r="GI166">
        <v>1</v>
      </c>
      <c r="GJ166">
        <v>1</v>
      </c>
      <c r="GK166">
        <v>1</v>
      </c>
      <c r="GL166">
        <v>1</v>
      </c>
      <c r="GM166">
        <v>1</v>
      </c>
      <c r="GN166">
        <v>1</v>
      </c>
      <c r="GO166">
        <v>1</v>
      </c>
      <c r="GP166">
        <v>1</v>
      </c>
      <c r="GQ166">
        <v>1</v>
      </c>
      <c r="GR166">
        <v>1</v>
      </c>
      <c r="GS166">
        <v>1</v>
      </c>
      <c r="GT166">
        <v>1</v>
      </c>
      <c r="GU166">
        <v>1</v>
      </c>
      <c r="GV166">
        <v>1</v>
      </c>
      <c r="GW166">
        <v>1</v>
      </c>
      <c r="GX166">
        <v>1</v>
      </c>
      <c r="GY166">
        <v>1</v>
      </c>
      <c r="GZ166">
        <v>1</v>
      </c>
      <c r="HA166">
        <v>1</v>
      </c>
      <c r="HB166">
        <v>1</v>
      </c>
      <c r="HC166">
        <v>1</v>
      </c>
      <c r="HD166">
        <v>2</v>
      </c>
      <c r="HE166">
        <v>2</v>
      </c>
      <c r="HF166">
        <v>2</v>
      </c>
      <c r="HG166">
        <v>2</v>
      </c>
      <c r="HH166">
        <v>2</v>
      </c>
      <c r="HI166">
        <v>2</v>
      </c>
      <c r="HJ166">
        <v>2</v>
      </c>
      <c r="HK166">
        <v>2</v>
      </c>
      <c r="HL166">
        <v>2</v>
      </c>
      <c r="HM166">
        <v>2</v>
      </c>
      <c r="HN166">
        <v>2</v>
      </c>
      <c r="HO166">
        <v>2</v>
      </c>
      <c r="HP166">
        <v>2</v>
      </c>
      <c r="HQ166">
        <v>2</v>
      </c>
      <c r="HR166">
        <v>2</v>
      </c>
      <c r="HS166">
        <v>2</v>
      </c>
      <c r="HT166">
        <v>2</v>
      </c>
      <c r="HU166">
        <v>2</v>
      </c>
      <c r="HV166">
        <v>2</v>
      </c>
      <c r="HW166">
        <v>2</v>
      </c>
      <c r="HX166">
        <v>2</v>
      </c>
      <c r="HY166">
        <v>2</v>
      </c>
      <c r="HZ166">
        <v>2</v>
      </c>
      <c r="IA166">
        <v>2</v>
      </c>
      <c r="IB166">
        <v>2</v>
      </c>
      <c r="IC166">
        <v>2</v>
      </c>
      <c r="ID166">
        <v>2</v>
      </c>
      <c r="IE166">
        <v>2</v>
      </c>
      <c r="IF166">
        <v>2</v>
      </c>
      <c r="IG166">
        <v>2</v>
      </c>
      <c r="IH166">
        <v>2</v>
      </c>
      <c r="II166">
        <v>2</v>
      </c>
      <c r="IJ166">
        <v>2</v>
      </c>
      <c r="IK166">
        <v>2</v>
      </c>
      <c r="IL166">
        <v>2</v>
      </c>
      <c r="IM166">
        <v>2</v>
      </c>
      <c r="IN166">
        <v>2</v>
      </c>
      <c r="IO166">
        <v>2</v>
      </c>
      <c r="IP166">
        <v>2</v>
      </c>
      <c r="IQ166">
        <v>2</v>
      </c>
      <c r="IR166">
        <v>2</v>
      </c>
      <c r="IS166">
        <v>2</v>
      </c>
      <c r="IT166">
        <v>2</v>
      </c>
      <c r="IU166">
        <v>2</v>
      </c>
      <c r="IV166">
        <v>2</v>
      </c>
      <c r="IW166">
        <v>2</v>
      </c>
      <c r="IX166">
        <v>2</v>
      </c>
      <c r="IY166">
        <v>2</v>
      </c>
      <c r="IZ166">
        <v>2</v>
      </c>
      <c r="JA166">
        <v>2</v>
      </c>
      <c r="JB166">
        <v>2</v>
      </c>
      <c r="JC166">
        <v>2</v>
      </c>
      <c r="JD166">
        <v>2</v>
      </c>
      <c r="JE166">
        <v>2</v>
      </c>
      <c r="JF166">
        <v>2</v>
      </c>
      <c r="JG166">
        <v>2</v>
      </c>
      <c r="JH166">
        <v>2</v>
      </c>
      <c r="JI166">
        <v>2</v>
      </c>
      <c r="JJ166">
        <v>2</v>
      </c>
      <c r="JK166">
        <v>2</v>
      </c>
      <c r="JL166">
        <v>2</v>
      </c>
      <c r="JM166">
        <v>2</v>
      </c>
      <c r="JN166">
        <v>2</v>
      </c>
      <c r="JO166">
        <v>2</v>
      </c>
      <c r="JP166">
        <v>2</v>
      </c>
      <c r="JQ166">
        <v>2</v>
      </c>
      <c r="JR166">
        <v>2</v>
      </c>
      <c r="JS166">
        <v>2</v>
      </c>
      <c r="JT166">
        <v>2</v>
      </c>
      <c r="JU166">
        <v>2</v>
      </c>
      <c r="JV166">
        <v>2</v>
      </c>
      <c r="JW166">
        <v>2</v>
      </c>
      <c r="JX166">
        <v>2</v>
      </c>
      <c r="JY166">
        <v>2</v>
      </c>
      <c r="JZ166">
        <v>2</v>
      </c>
      <c r="KA166">
        <v>2</v>
      </c>
      <c r="KB166">
        <v>2</v>
      </c>
      <c r="KC166">
        <v>2</v>
      </c>
      <c r="KD166">
        <v>2</v>
      </c>
      <c r="KE166">
        <v>2</v>
      </c>
      <c r="KF166">
        <v>2</v>
      </c>
      <c r="KG166">
        <v>2</v>
      </c>
      <c r="KH166">
        <v>2</v>
      </c>
      <c r="KI166">
        <v>2</v>
      </c>
      <c r="KJ166">
        <v>2</v>
      </c>
      <c r="KK166">
        <v>2</v>
      </c>
      <c r="KL166">
        <v>2</v>
      </c>
      <c r="KM166">
        <v>2</v>
      </c>
      <c r="KN166">
        <v>2</v>
      </c>
      <c r="KO166">
        <v>2</v>
      </c>
      <c r="KP166">
        <v>2</v>
      </c>
      <c r="KQ166">
        <v>2</v>
      </c>
      <c r="KR166">
        <v>2</v>
      </c>
      <c r="KS166">
        <v>2</v>
      </c>
      <c r="KT166">
        <v>2</v>
      </c>
      <c r="KU166">
        <v>2</v>
      </c>
      <c r="KV166">
        <v>2</v>
      </c>
      <c r="KW166">
        <v>2</v>
      </c>
      <c r="KX166">
        <v>2</v>
      </c>
      <c r="KY166">
        <v>2</v>
      </c>
      <c r="KZ166">
        <v>2</v>
      </c>
      <c r="LA166">
        <v>2</v>
      </c>
      <c r="LB166">
        <v>2</v>
      </c>
      <c r="LC166">
        <v>2</v>
      </c>
      <c r="LD166">
        <v>2</v>
      </c>
      <c r="LE166">
        <v>2</v>
      </c>
      <c r="LF166">
        <v>2</v>
      </c>
      <c r="LG166">
        <v>2</v>
      </c>
      <c r="LH166">
        <v>2</v>
      </c>
      <c r="LI166">
        <v>2</v>
      </c>
      <c r="LJ166">
        <v>2</v>
      </c>
      <c r="LK166">
        <v>2</v>
      </c>
      <c r="LL166">
        <v>2</v>
      </c>
      <c r="LM166">
        <v>2</v>
      </c>
      <c r="LN166">
        <v>2</v>
      </c>
      <c r="LO166">
        <v>2</v>
      </c>
      <c r="LP166">
        <v>2</v>
      </c>
      <c r="LQ166">
        <v>2</v>
      </c>
      <c r="LR166">
        <v>2</v>
      </c>
      <c r="LS166">
        <v>2</v>
      </c>
      <c r="LT166">
        <v>2</v>
      </c>
      <c r="LU166">
        <v>2</v>
      </c>
      <c r="LV166">
        <v>2</v>
      </c>
      <c r="LW166">
        <v>2</v>
      </c>
      <c r="LX166">
        <v>2</v>
      </c>
      <c r="LY166">
        <v>2</v>
      </c>
      <c r="LZ166">
        <v>2</v>
      </c>
      <c r="MA166">
        <v>2</v>
      </c>
      <c r="MB166">
        <v>2</v>
      </c>
      <c r="MC166">
        <v>2</v>
      </c>
      <c r="MD166">
        <v>2</v>
      </c>
      <c r="ME166">
        <v>2</v>
      </c>
      <c r="MF166">
        <v>2</v>
      </c>
      <c r="MG166">
        <v>2</v>
      </c>
      <c r="MH166">
        <v>2</v>
      </c>
      <c r="MI166">
        <v>2</v>
      </c>
      <c r="MJ166">
        <v>2</v>
      </c>
      <c r="MK166">
        <v>2</v>
      </c>
      <c r="ML166">
        <v>2</v>
      </c>
      <c r="MM166">
        <v>2</v>
      </c>
      <c r="MN166">
        <v>2</v>
      </c>
      <c r="MO166">
        <v>2</v>
      </c>
      <c r="MP166">
        <v>2</v>
      </c>
      <c r="MQ166">
        <v>2</v>
      </c>
      <c r="MR166">
        <v>2</v>
      </c>
      <c r="MS166">
        <v>2</v>
      </c>
      <c r="MT166">
        <v>2</v>
      </c>
      <c r="MU166">
        <v>2</v>
      </c>
      <c r="MV166">
        <v>2</v>
      </c>
      <c r="MW166">
        <v>2</v>
      </c>
      <c r="MX166">
        <v>2</v>
      </c>
      <c r="MY166">
        <v>2</v>
      </c>
      <c r="MZ166">
        <v>2</v>
      </c>
      <c r="NA166">
        <v>2</v>
      </c>
      <c r="NB166">
        <v>2</v>
      </c>
      <c r="NC166">
        <v>2</v>
      </c>
      <c r="ND166">
        <v>2</v>
      </c>
      <c r="NE166">
        <v>2</v>
      </c>
      <c r="NF166">
        <v>2</v>
      </c>
      <c r="NG166">
        <v>2</v>
      </c>
      <c r="NH166">
        <v>2</v>
      </c>
      <c r="NI166">
        <v>2</v>
      </c>
      <c r="NJ166">
        <v>2</v>
      </c>
      <c r="NK166">
        <v>2</v>
      </c>
      <c r="NL166">
        <v>2</v>
      </c>
      <c r="NM166">
        <v>2</v>
      </c>
      <c r="NN166">
        <v>2</v>
      </c>
      <c r="NO166">
        <v>2</v>
      </c>
      <c r="NP166">
        <v>2</v>
      </c>
      <c r="NQ166">
        <v>2</v>
      </c>
      <c r="NR166">
        <v>2</v>
      </c>
      <c r="NS166">
        <v>2</v>
      </c>
      <c r="NT166">
        <v>2</v>
      </c>
      <c r="NU166">
        <v>2</v>
      </c>
      <c r="NV166">
        <v>2</v>
      </c>
      <c r="NW166">
        <v>2</v>
      </c>
      <c r="NX166">
        <v>2</v>
      </c>
      <c r="NY166">
        <v>2</v>
      </c>
      <c r="NZ166">
        <v>2</v>
      </c>
      <c r="OA166">
        <v>2</v>
      </c>
      <c r="OB166">
        <v>2</v>
      </c>
      <c r="OC166">
        <v>2</v>
      </c>
      <c r="OD166">
        <v>2</v>
      </c>
      <c r="OE166">
        <v>2</v>
      </c>
      <c r="OF166">
        <v>2</v>
      </c>
      <c r="OG166">
        <v>2</v>
      </c>
      <c r="OH166">
        <v>2</v>
      </c>
      <c r="OI166">
        <v>2</v>
      </c>
      <c r="OJ166">
        <v>2</v>
      </c>
      <c r="OK166">
        <v>2</v>
      </c>
      <c r="OL166">
        <v>2</v>
      </c>
      <c r="OM166">
        <v>2</v>
      </c>
      <c r="ON166">
        <v>2</v>
      </c>
      <c r="OO166">
        <v>2</v>
      </c>
      <c r="OP166">
        <v>2</v>
      </c>
      <c r="OQ166">
        <v>2</v>
      </c>
      <c r="OR166">
        <v>2</v>
      </c>
      <c r="OS166">
        <v>2</v>
      </c>
      <c r="OT166">
        <v>2</v>
      </c>
      <c r="OU166">
        <v>2</v>
      </c>
      <c r="OV166">
        <v>2</v>
      </c>
      <c r="OW166">
        <v>2</v>
      </c>
      <c r="OX166">
        <v>0</v>
      </c>
      <c r="OY166">
        <v>0</v>
      </c>
      <c r="OZ166">
        <v>0</v>
      </c>
      <c r="PA166">
        <v>0</v>
      </c>
      <c r="PB166">
        <v>0</v>
      </c>
      <c r="PC166">
        <v>0</v>
      </c>
      <c r="PD166">
        <v>0</v>
      </c>
      <c r="PE166">
        <v>0</v>
      </c>
      <c r="PF166">
        <v>0</v>
      </c>
      <c r="PG166">
        <v>0</v>
      </c>
      <c r="PH166">
        <v>0</v>
      </c>
      <c r="PI166">
        <v>0</v>
      </c>
      <c r="PJ166">
        <v>0</v>
      </c>
      <c r="PK166">
        <v>0</v>
      </c>
      <c r="PL166">
        <v>0</v>
      </c>
      <c r="PM166">
        <v>0</v>
      </c>
      <c r="PN166">
        <v>0</v>
      </c>
      <c r="PO166">
        <v>0</v>
      </c>
      <c r="PP166">
        <v>0</v>
      </c>
      <c r="PQ166">
        <v>0</v>
      </c>
      <c r="PR166">
        <v>0</v>
      </c>
      <c r="PS166">
        <v>0</v>
      </c>
      <c r="PT166">
        <v>0</v>
      </c>
      <c r="PU166">
        <v>0</v>
      </c>
      <c r="PV166">
        <v>0</v>
      </c>
      <c r="PW166">
        <v>0</v>
      </c>
      <c r="PX166">
        <v>0</v>
      </c>
      <c r="PY166">
        <v>0</v>
      </c>
      <c r="PZ166">
        <v>0</v>
      </c>
      <c r="QA166">
        <v>0</v>
      </c>
      <c r="QB166">
        <v>0</v>
      </c>
      <c r="QC166">
        <v>0</v>
      </c>
      <c r="QD166">
        <v>0</v>
      </c>
      <c r="QE166">
        <v>0</v>
      </c>
      <c r="QF166">
        <v>0</v>
      </c>
      <c r="QG166">
        <v>0</v>
      </c>
      <c r="QH166">
        <v>0</v>
      </c>
      <c r="QI166">
        <v>0</v>
      </c>
      <c r="QJ166">
        <v>0</v>
      </c>
      <c r="QK166">
        <v>0</v>
      </c>
      <c r="QL166">
        <v>0</v>
      </c>
      <c r="QM166">
        <v>0</v>
      </c>
      <c r="QN166">
        <v>0</v>
      </c>
      <c r="QO166">
        <v>0</v>
      </c>
      <c r="QP166">
        <v>0</v>
      </c>
      <c r="QQ166">
        <v>0</v>
      </c>
      <c r="QR166">
        <v>0</v>
      </c>
      <c r="QS166">
        <v>0</v>
      </c>
      <c r="QT166">
        <v>0</v>
      </c>
      <c r="QU166">
        <v>0</v>
      </c>
      <c r="QV166">
        <v>0</v>
      </c>
      <c r="QW166">
        <v>0</v>
      </c>
      <c r="QX166">
        <v>0</v>
      </c>
      <c r="QY166">
        <v>0</v>
      </c>
      <c r="QZ166">
        <v>0</v>
      </c>
      <c r="RA166">
        <v>0</v>
      </c>
      <c r="RB166">
        <v>0</v>
      </c>
      <c r="RC166">
        <v>0</v>
      </c>
      <c r="RD166">
        <v>0</v>
      </c>
      <c r="RE166">
        <v>0</v>
      </c>
      <c r="RF166">
        <v>0</v>
      </c>
      <c r="RG166">
        <v>0</v>
      </c>
      <c r="RH166">
        <v>2</v>
      </c>
      <c r="RI166">
        <v>2</v>
      </c>
      <c r="RJ166">
        <v>2</v>
      </c>
      <c r="RK166">
        <v>2</v>
      </c>
      <c r="RL166">
        <v>2</v>
      </c>
      <c r="RM166">
        <v>2</v>
      </c>
      <c r="RN166">
        <v>2</v>
      </c>
      <c r="RO166">
        <v>2</v>
      </c>
      <c r="RP166">
        <v>2</v>
      </c>
      <c r="RQ166">
        <v>2</v>
      </c>
      <c r="RR166">
        <v>2</v>
      </c>
      <c r="RS166">
        <v>2</v>
      </c>
      <c r="RT166">
        <v>2</v>
      </c>
      <c r="RU166">
        <v>2</v>
      </c>
      <c r="RV166">
        <v>2</v>
      </c>
      <c r="RW166">
        <v>2</v>
      </c>
      <c r="RX166">
        <v>2</v>
      </c>
      <c r="RY166">
        <v>2</v>
      </c>
      <c r="RZ166">
        <v>2</v>
      </c>
      <c r="SA166">
        <v>2</v>
      </c>
      <c r="SB166">
        <v>2</v>
      </c>
      <c r="SC166">
        <v>2</v>
      </c>
      <c r="SD166">
        <v>2</v>
      </c>
      <c r="SE166">
        <v>2</v>
      </c>
      <c r="SF166">
        <v>2</v>
      </c>
      <c r="SG166">
        <v>2</v>
      </c>
      <c r="SH166">
        <v>2</v>
      </c>
      <c r="SI166">
        <v>2</v>
      </c>
      <c r="SJ166">
        <v>2</v>
      </c>
      <c r="SK166">
        <v>2</v>
      </c>
      <c r="SL166">
        <v>2</v>
      </c>
      <c r="SM166">
        <v>2</v>
      </c>
      <c r="SN166">
        <v>2</v>
      </c>
      <c r="SO166">
        <v>2</v>
      </c>
      <c r="SP166">
        <v>2</v>
      </c>
      <c r="SQ166">
        <v>2</v>
      </c>
      <c r="SR166">
        <v>2</v>
      </c>
      <c r="SS166">
        <v>2</v>
      </c>
      <c r="ST166">
        <v>2</v>
      </c>
      <c r="SU166">
        <v>2</v>
      </c>
      <c r="SV166">
        <v>2</v>
      </c>
      <c r="SW166">
        <v>2</v>
      </c>
      <c r="SX166">
        <v>2</v>
      </c>
      <c r="SY166">
        <v>2</v>
      </c>
      <c r="SZ166">
        <v>2</v>
      </c>
      <c r="TA166">
        <v>2</v>
      </c>
      <c r="TB166">
        <v>2</v>
      </c>
      <c r="TC166">
        <v>2</v>
      </c>
      <c r="TD166">
        <v>2</v>
      </c>
      <c r="TE166">
        <v>2</v>
      </c>
      <c r="TF166">
        <v>2</v>
      </c>
      <c r="TG166">
        <v>2</v>
      </c>
      <c r="TH166">
        <v>2</v>
      </c>
      <c r="TI166">
        <v>2</v>
      </c>
      <c r="TJ166">
        <v>2</v>
      </c>
      <c r="TK166">
        <v>2</v>
      </c>
      <c r="TL166">
        <v>2</v>
      </c>
      <c r="TM166">
        <v>2</v>
      </c>
      <c r="TN166">
        <v>2</v>
      </c>
      <c r="TO166">
        <v>2</v>
      </c>
      <c r="TP166">
        <v>2</v>
      </c>
      <c r="TQ166">
        <v>2</v>
      </c>
      <c r="TR166">
        <v>2</v>
      </c>
      <c r="TS166">
        <v>2</v>
      </c>
      <c r="TT166">
        <v>0</v>
      </c>
      <c r="TU166">
        <v>0</v>
      </c>
      <c r="TV166">
        <v>0</v>
      </c>
      <c r="TW166">
        <v>0</v>
      </c>
      <c r="TX166">
        <v>0</v>
      </c>
      <c r="TY166">
        <v>0</v>
      </c>
      <c r="TZ166">
        <v>0</v>
      </c>
      <c r="UA166">
        <v>0</v>
      </c>
      <c r="UB166">
        <v>0</v>
      </c>
      <c r="UC166">
        <v>0</v>
      </c>
      <c r="UD166">
        <v>0</v>
      </c>
      <c r="UE166">
        <v>0</v>
      </c>
      <c r="UF166">
        <v>0</v>
      </c>
      <c r="UG166">
        <v>0</v>
      </c>
      <c r="UH166">
        <v>0</v>
      </c>
      <c r="UI166">
        <v>0</v>
      </c>
      <c r="UJ166">
        <v>0</v>
      </c>
      <c r="UK166">
        <v>0</v>
      </c>
      <c r="UL166">
        <v>0</v>
      </c>
      <c r="UM166">
        <v>0</v>
      </c>
      <c r="UN166">
        <v>0</v>
      </c>
      <c r="UO166">
        <v>0</v>
      </c>
      <c r="UP166">
        <v>0</v>
      </c>
      <c r="UQ166">
        <v>0</v>
      </c>
      <c r="UR166">
        <v>0</v>
      </c>
      <c r="US166">
        <v>0</v>
      </c>
      <c r="UT166">
        <v>0</v>
      </c>
      <c r="UU166">
        <v>0</v>
      </c>
      <c r="UV166">
        <v>0</v>
      </c>
      <c r="UW166">
        <v>0</v>
      </c>
      <c r="UX166">
        <v>0</v>
      </c>
      <c r="UY166">
        <v>0</v>
      </c>
      <c r="UZ166">
        <v>0</v>
      </c>
      <c r="VA166">
        <v>0</v>
      </c>
      <c r="VB166">
        <v>0</v>
      </c>
      <c r="VC166">
        <v>0</v>
      </c>
      <c r="VD166">
        <v>0</v>
      </c>
      <c r="VE166">
        <v>0</v>
      </c>
      <c r="VF166">
        <v>0</v>
      </c>
      <c r="VG166">
        <v>0</v>
      </c>
      <c r="VH166">
        <v>0</v>
      </c>
      <c r="VI166">
        <v>0</v>
      </c>
      <c r="VJ166">
        <v>0</v>
      </c>
      <c r="VK166">
        <v>0</v>
      </c>
      <c r="VL166">
        <v>0</v>
      </c>
      <c r="VM166">
        <v>0</v>
      </c>
      <c r="VN166">
        <v>0</v>
      </c>
      <c r="VO166">
        <v>0</v>
      </c>
      <c r="VP166">
        <v>0</v>
      </c>
      <c r="VQ166">
        <v>0</v>
      </c>
      <c r="VR166">
        <v>0</v>
      </c>
      <c r="VS166">
        <v>0</v>
      </c>
      <c r="VT166">
        <v>0</v>
      </c>
      <c r="VU166">
        <v>0</v>
      </c>
      <c r="VV166">
        <v>0</v>
      </c>
      <c r="VW166">
        <v>0</v>
      </c>
      <c r="VX166">
        <v>0</v>
      </c>
      <c r="VY166">
        <v>0</v>
      </c>
      <c r="VZ166">
        <v>0</v>
      </c>
      <c r="WA166">
        <v>0</v>
      </c>
      <c r="WB166">
        <v>0</v>
      </c>
      <c r="WC166">
        <v>0</v>
      </c>
      <c r="WD166">
        <v>0</v>
      </c>
      <c r="WE166">
        <v>0</v>
      </c>
      <c r="WF166">
        <v>0</v>
      </c>
      <c r="WG166">
        <v>0</v>
      </c>
      <c r="WH166">
        <v>0</v>
      </c>
      <c r="WI166">
        <v>0</v>
      </c>
      <c r="WJ166">
        <v>0</v>
      </c>
      <c r="WK166">
        <v>0</v>
      </c>
      <c r="WL166">
        <v>0</v>
      </c>
      <c r="WM166">
        <v>0</v>
      </c>
      <c r="WN166">
        <v>0</v>
      </c>
      <c r="WO166">
        <v>0</v>
      </c>
      <c r="WP166">
        <v>0</v>
      </c>
      <c r="WQ166">
        <v>0</v>
      </c>
      <c r="WR166">
        <v>0</v>
      </c>
      <c r="WS166">
        <v>0</v>
      </c>
      <c r="WT166">
        <v>0</v>
      </c>
      <c r="WU166">
        <v>0</v>
      </c>
      <c r="WV166">
        <v>0</v>
      </c>
      <c r="WW166">
        <v>0</v>
      </c>
      <c r="WX166">
        <v>0</v>
      </c>
      <c r="WY166">
        <v>0</v>
      </c>
      <c r="WZ166">
        <v>0</v>
      </c>
      <c r="XA166">
        <v>0</v>
      </c>
      <c r="XB166">
        <v>0</v>
      </c>
      <c r="XC166">
        <v>0</v>
      </c>
      <c r="XD166">
        <v>0</v>
      </c>
      <c r="XE166">
        <v>0</v>
      </c>
      <c r="XF166">
        <v>0</v>
      </c>
      <c r="XG166">
        <v>0</v>
      </c>
      <c r="XH166">
        <v>0</v>
      </c>
      <c r="XI166">
        <v>0</v>
      </c>
      <c r="XJ166">
        <v>0</v>
      </c>
      <c r="XK166">
        <v>0</v>
      </c>
      <c r="XL166">
        <v>0</v>
      </c>
      <c r="XM166">
        <v>0</v>
      </c>
      <c r="XN166">
        <v>0</v>
      </c>
      <c r="XO166">
        <v>0</v>
      </c>
      <c r="XP166">
        <v>0</v>
      </c>
      <c r="XQ166">
        <v>0</v>
      </c>
      <c r="XR166">
        <v>0</v>
      </c>
      <c r="XS166">
        <v>0</v>
      </c>
      <c r="XT166">
        <v>0</v>
      </c>
      <c r="XU166">
        <v>0</v>
      </c>
      <c r="XV166">
        <v>0</v>
      </c>
      <c r="XW166">
        <v>0</v>
      </c>
      <c r="XX166">
        <v>0</v>
      </c>
      <c r="XY166">
        <v>0</v>
      </c>
      <c r="XZ166">
        <v>0</v>
      </c>
      <c r="YA166">
        <v>0</v>
      </c>
      <c r="YB166">
        <v>0</v>
      </c>
      <c r="YC166">
        <v>0</v>
      </c>
      <c r="YD166">
        <v>0</v>
      </c>
      <c r="YE166">
        <v>0</v>
      </c>
      <c r="YF166">
        <v>0</v>
      </c>
      <c r="YG166">
        <v>0</v>
      </c>
      <c r="YH166">
        <v>0</v>
      </c>
      <c r="YI166">
        <v>0</v>
      </c>
      <c r="YJ166">
        <v>0</v>
      </c>
      <c r="YK166">
        <v>0</v>
      </c>
      <c r="YL166">
        <v>0</v>
      </c>
      <c r="YM166">
        <v>0</v>
      </c>
      <c r="YN166">
        <v>0</v>
      </c>
      <c r="YO166">
        <v>0</v>
      </c>
      <c r="YP166">
        <v>0</v>
      </c>
      <c r="YQ166">
        <v>0</v>
      </c>
      <c r="YR166">
        <v>0</v>
      </c>
      <c r="YS166">
        <v>0</v>
      </c>
      <c r="YT166">
        <v>0</v>
      </c>
      <c r="YU166">
        <v>0</v>
      </c>
      <c r="YV166">
        <v>0</v>
      </c>
      <c r="YW166">
        <v>0</v>
      </c>
      <c r="YX166">
        <v>0</v>
      </c>
      <c r="YY166">
        <v>0</v>
      </c>
      <c r="YZ166">
        <v>0</v>
      </c>
      <c r="ZA166">
        <v>0</v>
      </c>
      <c r="ZB166">
        <v>0</v>
      </c>
      <c r="ZC166">
        <v>0</v>
      </c>
      <c r="ZD166">
        <v>0</v>
      </c>
      <c r="ZE166">
        <v>0</v>
      </c>
      <c r="ZF166">
        <v>0</v>
      </c>
      <c r="ZG166">
        <v>0</v>
      </c>
      <c r="ZH166">
        <v>0</v>
      </c>
      <c r="ZI166">
        <v>0</v>
      </c>
      <c r="ZJ166">
        <v>0</v>
      </c>
      <c r="ZK166">
        <v>0</v>
      </c>
      <c r="ZL166">
        <v>0</v>
      </c>
      <c r="ZM166">
        <v>0</v>
      </c>
      <c r="ZN166">
        <v>0</v>
      </c>
      <c r="ZO166">
        <v>0</v>
      </c>
      <c r="ZP166">
        <v>0</v>
      </c>
      <c r="ZQ166">
        <v>0</v>
      </c>
      <c r="ZR166">
        <v>0</v>
      </c>
      <c r="ZS166">
        <v>0</v>
      </c>
      <c r="ZT166">
        <v>0</v>
      </c>
      <c r="ZU166">
        <v>0</v>
      </c>
      <c r="ZV166">
        <v>0</v>
      </c>
      <c r="ZW166">
        <v>0</v>
      </c>
      <c r="ZX166">
        <v>0</v>
      </c>
      <c r="ZY166">
        <v>0</v>
      </c>
      <c r="ZZ166">
        <v>0</v>
      </c>
      <c r="AAA166">
        <v>0</v>
      </c>
      <c r="AAB166">
        <v>0</v>
      </c>
      <c r="AAC166">
        <v>0</v>
      </c>
      <c r="AAD166">
        <v>0</v>
      </c>
      <c r="AAE166">
        <v>0</v>
      </c>
      <c r="AAF166">
        <v>0</v>
      </c>
      <c r="AAG166">
        <v>0</v>
      </c>
      <c r="AAH166">
        <v>0</v>
      </c>
      <c r="AAI166">
        <v>0</v>
      </c>
      <c r="AAJ166">
        <v>0</v>
      </c>
      <c r="AAK166">
        <v>0</v>
      </c>
      <c r="AAL166">
        <v>0</v>
      </c>
      <c r="AAM166">
        <v>0</v>
      </c>
      <c r="AAN166">
        <v>0</v>
      </c>
      <c r="AAO166">
        <v>0</v>
      </c>
      <c r="AAP166">
        <v>0</v>
      </c>
      <c r="AAQ166">
        <v>0</v>
      </c>
      <c r="AAR166">
        <v>0</v>
      </c>
      <c r="AAS166">
        <v>0</v>
      </c>
      <c r="AAT166">
        <v>0</v>
      </c>
      <c r="AAU166">
        <v>0</v>
      </c>
      <c r="AAV166">
        <v>0</v>
      </c>
      <c r="AAW166">
        <v>0</v>
      </c>
      <c r="AAX166">
        <v>0</v>
      </c>
      <c r="AAY166">
        <v>0</v>
      </c>
      <c r="AAZ166">
        <v>0</v>
      </c>
      <c r="ABA166">
        <v>0</v>
      </c>
      <c r="ABB166">
        <v>0</v>
      </c>
      <c r="ABC166">
        <v>0</v>
      </c>
      <c r="ABD166">
        <v>0</v>
      </c>
      <c r="ABE166">
        <v>0</v>
      </c>
      <c r="ABG166" s="1137">
        <f t="shared" si="45"/>
        <v>0</v>
      </c>
      <c r="ABH166" s="1137">
        <f t="shared" si="45"/>
        <v>0</v>
      </c>
      <c r="ABI166" s="1137">
        <f t="shared" si="45"/>
        <v>0</v>
      </c>
      <c r="ABJ166" s="1137">
        <f t="shared" si="45"/>
        <v>18</v>
      </c>
      <c r="ABK166" s="1137">
        <f t="shared" si="45"/>
        <v>31</v>
      </c>
      <c r="ABL166" s="1137">
        <f t="shared" si="45"/>
        <v>30</v>
      </c>
      <c r="ABM166" s="1137">
        <f t="shared" si="45"/>
        <v>31</v>
      </c>
      <c r="ABN166" s="1137">
        <f t="shared" si="45"/>
        <v>31</v>
      </c>
      <c r="ABO166" s="1137">
        <f t="shared" si="45"/>
        <v>30</v>
      </c>
      <c r="ABP166" s="1137">
        <f t="shared" si="45"/>
        <v>31</v>
      </c>
      <c r="ABQ166" s="1137">
        <f t="shared" si="45"/>
        <v>30</v>
      </c>
      <c r="ABR166" s="1137">
        <f t="shared" si="45"/>
        <v>31</v>
      </c>
      <c r="ABS166" s="1137">
        <f t="shared" si="45"/>
        <v>31</v>
      </c>
      <c r="ABT166" s="1137">
        <f t="shared" si="45"/>
        <v>14</v>
      </c>
      <c r="ABU166" s="1137">
        <f t="shared" si="45"/>
        <v>0</v>
      </c>
      <c r="ABV166" s="1137">
        <f t="shared" si="45"/>
        <v>13</v>
      </c>
      <c r="ABW166" s="1137">
        <f t="shared" si="31"/>
        <v>31</v>
      </c>
      <c r="ABX166" s="1137">
        <f t="shared" si="31"/>
        <v>20</v>
      </c>
      <c r="ABY166" s="1137">
        <f t="shared" si="31"/>
        <v>0</v>
      </c>
      <c r="ABZ166" s="1137">
        <f t="shared" si="31"/>
        <v>0</v>
      </c>
      <c r="ACA166" s="1137">
        <f t="shared" si="31"/>
        <v>0</v>
      </c>
      <c r="ACB166" s="1137">
        <f t="shared" si="31"/>
        <v>0</v>
      </c>
      <c r="ACC166" s="1137">
        <f t="shared" si="31"/>
        <v>0</v>
      </c>
      <c r="ACD166" s="1137">
        <f t="shared" si="31"/>
        <v>0</v>
      </c>
      <c r="ACE166" s="1137" t="s">
        <v>20</v>
      </c>
      <c r="ACF166" s="1137">
        <f t="shared" si="39"/>
        <v>0</v>
      </c>
      <c r="ACG166" s="1137">
        <f t="shared" si="39"/>
        <v>0</v>
      </c>
      <c r="ACH166" s="1137">
        <f t="shared" si="39"/>
        <v>0</v>
      </c>
      <c r="ACI166" s="1137">
        <f t="shared" si="39"/>
        <v>1</v>
      </c>
      <c r="ACJ166" s="1137">
        <f t="shared" si="39"/>
        <v>1</v>
      </c>
      <c r="ACK166" s="1137">
        <f t="shared" si="39"/>
        <v>1</v>
      </c>
      <c r="ACL166" s="1137">
        <f t="shared" si="39"/>
        <v>1</v>
      </c>
      <c r="ACM166" s="1137">
        <f t="shared" si="39"/>
        <v>1</v>
      </c>
      <c r="ACN166" s="1137">
        <f t="shared" si="39"/>
        <v>1</v>
      </c>
      <c r="ACO166" s="1137">
        <f t="shared" si="39"/>
        <v>1</v>
      </c>
      <c r="ACP166" s="1137">
        <f t="shared" si="39"/>
        <v>1</v>
      </c>
      <c r="ACQ166" s="1137">
        <f t="shared" si="43"/>
        <v>1</v>
      </c>
      <c r="ACR166" s="1137">
        <f t="shared" si="43"/>
        <v>1</v>
      </c>
      <c r="ACS166" s="1137">
        <f t="shared" si="43"/>
        <v>1</v>
      </c>
      <c r="ACT166" s="1137">
        <f t="shared" si="43"/>
        <v>0</v>
      </c>
      <c r="ACU166" s="1137">
        <f t="shared" si="43"/>
        <v>1</v>
      </c>
      <c r="ACV166" s="1137">
        <f t="shared" si="43"/>
        <v>1</v>
      </c>
      <c r="ACW166" s="1137">
        <f t="shared" si="43"/>
        <v>1</v>
      </c>
      <c r="ACX166" s="1137">
        <f t="shared" si="42"/>
        <v>0</v>
      </c>
      <c r="ACY166" s="1137">
        <f t="shared" si="42"/>
        <v>0</v>
      </c>
      <c r="ACZ166" s="1137">
        <f t="shared" si="42"/>
        <v>0</v>
      </c>
      <c r="ADA166" s="1137">
        <f t="shared" si="35"/>
        <v>0</v>
      </c>
      <c r="ADB166" s="1137">
        <f t="shared" si="35"/>
        <v>0</v>
      </c>
      <c r="ADC166" s="1137">
        <f t="shared" si="35"/>
        <v>0</v>
      </c>
    </row>
    <row r="167" spans="1:783" x14ac:dyDescent="0.25">
      <c r="A167" t="s">
        <v>1966</v>
      </c>
      <c r="B167" t="s">
        <v>72</v>
      </c>
      <c r="C167">
        <v>0</v>
      </c>
      <c r="D167">
        <v>0</v>
      </c>
      <c r="E167">
        <v>0</v>
      </c>
      <c r="F167">
        <v>0</v>
      </c>
      <c r="G167">
        <v>0</v>
      </c>
      <c r="H167">
        <v>0</v>
      </c>
      <c r="I167">
        <v>0</v>
      </c>
      <c r="J167">
        <v>0</v>
      </c>
      <c r="K167">
        <v>0</v>
      </c>
      <c r="L167">
        <v>0</v>
      </c>
      <c r="M167">
        <v>0</v>
      </c>
      <c r="N167">
        <v>0</v>
      </c>
      <c r="O167">
        <v>0</v>
      </c>
      <c r="P167">
        <v>0</v>
      </c>
      <c r="Q167">
        <v>0</v>
      </c>
      <c r="R167">
        <v>0</v>
      </c>
      <c r="S167">
        <v>0</v>
      </c>
      <c r="T167">
        <v>0</v>
      </c>
      <c r="U167">
        <v>0</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0</v>
      </c>
      <c r="AR167">
        <v>0</v>
      </c>
      <c r="AS167">
        <v>0</v>
      </c>
      <c r="AT167">
        <v>0</v>
      </c>
      <c r="AU167">
        <v>0</v>
      </c>
      <c r="AV167">
        <v>0</v>
      </c>
      <c r="AW167">
        <v>0</v>
      </c>
      <c r="AX167">
        <v>0</v>
      </c>
      <c r="AY167">
        <v>0</v>
      </c>
      <c r="AZ167">
        <v>0</v>
      </c>
      <c r="BA167">
        <v>0</v>
      </c>
      <c r="BB167">
        <v>0</v>
      </c>
      <c r="BC167">
        <v>0</v>
      </c>
      <c r="BD167">
        <v>0</v>
      </c>
      <c r="BE167">
        <v>0</v>
      </c>
      <c r="BF167">
        <v>0</v>
      </c>
      <c r="BG167">
        <v>0</v>
      </c>
      <c r="BH167">
        <v>0</v>
      </c>
      <c r="BI167">
        <v>0</v>
      </c>
      <c r="BJ167">
        <v>0</v>
      </c>
      <c r="BK167">
        <v>0</v>
      </c>
      <c r="BL167">
        <v>0</v>
      </c>
      <c r="BM167">
        <v>0</v>
      </c>
      <c r="BN167">
        <v>0</v>
      </c>
      <c r="BO167">
        <v>0</v>
      </c>
      <c r="BP167">
        <v>0</v>
      </c>
      <c r="BQ167">
        <v>0</v>
      </c>
      <c r="BR167">
        <v>0</v>
      </c>
      <c r="BS167">
        <v>0</v>
      </c>
      <c r="BT167">
        <v>0</v>
      </c>
      <c r="BU167">
        <v>0</v>
      </c>
      <c r="BV167">
        <v>0</v>
      </c>
      <c r="BW167">
        <v>0</v>
      </c>
      <c r="BX167">
        <v>0</v>
      </c>
      <c r="BY167">
        <v>0</v>
      </c>
      <c r="BZ167">
        <v>0</v>
      </c>
      <c r="CA167">
        <v>0</v>
      </c>
      <c r="CB167">
        <v>0</v>
      </c>
      <c r="CC167">
        <v>0</v>
      </c>
      <c r="CD167">
        <v>0</v>
      </c>
      <c r="CE167">
        <v>2</v>
      </c>
      <c r="CF167">
        <v>2</v>
      </c>
      <c r="CG167">
        <v>2</v>
      </c>
      <c r="CH167">
        <v>2</v>
      </c>
      <c r="CI167">
        <v>2</v>
      </c>
      <c r="CJ167">
        <v>2</v>
      </c>
      <c r="CK167">
        <v>2</v>
      </c>
      <c r="CL167">
        <v>2</v>
      </c>
      <c r="CM167">
        <v>2</v>
      </c>
      <c r="CN167">
        <v>2</v>
      </c>
      <c r="CO167">
        <v>2</v>
      </c>
      <c r="CP167">
        <v>2</v>
      </c>
      <c r="CQ167">
        <v>2</v>
      </c>
      <c r="CR167">
        <v>2</v>
      </c>
      <c r="CS167">
        <v>2</v>
      </c>
      <c r="CT167">
        <v>2</v>
      </c>
      <c r="CU167">
        <v>2</v>
      </c>
      <c r="CV167">
        <v>2</v>
      </c>
      <c r="CW167">
        <v>2</v>
      </c>
      <c r="CX167">
        <v>2</v>
      </c>
      <c r="CY167">
        <v>2</v>
      </c>
      <c r="CZ167">
        <v>2</v>
      </c>
      <c r="DA167">
        <v>2</v>
      </c>
      <c r="DB167">
        <v>2</v>
      </c>
      <c r="DC167">
        <v>2</v>
      </c>
      <c r="DD167">
        <v>2</v>
      </c>
      <c r="DE167">
        <v>2</v>
      </c>
      <c r="DF167">
        <v>2</v>
      </c>
      <c r="DG167">
        <v>2</v>
      </c>
      <c r="DH167">
        <v>2</v>
      </c>
      <c r="DI167">
        <v>2</v>
      </c>
      <c r="DJ167">
        <v>2</v>
      </c>
      <c r="DK167">
        <v>2</v>
      </c>
      <c r="DL167">
        <v>2</v>
      </c>
      <c r="DM167">
        <v>2</v>
      </c>
      <c r="DN167">
        <v>2</v>
      </c>
      <c r="DO167">
        <v>2</v>
      </c>
      <c r="DP167">
        <v>2</v>
      </c>
      <c r="DQ167">
        <v>2</v>
      </c>
      <c r="DR167">
        <v>2</v>
      </c>
      <c r="DS167">
        <v>2</v>
      </c>
      <c r="DT167">
        <v>2</v>
      </c>
      <c r="DU167">
        <v>2</v>
      </c>
      <c r="DV167">
        <v>2</v>
      </c>
      <c r="DW167">
        <v>2</v>
      </c>
      <c r="DX167">
        <v>2</v>
      </c>
      <c r="DY167">
        <v>2</v>
      </c>
      <c r="DZ167">
        <v>2</v>
      </c>
      <c r="EA167">
        <v>2</v>
      </c>
      <c r="EB167">
        <v>2</v>
      </c>
      <c r="EC167">
        <v>2</v>
      </c>
      <c r="ED167">
        <v>2</v>
      </c>
      <c r="EE167">
        <v>2</v>
      </c>
      <c r="EF167">
        <v>2</v>
      </c>
      <c r="EG167">
        <v>2</v>
      </c>
      <c r="EH167">
        <v>2</v>
      </c>
      <c r="EI167">
        <v>2</v>
      </c>
      <c r="EJ167">
        <v>2</v>
      </c>
      <c r="EK167">
        <v>2</v>
      </c>
      <c r="EL167">
        <v>2</v>
      </c>
      <c r="EM167">
        <v>2</v>
      </c>
      <c r="EN167">
        <v>2</v>
      </c>
      <c r="EO167">
        <v>2</v>
      </c>
      <c r="EP167">
        <v>2</v>
      </c>
      <c r="EQ167">
        <v>2</v>
      </c>
      <c r="ER167">
        <v>2</v>
      </c>
      <c r="ES167">
        <v>2</v>
      </c>
      <c r="ET167">
        <v>2</v>
      </c>
      <c r="EU167">
        <v>2</v>
      </c>
      <c r="EV167">
        <v>2</v>
      </c>
      <c r="EW167">
        <v>2</v>
      </c>
      <c r="EX167">
        <v>2</v>
      </c>
      <c r="EY167">
        <v>2</v>
      </c>
      <c r="EZ167">
        <v>2</v>
      </c>
      <c r="FA167">
        <v>2</v>
      </c>
      <c r="FB167">
        <v>2</v>
      </c>
      <c r="FC167">
        <v>2</v>
      </c>
      <c r="FD167">
        <v>2</v>
      </c>
      <c r="FE167">
        <v>2</v>
      </c>
      <c r="FF167">
        <v>2</v>
      </c>
      <c r="FG167">
        <v>0</v>
      </c>
      <c r="FH167">
        <v>0</v>
      </c>
      <c r="FI167">
        <v>0</v>
      </c>
      <c r="FJ167">
        <v>0</v>
      </c>
      <c r="FK167">
        <v>0</v>
      </c>
      <c r="FL167">
        <v>0</v>
      </c>
      <c r="FM167">
        <v>0</v>
      </c>
      <c r="FN167">
        <v>0</v>
      </c>
      <c r="FO167">
        <v>0</v>
      </c>
      <c r="FP167">
        <v>0</v>
      </c>
      <c r="FQ167">
        <v>0</v>
      </c>
      <c r="FR167">
        <v>0</v>
      </c>
      <c r="FS167">
        <v>0</v>
      </c>
      <c r="FT167">
        <v>0</v>
      </c>
      <c r="FU167">
        <v>0</v>
      </c>
      <c r="FV167">
        <v>0</v>
      </c>
      <c r="FW167">
        <v>0</v>
      </c>
      <c r="FX167">
        <v>0</v>
      </c>
      <c r="FY167">
        <v>0</v>
      </c>
      <c r="FZ167">
        <v>0</v>
      </c>
      <c r="GA167">
        <v>0</v>
      </c>
      <c r="GB167">
        <v>0</v>
      </c>
      <c r="GC167">
        <v>0</v>
      </c>
      <c r="GD167">
        <v>0</v>
      </c>
      <c r="GE167">
        <v>0</v>
      </c>
      <c r="GF167">
        <v>0</v>
      </c>
      <c r="GG167">
        <v>0</v>
      </c>
      <c r="GH167">
        <v>0</v>
      </c>
      <c r="GI167">
        <v>0</v>
      </c>
      <c r="GJ167">
        <v>0</v>
      </c>
      <c r="GK167">
        <v>0</v>
      </c>
      <c r="GL167">
        <v>0</v>
      </c>
      <c r="GM167">
        <v>0</v>
      </c>
      <c r="GN167">
        <v>0</v>
      </c>
      <c r="GO167">
        <v>0</v>
      </c>
      <c r="GP167">
        <v>0</v>
      </c>
      <c r="GQ167">
        <v>0</v>
      </c>
      <c r="GR167">
        <v>0</v>
      </c>
      <c r="GS167">
        <v>0</v>
      </c>
      <c r="GT167">
        <v>0</v>
      </c>
      <c r="GU167">
        <v>0</v>
      </c>
      <c r="GV167">
        <v>0</v>
      </c>
      <c r="GW167">
        <v>0</v>
      </c>
      <c r="GX167">
        <v>0</v>
      </c>
      <c r="GY167">
        <v>0</v>
      </c>
      <c r="GZ167">
        <v>0</v>
      </c>
      <c r="HA167">
        <v>0</v>
      </c>
      <c r="HB167">
        <v>0</v>
      </c>
      <c r="HC167">
        <v>0</v>
      </c>
      <c r="HD167">
        <v>0</v>
      </c>
      <c r="HE167">
        <v>0</v>
      </c>
      <c r="HF167">
        <v>0</v>
      </c>
      <c r="HG167">
        <v>0</v>
      </c>
      <c r="HH167">
        <v>0</v>
      </c>
      <c r="HI167">
        <v>0</v>
      </c>
      <c r="HJ167">
        <v>0</v>
      </c>
      <c r="HK167">
        <v>0</v>
      </c>
      <c r="HL167">
        <v>0</v>
      </c>
      <c r="HM167">
        <v>0</v>
      </c>
      <c r="HN167">
        <v>0</v>
      </c>
      <c r="HO167">
        <v>0</v>
      </c>
      <c r="HP167">
        <v>0</v>
      </c>
      <c r="HQ167">
        <v>0</v>
      </c>
      <c r="HR167">
        <v>0</v>
      </c>
      <c r="HS167">
        <v>0</v>
      </c>
      <c r="HT167">
        <v>0</v>
      </c>
      <c r="HU167">
        <v>0</v>
      </c>
      <c r="HV167">
        <v>0</v>
      </c>
      <c r="HW167">
        <v>0</v>
      </c>
      <c r="HX167">
        <v>0</v>
      </c>
      <c r="HY167">
        <v>0</v>
      </c>
      <c r="HZ167">
        <v>0</v>
      </c>
      <c r="IA167">
        <v>0</v>
      </c>
      <c r="IB167">
        <v>0</v>
      </c>
      <c r="IC167">
        <v>0</v>
      </c>
      <c r="ID167">
        <v>0</v>
      </c>
      <c r="IE167">
        <v>0</v>
      </c>
      <c r="IF167">
        <v>0</v>
      </c>
      <c r="IG167">
        <v>0</v>
      </c>
      <c r="IH167">
        <v>0</v>
      </c>
      <c r="II167">
        <v>0</v>
      </c>
      <c r="IJ167">
        <v>1</v>
      </c>
      <c r="IK167">
        <v>1</v>
      </c>
      <c r="IL167">
        <v>1</v>
      </c>
      <c r="IM167">
        <v>1</v>
      </c>
      <c r="IN167">
        <v>1</v>
      </c>
      <c r="IO167">
        <v>1</v>
      </c>
      <c r="IP167">
        <v>1</v>
      </c>
      <c r="IQ167">
        <v>1</v>
      </c>
      <c r="IR167">
        <v>1</v>
      </c>
      <c r="IS167">
        <v>1</v>
      </c>
      <c r="IT167">
        <v>1</v>
      </c>
      <c r="IU167">
        <v>1</v>
      </c>
      <c r="IV167">
        <v>1</v>
      </c>
      <c r="IW167">
        <v>1</v>
      </c>
      <c r="IX167">
        <v>1</v>
      </c>
      <c r="IY167">
        <v>1</v>
      </c>
      <c r="IZ167">
        <v>1</v>
      </c>
      <c r="JA167">
        <v>1</v>
      </c>
      <c r="JB167">
        <v>1</v>
      </c>
      <c r="JC167">
        <v>1</v>
      </c>
      <c r="JD167">
        <v>1</v>
      </c>
      <c r="JE167">
        <v>1</v>
      </c>
      <c r="JF167">
        <v>1</v>
      </c>
      <c r="JG167">
        <v>1</v>
      </c>
      <c r="JH167">
        <v>1</v>
      </c>
      <c r="JI167">
        <v>1</v>
      </c>
      <c r="JJ167">
        <v>1</v>
      </c>
      <c r="JK167">
        <v>1</v>
      </c>
      <c r="JL167">
        <v>1</v>
      </c>
      <c r="JM167">
        <v>1</v>
      </c>
      <c r="JN167">
        <v>1</v>
      </c>
      <c r="JO167">
        <v>2</v>
      </c>
      <c r="JP167">
        <v>2</v>
      </c>
      <c r="JQ167">
        <v>2</v>
      </c>
      <c r="JR167">
        <v>2</v>
      </c>
      <c r="JS167">
        <v>2</v>
      </c>
      <c r="JT167">
        <v>2</v>
      </c>
      <c r="JU167">
        <v>2</v>
      </c>
      <c r="JV167">
        <v>2</v>
      </c>
      <c r="JW167">
        <v>2</v>
      </c>
      <c r="JX167">
        <v>2</v>
      </c>
      <c r="JY167">
        <v>2</v>
      </c>
      <c r="JZ167">
        <v>2</v>
      </c>
      <c r="KA167">
        <v>2</v>
      </c>
      <c r="KB167">
        <v>2</v>
      </c>
      <c r="KC167">
        <v>2</v>
      </c>
      <c r="KD167">
        <v>2</v>
      </c>
      <c r="KE167">
        <v>2</v>
      </c>
      <c r="KF167">
        <v>2</v>
      </c>
      <c r="KG167">
        <v>2</v>
      </c>
      <c r="KH167">
        <v>2</v>
      </c>
      <c r="KI167">
        <v>2</v>
      </c>
      <c r="KJ167">
        <v>2</v>
      </c>
      <c r="KK167">
        <v>2</v>
      </c>
      <c r="KL167">
        <v>2</v>
      </c>
      <c r="KM167">
        <v>2</v>
      </c>
      <c r="KN167">
        <v>2</v>
      </c>
      <c r="KO167">
        <v>2</v>
      </c>
      <c r="KP167">
        <v>2</v>
      </c>
      <c r="KQ167">
        <v>2</v>
      </c>
      <c r="KR167">
        <v>2</v>
      </c>
      <c r="KS167">
        <v>2</v>
      </c>
      <c r="KT167">
        <v>2</v>
      </c>
      <c r="KU167">
        <v>2</v>
      </c>
      <c r="KV167">
        <v>2</v>
      </c>
      <c r="KW167">
        <v>2</v>
      </c>
      <c r="KX167">
        <v>2</v>
      </c>
      <c r="KY167">
        <v>2</v>
      </c>
      <c r="KZ167">
        <v>2</v>
      </c>
      <c r="LA167">
        <v>2</v>
      </c>
      <c r="LB167">
        <v>2</v>
      </c>
      <c r="LC167">
        <v>2</v>
      </c>
      <c r="LD167">
        <v>2</v>
      </c>
      <c r="LE167">
        <v>2</v>
      </c>
      <c r="LF167">
        <v>2</v>
      </c>
      <c r="LG167">
        <v>2</v>
      </c>
      <c r="LH167">
        <v>2</v>
      </c>
      <c r="LI167">
        <v>2</v>
      </c>
      <c r="LJ167">
        <v>2</v>
      </c>
      <c r="LK167">
        <v>2</v>
      </c>
      <c r="LL167">
        <v>2</v>
      </c>
      <c r="LM167">
        <v>2</v>
      </c>
      <c r="LN167">
        <v>2</v>
      </c>
      <c r="LO167">
        <v>2</v>
      </c>
      <c r="LP167">
        <v>2</v>
      </c>
      <c r="LQ167">
        <v>2</v>
      </c>
      <c r="LR167">
        <v>2</v>
      </c>
      <c r="LS167">
        <v>2</v>
      </c>
      <c r="LT167">
        <v>2</v>
      </c>
      <c r="LU167">
        <v>2</v>
      </c>
      <c r="LV167">
        <v>2</v>
      </c>
      <c r="LW167">
        <v>2</v>
      </c>
      <c r="LX167">
        <v>2</v>
      </c>
      <c r="LY167">
        <v>2</v>
      </c>
      <c r="LZ167">
        <v>2</v>
      </c>
      <c r="MA167">
        <v>2</v>
      </c>
      <c r="MB167">
        <v>2</v>
      </c>
      <c r="MC167">
        <v>2</v>
      </c>
      <c r="MD167">
        <v>2</v>
      </c>
      <c r="ME167">
        <v>2</v>
      </c>
      <c r="MF167">
        <v>2</v>
      </c>
      <c r="MG167">
        <v>2</v>
      </c>
      <c r="MH167">
        <v>2</v>
      </c>
      <c r="MI167">
        <v>2</v>
      </c>
      <c r="MJ167">
        <v>2</v>
      </c>
      <c r="MK167">
        <v>2</v>
      </c>
      <c r="ML167">
        <v>2</v>
      </c>
      <c r="MM167">
        <v>2</v>
      </c>
      <c r="MN167">
        <v>2</v>
      </c>
      <c r="MO167">
        <v>2</v>
      </c>
      <c r="MP167">
        <v>2</v>
      </c>
      <c r="MQ167">
        <v>2</v>
      </c>
      <c r="MR167">
        <v>2</v>
      </c>
      <c r="MS167">
        <v>2</v>
      </c>
      <c r="MT167">
        <v>2</v>
      </c>
      <c r="MU167">
        <v>2</v>
      </c>
      <c r="MV167">
        <v>2</v>
      </c>
      <c r="MW167">
        <v>2</v>
      </c>
      <c r="MX167">
        <v>2</v>
      </c>
      <c r="MY167">
        <v>2</v>
      </c>
      <c r="MZ167">
        <v>2</v>
      </c>
      <c r="NA167">
        <v>2</v>
      </c>
      <c r="NB167">
        <v>2</v>
      </c>
      <c r="NC167">
        <v>2</v>
      </c>
      <c r="ND167">
        <v>2</v>
      </c>
      <c r="NE167">
        <v>2</v>
      </c>
      <c r="NF167">
        <v>2</v>
      </c>
      <c r="NG167">
        <v>2</v>
      </c>
      <c r="NH167">
        <v>2</v>
      </c>
      <c r="NI167">
        <v>2</v>
      </c>
      <c r="NJ167">
        <v>2</v>
      </c>
      <c r="NK167">
        <v>2</v>
      </c>
      <c r="NL167">
        <v>2</v>
      </c>
      <c r="NM167">
        <v>2</v>
      </c>
      <c r="NN167">
        <v>2</v>
      </c>
      <c r="NO167">
        <v>2</v>
      </c>
      <c r="NP167">
        <v>2</v>
      </c>
      <c r="NQ167">
        <v>2</v>
      </c>
      <c r="NR167">
        <v>2</v>
      </c>
      <c r="NS167">
        <v>2</v>
      </c>
      <c r="NT167">
        <v>2</v>
      </c>
      <c r="NU167">
        <v>2</v>
      </c>
      <c r="NV167">
        <v>2</v>
      </c>
      <c r="NW167">
        <v>2</v>
      </c>
      <c r="NX167">
        <v>2</v>
      </c>
      <c r="NY167">
        <v>2</v>
      </c>
      <c r="NZ167">
        <v>2</v>
      </c>
      <c r="OA167">
        <v>2</v>
      </c>
      <c r="OB167">
        <v>2</v>
      </c>
      <c r="OC167">
        <v>2</v>
      </c>
      <c r="OD167">
        <v>2</v>
      </c>
      <c r="OE167">
        <v>2</v>
      </c>
      <c r="OF167">
        <v>2</v>
      </c>
      <c r="OG167">
        <v>2</v>
      </c>
      <c r="OH167">
        <v>2</v>
      </c>
      <c r="OI167">
        <v>2</v>
      </c>
      <c r="OJ167">
        <v>2</v>
      </c>
      <c r="OK167">
        <v>0</v>
      </c>
      <c r="OL167">
        <v>0</v>
      </c>
      <c r="OM167">
        <v>0</v>
      </c>
      <c r="ON167">
        <v>0</v>
      </c>
      <c r="OO167">
        <v>0</v>
      </c>
      <c r="OP167">
        <v>0</v>
      </c>
      <c r="OQ167">
        <v>0</v>
      </c>
      <c r="OR167">
        <v>0</v>
      </c>
      <c r="OS167">
        <v>2</v>
      </c>
      <c r="OT167">
        <v>2</v>
      </c>
      <c r="OU167">
        <v>2</v>
      </c>
      <c r="OV167">
        <v>2</v>
      </c>
      <c r="OW167">
        <v>2</v>
      </c>
      <c r="OX167">
        <v>2</v>
      </c>
      <c r="OY167">
        <v>2</v>
      </c>
      <c r="OZ167">
        <v>2</v>
      </c>
      <c r="PA167">
        <v>2</v>
      </c>
      <c r="PB167">
        <v>2</v>
      </c>
      <c r="PC167">
        <v>2</v>
      </c>
      <c r="PD167">
        <v>2</v>
      </c>
      <c r="PE167">
        <v>2</v>
      </c>
      <c r="PF167">
        <v>2</v>
      </c>
      <c r="PG167">
        <v>2</v>
      </c>
      <c r="PH167">
        <v>2</v>
      </c>
      <c r="PI167">
        <v>2</v>
      </c>
      <c r="PJ167">
        <v>2</v>
      </c>
      <c r="PK167">
        <v>2</v>
      </c>
      <c r="PL167">
        <v>2</v>
      </c>
      <c r="PM167">
        <v>2</v>
      </c>
      <c r="PN167">
        <v>2</v>
      </c>
      <c r="PO167">
        <v>2</v>
      </c>
      <c r="PP167">
        <v>2</v>
      </c>
      <c r="PQ167">
        <v>2</v>
      </c>
      <c r="PR167">
        <v>2</v>
      </c>
      <c r="PS167">
        <v>2</v>
      </c>
      <c r="PT167">
        <v>2</v>
      </c>
      <c r="PU167">
        <v>2</v>
      </c>
      <c r="PV167">
        <v>2</v>
      </c>
      <c r="PW167">
        <v>2</v>
      </c>
      <c r="PX167">
        <v>2</v>
      </c>
      <c r="PY167">
        <v>2</v>
      </c>
      <c r="PZ167">
        <v>2</v>
      </c>
      <c r="QA167">
        <v>2</v>
      </c>
      <c r="QB167">
        <v>2</v>
      </c>
      <c r="QC167">
        <v>2</v>
      </c>
      <c r="QD167">
        <v>2</v>
      </c>
      <c r="QE167">
        <v>2</v>
      </c>
      <c r="QF167">
        <v>2</v>
      </c>
      <c r="QG167">
        <v>2</v>
      </c>
      <c r="QH167">
        <v>2</v>
      </c>
      <c r="QI167">
        <v>2</v>
      </c>
      <c r="QJ167">
        <v>2</v>
      </c>
      <c r="QK167">
        <v>2</v>
      </c>
      <c r="QL167">
        <v>2</v>
      </c>
      <c r="QM167">
        <v>2</v>
      </c>
      <c r="QN167">
        <v>2</v>
      </c>
      <c r="QO167">
        <v>2</v>
      </c>
      <c r="QP167">
        <v>2</v>
      </c>
      <c r="QQ167">
        <v>2</v>
      </c>
      <c r="QR167">
        <v>2</v>
      </c>
      <c r="QS167">
        <v>2</v>
      </c>
      <c r="QT167">
        <v>2</v>
      </c>
      <c r="QU167">
        <v>2</v>
      </c>
      <c r="QV167">
        <v>2</v>
      </c>
      <c r="QW167">
        <v>2</v>
      </c>
      <c r="QX167">
        <v>2</v>
      </c>
      <c r="QY167">
        <v>2</v>
      </c>
      <c r="QZ167">
        <v>2</v>
      </c>
      <c r="RA167">
        <v>2</v>
      </c>
      <c r="RB167">
        <v>2</v>
      </c>
      <c r="RC167">
        <v>0</v>
      </c>
      <c r="RD167">
        <v>0</v>
      </c>
      <c r="RE167">
        <v>0</v>
      </c>
      <c r="RF167">
        <v>0</v>
      </c>
      <c r="RG167">
        <v>0</v>
      </c>
      <c r="RH167">
        <v>0</v>
      </c>
      <c r="RI167">
        <v>0</v>
      </c>
      <c r="RJ167">
        <v>0</v>
      </c>
      <c r="RK167">
        <v>2</v>
      </c>
      <c r="RL167">
        <v>2</v>
      </c>
      <c r="RM167">
        <v>2</v>
      </c>
      <c r="RN167">
        <v>2</v>
      </c>
      <c r="RO167">
        <v>2</v>
      </c>
      <c r="RP167">
        <v>2</v>
      </c>
      <c r="RQ167">
        <v>2</v>
      </c>
      <c r="RR167">
        <v>2</v>
      </c>
      <c r="RS167">
        <v>2</v>
      </c>
      <c r="RT167">
        <v>2</v>
      </c>
      <c r="RU167">
        <v>2</v>
      </c>
      <c r="RV167">
        <v>2</v>
      </c>
      <c r="RW167">
        <v>2</v>
      </c>
      <c r="RX167">
        <v>2</v>
      </c>
      <c r="RY167">
        <v>2</v>
      </c>
      <c r="RZ167">
        <v>2</v>
      </c>
      <c r="SA167">
        <v>2</v>
      </c>
      <c r="SB167">
        <v>2</v>
      </c>
      <c r="SC167">
        <v>2</v>
      </c>
      <c r="SD167">
        <v>2</v>
      </c>
      <c r="SE167">
        <v>2</v>
      </c>
      <c r="SF167">
        <v>2</v>
      </c>
      <c r="SG167">
        <v>2</v>
      </c>
      <c r="SH167">
        <v>2</v>
      </c>
      <c r="SI167">
        <v>2</v>
      </c>
      <c r="SJ167">
        <v>2</v>
      </c>
      <c r="SK167">
        <v>2</v>
      </c>
      <c r="SL167">
        <v>2</v>
      </c>
      <c r="SM167">
        <v>2</v>
      </c>
      <c r="SN167">
        <v>2</v>
      </c>
      <c r="SO167">
        <v>2</v>
      </c>
      <c r="SP167">
        <v>2</v>
      </c>
      <c r="SQ167">
        <v>2</v>
      </c>
      <c r="SR167">
        <v>2</v>
      </c>
      <c r="SS167">
        <v>2</v>
      </c>
      <c r="ST167">
        <v>2</v>
      </c>
      <c r="SU167">
        <v>2</v>
      </c>
      <c r="SV167">
        <v>2</v>
      </c>
      <c r="SW167">
        <v>2</v>
      </c>
      <c r="SX167">
        <v>2</v>
      </c>
      <c r="SY167">
        <v>2</v>
      </c>
      <c r="SZ167">
        <v>2</v>
      </c>
      <c r="TA167">
        <v>2</v>
      </c>
      <c r="TB167">
        <v>2</v>
      </c>
      <c r="TC167">
        <v>2</v>
      </c>
      <c r="TD167">
        <v>2</v>
      </c>
      <c r="TE167">
        <v>2</v>
      </c>
      <c r="TF167">
        <v>2</v>
      </c>
      <c r="TG167">
        <v>2</v>
      </c>
      <c r="TH167">
        <v>2</v>
      </c>
      <c r="TI167">
        <v>2</v>
      </c>
      <c r="TJ167">
        <v>2</v>
      </c>
      <c r="TK167">
        <v>2</v>
      </c>
      <c r="TL167">
        <v>2</v>
      </c>
      <c r="TM167">
        <v>2</v>
      </c>
      <c r="TN167">
        <v>2</v>
      </c>
      <c r="TO167">
        <v>2</v>
      </c>
      <c r="TP167">
        <v>2</v>
      </c>
      <c r="TQ167">
        <v>2</v>
      </c>
      <c r="TR167">
        <v>2</v>
      </c>
      <c r="TS167">
        <v>2</v>
      </c>
      <c r="TT167">
        <v>2</v>
      </c>
      <c r="TU167">
        <v>2</v>
      </c>
      <c r="TV167">
        <v>2</v>
      </c>
      <c r="TW167">
        <v>2</v>
      </c>
      <c r="TX167">
        <v>2</v>
      </c>
      <c r="TY167">
        <v>2</v>
      </c>
      <c r="TZ167">
        <v>2</v>
      </c>
      <c r="UA167">
        <v>2</v>
      </c>
      <c r="UB167">
        <v>2</v>
      </c>
      <c r="UC167">
        <v>2</v>
      </c>
      <c r="UD167">
        <v>2</v>
      </c>
      <c r="UE167">
        <v>2</v>
      </c>
      <c r="UF167">
        <v>2</v>
      </c>
      <c r="UG167">
        <v>2</v>
      </c>
      <c r="UH167">
        <v>2</v>
      </c>
      <c r="UI167">
        <v>2</v>
      </c>
      <c r="UJ167">
        <v>2</v>
      </c>
      <c r="UK167">
        <v>2</v>
      </c>
      <c r="UL167">
        <v>2</v>
      </c>
      <c r="UM167">
        <v>2</v>
      </c>
      <c r="UN167">
        <v>2</v>
      </c>
      <c r="UO167">
        <v>2</v>
      </c>
      <c r="UP167">
        <v>2</v>
      </c>
      <c r="UQ167">
        <v>2</v>
      </c>
      <c r="UR167">
        <v>2</v>
      </c>
      <c r="US167">
        <v>2</v>
      </c>
      <c r="UT167">
        <v>2</v>
      </c>
      <c r="UU167">
        <v>2</v>
      </c>
      <c r="UV167">
        <v>2</v>
      </c>
      <c r="UW167">
        <v>2</v>
      </c>
      <c r="UX167">
        <v>2</v>
      </c>
      <c r="UY167">
        <v>2</v>
      </c>
      <c r="UZ167">
        <v>2</v>
      </c>
      <c r="VA167">
        <v>2</v>
      </c>
      <c r="VB167">
        <v>2</v>
      </c>
      <c r="VC167">
        <v>2</v>
      </c>
      <c r="VD167">
        <v>2</v>
      </c>
      <c r="VE167">
        <v>2</v>
      </c>
      <c r="VF167">
        <v>2</v>
      </c>
      <c r="VG167">
        <v>2</v>
      </c>
      <c r="VH167">
        <v>2</v>
      </c>
      <c r="VI167">
        <v>2</v>
      </c>
      <c r="VJ167">
        <v>2</v>
      </c>
      <c r="VK167">
        <v>2</v>
      </c>
      <c r="VL167">
        <v>2</v>
      </c>
      <c r="VM167">
        <v>2</v>
      </c>
      <c r="VN167">
        <v>2</v>
      </c>
      <c r="VO167">
        <v>2</v>
      </c>
      <c r="VP167">
        <v>2</v>
      </c>
      <c r="VQ167">
        <v>2</v>
      </c>
      <c r="VR167">
        <v>2</v>
      </c>
      <c r="VS167">
        <v>2</v>
      </c>
      <c r="VT167">
        <v>2</v>
      </c>
      <c r="VU167">
        <v>2</v>
      </c>
      <c r="VV167">
        <v>2</v>
      </c>
      <c r="VW167">
        <v>2</v>
      </c>
      <c r="VX167">
        <v>2</v>
      </c>
      <c r="VY167">
        <v>2</v>
      </c>
      <c r="VZ167">
        <v>2</v>
      </c>
      <c r="WA167">
        <v>2</v>
      </c>
      <c r="WB167">
        <v>2</v>
      </c>
      <c r="WC167">
        <v>2</v>
      </c>
      <c r="WD167">
        <v>2</v>
      </c>
      <c r="WE167">
        <v>2</v>
      </c>
      <c r="WF167">
        <v>2</v>
      </c>
      <c r="WG167">
        <v>2</v>
      </c>
      <c r="WH167">
        <v>2</v>
      </c>
      <c r="WI167">
        <v>2</v>
      </c>
      <c r="WJ167">
        <v>2</v>
      </c>
      <c r="WK167">
        <v>2</v>
      </c>
      <c r="WL167">
        <v>2</v>
      </c>
      <c r="WM167">
        <v>2</v>
      </c>
      <c r="WN167">
        <v>2</v>
      </c>
      <c r="WO167">
        <v>2</v>
      </c>
      <c r="WP167">
        <v>2</v>
      </c>
      <c r="WQ167">
        <v>2</v>
      </c>
      <c r="WR167">
        <v>2</v>
      </c>
      <c r="WS167">
        <v>2</v>
      </c>
      <c r="WT167">
        <v>2</v>
      </c>
      <c r="WU167">
        <v>2</v>
      </c>
      <c r="WV167">
        <v>2</v>
      </c>
      <c r="WW167">
        <v>2</v>
      </c>
      <c r="WX167">
        <v>2</v>
      </c>
      <c r="WY167">
        <v>2</v>
      </c>
      <c r="WZ167">
        <v>2</v>
      </c>
      <c r="XA167">
        <v>1</v>
      </c>
      <c r="XB167">
        <v>1</v>
      </c>
      <c r="XC167">
        <v>1</v>
      </c>
      <c r="XD167">
        <v>1</v>
      </c>
      <c r="XE167">
        <v>1</v>
      </c>
      <c r="XF167">
        <v>1</v>
      </c>
      <c r="XG167">
        <v>1</v>
      </c>
      <c r="XH167">
        <v>1</v>
      </c>
      <c r="XI167">
        <v>1</v>
      </c>
      <c r="XJ167">
        <v>1</v>
      </c>
      <c r="XK167">
        <v>1</v>
      </c>
      <c r="XL167">
        <v>1</v>
      </c>
      <c r="XM167">
        <v>1</v>
      </c>
      <c r="XN167">
        <v>1</v>
      </c>
      <c r="XO167">
        <v>1</v>
      </c>
      <c r="XP167">
        <v>1</v>
      </c>
      <c r="XQ167">
        <v>1</v>
      </c>
      <c r="XR167">
        <v>1</v>
      </c>
      <c r="XS167">
        <v>1</v>
      </c>
      <c r="XT167">
        <v>1</v>
      </c>
      <c r="XU167">
        <v>1</v>
      </c>
      <c r="XV167">
        <v>1</v>
      </c>
      <c r="XW167">
        <v>1</v>
      </c>
      <c r="XX167">
        <v>1</v>
      </c>
      <c r="XY167">
        <v>1</v>
      </c>
      <c r="XZ167">
        <v>1</v>
      </c>
      <c r="YA167">
        <v>1</v>
      </c>
      <c r="YB167">
        <v>1</v>
      </c>
      <c r="YC167">
        <v>1</v>
      </c>
      <c r="YD167">
        <v>1</v>
      </c>
      <c r="YE167">
        <v>1</v>
      </c>
      <c r="YF167">
        <v>1</v>
      </c>
      <c r="YG167">
        <v>1</v>
      </c>
      <c r="YH167">
        <v>1</v>
      </c>
      <c r="YI167">
        <v>1</v>
      </c>
      <c r="YJ167">
        <v>1</v>
      </c>
      <c r="YK167">
        <v>1</v>
      </c>
      <c r="YL167">
        <v>1</v>
      </c>
      <c r="YM167">
        <v>1</v>
      </c>
      <c r="YN167">
        <v>1</v>
      </c>
      <c r="YO167">
        <v>1</v>
      </c>
      <c r="YP167">
        <v>1</v>
      </c>
      <c r="YQ167">
        <v>1</v>
      </c>
      <c r="YR167">
        <v>1</v>
      </c>
      <c r="YS167">
        <v>1</v>
      </c>
      <c r="YT167">
        <v>1</v>
      </c>
      <c r="YU167">
        <v>1</v>
      </c>
      <c r="YV167">
        <v>1</v>
      </c>
      <c r="YW167">
        <v>1</v>
      </c>
      <c r="YX167">
        <v>1</v>
      </c>
      <c r="YY167">
        <v>1</v>
      </c>
      <c r="YZ167">
        <v>1</v>
      </c>
      <c r="ZA167">
        <v>1</v>
      </c>
      <c r="ZB167">
        <v>1</v>
      </c>
      <c r="ZC167">
        <v>1</v>
      </c>
      <c r="ZD167">
        <v>1</v>
      </c>
      <c r="ZE167">
        <v>1</v>
      </c>
      <c r="ZF167">
        <v>1</v>
      </c>
      <c r="ZG167">
        <v>1</v>
      </c>
      <c r="ZH167">
        <v>1</v>
      </c>
      <c r="ZI167">
        <v>1</v>
      </c>
      <c r="ZJ167">
        <v>1</v>
      </c>
      <c r="ZK167">
        <v>1</v>
      </c>
      <c r="ZL167">
        <v>0</v>
      </c>
      <c r="ZM167">
        <v>0</v>
      </c>
      <c r="ZN167">
        <v>0</v>
      </c>
      <c r="ZO167">
        <v>0</v>
      </c>
      <c r="ZP167">
        <v>0</v>
      </c>
      <c r="ZQ167">
        <v>0</v>
      </c>
      <c r="ZR167">
        <v>0</v>
      </c>
      <c r="ZS167">
        <v>0</v>
      </c>
      <c r="ZT167">
        <v>0</v>
      </c>
      <c r="ZU167">
        <v>0</v>
      </c>
      <c r="ZV167">
        <v>0</v>
      </c>
      <c r="ZW167">
        <v>0</v>
      </c>
      <c r="ZX167">
        <v>0</v>
      </c>
      <c r="ZY167">
        <v>0</v>
      </c>
      <c r="ZZ167">
        <v>0</v>
      </c>
      <c r="AAA167">
        <v>0</v>
      </c>
      <c r="AAB167">
        <v>0</v>
      </c>
      <c r="AAC167">
        <v>0</v>
      </c>
      <c r="AAD167">
        <v>0</v>
      </c>
      <c r="AAE167">
        <v>0</v>
      </c>
      <c r="AAF167">
        <v>0</v>
      </c>
      <c r="AAG167">
        <v>0</v>
      </c>
      <c r="AAH167">
        <v>0</v>
      </c>
      <c r="AAI167">
        <v>0</v>
      </c>
      <c r="AAJ167">
        <v>0</v>
      </c>
      <c r="AAK167">
        <v>0</v>
      </c>
      <c r="AAL167">
        <v>0</v>
      </c>
      <c r="AAM167">
        <v>0</v>
      </c>
      <c r="AAN167">
        <v>0</v>
      </c>
      <c r="AAO167">
        <v>0</v>
      </c>
      <c r="AAP167">
        <v>0</v>
      </c>
      <c r="AAQ167">
        <v>0</v>
      </c>
      <c r="AAR167">
        <v>0</v>
      </c>
      <c r="AAS167">
        <v>0</v>
      </c>
      <c r="AAT167">
        <v>0</v>
      </c>
      <c r="AAU167">
        <v>0</v>
      </c>
      <c r="AAV167">
        <v>0</v>
      </c>
      <c r="AAW167">
        <v>0</v>
      </c>
      <c r="AAX167">
        <v>0</v>
      </c>
      <c r="AAY167">
        <v>0</v>
      </c>
      <c r="AAZ167">
        <v>0</v>
      </c>
      <c r="ABA167">
        <v>0</v>
      </c>
      <c r="ABB167">
        <v>0</v>
      </c>
      <c r="ABC167">
        <v>0</v>
      </c>
      <c r="ABD167">
        <v>0</v>
      </c>
      <c r="ABE167">
        <v>0</v>
      </c>
      <c r="ABG167" s="1137">
        <f t="shared" si="45"/>
        <v>0</v>
      </c>
      <c r="ABH167" s="1137">
        <f t="shared" si="45"/>
        <v>0</v>
      </c>
      <c r="ABI167" s="1137">
        <f t="shared" si="45"/>
        <v>11</v>
      </c>
      <c r="ABJ167" s="1137">
        <f t="shared" si="45"/>
        <v>30</v>
      </c>
      <c r="ABK167" s="1137">
        <f t="shared" si="45"/>
        <v>31</v>
      </c>
      <c r="ABL167" s="1137">
        <f t="shared" si="45"/>
        <v>8</v>
      </c>
      <c r="ABM167" s="1137">
        <f t="shared" si="45"/>
        <v>0</v>
      </c>
      <c r="ABN167" s="1137">
        <f t="shared" si="45"/>
        <v>3</v>
      </c>
      <c r="ABO167" s="1137">
        <f t="shared" si="45"/>
        <v>30</v>
      </c>
      <c r="ABP167" s="1137">
        <f t="shared" si="45"/>
        <v>31</v>
      </c>
      <c r="ABQ167" s="1137">
        <f t="shared" si="45"/>
        <v>30</v>
      </c>
      <c r="ABR167" s="1137">
        <f t="shared" si="45"/>
        <v>31</v>
      </c>
      <c r="ABS167" s="1137">
        <f t="shared" si="45"/>
        <v>31</v>
      </c>
      <c r="ABT167" s="1137">
        <f t="shared" si="45"/>
        <v>20</v>
      </c>
      <c r="ABU167" s="1137">
        <f t="shared" si="45"/>
        <v>31</v>
      </c>
      <c r="ABV167" s="1137">
        <f t="shared" si="45"/>
        <v>22</v>
      </c>
      <c r="ABW167" s="1137">
        <f t="shared" si="31"/>
        <v>31</v>
      </c>
      <c r="ABX167" s="1137">
        <f t="shared" si="31"/>
        <v>30</v>
      </c>
      <c r="ABY167" s="1137">
        <f t="shared" si="31"/>
        <v>31</v>
      </c>
      <c r="ABZ167" s="1137">
        <f t="shared" si="31"/>
        <v>31</v>
      </c>
      <c r="ACA167" s="1137">
        <f t="shared" si="31"/>
        <v>30</v>
      </c>
      <c r="ACB167" s="1137">
        <f t="shared" si="31"/>
        <v>31</v>
      </c>
      <c r="ACC167" s="1137">
        <f t="shared" si="31"/>
        <v>15</v>
      </c>
      <c r="ACD167" s="1137">
        <f t="shared" si="31"/>
        <v>0</v>
      </c>
      <c r="ACE167" s="1137" t="s">
        <v>72</v>
      </c>
      <c r="ACF167" s="1137">
        <f t="shared" si="39"/>
        <v>0</v>
      </c>
      <c r="ACG167" s="1137">
        <f t="shared" si="39"/>
        <v>0</v>
      </c>
      <c r="ACH167" s="1137">
        <f t="shared" si="39"/>
        <v>1</v>
      </c>
      <c r="ACI167" s="1137">
        <f t="shared" si="39"/>
        <v>1</v>
      </c>
      <c r="ACJ167" s="1137">
        <f t="shared" si="39"/>
        <v>1</v>
      </c>
      <c r="ACK167" s="1137">
        <f t="shared" si="39"/>
        <v>0</v>
      </c>
      <c r="ACL167" s="1137">
        <f t="shared" si="39"/>
        <v>0</v>
      </c>
      <c r="ACM167" s="1137">
        <f t="shared" si="39"/>
        <v>0</v>
      </c>
      <c r="ACN167" s="1137">
        <f t="shared" si="39"/>
        <v>1</v>
      </c>
      <c r="ACO167" s="1137">
        <f t="shared" si="39"/>
        <v>1</v>
      </c>
      <c r="ACP167" s="1137">
        <f t="shared" si="39"/>
        <v>1</v>
      </c>
      <c r="ACQ167" s="1137">
        <f t="shared" si="43"/>
        <v>1</v>
      </c>
      <c r="ACR167" s="1137">
        <f t="shared" si="43"/>
        <v>1</v>
      </c>
      <c r="ACS167" s="1137">
        <f t="shared" si="43"/>
        <v>1</v>
      </c>
      <c r="ACT167" s="1137">
        <f t="shared" si="43"/>
        <v>1</v>
      </c>
      <c r="ACU167" s="1137">
        <f t="shared" si="43"/>
        <v>1</v>
      </c>
      <c r="ACV167" s="1137">
        <f t="shared" si="43"/>
        <v>1</v>
      </c>
      <c r="ACW167" s="1137">
        <f t="shared" si="43"/>
        <v>1</v>
      </c>
      <c r="ACX167" s="1137">
        <f t="shared" si="42"/>
        <v>1</v>
      </c>
      <c r="ACY167" s="1137">
        <f t="shared" si="42"/>
        <v>1</v>
      </c>
      <c r="ACZ167" s="1137">
        <f t="shared" si="42"/>
        <v>1</v>
      </c>
      <c r="ADA167" s="1137">
        <f t="shared" si="35"/>
        <v>1</v>
      </c>
      <c r="ADB167" s="1137">
        <f t="shared" si="35"/>
        <v>1</v>
      </c>
      <c r="ADC167" s="1137">
        <f t="shared" si="35"/>
        <v>0</v>
      </c>
    </row>
    <row r="168" spans="1:783" x14ac:dyDescent="0.25">
      <c r="A168" t="s">
        <v>1967</v>
      </c>
      <c r="B168" t="s">
        <v>262</v>
      </c>
      <c r="C168">
        <v>0</v>
      </c>
      <c r="D168">
        <v>0</v>
      </c>
      <c r="E168">
        <v>0</v>
      </c>
      <c r="F168">
        <v>0</v>
      </c>
      <c r="G168">
        <v>0</v>
      </c>
      <c r="H168">
        <v>0</v>
      </c>
      <c r="I168">
        <v>0</v>
      </c>
      <c r="J168">
        <v>0</v>
      </c>
      <c r="K168">
        <v>0</v>
      </c>
      <c r="L168">
        <v>0</v>
      </c>
      <c r="M168">
        <v>0</v>
      </c>
      <c r="N168">
        <v>0</v>
      </c>
      <c r="O168">
        <v>0</v>
      </c>
      <c r="P168">
        <v>0</v>
      </c>
      <c r="Q168">
        <v>0</v>
      </c>
      <c r="R168">
        <v>0</v>
      </c>
      <c r="S168">
        <v>0</v>
      </c>
      <c r="T168">
        <v>0</v>
      </c>
      <c r="U168">
        <v>0</v>
      </c>
      <c r="V168">
        <v>0</v>
      </c>
      <c r="W168">
        <v>0</v>
      </c>
      <c r="X168">
        <v>0</v>
      </c>
      <c r="Y168">
        <v>0</v>
      </c>
      <c r="Z168">
        <v>0</v>
      </c>
      <c r="AA168">
        <v>0</v>
      </c>
      <c r="AB168">
        <v>0</v>
      </c>
      <c r="AC168">
        <v>0</v>
      </c>
      <c r="AD168">
        <v>0</v>
      </c>
      <c r="AE168">
        <v>0</v>
      </c>
      <c r="AF168">
        <v>0</v>
      </c>
      <c r="AG168">
        <v>0</v>
      </c>
      <c r="AH168">
        <v>0</v>
      </c>
      <c r="AI168">
        <v>0</v>
      </c>
      <c r="AJ168">
        <v>0</v>
      </c>
      <c r="AK168">
        <v>0</v>
      </c>
      <c r="AL168">
        <v>0</v>
      </c>
      <c r="AM168">
        <v>0</v>
      </c>
      <c r="AN168">
        <v>0</v>
      </c>
      <c r="AO168">
        <v>0</v>
      </c>
      <c r="AP168">
        <v>0</v>
      </c>
      <c r="AQ168">
        <v>0</v>
      </c>
      <c r="AR168">
        <v>0</v>
      </c>
      <c r="AS168">
        <v>0</v>
      </c>
      <c r="AT168">
        <v>0</v>
      </c>
      <c r="AU168">
        <v>0</v>
      </c>
      <c r="AV168">
        <v>0</v>
      </c>
      <c r="AW168">
        <v>0</v>
      </c>
      <c r="AX168">
        <v>0</v>
      </c>
      <c r="AY168">
        <v>0</v>
      </c>
      <c r="AZ168">
        <v>0</v>
      </c>
      <c r="BA168">
        <v>0</v>
      </c>
      <c r="BB168">
        <v>0</v>
      </c>
      <c r="BC168">
        <v>0</v>
      </c>
      <c r="BD168">
        <v>0</v>
      </c>
      <c r="BE168">
        <v>0</v>
      </c>
      <c r="BF168">
        <v>0</v>
      </c>
      <c r="BG168">
        <v>0</v>
      </c>
      <c r="BH168">
        <v>0</v>
      </c>
      <c r="BI168">
        <v>0</v>
      </c>
      <c r="BJ168">
        <v>0</v>
      </c>
      <c r="BK168">
        <v>0</v>
      </c>
      <c r="BL168">
        <v>0</v>
      </c>
      <c r="BM168">
        <v>0</v>
      </c>
      <c r="BN168">
        <v>0</v>
      </c>
      <c r="BO168">
        <v>0</v>
      </c>
      <c r="BP168">
        <v>0</v>
      </c>
      <c r="BQ168">
        <v>0</v>
      </c>
      <c r="BR168">
        <v>0</v>
      </c>
      <c r="BS168">
        <v>0</v>
      </c>
      <c r="BT168">
        <v>0</v>
      </c>
      <c r="BU168">
        <v>0</v>
      </c>
      <c r="BV168">
        <v>0</v>
      </c>
      <c r="BW168">
        <v>0</v>
      </c>
      <c r="BX168">
        <v>0</v>
      </c>
      <c r="BY168">
        <v>0</v>
      </c>
      <c r="BZ168">
        <v>0</v>
      </c>
      <c r="CA168">
        <v>0</v>
      </c>
      <c r="CB168">
        <v>0</v>
      </c>
      <c r="CC168">
        <v>0</v>
      </c>
      <c r="CD168">
        <v>0</v>
      </c>
      <c r="CE168">
        <v>0</v>
      </c>
      <c r="CF168">
        <v>0</v>
      </c>
      <c r="CG168">
        <v>0</v>
      </c>
      <c r="CH168">
        <v>0</v>
      </c>
      <c r="CI168">
        <v>0</v>
      </c>
      <c r="CJ168">
        <v>2</v>
      </c>
      <c r="CK168">
        <v>2</v>
      </c>
      <c r="CL168">
        <v>2</v>
      </c>
      <c r="CM168">
        <v>2</v>
      </c>
      <c r="CN168">
        <v>2</v>
      </c>
      <c r="CO168">
        <v>2</v>
      </c>
      <c r="CP168">
        <v>2</v>
      </c>
      <c r="CQ168">
        <v>2</v>
      </c>
      <c r="CR168">
        <v>2</v>
      </c>
      <c r="CS168">
        <v>2</v>
      </c>
      <c r="CT168">
        <v>2</v>
      </c>
      <c r="CU168">
        <v>2</v>
      </c>
      <c r="CV168">
        <v>2</v>
      </c>
      <c r="CW168">
        <v>2</v>
      </c>
      <c r="CX168">
        <v>2</v>
      </c>
      <c r="CY168">
        <v>2</v>
      </c>
      <c r="CZ168">
        <v>2</v>
      </c>
      <c r="DA168">
        <v>2</v>
      </c>
      <c r="DB168">
        <v>2</v>
      </c>
      <c r="DC168">
        <v>2</v>
      </c>
      <c r="DD168">
        <v>2</v>
      </c>
      <c r="DE168">
        <v>2</v>
      </c>
      <c r="DF168">
        <v>2</v>
      </c>
      <c r="DG168">
        <v>2</v>
      </c>
      <c r="DH168">
        <v>2</v>
      </c>
      <c r="DI168">
        <v>2</v>
      </c>
      <c r="DJ168">
        <v>2</v>
      </c>
      <c r="DK168">
        <v>2</v>
      </c>
      <c r="DL168">
        <v>2</v>
      </c>
      <c r="DM168">
        <v>2</v>
      </c>
      <c r="DN168">
        <v>2</v>
      </c>
      <c r="DO168">
        <v>2</v>
      </c>
      <c r="DP168">
        <v>2</v>
      </c>
      <c r="DQ168">
        <v>2</v>
      </c>
      <c r="DR168">
        <v>2</v>
      </c>
      <c r="DS168">
        <v>2</v>
      </c>
      <c r="DT168">
        <v>2</v>
      </c>
      <c r="DU168">
        <v>2</v>
      </c>
      <c r="DV168">
        <v>2</v>
      </c>
      <c r="DW168">
        <v>2</v>
      </c>
      <c r="DX168">
        <v>2</v>
      </c>
      <c r="DY168">
        <v>2</v>
      </c>
      <c r="DZ168">
        <v>2</v>
      </c>
      <c r="EA168">
        <v>2</v>
      </c>
      <c r="EB168">
        <v>2</v>
      </c>
      <c r="EC168">
        <v>2</v>
      </c>
      <c r="ED168">
        <v>2</v>
      </c>
      <c r="EE168">
        <v>2</v>
      </c>
      <c r="EF168">
        <v>2</v>
      </c>
      <c r="EG168">
        <v>2</v>
      </c>
      <c r="EH168">
        <v>2</v>
      </c>
      <c r="EI168">
        <v>2</v>
      </c>
      <c r="EJ168">
        <v>2</v>
      </c>
      <c r="EK168">
        <v>2</v>
      </c>
      <c r="EL168">
        <v>2</v>
      </c>
      <c r="EM168">
        <v>2</v>
      </c>
      <c r="EN168">
        <v>2</v>
      </c>
      <c r="EO168">
        <v>2</v>
      </c>
      <c r="EP168">
        <v>2</v>
      </c>
      <c r="EQ168">
        <v>2</v>
      </c>
      <c r="ER168">
        <v>2</v>
      </c>
      <c r="ES168">
        <v>2</v>
      </c>
      <c r="ET168">
        <v>2</v>
      </c>
      <c r="EU168">
        <v>2</v>
      </c>
      <c r="EV168">
        <v>2</v>
      </c>
      <c r="EW168">
        <v>2</v>
      </c>
      <c r="EX168">
        <v>2</v>
      </c>
      <c r="EY168">
        <v>2</v>
      </c>
      <c r="EZ168">
        <v>2</v>
      </c>
      <c r="FA168">
        <v>2</v>
      </c>
      <c r="FB168">
        <v>2</v>
      </c>
      <c r="FC168">
        <v>2</v>
      </c>
      <c r="FD168">
        <v>2</v>
      </c>
      <c r="FE168">
        <v>2</v>
      </c>
      <c r="FF168">
        <v>2</v>
      </c>
      <c r="FG168">
        <v>2</v>
      </c>
      <c r="FH168">
        <v>2</v>
      </c>
      <c r="FI168">
        <v>2</v>
      </c>
      <c r="FJ168">
        <v>2</v>
      </c>
      <c r="FK168">
        <v>2</v>
      </c>
      <c r="FL168">
        <v>2</v>
      </c>
      <c r="FM168">
        <v>2</v>
      </c>
      <c r="FN168">
        <v>2</v>
      </c>
      <c r="FO168">
        <v>2</v>
      </c>
      <c r="FP168">
        <v>2</v>
      </c>
      <c r="FQ168">
        <v>2</v>
      </c>
      <c r="FR168">
        <v>2</v>
      </c>
      <c r="FS168">
        <v>2</v>
      </c>
      <c r="FT168">
        <v>2</v>
      </c>
      <c r="FU168">
        <v>2</v>
      </c>
      <c r="FV168">
        <v>2</v>
      </c>
      <c r="FW168">
        <v>2</v>
      </c>
      <c r="FX168">
        <v>2</v>
      </c>
      <c r="FY168">
        <v>2</v>
      </c>
      <c r="FZ168">
        <v>2</v>
      </c>
      <c r="GA168">
        <v>2</v>
      </c>
      <c r="GB168">
        <v>2</v>
      </c>
      <c r="GC168">
        <v>2</v>
      </c>
      <c r="GD168">
        <v>2</v>
      </c>
      <c r="GE168">
        <v>2</v>
      </c>
      <c r="GF168">
        <v>2</v>
      </c>
      <c r="GG168">
        <v>2</v>
      </c>
      <c r="GH168">
        <v>2</v>
      </c>
      <c r="GI168">
        <v>2</v>
      </c>
      <c r="GJ168">
        <v>2</v>
      </c>
      <c r="GK168">
        <v>2</v>
      </c>
      <c r="GL168">
        <v>2</v>
      </c>
      <c r="GM168">
        <v>2</v>
      </c>
      <c r="GN168">
        <v>2</v>
      </c>
      <c r="GO168">
        <v>2</v>
      </c>
      <c r="GP168">
        <v>2</v>
      </c>
      <c r="GQ168">
        <v>2</v>
      </c>
      <c r="GR168">
        <v>2</v>
      </c>
      <c r="GS168">
        <v>2</v>
      </c>
      <c r="GT168">
        <v>2</v>
      </c>
      <c r="GU168">
        <v>2</v>
      </c>
      <c r="GV168">
        <v>2</v>
      </c>
      <c r="GW168">
        <v>2</v>
      </c>
      <c r="GX168">
        <v>2</v>
      </c>
      <c r="GY168">
        <v>2</v>
      </c>
      <c r="GZ168">
        <v>2</v>
      </c>
      <c r="HA168">
        <v>2</v>
      </c>
      <c r="HB168">
        <v>2</v>
      </c>
      <c r="HC168">
        <v>2</v>
      </c>
      <c r="HD168">
        <v>2</v>
      </c>
      <c r="HE168">
        <v>2</v>
      </c>
      <c r="HF168">
        <v>2</v>
      </c>
      <c r="HG168">
        <v>2</v>
      </c>
      <c r="HH168">
        <v>2</v>
      </c>
      <c r="HI168">
        <v>2</v>
      </c>
      <c r="HJ168">
        <v>2</v>
      </c>
      <c r="HK168">
        <v>2</v>
      </c>
      <c r="HL168">
        <v>2</v>
      </c>
      <c r="HM168">
        <v>2</v>
      </c>
      <c r="HN168">
        <v>2</v>
      </c>
      <c r="HO168">
        <v>2</v>
      </c>
      <c r="HP168">
        <v>2</v>
      </c>
      <c r="HQ168">
        <v>2</v>
      </c>
      <c r="HR168">
        <v>2</v>
      </c>
      <c r="HS168">
        <v>2</v>
      </c>
      <c r="HT168">
        <v>2</v>
      </c>
      <c r="HU168">
        <v>1</v>
      </c>
      <c r="HV168">
        <v>1</v>
      </c>
      <c r="HW168">
        <v>1</v>
      </c>
      <c r="HX168">
        <v>1</v>
      </c>
      <c r="HY168">
        <v>1</v>
      </c>
      <c r="HZ168">
        <v>1</v>
      </c>
      <c r="IA168">
        <v>1</v>
      </c>
      <c r="IB168">
        <v>1</v>
      </c>
      <c r="IC168">
        <v>1</v>
      </c>
      <c r="ID168">
        <v>1</v>
      </c>
      <c r="IE168">
        <v>1</v>
      </c>
      <c r="IF168">
        <v>1</v>
      </c>
      <c r="IG168">
        <v>1</v>
      </c>
      <c r="IH168">
        <v>1</v>
      </c>
      <c r="II168">
        <v>1</v>
      </c>
      <c r="IJ168">
        <v>1</v>
      </c>
      <c r="IK168">
        <v>1</v>
      </c>
      <c r="IL168">
        <v>1</v>
      </c>
      <c r="IM168">
        <v>1</v>
      </c>
      <c r="IN168">
        <v>1</v>
      </c>
      <c r="IO168">
        <v>1</v>
      </c>
      <c r="IP168">
        <v>1</v>
      </c>
      <c r="IQ168">
        <v>1</v>
      </c>
      <c r="IR168">
        <v>1</v>
      </c>
      <c r="IS168">
        <v>1</v>
      </c>
      <c r="IT168">
        <v>1</v>
      </c>
      <c r="IU168">
        <v>1</v>
      </c>
      <c r="IV168">
        <v>1</v>
      </c>
      <c r="IW168">
        <v>1</v>
      </c>
      <c r="IX168">
        <v>1</v>
      </c>
      <c r="IY168">
        <v>1</v>
      </c>
      <c r="IZ168">
        <v>1</v>
      </c>
      <c r="JA168">
        <v>1</v>
      </c>
      <c r="JB168">
        <v>1</v>
      </c>
      <c r="JC168">
        <v>1</v>
      </c>
      <c r="JD168">
        <v>1</v>
      </c>
      <c r="JE168">
        <v>1</v>
      </c>
      <c r="JF168">
        <v>1</v>
      </c>
      <c r="JG168">
        <v>1</v>
      </c>
      <c r="JH168">
        <v>1</v>
      </c>
      <c r="JI168">
        <v>1</v>
      </c>
      <c r="JJ168">
        <v>1</v>
      </c>
      <c r="JK168">
        <v>1</v>
      </c>
      <c r="JL168">
        <v>1</v>
      </c>
      <c r="JM168">
        <v>1</v>
      </c>
      <c r="JN168">
        <v>1</v>
      </c>
      <c r="JO168">
        <v>1</v>
      </c>
      <c r="JP168">
        <v>1</v>
      </c>
      <c r="JQ168">
        <v>1</v>
      </c>
      <c r="JR168">
        <v>1</v>
      </c>
      <c r="JS168">
        <v>1</v>
      </c>
      <c r="JT168">
        <v>1</v>
      </c>
      <c r="JU168">
        <v>1</v>
      </c>
      <c r="JV168">
        <v>1</v>
      </c>
      <c r="JW168">
        <v>1</v>
      </c>
      <c r="JX168">
        <v>1</v>
      </c>
      <c r="JY168">
        <v>1</v>
      </c>
      <c r="JZ168">
        <v>1</v>
      </c>
      <c r="KA168">
        <v>1</v>
      </c>
      <c r="KB168">
        <v>1</v>
      </c>
      <c r="KC168">
        <v>1</v>
      </c>
      <c r="KD168">
        <v>1</v>
      </c>
      <c r="KE168">
        <v>1</v>
      </c>
      <c r="KF168">
        <v>1</v>
      </c>
      <c r="KG168">
        <v>1</v>
      </c>
      <c r="KH168">
        <v>1</v>
      </c>
      <c r="KI168">
        <v>1</v>
      </c>
      <c r="KJ168">
        <v>1</v>
      </c>
      <c r="KK168">
        <v>1</v>
      </c>
      <c r="KL168">
        <v>1</v>
      </c>
      <c r="KM168">
        <v>1</v>
      </c>
      <c r="KN168">
        <v>1</v>
      </c>
      <c r="KO168">
        <v>1</v>
      </c>
      <c r="KP168">
        <v>1</v>
      </c>
      <c r="KQ168">
        <v>1</v>
      </c>
      <c r="KR168">
        <v>1</v>
      </c>
      <c r="KS168">
        <v>1</v>
      </c>
      <c r="KT168">
        <v>1</v>
      </c>
      <c r="KU168">
        <v>1</v>
      </c>
      <c r="KV168">
        <v>1</v>
      </c>
      <c r="KW168">
        <v>1</v>
      </c>
      <c r="KX168">
        <v>1</v>
      </c>
      <c r="KY168">
        <v>1</v>
      </c>
      <c r="KZ168">
        <v>1</v>
      </c>
      <c r="LA168">
        <v>1</v>
      </c>
      <c r="LB168">
        <v>1</v>
      </c>
      <c r="LC168">
        <v>1</v>
      </c>
      <c r="LD168">
        <v>1</v>
      </c>
      <c r="LE168">
        <v>1</v>
      </c>
      <c r="LF168">
        <v>1</v>
      </c>
      <c r="LG168">
        <v>1</v>
      </c>
      <c r="LH168">
        <v>1</v>
      </c>
      <c r="LI168">
        <v>1</v>
      </c>
      <c r="LJ168">
        <v>1</v>
      </c>
      <c r="LK168">
        <v>1</v>
      </c>
      <c r="LL168">
        <v>1</v>
      </c>
      <c r="LM168">
        <v>1</v>
      </c>
      <c r="LN168">
        <v>1</v>
      </c>
      <c r="LO168">
        <v>1</v>
      </c>
      <c r="LP168">
        <v>1</v>
      </c>
      <c r="LQ168">
        <v>1</v>
      </c>
      <c r="LR168">
        <v>1</v>
      </c>
      <c r="LS168">
        <v>1</v>
      </c>
      <c r="LT168">
        <v>1</v>
      </c>
      <c r="LU168">
        <v>1</v>
      </c>
      <c r="LV168">
        <v>1</v>
      </c>
      <c r="LW168">
        <v>1</v>
      </c>
      <c r="LX168">
        <v>1</v>
      </c>
      <c r="LY168">
        <v>1</v>
      </c>
      <c r="LZ168">
        <v>1</v>
      </c>
      <c r="MA168">
        <v>1</v>
      </c>
      <c r="MB168">
        <v>1</v>
      </c>
      <c r="MC168">
        <v>1</v>
      </c>
      <c r="MD168">
        <v>1</v>
      </c>
      <c r="ME168">
        <v>1</v>
      </c>
      <c r="MF168">
        <v>1</v>
      </c>
      <c r="MG168">
        <v>1</v>
      </c>
      <c r="MH168">
        <v>1</v>
      </c>
      <c r="MI168">
        <v>1</v>
      </c>
      <c r="MJ168">
        <v>1</v>
      </c>
      <c r="MK168">
        <v>1</v>
      </c>
      <c r="ML168">
        <v>1</v>
      </c>
      <c r="MM168">
        <v>1</v>
      </c>
      <c r="MN168">
        <v>1</v>
      </c>
      <c r="MO168">
        <v>1</v>
      </c>
      <c r="MP168">
        <v>1</v>
      </c>
      <c r="MQ168">
        <v>1</v>
      </c>
      <c r="MR168">
        <v>1</v>
      </c>
      <c r="MS168">
        <v>1</v>
      </c>
      <c r="MT168">
        <v>2</v>
      </c>
      <c r="MU168">
        <v>2</v>
      </c>
      <c r="MV168">
        <v>2</v>
      </c>
      <c r="MW168">
        <v>2</v>
      </c>
      <c r="MX168">
        <v>2</v>
      </c>
      <c r="MY168">
        <v>2</v>
      </c>
      <c r="MZ168">
        <v>2</v>
      </c>
      <c r="NA168">
        <v>2</v>
      </c>
      <c r="NB168">
        <v>2</v>
      </c>
      <c r="NC168">
        <v>2</v>
      </c>
      <c r="ND168">
        <v>2</v>
      </c>
      <c r="NE168">
        <v>2</v>
      </c>
      <c r="NF168">
        <v>2</v>
      </c>
      <c r="NG168">
        <v>2</v>
      </c>
      <c r="NH168">
        <v>2</v>
      </c>
      <c r="NI168">
        <v>2</v>
      </c>
      <c r="NJ168">
        <v>2</v>
      </c>
      <c r="NK168">
        <v>2</v>
      </c>
      <c r="NL168">
        <v>2</v>
      </c>
      <c r="NM168">
        <v>2</v>
      </c>
      <c r="NN168">
        <v>2</v>
      </c>
      <c r="NO168">
        <v>2</v>
      </c>
      <c r="NP168">
        <v>2</v>
      </c>
      <c r="NQ168">
        <v>2</v>
      </c>
      <c r="NR168">
        <v>2</v>
      </c>
      <c r="NS168">
        <v>2</v>
      </c>
      <c r="NT168">
        <v>2</v>
      </c>
      <c r="NU168">
        <v>2</v>
      </c>
      <c r="NV168">
        <v>2</v>
      </c>
      <c r="NW168">
        <v>2</v>
      </c>
      <c r="NX168">
        <v>2</v>
      </c>
      <c r="NY168">
        <v>2</v>
      </c>
      <c r="NZ168">
        <v>2</v>
      </c>
      <c r="OA168">
        <v>2</v>
      </c>
      <c r="OB168">
        <v>2</v>
      </c>
      <c r="OC168">
        <v>2</v>
      </c>
      <c r="OD168">
        <v>2</v>
      </c>
      <c r="OE168">
        <v>2</v>
      </c>
      <c r="OF168">
        <v>2</v>
      </c>
      <c r="OG168">
        <v>2</v>
      </c>
      <c r="OH168">
        <v>2</v>
      </c>
      <c r="OI168">
        <v>2</v>
      </c>
      <c r="OJ168">
        <v>1</v>
      </c>
      <c r="OK168">
        <v>1</v>
      </c>
      <c r="OL168">
        <v>1</v>
      </c>
      <c r="OM168">
        <v>1</v>
      </c>
      <c r="ON168">
        <v>1</v>
      </c>
      <c r="OO168">
        <v>1</v>
      </c>
      <c r="OP168">
        <v>1</v>
      </c>
      <c r="OQ168">
        <v>1</v>
      </c>
      <c r="OR168">
        <v>1</v>
      </c>
      <c r="OS168">
        <v>2</v>
      </c>
      <c r="OT168">
        <v>2</v>
      </c>
      <c r="OU168">
        <v>2</v>
      </c>
      <c r="OV168">
        <v>2</v>
      </c>
      <c r="OW168">
        <v>2</v>
      </c>
      <c r="OX168">
        <v>2</v>
      </c>
      <c r="OY168">
        <v>2</v>
      </c>
      <c r="OZ168">
        <v>2</v>
      </c>
      <c r="PA168">
        <v>2</v>
      </c>
      <c r="PB168">
        <v>2</v>
      </c>
      <c r="PC168">
        <v>2</v>
      </c>
      <c r="PD168">
        <v>2</v>
      </c>
      <c r="PE168">
        <v>2</v>
      </c>
      <c r="PF168">
        <v>2</v>
      </c>
      <c r="PG168">
        <v>2</v>
      </c>
      <c r="PH168">
        <v>2</v>
      </c>
      <c r="PI168">
        <v>2</v>
      </c>
      <c r="PJ168">
        <v>2</v>
      </c>
      <c r="PK168">
        <v>2</v>
      </c>
      <c r="PL168">
        <v>1</v>
      </c>
      <c r="PM168">
        <v>1</v>
      </c>
      <c r="PN168">
        <v>1</v>
      </c>
      <c r="PO168">
        <v>1</v>
      </c>
      <c r="PP168">
        <v>1</v>
      </c>
      <c r="PQ168">
        <v>1</v>
      </c>
      <c r="PR168">
        <v>1</v>
      </c>
      <c r="PS168">
        <v>1</v>
      </c>
      <c r="PT168">
        <v>1</v>
      </c>
      <c r="PU168">
        <v>1</v>
      </c>
      <c r="PV168">
        <v>1</v>
      </c>
      <c r="PW168">
        <v>1</v>
      </c>
      <c r="PX168">
        <v>1</v>
      </c>
      <c r="PY168">
        <v>1</v>
      </c>
      <c r="PZ168">
        <v>1</v>
      </c>
      <c r="QA168">
        <v>1</v>
      </c>
      <c r="QB168">
        <v>1</v>
      </c>
      <c r="QC168">
        <v>1</v>
      </c>
      <c r="QD168">
        <v>1</v>
      </c>
      <c r="QE168">
        <v>1</v>
      </c>
      <c r="QF168">
        <v>1</v>
      </c>
      <c r="QG168">
        <v>1</v>
      </c>
      <c r="QH168">
        <v>1</v>
      </c>
      <c r="QI168">
        <v>1</v>
      </c>
      <c r="QJ168">
        <v>1</v>
      </c>
      <c r="QK168">
        <v>1</v>
      </c>
      <c r="QL168">
        <v>1</v>
      </c>
      <c r="QM168">
        <v>1</v>
      </c>
      <c r="QN168">
        <v>1</v>
      </c>
      <c r="QO168">
        <v>1</v>
      </c>
      <c r="QP168">
        <v>1</v>
      </c>
      <c r="QQ168">
        <v>1</v>
      </c>
      <c r="QR168">
        <v>1</v>
      </c>
      <c r="QS168">
        <v>1</v>
      </c>
      <c r="QT168">
        <v>1</v>
      </c>
      <c r="QU168">
        <v>1</v>
      </c>
      <c r="QV168">
        <v>1</v>
      </c>
      <c r="QW168">
        <v>1</v>
      </c>
      <c r="QX168">
        <v>1</v>
      </c>
      <c r="QY168">
        <v>1</v>
      </c>
      <c r="QZ168">
        <v>1</v>
      </c>
      <c r="RA168">
        <v>1</v>
      </c>
      <c r="RB168">
        <v>1</v>
      </c>
      <c r="RC168">
        <v>1</v>
      </c>
      <c r="RD168">
        <v>1</v>
      </c>
      <c r="RE168">
        <v>1</v>
      </c>
      <c r="RF168">
        <v>1</v>
      </c>
      <c r="RG168">
        <v>1</v>
      </c>
      <c r="RH168">
        <v>1</v>
      </c>
      <c r="RI168">
        <v>1</v>
      </c>
      <c r="RJ168">
        <v>1</v>
      </c>
      <c r="RK168">
        <v>1</v>
      </c>
      <c r="RL168">
        <v>1</v>
      </c>
      <c r="RM168">
        <v>1</v>
      </c>
      <c r="RN168">
        <v>1</v>
      </c>
      <c r="RO168">
        <v>1</v>
      </c>
      <c r="RP168">
        <v>1</v>
      </c>
      <c r="RQ168">
        <v>1</v>
      </c>
      <c r="RR168">
        <v>1</v>
      </c>
      <c r="RS168">
        <v>1</v>
      </c>
      <c r="RT168">
        <v>1</v>
      </c>
      <c r="RU168">
        <v>1</v>
      </c>
      <c r="RV168">
        <v>1</v>
      </c>
      <c r="RW168">
        <v>1</v>
      </c>
      <c r="RX168">
        <v>1</v>
      </c>
      <c r="RY168">
        <v>1</v>
      </c>
      <c r="RZ168">
        <v>1</v>
      </c>
      <c r="SA168">
        <v>1</v>
      </c>
      <c r="SB168">
        <v>1</v>
      </c>
      <c r="SC168">
        <v>1</v>
      </c>
      <c r="SD168">
        <v>1</v>
      </c>
      <c r="SE168">
        <v>1</v>
      </c>
      <c r="SF168">
        <v>1</v>
      </c>
      <c r="SG168">
        <v>1</v>
      </c>
      <c r="SH168">
        <v>1</v>
      </c>
      <c r="SI168">
        <v>1</v>
      </c>
      <c r="SJ168">
        <v>1</v>
      </c>
      <c r="SK168">
        <v>1</v>
      </c>
      <c r="SL168">
        <v>1</v>
      </c>
      <c r="SM168">
        <v>1</v>
      </c>
      <c r="SN168">
        <v>1</v>
      </c>
      <c r="SO168">
        <v>1</v>
      </c>
      <c r="SP168">
        <v>1</v>
      </c>
      <c r="SQ168">
        <v>1</v>
      </c>
      <c r="SR168">
        <v>1</v>
      </c>
      <c r="SS168">
        <v>1</v>
      </c>
      <c r="ST168">
        <v>1</v>
      </c>
      <c r="SU168">
        <v>1</v>
      </c>
      <c r="SV168">
        <v>1</v>
      </c>
      <c r="SW168">
        <v>1</v>
      </c>
      <c r="SX168">
        <v>1</v>
      </c>
      <c r="SY168">
        <v>1</v>
      </c>
      <c r="SZ168">
        <v>1</v>
      </c>
      <c r="TA168">
        <v>1</v>
      </c>
      <c r="TB168">
        <v>1</v>
      </c>
      <c r="TC168">
        <v>1</v>
      </c>
      <c r="TD168">
        <v>1</v>
      </c>
      <c r="TE168">
        <v>1</v>
      </c>
      <c r="TF168">
        <v>1</v>
      </c>
      <c r="TG168">
        <v>1</v>
      </c>
      <c r="TH168">
        <v>1</v>
      </c>
      <c r="TI168">
        <v>1</v>
      </c>
      <c r="TJ168">
        <v>1</v>
      </c>
      <c r="TK168">
        <v>1</v>
      </c>
      <c r="TL168">
        <v>1</v>
      </c>
      <c r="TM168">
        <v>1</v>
      </c>
      <c r="TN168">
        <v>1</v>
      </c>
      <c r="TO168">
        <v>1</v>
      </c>
      <c r="TP168">
        <v>1</v>
      </c>
      <c r="TQ168">
        <v>1</v>
      </c>
      <c r="TR168">
        <v>1</v>
      </c>
      <c r="TS168">
        <v>1</v>
      </c>
      <c r="TT168">
        <v>1</v>
      </c>
      <c r="TU168">
        <v>1</v>
      </c>
      <c r="TV168">
        <v>1</v>
      </c>
      <c r="TW168">
        <v>1</v>
      </c>
      <c r="TX168">
        <v>1</v>
      </c>
      <c r="TY168">
        <v>1</v>
      </c>
      <c r="TZ168">
        <v>1</v>
      </c>
      <c r="UA168">
        <v>1</v>
      </c>
      <c r="UB168">
        <v>1</v>
      </c>
      <c r="UC168">
        <v>1</v>
      </c>
      <c r="UD168">
        <v>1</v>
      </c>
      <c r="UE168">
        <v>1</v>
      </c>
      <c r="UF168">
        <v>1</v>
      </c>
      <c r="UG168">
        <v>1</v>
      </c>
      <c r="UH168">
        <v>1</v>
      </c>
      <c r="UI168">
        <v>1</v>
      </c>
      <c r="UJ168">
        <v>1</v>
      </c>
      <c r="UK168">
        <v>1</v>
      </c>
      <c r="UL168">
        <v>1</v>
      </c>
      <c r="UM168">
        <v>1</v>
      </c>
      <c r="UN168">
        <v>1</v>
      </c>
      <c r="UO168">
        <v>1</v>
      </c>
      <c r="UP168">
        <v>1</v>
      </c>
      <c r="UQ168">
        <v>1</v>
      </c>
      <c r="UR168">
        <v>1</v>
      </c>
      <c r="US168">
        <v>1</v>
      </c>
      <c r="UT168">
        <v>1</v>
      </c>
      <c r="UU168">
        <v>1</v>
      </c>
      <c r="UV168">
        <v>1</v>
      </c>
      <c r="UW168">
        <v>1</v>
      </c>
      <c r="UX168">
        <v>1</v>
      </c>
      <c r="UY168">
        <v>1</v>
      </c>
      <c r="UZ168">
        <v>1</v>
      </c>
      <c r="VA168">
        <v>1</v>
      </c>
      <c r="VB168">
        <v>1</v>
      </c>
      <c r="VC168">
        <v>1</v>
      </c>
      <c r="VD168">
        <v>1</v>
      </c>
      <c r="VE168">
        <v>2</v>
      </c>
      <c r="VF168">
        <v>2</v>
      </c>
      <c r="VG168">
        <v>2</v>
      </c>
      <c r="VH168">
        <v>2</v>
      </c>
      <c r="VI168">
        <v>2</v>
      </c>
      <c r="VJ168">
        <v>2</v>
      </c>
      <c r="VK168">
        <v>2</v>
      </c>
      <c r="VL168">
        <v>2</v>
      </c>
      <c r="VM168">
        <v>2</v>
      </c>
      <c r="VN168">
        <v>2</v>
      </c>
      <c r="VO168">
        <v>2</v>
      </c>
      <c r="VP168">
        <v>2</v>
      </c>
      <c r="VQ168">
        <v>2</v>
      </c>
      <c r="VR168">
        <v>2</v>
      </c>
      <c r="VS168">
        <v>2</v>
      </c>
      <c r="VT168">
        <v>2</v>
      </c>
      <c r="VU168">
        <v>2</v>
      </c>
      <c r="VV168">
        <v>2</v>
      </c>
      <c r="VW168">
        <v>2</v>
      </c>
      <c r="VX168">
        <v>2</v>
      </c>
      <c r="VY168">
        <v>2</v>
      </c>
      <c r="VZ168">
        <v>2</v>
      </c>
      <c r="WA168">
        <v>2</v>
      </c>
      <c r="WB168">
        <v>2</v>
      </c>
      <c r="WC168">
        <v>2</v>
      </c>
      <c r="WD168">
        <v>2</v>
      </c>
      <c r="WE168">
        <v>2</v>
      </c>
      <c r="WF168">
        <v>2</v>
      </c>
      <c r="WG168">
        <v>2</v>
      </c>
      <c r="WH168">
        <v>2</v>
      </c>
      <c r="WI168">
        <v>2</v>
      </c>
      <c r="WJ168">
        <v>2</v>
      </c>
      <c r="WK168">
        <v>2</v>
      </c>
      <c r="WL168">
        <v>2</v>
      </c>
      <c r="WM168">
        <v>2</v>
      </c>
      <c r="WN168">
        <v>2</v>
      </c>
      <c r="WO168">
        <v>2</v>
      </c>
      <c r="WP168">
        <v>2</v>
      </c>
      <c r="WQ168">
        <v>2</v>
      </c>
      <c r="WR168">
        <v>2</v>
      </c>
      <c r="WS168">
        <v>2</v>
      </c>
      <c r="WT168">
        <v>2</v>
      </c>
      <c r="WU168">
        <v>2</v>
      </c>
      <c r="WV168">
        <v>2</v>
      </c>
      <c r="WW168">
        <v>2</v>
      </c>
      <c r="WX168">
        <v>2</v>
      </c>
      <c r="WY168">
        <v>2</v>
      </c>
      <c r="WZ168">
        <v>2</v>
      </c>
      <c r="XA168">
        <v>2</v>
      </c>
      <c r="XB168">
        <v>2</v>
      </c>
      <c r="XC168">
        <v>2</v>
      </c>
      <c r="XD168">
        <v>2</v>
      </c>
      <c r="XE168">
        <v>2</v>
      </c>
      <c r="XF168">
        <v>2</v>
      </c>
      <c r="XG168">
        <v>2</v>
      </c>
      <c r="XH168">
        <v>2</v>
      </c>
      <c r="XI168">
        <v>2</v>
      </c>
      <c r="XJ168">
        <v>2</v>
      </c>
      <c r="XK168">
        <v>2</v>
      </c>
      <c r="XL168">
        <v>2</v>
      </c>
      <c r="XM168">
        <v>2</v>
      </c>
      <c r="XN168">
        <v>2</v>
      </c>
      <c r="XO168">
        <v>2</v>
      </c>
      <c r="XP168">
        <v>2</v>
      </c>
      <c r="XQ168">
        <v>2</v>
      </c>
      <c r="XR168">
        <v>2</v>
      </c>
      <c r="XS168">
        <v>2</v>
      </c>
      <c r="XT168">
        <v>2</v>
      </c>
      <c r="XU168">
        <v>2</v>
      </c>
      <c r="XV168">
        <v>2</v>
      </c>
      <c r="XW168">
        <v>2</v>
      </c>
      <c r="XX168">
        <v>2</v>
      </c>
      <c r="XY168">
        <v>2</v>
      </c>
      <c r="XZ168">
        <v>2</v>
      </c>
      <c r="YA168">
        <v>2</v>
      </c>
      <c r="YB168">
        <v>2</v>
      </c>
      <c r="YC168">
        <v>2</v>
      </c>
      <c r="YD168">
        <v>2</v>
      </c>
      <c r="YE168">
        <v>2</v>
      </c>
      <c r="YF168">
        <v>2</v>
      </c>
      <c r="YG168">
        <v>2</v>
      </c>
      <c r="YH168">
        <v>2</v>
      </c>
      <c r="YI168">
        <v>2</v>
      </c>
      <c r="YJ168">
        <v>2</v>
      </c>
      <c r="YK168">
        <v>2</v>
      </c>
      <c r="YL168">
        <v>2</v>
      </c>
      <c r="YM168">
        <v>2</v>
      </c>
      <c r="YN168">
        <v>2</v>
      </c>
      <c r="YO168">
        <v>2</v>
      </c>
      <c r="YP168">
        <v>2</v>
      </c>
      <c r="YQ168">
        <v>2</v>
      </c>
      <c r="YR168">
        <v>2</v>
      </c>
      <c r="YS168">
        <v>2</v>
      </c>
      <c r="YT168">
        <v>2</v>
      </c>
      <c r="YU168">
        <v>2</v>
      </c>
      <c r="YV168">
        <v>2</v>
      </c>
      <c r="YW168">
        <v>2</v>
      </c>
      <c r="YX168">
        <v>2</v>
      </c>
      <c r="YY168">
        <v>2</v>
      </c>
      <c r="YZ168">
        <v>2</v>
      </c>
      <c r="ZA168">
        <v>2</v>
      </c>
      <c r="ZB168">
        <v>2</v>
      </c>
      <c r="ZC168">
        <v>2</v>
      </c>
      <c r="ZD168">
        <v>2</v>
      </c>
      <c r="ZE168">
        <v>2</v>
      </c>
      <c r="ZF168">
        <v>2</v>
      </c>
      <c r="ZG168">
        <v>2</v>
      </c>
      <c r="ZH168">
        <v>2</v>
      </c>
      <c r="ZI168">
        <v>2</v>
      </c>
      <c r="ZJ168">
        <v>2</v>
      </c>
      <c r="ZK168">
        <v>2</v>
      </c>
      <c r="ZL168">
        <v>2</v>
      </c>
      <c r="ZM168">
        <v>2</v>
      </c>
      <c r="ZN168">
        <v>2</v>
      </c>
      <c r="ZO168">
        <v>2</v>
      </c>
      <c r="ZP168">
        <v>2</v>
      </c>
      <c r="ZQ168">
        <v>2</v>
      </c>
      <c r="ZR168">
        <v>2</v>
      </c>
      <c r="ZS168">
        <v>2</v>
      </c>
      <c r="ZT168">
        <v>2</v>
      </c>
      <c r="ZU168">
        <v>2</v>
      </c>
      <c r="ZV168">
        <v>2</v>
      </c>
      <c r="ZW168">
        <v>2</v>
      </c>
      <c r="ZX168">
        <v>2</v>
      </c>
      <c r="ZY168">
        <v>2</v>
      </c>
      <c r="ZZ168">
        <v>2</v>
      </c>
      <c r="AAA168">
        <v>2</v>
      </c>
      <c r="AAB168">
        <v>2</v>
      </c>
      <c r="AAC168">
        <v>2</v>
      </c>
      <c r="AAD168">
        <v>2</v>
      </c>
      <c r="AAE168">
        <v>2</v>
      </c>
      <c r="AAF168">
        <v>2</v>
      </c>
      <c r="AAG168">
        <v>2</v>
      </c>
      <c r="AAH168">
        <v>2</v>
      </c>
      <c r="AAI168">
        <v>2</v>
      </c>
      <c r="AAJ168">
        <v>2</v>
      </c>
      <c r="AAK168">
        <v>2</v>
      </c>
      <c r="AAL168">
        <v>2</v>
      </c>
      <c r="AAM168">
        <v>2</v>
      </c>
      <c r="AAN168">
        <v>2</v>
      </c>
      <c r="AAO168">
        <v>1</v>
      </c>
      <c r="AAP168">
        <v>1</v>
      </c>
      <c r="AAQ168">
        <v>1</v>
      </c>
      <c r="AAR168">
        <v>1</v>
      </c>
      <c r="AAS168">
        <v>1</v>
      </c>
      <c r="AAT168">
        <v>1</v>
      </c>
      <c r="AAU168">
        <v>1</v>
      </c>
      <c r="AAV168">
        <v>1</v>
      </c>
      <c r="AAW168">
        <v>1</v>
      </c>
      <c r="AAX168">
        <v>1</v>
      </c>
      <c r="AAY168">
        <v>1</v>
      </c>
      <c r="AAZ168">
        <v>1</v>
      </c>
      <c r="ABA168">
        <v>1</v>
      </c>
      <c r="ABB168">
        <v>1</v>
      </c>
      <c r="ABC168">
        <v>1</v>
      </c>
      <c r="ABD168">
        <v>1</v>
      </c>
      <c r="ABE168">
        <v>1</v>
      </c>
      <c r="ABG168" s="1137">
        <f t="shared" si="45"/>
        <v>0</v>
      </c>
      <c r="ABH168" s="1137">
        <f t="shared" si="45"/>
        <v>0</v>
      </c>
      <c r="ABI168" s="1137">
        <f t="shared" si="45"/>
        <v>6</v>
      </c>
      <c r="ABJ168" s="1137">
        <f t="shared" si="45"/>
        <v>30</v>
      </c>
      <c r="ABK168" s="1137">
        <f t="shared" si="45"/>
        <v>31</v>
      </c>
      <c r="ABL168" s="1137">
        <f t="shared" si="45"/>
        <v>30</v>
      </c>
      <c r="ABM168" s="1137">
        <f t="shared" si="45"/>
        <v>31</v>
      </c>
      <c r="ABN168" s="1137">
        <f t="shared" si="45"/>
        <v>31</v>
      </c>
      <c r="ABO168" s="1137">
        <f t="shared" si="45"/>
        <v>30</v>
      </c>
      <c r="ABP168" s="1137">
        <f t="shared" si="45"/>
        <v>31</v>
      </c>
      <c r="ABQ168" s="1137">
        <f t="shared" si="45"/>
        <v>30</v>
      </c>
      <c r="ABR168" s="1137">
        <f t="shared" si="45"/>
        <v>31</v>
      </c>
      <c r="ABS168" s="1137">
        <f t="shared" si="45"/>
        <v>31</v>
      </c>
      <c r="ABT168" s="1137">
        <f t="shared" si="45"/>
        <v>28</v>
      </c>
      <c r="ABU168" s="1137">
        <f t="shared" si="45"/>
        <v>31</v>
      </c>
      <c r="ABV168" s="1137">
        <f t="shared" si="45"/>
        <v>30</v>
      </c>
      <c r="ABW168" s="1137">
        <f t="shared" si="31"/>
        <v>31</v>
      </c>
      <c r="ABX168" s="1137">
        <f t="shared" si="31"/>
        <v>30</v>
      </c>
      <c r="ABY168" s="1137">
        <f t="shared" si="31"/>
        <v>31</v>
      </c>
      <c r="ABZ168" s="1137">
        <f t="shared" si="31"/>
        <v>31</v>
      </c>
      <c r="ACA168" s="1137">
        <f t="shared" si="31"/>
        <v>30</v>
      </c>
      <c r="ACB168" s="1137">
        <f t="shared" si="31"/>
        <v>31</v>
      </c>
      <c r="ACC168" s="1137">
        <f t="shared" si="31"/>
        <v>30</v>
      </c>
      <c r="ACD168" s="1137">
        <f t="shared" si="31"/>
        <v>31</v>
      </c>
      <c r="ACE168" s="1137" t="s">
        <v>262</v>
      </c>
      <c r="ACF168" s="1137">
        <f t="shared" si="39"/>
        <v>0</v>
      </c>
      <c r="ACG168" s="1137">
        <f t="shared" si="39"/>
        <v>0</v>
      </c>
      <c r="ACH168" s="1137">
        <f t="shared" si="39"/>
        <v>0</v>
      </c>
      <c r="ACI168" s="1137">
        <f t="shared" si="39"/>
        <v>1</v>
      </c>
      <c r="ACJ168" s="1137">
        <f t="shared" si="39"/>
        <v>1</v>
      </c>
      <c r="ACK168" s="1137">
        <f t="shared" si="39"/>
        <v>1</v>
      </c>
      <c r="ACL168" s="1137">
        <f t="shared" si="39"/>
        <v>1</v>
      </c>
      <c r="ACM168" s="1137">
        <f t="shared" si="39"/>
        <v>1</v>
      </c>
      <c r="ACN168" s="1137">
        <f t="shared" si="39"/>
        <v>1</v>
      </c>
      <c r="ACO168" s="1137">
        <f t="shared" si="39"/>
        <v>1</v>
      </c>
      <c r="ACP168" s="1137">
        <f t="shared" si="39"/>
        <v>1</v>
      </c>
      <c r="ACQ168" s="1137">
        <f t="shared" si="43"/>
        <v>1</v>
      </c>
      <c r="ACR168" s="1137">
        <f t="shared" si="43"/>
        <v>1</v>
      </c>
      <c r="ACS168" s="1137">
        <f t="shared" si="43"/>
        <v>1</v>
      </c>
      <c r="ACT168" s="1137">
        <f t="shared" si="43"/>
        <v>1</v>
      </c>
      <c r="ACU168" s="1137">
        <f t="shared" si="43"/>
        <v>1</v>
      </c>
      <c r="ACV168" s="1137">
        <f t="shared" si="43"/>
        <v>1</v>
      </c>
      <c r="ACW168" s="1137">
        <f t="shared" si="43"/>
        <v>1</v>
      </c>
      <c r="ACX168" s="1137">
        <f t="shared" si="42"/>
        <v>1</v>
      </c>
      <c r="ACY168" s="1137">
        <f t="shared" si="42"/>
        <v>1</v>
      </c>
      <c r="ACZ168" s="1137">
        <f t="shared" si="42"/>
        <v>1</v>
      </c>
      <c r="ADA168" s="1137">
        <f t="shared" si="35"/>
        <v>1</v>
      </c>
      <c r="ADB168" s="1137">
        <f t="shared" si="35"/>
        <v>1</v>
      </c>
      <c r="ADC168" s="1137">
        <f t="shared" si="35"/>
        <v>1</v>
      </c>
    </row>
    <row r="169" spans="1:783" x14ac:dyDescent="0.25">
      <c r="A169" t="s">
        <v>1968</v>
      </c>
      <c r="B169" t="s">
        <v>69</v>
      </c>
      <c r="C169">
        <v>0</v>
      </c>
      <c r="D169">
        <v>0</v>
      </c>
      <c r="E169">
        <v>0</v>
      </c>
      <c r="F169">
        <v>0</v>
      </c>
      <c r="G169">
        <v>0</v>
      </c>
      <c r="H169">
        <v>0</v>
      </c>
      <c r="I169">
        <v>0</v>
      </c>
      <c r="J169">
        <v>0</v>
      </c>
      <c r="K169">
        <v>0</v>
      </c>
      <c r="L169">
        <v>0</v>
      </c>
      <c r="M169">
        <v>0</v>
      </c>
      <c r="N169">
        <v>0</v>
      </c>
      <c r="O169">
        <v>0</v>
      </c>
      <c r="P169">
        <v>0</v>
      </c>
      <c r="Q169">
        <v>0</v>
      </c>
      <c r="R169">
        <v>0</v>
      </c>
      <c r="S169">
        <v>0</v>
      </c>
      <c r="T169">
        <v>0</v>
      </c>
      <c r="U169">
        <v>0</v>
      </c>
      <c r="V169">
        <v>0</v>
      </c>
      <c r="W169">
        <v>0</v>
      </c>
      <c r="X169">
        <v>0</v>
      </c>
      <c r="Y169">
        <v>0</v>
      </c>
      <c r="Z169">
        <v>0</v>
      </c>
      <c r="AA169">
        <v>0</v>
      </c>
      <c r="AB169">
        <v>0</v>
      </c>
      <c r="AC169">
        <v>0</v>
      </c>
      <c r="AD169">
        <v>0</v>
      </c>
      <c r="AE169">
        <v>0</v>
      </c>
      <c r="AF169">
        <v>0</v>
      </c>
      <c r="AG169">
        <v>0</v>
      </c>
      <c r="AH169">
        <v>0</v>
      </c>
      <c r="AI169">
        <v>0</v>
      </c>
      <c r="AJ169">
        <v>0</v>
      </c>
      <c r="AK169">
        <v>0</v>
      </c>
      <c r="AL169">
        <v>0</v>
      </c>
      <c r="AM169">
        <v>0</v>
      </c>
      <c r="AN169">
        <v>0</v>
      </c>
      <c r="AO169">
        <v>0</v>
      </c>
      <c r="AP169">
        <v>0</v>
      </c>
      <c r="AQ169">
        <v>0</v>
      </c>
      <c r="AR169">
        <v>0</v>
      </c>
      <c r="AS169">
        <v>0</v>
      </c>
      <c r="AT169">
        <v>0</v>
      </c>
      <c r="AU169">
        <v>0</v>
      </c>
      <c r="AV169">
        <v>0</v>
      </c>
      <c r="AW169">
        <v>0</v>
      </c>
      <c r="AX169">
        <v>0</v>
      </c>
      <c r="AY169">
        <v>0</v>
      </c>
      <c r="AZ169">
        <v>0</v>
      </c>
      <c r="BA169">
        <v>0</v>
      </c>
      <c r="BB169">
        <v>0</v>
      </c>
      <c r="BC169">
        <v>0</v>
      </c>
      <c r="BD169">
        <v>0</v>
      </c>
      <c r="BE169">
        <v>0</v>
      </c>
      <c r="BF169">
        <v>0</v>
      </c>
      <c r="BG169">
        <v>0</v>
      </c>
      <c r="BH169">
        <v>0</v>
      </c>
      <c r="BI169">
        <v>0</v>
      </c>
      <c r="BJ169">
        <v>0</v>
      </c>
      <c r="BK169">
        <v>0</v>
      </c>
      <c r="BL169">
        <v>0</v>
      </c>
      <c r="BM169">
        <v>0</v>
      </c>
      <c r="BN169">
        <v>0</v>
      </c>
      <c r="BO169">
        <v>0</v>
      </c>
      <c r="BP169">
        <v>0</v>
      </c>
      <c r="BQ169">
        <v>0</v>
      </c>
      <c r="BR169">
        <v>0</v>
      </c>
      <c r="BS169">
        <v>0</v>
      </c>
      <c r="BT169">
        <v>0</v>
      </c>
      <c r="BU169">
        <v>0</v>
      </c>
      <c r="BV169">
        <v>0</v>
      </c>
      <c r="BW169">
        <v>0</v>
      </c>
      <c r="BX169">
        <v>0</v>
      </c>
      <c r="BY169">
        <v>0</v>
      </c>
      <c r="BZ169">
        <v>0</v>
      </c>
      <c r="CA169">
        <v>0</v>
      </c>
      <c r="CB169">
        <v>0</v>
      </c>
      <c r="CC169">
        <v>0</v>
      </c>
      <c r="CD169">
        <v>0</v>
      </c>
      <c r="CE169">
        <v>0</v>
      </c>
      <c r="CF169">
        <v>0</v>
      </c>
      <c r="CG169">
        <v>0</v>
      </c>
      <c r="CH169">
        <v>0</v>
      </c>
      <c r="CI169">
        <v>0</v>
      </c>
      <c r="CJ169">
        <v>0</v>
      </c>
      <c r="CK169">
        <v>0</v>
      </c>
      <c r="CL169">
        <v>0</v>
      </c>
      <c r="CM169">
        <v>0</v>
      </c>
      <c r="CN169">
        <v>0</v>
      </c>
      <c r="CO169">
        <v>0</v>
      </c>
      <c r="CP169">
        <v>0</v>
      </c>
      <c r="CQ169">
        <v>0</v>
      </c>
      <c r="CR169">
        <v>0</v>
      </c>
      <c r="CS169">
        <v>0</v>
      </c>
      <c r="CT169">
        <v>0</v>
      </c>
      <c r="CU169">
        <v>0</v>
      </c>
      <c r="CV169">
        <v>0</v>
      </c>
      <c r="CW169">
        <v>0</v>
      </c>
      <c r="CX169">
        <v>0</v>
      </c>
      <c r="CY169">
        <v>0</v>
      </c>
      <c r="CZ169">
        <v>0</v>
      </c>
      <c r="DA169">
        <v>0</v>
      </c>
      <c r="DB169">
        <v>0</v>
      </c>
      <c r="DC169">
        <v>0</v>
      </c>
      <c r="DD169">
        <v>0</v>
      </c>
      <c r="DE169">
        <v>0</v>
      </c>
      <c r="DF169">
        <v>0</v>
      </c>
      <c r="DG169">
        <v>0</v>
      </c>
      <c r="DH169">
        <v>0</v>
      </c>
      <c r="DI169">
        <v>0</v>
      </c>
      <c r="DJ169">
        <v>0</v>
      </c>
      <c r="DK169">
        <v>0</v>
      </c>
      <c r="DL169">
        <v>0</v>
      </c>
      <c r="DM169">
        <v>0</v>
      </c>
      <c r="DN169">
        <v>0</v>
      </c>
      <c r="DO169">
        <v>0</v>
      </c>
      <c r="DP169">
        <v>0</v>
      </c>
      <c r="DQ169">
        <v>0</v>
      </c>
      <c r="DR169">
        <v>0</v>
      </c>
      <c r="DS169">
        <v>0</v>
      </c>
      <c r="DT169">
        <v>0</v>
      </c>
      <c r="DU169">
        <v>0</v>
      </c>
      <c r="DV169">
        <v>0</v>
      </c>
      <c r="DW169">
        <v>0</v>
      </c>
      <c r="DX169">
        <v>0</v>
      </c>
      <c r="DY169">
        <v>0</v>
      </c>
      <c r="DZ169">
        <v>0</v>
      </c>
      <c r="EA169">
        <v>0</v>
      </c>
      <c r="EB169">
        <v>0</v>
      </c>
      <c r="EC169">
        <v>0</v>
      </c>
      <c r="ED169">
        <v>0</v>
      </c>
      <c r="EE169">
        <v>0</v>
      </c>
      <c r="EF169">
        <v>0</v>
      </c>
      <c r="EG169">
        <v>0</v>
      </c>
      <c r="EH169">
        <v>0</v>
      </c>
      <c r="EI169">
        <v>0</v>
      </c>
      <c r="EJ169">
        <v>0</v>
      </c>
      <c r="EK169">
        <v>0</v>
      </c>
      <c r="EL169">
        <v>0</v>
      </c>
      <c r="EM169">
        <v>0</v>
      </c>
      <c r="EN169">
        <v>0</v>
      </c>
      <c r="EO169">
        <v>0</v>
      </c>
      <c r="EP169">
        <v>0</v>
      </c>
      <c r="EQ169">
        <v>0</v>
      </c>
      <c r="ER169">
        <v>0</v>
      </c>
      <c r="ES169">
        <v>0</v>
      </c>
      <c r="ET169">
        <v>0</v>
      </c>
      <c r="EU169">
        <v>0</v>
      </c>
      <c r="EV169">
        <v>0</v>
      </c>
      <c r="EW169">
        <v>0</v>
      </c>
      <c r="EX169">
        <v>0</v>
      </c>
      <c r="EY169">
        <v>0</v>
      </c>
      <c r="EZ169">
        <v>0</v>
      </c>
      <c r="FA169">
        <v>1</v>
      </c>
      <c r="FB169">
        <v>1</v>
      </c>
      <c r="FC169">
        <v>1</v>
      </c>
      <c r="FD169">
        <v>1</v>
      </c>
      <c r="FE169">
        <v>1</v>
      </c>
      <c r="FF169">
        <v>1</v>
      </c>
      <c r="FG169">
        <v>1</v>
      </c>
      <c r="FH169">
        <v>1</v>
      </c>
      <c r="FI169">
        <v>1</v>
      </c>
      <c r="FJ169">
        <v>1</v>
      </c>
      <c r="FK169">
        <v>1</v>
      </c>
      <c r="FL169">
        <v>1</v>
      </c>
      <c r="FM169">
        <v>2</v>
      </c>
      <c r="FN169">
        <v>2</v>
      </c>
      <c r="FO169">
        <v>2</v>
      </c>
      <c r="FP169">
        <v>2</v>
      </c>
      <c r="FQ169">
        <v>2</v>
      </c>
      <c r="FR169">
        <v>2</v>
      </c>
      <c r="FS169">
        <v>2</v>
      </c>
      <c r="FT169">
        <v>2</v>
      </c>
      <c r="FU169">
        <v>2</v>
      </c>
      <c r="FV169">
        <v>2</v>
      </c>
      <c r="FW169">
        <v>2</v>
      </c>
      <c r="FX169">
        <v>2</v>
      </c>
      <c r="FY169">
        <v>2</v>
      </c>
      <c r="FZ169">
        <v>2</v>
      </c>
      <c r="GA169">
        <v>2</v>
      </c>
      <c r="GB169">
        <v>2</v>
      </c>
      <c r="GC169">
        <v>2</v>
      </c>
      <c r="GD169">
        <v>2</v>
      </c>
      <c r="GE169">
        <v>2</v>
      </c>
      <c r="GF169">
        <v>2</v>
      </c>
      <c r="GG169">
        <v>2</v>
      </c>
      <c r="GH169">
        <v>2</v>
      </c>
      <c r="GI169">
        <v>2</v>
      </c>
      <c r="GJ169">
        <v>2</v>
      </c>
      <c r="GK169">
        <v>2</v>
      </c>
      <c r="GL169">
        <v>2</v>
      </c>
      <c r="GM169">
        <v>2</v>
      </c>
      <c r="GN169">
        <v>2</v>
      </c>
      <c r="GO169">
        <v>2</v>
      </c>
      <c r="GP169">
        <v>2</v>
      </c>
      <c r="GQ169">
        <v>2</v>
      </c>
      <c r="GR169">
        <v>1</v>
      </c>
      <c r="GS169">
        <v>1</v>
      </c>
      <c r="GT169">
        <v>1</v>
      </c>
      <c r="GU169">
        <v>1</v>
      </c>
      <c r="GV169">
        <v>1</v>
      </c>
      <c r="GW169">
        <v>1</v>
      </c>
      <c r="GX169">
        <v>1</v>
      </c>
      <c r="GY169">
        <v>1</v>
      </c>
      <c r="GZ169">
        <v>1</v>
      </c>
      <c r="HA169">
        <v>1</v>
      </c>
      <c r="HB169">
        <v>1</v>
      </c>
      <c r="HC169">
        <v>1</v>
      </c>
      <c r="HD169">
        <v>1</v>
      </c>
      <c r="HE169">
        <v>1</v>
      </c>
      <c r="HF169">
        <v>1</v>
      </c>
      <c r="HG169">
        <v>1</v>
      </c>
      <c r="HH169">
        <v>1</v>
      </c>
      <c r="HI169">
        <v>1</v>
      </c>
      <c r="HJ169">
        <v>1</v>
      </c>
      <c r="HK169">
        <v>1</v>
      </c>
      <c r="HL169">
        <v>1</v>
      </c>
      <c r="HM169">
        <v>1</v>
      </c>
      <c r="HN169">
        <v>1</v>
      </c>
      <c r="HO169">
        <v>1</v>
      </c>
      <c r="HP169">
        <v>1</v>
      </c>
      <c r="HQ169">
        <v>1</v>
      </c>
      <c r="HR169">
        <v>1</v>
      </c>
      <c r="HS169">
        <v>1</v>
      </c>
      <c r="HT169">
        <v>1</v>
      </c>
      <c r="HU169">
        <v>1</v>
      </c>
      <c r="HV169">
        <v>1</v>
      </c>
      <c r="HW169">
        <v>1</v>
      </c>
      <c r="HX169">
        <v>1</v>
      </c>
      <c r="HY169">
        <v>1</v>
      </c>
      <c r="HZ169">
        <v>1</v>
      </c>
      <c r="IA169">
        <v>1</v>
      </c>
      <c r="IB169">
        <v>1</v>
      </c>
      <c r="IC169">
        <v>1</v>
      </c>
      <c r="ID169">
        <v>1</v>
      </c>
      <c r="IE169">
        <v>1</v>
      </c>
      <c r="IF169">
        <v>1</v>
      </c>
      <c r="IG169">
        <v>1</v>
      </c>
      <c r="IH169">
        <v>1</v>
      </c>
      <c r="II169">
        <v>1</v>
      </c>
      <c r="IJ169">
        <v>1</v>
      </c>
      <c r="IK169">
        <v>1</v>
      </c>
      <c r="IL169">
        <v>1</v>
      </c>
      <c r="IM169">
        <v>1</v>
      </c>
      <c r="IN169">
        <v>1</v>
      </c>
      <c r="IO169">
        <v>1</v>
      </c>
      <c r="IP169">
        <v>1</v>
      </c>
      <c r="IQ169">
        <v>1</v>
      </c>
      <c r="IR169">
        <v>1</v>
      </c>
      <c r="IS169">
        <v>1</v>
      </c>
      <c r="IT169">
        <v>0</v>
      </c>
      <c r="IU169">
        <v>0</v>
      </c>
      <c r="IV169">
        <v>0</v>
      </c>
      <c r="IW169">
        <v>0</v>
      </c>
      <c r="IX169">
        <v>0</v>
      </c>
      <c r="IY169">
        <v>0</v>
      </c>
      <c r="IZ169">
        <v>0</v>
      </c>
      <c r="JA169">
        <v>0</v>
      </c>
      <c r="JB169">
        <v>0</v>
      </c>
      <c r="JC169">
        <v>0</v>
      </c>
      <c r="JD169">
        <v>0</v>
      </c>
      <c r="JE169">
        <v>0</v>
      </c>
      <c r="JF169">
        <v>0</v>
      </c>
      <c r="JG169">
        <v>0</v>
      </c>
      <c r="JH169">
        <v>0</v>
      </c>
      <c r="JI169">
        <v>0</v>
      </c>
      <c r="JJ169">
        <v>0</v>
      </c>
      <c r="JK169">
        <v>0</v>
      </c>
      <c r="JL169">
        <v>0</v>
      </c>
      <c r="JM169">
        <v>0</v>
      </c>
      <c r="JN169">
        <v>0</v>
      </c>
      <c r="JO169">
        <v>0</v>
      </c>
      <c r="JP169">
        <v>0</v>
      </c>
      <c r="JQ169">
        <v>0</v>
      </c>
      <c r="JR169">
        <v>0</v>
      </c>
      <c r="JS169">
        <v>0</v>
      </c>
      <c r="JT169">
        <v>0</v>
      </c>
      <c r="JU169">
        <v>0</v>
      </c>
      <c r="JV169">
        <v>0</v>
      </c>
      <c r="JW169">
        <v>0</v>
      </c>
      <c r="JX169">
        <v>0</v>
      </c>
      <c r="JY169">
        <v>0</v>
      </c>
      <c r="JZ169">
        <v>0</v>
      </c>
      <c r="KA169">
        <v>0</v>
      </c>
      <c r="KB169">
        <v>0</v>
      </c>
      <c r="KC169">
        <v>0</v>
      </c>
      <c r="KD169">
        <v>0</v>
      </c>
      <c r="KE169">
        <v>0</v>
      </c>
      <c r="KF169">
        <v>0</v>
      </c>
      <c r="KG169">
        <v>0</v>
      </c>
      <c r="KH169">
        <v>0</v>
      </c>
      <c r="KI169">
        <v>0</v>
      </c>
      <c r="KJ169">
        <v>0</v>
      </c>
      <c r="KK169">
        <v>0</v>
      </c>
      <c r="KL169">
        <v>0</v>
      </c>
      <c r="KM169">
        <v>0</v>
      </c>
      <c r="KN169">
        <v>0</v>
      </c>
      <c r="KO169">
        <v>0</v>
      </c>
      <c r="KP169">
        <v>0</v>
      </c>
      <c r="KQ169">
        <v>0</v>
      </c>
      <c r="KR169">
        <v>0</v>
      </c>
      <c r="KS169">
        <v>0</v>
      </c>
      <c r="KT169">
        <v>0</v>
      </c>
      <c r="KU169">
        <v>0</v>
      </c>
      <c r="KV169">
        <v>0</v>
      </c>
      <c r="KW169">
        <v>0</v>
      </c>
      <c r="KX169">
        <v>0</v>
      </c>
      <c r="KY169">
        <v>0</v>
      </c>
      <c r="KZ169">
        <v>0</v>
      </c>
      <c r="LA169">
        <v>0</v>
      </c>
      <c r="LB169">
        <v>0</v>
      </c>
      <c r="LC169">
        <v>0</v>
      </c>
      <c r="LD169">
        <v>0</v>
      </c>
      <c r="LE169">
        <v>0</v>
      </c>
      <c r="LF169">
        <v>0</v>
      </c>
      <c r="LG169">
        <v>0</v>
      </c>
      <c r="LH169">
        <v>0</v>
      </c>
      <c r="LI169">
        <v>0</v>
      </c>
      <c r="LJ169">
        <v>0</v>
      </c>
      <c r="LK169">
        <v>0</v>
      </c>
      <c r="LL169">
        <v>0</v>
      </c>
      <c r="LM169">
        <v>0</v>
      </c>
      <c r="LN169">
        <v>0</v>
      </c>
      <c r="LO169">
        <v>0</v>
      </c>
      <c r="LP169">
        <v>0</v>
      </c>
      <c r="LQ169">
        <v>0</v>
      </c>
      <c r="LR169">
        <v>0</v>
      </c>
      <c r="LS169">
        <v>0</v>
      </c>
      <c r="LT169">
        <v>0</v>
      </c>
      <c r="LU169">
        <v>0</v>
      </c>
      <c r="LV169">
        <v>0</v>
      </c>
      <c r="LW169">
        <v>0</v>
      </c>
      <c r="LX169">
        <v>0</v>
      </c>
      <c r="LY169">
        <v>0</v>
      </c>
      <c r="LZ169">
        <v>0</v>
      </c>
      <c r="MA169">
        <v>0</v>
      </c>
      <c r="MB169">
        <v>0</v>
      </c>
      <c r="MC169">
        <v>0</v>
      </c>
      <c r="MD169">
        <v>0</v>
      </c>
      <c r="ME169">
        <v>0</v>
      </c>
      <c r="MF169">
        <v>0</v>
      </c>
      <c r="MG169">
        <v>0</v>
      </c>
      <c r="MH169">
        <v>0</v>
      </c>
      <c r="MI169">
        <v>0</v>
      </c>
      <c r="MJ169">
        <v>0</v>
      </c>
      <c r="MK169">
        <v>0</v>
      </c>
      <c r="ML169">
        <v>0</v>
      </c>
      <c r="MM169">
        <v>0</v>
      </c>
      <c r="MN169">
        <v>0</v>
      </c>
      <c r="MO169">
        <v>0</v>
      </c>
      <c r="MP169">
        <v>0</v>
      </c>
      <c r="MQ169">
        <v>0</v>
      </c>
      <c r="MR169">
        <v>0</v>
      </c>
      <c r="MS169">
        <v>0</v>
      </c>
      <c r="MT169">
        <v>0</v>
      </c>
      <c r="MU169">
        <v>0</v>
      </c>
      <c r="MV169">
        <v>0</v>
      </c>
      <c r="MW169">
        <v>0</v>
      </c>
      <c r="MX169">
        <v>0</v>
      </c>
      <c r="MY169">
        <v>0</v>
      </c>
      <c r="MZ169">
        <v>0</v>
      </c>
      <c r="NA169">
        <v>0</v>
      </c>
      <c r="NB169">
        <v>0</v>
      </c>
      <c r="NC169">
        <v>0</v>
      </c>
      <c r="ND169">
        <v>0</v>
      </c>
      <c r="NE169">
        <v>0</v>
      </c>
      <c r="NF169">
        <v>0</v>
      </c>
      <c r="NG169">
        <v>0</v>
      </c>
      <c r="NH169">
        <v>0</v>
      </c>
      <c r="NI169">
        <v>0</v>
      </c>
      <c r="NJ169">
        <v>0</v>
      </c>
      <c r="NK169">
        <v>0</v>
      </c>
      <c r="NL169">
        <v>0</v>
      </c>
      <c r="NM169">
        <v>0</v>
      </c>
      <c r="NN169">
        <v>0</v>
      </c>
      <c r="NO169">
        <v>0</v>
      </c>
      <c r="NP169">
        <v>0</v>
      </c>
      <c r="NQ169">
        <v>0</v>
      </c>
      <c r="NR169">
        <v>0</v>
      </c>
      <c r="NS169">
        <v>0</v>
      </c>
      <c r="NT169">
        <v>0</v>
      </c>
      <c r="NU169">
        <v>0</v>
      </c>
      <c r="NV169">
        <v>0</v>
      </c>
      <c r="NW169">
        <v>0</v>
      </c>
      <c r="NX169">
        <v>0</v>
      </c>
      <c r="NY169">
        <v>0</v>
      </c>
      <c r="NZ169">
        <v>0</v>
      </c>
      <c r="OA169">
        <v>0</v>
      </c>
      <c r="OB169">
        <v>0</v>
      </c>
      <c r="OC169">
        <v>0</v>
      </c>
      <c r="OD169">
        <v>0</v>
      </c>
      <c r="OE169">
        <v>0</v>
      </c>
      <c r="OF169">
        <v>0</v>
      </c>
      <c r="OG169">
        <v>0</v>
      </c>
      <c r="OH169">
        <v>0</v>
      </c>
      <c r="OI169">
        <v>0</v>
      </c>
      <c r="OJ169">
        <v>0</v>
      </c>
      <c r="OK169">
        <v>0</v>
      </c>
      <c r="OL169">
        <v>0</v>
      </c>
      <c r="OM169">
        <v>0</v>
      </c>
      <c r="ON169">
        <v>0</v>
      </c>
      <c r="OO169">
        <v>0</v>
      </c>
      <c r="OP169">
        <v>0</v>
      </c>
      <c r="OQ169">
        <v>0</v>
      </c>
      <c r="OR169">
        <v>0</v>
      </c>
      <c r="OS169">
        <v>0</v>
      </c>
      <c r="OT169">
        <v>0</v>
      </c>
      <c r="OU169">
        <v>0</v>
      </c>
      <c r="OV169">
        <v>0</v>
      </c>
      <c r="OW169">
        <v>0</v>
      </c>
      <c r="OX169">
        <v>0</v>
      </c>
      <c r="OY169">
        <v>0</v>
      </c>
      <c r="OZ169">
        <v>0</v>
      </c>
      <c r="PA169">
        <v>0</v>
      </c>
      <c r="PB169">
        <v>0</v>
      </c>
      <c r="PC169">
        <v>0</v>
      </c>
      <c r="PD169">
        <v>0</v>
      </c>
      <c r="PE169">
        <v>0</v>
      </c>
      <c r="PF169">
        <v>0</v>
      </c>
      <c r="PG169">
        <v>0</v>
      </c>
      <c r="PH169">
        <v>0</v>
      </c>
      <c r="PI169">
        <v>0</v>
      </c>
      <c r="PJ169">
        <v>0</v>
      </c>
      <c r="PK169">
        <v>0</v>
      </c>
      <c r="PL169">
        <v>0</v>
      </c>
      <c r="PM169">
        <v>0</v>
      </c>
      <c r="PN169">
        <v>0</v>
      </c>
      <c r="PO169">
        <v>0</v>
      </c>
      <c r="PP169">
        <v>0</v>
      </c>
      <c r="PQ169">
        <v>0</v>
      </c>
      <c r="PR169">
        <v>0</v>
      </c>
      <c r="PS169">
        <v>0</v>
      </c>
      <c r="PT169">
        <v>0</v>
      </c>
      <c r="PU169">
        <v>0</v>
      </c>
      <c r="PV169">
        <v>0</v>
      </c>
      <c r="PW169">
        <v>0</v>
      </c>
      <c r="PX169">
        <v>0</v>
      </c>
      <c r="PY169">
        <v>0</v>
      </c>
      <c r="PZ169">
        <v>0</v>
      </c>
      <c r="QA169">
        <v>0</v>
      </c>
      <c r="QB169">
        <v>0</v>
      </c>
      <c r="QC169">
        <v>0</v>
      </c>
      <c r="QD169">
        <v>0</v>
      </c>
      <c r="QE169">
        <v>0</v>
      </c>
      <c r="QF169">
        <v>0</v>
      </c>
      <c r="QG169">
        <v>0</v>
      </c>
      <c r="QH169">
        <v>0</v>
      </c>
      <c r="QI169">
        <v>0</v>
      </c>
      <c r="QJ169">
        <v>0</v>
      </c>
      <c r="QK169">
        <v>0</v>
      </c>
      <c r="QL169">
        <v>0</v>
      </c>
      <c r="QM169">
        <v>0</v>
      </c>
      <c r="QN169">
        <v>0</v>
      </c>
      <c r="QO169">
        <v>0</v>
      </c>
      <c r="QP169">
        <v>0</v>
      </c>
      <c r="QQ169">
        <v>0</v>
      </c>
      <c r="QR169">
        <v>0</v>
      </c>
      <c r="QS169">
        <v>0</v>
      </c>
      <c r="QT169">
        <v>0</v>
      </c>
      <c r="QU169">
        <v>0</v>
      </c>
      <c r="QV169">
        <v>0</v>
      </c>
      <c r="QW169">
        <v>0</v>
      </c>
      <c r="QX169">
        <v>0</v>
      </c>
      <c r="QY169">
        <v>0</v>
      </c>
      <c r="QZ169">
        <v>0</v>
      </c>
      <c r="RA169">
        <v>0</v>
      </c>
      <c r="RB169">
        <v>0</v>
      </c>
      <c r="RC169">
        <v>0</v>
      </c>
      <c r="RD169">
        <v>0</v>
      </c>
      <c r="RE169">
        <v>0</v>
      </c>
      <c r="RF169">
        <v>0</v>
      </c>
      <c r="RG169">
        <v>0</v>
      </c>
      <c r="RH169">
        <v>0</v>
      </c>
      <c r="RI169">
        <v>0</v>
      </c>
      <c r="RJ169">
        <v>0</v>
      </c>
      <c r="RK169">
        <v>0</v>
      </c>
      <c r="RL169">
        <v>0</v>
      </c>
      <c r="RM169">
        <v>0</v>
      </c>
      <c r="RN169">
        <v>0</v>
      </c>
      <c r="RO169">
        <v>0</v>
      </c>
      <c r="RP169">
        <v>0</v>
      </c>
      <c r="RQ169">
        <v>0</v>
      </c>
      <c r="RR169">
        <v>0</v>
      </c>
      <c r="RS169">
        <v>0</v>
      </c>
      <c r="RT169">
        <v>0</v>
      </c>
      <c r="RU169">
        <v>0</v>
      </c>
      <c r="RV169">
        <v>0</v>
      </c>
      <c r="RW169">
        <v>0</v>
      </c>
      <c r="RX169">
        <v>0</v>
      </c>
      <c r="RY169">
        <v>0</v>
      </c>
      <c r="RZ169">
        <v>0</v>
      </c>
      <c r="SA169">
        <v>0</v>
      </c>
      <c r="SB169">
        <v>0</v>
      </c>
      <c r="SC169">
        <v>0</v>
      </c>
      <c r="SD169">
        <v>0</v>
      </c>
      <c r="SE169">
        <v>0</v>
      </c>
      <c r="SF169">
        <v>0</v>
      </c>
      <c r="SG169">
        <v>0</v>
      </c>
      <c r="SH169">
        <v>0</v>
      </c>
      <c r="SI169">
        <v>0</v>
      </c>
      <c r="SJ169">
        <v>0</v>
      </c>
      <c r="SK169">
        <v>0</v>
      </c>
      <c r="SL169">
        <v>0</v>
      </c>
      <c r="SM169">
        <v>0</v>
      </c>
      <c r="SN169">
        <v>0</v>
      </c>
      <c r="SO169">
        <v>0</v>
      </c>
      <c r="SP169">
        <v>0</v>
      </c>
      <c r="SQ169">
        <v>0</v>
      </c>
      <c r="SR169">
        <v>0</v>
      </c>
      <c r="SS169">
        <v>0</v>
      </c>
      <c r="ST169">
        <v>0</v>
      </c>
      <c r="SU169">
        <v>0</v>
      </c>
      <c r="SV169">
        <v>0</v>
      </c>
      <c r="SW169">
        <v>0</v>
      </c>
      <c r="SX169">
        <v>0</v>
      </c>
      <c r="SY169">
        <v>0</v>
      </c>
      <c r="SZ169">
        <v>0</v>
      </c>
      <c r="TA169">
        <v>0</v>
      </c>
      <c r="TB169">
        <v>0</v>
      </c>
      <c r="TC169">
        <v>0</v>
      </c>
      <c r="TD169">
        <v>0</v>
      </c>
      <c r="TE169">
        <v>0</v>
      </c>
      <c r="TF169">
        <v>0</v>
      </c>
      <c r="TG169">
        <v>0</v>
      </c>
      <c r="TH169">
        <v>0</v>
      </c>
      <c r="TI169">
        <v>0</v>
      </c>
      <c r="TJ169">
        <v>0</v>
      </c>
      <c r="TK169">
        <v>0</v>
      </c>
      <c r="TL169">
        <v>0</v>
      </c>
      <c r="TM169">
        <v>0</v>
      </c>
      <c r="TN169">
        <v>0</v>
      </c>
      <c r="TO169">
        <v>0</v>
      </c>
      <c r="TP169">
        <v>0</v>
      </c>
      <c r="TQ169">
        <v>0</v>
      </c>
      <c r="TR169">
        <v>0</v>
      </c>
      <c r="TS169">
        <v>0</v>
      </c>
      <c r="TT169">
        <v>0</v>
      </c>
      <c r="TU169">
        <v>0</v>
      </c>
      <c r="TV169">
        <v>0</v>
      </c>
      <c r="TW169">
        <v>0</v>
      </c>
      <c r="TX169">
        <v>0</v>
      </c>
      <c r="TY169">
        <v>0</v>
      </c>
      <c r="TZ169">
        <v>0</v>
      </c>
      <c r="UA169">
        <v>0</v>
      </c>
      <c r="UB169">
        <v>0</v>
      </c>
      <c r="UC169">
        <v>0</v>
      </c>
      <c r="UD169">
        <v>0</v>
      </c>
      <c r="UE169">
        <v>0</v>
      </c>
      <c r="UF169">
        <v>0</v>
      </c>
      <c r="UG169">
        <v>0</v>
      </c>
      <c r="UH169">
        <v>0</v>
      </c>
      <c r="UI169">
        <v>0</v>
      </c>
      <c r="UJ169">
        <v>0</v>
      </c>
      <c r="UK169">
        <v>0</v>
      </c>
      <c r="UL169">
        <v>0</v>
      </c>
      <c r="UM169">
        <v>0</v>
      </c>
      <c r="UN169">
        <v>0</v>
      </c>
      <c r="UO169">
        <v>0</v>
      </c>
      <c r="UP169">
        <v>0</v>
      </c>
      <c r="UQ169">
        <v>0</v>
      </c>
      <c r="UR169">
        <v>0</v>
      </c>
      <c r="US169">
        <v>0</v>
      </c>
      <c r="UT169">
        <v>0</v>
      </c>
      <c r="UU169">
        <v>0</v>
      </c>
      <c r="UV169">
        <v>0</v>
      </c>
      <c r="UW169">
        <v>0</v>
      </c>
      <c r="UX169">
        <v>0</v>
      </c>
      <c r="UY169">
        <v>0</v>
      </c>
      <c r="UZ169">
        <v>0</v>
      </c>
      <c r="VA169">
        <v>0</v>
      </c>
      <c r="VB169">
        <v>0</v>
      </c>
      <c r="VC169">
        <v>0</v>
      </c>
      <c r="VD169">
        <v>0</v>
      </c>
      <c r="VE169">
        <v>0</v>
      </c>
      <c r="VF169">
        <v>0</v>
      </c>
      <c r="VG169">
        <v>0</v>
      </c>
      <c r="VH169">
        <v>0</v>
      </c>
      <c r="VI169">
        <v>0</v>
      </c>
      <c r="VJ169">
        <v>0</v>
      </c>
      <c r="VK169">
        <v>0</v>
      </c>
      <c r="VL169">
        <v>0</v>
      </c>
      <c r="VM169">
        <v>0</v>
      </c>
      <c r="VN169">
        <v>0</v>
      </c>
      <c r="VO169">
        <v>0</v>
      </c>
      <c r="VP169">
        <v>0</v>
      </c>
      <c r="VQ169">
        <v>0</v>
      </c>
      <c r="VR169">
        <v>0</v>
      </c>
      <c r="VS169">
        <v>0</v>
      </c>
      <c r="VT169">
        <v>0</v>
      </c>
      <c r="VU169">
        <v>0</v>
      </c>
      <c r="VV169">
        <v>0</v>
      </c>
      <c r="VW169">
        <v>0</v>
      </c>
      <c r="VX169">
        <v>0</v>
      </c>
      <c r="VY169">
        <v>0</v>
      </c>
      <c r="VZ169">
        <v>0</v>
      </c>
      <c r="WA169">
        <v>0</v>
      </c>
      <c r="WB169">
        <v>0</v>
      </c>
      <c r="WC169">
        <v>0</v>
      </c>
      <c r="WD169">
        <v>0</v>
      </c>
      <c r="WE169">
        <v>0</v>
      </c>
      <c r="WF169">
        <v>0</v>
      </c>
      <c r="WG169">
        <v>0</v>
      </c>
      <c r="WH169">
        <v>0</v>
      </c>
      <c r="WI169">
        <v>0</v>
      </c>
      <c r="WJ169">
        <v>0</v>
      </c>
      <c r="WK169">
        <v>0</v>
      </c>
      <c r="WL169">
        <v>0</v>
      </c>
      <c r="WM169">
        <v>0</v>
      </c>
      <c r="WN169">
        <v>0</v>
      </c>
      <c r="WO169">
        <v>0</v>
      </c>
      <c r="WP169">
        <v>0</v>
      </c>
      <c r="WQ169">
        <v>0</v>
      </c>
      <c r="WR169">
        <v>0</v>
      </c>
      <c r="WS169">
        <v>0</v>
      </c>
      <c r="WT169">
        <v>0</v>
      </c>
      <c r="WU169">
        <v>0</v>
      </c>
      <c r="WV169">
        <v>0</v>
      </c>
      <c r="WW169">
        <v>0</v>
      </c>
      <c r="WX169">
        <v>0</v>
      </c>
      <c r="WY169">
        <v>0</v>
      </c>
      <c r="WZ169">
        <v>0</v>
      </c>
      <c r="XA169">
        <v>0</v>
      </c>
      <c r="XB169">
        <v>0</v>
      </c>
      <c r="XC169">
        <v>0</v>
      </c>
      <c r="XD169">
        <v>0</v>
      </c>
      <c r="XE169">
        <v>0</v>
      </c>
      <c r="XF169">
        <v>0</v>
      </c>
      <c r="XG169">
        <v>0</v>
      </c>
      <c r="XH169">
        <v>0</v>
      </c>
      <c r="XI169">
        <v>0</v>
      </c>
      <c r="XJ169">
        <v>0</v>
      </c>
      <c r="XK169">
        <v>0</v>
      </c>
      <c r="XL169">
        <v>0</v>
      </c>
      <c r="XM169">
        <v>0</v>
      </c>
      <c r="XN169">
        <v>0</v>
      </c>
      <c r="XO169">
        <v>0</v>
      </c>
      <c r="XP169">
        <v>0</v>
      </c>
      <c r="XQ169">
        <v>0</v>
      </c>
      <c r="XR169">
        <v>0</v>
      </c>
      <c r="XS169">
        <v>0</v>
      </c>
      <c r="XT169">
        <v>0</v>
      </c>
      <c r="XU169">
        <v>0</v>
      </c>
      <c r="XV169">
        <v>0</v>
      </c>
      <c r="XW169">
        <v>0</v>
      </c>
      <c r="XX169">
        <v>0</v>
      </c>
      <c r="XY169">
        <v>0</v>
      </c>
      <c r="XZ169">
        <v>0</v>
      </c>
      <c r="YA169">
        <v>0</v>
      </c>
      <c r="YB169">
        <v>0</v>
      </c>
      <c r="YC169">
        <v>0</v>
      </c>
      <c r="YD169">
        <v>0</v>
      </c>
      <c r="YE169">
        <v>0</v>
      </c>
      <c r="YF169">
        <v>0</v>
      </c>
      <c r="YG169">
        <v>0</v>
      </c>
      <c r="YH169">
        <v>0</v>
      </c>
      <c r="YI169">
        <v>0</v>
      </c>
      <c r="YJ169">
        <v>0</v>
      </c>
      <c r="YK169">
        <v>0</v>
      </c>
      <c r="YL169">
        <v>0</v>
      </c>
      <c r="YM169">
        <v>0</v>
      </c>
      <c r="YN169">
        <v>0</v>
      </c>
      <c r="YO169">
        <v>0</v>
      </c>
      <c r="YP169">
        <v>0</v>
      </c>
      <c r="YQ169">
        <v>0</v>
      </c>
      <c r="YR169">
        <v>0</v>
      </c>
      <c r="YS169">
        <v>0</v>
      </c>
      <c r="YT169">
        <v>0</v>
      </c>
      <c r="YU169">
        <v>0</v>
      </c>
      <c r="YV169">
        <v>0</v>
      </c>
      <c r="YW169">
        <v>0</v>
      </c>
      <c r="YX169">
        <v>0</v>
      </c>
      <c r="YY169">
        <v>0</v>
      </c>
      <c r="YZ169">
        <v>0</v>
      </c>
      <c r="ZA169">
        <v>0</v>
      </c>
      <c r="ZB169">
        <v>0</v>
      </c>
      <c r="ZC169">
        <v>0</v>
      </c>
      <c r="ZD169">
        <v>0</v>
      </c>
      <c r="ZE169">
        <v>0</v>
      </c>
      <c r="ZF169">
        <v>0</v>
      </c>
      <c r="ZG169">
        <v>0</v>
      </c>
      <c r="ZH169">
        <v>0</v>
      </c>
      <c r="ZI169">
        <v>0</v>
      </c>
      <c r="ZJ169">
        <v>0</v>
      </c>
      <c r="ZK169">
        <v>0</v>
      </c>
      <c r="ZL169">
        <v>0</v>
      </c>
      <c r="ZM169">
        <v>0</v>
      </c>
      <c r="ZN169">
        <v>0</v>
      </c>
      <c r="ZO169">
        <v>0</v>
      </c>
      <c r="ZP169">
        <v>0</v>
      </c>
      <c r="ZQ169">
        <v>0</v>
      </c>
      <c r="ZR169">
        <v>0</v>
      </c>
      <c r="ZS169">
        <v>0</v>
      </c>
      <c r="ZT169">
        <v>0</v>
      </c>
      <c r="ZU169">
        <v>0</v>
      </c>
      <c r="ZV169">
        <v>0</v>
      </c>
      <c r="ZW169">
        <v>0</v>
      </c>
      <c r="ZX169">
        <v>0</v>
      </c>
      <c r="ZY169">
        <v>0</v>
      </c>
      <c r="ZZ169">
        <v>0</v>
      </c>
      <c r="AAA169">
        <v>0</v>
      </c>
      <c r="AAB169">
        <v>0</v>
      </c>
      <c r="AAC169">
        <v>0</v>
      </c>
      <c r="AAD169">
        <v>0</v>
      </c>
      <c r="AAE169">
        <v>0</v>
      </c>
      <c r="AAF169">
        <v>0</v>
      </c>
      <c r="AAG169">
        <v>0</v>
      </c>
      <c r="AAH169">
        <v>0</v>
      </c>
      <c r="AAI169">
        <v>0</v>
      </c>
      <c r="AAJ169">
        <v>0</v>
      </c>
      <c r="AAK169">
        <v>0</v>
      </c>
      <c r="AAL169">
        <v>0</v>
      </c>
      <c r="AAM169">
        <v>0</v>
      </c>
      <c r="AAN169">
        <v>0</v>
      </c>
      <c r="AAO169">
        <v>0</v>
      </c>
      <c r="AAP169">
        <v>0</v>
      </c>
      <c r="AAQ169">
        <v>0</v>
      </c>
      <c r="AAR169">
        <v>0</v>
      </c>
      <c r="AAS169">
        <v>0</v>
      </c>
      <c r="AAT169">
        <v>0</v>
      </c>
      <c r="AAU169">
        <v>0</v>
      </c>
      <c r="AAV169">
        <v>0</v>
      </c>
      <c r="AAW169">
        <v>0</v>
      </c>
      <c r="AAX169">
        <v>0</v>
      </c>
      <c r="AAY169">
        <v>0</v>
      </c>
      <c r="AAZ169">
        <v>0</v>
      </c>
      <c r="ABA169">
        <v>0</v>
      </c>
      <c r="ABB169">
        <v>0</v>
      </c>
      <c r="ABC169">
        <v>0</v>
      </c>
      <c r="ABD169">
        <v>0</v>
      </c>
      <c r="ABE169">
        <v>0</v>
      </c>
      <c r="ABG169" s="1137">
        <f t="shared" si="45"/>
        <v>0</v>
      </c>
      <c r="ABH169" s="1137">
        <f t="shared" si="45"/>
        <v>0</v>
      </c>
      <c r="ABI169" s="1137">
        <f t="shared" si="45"/>
        <v>0</v>
      </c>
      <c r="ABJ169" s="1137">
        <f t="shared" si="45"/>
        <v>0</v>
      </c>
      <c r="ABK169" s="1137">
        <f t="shared" si="45"/>
        <v>0</v>
      </c>
      <c r="ABL169" s="1137">
        <f t="shared" si="45"/>
        <v>28</v>
      </c>
      <c r="ABM169" s="1137">
        <f t="shared" si="45"/>
        <v>31</v>
      </c>
      <c r="ABN169" s="1137">
        <f t="shared" si="45"/>
        <v>31</v>
      </c>
      <c r="ABO169" s="1137">
        <f t="shared" si="45"/>
        <v>7</v>
      </c>
      <c r="ABP169" s="1137">
        <f t="shared" si="45"/>
        <v>0</v>
      </c>
      <c r="ABQ169" s="1137">
        <f t="shared" si="45"/>
        <v>0</v>
      </c>
      <c r="ABR169" s="1137">
        <f t="shared" si="45"/>
        <v>0</v>
      </c>
      <c r="ABS169" s="1137">
        <f t="shared" si="45"/>
        <v>0</v>
      </c>
      <c r="ABT169" s="1137">
        <f t="shared" si="45"/>
        <v>0</v>
      </c>
      <c r="ABU169" s="1137">
        <f t="shared" si="45"/>
        <v>0</v>
      </c>
      <c r="ABV169" s="1137">
        <f t="shared" si="45"/>
        <v>0</v>
      </c>
      <c r="ABW169" s="1137">
        <f t="shared" si="31"/>
        <v>0</v>
      </c>
      <c r="ABX169" s="1137">
        <f t="shared" si="31"/>
        <v>0</v>
      </c>
      <c r="ABY169" s="1137">
        <f t="shared" si="31"/>
        <v>0</v>
      </c>
      <c r="ABZ169" s="1137">
        <f t="shared" si="31"/>
        <v>0</v>
      </c>
      <c r="ACA169" s="1137">
        <f t="shared" si="31"/>
        <v>0</v>
      </c>
      <c r="ACB169" s="1137">
        <f t="shared" si="31"/>
        <v>0</v>
      </c>
      <c r="ACC169" s="1137">
        <f t="shared" si="31"/>
        <v>0</v>
      </c>
      <c r="ACD169" s="1137">
        <f t="shared" si="31"/>
        <v>0</v>
      </c>
      <c r="ACE169" s="1137" t="s">
        <v>69</v>
      </c>
      <c r="ACF169" s="1137">
        <f t="shared" si="39"/>
        <v>0</v>
      </c>
      <c r="ACG169" s="1137">
        <f t="shared" si="39"/>
        <v>0</v>
      </c>
      <c r="ACH169" s="1137">
        <f t="shared" si="39"/>
        <v>0</v>
      </c>
      <c r="ACI169" s="1137">
        <f t="shared" si="39"/>
        <v>0</v>
      </c>
      <c r="ACJ169" s="1137">
        <f t="shared" si="39"/>
        <v>0</v>
      </c>
      <c r="ACK169" s="1137">
        <f t="shared" si="39"/>
        <v>1</v>
      </c>
      <c r="ACL169" s="1137">
        <f t="shared" si="39"/>
        <v>1</v>
      </c>
      <c r="ACM169" s="1137">
        <f t="shared" si="39"/>
        <v>1</v>
      </c>
      <c r="ACN169" s="1137">
        <f t="shared" si="39"/>
        <v>0</v>
      </c>
      <c r="ACO169" s="1137">
        <f t="shared" si="39"/>
        <v>0</v>
      </c>
      <c r="ACP169" s="1137">
        <f t="shared" si="39"/>
        <v>0</v>
      </c>
      <c r="ACQ169" s="1137">
        <f t="shared" si="43"/>
        <v>0</v>
      </c>
      <c r="ACR169" s="1137">
        <f t="shared" si="43"/>
        <v>0</v>
      </c>
      <c r="ACS169" s="1137">
        <f t="shared" si="43"/>
        <v>0</v>
      </c>
      <c r="ACT169" s="1137">
        <f t="shared" si="43"/>
        <v>0</v>
      </c>
      <c r="ACU169" s="1137">
        <f t="shared" si="43"/>
        <v>0</v>
      </c>
      <c r="ACV169" s="1137">
        <f t="shared" si="43"/>
        <v>0</v>
      </c>
      <c r="ACW169" s="1137">
        <f t="shared" si="43"/>
        <v>0</v>
      </c>
      <c r="ACX169" s="1137">
        <f t="shared" si="42"/>
        <v>0</v>
      </c>
      <c r="ACY169" s="1137">
        <f t="shared" si="42"/>
        <v>0</v>
      </c>
      <c r="ACZ169" s="1137">
        <f t="shared" si="42"/>
        <v>0</v>
      </c>
      <c r="ADA169" s="1137">
        <f t="shared" si="35"/>
        <v>0</v>
      </c>
      <c r="ADB169" s="1137">
        <f t="shared" si="35"/>
        <v>0</v>
      </c>
      <c r="ADC169" s="1137">
        <f t="shared" si="35"/>
        <v>0</v>
      </c>
    </row>
    <row r="170" spans="1:783" x14ac:dyDescent="0.25">
      <c r="A170" t="s">
        <v>1969</v>
      </c>
      <c r="B170" t="s">
        <v>269</v>
      </c>
      <c r="C170">
        <v>0</v>
      </c>
      <c r="D170">
        <v>0</v>
      </c>
      <c r="E170">
        <v>0</v>
      </c>
      <c r="F170">
        <v>0</v>
      </c>
      <c r="G170">
        <v>0</v>
      </c>
      <c r="H170">
        <v>0</v>
      </c>
      <c r="I170">
        <v>0</v>
      </c>
      <c r="J170">
        <v>0</v>
      </c>
      <c r="K170">
        <v>0</v>
      </c>
      <c r="L170">
        <v>0</v>
      </c>
      <c r="M170">
        <v>0</v>
      </c>
      <c r="N170">
        <v>0</v>
      </c>
      <c r="O170">
        <v>0</v>
      </c>
      <c r="P170">
        <v>0</v>
      </c>
      <c r="Q170">
        <v>0</v>
      </c>
      <c r="R170">
        <v>0</v>
      </c>
      <c r="S170">
        <v>0</v>
      </c>
      <c r="T170">
        <v>0</v>
      </c>
      <c r="U170">
        <v>0</v>
      </c>
      <c r="V170">
        <v>0</v>
      </c>
      <c r="W170">
        <v>0</v>
      </c>
      <c r="X170">
        <v>0</v>
      </c>
      <c r="Y170">
        <v>0</v>
      </c>
      <c r="Z170">
        <v>0</v>
      </c>
      <c r="AA170">
        <v>0</v>
      </c>
      <c r="AB170">
        <v>0</v>
      </c>
      <c r="AC170">
        <v>0</v>
      </c>
      <c r="AD170">
        <v>0</v>
      </c>
      <c r="AE170">
        <v>0</v>
      </c>
      <c r="AF170">
        <v>0</v>
      </c>
      <c r="AG170">
        <v>0</v>
      </c>
      <c r="AH170">
        <v>0</v>
      </c>
      <c r="AI170">
        <v>0</v>
      </c>
      <c r="AJ170">
        <v>0</v>
      </c>
      <c r="AK170">
        <v>0</v>
      </c>
      <c r="AL170">
        <v>0</v>
      </c>
      <c r="AM170">
        <v>0</v>
      </c>
      <c r="AN170">
        <v>0</v>
      </c>
      <c r="AO170">
        <v>0</v>
      </c>
      <c r="AP170">
        <v>0</v>
      </c>
      <c r="AQ170">
        <v>0</v>
      </c>
      <c r="AR170">
        <v>0</v>
      </c>
      <c r="AS170">
        <v>0</v>
      </c>
      <c r="AT170">
        <v>0</v>
      </c>
      <c r="AU170">
        <v>0</v>
      </c>
      <c r="AV170">
        <v>0</v>
      </c>
      <c r="AW170">
        <v>0</v>
      </c>
      <c r="AX170">
        <v>0</v>
      </c>
      <c r="AY170">
        <v>0</v>
      </c>
      <c r="AZ170">
        <v>0</v>
      </c>
      <c r="BA170">
        <v>0</v>
      </c>
      <c r="BB170">
        <v>0</v>
      </c>
      <c r="BC170">
        <v>0</v>
      </c>
      <c r="BD170">
        <v>0</v>
      </c>
      <c r="BE170">
        <v>0</v>
      </c>
      <c r="BF170">
        <v>0</v>
      </c>
      <c r="BG170">
        <v>0</v>
      </c>
      <c r="BH170">
        <v>0</v>
      </c>
      <c r="BI170">
        <v>0</v>
      </c>
      <c r="BJ170">
        <v>0</v>
      </c>
      <c r="BK170">
        <v>0</v>
      </c>
      <c r="BL170">
        <v>0</v>
      </c>
      <c r="BM170">
        <v>0</v>
      </c>
      <c r="BN170">
        <v>0</v>
      </c>
      <c r="BO170">
        <v>0</v>
      </c>
      <c r="BP170">
        <v>0</v>
      </c>
      <c r="BQ170">
        <v>0</v>
      </c>
      <c r="BR170">
        <v>0</v>
      </c>
      <c r="BS170">
        <v>0</v>
      </c>
      <c r="BT170">
        <v>0</v>
      </c>
      <c r="BU170">
        <v>0</v>
      </c>
      <c r="BV170">
        <v>0</v>
      </c>
      <c r="BW170">
        <v>0</v>
      </c>
      <c r="BX170">
        <v>0</v>
      </c>
      <c r="BY170">
        <v>0</v>
      </c>
      <c r="BZ170">
        <v>0</v>
      </c>
      <c r="CA170">
        <v>0</v>
      </c>
      <c r="CB170">
        <v>0</v>
      </c>
      <c r="CC170">
        <v>2</v>
      </c>
      <c r="CD170">
        <v>2</v>
      </c>
      <c r="CE170">
        <v>2</v>
      </c>
      <c r="CF170">
        <v>2</v>
      </c>
      <c r="CG170">
        <v>2</v>
      </c>
      <c r="CH170">
        <v>2</v>
      </c>
      <c r="CI170">
        <v>2</v>
      </c>
      <c r="CJ170">
        <v>2</v>
      </c>
      <c r="CK170">
        <v>2</v>
      </c>
      <c r="CL170">
        <v>2</v>
      </c>
      <c r="CM170">
        <v>2</v>
      </c>
      <c r="CN170">
        <v>2</v>
      </c>
      <c r="CO170">
        <v>2</v>
      </c>
      <c r="CP170">
        <v>2</v>
      </c>
      <c r="CQ170">
        <v>2</v>
      </c>
      <c r="CR170">
        <v>2</v>
      </c>
      <c r="CS170">
        <v>2</v>
      </c>
      <c r="CT170">
        <v>2</v>
      </c>
      <c r="CU170">
        <v>2</v>
      </c>
      <c r="CV170">
        <v>2</v>
      </c>
      <c r="CW170">
        <v>2</v>
      </c>
      <c r="CX170">
        <v>2</v>
      </c>
      <c r="CY170">
        <v>2</v>
      </c>
      <c r="CZ170">
        <v>2</v>
      </c>
      <c r="DA170">
        <v>2</v>
      </c>
      <c r="DB170">
        <v>2</v>
      </c>
      <c r="DC170">
        <v>2</v>
      </c>
      <c r="DD170">
        <v>2</v>
      </c>
      <c r="DE170">
        <v>2</v>
      </c>
      <c r="DF170">
        <v>2</v>
      </c>
      <c r="DG170">
        <v>2</v>
      </c>
      <c r="DH170">
        <v>2</v>
      </c>
      <c r="DI170">
        <v>2</v>
      </c>
      <c r="DJ170">
        <v>2</v>
      </c>
      <c r="DK170">
        <v>2</v>
      </c>
      <c r="DL170">
        <v>2</v>
      </c>
      <c r="DM170">
        <v>2</v>
      </c>
      <c r="DN170">
        <v>2</v>
      </c>
      <c r="DO170">
        <v>2</v>
      </c>
      <c r="DP170">
        <v>2</v>
      </c>
      <c r="DQ170">
        <v>2</v>
      </c>
      <c r="DR170">
        <v>2</v>
      </c>
      <c r="DS170">
        <v>2</v>
      </c>
      <c r="DT170">
        <v>2</v>
      </c>
      <c r="DU170">
        <v>2</v>
      </c>
      <c r="DV170">
        <v>2</v>
      </c>
      <c r="DW170">
        <v>2</v>
      </c>
      <c r="DX170">
        <v>2</v>
      </c>
      <c r="DY170">
        <v>2</v>
      </c>
      <c r="DZ170">
        <v>2</v>
      </c>
      <c r="EA170">
        <v>2</v>
      </c>
      <c r="EB170">
        <v>2</v>
      </c>
      <c r="EC170">
        <v>2</v>
      </c>
      <c r="ED170">
        <v>2</v>
      </c>
      <c r="EE170">
        <v>2</v>
      </c>
      <c r="EF170">
        <v>2</v>
      </c>
      <c r="EG170">
        <v>2</v>
      </c>
      <c r="EH170">
        <v>2</v>
      </c>
      <c r="EI170">
        <v>2</v>
      </c>
      <c r="EJ170">
        <v>2</v>
      </c>
      <c r="EK170">
        <v>2</v>
      </c>
      <c r="EL170">
        <v>2</v>
      </c>
      <c r="EM170">
        <v>2</v>
      </c>
      <c r="EN170">
        <v>2</v>
      </c>
      <c r="EO170">
        <v>2</v>
      </c>
      <c r="EP170">
        <v>2</v>
      </c>
      <c r="EQ170">
        <v>2</v>
      </c>
      <c r="ER170">
        <v>2</v>
      </c>
      <c r="ES170">
        <v>2</v>
      </c>
      <c r="ET170">
        <v>2</v>
      </c>
      <c r="EU170">
        <v>2</v>
      </c>
      <c r="EV170">
        <v>2</v>
      </c>
      <c r="EW170">
        <v>2</v>
      </c>
      <c r="EX170">
        <v>2</v>
      </c>
      <c r="EY170">
        <v>2</v>
      </c>
      <c r="EZ170">
        <v>2</v>
      </c>
      <c r="FA170">
        <v>2</v>
      </c>
      <c r="FB170">
        <v>2</v>
      </c>
      <c r="FC170">
        <v>2</v>
      </c>
      <c r="FD170">
        <v>2</v>
      </c>
      <c r="FE170">
        <v>2</v>
      </c>
      <c r="FF170">
        <v>2</v>
      </c>
      <c r="FG170">
        <v>2</v>
      </c>
      <c r="FH170">
        <v>2</v>
      </c>
      <c r="FI170">
        <v>2</v>
      </c>
      <c r="FJ170">
        <v>2</v>
      </c>
      <c r="FK170">
        <v>2</v>
      </c>
      <c r="FL170">
        <v>2</v>
      </c>
      <c r="FM170">
        <v>2</v>
      </c>
      <c r="FN170">
        <v>2</v>
      </c>
      <c r="FO170">
        <v>2</v>
      </c>
      <c r="FP170">
        <v>2</v>
      </c>
      <c r="FQ170">
        <v>2</v>
      </c>
      <c r="FR170">
        <v>2</v>
      </c>
      <c r="FS170">
        <v>2</v>
      </c>
      <c r="FT170">
        <v>2</v>
      </c>
      <c r="FU170">
        <v>2</v>
      </c>
      <c r="FV170">
        <v>2</v>
      </c>
      <c r="FW170">
        <v>2</v>
      </c>
      <c r="FX170">
        <v>2</v>
      </c>
      <c r="FY170">
        <v>2</v>
      </c>
      <c r="FZ170">
        <v>2</v>
      </c>
      <c r="GA170">
        <v>2</v>
      </c>
      <c r="GB170">
        <v>2</v>
      </c>
      <c r="GC170">
        <v>2</v>
      </c>
      <c r="GD170">
        <v>2</v>
      </c>
      <c r="GE170">
        <v>2</v>
      </c>
      <c r="GF170">
        <v>2</v>
      </c>
      <c r="GG170">
        <v>2</v>
      </c>
      <c r="GH170">
        <v>2</v>
      </c>
      <c r="GI170">
        <v>2</v>
      </c>
      <c r="GJ170">
        <v>2</v>
      </c>
      <c r="GK170">
        <v>2</v>
      </c>
      <c r="GL170">
        <v>2</v>
      </c>
      <c r="GM170">
        <v>2</v>
      </c>
      <c r="GN170">
        <v>2</v>
      </c>
      <c r="GO170">
        <v>2</v>
      </c>
      <c r="GP170">
        <v>2</v>
      </c>
      <c r="GQ170">
        <v>2</v>
      </c>
      <c r="GR170">
        <v>2</v>
      </c>
      <c r="GS170">
        <v>2</v>
      </c>
      <c r="GT170">
        <v>2</v>
      </c>
      <c r="GU170">
        <v>2</v>
      </c>
      <c r="GV170">
        <v>2</v>
      </c>
      <c r="GW170">
        <v>2</v>
      </c>
      <c r="GX170">
        <v>2</v>
      </c>
      <c r="GY170">
        <v>2</v>
      </c>
      <c r="GZ170">
        <v>2</v>
      </c>
      <c r="HA170">
        <v>2</v>
      </c>
      <c r="HB170">
        <v>2</v>
      </c>
      <c r="HC170">
        <v>2</v>
      </c>
      <c r="HD170">
        <v>2</v>
      </c>
      <c r="HE170">
        <v>2</v>
      </c>
      <c r="HF170">
        <v>2</v>
      </c>
      <c r="HG170">
        <v>2</v>
      </c>
      <c r="HH170">
        <v>2</v>
      </c>
      <c r="HI170">
        <v>2</v>
      </c>
      <c r="HJ170">
        <v>2</v>
      </c>
      <c r="HK170">
        <v>2</v>
      </c>
      <c r="HL170">
        <v>2</v>
      </c>
      <c r="HM170">
        <v>2</v>
      </c>
      <c r="HN170">
        <v>2</v>
      </c>
      <c r="HO170">
        <v>2</v>
      </c>
      <c r="HP170">
        <v>2</v>
      </c>
      <c r="HQ170">
        <v>2</v>
      </c>
      <c r="HR170">
        <v>2</v>
      </c>
      <c r="HS170">
        <v>2</v>
      </c>
      <c r="HT170">
        <v>2</v>
      </c>
      <c r="HU170">
        <v>2</v>
      </c>
      <c r="HV170">
        <v>2</v>
      </c>
      <c r="HW170">
        <v>2</v>
      </c>
      <c r="HX170">
        <v>2</v>
      </c>
      <c r="HY170">
        <v>2</v>
      </c>
      <c r="HZ170">
        <v>2</v>
      </c>
      <c r="IA170">
        <v>2</v>
      </c>
      <c r="IB170">
        <v>2</v>
      </c>
      <c r="IC170">
        <v>2</v>
      </c>
      <c r="ID170">
        <v>2</v>
      </c>
      <c r="IE170">
        <v>2</v>
      </c>
      <c r="IF170">
        <v>2</v>
      </c>
      <c r="IG170">
        <v>2</v>
      </c>
      <c r="IH170">
        <v>2</v>
      </c>
      <c r="II170">
        <v>2</v>
      </c>
      <c r="IJ170">
        <v>2</v>
      </c>
      <c r="IK170">
        <v>2</v>
      </c>
      <c r="IL170">
        <v>2</v>
      </c>
      <c r="IM170">
        <v>2</v>
      </c>
      <c r="IN170">
        <v>2</v>
      </c>
      <c r="IO170">
        <v>2</v>
      </c>
      <c r="IP170">
        <v>2</v>
      </c>
      <c r="IQ170">
        <v>2</v>
      </c>
      <c r="IR170">
        <v>2</v>
      </c>
      <c r="IS170">
        <v>2</v>
      </c>
      <c r="IT170">
        <v>2</v>
      </c>
      <c r="IU170">
        <v>2</v>
      </c>
      <c r="IV170">
        <v>2</v>
      </c>
      <c r="IW170">
        <v>2</v>
      </c>
      <c r="IX170">
        <v>2</v>
      </c>
      <c r="IY170">
        <v>2</v>
      </c>
      <c r="IZ170">
        <v>2</v>
      </c>
      <c r="JA170">
        <v>2</v>
      </c>
      <c r="JB170">
        <v>2</v>
      </c>
      <c r="JC170">
        <v>2</v>
      </c>
      <c r="JD170">
        <v>2</v>
      </c>
      <c r="JE170">
        <v>2</v>
      </c>
      <c r="JF170">
        <v>2</v>
      </c>
      <c r="JG170">
        <v>2</v>
      </c>
      <c r="JH170">
        <v>2</v>
      </c>
      <c r="JI170">
        <v>2</v>
      </c>
      <c r="JJ170">
        <v>2</v>
      </c>
      <c r="JK170">
        <v>2</v>
      </c>
      <c r="JL170">
        <v>2</v>
      </c>
      <c r="JM170">
        <v>2</v>
      </c>
      <c r="JN170">
        <v>2</v>
      </c>
      <c r="JO170">
        <v>2</v>
      </c>
      <c r="JP170">
        <v>2</v>
      </c>
      <c r="JQ170">
        <v>2</v>
      </c>
      <c r="JR170">
        <v>2</v>
      </c>
      <c r="JS170">
        <v>2</v>
      </c>
      <c r="JT170">
        <v>2</v>
      </c>
      <c r="JU170">
        <v>2</v>
      </c>
      <c r="JV170">
        <v>2</v>
      </c>
      <c r="JW170">
        <v>2</v>
      </c>
      <c r="JX170">
        <v>2</v>
      </c>
      <c r="JY170">
        <v>2</v>
      </c>
      <c r="JZ170">
        <v>2</v>
      </c>
      <c r="KA170">
        <v>2</v>
      </c>
      <c r="KB170">
        <v>2</v>
      </c>
      <c r="KC170">
        <v>2</v>
      </c>
      <c r="KD170">
        <v>2</v>
      </c>
      <c r="KE170">
        <v>2</v>
      </c>
      <c r="KF170">
        <v>2</v>
      </c>
      <c r="KG170">
        <v>2</v>
      </c>
      <c r="KH170">
        <v>2</v>
      </c>
      <c r="KI170">
        <v>2</v>
      </c>
      <c r="KJ170">
        <v>2</v>
      </c>
      <c r="KK170">
        <v>2</v>
      </c>
      <c r="KL170">
        <v>2</v>
      </c>
      <c r="KM170">
        <v>2</v>
      </c>
      <c r="KN170">
        <v>2</v>
      </c>
      <c r="KO170">
        <v>2</v>
      </c>
      <c r="KP170">
        <v>2</v>
      </c>
      <c r="KQ170">
        <v>2</v>
      </c>
      <c r="KR170">
        <v>2</v>
      </c>
      <c r="KS170">
        <v>2</v>
      </c>
      <c r="KT170">
        <v>2</v>
      </c>
      <c r="KU170">
        <v>2</v>
      </c>
      <c r="KV170">
        <v>2</v>
      </c>
      <c r="KW170">
        <v>2</v>
      </c>
      <c r="KX170">
        <v>2</v>
      </c>
      <c r="KY170">
        <v>2</v>
      </c>
      <c r="KZ170">
        <v>2</v>
      </c>
      <c r="LA170">
        <v>2</v>
      </c>
      <c r="LB170">
        <v>2</v>
      </c>
      <c r="LC170">
        <v>2</v>
      </c>
      <c r="LD170">
        <v>2</v>
      </c>
      <c r="LE170">
        <v>2</v>
      </c>
      <c r="LF170">
        <v>2</v>
      </c>
      <c r="LG170">
        <v>2</v>
      </c>
      <c r="LH170">
        <v>2</v>
      </c>
      <c r="LI170">
        <v>2</v>
      </c>
      <c r="LJ170">
        <v>2</v>
      </c>
      <c r="LK170">
        <v>2</v>
      </c>
      <c r="LL170">
        <v>2</v>
      </c>
      <c r="LM170">
        <v>2</v>
      </c>
      <c r="LN170">
        <v>2</v>
      </c>
      <c r="LO170">
        <v>2</v>
      </c>
      <c r="LP170">
        <v>2</v>
      </c>
      <c r="LQ170">
        <v>2</v>
      </c>
      <c r="LR170">
        <v>2</v>
      </c>
      <c r="LS170">
        <v>2</v>
      </c>
      <c r="LT170">
        <v>2</v>
      </c>
      <c r="LU170">
        <v>2</v>
      </c>
      <c r="LV170">
        <v>2</v>
      </c>
      <c r="LW170">
        <v>2</v>
      </c>
      <c r="LX170">
        <v>2</v>
      </c>
      <c r="LY170">
        <v>2</v>
      </c>
      <c r="LZ170">
        <v>2</v>
      </c>
      <c r="MA170">
        <v>2</v>
      </c>
      <c r="MB170">
        <v>2</v>
      </c>
      <c r="MC170">
        <v>2</v>
      </c>
      <c r="MD170">
        <v>2</v>
      </c>
      <c r="ME170">
        <v>2</v>
      </c>
      <c r="MF170">
        <v>2</v>
      </c>
      <c r="MG170">
        <v>2</v>
      </c>
      <c r="MH170">
        <v>2</v>
      </c>
      <c r="MI170">
        <v>2</v>
      </c>
      <c r="MJ170">
        <v>2</v>
      </c>
      <c r="MK170">
        <v>2</v>
      </c>
      <c r="ML170">
        <v>2</v>
      </c>
      <c r="MM170">
        <v>2</v>
      </c>
      <c r="MN170">
        <v>2</v>
      </c>
      <c r="MO170">
        <v>2</v>
      </c>
      <c r="MP170">
        <v>2</v>
      </c>
      <c r="MQ170">
        <v>2</v>
      </c>
      <c r="MR170">
        <v>2</v>
      </c>
      <c r="MS170">
        <v>2</v>
      </c>
      <c r="MT170">
        <v>2</v>
      </c>
      <c r="MU170">
        <v>2</v>
      </c>
      <c r="MV170">
        <v>2</v>
      </c>
      <c r="MW170">
        <v>2</v>
      </c>
      <c r="MX170">
        <v>2</v>
      </c>
      <c r="MY170">
        <v>2</v>
      </c>
      <c r="MZ170">
        <v>2</v>
      </c>
      <c r="NA170">
        <v>2</v>
      </c>
      <c r="NB170">
        <v>2</v>
      </c>
      <c r="NC170">
        <v>2</v>
      </c>
      <c r="ND170">
        <v>2</v>
      </c>
      <c r="NE170">
        <v>2</v>
      </c>
      <c r="NF170">
        <v>2</v>
      </c>
      <c r="NG170">
        <v>2</v>
      </c>
      <c r="NH170">
        <v>2</v>
      </c>
      <c r="NI170">
        <v>2</v>
      </c>
      <c r="NJ170">
        <v>2</v>
      </c>
      <c r="NK170">
        <v>2</v>
      </c>
      <c r="NL170">
        <v>2</v>
      </c>
      <c r="NM170">
        <v>2</v>
      </c>
      <c r="NN170">
        <v>2</v>
      </c>
      <c r="NO170">
        <v>2</v>
      </c>
      <c r="NP170">
        <v>2</v>
      </c>
      <c r="NQ170">
        <v>2</v>
      </c>
      <c r="NR170">
        <v>2</v>
      </c>
      <c r="NS170">
        <v>2</v>
      </c>
      <c r="NT170">
        <v>2</v>
      </c>
      <c r="NU170">
        <v>2</v>
      </c>
      <c r="NV170">
        <v>2</v>
      </c>
      <c r="NW170">
        <v>2</v>
      </c>
      <c r="NX170">
        <v>2</v>
      </c>
      <c r="NY170">
        <v>2</v>
      </c>
      <c r="NZ170">
        <v>2</v>
      </c>
      <c r="OA170">
        <v>2</v>
      </c>
      <c r="OB170">
        <v>2</v>
      </c>
      <c r="OC170">
        <v>2</v>
      </c>
      <c r="OD170">
        <v>2</v>
      </c>
      <c r="OE170">
        <v>2</v>
      </c>
      <c r="OF170">
        <v>2</v>
      </c>
      <c r="OG170">
        <v>2</v>
      </c>
      <c r="OH170">
        <v>2</v>
      </c>
      <c r="OI170">
        <v>2</v>
      </c>
      <c r="OJ170">
        <v>2</v>
      </c>
      <c r="OK170">
        <v>2</v>
      </c>
      <c r="OL170">
        <v>2</v>
      </c>
      <c r="OM170">
        <v>2</v>
      </c>
      <c r="ON170">
        <v>2</v>
      </c>
      <c r="OO170">
        <v>2</v>
      </c>
      <c r="OP170">
        <v>2</v>
      </c>
      <c r="OQ170">
        <v>2</v>
      </c>
      <c r="OR170">
        <v>2</v>
      </c>
      <c r="OS170">
        <v>2</v>
      </c>
      <c r="OT170">
        <v>2</v>
      </c>
      <c r="OU170">
        <v>2</v>
      </c>
      <c r="OV170">
        <v>2</v>
      </c>
      <c r="OW170">
        <v>2</v>
      </c>
      <c r="OX170">
        <v>2</v>
      </c>
      <c r="OY170">
        <v>2</v>
      </c>
      <c r="OZ170">
        <v>2</v>
      </c>
      <c r="PA170">
        <v>2</v>
      </c>
      <c r="PB170">
        <v>2</v>
      </c>
      <c r="PC170">
        <v>2</v>
      </c>
      <c r="PD170">
        <v>2</v>
      </c>
      <c r="PE170">
        <v>2</v>
      </c>
      <c r="PF170">
        <v>2</v>
      </c>
      <c r="PG170">
        <v>2</v>
      </c>
      <c r="PH170">
        <v>2</v>
      </c>
      <c r="PI170">
        <v>2</v>
      </c>
      <c r="PJ170">
        <v>2</v>
      </c>
      <c r="PK170">
        <v>2</v>
      </c>
      <c r="PL170">
        <v>1</v>
      </c>
      <c r="PM170">
        <v>1</v>
      </c>
      <c r="PN170">
        <v>1</v>
      </c>
      <c r="PO170">
        <v>1</v>
      </c>
      <c r="PP170">
        <v>1</v>
      </c>
      <c r="PQ170">
        <v>1</v>
      </c>
      <c r="PR170">
        <v>1</v>
      </c>
      <c r="PS170">
        <v>1</v>
      </c>
      <c r="PT170">
        <v>2</v>
      </c>
      <c r="PU170">
        <v>2</v>
      </c>
      <c r="PV170">
        <v>2</v>
      </c>
      <c r="PW170">
        <v>2</v>
      </c>
      <c r="PX170">
        <v>2</v>
      </c>
      <c r="PY170">
        <v>2</v>
      </c>
      <c r="PZ170">
        <v>2</v>
      </c>
      <c r="QA170">
        <v>2</v>
      </c>
      <c r="QB170">
        <v>2</v>
      </c>
      <c r="QC170">
        <v>2</v>
      </c>
      <c r="QD170">
        <v>2</v>
      </c>
      <c r="QE170">
        <v>2</v>
      </c>
      <c r="QF170">
        <v>2</v>
      </c>
      <c r="QG170">
        <v>2</v>
      </c>
      <c r="QH170">
        <v>2</v>
      </c>
      <c r="QI170">
        <v>2</v>
      </c>
      <c r="QJ170">
        <v>2</v>
      </c>
      <c r="QK170">
        <v>2</v>
      </c>
      <c r="QL170">
        <v>2</v>
      </c>
      <c r="QM170">
        <v>2</v>
      </c>
      <c r="QN170">
        <v>2</v>
      </c>
      <c r="QO170">
        <v>2</v>
      </c>
      <c r="QP170">
        <v>2</v>
      </c>
      <c r="QQ170">
        <v>2</v>
      </c>
      <c r="QR170">
        <v>2</v>
      </c>
      <c r="QS170">
        <v>2</v>
      </c>
      <c r="QT170">
        <v>2</v>
      </c>
      <c r="QU170">
        <v>2</v>
      </c>
      <c r="QV170">
        <v>2</v>
      </c>
      <c r="QW170">
        <v>2</v>
      </c>
      <c r="QX170">
        <v>2</v>
      </c>
      <c r="QY170">
        <v>2</v>
      </c>
      <c r="QZ170">
        <v>2</v>
      </c>
      <c r="RA170">
        <v>2</v>
      </c>
      <c r="RB170">
        <v>2</v>
      </c>
      <c r="RC170">
        <v>2</v>
      </c>
      <c r="RD170">
        <v>2</v>
      </c>
      <c r="RE170">
        <v>2</v>
      </c>
      <c r="RF170">
        <v>2</v>
      </c>
      <c r="RG170">
        <v>2</v>
      </c>
      <c r="RH170">
        <v>2</v>
      </c>
      <c r="RI170">
        <v>2</v>
      </c>
      <c r="RJ170">
        <v>2</v>
      </c>
      <c r="RK170">
        <v>2</v>
      </c>
      <c r="RL170">
        <v>2</v>
      </c>
      <c r="RM170">
        <v>2</v>
      </c>
      <c r="RN170">
        <v>2</v>
      </c>
      <c r="RO170">
        <v>2</v>
      </c>
      <c r="RP170">
        <v>2</v>
      </c>
      <c r="RQ170">
        <v>2</v>
      </c>
      <c r="RR170">
        <v>2</v>
      </c>
      <c r="RS170">
        <v>2</v>
      </c>
      <c r="RT170">
        <v>2</v>
      </c>
      <c r="RU170">
        <v>2</v>
      </c>
      <c r="RV170">
        <v>2</v>
      </c>
      <c r="RW170">
        <v>2</v>
      </c>
      <c r="RX170">
        <v>2</v>
      </c>
      <c r="RY170">
        <v>2</v>
      </c>
      <c r="RZ170">
        <v>2</v>
      </c>
      <c r="SA170">
        <v>2</v>
      </c>
      <c r="SB170">
        <v>2</v>
      </c>
      <c r="SC170">
        <v>2</v>
      </c>
      <c r="SD170">
        <v>2</v>
      </c>
      <c r="SE170">
        <v>2</v>
      </c>
      <c r="SF170">
        <v>2</v>
      </c>
      <c r="SG170">
        <v>2</v>
      </c>
      <c r="SH170">
        <v>2</v>
      </c>
      <c r="SI170">
        <v>2</v>
      </c>
      <c r="SJ170">
        <v>2</v>
      </c>
      <c r="SK170">
        <v>2</v>
      </c>
      <c r="SL170">
        <v>2</v>
      </c>
      <c r="SM170">
        <v>2</v>
      </c>
      <c r="SN170">
        <v>2</v>
      </c>
      <c r="SO170">
        <v>2</v>
      </c>
      <c r="SP170">
        <v>2</v>
      </c>
      <c r="SQ170">
        <v>2</v>
      </c>
      <c r="SR170">
        <v>2</v>
      </c>
      <c r="SS170">
        <v>2</v>
      </c>
      <c r="ST170">
        <v>2</v>
      </c>
      <c r="SU170">
        <v>2</v>
      </c>
      <c r="SV170">
        <v>2</v>
      </c>
      <c r="SW170">
        <v>2</v>
      </c>
      <c r="SX170">
        <v>2</v>
      </c>
      <c r="SY170">
        <v>2</v>
      </c>
      <c r="SZ170">
        <v>2</v>
      </c>
      <c r="TA170">
        <v>2</v>
      </c>
      <c r="TB170">
        <v>2</v>
      </c>
      <c r="TC170">
        <v>2</v>
      </c>
      <c r="TD170">
        <v>2</v>
      </c>
      <c r="TE170">
        <v>2</v>
      </c>
      <c r="TF170">
        <v>2</v>
      </c>
      <c r="TG170">
        <v>2</v>
      </c>
      <c r="TH170">
        <v>2</v>
      </c>
      <c r="TI170">
        <v>2</v>
      </c>
      <c r="TJ170">
        <v>2</v>
      </c>
      <c r="TK170">
        <v>2</v>
      </c>
      <c r="TL170">
        <v>2</v>
      </c>
      <c r="TM170">
        <v>2</v>
      </c>
      <c r="TN170">
        <v>2</v>
      </c>
      <c r="TO170">
        <v>2</v>
      </c>
      <c r="TP170">
        <v>2</v>
      </c>
      <c r="TQ170">
        <v>2</v>
      </c>
      <c r="TR170">
        <v>2</v>
      </c>
      <c r="TS170">
        <v>2</v>
      </c>
      <c r="TT170">
        <v>2</v>
      </c>
      <c r="TU170">
        <v>2</v>
      </c>
      <c r="TV170">
        <v>2</v>
      </c>
      <c r="TW170">
        <v>2</v>
      </c>
      <c r="TX170">
        <v>2</v>
      </c>
      <c r="TY170">
        <v>2</v>
      </c>
      <c r="TZ170">
        <v>2</v>
      </c>
      <c r="UA170">
        <v>2</v>
      </c>
      <c r="UB170">
        <v>2</v>
      </c>
      <c r="UC170">
        <v>2</v>
      </c>
      <c r="UD170">
        <v>2</v>
      </c>
      <c r="UE170">
        <v>2</v>
      </c>
      <c r="UF170">
        <v>2</v>
      </c>
      <c r="UG170">
        <v>2</v>
      </c>
      <c r="UH170">
        <v>2</v>
      </c>
      <c r="UI170">
        <v>2</v>
      </c>
      <c r="UJ170">
        <v>2</v>
      </c>
      <c r="UK170">
        <v>2</v>
      </c>
      <c r="UL170">
        <v>2</v>
      </c>
      <c r="UM170">
        <v>2</v>
      </c>
      <c r="UN170">
        <v>2</v>
      </c>
      <c r="UO170">
        <v>2</v>
      </c>
      <c r="UP170">
        <v>2</v>
      </c>
      <c r="UQ170">
        <v>2</v>
      </c>
      <c r="UR170">
        <v>2</v>
      </c>
      <c r="US170">
        <v>2</v>
      </c>
      <c r="UT170">
        <v>2</v>
      </c>
      <c r="UU170">
        <v>2</v>
      </c>
      <c r="UV170">
        <v>2</v>
      </c>
      <c r="UW170">
        <v>2</v>
      </c>
      <c r="UX170">
        <v>2</v>
      </c>
      <c r="UY170">
        <v>2</v>
      </c>
      <c r="UZ170">
        <v>2</v>
      </c>
      <c r="VA170">
        <v>2</v>
      </c>
      <c r="VB170">
        <v>2</v>
      </c>
      <c r="VC170">
        <v>2</v>
      </c>
      <c r="VD170">
        <v>2</v>
      </c>
      <c r="VE170">
        <v>2</v>
      </c>
      <c r="VF170">
        <v>2</v>
      </c>
      <c r="VG170">
        <v>2</v>
      </c>
      <c r="VH170">
        <v>2</v>
      </c>
      <c r="VI170">
        <v>2</v>
      </c>
      <c r="VJ170">
        <v>2</v>
      </c>
      <c r="VK170">
        <v>2</v>
      </c>
      <c r="VL170">
        <v>2</v>
      </c>
      <c r="VM170">
        <v>2</v>
      </c>
      <c r="VN170">
        <v>2</v>
      </c>
      <c r="VO170">
        <v>2</v>
      </c>
      <c r="VP170">
        <v>2</v>
      </c>
      <c r="VQ170">
        <v>2</v>
      </c>
      <c r="VR170">
        <v>2</v>
      </c>
      <c r="VS170">
        <v>2</v>
      </c>
      <c r="VT170">
        <v>2</v>
      </c>
      <c r="VU170">
        <v>2</v>
      </c>
      <c r="VV170">
        <v>2</v>
      </c>
      <c r="VW170">
        <v>2</v>
      </c>
      <c r="VX170">
        <v>2</v>
      </c>
      <c r="VY170">
        <v>2</v>
      </c>
      <c r="VZ170">
        <v>2</v>
      </c>
      <c r="WA170">
        <v>2</v>
      </c>
      <c r="WB170">
        <v>2</v>
      </c>
      <c r="WC170">
        <v>2</v>
      </c>
      <c r="WD170">
        <v>2</v>
      </c>
      <c r="WE170">
        <v>2</v>
      </c>
      <c r="WF170">
        <v>2</v>
      </c>
      <c r="WG170">
        <v>2</v>
      </c>
      <c r="WH170">
        <v>2</v>
      </c>
      <c r="WI170">
        <v>2</v>
      </c>
      <c r="WJ170">
        <v>2</v>
      </c>
      <c r="WK170">
        <v>2</v>
      </c>
      <c r="WL170">
        <v>2</v>
      </c>
      <c r="WM170">
        <v>2</v>
      </c>
      <c r="WN170">
        <v>2</v>
      </c>
      <c r="WO170">
        <v>2</v>
      </c>
      <c r="WP170">
        <v>2</v>
      </c>
      <c r="WQ170">
        <v>2</v>
      </c>
      <c r="WR170">
        <v>2</v>
      </c>
      <c r="WS170">
        <v>2</v>
      </c>
      <c r="WT170">
        <v>2</v>
      </c>
      <c r="WU170">
        <v>2</v>
      </c>
      <c r="WV170">
        <v>2</v>
      </c>
      <c r="WW170">
        <v>2</v>
      </c>
      <c r="WX170">
        <v>2</v>
      </c>
      <c r="WY170">
        <v>2</v>
      </c>
      <c r="WZ170">
        <v>2</v>
      </c>
      <c r="XA170">
        <v>2</v>
      </c>
      <c r="XB170">
        <v>2</v>
      </c>
      <c r="XC170">
        <v>2</v>
      </c>
      <c r="XD170">
        <v>2</v>
      </c>
      <c r="XE170">
        <v>2</v>
      </c>
      <c r="XF170">
        <v>2</v>
      </c>
      <c r="XG170">
        <v>2</v>
      </c>
      <c r="XH170">
        <v>2</v>
      </c>
      <c r="XI170">
        <v>2</v>
      </c>
      <c r="XJ170">
        <v>2</v>
      </c>
      <c r="XK170">
        <v>2</v>
      </c>
      <c r="XL170">
        <v>2</v>
      </c>
      <c r="XM170">
        <v>2</v>
      </c>
      <c r="XN170">
        <v>2</v>
      </c>
      <c r="XO170">
        <v>2</v>
      </c>
      <c r="XP170">
        <v>2</v>
      </c>
      <c r="XQ170">
        <v>2</v>
      </c>
      <c r="XR170">
        <v>2</v>
      </c>
      <c r="XS170">
        <v>2</v>
      </c>
      <c r="XT170">
        <v>2</v>
      </c>
      <c r="XU170">
        <v>2</v>
      </c>
      <c r="XV170">
        <v>2</v>
      </c>
      <c r="XW170">
        <v>2</v>
      </c>
      <c r="XX170">
        <v>2</v>
      </c>
      <c r="XY170">
        <v>2</v>
      </c>
      <c r="XZ170">
        <v>2</v>
      </c>
      <c r="YA170">
        <v>2</v>
      </c>
      <c r="YB170">
        <v>2</v>
      </c>
      <c r="YC170">
        <v>2</v>
      </c>
      <c r="YD170">
        <v>2</v>
      </c>
      <c r="YE170">
        <v>2</v>
      </c>
      <c r="YF170">
        <v>2</v>
      </c>
      <c r="YG170">
        <v>2</v>
      </c>
      <c r="YH170">
        <v>2</v>
      </c>
      <c r="YI170">
        <v>2</v>
      </c>
      <c r="YJ170">
        <v>2</v>
      </c>
      <c r="YK170">
        <v>2</v>
      </c>
      <c r="YL170">
        <v>2</v>
      </c>
      <c r="YM170">
        <v>2</v>
      </c>
      <c r="YN170">
        <v>2</v>
      </c>
      <c r="YO170">
        <v>2</v>
      </c>
      <c r="YP170">
        <v>2</v>
      </c>
      <c r="YQ170">
        <v>2</v>
      </c>
      <c r="YR170">
        <v>2</v>
      </c>
      <c r="YS170">
        <v>2</v>
      </c>
      <c r="YT170">
        <v>2</v>
      </c>
      <c r="YU170">
        <v>2</v>
      </c>
      <c r="YV170">
        <v>2</v>
      </c>
      <c r="YW170">
        <v>2</v>
      </c>
      <c r="YX170">
        <v>2</v>
      </c>
      <c r="YY170">
        <v>2</v>
      </c>
      <c r="YZ170">
        <v>2</v>
      </c>
      <c r="ZA170">
        <v>2</v>
      </c>
      <c r="ZB170">
        <v>2</v>
      </c>
      <c r="ZC170">
        <v>2</v>
      </c>
      <c r="ZD170">
        <v>2</v>
      </c>
      <c r="ZE170">
        <v>2</v>
      </c>
      <c r="ZF170">
        <v>2</v>
      </c>
      <c r="ZG170">
        <v>2</v>
      </c>
      <c r="ZH170">
        <v>2</v>
      </c>
      <c r="ZI170">
        <v>2</v>
      </c>
      <c r="ZJ170">
        <v>2</v>
      </c>
      <c r="ZK170">
        <v>2</v>
      </c>
      <c r="ZL170">
        <v>2</v>
      </c>
      <c r="ZM170">
        <v>2</v>
      </c>
      <c r="ZN170">
        <v>2</v>
      </c>
      <c r="ZO170">
        <v>2</v>
      </c>
      <c r="ZP170">
        <v>2</v>
      </c>
      <c r="ZQ170">
        <v>2</v>
      </c>
      <c r="ZR170">
        <v>2</v>
      </c>
      <c r="ZS170">
        <v>2</v>
      </c>
      <c r="ZT170">
        <v>2</v>
      </c>
      <c r="ZU170">
        <v>2</v>
      </c>
      <c r="ZV170">
        <v>2</v>
      </c>
      <c r="ZW170">
        <v>2</v>
      </c>
      <c r="ZX170">
        <v>2</v>
      </c>
      <c r="ZY170">
        <v>2</v>
      </c>
      <c r="ZZ170">
        <v>2</v>
      </c>
      <c r="AAA170">
        <v>2</v>
      </c>
      <c r="AAB170">
        <v>2</v>
      </c>
      <c r="AAC170">
        <v>2</v>
      </c>
      <c r="AAD170">
        <v>2</v>
      </c>
      <c r="AAE170">
        <v>2</v>
      </c>
      <c r="AAF170">
        <v>2</v>
      </c>
      <c r="AAG170">
        <v>2</v>
      </c>
      <c r="AAH170">
        <v>2</v>
      </c>
      <c r="AAI170">
        <v>2</v>
      </c>
      <c r="AAJ170">
        <v>2</v>
      </c>
      <c r="AAK170">
        <v>2</v>
      </c>
      <c r="AAL170">
        <v>2</v>
      </c>
      <c r="AAM170">
        <v>2</v>
      </c>
      <c r="AAN170">
        <v>2</v>
      </c>
      <c r="AAO170">
        <v>2</v>
      </c>
      <c r="AAP170">
        <v>2</v>
      </c>
      <c r="AAQ170">
        <v>2</v>
      </c>
      <c r="AAR170">
        <v>2</v>
      </c>
      <c r="AAS170">
        <v>2</v>
      </c>
      <c r="AAT170">
        <v>2</v>
      </c>
      <c r="AAU170">
        <v>2</v>
      </c>
      <c r="AAV170">
        <v>2</v>
      </c>
      <c r="AAW170">
        <v>2</v>
      </c>
      <c r="AAX170">
        <v>2</v>
      </c>
      <c r="AAY170">
        <v>2</v>
      </c>
      <c r="AAZ170">
        <v>2</v>
      </c>
      <c r="ABA170">
        <v>2</v>
      </c>
      <c r="ABB170">
        <v>2</v>
      </c>
      <c r="ABC170">
        <v>2</v>
      </c>
      <c r="ABD170">
        <v>2</v>
      </c>
      <c r="ABE170">
        <v>2</v>
      </c>
      <c r="ABG170" s="1137">
        <f t="shared" si="45"/>
        <v>0</v>
      </c>
      <c r="ABH170" s="1137">
        <f t="shared" si="45"/>
        <v>0</v>
      </c>
      <c r="ABI170" s="1137">
        <f t="shared" si="45"/>
        <v>13</v>
      </c>
      <c r="ABJ170" s="1137">
        <f t="shared" si="45"/>
        <v>30</v>
      </c>
      <c r="ABK170" s="1137">
        <f t="shared" si="45"/>
        <v>31</v>
      </c>
      <c r="ABL170" s="1137">
        <f t="shared" si="45"/>
        <v>30</v>
      </c>
      <c r="ABM170" s="1137">
        <f t="shared" si="45"/>
        <v>31</v>
      </c>
      <c r="ABN170" s="1137">
        <f t="shared" si="45"/>
        <v>31</v>
      </c>
      <c r="ABO170" s="1137">
        <f t="shared" si="45"/>
        <v>30</v>
      </c>
      <c r="ABP170" s="1137">
        <f t="shared" si="45"/>
        <v>31</v>
      </c>
      <c r="ABQ170" s="1137">
        <f t="shared" si="45"/>
        <v>30</v>
      </c>
      <c r="ABR170" s="1137">
        <f t="shared" si="45"/>
        <v>31</v>
      </c>
      <c r="ABS170" s="1137">
        <f t="shared" si="45"/>
        <v>31</v>
      </c>
      <c r="ABT170" s="1137">
        <f t="shared" si="45"/>
        <v>28</v>
      </c>
      <c r="ABU170" s="1137">
        <f t="shared" si="45"/>
        <v>31</v>
      </c>
      <c r="ABV170" s="1137">
        <f t="shared" si="45"/>
        <v>30</v>
      </c>
      <c r="ABW170" s="1137">
        <f t="shared" si="31"/>
        <v>31</v>
      </c>
      <c r="ABX170" s="1137">
        <f t="shared" si="31"/>
        <v>30</v>
      </c>
      <c r="ABY170" s="1137">
        <f t="shared" si="31"/>
        <v>31</v>
      </c>
      <c r="ABZ170" s="1137">
        <f t="shared" si="31"/>
        <v>31</v>
      </c>
      <c r="ACA170" s="1137">
        <f t="shared" si="31"/>
        <v>30</v>
      </c>
      <c r="ACB170" s="1137">
        <f t="shared" si="31"/>
        <v>31</v>
      </c>
      <c r="ACC170" s="1137">
        <f t="shared" si="31"/>
        <v>30</v>
      </c>
      <c r="ACD170" s="1137">
        <f t="shared" si="31"/>
        <v>31</v>
      </c>
      <c r="ACE170" s="1137" t="s">
        <v>269</v>
      </c>
      <c r="ACF170" s="1137">
        <f t="shared" si="39"/>
        <v>0</v>
      </c>
      <c r="ACG170" s="1137">
        <f t="shared" si="39"/>
        <v>0</v>
      </c>
      <c r="ACH170" s="1137">
        <f t="shared" si="39"/>
        <v>1</v>
      </c>
      <c r="ACI170" s="1137">
        <f t="shared" si="39"/>
        <v>1</v>
      </c>
      <c r="ACJ170" s="1137">
        <f t="shared" si="39"/>
        <v>1</v>
      </c>
      <c r="ACK170" s="1137">
        <f t="shared" si="39"/>
        <v>1</v>
      </c>
      <c r="ACL170" s="1137">
        <f t="shared" si="39"/>
        <v>1</v>
      </c>
      <c r="ACM170" s="1137">
        <f t="shared" si="39"/>
        <v>1</v>
      </c>
      <c r="ACN170" s="1137">
        <f t="shared" si="39"/>
        <v>1</v>
      </c>
      <c r="ACO170" s="1137">
        <f t="shared" si="39"/>
        <v>1</v>
      </c>
      <c r="ACP170" s="1137">
        <f t="shared" si="39"/>
        <v>1</v>
      </c>
      <c r="ACQ170" s="1137">
        <f t="shared" si="39"/>
        <v>1</v>
      </c>
      <c r="ACR170" s="1137">
        <f t="shared" si="39"/>
        <v>1</v>
      </c>
      <c r="ACS170" s="1137">
        <f t="shared" si="39"/>
        <v>1</v>
      </c>
      <c r="ACT170" s="1137">
        <f t="shared" si="43"/>
        <v>1</v>
      </c>
      <c r="ACU170" s="1137">
        <f t="shared" si="43"/>
        <v>1</v>
      </c>
      <c r="ACV170" s="1137">
        <f t="shared" si="43"/>
        <v>1</v>
      </c>
      <c r="ACW170" s="1137">
        <f t="shared" si="43"/>
        <v>1</v>
      </c>
      <c r="ACX170" s="1137">
        <f t="shared" si="42"/>
        <v>1</v>
      </c>
      <c r="ACY170" s="1137">
        <f t="shared" si="42"/>
        <v>1</v>
      </c>
      <c r="ACZ170" s="1137">
        <f t="shared" si="42"/>
        <v>1</v>
      </c>
      <c r="ADA170" s="1137">
        <f t="shared" si="35"/>
        <v>1</v>
      </c>
      <c r="ADB170" s="1137">
        <f t="shared" si="35"/>
        <v>1</v>
      </c>
      <c r="ADC170" s="1137">
        <f t="shared" si="35"/>
        <v>1</v>
      </c>
    </row>
    <row r="171" spans="1:783" x14ac:dyDescent="0.25">
      <c r="A171" t="s">
        <v>527</v>
      </c>
      <c r="B171" t="s">
        <v>71</v>
      </c>
      <c r="C171">
        <v>0</v>
      </c>
      <c r="D171">
        <v>0</v>
      </c>
      <c r="E171">
        <v>0</v>
      </c>
      <c r="F171">
        <v>0</v>
      </c>
      <c r="G171">
        <v>0</v>
      </c>
      <c r="H171">
        <v>0</v>
      </c>
      <c r="I171">
        <v>0</v>
      </c>
      <c r="J171">
        <v>0</v>
      </c>
      <c r="K171">
        <v>0</v>
      </c>
      <c r="L171">
        <v>0</v>
      </c>
      <c r="M171">
        <v>0</v>
      </c>
      <c r="N171">
        <v>0</v>
      </c>
      <c r="O171">
        <v>0</v>
      </c>
      <c r="P171">
        <v>0</v>
      </c>
      <c r="Q171">
        <v>0</v>
      </c>
      <c r="R171">
        <v>0</v>
      </c>
      <c r="S171">
        <v>0</v>
      </c>
      <c r="T171">
        <v>0</v>
      </c>
      <c r="U171">
        <v>0</v>
      </c>
      <c r="V171">
        <v>0</v>
      </c>
      <c r="W171">
        <v>0</v>
      </c>
      <c r="X171">
        <v>0</v>
      </c>
      <c r="Y171">
        <v>0</v>
      </c>
      <c r="Z171">
        <v>0</v>
      </c>
      <c r="AA171">
        <v>0</v>
      </c>
      <c r="AB171">
        <v>0</v>
      </c>
      <c r="AC171">
        <v>0</v>
      </c>
      <c r="AD171">
        <v>0</v>
      </c>
      <c r="AE171">
        <v>0</v>
      </c>
      <c r="AF171">
        <v>0</v>
      </c>
      <c r="AG171">
        <v>0</v>
      </c>
      <c r="AH171">
        <v>0</v>
      </c>
      <c r="AI171">
        <v>0</v>
      </c>
      <c r="AJ171">
        <v>0</v>
      </c>
      <c r="AK171">
        <v>0</v>
      </c>
      <c r="AL171">
        <v>0</v>
      </c>
      <c r="AM171">
        <v>0</v>
      </c>
      <c r="AN171">
        <v>0</v>
      </c>
      <c r="AO171">
        <v>0</v>
      </c>
      <c r="AP171">
        <v>0</v>
      </c>
      <c r="AQ171">
        <v>0</v>
      </c>
      <c r="AR171">
        <v>0</v>
      </c>
      <c r="AS171">
        <v>0</v>
      </c>
      <c r="AT171">
        <v>0</v>
      </c>
      <c r="AU171">
        <v>0</v>
      </c>
      <c r="AV171">
        <v>0</v>
      </c>
      <c r="AW171">
        <v>0</v>
      </c>
      <c r="AX171">
        <v>0</v>
      </c>
      <c r="AY171">
        <v>0</v>
      </c>
      <c r="AZ171">
        <v>0</v>
      </c>
      <c r="BA171">
        <v>0</v>
      </c>
      <c r="BB171">
        <v>0</v>
      </c>
      <c r="BC171">
        <v>0</v>
      </c>
      <c r="BD171">
        <v>0</v>
      </c>
      <c r="BE171">
        <v>0</v>
      </c>
      <c r="BF171">
        <v>0</v>
      </c>
      <c r="BG171">
        <v>0</v>
      </c>
      <c r="BH171">
        <v>0</v>
      </c>
      <c r="BI171">
        <v>0</v>
      </c>
      <c r="BJ171">
        <v>0</v>
      </c>
      <c r="BK171">
        <v>0</v>
      </c>
      <c r="BL171">
        <v>0</v>
      </c>
      <c r="BM171">
        <v>0</v>
      </c>
      <c r="BN171">
        <v>0</v>
      </c>
      <c r="BO171">
        <v>0</v>
      </c>
      <c r="BP171">
        <v>0</v>
      </c>
      <c r="BQ171">
        <v>0</v>
      </c>
      <c r="BR171">
        <v>0</v>
      </c>
      <c r="BS171">
        <v>0</v>
      </c>
      <c r="BT171">
        <v>0</v>
      </c>
      <c r="BU171">
        <v>0</v>
      </c>
      <c r="BV171">
        <v>0</v>
      </c>
      <c r="BW171">
        <v>0</v>
      </c>
      <c r="BX171">
        <v>0</v>
      </c>
      <c r="BY171">
        <v>0</v>
      </c>
      <c r="BZ171">
        <v>0</v>
      </c>
      <c r="CA171">
        <v>0</v>
      </c>
      <c r="CB171">
        <v>0</v>
      </c>
      <c r="CC171">
        <v>0</v>
      </c>
      <c r="CD171">
        <v>0</v>
      </c>
      <c r="CE171">
        <v>0</v>
      </c>
      <c r="CF171">
        <v>0</v>
      </c>
      <c r="CG171">
        <v>0</v>
      </c>
      <c r="CH171">
        <v>0</v>
      </c>
      <c r="CI171">
        <v>0</v>
      </c>
      <c r="CJ171">
        <v>0</v>
      </c>
      <c r="CK171">
        <v>0</v>
      </c>
      <c r="CL171">
        <v>0</v>
      </c>
      <c r="CM171">
        <v>0</v>
      </c>
      <c r="CN171">
        <v>0</v>
      </c>
      <c r="CO171">
        <v>0</v>
      </c>
      <c r="CP171">
        <v>0</v>
      </c>
      <c r="CQ171">
        <v>0</v>
      </c>
      <c r="CR171">
        <v>0</v>
      </c>
      <c r="CS171">
        <v>0</v>
      </c>
      <c r="CT171">
        <v>0</v>
      </c>
      <c r="CU171">
        <v>0</v>
      </c>
      <c r="CV171">
        <v>0</v>
      </c>
      <c r="CW171">
        <v>0</v>
      </c>
      <c r="CX171">
        <v>0</v>
      </c>
      <c r="CY171">
        <v>0</v>
      </c>
      <c r="CZ171">
        <v>0</v>
      </c>
      <c r="DA171">
        <v>0</v>
      </c>
      <c r="DB171">
        <v>0</v>
      </c>
      <c r="DC171">
        <v>0</v>
      </c>
      <c r="DD171">
        <v>0</v>
      </c>
      <c r="DE171">
        <v>0</v>
      </c>
      <c r="DF171">
        <v>0</v>
      </c>
      <c r="DG171">
        <v>0</v>
      </c>
      <c r="DH171">
        <v>0</v>
      </c>
      <c r="DI171">
        <v>0</v>
      </c>
      <c r="DJ171">
        <v>0</v>
      </c>
      <c r="DK171">
        <v>0</v>
      </c>
      <c r="DL171">
        <v>0</v>
      </c>
      <c r="DM171">
        <v>0</v>
      </c>
      <c r="DN171">
        <v>0</v>
      </c>
      <c r="DO171">
        <v>0</v>
      </c>
      <c r="DP171">
        <v>0</v>
      </c>
      <c r="DQ171">
        <v>0</v>
      </c>
      <c r="DR171">
        <v>0</v>
      </c>
      <c r="DS171">
        <v>0</v>
      </c>
      <c r="DT171">
        <v>0</v>
      </c>
      <c r="DU171">
        <v>0</v>
      </c>
      <c r="DV171">
        <v>0</v>
      </c>
      <c r="DW171">
        <v>0</v>
      </c>
      <c r="DX171">
        <v>0</v>
      </c>
      <c r="DY171">
        <v>0</v>
      </c>
      <c r="DZ171">
        <v>0</v>
      </c>
      <c r="EA171">
        <v>0</v>
      </c>
      <c r="EB171">
        <v>0</v>
      </c>
      <c r="EC171">
        <v>0</v>
      </c>
      <c r="ED171">
        <v>0</v>
      </c>
      <c r="EE171">
        <v>0</v>
      </c>
      <c r="EF171">
        <v>0</v>
      </c>
      <c r="EG171">
        <v>0</v>
      </c>
      <c r="EH171">
        <v>0</v>
      </c>
      <c r="EI171">
        <v>0</v>
      </c>
      <c r="EJ171">
        <v>0</v>
      </c>
      <c r="EK171">
        <v>0</v>
      </c>
      <c r="EL171">
        <v>0</v>
      </c>
      <c r="EM171">
        <v>0</v>
      </c>
      <c r="EN171">
        <v>0</v>
      </c>
      <c r="EO171">
        <v>0</v>
      </c>
      <c r="EP171">
        <v>0</v>
      </c>
      <c r="EQ171">
        <v>0</v>
      </c>
      <c r="ER171">
        <v>0</v>
      </c>
      <c r="ES171">
        <v>0</v>
      </c>
      <c r="ET171">
        <v>0</v>
      </c>
      <c r="EU171">
        <v>0</v>
      </c>
      <c r="EV171">
        <v>0</v>
      </c>
      <c r="EW171">
        <v>0</v>
      </c>
      <c r="EX171">
        <v>0</v>
      </c>
      <c r="EY171">
        <v>0</v>
      </c>
      <c r="EZ171">
        <v>0</v>
      </c>
      <c r="FA171">
        <v>0</v>
      </c>
      <c r="FB171">
        <v>0</v>
      </c>
      <c r="FC171">
        <v>0</v>
      </c>
      <c r="FD171">
        <v>0</v>
      </c>
      <c r="FE171">
        <v>0</v>
      </c>
      <c r="FF171">
        <v>0</v>
      </c>
      <c r="FG171">
        <v>0</v>
      </c>
      <c r="FH171">
        <v>0</v>
      </c>
      <c r="FI171">
        <v>0</v>
      </c>
      <c r="FJ171">
        <v>0</v>
      </c>
      <c r="FK171">
        <v>0</v>
      </c>
      <c r="FL171">
        <v>0</v>
      </c>
      <c r="FM171">
        <v>0</v>
      </c>
      <c r="FN171">
        <v>0</v>
      </c>
      <c r="FO171">
        <v>0</v>
      </c>
      <c r="FP171">
        <v>0</v>
      </c>
      <c r="FQ171">
        <v>0</v>
      </c>
      <c r="FR171">
        <v>0</v>
      </c>
      <c r="FS171">
        <v>0</v>
      </c>
      <c r="FT171">
        <v>0</v>
      </c>
      <c r="FU171">
        <v>0</v>
      </c>
      <c r="FV171">
        <v>0</v>
      </c>
      <c r="FW171">
        <v>0</v>
      </c>
      <c r="FX171">
        <v>0</v>
      </c>
      <c r="FY171">
        <v>0</v>
      </c>
      <c r="FZ171">
        <v>0</v>
      </c>
      <c r="GA171">
        <v>0</v>
      </c>
      <c r="GB171">
        <v>0</v>
      </c>
      <c r="GC171">
        <v>0</v>
      </c>
      <c r="GD171">
        <v>0</v>
      </c>
      <c r="GE171">
        <v>0</v>
      </c>
      <c r="GF171">
        <v>0</v>
      </c>
      <c r="GG171">
        <v>0</v>
      </c>
      <c r="GH171">
        <v>0</v>
      </c>
      <c r="GI171">
        <v>0</v>
      </c>
      <c r="GJ171">
        <v>0</v>
      </c>
      <c r="GK171">
        <v>0</v>
      </c>
      <c r="GL171">
        <v>0</v>
      </c>
      <c r="GM171">
        <v>0</v>
      </c>
      <c r="GN171">
        <v>0</v>
      </c>
      <c r="GO171">
        <v>0</v>
      </c>
      <c r="GP171">
        <v>0</v>
      </c>
      <c r="GQ171">
        <v>0</v>
      </c>
      <c r="GR171">
        <v>0</v>
      </c>
      <c r="GS171">
        <v>0</v>
      </c>
      <c r="GT171">
        <v>0</v>
      </c>
      <c r="GU171">
        <v>0</v>
      </c>
      <c r="GV171">
        <v>0</v>
      </c>
      <c r="GW171">
        <v>0</v>
      </c>
      <c r="GX171">
        <v>0</v>
      </c>
      <c r="GY171">
        <v>0</v>
      </c>
      <c r="GZ171">
        <v>0</v>
      </c>
      <c r="HA171">
        <v>0</v>
      </c>
      <c r="HB171">
        <v>0</v>
      </c>
      <c r="HC171">
        <v>0</v>
      </c>
      <c r="HD171">
        <v>0</v>
      </c>
      <c r="HE171">
        <v>0</v>
      </c>
      <c r="HF171">
        <v>0</v>
      </c>
      <c r="HG171">
        <v>0</v>
      </c>
      <c r="HH171">
        <v>0</v>
      </c>
      <c r="HI171">
        <v>0</v>
      </c>
      <c r="HJ171">
        <v>0</v>
      </c>
      <c r="HK171">
        <v>0</v>
      </c>
      <c r="HL171">
        <v>0</v>
      </c>
      <c r="HM171">
        <v>0</v>
      </c>
      <c r="HN171">
        <v>0</v>
      </c>
      <c r="HO171">
        <v>0</v>
      </c>
      <c r="HP171">
        <v>0</v>
      </c>
      <c r="HQ171">
        <v>0</v>
      </c>
      <c r="HR171">
        <v>0</v>
      </c>
      <c r="HS171">
        <v>0</v>
      </c>
      <c r="HT171">
        <v>0</v>
      </c>
      <c r="HU171">
        <v>0</v>
      </c>
      <c r="HV171">
        <v>0</v>
      </c>
      <c r="HW171">
        <v>0</v>
      </c>
      <c r="HX171">
        <v>0</v>
      </c>
      <c r="HY171">
        <v>0</v>
      </c>
      <c r="HZ171">
        <v>0</v>
      </c>
      <c r="IA171">
        <v>0</v>
      </c>
      <c r="IB171">
        <v>0</v>
      </c>
      <c r="IC171">
        <v>0</v>
      </c>
      <c r="ID171">
        <v>0</v>
      </c>
      <c r="IE171">
        <v>0</v>
      </c>
      <c r="IF171">
        <v>0</v>
      </c>
      <c r="IG171">
        <v>0</v>
      </c>
      <c r="IH171">
        <v>0</v>
      </c>
      <c r="II171">
        <v>0</v>
      </c>
      <c r="IJ171">
        <v>0</v>
      </c>
      <c r="IK171">
        <v>0</v>
      </c>
      <c r="IL171">
        <v>0</v>
      </c>
      <c r="IM171">
        <v>0</v>
      </c>
      <c r="IN171">
        <v>0</v>
      </c>
      <c r="IO171">
        <v>0</v>
      </c>
      <c r="IP171">
        <v>0</v>
      </c>
      <c r="IQ171">
        <v>0</v>
      </c>
      <c r="IR171">
        <v>0</v>
      </c>
      <c r="IS171">
        <v>0</v>
      </c>
      <c r="IT171">
        <v>0</v>
      </c>
      <c r="IU171">
        <v>0</v>
      </c>
      <c r="IV171">
        <v>0</v>
      </c>
      <c r="IW171">
        <v>0</v>
      </c>
      <c r="IX171">
        <v>0</v>
      </c>
      <c r="IY171">
        <v>0</v>
      </c>
      <c r="IZ171">
        <v>0</v>
      </c>
      <c r="JA171">
        <v>0</v>
      </c>
      <c r="JB171">
        <v>0</v>
      </c>
      <c r="JC171">
        <v>0</v>
      </c>
      <c r="JD171">
        <v>0</v>
      </c>
      <c r="JE171">
        <v>0</v>
      </c>
      <c r="JF171">
        <v>0</v>
      </c>
      <c r="JG171">
        <v>0</v>
      </c>
      <c r="JH171">
        <v>0</v>
      </c>
      <c r="JI171">
        <v>0</v>
      </c>
      <c r="JJ171">
        <v>0</v>
      </c>
      <c r="JK171">
        <v>0</v>
      </c>
      <c r="JL171">
        <v>0</v>
      </c>
      <c r="JM171">
        <v>0</v>
      </c>
      <c r="JN171">
        <v>0</v>
      </c>
      <c r="JO171">
        <v>0</v>
      </c>
      <c r="JP171">
        <v>0</v>
      </c>
      <c r="JQ171">
        <v>0</v>
      </c>
      <c r="JR171">
        <v>0</v>
      </c>
      <c r="JS171">
        <v>0</v>
      </c>
      <c r="JT171">
        <v>0</v>
      </c>
      <c r="JU171">
        <v>0</v>
      </c>
      <c r="JV171">
        <v>0</v>
      </c>
      <c r="JW171">
        <v>0</v>
      </c>
      <c r="JX171">
        <v>0</v>
      </c>
      <c r="JY171">
        <v>0</v>
      </c>
      <c r="JZ171">
        <v>0</v>
      </c>
      <c r="KA171">
        <v>0</v>
      </c>
      <c r="KB171">
        <v>0</v>
      </c>
      <c r="KC171">
        <v>0</v>
      </c>
      <c r="KD171">
        <v>0</v>
      </c>
      <c r="KE171">
        <v>0</v>
      </c>
      <c r="KF171">
        <v>0</v>
      </c>
      <c r="KG171">
        <v>0</v>
      </c>
      <c r="KH171">
        <v>0</v>
      </c>
      <c r="KI171">
        <v>0</v>
      </c>
      <c r="KJ171">
        <v>0</v>
      </c>
      <c r="KK171">
        <v>0</v>
      </c>
      <c r="KL171">
        <v>0</v>
      </c>
      <c r="KM171">
        <v>0</v>
      </c>
      <c r="KN171">
        <v>0</v>
      </c>
      <c r="KO171">
        <v>0</v>
      </c>
      <c r="KP171">
        <v>0</v>
      </c>
      <c r="KQ171">
        <v>0</v>
      </c>
      <c r="KR171">
        <v>0</v>
      </c>
      <c r="KS171">
        <v>0</v>
      </c>
      <c r="KT171">
        <v>0</v>
      </c>
      <c r="KU171">
        <v>0</v>
      </c>
      <c r="KV171">
        <v>0</v>
      </c>
      <c r="KW171">
        <v>0</v>
      </c>
      <c r="KX171">
        <v>0</v>
      </c>
      <c r="KY171">
        <v>0</v>
      </c>
      <c r="KZ171">
        <v>0</v>
      </c>
      <c r="LA171">
        <v>0</v>
      </c>
      <c r="LB171">
        <v>0</v>
      </c>
      <c r="LC171">
        <v>0</v>
      </c>
      <c r="LD171">
        <v>0</v>
      </c>
      <c r="LE171">
        <v>0</v>
      </c>
      <c r="LF171">
        <v>0</v>
      </c>
      <c r="LG171">
        <v>0</v>
      </c>
      <c r="LH171">
        <v>0</v>
      </c>
      <c r="LI171">
        <v>0</v>
      </c>
      <c r="LJ171">
        <v>0</v>
      </c>
      <c r="LK171">
        <v>0</v>
      </c>
      <c r="LL171">
        <v>0</v>
      </c>
      <c r="LM171">
        <v>0</v>
      </c>
      <c r="LN171">
        <v>0</v>
      </c>
      <c r="LO171">
        <v>0</v>
      </c>
      <c r="LP171">
        <v>0</v>
      </c>
      <c r="LQ171">
        <v>0</v>
      </c>
      <c r="LR171">
        <v>0</v>
      </c>
      <c r="LS171">
        <v>0</v>
      </c>
      <c r="LT171">
        <v>0</v>
      </c>
      <c r="LU171">
        <v>0</v>
      </c>
      <c r="LV171">
        <v>0</v>
      </c>
      <c r="LW171">
        <v>0</v>
      </c>
      <c r="LX171">
        <v>0</v>
      </c>
      <c r="LY171">
        <v>0</v>
      </c>
      <c r="LZ171">
        <v>0</v>
      </c>
      <c r="MA171">
        <v>0</v>
      </c>
      <c r="MB171">
        <v>0</v>
      </c>
      <c r="MC171">
        <v>0</v>
      </c>
      <c r="MD171">
        <v>0</v>
      </c>
      <c r="ME171">
        <v>0</v>
      </c>
      <c r="MF171">
        <v>0</v>
      </c>
      <c r="MG171">
        <v>0</v>
      </c>
      <c r="MH171">
        <v>0</v>
      </c>
      <c r="MI171">
        <v>0</v>
      </c>
      <c r="MJ171">
        <v>0</v>
      </c>
      <c r="MK171">
        <v>0</v>
      </c>
      <c r="ML171">
        <v>0</v>
      </c>
      <c r="MM171">
        <v>0</v>
      </c>
      <c r="MN171">
        <v>0</v>
      </c>
      <c r="MO171">
        <v>0</v>
      </c>
      <c r="MP171">
        <v>0</v>
      </c>
      <c r="MQ171">
        <v>0</v>
      </c>
      <c r="MR171">
        <v>0</v>
      </c>
      <c r="MS171">
        <v>0</v>
      </c>
      <c r="MT171">
        <v>0</v>
      </c>
      <c r="MU171">
        <v>0</v>
      </c>
      <c r="MV171">
        <v>0</v>
      </c>
      <c r="MW171">
        <v>0</v>
      </c>
      <c r="MX171">
        <v>0</v>
      </c>
      <c r="MY171">
        <v>0</v>
      </c>
      <c r="MZ171">
        <v>0</v>
      </c>
      <c r="NA171">
        <v>0</v>
      </c>
      <c r="NB171">
        <v>0</v>
      </c>
      <c r="NC171">
        <v>1</v>
      </c>
      <c r="ND171">
        <v>1</v>
      </c>
      <c r="NE171">
        <v>1</v>
      </c>
      <c r="NF171">
        <v>1</v>
      </c>
      <c r="NG171">
        <v>1</v>
      </c>
      <c r="NH171">
        <v>1</v>
      </c>
      <c r="NI171">
        <v>1</v>
      </c>
      <c r="NJ171">
        <v>1</v>
      </c>
      <c r="NK171">
        <v>1</v>
      </c>
      <c r="NL171">
        <v>1</v>
      </c>
      <c r="NM171">
        <v>1</v>
      </c>
      <c r="NN171">
        <v>1</v>
      </c>
      <c r="NO171">
        <v>1</v>
      </c>
      <c r="NP171">
        <v>1</v>
      </c>
      <c r="NQ171">
        <v>1</v>
      </c>
      <c r="NR171">
        <v>1</v>
      </c>
      <c r="NS171">
        <v>1</v>
      </c>
      <c r="NT171">
        <v>1</v>
      </c>
      <c r="NU171">
        <v>1</v>
      </c>
      <c r="NV171">
        <v>1</v>
      </c>
      <c r="NW171">
        <v>0</v>
      </c>
      <c r="NX171">
        <v>0</v>
      </c>
      <c r="NY171">
        <v>0</v>
      </c>
      <c r="NZ171">
        <v>0</v>
      </c>
      <c r="OA171">
        <v>0</v>
      </c>
      <c r="OB171">
        <v>0</v>
      </c>
      <c r="OC171">
        <v>0</v>
      </c>
      <c r="OD171">
        <v>0</v>
      </c>
      <c r="OE171">
        <v>0</v>
      </c>
      <c r="OF171">
        <v>0</v>
      </c>
      <c r="OG171">
        <v>0</v>
      </c>
      <c r="OH171">
        <v>0</v>
      </c>
      <c r="OI171">
        <v>0</v>
      </c>
      <c r="OJ171">
        <v>0</v>
      </c>
      <c r="OK171">
        <v>0</v>
      </c>
      <c r="OL171">
        <v>0</v>
      </c>
      <c r="OM171">
        <v>0</v>
      </c>
      <c r="ON171">
        <v>0</v>
      </c>
      <c r="OO171">
        <v>0</v>
      </c>
      <c r="OP171">
        <v>0</v>
      </c>
      <c r="OQ171">
        <v>0</v>
      </c>
      <c r="OR171">
        <v>0</v>
      </c>
      <c r="OS171">
        <v>0</v>
      </c>
      <c r="OT171">
        <v>0</v>
      </c>
      <c r="OU171">
        <v>0</v>
      </c>
      <c r="OV171">
        <v>0</v>
      </c>
      <c r="OW171">
        <v>0</v>
      </c>
      <c r="OX171">
        <v>0</v>
      </c>
      <c r="OY171">
        <v>2</v>
      </c>
      <c r="OZ171">
        <v>2</v>
      </c>
      <c r="PA171">
        <v>2</v>
      </c>
      <c r="PB171">
        <v>2</v>
      </c>
      <c r="PC171">
        <v>2</v>
      </c>
      <c r="PD171">
        <v>2</v>
      </c>
      <c r="PE171">
        <v>2</v>
      </c>
      <c r="PF171">
        <v>2</v>
      </c>
      <c r="PG171">
        <v>2</v>
      </c>
      <c r="PH171">
        <v>2</v>
      </c>
      <c r="PI171">
        <v>2</v>
      </c>
      <c r="PJ171">
        <v>2</v>
      </c>
      <c r="PK171">
        <v>2</v>
      </c>
      <c r="PL171">
        <v>2</v>
      </c>
      <c r="PM171">
        <v>2</v>
      </c>
      <c r="PN171">
        <v>2</v>
      </c>
      <c r="PO171">
        <v>2</v>
      </c>
      <c r="PP171">
        <v>2</v>
      </c>
      <c r="PQ171">
        <v>2</v>
      </c>
      <c r="PR171">
        <v>2</v>
      </c>
      <c r="PS171">
        <v>2</v>
      </c>
      <c r="PT171">
        <v>2</v>
      </c>
      <c r="PU171">
        <v>2</v>
      </c>
      <c r="PV171">
        <v>2</v>
      </c>
      <c r="PW171">
        <v>2</v>
      </c>
      <c r="PX171">
        <v>2</v>
      </c>
      <c r="PY171">
        <v>2</v>
      </c>
      <c r="PZ171">
        <v>2</v>
      </c>
      <c r="QA171">
        <v>2</v>
      </c>
      <c r="QB171">
        <v>2</v>
      </c>
      <c r="QC171">
        <v>2</v>
      </c>
      <c r="QD171">
        <v>2</v>
      </c>
      <c r="QE171">
        <v>2</v>
      </c>
      <c r="QF171">
        <v>2</v>
      </c>
      <c r="QG171">
        <v>2</v>
      </c>
      <c r="QH171">
        <v>2</v>
      </c>
      <c r="QI171">
        <v>2</v>
      </c>
      <c r="QJ171">
        <v>2</v>
      </c>
      <c r="QK171">
        <v>2</v>
      </c>
      <c r="QL171">
        <v>2</v>
      </c>
      <c r="QM171">
        <v>2</v>
      </c>
      <c r="QN171">
        <v>2</v>
      </c>
      <c r="QO171">
        <v>2</v>
      </c>
      <c r="QP171">
        <v>2</v>
      </c>
      <c r="QQ171">
        <v>2</v>
      </c>
      <c r="QR171">
        <v>2</v>
      </c>
      <c r="QS171">
        <v>2</v>
      </c>
      <c r="QT171">
        <v>2</v>
      </c>
      <c r="QU171">
        <v>2</v>
      </c>
      <c r="QV171">
        <v>2</v>
      </c>
      <c r="QW171">
        <v>2</v>
      </c>
      <c r="QX171">
        <v>2</v>
      </c>
      <c r="QY171">
        <v>2</v>
      </c>
      <c r="QZ171">
        <v>2</v>
      </c>
      <c r="RA171">
        <v>2</v>
      </c>
      <c r="RB171">
        <v>2</v>
      </c>
      <c r="RC171">
        <v>2</v>
      </c>
      <c r="RD171">
        <v>2</v>
      </c>
      <c r="RE171">
        <v>2</v>
      </c>
      <c r="RF171">
        <v>2</v>
      </c>
      <c r="RG171">
        <v>2</v>
      </c>
      <c r="RH171">
        <v>2</v>
      </c>
      <c r="RI171">
        <v>2</v>
      </c>
      <c r="RJ171">
        <v>2</v>
      </c>
      <c r="RK171">
        <v>2</v>
      </c>
      <c r="RL171">
        <v>2</v>
      </c>
      <c r="RM171">
        <v>2</v>
      </c>
      <c r="RN171">
        <v>2</v>
      </c>
      <c r="RO171">
        <v>2</v>
      </c>
      <c r="RP171">
        <v>2</v>
      </c>
      <c r="RQ171">
        <v>2</v>
      </c>
      <c r="RR171">
        <v>2</v>
      </c>
      <c r="RS171">
        <v>2</v>
      </c>
      <c r="RT171">
        <v>2</v>
      </c>
      <c r="RU171">
        <v>2</v>
      </c>
      <c r="RV171">
        <v>2</v>
      </c>
      <c r="RW171">
        <v>2</v>
      </c>
      <c r="RX171">
        <v>2</v>
      </c>
      <c r="RY171">
        <v>2</v>
      </c>
      <c r="RZ171">
        <v>2</v>
      </c>
      <c r="SA171">
        <v>2</v>
      </c>
      <c r="SB171">
        <v>2</v>
      </c>
      <c r="SC171">
        <v>2</v>
      </c>
      <c r="SD171">
        <v>2</v>
      </c>
      <c r="SE171">
        <v>2</v>
      </c>
      <c r="SF171">
        <v>2</v>
      </c>
      <c r="SG171">
        <v>2</v>
      </c>
      <c r="SH171">
        <v>2</v>
      </c>
      <c r="SI171">
        <v>2</v>
      </c>
      <c r="SJ171">
        <v>2</v>
      </c>
      <c r="SK171">
        <v>2</v>
      </c>
      <c r="SL171">
        <v>2</v>
      </c>
      <c r="SM171">
        <v>2</v>
      </c>
      <c r="SN171">
        <v>2</v>
      </c>
      <c r="SO171">
        <v>2</v>
      </c>
      <c r="SP171">
        <v>2</v>
      </c>
      <c r="SQ171">
        <v>2</v>
      </c>
      <c r="SR171">
        <v>2</v>
      </c>
      <c r="SS171">
        <v>2</v>
      </c>
      <c r="ST171">
        <v>2</v>
      </c>
      <c r="SU171">
        <v>2</v>
      </c>
      <c r="SV171">
        <v>2</v>
      </c>
      <c r="SW171">
        <v>2</v>
      </c>
      <c r="SX171">
        <v>2</v>
      </c>
      <c r="SY171">
        <v>2</v>
      </c>
      <c r="SZ171">
        <v>2</v>
      </c>
      <c r="TA171">
        <v>2</v>
      </c>
      <c r="TB171">
        <v>2</v>
      </c>
      <c r="TC171">
        <v>2</v>
      </c>
      <c r="TD171">
        <v>2</v>
      </c>
      <c r="TE171">
        <v>2</v>
      </c>
      <c r="TF171">
        <v>2</v>
      </c>
      <c r="TG171">
        <v>2</v>
      </c>
      <c r="TH171">
        <v>2</v>
      </c>
      <c r="TI171">
        <v>2</v>
      </c>
      <c r="TJ171">
        <v>2</v>
      </c>
      <c r="TK171">
        <v>2</v>
      </c>
      <c r="TL171">
        <v>2</v>
      </c>
      <c r="TM171">
        <v>2</v>
      </c>
      <c r="TN171">
        <v>2</v>
      </c>
      <c r="TO171">
        <v>2</v>
      </c>
      <c r="TP171">
        <v>2</v>
      </c>
      <c r="TQ171">
        <v>2</v>
      </c>
      <c r="TR171">
        <v>2</v>
      </c>
      <c r="TS171">
        <v>2</v>
      </c>
      <c r="TT171">
        <v>2</v>
      </c>
      <c r="TU171">
        <v>2</v>
      </c>
      <c r="TV171">
        <v>2</v>
      </c>
      <c r="TW171">
        <v>2</v>
      </c>
      <c r="TX171">
        <v>2</v>
      </c>
      <c r="TY171">
        <v>2</v>
      </c>
      <c r="TZ171">
        <v>2</v>
      </c>
      <c r="UA171">
        <v>2</v>
      </c>
      <c r="UB171">
        <v>2</v>
      </c>
      <c r="UC171">
        <v>2</v>
      </c>
      <c r="UD171">
        <v>2</v>
      </c>
      <c r="UE171">
        <v>2</v>
      </c>
      <c r="UF171">
        <v>2</v>
      </c>
      <c r="UG171">
        <v>2</v>
      </c>
      <c r="UH171">
        <v>2</v>
      </c>
      <c r="UI171">
        <v>2</v>
      </c>
      <c r="UJ171">
        <v>2</v>
      </c>
      <c r="UK171">
        <v>2</v>
      </c>
      <c r="UL171">
        <v>2</v>
      </c>
      <c r="UM171">
        <v>2</v>
      </c>
      <c r="UN171">
        <v>2</v>
      </c>
      <c r="UO171">
        <v>2</v>
      </c>
      <c r="UP171">
        <v>2</v>
      </c>
      <c r="UQ171">
        <v>2</v>
      </c>
      <c r="UR171">
        <v>2</v>
      </c>
      <c r="US171">
        <v>2</v>
      </c>
      <c r="UT171">
        <v>2</v>
      </c>
      <c r="UU171">
        <v>2</v>
      </c>
      <c r="UV171">
        <v>2</v>
      </c>
      <c r="UW171">
        <v>2</v>
      </c>
      <c r="UX171">
        <v>2</v>
      </c>
      <c r="UY171">
        <v>2</v>
      </c>
      <c r="UZ171">
        <v>2</v>
      </c>
      <c r="VA171">
        <v>2</v>
      </c>
      <c r="VB171">
        <v>2</v>
      </c>
      <c r="VC171">
        <v>2</v>
      </c>
      <c r="VD171">
        <v>2</v>
      </c>
      <c r="VE171">
        <v>2</v>
      </c>
      <c r="VF171">
        <v>2</v>
      </c>
      <c r="VG171">
        <v>2</v>
      </c>
      <c r="VH171">
        <v>2</v>
      </c>
      <c r="VI171">
        <v>2</v>
      </c>
      <c r="VJ171">
        <v>2</v>
      </c>
      <c r="VK171">
        <v>2</v>
      </c>
      <c r="VL171">
        <v>2</v>
      </c>
      <c r="VM171">
        <v>2</v>
      </c>
      <c r="VN171">
        <v>2</v>
      </c>
      <c r="VO171">
        <v>2</v>
      </c>
      <c r="VP171">
        <v>2</v>
      </c>
      <c r="VQ171">
        <v>2</v>
      </c>
      <c r="VR171">
        <v>2</v>
      </c>
      <c r="VS171">
        <v>2</v>
      </c>
      <c r="VT171">
        <v>2</v>
      </c>
      <c r="VU171">
        <v>2</v>
      </c>
      <c r="VV171">
        <v>2</v>
      </c>
      <c r="VW171">
        <v>2</v>
      </c>
      <c r="VX171">
        <v>2</v>
      </c>
      <c r="VY171">
        <v>2</v>
      </c>
      <c r="VZ171">
        <v>2</v>
      </c>
      <c r="WA171">
        <v>2</v>
      </c>
      <c r="WB171">
        <v>2</v>
      </c>
      <c r="WC171">
        <v>2</v>
      </c>
      <c r="WD171">
        <v>2</v>
      </c>
      <c r="WE171">
        <v>2</v>
      </c>
      <c r="WF171">
        <v>2</v>
      </c>
      <c r="WG171">
        <v>2</v>
      </c>
      <c r="WH171">
        <v>2</v>
      </c>
      <c r="WI171">
        <v>2</v>
      </c>
      <c r="WJ171">
        <v>2</v>
      </c>
      <c r="WK171">
        <v>2</v>
      </c>
      <c r="WL171">
        <v>2</v>
      </c>
      <c r="WO171">
        <v>2</v>
      </c>
      <c r="WP171">
        <v>2</v>
      </c>
      <c r="WQ171">
        <v>2</v>
      </c>
      <c r="WR171">
        <v>2</v>
      </c>
      <c r="WS171">
        <v>2</v>
      </c>
      <c r="WT171">
        <v>2</v>
      </c>
      <c r="WU171">
        <v>2</v>
      </c>
      <c r="WV171">
        <v>2</v>
      </c>
      <c r="WW171">
        <v>2</v>
      </c>
      <c r="WX171">
        <v>2</v>
      </c>
      <c r="WY171">
        <v>2</v>
      </c>
      <c r="WZ171">
        <v>2</v>
      </c>
      <c r="XA171">
        <v>2</v>
      </c>
      <c r="XB171">
        <v>2</v>
      </c>
      <c r="XC171">
        <v>2</v>
      </c>
      <c r="XD171">
        <v>2</v>
      </c>
      <c r="XE171">
        <v>2</v>
      </c>
      <c r="XF171">
        <v>2</v>
      </c>
      <c r="XG171">
        <v>2</v>
      </c>
      <c r="XH171">
        <v>2</v>
      </c>
      <c r="XI171">
        <v>2</v>
      </c>
      <c r="XJ171">
        <v>2</v>
      </c>
      <c r="XK171">
        <v>2</v>
      </c>
      <c r="XL171">
        <v>2</v>
      </c>
      <c r="XM171">
        <v>2</v>
      </c>
      <c r="XN171">
        <v>2</v>
      </c>
      <c r="XO171">
        <v>2</v>
      </c>
      <c r="XP171">
        <v>2</v>
      </c>
      <c r="XQ171">
        <v>0</v>
      </c>
      <c r="XR171">
        <v>0</v>
      </c>
      <c r="XS171">
        <v>0</v>
      </c>
      <c r="XT171">
        <v>0</v>
      </c>
      <c r="XU171">
        <v>0</v>
      </c>
      <c r="XV171">
        <v>0</v>
      </c>
      <c r="XW171">
        <v>0</v>
      </c>
      <c r="XX171">
        <v>0</v>
      </c>
      <c r="XY171">
        <v>0</v>
      </c>
      <c r="XZ171">
        <v>0</v>
      </c>
      <c r="YA171">
        <v>0</v>
      </c>
      <c r="YB171">
        <v>0</v>
      </c>
      <c r="YC171">
        <v>0</v>
      </c>
      <c r="YD171">
        <v>0</v>
      </c>
      <c r="YE171">
        <v>0</v>
      </c>
      <c r="YF171">
        <v>0</v>
      </c>
      <c r="YG171">
        <v>0</v>
      </c>
      <c r="YH171">
        <v>0</v>
      </c>
      <c r="YI171">
        <v>0</v>
      </c>
      <c r="YJ171">
        <v>0</v>
      </c>
      <c r="YK171">
        <v>0</v>
      </c>
      <c r="YL171">
        <v>0</v>
      </c>
      <c r="YM171">
        <v>0</v>
      </c>
      <c r="YN171">
        <v>0</v>
      </c>
      <c r="YO171">
        <v>0</v>
      </c>
      <c r="YP171">
        <v>0</v>
      </c>
      <c r="YQ171">
        <v>0</v>
      </c>
      <c r="YR171">
        <v>0</v>
      </c>
      <c r="YS171">
        <v>0</v>
      </c>
      <c r="YT171">
        <v>0</v>
      </c>
      <c r="YU171">
        <v>0</v>
      </c>
      <c r="YV171">
        <v>0</v>
      </c>
      <c r="YW171">
        <v>0</v>
      </c>
      <c r="YX171">
        <v>0</v>
      </c>
      <c r="YY171">
        <v>0</v>
      </c>
      <c r="YZ171">
        <v>0</v>
      </c>
      <c r="ZA171">
        <v>0</v>
      </c>
      <c r="ZB171">
        <v>0</v>
      </c>
      <c r="ZC171">
        <v>0</v>
      </c>
      <c r="ZD171">
        <v>0</v>
      </c>
      <c r="ZE171">
        <v>0</v>
      </c>
      <c r="ZF171">
        <v>0</v>
      </c>
      <c r="ZG171">
        <v>0</v>
      </c>
      <c r="ZH171">
        <v>0</v>
      </c>
      <c r="ZI171">
        <v>0</v>
      </c>
      <c r="ZJ171">
        <v>0</v>
      </c>
      <c r="ZK171">
        <v>0</v>
      </c>
      <c r="ZL171">
        <v>0</v>
      </c>
      <c r="ZM171">
        <v>0</v>
      </c>
      <c r="ZN171">
        <v>0</v>
      </c>
      <c r="ZO171">
        <v>0</v>
      </c>
      <c r="ZP171">
        <v>0</v>
      </c>
      <c r="ZQ171">
        <v>0</v>
      </c>
      <c r="ZR171">
        <v>0</v>
      </c>
      <c r="ZS171">
        <v>0</v>
      </c>
      <c r="ZT171">
        <v>0</v>
      </c>
      <c r="ZU171">
        <v>0</v>
      </c>
      <c r="ZV171">
        <v>0</v>
      </c>
      <c r="ZW171">
        <v>0</v>
      </c>
      <c r="ZX171">
        <v>0</v>
      </c>
      <c r="ZY171">
        <v>0</v>
      </c>
      <c r="ZZ171">
        <v>0</v>
      </c>
      <c r="AAA171">
        <v>0</v>
      </c>
      <c r="AAB171">
        <v>0</v>
      </c>
      <c r="AAC171">
        <v>0</v>
      </c>
      <c r="AAD171">
        <v>0</v>
      </c>
      <c r="AAE171">
        <v>0</v>
      </c>
      <c r="AAF171">
        <v>2</v>
      </c>
      <c r="AAG171">
        <v>2</v>
      </c>
      <c r="AAH171">
        <v>2</v>
      </c>
      <c r="AAI171">
        <v>2</v>
      </c>
      <c r="AAJ171">
        <v>2</v>
      </c>
      <c r="AAK171">
        <v>2</v>
      </c>
      <c r="AAL171">
        <v>2</v>
      </c>
      <c r="AAM171">
        <v>2</v>
      </c>
      <c r="AAN171">
        <v>2</v>
      </c>
      <c r="AAO171">
        <v>2</v>
      </c>
      <c r="AAP171">
        <v>2</v>
      </c>
      <c r="AAQ171">
        <v>2</v>
      </c>
      <c r="AAR171">
        <v>2</v>
      </c>
      <c r="AAS171">
        <v>2</v>
      </c>
      <c r="AAT171">
        <v>2</v>
      </c>
      <c r="AAU171">
        <v>2</v>
      </c>
      <c r="AAV171">
        <v>2</v>
      </c>
      <c r="AAW171">
        <v>2</v>
      </c>
      <c r="AAX171">
        <v>2</v>
      </c>
      <c r="AAY171">
        <v>2</v>
      </c>
      <c r="AAZ171">
        <v>2</v>
      </c>
      <c r="ABA171">
        <v>2</v>
      </c>
      <c r="ABB171">
        <v>0</v>
      </c>
      <c r="ABC171">
        <v>0</v>
      </c>
      <c r="ABD171">
        <v>0</v>
      </c>
      <c r="ABE171">
        <v>0</v>
      </c>
      <c r="ABG171" s="1137">
        <f t="shared" si="45"/>
        <v>0</v>
      </c>
      <c r="ABH171" s="1137">
        <f t="shared" si="45"/>
        <v>0</v>
      </c>
      <c r="ABI171" s="1137">
        <f t="shared" si="45"/>
        <v>0</v>
      </c>
      <c r="ABJ171" s="1137">
        <f t="shared" si="45"/>
        <v>0</v>
      </c>
      <c r="ABK171" s="1137">
        <f t="shared" si="45"/>
        <v>0</v>
      </c>
      <c r="ABL171" s="1137">
        <f t="shared" si="45"/>
        <v>0</v>
      </c>
      <c r="ABM171" s="1137">
        <f t="shared" si="45"/>
        <v>0</v>
      </c>
      <c r="ABN171" s="1137">
        <f t="shared" si="45"/>
        <v>0</v>
      </c>
      <c r="ABO171" s="1137">
        <f t="shared" si="45"/>
        <v>0</v>
      </c>
      <c r="ABP171" s="1137">
        <f t="shared" si="45"/>
        <v>0</v>
      </c>
      <c r="ABQ171" s="1137">
        <f t="shared" si="45"/>
        <v>0</v>
      </c>
      <c r="ABR171" s="1137">
        <f t="shared" si="45"/>
        <v>2</v>
      </c>
      <c r="ABS171" s="1137">
        <f t="shared" si="45"/>
        <v>18</v>
      </c>
      <c r="ABT171" s="1137">
        <f t="shared" si="45"/>
        <v>13</v>
      </c>
      <c r="ABU171" s="1137">
        <f t="shared" si="45"/>
        <v>31</v>
      </c>
      <c r="ABV171" s="1137">
        <f t="shared" si="45"/>
        <v>30</v>
      </c>
      <c r="ABW171" s="1137">
        <f t="shared" si="31"/>
        <v>31</v>
      </c>
      <c r="ABX171" s="1137">
        <f t="shared" si="31"/>
        <v>30</v>
      </c>
      <c r="ABY171" s="1137">
        <f t="shared" si="31"/>
        <v>31</v>
      </c>
      <c r="ABZ171" s="1137">
        <f t="shared" si="31"/>
        <v>30</v>
      </c>
      <c r="ACA171" s="1137">
        <f t="shared" si="31"/>
        <v>28</v>
      </c>
      <c r="ACB171" s="1137">
        <f t="shared" si="31"/>
        <v>0</v>
      </c>
      <c r="ACC171" s="1137">
        <f t="shared" si="31"/>
        <v>0</v>
      </c>
      <c r="ACD171" s="1137">
        <f t="shared" si="31"/>
        <v>22</v>
      </c>
      <c r="ACE171" s="1137" t="s">
        <v>71</v>
      </c>
      <c r="ACF171" s="1137">
        <f t="shared" si="39"/>
        <v>0</v>
      </c>
      <c r="ACG171" s="1137">
        <f t="shared" si="39"/>
        <v>0</v>
      </c>
      <c r="ACH171" s="1137">
        <f t="shared" si="39"/>
        <v>0</v>
      </c>
      <c r="ACI171" s="1137">
        <f t="shared" si="39"/>
        <v>0</v>
      </c>
      <c r="ACJ171" s="1137">
        <f t="shared" si="39"/>
        <v>0</v>
      </c>
      <c r="ACK171" s="1137">
        <f t="shared" si="39"/>
        <v>0</v>
      </c>
      <c r="ACL171" s="1137">
        <f t="shared" si="39"/>
        <v>0</v>
      </c>
      <c r="ACM171" s="1137">
        <f t="shared" si="39"/>
        <v>0</v>
      </c>
      <c r="ACN171" s="1137">
        <f t="shared" si="39"/>
        <v>0</v>
      </c>
      <c r="ACO171" s="1137">
        <f t="shared" si="39"/>
        <v>0</v>
      </c>
      <c r="ACP171" s="1137">
        <f t="shared" si="39"/>
        <v>0</v>
      </c>
      <c r="ACQ171" s="1137">
        <f t="shared" si="39"/>
        <v>0</v>
      </c>
      <c r="ACR171" s="1137">
        <f t="shared" si="39"/>
        <v>1</v>
      </c>
      <c r="ACS171" s="1137">
        <f t="shared" si="39"/>
        <v>1</v>
      </c>
      <c r="ACT171" s="1137">
        <f t="shared" si="43"/>
        <v>1</v>
      </c>
      <c r="ACU171" s="1137">
        <f t="shared" si="43"/>
        <v>1</v>
      </c>
      <c r="ACV171" s="1137">
        <f t="shared" si="43"/>
        <v>1</v>
      </c>
      <c r="ACW171" s="1137">
        <f t="shared" si="43"/>
        <v>1</v>
      </c>
      <c r="ACX171" s="1137">
        <f t="shared" si="42"/>
        <v>1</v>
      </c>
      <c r="ACY171" s="1137">
        <f t="shared" si="42"/>
        <v>1</v>
      </c>
      <c r="ACZ171" s="1137">
        <f t="shared" si="42"/>
        <v>1</v>
      </c>
      <c r="ADA171" s="1137">
        <f t="shared" si="35"/>
        <v>0</v>
      </c>
      <c r="ADB171" s="1137">
        <f t="shared" si="35"/>
        <v>0</v>
      </c>
      <c r="ADC171" s="1137">
        <f t="shared" si="35"/>
        <v>1</v>
      </c>
    </row>
    <row r="172" spans="1:783" x14ac:dyDescent="0.25">
      <c r="A172" t="s">
        <v>529</v>
      </c>
      <c r="B172" t="s">
        <v>265</v>
      </c>
      <c r="C172">
        <v>0</v>
      </c>
      <c r="D172">
        <v>0</v>
      </c>
      <c r="E172">
        <v>0</v>
      </c>
      <c r="F172">
        <v>0</v>
      </c>
      <c r="G172">
        <v>0</v>
      </c>
      <c r="H172">
        <v>0</v>
      </c>
      <c r="I172">
        <v>0</v>
      </c>
      <c r="J172">
        <v>0</v>
      </c>
      <c r="K172">
        <v>0</v>
      </c>
      <c r="L172">
        <v>0</v>
      </c>
      <c r="M172">
        <v>0</v>
      </c>
      <c r="N172">
        <v>0</v>
      </c>
      <c r="O172">
        <v>0</v>
      </c>
      <c r="P172">
        <v>0</v>
      </c>
      <c r="Q172">
        <v>0</v>
      </c>
      <c r="R172">
        <v>0</v>
      </c>
      <c r="S172">
        <v>0</v>
      </c>
      <c r="T172">
        <v>0</v>
      </c>
      <c r="U172">
        <v>0</v>
      </c>
      <c r="V172">
        <v>0</v>
      </c>
      <c r="W172">
        <v>0</v>
      </c>
      <c r="X172">
        <v>0</v>
      </c>
      <c r="Y172">
        <v>0</v>
      </c>
      <c r="Z172">
        <v>0</v>
      </c>
      <c r="AA172">
        <v>0</v>
      </c>
      <c r="AB172">
        <v>0</v>
      </c>
      <c r="AC172">
        <v>0</v>
      </c>
      <c r="AD172">
        <v>0</v>
      </c>
      <c r="AE172">
        <v>0</v>
      </c>
      <c r="AF172">
        <v>0</v>
      </c>
      <c r="AG172">
        <v>0</v>
      </c>
      <c r="AH172">
        <v>0</v>
      </c>
      <c r="AI172">
        <v>0</v>
      </c>
      <c r="AJ172">
        <v>0</v>
      </c>
      <c r="AK172">
        <v>0</v>
      </c>
      <c r="AL172">
        <v>0</v>
      </c>
      <c r="AM172">
        <v>0</v>
      </c>
      <c r="AN172">
        <v>0</v>
      </c>
      <c r="AO172">
        <v>0</v>
      </c>
      <c r="AP172">
        <v>0</v>
      </c>
      <c r="AQ172">
        <v>0</v>
      </c>
      <c r="AR172">
        <v>0</v>
      </c>
      <c r="AS172">
        <v>0</v>
      </c>
      <c r="AT172">
        <v>0</v>
      </c>
      <c r="AU172">
        <v>0</v>
      </c>
      <c r="AV172">
        <v>0</v>
      </c>
      <c r="AW172">
        <v>0</v>
      </c>
      <c r="AX172">
        <v>0</v>
      </c>
      <c r="AY172">
        <v>0</v>
      </c>
      <c r="AZ172">
        <v>0</v>
      </c>
      <c r="BA172">
        <v>0</v>
      </c>
      <c r="BB172">
        <v>0</v>
      </c>
      <c r="BC172">
        <v>0</v>
      </c>
      <c r="BD172">
        <v>0</v>
      </c>
      <c r="BE172">
        <v>0</v>
      </c>
      <c r="BF172">
        <v>0</v>
      </c>
      <c r="BG172">
        <v>0</v>
      </c>
      <c r="BH172">
        <v>0</v>
      </c>
      <c r="BI172">
        <v>0</v>
      </c>
      <c r="BJ172">
        <v>0</v>
      </c>
      <c r="BK172">
        <v>0</v>
      </c>
      <c r="BL172">
        <v>0</v>
      </c>
      <c r="BM172">
        <v>0</v>
      </c>
      <c r="BN172">
        <v>0</v>
      </c>
      <c r="BO172">
        <v>0</v>
      </c>
      <c r="BP172">
        <v>0</v>
      </c>
      <c r="BQ172">
        <v>0</v>
      </c>
      <c r="BR172">
        <v>0</v>
      </c>
      <c r="BS172">
        <v>0</v>
      </c>
      <c r="BT172">
        <v>0</v>
      </c>
      <c r="BU172">
        <v>0</v>
      </c>
      <c r="BV172">
        <v>0</v>
      </c>
      <c r="BW172">
        <v>0</v>
      </c>
      <c r="BX172">
        <v>0</v>
      </c>
      <c r="BY172">
        <v>0</v>
      </c>
      <c r="BZ172">
        <v>0</v>
      </c>
      <c r="CA172">
        <v>0</v>
      </c>
      <c r="CB172">
        <v>0</v>
      </c>
      <c r="CC172">
        <v>0</v>
      </c>
      <c r="CD172">
        <v>0</v>
      </c>
      <c r="CE172">
        <v>0</v>
      </c>
      <c r="CF172">
        <v>0</v>
      </c>
      <c r="CG172">
        <v>0</v>
      </c>
      <c r="CH172">
        <v>0</v>
      </c>
      <c r="CI172">
        <v>0</v>
      </c>
      <c r="CJ172">
        <v>0</v>
      </c>
      <c r="CK172">
        <v>0</v>
      </c>
      <c r="CL172">
        <v>0</v>
      </c>
      <c r="CM172">
        <v>2</v>
      </c>
      <c r="CN172">
        <v>2</v>
      </c>
      <c r="CO172">
        <v>2</v>
      </c>
      <c r="CP172">
        <v>2</v>
      </c>
      <c r="CQ172">
        <v>2</v>
      </c>
      <c r="CR172">
        <v>2</v>
      </c>
      <c r="CS172">
        <v>2</v>
      </c>
      <c r="CT172">
        <v>2</v>
      </c>
      <c r="CU172">
        <v>2</v>
      </c>
      <c r="CV172">
        <v>2</v>
      </c>
      <c r="CW172">
        <v>2</v>
      </c>
      <c r="CX172">
        <v>2</v>
      </c>
      <c r="CY172">
        <v>2</v>
      </c>
      <c r="CZ172">
        <v>2</v>
      </c>
      <c r="DA172">
        <v>0</v>
      </c>
      <c r="DB172">
        <v>0</v>
      </c>
      <c r="DC172">
        <v>0</v>
      </c>
      <c r="DD172">
        <v>0</v>
      </c>
      <c r="DE172">
        <v>0</v>
      </c>
      <c r="DF172">
        <v>0</v>
      </c>
      <c r="DG172">
        <v>0</v>
      </c>
      <c r="DH172">
        <v>0</v>
      </c>
      <c r="DI172">
        <v>0</v>
      </c>
      <c r="DJ172">
        <v>0</v>
      </c>
      <c r="DK172">
        <v>0</v>
      </c>
      <c r="DL172">
        <v>0</v>
      </c>
      <c r="DM172">
        <v>0</v>
      </c>
      <c r="DN172">
        <v>0</v>
      </c>
      <c r="DO172">
        <v>0</v>
      </c>
      <c r="DP172">
        <v>0</v>
      </c>
      <c r="DQ172">
        <v>0</v>
      </c>
      <c r="DR172">
        <v>0</v>
      </c>
      <c r="DS172">
        <v>0</v>
      </c>
      <c r="DT172">
        <v>0</v>
      </c>
      <c r="DU172">
        <v>0</v>
      </c>
      <c r="DV172">
        <v>0</v>
      </c>
      <c r="DW172">
        <v>0</v>
      </c>
      <c r="DX172">
        <v>0</v>
      </c>
      <c r="DY172">
        <v>0</v>
      </c>
      <c r="DZ172">
        <v>0</v>
      </c>
      <c r="EA172">
        <v>0</v>
      </c>
      <c r="EB172">
        <v>0</v>
      </c>
      <c r="EC172">
        <v>0</v>
      </c>
      <c r="ED172">
        <v>0</v>
      </c>
      <c r="EE172">
        <v>0</v>
      </c>
      <c r="EF172">
        <v>0</v>
      </c>
      <c r="EG172">
        <v>0</v>
      </c>
      <c r="EH172">
        <v>0</v>
      </c>
      <c r="EI172">
        <v>0</v>
      </c>
      <c r="EJ172">
        <v>0</v>
      </c>
      <c r="EK172">
        <v>0</v>
      </c>
      <c r="EL172">
        <v>0</v>
      </c>
      <c r="EM172">
        <v>0</v>
      </c>
      <c r="EN172">
        <v>0</v>
      </c>
      <c r="EO172">
        <v>0</v>
      </c>
      <c r="EP172">
        <v>0</v>
      </c>
      <c r="EQ172">
        <v>0</v>
      </c>
      <c r="ER172">
        <v>0</v>
      </c>
      <c r="ES172">
        <v>0</v>
      </c>
      <c r="ET172">
        <v>0</v>
      </c>
      <c r="EU172">
        <v>0</v>
      </c>
      <c r="EV172">
        <v>0</v>
      </c>
      <c r="EW172">
        <v>0</v>
      </c>
      <c r="EX172">
        <v>0</v>
      </c>
      <c r="EY172">
        <v>0</v>
      </c>
      <c r="EZ172">
        <v>0</v>
      </c>
      <c r="FA172">
        <v>0</v>
      </c>
      <c r="FB172">
        <v>0</v>
      </c>
      <c r="FC172">
        <v>0</v>
      </c>
      <c r="FD172">
        <v>0</v>
      </c>
      <c r="FE172">
        <v>0</v>
      </c>
      <c r="FF172">
        <v>0</v>
      </c>
      <c r="FG172">
        <v>0</v>
      </c>
      <c r="FH172">
        <v>0</v>
      </c>
      <c r="FI172">
        <v>0</v>
      </c>
      <c r="FJ172">
        <v>0</v>
      </c>
      <c r="FK172">
        <v>0</v>
      </c>
      <c r="FL172">
        <v>0</v>
      </c>
      <c r="FM172">
        <v>0</v>
      </c>
      <c r="FN172">
        <v>0</v>
      </c>
      <c r="FO172">
        <v>0</v>
      </c>
      <c r="FP172">
        <v>0</v>
      </c>
      <c r="FQ172">
        <v>0</v>
      </c>
      <c r="FR172">
        <v>0</v>
      </c>
      <c r="FS172">
        <v>0</v>
      </c>
      <c r="FT172">
        <v>0</v>
      </c>
      <c r="FU172">
        <v>0</v>
      </c>
      <c r="FV172">
        <v>0</v>
      </c>
      <c r="FW172">
        <v>0</v>
      </c>
      <c r="FX172">
        <v>0</v>
      </c>
      <c r="FY172">
        <v>0</v>
      </c>
      <c r="FZ172">
        <v>0</v>
      </c>
      <c r="GA172">
        <v>0</v>
      </c>
      <c r="GB172">
        <v>0</v>
      </c>
      <c r="GC172">
        <v>0</v>
      </c>
      <c r="GD172">
        <v>0</v>
      </c>
      <c r="GE172">
        <v>0</v>
      </c>
      <c r="GF172">
        <v>0</v>
      </c>
      <c r="GG172">
        <v>0</v>
      </c>
      <c r="GH172">
        <v>0</v>
      </c>
      <c r="GI172">
        <v>0</v>
      </c>
      <c r="GJ172">
        <v>0</v>
      </c>
      <c r="GK172">
        <v>0</v>
      </c>
      <c r="GL172">
        <v>0</v>
      </c>
      <c r="GM172">
        <v>0</v>
      </c>
      <c r="GN172">
        <v>0</v>
      </c>
      <c r="GO172">
        <v>0</v>
      </c>
      <c r="GP172">
        <v>0</v>
      </c>
      <c r="GQ172">
        <v>0</v>
      </c>
      <c r="GR172">
        <v>0</v>
      </c>
      <c r="GS172">
        <v>0</v>
      </c>
      <c r="GT172">
        <v>0</v>
      </c>
      <c r="GU172">
        <v>0</v>
      </c>
      <c r="GV172">
        <v>0</v>
      </c>
      <c r="GW172">
        <v>0</v>
      </c>
      <c r="GX172">
        <v>0</v>
      </c>
      <c r="GY172">
        <v>0</v>
      </c>
      <c r="GZ172">
        <v>0</v>
      </c>
      <c r="HA172">
        <v>0</v>
      </c>
      <c r="HB172">
        <v>0</v>
      </c>
      <c r="HC172">
        <v>0</v>
      </c>
      <c r="HD172">
        <v>0</v>
      </c>
      <c r="HE172">
        <v>0</v>
      </c>
      <c r="HF172">
        <v>0</v>
      </c>
      <c r="HG172">
        <v>0</v>
      </c>
      <c r="HH172">
        <v>0</v>
      </c>
      <c r="HI172">
        <v>0</v>
      </c>
      <c r="HJ172">
        <v>0</v>
      </c>
      <c r="HK172">
        <v>0</v>
      </c>
      <c r="HL172">
        <v>0</v>
      </c>
      <c r="HM172">
        <v>0</v>
      </c>
      <c r="HN172">
        <v>0</v>
      </c>
      <c r="HO172">
        <v>0</v>
      </c>
      <c r="HP172">
        <v>0</v>
      </c>
      <c r="HQ172">
        <v>0</v>
      </c>
      <c r="HR172">
        <v>0</v>
      </c>
      <c r="HS172">
        <v>0</v>
      </c>
      <c r="HT172">
        <v>0</v>
      </c>
      <c r="HU172">
        <v>0</v>
      </c>
      <c r="HV172">
        <v>0</v>
      </c>
      <c r="HW172">
        <v>0</v>
      </c>
      <c r="HX172">
        <v>0</v>
      </c>
      <c r="HY172">
        <v>0</v>
      </c>
      <c r="HZ172">
        <v>0</v>
      </c>
      <c r="IA172">
        <v>0</v>
      </c>
      <c r="IB172">
        <v>0</v>
      </c>
      <c r="IC172">
        <v>0</v>
      </c>
      <c r="ID172">
        <v>0</v>
      </c>
      <c r="IE172">
        <v>0</v>
      </c>
      <c r="IF172">
        <v>0</v>
      </c>
      <c r="IG172">
        <v>0</v>
      </c>
      <c r="IH172">
        <v>0</v>
      </c>
      <c r="II172">
        <v>0</v>
      </c>
      <c r="IJ172">
        <v>0</v>
      </c>
      <c r="IK172">
        <v>0</v>
      </c>
      <c r="IL172">
        <v>0</v>
      </c>
      <c r="IM172">
        <v>0</v>
      </c>
      <c r="IN172">
        <v>0</v>
      </c>
      <c r="IO172">
        <v>0</v>
      </c>
      <c r="IP172">
        <v>0</v>
      </c>
      <c r="IQ172">
        <v>0</v>
      </c>
      <c r="IR172">
        <v>0</v>
      </c>
      <c r="IS172">
        <v>0</v>
      </c>
      <c r="IT172">
        <v>0</v>
      </c>
      <c r="IU172">
        <v>0</v>
      </c>
      <c r="IV172">
        <v>0</v>
      </c>
      <c r="IW172">
        <v>0</v>
      </c>
      <c r="IX172">
        <v>0</v>
      </c>
      <c r="IY172">
        <v>0</v>
      </c>
      <c r="IZ172">
        <v>0</v>
      </c>
      <c r="JA172">
        <v>0</v>
      </c>
      <c r="JB172">
        <v>0</v>
      </c>
      <c r="JC172">
        <v>0</v>
      </c>
      <c r="JD172">
        <v>0</v>
      </c>
      <c r="JE172">
        <v>0</v>
      </c>
      <c r="JF172">
        <v>0</v>
      </c>
      <c r="JG172">
        <v>0</v>
      </c>
      <c r="JH172">
        <v>0</v>
      </c>
      <c r="JI172">
        <v>0</v>
      </c>
      <c r="JJ172">
        <v>0</v>
      </c>
      <c r="JK172">
        <v>0</v>
      </c>
      <c r="JL172">
        <v>0</v>
      </c>
      <c r="JM172">
        <v>0</v>
      </c>
      <c r="JN172">
        <v>0</v>
      </c>
      <c r="JO172">
        <v>0</v>
      </c>
      <c r="JP172">
        <v>0</v>
      </c>
      <c r="JQ172">
        <v>0</v>
      </c>
      <c r="JR172">
        <v>0</v>
      </c>
      <c r="JS172">
        <v>0</v>
      </c>
      <c r="JT172">
        <v>0</v>
      </c>
      <c r="JU172">
        <v>0</v>
      </c>
      <c r="JV172">
        <v>0</v>
      </c>
      <c r="JW172">
        <v>0</v>
      </c>
      <c r="JX172">
        <v>0</v>
      </c>
      <c r="JY172">
        <v>0</v>
      </c>
      <c r="JZ172">
        <v>0</v>
      </c>
      <c r="KA172">
        <v>0</v>
      </c>
      <c r="KB172">
        <v>0</v>
      </c>
      <c r="KC172">
        <v>0</v>
      </c>
      <c r="KD172">
        <v>0</v>
      </c>
      <c r="KE172">
        <v>0</v>
      </c>
      <c r="KF172">
        <v>0</v>
      </c>
      <c r="KG172">
        <v>0</v>
      </c>
      <c r="KH172">
        <v>0</v>
      </c>
      <c r="KI172">
        <v>0</v>
      </c>
      <c r="KJ172">
        <v>0</v>
      </c>
      <c r="KK172">
        <v>0</v>
      </c>
      <c r="KL172">
        <v>0</v>
      </c>
      <c r="KM172">
        <v>0</v>
      </c>
      <c r="KN172">
        <v>0</v>
      </c>
      <c r="KO172">
        <v>0</v>
      </c>
      <c r="KP172">
        <v>0</v>
      </c>
      <c r="KQ172">
        <v>0</v>
      </c>
      <c r="KR172">
        <v>0</v>
      </c>
      <c r="KS172">
        <v>0</v>
      </c>
      <c r="KT172">
        <v>0</v>
      </c>
      <c r="KU172">
        <v>0</v>
      </c>
      <c r="KV172">
        <v>0</v>
      </c>
      <c r="KW172">
        <v>0</v>
      </c>
      <c r="KX172">
        <v>0</v>
      </c>
      <c r="KY172">
        <v>0</v>
      </c>
      <c r="KZ172">
        <v>0</v>
      </c>
      <c r="LA172">
        <v>0</v>
      </c>
      <c r="LB172">
        <v>0</v>
      </c>
      <c r="LC172">
        <v>0</v>
      </c>
      <c r="LD172">
        <v>0</v>
      </c>
      <c r="LE172">
        <v>0</v>
      </c>
      <c r="LF172">
        <v>0</v>
      </c>
      <c r="LG172">
        <v>0</v>
      </c>
      <c r="LH172">
        <v>0</v>
      </c>
      <c r="LI172">
        <v>0</v>
      </c>
      <c r="LJ172">
        <v>0</v>
      </c>
      <c r="LK172">
        <v>0</v>
      </c>
      <c r="LL172">
        <v>0</v>
      </c>
      <c r="LM172">
        <v>0</v>
      </c>
      <c r="LN172">
        <v>0</v>
      </c>
      <c r="LO172">
        <v>0</v>
      </c>
      <c r="LP172">
        <v>0</v>
      </c>
      <c r="LQ172">
        <v>0</v>
      </c>
      <c r="LR172">
        <v>0</v>
      </c>
      <c r="LS172">
        <v>0</v>
      </c>
      <c r="LT172">
        <v>0</v>
      </c>
      <c r="LU172">
        <v>0</v>
      </c>
      <c r="LV172">
        <v>0</v>
      </c>
      <c r="LW172">
        <v>0</v>
      </c>
      <c r="LX172">
        <v>0</v>
      </c>
      <c r="LY172">
        <v>0</v>
      </c>
      <c r="LZ172">
        <v>0</v>
      </c>
      <c r="MA172">
        <v>0</v>
      </c>
      <c r="MB172">
        <v>0</v>
      </c>
      <c r="MC172">
        <v>0</v>
      </c>
      <c r="MD172">
        <v>0</v>
      </c>
      <c r="ME172">
        <v>0</v>
      </c>
      <c r="MF172">
        <v>0</v>
      </c>
      <c r="MG172">
        <v>0</v>
      </c>
      <c r="MH172">
        <v>0</v>
      </c>
      <c r="MI172">
        <v>0</v>
      </c>
      <c r="MJ172">
        <v>0</v>
      </c>
      <c r="MK172">
        <v>0</v>
      </c>
      <c r="ML172">
        <v>0</v>
      </c>
      <c r="MM172">
        <v>0</v>
      </c>
      <c r="MN172">
        <v>0</v>
      </c>
      <c r="MO172">
        <v>0</v>
      </c>
      <c r="MP172">
        <v>0</v>
      </c>
      <c r="MQ172">
        <v>0</v>
      </c>
      <c r="MR172">
        <v>0</v>
      </c>
      <c r="MS172">
        <v>0</v>
      </c>
      <c r="MT172">
        <v>0</v>
      </c>
      <c r="MU172">
        <v>0</v>
      </c>
      <c r="MV172">
        <v>0</v>
      </c>
      <c r="MW172">
        <v>0</v>
      </c>
      <c r="MX172">
        <v>0</v>
      </c>
      <c r="MY172">
        <v>0</v>
      </c>
      <c r="MZ172">
        <v>0</v>
      </c>
      <c r="NA172">
        <v>0</v>
      </c>
      <c r="NB172">
        <v>0</v>
      </c>
      <c r="NC172">
        <v>0</v>
      </c>
      <c r="ND172">
        <v>0</v>
      </c>
      <c r="NE172">
        <v>0</v>
      </c>
      <c r="NF172">
        <v>0</v>
      </c>
      <c r="NG172">
        <v>0</v>
      </c>
      <c r="NH172">
        <v>0</v>
      </c>
      <c r="NI172">
        <v>0</v>
      </c>
      <c r="NJ172">
        <v>0</v>
      </c>
      <c r="NK172">
        <v>0</v>
      </c>
      <c r="NL172">
        <v>0</v>
      </c>
      <c r="NM172">
        <v>0</v>
      </c>
      <c r="NN172">
        <v>0</v>
      </c>
      <c r="NO172">
        <v>0</v>
      </c>
      <c r="NP172">
        <v>0</v>
      </c>
      <c r="NQ172">
        <v>0</v>
      </c>
      <c r="NR172">
        <v>0</v>
      </c>
      <c r="NS172">
        <v>0</v>
      </c>
      <c r="NT172">
        <v>0</v>
      </c>
      <c r="NU172">
        <v>0</v>
      </c>
      <c r="NV172">
        <v>0</v>
      </c>
      <c r="NW172">
        <v>0</v>
      </c>
      <c r="NX172">
        <v>0</v>
      </c>
      <c r="NY172">
        <v>0</v>
      </c>
      <c r="NZ172">
        <v>0</v>
      </c>
      <c r="OA172">
        <v>0</v>
      </c>
      <c r="OB172">
        <v>0</v>
      </c>
      <c r="OC172">
        <v>0</v>
      </c>
      <c r="OD172">
        <v>0</v>
      </c>
      <c r="OE172">
        <v>0</v>
      </c>
      <c r="OF172">
        <v>0</v>
      </c>
      <c r="OG172">
        <v>0</v>
      </c>
      <c r="OH172">
        <v>0</v>
      </c>
      <c r="OI172">
        <v>0</v>
      </c>
      <c r="OJ172">
        <v>0</v>
      </c>
      <c r="OK172">
        <v>0</v>
      </c>
      <c r="OL172">
        <v>0</v>
      </c>
      <c r="OM172">
        <v>0</v>
      </c>
      <c r="ON172">
        <v>0</v>
      </c>
      <c r="OO172">
        <v>0</v>
      </c>
      <c r="OP172">
        <v>0</v>
      </c>
      <c r="OQ172">
        <v>0</v>
      </c>
      <c r="OR172">
        <v>0</v>
      </c>
      <c r="OS172">
        <v>0</v>
      </c>
      <c r="OT172">
        <v>0</v>
      </c>
      <c r="OU172">
        <v>0</v>
      </c>
      <c r="OV172">
        <v>0</v>
      </c>
      <c r="OW172">
        <v>0</v>
      </c>
      <c r="OX172">
        <v>0</v>
      </c>
      <c r="OY172">
        <v>0</v>
      </c>
      <c r="OZ172">
        <v>0</v>
      </c>
      <c r="PA172">
        <v>0</v>
      </c>
      <c r="PB172">
        <v>0</v>
      </c>
      <c r="PC172">
        <v>0</v>
      </c>
      <c r="PD172">
        <v>0</v>
      </c>
      <c r="PE172">
        <v>0</v>
      </c>
      <c r="PF172">
        <v>0</v>
      </c>
      <c r="PG172">
        <v>0</v>
      </c>
      <c r="PH172">
        <v>0</v>
      </c>
      <c r="PI172">
        <v>0</v>
      </c>
      <c r="PJ172">
        <v>0</v>
      </c>
      <c r="PK172">
        <v>0</v>
      </c>
      <c r="PL172">
        <v>0</v>
      </c>
      <c r="PM172">
        <v>0</v>
      </c>
      <c r="PN172">
        <v>0</v>
      </c>
      <c r="PO172">
        <v>0</v>
      </c>
      <c r="PP172">
        <v>0</v>
      </c>
      <c r="PQ172">
        <v>0</v>
      </c>
      <c r="PR172">
        <v>0</v>
      </c>
      <c r="PS172">
        <v>0</v>
      </c>
      <c r="PT172">
        <v>0</v>
      </c>
      <c r="PU172">
        <v>0</v>
      </c>
      <c r="PV172">
        <v>0</v>
      </c>
      <c r="PW172">
        <v>0</v>
      </c>
      <c r="PX172">
        <v>0</v>
      </c>
      <c r="PY172">
        <v>0</v>
      </c>
      <c r="PZ172">
        <v>0</v>
      </c>
      <c r="QA172">
        <v>0</v>
      </c>
      <c r="QB172">
        <v>0</v>
      </c>
      <c r="QC172">
        <v>0</v>
      </c>
      <c r="QD172">
        <v>0</v>
      </c>
      <c r="QE172">
        <v>0</v>
      </c>
      <c r="QF172">
        <v>0</v>
      </c>
      <c r="QG172">
        <v>0</v>
      </c>
      <c r="QH172">
        <v>0</v>
      </c>
      <c r="QI172">
        <v>0</v>
      </c>
      <c r="QJ172">
        <v>0</v>
      </c>
      <c r="QK172">
        <v>0</v>
      </c>
      <c r="QL172">
        <v>0</v>
      </c>
      <c r="QM172">
        <v>0</v>
      </c>
      <c r="QN172">
        <v>0</v>
      </c>
      <c r="QO172">
        <v>0</v>
      </c>
      <c r="QP172">
        <v>0</v>
      </c>
      <c r="QQ172">
        <v>0</v>
      </c>
      <c r="QR172">
        <v>0</v>
      </c>
      <c r="QS172">
        <v>0</v>
      </c>
      <c r="QT172">
        <v>0</v>
      </c>
      <c r="QU172">
        <v>0</v>
      </c>
      <c r="QV172">
        <v>0</v>
      </c>
      <c r="QW172">
        <v>0</v>
      </c>
      <c r="QX172">
        <v>0</v>
      </c>
      <c r="QY172">
        <v>0</v>
      </c>
      <c r="QZ172">
        <v>0</v>
      </c>
      <c r="RA172">
        <v>0</v>
      </c>
      <c r="RB172">
        <v>0</v>
      </c>
      <c r="RC172">
        <v>0</v>
      </c>
      <c r="RD172">
        <v>0</v>
      </c>
      <c r="RE172">
        <v>0</v>
      </c>
      <c r="RF172">
        <v>0</v>
      </c>
      <c r="RG172">
        <v>0</v>
      </c>
      <c r="RH172">
        <v>0</v>
      </c>
      <c r="RI172">
        <v>0</v>
      </c>
      <c r="RJ172">
        <v>0</v>
      </c>
      <c r="RK172">
        <v>0</v>
      </c>
      <c r="RL172">
        <v>0</v>
      </c>
      <c r="RM172">
        <v>0</v>
      </c>
      <c r="RN172">
        <v>0</v>
      </c>
      <c r="RO172">
        <v>0</v>
      </c>
      <c r="RP172">
        <v>0</v>
      </c>
      <c r="RQ172">
        <v>0</v>
      </c>
      <c r="RR172">
        <v>0</v>
      </c>
      <c r="RS172">
        <v>0</v>
      </c>
      <c r="RT172">
        <v>0</v>
      </c>
      <c r="RU172">
        <v>0</v>
      </c>
      <c r="RV172">
        <v>0</v>
      </c>
      <c r="RW172">
        <v>0</v>
      </c>
      <c r="RX172">
        <v>0</v>
      </c>
      <c r="RY172">
        <v>0</v>
      </c>
      <c r="RZ172">
        <v>0</v>
      </c>
      <c r="SA172">
        <v>0</v>
      </c>
      <c r="SB172">
        <v>0</v>
      </c>
      <c r="SC172">
        <v>0</v>
      </c>
      <c r="SD172">
        <v>0</v>
      </c>
      <c r="SE172">
        <v>0</v>
      </c>
      <c r="SF172">
        <v>0</v>
      </c>
      <c r="SG172">
        <v>0</v>
      </c>
      <c r="SH172">
        <v>0</v>
      </c>
      <c r="SI172">
        <v>0</v>
      </c>
      <c r="SJ172">
        <v>0</v>
      </c>
      <c r="SK172">
        <v>0</v>
      </c>
      <c r="SL172">
        <v>0</v>
      </c>
      <c r="SM172">
        <v>0</v>
      </c>
      <c r="SN172">
        <v>0</v>
      </c>
      <c r="SO172">
        <v>0</v>
      </c>
      <c r="SP172">
        <v>0</v>
      </c>
      <c r="SQ172">
        <v>0</v>
      </c>
      <c r="SR172">
        <v>0</v>
      </c>
      <c r="SS172">
        <v>0</v>
      </c>
      <c r="ST172">
        <v>0</v>
      </c>
      <c r="SU172">
        <v>0</v>
      </c>
      <c r="SV172">
        <v>0</v>
      </c>
      <c r="SW172">
        <v>0</v>
      </c>
      <c r="SX172">
        <v>0</v>
      </c>
      <c r="SY172">
        <v>0</v>
      </c>
      <c r="SZ172">
        <v>0</v>
      </c>
      <c r="TA172">
        <v>0</v>
      </c>
      <c r="TB172">
        <v>0</v>
      </c>
      <c r="TC172">
        <v>0</v>
      </c>
      <c r="TD172">
        <v>0</v>
      </c>
      <c r="TE172">
        <v>0</v>
      </c>
      <c r="TF172">
        <v>0</v>
      </c>
      <c r="TG172">
        <v>0</v>
      </c>
      <c r="TH172">
        <v>0</v>
      </c>
      <c r="TI172">
        <v>0</v>
      </c>
      <c r="TJ172">
        <v>0</v>
      </c>
      <c r="TK172">
        <v>0</v>
      </c>
      <c r="TL172">
        <v>0</v>
      </c>
      <c r="TM172">
        <v>0</v>
      </c>
      <c r="TN172">
        <v>0</v>
      </c>
      <c r="TO172">
        <v>0</v>
      </c>
      <c r="TP172">
        <v>0</v>
      </c>
      <c r="TQ172">
        <v>0</v>
      </c>
      <c r="TR172">
        <v>0</v>
      </c>
      <c r="TS172">
        <v>0</v>
      </c>
      <c r="TT172">
        <v>0</v>
      </c>
      <c r="TU172">
        <v>0</v>
      </c>
      <c r="TV172">
        <v>0</v>
      </c>
      <c r="TW172">
        <v>0</v>
      </c>
      <c r="TX172">
        <v>0</v>
      </c>
      <c r="TY172">
        <v>0</v>
      </c>
      <c r="TZ172">
        <v>0</v>
      </c>
      <c r="UA172">
        <v>0</v>
      </c>
      <c r="UB172">
        <v>0</v>
      </c>
      <c r="UC172">
        <v>0</v>
      </c>
      <c r="UD172">
        <v>0</v>
      </c>
      <c r="UE172">
        <v>0</v>
      </c>
      <c r="UF172">
        <v>0</v>
      </c>
      <c r="UG172">
        <v>0</v>
      </c>
      <c r="UH172">
        <v>0</v>
      </c>
      <c r="UI172">
        <v>0</v>
      </c>
      <c r="UJ172">
        <v>0</v>
      </c>
      <c r="UK172">
        <v>0</v>
      </c>
      <c r="UL172">
        <v>0</v>
      </c>
      <c r="UM172">
        <v>0</v>
      </c>
      <c r="UN172">
        <v>0</v>
      </c>
      <c r="UO172">
        <v>0</v>
      </c>
      <c r="UP172">
        <v>0</v>
      </c>
      <c r="UQ172">
        <v>0</v>
      </c>
      <c r="UR172">
        <v>0</v>
      </c>
      <c r="US172">
        <v>0</v>
      </c>
      <c r="UT172">
        <v>0</v>
      </c>
      <c r="UU172">
        <v>0</v>
      </c>
      <c r="UV172">
        <v>0</v>
      </c>
      <c r="UW172">
        <v>0</v>
      </c>
      <c r="UX172">
        <v>0</v>
      </c>
      <c r="UY172">
        <v>0</v>
      </c>
      <c r="UZ172">
        <v>0</v>
      </c>
      <c r="VA172">
        <v>0</v>
      </c>
      <c r="VB172">
        <v>0</v>
      </c>
      <c r="VC172">
        <v>0</v>
      </c>
      <c r="VD172">
        <v>0</v>
      </c>
      <c r="VE172">
        <v>0</v>
      </c>
      <c r="VF172">
        <v>0</v>
      </c>
      <c r="VG172">
        <v>0</v>
      </c>
      <c r="VH172">
        <v>0</v>
      </c>
      <c r="VI172">
        <v>0</v>
      </c>
      <c r="VJ172">
        <v>0</v>
      </c>
      <c r="VK172">
        <v>0</v>
      </c>
      <c r="VL172">
        <v>0</v>
      </c>
      <c r="VM172">
        <v>0</v>
      </c>
      <c r="VN172">
        <v>0</v>
      </c>
      <c r="VO172">
        <v>0</v>
      </c>
      <c r="VP172">
        <v>0</v>
      </c>
      <c r="VQ172">
        <v>0</v>
      </c>
      <c r="VR172">
        <v>0</v>
      </c>
      <c r="VS172">
        <v>0</v>
      </c>
      <c r="VT172">
        <v>0</v>
      </c>
      <c r="VU172">
        <v>0</v>
      </c>
      <c r="VV172">
        <v>0</v>
      </c>
      <c r="VW172">
        <v>0</v>
      </c>
      <c r="VX172">
        <v>0</v>
      </c>
      <c r="VY172">
        <v>0</v>
      </c>
      <c r="VZ172">
        <v>0</v>
      </c>
      <c r="WA172">
        <v>0</v>
      </c>
      <c r="WB172">
        <v>0</v>
      </c>
      <c r="WC172">
        <v>0</v>
      </c>
      <c r="WD172">
        <v>0</v>
      </c>
      <c r="WE172">
        <v>0</v>
      </c>
      <c r="WF172">
        <v>0</v>
      </c>
      <c r="WG172">
        <v>0</v>
      </c>
      <c r="WH172">
        <v>0</v>
      </c>
      <c r="WI172">
        <v>0</v>
      </c>
      <c r="WJ172">
        <v>0</v>
      </c>
      <c r="WK172">
        <v>0</v>
      </c>
      <c r="WL172">
        <v>0</v>
      </c>
      <c r="WM172">
        <v>0</v>
      </c>
      <c r="WN172">
        <v>0</v>
      </c>
      <c r="WO172">
        <v>0</v>
      </c>
      <c r="WP172">
        <v>0</v>
      </c>
      <c r="WQ172">
        <v>0</v>
      </c>
      <c r="WR172">
        <v>0</v>
      </c>
      <c r="WS172">
        <v>0</v>
      </c>
      <c r="WT172">
        <v>0</v>
      </c>
      <c r="WU172">
        <v>0</v>
      </c>
      <c r="WV172">
        <v>0</v>
      </c>
      <c r="WW172">
        <v>0</v>
      </c>
      <c r="WX172">
        <v>0</v>
      </c>
      <c r="WY172">
        <v>0</v>
      </c>
      <c r="WZ172">
        <v>0</v>
      </c>
      <c r="XA172">
        <v>0</v>
      </c>
      <c r="XB172">
        <v>0</v>
      </c>
      <c r="XC172">
        <v>0</v>
      </c>
      <c r="XD172">
        <v>0</v>
      </c>
      <c r="XE172">
        <v>0</v>
      </c>
      <c r="XF172">
        <v>0</v>
      </c>
      <c r="XG172">
        <v>0</v>
      </c>
      <c r="XH172">
        <v>0</v>
      </c>
      <c r="XI172">
        <v>0</v>
      </c>
      <c r="XJ172">
        <v>0</v>
      </c>
      <c r="XK172">
        <v>0</v>
      </c>
      <c r="XL172">
        <v>0</v>
      </c>
      <c r="XM172">
        <v>0</v>
      </c>
      <c r="XN172">
        <v>0</v>
      </c>
      <c r="XO172">
        <v>0</v>
      </c>
      <c r="XP172">
        <v>0</v>
      </c>
      <c r="XQ172">
        <v>0</v>
      </c>
      <c r="XR172">
        <v>0</v>
      </c>
      <c r="XS172">
        <v>0</v>
      </c>
      <c r="XT172">
        <v>0</v>
      </c>
      <c r="XU172">
        <v>0</v>
      </c>
      <c r="XV172">
        <v>0</v>
      </c>
      <c r="XW172">
        <v>0</v>
      </c>
      <c r="XX172">
        <v>0</v>
      </c>
      <c r="XY172">
        <v>0</v>
      </c>
      <c r="XZ172">
        <v>0</v>
      </c>
      <c r="YA172">
        <v>0</v>
      </c>
      <c r="YB172">
        <v>0</v>
      </c>
      <c r="YC172">
        <v>0</v>
      </c>
      <c r="YD172">
        <v>0</v>
      </c>
      <c r="YE172">
        <v>0</v>
      </c>
      <c r="YF172">
        <v>0</v>
      </c>
      <c r="YG172">
        <v>0</v>
      </c>
      <c r="YH172">
        <v>0</v>
      </c>
      <c r="YI172">
        <v>0</v>
      </c>
      <c r="YJ172">
        <v>0</v>
      </c>
      <c r="YK172">
        <v>0</v>
      </c>
      <c r="YL172">
        <v>0</v>
      </c>
      <c r="YM172">
        <v>0</v>
      </c>
      <c r="YN172">
        <v>0</v>
      </c>
      <c r="YO172">
        <v>0</v>
      </c>
      <c r="YP172">
        <v>0</v>
      </c>
      <c r="YQ172">
        <v>0</v>
      </c>
      <c r="YR172">
        <v>0</v>
      </c>
      <c r="YS172">
        <v>0</v>
      </c>
      <c r="YT172">
        <v>0</v>
      </c>
      <c r="YU172">
        <v>0</v>
      </c>
      <c r="YV172">
        <v>0</v>
      </c>
      <c r="YW172">
        <v>0</v>
      </c>
      <c r="YX172">
        <v>2</v>
      </c>
      <c r="YY172">
        <v>2</v>
      </c>
      <c r="YZ172">
        <v>2</v>
      </c>
      <c r="ZA172">
        <v>2</v>
      </c>
      <c r="ZB172">
        <v>2</v>
      </c>
      <c r="ZC172">
        <v>2</v>
      </c>
      <c r="ZD172">
        <v>2</v>
      </c>
      <c r="ZE172">
        <v>0</v>
      </c>
      <c r="ZF172">
        <v>0</v>
      </c>
      <c r="ZG172">
        <v>0</v>
      </c>
      <c r="ZH172">
        <v>0</v>
      </c>
      <c r="ZI172">
        <v>0</v>
      </c>
      <c r="ZJ172">
        <v>0</v>
      </c>
      <c r="ZK172">
        <v>0</v>
      </c>
      <c r="ZL172">
        <v>0</v>
      </c>
      <c r="ZM172">
        <v>0</v>
      </c>
      <c r="ZN172">
        <v>0</v>
      </c>
      <c r="ZO172">
        <v>0</v>
      </c>
      <c r="ZP172">
        <v>0</v>
      </c>
      <c r="ZQ172">
        <v>0</v>
      </c>
      <c r="ZR172">
        <v>0</v>
      </c>
      <c r="ZS172">
        <v>0</v>
      </c>
      <c r="ZT172">
        <v>0</v>
      </c>
      <c r="ZU172">
        <v>0</v>
      </c>
      <c r="ZV172">
        <v>0</v>
      </c>
      <c r="ZW172">
        <v>0</v>
      </c>
      <c r="ZX172">
        <v>0</v>
      </c>
      <c r="ZY172">
        <v>0</v>
      </c>
      <c r="ZZ172">
        <v>0</v>
      </c>
      <c r="AAA172">
        <v>0</v>
      </c>
      <c r="AAB172">
        <v>0</v>
      </c>
      <c r="AAC172">
        <v>0</v>
      </c>
      <c r="AAD172">
        <v>0</v>
      </c>
      <c r="AAE172">
        <v>0</v>
      </c>
      <c r="AAF172">
        <v>0</v>
      </c>
      <c r="AAG172">
        <v>0</v>
      </c>
      <c r="AAH172">
        <v>0</v>
      </c>
      <c r="AAI172">
        <v>0</v>
      </c>
      <c r="AAJ172">
        <v>0</v>
      </c>
      <c r="AAK172">
        <v>0</v>
      </c>
      <c r="AAL172">
        <v>0</v>
      </c>
      <c r="AAM172">
        <v>0</v>
      </c>
      <c r="AAN172">
        <v>0</v>
      </c>
      <c r="AAO172">
        <v>0</v>
      </c>
      <c r="AAP172">
        <v>0</v>
      </c>
      <c r="AAQ172">
        <v>0</v>
      </c>
      <c r="AAR172">
        <v>0</v>
      </c>
      <c r="AAS172">
        <v>0</v>
      </c>
      <c r="AAT172">
        <v>0</v>
      </c>
      <c r="AAU172">
        <v>0</v>
      </c>
      <c r="AAV172">
        <v>0</v>
      </c>
      <c r="AAW172">
        <v>0</v>
      </c>
      <c r="AAX172">
        <v>0</v>
      </c>
      <c r="AAY172">
        <v>0</v>
      </c>
      <c r="AAZ172">
        <v>0</v>
      </c>
      <c r="ABA172">
        <v>0</v>
      </c>
      <c r="ABB172">
        <v>0</v>
      </c>
      <c r="ABC172">
        <v>0</v>
      </c>
      <c r="ABD172">
        <v>0</v>
      </c>
      <c r="ABE172">
        <v>0</v>
      </c>
      <c r="ABG172" s="1137">
        <f t="shared" si="45"/>
        <v>0</v>
      </c>
      <c r="ABH172" s="1137">
        <f t="shared" si="45"/>
        <v>0</v>
      </c>
      <c r="ABI172" s="1137">
        <f t="shared" si="45"/>
        <v>3</v>
      </c>
      <c r="ABJ172" s="1137">
        <f t="shared" si="45"/>
        <v>11</v>
      </c>
      <c r="ABK172" s="1137">
        <f t="shared" si="45"/>
        <v>0</v>
      </c>
      <c r="ABL172" s="1137">
        <f t="shared" si="45"/>
        <v>0</v>
      </c>
      <c r="ABM172" s="1137">
        <f t="shared" si="45"/>
        <v>0</v>
      </c>
      <c r="ABN172" s="1137">
        <f t="shared" si="45"/>
        <v>0</v>
      </c>
      <c r="ABO172" s="1137">
        <f t="shared" si="45"/>
        <v>0</v>
      </c>
      <c r="ABP172" s="1137">
        <f t="shared" si="45"/>
        <v>0</v>
      </c>
      <c r="ABQ172" s="1137">
        <f t="shared" si="45"/>
        <v>0</v>
      </c>
      <c r="ABR172" s="1137">
        <f t="shared" si="45"/>
        <v>0</v>
      </c>
      <c r="ABS172" s="1137">
        <f t="shared" si="45"/>
        <v>0</v>
      </c>
      <c r="ABT172" s="1137">
        <f t="shared" si="45"/>
        <v>0</v>
      </c>
      <c r="ABU172" s="1137">
        <f t="shared" si="45"/>
        <v>0</v>
      </c>
      <c r="ABV172" s="1137">
        <f t="shared" si="45"/>
        <v>0</v>
      </c>
      <c r="ABW172" s="1137">
        <f t="shared" si="31"/>
        <v>0</v>
      </c>
      <c r="ABX172" s="1137">
        <f t="shared" si="31"/>
        <v>0</v>
      </c>
      <c r="ABY172" s="1137">
        <f t="shared" si="31"/>
        <v>0</v>
      </c>
      <c r="ABZ172" s="1137">
        <f t="shared" si="31"/>
        <v>0</v>
      </c>
      <c r="ACA172" s="1137">
        <f t="shared" si="31"/>
        <v>0</v>
      </c>
      <c r="ACB172" s="1137">
        <f t="shared" si="31"/>
        <v>0</v>
      </c>
      <c r="ACC172" s="1137">
        <f t="shared" si="31"/>
        <v>7</v>
      </c>
      <c r="ACD172" s="1137">
        <f t="shared" si="31"/>
        <v>0</v>
      </c>
      <c r="ACE172" s="1137" t="s">
        <v>265</v>
      </c>
      <c r="ACF172" s="1137">
        <f t="shared" si="39"/>
        <v>0</v>
      </c>
      <c r="ACG172" s="1137">
        <f t="shared" si="39"/>
        <v>0</v>
      </c>
      <c r="ACH172" s="1137">
        <f t="shared" si="39"/>
        <v>0</v>
      </c>
      <c r="ACI172" s="1137">
        <f t="shared" si="39"/>
        <v>1</v>
      </c>
      <c r="ACJ172" s="1137">
        <f t="shared" si="39"/>
        <v>0</v>
      </c>
      <c r="ACK172" s="1137">
        <f t="shared" si="39"/>
        <v>0</v>
      </c>
      <c r="ACL172" s="1137">
        <f t="shared" si="39"/>
        <v>0</v>
      </c>
      <c r="ACM172" s="1137">
        <f t="shared" si="39"/>
        <v>0</v>
      </c>
      <c r="ACN172" s="1137">
        <f t="shared" si="39"/>
        <v>0</v>
      </c>
      <c r="ACO172" s="1137">
        <f t="shared" si="39"/>
        <v>0</v>
      </c>
      <c r="ACP172" s="1137">
        <f t="shared" si="39"/>
        <v>0</v>
      </c>
      <c r="ACQ172" s="1137">
        <f t="shared" si="39"/>
        <v>0</v>
      </c>
      <c r="ACR172" s="1137">
        <f t="shared" si="39"/>
        <v>0</v>
      </c>
      <c r="ACS172" s="1137">
        <f t="shared" si="39"/>
        <v>0</v>
      </c>
      <c r="ACT172" s="1137">
        <f t="shared" si="43"/>
        <v>0</v>
      </c>
      <c r="ACU172" s="1137">
        <f t="shared" si="43"/>
        <v>0</v>
      </c>
      <c r="ACV172" s="1137">
        <f t="shared" si="43"/>
        <v>0</v>
      </c>
      <c r="ACW172" s="1137">
        <f t="shared" si="43"/>
        <v>0</v>
      </c>
      <c r="ACX172" s="1137">
        <f t="shared" si="42"/>
        <v>0</v>
      </c>
      <c r="ACY172" s="1137">
        <f t="shared" si="42"/>
        <v>0</v>
      </c>
      <c r="ACZ172" s="1137">
        <f t="shared" si="42"/>
        <v>0</v>
      </c>
      <c r="ADA172" s="1137">
        <f t="shared" si="35"/>
        <v>0</v>
      </c>
      <c r="ADB172" s="1137">
        <f t="shared" si="35"/>
        <v>0</v>
      </c>
      <c r="ADC172" s="1137">
        <f t="shared" si="35"/>
        <v>0</v>
      </c>
    </row>
    <row r="173" spans="1:783" x14ac:dyDescent="0.25">
      <c r="A173" t="s">
        <v>1970</v>
      </c>
      <c r="B173" t="s">
        <v>266</v>
      </c>
      <c r="C173">
        <v>0</v>
      </c>
      <c r="D173">
        <v>0</v>
      </c>
      <c r="E173">
        <v>0</v>
      </c>
      <c r="F173">
        <v>0</v>
      </c>
      <c r="G173">
        <v>0</v>
      </c>
      <c r="H173">
        <v>0</v>
      </c>
      <c r="I173">
        <v>0</v>
      </c>
      <c r="J173">
        <v>0</v>
      </c>
      <c r="K173">
        <v>0</v>
      </c>
      <c r="L173">
        <v>0</v>
      </c>
      <c r="M173">
        <v>0</v>
      </c>
      <c r="N173">
        <v>0</v>
      </c>
      <c r="O173">
        <v>0</v>
      </c>
      <c r="P173">
        <v>0</v>
      </c>
      <c r="Q173">
        <v>0</v>
      </c>
      <c r="R173">
        <v>0</v>
      </c>
      <c r="S173">
        <v>0</v>
      </c>
      <c r="T173">
        <v>0</v>
      </c>
      <c r="U173">
        <v>0</v>
      </c>
      <c r="V173">
        <v>0</v>
      </c>
      <c r="W173">
        <v>0</v>
      </c>
      <c r="X173">
        <v>0</v>
      </c>
      <c r="Y173">
        <v>0</v>
      </c>
      <c r="Z173">
        <v>0</v>
      </c>
      <c r="AA173">
        <v>0</v>
      </c>
      <c r="AB173">
        <v>0</v>
      </c>
      <c r="AC173">
        <v>0</v>
      </c>
      <c r="AD173">
        <v>0</v>
      </c>
      <c r="AE173">
        <v>0</v>
      </c>
      <c r="AF173">
        <v>0</v>
      </c>
      <c r="AG173">
        <v>0</v>
      </c>
      <c r="AH173">
        <v>0</v>
      </c>
      <c r="AI173">
        <v>0</v>
      </c>
      <c r="AJ173">
        <v>0</v>
      </c>
      <c r="AK173">
        <v>0</v>
      </c>
      <c r="AL173">
        <v>0</v>
      </c>
      <c r="AM173">
        <v>0</v>
      </c>
      <c r="AN173">
        <v>0</v>
      </c>
      <c r="AO173">
        <v>0</v>
      </c>
      <c r="AP173">
        <v>0</v>
      </c>
      <c r="AQ173">
        <v>0</v>
      </c>
      <c r="AR173">
        <v>0</v>
      </c>
      <c r="AS173">
        <v>0</v>
      </c>
      <c r="AT173">
        <v>0</v>
      </c>
      <c r="AU173">
        <v>0</v>
      </c>
      <c r="AV173">
        <v>0</v>
      </c>
      <c r="AW173">
        <v>0</v>
      </c>
      <c r="AX173">
        <v>0</v>
      </c>
      <c r="AY173">
        <v>0</v>
      </c>
      <c r="AZ173">
        <v>0</v>
      </c>
      <c r="BA173">
        <v>0</v>
      </c>
      <c r="BB173">
        <v>0</v>
      </c>
      <c r="BC173">
        <v>0</v>
      </c>
      <c r="BD173">
        <v>0</v>
      </c>
      <c r="BE173">
        <v>0</v>
      </c>
      <c r="BF173">
        <v>0</v>
      </c>
      <c r="BG173">
        <v>0</v>
      </c>
      <c r="BH173">
        <v>0</v>
      </c>
      <c r="BI173">
        <v>0</v>
      </c>
      <c r="BJ173">
        <v>0</v>
      </c>
      <c r="BK173">
        <v>0</v>
      </c>
      <c r="BL173">
        <v>0</v>
      </c>
      <c r="BM173">
        <v>0</v>
      </c>
      <c r="BN173">
        <v>0</v>
      </c>
      <c r="BO173">
        <v>0</v>
      </c>
      <c r="BP173">
        <v>0</v>
      </c>
      <c r="BQ173">
        <v>0</v>
      </c>
      <c r="BR173">
        <v>0</v>
      </c>
      <c r="BS173">
        <v>0</v>
      </c>
      <c r="BT173">
        <v>0</v>
      </c>
      <c r="BU173">
        <v>0</v>
      </c>
      <c r="BV173">
        <v>0</v>
      </c>
      <c r="BW173">
        <v>0</v>
      </c>
      <c r="BX173">
        <v>0</v>
      </c>
      <c r="BY173">
        <v>0</v>
      </c>
      <c r="BZ173">
        <v>0</v>
      </c>
      <c r="CA173">
        <v>0</v>
      </c>
      <c r="CB173">
        <v>0</v>
      </c>
      <c r="CC173">
        <v>0</v>
      </c>
      <c r="CD173">
        <v>0</v>
      </c>
      <c r="CE173">
        <v>0</v>
      </c>
      <c r="CF173">
        <v>0</v>
      </c>
      <c r="CG173">
        <v>0</v>
      </c>
      <c r="CH173">
        <v>0</v>
      </c>
      <c r="CI173">
        <v>0</v>
      </c>
      <c r="CJ173">
        <v>0</v>
      </c>
      <c r="CK173">
        <v>0</v>
      </c>
      <c r="CL173">
        <v>0</v>
      </c>
      <c r="CM173">
        <v>0</v>
      </c>
      <c r="CN173">
        <v>0</v>
      </c>
      <c r="CO173">
        <v>0</v>
      </c>
      <c r="CP173">
        <v>0</v>
      </c>
      <c r="CQ173">
        <v>0</v>
      </c>
      <c r="CR173">
        <v>0</v>
      </c>
      <c r="CS173">
        <v>0</v>
      </c>
      <c r="CT173">
        <v>0</v>
      </c>
      <c r="CU173">
        <v>0</v>
      </c>
      <c r="CV173">
        <v>0</v>
      </c>
      <c r="CW173">
        <v>0</v>
      </c>
      <c r="CX173">
        <v>0</v>
      </c>
      <c r="CY173">
        <v>0</v>
      </c>
      <c r="CZ173">
        <v>0</v>
      </c>
      <c r="DA173">
        <v>0</v>
      </c>
      <c r="DB173">
        <v>0</v>
      </c>
      <c r="DC173">
        <v>0</v>
      </c>
      <c r="DD173">
        <v>0</v>
      </c>
      <c r="DE173">
        <v>0</v>
      </c>
      <c r="DF173">
        <v>0</v>
      </c>
      <c r="DG173">
        <v>0</v>
      </c>
      <c r="DH173">
        <v>0</v>
      </c>
      <c r="DI173">
        <v>0</v>
      </c>
      <c r="DJ173">
        <v>0</v>
      </c>
      <c r="DK173">
        <v>0</v>
      </c>
      <c r="DL173">
        <v>0</v>
      </c>
      <c r="DM173">
        <v>0</v>
      </c>
      <c r="DN173">
        <v>0</v>
      </c>
      <c r="DO173">
        <v>0</v>
      </c>
      <c r="DP173">
        <v>2</v>
      </c>
      <c r="DQ173">
        <v>2</v>
      </c>
      <c r="DR173">
        <v>2</v>
      </c>
      <c r="DS173">
        <v>2</v>
      </c>
      <c r="DT173">
        <v>2</v>
      </c>
      <c r="DU173">
        <v>2</v>
      </c>
      <c r="DV173">
        <v>2</v>
      </c>
      <c r="DW173">
        <v>2</v>
      </c>
      <c r="DX173">
        <v>2</v>
      </c>
      <c r="DY173">
        <v>2</v>
      </c>
      <c r="DZ173">
        <v>2</v>
      </c>
      <c r="EA173">
        <v>2</v>
      </c>
      <c r="EB173">
        <v>2</v>
      </c>
      <c r="EC173">
        <v>2</v>
      </c>
      <c r="ED173">
        <v>2</v>
      </c>
      <c r="EE173">
        <v>2</v>
      </c>
      <c r="EF173">
        <v>2</v>
      </c>
      <c r="EG173">
        <v>2</v>
      </c>
      <c r="EH173">
        <v>2</v>
      </c>
      <c r="EI173">
        <v>2</v>
      </c>
      <c r="EJ173">
        <v>2</v>
      </c>
      <c r="EK173">
        <v>2</v>
      </c>
      <c r="EL173">
        <v>2</v>
      </c>
      <c r="EM173">
        <v>2</v>
      </c>
      <c r="EN173">
        <v>2</v>
      </c>
      <c r="EO173">
        <v>2</v>
      </c>
      <c r="EP173">
        <v>2</v>
      </c>
      <c r="EQ173">
        <v>2</v>
      </c>
      <c r="ER173">
        <v>2</v>
      </c>
      <c r="ES173">
        <v>2</v>
      </c>
      <c r="ET173">
        <v>2</v>
      </c>
      <c r="EU173">
        <v>2</v>
      </c>
      <c r="EV173">
        <v>2</v>
      </c>
      <c r="EW173">
        <v>2</v>
      </c>
      <c r="EX173">
        <v>2</v>
      </c>
      <c r="EY173">
        <v>2</v>
      </c>
      <c r="EZ173">
        <v>2</v>
      </c>
      <c r="FA173">
        <v>2</v>
      </c>
      <c r="FB173">
        <v>2</v>
      </c>
      <c r="FC173">
        <v>2</v>
      </c>
      <c r="FD173">
        <v>2</v>
      </c>
      <c r="FE173">
        <v>2</v>
      </c>
      <c r="FF173">
        <v>1</v>
      </c>
      <c r="FG173">
        <v>1</v>
      </c>
      <c r="FH173">
        <v>1</v>
      </c>
      <c r="FI173">
        <v>1</v>
      </c>
      <c r="FJ173">
        <v>1</v>
      </c>
      <c r="FK173">
        <v>1</v>
      </c>
      <c r="FL173">
        <v>1</v>
      </c>
      <c r="FM173">
        <v>1</v>
      </c>
      <c r="FN173">
        <v>1</v>
      </c>
      <c r="FO173">
        <v>1</v>
      </c>
      <c r="FP173">
        <v>1</v>
      </c>
      <c r="FQ173">
        <v>1</v>
      </c>
      <c r="FR173">
        <v>1</v>
      </c>
      <c r="FS173">
        <v>1</v>
      </c>
      <c r="FT173">
        <v>0</v>
      </c>
      <c r="FU173">
        <v>0</v>
      </c>
      <c r="FV173">
        <v>0</v>
      </c>
      <c r="FW173">
        <v>0</v>
      </c>
      <c r="FX173">
        <v>0</v>
      </c>
      <c r="FY173">
        <v>0</v>
      </c>
      <c r="FZ173">
        <v>0</v>
      </c>
      <c r="GA173">
        <v>0</v>
      </c>
      <c r="GB173">
        <v>0</v>
      </c>
      <c r="GC173">
        <v>0</v>
      </c>
      <c r="GD173">
        <v>0</v>
      </c>
      <c r="GE173">
        <v>0</v>
      </c>
      <c r="GF173">
        <v>0</v>
      </c>
      <c r="GG173">
        <v>0</v>
      </c>
      <c r="GH173">
        <v>0</v>
      </c>
      <c r="GI173">
        <v>0</v>
      </c>
      <c r="GJ173">
        <v>0</v>
      </c>
      <c r="GK173">
        <v>0</v>
      </c>
      <c r="GL173">
        <v>0</v>
      </c>
      <c r="GM173">
        <v>0</v>
      </c>
      <c r="GN173">
        <v>0</v>
      </c>
      <c r="GO173">
        <v>0</v>
      </c>
      <c r="GP173">
        <v>0</v>
      </c>
      <c r="GQ173">
        <v>0</v>
      </c>
      <c r="GR173">
        <v>0</v>
      </c>
      <c r="GS173">
        <v>0</v>
      </c>
      <c r="GT173">
        <v>0</v>
      </c>
      <c r="GU173">
        <v>0</v>
      </c>
      <c r="GV173">
        <v>0</v>
      </c>
      <c r="GW173">
        <v>0</v>
      </c>
      <c r="GX173">
        <v>0</v>
      </c>
      <c r="GY173">
        <v>0</v>
      </c>
      <c r="GZ173">
        <v>0</v>
      </c>
      <c r="HA173">
        <v>0</v>
      </c>
      <c r="HB173">
        <v>0</v>
      </c>
      <c r="HC173">
        <v>0</v>
      </c>
      <c r="HD173">
        <v>0</v>
      </c>
      <c r="HE173">
        <v>0</v>
      </c>
      <c r="HF173">
        <v>0</v>
      </c>
      <c r="HG173">
        <v>0</v>
      </c>
      <c r="HH173">
        <v>0</v>
      </c>
      <c r="HI173">
        <v>0</v>
      </c>
      <c r="HJ173">
        <v>0</v>
      </c>
      <c r="HK173">
        <v>0</v>
      </c>
      <c r="HL173">
        <v>0</v>
      </c>
      <c r="HM173">
        <v>0</v>
      </c>
      <c r="HN173">
        <v>0</v>
      </c>
      <c r="HO173">
        <v>0</v>
      </c>
      <c r="HP173">
        <v>0</v>
      </c>
      <c r="HQ173">
        <v>0</v>
      </c>
      <c r="HR173">
        <v>0</v>
      </c>
      <c r="HS173">
        <v>0</v>
      </c>
      <c r="HT173">
        <v>0</v>
      </c>
      <c r="HU173">
        <v>0</v>
      </c>
      <c r="HV173">
        <v>0</v>
      </c>
      <c r="HW173">
        <v>0</v>
      </c>
      <c r="HX173">
        <v>2</v>
      </c>
      <c r="HY173">
        <v>2</v>
      </c>
      <c r="HZ173">
        <v>2</v>
      </c>
      <c r="IA173">
        <v>2</v>
      </c>
      <c r="IB173">
        <v>2</v>
      </c>
      <c r="IC173">
        <v>2</v>
      </c>
      <c r="ID173">
        <v>2</v>
      </c>
      <c r="IE173">
        <v>2</v>
      </c>
      <c r="IF173">
        <v>2</v>
      </c>
      <c r="IG173">
        <v>2</v>
      </c>
      <c r="IH173">
        <v>2</v>
      </c>
      <c r="II173">
        <v>2</v>
      </c>
      <c r="IJ173">
        <v>2</v>
      </c>
      <c r="IK173">
        <v>2</v>
      </c>
      <c r="IL173">
        <v>2</v>
      </c>
      <c r="IM173">
        <v>2</v>
      </c>
      <c r="IN173">
        <v>2</v>
      </c>
      <c r="IO173">
        <v>2</v>
      </c>
      <c r="IP173">
        <v>2</v>
      </c>
      <c r="IQ173">
        <v>2</v>
      </c>
      <c r="IR173">
        <v>2</v>
      </c>
      <c r="IS173">
        <v>2</v>
      </c>
      <c r="IT173">
        <v>2</v>
      </c>
      <c r="IU173">
        <v>2</v>
      </c>
      <c r="IV173">
        <v>2</v>
      </c>
      <c r="IW173">
        <v>2</v>
      </c>
      <c r="IX173">
        <v>2</v>
      </c>
      <c r="IY173">
        <v>2</v>
      </c>
      <c r="IZ173">
        <v>2</v>
      </c>
      <c r="JA173">
        <v>2</v>
      </c>
      <c r="JB173">
        <v>2</v>
      </c>
      <c r="JC173">
        <v>2</v>
      </c>
      <c r="JD173">
        <v>2</v>
      </c>
      <c r="JE173">
        <v>2</v>
      </c>
      <c r="JF173">
        <v>2</v>
      </c>
      <c r="JG173">
        <v>2</v>
      </c>
      <c r="JH173">
        <v>2</v>
      </c>
      <c r="JI173">
        <v>2</v>
      </c>
      <c r="JJ173">
        <v>2</v>
      </c>
      <c r="JK173">
        <v>2</v>
      </c>
      <c r="JL173">
        <v>2</v>
      </c>
      <c r="JM173">
        <v>2</v>
      </c>
      <c r="JN173">
        <v>2</v>
      </c>
      <c r="JO173">
        <v>2</v>
      </c>
      <c r="JP173">
        <v>2</v>
      </c>
      <c r="JQ173">
        <v>2</v>
      </c>
      <c r="JR173">
        <v>2</v>
      </c>
      <c r="JS173">
        <v>2</v>
      </c>
      <c r="JT173">
        <v>2</v>
      </c>
      <c r="JU173">
        <v>2</v>
      </c>
      <c r="JV173">
        <v>2</v>
      </c>
      <c r="JW173">
        <v>2</v>
      </c>
      <c r="JX173">
        <v>2</v>
      </c>
      <c r="JY173">
        <v>2</v>
      </c>
      <c r="JZ173">
        <v>2</v>
      </c>
      <c r="KA173">
        <v>2</v>
      </c>
      <c r="KB173">
        <v>0</v>
      </c>
      <c r="KC173">
        <v>0</v>
      </c>
      <c r="KD173">
        <v>0</v>
      </c>
      <c r="KE173">
        <v>0</v>
      </c>
      <c r="KF173">
        <v>0</v>
      </c>
      <c r="KG173">
        <v>0</v>
      </c>
      <c r="KH173">
        <v>0</v>
      </c>
      <c r="KI173">
        <v>0</v>
      </c>
      <c r="KJ173">
        <v>0</v>
      </c>
      <c r="KK173">
        <v>0</v>
      </c>
      <c r="KL173">
        <v>0</v>
      </c>
      <c r="KM173">
        <v>0</v>
      </c>
      <c r="KN173">
        <v>0</v>
      </c>
      <c r="KO173">
        <v>0</v>
      </c>
      <c r="KP173">
        <v>0</v>
      </c>
      <c r="KQ173">
        <v>0</v>
      </c>
      <c r="KR173">
        <v>0</v>
      </c>
      <c r="KS173">
        <v>0</v>
      </c>
      <c r="KT173">
        <v>0</v>
      </c>
      <c r="KU173">
        <v>0</v>
      </c>
      <c r="KV173">
        <v>0</v>
      </c>
      <c r="KW173">
        <v>0</v>
      </c>
      <c r="KX173">
        <v>0</v>
      </c>
      <c r="KY173">
        <v>0</v>
      </c>
      <c r="KZ173">
        <v>0</v>
      </c>
      <c r="LA173">
        <v>0</v>
      </c>
      <c r="LB173">
        <v>0</v>
      </c>
      <c r="LC173">
        <v>0</v>
      </c>
      <c r="LD173">
        <v>0</v>
      </c>
      <c r="LE173">
        <v>0</v>
      </c>
      <c r="LF173">
        <v>0</v>
      </c>
      <c r="LG173">
        <v>0</v>
      </c>
      <c r="LH173">
        <v>0</v>
      </c>
      <c r="LI173">
        <v>0</v>
      </c>
      <c r="LJ173">
        <v>0</v>
      </c>
      <c r="LK173">
        <v>0</v>
      </c>
      <c r="LL173">
        <v>0</v>
      </c>
      <c r="LM173">
        <v>0</v>
      </c>
      <c r="LN173">
        <v>0</v>
      </c>
      <c r="LO173">
        <v>0</v>
      </c>
      <c r="LP173">
        <v>0</v>
      </c>
      <c r="LQ173">
        <v>0</v>
      </c>
      <c r="LR173">
        <v>0</v>
      </c>
      <c r="LS173">
        <v>0</v>
      </c>
      <c r="LT173">
        <v>0</v>
      </c>
      <c r="LU173">
        <v>0</v>
      </c>
      <c r="LV173">
        <v>0</v>
      </c>
      <c r="LW173">
        <v>0</v>
      </c>
      <c r="LX173">
        <v>0</v>
      </c>
      <c r="LY173">
        <v>0</v>
      </c>
      <c r="LZ173">
        <v>0</v>
      </c>
      <c r="MA173">
        <v>0</v>
      </c>
      <c r="MB173">
        <v>0</v>
      </c>
      <c r="MC173">
        <v>0</v>
      </c>
      <c r="MD173">
        <v>0</v>
      </c>
      <c r="ME173">
        <v>0</v>
      </c>
      <c r="MF173">
        <v>0</v>
      </c>
      <c r="MG173">
        <v>0</v>
      </c>
      <c r="MH173">
        <v>0</v>
      </c>
      <c r="MI173">
        <v>0</v>
      </c>
      <c r="MJ173">
        <v>0</v>
      </c>
      <c r="MK173">
        <v>0</v>
      </c>
      <c r="ML173">
        <v>0</v>
      </c>
      <c r="MM173">
        <v>0</v>
      </c>
      <c r="MN173">
        <v>0</v>
      </c>
      <c r="MO173">
        <v>0</v>
      </c>
      <c r="MP173">
        <v>0</v>
      </c>
      <c r="MQ173">
        <v>0</v>
      </c>
      <c r="MR173">
        <v>0</v>
      </c>
      <c r="MS173">
        <v>0</v>
      </c>
      <c r="MT173">
        <v>0</v>
      </c>
      <c r="MU173">
        <v>0</v>
      </c>
      <c r="MV173">
        <v>0</v>
      </c>
      <c r="MW173">
        <v>0</v>
      </c>
      <c r="MX173">
        <v>0</v>
      </c>
      <c r="MY173">
        <v>0</v>
      </c>
      <c r="MZ173">
        <v>0</v>
      </c>
      <c r="NA173">
        <v>0</v>
      </c>
      <c r="NB173">
        <v>0</v>
      </c>
      <c r="NC173">
        <v>0</v>
      </c>
      <c r="ND173">
        <v>0</v>
      </c>
      <c r="NE173">
        <v>0</v>
      </c>
      <c r="NF173">
        <v>0</v>
      </c>
      <c r="NG173">
        <v>0</v>
      </c>
      <c r="NH173">
        <v>0</v>
      </c>
      <c r="NI173">
        <v>0</v>
      </c>
      <c r="NJ173">
        <v>0</v>
      </c>
      <c r="NK173">
        <v>0</v>
      </c>
      <c r="NL173">
        <v>0</v>
      </c>
      <c r="NM173">
        <v>0</v>
      </c>
      <c r="NN173">
        <v>0</v>
      </c>
      <c r="NO173">
        <v>0</v>
      </c>
      <c r="NP173">
        <v>0</v>
      </c>
      <c r="NQ173">
        <v>0</v>
      </c>
      <c r="NR173">
        <v>0</v>
      </c>
      <c r="NS173">
        <v>0</v>
      </c>
      <c r="NT173">
        <v>0</v>
      </c>
      <c r="NU173">
        <v>0</v>
      </c>
      <c r="NV173">
        <v>0</v>
      </c>
      <c r="NW173">
        <v>0</v>
      </c>
      <c r="NX173">
        <v>0</v>
      </c>
      <c r="NY173">
        <v>0</v>
      </c>
      <c r="NZ173">
        <v>0</v>
      </c>
      <c r="OA173">
        <v>0</v>
      </c>
      <c r="OB173">
        <v>0</v>
      </c>
      <c r="OC173">
        <v>0</v>
      </c>
      <c r="OD173">
        <v>0</v>
      </c>
      <c r="OE173">
        <v>0</v>
      </c>
      <c r="OF173">
        <v>0</v>
      </c>
      <c r="OG173">
        <v>0</v>
      </c>
      <c r="OH173">
        <v>0</v>
      </c>
      <c r="OI173">
        <v>0</v>
      </c>
      <c r="OJ173">
        <v>0</v>
      </c>
      <c r="OK173">
        <v>0</v>
      </c>
      <c r="OL173">
        <v>0</v>
      </c>
      <c r="OM173">
        <v>0</v>
      </c>
      <c r="ON173">
        <v>0</v>
      </c>
      <c r="OO173">
        <v>0</v>
      </c>
      <c r="OP173">
        <v>0</v>
      </c>
      <c r="OQ173">
        <v>0</v>
      </c>
      <c r="OR173">
        <v>0</v>
      </c>
      <c r="OS173">
        <v>0</v>
      </c>
      <c r="OT173">
        <v>0</v>
      </c>
      <c r="OU173">
        <v>0</v>
      </c>
      <c r="OV173">
        <v>0</v>
      </c>
      <c r="OW173">
        <v>0</v>
      </c>
      <c r="OX173">
        <v>0</v>
      </c>
      <c r="OY173">
        <v>0</v>
      </c>
      <c r="OZ173">
        <v>0</v>
      </c>
      <c r="PA173">
        <v>0</v>
      </c>
      <c r="PB173">
        <v>0</v>
      </c>
      <c r="PC173">
        <v>0</v>
      </c>
      <c r="PD173">
        <v>0</v>
      </c>
      <c r="PE173">
        <v>0</v>
      </c>
      <c r="PF173">
        <v>0</v>
      </c>
      <c r="PG173">
        <v>0</v>
      </c>
      <c r="PH173">
        <v>0</v>
      </c>
      <c r="PI173">
        <v>0</v>
      </c>
      <c r="PJ173">
        <v>0</v>
      </c>
      <c r="PK173">
        <v>0</v>
      </c>
      <c r="PL173">
        <v>0</v>
      </c>
      <c r="PM173">
        <v>0</v>
      </c>
      <c r="PN173">
        <v>0</v>
      </c>
      <c r="PO173">
        <v>0</v>
      </c>
      <c r="PP173">
        <v>0</v>
      </c>
      <c r="PQ173">
        <v>0</v>
      </c>
      <c r="PR173">
        <v>0</v>
      </c>
      <c r="PS173">
        <v>0</v>
      </c>
      <c r="PT173">
        <v>0</v>
      </c>
      <c r="PU173">
        <v>0</v>
      </c>
      <c r="PV173">
        <v>0</v>
      </c>
      <c r="PW173">
        <v>0</v>
      </c>
      <c r="PX173">
        <v>0</v>
      </c>
      <c r="PY173">
        <v>0</v>
      </c>
      <c r="PZ173">
        <v>0</v>
      </c>
      <c r="QA173">
        <v>0</v>
      </c>
      <c r="QB173">
        <v>0</v>
      </c>
      <c r="QC173">
        <v>0</v>
      </c>
      <c r="QD173">
        <v>0</v>
      </c>
      <c r="QE173">
        <v>0</v>
      </c>
      <c r="QF173">
        <v>0</v>
      </c>
      <c r="QG173">
        <v>0</v>
      </c>
      <c r="QH173">
        <v>0</v>
      </c>
      <c r="QI173">
        <v>0</v>
      </c>
      <c r="QJ173">
        <v>0</v>
      </c>
      <c r="QK173">
        <v>0</v>
      </c>
      <c r="QL173">
        <v>0</v>
      </c>
      <c r="QM173">
        <v>0</v>
      </c>
      <c r="QN173">
        <v>0</v>
      </c>
      <c r="QO173">
        <v>0</v>
      </c>
      <c r="QP173">
        <v>0</v>
      </c>
      <c r="QQ173">
        <v>0</v>
      </c>
      <c r="QR173">
        <v>0</v>
      </c>
      <c r="QS173">
        <v>0</v>
      </c>
      <c r="QT173">
        <v>0</v>
      </c>
      <c r="QU173">
        <v>0</v>
      </c>
      <c r="QV173">
        <v>0</v>
      </c>
      <c r="QW173">
        <v>0</v>
      </c>
      <c r="QX173">
        <v>0</v>
      </c>
      <c r="QY173">
        <v>0</v>
      </c>
      <c r="QZ173">
        <v>0</v>
      </c>
      <c r="RA173">
        <v>0</v>
      </c>
      <c r="RB173">
        <v>0</v>
      </c>
      <c r="RC173">
        <v>0</v>
      </c>
      <c r="RD173">
        <v>0</v>
      </c>
      <c r="RE173">
        <v>0</v>
      </c>
      <c r="RF173">
        <v>0</v>
      </c>
      <c r="RG173">
        <v>0</v>
      </c>
      <c r="RH173">
        <v>0</v>
      </c>
      <c r="RI173">
        <v>0</v>
      </c>
      <c r="RJ173">
        <v>0</v>
      </c>
      <c r="RK173">
        <v>0</v>
      </c>
      <c r="RL173">
        <v>0</v>
      </c>
      <c r="RM173">
        <v>0</v>
      </c>
      <c r="RN173">
        <v>0</v>
      </c>
      <c r="RO173">
        <v>0</v>
      </c>
      <c r="RP173">
        <v>0</v>
      </c>
      <c r="RQ173">
        <v>0</v>
      </c>
      <c r="RR173">
        <v>0</v>
      </c>
      <c r="RS173">
        <v>0</v>
      </c>
      <c r="RT173">
        <v>0</v>
      </c>
      <c r="RU173">
        <v>0</v>
      </c>
      <c r="RV173">
        <v>0</v>
      </c>
      <c r="RW173">
        <v>0</v>
      </c>
      <c r="RX173">
        <v>0</v>
      </c>
      <c r="RY173">
        <v>0</v>
      </c>
      <c r="RZ173">
        <v>0</v>
      </c>
      <c r="SA173">
        <v>0</v>
      </c>
      <c r="SB173">
        <v>0</v>
      </c>
      <c r="SC173">
        <v>0</v>
      </c>
      <c r="SD173">
        <v>0</v>
      </c>
      <c r="SE173">
        <v>0</v>
      </c>
      <c r="SF173">
        <v>0</v>
      </c>
      <c r="SG173">
        <v>0</v>
      </c>
      <c r="SH173">
        <v>0</v>
      </c>
      <c r="SI173">
        <v>0</v>
      </c>
      <c r="SJ173">
        <v>0</v>
      </c>
      <c r="SK173">
        <v>0</v>
      </c>
      <c r="SL173">
        <v>0</v>
      </c>
      <c r="SM173">
        <v>0</v>
      </c>
      <c r="SN173">
        <v>0</v>
      </c>
      <c r="SO173">
        <v>0</v>
      </c>
      <c r="SP173">
        <v>0</v>
      </c>
      <c r="SQ173">
        <v>0</v>
      </c>
      <c r="SR173">
        <v>0</v>
      </c>
      <c r="SS173">
        <v>0</v>
      </c>
      <c r="ST173">
        <v>0</v>
      </c>
      <c r="SU173">
        <v>0</v>
      </c>
      <c r="SV173">
        <v>0</v>
      </c>
      <c r="SW173">
        <v>0</v>
      </c>
      <c r="SX173">
        <v>0</v>
      </c>
      <c r="SY173">
        <v>2</v>
      </c>
      <c r="SZ173">
        <v>2</v>
      </c>
      <c r="TA173">
        <v>2</v>
      </c>
      <c r="TB173">
        <v>2</v>
      </c>
      <c r="TC173">
        <v>2</v>
      </c>
      <c r="TD173">
        <v>2</v>
      </c>
      <c r="TE173">
        <v>2</v>
      </c>
      <c r="TF173">
        <v>2</v>
      </c>
      <c r="TG173">
        <v>2</v>
      </c>
      <c r="TH173">
        <v>2</v>
      </c>
      <c r="TI173">
        <v>2</v>
      </c>
      <c r="TJ173">
        <v>2</v>
      </c>
      <c r="TK173">
        <v>2</v>
      </c>
      <c r="TL173">
        <v>2</v>
      </c>
      <c r="TM173">
        <v>2</v>
      </c>
      <c r="TN173">
        <v>2</v>
      </c>
      <c r="TO173">
        <v>2</v>
      </c>
      <c r="TP173">
        <v>2</v>
      </c>
      <c r="TQ173">
        <v>2</v>
      </c>
      <c r="TR173">
        <v>2</v>
      </c>
      <c r="TS173">
        <v>2</v>
      </c>
      <c r="TT173">
        <v>2</v>
      </c>
      <c r="TU173">
        <v>2</v>
      </c>
      <c r="TV173">
        <v>2</v>
      </c>
      <c r="TW173">
        <v>2</v>
      </c>
      <c r="TX173">
        <v>2</v>
      </c>
      <c r="TY173">
        <v>2</v>
      </c>
      <c r="TZ173">
        <v>2</v>
      </c>
      <c r="UA173">
        <v>2</v>
      </c>
      <c r="UB173">
        <v>2</v>
      </c>
      <c r="UC173">
        <v>2</v>
      </c>
      <c r="UD173">
        <v>2</v>
      </c>
      <c r="UE173">
        <v>2</v>
      </c>
      <c r="UF173">
        <v>2</v>
      </c>
      <c r="UG173">
        <v>2</v>
      </c>
      <c r="UH173">
        <v>2</v>
      </c>
      <c r="UI173">
        <v>2</v>
      </c>
      <c r="UJ173">
        <v>2</v>
      </c>
      <c r="UK173">
        <v>2</v>
      </c>
      <c r="UL173">
        <v>2</v>
      </c>
      <c r="UM173">
        <v>2</v>
      </c>
      <c r="UN173">
        <v>2</v>
      </c>
      <c r="UO173">
        <v>2</v>
      </c>
      <c r="UP173">
        <v>2</v>
      </c>
      <c r="UQ173">
        <v>2</v>
      </c>
      <c r="UR173">
        <v>2</v>
      </c>
      <c r="US173">
        <v>2</v>
      </c>
      <c r="UT173">
        <v>2</v>
      </c>
      <c r="UU173">
        <v>2</v>
      </c>
      <c r="UV173">
        <v>2</v>
      </c>
      <c r="UW173">
        <v>2</v>
      </c>
      <c r="UX173">
        <v>2</v>
      </c>
      <c r="UY173">
        <v>2</v>
      </c>
      <c r="UZ173">
        <v>2</v>
      </c>
      <c r="VA173">
        <v>2</v>
      </c>
      <c r="VB173">
        <v>2</v>
      </c>
      <c r="VC173">
        <v>2</v>
      </c>
      <c r="VD173">
        <v>2</v>
      </c>
      <c r="VE173">
        <v>2</v>
      </c>
      <c r="VF173">
        <v>2</v>
      </c>
      <c r="VG173">
        <v>2</v>
      </c>
      <c r="VH173">
        <v>2</v>
      </c>
      <c r="VI173">
        <v>2</v>
      </c>
      <c r="VJ173">
        <v>2</v>
      </c>
      <c r="VK173">
        <v>2</v>
      </c>
      <c r="VL173">
        <v>2</v>
      </c>
      <c r="VM173">
        <v>2</v>
      </c>
      <c r="VN173">
        <v>2</v>
      </c>
      <c r="VO173">
        <v>2</v>
      </c>
      <c r="VP173">
        <v>2</v>
      </c>
      <c r="VQ173">
        <v>2</v>
      </c>
      <c r="VR173">
        <v>2</v>
      </c>
      <c r="VS173">
        <v>2</v>
      </c>
      <c r="VT173">
        <v>2</v>
      </c>
      <c r="VU173">
        <v>2</v>
      </c>
      <c r="VV173">
        <v>2</v>
      </c>
      <c r="VW173">
        <v>2</v>
      </c>
      <c r="VX173">
        <v>2</v>
      </c>
      <c r="VY173">
        <v>2</v>
      </c>
      <c r="VZ173">
        <v>2</v>
      </c>
      <c r="WA173">
        <v>2</v>
      </c>
      <c r="WB173">
        <v>2</v>
      </c>
      <c r="WC173">
        <v>2</v>
      </c>
      <c r="WD173">
        <v>2</v>
      </c>
      <c r="WE173">
        <v>2</v>
      </c>
      <c r="WF173">
        <v>2</v>
      </c>
      <c r="WG173">
        <v>2</v>
      </c>
      <c r="WH173">
        <v>2</v>
      </c>
      <c r="WI173">
        <v>2</v>
      </c>
      <c r="WJ173">
        <v>2</v>
      </c>
      <c r="WK173">
        <v>2</v>
      </c>
      <c r="WL173">
        <v>2</v>
      </c>
      <c r="WM173">
        <v>2</v>
      </c>
      <c r="WN173">
        <v>2</v>
      </c>
      <c r="WO173">
        <v>2</v>
      </c>
      <c r="WP173">
        <v>2</v>
      </c>
      <c r="WQ173">
        <v>2</v>
      </c>
      <c r="WR173">
        <v>2</v>
      </c>
      <c r="WS173">
        <v>2</v>
      </c>
      <c r="WT173">
        <v>2</v>
      </c>
      <c r="WU173">
        <v>2</v>
      </c>
      <c r="WV173">
        <v>2</v>
      </c>
      <c r="WW173">
        <v>2</v>
      </c>
      <c r="WX173">
        <v>2</v>
      </c>
      <c r="WY173">
        <v>2</v>
      </c>
      <c r="WZ173">
        <v>2</v>
      </c>
      <c r="XA173">
        <v>2</v>
      </c>
      <c r="XB173">
        <v>2</v>
      </c>
      <c r="XC173">
        <v>2</v>
      </c>
      <c r="XD173">
        <v>2</v>
      </c>
      <c r="XE173">
        <v>2</v>
      </c>
      <c r="XF173">
        <v>2</v>
      </c>
      <c r="XG173">
        <v>2</v>
      </c>
      <c r="XH173">
        <v>2</v>
      </c>
      <c r="XI173">
        <v>2</v>
      </c>
      <c r="XJ173">
        <v>2</v>
      </c>
      <c r="XK173">
        <v>2</v>
      </c>
      <c r="XL173">
        <v>2</v>
      </c>
      <c r="XM173">
        <v>2</v>
      </c>
      <c r="XN173">
        <v>2</v>
      </c>
      <c r="XO173">
        <v>2</v>
      </c>
      <c r="XP173">
        <v>2</v>
      </c>
      <c r="XQ173">
        <v>2</v>
      </c>
      <c r="XR173">
        <v>2</v>
      </c>
      <c r="XS173">
        <v>2</v>
      </c>
      <c r="XT173">
        <v>2</v>
      </c>
      <c r="XU173">
        <v>2</v>
      </c>
      <c r="XV173">
        <v>2</v>
      </c>
      <c r="XW173">
        <v>2</v>
      </c>
      <c r="XX173">
        <v>2</v>
      </c>
      <c r="XY173">
        <v>2</v>
      </c>
      <c r="XZ173">
        <v>2</v>
      </c>
      <c r="YA173">
        <v>2</v>
      </c>
      <c r="YB173">
        <v>2</v>
      </c>
      <c r="YC173">
        <v>2</v>
      </c>
      <c r="YD173">
        <v>2</v>
      </c>
      <c r="YE173">
        <v>2</v>
      </c>
      <c r="YF173">
        <v>2</v>
      </c>
      <c r="YG173">
        <v>2</v>
      </c>
      <c r="YH173">
        <v>2</v>
      </c>
      <c r="YI173">
        <v>2</v>
      </c>
      <c r="YJ173">
        <v>2</v>
      </c>
      <c r="YK173">
        <v>2</v>
      </c>
      <c r="YL173">
        <v>2</v>
      </c>
      <c r="YM173">
        <v>2</v>
      </c>
      <c r="YN173">
        <v>2</v>
      </c>
      <c r="YO173">
        <v>2</v>
      </c>
      <c r="YP173">
        <v>2</v>
      </c>
      <c r="YQ173">
        <v>2</v>
      </c>
      <c r="YR173">
        <v>2</v>
      </c>
      <c r="YS173">
        <v>2</v>
      </c>
      <c r="YT173">
        <v>2</v>
      </c>
      <c r="YU173">
        <v>2</v>
      </c>
      <c r="YV173">
        <v>2</v>
      </c>
      <c r="YW173">
        <v>1</v>
      </c>
      <c r="YX173">
        <v>1</v>
      </c>
      <c r="YY173">
        <v>1</v>
      </c>
      <c r="YZ173">
        <v>1</v>
      </c>
      <c r="ZA173">
        <v>1</v>
      </c>
      <c r="ZB173">
        <v>1</v>
      </c>
      <c r="ZC173">
        <v>1</v>
      </c>
      <c r="ZD173">
        <v>1</v>
      </c>
      <c r="ZE173">
        <v>1</v>
      </c>
      <c r="ZF173">
        <v>1</v>
      </c>
      <c r="ZG173">
        <v>1</v>
      </c>
      <c r="ZH173">
        <v>1</v>
      </c>
      <c r="ZI173">
        <v>1</v>
      </c>
      <c r="ZJ173">
        <v>1</v>
      </c>
      <c r="ZK173">
        <v>1</v>
      </c>
      <c r="ZL173">
        <v>1</v>
      </c>
      <c r="ZM173">
        <v>1</v>
      </c>
      <c r="ZN173">
        <v>0</v>
      </c>
      <c r="ZO173">
        <v>0</v>
      </c>
      <c r="ZP173">
        <v>0</v>
      </c>
      <c r="ZQ173">
        <v>0</v>
      </c>
      <c r="ZR173">
        <v>0</v>
      </c>
      <c r="ZS173">
        <v>0</v>
      </c>
      <c r="ZT173">
        <v>0</v>
      </c>
      <c r="ZU173">
        <v>0</v>
      </c>
      <c r="ZV173">
        <v>0</v>
      </c>
      <c r="ZW173">
        <v>0</v>
      </c>
      <c r="ZX173">
        <v>0</v>
      </c>
      <c r="ZY173">
        <v>0</v>
      </c>
      <c r="ZZ173">
        <v>0</v>
      </c>
      <c r="AAA173">
        <v>0</v>
      </c>
      <c r="AAB173">
        <v>0</v>
      </c>
      <c r="AAC173">
        <v>0</v>
      </c>
      <c r="AAD173">
        <v>0</v>
      </c>
      <c r="AAE173">
        <v>0</v>
      </c>
      <c r="AAF173">
        <v>0</v>
      </c>
      <c r="AAG173">
        <v>0</v>
      </c>
      <c r="AAH173">
        <v>0</v>
      </c>
      <c r="AAI173">
        <v>0</v>
      </c>
      <c r="AAJ173">
        <v>0</v>
      </c>
      <c r="AAK173">
        <v>0</v>
      </c>
      <c r="AAL173">
        <v>0</v>
      </c>
      <c r="AAM173">
        <v>0</v>
      </c>
      <c r="AAN173">
        <v>0</v>
      </c>
      <c r="AAO173">
        <v>0</v>
      </c>
      <c r="AAP173">
        <v>0</v>
      </c>
      <c r="AAQ173">
        <v>0</v>
      </c>
      <c r="AAR173">
        <v>0</v>
      </c>
      <c r="AAS173">
        <v>0</v>
      </c>
      <c r="AAT173">
        <v>0</v>
      </c>
      <c r="AAU173">
        <v>0</v>
      </c>
      <c r="AAV173">
        <v>0</v>
      </c>
      <c r="AAW173">
        <v>0</v>
      </c>
      <c r="AAX173">
        <v>0</v>
      </c>
      <c r="AAY173">
        <v>0</v>
      </c>
      <c r="AAZ173">
        <v>0</v>
      </c>
      <c r="ABA173">
        <v>0</v>
      </c>
      <c r="ABB173">
        <v>0</v>
      </c>
      <c r="ABC173">
        <v>0</v>
      </c>
      <c r="ABD173">
        <v>0</v>
      </c>
      <c r="ABE173">
        <v>0</v>
      </c>
      <c r="ABG173" s="1137">
        <f t="shared" si="45"/>
        <v>0</v>
      </c>
      <c r="ABH173" s="1137">
        <f t="shared" si="45"/>
        <v>0</v>
      </c>
      <c r="ABI173" s="1137">
        <f t="shared" si="45"/>
        <v>0</v>
      </c>
      <c r="ABJ173" s="1137">
        <f t="shared" si="45"/>
        <v>4</v>
      </c>
      <c r="ABK173" s="1137">
        <f t="shared" si="45"/>
        <v>31</v>
      </c>
      <c r="ABL173" s="1137">
        <f t="shared" si="45"/>
        <v>21</v>
      </c>
      <c r="ABM173" s="1137">
        <f t="shared" si="45"/>
        <v>0</v>
      </c>
      <c r="ABN173" s="1137">
        <f t="shared" si="45"/>
        <v>15</v>
      </c>
      <c r="ABO173" s="1137">
        <f t="shared" si="45"/>
        <v>30</v>
      </c>
      <c r="ABP173" s="1137">
        <f t="shared" si="45"/>
        <v>11</v>
      </c>
      <c r="ABQ173" s="1137">
        <f t="shared" si="45"/>
        <v>0</v>
      </c>
      <c r="ABR173" s="1137">
        <f t="shared" si="45"/>
        <v>0</v>
      </c>
      <c r="ABS173" s="1137">
        <f t="shared" si="45"/>
        <v>0</v>
      </c>
      <c r="ABT173" s="1137">
        <f t="shared" si="45"/>
        <v>0</v>
      </c>
      <c r="ABU173" s="1137">
        <f t="shared" si="45"/>
        <v>0</v>
      </c>
      <c r="ABV173" s="1137">
        <f t="shared" si="45"/>
        <v>0</v>
      </c>
      <c r="ABW173" s="1137">
        <f t="shared" si="31"/>
        <v>1</v>
      </c>
      <c r="ABX173" s="1137">
        <f t="shared" si="31"/>
        <v>30</v>
      </c>
      <c r="ABY173" s="1137">
        <f t="shared" si="31"/>
        <v>31</v>
      </c>
      <c r="ABZ173" s="1137">
        <f t="shared" si="31"/>
        <v>31</v>
      </c>
      <c r="ACA173" s="1137">
        <f t="shared" si="31"/>
        <v>30</v>
      </c>
      <c r="ACB173" s="1137">
        <f t="shared" si="31"/>
        <v>31</v>
      </c>
      <c r="ACC173" s="1137">
        <f t="shared" si="31"/>
        <v>17</v>
      </c>
      <c r="ACD173" s="1137">
        <f t="shared" si="31"/>
        <v>0</v>
      </c>
      <c r="ACE173" s="1137" t="s">
        <v>266</v>
      </c>
      <c r="ACF173" s="1137">
        <f t="shared" si="39"/>
        <v>0</v>
      </c>
      <c r="ACG173" s="1137">
        <f t="shared" si="39"/>
        <v>0</v>
      </c>
      <c r="ACH173" s="1137">
        <f t="shared" si="39"/>
        <v>0</v>
      </c>
      <c r="ACI173" s="1137">
        <f t="shared" si="39"/>
        <v>0</v>
      </c>
      <c r="ACJ173" s="1137">
        <f t="shared" si="39"/>
        <v>1</v>
      </c>
      <c r="ACK173" s="1137">
        <f t="shared" si="39"/>
        <v>1</v>
      </c>
      <c r="ACL173" s="1137">
        <f t="shared" si="39"/>
        <v>0</v>
      </c>
      <c r="ACM173" s="1137">
        <f t="shared" si="39"/>
        <v>1</v>
      </c>
      <c r="ACN173" s="1137">
        <f t="shared" si="39"/>
        <v>1</v>
      </c>
      <c r="ACO173" s="1137">
        <f t="shared" si="39"/>
        <v>1</v>
      </c>
      <c r="ACP173" s="1137">
        <f t="shared" si="39"/>
        <v>0</v>
      </c>
      <c r="ACQ173" s="1137">
        <f t="shared" si="39"/>
        <v>0</v>
      </c>
      <c r="ACR173" s="1137">
        <f t="shared" si="39"/>
        <v>0</v>
      </c>
      <c r="ACS173" s="1137">
        <f t="shared" si="39"/>
        <v>0</v>
      </c>
      <c r="ACT173" s="1137">
        <f t="shared" si="43"/>
        <v>0</v>
      </c>
      <c r="ACU173" s="1137">
        <f t="shared" si="43"/>
        <v>0</v>
      </c>
      <c r="ACV173" s="1137">
        <f t="shared" si="43"/>
        <v>0</v>
      </c>
      <c r="ACW173" s="1137">
        <f t="shared" si="43"/>
        <v>1</v>
      </c>
      <c r="ACX173" s="1137">
        <f t="shared" si="42"/>
        <v>1</v>
      </c>
      <c r="ACY173" s="1137">
        <f t="shared" si="42"/>
        <v>1</v>
      </c>
      <c r="ACZ173" s="1137">
        <f t="shared" si="42"/>
        <v>1</v>
      </c>
      <c r="ADA173" s="1137">
        <f t="shared" si="35"/>
        <v>1</v>
      </c>
      <c r="ADB173" s="1137">
        <f t="shared" si="35"/>
        <v>1</v>
      </c>
      <c r="ADC173" s="1137">
        <f t="shared" si="35"/>
        <v>0</v>
      </c>
    </row>
    <row r="174" spans="1:783" x14ac:dyDescent="0.25">
      <c r="A174" t="s">
        <v>1971</v>
      </c>
      <c r="B174" t="s">
        <v>267</v>
      </c>
      <c r="C174">
        <v>0</v>
      </c>
      <c r="D174">
        <v>0</v>
      </c>
      <c r="E174">
        <v>0</v>
      </c>
      <c r="F174">
        <v>0</v>
      </c>
      <c r="G174">
        <v>0</v>
      </c>
      <c r="H174">
        <v>0</v>
      </c>
      <c r="I174">
        <v>0</v>
      </c>
      <c r="J174">
        <v>0</v>
      </c>
      <c r="K174">
        <v>0</v>
      </c>
      <c r="L174">
        <v>0</v>
      </c>
      <c r="M174">
        <v>0</v>
      </c>
      <c r="N174">
        <v>0</v>
      </c>
      <c r="O174">
        <v>0</v>
      </c>
      <c r="P174">
        <v>0</v>
      </c>
      <c r="Q174">
        <v>0</v>
      </c>
      <c r="R174">
        <v>0</v>
      </c>
      <c r="S174">
        <v>0</v>
      </c>
      <c r="T174">
        <v>0</v>
      </c>
      <c r="U174">
        <v>0</v>
      </c>
      <c r="V174">
        <v>0</v>
      </c>
      <c r="W174">
        <v>0</v>
      </c>
      <c r="X174">
        <v>0</v>
      </c>
      <c r="Y174">
        <v>0</v>
      </c>
      <c r="Z174">
        <v>0</v>
      </c>
      <c r="AA174">
        <v>0</v>
      </c>
      <c r="AB174">
        <v>0</v>
      </c>
      <c r="AC174">
        <v>0</v>
      </c>
      <c r="AD174">
        <v>0</v>
      </c>
      <c r="AE174">
        <v>0</v>
      </c>
      <c r="AF174">
        <v>0</v>
      </c>
      <c r="AG174">
        <v>0</v>
      </c>
      <c r="AH174">
        <v>0</v>
      </c>
      <c r="AI174">
        <v>0</v>
      </c>
      <c r="AJ174">
        <v>0</v>
      </c>
      <c r="AK174">
        <v>0</v>
      </c>
      <c r="AL174">
        <v>0</v>
      </c>
      <c r="AM174">
        <v>0</v>
      </c>
      <c r="AN174">
        <v>0</v>
      </c>
      <c r="AO174">
        <v>0</v>
      </c>
      <c r="AP174">
        <v>0</v>
      </c>
      <c r="AQ174">
        <v>0</v>
      </c>
      <c r="AR174">
        <v>0</v>
      </c>
      <c r="AS174">
        <v>0</v>
      </c>
      <c r="AT174">
        <v>0</v>
      </c>
      <c r="AU174">
        <v>0</v>
      </c>
      <c r="AV174">
        <v>0</v>
      </c>
      <c r="AW174">
        <v>0</v>
      </c>
      <c r="AX174">
        <v>0</v>
      </c>
      <c r="AY174">
        <v>0</v>
      </c>
      <c r="AZ174">
        <v>0</v>
      </c>
      <c r="BA174">
        <v>0</v>
      </c>
      <c r="BB174">
        <v>0</v>
      </c>
      <c r="BC174">
        <v>0</v>
      </c>
      <c r="BD174">
        <v>0</v>
      </c>
      <c r="BE174">
        <v>0</v>
      </c>
      <c r="BF174">
        <v>0</v>
      </c>
      <c r="BG174">
        <v>0</v>
      </c>
      <c r="BH174">
        <v>0</v>
      </c>
      <c r="BI174">
        <v>0</v>
      </c>
      <c r="BJ174">
        <v>0</v>
      </c>
      <c r="BK174">
        <v>0</v>
      </c>
      <c r="BL174">
        <v>0</v>
      </c>
      <c r="BM174">
        <v>0</v>
      </c>
      <c r="BN174">
        <v>0</v>
      </c>
      <c r="BO174">
        <v>0</v>
      </c>
      <c r="BP174">
        <v>0</v>
      </c>
      <c r="BQ174">
        <v>0</v>
      </c>
      <c r="BR174">
        <v>0</v>
      </c>
      <c r="BS174">
        <v>0</v>
      </c>
      <c r="BT174">
        <v>0</v>
      </c>
      <c r="BU174">
        <v>0</v>
      </c>
      <c r="BV174">
        <v>0</v>
      </c>
      <c r="BW174">
        <v>0</v>
      </c>
      <c r="BX174">
        <v>0</v>
      </c>
      <c r="BY174">
        <v>0</v>
      </c>
      <c r="BZ174">
        <v>0</v>
      </c>
      <c r="CA174">
        <v>0</v>
      </c>
      <c r="CB174">
        <v>0</v>
      </c>
      <c r="CC174">
        <v>0</v>
      </c>
      <c r="CD174">
        <v>2</v>
      </c>
      <c r="CE174">
        <v>2</v>
      </c>
      <c r="CF174">
        <v>2</v>
      </c>
      <c r="CG174">
        <v>2</v>
      </c>
      <c r="CH174">
        <v>2</v>
      </c>
      <c r="CI174">
        <v>2</v>
      </c>
      <c r="CJ174">
        <v>2</v>
      </c>
      <c r="CK174">
        <v>2</v>
      </c>
      <c r="CL174">
        <v>2</v>
      </c>
      <c r="CM174">
        <v>2</v>
      </c>
      <c r="CN174">
        <v>2</v>
      </c>
      <c r="CO174">
        <v>2</v>
      </c>
      <c r="CP174">
        <v>2</v>
      </c>
      <c r="CQ174">
        <v>2</v>
      </c>
      <c r="CR174">
        <v>2</v>
      </c>
      <c r="CS174">
        <v>2</v>
      </c>
      <c r="CT174">
        <v>2</v>
      </c>
      <c r="CU174">
        <v>2</v>
      </c>
      <c r="CV174">
        <v>2</v>
      </c>
      <c r="CW174">
        <v>2</v>
      </c>
      <c r="CX174">
        <v>2</v>
      </c>
      <c r="CY174">
        <v>2</v>
      </c>
      <c r="CZ174">
        <v>2</v>
      </c>
      <c r="DA174">
        <v>2</v>
      </c>
      <c r="DB174">
        <v>2</v>
      </c>
      <c r="DC174">
        <v>2</v>
      </c>
      <c r="DD174">
        <v>2</v>
      </c>
      <c r="DE174">
        <v>2</v>
      </c>
      <c r="DF174">
        <v>2</v>
      </c>
      <c r="DG174">
        <v>2</v>
      </c>
      <c r="DH174">
        <v>2</v>
      </c>
      <c r="DI174">
        <v>2</v>
      </c>
      <c r="DJ174">
        <v>2</v>
      </c>
      <c r="DK174">
        <v>2</v>
      </c>
      <c r="DL174">
        <v>2</v>
      </c>
      <c r="DM174">
        <v>2</v>
      </c>
      <c r="DN174">
        <v>2</v>
      </c>
      <c r="DO174">
        <v>2</v>
      </c>
      <c r="DP174">
        <v>2</v>
      </c>
      <c r="DQ174">
        <v>2</v>
      </c>
      <c r="DR174">
        <v>2</v>
      </c>
      <c r="DS174">
        <v>2</v>
      </c>
      <c r="DT174">
        <v>2</v>
      </c>
      <c r="DU174">
        <v>2</v>
      </c>
      <c r="DV174">
        <v>2</v>
      </c>
      <c r="DW174">
        <v>2</v>
      </c>
      <c r="DX174">
        <v>2</v>
      </c>
      <c r="DY174">
        <v>2</v>
      </c>
      <c r="DZ174">
        <v>2</v>
      </c>
      <c r="EA174">
        <v>2</v>
      </c>
      <c r="EB174">
        <v>2</v>
      </c>
      <c r="EC174">
        <v>2</v>
      </c>
      <c r="ED174">
        <v>2</v>
      </c>
      <c r="EE174">
        <v>2</v>
      </c>
      <c r="EF174">
        <v>2</v>
      </c>
      <c r="EG174">
        <v>2</v>
      </c>
      <c r="EH174">
        <v>2</v>
      </c>
      <c r="EI174">
        <v>2</v>
      </c>
      <c r="EJ174">
        <v>2</v>
      </c>
      <c r="EK174">
        <v>2</v>
      </c>
      <c r="EL174">
        <v>2</v>
      </c>
      <c r="EM174">
        <v>2</v>
      </c>
      <c r="EN174">
        <v>2</v>
      </c>
      <c r="EO174">
        <v>2</v>
      </c>
      <c r="EP174">
        <v>2</v>
      </c>
      <c r="EQ174">
        <v>2</v>
      </c>
      <c r="ER174">
        <v>2</v>
      </c>
      <c r="ES174">
        <v>2</v>
      </c>
      <c r="ET174">
        <v>2</v>
      </c>
      <c r="EU174">
        <v>2</v>
      </c>
      <c r="EV174">
        <v>2</v>
      </c>
      <c r="EW174">
        <v>2</v>
      </c>
      <c r="EX174">
        <v>2</v>
      </c>
      <c r="EY174">
        <v>2</v>
      </c>
      <c r="EZ174">
        <v>2</v>
      </c>
      <c r="FA174">
        <v>2</v>
      </c>
      <c r="FB174">
        <v>0</v>
      </c>
      <c r="FC174">
        <v>0</v>
      </c>
      <c r="FD174">
        <v>0</v>
      </c>
      <c r="FE174">
        <v>0</v>
      </c>
      <c r="FF174">
        <v>0</v>
      </c>
      <c r="FG174">
        <v>0</v>
      </c>
      <c r="FH174">
        <v>0</v>
      </c>
      <c r="FI174">
        <v>0</v>
      </c>
      <c r="FJ174">
        <v>0</v>
      </c>
      <c r="FK174">
        <v>0</v>
      </c>
      <c r="FL174">
        <v>0</v>
      </c>
      <c r="FM174">
        <v>0</v>
      </c>
      <c r="FN174">
        <v>0</v>
      </c>
      <c r="FO174">
        <v>0</v>
      </c>
      <c r="FP174">
        <v>0</v>
      </c>
      <c r="FQ174">
        <v>0</v>
      </c>
      <c r="FR174">
        <v>0</v>
      </c>
      <c r="FS174">
        <v>0</v>
      </c>
      <c r="FT174">
        <v>0</v>
      </c>
      <c r="FU174">
        <v>0</v>
      </c>
      <c r="FV174">
        <v>0</v>
      </c>
      <c r="FW174">
        <v>0</v>
      </c>
      <c r="FX174">
        <v>0</v>
      </c>
      <c r="FY174">
        <v>0</v>
      </c>
      <c r="FZ174">
        <v>0</v>
      </c>
      <c r="GA174">
        <v>0</v>
      </c>
      <c r="GB174">
        <v>0</v>
      </c>
      <c r="GC174">
        <v>0</v>
      </c>
      <c r="GD174">
        <v>0</v>
      </c>
      <c r="GE174">
        <v>0</v>
      </c>
      <c r="GF174">
        <v>0</v>
      </c>
      <c r="GG174">
        <v>0</v>
      </c>
      <c r="GH174">
        <v>0</v>
      </c>
      <c r="GI174">
        <v>0</v>
      </c>
      <c r="GJ174">
        <v>0</v>
      </c>
      <c r="GK174">
        <v>0</v>
      </c>
      <c r="GL174">
        <v>0</v>
      </c>
      <c r="GM174">
        <v>0</v>
      </c>
      <c r="GN174">
        <v>0</v>
      </c>
      <c r="GO174">
        <v>0</v>
      </c>
      <c r="GP174">
        <v>0</v>
      </c>
      <c r="GQ174">
        <v>0</v>
      </c>
      <c r="GR174">
        <v>0</v>
      </c>
      <c r="GS174">
        <v>0</v>
      </c>
      <c r="GT174">
        <v>0</v>
      </c>
      <c r="GU174">
        <v>0</v>
      </c>
      <c r="GV174">
        <v>0</v>
      </c>
      <c r="GW174">
        <v>0</v>
      </c>
      <c r="GX174">
        <v>0</v>
      </c>
      <c r="GY174">
        <v>0</v>
      </c>
      <c r="GZ174">
        <v>0</v>
      </c>
      <c r="HA174">
        <v>0</v>
      </c>
      <c r="HB174">
        <v>0</v>
      </c>
      <c r="HC174">
        <v>0</v>
      </c>
      <c r="HD174">
        <v>0</v>
      </c>
      <c r="HE174">
        <v>0</v>
      </c>
      <c r="HF174">
        <v>0</v>
      </c>
      <c r="HG174">
        <v>0</v>
      </c>
      <c r="HH174">
        <v>0</v>
      </c>
      <c r="HI174">
        <v>0</v>
      </c>
      <c r="HJ174">
        <v>0</v>
      </c>
      <c r="HK174">
        <v>0</v>
      </c>
      <c r="HL174">
        <v>0</v>
      </c>
      <c r="HM174">
        <v>0</v>
      </c>
      <c r="HN174">
        <v>0</v>
      </c>
      <c r="HO174">
        <v>0</v>
      </c>
      <c r="HP174">
        <v>0</v>
      </c>
      <c r="HQ174">
        <v>0</v>
      </c>
      <c r="HR174">
        <v>0</v>
      </c>
      <c r="HS174">
        <v>0</v>
      </c>
      <c r="HT174">
        <v>0</v>
      </c>
      <c r="HU174">
        <v>0</v>
      </c>
      <c r="HV174">
        <v>0</v>
      </c>
      <c r="HW174">
        <v>0</v>
      </c>
      <c r="HX174">
        <v>0</v>
      </c>
      <c r="HY174">
        <v>0</v>
      </c>
      <c r="HZ174">
        <v>0</v>
      </c>
      <c r="IA174">
        <v>0</v>
      </c>
      <c r="IB174">
        <v>0</v>
      </c>
      <c r="IC174">
        <v>0</v>
      </c>
      <c r="ID174">
        <v>0</v>
      </c>
      <c r="IE174">
        <v>0</v>
      </c>
      <c r="IF174">
        <v>0</v>
      </c>
      <c r="IG174">
        <v>0</v>
      </c>
      <c r="IH174">
        <v>0</v>
      </c>
      <c r="II174">
        <v>0</v>
      </c>
      <c r="IJ174">
        <v>0</v>
      </c>
      <c r="IK174">
        <v>0</v>
      </c>
      <c r="IL174">
        <v>0</v>
      </c>
      <c r="IM174">
        <v>0</v>
      </c>
      <c r="IN174">
        <v>0</v>
      </c>
      <c r="IO174">
        <v>0</v>
      </c>
      <c r="IP174">
        <v>0</v>
      </c>
      <c r="IQ174">
        <v>0</v>
      </c>
      <c r="IR174">
        <v>0</v>
      </c>
      <c r="IS174">
        <v>0</v>
      </c>
      <c r="IT174">
        <v>0</v>
      </c>
      <c r="IU174">
        <v>0</v>
      </c>
      <c r="IV174">
        <v>0</v>
      </c>
      <c r="IW174">
        <v>0</v>
      </c>
      <c r="IX174">
        <v>0</v>
      </c>
      <c r="IY174">
        <v>0</v>
      </c>
      <c r="IZ174">
        <v>0</v>
      </c>
      <c r="JA174">
        <v>0</v>
      </c>
      <c r="JB174">
        <v>0</v>
      </c>
      <c r="JC174">
        <v>0</v>
      </c>
      <c r="JD174">
        <v>0</v>
      </c>
      <c r="JE174">
        <v>0</v>
      </c>
      <c r="JF174">
        <v>0</v>
      </c>
      <c r="JG174">
        <v>0</v>
      </c>
      <c r="JH174">
        <v>0</v>
      </c>
      <c r="JI174">
        <v>0</v>
      </c>
      <c r="JJ174">
        <v>0</v>
      </c>
      <c r="JK174">
        <v>0</v>
      </c>
      <c r="JL174">
        <v>0</v>
      </c>
      <c r="JM174">
        <v>0</v>
      </c>
      <c r="JN174">
        <v>0</v>
      </c>
      <c r="JO174">
        <v>0</v>
      </c>
      <c r="JP174">
        <v>0</v>
      </c>
      <c r="JQ174">
        <v>0</v>
      </c>
      <c r="JR174">
        <v>0</v>
      </c>
      <c r="JS174">
        <v>0</v>
      </c>
      <c r="JT174">
        <v>0</v>
      </c>
      <c r="JU174">
        <v>0</v>
      </c>
      <c r="JV174">
        <v>0</v>
      </c>
      <c r="JW174">
        <v>0</v>
      </c>
      <c r="JX174">
        <v>0</v>
      </c>
      <c r="JY174">
        <v>0</v>
      </c>
      <c r="JZ174">
        <v>0</v>
      </c>
      <c r="KA174">
        <v>0</v>
      </c>
      <c r="KB174">
        <v>0</v>
      </c>
      <c r="KC174">
        <v>0</v>
      </c>
      <c r="KD174">
        <v>0</v>
      </c>
      <c r="KE174">
        <v>0</v>
      </c>
      <c r="KF174">
        <v>0</v>
      </c>
      <c r="KG174">
        <v>0</v>
      </c>
      <c r="KH174">
        <v>0</v>
      </c>
      <c r="KI174">
        <v>0</v>
      </c>
      <c r="KJ174">
        <v>0</v>
      </c>
      <c r="KK174">
        <v>0</v>
      </c>
      <c r="KL174">
        <v>0</v>
      </c>
      <c r="KM174">
        <v>0</v>
      </c>
      <c r="KN174">
        <v>0</v>
      </c>
      <c r="KO174">
        <v>0</v>
      </c>
      <c r="KP174">
        <v>0</v>
      </c>
      <c r="KQ174">
        <v>0</v>
      </c>
      <c r="KR174">
        <v>2</v>
      </c>
      <c r="KS174">
        <v>2</v>
      </c>
      <c r="KT174">
        <v>2</v>
      </c>
      <c r="KU174">
        <v>2</v>
      </c>
      <c r="KV174">
        <v>2</v>
      </c>
      <c r="KW174">
        <v>2</v>
      </c>
      <c r="KX174">
        <v>2</v>
      </c>
      <c r="KY174">
        <v>2</v>
      </c>
      <c r="KZ174">
        <v>2</v>
      </c>
      <c r="LA174">
        <v>2</v>
      </c>
      <c r="LB174">
        <v>2</v>
      </c>
      <c r="LC174">
        <v>2</v>
      </c>
      <c r="LD174">
        <v>2</v>
      </c>
      <c r="LE174">
        <v>2</v>
      </c>
      <c r="LF174">
        <v>2</v>
      </c>
      <c r="LG174">
        <v>2</v>
      </c>
      <c r="LH174">
        <v>2</v>
      </c>
      <c r="LI174">
        <v>2</v>
      </c>
      <c r="LJ174">
        <v>2</v>
      </c>
      <c r="LK174">
        <v>2</v>
      </c>
      <c r="LL174">
        <v>2</v>
      </c>
      <c r="LM174">
        <v>2</v>
      </c>
      <c r="LN174">
        <v>2</v>
      </c>
      <c r="LO174">
        <v>2</v>
      </c>
      <c r="LP174">
        <v>2</v>
      </c>
      <c r="LQ174">
        <v>2</v>
      </c>
      <c r="LR174">
        <v>2</v>
      </c>
      <c r="LS174">
        <v>2</v>
      </c>
      <c r="LT174">
        <v>2</v>
      </c>
      <c r="LU174">
        <v>2</v>
      </c>
      <c r="LV174">
        <v>2</v>
      </c>
      <c r="LW174">
        <v>2</v>
      </c>
      <c r="LX174">
        <v>2</v>
      </c>
      <c r="LY174">
        <v>2</v>
      </c>
      <c r="LZ174">
        <v>2</v>
      </c>
      <c r="MA174">
        <v>2</v>
      </c>
      <c r="MB174">
        <v>2</v>
      </c>
      <c r="MC174">
        <v>2</v>
      </c>
      <c r="MD174">
        <v>2</v>
      </c>
      <c r="ME174">
        <v>2</v>
      </c>
      <c r="MF174">
        <v>2</v>
      </c>
      <c r="MG174">
        <v>2</v>
      </c>
      <c r="MH174">
        <v>2</v>
      </c>
      <c r="MI174">
        <v>2</v>
      </c>
      <c r="MJ174">
        <v>2</v>
      </c>
      <c r="MK174">
        <v>2</v>
      </c>
      <c r="ML174">
        <v>2</v>
      </c>
      <c r="MM174">
        <v>2</v>
      </c>
      <c r="MN174">
        <v>2</v>
      </c>
      <c r="MO174">
        <v>2</v>
      </c>
      <c r="MP174">
        <v>2</v>
      </c>
      <c r="MQ174">
        <v>2</v>
      </c>
      <c r="MR174">
        <v>2</v>
      </c>
      <c r="MS174">
        <v>2</v>
      </c>
      <c r="MT174">
        <v>2</v>
      </c>
      <c r="MU174">
        <v>2</v>
      </c>
      <c r="MV174">
        <v>2</v>
      </c>
      <c r="MW174">
        <v>2</v>
      </c>
      <c r="MX174">
        <v>2</v>
      </c>
      <c r="MY174">
        <v>2</v>
      </c>
      <c r="MZ174">
        <v>2</v>
      </c>
      <c r="NA174">
        <v>2</v>
      </c>
      <c r="NB174">
        <v>2</v>
      </c>
      <c r="NC174">
        <v>2</v>
      </c>
      <c r="ND174">
        <v>2</v>
      </c>
      <c r="NE174">
        <v>2</v>
      </c>
      <c r="NF174">
        <v>2</v>
      </c>
      <c r="NG174">
        <v>2</v>
      </c>
      <c r="NH174">
        <v>2</v>
      </c>
      <c r="NI174">
        <v>2</v>
      </c>
      <c r="NJ174">
        <v>2</v>
      </c>
      <c r="NK174">
        <v>2</v>
      </c>
      <c r="NL174">
        <v>2</v>
      </c>
      <c r="NM174">
        <v>2</v>
      </c>
      <c r="NN174">
        <v>2</v>
      </c>
      <c r="NO174">
        <v>2</v>
      </c>
      <c r="NP174">
        <v>2</v>
      </c>
      <c r="NQ174">
        <v>2</v>
      </c>
      <c r="NR174">
        <v>2</v>
      </c>
      <c r="NS174">
        <v>2</v>
      </c>
      <c r="NT174">
        <v>2</v>
      </c>
      <c r="NU174">
        <v>2</v>
      </c>
      <c r="NV174">
        <v>2</v>
      </c>
      <c r="NW174">
        <v>2</v>
      </c>
      <c r="NX174">
        <v>2</v>
      </c>
      <c r="NY174">
        <v>2</v>
      </c>
      <c r="NZ174">
        <v>2</v>
      </c>
      <c r="OA174">
        <v>2</v>
      </c>
      <c r="OB174">
        <v>2</v>
      </c>
      <c r="OC174">
        <v>2</v>
      </c>
      <c r="OD174">
        <v>2</v>
      </c>
      <c r="OE174">
        <v>2</v>
      </c>
      <c r="OF174">
        <v>2</v>
      </c>
      <c r="OG174">
        <v>2</v>
      </c>
      <c r="OH174">
        <v>2</v>
      </c>
      <c r="OI174">
        <v>2</v>
      </c>
      <c r="OJ174">
        <v>2</v>
      </c>
      <c r="OK174">
        <v>2</v>
      </c>
      <c r="OL174">
        <v>2</v>
      </c>
      <c r="OM174">
        <v>2</v>
      </c>
      <c r="ON174">
        <v>2</v>
      </c>
      <c r="OO174">
        <v>2</v>
      </c>
      <c r="OP174">
        <v>2</v>
      </c>
      <c r="OQ174">
        <v>2</v>
      </c>
      <c r="OR174">
        <v>2</v>
      </c>
      <c r="OS174">
        <v>2</v>
      </c>
      <c r="OT174">
        <v>2</v>
      </c>
      <c r="OU174">
        <v>2</v>
      </c>
      <c r="OV174">
        <v>2</v>
      </c>
      <c r="OW174">
        <v>2</v>
      </c>
      <c r="OX174">
        <v>2</v>
      </c>
      <c r="OY174">
        <v>2</v>
      </c>
      <c r="OZ174">
        <v>2</v>
      </c>
      <c r="PA174">
        <v>2</v>
      </c>
      <c r="PB174">
        <v>2</v>
      </c>
      <c r="PC174">
        <v>2</v>
      </c>
      <c r="PD174">
        <v>2</v>
      </c>
      <c r="PE174">
        <v>2</v>
      </c>
      <c r="PF174">
        <v>2</v>
      </c>
      <c r="PG174">
        <v>2</v>
      </c>
      <c r="PH174">
        <v>2</v>
      </c>
      <c r="PI174">
        <v>2</v>
      </c>
      <c r="PJ174">
        <v>2</v>
      </c>
      <c r="PK174">
        <v>2</v>
      </c>
      <c r="PL174">
        <v>2</v>
      </c>
      <c r="PM174">
        <v>2</v>
      </c>
      <c r="PN174">
        <v>2</v>
      </c>
      <c r="PO174">
        <v>2</v>
      </c>
      <c r="PP174">
        <v>2</v>
      </c>
      <c r="PQ174">
        <v>2</v>
      </c>
      <c r="PR174">
        <v>2</v>
      </c>
      <c r="PS174">
        <v>2</v>
      </c>
      <c r="PT174">
        <v>2</v>
      </c>
      <c r="PU174">
        <v>2</v>
      </c>
      <c r="PV174">
        <v>2</v>
      </c>
      <c r="PW174">
        <v>2</v>
      </c>
      <c r="PX174">
        <v>2</v>
      </c>
      <c r="PY174">
        <v>2</v>
      </c>
      <c r="PZ174">
        <v>2</v>
      </c>
      <c r="QA174">
        <v>2</v>
      </c>
      <c r="QB174">
        <v>2</v>
      </c>
      <c r="QC174">
        <v>2</v>
      </c>
      <c r="QD174">
        <v>2</v>
      </c>
      <c r="QE174">
        <v>2</v>
      </c>
      <c r="QF174">
        <v>2</v>
      </c>
      <c r="QG174">
        <v>2</v>
      </c>
      <c r="QH174">
        <v>0</v>
      </c>
      <c r="QI174">
        <v>0</v>
      </c>
      <c r="QJ174">
        <v>0</v>
      </c>
      <c r="QK174">
        <v>0</v>
      </c>
      <c r="QL174">
        <v>0</v>
      </c>
      <c r="QM174">
        <v>0</v>
      </c>
      <c r="QN174">
        <v>0</v>
      </c>
      <c r="QO174">
        <v>0</v>
      </c>
      <c r="QP174">
        <v>0</v>
      </c>
      <c r="QQ174">
        <v>0</v>
      </c>
      <c r="QR174">
        <v>0</v>
      </c>
      <c r="QS174">
        <v>0</v>
      </c>
      <c r="QT174">
        <v>0</v>
      </c>
      <c r="QU174">
        <v>0</v>
      </c>
      <c r="QV174">
        <v>0</v>
      </c>
      <c r="QW174">
        <v>0</v>
      </c>
      <c r="QX174">
        <v>0</v>
      </c>
      <c r="QY174">
        <v>0</v>
      </c>
      <c r="QZ174">
        <v>0</v>
      </c>
      <c r="RA174">
        <v>0</v>
      </c>
      <c r="RB174">
        <v>0</v>
      </c>
      <c r="RC174">
        <v>0</v>
      </c>
      <c r="RD174">
        <v>0</v>
      </c>
      <c r="RE174">
        <v>0</v>
      </c>
      <c r="RF174">
        <v>0</v>
      </c>
      <c r="RG174">
        <v>0</v>
      </c>
      <c r="RH174">
        <v>0</v>
      </c>
      <c r="RI174">
        <v>0</v>
      </c>
      <c r="RJ174">
        <v>0</v>
      </c>
      <c r="RK174">
        <v>0</v>
      </c>
      <c r="RL174">
        <v>0</v>
      </c>
      <c r="RM174">
        <v>0</v>
      </c>
      <c r="RN174">
        <v>0</v>
      </c>
      <c r="RO174">
        <v>0</v>
      </c>
      <c r="RP174">
        <v>0</v>
      </c>
      <c r="RQ174">
        <v>2</v>
      </c>
      <c r="RR174">
        <v>2</v>
      </c>
      <c r="RS174">
        <v>2</v>
      </c>
      <c r="RT174">
        <v>2</v>
      </c>
      <c r="RU174">
        <v>2</v>
      </c>
      <c r="RV174">
        <v>2</v>
      </c>
      <c r="RW174">
        <v>2</v>
      </c>
      <c r="RX174">
        <v>2</v>
      </c>
      <c r="RY174">
        <v>2</v>
      </c>
      <c r="RZ174">
        <v>2</v>
      </c>
      <c r="SA174">
        <v>2</v>
      </c>
      <c r="SB174">
        <v>2</v>
      </c>
      <c r="SC174">
        <v>2</v>
      </c>
      <c r="SD174">
        <v>2</v>
      </c>
      <c r="SE174">
        <v>2</v>
      </c>
      <c r="SF174">
        <v>2</v>
      </c>
      <c r="SG174">
        <v>2</v>
      </c>
      <c r="SH174">
        <v>1</v>
      </c>
      <c r="SI174">
        <v>1</v>
      </c>
      <c r="SJ174">
        <v>1</v>
      </c>
      <c r="SK174">
        <v>1</v>
      </c>
      <c r="SL174">
        <v>1</v>
      </c>
      <c r="SM174">
        <v>1</v>
      </c>
      <c r="SN174">
        <v>1</v>
      </c>
      <c r="SO174">
        <v>1</v>
      </c>
      <c r="SP174">
        <v>1</v>
      </c>
      <c r="SQ174">
        <v>1</v>
      </c>
      <c r="SR174">
        <v>1</v>
      </c>
      <c r="SS174">
        <v>1</v>
      </c>
      <c r="ST174">
        <v>1</v>
      </c>
      <c r="SU174">
        <v>1</v>
      </c>
      <c r="SV174">
        <v>1</v>
      </c>
      <c r="SW174">
        <v>1</v>
      </c>
      <c r="SX174">
        <v>1</v>
      </c>
      <c r="SY174">
        <v>1</v>
      </c>
      <c r="SZ174">
        <v>1</v>
      </c>
      <c r="TA174">
        <v>1</v>
      </c>
      <c r="TB174">
        <v>1</v>
      </c>
      <c r="TC174">
        <v>1</v>
      </c>
      <c r="TD174">
        <v>1</v>
      </c>
      <c r="TE174">
        <v>1</v>
      </c>
      <c r="TF174">
        <v>1</v>
      </c>
      <c r="TG174">
        <v>1</v>
      </c>
      <c r="TH174">
        <v>1</v>
      </c>
      <c r="TI174">
        <v>1</v>
      </c>
      <c r="TJ174">
        <v>1</v>
      </c>
      <c r="TK174">
        <v>1</v>
      </c>
      <c r="TL174">
        <v>1</v>
      </c>
      <c r="TM174">
        <v>1</v>
      </c>
      <c r="TN174">
        <v>2</v>
      </c>
      <c r="TO174">
        <v>2</v>
      </c>
      <c r="TP174">
        <v>2</v>
      </c>
      <c r="TQ174">
        <v>2</v>
      </c>
      <c r="TR174">
        <v>2</v>
      </c>
      <c r="TS174">
        <v>2</v>
      </c>
      <c r="TT174">
        <v>2</v>
      </c>
      <c r="TU174">
        <v>2</v>
      </c>
      <c r="TV174">
        <v>2</v>
      </c>
      <c r="TW174">
        <v>2</v>
      </c>
      <c r="TX174">
        <v>2</v>
      </c>
      <c r="TY174">
        <v>2</v>
      </c>
      <c r="TZ174">
        <v>2</v>
      </c>
      <c r="UA174">
        <v>2</v>
      </c>
      <c r="UB174">
        <v>2</v>
      </c>
      <c r="UC174">
        <v>2</v>
      </c>
      <c r="UD174">
        <v>2</v>
      </c>
      <c r="UE174">
        <v>2</v>
      </c>
      <c r="UF174">
        <v>2</v>
      </c>
      <c r="UG174">
        <v>2</v>
      </c>
      <c r="UH174">
        <v>2</v>
      </c>
      <c r="UI174">
        <v>2</v>
      </c>
      <c r="UJ174">
        <v>2</v>
      </c>
      <c r="UK174">
        <v>2</v>
      </c>
      <c r="UL174">
        <v>2</v>
      </c>
      <c r="UM174">
        <v>2</v>
      </c>
      <c r="UN174">
        <v>2</v>
      </c>
      <c r="UO174">
        <v>2</v>
      </c>
      <c r="UP174">
        <v>2</v>
      </c>
      <c r="UQ174">
        <v>2</v>
      </c>
      <c r="UR174">
        <v>2</v>
      </c>
      <c r="US174">
        <v>2</v>
      </c>
      <c r="UT174">
        <v>2</v>
      </c>
      <c r="UU174">
        <v>2</v>
      </c>
      <c r="UV174">
        <v>2</v>
      </c>
      <c r="UW174">
        <v>2</v>
      </c>
      <c r="UX174">
        <v>2</v>
      </c>
      <c r="UY174">
        <v>2</v>
      </c>
      <c r="UZ174">
        <v>2</v>
      </c>
      <c r="VA174">
        <v>2</v>
      </c>
      <c r="VB174">
        <v>2</v>
      </c>
      <c r="VC174">
        <v>2</v>
      </c>
      <c r="VD174">
        <v>2</v>
      </c>
      <c r="VE174">
        <v>2</v>
      </c>
      <c r="VF174">
        <v>2</v>
      </c>
      <c r="VG174">
        <v>2</v>
      </c>
      <c r="VH174">
        <v>2</v>
      </c>
      <c r="VI174">
        <v>2</v>
      </c>
      <c r="VJ174">
        <v>2</v>
      </c>
      <c r="VK174">
        <v>2</v>
      </c>
      <c r="VL174">
        <v>2</v>
      </c>
      <c r="VM174">
        <v>2</v>
      </c>
      <c r="VN174">
        <v>2</v>
      </c>
      <c r="VO174">
        <v>2</v>
      </c>
      <c r="VP174">
        <v>2</v>
      </c>
      <c r="VQ174">
        <v>2</v>
      </c>
      <c r="VR174">
        <v>2</v>
      </c>
      <c r="VS174">
        <v>2</v>
      </c>
      <c r="VT174">
        <v>2</v>
      </c>
      <c r="VU174">
        <v>2</v>
      </c>
      <c r="VV174">
        <v>2</v>
      </c>
      <c r="VW174">
        <v>2</v>
      </c>
      <c r="VX174">
        <v>2</v>
      </c>
      <c r="VY174">
        <v>2</v>
      </c>
      <c r="VZ174">
        <v>2</v>
      </c>
      <c r="WA174">
        <v>2</v>
      </c>
      <c r="WB174">
        <v>2</v>
      </c>
      <c r="WC174">
        <v>2</v>
      </c>
      <c r="WD174">
        <v>2</v>
      </c>
      <c r="WE174">
        <v>2</v>
      </c>
      <c r="WF174">
        <v>2</v>
      </c>
      <c r="WG174">
        <v>2</v>
      </c>
      <c r="WH174">
        <v>2</v>
      </c>
      <c r="WI174">
        <v>2</v>
      </c>
      <c r="WJ174">
        <v>2</v>
      </c>
      <c r="WK174">
        <v>2</v>
      </c>
      <c r="WL174">
        <v>2</v>
      </c>
      <c r="WM174">
        <v>2</v>
      </c>
      <c r="WN174">
        <v>2</v>
      </c>
      <c r="WO174">
        <v>2</v>
      </c>
      <c r="WP174">
        <v>2</v>
      </c>
      <c r="WQ174">
        <v>2</v>
      </c>
      <c r="WR174">
        <v>2</v>
      </c>
      <c r="WS174">
        <v>2</v>
      </c>
      <c r="WT174">
        <v>2</v>
      </c>
      <c r="WU174">
        <v>2</v>
      </c>
      <c r="WV174">
        <v>2</v>
      </c>
      <c r="WW174">
        <v>2</v>
      </c>
      <c r="WX174">
        <v>2</v>
      </c>
      <c r="WY174">
        <v>2</v>
      </c>
      <c r="WZ174">
        <v>2</v>
      </c>
      <c r="XA174">
        <v>2</v>
      </c>
      <c r="XB174">
        <v>2</v>
      </c>
      <c r="XC174">
        <v>2</v>
      </c>
      <c r="XD174">
        <v>2</v>
      </c>
      <c r="XE174">
        <v>2</v>
      </c>
      <c r="XF174">
        <v>2</v>
      </c>
      <c r="XG174">
        <v>2</v>
      </c>
      <c r="XH174">
        <v>2</v>
      </c>
      <c r="XI174">
        <v>2</v>
      </c>
      <c r="XJ174">
        <v>2</v>
      </c>
      <c r="XK174">
        <v>2</v>
      </c>
      <c r="XL174">
        <v>0</v>
      </c>
      <c r="XM174">
        <v>0</v>
      </c>
      <c r="XN174">
        <v>0</v>
      </c>
      <c r="XO174">
        <v>0</v>
      </c>
      <c r="XP174">
        <v>0</v>
      </c>
      <c r="XQ174">
        <v>0</v>
      </c>
      <c r="XR174">
        <v>0</v>
      </c>
      <c r="XS174">
        <v>0</v>
      </c>
      <c r="XT174">
        <v>0</v>
      </c>
      <c r="XU174">
        <v>0</v>
      </c>
      <c r="XV174">
        <v>0</v>
      </c>
      <c r="XW174">
        <v>0</v>
      </c>
      <c r="XX174">
        <v>0</v>
      </c>
      <c r="XY174">
        <v>0</v>
      </c>
      <c r="XZ174">
        <v>0</v>
      </c>
      <c r="YA174">
        <v>0</v>
      </c>
      <c r="YB174">
        <v>0</v>
      </c>
      <c r="YC174">
        <v>0</v>
      </c>
      <c r="YD174">
        <v>0</v>
      </c>
      <c r="YE174">
        <v>0</v>
      </c>
      <c r="YF174">
        <v>0</v>
      </c>
      <c r="YG174">
        <v>0</v>
      </c>
      <c r="YH174">
        <v>0</v>
      </c>
      <c r="YI174">
        <v>0</v>
      </c>
      <c r="YJ174">
        <v>0</v>
      </c>
      <c r="YK174">
        <v>0</v>
      </c>
      <c r="YL174">
        <v>0</v>
      </c>
      <c r="YM174">
        <v>0</v>
      </c>
      <c r="YN174">
        <v>0</v>
      </c>
      <c r="YO174">
        <v>0</v>
      </c>
      <c r="YP174">
        <v>0</v>
      </c>
      <c r="YQ174">
        <v>0</v>
      </c>
      <c r="YR174">
        <v>0</v>
      </c>
      <c r="YS174">
        <v>0</v>
      </c>
      <c r="YT174">
        <v>0</v>
      </c>
      <c r="YU174">
        <v>0</v>
      </c>
      <c r="YV174">
        <v>0</v>
      </c>
      <c r="YW174">
        <v>0</v>
      </c>
      <c r="YX174">
        <v>0</v>
      </c>
      <c r="YY174">
        <v>0</v>
      </c>
      <c r="YZ174">
        <v>0</v>
      </c>
      <c r="ZA174">
        <v>0</v>
      </c>
      <c r="ZB174">
        <v>0</v>
      </c>
      <c r="ZC174">
        <v>0</v>
      </c>
      <c r="ZD174">
        <v>0</v>
      </c>
      <c r="ZE174">
        <v>0</v>
      </c>
      <c r="ZF174">
        <v>0</v>
      </c>
      <c r="ZG174">
        <v>0</v>
      </c>
      <c r="ZH174">
        <v>0</v>
      </c>
      <c r="ZI174">
        <v>0</v>
      </c>
      <c r="ZJ174">
        <v>0</v>
      </c>
      <c r="ZK174">
        <v>0</v>
      </c>
      <c r="ZL174">
        <v>0</v>
      </c>
      <c r="ZM174">
        <v>0</v>
      </c>
      <c r="ZN174">
        <v>0</v>
      </c>
      <c r="ZO174">
        <v>0</v>
      </c>
      <c r="ZP174">
        <v>0</v>
      </c>
      <c r="ZQ174">
        <v>0</v>
      </c>
      <c r="ZR174">
        <v>0</v>
      </c>
      <c r="ZS174">
        <v>0</v>
      </c>
      <c r="ZT174">
        <v>0</v>
      </c>
      <c r="ZU174">
        <v>0</v>
      </c>
      <c r="ZV174">
        <v>0</v>
      </c>
      <c r="ZW174">
        <v>0</v>
      </c>
      <c r="ZX174">
        <v>0</v>
      </c>
      <c r="ZY174">
        <v>0</v>
      </c>
      <c r="ZZ174">
        <v>0</v>
      </c>
      <c r="AAA174">
        <v>0</v>
      </c>
      <c r="AAB174">
        <v>0</v>
      </c>
      <c r="AAC174">
        <v>0</v>
      </c>
      <c r="AAD174">
        <v>0</v>
      </c>
      <c r="AAE174">
        <v>0</v>
      </c>
      <c r="AAF174">
        <v>0</v>
      </c>
      <c r="AAG174">
        <v>0</v>
      </c>
      <c r="AAH174">
        <v>0</v>
      </c>
      <c r="AAI174">
        <v>0</v>
      </c>
      <c r="AAJ174">
        <v>0</v>
      </c>
      <c r="AAK174">
        <v>0</v>
      </c>
      <c r="AAL174">
        <v>0</v>
      </c>
      <c r="AAM174">
        <v>0</v>
      </c>
      <c r="AAN174">
        <v>0</v>
      </c>
      <c r="AAO174">
        <v>0</v>
      </c>
      <c r="AAP174">
        <v>0</v>
      </c>
      <c r="AAQ174">
        <v>0</v>
      </c>
      <c r="AAR174">
        <v>0</v>
      </c>
      <c r="AAS174">
        <v>0</v>
      </c>
      <c r="AAT174">
        <v>0</v>
      </c>
      <c r="AAU174">
        <v>0</v>
      </c>
      <c r="AAV174">
        <v>0</v>
      </c>
      <c r="AAW174">
        <v>0</v>
      </c>
      <c r="AAX174">
        <v>0</v>
      </c>
      <c r="AAY174">
        <v>0</v>
      </c>
      <c r="AAZ174">
        <v>0</v>
      </c>
      <c r="ABA174">
        <v>0</v>
      </c>
      <c r="ABB174">
        <v>0</v>
      </c>
      <c r="ABC174">
        <v>0</v>
      </c>
      <c r="ABD174">
        <v>0</v>
      </c>
      <c r="ABE174">
        <v>0</v>
      </c>
      <c r="ABG174" s="1137">
        <f t="shared" si="45"/>
        <v>0</v>
      </c>
      <c r="ABH174" s="1137">
        <f t="shared" si="45"/>
        <v>0</v>
      </c>
      <c r="ABI174" s="1137">
        <f t="shared" si="45"/>
        <v>12</v>
      </c>
      <c r="ABJ174" s="1137">
        <f t="shared" si="45"/>
        <v>30</v>
      </c>
      <c r="ABK174" s="1137">
        <f t="shared" si="45"/>
        <v>31</v>
      </c>
      <c r="ABL174" s="1137">
        <f t="shared" si="45"/>
        <v>3</v>
      </c>
      <c r="ABM174" s="1137">
        <f t="shared" si="45"/>
        <v>0</v>
      </c>
      <c r="ABN174" s="1137">
        <f t="shared" si="45"/>
        <v>0</v>
      </c>
      <c r="ABO174" s="1137">
        <f t="shared" si="45"/>
        <v>0</v>
      </c>
      <c r="ABP174" s="1137">
        <f t="shared" si="45"/>
        <v>4</v>
      </c>
      <c r="ABQ174" s="1137">
        <f t="shared" si="45"/>
        <v>30</v>
      </c>
      <c r="ABR174" s="1137">
        <f t="shared" si="45"/>
        <v>31</v>
      </c>
      <c r="ABS174" s="1137">
        <f t="shared" si="45"/>
        <v>31</v>
      </c>
      <c r="ABT174" s="1137">
        <f t="shared" si="45"/>
        <v>28</v>
      </c>
      <c r="ABU174" s="1137">
        <f t="shared" si="45"/>
        <v>22</v>
      </c>
      <c r="ABV174" s="1137">
        <f t="shared" si="45"/>
        <v>4</v>
      </c>
      <c r="ABW174" s="1137">
        <f t="shared" si="31"/>
        <v>31</v>
      </c>
      <c r="ABX174" s="1137">
        <f t="shared" si="31"/>
        <v>30</v>
      </c>
      <c r="ABY174" s="1137">
        <f t="shared" si="31"/>
        <v>31</v>
      </c>
      <c r="ABZ174" s="1137">
        <f t="shared" si="31"/>
        <v>31</v>
      </c>
      <c r="ACA174" s="1137">
        <f t="shared" si="31"/>
        <v>24</v>
      </c>
      <c r="ACB174" s="1137">
        <f t="shared" si="31"/>
        <v>0</v>
      </c>
      <c r="ACC174" s="1137">
        <f t="shared" si="31"/>
        <v>0</v>
      </c>
      <c r="ACD174" s="1137">
        <f t="shared" si="31"/>
        <v>0</v>
      </c>
      <c r="ACE174" s="1137" t="s">
        <v>267</v>
      </c>
      <c r="ACF174" s="1137">
        <f t="shared" si="39"/>
        <v>0</v>
      </c>
      <c r="ACG174" s="1137">
        <f t="shared" si="39"/>
        <v>0</v>
      </c>
      <c r="ACH174" s="1137">
        <f t="shared" si="39"/>
        <v>1</v>
      </c>
      <c r="ACI174" s="1137">
        <f t="shared" si="39"/>
        <v>1</v>
      </c>
      <c r="ACJ174" s="1137">
        <f t="shared" si="39"/>
        <v>1</v>
      </c>
      <c r="ACK174" s="1137">
        <f t="shared" si="39"/>
        <v>0</v>
      </c>
      <c r="ACL174" s="1137">
        <f t="shared" si="39"/>
        <v>0</v>
      </c>
      <c r="ACM174" s="1137">
        <f t="shared" si="39"/>
        <v>0</v>
      </c>
      <c r="ACN174" s="1137">
        <f t="shared" si="39"/>
        <v>0</v>
      </c>
      <c r="ACO174" s="1137">
        <f t="shared" si="39"/>
        <v>0</v>
      </c>
      <c r="ACP174" s="1137">
        <f t="shared" si="39"/>
        <v>1</v>
      </c>
      <c r="ACQ174" s="1137">
        <f t="shared" si="39"/>
        <v>1</v>
      </c>
      <c r="ACR174" s="1137">
        <f t="shared" si="39"/>
        <v>1</v>
      </c>
      <c r="ACS174" s="1137">
        <f t="shared" si="39"/>
        <v>1</v>
      </c>
      <c r="ACT174" s="1137">
        <f t="shared" si="43"/>
        <v>1</v>
      </c>
      <c r="ACU174" s="1137">
        <f t="shared" si="43"/>
        <v>0</v>
      </c>
      <c r="ACV174" s="1137">
        <f t="shared" si="43"/>
        <v>1</v>
      </c>
      <c r="ACW174" s="1137">
        <f t="shared" si="43"/>
        <v>1</v>
      </c>
      <c r="ACX174" s="1137">
        <f t="shared" si="42"/>
        <v>1</v>
      </c>
      <c r="ACY174" s="1137">
        <f t="shared" si="42"/>
        <v>1</v>
      </c>
      <c r="ACZ174" s="1137">
        <f t="shared" si="42"/>
        <v>1</v>
      </c>
      <c r="ADA174" s="1137">
        <f t="shared" si="35"/>
        <v>0</v>
      </c>
      <c r="ADB174" s="1137">
        <f t="shared" si="35"/>
        <v>0</v>
      </c>
      <c r="ADC174" s="1137">
        <f t="shared" si="35"/>
        <v>0</v>
      </c>
    </row>
    <row r="175" spans="1:783" x14ac:dyDescent="0.25">
      <c r="A175" t="s">
        <v>1972</v>
      </c>
      <c r="B175" t="s">
        <v>268</v>
      </c>
      <c r="C175">
        <v>0</v>
      </c>
      <c r="D175">
        <v>0</v>
      </c>
      <c r="E175">
        <v>0</v>
      </c>
      <c r="F175">
        <v>0</v>
      </c>
      <c r="G175">
        <v>0</v>
      </c>
      <c r="H175">
        <v>0</v>
      </c>
      <c r="I175">
        <v>0</v>
      </c>
      <c r="J175">
        <v>0</v>
      </c>
      <c r="K175">
        <v>0</v>
      </c>
      <c r="L175">
        <v>0</v>
      </c>
      <c r="M175">
        <v>0</v>
      </c>
      <c r="N175">
        <v>0</v>
      </c>
      <c r="O175">
        <v>0</v>
      </c>
      <c r="P175">
        <v>0</v>
      </c>
      <c r="Q175">
        <v>0</v>
      </c>
      <c r="R175">
        <v>0</v>
      </c>
      <c r="S175">
        <v>0</v>
      </c>
      <c r="T175">
        <v>0</v>
      </c>
      <c r="U175">
        <v>0</v>
      </c>
      <c r="V175">
        <v>0</v>
      </c>
      <c r="W175">
        <v>0</v>
      </c>
      <c r="X175">
        <v>0</v>
      </c>
      <c r="Y175">
        <v>0</v>
      </c>
      <c r="Z175">
        <v>0</v>
      </c>
      <c r="AA175">
        <v>0</v>
      </c>
      <c r="AB175">
        <v>0</v>
      </c>
      <c r="AC175">
        <v>0</v>
      </c>
      <c r="AD175">
        <v>0</v>
      </c>
      <c r="AE175">
        <v>0</v>
      </c>
      <c r="AF175">
        <v>0</v>
      </c>
      <c r="AG175">
        <v>0</v>
      </c>
      <c r="AH175">
        <v>0</v>
      </c>
      <c r="AI175">
        <v>0</v>
      </c>
      <c r="AJ175">
        <v>0</v>
      </c>
      <c r="AK175">
        <v>0</v>
      </c>
      <c r="AL175">
        <v>0</v>
      </c>
      <c r="AM175">
        <v>0</v>
      </c>
      <c r="AN175">
        <v>0</v>
      </c>
      <c r="AO175">
        <v>0</v>
      </c>
      <c r="AP175">
        <v>0</v>
      </c>
      <c r="AQ175">
        <v>0</v>
      </c>
      <c r="AR175">
        <v>0</v>
      </c>
      <c r="AS175">
        <v>0</v>
      </c>
      <c r="AT175">
        <v>0</v>
      </c>
      <c r="AU175">
        <v>0</v>
      </c>
      <c r="AV175">
        <v>0</v>
      </c>
      <c r="AW175">
        <v>0</v>
      </c>
      <c r="AX175">
        <v>0</v>
      </c>
      <c r="AY175">
        <v>0</v>
      </c>
      <c r="AZ175">
        <v>0</v>
      </c>
      <c r="BA175">
        <v>0</v>
      </c>
      <c r="BB175">
        <v>0</v>
      </c>
      <c r="BC175">
        <v>0</v>
      </c>
      <c r="BD175">
        <v>0</v>
      </c>
      <c r="BE175">
        <v>0</v>
      </c>
      <c r="BF175">
        <v>0</v>
      </c>
      <c r="BG175">
        <v>0</v>
      </c>
      <c r="BH175">
        <v>0</v>
      </c>
      <c r="BI175">
        <v>0</v>
      </c>
      <c r="BJ175">
        <v>0</v>
      </c>
      <c r="BK175">
        <v>0</v>
      </c>
      <c r="BL175">
        <v>0</v>
      </c>
      <c r="BM175">
        <v>0</v>
      </c>
      <c r="BN175">
        <v>0</v>
      </c>
      <c r="BO175">
        <v>0</v>
      </c>
      <c r="BP175">
        <v>0</v>
      </c>
      <c r="BQ175">
        <v>0</v>
      </c>
      <c r="BR175">
        <v>0</v>
      </c>
      <c r="BS175">
        <v>0</v>
      </c>
      <c r="BT175">
        <v>0</v>
      </c>
      <c r="BU175">
        <v>0</v>
      </c>
      <c r="BV175">
        <v>0</v>
      </c>
      <c r="BW175">
        <v>0</v>
      </c>
      <c r="BX175">
        <v>0</v>
      </c>
      <c r="BY175">
        <v>0</v>
      </c>
      <c r="BZ175">
        <v>0</v>
      </c>
      <c r="CA175">
        <v>0</v>
      </c>
      <c r="CB175">
        <v>1</v>
      </c>
      <c r="CC175">
        <v>1</v>
      </c>
      <c r="CD175">
        <v>1</v>
      </c>
      <c r="CE175">
        <v>1</v>
      </c>
      <c r="CF175">
        <v>1</v>
      </c>
      <c r="CG175">
        <v>1</v>
      </c>
      <c r="CH175">
        <v>1</v>
      </c>
      <c r="CI175">
        <v>1</v>
      </c>
      <c r="CJ175">
        <v>1</v>
      </c>
      <c r="CK175">
        <v>1</v>
      </c>
      <c r="CL175">
        <v>2</v>
      </c>
      <c r="CM175">
        <v>2</v>
      </c>
      <c r="CN175">
        <v>2</v>
      </c>
      <c r="CO175">
        <v>2</v>
      </c>
      <c r="CP175">
        <v>2</v>
      </c>
      <c r="CQ175">
        <v>2</v>
      </c>
      <c r="CR175">
        <v>2</v>
      </c>
      <c r="CS175">
        <v>2</v>
      </c>
      <c r="CT175">
        <v>2</v>
      </c>
      <c r="CU175">
        <v>2</v>
      </c>
      <c r="CV175">
        <v>2</v>
      </c>
      <c r="CW175">
        <v>2</v>
      </c>
      <c r="CX175">
        <v>2</v>
      </c>
      <c r="CY175">
        <v>2</v>
      </c>
      <c r="CZ175">
        <v>2</v>
      </c>
      <c r="DA175">
        <v>2</v>
      </c>
      <c r="DB175">
        <v>2</v>
      </c>
      <c r="DC175">
        <v>2</v>
      </c>
      <c r="DD175">
        <v>2</v>
      </c>
      <c r="DE175">
        <v>2</v>
      </c>
      <c r="DF175">
        <v>2</v>
      </c>
      <c r="DG175">
        <v>2</v>
      </c>
      <c r="DH175">
        <v>2</v>
      </c>
      <c r="DI175">
        <v>2</v>
      </c>
      <c r="DJ175">
        <v>2</v>
      </c>
      <c r="DK175">
        <v>2</v>
      </c>
      <c r="DL175">
        <v>2</v>
      </c>
      <c r="DM175">
        <v>2</v>
      </c>
      <c r="DN175">
        <v>2</v>
      </c>
      <c r="DO175">
        <v>2</v>
      </c>
      <c r="DP175">
        <v>2</v>
      </c>
      <c r="DQ175">
        <v>2</v>
      </c>
      <c r="DR175">
        <v>2</v>
      </c>
      <c r="DS175">
        <v>2</v>
      </c>
      <c r="DT175">
        <v>2</v>
      </c>
      <c r="DU175">
        <v>2</v>
      </c>
      <c r="DV175">
        <v>2</v>
      </c>
      <c r="DW175">
        <v>2</v>
      </c>
      <c r="DX175">
        <v>2</v>
      </c>
      <c r="DY175">
        <v>2</v>
      </c>
      <c r="DZ175">
        <v>2</v>
      </c>
      <c r="EA175">
        <v>2</v>
      </c>
      <c r="EB175">
        <v>2</v>
      </c>
      <c r="EC175">
        <v>2</v>
      </c>
      <c r="ED175">
        <v>2</v>
      </c>
      <c r="EE175">
        <v>2</v>
      </c>
      <c r="EF175">
        <v>2</v>
      </c>
      <c r="EG175">
        <v>2</v>
      </c>
      <c r="EH175">
        <v>2</v>
      </c>
      <c r="EI175">
        <v>2</v>
      </c>
      <c r="EJ175">
        <v>2</v>
      </c>
      <c r="EK175">
        <v>2</v>
      </c>
      <c r="EL175">
        <v>2</v>
      </c>
      <c r="EM175">
        <v>2</v>
      </c>
      <c r="EN175">
        <v>2</v>
      </c>
      <c r="EO175">
        <v>2</v>
      </c>
      <c r="EP175">
        <v>2</v>
      </c>
      <c r="EQ175">
        <v>2</v>
      </c>
      <c r="ER175">
        <v>2</v>
      </c>
      <c r="ES175">
        <v>2</v>
      </c>
      <c r="ET175">
        <v>2</v>
      </c>
      <c r="EU175">
        <v>2</v>
      </c>
      <c r="EV175">
        <v>2</v>
      </c>
      <c r="EW175">
        <v>2</v>
      </c>
      <c r="EX175">
        <v>2</v>
      </c>
      <c r="EY175">
        <v>1</v>
      </c>
      <c r="EZ175">
        <v>1</v>
      </c>
      <c r="FA175">
        <v>1</v>
      </c>
      <c r="FB175">
        <v>1</v>
      </c>
      <c r="FC175">
        <v>1</v>
      </c>
      <c r="FD175">
        <v>1</v>
      </c>
      <c r="FE175">
        <v>1</v>
      </c>
      <c r="FF175">
        <v>1</v>
      </c>
      <c r="FG175">
        <v>1</v>
      </c>
      <c r="FH175">
        <v>1</v>
      </c>
      <c r="FI175">
        <v>1</v>
      </c>
      <c r="FJ175">
        <v>1</v>
      </c>
      <c r="FK175">
        <v>1</v>
      </c>
      <c r="FL175">
        <v>1</v>
      </c>
      <c r="FM175">
        <v>1</v>
      </c>
      <c r="FN175">
        <v>1</v>
      </c>
      <c r="FO175">
        <v>1</v>
      </c>
      <c r="FP175">
        <v>1</v>
      </c>
      <c r="FQ175">
        <v>1</v>
      </c>
      <c r="FR175">
        <v>1</v>
      </c>
      <c r="FS175">
        <v>1</v>
      </c>
      <c r="FT175">
        <v>1</v>
      </c>
      <c r="FU175">
        <v>1</v>
      </c>
      <c r="FV175">
        <v>1</v>
      </c>
      <c r="FW175">
        <v>1</v>
      </c>
      <c r="FX175">
        <v>1</v>
      </c>
      <c r="FY175">
        <v>1</v>
      </c>
      <c r="FZ175">
        <v>1</v>
      </c>
      <c r="GA175">
        <v>1</v>
      </c>
      <c r="GB175">
        <v>1</v>
      </c>
      <c r="GC175">
        <v>1</v>
      </c>
      <c r="GD175">
        <v>1</v>
      </c>
      <c r="GE175">
        <v>1</v>
      </c>
      <c r="GF175">
        <v>1</v>
      </c>
      <c r="GG175">
        <v>1</v>
      </c>
      <c r="GH175">
        <v>1</v>
      </c>
      <c r="GI175">
        <v>1</v>
      </c>
      <c r="GJ175">
        <v>1</v>
      </c>
      <c r="GK175">
        <v>1</v>
      </c>
      <c r="GL175">
        <v>1</v>
      </c>
      <c r="GM175">
        <v>1</v>
      </c>
      <c r="GN175">
        <v>1</v>
      </c>
      <c r="GO175">
        <v>1</v>
      </c>
      <c r="GP175">
        <v>1</v>
      </c>
      <c r="GQ175">
        <v>1</v>
      </c>
      <c r="GR175">
        <v>1</v>
      </c>
      <c r="GS175">
        <v>1</v>
      </c>
      <c r="GT175">
        <v>1</v>
      </c>
      <c r="GU175">
        <v>1</v>
      </c>
      <c r="GV175">
        <v>1</v>
      </c>
      <c r="GW175">
        <v>1</v>
      </c>
      <c r="GX175">
        <v>1</v>
      </c>
      <c r="GY175">
        <v>1</v>
      </c>
      <c r="GZ175">
        <v>1</v>
      </c>
      <c r="HA175">
        <v>1</v>
      </c>
      <c r="HB175">
        <v>1</v>
      </c>
      <c r="HC175">
        <v>1</v>
      </c>
      <c r="HD175">
        <v>1</v>
      </c>
      <c r="HE175">
        <v>1</v>
      </c>
      <c r="HF175">
        <v>1</v>
      </c>
      <c r="HG175">
        <v>1</v>
      </c>
      <c r="HH175">
        <v>1</v>
      </c>
      <c r="HI175">
        <v>1</v>
      </c>
      <c r="HJ175">
        <v>1</v>
      </c>
      <c r="HK175">
        <v>1</v>
      </c>
      <c r="HL175">
        <v>1</v>
      </c>
      <c r="HM175">
        <v>1</v>
      </c>
      <c r="HN175">
        <v>0</v>
      </c>
      <c r="HO175">
        <v>0</v>
      </c>
      <c r="HP175">
        <v>0</v>
      </c>
      <c r="HQ175">
        <v>0</v>
      </c>
      <c r="HR175">
        <v>0</v>
      </c>
      <c r="HS175">
        <v>0</v>
      </c>
      <c r="HT175">
        <v>0</v>
      </c>
      <c r="HU175">
        <v>0</v>
      </c>
      <c r="HV175">
        <v>0</v>
      </c>
      <c r="HW175">
        <v>0</v>
      </c>
      <c r="HX175">
        <v>0</v>
      </c>
      <c r="HY175">
        <v>0</v>
      </c>
      <c r="HZ175">
        <v>0</v>
      </c>
      <c r="IA175">
        <v>0</v>
      </c>
      <c r="IB175">
        <v>0</v>
      </c>
      <c r="IC175">
        <v>0</v>
      </c>
      <c r="ID175">
        <v>0</v>
      </c>
      <c r="IE175">
        <v>0</v>
      </c>
      <c r="IF175">
        <v>0</v>
      </c>
      <c r="IG175">
        <v>0</v>
      </c>
      <c r="IH175">
        <v>0</v>
      </c>
      <c r="II175">
        <v>0</v>
      </c>
      <c r="IJ175">
        <v>0</v>
      </c>
      <c r="IK175">
        <v>0</v>
      </c>
      <c r="IL175">
        <v>0</v>
      </c>
      <c r="IM175">
        <v>0</v>
      </c>
      <c r="IN175">
        <v>0</v>
      </c>
      <c r="IO175">
        <v>0</v>
      </c>
      <c r="IP175">
        <v>0</v>
      </c>
      <c r="IQ175">
        <v>0</v>
      </c>
      <c r="IR175">
        <v>0</v>
      </c>
      <c r="IS175">
        <v>0</v>
      </c>
      <c r="IT175">
        <v>0</v>
      </c>
      <c r="IU175">
        <v>0</v>
      </c>
      <c r="IV175">
        <v>2</v>
      </c>
      <c r="IW175">
        <v>2</v>
      </c>
      <c r="IX175">
        <v>2</v>
      </c>
      <c r="IY175">
        <v>2</v>
      </c>
      <c r="IZ175">
        <v>2</v>
      </c>
      <c r="JA175">
        <v>2</v>
      </c>
      <c r="JB175">
        <v>2</v>
      </c>
      <c r="JC175">
        <v>2</v>
      </c>
      <c r="JD175">
        <v>2</v>
      </c>
      <c r="JE175">
        <v>2</v>
      </c>
      <c r="JF175">
        <v>2</v>
      </c>
      <c r="JG175">
        <v>2</v>
      </c>
      <c r="JH175">
        <v>2</v>
      </c>
      <c r="JI175">
        <v>2</v>
      </c>
      <c r="JJ175">
        <v>2</v>
      </c>
      <c r="JK175">
        <v>2</v>
      </c>
      <c r="JL175">
        <v>2</v>
      </c>
      <c r="JM175">
        <v>2</v>
      </c>
      <c r="JN175">
        <v>2</v>
      </c>
      <c r="JO175">
        <v>2</v>
      </c>
      <c r="JP175">
        <v>2</v>
      </c>
      <c r="JQ175">
        <v>2</v>
      </c>
      <c r="JR175">
        <v>2</v>
      </c>
      <c r="JS175">
        <v>2</v>
      </c>
      <c r="JT175">
        <v>2</v>
      </c>
      <c r="JU175">
        <v>2</v>
      </c>
      <c r="JV175">
        <v>2</v>
      </c>
      <c r="JW175">
        <v>2</v>
      </c>
      <c r="JX175">
        <v>2</v>
      </c>
      <c r="JY175">
        <v>2</v>
      </c>
      <c r="JZ175">
        <v>2</v>
      </c>
      <c r="KA175">
        <v>2</v>
      </c>
      <c r="KB175">
        <v>2</v>
      </c>
      <c r="KC175">
        <v>2</v>
      </c>
      <c r="KD175">
        <v>2</v>
      </c>
      <c r="KE175">
        <v>2</v>
      </c>
      <c r="KF175">
        <v>2</v>
      </c>
      <c r="KG175">
        <v>2</v>
      </c>
      <c r="KH175">
        <v>2</v>
      </c>
      <c r="KI175">
        <v>2</v>
      </c>
      <c r="KJ175">
        <v>2</v>
      </c>
      <c r="KK175">
        <v>2</v>
      </c>
      <c r="KL175">
        <v>2</v>
      </c>
      <c r="KM175">
        <v>2</v>
      </c>
      <c r="KN175">
        <v>2</v>
      </c>
      <c r="KO175">
        <v>2</v>
      </c>
      <c r="KP175">
        <v>2</v>
      </c>
      <c r="KQ175">
        <v>2</v>
      </c>
      <c r="KR175">
        <v>2</v>
      </c>
      <c r="KS175">
        <v>1</v>
      </c>
      <c r="KT175">
        <v>1</v>
      </c>
      <c r="KU175">
        <v>1</v>
      </c>
      <c r="KV175">
        <v>1</v>
      </c>
      <c r="KW175">
        <v>1</v>
      </c>
      <c r="KX175">
        <v>1</v>
      </c>
      <c r="KY175">
        <v>1</v>
      </c>
      <c r="KZ175">
        <v>1</v>
      </c>
      <c r="LA175">
        <v>1</v>
      </c>
      <c r="LB175">
        <v>1</v>
      </c>
      <c r="LC175">
        <v>1</v>
      </c>
      <c r="LD175">
        <v>1</v>
      </c>
      <c r="LE175">
        <v>1</v>
      </c>
      <c r="LF175">
        <v>1</v>
      </c>
      <c r="LG175">
        <v>1</v>
      </c>
      <c r="LH175">
        <v>1</v>
      </c>
      <c r="LI175">
        <v>1</v>
      </c>
      <c r="LJ175">
        <v>1</v>
      </c>
      <c r="LK175">
        <v>1</v>
      </c>
      <c r="LL175">
        <v>1</v>
      </c>
      <c r="LM175">
        <v>1</v>
      </c>
      <c r="LN175">
        <v>1</v>
      </c>
      <c r="LO175">
        <v>1</v>
      </c>
      <c r="LP175">
        <v>1</v>
      </c>
      <c r="LQ175">
        <v>1</v>
      </c>
      <c r="LR175">
        <v>1</v>
      </c>
      <c r="LS175">
        <v>1</v>
      </c>
      <c r="LT175">
        <v>1</v>
      </c>
      <c r="LU175">
        <v>1</v>
      </c>
      <c r="LV175">
        <v>1</v>
      </c>
      <c r="LW175">
        <v>1</v>
      </c>
      <c r="LX175">
        <v>1</v>
      </c>
      <c r="LY175">
        <v>1</v>
      </c>
      <c r="LZ175">
        <v>1</v>
      </c>
      <c r="MA175">
        <v>1</v>
      </c>
      <c r="MB175">
        <v>1</v>
      </c>
      <c r="MC175">
        <v>1</v>
      </c>
      <c r="MD175">
        <v>1</v>
      </c>
      <c r="ME175">
        <v>1</v>
      </c>
      <c r="MF175">
        <v>1</v>
      </c>
      <c r="MG175">
        <v>1</v>
      </c>
      <c r="MH175">
        <v>1</v>
      </c>
      <c r="MI175">
        <v>1</v>
      </c>
      <c r="MJ175">
        <v>1</v>
      </c>
      <c r="MK175">
        <v>1</v>
      </c>
      <c r="ML175">
        <v>1</v>
      </c>
      <c r="MM175">
        <v>1</v>
      </c>
      <c r="MN175">
        <v>1</v>
      </c>
      <c r="MO175">
        <v>1</v>
      </c>
      <c r="MP175">
        <v>1</v>
      </c>
      <c r="MQ175">
        <v>1</v>
      </c>
      <c r="MR175">
        <v>1</v>
      </c>
      <c r="MS175">
        <v>1</v>
      </c>
      <c r="MT175">
        <v>1</v>
      </c>
      <c r="MU175">
        <v>1</v>
      </c>
      <c r="MV175">
        <v>1</v>
      </c>
      <c r="MW175">
        <v>1</v>
      </c>
      <c r="MX175">
        <v>1</v>
      </c>
      <c r="MY175">
        <v>1</v>
      </c>
      <c r="MZ175">
        <v>1</v>
      </c>
      <c r="NA175">
        <v>1</v>
      </c>
      <c r="NB175">
        <v>1</v>
      </c>
      <c r="NC175">
        <v>1</v>
      </c>
      <c r="ND175">
        <v>2</v>
      </c>
      <c r="NE175">
        <v>2</v>
      </c>
      <c r="NF175">
        <v>2</v>
      </c>
      <c r="NG175">
        <v>2</v>
      </c>
      <c r="NH175">
        <v>2</v>
      </c>
      <c r="NI175">
        <v>2</v>
      </c>
      <c r="NJ175">
        <v>1</v>
      </c>
      <c r="NK175">
        <v>1</v>
      </c>
      <c r="NL175">
        <v>1</v>
      </c>
      <c r="NM175">
        <v>1</v>
      </c>
      <c r="NN175">
        <v>1</v>
      </c>
      <c r="NO175">
        <v>1</v>
      </c>
      <c r="NP175">
        <v>1</v>
      </c>
      <c r="NQ175">
        <v>1</v>
      </c>
      <c r="NR175">
        <v>1</v>
      </c>
      <c r="NS175">
        <v>2</v>
      </c>
      <c r="NT175">
        <v>2</v>
      </c>
      <c r="NU175">
        <v>2</v>
      </c>
      <c r="NV175">
        <v>2</v>
      </c>
      <c r="NW175">
        <v>2</v>
      </c>
      <c r="NX175">
        <v>2</v>
      </c>
      <c r="NY175">
        <v>2</v>
      </c>
      <c r="NZ175">
        <v>2</v>
      </c>
      <c r="OA175">
        <v>2</v>
      </c>
      <c r="OB175">
        <v>2</v>
      </c>
      <c r="OC175">
        <v>1</v>
      </c>
      <c r="OD175">
        <v>1</v>
      </c>
      <c r="OE175">
        <v>1</v>
      </c>
      <c r="OF175">
        <v>1</v>
      </c>
      <c r="OG175">
        <v>1</v>
      </c>
      <c r="OH175">
        <v>1</v>
      </c>
      <c r="OI175">
        <v>1</v>
      </c>
      <c r="OJ175">
        <v>2</v>
      </c>
      <c r="OK175">
        <v>2</v>
      </c>
      <c r="OL175">
        <v>2</v>
      </c>
      <c r="OM175">
        <v>2</v>
      </c>
      <c r="ON175">
        <v>2</v>
      </c>
      <c r="OO175">
        <v>2</v>
      </c>
      <c r="OP175">
        <v>2</v>
      </c>
      <c r="OQ175">
        <v>1</v>
      </c>
      <c r="OR175">
        <v>1</v>
      </c>
      <c r="OS175">
        <v>1</v>
      </c>
      <c r="OT175">
        <v>1</v>
      </c>
      <c r="OU175">
        <v>1</v>
      </c>
      <c r="OV175">
        <v>1</v>
      </c>
      <c r="OW175">
        <v>1</v>
      </c>
      <c r="OX175">
        <v>2</v>
      </c>
      <c r="OY175">
        <v>2</v>
      </c>
      <c r="OZ175">
        <v>2</v>
      </c>
      <c r="PA175">
        <v>2</v>
      </c>
      <c r="PB175">
        <v>2</v>
      </c>
      <c r="PC175">
        <v>2</v>
      </c>
      <c r="PD175">
        <v>2</v>
      </c>
      <c r="PE175">
        <v>2</v>
      </c>
      <c r="PF175">
        <v>2</v>
      </c>
      <c r="PG175">
        <v>2</v>
      </c>
      <c r="PH175">
        <v>2</v>
      </c>
      <c r="PI175">
        <v>2</v>
      </c>
      <c r="PJ175">
        <v>2</v>
      </c>
      <c r="PK175">
        <v>2</v>
      </c>
      <c r="PL175">
        <v>1</v>
      </c>
      <c r="PM175">
        <v>1</v>
      </c>
      <c r="PN175">
        <v>1</v>
      </c>
      <c r="PO175">
        <v>1</v>
      </c>
      <c r="PP175">
        <v>1</v>
      </c>
      <c r="PQ175">
        <v>1</v>
      </c>
      <c r="PR175">
        <v>1</v>
      </c>
      <c r="PS175">
        <v>1</v>
      </c>
      <c r="PT175">
        <v>2</v>
      </c>
      <c r="PU175">
        <v>2</v>
      </c>
      <c r="PV175">
        <v>2</v>
      </c>
      <c r="PW175">
        <v>2</v>
      </c>
      <c r="PX175">
        <v>2</v>
      </c>
      <c r="PY175">
        <v>2</v>
      </c>
      <c r="PZ175">
        <v>2</v>
      </c>
      <c r="QA175">
        <v>2</v>
      </c>
      <c r="QB175">
        <v>2</v>
      </c>
      <c r="QC175">
        <v>2</v>
      </c>
      <c r="QD175">
        <v>2</v>
      </c>
      <c r="QE175">
        <v>2</v>
      </c>
      <c r="QF175">
        <v>2</v>
      </c>
      <c r="QG175">
        <v>1</v>
      </c>
      <c r="QH175">
        <v>1</v>
      </c>
      <c r="QI175">
        <v>1</v>
      </c>
      <c r="QJ175">
        <v>1</v>
      </c>
      <c r="QK175">
        <v>1</v>
      </c>
      <c r="QL175">
        <v>1</v>
      </c>
      <c r="QM175">
        <v>1</v>
      </c>
      <c r="QN175">
        <v>1</v>
      </c>
      <c r="QO175">
        <v>1</v>
      </c>
      <c r="QP175">
        <v>1</v>
      </c>
      <c r="QQ175">
        <v>1</v>
      </c>
      <c r="QR175">
        <v>1</v>
      </c>
      <c r="QS175">
        <v>1</v>
      </c>
      <c r="QT175">
        <v>1</v>
      </c>
      <c r="QU175">
        <v>1</v>
      </c>
      <c r="QV175">
        <v>1</v>
      </c>
      <c r="QW175">
        <v>1</v>
      </c>
      <c r="QX175">
        <v>1</v>
      </c>
      <c r="QY175">
        <v>1</v>
      </c>
      <c r="QZ175">
        <v>1</v>
      </c>
      <c r="RA175">
        <v>1</v>
      </c>
      <c r="RB175">
        <v>1</v>
      </c>
      <c r="RC175">
        <v>2</v>
      </c>
      <c r="RD175">
        <v>2</v>
      </c>
      <c r="RE175">
        <v>2</v>
      </c>
      <c r="RF175">
        <v>2</v>
      </c>
      <c r="RG175">
        <v>2</v>
      </c>
      <c r="RH175">
        <v>2</v>
      </c>
      <c r="RI175">
        <v>2</v>
      </c>
      <c r="RJ175">
        <v>2</v>
      </c>
      <c r="RK175">
        <v>2</v>
      </c>
      <c r="RL175">
        <v>2</v>
      </c>
      <c r="RM175">
        <v>2</v>
      </c>
      <c r="RN175">
        <v>2</v>
      </c>
      <c r="RO175">
        <v>2</v>
      </c>
      <c r="RP175">
        <v>2</v>
      </c>
      <c r="RQ175">
        <v>2</v>
      </c>
      <c r="RR175">
        <v>2</v>
      </c>
      <c r="RS175">
        <v>2</v>
      </c>
      <c r="RT175">
        <v>2</v>
      </c>
      <c r="RU175">
        <v>2</v>
      </c>
      <c r="RV175">
        <v>2</v>
      </c>
      <c r="RW175">
        <v>2</v>
      </c>
      <c r="RX175">
        <v>2</v>
      </c>
      <c r="RY175">
        <v>2</v>
      </c>
      <c r="RZ175">
        <v>2</v>
      </c>
      <c r="SA175">
        <v>2</v>
      </c>
      <c r="SB175">
        <v>2</v>
      </c>
      <c r="SC175">
        <v>2</v>
      </c>
      <c r="SD175">
        <v>2</v>
      </c>
      <c r="SE175">
        <v>2</v>
      </c>
      <c r="SF175">
        <v>2</v>
      </c>
      <c r="SG175">
        <v>2</v>
      </c>
      <c r="SH175">
        <v>2</v>
      </c>
      <c r="SI175">
        <v>2</v>
      </c>
      <c r="SJ175">
        <v>2</v>
      </c>
      <c r="SK175">
        <v>2</v>
      </c>
      <c r="SL175">
        <v>2</v>
      </c>
      <c r="SM175">
        <v>2</v>
      </c>
      <c r="SN175">
        <v>2</v>
      </c>
      <c r="SO175">
        <v>2</v>
      </c>
      <c r="SP175">
        <v>2</v>
      </c>
      <c r="SQ175">
        <v>2</v>
      </c>
      <c r="SR175">
        <v>2</v>
      </c>
      <c r="SS175">
        <v>2</v>
      </c>
      <c r="ST175">
        <v>2</v>
      </c>
      <c r="SU175">
        <v>2</v>
      </c>
      <c r="SV175">
        <v>2</v>
      </c>
      <c r="SW175">
        <v>2</v>
      </c>
      <c r="SX175">
        <v>2</v>
      </c>
      <c r="SY175">
        <v>2</v>
      </c>
      <c r="SZ175">
        <v>2</v>
      </c>
      <c r="TA175">
        <v>2</v>
      </c>
      <c r="TB175">
        <v>2</v>
      </c>
      <c r="TC175">
        <v>2</v>
      </c>
      <c r="TD175">
        <v>2</v>
      </c>
      <c r="TE175">
        <v>2</v>
      </c>
      <c r="TF175">
        <v>2</v>
      </c>
      <c r="TG175">
        <v>2</v>
      </c>
      <c r="TH175">
        <v>2</v>
      </c>
      <c r="TI175">
        <v>2</v>
      </c>
      <c r="TJ175">
        <v>2</v>
      </c>
      <c r="TK175">
        <v>2</v>
      </c>
      <c r="TL175">
        <v>2</v>
      </c>
      <c r="TM175">
        <v>2</v>
      </c>
      <c r="TN175">
        <v>2</v>
      </c>
      <c r="TO175">
        <v>2</v>
      </c>
      <c r="TP175">
        <v>2</v>
      </c>
      <c r="TQ175">
        <v>2</v>
      </c>
      <c r="TR175">
        <v>2</v>
      </c>
      <c r="TS175">
        <v>2</v>
      </c>
      <c r="TT175">
        <v>2</v>
      </c>
      <c r="TU175">
        <v>2</v>
      </c>
      <c r="TV175">
        <v>2</v>
      </c>
      <c r="TW175">
        <v>2</v>
      </c>
      <c r="TX175">
        <v>2</v>
      </c>
      <c r="TY175">
        <v>2</v>
      </c>
      <c r="TZ175">
        <v>2</v>
      </c>
      <c r="UA175">
        <v>2</v>
      </c>
      <c r="UB175">
        <v>2</v>
      </c>
      <c r="UC175">
        <v>2</v>
      </c>
      <c r="UD175">
        <v>1</v>
      </c>
      <c r="UE175">
        <v>1</v>
      </c>
      <c r="UF175">
        <v>1</v>
      </c>
      <c r="UG175">
        <v>1</v>
      </c>
      <c r="UH175">
        <v>1</v>
      </c>
      <c r="UI175">
        <v>1</v>
      </c>
      <c r="UJ175">
        <v>1</v>
      </c>
      <c r="UK175">
        <v>1</v>
      </c>
      <c r="UL175">
        <v>1</v>
      </c>
      <c r="UM175">
        <v>1</v>
      </c>
      <c r="UN175">
        <v>1</v>
      </c>
      <c r="UO175">
        <v>1</v>
      </c>
      <c r="UP175">
        <v>1</v>
      </c>
      <c r="UQ175">
        <v>1</v>
      </c>
      <c r="UR175">
        <v>1</v>
      </c>
      <c r="US175">
        <v>1</v>
      </c>
      <c r="UT175">
        <v>1</v>
      </c>
      <c r="UU175">
        <v>1</v>
      </c>
      <c r="UV175">
        <v>1</v>
      </c>
      <c r="UW175">
        <v>1</v>
      </c>
      <c r="UX175">
        <v>1</v>
      </c>
      <c r="UY175">
        <v>1</v>
      </c>
      <c r="UZ175">
        <v>1</v>
      </c>
      <c r="VA175">
        <v>1</v>
      </c>
      <c r="VB175">
        <v>1</v>
      </c>
      <c r="VC175">
        <v>1</v>
      </c>
      <c r="VD175">
        <v>1</v>
      </c>
      <c r="VE175">
        <v>1</v>
      </c>
      <c r="VF175">
        <v>1</v>
      </c>
      <c r="VG175">
        <v>1</v>
      </c>
      <c r="VH175">
        <v>1</v>
      </c>
      <c r="VI175">
        <v>1</v>
      </c>
      <c r="VJ175">
        <v>1</v>
      </c>
      <c r="VK175">
        <v>1</v>
      </c>
      <c r="VL175">
        <v>1</v>
      </c>
      <c r="VM175">
        <v>1</v>
      </c>
      <c r="VN175">
        <v>1</v>
      </c>
      <c r="VO175">
        <v>1</v>
      </c>
      <c r="VP175">
        <v>1</v>
      </c>
      <c r="VQ175">
        <v>1</v>
      </c>
      <c r="VR175">
        <v>1</v>
      </c>
      <c r="VS175">
        <v>1</v>
      </c>
      <c r="VT175">
        <v>0</v>
      </c>
      <c r="VU175">
        <v>0</v>
      </c>
      <c r="VV175">
        <v>0</v>
      </c>
      <c r="VW175">
        <v>0</v>
      </c>
      <c r="VX175">
        <v>0</v>
      </c>
      <c r="VY175">
        <v>0</v>
      </c>
      <c r="VZ175">
        <v>0</v>
      </c>
      <c r="WA175">
        <v>0</v>
      </c>
      <c r="WB175">
        <v>0</v>
      </c>
      <c r="WC175">
        <v>0</v>
      </c>
      <c r="WD175">
        <v>0</v>
      </c>
      <c r="WE175">
        <v>0</v>
      </c>
      <c r="WF175">
        <v>0</v>
      </c>
      <c r="WG175">
        <v>0</v>
      </c>
      <c r="WH175">
        <v>0</v>
      </c>
      <c r="WI175">
        <v>0</v>
      </c>
      <c r="WJ175">
        <v>0</v>
      </c>
      <c r="WK175">
        <v>0</v>
      </c>
      <c r="WL175">
        <v>0</v>
      </c>
      <c r="WM175">
        <v>0</v>
      </c>
      <c r="WN175">
        <v>0</v>
      </c>
      <c r="WO175">
        <v>0</v>
      </c>
      <c r="WP175">
        <v>0</v>
      </c>
      <c r="WQ175">
        <v>0</v>
      </c>
      <c r="WR175">
        <v>0</v>
      </c>
      <c r="WS175">
        <v>2</v>
      </c>
      <c r="WT175">
        <v>2</v>
      </c>
      <c r="WU175">
        <v>2</v>
      </c>
      <c r="WV175">
        <v>2</v>
      </c>
      <c r="WW175">
        <v>2</v>
      </c>
      <c r="WX175">
        <v>2</v>
      </c>
      <c r="WY175">
        <v>2</v>
      </c>
      <c r="WZ175">
        <v>2</v>
      </c>
      <c r="XA175">
        <v>2</v>
      </c>
      <c r="XB175">
        <v>2</v>
      </c>
      <c r="XC175">
        <v>2</v>
      </c>
      <c r="XD175">
        <v>2</v>
      </c>
      <c r="XE175">
        <v>2</v>
      </c>
      <c r="XF175">
        <v>2</v>
      </c>
      <c r="XG175">
        <v>2</v>
      </c>
      <c r="XH175">
        <v>2</v>
      </c>
      <c r="XI175">
        <v>2</v>
      </c>
      <c r="XJ175">
        <v>2</v>
      </c>
      <c r="XK175">
        <v>2</v>
      </c>
      <c r="XL175">
        <v>2</v>
      </c>
      <c r="XM175">
        <v>2</v>
      </c>
      <c r="XN175">
        <v>2</v>
      </c>
      <c r="XO175">
        <v>2</v>
      </c>
      <c r="XP175">
        <v>2</v>
      </c>
      <c r="XQ175">
        <v>2</v>
      </c>
      <c r="XR175">
        <v>2</v>
      </c>
      <c r="XS175">
        <v>2</v>
      </c>
      <c r="XT175">
        <v>2</v>
      </c>
      <c r="XU175">
        <v>2</v>
      </c>
      <c r="XV175">
        <v>2</v>
      </c>
      <c r="XW175">
        <v>2</v>
      </c>
      <c r="XX175">
        <v>2</v>
      </c>
      <c r="XY175">
        <v>2</v>
      </c>
      <c r="XZ175">
        <v>2</v>
      </c>
      <c r="YA175">
        <v>2</v>
      </c>
      <c r="YB175">
        <v>2</v>
      </c>
      <c r="YC175">
        <v>2</v>
      </c>
      <c r="YD175">
        <v>2</v>
      </c>
      <c r="YE175">
        <v>2</v>
      </c>
      <c r="YF175">
        <v>2</v>
      </c>
      <c r="YG175">
        <v>2</v>
      </c>
      <c r="YH175">
        <v>2</v>
      </c>
      <c r="YI175">
        <v>2</v>
      </c>
      <c r="YJ175">
        <v>2</v>
      </c>
      <c r="YK175">
        <v>2</v>
      </c>
      <c r="YL175">
        <v>2</v>
      </c>
      <c r="YM175">
        <v>2</v>
      </c>
      <c r="YN175">
        <v>2</v>
      </c>
      <c r="YO175">
        <v>2</v>
      </c>
      <c r="YP175">
        <v>2</v>
      </c>
      <c r="YQ175">
        <v>2</v>
      </c>
      <c r="YR175">
        <v>2</v>
      </c>
      <c r="YS175">
        <v>2</v>
      </c>
      <c r="YT175">
        <v>2</v>
      </c>
      <c r="YU175">
        <v>2</v>
      </c>
      <c r="YV175">
        <v>2</v>
      </c>
      <c r="YW175">
        <v>2</v>
      </c>
      <c r="YX175">
        <v>2</v>
      </c>
      <c r="YY175">
        <v>2</v>
      </c>
      <c r="YZ175">
        <v>2</v>
      </c>
      <c r="ZA175">
        <v>2</v>
      </c>
      <c r="ZB175">
        <v>2</v>
      </c>
      <c r="ZC175">
        <v>2</v>
      </c>
      <c r="ZD175">
        <v>2</v>
      </c>
      <c r="ZE175">
        <v>2</v>
      </c>
      <c r="ZF175">
        <v>2</v>
      </c>
      <c r="ZG175">
        <v>2</v>
      </c>
      <c r="ZH175">
        <v>2</v>
      </c>
      <c r="ZI175">
        <v>2</v>
      </c>
      <c r="ZJ175">
        <v>2</v>
      </c>
      <c r="ZK175">
        <v>2</v>
      </c>
      <c r="ZL175">
        <v>2</v>
      </c>
      <c r="ZM175">
        <v>2</v>
      </c>
      <c r="ZN175">
        <v>2</v>
      </c>
      <c r="ZO175">
        <v>2</v>
      </c>
      <c r="ZP175">
        <v>2</v>
      </c>
      <c r="ZQ175">
        <v>2</v>
      </c>
      <c r="ZR175">
        <v>2</v>
      </c>
      <c r="ZS175">
        <v>2</v>
      </c>
      <c r="ZT175">
        <v>2</v>
      </c>
      <c r="ZU175">
        <v>2</v>
      </c>
      <c r="ZV175">
        <v>2</v>
      </c>
      <c r="ZW175">
        <v>2</v>
      </c>
      <c r="ZX175">
        <v>2</v>
      </c>
      <c r="ZY175">
        <v>2</v>
      </c>
      <c r="ZZ175">
        <v>2</v>
      </c>
      <c r="AAA175">
        <v>2</v>
      </c>
      <c r="AAB175">
        <v>2</v>
      </c>
      <c r="AAC175">
        <v>2</v>
      </c>
      <c r="AAD175">
        <v>2</v>
      </c>
      <c r="AAE175">
        <v>2</v>
      </c>
      <c r="AAF175">
        <v>2</v>
      </c>
      <c r="AAG175">
        <v>2</v>
      </c>
      <c r="AAH175">
        <v>2</v>
      </c>
      <c r="AAI175">
        <v>2</v>
      </c>
      <c r="AAJ175">
        <v>2</v>
      </c>
      <c r="AAK175">
        <v>2</v>
      </c>
      <c r="AAL175">
        <v>2</v>
      </c>
      <c r="AAM175">
        <v>2</v>
      </c>
      <c r="AAN175">
        <v>2</v>
      </c>
      <c r="AAO175">
        <v>2</v>
      </c>
      <c r="AAP175">
        <v>2</v>
      </c>
      <c r="AAQ175">
        <v>2</v>
      </c>
      <c r="AAR175">
        <v>2</v>
      </c>
      <c r="AAS175">
        <v>2</v>
      </c>
      <c r="AAT175">
        <v>2</v>
      </c>
      <c r="AAU175">
        <v>2</v>
      </c>
      <c r="AAV175">
        <v>2</v>
      </c>
      <c r="AAW175">
        <v>2</v>
      </c>
      <c r="AAX175">
        <v>2</v>
      </c>
      <c r="AAY175">
        <v>2</v>
      </c>
      <c r="AAZ175">
        <v>2</v>
      </c>
      <c r="ABA175">
        <v>2</v>
      </c>
      <c r="ABB175">
        <v>2</v>
      </c>
      <c r="ABC175">
        <v>2</v>
      </c>
      <c r="ABD175">
        <v>2</v>
      </c>
      <c r="ABE175">
        <v>2</v>
      </c>
      <c r="ABG175" s="1137">
        <f t="shared" si="45"/>
        <v>0</v>
      </c>
      <c r="ABH175" s="1137">
        <f t="shared" si="45"/>
        <v>0</v>
      </c>
      <c r="ABI175" s="1137">
        <f t="shared" si="45"/>
        <v>14</v>
      </c>
      <c r="ABJ175" s="1137">
        <f t="shared" si="45"/>
        <v>30</v>
      </c>
      <c r="ABK175" s="1137">
        <f t="shared" si="45"/>
        <v>31</v>
      </c>
      <c r="ABL175" s="1137">
        <f t="shared" si="45"/>
        <v>30</v>
      </c>
      <c r="ABM175" s="1137">
        <f t="shared" si="45"/>
        <v>31</v>
      </c>
      <c r="ABN175" s="1137">
        <f t="shared" si="45"/>
        <v>6</v>
      </c>
      <c r="ABO175" s="1137">
        <f t="shared" si="45"/>
        <v>21</v>
      </c>
      <c r="ABP175" s="1137">
        <f t="shared" si="45"/>
        <v>31</v>
      </c>
      <c r="ABQ175" s="1137">
        <f t="shared" si="45"/>
        <v>30</v>
      </c>
      <c r="ABR175" s="1137">
        <f t="shared" si="45"/>
        <v>31</v>
      </c>
      <c r="ABS175" s="1137">
        <f t="shared" si="45"/>
        <v>31</v>
      </c>
      <c r="ABT175" s="1137">
        <f t="shared" si="45"/>
        <v>28</v>
      </c>
      <c r="ABU175" s="1137">
        <f t="shared" si="45"/>
        <v>31</v>
      </c>
      <c r="ABV175" s="1137">
        <f t="shared" si="45"/>
        <v>30</v>
      </c>
      <c r="ABW175" s="1137">
        <f t="shared" si="31"/>
        <v>31</v>
      </c>
      <c r="ABX175" s="1137">
        <f t="shared" si="31"/>
        <v>30</v>
      </c>
      <c r="ABY175" s="1137">
        <f t="shared" si="31"/>
        <v>31</v>
      </c>
      <c r="ABZ175" s="1137">
        <f t="shared" si="31"/>
        <v>11</v>
      </c>
      <c r="ACA175" s="1137">
        <f t="shared" si="31"/>
        <v>25</v>
      </c>
      <c r="ACB175" s="1137">
        <f t="shared" si="31"/>
        <v>31</v>
      </c>
      <c r="ACC175" s="1137">
        <f t="shared" si="31"/>
        <v>30</v>
      </c>
      <c r="ACD175" s="1137">
        <f t="shared" si="31"/>
        <v>31</v>
      </c>
      <c r="ACE175" s="1137" t="s">
        <v>268</v>
      </c>
      <c r="ACF175" s="1137">
        <f t="shared" si="39"/>
        <v>0</v>
      </c>
      <c r="ACG175" s="1137">
        <f t="shared" si="39"/>
        <v>0</v>
      </c>
      <c r="ACH175" s="1137">
        <f t="shared" si="39"/>
        <v>1</v>
      </c>
      <c r="ACI175" s="1137">
        <f t="shared" si="39"/>
        <v>1</v>
      </c>
      <c r="ACJ175" s="1137">
        <f t="shared" si="39"/>
        <v>1</v>
      </c>
      <c r="ACK175" s="1137">
        <f t="shared" si="39"/>
        <v>1</v>
      </c>
      <c r="ACL175" s="1137">
        <f t="shared" si="39"/>
        <v>1</v>
      </c>
      <c r="ACM175" s="1137">
        <f t="shared" si="39"/>
        <v>0</v>
      </c>
      <c r="ACN175" s="1137">
        <f t="shared" si="39"/>
        <v>1</v>
      </c>
      <c r="ACO175" s="1137">
        <f t="shared" si="39"/>
        <v>1</v>
      </c>
      <c r="ACP175" s="1137">
        <f t="shared" si="39"/>
        <v>1</v>
      </c>
      <c r="ACQ175" s="1137">
        <f t="shared" si="39"/>
        <v>1</v>
      </c>
      <c r="ACR175" s="1137">
        <f t="shared" si="39"/>
        <v>1</v>
      </c>
      <c r="ACS175" s="1137">
        <f t="shared" si="39"/>
        <v>1</v>
      </c>
      <c r="ACT175" s="1137">
        <f t="shared" si="43"/>
        <v>1</v>
      </c>
      <c r="ACU175" s="1137">
        <f t="shared" si="43"/>
        <v>1</v>
      </c>
      <c r="ACV175" s="1137">
        <f t="shared" si="43"/>
        <v>1</v>
      </c>
      <c r="ACW175" s="1137">
        <f t="shared" si="43"/>
        <v>1</v>
      </c>
      <c r="ACX175" s="1137">
        <f t="shared" si="42"/>
        <v>1</v>
      </c>
      <c r="ACY175" s="1137">
        <f t="shared" si="42"/>
        <v>1</v>
      </c>
      <c r="ACZ175" s="1137">
        <f t="shared" si="42"/>
        <v>1</v>
      </c>
      <c r="ADA175" s="1137">
        <f t="shared" si="35"/>
        <v>1</v>
      </c>
      <c r="ADB175" s="1137">
        <f t="shared" si="35"/>
        <v>1</v>
      </c>
      <c r="ADC175" s="1137">
        <f t="shared" si="35"/>
        <v>1</v>
      </c>
    </row>
    <row r="176" spans="1:783" x14ac:dyDescent="0.25">
      <c r="A176" t="s">
        <v>1973</v>
      </c>
      <c r="B176" t="s">
        <v>1974</v>
      </c>
      <c r="C176">
        <v>0</v>
      </c>
      <c r="D176">
        <v>0</v>
      </c>
      <c r="E176">
        <v>0</v>
      </c>
      <c r="F176">
        <v>0</v>
      </c>
      <c r="G176">
        <v>0</v>
      </c>
      <c r="H176">
        <v>0</v>
      </c>
      <c r="I176">
        <v>0</v>
      </c>
      <c r="J176">
        <v>0</v>
      </c>
      <c r="K176">
        <v>0</v>
      </c>
      <c r="L176">
        <v>0</v>
      </c>
      <c r="M176">
        <v>0</v>
      </c>
      <c r="N176">
        <v>0</v>
      </c>
      <c r="O176">
        <v>0</v>
      </c>
      <c r="P176">
        <v>0</v>
      </c>
      <c r="Q176">
        <v>0</v>
      </c>
      <c r="R176">
        <v>0</v>
      </c>
      <c r="S176">
        <v>0</v>
      </c>
      <c r="T176">
        <v>0</v>
      </c>
      <c r="U176">
        <v>0</v>
      </c>
      <c r="V176">
        <v>0</v>
      </c>
      <c r="W176">
        <v>0</v>
      </c>
      <c r="X176">
        <v>0</v>
      </c>
      <c r="Y176">
        <v>0</v>
      </c>
      <c r="Z176">
        <v>0</v>
      </c>
      <c r="AA176">
        <v>0</v>
      </c>
      <c r="AB176">
        <v>0</v>
      </c>
      <c r="AC176">
        <v>0</v>
      </c>
      <c r="AD176">
        <v>0</v>
      </c>
      <c r="AE176">
        <v>0</v>
      </c>
      <c r="AF176">
        <v>0</v>
      </c>
      <c r="AG176">
        <v>0</v>
      </c>
      <c r="AH176">
        <v>0</v>
      </c>
      <c r="AI176">
        <v>0</v>
      </c>
      <c r="AJ176">
        <v>0</v>
      </c>
      <c r="AK176">
        <v>0</v>
      </c>
      <c r="AL176">
        <v>0</v>
      </c>
      <c r="AM176">
        <v>0</v>
      </c>
      <c r="AN176">
        <v>0</v>
      </c>
      <c r="AO176">
        <v>0</v>
      </c>
      <c r="AP176">
        <v>0</v>
      </c>
      <c r="AQ176">
        <v>0</v>
      </c>
      <c r="AR176">
        <v>0</v>
      </c>
      <c r="AS176">
        <v>0</v>
      </c>
      <c r="AT176">
        <v>0</v>
      </c>
      <c r="AU176">
        <v>0</v>
      </c>
      <c r="AV176">
        <v>0</v>
      </c>
      <c r="AW176">
        <v>0</v>
      </c>
      <c r="AX176">
        <v>0</v>
      </c>
      <c r="AY176">
        <v>0</v>
      </c>
      <c r="AZ176">
        <v>0</v>
      </c>
      <c r="BA176">
        <v>0</v>
      </c>
      <c r="BB176">
        <v>0</v>
      </c>
      <c r="BC176">
        <v>0</v>
      </c>
      <c r="BD176">
        <v>0</v>
      </c>
      <c r="BE176">
        <v>0</v>
      </c>
      <c r="BF176">
        <v>0</v>
      </c>
      <c r="BG176">
        <v>0</v>
      </c>
      <c r="BH176">
        <v>0</v>
      </c>
      <c r="BI176">
        <v>0</v>
      </c>
      <c r="BJ176">
        <v>0</v>
      </c>
      <c r="BK176">
        <v>0</v>
      </c>
      <c r="BL176">
        <v>0</v>
      </c>
      <c r="BM176">
        <v>0</v>
      </c>
      <c r="BN176">
        <v>0</v>
      </c>
      <c r="BO176">
        <v>0</v>
      </c>
      <c r="BP176">
        <v>0</v>
      </c>
      <c r="BQ176">
        <v>0</v>
      </c>
      <c r="BR176">
        <v>0</v>
      </c>
      <c r="BS176">
        <v>0</v>
      </c>
      <c r="BT176">
        <v>0</v>
      </c>
      <c r="BU176">
        <v>0</v>
      </c>
      <c r="BV176">
        <v>0</v>
      </c>
      <c r="BW176">
        <v>0</v>
      </c>
      <c r="BX176">
        <v>0</v>
      </c>
      <c r="BY176">
        <v>0</v>
      </c>
      <c r="BZ176">
        <v>0</v>
      </c>
      <c r="CA176">
        <v>0</v>
      </c>
      <c r="CB176">
        <v>0</v>
      </c>
      <c r="CC176">
        <v>0</v>
      </c>
      <c r="CD176">
        <v>0</v>
      </c>
      <c r="CE176">
        <v>0</v>
      </c>
      <c r="CF176">
        <v>0</v>
      </c>
      <c r="CG176">
        <v>0</v>
      </c>
      <c r="CH176">
        <v>0</v>
      </c>
      <c r="CI176">
        <v>0</v>
      </c>
      <c r="CJ176">
        <v>0</v>
      </c>
      <c r="CK176">
        <v>0</v>
      </c>
      <c r="CL176">
        <v>0</v>
      </c>
      <c r="CM176">
        <v>0</v>
      </c>
      <c r="CN176">
        <v>0</v>
      </c>
      <c r="CO176">
        <v>0</v>
      </c>
      <c r="CP176">
        <v>0</v>
      </c>
      <c r="CQ176">
        <v>0</v>
      </c>
      <c r="CR176">
        <v>0</v>
      </c>
      <c r="CS176">
        <v>0</v>
      </c>
      <c r="CT176">
        <v>0</v>
      </c>
      <c r="CU176">
        <v>0</v>
      </c>
      <c r="CV176">
        <v>0</v>
      </c>
      <c r="CW176">
        <v>0</v>
      </c>
      <c r="CX176">
        <v>0</v>
      </c>
      <c r="CY176">
        <v>0</v>
      </c>
      <c r="CZ176">
        <v>0</v>
      </c>
      <c r="DA176">
        <v>0</v>
      </c>
      <c r="DB176">
        <v>0</v>
      </c>
      <c r="DC176">
        <v>0</v>
      </c>
      <c r="DD176">
        <v>0</v>
      </c>
      <c r="DE176">
        <v>0</v>
      </c>
      <c r="DF176">
        <v>0</v>
      </c>
      <c r="DG176">
        <v>0</v>
      </c>
      <c r="DH176">
        <v>0</v>
      </c>
      <c r="DI176">
        <v>0</v>
      </c>
      <c r="DJ176">
        <v>0</v>
      </c>
      <c r="DK176">
        <v>0</v>
      </c>
      <c r="DL176">
        <v>0</v>
      </c>
      <c r="DM176">
        <v>0</v>
      </c>
      <c r="DN176">
        <v>0</v>
      </c>
      <c r="DO176">
        <v>0</v>
      </c>
      <c r="DP176">
        <v>0</v>
      </c>
      <c r="DQ176">
        <v>0</v>
      </c>
      <c r="DR176">
        <v>0</v>
      </c>
      <c r="DS176">
        <v>0</v>
      </c>
      <c r="DT176">
        <v>0</v>
      </c>
      <c r="DU176">
        <v>0</v>
      </c>
      <c r="DV176">
        <v>0</v>
      </c>
      <c r="DW176">
        <v>0</v>
      </c>
      <c r="DX176">
        <v>0</v>
      </c>
      <c r="DY176">
        <v>0</v>
      </c>
      <c r="DZ176">
        <v>0</v>
      </c>
      <c r="EA176">
        <v>0</v>
      </c>
      <c r="EB176">
        <v>0</v>
      </c>
      <c r="EC176">
        <v>0</v>
      </c>
      <c r="ED176">
        <v>0</v>
      </c>
      <c r="EE176">
        <v>0</v>
      </c>
      <c r="EF176">
        <v>0</v>
      </c>
      <c r="EG176">
        <v>0</v>
      </c>
      <c r="EH176">
        <v>0</v>
      </c>
      <c r="EI176">
        <v>0</v>
      </c>
      <c r="EJ176">
        <v>0</v>
      </c>
      <c r="EK176">
        <v>0</v>
      </c>
      <c r="EL176">
        <v>0</v>
      </c>
      <c r="EM176">
        <v>0</v>
      </c>
      <c r="EN176">
        <v>0</v>
      </c>
      <c r="EO176">
        <v>0</v>
      </c>
      <c r="EP176">
        <v>0</v>
      </c>
      <c r="EQ176">
        <v>0</v>
      </c>
      <c r="ER176">
        <v>0</v>
      </c>
      <c r="ES176">
        <v>0</v>
      </c>
      <c r="ET176">
        <v>0</v>
      </c>
      <c r="EU176">
        <v>0</v>
      </c>
      <c r="EV176">
        <v>0</v>
      </c>
      <c r="EW176">
        <v>0</v>
      </c>
      <c r="EX176">
        <v>0</v>
      </c>
      <c r="EY176">
        <v>0</v>
      </c>
      <c r="EZ176">
        <v>0</v>
      </c>
      <c r="FA176">
        <v>0</v>
      </c>
      <c r="FB176">
        <v>0</v>
      </c>
      <c r="FC176">
        <v>0</v>
      </c>
      <c r="FD176">
        <v>0</v>
      </c>
      <c r="FE176">
        <v>0</v>
      </c>
      <c r="FF176">
        <v>0</v>
      </c>
      <c r="FG176">
        <v>0</v>
      </c>
      <c r="FH176">
        <v>0</v>
      </c>
      <c r="FI176">
        <v>0</v>
      </c>
      <c r="FJ176">
        <v>0</v>
      </c>
      <c r="FK176">
        <v>0</v>
      </c>
      <c r="FL176">
        <v>0</v>
      </c>
      <c r="FM176">
        <v>0</v>
      </c>
      <c r="FN176">
        <v>0</v>
      </c>
      <c r="FO176">
        <v>0</v>
      </c>
      <c r="FP176">
        <v>0</v>
      </c>
      <c r="FQ176">
        <v>0</v>
      </c>
      <c r="FR176">
        <v>0</v>
      </c>
      <c r="FS176">
        <v>0</v>
      </c>
      <c r="FT176">
        <v>0</v>
      </c>
      <c r="FU176">
        <v>0</v>
      </c>
      <c r="FV176">
        <v>0</v>
      </c>
      <c r="FW176">
        <v>0</v>
      </c>
      <c r="FX176">
        <v>0</v>
      </c>
      <c r="FY176">
        <v>0</v>
      </c>
      <c r="FZ176">
        <v>0</v>
      </c>
      <c r="GA176">
        <v>0</v>
      </c>
      <c r="GB176">
        <v>0</v>
      </c>
      <c r="GC176">
        <v>0</v>
      </c>
      <c r="GD176">
        <v>0</v>
      </c>
      <c r="GE176">
        <v>0</v>
      </c>
      <c r="GF176">
        <v>0</v>
      </c>
      <c r="GG176">
        <v>0</v>
      </c>
      <c r="GH176">
        <v>0</v>
      </c>
      <c r="GI176">
        <v>0</v>
      </c>
      <c r="GJ176">
        <v>0</v>
      </c>
      <c r="GK176">
        <v>0</v>
      </c>
      <c r="GL176">
        <v>0</v>
      </c>
      <c r="GM176">
        <v>0</v>
      </c>
      <c r="GN176">
        <v>0</v>
      </c>
      <c r="GO176">
        <v>0</v>
      </c>
      <c r="GP176">
        <v>0</v>
      </c>
      <c r="GQ176">
        <v>0</v>
      </c>
      <c r="GR176">
        <v>0</v>
      </c>
      <c r="GS176">
        <v>0</v>
      </c>
      <c r="GT176">
        <v>0</v>
      </c>
      <c r="GU176">
        <v>0</v>
      </c>
      <c r="GV176">
        <v>0</v>
      </c>
      <c r="GW176">
        <v>0</v>
      </c>
      <c r="GX176">
        <v>0</v>
      </c>
      <c r="GY176">
        <v>0</v>
      </c>
      <c r="GZ176">
        <v>0</v>
      </c>
      <c r="HA176">
        <v>0</v>
      </c>
      <c r="HB176">
        <v>0</v>
      </c>
      <c r="HC176">
        <v>0</v>
      </c>
      <c r="HD176">
        <v>0</v>
      </c>
      <c r="HE176">
        <v>0</v>
      </c>
      <c r="HF176">
        <v>0</v>
      </c>
      <c r="HG176">
        <v>0</v>
      </c>
      <c r="HH176">
        <v>0</v>
      </c>
      <c r="HI176">
        <v>0</v>
      </c>
      <c r="HJ176">
        <v>0</v>
      </c>
      <c r="HK176">
        <v>0</v>
      </c>
      <c r="HL176">
        <v>0</v>
      </c>
      <c r="HM176">
        <v>0</v>
      </c>
      <c r="HN176">
        <v>0</v>
      </c>
      <c r="HO176">
        <v>0</v>
      </c>
      <c r="HP176">
        <v>0</v>
      </c>
      <c r="HQ176">
        <v>0</v>
      </c>
      <c r="HR176">
        <v>0</v>
      </c>
      <c r="HS176">
        <v>0</v>
      </c>
      <c r="HT176">
        <v>0</v>
      </c>
      <c r="HU176">
        <v>0</v>
      </c>
      <c r="HV176">
        <v>0</v>
      </c>
      <c r="HW176">
        <v>0</v>
      </c>
      <c r="HX176">
        <v>0</v>
      </c>
      <c r="HY176">
        <v>0</v>
      </c>
      <c r="HZ176">
        <v>0</v>
      </c>
      <c r="IA176">
        <v>0</v>
      </c>
      <c r="IB176">
        <v>0</v>
      </c>
      <c r="IC176">
        <v>0</v>
      </c>
      <c r="ID176">
        <v>0</v>
      </c>
      <c r="IE176">
        <v>0</v>
      </c>
      <c r="IF176">
        <v>0</v>
      </c>
      <c r="IG176">
        <v>0</v>
      </c>
      <c r="IH176">
        <v>0</v>
      </c>
      <c r="II176">
        <v>0</v>
      </c>
      <c r="IJ176">
        <v>0</v>
      </c>
      <c r="IK176">
        <v>0</v>
      </c>
      <c r="IL176">
        <v>0</v>
      </c>
      <c r="IM176">
        <v>0</v>
      </c>
      <c r="IN176">
        <v>0</v>
      </c>
      <c r="IO176">
        <v>0</v>
      </c>
      <c r="IP176">
        <v>0</v>
      </c>
      <c r="IQ176">
        <v>0</v>
      </c>
      <c r="IR176">
        <v>0</v>
      </c>
      <c r="IS176">
        <v>0</v>
      </c>
      <c r="IT176">
        <v>0</v>
      </c>
      <c r="IU176">
        <v>0</v>
      </c>
      <c r="IV176">
        <v>0</v>
      </c>
      <c r="IW176">
        <v>0</v>
      </c>
      <c r="IX176">
        <v>0</v>
      </c>
      <c r="IY176">
        <v>0</v>
      </c>
      <c r="IZ176">
        <v>0</v>
      </c>
      <c r="JA176">
        <v>0</v>
      </c>
      <c r="JB176">
        <v>0</v>
      </c>
      <c r="JC176">
        <v>0</v>
      </c>
      <c r="JD176">
        <v>0</v>
      </c>
      <c r="JE176">
        <v>0</v>
      </c>
      <c r="JF176">
        <v>0</v>
      </c>
      <c r="JG176">
        <v>0</v>
      </c>
      <c r="JH176">
        <v>0</v>
      </c>
      <c r="JI176">
        <v>0</v>
      </c>
      <c r="JJ176">
        <v>0</v>
      </c>
      <c r="JK176">
        <v>0</v>
      </c>
      <c r="JL176">
        <v>0</v>
      </c>
      <c r="JM176">
        <v>0</v>
      </c>
      <c r="JN176">
        <v>0</v>
      </c>
      <c r="JO176">
        <v>0</v>
      </c>
      <c r="JP176">
        <v>0</v>
      </c>
      <c r="JQ176">
        <v>0</v>
      </c>
      <c r="JR176">
        <v>0</v>
      </c>
      <c r="JS176">
        <v>0</v>
      </c>
      <c r="JT176">
        <v>0</v>
      </c>
      <c r="JU176">
        <v>0</v>
      </c>
      <c r="JV176">
        <v>0</v>
      </c>
      <c r="JW176">
        <v>0</v>
      </c>
      <c r="JX176">
        <v>0</v>
      </c>
      <c r="JY176">
        <v>0</v>
      </c>
      <c r="JZ176">
        <v>0</v>
      </c>
      <c r="KA176">
        <v>0</v>
      </c>
      <c r="KB176">
        <v>0</v>
      </c>
      <c r="KC176">
        <v>0</v>
      </c>
      <c r="KD176">
        <v>0</v>
      </c>
      <c r="KE176">
        <v>0</v>
      </c>
      <c r="KF176">
        <v>0</v>
      </c>
      <c r="KG176">
        <v>0</v>
      </c>
      <c r="KH176">
        <v>0</v>
      </c>
      <c r="KI176">
        <v>0</v>
      </c>
      <c r="KJ176">
        <v>0</v>
      </c>
      <c r="KK176">
        <v>0</v>
      </c>
      <c r="KL176">
        <v>0</v>
      </c>
      <c r="KM176">
        <v>0</v>
      </c>
      <c r="KN176">
        <v>0</v>
      </c>
      <c r="KO176">
        <v>0</v>
      </c>
      <c r="KP176">
        <v>0</v>
      </c>
      <c r="KQ176">
        <v>0</v>
      </c>
      <c r="KR176">
        <v>0</v>
      </c>
      <c r="KS176">
        <v>0</v>
      </c>
      <c r="KT176">
        <v>0</v>
      </c>
      <c r="KU176">
        <v>0</v>
      </c>
      <c r="KV176">
        <v>0</v>
      </c>
      <c r="KW176">
        <v>0</v>
      </c>
      <c r="KX176">
        <v>0</v>
      </c>
      <c r="KY176">
        <v>0</v>
      </c>
      <c r="KZ176">
        <v>0</v>
      </c>
      <c r="LA176">
        <v>0</v>
      </c>
      <c r="LB176">
        <v>0</v>
      </c>
      <c r="LC176">
        <v>0</v>
      </c>
      <c r="LD176">
        <v>0</v>
      </c>
      <c r="LE176">
        <v>0</v>
      </c>
      <c r="LF176">
        <v>0</v>
      </c>
      <c r="LG176">
        <v>0</v>
      </c>
      <c r="LH176">
        <v>0</v>
      </c>
      <c r="LI176">
        <v>0</v>
      </c>
      <c r="LJ176">
        <v>0</v>
      </c>
      <c r="LK176">
        <v>0</v>
      </c>
      <c r="LL176">
        <v>0</v>
      </c>
      <c r="LM176">
        <v>0</v>
      </c>
      <c r="LN176">
        <v>0</v>
      </c>
      <c r="LO176">
        <v>0</v>
      </c>
      <c r="LP176">
        <v>0</v>
      </c>
      <c r="LQ176">
        <v>0</v>
      </c>
      <c r="LR176">
        <v>0</v>
      </c>
      <c r="LS176">
        <v>0</v>
      </c>
      <c r="LT176">
        <v>0</v>
      </c>
      <c r="LU176">
        <v>0</v>
      </c>
      <c r="LV176">
        <v>0</v>
      </c>
      <c r="LW176">
        <v>0</v>
      </c>
      <c r="LX176">
        <v>0</v>
      </c>
      <c r="LY176">
        <v>0</v>
      </c>
      <c r="LZ176">
        <v>0</v>
      </c>
      <c r="MA176">
        <v>0</v>
      </c>
      <c r="MB176">
        <v>0</v>
      </c>
      <c r="MC176">
        <v>0</v>
      </c>
      <c r="MD176">
        <v>0</v>
      </c>
      <c r="ME176">
        <v>0</v>
      </c>
      <c r="MF176">
        <v>0</v>
      </c>
      <c r="MG176">
        <v>0</v>
      </c>
      <c r="MH176">
        <v>0</v>
      </c>
      <c r="MI176">
        <v>0</v>
      </c>
      <c r="MJ176">
        <v>0</v>
      </c>
      <c r="MK176">
        <v>0</v>
      </c>
      <c r="ML176">
        <v>0</v>
      </c>
      <c r="MM176">
        <v>0</v>
      </c>
      <c r="MN176">
        <v>0</v>
      </c>
      <c r="MO176">
        <v>0</v>
      </c>
      <c r="MP176">
        <v>0</v>
      </c>
      <c r="MQ176">
        <v>0</v>
      </c>
      <c r="MR176">
        <v>0</v>
      </c>
      <c r="MS176">
        <v>0</v>
      </c>
      <c r="MT176">
        <v>0</v>
      </c>
      <c r="MU176">
        <v>0</v>
      </c>
      <c r="MV176">
        <v>0</v>
      </c>
      <c r="MW176">
        <v>0</v>
      </c>
      <c r="MX176">
        <v>0</v>
      </c>
      <c r="MY176">
        <v>0</v>
      </c>
      <c r="MZ176">
        <v>0</v>
      </c>
      <c r="NA176">
        <v>0</v>
      </c>
      <c r="NB176">
        <v>0</v>
      </c>
      <c r="NC176">
        <v>0</v>
      </c>
      <c r="ND176">
        <v>0</v>
      </c>
      <c r="NE176">
        <v>0</v>
      </c>
      <c r="NF176">
        <v>0</v>
      </c>
      <c r="NG176">
        <v>0</v>
      </c>
      <c r="NH176">
        <v>0</v>
      </c>
      <c r="NI176">
        <v>0</v>
      </c>
      <c r="NJ176">
        <v>0</v>
      </c>
      <c r="NK176">
        <v>0</v>
      </c>
      <c r="NL176">
        <v>0</v>
      </c>
      <c r="NM176">
        <v>0</v>
      </c>
      <c r="NN176">
        <v>0</v>
      </c>
      <c r="NO176">
        <v>0</v>
      </c>
      <c r="NP176">
        <v>0</v>
      </c>
      <c r="NQ176">
        <v>0</v>
      </c>
      <c r="NR176">
        <v>0</v>
      </c>
      <c r="NS176">
        <v>0</v>
      </c>
      <c r="NT176">
        <v>0</v>
      </c>
      <c r="NU176">
        <v>0</v>
      </c>
      <c r="NV176">
        <v>0</v>
      </c>
      <c r="NW176">
        <v>0</v>
      </c>
      <c r="NX176">
        <v>0</v>
      </c>
      <c r="NY176">
        <v>0</v>
      </c>
      <c r="NZ176">
        <v>0</v>
      </c>
      <c r="OA176">
        <v>0</v>
      </c>
      <c r="OB176">
        <v>0</v>
      </c>
      <c r="OC176">
        <v>0</v>
      </c>
      <c r="OD176">
        <v>0</v>
      </c>
      <c r="OE176">
        <v>0</v>
      </c>
      <c r="OF176">
        <v>0</v>
      </c>
      <c r="OG176">
        <v>0</v>
      </c>
      <c r="OH176">
        <v>0</v>
      </c>
      <c r="OI176">
        <v>0</v>
      </c>
      <c r="OJ176">
        <v>0</v>
      </c>
      <c r="OK176">
        <v>0</v>
      </c>
      <c r="OL176">
        <v>0</v>
      </c>
      <c r="OM176">
        <v>0</v>
      </c>
      <c r="ON176">
        <v>0</v>
      </c>
      <c r="OO176">
        <v>0</v>
      </c>
      <c r="OP176">
        <v>0</v>
      </c>
      <c r="OQ176">
        <v>0</v>
      </c>
      <c r="OR176">
        <v>0</v>
      </c>
      <c r="OS176">
        <v>0</v>
      </c>
      <c r="OT176">
        <v>0</v>
      </c>
      <c r="OU176">
        <v>0</v>
      </c>
      <c r="OV176">
        <v>0</v>
      </c>
      <c r="OW176">
        <v>0</v>
      </c>
      <c r="OX176">
        <v>0</v>
      </c>
      <c r="OY176">
        <v>0</v>
      </c>
      <c r="OZ176">
        <v>0</v>
      </c>
      <c r="PA176">
        <v>0</v>
      </c>
      <c r="PB176">
        <v>0</v>
      </c>
      <c r="PC176">
        <v>0</v>
      </c>
      <c r="PD176">
        <v>0</v>
      </c>
      <c r="PE176">
        <v>0</v>
      </c>
      <c r="PF176">
        <v>0</v>
      </c>
      <c r="PG176">
        <v>0</v>
      </c>
      <c r="PH176">
        <v>0</v>
      </c>
      <c r="PI176">
        <v>0</v>
      </c>
      <c r="PJ176">
        <v>0</v>
      </c>
      <c r="PK176">
        <v>0</v>
      </c>
      <c r="PL176">
        <v>0</v>
      </c>
      <c r="PM176">
        <v>0</v>
      </c>
      <c r="PN176">
        <v>0</v>
      </c>
      <c r="PO176">
        <v>0</v>
      </c>
      <c r="PP176">
        <v>0</v>
      </c>
      <c r="PQ176">
        <v>0</v>
      </c>
      <c r="PR176">
        <v>0</v>
      </c>
      <c r="PS176">
        <v>0</v>
      </c>
      <c r="PT176">
        <v>0</v>
      </c>
      <c r="PU176">
        <v>0</v>
      </c>
      <c r="PV176">
        <v>0</v>
      </c>
      <c r="PW176">
        <v>0</v>
      </c>
      <c r="PX176">
        <v>0</v>
      </c>
      <c r="PY176">
        <v>0</v>
      </c>
      <c r="PZ176">
        <v>0</v>
      </c>
      <c r="QA176">
        <v>0</v>
      </c>
      <c r="QB176">
        <v>0</v>
      </c>
      <c r="QC176">
        <v>0</v>
      </c>
      <c r="QD176">
        <v>0</v>
      </c>
      <c r="QE176">
        <v>0</v>
      </c>
      <c r="QF176">
        <v>0</v>
      </c>
      <c r="QG176">
        <v>0</v>
      </c>
      <c r="QH176">
        <v>0</v>
      </c>
      <c r="QI176">
        <v>0</v>
      </c>
      <c r="QJ176">
        <v>0</v>
      </c>
      <c r="QK176">
        <v>0</v>
      </c>
      <c r="QL176">
        <v>0</v>
      </c>
      <c r="QM176">
        <v>0</v>
      </c>
      <c r="QN176">
        <v>0</v>
      </c>
      <c r="QO176">
        <v>0</v>
      </c>
      <c r="QP176">
        <v>0</v>
      </c>
      <c r="QQ176">
        <v>0</v>
      </c>
      <c r="QR176">
        <v>0</v>
      </c>
      <c r="QS176">
        <v>0</v>
      </c>
      <c r="QT176">
        <v>0</v>
      </c>
      <c r="QU176">
        <v>0</v>
      </c>
      <c r="QV176">
        <v>0</v>
      </c>
      <c r="QW176">
        <v>0</v>
      </c>
      <c r="QX176">
        <v>0</v>
      </c>
      <c r="QY176">
        <v>0</v>
      </c>
      <c r="QZ176">
        <v>0</v>
      </c>
      <c r="RA176">
        <v>0</v>
      </c>
      <c r="RB176">
        <v>0</v>
      </c>
      <c r="RC176">
        <v>0</v>
      </c>
      <c r="RD176">
        <v>0</v>
      </c>
      <c r="RE176">
        <v>0</v>
      </c>
      <c r="RF176">
        <v>0</v>
      </c>
      <c r="RG176">
        <v>0</v>
      </c>
      <c r="RH176">
        <v>0</v>
      </c>
      <c r="RI176">
        <v>0</v>
      </c>
      <c r="RJ176">
        <v>0</v>
      </c>
      <c r="RK176">
        <v>0</v>
      </c>
      <c r="RL176">
        <v>0</v>
      </c>
      <c r="RM176">
        <v>0</v>
      </c>
      <c r="RN176">
        <v>0</v>
      </c>
      <c r="RO176">
        <v>0</v>
      </c>
      <c r="RP176">
        <v>0</v>
      </c>
      <c r="RQ176">
        <v>0</v>
      </c>
      <c r="RR176">
        <v>0</v>
      </c>
      <c r="RS176">
        <v>0</v>
      </c>
      <c r="RT176">
        <v>0</v>
      </c>
      <c r="RU176">
        <v>0</v>
      </c>
      <c r="RV176">
        <v>0</v>
      </c>
      <c r="RW176">
        <v>0</v>
      </c>
      <c r="RX176">
        <v>0</v>
      </c>
      <c r="RY176">
        <v>0</v>
      </c>
      <c r="RZ176">
        <v>0</v>
      </c>
      <c r="SA176">
        <v>0</v>
      </c>
      <c r="SB176">
        <v>0</v>
      </c>
      <c r="SC176">
        <v>0</v>
      </c>
      <c r="SD176">
        <v>0</v>
      </c>
      <c r="SE176">
        <v>0</v>
      </c>
      <c r="SF176">
        <v>0</v>
      </c>
      <c r="SG176">
        <v>0</v>
      </c>
      <c r="SH176">
        <v>0</v>
      </c>
      <c r="SI176">
        <v>2</v>
      </c>
      <c r="SJ176">
        <v>2</v>
      </c>
      <c r="SK176">
        <v>2</v>
      </c>
      <c r="SL176">
        <v>2</v>
      </c>
      <c r="SM176">
        <v>2</v>
      </c>
      <c r="SN176">
        <v>2</v>
      </c>
      <c r="SO176">
        <v>2</v>
      </c>
      <c r="SP176">
        <v>2</v>
      </c>
      <c r="SQ176">
        <v>2</v>
      </c>
      <c r="SR176">
        <v>2</v>
      </c>
      <c r="SS176">
        <v>2</v>
      </c>
      <c r="ST176">
        <v>2</v>
      </c>
      <c r="SU176">
        <v>2</v>
      </c>
      <c r="SV176">
        <v>2</v>
      </c>
      <c r="SW176">
        <v>2</v>
      </c>
      <c r="SX176">
        <v>2</v>
      </c>
      <c r="SY176">
        <v>2</v>
      </c>
      <c r="SZ176">
        <v>2</v>
      </c>
      <c r="TA176">
        <v>2</v>
      </c>
      <c r="TB176">
        <v>2</v>
      </c>
      <c r="TC176">
        <v>2</v>
      </c>
      <c r="TD176">
        <v>2</v>
      </c>
      <c r="TE176">
        <v>2</v>
      </c>
      <c r="TF176">
        <v>2</v>
      </c>
      <c r="TG176">
        <v>2</v>
      </c>
      <c r="TH176">
        <v>2</v>
      </c>
      <c r="TI176">
        <v>2</v>
      </c>
      <c r="TJ176">
        <v>2</v>
      </c>
      <c r="TK176">
        <v>2</v>
      </c>
      <c r="TL176">
        <v>2</v>
      </c>
      <c r="TM176">
        <v>2</v>
      </c>
      <c r="TN176">
        <v>2</v>
      </c>
      <c r="TO176">
        <v>2</v>
      </c>
      <c r="TP176">
        <v>2</v>
      </c>
      <c r="TQ176">
        <v>2</v>
      </c>
      <c r="TR176">
        <v>2</v>
      </c>
      <c r="TS176">
        <v>2</v>
      </c>
      <c r="TT176">
        <v>2</v>
      </c>
      <c r="TU176">
        <v>2</v>
      </c>
      <c r="TV176">
        <v>2</v>
      </c>
      <c r="TW176">
        <v>2</v>
      </c>
      <c r="TX176">
        <v>2</v>
      </c>
      <c r="TY176">
        <v>2</v>
      </c>
      <c r="TZ176">
        <v>2</v>
      </c>
      <c r="UA176">
        <v>2</v>
      </c>
      <c r="UB176">
        <v>1</v>
      </c>
      <c r="UC176">
        <v>1</v>
      </c>
      <c r="UD176">
        <v>1</v>
      </c>
      <c r="UE176">
        <v>1</v>
      </c>
      <c r="UF176">
        <v>1</v>
      </c>
      <c r="UG176">
        <v>1</v>
      </c>
      <c r="UH176">
        <v>1</v>
      </c>
      <c r="UI176">
        <v>1</v>
      </c>
      <c r="UJ176">
        <v>1</v>
      </c>
      <c r="UK176">
        <v>1</v>
      </c>
      <c r="UL176">
        <v>1</v>
      </c>
      <c r="UM176">
        <v>1</v>
      </c>
      <c r="UN176">
        <v>1</v>
      </c>
      <c r="UO176">
        <v>1</v>
      </c>
      <c r="UP176">
        <v>1</v>
      </c>
      <c r="UQ176">
        <v>1</v>
      </c>
      <c r="UR176">
        <v>1</v>
      </c>
      <c r="US176">
        <v>1</v>
      </c>
      <c r="UT176">
        <v>1</v>
      </c>
      <c r="UU176">
        <v>1</v>
      </c>
      <c r="UV176">
        <v>1</v>
      </c>
      <c r="UW176">
        <v>1</v>
      </c>
      <c r="UX176">
        <v>1</v>
      </c>
      <c r="UY176">
        <v>1</v>
      </c>
      <c r="UZ176">
        <v>1</v>
      </c>
      <c r="VA176">
        <v>1</v>
      </c>
      <c r="VB176">
        <v>1</v>
      </c>
      <c r="VC176">
        <v>1</v>
      </c>
      <c r="VD176">
        <v>1</v>
      </c>
      <c r="VE176">
        <v>1</v>
      </c>
      <c r="VF176">
        <v>1</v>
      </c>
      <c r="VG176">
        <v>1</v>
      </c>
      <c r="VH176">
        <v>1</v>
      </c>
      <c r="VI176">
        <v>1</v>
      </c>
      <c r="VJ176">
        <v>1</v>
      </c>
      <c r="VK176">
        <v>1</v>
      </c>
      <c r="VL176">
        <v>1</v>
      </c>
      <c r="VM176">
        <v>1</v>
      </c>
      <c r="VN176">
        <v>1</v>
      </c>
      <c r="VO176">
        <v>1</v>
      </c>
      <c r="VP176">
        <v>1</v>
      </c>
      <c r="VQ176">
        <v>1</v>
      </c>
      <c r="VR176">
        <v>1</v>
      </c>
      <c r="VS176">
        <v>1</v>
      </c>
      <c r="VT176">
        <v>1</v>
      </c>
      <c r="VU176">
        <v>1</v>
      </c>
      <c r="VV176">
        <v>1</v>
      </c>
      <c r="VW176">
        <v>1</v>
      </c>
      <c r="VX176">
        <v>1</v>
      </c>
      <c r="VY176">
        <v>1</v>
      </c>
      <c r="VZ176">
        <v>1</v>
      </c>
      <c r="WA176">
        <v>1</v>
      </c>
      <c r="WB176">
        <v>1</v>
      </c>
      <c r="WC176">
        <v>1</v>
      </c>
      <c r="WD176">
        <v>1</v>
      </c>
      <c r="WE176">
        <v>1</v>
      </c>
      <c r="WF176">
        <v>1</v>
      </c>
      <c r="WG176">
        <v>1</v>
      </c>
      <c r="WH176">
        <v>1</v>
      </c>
      <c r="WI176">
        <v>1</v>
      </c>
      <c r="WJ176">
        <v>1</v>
      </c>
      <c r="WK176">
        <v>1</v>
      </c>
      <c r="WL176">
        <v>1</v>
      </c>
      <c r="WM176">
        <v>1</v>
      </c>
      <c r="WN176">
        <v>1</v>
      </c>
      <c r="WO176">
        <v>1</v>
      </c>
      <c r="WP176">
        <v>1</v>
      </c>
      <c r="WQ176">
        <v>1</v>
      </c>
      <c r="WR176">
        <v>1</v>
      </c>
      <c r="WS176">
        <v>1</v>
      </c>
      <c r="WT176">
        <v>1</v>
      </c>
      <c r="WU176">
        <v>1</v>
      </c>
      <c r="WV176">
        <v>1</v>
      </c>
      <c r="WW176">
        <v>1</v>
      </c>
      <c r="WX176">
        <v>1</v>
      </c>
      <c r="WY176">
        <v>1</v>
      </c>
      <c r="WZ176">
        <v>1</v>
      </c>
      <c r="XA176">
        <v>1</v>
      </c>
      <c r="XB176">
        <v>1</v>
      </c>
      <c r="XC176">
        <v>1</v>
      </c>
      <c r="XD176">
        <v>1</v>
      </c>
      <c r="XE176">
        <v>1</v>
      </c>
      <c r="XF176">
        <v>1</v>
      </c>
      <c r="XG176">
        <v>1</v>
      </c>
      <c r="XH176">
        <v>1</v>
      </c>
      <c r="XI176">
        <v>1</v>
      </c>
      <c r="XJ176">
        <v>1</v>
      </c>
      <c r="XK176">
        <v>1</v>
      </c>
      <c r="XL176">
        <v>1</v>
      </c>
      <c r="XM176">
        <v>1</v>
      </c>
      <c r="XN176">
        <v>1</v>
      </c>
      <c r="XO176">
        <v>1</v>
      </c>
      <c r="XP176">
        <v>1</v>
      </c>
      <c r="XQ176">
        <v>1</v>
      </c>
      <c r="XR176">
        <v>1</v>
      </c>
      <c r="XS176">
        <v>1</v>
      </c>
      <c r="XT176">
        <v>1</v>
      </c>
      <c r="XU176">
        <v>1</v>
      </c>
      <c r="XV176">
        <v>1</v>
      </c>
      <c r="XW176">
        <v>1</v>
      </c>
      <c r="XX176">
        <v>1</v>
      </c>
      <c r="XY176">
        <v>1</v>
      </c>
      <c r="XZ176">
        <v>1</v>
      </c>
      <c r="YA176">
        <v>1</v>
      </c>
      <c r="YB176">
        <v>1</v>
      </c>
      <c r="YC176">
        <v>1</v>
      </c>
      <c r="YD176">
        <v>1</v>
      </c>
      <c r="YE176">
        <v>1</v>
      </c>
      <c r="YF176">
        <v>1</v>
      </c>
      <c r="YG176">
        <v>1</v>
      </c>
      <c r="YH176">
        <v>1</v>
      </c>
      <c r="YI176">
        <v>1</v>
      </c>
      <c r="YJ176">
        <v>1</v>
      </c>
      <c r="YK176">
        <v>1</v>
      </c>
      <c r="YL176">
        <v>0</v>
      </c>
      <c r="YM176">
        <v>0</v>
      </c>
      <c r="YN176">
        <v>0</v>
      </c>
      <c r="YO176">
        <v>0</v>
      </c>
      <c r="YP176">
        <v>0</v>
      </c>
      <c r="YQ176">
        <v>0</v>
      </c>
      <c r="YR176">
        <v>0</v>
      </c>
      <c r="YS176">
        <v>0</v>
      </c>
      <c r="YT176">
        <v>0</v>
      </c>
      <c r="YU176">
        <v>0</v>
      </c>
      <c r="YV176">
        <v>0</v>
      </c>
      <c r="YW176">
        <v>0</v>
      </c>
      <c r="YX176">
        <v>0</v>
      </c>
      <c r="YY176">
        <v>0</v>
      </c>
      <c r="YZ176">
        <v>0</v>
      </c>
      <c r="ZA176">
        <v>0</v>
      </c>
      <c r="ZB176">
        <v>0</v>
      </c>
      <c r="ZC176">
        <v>0</v>
      </c>
      <c r="ZD176">
        <v>0</v>
      </c>
      <c r="ZE176">
        <v>0</v>
      </c>
      <c r="ZF176">
        <v>0</v>
      </c>
      <c r="ZG176">
        <v>0</v>
      </c>
      <c r="ZH176">
        <v>0</v>
      </c>
      <c r="ZI176">
        <v>0</v>
      </c>
      <c r="ZJ176">
        <v>0</v>
      </c>
      <c r="ZK176">
        <v>0</v>
      </c>
      <c r="ZL176">
        <v>0</v>
      </c>
      <c r="ZM176">
        <v>0</v>
      </c>
      <c r="ZN176">
        <v>0</v>
      </c>
      <c r="ZO176">
        <v>0</v>
      </c>
      <c r="ZP176">
        <v>0</v>
      </c>
      <c r="ZQ176">
        <v>0</v>
      </c>
      <c r="ZR176">
        <v>0</v>
      </c>
      <c r="ZS176">
        <v>0</v>
      </c>
      <c r="ZT176">
        <v>0</v>
      </c>
      <c r="ZU176">
        <v>0</v>
      </c>
      <c r="ZV176">
        <v>0</v>
      </c>
      <c r="ZW176">
        <v>0</v>
      </c>
      <c r="ZX176">
        <v>0</v>
      </c>
      <c r="ZY176">
        <v>0</v>
      </c>
      <c r="ZZ176">
        <v>0</v>
      </c>
      <c r="AAA176">
        <v>0</v>
      </c>
      <c r="AAB176">
        <v>0</v>
      </c>
      <c r="AAC176">
        <v>0</v>
      </c>
      <c r="AAD176">
        <v>0</v>
      </c>
      <c r="AAE176">
        <v>0</v>
      </c>
      <c r="AAF176">
        <v>0</v>
      </c>
      <c r="AAG176">
        <v>0</v>
      </c>
      <c r="AAH176">
        <v>0</v>
      </c>
      <c r="AAI176">
        <v>0</v>
      </c>
      <c r="AAJ176">
        <v>0</v>
      </c>
      <c r="AAK176">
        <v>0</v>
      </c>
      <c r="AAL176">
        <v>0</v>
      </c>
      <c r="AAM176">
        <v>0</v>
      </c>
      <c r="AAN176">
        <v>0</v>
      </c>
      <c r="AAO176">
        <v>0</v>
      </c>
      <c r="AAP176">
        <v>0</v>
      </c>
      <c r="AAQ176">
        <v>0</v>
      </c>
      <c r="AAR176">
        <v>0</v>
      </c>
      <c r="AAS176">
        <v>0</v>
      </c>
      <c r="AAT176">
        <v>0</v>
      </c>
      <c r="AAU176">
        <v>0</v>
      </c>
      <c r="AAV176">
        <v>0</v>
      </c>
      <c r="AAW176">
        <v>0</v>
      </c>
      <c r="AAX176">
        <v>0</v>
      </c>
      <c r="AAY176">
        <v>0</v>
      </c>
      <c r="AAZ176">
        <v>0</v>
      </c>
      <c r="ABA176">
        <v>0</v>
      </c>
      <c r="ABB176">
        <v>0</v>
      </c>
      <c r="ABC176">
        <v>0</v>
      </c>
      <c r="ABD176">
        <v>0</v>
      </c>
      <c r="ABE176">
        <v>0</v>
      </c>
      <c r="ABG176" s="1137">
        <f t="shared" si="45"/>
        <v>0</v>
      </c>
      <c r="ABH176" s="1137">
        <f t="shared" si="45"/>
        <v>0</v>
      </c>
      <c r="ABI176" s="1137">
        <f t="shared" si="45"/>
        <v>0</v>
      </c>
      <c r="ABJ176" s="1137">
        <f t="shared" si="45"/>
        <v>0</v>
      </c>
      <c r="ABK176" s="1137">
        <f t="shared" si="45"/>
        <v>0</v>
      </c>
      <c r="ABL176" s="1137">
        <f t="shared" si="45"/>
        <v>0</v>
      </c>
      <c r="ABM176" s="1137">
        <f t="shared" si="45"/>
        <v>0</v>
      </c>
      <c r="ABN176" s="1137">
        <f t="shared" si="45"/>
        <v>0</v>
      </c>
      <c r="ABO176" s="1137">
        <f t="shared" si="45"/>
        <v>0</v>
      </c>
      <c r="ABP176" s="1137">
        <f t="shared" si="45"/>
        <v>0</v>
      </c>
      <c r="ABQ176" s="1137">
        <f t="shared" si="45"/>
        <v>0</v>
      </c>
      <c r="ABR176" s="1137">
        <f t="shared" si="45"/>
        <v>0</v>
      </c>
      <c r="ABS176" s="1137">
        <f t="shared" si="45"/>
        <v>0</v>
      </c>
      <c r="ABT176" s="1137">
        <f t="shared" si="45"/>
        <v>0</v>
      </c>
      <c r="ABU176" s="1137">
        <f t="shared" si="45"/>
        <v>0</v>
      </c>
      <c r="ABV176" s="1137">
        <f t="shared" si="45"/>
        <v>0</v>
      </c>
      <c r="ABW176" s="1137">
        <f t="shared" si="31"/>
        <v>17</v>
      </c>
      <c r="ABX176" s="1137">
        <f t="shared" si="31"/>
        <v>30</v>
      </c>
      <c r="ABY176" s="1137">
        <f t="shared" si="31"/>
        <v>31</v>
      </c>
      <c r="ABZ176" s="1137">
        <f t="shared" si="31"/>
        <v>31</v>
      </c>
      <c r="ACA176" s="1137">
        <f t="shared" si="31"/>
        <v>30</v>
      </c>
      <c r="ACB176" s="1137">
        <f t="shared" si="31"/>
        <v>20</v>
      </c>
      <c r="ACC176" s="1137">
        <f t="shared" si="31"/>
        <v>0</v>
      </c>
      <c r="ACD176" s="1137">
        <f t="shared" si="31"/>
        <v>0</v>
      </c>
      <c r="ACE176" s="1137" t="s">
        <v>1974</v>
      </c>
      <c r="ACF176" s="1137">
        <f t="shared" si="39"/>
        <v>0</v>
      </c>
      <c r="ACG176" s="1137">
        <f t="shared" si="39"/>
        <v>0</v>
      </c>
      <c r="ACH176" s="1137">
        <f t="shared" si="39"/>
        <v>0</v>
      </c>
      <c r="ACI176" s="1137">
        <f t="shared" si="39"/>
        <v>0</v>
      </c>
      <c r="ACJ176" s="1137">
        <f t="shared" si="39"/>
        <v>0</v>
      </c>
      <c r="ACK176" s="1137">
        <f t="shared" si="39"/>
        <v>0</v>
      </c>
      <c r="ACL176" s="1137">
        <f t="shared" si="39"/>
        <v>0</v>
      </c>
      <c r="ACM176" s="1137">
        <f t="shared" si="39"/>
        <v>0</v>
      </c>
      <c r="ACN176" s="1137">
        <f t="shared" si="39"/>
        <v>0</v>
      </c>
      <c r="ACO176" s="1137">
        <f t="shared" si="39"/>
        <v>0</v>
      </c>
      <c r="ACP176" s="1137">
        <f t="shared" si="39"/>
        <v>0</v>
      </c>
      <c r="ACQ176" s="1137">
        <f t="shared" si="39"/>
        <v>0</v>
      </c>
      <c r="ACR176" s="1137">
        <f t="shared" si="39"/>
        <v>0</v>
      </c>
      <c r="ACS176" s="1137">
        <f t="shared" si="39"/>
        <v>0</v>
      </c>
      <c r="ACT176" s="1137">
        <f t="shared" si="43"/>
        <v>0</v>
      </c>
      <c r="ACU176" s="1137">
        <f t="shared" si="43"/>
        <v>0</v>
      </c>
      <c r="ACV176" s="1137">
        <f t="shared" si="43"/>
        <v>1</v>
      </c>
      <c r="ACW176" s="1137">
        <f t="shared" si="43"/>
        <v>1</v>
      </c>
      <c r="ACX176" s="1137">
        <f t="shared" si="42"/>
        <v>1</v>
      </c>
      <c r="ACY176" s="1137">
        <f t="shared" si="42"/>
        <v>1</v>
      </c>
      <c r="ACZ176" s="1137">
        <f t="shared" si="42"/>
        <v>1</v>
      </c>
      <c r="ADA176" s="1137">
        <f t="shared" si="35"/>
        <v>1</v>
      </c>
      <c r="ADB176" s="1137">
        <f t="shared" si="35"/>
        <v>0</v>
      </c>
      <c r="ADC176" s="1137">
        <f t="shared" si="35"/>
        <v>0</v>
      </c>
    </row>
    <row r="177" spans="1:783" x14ac:dyDescent="0.25">
      <c r="A177" t="s">
        <v>1975</v>
      </c>
      <c r="B177" t="s">
        <v>70</v>
      </c>
      <c r="C177">
        <v>0</v>
      </c>
      <c r="D177">
        <v>0</v>
      </c>
      <c r="E177">
        <v>0</v>
      </c>
      <c r="F177">
        <v>0</v>
      </c>
      <c r="G177">
        <v>0</v>
      </c>
      <c r="H177">
        <v>0</v>
      </c>
      <c r="I177">
        <v>0</v>
      </c>
      <c r="J177">
        <v>0</v>
      </c>
      <c r="K177">
        <v>0</v>
      </c>
      <c r="L177">
        <v>0</v>
      </c>
      <c r="M177">
        <v>0</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v>0</v>
      </c>
      <c r="AI177">
        <v>0</v>
      </c>
      <c r="AJ177">
        <v>0</v>
      </c>
      <c r="AK177">
        <v>0</v>
      </c>
      <c r="AL177">
        <v>0</v>
      </c>
      <c r="AM177">
        <v>0</v>
      </c>
      <c r="AN177">
        <v>0</v>
      </c>
      <c r="AO177">
        <v>0</v>
      </c>
      <c r="AP177">
        <v>0</v>
      </c>
      <c r="AQ177">
        <v>0</v>
      </c>
      <c r="AR177">
        <v>0</v>
      </c>
      <c r="AS177">
        <v>0</v>
      </c>
      <c r="AT177">
        <v>0</v>
      </c>
      <c r="AU177">
        <v>0</v>
      </c>
      <c r="AV177">
        <v>0</v>
      </c>
      <c r="AW177">
        <v>0</v>
      </c>
      <c r="AX177">
        <v>0</v>
      </c>
      <c r="AY177">
        <v>0</v>
      </c>
      <c r="AZ177">
        <v>0</v>
      </c>
      <c r="BA177">
        <v>0</v>
      </c>
      <c r="BB177">
        <v>0</v>
      </c>
      <c r="BC177">
        <v>0</v>
      </c>
      <c r="BD177">
        <v>0</v>
      </c>
      <c r="BE177">
        <v>0</v>
      </c>
      <c r="BF177">
        <v>0</v>
      </c>
      <c r="BG177">
        <v>0</v>
      </c>
      <c r="BH177">
        <v>0</v>
      </c>
      <c r="BI177">
        <v>0</v>
      </c>
      <c r="BJ177">
        <v>0</v>
      </c>
      <c r="BK177">
        <v>0</v>
      </c>
      <c r="BL177">
        <v>0</v>
      </c>
      <c r="BM177">
        <v>0</v>
      </c>
      <c r="BN177">
        <v>0</v>
      </c>
      <c r="BO177">
        <v>0</v>
      </c>
      <c r="BP177">
        <v>0</v>
      </c>
      <c r="BQ177">
        <v>0</v>
      </c>
      <c r="BR177">
        <v>0</v>
      </c>
      <c r="BS177">
        <v>0</v>
      </c>
      <c r="BT177">
        <v>0</v>
      </c>
      <c r="BU177">
        <v>0</v>
      </c>
      <c r="BV177">
        <v>0</v>
      </c>
      <c r="BW177">
        <v>0</v>
      </c>
      <c r="BX177">
        <v>0</v>
      </c>
      <c r="BY177">
        <v>0</v>
      </c>
      <c r="BZ177">
        <v>0</v>
      </c>
      <c r="CA177">
        <v>0</v>
      </c>
      <c r="CB177">
        <v>0</v>
      </c>
      <c r="CC177">
        <v>0</v>
      </c>
      <c r="CD177">
        <v>0</v>
      </c>
      <c r="CE177">
        <v>0</v>
      </c>
      <c r="CF177">
        <v>0</v>
      </c>
      <c r="CG177">
        <v>0</v>
      </c>
      <c r="CH177">
        <v>0</v>
      </c>
      <c r="CI177">
        <v>0</v>
      </c>
      <c r="CJ177">
        <v>0</v>
      </c>
      <c r="CK177">
        <v>0</v>
      </c>
      <c r="CL177">
        <v>0</v>
      </c>
      <c r="CM177">
        <v>0</v>
      </c>
      <c r="CN177">
        <v>0</v>
      </c>
      <c r="CO177">
        <v>0</v>
      </c>
      <c r="CP177">
        <v>0</v>
      </c>
      <c r="CQ177">
        <v>0</v>
      </c>
      <c r="CR177">
        <v>0</v>
      </c>
      <c r="CS177">
        <v>0</v>
      </c>
      <c r="CT177">
        <v>0</v>
      </c>
      <c r="CU177">
        <v>0</v>
      </c>
      <c r="CV177">
        <v>0</v>
      </c>
      <c r="CW177">
        <v>0</v>
      </c>
      <c r="CX177">
        <v>0</v>
      </c>
      <c r="CY177">
        <v>0</v>
      </c>
      <c r="CZ177">
        <v>0</v>
      </c>
      <c r="DA177">
        <v>0</v>
      </c>
      <c r="DB177">
        <v>0</v>
      </c>
      <c r="DC177">
        <v>0</v>
      </c>
      <c r="DD177">
        <v>0</v>
      </c>
      <c r="DE177">
        <v>0</v>
      </c>
      <c r="DF177">
        <v>0</v>
      </c>
      <c r="DG177">
        <v>0</v>
      </c>
      <c r="DH177">
        <v>0</v>
      </c>
      <c r="DI177">
        <v>0</v>
      </c>
      <c r="DJ177">
        <v>0</v>
      </c>
      <c r="DK177">
        <v>0</v>
      </c>
      <c r="DL177">
        <v>0</v>
      </c>
      <c r="DM177">
        <v>0</v>
      </c>
      <c r="DN177">
        <v>0</v>
      </c>
      <c r="DO177">
        <v>0</v>
      </c>
      <c r="DP177">
        <v>0</v>
      </c>
      <c r="DQ177">
        <v>0</v>
      </c>
      <c r="DR177">
        <v>0</v>
      </c>
      <c r="DS177">
        <v>0</v>
      </c>
      <c r="DT177">
        <v>0</v>
      </c>
      <c r="DU177">
        <v>0</v>
      </c>
      <c r="DV177">
        <v>0</v>
      </c>
      <c r="DW177">
        <v>0</v>
      </c>
      <c r="DX177">
        <v>0</v>
      </c>
      <c r="DY177">
        <v>0</v>
      </c>
      <c r="DZ177">
        <v>0</v>
      </c>
      <c r="EA177">
        <v>0</v>
      </c>
      <c r="EB177">
        <v>0</v>
      </c>
      <c r="EC177">
        <v>0</v>
      </c>
      <c r="ED177">
        <v>0</v>
      </c>
      <c r="EE177">
        <v>0</v>
      </c>
      <c r="EF177">
        <v>0</v>
      </c>
      <c r="EG177">
        <v>0</v>
      </c>
      <c r="EH177">
        <v>0</v>
      </c>
      <c r="EI177">
        <v>0</v>
      </c>
      <c r="EJ177">
        <v>0</v>
      </c>
      <c r="EK177">
        <v>0</v>
      </c>
      <c r="EL177">
        <v>0</v>
      </c>
      <c r="EM177">
        <v>0</v>
      </c>
      <c r="EN177">
        <v>0</v>
      </c>
      <c r="EO177">
        <v>0</v>
      </c>
      <c r="EP177">
        <v>0</v>
      </c>
      <c r="EQ177">
        <v>0</v>
      </c>
      <c r="ER177">
        <v>0</v>
      </c>
      <c r="ES177">
        <v>0</v>
      </c>
      <c r="ET177">
        <v>0</v>
      </c>
      <c r="EU177">
        <v>0</v>
      </c>
      <c r="EV177">
        <v>0</v>
      </c>
      <c r="EW177">
        <v>0</v>
      </c>
      <c r="EX177">
        <v>0</v>
      </c>
      <c r="EY177">
        <v>0</v>
      </c>
      <c r="EZ177">
        <v>0</v>
      </c>
      <c r="FA177">
        <v>0</v>
      </c>
      <c r="FB177">
        <v>0</v>
      </c>
      <c r="FC177">
        <v>0</v>
      </c>
      <c r="FD177">
        <v>0</v>
      </c>
      <c r="FE177">
        <v>0</v>
      </c>
      <c r="FF177">
        <v>0</v>
      </c>
      <c r="FG177">
        <v>0</v>
      </c>
      <c r="FH177">
        <v>0</v>
      </c>
      <c r="FI177">
        <v>0</v>
      </c>
      <c r="FJ177">
        <v>0</v>
      </c>
      <c r="FK177">
        <v>0</v>
      </c>
      <c r="FL177">
        <v>0</v>
      </c>
      <c r="FM177">
        <v>0</v>
      </c>
      <c r="FN177">
        <v>0</v>
      </c>
      <c r="FO177">
        <v>0</v>
      </c>
      <c r="FP177">
        <v>0</v>
      </c>
      <c r="FQ177">
        <v>0</v>
      </c>
      <c r="FR177">
        <v>0</v>
      </c>
      <c r="FS177">
        <v>0</v>
      </c>
      <c r="FT177">
        <v>0</v>
      </c>
      <c r="FU177">
        <v>0</v>
      </c>
      <c r="FV177">
        <v>0</v>
      </c>
      <c r="FW177">
        <v>0</v>
      </c>
      <c r="FX177">
        <v>0</v>
      </c>
      <c r="FY177">
        <v>0</v>
      </c>
      <c r="FZ177">
        <v>0</v>
      </c>
      <c r="GA177">
        <v>0</v>
      </c>
      <c r="GB177">
        <v>0</v>
      </c>
      <c r="GC177">
        <v>0</v>
      </c>
      <c r="GD177">
        <v>0</v>
      </c>
      <c r="GE177">
        <v>0</v>
      </c>
      <c r="GF177">
        <v>0</v>
      </c>
      <c r="GG177">
        <v>0</v>
      </c>
      <c r="GH177">
        <v>0</v>
      </c>
      <c r="GI177">
        <v>0</v>
      </c>
      <c r="GJ177">
        <v>0</v>
      </c>
      <c r="GK177">
        <v>0</v>
      </c>
      <c r="GL177">
        <v>0</v>
      </c>
      <c r="GM177">
        <v>0</v>
      </c>
      <c r="GN177">
        <v>0</v>
      </c>
      <c r="GO177">
        <v>0</v>
      </c>
      <c r="GP177">
        <v>0</v>
      </c>
      <c r="GQ177">
        <v>0</v>
      </c>
      <c r="GR177">
        <v>0</v>
      </c>
      <c r="GS177">
        <v>0</v>
      </c>
      <c r="GT177">
        <v>0</v>
      </c>
      <c r="GU177">
        <v>0</v>
      </c>
      <c r="GV177">
        <v>0</v>
      </c>
      <c r="GW177">
        <v>0</v>
      </c>
      <c r="GX177">
        <v>0</v>
      </c>
      <c r="GY177">
        <v>0</v>
      </c>
      <c r="GZ177">
        <v>0</v>
      </c>
      <c r="HA177">
        <v>0</v>
      </c>
      <c r="HB177">
        <v>0</v>
      </c>
      <c r="HC177">
        <v>0</v>
      </c>
      <c r="HD177">
        <v>0</v>
      </c>
      <c r="HE177">
        <v>0</v>
      </c>
      <c r="HF177">
        <v>0</v>
      </c>
      <c r="HG177">
        <v>0</v>
      </c>
      <c r="HH177">
        <v>0</v>
      </c>
      <c r="HI177">
        <v>0</v>
      </c>
      <c r="HJ177">
        <v>0</v>
      </c>
      <c r="HK177">
        <v>0</v>
      </c>
      <c r="HL177">
        <v>0</v>
      </c>
      <c r="HM177">
        <v>0</v>
      </c>
      <c r="HN177">
        <v>0</v>
      </c>
      <c r="HO177">
        <v>0</v>
      </c>
      <c r="HP177">
        <v>0</v>
      </c>
      <c r="HQ177">
        <v>0</v>
      </c>
      <c r="HR177">
        <v>0</v>
      </c>
      <c r="HS177">
        <v>0</v>
      </c>
      <c r="HT177">
        <v>0</v>
      </c>
      <c r="HU177">
        <v>0</v>
      </c>
      <c r="HV177">
        <v>0</v>
      </c>
      <c r="HW177">
        <v>0</v>
      </c>
      <c r="HX177">
        <v>0</v>
      </c>
      <c r="HY177">
        <v>0</v>
      </c>
      <c r="HZ177">
        <v>0</v>
      </c>
      <c r="IA177">
        <v>0</v>
      </c>
      <c r="IB177">
        <v>0</v>
      </c>
      <c r="IC177">
        <v>0</v>
      </c>
      <c r="ID177">
        <v>0</v>
      </c>
      <c r="IE177">
        <v>0</v>
      </c>
      <c r="IF177">
        <v>0</v>
      </c>
      <c r="IG177">
        <v>0</v>
      </c>
      <c r="IH177">
        <v>0</v>
      </c>
      <c r="II177">
        <v>0</v>
      </c>
      <c r="IJ177">
        <v>0</v>
      </c>
      <c r="IK177">
        <v>0</v>
      </c>
      <c r="IL177">
        <v>0</v>
      </c>
      <c r="IM177">
        <v>0</v>
      </c>
      <c r="IN177">
        <v>0</v>
      </c>
      <c r="IO177">
        <v>0</v>
      </c>
      <c r="IP177">
        <v>0</v>
      </c>
      <c r="IQ177">
        <v>0</v>
      </c>
      <c r="IR177">
        <v>0</v>
      </c>
      <c r="IS177">
        <v>0</v>
      </c>
      <c r="IT177">
        <v>0</v>
      </c>
      <c r="IU177">
        <v>0</v>
      </c>
      <c r="IV177">
        <v>0</v>
      </c>
      <c r="IW177">
        <v>0</v>
      </c>
      <c r="IX177">
        <v>0</v>
      </c>
      <c r="IY177">
        <v>0</v>
      </c>
      <c r="IZ177">
        <v>0</v>
      </c>
      <c r="JA177">
        <v>0</v>
      </c>
      <c r="JB177">
        <v>0</v>
      </c>
      <c r="JC177">
        <v>0</v>
      </c>
      <c r="JD177">
        <v>0</v>
      </c>
      <c r="JE177">
        <v>0</v>
      </c>
      <c r="JF177">
        <v>0</v>
      </c>
      <c r="JG177">
        <v>0</v>
      </c>
      <c r="JH177">
        <v>0</v>
      </c>
      <c r="JI177">
        <v>0</v>
      </c>
      <c r="JJ177">
        <v>0</v>
      </c>
      <c r="JK177">
        <v>0</v>
      </c>
      <c r="JL177">
        <v>0</v>
      </c>
      <c r="JM177">
        <v>0</v>
      </c>
      <c r="JN177">
        <v>0</v>
      </c>
      <c r="JO177">
        <v>0</v>
      </c>
      <c r="JP177">
        <v>0</v>
      </c>
      <c r="JQ177">
        <v>0</v>
      </c>
      <c r="JR177">
        <v>0</v>
      </c>
      <c r="JS177">
        <v>0</v>
      </c>
      <c r="JT177">
        <v>0</v>
      </c>
      <c r="JU177">
        <v>0</v>
      </c>
      <c r="JV177">
        <v>0</v>
      </c>
      <c r="JW177">
        <v>0</v>
      </c>
      <c r="JX177">
        <v>0</v>
      </c>
      <c r="JY177">
        <v>0</v>
      </c>
      <c r="JZ177">
        <v>0</v>
      </c>
      <c r="KA177">
        <v>0</v>
      </c>
      <c r="KB177">
        <v>0</v>
      </c>
      <c r="KC177">
        <v>0</v>
      </c>
      <c r="KD177">
        <v>0</v>
      </c>
      <c r="KE177">
        <v>0</v>
      </c>
      <c r="KF177">
        <v>0</v>
      </c>
      <c r="KG177">
        <v>0</v>
      </c>
      <c r="KH177">
        <v>0</v>
      </c>
      <c r="KI177">
        <v>0</v>
      </c>
      <c r="KJ177">
        <v>0</v>
      </c>
      <c r="KK177">
        <v>0</v>
      </c>
      <c r="KL177">
        <v>0</v>
      </c>
      <c r="KM177">
        <v>0</v>
      </c>
      <c r="KN177">
        <v>0</v>
      </c>
      <c r="KO177">
        <v>0</v>
      </c>
      <c r="KP177">
        <v>0</v>
      </c>
      <c r="KQ177">
        <v>0</v>
      </c>
      <c r="KR177">
        <v>0</v>
      </c>
      <c r="KS177">
        <v>0</v>
      </c>
      <c r="KT177">
        <v>0</v>
      </c>
      <c r="KU177">
        <v>0</v>
      </c>
      <c r="KV177">
        <v>0</v>
      </c>
      <c r="KW177">
        <v>0</v>
      </c>
      <c r="KX177">
        <v>0</v>
      </c>
      <c r="KY177">
        <v>0</v>
      </c>
      <c r="KZ177">
        <v>0</v>
      </c>
      <c r="LA177">
        <v>0</v>
      </c>
      <c r="LB177">
        <v>0</v>
      </c>
      <c r="LC177">
        <v>0</v>
      </c>
      <c r="LD177">
        <v>0</v>
      </c>
      <c r="LE177">
        <v>0</v>
      </c>
      <c r="LF177">
        <v>0</v>
      </c>
      <c r="LG177">
        <v>0</v>
      </c>
      <c r="LH177">
        <v>0</v>
      </c>
      <c r="LI177">
        <v>0</v>
      </c>
      <c r="LJ177">
        <v>0</v>
      </c>
      <c r="LK177">
        <v>0</v>
      </c>
      <c r="LL177">
        <v>0</v>
      </c>
      <c r="LM177">
        <v>0</v>
      </c>
      <c r="LN177">
        <v>0</v>
      </c>
      <c r="LO177">
        <v>0</v>
      </c>
      <c r="LP177">
        <v>0</v>
      </c>
      <c r="LQ177">
        <v>0</v>
      </c>
      <c r="LR177">
        <v>0</v>
      </c>
      <c r="LS177">
        <v>0</v>
      </c>
      <c r="LT177">
        <v>0</v>
      </c>
      <c r="LU177">
        <v>0</v>
      </c>
      <c r="LV177">
        <v>0</v>
      </c>
      <c r="LW177">
        <v>0</v>
      </c>
      <c r="LX177">
        <v>0</v>
      </c>
      <c r="LY177">
        <v>0</v>
      </c>
      <c r="LZ177">
        <v>0</v>
      </c>
      <c r="MA177">
        <v>0</v>
      </c>
      <c r="MB177">
        <v>0</v>
      </c>
      <c r="MC177">
        <v>0</v>
      </c>
      <c r="MD177">
        <v>0</v>
      </c>
      <c r="ME177">
        <v>0</v>
      </c>
      <c r="MF177">
        <v>0</v>
      </c>
      <c r="MG177">
        <v>0</v>
      </c>
      <c r="MH177">
        <v>0</v>
      </c>
      <c r="MI177">
        <v>0</v>
      </c>
      <c r="MJ177">
        <v>0</v>
      </c>
      <c r="MK177">
        <v>0</v>
      </c>
      <c r="ML177">
        <v>0</v>
      </c>
      <c r="MM177">
        <v>0</v>
      </c>
      <c r="MN177">
        <v>0</v>
      </c>
      <c r="MO177">
        <v>0</v>
      </c>
      <c r="MP177">
        <v>0</v>
      </c>
      <c r="MQ177">
        <v>0</v>
      </c>
      <c r="MR177">
        <v>0</v>
      </c>
      <c r="MS177">
        <v>0</v>
      </c>
      <c r="MT177">
        <v>0</v>
      </c>
      <c r="MU177">
        <v>0</v>
      </c>
      <c r="MV177">
        <v>0</v>
      </c>
      <c r="MW177">
        <v>0</v>
      </c>
      <c r="MX177">
        <v>0</v>
      </c>
      <c r="MY177">
        <v>0</v>
      </c>
      <c r="MZ177">
        <v>0</v>
      </c>
      <c r="NA177">
        <v>0</v>
      </c>
      <c r="NB177">
        <v>0</v>
      </c>
      <c r="NC177">
        <v>0</v>
      </c>
      <c r="ND177">
        <v>0</v>
      </c>
      <c r="NE177">
        <v>0</v>
      </c>
      <c r="NF177">
        <v>0</v>
      </c>
      <c r="NG177">
        <v>0</v>
      </c>
      <c r="NH177">
        <v>0</v>
      </c>
      <c r="NI177">
        <v>0</v>
      </c>
      <c r="NJ177">
        <v>0</v>
      </c>
      <c r="NK177">
        <v>0</v>
      </c>
      <c r="NL177">
        <v>0</v>
      </c>
      <c r="NM177">
        <v>0</v>
      </c>
      <c r="NN177">
        <v>0</v>
      </c>
      <c r="NO177">
        <v>0</v>
      </c>
      <c r="NP177">
        <v>0</v>
      </c>
      <c r="NQ177">
        <v>0</v>
      </c>
      <c r="NR177">
        <v>0</v>
      </c>
      <c r="NS177">
        <v>0</v>
      </c>
      <c r="NT177">
        <v>0</v>
      </c>
      <c r="NU177">
        <v>0</v>
      </c>
      <c r="NV177">
        <v>0</v>
      </c>
      <c r="NW177">
        <v>0</v>
      </c>
      <c r="NX177">
        <v>0</v>
      </c>
      <c r="NY177">
        <v>0</v>
      </c>
      <c r="NZ177">
        <v>0</v>
      </c>
      <c r="OA177">
        <v>0</v>
      </c>
      <c r="OB177">
        <v>0</v>
      </c>
      <c r="OC177">
        <v>0</v>
      </c>
      <c r="OD177">
        <v>0</v>
      </c>
      <c r="OE177">
        <v>0</v>
      </c>
      <c r="OF177">
        <v>0</v>
      </c>
      <c r="OG177">
        <v>0</v>
      </c>
      <c r="OH177">
        <v>0</v>
      </c>
      <c r="OI177">
        <v>0</v>
      </c>
      <c r="OJ177">
        <v>0</v>
      </c>
      <c r="OK177">
        <v>0</v>
      </c>
      <c r="OL177">
        <v>0</v>
      </c>
      <c r="OM177">
        <v>0</v>
      </c>
      <c r="ON177">
        <v>0</v>
      </c>
      <c r="OO177">
        <v>0</v>
      </c>
      <c r="OP177">
        <v>0</v>
      </c>
      <c r="OQ177">
        <v>0</v>
      </c>
      <c r="OR177">
        <v>0</v>
      </c>
      <c r="OS177">
        <v>0</v>
      </c>
      <c r="OT177">
        <v>0</v>
      </c>
      <c r="OU177">
        <v>0</v>
      </c>
      <c r="OV177">
        <v>0</v>
      </c>
      <c r="OW177">
        <v>0</v>
      </c>
      <c r="OX177">
        <v>0</v>
      </c>
      <c r="OY177">
        <v>0</v>
      </c>
      <c r="OZ177">
        <v>0</v>
      </c>
      <c r="PA177">
        <v>0</v>
      </c>
      <c r="PB177">
        <v>0</v>
      </c>
      <c r="PC177">
        <v>0</v>
      </c>
      <c r="PD177">
        <v>0</v>
      </c>
      <c r="PE177">
        <v>0</v>
      </c>
      <c r="PF177">
        <v>0</v>
      </c>
      <c r="PG177">
        <v>0</v>
      </c>
      <c r="PH177">
        <v>0</v>
      </c>
      <c r="PI177">
        <v>0</v>
      </c>
      <c r="PJ177">
        <v>0</v>
      </c>
      <c r="PK177">
        <v>0</v>
      </c>
      <c r="PL177">
        <v>0</v>
      </c>
      <c r="PM177">
        <v>0</v>
      </c>
      <c r="PN177">
        <v>0</v>
      </c>
      <c r="PO177">
        <v>0</v>
      </c>
      <c r="PP177">
        <v>0</v>
      </c>
      <c r="PQ177">
        <v>0</v>
      </c>
      <c r="PR177">
        <v>0</v>
      </c>
      <c r="PS177">
        <v>0</v>
      </c>
      <c r="PT177">
        <v>0</v>
      </c>
      <c r="PU177">
        <v>0</v>
      </c>
      <c r="PV177">
        <v>0</v>
      </c>
      <c r="PW177">
        <v>0</v>
      </c>
      <c r="PX177">
        <v>0</v>
      </c>
      <c r="PY177">
        <v>0</v>
      </c>
      <c r="PZ177">
        <v>0</v>
      </c>
      <c r="QA177">
        <v>0</v>
      </c>
      <c r="QB177">
        <v>0</v>
      </c>
      <c r="QC177">
        <v>0</v>
      </c>
      <c r="QD177">
        <v>0</v>
      </c>
      <c r="QE177">
        <v>0</v>
      </c>
      <c r="QF177">
        <v>0</v>
      </c>
      <c r="QG177">
        <v>0</v>
      </c>
      <c r="QH177">
        <v>0</v>
      </c>
      <c r="QI177">
        <v>0</v>
      </c>
      <c r="QJ177">
        <v>0</v>
      </c>
      <c r="QK177">
        <v>0</v>
      </c>
      <c r="QL177">
        <v>0</v>
      </c>
      <c r="QM177">
        <v>0</v>
      </c>
      <c r="QN177">
        <v>0</v>
      </c>
      <c r="QO177">
        <v>0</v>
      </c>
      <c r="QP177">
        <v>0</v>
      </c>
      <c r="QQ177">
        <v>0</v>
      </c>
      <c r="QR177">
        <v>0</v>
      </c>
      <c r="QS177">
        <v>0</v>
      </c>
      <c r="QT177">
        <v>0</v>
      </c>
      <c r="QU177">
        <v>0</v>
      </c>
      <c r="QV177">
        <v>0</v>
      </c>
      <c r="QW177">
        <v>0</v>
      </c>
      <c r="QX177">
        <v>0</v>
      </c>
      <c r="QY177">
        <v>0</v>
      </c>
      <c r="QZ177">
        <v>0</v>
      </c>
      <c r="RA177">
        <v>0</v>
      </c>
      <c r="RB177">
        <v>0</v>
      </c>
      <c r="RC177">
        <v>0</v>
      </c>
      <c r="RD177">
        <v>0</v>
      </c>
      <c r="RE177">
        <v>0</v>
      </c>
      <c r="RF177">
        <v>0</v>
      </c>
      <c r="RG177">
        <v>0</v>
      </c>
      <c r="RH177">
        <v>0</v>
      </c>
      <c r="RI177">
        <v>0</v>
      </c>
      <c r="RJ177">
        <v>0</v>
      </c>
      <c r="RK177">
        <v>0</v>
      </c>
      <c r="RL177">
        <v>0</v>
      </c>
      <c r="RM177">
        <v>0</v>
      </c>
      <c r="RN177">
        <v>0</v>
      </c>
      <c r="RO177">
        <v>0</v>
      </c>
      <c r="RP177">
        <v>0</v>
      </c>
      <c r="RQ177">
        <v>0</v>
      </c>
      <c r="RR177">
        <v>0</v>
      </c>
      <c r="RS177">
        <v>0</v>
      </c>
      <c r="RT177">
        <v>0</v>
      </c>
      <c r="RU177">
        <v>0</v>
      </c>
      <c r="RV177">
        <v>0</v>
      </c>
      <c r="RW177">
        <v>0</v>
      </c>
      <c r="RX177">
        <v>0</v>
      </c>
      <c r="RY177">
        <v>0</v>
      </c>
      <c r="RZ177">
        <v>0</v>
      </c>
      <c r="SA177">
        <v>0</v>
      </c>
      <c r="SB177">
        <v>0</v>
      </c>
      <c r="SC177">
        <v>0</v>
      </c>
      <c r="SD177">
        <v>0</v>
      </c>
      <c r="SE177">
        <v>0</v>
      </c>
      <c r="SF177">
        <v>0</v>
      </c>
      <c r="SG177">
        <v>0</v>
      </c>
      <c r="SH177">
        <v>0</v>
      </c>
      <c r="SI177">
        <v>0</v>
      </c>
      <c r="SJ177">
        <v>0</v>
      </c>
      <c r="SK177">
        <v>0</v>
      </c>
      <c r="SL177">
        <v>0</v>
      </c>
      <c r="SM177">
        <v>0</v>
      </c>
      <c r="SN177">
        <v>0</v>
      </c>
      <c r="SO177">
        <v>0</v>
      </c>
      <c r="SP177">
        <v>0</v>
      </c>
      <c r="SQ177">
        <v>0</v>
      </c>
      <c r="SR177">
        <v>0</v>
      </c>
      <c r="SS177">
        <v>0</v>
      </c>
      <c r="ST177">
        <v>0</v>
      </c>
      <c r="SU177">
        <v>0</v>
      </c>
      <c r="SV177">
        <v>0</v>
      </c>
      <c r="SW177">
        <v>0</v>
      </c>
      <c r="SX177">
        <v>0</v>
      </c>
      <c r="SY177">
        <v>0</v>
      </c>
      <c r="SZ177">
        <v>0</v>
      </c>
      <c r="TA177">
        <v>0</v>
      </c>
      <c r="TB177">
        <v>0</v>
      </c>
      <c r="TC177">
        <v>0</v>
      </c>
      <c r="TD177">
        <v>0</v>
      </c>
      <c r="TE177">
        <v>0</v>
      </c>
      <c r="TF177">
        <v>0</v>
      </c>
      <c r="TG177">
        <v>0</v>
      </c>
      <c r="TH177">
        <v>0</v>
      </c>
      <c r="TI177">
        <v>0</v>
      </c>
      <c r="TJ177">
        <v>0</v>
      </c>
      <c r="TK177">
        <v>0</v>
      </c>
      <c r="TL177">
        <v>0</v>
      </c>
      <c r="TM177">
        <v>0</v>
      </c>
      <c r="TN177">
        <v>0</v>
      </c>
      <c r="TO177">
        <v>0</v>
      </c>
      <c r="TP177">
        <v>0</v>
      </c>
      <c r="TQ177">
        <v>0</v>
      </c>
      <c r="TR177">
        <v>0</v>
      </c>
      <c r="TS177">
        <v>0</v>
      </c>
      <c r="TT177">
        <v>0</v>
      </c>
      <c r="TU177">
        <v>0</v>
      </c>
      <c r="TV177">
        <v>0</v>
      </c>
      <c r="TW177">
        <v>0</v>
      </c>
      <c r="TX177">
        <v>0</v>
      </c>
      <c r="TY177">
        <v>0</v>
      </c>
      <c r="TZ177">
        <v>0</v>
      </c>
      <c r="UA177">
        <v>0</v>
      </c>
      <c r="UB177">
        <v>0</v>
      </c>
      <c r="UC177">
        <v>0</v>
      </c>
      <c r="UD177">
        <v>0</v>
      </c>
      <c r="UE177">
        <v>0</v>
      </c>
      <c r="UF177">
        <v>0</v>
      </c>
      <c r="UG177">
        <v>0</v>
      </c>
      <c r="UH177">
        <v>0</v>
      </c>
      <c r="UI177">
        <v>0</v>
      </c>
      <c r="UJ177">
        <v>0</v>
      </c>
      <c r="UK177">
        <v>0</v>
      </c>
      <c r="UL177">
        <v>0</v>
      </c>
      <c r="UM177">
        <v>0</v>
      </c>
      <c r="UN177">
        <v>0</v>
      </c>
      <c r="UO177">
        <v>0</v>
      </c>
      <c r="UP177">
        <v>0</v>
      </c>
      <c r="UQ177">
        <v>0</v>
      </c>
      <c r="UR177">
        <v>0</v>
      </c>
      <c r="US177">
        <v>0</v>
      </c>
      <c r="UT177">
        <v>0</v>
      </c>
      <c r="UU177">
        <v>0</v>
      </c>
      <c r="UV177">
        <v>0</v>
      </c>
      <c r="UW177">
        <v>0</v>
      </c>
      <c r="UX177">
        <v>0</v>
      </c>
      <c r="UY177">
        <v>0</v>
      </c>
      <c r="UZ177">
        <v>0</v>
      </c>
      <c r="VA177">
        <v>0</v>
      </c>
      <c r="VB177">
        <v>0</v>
      </c>
      <c r="VC177">
        <v>0</v>
      </c>
      <c r="VD177">
        <v>0</v>
      </c>
      <c r="VE177">
        <v>0</v>
      </c>
      <c r="VF177">
        <v>0</v>
      </c>
      <c r="VG177">
        <v>0</v>
      </c>
      <c r="VH177">
        <v>0</v>
      </c>
      <c r="VI177">
        <v>0</v>
      </c>
      <c r="VJ177">
        <v>0</v>
      </c>
      <c r="VK177">
        <v>0</v>
      </c>
      <c r="VL177">
        <v>0</v>
      </c>
      <c r="VM177">
        <v>0</v>
      </c>
      <c r="VN177">
        <v>0</v>
      </c>
      <c r="VO177">
        <v>0</v>
      </c>
      <c r="VP177">
        <v>0</v>
      </c>
      <c r="VQ177">
        <v>0</v>
      </c>
      <c r="VR177">
        <v>0</v>
      </c>
      <c r="VS177">
        <v>0</v>
      </c>
      <c r="VT177">
        <v>0</v>
      </c>
      <c r="VU177">
        <v>0</v>
      </c>
      <c r="VV177">
        <v>0</v>
      </c>
      <c r="VW177">
        <v>0</v>
      </c>
      <c r="VX177">
        <v>0</v>
      </c>
      <c r="VY177">
        <v>0</v>
      </c>
      <c r="VZ177">
        <v>0</v>
      </c>
      <c r="WA177">
        <v>0</v>
      </c>
      <c r="WB177">
        <v>0</v>
      </c>
      <c r="WC177">
        <v>0</v>
      </c>
      <c r="WD177">
        <v>0</v>
      </c>
      <c r="WE177">
        <v>0</v>
      </c>
      <c r="WF177">
        <v>0</v>
      </c>
      <c r="WG177">
        <v>0</v>
      </c>
      <c r="WH177">
        <v>0</v>
      </c>
      <c r="WI177">
        <v>0</v>
      </c>
      <c r="WJ177">
        <v>0</v>
      </c>
      <c r="WK177">
        <v>0</v>
      </c>
      <c r="WL177">
        <v>0</v>
      </c>
      <c r="WM177">
        <v>0</v>
      </c>
      <c r="WN177">
        <v>0</v>
      </c>
      <c r="WO177">
        <v>0</v>
      </c>
      <c r="WP177">
        <v>0</v>
      </c>
      <c r="WQ177">
        <v>0</v>
      </c>
      <c r="WR177">
        <v>0</v>
      </c>
      <c r="WS177">
        <v>0</v>
      </c>
      <c r="WT177">
        <v>0</v>
      </c>
      <c r="WU177">
        <v>0</v>
      </c>
      <c r="WV177">
        <v>0</v>
      </c>
      <c r="WW177">
        <v>0</v>
      </c>
      <c r="WX177">
        <v>0</v>
      </c>
      <c r="WY177">
        <v>0</v>
      </c>
      <c r="WZ177">
        <v>0</v>
      </c>
      <c r="XA177">
        <v>0</v>
      </c>
      <c r="XB177">
        <v>0</v>
      </c>
      <c r="XC177">
        <v>0</v>
      </c>
      <c r="XD177">
        <v>0</v>
      </c>
      <c r="XE177">
        <v>0</v>
      </c>
      <c r="XF177">
        <v>0</v>
      </c>
      <c r="XG177">
        <v>0</v>
      </c>
      <c r="XH177">
        <v>0</v>
      </c>
      <c r="XI177">
        <v>0</v>
      </c>
      <c r="XJ177">
        <v>0</v>
      </c>
      <c r="XK177">
        <v>0</v>
      </c>
      <c r="XL177">
        <v>0</v>
      </c>
      <c r="XM177">
        <v>0</v>
      </c>
      <c r="XN177">
        <v>0</v>
      </c>
      <c r="XO177">
        <v>0</v>
      </c>
      <c r="XP177">
        <v>0</v>
      </c>
      <c r="XQ177">
        <v>0</v>
      </c>
      <c r="XR177">
        <v>0</v>
      </c>
      <c r="XS177">
        <v>0</v>
      </c>
      <c r="XT177">
        <v>0</v>
      </c>
      <c r="XU177">
        <v>0</v>
      </c>
      <c r="XV177">
        <v>0</v>
      </c>
      <c r="XW177">
        <v>0</v>
      </c>
      <c r="XX177">
        <v>0</v>
      </c>
      <c r="XY177">
        <v>0</v>
      </c>
      <c r="XZ177">
        <v>0</v>
      </c>
      <c r="YA177">
        <v>0</v>
      </c>
      <c r="YB177">
        <v>0</v>
      </c>
      <c r="YC177">
        <v>1</v>
      </c>
      <c r="YD177">
        <v>1</v>
      </c>
      <c r="YE177">
        <v>1</v>
      </c>
      <c r="YF177">
        <v>1</v>
      </c>
      <c r="YG177">
        <v>1</v>
      </c>
      <c r="YH177">
        <v>1</v>
      </c>
      <c r="YI177">
        <v>1</v>
      </c>
      <c r="YJ177">
        <v>1</v>
      </c>
      <c r="YK177">
        <v>1</v>
      </c>
      <c r="YL177">
        <v>1</v>
      </c>
      <c r="YM177">
        <v>1</v>
      </c>
      <c r="YN177">
        <v>1</v>
      </c>
      <c r="YO177">
        <v>1</v>
      </c>
      <c r="YP177">
        <v>1</v>
      </c>
      <c r="YQ177">
        <v>1</v>
      </c>
      <c r="YR177">
        <v>1</v>
      </c>
      <c r="YS177">
        <v>1</v>
      </c>
      <c r="YT177">
        <v>1</v>
      </c>
      <c r="YU177">
        <v>1</v>
      </c>
      <c r="YV177">
        <v>1</v>
      </c>
      <c r="YW177">
        <v>1</v>
      </c>
      <c r="YX177">
        <v>0</v>
      </c>
      <c r="YY177">
        <v>0</v>
      </c>
      <c r="YZ177">
        <v>0</v>
      </c>
      <c r="ZA177">
        <v>0</v>
      </c>
      <c r="ZB177">
        <v>0</v>
      </c>
      <c r="ZC177">
        <v>0</v>
      </c>
      <c r="ZD177">
        <v>0</v>
      </c>
      <c r="ZE177">
        <v>0</v>
      </c>
      <c r="ZF177">
        <v>0</v>
      </c>
      <c r="ZG177">
        <v>0</v>
      </c>
      <c r="ZH177">
        <v>0</v>
      </c>
      <c r="ZI177">
        <v>0</v>
      </c>
      <c r="ZJ177">
        <v>0</v>
      </c>
      <c r="ZK177">
        <v>0</v>
      </c>
      <c r="ZL177">
        <v>0</v>
      </c>
      <c r="ZM177">
        <v>0</v>
      </c>
      <c r="ZN177">
        <v>0</v>
      </c>
      <c r="ZO177">
        <v>0</v>
      </c>
      <c r="ZP177">
        <v>0</v>
      </c>
      <c r="ZQ177">
        <v>0</v>
      </c>
      <c r="ZR177">
        <v>0</v>
      </c>
      <c r="ZS177">
        <v>0</v>
      </c>
      <c r="ZT177">
        <v>0</v>
      </c>
      <c r="ZU177">
        <v>0</v>
      </c>
      <c r="ZV177">
        <v>0</v>
      </c>
      <c r="ZW177">
        <v>0</v>
      </c>
      <c r="ZX177">
        <v>0</v>
      </c>
      <c r="ZY177">
        <v>0</v>
      </c>
      <c r="ZZ177">
        <v>0</v>
      </c>
      <c r="AAA177">
        <v>0</v>
      </c>
      <c r="AAB177">
        <v>0</v>
      </c>
      <c r="AAC177">
        <v>0</v>
      </c>
      <c r="AAD177">
        <v>0</v>
      </c>
      <c r="AAE177">
        <v>0</v>
      </c>
      <c r="AAF177">
        <v>0</v>
      </c>
      <c r="AAG177">
        <v>0</v>
      </c>
      <c r="AAH177">
        <v>0</v>
      </c>
      <c r="AAI177">
        <v>0</v>
      </c>
      <c r="AAJ177">
        <v>0</v>
      </c>
      <c r="AAK177">
        <v>0</v>
      </c>
      <c r="AAL177">
        <v>0</v>
      </c>
      <c r="AAM177">
        <v>0</v>
      </c>
      <c r="AAN177">
        <v>0</v>
      </c>
      <c r="AAO177">
        <v>0</v>
      </c>
      <c r="AAP177">
        <v>0</v>
      </c>
      <c r="AAQ177">
        <v>0</v>
      </c>
      <c r="AAR177">
        <v>0</v>
      </c>
      <c r="AAS177">
        <v>0</v>
      </c>
      <c r="AAT177">
        <v>0</v>
      </c>
      <c r="AAU177">
        <v>0</v>
      </c>
      <c r="AAV177">
        <v>0</v>
      </c>
      <c r="AAW177">
        <v>0</v>
      </c>
      <c r="AAX177">
        <v>0</v>
      </c>
      <c r="AAY177">
        <v>0</v>
      </c>
      <c r="AAZ177">
        <v>0</v>
      </c>
      <c r="ABA177">
        <v>0</v>
      </c>
      <c r="ABB177">
        <v>0</v>
      </c>
      <c r="ABC177">
        <v>0</v>
      </c>
      <c r="ABD177">
        <v>0</v>
      </c>
      <c r="ABE177">
        <v>0</v>
      </c>
      <c r="ABG177" s="1137">
        <f t="shared" si="45"/>
        <v>0</v>
      </c>
      <c r="ABH177" s="1137">
        <f t="shared" si="45"/>
        <v>0</v>
      </c>
      <c r="ABI177" s="1137">
        <f t="shared" si="45"/>
        <v>0</v>
      </c>
      <c r="ABJ177" s="1137">
        <f t="shared" si="45"/>
        <v>0</v>
      </c>
      <c r="ABK177" s="1137">
        <f t="shared" si="45"/>
        <v>0</v>
      </c>
      <c r="ABL177" s="1137">
        <f t="shared" si="45"/>
        <v>0</v>
      </c>
      <c r="ABM177" s="1137">
        <f t="shared" si="45"/>
        <v>0</v>
      </c>
      <c r="ABN177" s="1137">
        <f t="shared" si="45"/>
        <v>0</v>
      </c>
      <c r="ABO177" s="1137">
        <f t="shared" si="45"/>
        <v>0</v>
      </c>
      <c r="ABP177" s="1137">
        <f t="shared" si="45"/>
        <v>0</v>
      </c>
      <c r="ABQ177" s="1137">
        <f t="shared" si="45"/>
        <v>0</v>
      </c>
      <c r="ABR177" s="1137">
        <f t="shared" si="45"/>
        <v>0</v>
      </c>
      <c r="ABS177" s="1137">
        <f t="shared" si="45"/>
        <v>0</v>
      </c>
      <c r="ABT177" s="1137">
        <f t="shared" si="45"/>
        <v>0</v>
      </c>
      <c r="ABU177" s="1137">
        <f t="shared" si="45"/>
        <v>0</v>
      </c>
      <c r="ABV177" s="1137">
        <f t="shared" si="45"/>
        <v>0</v>
      </c>
      <c r="ABW177" s="1137">
        <f t="shared" si="31"/>
        <v>0</v>
      </c>
      <c r="ABX177" s="1137">
        <f t="shared" si="31"/>
        <v>0</v>
      </c>
      <c r="ABY177" s="1137">
        <f t="shared" si="31"/>
        <v>0</v>
      </c>
      <c r="ABZ177" s="1137">
        <f t="shared" si="31"/>
        <v>0</v>
      </c>
      <c r="ACA177" s="1137">
        <f t="shared" si="31"/>
        <v>0</v>
      </c>
      <c r="ACB177" s="1137">
        <f t="shared" si="31"/>
        <v>20</v>
      </c>
      <c r="ACC177" s="1137">
        <f t="shared" si="31"/>
        <v>1</v>
      </c>
      <c r="ACD177" s="1137">
        <f t="shared" si="31"/>
        <v>0</v>
      </c>
      <c r="ACE177" s="1137" t="s">
        <v>70</v>
      </c>
      <c r="ACF177" s="1137">
        <f t="shared" si="39"/>
        <v>0</v>
      </c>
      <c r="ACG177" s="1137">
        <f t="shared" si="39"/>
        <v>0</v>
      </c>
      <c r="ACH177" s="1137">
        <f t="shared" si="39"/>
        <v>0</v>
      </c>
      <c r="ACI177" s="1137">
        <f t="shared" si="39"/>
        <v>0</v>
      </c>
      <c r="ACJ177" s="1137">
        <f t="shared" si="39"/>
        <v>0</v>
      </c>
      <c r="ACK177" s="1137">
        <f t="shared" si="39"/>
        <v>0</v>
      </c>
      <c r="ACL177" s="1137">
        <f t="shared" si="39"/>
        <v>0</v>
      </c>
      <c r="ACM177" s="1137">
        <f t="shared" si="39"/>
        <v>0</v>
      </c>
      <c r="ACN177" s="1137">
        <f t="shared" si="39"/>
        <v>0</v>
      </c>
      <c r="ACO177" s="1137">
        <f t="shared" si="39"/>
        <v>0</v>
      </c>
      <c r="ACP177" s="1137">
        <f t="shared" si="39"/>
        <v>0</v>
      </c>
      <c r="ACQ177" s="1137">
        <f t="shared" si="39"/>
        <v>0</v>
      </c>
      <c r="ACR177" s="1137">
        <f t="shared" si="39"/>
        <v>0</v>
      </c>
      <c r="ACS177" s="1137">
        <f t="shared" si="39"/>
        <v>0</v>
      </c>
      <c r="ACT177" s="1137">
        <f t="shared" si="43"/>
        <v>0</v>
      </c>
      <c r="ACU177" s="1137">
        <f t="shared" si="43"/>
        <v>0</v>
      </c>
      <c r="ACV177" s="1137">
        <f t="shared" si="43"/>
        <v>0</v>
      </c>
      <c r="ACW177" s="1137">
        <f t="shared" si="43"/>
        <v>0</v>
      </c>
      <c r="ACX177" s="1137">
        <f t="shared" si="42"/>
        <v>0</v>
      </c>
      <c r="ACY177" s="1137">
        <f t="shared" si="42"/>
        <v>0</v>
      </c>
      <c r="ACZ177" s="1137">
        <f t="shared" si="42"/>
        <v>0</v>
      </c>
      <c r="ADA177" s="1137">
        <f t="shared" si="35"/>
        <v>1</v>
      </c>
      <c r="ADB177" s="1137">
        <f t="shared" si="35"/>
        <v>0</v>
      </c>
      <c r="ADC177" s="1137">
        <f t="shared" si="35"/>
        <v>0</v>
      </c>
    </row>
    <row r="178" spans="1:783" x14ac:dyDescent="0.25">
      <c r="A178" t="s">
        <v>1976</v>
      </c>
      <c r="B178" t="s">
        <v>73</v>
      </c>
      <c r="C178">
        <v>0</v>
      </c>
      <c r="D178">
        <v>0</v>
      </c>
      <c r="E178">
        <v>0</v>
      </c>
      <c r="F178">
        <v>0</v>
      </c>
      <c r="G178">
        <v>0</v>
      </c>
      <c r="H178">
        <v>0</v>
      </c>
      <c r="I178">
        <v>0</v>
      </c>
      <c r="J178">
        <v>0</v>
      </c>
      <c r="K178">
        <v>0</v>
      </c>
      <c r="L178">
        <v>0</v>
      </c>
      <c r="M178">
        <v>0</v>
      </c>
      <c r="N178">
        <v>0</v>
      </c>
      <c r="O178">
        <v>0</v>
      </c>
      <c r="P178">
        <v>0</v>
      </c>
      <c r="Q178">
        <v>0</v>
      </c>
      <c r="R178">
        <v>0</v>
      </c>
      <c r="S178">
        <v>0</v>
      </c>
      <c r="T178">
        <v>0</v>
      </c>
      <c r="U178">
        <v>0</v>
      </c>
      <c r="V178">
        <v>0</v>
      </c>
      <c r="W178">
        <v>0</v>
      </c>
      <c r="X178">
        <v>0</v>
      </c>
      <c r="Y178">
        <v>0</v>
      </c>
      <c r="Z178">
        <v>0</v>
      </c>
      <c r="AA178">
        <v>0</v>
      </c>
      <c r="AB178">
        <v>0</v>
      </c>
      <c r="AC178">
        <v>0</v>
      </c>
      <c r="AD178">
        <v>0</v>
      </c>
      <c r="AE178">
        <v>0</v>
      </c>
      <c r="AF178">
        <v>0</v>
      </c>
      <c r="AG178">
        <v>0</v>
      </c>
      <c r="AH178">
        <v>0</v>
      </c>
      <c r="AI178">
        <v>0</v>
      </c>
      <c r="AJ178">
        <v>0</v>
      </c>
      <c r="AK178">
        <v>0</v>
      </c>
      <c r="AL178">
        <v>0</v>
      </c>
      <c r="AM178">
        <v>0</v>
      </c>
      <c r="AN178">
        <v>0</v>
      </c>
      <c r="AO178">
        <v>0</v>
      </c>
      <c r="AP178">
        <v>0</v>
      </c>
      <c r="AQ178">
        <v>0</v>
      </c>
      <c r="AR178">
        <v>0</v>
      </c>
      <c r="AS178">
        <v>0</v>
      </c>
      <c r="AT178">
        <v>0</v>
      </c>
      <c r="AU178">
        <v>0</v>
      </c>
      <c r="AV178">
        <v>0</v>
      </c>
      <c r="AW178">
        <v>0</v>
      </c>
      <c r="AX178">
        <v>0</v>
      </c>
      <c r="AY178">
        <v>0</v>
      </c>
      <c r="AZ178">
        <v>0</v>
      </c>
      <c r="BA178">
        <v>0</v>
      </c>
      <c r="BB178">
        <v>0</v>
      </c>
      <c r="BC178">
        <v>0</v>
      </c>
      <c r="BD178">
        <v>0</v>
      </c>
      <c r="BE178">
        <v>0</v>
      </c>
      <c r="BF178">
        <v>0</v>
      </c>
      <c r="BG178">
        <v>0</v>
      </c>
      <c r="BH178">
        <v>0</v>
      </c>
      <c r="BI178">
        <v>0</v>
      </c>
      <c r="BJ178">
        <v>0</v>
      </c>
      <c r="BK178">
        <v>0</v>
      </c>
      <c r="BL178">
        <v>0</v>
      </c>
      <c r="BM178">
        <v>0</v>
      </c>
      <c r="BN178">
        <v>0</v>
      </c>
      <c r="BO178">
        <v>0</v>
      </c>
      <c r="BP178">
        <v>0</v>
      </c>
      <c r="BQ178">
        <v>0</v>
      </c>
      <c r="BR178">
        <v>0</v>
      </c>
      <c r="BS178">
        <v>0</v>
      </c>
      <c r="BT178">
        <v>0</v>
      </c>
      <c r="BU178">
        <v>0</v>
      </c>
      <c r="BV178">
        <v>0</v>
      </c>
      <c r="BW178">
        <v>0</v>
      </c>
      <c r="BX178">
        <v>0</v>
      </c>
      <c r="BY178">
        <v>0</v>
      </c>
      <c r="BZ178">
        <v>0</v>
      </c>
      <c r="CA178">
        <v>0</v>
      </c>
      <c r="CB178">
        <v>1</v>
      </c>
      <c r="CC178">
        <v>1</v>
      </c>
      <c r="CD178">
        <v>1</v>
      </c>
      <c r="CE178">
        <v>1</v>
      </c>
      <c r="CF178">
        <v>1</v>
      </c>
      <c r="CG178">
        <v>1</v>
      </c>
      <c r="CH178">
        <v>1</v>
      </c>
      <c r="CI178">
        <v>1</v>
      </c>
      <c r="CJ178">
        <v>1</v>
      </c>
      <c r="CK178">
        <v>1</v>
      </c>
      <c r="CL178">
        <v>1</v>
      </c>
      <c r="CM178">
        <v>1</v>
      </c>
      <c r="CN178">
        <v>2</v>
      </c>
      <c r="CO178">
        <v>2</v>
      </c>
      <c r="CP178">
        <v>2</v>
      </c>
      <c r="CQ178">
        <v>2</v>
      </c>
      <c r="CR178">
        <v>2</v>
      </c>
      <c r="CS178">
        <v>2</v>
      </c>
      <c r="CT178">
        <v>2</v>
      </c>
      <c r="CU178">
        <v>2</v>
      </c>
      <c r="CV178">
        <v>2</v>
      </c>
      <c r="CW178">
        <v>2</v>
      </c>
      <c r="CX178">
        <v>2</v>
      </c>
      <c r="CY178">
        <v>2</v>
      </c>
      <c r="CZ178">
        <v>2</v>
      </c>
      <c r="DA178">
        <v>2</v>
      </c>
      <c r="DB178">
        <v>2</v>
      </c>
      <c r="DC178">
        <v>2</v>
      </c>
      <c r="DD178">
        <v>2</v>
      </c>
      <c r="DE178">
        <v>2</v>
      </c>
      <c r="DF178">
        <v>2</v>
      </c>
      <c r="DG178">
        <v>2</v>
      </c>
      <c r="DH178">
        <v>2</v>
      </c>
      <c r="DI178">
        <v>2</v>
      </c>
      <c r="DJ178">
        <v>2</v>
      </c>
      <c r="DK178">
        <v>2</v>
      </c>
      <c r="DL178">
        <v>2</v>
      </c>
      <c r="DM178">
        <v>2</v>
      </c>
      <c r="DN178">
        <v>2</v>
      </c>
      <c r="DO178">
        <v>2</v>
      </c>
      <c r="DP178">
        <v>2</v>
      </c>
      <c r="DQ178">
        <v>2</v>
      </c>
      <c r="DR178">
        <v>2</v>
      </c>
      <c r="DS178">
        <v>2</v>
      </c>
      <c r="DT178">
        <v>2</v>
      </c>
      <c r="DU178">
        <v>2</v>
      </c>
      <c r="DV178">
        <v>2</v>
      </c>
      <c r="DW178">
        <v>2</v>
      </c>
      <c r="DX178">
        <v>2</v>
      </c>
      <c r="DY178">
        <v>2</v>
      </c>
      <c r="DZ178">
        <v>2</v>
      </c>
      <c r="EA178">
        <v>2</v>
      </c>
      <c r="EB178">
        <v>2</v>
      </c>
      <c r="EC178">
        <v>2</v>
      </c>
      <c r="ED178">
        <v>2</v>
      </c>
      <c r="EE178">
        <v>2</v>
      </c>
      <c r="EF178">
        <v>2</v>
      </c>
      <c r="EG178">
        <v>2</v>
      </c>
      <c r="EH178">
        <v>2</v>
      </c>
      <c r="EI178">
        <v>2</v>
      </c>
      <c r="EJ178">
        <v>2</v>
      </c>
      <c r="EK178">
        <v>2</v>
      </c>
      <c r="EL178">
        <v>2</v>
      </c>
      <c r="EM178">
        <v>2</v>
      </c>
      <c r="EN178">
        <v>2</v>
      </c>
      <c r="EO178">
        <v>2</v>
      </c>
      <c r="EP178">
        <v>2</v>
      </c>
      <c r="EQ178">
        <v>2</v>
      </c>
      <c r="ER178">
        <v>2</v>
      </c>
      <c r="ES178">
        <v>2</v>
      </c>
      <c r="ET178">
        <v>2</v>
      </c>
      <c r="EU178">
        <v>2</v>
      </c>
      <c r="EV178">
        <v>2</v>
      </c>
      <c r="EW178">
        <v>2</v>
      </c>
      <c r="EX178">
        <v>2</v>
      </c>
      <c r="EY178">
        <v>2</v>
      </c>
      <c r="EZ178">
        <v>2</v>
      </c>
      <c r="FA178">
        <v>2</v>
      </c>
      <c r="FB178">
        <v>2</v>
      </c>
      <c r="FC178">
        <v>2</v>
      </c>
      <c r="FD178">
        <v>2</v>
      </c>
      <c r="FE178">
        <v>2</v>
      </c>
      <c r="FF178">
        <v>2</v>
      </c>
      <c r="FG178">
        <v>2</v>
      </c>
      <c r="FH178">
        <v>2</v>
      </c>
      <c r="FI178">
        <v>2</v>
      </c>
      <c r="FJ178">
        <v>2</v>
      </c>
      <c r="FK178">
        <v>2</v>
      </c>
      <c r="FL178">
        <v>2</v>
      </c>
      <c r="FM178">
        <v>2</v>
      </c>
      <c r="FN178">
        <v>2</v>
      </c>
      <c r="FO178">
        <v>2</v>
      </c>
      <c r="FP178">
        <v>2</v>
      </c>
      <c r="FQ178">
        <v>2</v>
      </c>
      <c r="FR178">
        <v>2</v>
      </c>
      <c r="FS178">
        <v>2</v>
      </c>
      <c r="FT178">
        <v>2</v>
      </c>
      <c r="FU178">
        <v>2</v>
      </c>
      <c r="FV178">
        <v>2</v>
      </c>
      <c r="FW178">
        <v>2</v>
      </c>
      <c r="FX178">
        <v>2</v>
      </c>
      <c r="FY178">
        <v>2</v>
      </c>
      <c r="FZ178">
        <v>2</v>
      </c>
      <c r="GA178">
        <v>2</v>
      </c>
      <c r="GB178">
        <v>2</v>
      </c>
      <c r="GC178">
        <v>2</v>
      </c>
      <c r="GD178">
        <v>2</v>
      </c>
      <c r="GE178">
        <v>2</v>
      </c>
      <c r="GF178">
        <v>2</v>
      </c>
      <c r="GG178">
        <v>2</v>
      </c>
      <c r="GH178">
        <v>2</v>
      </c>
      <c r="GI178">
        <v>2</v>
      </c>
      <c r="GJ178">
        <v>2</v>
      </c>
      <c r="GK178">
        <v>2</v>
      </c>
      <c r="GL178">
        <v>2</v>
      </c>
      <c r="GM178">
        <v>2</v>
      </c>
      <c r="GN178">
        <v>2</v>
      </c>
      <c r="GO178">
        <v>2</v>
      </c>
      <c r="GP178">
        <v>2</v>
      </c>
      <c r="GQ178">
        <v>2</v>
      </c>
      <c r="GR178">
        <v>2</v>
      </c>
      <c r="GS178">
        <v>2</v>
      </c>
      <c r="GT178">
        <v>2</v>
      </c>
      <c r="GU178">
        <v>2</v>
      </c>
      <c r="GV178">
        <v>2</v>
      </c>
      <c r="GW178">
        <v>2</v>
      </c>
      <c r="GX178">
        <v>2</v>
      </c>
      <c r="GY178">
        <v>2</v>
      </c>
      <c r="GZ178">
        <v>2</v>
      </c>
      <c r="HA178">
        <v>2</v>
      </c>
      <c r="HB178">
        <v>2</v>
      </c>
      <c r="HC178">
        <v>2</v>
      </c>
      <c r="HD178">
        <v>2</v>
      </c>
      <c r="HE178">
        <v>2</v>
      </c>
      <c r="HF178">
        <v>2</v>
      </c>
      <c r="HG178">
        <v>2</v>
      </c>
      <c r="HH178">
        <v>2</v>
      </c>
      <c r="HI178">
        <v>2</v>
      </c>
      <c r="HJ178">
        <v>2</v>
      </c>
      <c r="HK178">
        <v>2</v>
      </c>
      <c r="HL178">
        <v>2</v>
      </c>
      <c r="HM178">
        <v>2</v>
      </c>
      <c r="HN178">
        <v>2</v>
      </c>
      <c r="HO178">
        <v>2</v>
      </c>
      <c r="HP178">
        <v>2</v>
      </c>
      <c r="HQ178">
        <v>2</v>
      </c>
      <c r="HR178">
        <v>2</v>
      </c>
      <c r="HS178">
        <v>2</v>
      </c>
      <c r="HT178">
        <v>2</v>
      </c>
      <c r="HU178">
        <v>2</v>
      </c>
      <c r="HV178">
        <v>2</v>
      </c>
      <c r="HW178">
        <v>2</v>
      </c>
      <c r="HX178">
        <v>2</v>
      </c>
      <c r="HY178">
        <v>2</v>
      </c>
      <c r="HZ178">
        <v>2</v>
      </c>
      <c r="IA178">
        <v>2</v>
      </c>
      <c r="IB178">
        <v>2</v>
      </c>
      <c r="IC178">
        <v>2</v>
      </c>
      <c r="ID178">
        <v>2</v>
      </c>
      <c r="IE178">
        <v>2</v>
      </c>
      <c r="IF178">
        <v>2</v>
      </c>
      <c r="IG178">
        <v>2</v>
      </c>
      <c r="IH178">
        <v>2</v>
      </c>
      <c r="II178">
        <v>2</v>
      </c>
      <c r="IJ178">
        <v>2</v>
      </c>
      <c r="IK178">
        <v>2</v>
      </c>
      <c r="IL178">
        <v>2</v>
      </c>
      <c r="IM178">
        <v>2</v>
      </c>
      <c r="IN178">
        <v>2</v>
      </c>
      <c r="IO178">
        <v>2</v>
      </c>
      <c r="IP178">
        <v>2</v>
      </c>
      <c r="IQ178">
        <v>2</v>
      </c>
      <c r="IR178">
        <v>2</v>
      </c>
      <c r="IS178">
        <v>2</v>
      </c>
      <c r="IT178">
        <v>2</v>
      </c>
      <c r="IU178">
        <v>2</v>
      </c>
      <c r="IV178">
        <v>2</v>
      </c>
      <c r="IW178">
        <v>2</v>
      </c>
      <c r="IX178">
        <v>2</v>
      </c>
      <c r="IY178">
        <v>2</v>
      </c>
      <c r="IZ178">
        <v>2</v>
      </c>
      <c r="JA178">
        <v>2</v>
      </c>
      <c r="JB178">
        <v>2</v>
      </c>
      <c r="JC178">
        <v>2</v>
      </c>
      <c r="JD178">
        <v>2</v>
      </c>
      <c r="JE178">
        <v>2</v>
      </c>
      <c r="JF178">
        <v>2</v>
      </c>
      <c r="JG178">
        <v>2</v>
      </c>
      <c r="JH178">
        <v>2</v>
      </c>
      <c r="JI178">
        <v>2</v>
      </c>
      <c r="JJ178">
        <v>2</v>
      </c>
      <c r="JK178">
        <v>2</v>
      </c>
      <c r="JL178">
        <v>2</v>
      </c>
      <c r="JM178">
        <v>2</v>
      </c>
      <c r="JN178">
        <v>2</v>
      </c>
      <c r="JO178">
        <v>2</v>
      </c>
      <c r="JP178">
        <v>2</v>
      </c>
      <c r="JQ178">
        <v>2</v>
      </c>
      <c r="JR178">
        <v>2</v>
      </c>
      <c r="JS178">
        <v>2</v>
      </c>
      <c r="JT178">
        <v>2</v>
      </c>
      <c r="JU178">
        <v>2</v>
      </c>
      <c r="JV178">
        <v>2</v>
      </c>
      <c r="JW178">
        <v>2</v>
      </c>
      <c r="JX178">
        <v>2</v>
      </c>
      <c r="JY178">
        <v>2</v>
      </c>
      <c r="JZ178">
        <v>2</v>
      </c>
      <c r="KA178">
        <v>2</v>
      </c>
      <c r="KB178">
        <v>2</v>
      </c>
      <c r="KC178">
        <v>2</v>
      </c>
      <c r="KD178">
        <v>2</v>
      </c>
      <c r="KE178">
        <v>2</v>
      </c>
      <c r="KF178">
        <v>2</v>
      </c>
      <c r="KG178">
        <v>2</v>
      </c>
      <c r="KH178">
        <v>2</v>
      </c>
      <c r="KI178">
        <v>0</v>
      </c>
      <c r="KJ178">
        <v>0</v>
      </c>
      <c r="KK178">
        <v>0</v>
      </c>
      <c r="KL178">
        <v>0</v>
      </c>
      <c r="KM178">
        <v>0</v>
      </c>
      <c r="KN178">
        <v>0</v>
      </c>
      <c r="KO178">
        <v>0</v>
      </c>
      <c r="KP178">
        <v>0</v>
      </c>
      <c r="KQ178">
        <v>0</v>
      </c>
      <c r="KR178">
        <v>0</v>
      </c>
      <c r="KS178">
        <v>0</v>
      </c>
      <c r="KT178">
        <v>0</v>
      </c>
      <c r="KU178">
        <v>0</v>
      </c>
      <c r="KV178">
        <v>0</v>
      </c>
      <c r="KW178">
        <v>0</v>
      </c>
      <c r="KX178">
        <v>0</v>
      </c>
      <c r="KY178">
        <v>0</v>
      </c>
      <c r="KZ178">
        <v>0</v>
      </c>
      <c r="LA178">
        <v>0</v>
      </c>
      <c r="LB178">
        <v>0</v>
      </c>
      <c r="LC178">
        <v>0</v>
      </c>
      <c r="LD178">
        <v>0</v>
      </c>
      <c r="LE178">
        <v>0</v>
      </c>
      <c r="LF178">
        <v>0</v>
      </c>
      <c r="LG178">
        <v>0</v>
      </c>
      <c r="LH178">
        <v>0</v>
      </c>
      <c r="LI178">
        <v>0</v>
      </c>
      <c r="LJ178">
        <v>0</v>
      </c>
      <c r="LK178">
        <v>0</v>
      </c>
      <c r="LL178">
        <v>0</v>
      </c>
      <c r="LM178">
        <v>0</v>
      </c>
      <c r="LN178">
        <v>0</v>
      </c>
      <c r="LO178">
        <v>0</v>
      </c>
      <c r="LP178">
        <v>0</v>
      </c>
      <c r="LQ178">
        <v>0</v>
      </c>
      <c r="LR178">
        <v>0</v>
      </c>
      <c r="LS178">
        <v>2</v>
      </c>
      <c r="LT178">
        <v>2</v>
      </c>
      <c r="LU178">
        <v>2</v>
      </c>
      <c r="LV178">
        <v>2</v>
      </c>
      <c r="LW178">
        <v>2</v>
      </c>
      <c r="LX178">
        <v>2</v>
      </c>
      <c r="LY178">
        <v>2</v>
      </c>
      <c r="LZ178">
        <v>2</v>
      </c>
      <c r="MA178">
        <v>2</v>
      </c>
      <c r="MB178">
        <v>2</v>
      </c>
      <c r="MC178">
        <v>2</v>
      </c>
      <c r="MD178">
        <v>2</v>
      </c>
      <c r="ME178">
        <v>2</v>
      </c>
      <c r="MF178">
        <v>2</v>
      </c>
      <c r="MG178">
        <v>2</v>
      </c>
      <c r="MH178">
        <v>2</v>
      </c>
      <c r="MI178">
        <v>2</v>
      </c>
      <c r="MJ178">
        <v>2</v>
      </c>
      <c r="MK178">
        <v>2</v>
      </c>
      <c r="ML178">
        <v>2</v>
      </c>
      <c r="MM178">
        <v>0</v>
      </c>
      <c r="MN178">
        <v>0</v>
      </c>
      <c r="MO178">
        <v>0</v>
      </c>
      <c r="MP178">
        <v>0</v>
      </c>
      <c r="MQ178">
        <v>0</v>
      </c>
      <c r="MR178">
        <v>0</v>
      </c>
      <c r="MS178">
        <v>0</v>
      </c>
      <c r="MT178">
        <v>0</v>
      </c>
      <c r="MU178">
        <v>0</v>
      </c>
      <c r="MV178">
        <v>0</v>
      </c>
      <c r="MW178">
        <v>0</v>
      </c>
      <c r="MX178">
        <v>0</v>
      </c>
      <c r="MY178">
        <v>0</v>
      </c>
      <c r="MZ178">
        <v>0</v>
      </c>
      <c r="NA178">
        <v>0</v>
      </c>
      <c r="NB178">
        <v>0</v>
      </c>
      <c r="NC178">
        <v>0</v>
      </c>
      <c r="ND178">
        <v>0</v>
      </c>
      <c r="NE178">
        <v>0</v>
      </c>
      <c r="NF178">
        <v>0</v>
      </c>
      <c r="NG178">
        <v>0</v>
      </c>
      <c r="NH178">
        <v>0</v>
      </c>
      <c r="NI178">
        <v>0</v>
      </c>
      <c r="NJ178">
        <v>0</v>
      </c>
      <c r="NK178">
        <v>0</v>
      </c>
      <c r="NL178">
        <v>0</v>
      </c>
      <c r="NM178">
        <v>0</v>
      </c>
      <c r="NN178">
        <v>0</v>
      </c>
      <c r="NO178">
        <v>0</v>
      </c>
      <c r="NP178">
        <v>0</v>
      </c>
      <c r="NQ178">
        <v>0</v>
      </c>
      <c r="NR178">
        <v>0</v>
      </c>
      <c r="NS178">
        <v>0</v>
      </c>
      <c r="NT178">
        <v>0</v>
      </c>
      <c r="NU178">
        <v>0</v>
      </c>
      <c r="NV178">
        <v>0</v>
      </c>
      <c r="NW178">
        <v>1</v>
      </c>
      <c r="NX178">
        <v>1</v>
      </c>
      <c r="NY178">
        <v>1</v>
      </c>
      <c r="NZ178">
        <v>1</v>
      </c>
      <c r="OA178">
        <v>1</v>
      </c>
      <c r="OB178">
        <v>1</v>
      </c>
      <c r="OC178">
        <v>1</v>
      </c>
      <c r="OD178">
        <v>1</v>
      </c>
      <c r="OE178">
        <v>1</v>
      </c>
      <c r="OF178">
        <v>1</v>
      </c>
      <c r="OG178">
        <v>1</v>
      </c>
      <c r="OH178">
        <v>1</v>
      </c>
      <c r="OI178">
        <v>1</v>
      </c>
      <c r="OJ178">
        <v>1</v>
      </c>
      <c r="OK178">
        <v>0</v>
      </c>
      <c r="OL178">
        <v>0</v>
      </c>
      <c r="OM178">
        <v>0</v>
      </c>
      <c r="ON178">
        <v>0</v>
      </c>
      <c r="OO178">
        <v>0</v>
      </c>
      <c r="OP178">
        <v>0</v>
      </c>
      <c r="OQ178">
        <v>0</v>
      </c>
      <c r="OR178">
        <v>0</v>
      </c>
      <c r="OS178">
        <v>0</v>
      </c>
      <c r="OT178">
        <v>0</v>
      </c>
      <c r="OU178">
        <v>0</v>
      </c>
      <c r="OV178">
        <v>0</v>
      </c>
      <c r="OW178">
        <v>0</v>
      </c>
      <c r="OX178">
        <v>0</v>
      </c>
      <c r="OY178">
        <v>0</v>
      </c>
      <c r="OZ178">
        <v>0</v>
      </c>
      <c r="PA178">
        <v>0</v>
      </c>
      <c r="PB178">
        <v>0</v>
      </c>
      <c r="PC178">
        <v>0</v>
      </c>
      <c r="PD178">
        <v>0</v>
      </c>
      <c r="PE178">
        <v>0</v>
      </c>
      <c r="PF178">
        <v>0</v>
      </c>
      <c r="PG178">
        <v>0</v>
      </c>
      <c r="PH178">
        <v>0</v>
      </c>
      <c r="PI178">
        <v>0</v>
      </c>
      <c r="PJ178">
        <v>0</v>
      </c>
      <c r="PK178">
        <v>0</v>
      </c>
      <c r="PL178">
        <v>0</v>
      </c>
      <c r="PM178">
        <v>0</v>
      </c>
      <c r="PN178">
        <v>0</v>
      </c>
      <c r="PO178">
        <v>0</v>
      </c>
      <c r="PP178">
        <v>0</v>
      </c>
      <c r="PQ178">
        <v>0</v>
      </c>
      <c r="PR178">
        <v>0</v>
      </c>
      <c r="PS178">
        <v>0</v>
      </c>
      <c r="PT178">
        <v>0</v>
      </c>
      <c r="PU178">
        <v>0</v>
      </c>
      <c r="PV178">
        <v>0</v>
      </c>
      <c r="PW178">
        <v>0</v>
      </c>
      <c r="PX178">
        <v>0</v>
      </c>
      <c r="PY178">
        <v>0</v>
      </c>
      <c r="PZ178">
        <v>0</v>
      </c>
      <c r="QA178">
        <v>0</v>
      </c>
      <c r="QB178">
        <v>0</v>
      </c>
      <c r="QC178">
        <v>0</v>
      </c>
      <c r="QD178">
        <v>0</v>
      </c>
      <c r="QE178">
        <v>0</v>
      </c>
      <c r="QF178">
        <v>0</v>
      </c>
      <c r="QG178">
        <v>0</v>
      </c>
      <c r="QH178">
        <v>0</v>
      </c>
      <c r="QI178">
        <v>0</v>
      </c>
      <c r="QJ178">
        <v>0</v>
      </c>
      <c r="QK178">
        <v>0</v>
      </c>
      <c r="QL178">
        <v>0</v>
      </c>
      <c r="QM178">
        <v>0</v>
      </c>
      <c r="QN178">
        <v>0</v>
      </c>
      <c r="QO178">
        <v>0</v>
      </c>
      <c r="QP178">
        <v>0</v>
      </c>
      <c r="QQ178">
        <v>0</v>
      </c>
      <c r="QR178">
        <v>0</v>
      </c>
      <c r="QS178">
        <v>0</v>
      </c>
      <c r="QT178">
        <v>0</v>
      </c>
      <c r="QU178">
        <v>0</v>
      </c>
      <c r="QV178">
        <v>0</v>
      </c>
      <c r="QW178">
        <v>0</v>
      </c>
      <c r="QX178">
        <v>0</v>
      </c>
      <c r="QY178">
        <v>0</v>
      </c>
      <c r="QZ178">
        <v>0</v>
      </c>
      <c r="RA178">
        <v>0</v>
      </c>
      <c r="RB178">
        <v>0</v>
      </c>
      <c r="RC178">
        <v>0</v>
      </c>
      <c r="RD178">
        <v>0</v>
      </c>
      <c r="RE178">
        <v>0</v>
      </c>
      <c r="RF178">
        <v>0</v>
      </c>
      <c r="RG178">
        <v>0</v>
      </c>
      <c r="RH178">
        <v>0</v>
      </c>
      <c r="RI178">
        <v>0</v>
      </c>
      <c r="RJ178">
        <v>0</v>
      </c>
      <c r="RK178">
        <v>0</v>
      </c>
      <c r="RL178">
        <v>0</v>
      </c>
      <c r="RM178">
        <v>0</v>
      </c>
      <c r="RN178">
        <v>1</v>
      </c>
      <c r="RO178">
        <v>1</v>
      </c>
      <c r="RP178">
        <v>1</v>
      </c>
      <c r="RQ178">
        <v>1</v>
      </c>
      <c r="RR178">
        <v>1</v>
      </c>
      <c r="RS178">
        <v>1</v>
      </c>
      <c r="RT178">
        <v>1</v>
      </c>
      <c r="RU178">
        <v>1</v>
      </c>
      <c r="RV178">
        <v>1</v>
      </c>
      <c r="RW178">
        <v>1</v>
      </c>
      <c r="RX178">
        <v>1</v>
      </c>
      <c r="RY178">
        <v>1</v>
      </c>
      <c r="RZ178">
        <v>1</v>
      </c>
      <c r="SA178">
        <v>1</v>
      </c>
      <c r="SB178">
        <v>1</v>
      </c>
      <c r="SC178">
        <v>1</v>
      </c>
      <c r="SD178">
        <v>1</v>
      </c>
      <c r="SE178">
        <v>1</v>
      </c>
      <c r="SF178">
        <v>1</v>
      </c>
      <c r="SG178">
        <v>1</v>
      </c>
      <c r="SH178">
        <v>1</v>
      </c>
      <c r="SI178">
        <v>1</v>
      </c>
      <c r="SJ178">
        <v>1</v>
      </c>
      <c r="SK178">
        <v>1</v>
      </c>
      <c r="SL178">
        <v>1</v>
      </c>
      <c r="SM178">
        <v>1</v>
      </c>
      <c r="SN178">
        <v>1</v>
      </c>
      <c r="SO178">
        <v>1</v>
      </c>
      <c r="SP178">
        <v>1</v>
      </c>
      <c r="SQ178">
        <v>1</v>
      </c>
      <c r="SR178">
        <v>1</v>
      </c>
      <c r="SS178">
        <v>0</v>
      </c>
      <c r="ST178">
        <v>0</v>
      </c>
      <c r="SU178">
        <v>0</v>
      </c>
      <c r="SV178">
        <v>0</v>
      </c>
      <c r="SW178">
        <v>0</v>
      </c>
      <c r="SX178">
        <v>0</v>
      </c>
      <c r="SY178">
        <v>0</v>
      </c>
      <c r="SZ178">
        <v>0</v>
      </c>
      <c r="TA178">
        <v>0</v>
      </c>
      <c r="TB178">
        <v>0</v>
      </c>
      <c r="TC178">
        <v>0</v>
      </c>
      <c r="TD178">
        <v>0</v>
      </c>
      <c r="TE178">
        <v>0</v>
      </c>
      <c r="TF178">
        <v>0</v>
      </c>
      <c r="TG178">
        <v>0</v>
      </c>
      <c r="TH178">
        <v>0</v>
      </c>
      <c r="TI178">
        <v>0</v>
      </c>
      <c r="TJ178">
        <v>0</v>
      </c>
      <c r="TK178">
        <v>0</v>
      </c>
      <c r="TL178">
        <v>0</v>
      </c>
      <c r="TM178">
        <v>0</v>
      </c>
      <c r="TN178">
        <v>0</v>
      </c>
      <c r="TO178">
        <v>0</v>
      </c>
      <c r="TP178">
        <v>0</v>
      </c>
      <c r="TQ178">
        <v>0</v>
      </c>
      <c r="TR178">
        <v>0</v>
      </c>
      <c r="TS178">
        <v>0</v>
      </c>
      <c r="TT178">
        <v>0</v>
      </c>
      <c r="TU178">
        <v>0</v>
      </c>
      <c r="TV178">
        <v>0</v>
      </c>
      <c r="TW178">
        <v>0</v>
      </c>
      <c r="TX178">
        <v>0</v>
      </c>
      <c r="TY178">
        <v>0</v>
      </c>
      <c r="TZ178">
        <v>0</v>
      </c>
      <c r="UA178">
        <v>0</v>
      </c>
      <c r="UB178">
        <v>0</v>
      </c>
      <c r="UC178">
        <v>0</v>
      </c>
      <c r="UD178">
        <v>0</v>
      </c>
      <c r="UE178">
        <v>0</v>
      </c>
      <c r="UF178">
        <v>0</v>
      </c>
      <c r="UG178">
        <v>0</v>
      </c>
      <c r="UH178">
        <v>2</v>
      </c>
      <c r="UI178">
        <v>2</v>
      </c>
      <c r="UJ178">
        <v>2</v>
      </c>
      <c r="UK178">
        <v>2</v>
      </c>
      <c r="UL178">
        <v>2</v>
      </c>
      <c r="UM178">
        <v>2</v>
      </c>
      <c r="UN178">
        <v>2</v>
      </c>
      <c r="UO178">
        <v>2</v>
      </c>
      <c r="UP178">
        <v>2</v>
      </c>
      <c r="UQ178">
        <v>2</v>
      </c>
      <c r="UR178">
        <v>2</v>
      </c>
      <c r="US178">
        <v>2</v>
      </c>
      <c r="UT178">
        <v>2</v>
      </c>
      <c r="UU178">
        <v>2</v>
      </c>
      <c r="UV178">
        <v>2</v>
      </c>
      <c r="UW178">
        <v>2</v>
      </c>
      <c r="UX178">
        <v>2</v>
      </c>
      <c r="UY178">
        <v>2</v>
      </c>
      <c r="UZ178">
        <v>2</v>
      </c>
      <c r="VA178">
        <v>2</v>
      </c>
      <c r="VB178">
        <v>2</v>
      </c>
      <c r="VC178">
        <v>2</v>
      </c>
      <c r="VD178">
        <v>2</v>
      </c>
      <c r="VE178">
        <v>2</v>
      </c>
      <c r="VF178">
        <v>2</v>
      </c>
      <c r="VG178">
        <v>2</v>
      </c>
      <c r="VH178">
        <v>2</v>
      </c>
      <c r="VI178">
        <v>2</v>
      </c>
      <c r="VJ178">
        <v>2</v>
      </c>
      <c r="VK178">
        <v>2</v>
      </c>
      <c r="VL178">
        <v>2</v>
      </c>
      <c r="VM178">
        <v>2</v>
      </c>
      <c r="VN178">
        <v>2</v>
      </c>
      <c r="VO178">
        <v>2</v>
      </c>
      <c r="VP178">
        <v>2</v>
      </c>
      <c r="VQ178">
        <v>2</v>
      </c>
      <c r="VR178">
        <v>2</v>
      </c>
      <c r="VS178">
        <v>2</v>
      </c>
      <c r="VT178">
        <v>2</v>
      </c>
      <c r="VU178">
        <v>2</v>
      </c>
      <c r="VV178">
        <v>2</v>
      </c>
      <c r="VW178">
        <v>2</v>
      </c>
      <c r="VX178">
        <v>2</v>
      </c>
      <c r="VY178">
        <v>2</v>
      </c>
      <c r="VZ178">
        <v>2</v>
      </c>
      <c r="WA178">
        <v>2</v>
      </c>
      <c r="WB178">
        <v>2</v>
      </c>
      <c r="WC178">
        <v>2</v>
      </c>
      <c r="WD178">
        <v>2</v>
      </c>
      <c r="WE178">
        <v>2</v>
      </c>
      <c r="WF178">
        <v>2</v>
      </c>
      <c r="WG178">
        <v>2</v>
      </c>
      <c r="WH178">
        <v>2</v>
      </c>
      <c r="WI178">
        <v>2</v>
      </c>
      <c r="WJ178">
        <v>2</v>
      </c>
      <c r="WK178">
        <v>2</v>
      </c>
      <c r="WL178">
        <v>2</v>
      </c>
      <c r="WM178">
        <v>2</v>
      </c>
      <c r="WN178">
        <v>2</v>
      </c>
      <c r="WO178">
        <v>2</v>
      </c>
      <c r="WP178">
        <v>2</v>
      </c>
      <c r="WQ178">
        <v>2</v>
      </c>
      <c r="WR178">
        <v>2</v>
      </c>
      <c r="WS178">
        <v>2</v>
      </c>
      <c r="WT178">
        <v>2</v>
      </c>
      <c r="WU178">
        <v>2</v>
      </c>
      <c r="WV178">
        <v>2</v>
      </c>
      <c r="WW178">
        <v>2</v>
      </c>
      <c r="WX178">
        <v>2</v>
      </c>
      <c r="WY178">
        <v>2</v>
      </c>
      <c r="WZ178">
        <v>2</v>
      </c>
      <c r="XA178">
        <v>2</v>
      </c>
      <c r="XB178">
        <v>2</v>
      </c>
      <c r="XC178">
        <v>2</v>
      </c>
      <c r="XD178">
        <v>2</v>
      </c>
      <c r="XE178">
        <v>2</v>
      </c>
      <c r="XF178">
        <v>2</v>
      </c>
      <c r="XG178">
        <v>2</v>
      </c>
      <c r="XH178">
        <v>2</v>
      </c>
      <c r="XI178">
        <v>2</v>
      </c>
      <c r="XJ178">
        <v>2</v>
      </c>
      <c r="XK178">
        <v>2</v>
      </c>
      <c r="XL178">
        <v>2</v>
      </c>
      <c r="XM178">
        <v>2</v>
      </c>
      <c r="XN178">
        <v>2</v>
      </c>
      <c r="XO178">
        <v>2</v>
      </c>
      <c r="XP178">
        <v>2</v>
      </c>
      <c r="XQ178">
        <v>2</v>
      </c>
      <c r="XR178">
        <v>2</v>
      </c>
      <c r="XS178">
        <v>2</v>
      </c>
      <c r="XT178">
        <v>2</v>
      </c>
      <c r="XU178">
        <v>2</v>
      </c>
      <c r="XV178">
        <v>2</v>
      </c>
      <c r="XW178">
        <v>2</v>
      </c>
      <c r="XX178">
        <v>2</v>
      </c>
      <c r="XY178">
        <v>2</v>
      </c>
      <c r="XZ178">
        <v>2</v>
      </c>
      <c r="YA178">
        <v>2</v>
      </c>
      <c r="YB178">
        <v>2</v>
      </c>
      <c r="YC178">
        <v>2</v>
      </c>
      <c r="YD178">
        <v>2</v>
      </c>
      <c r="YE178">
        <v>2</v>
      </c>
      <c r="YF178">
        <v>2</v>
      </c>
      <c r="YG178">
        <v>2</v>
      </c>
      <c r="YH178">
        <v>2</v>
      </c>
      <c r="YI178">
        <v>2</v>
      </c>
      <c r="YJ178">
        <v>2</v>
      </c>
      <c r="YK178">
        <v>2</v>
      </c>
      <c r="YL178">
        <v>2</v>
      </c>
      <c r="YM178">
        <v>2</v>
      </c>
      <c r="YN178">
        <v>2</v>
      </c>
      <c r="YO178">
        <v>2</v>
      </c>
      <c r="YP178">
        <v>2</v>
      </c>
      <c r="YQ178">
        <v>2</v>
      </c>
      <c r="YR178">
        <v>2</v>
      </c>
      <c r="YS178">
        <v>2</v>
      </c>
      <c r="YT178">
        <v>2</v>
      </c>
      <c r="YU178">
        <v>2</v>
      </c>
      <c r="YV178">
        <v>2</v>
      </c>
      <c r="YW178">
        <v>2</v>
      </c>
      <c r="YX178">
        <v>2</v>
      </c>
      <c r="YY178">
        <v>2</v>
      </c>
      <c r="YZ178">
        <v>2</v>
      </c>
      <c r="ZA178">
        <v>2</v>
      </c>
      <c r="ZB178">
        <v>2</v>
      </c>
      <c r="ZC178">
        <v>2</v>
      </c>
      <c r="ZD178">
        <v>2</v>
      </c>
      <c r="ZE178">
        <v>2</v>
      </c>
      <c r="ZF178">
        <v>2</v>
      </c>
      <c r="ZG178">
        <v>2</v>
      </c>
      <c r="ZH178">
        <v>2</v>
      </c>
      <c r="ZI178">
        <v>2</v>
      </c>
      <c r="ZJ178">
        <v>2</v>
      </c>
      <c r="ZK178">
        <v>2</v>
      </c>
      <c r="ZL178">
        <v>2</v>
      </c>
      <c r="ZM178">
        <v>2</v>
      </c>
      <c r="ZN178">
        <v>2</v>
      </c>
      <c r="ZO178">
        <v>2</v>
      </c>
      <c r="ZP178">
        <v>2</v>
      </c>
      <c r="ZQ178">
        <v>2</v>
      </c>
      <c r="ZR178">
        <v>2</v>
      </c>
      <c r="ZS178">
        <v>2</v>
      </c>
      <c r="ZT178">
        <v>2</v>
      </c>
      <c r="ZU178">
        <v>2</v>
      </c>
      <c r="ZV178">
        <v>2</v>
      </c>
      <c r="ZW178">
        <v>2</v>
      </c>
      <c r="ZX178">
        <v>2</v>
      </c>
      <c r="ZY178">
        <v>2</v>
      </c>
      <c r="ZZ178">
        <v>2</v>
      </c>
      <c r="AAA178">
        <v>2</v>
      </c>
      <c r="AAB178">
        <v>2</v>
      </c>
      <c r="AAC178">
        <v>2</v>
      </c>
      <c r="AAD178">
        <v>2</v>
      </c>
      <c r="AAE178">
        <v>2</v>
      </c>
      <c r="AAF178">
        <v>2</v>
      </c>
      <c r="AAG178">
        <v>2</v>
      </c>
      <c r="AAH178">
        <v>2</v>
      </c>
      <c r="AAI178">
        <v>2</v>
      </c>
      <c r="AAJ178">
        <v>2</v>
      </c>
      <c r="AAK178">
        <v>2</v>
      </c>
      <c r="AAL178">
        <v>2</v>
      </c>
      <c r="AAM178">
        <v>2</v>
      </c>
      <c r="AAN178">
        <v>2</v>
      </c>
      <c r="AAO178">
        <v>2</v>
      </c>
      <c r="AAP178">
        <v>2</v>
      </c>
      <c r="AAQ178">
        <v>2</v>
      </c>
      <c r="AAR178">
        <v>2</v>
      </c>
      <c r="AAS178">
        <v>2</v>
      </c>
      <c r="AAT178">
        <v>2</v>
      </c>
      <c r="AAU178">
        <v>2</v>
      </c>
      <c r="AAV178">
        <v>2</v>
      </c>
      <c r="AAW178">
        <v>2</v>
      </c>
      <c r="AAX178">
        <v>2</v>
      </c>
      <c r="AAY178">
        <v>2</v>
      </c>
      <c r="AAZ178">
        <v>2</v>
      </c>
      <c r="ABA178">
        <v>2</v>
      </c>
      <c r="ABB178">
        <v>2</v>
      </c>
      <c r="ABC178">
        <v>2</v>
      </c>
      <c r="ABD178">
        <v>2</v>
      </c>
      <c r="ABE178">
        <v>2</v>
      </c>
      <c r="ABG178" s="1137">
        <f t="shared" si="45"/>
        <v>0</v>
      </c>
      <c r="ABH178" s="1137">
        <f t="shared" si="45"/>
        <v>0</v>
      </c>
      <c r="ABI178" s="1137">
        <f t="shared" si="45"/>
        <v>14</v>
      </c>
      <c r="ABJ178" s="1137">
        <f t="shared" si="45"/>
        <v>30</v>
      </c>
      <c r="ABK178" s="1137">
        <f t="shared" si="45"/>
        <v>31</v>
      </c>
      <c r="ABL178" s="1137">
        <f t="shared" si="45"/>
        <v>30</v>
      </c>
      <c r="ABM178" s="1137">
        <f t="shared" si="45"/>
        <v>31</v>
      </c>
      <c r="ABN178" s="1137">
        <f t="shared" si="45"/>
        <v>31</v>
      </c>
      <c r="ABO178" s="1137">
        <f t="shared" si="45"/>
        <v>30</v>
      </c>
      <c r="ABP178" s="1137">
        <f t="shared" si="45"/>
        <v>18</v>
      </c>
      <c r="ABQ178" s="1137">
        <f t="shared" si="45"/>
        <v>7</v>
      </c>
      <c r="ABR178" s="1137">
        <f t="shared" si="45"/>
        <v>13</v>
      </c>
      <c r="ABS178" s="1137">
        <f t="shared" si="45"/>
        <v>13</v>
      </c>
      <c r="ABT178" s="1137">
        <f t="shared" si="45"/>
        <v>1</v>
      </c>
      <c r="ABU178" s="1137">
        <f t="shared" si="45"/>
        <v>0</v>
      </c>
      <c r="ABV178" s="1137">
        <f t="shared" si="45"/>
        <v>7</v>
      </c>
      <c r="ABW178" s="1137">
        <f t="shared" si="31"/>
        <v>24</v>
      </c>
      <c r="ABX178" s="1137">
        <f t="shared" si="31"/>
        <v>0</v>
      </c>
      <c r="ABY178" s="1137">
        <f t="shared" si="31"/>
        <v>27</v>
      </c>
      <c r="ABZ178" s="1137">
        <f t="shared" si="31"/>
        <v>31</v>
      </c>
      <c r="ACA178" s="1137">
        <f t="shared" si="31"/>
        <v>30</v>
      </c>
      <c r="ACB178" s="1137">
        <f t="shared" si="31"/>
        <v>31</v>
      </c>
      <c r="ACC178" s="1137">
        <f t="shared" si="31"/>
        <v>30</v>
      </c>
      <c r="ACD178" s="1137">
        <f t="shared" si="31"/>
        <v>31</v>
      </c>
      <c r="ACE178" s="1137" t="s">
        <v>73</v>
      </c>
      <c r="ACF178" s="1137">
        <f t="shared" si="39"/>
        <v>0</v>
      </c>
      <c r="ACG178" s="1137">
        <f t="shared" si="39"/>
        <v>0</v>
      </c>
      <c r="ACH178" s="1137">
        <f t="shared" si="39"/>
        <v>1</v>
      </c>
      <c r="ACI178" s="1137">
        <f t="shared" si="39"/>
        <v>1</v>
      </c>
      <c r="ACJ178" s="1137">
        <f t="shared" si="39"/>
        <v>1</v>
      </c>
      <c r="ACK178" s="1137">
        <f t="shared" si="39"/>
        <v>1</v>
      </c>
      <c r="ACL178" s="1137">
        <f t="shared" si="39"/>
        <v>1</v>
      </c>
      <c r="ACM178" s="1137">
        <f t="shared" si="39"/>
        <v>1</v>
      </c>
      <c r="ACN178" s="1137">
        <f t="shared" si="39"/>
        <v>1</v>
      </c>
      <c r="ACO178" s="1137">
        <f t="shared" si="39"/>
        <v>1</v>
      </c>
      <c r="ACP178" s="1137">
        <f t="shared" si="39"/>
        <v>0</v>
      </c>
      <c r="ACQ178" s="1137">
        <f t="shared" si="39"/>
        <v>1</v>
      </c>
      <c r="ACR178" s="1137">
        <f t="shared" si="39"/>
        <v>1</v>
      </c>
      <c r="ACS178" s="1137">
        <f t="shared" si="39"/>
        <v>0</v>
      </c>
      <c r="ACT178" s="1137">
        <f t="shared" si="43"/>
        <v>0</v>
      </c>
      <c r="ACU178" s="1137">
        <f t="shared" si="43"/>
        <v>0</v>
      </c>
      <c r="ACV178" s="1137">
        <f t="shared" si="43"/>
        <v>1</v>
      </c>
      <c r="ACW178" s="1137">
        <f t="shared" si="43"/>
        <v>0</v>
      </c>
      <c r="ACX178" s="1137">
        <f t="shared" si="42"/>
        <v>1</v>
      </c>
      <c r="ACY178" s="1137">
        <f t="shared" si="42"/>
        <v>1</v>
      </c>
      <c r="ACZ178" s="1137">
        <f t="shared" si="42"/>
        <v>1</v>
      </c>
      <c r="ADA178" s="1137">
        <f t="shared" si="35"/>
        <v>1</v>
      </c>
      <c r="ADB178" s="1137">
        <f t="shared" si="35"/>
        <v>1</v>
      </c>
      <c r="ADC178" s="1137">
        <f t="shared" si="35"/>
        <v>1</v>
      </c>
    </row>
    <row r="179" spans="1:783" x14ac:dyDescent="0.25">
      <c r="A179" t="s">
        <v>1977</v>
      </c>
      <c r="B179" t="s">
        <v>272</v>
      </c>
      <c r="C179">
        <v>0</v>
      </c>
      <c r="D179">
        <v>0</v>
      </c>
      <c r="E179">
        <v>0</v>
      </c>
      <c r="F179">
        <v>0</v>
      </c>
      <c r="G179">
        <v>0</v>
      </c>
      <c r="H179">
        <v>0</v>
      </c>
      <c r="I179">
        <v>0</v>
      </c>
      <c r="J179">
        <v>0</v>
      </c>
      <c r="K179">
        <v>0</v>
      </c>
      <c r="L179">
        <v>0</v>
      </c>
      <c r="M179">
        <v>0</v>
      </c>
      <c r="N179">
        <v>0</v>
      </c>
      <c r="O179">
        <v>0</v>
      </c>
      <c r="P179">
        <v>0</v>
      </c>
      <c r="Q179">
        <v>0</v>
      </c>
      <c r="R179">
        <v>0</v>
      </c>
      <c r="S179">
        <v>0</v>
      </c>
      <c r="T179">
        <v>0</v>
      </c>
      <c r="U179">
        <v>0</v>
      </c>
      <c r="V179">
        <v>0</v>
      </c>
      <c r="W179">
        <v>0</v>
      </c>
      <c r="X179">
        <v>0</v>
      </c>
      <c r="Y179">
        <v>0</v>
      </c>
      <c r="Z179">
        <v>0</v>
      </c>
      <c r="AA179">
        <v>0</v>
      </c>
      <c r="AB179">
        <v>0</v>
      </c>
      <c r="AC179">
        <v>0</v>
      </c>
      <c r="AD179">
        <v>0</v>
      </c>
      <c r="AE179">
        <v>0</v>
      </c>
      <c r="AF179">
        <v>0</v>
      </c>
      <c r="AG179">
        <v>0</v>
      </c>
      <c r="AH179">
        <v>0</v>
      </c>
      <c r="AI179">
        <v>0</v>
      </c>
      <c r="AJ179">
        <v>0</v>
      </c>
      <c r="AK179">
        <v>0</v>
      </c>
      <c r="AL179">
        <v>0</v>
      </c>
      <c r="AM179">
        <v>0</v>
      </c>
      <c r="AN179">
        <v>0</v>
      </c>
      <c r="AO179">
        <v>0</v>
      </c>
      <c r="AP179">
        <v>0</v>
      </c>
      <c r="AQ179">
        <v>0</v>
      </c>
      <c r="AR179">
        <v>0</v>
      </c>
      <c r="AS179">
        <v>0</v>
      </c>
      <c r="AT179">
        <v>0</v>
      </c>
      <c r="AU179">
        <v>0</v>
      </c>
      <c r="AV179">
        <v>0</v>
      </c>
      <c r="AW179">
        <v>0</v>
      </c>
      <c r="AX179">
        <v>0</v>
      </c>
      <c r="AY179">
        <v>0</v>
      </c>
      <c r="AZ179">
        <v>0</v>
      </c>
      <c r="BA179">
        <v>0</v>
      </c>
      <c r="BB179">
        <v>0</v>
      </c>
      <c r="BC179">
        <v>0</v>
      </c>
      <c r="BD179">
        <v>0</v>
      </c>
      <c r="BE179">
        <v>0</v>
      </c>
      <c r="BF179">
        <v>0</v>
      </c>
      <c r="BG179">
        <v>0</v>
      </c>
      <c r="BH179">
        <v>0</v>
      </c>
      <c r="BI179">
        <v>0</v>
      </c>
      <c r="BJ179">
        <v>0</v>
      </c>
      <c r="BK179">
        <v>0</v>
      </c>
      <c r="BL179">
        <v>0</v>
      </c>
      <c r="BM179">
        <v>0</v>
      </c>
      <c r="BN179">
        <v>0</v>
      </c>
      <c r="BO179">
        <v>0</v>
      </c>
      <c r="BP179">
        <v>0</v>
      </c>
      <c r="BQ179">
        <v>0</v>
      </c>
      <c r="BR179">
        <v>0</v>
      </c>
      <c r="BS179">
        <v>0</v>
      </c>
      <c r="BT179">
        <v>0</v>
      </c>
      <c r="BU179">
        <v>0</v>
      </c>
      <c r="BV179">
        <v>2</v>
      </c>
      <c r="BW179">
        <v>2</v>
      </c>
      <c r="BX179">
        <v>2</v>
      </c>
      <c r="BY179">
        <v>2</v>
      </c>
      <c r="BZ179">
        <v>2</v>
      </c>
      <c r="CA179">
        <v>2</v>
      </c>
      <c r="CB179">
        <v>2</v>
      </c>
      <c r="CC179">
        <v>2</v>
      </c>
      <c r="CD179">
        <v>2</v>
      </c>
      <c r="CE179">
        <v>2</v>
      </c>
      <c r="CF179">
        <v>2</v>
      </c>
      <c r="CG179">
        <v>2</v>
      </c>
      <c r="CH179">
        <v>2</v>
      </c>
      <c r="CI179">
        <v>2</v>
      </c>
      <c r="CJ179">
        <v>2</v>
      </c>
      <c r="CK179">
        <v>2</v>
      </c>
      <c r="CL179">
        <v>2</v>
      </c>
      <c r="CM179">
        <v>2</v>
      </c>
      <c r="CN179">
        <v>2</v>
      </c>
      <c r="CO179">
        <v>2</v>
      </c>
      <c r="CP179">
        <v>2</v>
      </c>
      <c r="CQ179">
        <v>2</v>
      </c>
      <c r="CR179">
        <v>2</v>
      </c>
      <c r="CS179">
        <v>2</v>
      </c>
      <c r="CT179">
        <v>2</v>
      </c>
      <c r="CU179">
        <v>2</v>
      </c>
      <c r="CV179">
        <v>2</v>
      </c>
      <c r="CW179">
        <v>2</v>
      </c>
      <c r="CX179">
        <v>2</v>
      </c>
      <c r="CY179">
        <v>2</v>
      </c>
      <c r="CZ179">
        <v>2</v>
      </c>
      <c r="DA179">
        <v>2</v>
      </c>
      <c r="DB179">
        <v>2</v>
      </c>
      <c r="DC179">
        <v>2</v>
      </c>
      <c r="DD179">
        <v>2</v>
      </c>
      <c r="DE179">
        <v>2</v>
      </c>
      <c r="DF179">
        <v>2</v>
      </c>
      <c r="DG179">
        <v>2</v>
      </c>
      <c r="DH179">
        <v>2</v>
      </c>
      <c r="DI179">
        <v>2</v>
      </c>
      <c r="DJ179">
        <v>2</v>
      </c>
      <c r="DK179">
        <v>2</v>
      </c>
      <c r="DL179">
        <v>2</v>
      </c>
      <c r="DM179">
        <v>2</v>
      </c>
      <c r="DN179">
        <v>2</v>
      </c>
      <c r="DO179">
        <v>2</v>
      </c>
      <c r="DP179">
        <v>2</v>
      </c>
      <c r="DQ179">
        <v>2</v>
      </c>
      <c r="DR179">
        <v>2</v>
      </c>
      <c r="DS179">
        <v>2</v>
      </c>
      <c r="DT179">
        <v>2</v>
      </c>
      <c r="DU179">
        <v>2</v>
      </c>
      <c r="DV179">
        <v>2</v>
      </c>
      <c r="DW179">
        <v>2</v>
      </c>
      <c r="DX179">
        <v>2</v>
      </c>
      <c r="DY179">
        <v>2</v>
      </c>
      <c r="DZ179">
        <v>2</v>
      </c>
      <c r="EA179">
        <v>2</v>
      </c>
      <c r="EB179">
        <v>2</v>
      </c>
      <c r="EC179">
        <v>2</v>
      </c>
      <c r="ED179">
        <v>2</v>
      </c>
      <c r="EE179">
        <v>2</v>
      </c>
      <c r="EF179">
        <v>2</v>
      </c>
      <c r="EG179">
        <v>2</v>
      </c>
      <c r="EH179">
        <v>2</v>
      </c>
      <c r="EI179">
        <v>2</v>
      </c>
      <c r="EJ179">
        <v>2</v>
      </c>
      <c r="EK179">
        <v>2</v>
      </c>
      <c r="EL179">
        <v>2</v>
      </c>
      <c r="EM179">
        <v>2</v>
      </c>
      <c r="EN179">
        <v>2</v>
      </c>
      <c r="EO179">
        <v>2</v>
      </c>
      <c r="EP179">
        <v>2</v>
      </c>
      <c r="EQ179">
        <v>2</v>
      </c>
      <c r="ER179">
        <v>2</v>
      </c>
      <c r="ES179">
        <v>2</v>
      </c>
      <c r="ET179">
        <v>2</v>
      </c>
      <c r="EU179">
        <v>2</v>
      </c>
      <c r="EV179">
        <v>2</v>
      </c>
      <c r="EW179">
        <v>2</v>
      </c>
      <c r="EX179">
        <v>2</v>
      </c>
      <c r="EY179">
        <v>2</v>
      </c>
      <c r="EZ179">
        <v>2</v>
      </c>
      <c r="FA179">
        <v>2</v>
      </c>
      <c r="FB179">
        <v>2</v>
      </c>
      <c r="FC179">
        <v>2</v>
      </c>
      <c r="FD179">
        <v>2</v>
      </c>
      <c r="FE179">
        <v>2</v>
      </c>
      <c r="FF179">
        <v>2</v>
      </c>
      <c r="FG179">
        <v>2</v>
      </c>
      <c r="FH179">
        <v>2</v>
      </c>
      <c r="FI179">
        <v>2</v>
      </c>
      <c r="FJ179">
        <v>2</v>
      </c>
      <c r="FK179">
        <v>2</v>
      </c>
      <c r="FL179">
        <v>2</v>
      </c>
      <c r="FM179">
        <v>2</v>
      </c>
      <c r="FN179">
        <v>2</v>
      </c>
      <c r="FO179">
        <v>2</v>
      </c>
      <c r="FP179">
        <v>2</v>
      </c>
      <c r="FQ179">
        <v>2</v>
      </c>
      <c r="FR179">
        <v>2</v>
      </c>
      <c r="FS179">
        <v>2</v>
      </c>
      <c r="FT179">
        <v>2</v>
      </c>
      <c r="FU179">
        <v>2</v>
      </c>
      <c r="FV179">
        <v>2</v>
      </c>
      <c r="FW179">
        <v>2</v>
      </c>
      <c r="FX179">
        <v>2</v>
      </c>
      <c r="FY179">
        <v>2</v>
      </c>
      <c r="FZ179">
        <v>2</v>
      </c>
      <c r="GA179">
        <v>2</v>
      </c>
      <c r="GB179">
        <v>2</v>
      </c>
      <c r="GC179">
        <v>2</v>
      </c>
      <c r="GD179">
        <v>2</v>
      </c>
      <c r="GE179">
        <v>2</v>
      </c>
      <c r="GF179">
        <v>2</v>
      </c>
      <c r="GG179">
        <v>2</v>
      </c>
      <c r="GH179">
        <v>2</v>
      </c>
      <c r="GI179">
        <v>2</v>
      </c>
      <c r="GJ179">
        <v>2</v>
      </c>
      <c r="GK179">
        <v>2</v>
      </c>
      <c r="GL179">
        <v>2</v>
      </c>
      <c r="GM179">
        <v>2</v>
      </c>
      <c r="GN179">
        <v>2</v>
      </c>
      <c r="GO179">
        <v>2</v>
      </c>
      <c r="GP179">
        <v>2</v>
      </c>
      <c r="GQ179">
        <v>2</v>
      </c>
      <c r="GR179">
        <v>2</v>
      </c>
      <c r="GS179">
        <v>2</v>
      </c>
      <c r="GT179">
        <v>2</v>
      </c>
      <c r="GU179">
        <v>2</v>
      </c>
      <c r="GV179">
        <v>2</v>
      </c>
      <c r="GW179">
        <v>2</v>
      </c>
      <c r="GX179">
        <v>2</v>
      </c>
      <c r="GY179">
        <v>2</v>
      </c>
      <c r="GZ179">
        <v>2</v>
      </c>
      <c r="HA179">
        <v>2</v>
      </c>
      <c r="HB179">
        <v>2</v>
      </c>
      <c r="HC179">
        <v>2</v>
      </c>
      <c r="HD179">
        <v>2</v>
      </c>
      <c r="HE179">
        <v>2</v>
      </c>
      <c r="HF179">
        <v>2</v>
      </c>
      <c r="HG179">
        <v>2</v>
      </c>
      <c r="HH179">
        <v>2</v>
      </c>
      <c r="HI179">
        <v>2</v>
      </c>
      <c r="HJ179">
        <v>2</v>
      </c>
      <c r="HK179">
        <v>2</v>
      </c>
      <c r="HL179">
        <v>2</v>
      </c>
      <c r="HM179">
        <v>2</v>
      </c>
      <c r="HN179">
        <v>2</v>
      </c>
      <c r="HO179">
        <v>2</v>
      </c>
      <c r="HP179">
        <v>2</v>
      </c>
      <c r="HQ179">
        <v>2</v>
      </c>
      <c r="HR179">
        <v>2</v>
      </c>
      <c r="HS179">
        <v>2</v>
      </c>
      <c r="HT179">
        <v>2</v>
      </c>
      <c r="HU179">
        <v>2</v>
      </c>
      <c r="HV179">
        <v>2</v>
      </c>
      <c r="HW179">
        <v>2</v>
      </c>
      <c r="HX179">
        <v>2</v>
      </c>
      <c r="HY179">
        <v>2</v>
      </c>
      <c r="HZ179">
        <v>2</v>
      </c>
      <c r="IA179">
        <v>2</v>
      </c>
      <c r="IB179">
        <v>2</v>
      </c>
      <c r="IC179">
        <v>2</v>
      </c>
      <c r="ID179">
        <v>2</v>
      </c>
      <c r="IE179">
        <v>2</v>
      </c>
      <c r="IF179">
        <v>2</v>
      </c>
      <c r="IG179">
        <v>2</v>
      </c>
      <c r="IH179">
        <v>2</v>
      </c>
      <c r="II179">
        <v>2</v>
      </c>
      <c r="IJ179">
        <v>2</v>
      </c>
      <c r="IK179">
        <v>2</v>
      </c>
      <c r="IL179">
        <v>2</v>
      </c>
      <c r="IM179">
        <v>2</v>
      </c>
      <c r="IN179">
        <v>2</v>
      </c>
      <c r="IO179">
        <v>2</v>
      </c>
      <c r="IP179">
        <v>2</v>
      </c>
      <c r="IQ179">
        <v>2</v>
      </c>
      <c r="IR179">
        <v>2</v>
      </c>
      <c r="IS179">
        <v>2</v>
      </c>
      <c r="IT179">
        <v>2</v>
      </c>
      <c r="IU179">
        <v>2</v>
      </c>
      <c r="IV179">
        <v>2</v>
      </c>
      <c r="IW179">
        <v>2</v>
      </c>
      <c r="IX179">
        <v>2</v>
      </c>
      <c r="IY179">
        <v>2</v>
      </c>
      <c r="IZ179">
        <v>2</v>
      </c>
      <c r="JA179">
        <v>2</v>
      </c>
      <c r="JB179">
        <v>2</v>
      </c>
      <c r="JC179">
        <v>2</v>
      </c>
      <c r="JD179">
        <v>2</v>
      </c>
      <c r="JE179">
        <v>2</v>
      </c>
      <c r="JF179">
        <v>2</v>
      </c>
      <c r="JG179">
        <v>2</v>
      </c>
      <c r="JH179">
        <v>2</v>
      </c>
      <c r="JI179">
        <v>2</v>
      </c>
      <c r="JJ179">
        <v>2</v>
      </c>
      <c r="JK179">
        <v>2</v>
      </c>
      <c r="JL179">
        <v>2</v>
      </c>
      <c r="JM179">
        <v>2</v>
      </c>
      <c r="JN179">
        <v>2</v>
      </c>
      <c r="JO179">
        <v>2</v>
      </c>
      <c r="JP179">
        <v>2</v>
      </c>
      <c r="JQ179">
        <v>2</v>
      </c>
      <c r="JR179">
        <v>2</v>
      </c>
      <c r="JS179">
        <v>2</v>
      </c>
      <c r="JT179">
        <v>2</v>
      </c>
      <c r="JU179">
        <v>2</v>
      </c>
      <c r="JV179">
        <v>2</v>
      </c>
      <c r="JW179">
        <v>2</v>
      </c>
      <c r="JX179">
        <v>2</v>
      </c>
      <c r="JY179">
        <v>2</v>
      </c>
      <c r="JZ179">
        <v>2</v>
      </c>
      <c r="KA179">
        <v>2</v>
      </c>
      <c r="KB179">
        <v>2</v>
      </c>
      <c r="KC179">
        <v>2</v>
      </c>
      <c r="KD179">
        <v>2</v>
      </c>
      <c r="KE179">
        <v>2</v>
      </c>
      <c r="KF179">
        <v>2</v>
      </c>
      <c r="KG179">
        <v>2</v>
      </c>
      <c r="KH179">
        <v>2</v>
      </c>
      <c r="KI179">
        <v>2</v>
      </c>
      <c r="KJ179">
        <v>2</v>
      </c>
      <c r="KK179">
        <v>2</v>
      </c>
      <c r="KL179">
        <v>2</v>
      </c>
      <c r="KM179">
        <v>2</v>
      </c>
      <c r="KN179">
        <v>2</v>
      </c>
      <c r="KO179">
        <v>2</v>
      </c>
      <c r="KP179">
        <v>2</v>
      </c>
      <c r="KQ179">
        <v>2</v>
      </c>
      <c r="KR179">
        <v>2</v>
      </c>
      <c r="KS179">
        <v>2</v>
      </c>
      <c r="KT179">
        <v>2</v>
      </c>
      <c r="KU179">
        <v>2</v>
      </c>
      <c r="KV179">
        <v>2</v>
      </c>
      <c r="KW179">
        <v>2</v>
      </c>
      <c r="KX179">
        <v>2</v>
      </c>
      <c r="KY179">
        <v>2</v>
      </c>
      <c r="KZ179">
        <v>2</v>
      </c>
      <c r="LA179">
        <v>2</v>
      </c>
      <c r="LB179">
        <v>2</v>
      </c>
      <c r="LC179">
        <v>2</v>
      </c>
      <c r="LD179">
        <v>2</v>
      </c>
      <c r="LE179">
        <v>2</v>
      </c>
      <c r="LF179">
        <v>2</v>
      </c>
      <c r="LG179">
        <v>2</v>
      </c>
      <c r="LH179">
        <v>2</v>
      </c>
      <c r="LI179">
        <v>2</v>
      </c>
      <c r="LJ179">
        <v>2</v>
      </c>
      <c r="LK179">
        <v>2</v>
      </c>
      <c r="LL179">
        <v>2</v>
      </c>
      <c r="LM179">
        <v>2</v>
      </c>
      <c r="LN179">
        <v>2</v>
      </c>
      <c r="LO179">
        <v>2</v>
      </c>
      <c r="LP179">
        <v>2</v>
      </c>
      <c r="LQ179">
        <v>2</v>
      </c>
      <c r="LR179">
        <v>2</v>
      </c>
      <c r="LS179">
        <v>2</v>
      </c>
      <c r="LT179">
        <v>2</v>
      </c>
      <c r="LU179">
        <v>2</v>
      </c>
      <c r="LV179">
        <v>2</v>
      </c>
      <c r="LW179">
        <v>2</v>
      </c>
      <c r="LX179">
        <v>2</v>
      </c>
      <c r="LY179">
        <v>2</v>
      </c>
      <c r="LZ179">
        <v>2</v>
      </c>
      <c r="MA179">
        <v>2</v>
      </c>
      <c r="MB179">
        <v>2</v>
      </c>
      <c r="MC179">
        <v>2</v>
      </c>
      <c r="MD179">
        <v>2</v>
      </c>
      <c r="ME179">
        <v>2</v>
      </c>
      <c r="MF179">
        <v>2</v>
      </c>
      <c r="MG179">
        <v>2</v>
      </c>
      <c r="MH179">
        <v>2</v>
      </c>
      <c r="MI179">
        <v>2</v>
      </c>
      <c r="MJ179">
        <v>2</v>
      </c>
      <c r="MK179">
        <v>2</v>
      </c>
      <c r="ML179">
        <v>2</v>
      </c>
      <c r="MM179">
        <v>2</v>
      </c>
      <c r="MN179">
        <v>2</v>
      </c>
      <c r="MO179">
        <v>2</v>
      </c>
      <c r="MP179">
        <v>2</v>
      </c>
      <c r="MQ179">
        <v>2</v>
      </c>
      <c r="MR179">
        <v>0</v>
      </c>
      <c r="MS179">
        <v>0</v>
      </c>
      <c r="MT179">
        <v>0</v>
      </c>
      <c r="MU179">
        <v>0</v>
      </c>
      <c r="MV179">
        <v>0</v>
      </c>
      <c r="MW179">
        <v>0</v>
      </c>
      <c r="MX179">
        <v>0</v>
      </c>
      <c r="MY179">
        <v>0</v>
      </c>
      <c r="MZ179">
        <v>0</v>
      </c>
      <c r="NA179">
        <v>0</v>
      </c>
      <c r="NB179">
        <v>0</v>
      </c>
      <c r="NC179">
        <v>0</v>
      </c>
      <c r="ND179">
        <v>0</v>
      </c>
      <c r="NE179">
        <v>0</v>
      </c>
      <c r="NF179">
        <v>0</v>
      </c>
      <c r="NG179">
        <v>0</v>
      </c>
      <c r="NH179">
        <v>0</v>
      </c>
      <c r="NI179">
        <v>0</v>
      </c>
      <c r="NJ179">
        <v>0</v>
      </c>
      <c r="NK179">
        <v>0</v>
      </c>
      <c r="NL179">
        <v>0</v>
      </c>
      <c r="NM179">
        <v>0</v>
      </c>
      <c r="NN179">
        <v>0</v>
      </c>
      <c r="NO179">
        <v>0</v>
      </c>
      <c r="NP179">
        <v>0</v>
      </c>
      <c r="NQ179">
        <v>0</v>
      </c>
      <c r="NR179">
        <v>0</v>
      </c>
      <c r="NS179">
        <v>0</v>
      </c>
      <c r="NT179">
        <v>0</v>
      </c>
      <c r="NU179">
        <v>0</v>
      </c>
      <c r="NV179">
        <v>0</v>
      </c>
      <c r="NW179">
        <v>0</v>
      </c>
      <c r="NX179">
        <v>0</v>
      </c>
      <c r="NY179">
        <v>0</v>
      </c>
      <c r="NZ179">
        <v>0</v>
      </c>
      <c r="OA179">
        <v>0</v>
      </c>
      <c r="OB179">
        <v>0</v>
      </c>
      <c r="OC179">
        <v>0</v>
      </c>
      <c r="OD179">
        <v>0</v>
      </c>
      <c r="OE179">
        <v>0</v>
      </c>
      <c r="OF179">
        <v>0</v>
      </c>
      <c r="OG179">
        <v>0</v>
      </c>
      <c r="OH179">
        <v>0</v>
      </c>
      <c r="OI179">
        <v>0</v>
      </c>
      <c r="OJ179">
        <v>0</v>
      </c>
      <c r="OK179">
        <v>0</v>
      </c>
      <c r="OL179">
        <v>0</v>
      </c>
      <c r="OM179">
        <v>0</v>
      </c>
      <c r="ON179">
        <v>0</v>
      </c>
      <c r="OO179">
        <v>0</v>
      </c>
      <c r="OP179">
        <v>0</v>
      </c>
      <c r="OQ179">
        <v>0</v>
      </c>
      <c r="OR179">
        <v>0</v>
      </c>
      <c r="OS179">
        <v>0</v>
      </c>
      <c r="OT179">
        <v>0</v>
      </c>
      <c r="OU179">
        <v>0</v>
      </c>
      <c r="OV179">
        <v>0</v>
      </c>
      <c r="OW179">
        <v>0</v>
      </c>
      <c r="OX179">
        <v>0</v>
      </c>
      <c r="OY179">
        <v>0</v>
      </c>
      <c r="OZ179">
        <v>0</v>
      </c>
      <c r="PA179">
        <v>0</v>
      </c>
      <c r="PB179">
        <v>0</v>
      </c>
      <c r="PC179">
        <v>0</v>
      </c>
      <c r="PD179">
        <v>0</v>
      </c>
      <c r="PE179">
        <v>0</v>
      </c>
      <c r="PF179">
        <v>0</v>
      </c>
      <c r="PG179">
        <v>0</v>
      </c>
      <c r="PH179">
        <v>0</v>
      </c>
      <c r="PI179">
        <v>1</v>
      </c>
      <c r="PJ179">
        <v>1</v>
      </c>
      <c r="PK179">
        <v>1</v>
      </c>
      <c r="PL179">
        <v>1</v>
      </c>
      <c r="PM179">
        <v>1</v>
      </c>
      <c r="PN179">
        <v>1</v>
      </c>
      <c r="PO179">
        <v>1</v>
      </c>
      <c r="PP179">
        <v>1</v>
      </c>
      <c r="PQ179">
        <v>1</v>
      </c>
      <c r="PR179">
        <v>1</v>
      </c>
      <c r="PS179">
        <v>1</v>
      </c>
      <c r="PT179">
        <v>1</v>
      </c>
      <c r="PU179">
        <v>1</v>
      </c>
      <c r="PV179">
        <v>1</v>
      </c>
      <c r="PW179">
        <v>1</v>
      </c>
      <c r="PX179">
        <v>1</v>
      </c>
      <c r="PY179">
        <v>1</v>
      </c>
      <c r="PZ179">
        <v>1</v>
      </c>
      <c r="QA179">
        <v>1</v>
      </c>
      <c r="QB179">
        <v>1</v>
      </c>
      <c r="QC179">
        <v>1</v>
      </c>
      <c r="QD179">
        <v>1</v>
      </c>
      <c r="QE179">
        <v>1</v>
      </c>
      <c r="QF179">
        <v>1</v>
      </c>
      <c r="QG179">
        <v>1</v>
      </c>
      <c r="QH179">
        <v>1</v>
      </c>
      <c r="QI179">
        <v>1</v>
      </c>
      <c r="QJ179">
        <v>1</v>
      </c>
      <c r="QK179">
        <v>1</v>
      </c>
      <c r="QL179">
        <v>1</v>
      </c>
      <c r="QM179">
        <v>1</v>
      </c>
      <c r="QN179">
        <v>1</v>
      </c>
      <c r="QO179">
        <v>1</v>
      </c>
      <c r="QP179">
        <v>1</v>
      </c>
      <c r="QQ179">
        <v>1</v>
      </c>
      <c r="QR179">
        <v>1</v>
      </c>
      <c r="QS179">
        <v>1</v>
      </c>
      <c r="QT179">
        <v>1</v>
      </c>
      <c r="QU179">
        <v>1</v>
      </c>
      <c r="QV179">
        <v>1</v>
      </c>
      <c r="QW179">
        <v>1</v>
      </c>
      <c r="QX179">
        <v>1</v>
      </c>
      <c r="QY179">
        <v>1</v>
      </c>
      <c r="QZ179">
        <v>1</v>
      </c>
      <c r="RA179">
        <v>1</v>
      </c>
      <c r="RB179">
        <v>1</v>
      </c>
      <c r="RC179">
        <v>2</v>
      </c>
      <c r="RD179">
        <v>2</v>
      </c>
      <c r="RE179">
        <v>2</v>
      </c>
      <c r="RF179">
        <v>2</v>
      </c>
      <c r="RG179">
        <v>2</v>
      </c>
      <c r="RH179">
        <v>2</v>
      </c>
      <c r="RI179">
        <v>2</v>
      </c>
      <c r="RJ179">
        <v>2</v>
      </c>
      <c r="RK179">
        <v>2</v>
      </c>
      <c r="RL179">
        <v>2</v>
      </c>
      <c r="RM179">
        <v>2</v>
      </c>
      <c r="RN179">
        <v>2</v>
      </c>
      <c r="RO179">
        <v>2</v>
      </c>
      <c r="RP179">
        <v>2</v>
      </c>
      <c r="RQ179">
        <v>2</v>
      </c>
      <c r="RR179">
        <v>2</v>
      </c>
      <c r="RS179">
        <v>2</v>
      </c>
      <c r="RT179">
        <v>2</v>
      </c>
      <c r="RU179">
        <v>2</v>
      </c>
      <c r="RV179">
        <v>2</v>
      </c>
      <c r="RW179">
        <v>2</v>
      </c>
      <c r="RX179">
        <v>2</v>
      </c>
      <c r="RY179">
        <v>2</v>
      </c>
      <c r="RZ179">
        <v>2</v>
      </c>
      <c r="SA179">
        <v>2</v>
      </c>
      <c r="SB179">
        <v>0</v>
      </c>
      <c r="SC179">
        <v>0</v>
      </c>
      <c r="SD179">
        <v>0</v>
      </c>
      <c r="SE179">
        <v>0</v>
      </c>
      <c r="SF179">
        <v>0</v>
      </c>
      <c r="SG179">
        <v>0</v>
      </c>
      <c r="SH179">
        <v>0</v>
      </c>
      <c r="SI179">
        <v>0</v>
      </c>
      <c r="SJ179">
        <v>0</v>
      </c>
      <c r="SK179">
        <v>0</v>
      </c>
      <c r="SL179">
        <v>0</v>
      </c>
      <c r="SM179">
        <v>0</v>
      </c>
      <c r="SN179">
        <v>0</v>
      </c>
      <c r="SO179">
        <v>0</v>
      </c>
      <c r="SP179">
        <v>0</v>
      </c>
      <c r="SQ179">
        <v>0</v>
      </c>
      <c r="SR179">
        <v>0</v>
      </c>
      <c r="SS179">
        <v>0</v>
      </c>
      <c r="ST179">
        <v>0</v>
      </c>
      <c r="SU179">
        <v>0</v>
      </c>
      <c r="SV179">
        <v>0</v>
      </c>
      <c r="SW179">
        <v>0</v>
      </c>
      <c r="SX179">
        <v>0</v>
      </c>
      <c r="SY179">
        <v>0</v>
      </c>
      <c r="SZ179">
        <v>0</v>
      </c>
      <c r="TA179">
        <v>0</v>
      </c>
      <c r="TB179">
        <v>0</v>
      </c>
      <c r="TC179">
        <v>0</v>
      </c>
      <c r="TD179">
        <v>0</v>
      </c>
      <c r="TE179">
        <v>0</v>
      </c>
      <c r="TF179">
        <v>0</v>
      </c>
      <c r="TG179">
        <v>0</v>
      </c>
      <c r="TH179">
        <v>0</v>
      </c>
      <c r="TI179">
        <v>0</v>
      </c>
      <c r="TJ179">
        <v>0</v>
      </c>
      <c r="TK179">
        <v>0</v>
      </c>
      <c r="TL179">
        <v>0</v>
      </c>
      <c r="TM179">
        <v>0</v>
      </c>
      <c r="TN179">
        <v>0</v>
      </c>
      <c r="TO179">
        <v>0</v>
      </c>
      <c r="TP179">
        <v>2</v>
      </c>
      <c r="TQ179">
        <v>2</v>
      </c>
      <c r="TR179">
        <v>2</v>
      </c>
      <c r="TS179">
        <v>2</v>
      </c>
      <c r="TT179">
        <v>2</v>
      </c>
      <c r="TU179">
        <v>2</v>
      </c>
      <c r="TV179">
        <v>2</v>
      </c>
      <c r="TW179">
        <v>2</v>
      </c>
      <c r="TX179">
        <v>2</v>
      </c>
      <c r="TY179">
        <v>2</v>
      </c>
      <c r="TZ179">
        <v>2</v>
      </c>
      <c r="UA179">
        <v>2</v>
      </c>
      <c r="UB179">
        <v>2</v>
      </c>
      <c r="UC179">
        <v>2</v>
      </c>
      <c r="UD179">
        <v>2</v>
      </c>
      <c r="UE179">
        <v>2</v>
      </c>
      <c r="UF179">
        <v>2</v>
      </c>
      <c r="UG179">
        <v>2</v>
      </c>
      <c r="UH179">
        <v>2</v>
      </c>
      <c r="UI179">
        <v>2</v>
      </c>
      <c r="UJ179">
        <v>2</v>
      </c>
      <c r="UK179">
        <v>2</v>
      </c>
      <c r="UL179">
        <v>2</v>
      </c>
      <c r="UM179">
        <v>2</v>
      </c>
      <c r="UN179">
        <v>2</v>
      </c>
      <c r="UO179">
        <v>2</v>
      </c>
      <c r="UP179">
        <v>2</v>
      </c>
      <c r="UQ179">
        <v>2</v>
      </c>
      <c r="UR179">
        <v>2</v>
      </c>
      <c r="US179">
        <v>2</v>
      </c>
      <c r="UT179">
        <v>2</v>
      </c>
      <c r="UU179">
        <v>2</v>
      </c>
      <c r="UV179">
        <v>2</v>
      </c>
      <c r="UW179">
        <v>2</v>
      </c>
      <c r="UX179">
        <v>2</v>
      </c>
      <c r="UY179">
        <v>2</v>
      </c>
      <c r="UZ179">
        <v>2</v>
      </c>
      <c r="VA179">
        <v>2</v>
      </c>
      <c r="VB179">
        <v>2</v>
      </c>
      <c r="VC179">
        <v>2</v>
      </c>
      <c r="VD179">
        <v>2</v>
      </c>
      <c r="VE179">
        <v>2</v>
      </c>
      <c r="VF179">
        <v>2</v>
      </c>
      <c r="VG179">
        <v>2</v>
      </c>
      <c r="VH179">
        <v>2</v>
      </c>
      <c r="VI179">
        <v>2</v>
      </c>
      <c r="VJ179">
        <v>2</v>
      </c>
      <c r="VK179">
        <v>2</v>
      </c>
      <c r="VL179">
        <v>2</v>
      </c>
      <c r="VM179">
        <v>2</v>
      </c>
      <c r="VN179">
        <v>2</v>
      </c>
      <c r="VO179">
        <v>2</v>
      </c>
      <c r="VP179">
        <v>2</v>
      </c>
      <c r="VQ179">
        <v>2</v>
      </c>
      <c r="VR179">
        <v>2</v>
      </c>
      <c r="VS179">
        <v>2</v>
      </c>
      <c r="VT179">
        <v>2</v>
      </c>
      <c r="VU179">
        <v>2</v>
      </c>
      <c r="VV179">
        <v>2</v>
      </c>
      <c r="VW179">
        <v>2</v>
      </c>
      <c r="VX179">
        <v>2</v>
      </c>
      <c r="VY179">
        <v>2</v>
      </c>
      <c r="VZ179">
        <v>2</v>
      </c>
      <c r="WA179">
        <v>2</v>
      </c>
      <c r="WB179">
        <v>2</v>
      </c>
      <c r="WC179">
        <v>2</v>
      </c>
      <c r="WD179">
        <v>2</v>
      </c>
      <c r="WE179">
        <v>2</v>
      </c>
      <c r="WF179">
        <v>2</v>
      </c>
      <c r="WG179">
        <v>2</v>
      </c>
      <c r="WH179">
        <v>2</v>
      </c>
      <c r="WI179">
        <v>2</v>
      </c>
      <c r="WJ179">
        <v>2</v>
      </c>
      <c r="WK179">
        <v>2</v>
      </c>
      <c r="WL179">
        <v>2</v>
      </c>
      <c r="WM179">
        <v>2</v>
      </c>
      <c r="WN179">
        <v>2</v>
      </c>
      <c r="WO179">
        <v>2</v>
      </c>
      <c r="WP179">
        <v>2</v>
      </c>
      <c r="WQ179">
        <v>2</v>
      </c>
      <c r="WR179">
        <v>2</v>
      </c>
      <c r="WS179">
        <v>2</v>
      </c>
      <c r="WT179">
        <v>2</v>
      </c>
      <c r="WU179">
        <v>2</v>
      </c>
      <c r="WV179">
        <v>2</v>
      </c>
      <c r="WW179">
        <v>2</v>
      </c>
      <c r="WX179">
        <v>2</v>
      </c>
      <c r="WY179">
        <v>2</v>
      </c>
      <c r="WZ179">
        <v>2</v>
      </c>
      <c r="XA179">
        <v>2</v>
      </c>
      <c r="XB179">
        <v>2</v>
      </c>
      <c r="XC179">
        <v>2</v>
      </c>
      <c r="XD179">
        <v>2</v>
      </c>
      <c r="XE179">
        <v>2</v>
      </c>
      <c r="XF179">
        <v>2</v>
      </c>
      <c r="XG179">
        <v>2</v>
      </c>
      <c r="XH179">
        <v>2</v>
      </c>
      <c r="XI179">
        <v>2</v>
      </c>
      <c r="XJ179">
        <v>2</v>
      </c>
      <c r="XK179">
        <v>2</v>
      </c>
      <c r="XL179">
        <v>2</v>
      </c>
      <c r="XM179">
        <v>2</v>
      </c>
      <c r="XN179">
        <v>2</v>
      </c>
      <c r="XO179">
        <v>2</v>
      </c>
      <c r="XP179">
        <v>2</v>
      </c>
      <c r="XQ179">
        <v>2</v>
      </c>
      <c r="XR179">
        <v>2</v>
      </c>
      <c r="XS179">
        <v>2</v>
      </c>
      <c r="XT179">
        <v>2</v>
      </c>
      <c r="XU179">
        <v>2</v>
      </c>
      <c r="XV179">
        <v>2</v>
      </c>
      <c r="XW179">
        <v>2</v>
      </c>
      <c r="XX179">
        <v>2</v>
      </c>
      <c r="XY179">
        <v>2</v>
      </c>
      <c r="XZ179">
        <v>2</v>
      </c>
      <c r="YA179">
        <v>2</v>
      </c>
      <c r="YB179">
        <v>2</v>
      </c>
      <c r="YC179">
        <v>2</v>
      </c>
      <c r="YD179">
        <v>2</v>
      </c>
      <c r="YE179">
        <v>2</v>
      </c>
      <c r="YF179">
        <v>2</v>
      </c>
      <c r="YG179">
        <v>2</v>
      </c>
      <c r="YH179">
        <v>2</v>
      </c>
      <c r="YI179">
        <v>2</v>
      </c>
      <c r="YJ179">
        <v>2</v>
      </c>
      <c r="YK179">
        <v>2</v>
      </c>
      <c r="YL179">
        <v>2</v>
      </c>
      <c r="YM179">
        <v>2</v>
      </c>
      <c r="YN179">
        <v>2</v>
      </c>
      <c r="YO179">
        <v>2</v>
      </c>
      <c r="YP179">
        <v>2</v>
      </c>
      <c r="YQ179">
        <v>2</v>
      </c>
      <c r="YR179">
        <v>2</v>
      </c>
      <c r="YS179">
        <v>2</v>
      </c>
      <c r="YT179">
        <v>2</v>
      </c>
      <c r="YU179">
        <v>2</v>
      </c>
      <c r="YV179">
        <v>2</v>
      </c>
      <c r="YW179">
        <v>2</v>
      </c>
      <c r="YX179">
        <v>2</v>
      </c>
      <c r="YY179">
        <v>2</v>
      </c>
      <c r="YZ179">
        <v>2</v>
      </c>
      <c r="ZA179">
        <v>2</v>
      </c>
      <c r="ZB179">
        <v>2</v>
      </c>
      <c r="ZC179">
        <v>2</v>
      </c>
      <c r="ZD179">
        <v>2</v>
      </c>
      <c r="ZE179">
        <v>2</v>
      </c>
      <c r="ZF179">
        <v>2</v>
      </c>
      <c r="ZG179">
        <v>2</v>
      </c>
      <c r="ZH179">
        <v>2</v>
      </c>
      <c r="ZI179">
        <v>2</v>
      </c>
      <c r="ZJ179">
        <v>2</v>
      </c>
      <c r="ZK179">
        <v>2</v>
      </c>
      <c r="ZL179">
        <v>2</v>
      </c>
      <c r="ZM179">
        <v>2</v>
      </c>
      <c r="ZN179">
        <v>2</v>
      </c>
      <c r="ZO179">
        <v>2</v>
      </c>
      <c r="ZP179">
        <v>2</v>
      </c>
      <c r="ZQ179">
        <v>2</v>
      </c>
      <c r="ZR179">
        <v>2</v>
      </c>
      <c r="ZS179">
        <v>2</v>
      </c>
      <c r="ZT179">
        <v>2</v>
      </c>
      <c r="ZU179">
        <v>2</v>
      </c>
      <c r="ZV179">
        <v>2</v>
      </c>
      <c r="ZW179">
        <v>2</v>
      </c>
      <c r="ZX179">
        <v>2</v>
      </c>
      <c r="ZY179">
        <v>2</v>
      </c>
      <c r="ZZ179">
        <v>2</v>
      </c>
      <c r="AAA179">
        <v>2</v>
      </c>
      <c r="AAB179">
        <v>2</v>
      </c>
      <c r="AAC179">
        <v>2</v>
      </c>
      <c r="AAD179">
        <v>2</v>
      </c>
      <c r="AAE179">
        <v>2</v>
      </c>
      <c r="AAF179">
        <v>2</v>
      </c>
      <c r="AAG179">
        <v>2</v>
      </c>
      <c r="AAH179">
        <v>2</v>
      </c>
      <c r="AAI179">
        <v>2</v>
      </c>
      <c r="AAJ179">
        <v>2</v>
      </c>
      <c r="AAK179">
        <v>2</v>
      </c>
      <c r="AAL179">
        <v>2</v>
      </c>
      <c r="AAM179">
        <v>2</v>
      </c>
      <c r="AAN179">
        <v>2</v>
      </c>
      <c r="AAO179">
        <v>2</v>
      </c>
      <c r="AAP179">
        <v>2</v>
      </c>
      <c r="AAQ179">
        <v>2</v>
      </c>
      <c r="AAR179">
        <v>2</v>
      </c>
      <c r="AAS179">
        <v>2</v>
      </c>
      <c r="AAT179">
        <v>2</v>
      </c>
      <c r="AAU179">
        <v>2</v>
      </c>
      <c r="AAV179">
        <v>2</v>
      </c>
      <c r="AAW179">
        <v>2</v>
      </c>
      <c r="AAX179">
        <v>2</v>
      </c>
      <c r="AAY179">
        <v>2</v>
      </c>
      <c r="AAZ179">
        <v>2</v>
      </c>
      <c r="ABA179">
        <v>2</v>
      </c>
      <c r="ABB179">
        <v>2</v>
      </c>
      <c r="ABC179">
        <v>2</v>
      </c>
      <c r="ABD179">
        <v>2</v>
      </c>
      <c r="ABE179">
        <v>2</v>
      </c>
      <c r="ABG179" s="1137">
        <f t="shared" si="45"/>
        <v>0</v>
      </c>
      <c r="ABH179" s="1137">
        <f t="shared" si="45"/>
        <v>0</v>
      </c>
      <c r="ABI179" s="1137">
        <f t="shared" si="45"/>
        <v>20</v>
      </c>
      <c r="ABJ179" s="1137">
        <f t="shared" si="45"/>
        <v>30</v>
      </c>
      <c r="ABK179" s="1137">
        <f t="shared" si="45"/>
        <v>31</v>
      </c>
      <c r="ABL179" s="1137">
        <f t="shared" si="45"/>
        <v>30</v>
      </c>
      <c r="ABM179" s="1137">
        <f t="shared" si="45"/>
        <v>31</v>
      </c>
      <c r="ABN179" s="1137">
        <f t="shared" si="45"/>
        <v>31</v>
      </c>
      <c r="ABO179" s="1137">
        <f t="shared" si="45"/>
        <v>30</v>
      </c>
      <c r="ABP179" s="1137">
        <f t="shared" si="45"/>
        <v>31</v>
      </c>
      <c r="ABQ179" s="1137">
        <f t="shared" si="45"/>
        <v>30</v>
      </c>
      <c r="ABR179" s="1137">
        <f t="shared" si="45"/>
        <v>18</v>
      </c>
      <c r="ABS179" s="1137">
        <f t="shared" si="45"/>
        <v>0</v>
      </c>
      <c r="ABT179" s="1137">
        <f t="shared" si="45"/>
        <v>3</v>
      </c>
      <c r="ABU179" s="1137">
        <f t="shared" si="45"/>
        <v>31</v>
      </c>
      <c r="ABV179" s="1137">
        <f t="shared" ref="ABV179" si="46">COUNTIFS($C$3:$ABE$3, ABV$3, $C$4:$ABE$4, ABV$4, $C179:$ABE179, "&gt;0")</f>
        <v>30</v>
      </c>
      <c r="ABW179" s="1137">
        <f t="shared" si="31"/>
        <v>7</v>
      </c>
      <c r="ABX179" s="1137">
        <f t="shared" si="31"/>
        <v>14</v>
      </c>
      <c r="ABY179" s="1137">
        <f t="shared" si="31"/>
        <v>31</v>
      </c>
      <c r="ABZ179" s="1137">
        <f t="shared" si="31"/>
        <v>31</v>
      </c>
      <c r="ACA179" s="1137">
        <f t="shared" si="31"/>
        <v>30</v>
      </c>
      <c r="ACB179" s="1137">
        <f t="shared" si="31"/>
        <v>31</v>
      </c>
      <c r="ACC179" s="1137">
        <f t="shared" si="31"/>
        <v>30</v>
      </c>
      <c r="ACD179" s="1137">
        <f t="shared" si="31"/>
        <v>31</v>
      </c>
      <c r="ACE179" s="1137" t="s">
        <v>272</v>
      </c>
      <c r="ACF179" s="1137">
        <f t="shared" si="39"/>
        <v>0</v>
      </c>
      <c r="ACG179" s="1137">
        <f t="shared" si="39"/>
        <v>0</v>
      </c>
      <c r="ACH179" s="1137">
        <f t="shared" si="39"/>
        <v>1</v>
      </c>
      <c r="ACI179" s="1137">
        <f t="shared" si="39"/>
        <v>1</v>
      </c>
      <c r="ACJ179" s="1137">
        <f t="shared" si="39"/>
        <v>1</v>
      </c>
      <c r="ACK179" s="1137">
        <f t="shared" ref="ACF179:ACS190" si="47">IF(ABL179&gt;10, 1, 0)</f>
        <v>1</v>
      </c>
      <c r="ACL179" s="1137">
        <f t="shared" si="47"/>
        <v>1</v>
      </c>
      <c r="ACM179" s="1137">
        <f t="shared" si="47"/>
        <v>1</v>
      </c>
      <c r="ACN179" s="1137">
        <f t="shared" si="47"/>
        <v>1</v>
      </c>
      <c r="ACO179" s="1137">
        <f t="shared" si="47"/>
        <v>1</v>
      </c>
      <c r="ACP179" s="1137">
        <f t="shared" si="47"/>
        <v>1</v>
      </c>
      <c r="ACQ179" s="1137">
        <f t="shared" si="47"/>
        <v>1</v>
      </c>
      <c r="ACR179" s="1137">
        <f t="shared" si="47"/>
        <v>0</v>
      </c>
      <c r="ACS179" s="1137">
        <f t="shared" si="47"/>
        <v>0</v>
      </c>
      <c r="ACT179" s="1137">
        <f t="shared" si="43"/>
        <v>1</v>
      </c>
      <c r="ACU179" s="1137">
        <f t="shared" si="43"/>
        <v>1</v>
      </c>
      <c r="ACV179" s="1137">
        <f t="shared" si="43"/>
        <v>0</v>
      </c>
      <c r="ACW179" s="1137">
        <f t="shared" si="43"/>
        <v>1</v>
      </c>
      <c r="ACX179" s="1137">
        <f t="shared" si="42"/>
        <v>1</v>
      </c>
      <c r="ACY179" s="1137">
        <f t="shared" si="42"/>
        <v>1</v>
      </c>
      <c r="ACZ179" s="1137">
        <f t="shared" si="42"/>
        <v>1</v>
      </c>
      <c r="ADA179" s="1137">
        <f t="shared" si="35"/>
        <v>1</v>
      </c>
      <c r="ADB179" s="1137">
        <f t="shared" si="35"/>
        <v>1</v>
      </c>
      <c r="ADC179" s="1137">
        <f t="shared" si="35"/>
        <v>1</v>
      </c>
    </row>
    <row r="180" spans="1:783" x14ac:dyDescent="0.25">
      <c r="A180" t="s">
        <v>1978</v>
      </c>
      <c r="B180" t="s">
        <v>277</v>
      </c>
      <c r="C180">
        <v>0</v>
      </c>
      <c r="D180">
        <v>0</v>
      </c>
      <c r="E180">
        <v>0</v>
      </c>
      <c r="F180">
        <v>0</v>
      </c>
      <c r="G180">
        <v>0</v>
      </c>
      <c r="H180">
        <v>0</v>
      </c>
      <c r="I180">
        <v>0</v>
      </c>
      <c r="J180">
        <v>0</v>
      </c>
      <c r="K180">
        <v>0</v>
      </c>
      <c r="L180">
        <v>0</v>
      </c>
      <c r="M180">
        <v>0</v>
      </c>
      <c r="N180">
        <v>0</v>
      </c>
      <c r="O180">
        <v>0</v>
      </c>
      <c r="P180">
        <v>0</v>
      </c>
      <c r="Q180">
        <v>0</v>
      </c>
      <c r="R180">
        <v>0</v>
      </c>
      <c r="S180">
        <v>0</v>
      </c>
      <c r="T180">
        <v>0</v>
      </c>
      <c r="U180">
        <v>0</v>
      </c>
      <c r="V180">
        <v>0</v>
      </c>
      <c r="W180">
        <v>0</v>
      </c>
      <c r="X180">
        <v>0</v>
      </c>
      <c r="Y180">
        <v>0</v>
      </c>
      <c r="Z180">
        <v>0</v>
      </c>
      <c r="AA180">
        <v>0</v>
      </c>
      <c r="AB180">
        <v>0</v>
      </c>
      <c r="AC180">
        <v>0</v>
      </c>
      <c r="AD180">
        <v>0</v>
      </c>
      <c r="AE180">
        <v>0</v>
      </c>
      <c r="AF180">
        <v>0</v>
      </c>
      <c r="AG180">
        <v>0</v>
      </c>
      <c r="AH180">
        <v>0</v>
      </c>
      <c r="AI180">
        <v>0</v>
      </c>
      <c r="AJ180">
        <v>0</v>
      </c>
      <c r="AK180">
        <v>0</v>
      </c>
      <c r="AL180">
        <v>0</v>
      </c>
      <c r="AM180">
        <v>0</v>
      </c>
      <c r="AN180">
        <v>0</v>
      </c>
      <c r="AO180">
        <v>0</v>
      </c>
      <c r="AP180">
        <v>0</v>
      </c>
      <c r="AQ180">
        <v>0</v>
      </c>
      <c r="AR180">
        <v>0</v>
      </c>
      <c r="AS180">
        <v>0</v>
      </c>
      <c r="AT180">
        <v>0</v>
      </c>
      <c r="AU180">
        <v>0</v>
      </c>
      <c r="AV180">
        <v>0</v>
      </c>
      <c r="AW180">
        <v>0</v>
      </c>
      <c r="AX180">
        <v>0</v>
      </c>
      <c r="AY180">
        <v>0</v>
      </c>
      <c r="AZ180">
        <v>0</v>
      </c>
      <c r="BA180">
        <v>0</v>
      </c>
      <c r="BB180">
        <v>0</v>
      </c>
      <c r="BC180">
        <v>0</v>
      </c>
      <c r="BD180">
        <v>0</v>
      </c>
      <c r="BE180">
        <v>0</v>
      </c>
      <c r="BF180">
        <v>0</v>
      </c>
      <c r="BG180">
        <v>0</v>
      </c>
      <c r="BH180">
        <v>0</v>
      </c>
      <c r="BI180">
        <v>0</v>
      </c>
      <c r="BJ180">
        <v>0</v>
      </c>
      <c r="BK180">
        <v>0</v>
      </c>
      <c r="BL180">
        <v>0</v>
      </c>
      <c r="BM180">
        <v>0</v>
      </c>
      <c r="BN180">
        <v>0</v>
      </c>
      <c r="BO180">
        <v>0</v>
      </c>
      <c r="BP180">
        <v>0</v>
      </c>
      <c r="BQ180">
        <v>0</v>
      </c>
      <c r="BR180">
        <v>0</v>
      </c>
      <c r="BS180">
        <v>0</v>
      </c>
      <c r="BT180">
        <v>0</v>
      </c>
      <c r="BU180">
        <v>0</v>
      </c>
      <c r="BV180">
        <v>0</v>
      </c>
      <c r="BW180">
        <v>1</v>
      </c>
      <c r="BX180">
        <v>1</v>
      </c>
      <c r="BY180">
        <v>1</v>
      </c>
      <c r="BZ180">
        <v>1</v>
      </c>
      <c r="CA180">
        <v>1</v>
      </c>
      <c r="CB180">
        <v>1</v>
      </c>
      <c r="CC180">
        <v>1</v>
      </c>
      <c r="CD180">
        <v>1</v>
      </c>
      <c r="CE180">
        <v>1</v>
      </c>
      <c r="CF180">
        <v>1</v>
      </c>
      <c r="CG180">
        <v>1</v>
      </c>
      <c r="CH180">
        <v>1</v>
      </c>
      <c r="CI180">
        <v>1</v>
      </c>
      <c r="CJ180">
        <v>1</v>
      </c>
      <c r="CK180">
        <v>1</v>
      </c>
      <c r="CL180">
        <v>1</v>
      </c>
      <c r="CM180">
        <v>1</v>
      </c>
      <c r="CN180">
        <v>1</v>
      </c>
      <c r="CO180">
        <v>1</v>
      </c>
      <c r="CP180">
        <v>2</v>
      </c>
      <c r="CQ180">
        <v>2</v>
      </c>
      <c r="CR180">
        <v>2</v>
      </c>
      <c r="CS180">
        <v>2</v>
      </c>
      <c r="CT180">
        <v>2</v>
      </c>
      <c r="CU180">
        <v>2</v>
      </c>
      <c r="CV180">
        <v>2</v>
      </c>
      <c r="CW180">
        <v>2</v>
      </c>
      <c r="CX180">
        <v>2</v>
      </c>
      <c r="CY180">
        <v>2</v>
      </c>
      <c r="CZ180">
        <v>2</v>
      </c>
      <c r="DA180">
        <v>2</v>
      </c>
      <c r="DB180">
        <v>1</v>
      </c>
      <c r="DC180">
        <v>1</v>
      </c>
      <c r="DD180">
        <v>1</v>
      </c>
      <c r="DE180">
        <v>1</v>
      </c>
      <c r="DF180">
        <v>1</v>
      </c>
      <c r="DG180">
        <v>1</v>
      </c>
      <c r="DH180">
        <v>1</v>
      </c>
      <c r="DI180">
        <v>1</v>
      </c>
      <c r="DJ180">
        <v>1</v>
      </c>
      <c r="DK180">
        <v>1</v>
      </c>
      <c r="DL180">
        <v>1</v>
      </c>
      <c r="DM180">
        <v>1</v>
      </c>
      <c r="DN180">
        <v>1</v>
      </c>
      <c r="DO180">
        <v>1</v>
      </c>
      <c r="DP180">
        <v>1</v>
      </c>
      <c r="DQ180">
        <v>1</v>
      </c>
      <c r="DR180">
        <v>1</v>
      </c>
      <c r="DS180">
        <v>1</v>
      </c>
      <c r="DT180">
        <v>1</v>
      </c>
      <c r="DU180">
        <v>1</v>
      </c>
      <c r="DV180">
        <v>1</v>
      </c>
      <c r="DW180">
        <v>1</v>
      </c>
      <c r="DX180">
        <v>1</v>
      </c>
      <c r="DY180">
        <v>1</v>
      </c>
      <c r="DZ180">
        <v>1</v>
      </c>
      <c r="EA180">
        <v>1</v>
      </c>
      <c r="EB180">
        <v>1</v>
      </c>
      <c r="EC180">
        <v>1</v>
      </c>
      <c r="ED180">
        <v>1</v>
      </c>
      <c r="EE180">
        <v>1</v>
      </c>
      <c r="EF180">
        <v>1</v>
      </c>
      <c r="EG180">
        <v>1</v>
      </c>
      <c r="EH180">
        <v>1</v>
      </c>
      <c r="EI180">
        <v>1</v>
      </c>
      <c r="EJ180">
        <v>1</v>
      </c>
      <c r="EK180">
        <v>1</v>
      </c>
      <c r="EL180">
        <v>1</v>
      </c>
      <c r="EM180">
        <v>1</v>
      </c>
      <c r="EN180">
        <v>1</v>
      </c>
      <c r="EO180">
        <v>1</v>
      </c>
      <c r="EP180">
        <v>1</v>
      </c>
      <c r="EQ180">
        <v>1</v>
      </c>
      <c r="ER180">
        <v>1</v>
      </c>
      <c r="ES180">
        <v>1</v>
      </c>
      <c r="ET180">
        <v>1</v>
      </c>
      <c r="EU180">
        <v>1</v>
      </c>
      <c r="EV180">
        <v>1</v>
      </c>
      <c r="EW180">
        <v>1</v>
      </c>
      <c r="EX180">
        <v>1</v>
      </c>
      <c r="EY180">
        <v>1</v>
      </c>
      <c r="EZ180">
        <v>1</v>
      </c>
      <c r="FA180">
        <v>1</v>
      </c>
      <c r="FB180">
        <v>1</v>
      </c>
      <c r="FC180">
        <v>1</v>
      </c>
      <c r="FD180">
        <v>1</v>
      </c>
      <c r="FE180">
        <v>1</v>
      </c>
      <c r="FF180">
        <v>1</v>
      </c>
      <c r="FG180">
        <v>1</v>
      </c>
      <c r="FH180">
        <v>1</v>
      </c>
      <c r="FI180">
        <v>1</v>
      </c>
      <c r="FJ180">
        <v>1</v>
      </c>
      <c r="FK180">
        <v>1</v>
      </c>
      <c r="FL180">
        <v>1</v>
      </c>
      <c r="FM180">
        <v>1</v>
      </c>
      <c r="FN180">
        <v>1</v>
      </c>
      <c r="FO180">
        <v>1</v>
      </c>
      <c r="FP180">
        <v>1</v>
      </c>
      <c r="FQ180">
        <v>1</v>
      </c>
      <c r="FR180">
        <v>1</v>
      </c>
      <c r="FS180">
        <v>1</v>
      </c>
      <c r="FT180">
        <v>1</v>
      </c>
      <c r="FU180">
        <v>1</v>
      </c>
      <c r="FV180">
        <v>1</v>
      </c>
      <c r="FW180">
        <v>1</v>
      </c>
      <c r="FX180">
        <v>1</v>
      </c>
      <c r="FY180">
        <v>1</v>
      </c>
      <c r="FZ180">
        <v>1</v>
      </c>
      <c r="GA180">
        <v>1</v>
      </c>
      <c r="GB180">
        <v>1</v>
      </c>
      <c r="GC180">
        <v>1</v>
      </c>
      <c r="GD180">
        <v>1</v>
      </c>
      <c r="GE180">
        <v>1</v>
      </c>
      <c r="GF180">
        <v>1</v>
      </c>
      <c r="GG180">
        <v>1</v>
      </c>
      <c r="GH180">
        <v>1</v>
      </c>
      <c r="GI180">
        <v>1</v>
      </c>
      <c r="GJ180">
        <v>1</v>
      </c>
      <c r="GK180">
        <v>1</v>
      </c>
      <c r="GL180">
        <v>0</v>
      </c>
      <c r="GM180">
        <v>0</v>
      </c>
      <c r="GN180">
        <v>0</v>
      </c>
      <c r="GO180">
        <v>0</v>
      </c>
      <c r="GP180">
        <v>0</v>
      </c>
      <c r="GQ180">
        <v>0</v>
      </c>
      <c r="GR180">
        <v>0</v>
      </c>
      <c r="GS180">
        <v>0</v>
      </c>
      <c r="GT180">
        <v>0</v>
      </c>
      <c r="GU180">
        <v>0</v>
      </c>
      <c r="GV180">
        <v>0</v>
      </c>
      <c r="GW180">
        <v>0</v>
      </c>
      <c r="GX180">
        <v>0</v>
      </c>
      <c r="GY180">
        <v>0</v>
      </c>
      <c r="GZ180">
        <v>0</v>
      </c>
      <c r="HA180">
        <v>0</v>
      </c>
      <c r="HB180">
        <v>0</v>
      </c>
      <c r="HC180">
        <v>0</v>
      </c>
      <c r="HD180">
        <v>0</v>
      </c>
      <c r="HE180">
        <v>0</v>
      </c>
      <c r="HF180">
        <v>0</v>
      </c>
      <c r="HG180">
        <v>0</v>
      </c>
      <c r="HH180">
        <v>0</v>
      </c>
      <c r="HI180">
        <v>0</v>
      </c>
      <c r="HJ180">
        <v>0</v>
      </c>
      <c r="HK180">
        <v>0</v>
      </c>
      <c r="HL180">
        <v>0</v>
      </c>
      <c r="HM180">
        <v>0</v>
      </c>
      <c r="HN180">
        <v>0</v>
      </c>
      <c r="HO180">
        <v>0</v>
      </c>
      <c r="HP180">
        <v>0</v>
      </c>
      <c r="HQ180">
        <v>0</v>
      </c>
      <c r="HR180">
        <v>0</v>
      </c>
      <c r="HS180">
        <v>0</v>
      </c>
      <c r="HT180">
        <v>0</v>
      </c>
      <c r="HU180">
        <v>0</v>
      </c>
      <c r="HV180">
        <v>0</v>
      </c>
      <c r="HW180">
        <v>0</v>
      </c>
      <c r="HX180">
        <v>0</v>
      </c>
      <c r="HY180">
        <v>0</v>
      </c>
      <c r="HZ180">
        <v>0</v>
      </c>
      <c r="IA180">
        <v>0</v>
      </c>
      <c r="IB180">
        <v>0</v>
      </c>
      <c r="IC180">
        <v>0</v>
      </c>
      <c r="ID180">
        <v>0</v>
      </c>
      <c r="IE180">
        <v>0</v>
      </c>
      <c r="IF180">
        <v>0</v>
      </c>
      <c r="IG180">
        <v>0</v>
      </c>
      <c r="IH180">
        <v>0</v>
      </c>
      <c r="II180">
        <v>0</v>
      </c>
      <c r="IJ180">
        <v>0</v>
      </c>
      <c r="IK180">
        <v>0</v>
      </c>
      <c r="IL180">
        <v>0</v>
      </c>
      <c r="IM180">
        <v>0</v>
      </c>
      <c r="IN180">
        <v>0</v>
      </c>
      <c r="IO180">
        <v>0</v>
      </c>
      <c r="IP180">
        <v>0</v>
      </c>
      <c r="IQ180">
        <v>0</v>
      </c>
      <c r="IR180">
        <v>0</v>
      </c>
      <c r="IS180">
        <v>0</v>
      </c>
      <c r="IT180">
        <v>0</v>
      </c>
      <c r="IU180">
        <v>0</v>
      </c>
      <c r="IV180">
        <v>0</v>
      </c>
      <c r="IW180">
        <v>0</v>
      </c>
      <c r="IX180">
        <v>0</v>
      </c>
      <c r="IY180">
        <v>0</v>
      </c>
      <c r="IZ180">
        <v>0</v>
      </c>
      <c r="JA180">
        <v>0</v>
      </c>
      <c r="JB180">
        <v>0</v>
      </c>
      <c r="JC180">
        <v>0</v>
      </c>
      <c r="JD180">
        <v>0</v>
      </c>
      <c r="JE180">
        <v>0</v>
      </c>
      <c r="JF180">
        <v>0</v>
      </c>
      <c r="JG180">
        <v>0</v>
      </c>
      <c r="JH180">
        <v>0</v>
      </c>
      <c r="JI180">
        <v>0</v>
      </c>
      <c r="JJ180">
        <v>0</v>
      </c>
      <c r="JK180">
        <v>0</v>
      </c>
      <c r="JL180">
        <v>0</v>
      </c>
      <c r="JM180">
        <v>0</v>
      </c>
      <c r="JN180">
        <v>0</v>
      </c>
      <c r="JO180">
        <v>0</v>
      </c>
      <c r="JP180">
        <v>0</v>
      </c>
      <c r="JQ180">
        <v>0</v>
      </c>
      <c r="JR180">
        <v>0</v>
      </c>
      <c r="JS180">
        <v>0</v>
      </c>
      <c r="JT180">
        <v>0</v>
      </c>
      <c r="JU180">
        <v>0</v>
      </c>
      <c r="JV180">
        <v>0</v>
      </c>
      <c r="JW180">
        <v>0</v>
      </c>
      <c r="JX180">
        <v>0</v>
      </c>
      <c r="JY180">
        <v>0</v>
      </c>
      <c r="JZ180">
        <v>0</v>
      </c>
      <c r="KA180">
        <v>0</v>
      </c>
      <c r="KB180">
        <v>0</v>
      </c>
      <c r="KC180">
        <v>0</v>
      </c>
      <c r="KD180">
        <v>0</v>
      </c>
      <c r="KE180">
        <v>0</v>
      </c>
      <c r="KF180">
        <v>0</v>
      </c>
      <c r="KG180">
        <v>0</v>
      </c>
      <c r="KH180">
        <v>0</v>
      </c>
      <c r="KI180">
        <v>0</v>
      </c>
      <c r="KJ180">
        <v>0</v>
      </c>
      <c r="KK180">
        <v>0</v>
      </c>
      <c r="KL180">
        <v>0</v>
      </c>
      <c r="KM180">
        <v>0</v>
      </c>
      <c r="KN180">
        <v>0</v>
      </c>
      <c r="KO180">
        <v>0</v>
      </c>
      <c r="KP180">
        <v>0</v>
      </c>
      <c r="KQ180">
        <v>0</v>
      </c>
      <c r="KR180">
        <v>0</v>
      </c>
      <c r="KS180">
        <v>0</v>
      </c>
      <c r="KT180">
        <v>0</v>
      </c>
      <c r="KU180">
        <v>0</v>
      </c>
      <c r="KV180">
        <v>0</v>
      </c>
      <c r="KW180">
        <v>0</v>
      </c>
      <c r="KX180">
        <v>0</v>
      </c>
      <c r="KY180">
        <v>0</v>
      </c>
      <c r="KZ180">
        <v>0</v>
      </c>
      <c r="LA180">
        <v>0</v>
      </c>
      <c r="LB180">
        <v>0</v>
      </c>
      <c r="LC180">
        <v>0</v>
      </c>
      <c r="LD180">
        <v>0</v>
      </c>
      <c r="LE180">
        <v>0</v>
      </c>
      <c r="LF180">
        <v>0</v>
      </c>
      <c r="LG180">
        <v>0</v>
      </c>
      <c r="LH180">
        <v>0</v>
      </c>
      <c r="LI180">
        <v>0</v>
      </c>
      <c r="LJ180">
        <v>0</v>
      </c>
      <c r="LK180">
        <v>0</v>
      </c>
      <c r="LL180">
        <v>0</v>
      </c>
      <c r="LM180">
        <v>0</v>
      </c>
      <c r="LN180">
        <v>0</v>
      </c>
      <c r="LO180">
        <v>0</v>
      </c>
      <c r="LP180">
        <v>0</v>
      </c>
      <c r="LQ180">
        <v>0</v>
      </c>
      <c r="LR180">
        <v>0</v>
      </c>
      <c r="LS180">
        <v>0</v>
      </c>
      <c r="LT180">
        <v>0</v>
      </c>
      <c r="LU180">
        <v>0</v>
      </c>
      <c r="LV180">
        <v>0</v>
      </c>
      <c r="LW180">
        <v>0</v>
      </c>
      <c r="LX180">
        <v>0</v>
      </c>
      <c r="LY180">
        <v>0</v>
      </c>
      <c r="LZ180">
        <v>0</v>
      </c>
      <c r="MA180">
        <v>0</v>
      </c>
      <c r="MB180">
        <v>0</v>
      </c>
      <c r="MC180">
        <v>0</v>
      </c>
      <c r="MD180">
        <v>0</v>
      </c>
      <c r="ME180">
        <v>0</v>
      </c>
      <c r="MF180">
        <v>0</v>
      </c>
      <c r="MG180">
        <v>0</v>
      </c>
      <c r="MH180">
        <v>0</v>
      </c>
      <c r="MI180">
        <v>0</v>
      </c>
      <c r="MJ180">
        <v>0</v>
      </c>
      <c r="MK180">
        <v>0</v>
      </c>
      <c r="ML180">
        <v>0</v>
      </c>
      <c r="MM180">
        <v>0</v>
      </c>
      <c r="MN180">
        <v>0</v>
      </c>
      <c r="MO180">
        <v>0</v>
      </c>
      <c r="MP180">
        <v>0</v>
      </c>
      <c r="MQ180">
        <v>0</v>
      </c>
      <c r="MR180">
        <v>0</v>
      </c>
      <c r="MS180">
        <v>0</v>
      </c>
      <c r="MT180">
        <v>1</v>
      </c>
      <c r="MU180">
        <v>1</v>
      </c>
      <c r="MV180">
        <v>1</v>
      </c>
      <c r="MW180">
        <v>1</v>
      </c>
      <c r="MX180">
        <v>1</v>
      </c>
      <c r="MY180">
        <v>1</v>
      </c>
      <c r="MZ180">
        <v>1</v>
      </c>
      <c r="NA180">
        <v>1</v>
      </c>
      <c r="NB180">
        <v>1</v>
      </c>
      <c r="NC180">
        <v>1</v>
      </c>
      <c r="ND180">
        <v>1</v>
      </c>
      <c r="NE180">
        <v>1</v>
      </c>
      <c r="NF180">
        <v>1</v>
      </c>
      <c r="NG180">
        <v>1</v>
      </c>
      <c r="NH180">
        <v>1</v>
      </c>
      <c r="NI180">
        <v>1</v>
      </c>
      <c r="NJ180">
        <v>1</v>
      </c>
      <c r="NK180">
        <v>1</v>
      </c>
      <c r="NL180">
        <v>1</v>
      </c>
      <c r="NM180">
        <v>1</v>
      </c>
      <c r="NN180">
        <v>1</v>
      </c>
      <c r="NO180">
        <v>0</v>
      </c>
      <c r="NP180">
        <v>0</v>
      </c>
      <c r="NQ180">
        <v>0</v>
      </c>
      <c r="NR180">
        <v>0</v>
      </c>
      <c r="NS180">
        <v>0</v>
      </c>
      <c r="NT180">
        <v>0</v>
      </c>
      <c r="NU180">
        <v>0</v>
      </c>
      <c r="NV180">
        <v>0</v>
      </c>
      <c r="NW180">
        <v>0</v>
      </c>
      <c r="NX180">
        <v>0</v>
      </c>
      <c r="NY180">
        <v>0</v>
      </c>
      <c r="NZ180">
        <v>0</v>
      </c>
      <c r="OA180">
        <v>0</v>
      </c>
      <c r="OB180">
        <v>0</v>
      </c>
      <c r="OC180">
        <v>0</v>
      </c>
      <c r="OD180">
        <v>0</v>
      </c>
      <c r="OE180">
        <v>0</v>
      </c>
      <c r="OF180">
        <v>0</v>
      </c>
      <c r="OG180">
        <v>0</v>
      </c>
      <c r="OH180">
        <v>0</v>
      </c>
      <c r="OI180">
        <v>0</v>
      </c>
      <c r="OJ180">
        <v>0</v>
      </c>
      <c r="OK180">
        <v>0</v>
      </c>
      <c r="OL180">
        <v>0</v>
      </c>
      <c r="OM180">
        <v>0</v>
      </c>
      <c r="ON180">
        <v>0</v>
      </c>
      <c r="OO180">
        <v>0</v>
      </c>
      <c r="OP180">
        <v>0</v>
      </c>
      <c r="OQ180">
        <v>0</v>
      </c>
      <c r="OR180">
        <v>0</v>
      </c>
      <c r="OS180">
        <v>0</v>
      </c>
      <c r="OT180">
        <v>0</v>
      </c>
      <c r="OU180">
        <v>0</v>
      </c>
      <c r="OV180">
        <v>0</v>
      </c>
      <c r="OW180">
        <v>0</v>
      </c>
      <c r="OX180">
        <v>0</v>
      </c>
      <c r="OY180">
        <v>0</v>
      </c>
      <c r="OZ180">
        <v>0</v>
      </c>
      <c r="PA180">
        <v>0</v>
      </c>
      <c r="PB180">
        <v>0</v>
      </c>
      <c r="PC180">
        <v>0</v>
      </c>
      <c r="PD180">
        <v>0</v>
      </c>
      <c r="PE180">
        <v>0</v>
      </c>
      <c r="PF180">
        <v>0</v>
      </c>
      <c r="PG180">
        <v>0</v>
      </c>
      <c r="PH180">
        <v>0</v>
      </c>
      <c r="PI180">
        <v>0</v>
      </c>
      <c r="PJ180">
        <v>0</v>
      </c>
      <c r="PK180">
        <v>0</v>
      </c>
      <c r="PL180">
        <v>0</v>
      </c>
      <c r="PM180">
        <v>0</v>
      </c>
      <c r="PN180">
        <v>0</v>
      </c>
      <c r="PO180">
        <v>0</v>
      </c>
      <c r="PP180">
        <v>0</v>
      </c>
      <c r="PQ180">
        <v>0</v>
      </c>
      <c r="PR180">
        <v>0</v>
      </c>
      <c r="PS180">
        <v>0</v>
      </c>
      <c r="PT180">
        <v>0</v>
      </c>
      <c r="PU180">
        <v>0</v>
      </c>
      <c r="PV180">
        <v>0</v>
      </c>
      <c r="PW180">
        <v>0</v>
      </c>
      <c r="PX180">
        <v>0</v>
      </c>
      <c r="PY180">
        <v>0</v>
      </c>
      <c r="PZ180">
        <v>2</v>
      </c>
      <c r="QA180">
        <v>2</v>
      </c>
      <c r="QB180">
        <v>2</v>
      </c>
      <c r="QC180">
        <v>2</v>
      </c>
      <c r="QD180">
        <v>2</v>
      </c>
      <c r="QE180">
        <v>2</v>
      </c>
      <c r="QF180">
        <v>2</v>
      </c>
      <c r="QG180">
        <v>2</v>
      </c>
      <c r="QH180">
        <v>2</v>
      </c>
      <c r="QI180">
        <v>2</v>
      </c>
      <c r="QJ180">
        <v>2</v>
      </c>
      <c r="QK180">
        <v>2</v>
      </c>
      <c r="QL180">
        <v>2</v>
      </c>
      <c r="QM180">
        <v>2</v>
      </c>
      <c r="QN180">
        <v>2</v>
      </c>
      <c r="QO180">
        <v>2</v>
      </c>
      <c r="QP180">
        <v>0</v>
      </c>
      <c r="QQ180">
        <v>0</v>
      </c>
      <c r="QR180">
        <v>0</v>
      </c>
      <c r="QS180">
        <v>0</v>
      </c>
      <c r="QT180">
        <v>0</v>
      </c>
      <c r="QU180">
        <v>0</v>
      </c>
      <c r="QV180">
        <v>0</v>
      </c>
      <c r="QW180">
        <v>0</v>
      </c>
      <c r="QX180">
        <v>0</v>
      </c>
      <c r="QY180">
        <v>0</v>
      </c>
      <c r="QZ180">
        <v>0</v>
      </c>
      <c r="RA180">
        <v>0</v>
      </c>
      <c r="RB180">
        <v>0</v>
      </c>
      <c r="RC180">
        <v>0</v>
      </c>
      <c r="RD180">
        <v>0</v>
      </c>
      <c r="RE180">
        <v>0</v>
      </c>
      <c r="RF180">
        <v>0</v>
      </c>
      <c r="RG180">
        <v>0</v>
      </c>
      <c r="RH180">
        <v>0</v>
      </c>
      <c r="RI180">
        <v>1</v>
      </c>
      <c r="RJ180">
        <v>1</v>
      </c>
      <c r="RK180">
        <v>1</v>
      </c>
      <c r="RL180">
        <v>1</v>
      </c>
      <c r="RM180">
        <v>1</v>
      </c>
      <c r="RN180">
        <v>1</v>
      </c>
      <c r="RO180">
        <v>1</v>
      </c>
      <c r="RP180">
        <v>1</v>
      </c>
      <c r="RQ180">
        <v>1</v>
      </c>
      <c r="RR180">
        <v>1</v>
      </c>
      <c r="RS180">
        <v>1</v>
      </c>
      <c r="RT180">
        <v>1</v>
      </c>
      <c r="RU180">
        <v>1</v>
      </c>
      <c r="RV180">
        <v>1</v>
      </c>
      <c r="RW180">
        <v>1</v>
      </c>
      <c r="RX180">
        <v>1</v>
      </c>
      <c r="RY180">
        <v>1</v>
      </c>
      <c r="RZ180">
        <v>1</v>
      </c>
      <c r="SA180">
        <v>1</v>
      </c>
      <c r="SB180">
        <v>1</v>
      </c>
      <c r="SC180">
        <v>1</v>
      </c>
      <c r="SD180">
        <v>1</v>
      </c>
      <c r="SE180">
        <v>1</v>
      </c>
      <c r="SF180">
        <v>1</v>
      </c>
      <c r="SG180">
        <v>1</v>
      </c>
      <c r="SH180">
        <v>1</v>
      </c>
      <c r="SI180">
        <v>1</v>
      </c>
      <c r="SJ180">
        <v>1</v>
      </c>
      <c r="SK180">
        <v>1</v>
      </c>
      <c r="SL180">
        <v>1</v>
      </c>
      <c r="SM180">
        <v>1</v>
      </c>
      <c r="SN180">
        <v>1</v>
      </c>
      <c r="SO180">
        <v>1</v>
      </c>
      <c r="SP180">
        <v>1</v>
      </c>
      <c r="SQ180">
        <v>1</v>
      </c>
      <c r="SR180">
        <v>1</v>
      </c>
      <c r="SS180">
        <v>1</v>
      </c>
      <c r="ST180">
        <v>1</v>
      </c>
      <c r="SU180">
        <v>1</v>
      </c>
      <c r="SV180">
        <v>1</v>
      </c>
      <c r="SW180">
        <v>1</v>
      </c>
      <c r="SX180">
        <v>1</v>
      </c>
      <c r="SY180">
        <v>1</v>
      </c>
      <c r="SZ180">
        <v>1</v>
      </c>
      <c r="TA180">
        <v>1</v>
      </c>
      <c r="TB180">
        <v>1</v>
      </c>
      <c r="TC180">
        <v>1</v>
      </c>
      <c r="TD180">
        <v>1</v>
      </c>
      <c r="TE180">
        <v>1</v>
      </c>
      <c r="TF180">
        <v>1</v>
      </c>
      <c r="TG180">
        <v>1</v>
      </c>
      <c r="TH180">
        <v>1</v>
      </c>
      <c r="TI180">
        <v>1</v>
      </c>
      <c r="TJ180">
        <v>1</v>
      </c>
      <c r="TK180">
        <v>1</v>
      </c>
      <c r="TL180">
        <v>1</v>
      </c>
      <c r="TM180">
        <v>1</v>
      </c>
      <c r="TN180">
        <v>1</v>
      </c>
      <c r="TO180">
        <v>1</v>
      </c>
      <c r="TP180">
        <v>1</v>
      </c>
      <c r="TQ180">
        <v>1</v>
      </c>
      <c r="TR180">
        <v>1</v>
      </c>
      <c r="TS180">
        <v>1</v>
      </c>
      <c r="TT180">
        <v>1</v>
      </c>
      <c r="TU180">
        <v>1</v>
      </c>
      <c r="TV180">
        <v>1</v>
      </c>
      <c r="TW180">
        <v>1</v>
      </c>
      <c r="TX180">
        <v>1</v>
      </c>
      <c r="TY180">
        <v>1</v>
      </c>
      <c r="TZ180">
        <v>1</v>
      </c>
      <c r="UA180">
        <v>1</v>
      </c>
      <c r="UB180">
        <v>1</v>
      </c>
      <c r="UC180">
        <v>1</v>
      </c>
      <c r="UD180">
        <v>1</v>
      </c>
      <c r="UE180">
        <v>1</v>
      </c>
      <c r="UF180">
        <v>1</v>
      </c>
      <c r="UG180">
        <v>1</v>
      </c>
      <c r="UH180">
        <v>1</v>
      </c>
      <c r="UI180">
        <v>1</v>
      </c>
      <c r="UJ180">
        <v>1</v>
      </c>
      <c r="UK180">
        <v>1</v>
      </c>
      <c r="UL180">
        <v>1</v>
      </c>
      <c r="UM180">
        <v>1</v>
      </c>
      <c r="UN180">
        <v>1</v>
      </c>
      <c r="UO180">
        <v>1</v>
      </c>
      <c r="UP180">
        <v>1</v>
      </c>
      <c r="UQ180">
        <v>1</v>
      </c>
      <c r="UR180">
        <v>1</v>
      </c>
      <c r="US180">
        <v>1</v>
      </c>
      <c r="UT180">
        <v>1</v>
      </c>
      <c r="UU180">
        <v>1</v>
      </c>
      <c r="UV180">
        <v>1</v>
      </c>
      <c r="UW180">
        <v>1</v>
      </c>
      <c r="UX180">
        <v>1</v>
      </c>
      <c r="UY180">
        <v>1</v>
      </c>
      <c r="UZ180">
        <v>1</v>
      </c>
      <c r="VA180">
        <v>1</v>
      </c>
      <c r="VB180">
        <v>1</v>
      </c>
      <c r="VC180">
        <v>1</v>
      </c>
      <c r="VD180">
        <v>1</v>
      </c>
      <c r="VE180">
        <v>1</v>
      </c>
      <c r="VF180">
        <v>1</v>
      </c>
      <c r="VG180">
        <v>1</v>
      </c>
      <c r="VH180">
        <v>1</v>
      </c>
      <c r="VI180">
        <v>1</v>
      </c>
      <c r="VJ180">
        <v>1</v>
      </c>
      <c r="VK180">
        <v>1</v>
      </c>
      <c r="VL180">
        <v>1</v>
      </c>
      <c r="VM180">
        <v>1</v>
      </c>
      <c r="VN180">
        <v>1</v>
      </c>
      <c r="VO180">
        <v>1</v>
      </c>
      <c r="VP180">
        <v>1</v>
      </c>
      <c r="VQ180">
        <v>1</v>
      </c>
      <c r="VR180">
        <v>1</v>
      </c>
      <c r="VS180">
        <v>1</v>
      </c>
      <c r="VT180">
        <v>1</v>
      </c>
      <c r="VU180">
        <v>1</v>
      </c>
      <c r="VV180">
        <v>1</v>
      </c>
      <c r="VW180">
        <v>1</v>
      </c>
      <c r="VX180">
        <v>1</v>
      </c>
      <c r="VY180">
        <v>1</v>
      </c>
      <c r="VZ180">
        <v>1</v>
      </c>
      <c r="WA180">
        <v>1</v>
      </c>
      <c r="WB180">
        <v>1</v>
      </c>
      <c r="WC180">
        <v>1</v>
      </c>
      <c r="WD180">
        <v>1</v>
      </c>
      <c r="WE180">
        <v>1</v>
      </c>
      <c r="WF180">
        <v>1</v>
      </c>
      <c r="WG180">
        <v>1</v>
      </c>
      <c r="WH180">
        <v>1</v>
      </c>
      <c r="WI180">
        <v>1</v>
      </c>
      <c r="WJ180">
        <v>1</v>
      </c>
      <c r="WK180">
        <v>1</v>
      </c>
      <c r="WL180">
        <v>1</v>
      </c>
      <c r="WM180">
        <v>1</v>
      </c>
      <c r="WN180">
        <v>1</v>
      </c>
      <c r="WO180">
        <v>1</v>
      </c>
      <c r="WP180">
        <v>1</v>
      </c>
      <c r="WQ180">
        <v>1</v>
      </c>
      <c r="WR180">
        <v>1</v>
      </c>
      <c r="WS180">
        <v>1</v>
      </c>
      <c r="WT180">
        <v>1</v>
      </c>
      <c r="WU180">
        <v>1</v>
      </c>
      <c r="WV180">
        <v>1</v>
      </c>
      <c r="WW180">
        <v>1</v>
      </c>
      <c r="WX180">
        <v>1</v>
      </c>
      <c r="WY180">
        <v>1</v>
      </c>
      <c r="WZ180">
        <v>1</v>
      </c>
      <c r="XA180">
        <v>1</v>
      </c>
      <c r="XB180">
        <v>1</v>
      </c>
      <c r="XC180">
        <v>1</v>
      </c>
      <c r="XD180">
        <v>1</v>
      </c>
      <c r="XE180">
        <v>1</v>
      </c>
      <c r="XF180">
        <v>1</v>
      </c>
      <c r="XG180">
        <v>1</v>
      </c>
      <c r="XH180">
        <v>1</v>
      </c>
      <c r="XI180">
        <v>1</v>
      </c>
      <c r="XJ180">
        <v>1</v>
      </c>
      <c r="XK180">
        <v>1</v>
      </c>
      <c r="XL180">
        <v>1</v>
      </c>
      <c r="XM180">
        <v>1</v>
      </c>
      <c r="XN180">
        <v>1</v>
      </c>
      <c r="XO180">
        <v>1</v>
      </c>
      <c r="XP180">
        <v>1</v>
      </c>
      <c r="XQ180">
        <v>1</v>
      </c>
      <c r="XR180">
        <v>1</v>
      </c>
      <c r="XS180">
        <v>1</v>
      </c>
      <c r="XT180">
        <v>1</v>
      </c>
      <c r="XU180">
        <v>1</v>
      </c>
      <c r="XV180">
        <v>1</v>
      </c>
      <c r="XW180">
        <v>1</v>
      </c>
      <c r="XX180">
        <v>1</v>
      </c>
      <c r="XY180">
        <v>1</v>
      </c>
      <c r="XZ180">
        <v>1</v>
      </c>
      <c r="YA180">
        <v>1</v>
      </c>
      <c r="YB180">
        <v>1</v>
      </c>
      <c r="YC180">
        <v>1</v>
      </c>
      <c r="YD180">
        <v>1</v>
      </c>
      <c r="YE180">
        <v>1</v>
      </c>
      <c r="YF180">
        <v>1</v>
      </c>
      <c r="YG180">
        <v>1</v>
      </c>
      <c r="YH180">
        <v>1</v>
      </c>
      <c r="YI180">
        <v>0</v>
      </c>
      <c r="YJ180">
        <v>0</v>
      </c>
      <c r="YK180">
        <v>0</v>
      </c>
      <c r="YL180">
        <v>0</v>
      </c>
      <c r="YM180">
        <v>0</v>
      </c>
      <c r="YN180">
        <v>0</v>
      </c>
      <c r="YO180">
        <v>0</v>
      </c>
      <c r="YP180">
        <v>0</v>
      </c>
      <c r="YQ180">
        <v>0</v>
      </c>
      <c r="YR180">
        <v>0</v>
      </c>
      <c r="YS180">
        <v>0</v>
      </c>
      <c r="YT180">
        <v>0</v>
      </c>
      <c r="YU180">
        <v>0</v>
      </c>
      <c r="YV180">
        <v>0</v>
      </c>
      <c r="YW180">
        <v>0</v>
      </c>
      <c r="YX180">
        <v>0</v>
      </c>
      <c r="YY180">
        <v>0</v>
      </c>
      <c r="YZ180">
        <v>0</v>
      </c>
      <c r="ZA180">
        <v>0</v>
      </c>
      <c r="ZB180">
        <v>0</v>
      </c>
      <c r="ZC180">
        <v>0</v>
      </c>
      <c r="ZD180">
        <v>0</v>
      </c>
      <c r="ZE180">
        <v>0</v>
      </c>
      <c r="ZF180">
        <v>0</v>
      </c>
      <c r="ZG180">
        <v>0</v>
      </c>
      <c r="ZH180">
        <v>0</v>
      </c>
      <c r="ZI180">
        <v>0</v>
      </c>
      <c r="ZJ180">
        <v>0</v>
      </c>
      <c r="ZK180">
        <v>0</v>
      </c>
      <c r="ZL180">
        <v>0</v>
      </c>
      <c r="ZM180">
        <v>0</v>
      </c>
      <c r="ZN180">
        <v>0</v>
      </c>
      <c r="ZO180">
        <v>0</v>
      </c>
      <c r="ZP180">
        <v>0</v>
      </c>
      <c r="ZQ180">
        <v>0</v>
      </c>
      <c r="ZR180">
        <v>0</v>
      </c>
      <c r="ZS180">
        <v>0</v>
      </c>
      <c r="ZT180">
        <v>0</v>
      </c>
      <c r="ZU180">
        <v>0</v>
      </c>
      <c r="ZV180">
        <v>0</v>
      </c>
      <c r="ZW180">
        <v>0</v>
      </c>
      <c r="ZX180">
        <v>0</v>
      </c>
      <c r="ZY180">
        <v>0</v>
      </c>
      <c r="ZZ180">
        <v>0</v>
      </c>
      <c r="AAA180">
        <v>0</v>
      </c>
      <c r="AAB180">
        <v>0</v>
      </c>
      <c r="AAC180">
        <v>0</v>
      </c>
      <c r="AAD180">
        <v>0</v>
      </c>
      <c r="AAE180">
        <v>0</v>
      </c>
      <c r="AAF180">
        <v>0</v>
      </c>
      <c r="AAG180">
        <v>0</v>
      </c>
      <c r="AAH180">
        <v>0</v>
      </c>
      <c r="AAI180">
        <v>0</v>
      </c>
      <c r="AAJ180">
        <v>0</v>
      </c>
      <c r="AAK180">
        <v>0</v>
      </c>
      <c r="AAL180">
        <v>0</v>
      </c>
      <c r="AAM180">
        <v>0</v>
      </c>
      <c r="AAN180">
        <v>0</v>
      </c>
      <c r="AAO180">
        <v>0</v>
      </c>
      <c r="AAP180">
        <v>0</v>
      </c>
      <c r="AAQ180">
        <v>0</v>
      </c>
      <c r="AAR180">
        <v>0</v>
      </c>
      <c r="AAS180">
        <v>0</v>
      </c>
      <c r="AAT180">
        <v>0</v>
      </c>
      <c r="AAU180">
        <v>0</v>
      </c>
      <c r="AAV180">
        <v>0</v>
      </c>
      <c r="AAW180">
        <v>0</v>
      </c>
      <c r="AAX180">
        <v>0</v>
      </c>
      <c r="AAY180">
        <v>0</v>
      </c>
      <c r="AAZ180">
        <v>0</v>
      </c>
      <c r="ABA180">
        <v>0</v>
      </c>
      <c r="ABB180">
        <v>0</v>
      </c>
      <c r="ABC180">
        <v>0</v>
      </c>
      <c r="ABD180">
        <v>0</v>
      </c>
      <c r="ABE180">
        <v>0</v>
      </c>
      <c r="ABG180" s="1137">
        <f t="shared" ref="ABG180:ABV190" si="48">COUNTIFS($C$3:$ABE$3, ABG$3, $C$4:$ABE$4, ABG$4, $C180:$ABE180, "&gt;0")</f>
        <v>0</v>
      </c>
      <c r="ABH180" s="1137">
        <f t="shared" si="48"/>
        <v>0</v>
      </c>
      <c r="ABI180" s="1137">
        <f t="shared" si="48"/>
        <v>19</v>
      </c>
      <c r="ABJ180" s="1137">
        <f t="shared" si="48"/>
        <v>30</v>
      </c>
      <c r="ABK180" s="1137">
        <f t="shared" si="48"/>
        <v>31</v>
      </c>
      <c r="ABL180" s="1137">
        <f t="shared" si="48"/>
        <v>30</v>
      </c>
      <c r="ABM180" s="1137">
        <f t="shared" si="48"/>
        <v>9</v>
      </c>
      <c r="ABN180" s="1137">
        <f t="shared" si="48"/>
        <v>0</v>
      </c>
      <c r="ABO180" s="1137">
        <f t="shared" si="48"/>
        <v>0</v>
      </c>
      <c r="ABP180" s="1137">
        <f t="shared" si="48"/>
        <v>0</v>
      </c>
      <c r="ABQ180" s="1137">
        <f t="shared" si="48"/>
        <v>0</v>
      </c>
      <c r="ABR180" s="1137">
        <f t="shared" si="48"/>
        <v>11</v>
      </c>
      <c r="ABS180" s="1137">
        <f t="shared" si="48"/>
        <v>10</v>
      </c>
      <c r="ABT180" s="1137">
        <f t="shared" si="48"/>
        <v>0</v>
      </c>
      <c r="ABU180" s="1137">
        <f t="shared" si="48"/>
        <v>16</v>
      </c>
      <c r="ABV180" s="1137">
        <f t="shared" si="48"/>
        <v>12</v>
      </c>
      <c r="ABW180" s="1137">
        <f t="shared" si="31"/>
        <v>31</v>
      </c>
      <c r="ABX180" s="1137">
        <f t="shared" si="31"/>
        <v>30</v>
      </c>
      <c r="ABY180" s="1137">
        <f t="shared" si="31"/>
        <v>31</v>
      </c>
      <c r="ABZ180" s="1137">
        <f t="shared" si="31"/>
        <v>31</v>
      </c>
      <c r="ACA180" s="1137">
        <f t="shared" si="31"/>
        <v>30</v>
      </c>
      <c r="ACB180" s="1137">
        <f t="shared" si="31"/>
        <v>17</v>
      </c>
      <c r="ACC180" s="1137">
        <f t="shared" si="31"/>
        <v>0</v>
      </c>
      <c r="ACD180" s="1137">
        <f t="shared" si="31"/>
        <v>0</v>
      </c>
      <c r="ACE180" s="1137" t="s">
        <v>277</v>
      </c>
      <c r="ACF180" s="1137">
        <f t="shared" si="47"/>
        <v>0</v>
      </c>
      <c r="ACG180" s="1137">
        <f t="shared" si="47"/>
        <v>0</v>
      </c>
      <c r="ACH180" s="1137">
        <f t="shared" si="47"/>
        <v>1</v>
      </c>
      <c r="ACI180" s="1137">
        <f t="shared" si="47"/>
        <v>1</v>
      </c>
      <c r="ACJ180" s="1137">
        <f t="shared" si="47"/>
        <v>1</v>
      </c>
      <c r="ACK180" s="1137">
        <f t="shared" si="47"/>
        <v>1</v>
      </c>
      <c r="ACL180" s="1137">
        <f t="shared" si="47"/>
        <v>0</v>
      </c>
      <c r="ACM180" s="1137">
        <f t="shared" si="47"/>
        <v>0</v>
      </c>
      <c r="ACN180" s="1137">
        <f t="shared" si="47"/>
        <v>0</v>
      </c>
      <c r="ACO180" s="1137">
        <f t="shared" si="47"/>
        <v>0</v>
      </c>
      <c r="ACP180" s="1137">
        <f t="shared" si="47"/>
        <v>0</v>
      </c>
      <c r="ACQ180" s="1137">
        <f t="shared" si="47"/>
        <v>1</v>
      </c>
      <c r="ACR180" s="1137">
        <f t="shared" si="47"/>
        <v>0</v>
      </c>
      <c r="ACS180" s="1137">
        <f t="shared" si="47"/>
        <v>0</v>
      </c>
      <c r="ACT180" s="1137">
        <f t="shared" si="43"/>
        <v>1</v>
      </c>
      <c r="ACU180" s="1137">
        <f t="shared" si="43"/>
        <v>1</v>
      </c>
      <c r="ACV180" s="1137">
        <f t="shared" si="43"/>
        <v>1</v>
      </c>
      <c r="ACW180" s="1137">
        <f t="shared" si="43"/>
        <v>1</v>
      </c>
      <c r="ACX180" s="1137">
        <f t="shared" si="42"/>
        <v>1</v>
      </c>
      <c r="ACY180" s="1137">
        <f t="shared" si="42"/>
        <v>1</v>
      </c>
      <c r="ACZ180" s="1137">
        <f t="shared" si="42"/>
        <v>1</v>
      </c>
      <c r="ADA180" s="1137">
        <f t="shared" si="35"/>
        <v>1</v>
      </c>
      <c r="ADB180" s="1137">
        <f t="shared" si="35"/>
        <v>0</v>
      </c>
      <c r="ADC180" s="1137">
        <f t="shared" si="35"/>
        <v>0</v>
      </c>
    </row>
    <row r="181" spans="1:783" x14ac:dyDescent="0.25">
      <c r="A181" t="s">
        <v>1979</v>
      </c>
      <c r="B181" t="s">
        <v>1980</v>
      </c>
      <c r="C181">
        <v>0</v>
      </c>
      <c r="D181">
        <v>0</v>
      </c>
      <c r="E181">
        <v>0</v>
      </c>
      <c r="F181">
        <v>0</v>
      </c>
      <c r="G181">
        <v>0</v>
      </c>
      <c r="H181">
        <v>0</v>
      </c>
      <c r="I181">
        <v>0</v>
      </c>
      <c r="J181">
        <v>0</v>
      </c>
      <c r="K181">
        <v>0</v>
      </c>
      <c r="L181">
        <v>0</v>
      </c>
      <c r="M181">
        <v>0</v>
      </c>
      <c r="N181">
        <v>0</v>
      </c>
      <c r="O181">
        <v>0</v>
      </c>
      <c r="P181">
        <v>0</v>
      </c>
      <c r="Q181">
        <v>0</v>
      </c>
      <c r="R181">
        <v>0</v>
      </c>
      <c r="S181">
        <v>0</v>
      </c>
      <c r="T181">
        <v>0</v>
      </c>
      <c r="U181">
        <v>0</v>
      </c>
      <c r="V181">
        <v>0</v>
      </c>
      <c r="W181">
        <v>0</v>
      </c>
      <c r="X181">
        <v>0</v>
      </c>
      <c r="Y181">
        <v>0</v>
      </c>
      <c r="Z181">
        <v>0</v>
      </c>
      <c r="AA181">
        <v>0</v>
      </c>
      <c r="AB181">
        <v>0</v>
      </c>
      <c r="AC181">
        <v>0</v>
      </c>
      <c r="AD181">
        <v>0</v>
      </c>
      <c r="AE181">
        <v>0</v>
      </c>
      <c r="AF181">
        <v>0</v>
      </c>
      <c r="AG181">
        <v>0</v>
      </c>
      <c r="AH181">
        <v>0</v>
      </c>
      <c r="AI181">
        <v>0</v>
      </c>
      <c r="AJ181">
        <v>0</v>
      </c>
      <c r="AK181">
        <v>0</v>
      </c>
      <c r="AL181">
        <v>0</v>
      </c>
      <c r="AM181">
        <v>0</v>
      </c>
      <c r="AN181">
        <v>0</v>
      </c>
      <c r="AO181">
        <v>0</v>
      </c>
      <c r="AP181">
        <v>0</v>
      </c>
      <c r="AQ181">
        <v>0</v>
      </c>
      <c r="AR181">
        <v>0</v>
      </c>
      <c r="AS181">
        <v>0</v>
      </c>
      <c r="AT181">
        <v>0</v>
      </c>
      <c r="AU181">
        <v>0</v>
      </c>
      <c r="AV181">
        <v>0</v>
      </c>
      <c r="AW181">
        <v>0</v>
      </c>
      <c r="AX181">
        <v>0</v>
      </c>
      <c r="AY181">
        <v>0</v>
      </c>
      <c r="AZ181">
        <v>0</v>
      </c>
      <c r="BA181">
        <v>0</v>
      </c>
      <c r="BB181">
        <v>0</v>
      </c>
      <c r="BC181">
        <v>0</v>
      </c>
      <c r="BD181">
        <v>0</v>
      </c>
      <c r="BE181">
        <v>0</v>
      </c>
      <c r="BF181">
        <v>0</v>
      </c>
      <c r="BG181">
        <v>0</v>
      </c>
      <c r="BH181">
        <v>0</v>
      </c>
      <c r="BI181">
        <v>0</v>
      </c>
      <c r="BJ181">
        <v>0</v>
      </c>
      <c r="BK181">
        <v>0</v>
      </c>
      <c r="BL181">
        <v>0</v>
      </c>
      <c r="BM181">
        <v>0</v>
      </c>
      <c r="BN181">
        <v>0</v>
      </c>
      <c r="BO181">
        <v>0</v>
      </c>
      <c r="BP181">
        <v>0</v>
      </c>
      <c r="BQ181">
        <v>0</v>
      </c>
      <c r="BR181">
        <v>0</v>
      </c>
      <c r="BS181">
        <v>0</v>
      </c>
      <c r="BT181">
        <v>0</v>
      </c>
      <c r="BU181">
        <v>0</v>
      </c>
      <c r="BV181">
        <v>0</v>
      </c>
      <c r="BW181">
        <v>0</v>
      </c>
      <c r="BX181">
        <v>1</v>
      </c>
      <c r="BY181">
        <v>1</v>
      </c>
      <c r="BZ181">
        <v>1</v>
      </c>
      <c r="CA181">
        <v>1</v>
      </c>
      <c r="CB181">
        <v>1</v>
      </c>
      <c r="CC181">
        <v>2</v>
      </c>
      <c r="CD181">
        <v>2</v>
      </c>
      <c r="CE181">
        <v>2</v>
      </c>
      <c r="CF181">
        <v>2</v>
      </c>
      <c r="CG181">
        <v>2</v>
      </c>
      <c r="CH181">
        <v>2</v>
      </c>
      <c r="CI181">
        <v>2</v>
      </c>
      <c r="CJ181">
        <v>2</v>
      </c>
      <c r="CK181">
        <v>2</v>
      </c>
      <c r="CL181">
        <v>2</v>
      </c>
      <c r="CM181">
        <v>2</v>
      </c>
      <c r="CN181">
        <v>2</v>
      </c>
      <c r="CO181">
        <v>2</v>
      </c>
      <c r="CP181">
        <v>2</v>
      </c>
      <c r="CQ181">
        <v>2</v>
      </c>
      <c r="CR181">
        <v>2</v>
      </c>
      <c r="CS181">
        <v>2</v>
      </c>
      <c r="CT181">
        <v>2</v>
      </c>
      <c r="CU181">
        <v>2</v>
      </c>
      <c r="CV181">
        <v>2</v>
      </c>
      <c r="CW181">
        <v>2</v>
      </c>
      <c r="CX181">
        <v>2</v>
      </c>
      <c r="CY181">
        <v>2</v>
      </c>
      <c r="CZ181">
        <v>2</v>
      </c>
      <c r="DA181">
        <v>2</v>
      </c>
      <c r="DB181">
        <v>2</v>
      </c>
      <c r="DC181">
        <v>2</v>
      </c>
      <c r="DD181">
        <v>2</v>
      </c>
      <c r="DE181">
        <v>2</v>
      </c>
      <c r="DF181">
        <v>2</v>
      </c>
      <c r="DG181">
        <v>2</v>
      </c>
      <c r="DH181">
        <v>2</v>
      </c>
      <c r="DI181">
        <v>2</v>
      </c>
      <c r="DJ181">
        <v>2</v>
      </c>
      <c r="DK181">
        <v>2</v>
      </c>
      <c r="DL181">
        <v>2</v>
      </c>
      <c r="DM181">
        <v>2</v>
      </c>
      <c r="DN181">
        <v>2</v>
      </c>
      <c r="DO181">
        <v>2</v>
      </c>
      <c r="DP181">
        <v>2</v>
      </c>
      <c r="DQ181">
        <v>2</v>
      </c>
      <c r="DR181">
        <v>2</v>
      </c>
      <c r="DS181">
        <v>2</v>
      </c>
      <c r="DT181">
        <v>2</v>
      </c>
      <c r="DU181">
        <v>2</v>
      </c>
      <c r="DV181">
        <v>2</v>
      </c>
      <c r="DW181">
        <v>2</v>
      </c>
      <c r="DX181">
        <v>2</v>
      </c>
      <c r="DY181">
        <v>2</v>
      </c>
      <c r="DZ181">
        <v>2</v>
      </c>
      <c r="EA181">
        <v>2</v>
      </c>
      <c r="EB181">
        <v>2</v>
      </c>
      <c r="EC181">
        <v>2</v>
      </c>
      <c r="ED181">
        <v>2</v>
      </c>
      <c r="EE181">
        <v>2</v>
      </c>
      <c r="EF181">
        <v>2</v>
      </c>
      <c r="EG181">
        <v>2</v>
      </c>
      <c r="EH181">
        <v>2</v>
      </c>
      <c r="EI181">
        <v>2</v>
      </c>
      <c r="EJ181">
        <v>2</v>
      </c>
      <c r="EK181">
        <v>2</v>
      </c>
      <c r="EL181">
        <v>2</v>
      </c>
      <c r="EM181">
        <v>2</v>
      </c>
      <c r="EN181">
        <v>2</v>
      </c>
      <c r="EO181">
        <v>2</v>
      </c>
      <c r="EP181">
        <v>2</v>
      </c>
      <c r="EQ181">
        <v>2</v>
      </c>
      <c r="ER181">
        <v>2</v>
      </c>
      <c r="ES181">
        <v>2</v>
      </c>
      <c r="ET181">
        <v>2</v>
      </c>
      <c r="EU181">
        <v>2</v>
      </c>
      <c r="EV181">
        <v>2</v>
      </c>
      <c r="EW181">
        <v>2</v>
      </c>
      <c r="EX181">
        <v>2</v>
      </c>
      <c r="EY181">
        <v>2</v>
      </c>
      <c r="EZ181">
        <v>2</v>
      </c>
      <c r="FA181">
        <v>2</v>
      </c>
      <c r="FB181">
        <v>2</v>
      </c>
      <c r="FC181">
        <v>2</v>
      </c>
      <c r="FD181">
        <v>2</v>
      </c>
      <c r="FE181">
        <v>2</v>
      </c>
      <c r="FF181">
        <v>2</v>
      </c>
      <c r="FG181">
        <v>2</v>
      </c>
      <c r="FH181">
        <v>2</v>
      </c>
      <c r="FI181">
        <v>2</v>
      </c>
      <c r="FJ181">
        <v>2</v>
      </c>
      <c r="FK181">
        <v>2</v>
      </c>
      <c r="FL181">
        <v>2</v>
      </c>
      <c r="FM181">
        <v>2</v>
      </c>
      <c r="FN181">
        <v>2</v>
      </c>
      <c r="FO181">
        <v>2</v>
      </c>
      <c r="FP181">
        <v>2</v>
      </c>
      <c r="FQ181">
        <v>2</v>
      </c>
      <c r="FR181">
        <v>2</v>
      </c>
      <c r="FS181">
        <v>2</v>
      </c>
      <c r="FT181">
        <v>2</v>
      </c>
      <c r="FU181">
        <v>2</v>
      </c>
      <c r="FV181">
        <v>2</v>
      </c>
      <c r="FW181">
        <v>2</v>
      </c>
      <c r="FX181">
        <v>2</v>
      </c>
      <c r="FY181">
        <v>2</v>
      </c>
      <c r="FZ181">
        <v>2</v>
      </c>
      <c r="GA181">
        <v>2</v>
      </c>
      <c r="GB181">
        <v>2</v>
      </c>
      <c r="GC181">
        <v>2</v>
      </c>
      <c r="GD181">
        <v>2</v>
      </c>
      <c r="GE181">
        <v>2</v>
      </c>
      <c r="GF181">
        <v>2</v>
      </c>
      <c r="GG181">
        <v>2</v>
      </c>
      <c r="GH181">
        <v>2</v>
      </c>
      <c r="GI181">
        <v>2</v>
      </c>
      <c r="GJ181">
        <v>2</v>
      </c>
      <c r="GK181">
        <v>2</v>
      </c>
      <c r="GL181">
        <v>2</v>
      </c>
      <c r="GM181">
        <v>2</v>
      </c>
      <c r="GN181">
        <v>2</v>
      </c>
      <c r="GO181">
        <v>2</v>
      </c>
      <c r="GP181">
        <v>2</v>
      </c>
      <c r="GQ181">
        <v>2</v>
      </c>
      <c r="GR181">
        <v>2</v>
      </c>
      <c r="GS181">
        <v>2</v>
      </c>
      <c r="GT181">
        <v>2</v>
      </c>
      <c r="GU181">
        <v>2</v>
      </c>
      <c r="GV181">
        <v>2</v>
      </c>
      <c r="GW181">
        <v>2</v>
      </c>
      <c r="GX181">
        <v>2</v>
      </c>
      <c r="GY181">
        <v>2</v>
      </c>
      <c r="GZ181">
        <v>2</v>
      </c>
      <c r="HA181">
        <v>2</v>
      </c>
      <c r="HB181">
        <v>2</v>
      </c>
      <c r="HC181">
        <v>2</v>
      </c>
      <c r="HD181">
        <v>2</v>
      </c>
      <c r="HE181">
        <v>2</v>
      </c>
      <c r="HF181">
        <v>2</v>
      </c>
      <c r="HG181">
        <v>2</v>
      </c>
      <c r="HH181">
        <v>2</v>
      </c>
      <c r="HI181">
        <v>2</v>
      </c>
      <c r="HJ181">
        <v>2</v>
      </c>
      <c r="HK181">
        <v>2</v>
      </c>
      <c r="HL181">
        <v>2</v>
      </c>
      <c r="HM181">
        <v>2</v>
      </c>
      <c r="HN181">
        <v>2</v>
      </c>
      <c r="HO181">
        <v>2</v>
      </c>
      <c r="HP181">
        <v>2</v>
      </c>
      <c r="HQ181">
        <v>2</v>
      </c>
      <c r="HR181">
        <v>2</v>
      </c>
      <c r="HS181">
        <v>2</v>
      </c>
      <c r="HT181">
        <v>2</v>
      </c>
      <c r="HU181">
        <v>2</v>
      </c>
      <c r="HV181">
        <v>2</v>
      </c>
      <c r="HW181">
        <v>2</v>
      </c>
      <c r="HX181">
        <v>2</v>
      </c>
      <c r="HY181">
        <v>2</v>
      </c>
      <c r="HZ181">
        <v>2</v>
      </c>
      <c r="IA181">
        <v>2</v>
      </c>
      <c r="IB181">
        <v>2</v>
      </c>
      <c r="IC181">
        <v>2</v>
      </c>
      <c r="ID181">
        <v>2</v>
      </c>
      <c r="IE181">
        <v>2</v>
      </c>
      <c r="IF181">
        <v>2</v>
      </c>
      <c r="IG181">
        <v>2</v>
      </c>
      <c r="IH181">
        <v>2</v>
      </c>
      <c r="II181">
        <v>2</v>
      </c>
      <c r="IJ181">
        <v>2</v>
      </c>
      <c r="IK181">
        <v>2</v>
      </c>
      <c r="IL181">
        <v>2</v>
      </c>
      <c r="IM181">
        <v>2</v>
      </c>
      <c r="IN181">
        <v>2</v>
      </c>
      <c r="IO181">
        <v>2</v>
      </c>
      <c r="IP181">
        <v>2</v>
      </c>
      <c r="IQ181">
        <v>2</v>
      </c>
      <c r="IR181">
        <v>2</v>
      </c>
      <c r="IS181">
        <v>2</v>
      </c>
      <c r="IT181">
        <v>2</v>
      </c>
      <c r="IU181">
        <v>2</v>
      </c>
      <c r="IV181">
        <v>2</v>
      </c>
      <c r="IW181">
        <v>2</v>
      </c>
      <c r="IX181">
        <v>2</v>
      </c>
      <c r="IY181">
        <v>2</v>
      </c>
      <c r="IZ181">
        <v>2</v>
      </c>
      <c r="JA181">
        <v>2</v>
      </c>
      <c r="JB181">
        <v>2</v>
      </c>
      <c r="JC181">
        <v>2</v>
      </c>
      <c r="JD181">
        <v>2</v>
      </c>
      <c r="JE181">
        <v>2</v>
      </c>
      <c r="JF181">
        <v>2</v>
      </c>
      <c r="JG181">
        <v>2</v>
      </c>
      <c r="JH181">
        <v>2</v>
      </c>
      <c r="JI181">
        <v>2</v>
      </c>
      <c r="JJ181">
        <v>2</v>
      </c>
      <c r="JK181">
        <v>2</v>
      </c>
      <c r="JL181">
        <v>2</v>
      </c>
      <c r="JM181">
        <v>2</v>
      </c>
      <c r="JN181">
        <v>2</v>
      </c>
      <c r="JO181">
        <v>2</v>
      </c>
      <c r="JP181">
        <v>2</v>
      </c>
      <c r="JQ181">
        <v>2</v>
      </c>
      <c r="JR181">
        <v>2</v>
      </c>
      <c r="JS181">
        <v>2</v>
      </c>
      <c r="JT181">
        <v>2</v>
      </c>
      <c r="JU181">
        <v>2</v>
      </c>
      <c r="JV181">
        <v>2</v>
      </c>
      <c r="JW181">
        <v>2</v>
      </c>
      <c r="JX181">
        <v>2</v>
      </c>
      <c r="JY181">
        <v>2</v>
      </c>
      <c r="JZ181">
        <v>2</v>
      </c>
      <c r="KA181">
        <v>2</v>
      </c>
      <c r="KB181">
        <v>2</v>
      </c>
      <c r="KC181">
        <v>2</v>
      </c>
      <c r="KD181">
        <v>2</v>
      </c>
      <c r="KE181">
        <v>2</v>
      </c>
      <c r="KF181">
        <v>2</v>
      </c>
      <c r="KG181">
        <v>2</v>
      </c>
      <c r="KH181">
        <v>2</v>
      </c>
      <c r="KI181">
        <v>2</v>
      </c>
      <c r="KJ181">
        <v>2</v>
      </c>
      <c r="KK181">
        <v>2</v>
      </c>
      <c r="KL181">
        <v>2</v>
      </c>
      <c r="KM181">
        <v>2</v>
      </c>
      <c r="KN181">
        <v>2</v>
      </c>
      <c r="KO181">
        <v>2</v>
      </c>
      <c r="KP181">
        <v>2</v>
      </c>
      <c r="KQ181">
        <v>2</v>
      </c>
      <c r="KR181">
        <v>2</v>
      </c>
      <c r="KS181">
        <v>2</v>
      </c>
      <c r="KT181">
        <v>2</v>
      </c>
      <c r="KU181">
        <v>2</v>
      </c>
      <c r="KV181">
        <v>2</v>
      </c>
      <c r="KW181">
        <v>2</v>
      </c>
      <c r="KX181">
        <v>2</v>
      </c>
      <c r="KY181">
        <v>2</v>
      </c>
      <c r="KZ181">
        <v>2</v>
      </c>
      <c r="LA181">
        <v>2</v>
      </c>
      <c r="LB181">
        <v>2</v>
      </c>
      <c r="LC181">
        <v>2</v>
      </c>
      <c r="LD181">
        <v>2</v>
      </c>
      <c r="LE181">
        <v>2</v>
      </c>
      <c r="LF181">
        <v>2</v>
      </c>
      <c r="LG181">
        <v>2</v>
      </c>
      <c r="LH181">
        <v>2</v>
      </c>
      <c r="LI181">
        <v>2</v>
      </c>
      <c r="LJ181">
        <v>2</v>
      </c>
      <c r="LK181">
        <v>2</v>
      </c>
      <c r="LL181">
        <v>2</v>
      </c>
      <c r="LM181">
        <v>2</v>
      </c>
      <c r="LN181">
        <v>2</v>
      </c>
      <c r="LO181">
        <v>2</v>
      </c>
      <c r="LP181">
        <v>2</v>
      </c>
      <c r="LQ181">
        <v>2</v>
      </c>
      <c r="LR181">
        <v>2</v>
      </c>
      <c r="LS181">
        <v>2</v>
      </c>
      <c r="LT181">
        <v>2</v>
      </c>
      <c r="LU181">
        <v>2</v>
      </c>
      <c r="LV181">
        <v>2</v>
      </c>
      <c r="LW181">
        <v>2</v>
      </c>
      <c r="LX181">
        <v>2</v>
      </c>
      <c r="LY181">
        <v>2</v>
      </c>
      <c r="LZ181">
        <v>2</v>
      </c>
      <c r="MA181">
        <v>2</v>
      </c>
      <c r="MB181">
        <v>2</v>
      </c>
      <c r="MC181">
        <v>2</v>
      </c>
      <c r="MD181">
        <v>2</v>
      </c>
      <c r="ME181">
        <v>2</v>
      </c>
      <c r="MF181">
        <v>2</v>
      </c>
      <c r="MG181">
        <v>2</v>
      </c>
      <c r="MH181">
        <v>2</v>
      </c>
      <c r="MI181">
        <v>2</v>
      </c>
      <c r="MJ181">
        <v>2</v>
      </c>
      <c r="MK181">
        <v>2</v>
      </c>
      <c r="ML181">
        <v>2</v>
      </c>
      <c r="MM181">
        <v>2</v>
      </c>
      <c r="MN181">
        <v>2</v>
      </c>
      <c r="MO181">
        <v>2</v>
      </c>
      <c r="MP181">
        <v>2</v>
      </c>
      <c r="MQ181">
        <v>2</v>
      </c>
      <c r="MR181">
        <v>2</v>
      </c>
      <c r="MS181">
        <v>2</v>
      </c>
      <c r="MT181">
        <v>2</v>
      </c>
      <c r="MU181">
        <v>2</v>
      </c>
      <c r="MV181">
        <v>2</v>
      </c>
      <c r="MW181">
        <v>2</v>
      </c>
      <c r="MX181">
        <v>2</v>
      </c>
      <c r="MY181">
        <v>2</v>
      </c>
      <c r="MZ181">
        <v>2</v>
      </c>
      <c r="NA181">
        <v>2</v>
      </c>
      <c r="NB181">
        <v>2</v>
      </c>
      <c r="NC181">
        <v>2</v>
      </c>
      <c r="ND181">
        <v>2</v>
      </c>
      <c r="NE181">
        <v>2</v>
      </c>
      <c r="NF181">
        <v>2</v>
      </c>
      <c r="NG181">
        <v>2</v>
      </c>
      <c r="NH181">
        <v>2</v>
      </c>
      <c r="NI181">
        <v>2</v>
      </c>
      <c r="NJ181">
        <v>2</v>
      </c>
      <c r="NK181">
        <v>2</v>
      </c>
      <c r="NL181">
        <v>2</v>
      </c>
      <c r="NM181">
        <v>2</v>
      </c>
      <c r="NN181">
        <v>2</v>
      </c>
      <c r="NO181">
        <v>2</v>
      </c>
      <c r="NP181">
        <v>2</v>
      </c>
      <c r="NQ181">
        <v>2</v>
      </c>
      <c r="NR181">
        <v>2</v>
      </c>
      <c r="NS181">
        <v>2</v>
      </c>
      <c r="NT181">
        <v>2</v>
      </c>
      <c r="NU181">
        <v>2</v>
      </c>
      <c r="NV181">
        <v>2</v>
      </c>
      <c r="NW181">
        <v>2</v>
      </c>
      <c r="NX181">
        <v>2</v>
      </c>
      <c r="NY181">
        <v>2</v>
      </c>
      <c r="NZ181">
        <v>2</v>
      </c>
      <c r="OA181">
        <v>2</v>
      </c>
      <c r="OB181">
        <v>2</v>
      </c>
      <c r="OC181">
        <v>2</v>
      </c>
      <c r="OD181">
        <v>2</v>
      </c>
      <c r="OE181">
        <v>2</v>
      </c>
      <c r="OF181">
        <v>2</v>
      </c>
      <c r="OG181">
        <v>2</v>
      </c>
      <c r="OH181">
        <v>2</v>
      </c>
      <c r="OI181">
        <v>2</v>
      </c>
      <c r="OJ181">
        <v>2</v>
      </c>
      <c r="OK181">
        <v>2</v>
      </c>
      <c r="OL181">
        <v>2</v>
      </c>
      <c r="OM181">
        <v>2</v>
      </c>
      <c r="ON181">
        <v>2</v>
      </c>
      <c r="OO181">
        <v>2</v>
      </c>
      <c r="OP181">
        <v>2</v>
      </c>
      <c r="OQ181">
        <v>2</v>
      </c>
      <c r="OR181">
        <v>2</v>
      </c>
      <c r="OS181">
        <v>2</v>
      </c>
      <c r="OT181">
        <v>2</v>
      </c>
      <c r="OU181">
        <v>2</v>
      </c>
      <c r="OV181">
        <v>2</v>
      </c>
      <c r="OW181">
        <v>2</v>
      </c>
      <c r="OX181">
        <v>2</v>
      </c>
      <c r="OY181">
        <v>2</v>
      </c>
      <c r="OZ181">
        <v>2</v>
      </c>
      <c r="PA181">
        <v>2</v>
      </c>
      <c r="PB181">
        <v>2</v>
      </c>
      <c r="PC181">
        <v>2</v>
      </c>
      <c r="PD181">
        <v>2</v>
      </c>
      <c r="PE181">
        <v>2</v>
      </c>
      <c r="PF181">
        <v>2</v>
      </c>
      <c r="PG181">
        <v>2</v>
      </c>
      <c r="PH181">
        <v>2</v>
      </c>
      <c r="PI181">
        <v>2</v>
      </c>
      <c r="PJ181">
        <v>2</v>
      </c>
      <c r="PK181">
        <v>2</v>
      </c>
      <c r="PL181">
        <v>2</v>
      </c>
      <c r="PM181">
        <v>2</v>
      </c>
      <c r="PN181">
        <v>2</v>
      </c>
      <c r="PO181">
        <v>2</v>
      </c>
      <c r="PP181">
        <v>2</v>
      </c>
      <c r="PQ181">
        <v>2</v>
      </c>
      <c r="PR181">
        <v>2</v>
      </c>
      <c r="PS181">
        <v>2</v>
      </c>
      <c r="PT181">
        <v>2</v>
      </c>
      <c r="PU181">
        <v>2</v>
      </c>
      <c r="PV181">
        <v>2</v>
      </c>
      <c r="PW181">
        <v>2</v>
      </c>
      <c r="PX181">
        <v>2</v>
      </c>
      <c r="PY181">
        <v>2</v>
      </c>
      <c r="PZ181">
        <v>2</v>
      </c>
      <c r="QA181">
        <v>2</v>
      </c>
      <c r="QB181">
        <v>2</v>
      </c>
      <c r="QC181">
        <v>2</v>
      </c>
      <c r="QD181">
        <v>2</v>
      </c>
      <c r="QE181">
        <v>2</v>
      </c>
      <c r="QF181">
        <v>2</v>
      </c>
      <c r="QG181">
        <v>2</v>
      </c>
      <c r="QH181">
        <v>2</v>
      </c>
      <c r="QI181">
        <v>2</v>
      </c>
      <c r="QJ181">
        <v>2</v>
      </c>
      <c r="QK181">
        <v>2</v>
      </c>
      <c r="QL181">
        <v>2</v>
      </c>
      <c r="QM181">
        <v>2</v>
      </c>
      <c r="QN181">
        <v>1</v>
      </c>
      <c r="QO181">
        <v>1</v>
      </c>
      <c r="QP181">
        <v>1</v>
      </c>
      <c r="QQ181">
        <v>1</v>
      </c>
      <c r="QR181">
        <v>1</v>
      </c>
      <c r="QS181">
        <v>1</v>
      </c>
      <c r="QT181">
        <v>1</v>
      </c>
      <c r="QU181">
        <v>1</v>
      </c>
      <c r="QV181">
        <v>1</v>
      </c>
      <c r="QW181">
        <v>1</v>
      </c>
      <c r="QX181">
        <v>1</v>
      </c>
      <c r="QY181">
        <v>1</v>
      </c>
      <c r="QZ181">
        <v>1</v>
      </c>
      <c r="RA181">
        <v>1</v>
      </c>
      <c r="RB181">
        <v>1</v>
      </c>
      <c r="RC181">
        <v>1</v>
      </c>
      <c r="RD181">
        <v>1</v>
      </c>
      <c r="RE181">
        <v>1</v>
      </c>
      <c r="RF181">
        <v>1</v>
      </c>
      <c r="RG181">
        <v>1</v>
      </c>
      <c r="RH181">
        <v>1</v>
      </c>
      <c r="RI181">
        <v>1</v>
      </c>
      <c r="RJ181">
        <v>1</v>
      </c>
      <c r="RK181">
        <v>1</v>
      </c>
      <c r="RL181">
        <v>1</v>
      </c>
      <c r="RM181">
        <v>1</v>
      </c>
      <c r="RN181">
        <v>1</v>
      </c>
      <c r="RO181">
        <v>1</v>
      </c>
      <c r="RP181">
        <v>1</v>
      </c>
      <c r="RQ181">
        <v>1</v>
      </c>
      <c r="RR181">
        <v>1</v>
      </c>
      <c r="RS181">
        <v>1</v>
      </c>
      <c r="RT181">
        <v>1</v>
      </c>
      <c r="RU181">
        <v>1</v>
      </c>
      <c r="RV181">
        <v>1</v>
      </c>
      <c r="RW181">
        <v>1</v>
      </c>
      <c r="RX181">
        <v>1</v>
      </c>
      <c r="RY181">
        <v>1</v>
      </c>
      <c r="RZ181">
        <v>1</v>
      </c>
      <c r="SA181">
        <v>1</v>
      </c>
      <c r="SB181">
        <v>1</v>
      </c>
      <c r="SC181">
        <v>1</v>
      </c>
      <c r="SD181">
        <v>1</v>
      </c>
      <c r="SE181">
        <v>1</v>
      </c>
      <c r="SF181">
        <v>1</v>
      </c>
      <c r="SG181">
        <v>1</v>
      </c>
      <c r="SH181">
        <v>1</v>
      </c>
      <c r="SI181">
        <v>1</v>
      </c>
      <c r="SJ181">
        <v>1</v>
      </c>
      <c r="SK181">
        <v>1</v>
      </c>
      <c r="SL181">
        <v>1</v>
      </c>
      <c r="SM181">
        <v>1</v>
      </c>
      <c r="SN181">
        <v>1</v>
      </c>
      <c r="SO181">
        <v>1</v>
      </c>
      <c r="SP181">
        <v>1</v>
      </c>
      <c r="SQ181">
        <v>1</v>
      </c>
      <c r="SR181">
        <v>1</v>
      </c>
      <c r="SS181">
        <v>1</v>
      </c>
      <c r="ST181">
        <v>1</v>
      </c>
      <c r="SU181">
        <v>1</v>
      </c>
      <c r="SV181">
        <v>1</v>
      </c>
      <c r="SW181">
        <v>1</v>
      </c>
      <c r="SX181">
        <v>1</v>
      </c>
      <c r="SY181">
        <v>1</v>
      </c>
      <c r="SZ181">
        <v>1</v>
      </c>
      <c r="TA181">
        <v>1</v>
      </c>
      <c r="TB181">
        <v>1</v>
      </c>
      <c r="TC181">
        <v>1</v>
      </c>
      <c r="TD181">
        <v>1</v>
      </c>
      <c r="TE181">
        <v>1</v>
      </c>
      <c r="TF181">
        <v>1</v>
      </c>
      <c r="TG181">
        <v>1</v>
      </c>
      <c r="TH181">
        <v>1</v>
      </c>
      <c r="TI181">
        <v>1</v>
      </c>
      <c r="TJ181">
        <v>1</v>
      </c>
      <c r="TK181">
        <v>1</v>
      </c>
      <c r="TL181">
        <v>1</v>
      </c>
      <c r="TM181">
        <v>2</v>
      </c>
      <c r="TN181">
        <v>2</v>
      </c>
      <c r="TO181">
        <v>2</v>
      </c>
      <c r="TP181">
        <v>2</v>
      </c>
      <c r="TQ181">
        <v>2</v>
      </c>
      <c r="TR181">
        <v>2</v>
      </c>
      <c r="TS181">
        <v>2</v>
      </c>
      <c r="TT181">
        <v>2</v>
      </c>
      <c r="TU181">
        <v>2</v>
      </c>
      <c r="TV181">
        <v>2</v>
      </c>
      <c r="TW181">
        <v>2</v>
      </c>
      <c r="TX181">
        <v>2</v>
      </c>
      <c r="TY181">
        <v>2</v>
      </c>
      <c r="TZ181">
        <v>2</v>
      </c>
      <c r="UA181">
        <v>2</v>
      </c>
      <c r="UB181">
        <v>2</v>
      </c>
      <c r="UC181">
        <v>2</v>
      </c>
      <c r="UD181">
        <v>2</v>
      </c>
      <c r="UE181">
        <v>2</v>
      </c>
      <c r="UF181">
        <v>2</v>
      </c>
      <c r="UG181">
        <v>2</v>
      </c>
      <c r="UH181">
        <v>2</v>
      </c>
      <c r="UI181">
        <v>2</v>
      </c>
      <c r="UJ181">
        <v>2</v>
      </c>
      <c r="UK181">
        <v>2</v>
      </c>
      <c r="UL181">
        <v>2</v>
      </c>
      <c r="UM181">
        <v>2</v>
      </c>
      <c r="UN181">
        <v>2</v>
      </c>
      <c r="UO181">
        <v>2</v>
      </c>
      <c r="UP181">
        <v>2</v>
      </c>
      <c r="UQ181">
        <v>2</v>
      </c>
      <c r="UR181">
        <v>2</v>
      </c>
      <c r="US181">
        <v>2</v>
      </c>
      <c r="UT181">
        <v>2</v>
      </c>
      <c r="UU181">
        <v>2</v>
      </c>
      <c r="UV181">
        <v>2</v>
      </c>
      <c r="UW181">
        <v>2</v>
      </c>
      <c r="UX181">
        <v>2</v>
      </c>
      <c r="UY181">
        <v>2</v>
      </c>
      <c r="UZ181">
        <v>2</v>
      </c>
      <c r="VA181">
        <v>2</v>
      </c>
      <c r="VB181">
        <v>2</v>
      </c>
      <c r="VC181">
        <v>2</v>
      </c>
      <c r="VD181">
        <v>2</v>
      </c>
      <c r="VE181">
        <v>2</v>
      </c>
      <c r="VF181">
        <v>2</v>
      </c>
      <c r="VG181">
        <v>2</v>
      </c>
      <c r="VH181">
        <v>2</v>
      </c>
      <c r="VI181">
        <v>2</v>
      </c>
      <c r="VJ181">
        <v>2</v>
      </c>
      <c r="VK181">
        <v>2</v>
      </c>
      <c r="VL181">
        <v>2</v>
      </c>
      <c r="VM181">
        <v>2</v>
      </c>
      <c r="VN181">
        <v>2</v>
      </c>
      <c r="VO181">
        <v>2</v>
      </c>
      <c r="VP181">
        <v>2</v>
      </c>
      <c r="VQ181">
        <v>2</v>
      </c>
      <c r="VR181">
        <v>2</v>
      </c>
      <c r="VS181">
        <v>2</v>
      </c>
      <c r="VT181">
        <v>2</v>
      </c>
      <c r="VU181">
        <v>2</v>
      </c>
      <c r="VV181">
        <v>2</v>
      </c>
      <c r="VW181">
        <v>2</v>
      </c>
      <c r="VX181">
        <v>2</v>
      </c>
      <c r="VY181">
        <v>2</v>
      </c>
      <c r="VZ181">
        <v>2</v>
      </c>
      <c r="WA181">
        <v>2</v>
      </c>
      <c r="WB181">
        <v>2</v>
      </c>
      <c r="WC181">
        <v>2</v>
      </c>
      <c r="WD181">
        <v>2</v>
      </c>
      <c r="WE181">
        <v>2</v>
      </c>
      <c r="WF181">
        <v>2</v>
      </c>
      <c r="WG181">
        <v>2</v>
      </c>
      <c r="WH181">
        <v>2</v>
      </c>
      <c r="WI181">
        <v>2</v>
      </c>
      <c r="WJ181">
        <v>2</v>
      </c>
      <c r="WK181">
        <v>2</v>
      </c>
      <c r="WL181">
        <v>2</v>
      </c>
      <c r="WM181">
        <v>2</v>
      </c>
      <c r="WN181">
        <v>1</v>
      </c>
      <c r="WO181">
        <v>1</v>
      </c>
      <c r="WP181">
        <v>1</v>
      </c>
      <c r="WQ181">
        <v>1</v>
      </c>
      <c r="WR181">
        <v>1</v>
      </c>
      <c r="WS181">
        <v>1</v>
      </c>
      <c r="WT181">
        <v>1</v>
      </c>
      <c r="WU181">
        <v>1</v>
      </c>
      <c r="WV181">
        <v>1</v>
      </c>
      <c r="WW181">
        <v>1</v>
      </c>
      <c r="WX181">
        <v>1</v>
      </c>
      <c r="WY181">
        <v>1</v>
      </c>
      <c r="WZ181">
        <v>1</v>
      </c>
      <c r="XA181">
        <v>1</v>
      </c>
      <c r="XB181">
        <v>1</v>
      </c>
      <c r="XC181">
        <v>1</v>
      </c>
      <c r="XD181">
        <v>1</v>
      </c>
      <c r="XE181">
        <v>1</v>
      </c>
      <c r="XF181">
        <v>1</v>
      </c>
      <c r="XG181">
        <v>1</v>
      </c>
      <c r="XH181">
        <v>1</v>
      </c>
      <c r="XI181">
        <v>1</v>
      </c>
      <c r="XJ181">
        <v>1</v>
      </c>
      <c r="XK181">
        <v>1</v>
      </c>
      <c r="XL181">
        <v>1</v>
      </c>
      <c r="XM181">
        <v>1</v>
      </c>
      <c r="XN181">
        <v>1</v>
      </c>
      <c r="XO181">
        <v>1</v>
      </c>
      <c r="XP181">
        <v>1</v>
      </c>
      <c r="XQ181">
        <v>1</v>
      </c>
      <c r="XR181">
        <v>1</v>
      </c>
      <c r="XS181">
        <v>1</v>
      </c>
      <c r="XT181">
        <v>1</v>
      </c>
      <c r="XU181">
        <v>1</v>
      </c>
      <c r="XV181">
        <v>1</v>
      </c>
      <c r="XW181">
        <v>1</v>
      </c>
      <c r="XX181">
        <v>1</v>
      </c>
      <c r="XY181">
        <v>1</v>
      </c>
      <c r="XZ181">
        <v>1</v>
      </c>
      <c r="YA181">
        <v>1</v>
      </c>
      <c r="YB181">
        <v>1</v>
      </c>
      <c r="YC181">
        <v>1</v>
      </c>
      <c r="YD181">
        <v>1</v>
      </c>
      <c r="YE181">
        <v>1</v>
      </c>
      <c r="YF181">
        <v>1</v>
      </c>
      <c r="YG181">
        <v>1</v>
      </c>
      <c r="YH181">
        <v>1</v>
      </c>
      <c r="YI181">
        <v>1</v>
      </c>
      <c r="YJ181">
        <v>1</v>
      </c>
      <c r="YK181">
        <v>1</v>
      </c>
      <c r="YL181">
        <v>1</v>
      </c>
      <c r="YM181">
        <v>1</v>
      </c>
      <c r="YN181">
        <v>1</v>
      </c>
      <c r="YO181">
        <v>1</v>
      </c>
      <c r="YP181">
        <v>1</v>
      </c>
      <c r="YQ181">
        <v>1</v>
      </c>
      <c r="YR181">
        <v>1</v>
      </c>
      <c r="YS181">
        <v>1</v>
      </c>
      <c r="YT181">
        <v>1</v>
      </c>
      <c r="YU181">
        <v>1</v>
      </c>
      <c r="YV181">
        <v>1</v>
      </c>
      <c r="YW181">
        <v>1</v>
      </c>
      <c r="YX181">
        <v>1</v>
      </c>
      <c r="YY181">
        <v>1</v>
      </c>
      <c r="YZ181">
        <v>1</v>
      </c>
      <c r="ZA181">
        <v>1</v>
      </c>
      <c r="ZB181">
        <v>1</v>
      </c>
      <c r="ZC181">
        <v>1</v>
      </c>
      <c r="ZD181">
        <v>1</v>
      </c>
      <c r="ZE181">
        <v>1</v>
      </c>
      <c r="ZF181">
        <v>1</v>
      </c>
      <c r="ZG181">
        <v>1</v>
      </c>
      <c r="ZH181">
        <v>1</v>
      </c>
      <c r="ZI181">
        <v>1</v>
      </c>
      <c r="ZJ181">
        <v>1</v>
      </c>
      <c r="ZK181">
        <v>1</v>
      </c>
      <c r="ZL181">
        <v>1</v>
      </c>
      <c r="ZM181">
        <v>1</v>
      </c>
      <c r="ZN181">
        <v>1</v>
      </c>
      <c r="ZO181">
        <v>1</v>
      </c>
      <c r="ZP181">
        <v>1</v>
      </c>
      <c r="ZQ181">
        <v>1</v>
      </c>
      <c r="ZR181">
        <v>1</v>
      </c>
      <c r="ZS181">
        <v>1</v>
      </c>
      <c r="ZT181">
        <v>1</v>
      </c>
      <c r="ZU181">
        <v>1</v>
      </c>
      <c r="ZV181">
        <v>1</v>
      </c>
      <c r="ZW181">
        <v>1</v>
      </c>
      <c r="ZX181">
        <v>1</v>
      </c>
      <c r="ZY181">
        <v>1</v>
      </c>
      <c r="ZZ181">
        <v>1</v>
      </c>
      <c r="AAA181">
        <v>1</v>
      </c>
      <c r="AAB181">
        <v>1</v>
      </c>
      <c r="AAC181">
        <v>1</v>
      </c>
      <c r="AAD181">
        <v>1</v>
      </c>
      <c r="AAE181">
        <v>1</v>
      </c>
      <c r="AAF181">
        <v>1</v>
      </c>
      <c r="AAG181">
        <v>1</v>
      </c>
      <c r="AAH181">
        <v>1</v>
      </c>
      <c r="AAI181">
        <v>1</v>
      </c>
      <c r="AAJ181">
        <v>1</v>
      </c>
      <c r="AAK181">
        <v>1</v>
      </c>
      <c r="AAL181">
        <v>1</v>
      </c>
      <c r="AAM181">
        <v>1</v>
      </c>
      <c r="AAN181">
        <v>1</v>
      </c>
      <c r="AAO181">
        <v>1</v>
      </c>
      <c r="AAP181">
        <v>1</v>
      </c>
      <c r="AAQ181">
        <v>1</v>
      </c>
      <c r="AAR181">
        <v>1</v>
      </c>
      <c r="AAS181">
        <v>1</v>
      </c>
      <c r="AAT181">
        <v>1</v>
      </c>
      <c r="AAU181">
        <v>1</v>
      </c>
      <c r="AAV181">
        <v>1</v>
      </c>
      <c r="AAW181">
        <v>1</v>
      </c>
      <c r="AAX181">
        <v>1</v>
      </c>
      <c r="AAY181">
        <v>1</v>
      </c>
      <c r="AAZ181">
        <v>1</v>
      </c>
      <c r="ABA181">
        <v>1</v>
      </c>
      <c r="ABB181">
        <v>1</v>
      </c>
      <c r="ABC181">
        <v>1</v>
      </c>
      <c r="ABD181">
        <v>1</v>
      </c>
      <c r="ABE181">
        <v>1</v>
      </c>
      <c r="ABG181" s="1137">
        <f t="shared" si="48"/>
        <v>0</v>
      </c>
      <c r="ABH181" s="1137">
        <f t="shared" si="48"/>
        <v>0</v>
      </c>
      <c r="ABI181" s="1137">
        <f t="shared" si="48"/>
        <v>18</v>
      </c>
      <c r="ABJ181" s="1137">
        <f t="shared" si="48"/>
        <v>30</v>
      </c>
      <c r="ABK181" s="1137">
        <f t="shared" si="48"/>
        <v>31</v>
      </c>
      <c r="ABL181" s="1137">
        <f t="shared" si="48"/>
        <v>30</v>
      </c>
      <c r="ABM181" s="1137">
        <f t="shared" si="48"/>
        <v>31</v>
      </c>
      <c r="ABN181" s="1137">
        <f t="shared" si="48"/>
        <v>31</v>
      </c>
      <c r="ABO181" s="1137">
        <f t="shared" si="48"/>
        <v>30</v>
      </c>
      <c r="ABP181" s="1137">
        <f t="shared" si="48"/>
        <v>31</v>
      </c>
      <c r="ABQ181" s="1137">
        <f t="shared" si="48"/>
        <v>30</v>
      </c>
      <c r="ABR181" s="1137">
        <f t="shared" si="48"/>
        <v>31</v>
      </c>
      <c r="ABS181" s="1137">
        <f t="shared" si="48"/>
        <v>31</v>
      </c>
      <c r="ABT181" s="1137">
        <f t="shared" si="48"/>
        <v>28</v>
      </c>
      <c r="ABU181" s="1137">
        <f t="shared" si="48"/>
        <v>31</v>
      </c>
      <c r="ABV181" s="1137">
        <f t="shared" si="48"/>
        <v>30</v>
      </c>
      <c r="ABW181" s="1137">
        <f t="shared" ref="ABW181:ACD190" si="49">COUNTIFS($C$3:$ABE$3, ABW$3, $C$4:$ABE$4, ABW$4, $C181:$ABE181, "&gt;0")</f>
        <v>31</v>
      </c>
      <c r="ABX181" s="1137">
        <f t="shared" si="49"/>
        <v>30</v>
      </c>
      <c r="ABY181" s="1137">
        <f t="shared" si="49"/>
        <v>31</v>
      </c>
      <c r="ABZ181" s="1137">
        <f t="shared" si="49"/>
        <v>31</v>
      </c>
      <c r="ACA181" s="1137">
        <f t="shared" si="49"/>
        <v>30</v>
      </c>
      <c r="ACB181" s="1137">
        <f t="shared" si="49"/>
        <v>31</v>
      </c>
      <c r="ACC181" s="1137">
        <f t="shared" si="49"/>
        <v>30</v>
      </c>
      <c r="ACD181" s="1137">
        <f t="shared" si="49"/>
        <v>31</v>
      </c>
      <c r="ACE181" s="1137" t="s">
        <v>1980</v>
      </c>
      <c r="ACF181" s="1137">
        <f t="shared" si="47"/>
        <v>0</v>
      </c>
      <c r="ACG181" s="1137">
        <f t="shared" si="47"/>
        <v>0</v>
      </c>
      <c r="ACH181" s="1137">
        <f t="shared" si="47"/>
        <v>1</v>
      </c>
      <c r="ACI181" s="1137">
        <f t="shared" si="47"/>
        <v>1</v>
      </c>
      <c r="ACJ181" s="1137">
        <f t="shared" si="47"/>
        <v>1</v>
      </c>
      <c r="ACK181" s="1137">
        <f t="shared" si="47"/>
        <v>1</v>
      </c>
      <c r="ACL181" s="1137">
        <f t="shared" si="47"/>
        <v>1</v>
      </c>
      <c r="ACM181" s="1137">
        <f t="shared" si="47"/>
        <v>1</v>
      </c>
      <c r="ACN181" s="1137">
        <f t="shared" si="47"/>
        <v>1</v>
      </c>
      <c r="ACO181" s="1137">
        <f t="shared" si="47"/>
        <v>1</v>
      </c>
      <c r="ACP181" s="1137">
        <f t="shared" si="47"/>
        <v>1</v>
      </c>
      <c r="ACQ181" s="1137">
        <f t="shared" si="47"/>
        <v>1</v>
      </c>
      <c r="ACR181" s="1137">
        <f t="shared" si="47"/>
        <v>1</v>
      </c>
      <c r="ACS181" s="1137">
        <f t="shared" si="47"/>
        <v>1</v>
      </c>
      <c r="ACT181" s="1137">
        <f t="shared" si="43"/>
        <v>1</v>
      </c>
      <c r="ACU181" s="1137">
        <f t="shared" si="43"/>
        <v>1</v>
      </c>
      <c r="ACV181" s="1137">
        <f t="shared" si="43"/>
        <v>1</v>
      </c>
      <c r="ACW181" s="1137">
        <f t="shared" si="43"/>
        <v>1</v>
      </c>
      <c r="ACX181" s="1137">
        <f t="shared" si="42"/>
        <v>1</v>
      </c>
      <c r="ACY181" s="1137">
        <f t="shared" si="42"/>
        <v>1</v>
      </c>
      <c r="ACZ181" s="1137">
        <f t="shared" si="42"/>
        <v>1</v>
      </c>
      <c r="ADA181" s="1137">
        <f t="shared" si="35"/>
        <v>1</v>
      </c>
      <c r="ADB181" s="1137">
        <f t="shared" si="35"/>
        <v>1</v>
      </c>
      <c r="ADC181" s="1137">
        <f t="shared" si="35"/>
        <v>1</v>
      </c>
    </row>
    <row r="182" spans="1:783" x14ac:dyDescent="0.25">
      <c r="A182" t="s">
        <v>1981</v>
      </c>
      <c r="B182" t="s">
        <v>74</v>
      </c>
      <c r="C182">
        <v>0</v>
      </c>
      <c r="D182">
        <v>0</v>
      </c>
      <c r="E182">
        <v>0</v>
      </c>
      <c r="F182">
        <v>0</v>
      </c>
      <c r="G182">
        <v>0</v>
      </c>
      <c r="H182">
        <v>0</v>
      </c>
      <c r="I182">
        <v>0</v>
      </c>
      <c r="J182">
        <v>0</v>
      </c>
      <c r="K182">
        <v>0</v>
      </c>
      <c r="L182">
        <v>0</v>
      </c>
      <c r="M182">
        <v>0</v>
      </c>
      <c r="N182">
        <v>0</v>
      </c>
      <c r="O182">
        <v>0</v>
      </c>
      <c r="P182">
        <v>0</v>
      </c>
      <c r="Q182">
        <v>0</v>
      </c>
      <c r="R182">
        <v>0</v>
      </c>
      <c r="S182">
        <v>0</v>
      </c>
      <c r="T182">
        <v>0</v>
      </c>
      <c r="U182">
        <v>0</v>
      </c>
      <c r="V182">
        <v>0</v>
      </c>
      <c r="W182">
        <v>0</v>
      </c>
      <c r="X182">
        <v>0</v>
      </c>
      <c r="Y182">
        <v>0</v>
      </c>
      <c r="Z182">
        <v>0</v>
      </c>
      <c r="AA182">
        <v>0</v>
      </c>
      <c r="AB182">
        <v>0</v>
      </c>
      <c r="AC182">
        <v>0</v>
      </c>
      <c r="AD182">
        <v>0</v>
      </c>
      <c r="AE182">
        <v>0</v>
      </c>
      <c r="AF182">
        <v>0</v>
      </c>
      <c r="AG182">
        <v>0</v>
      </c>
      <c r="AH182">
        <v>0</v>
      </c>
      <c r="AI182">
        <v>0</v>
      </c>
      <c r="AJ182">
        <v>0</v>
      </c>
      <c r="AK182">
        <v>0</v>
      </c>
      <c r="AL182">
        <v>0</v>
      </c>
      <c r="AM182">
        <v>0</v>
      </c>
      <c r="AN182">
        <v>0</v>
      </c>
      <c r="AO182">
        <v>0</v>
      </c>
      <c r="AP182">
        <v>0</v>
      </c>
      <c r="AQ182">
        <v>0</v>
      </c>
      <c r="AR182">
        <v>0</v>
      </c>
      <c r="AS182">
        <v>0</v>
      </c>
      <c r="AT182">
        <v>0</v>
      </c>
      <c r="AU182">
        <v>0</v>
      </c>
      <c r="AV182">
        <v>0</v>
      </c>
      <c r="AW182">
        <v>0</v>
      </c>
      <c r="AX182">
        <v>0</v>
      </c>
      <c r="AY182">
        <v>0</v>
      </c>
      <c r="AZ182">
        <v>0</v>
      </c>
      <c r="BA182">
        <v>0</v>
      </c>
      <c r="BB182">
        <v>0</v>
      </c>
      <c r="BC182">
        <v>0</v>
      </c>
      <c r="BD182">
        <v>0</v>
      </c>
      <c r="BE182">
        <v>0</v>
      </c>
      <c r="BF182">
        <v>0</v>
      </c>
      <c r="BG182">
        <v>0</v>
      </c>
      <c r="BH182">
        <v>0</v>
      </c>
      <c r="BI182">
        <v>0</v>
      </c>
      <c r="BJ182">
        <v>0</v>
      </c>
      <c r="BK182">
        <v>0</v>
      </c>
      <c r="BL182">
        <v>0</v>
      </c>
      <c r="BM182">
        <v>0</v>
      </c>
      <c r="BN182">
        <v>0</v>
      </c>
      <c r="BO182">
        <v>0</v>
      </c>
      <c r="BP182">
        <v>0</v>
      </c>
      <c r="BQ182">
        <v>0</v>
      </c>
      <c r="BR182">
        <v>0</v>
      </c>
      <c r="BS182">
        <v>0</v>
      </c>
      <c r="BT182">
        <v>0</v>
      </c>
      <c r="BU182">
        <v>0</v>
      </c>
      <c r="BV182">
        <v>0</v>
      </c>
      <c r="BW182">
        <v>0</v>
      </c>
      <c r="BX182">
        <v>0</v>
      </c>
      <c r="BY182">
        <v>0</v>
      </c>
      <c r="BZ182">
        <v>0</v>
      </c>
      <c r="CA182">
        <v>0</v>
      </c>
      <c r="CB182">
        <v>0</v>
      </c>
      <c r="CC182">
        <v>0</v>
      </c>
      <c r="CD182">
        <v>0</v>
      </c>
      <c r="CE182">
        <v>0</v>
      </c>
      <c r="CF182">
        <v>0</v>
      </c>
      <c r="CG182">
        <v>0</v>
      </c>
      <c r="CH182">
        <v>2</v>
      </c>
      <c r="CI182">
        <v>2</v>
      </c>
      <c r="CJ182">
        <v>2</v>
      </c>
      <c r="CK182">
        <v>2</v>
      </c>
      <c r="CL182">
        <v>2</v>
      </c>
      <c r="CM182">
        <v>2</v>
      </c>
      <c r="CN182">
        <v>2</v>
      </c>
      <c r="CO182">
        <v>2</v>
      </c>
      <c r="CP182">
        <v>2</v>
      </c>
      <c r="CQ182">
        <v>2</v>
      </c>
      <c r="CR182">
        <v>2</v>
      </c>
      <c r="CS182">
        <v>2</v>
      </c>
      <c r="CT182">
        <v>2</v>
      </c>
      <c r="CU182">
        <v>2</v>
      </c>
      <c r="CV182">
        <v>2</v>
      </c>
      <c r="CW182">
        <v>2</v>
      </c>
      <c r="CX182">
        <v>2</v>
      </c>
      <c r="CY182">
        <v>2</v>
      </c>
      <c r="CZ182">
        <v>2</v>
      </c>
      <c r="DA182">
        <v>2</v>
      </c>
      <c r="DB182">
        <v>2</v>
      </c>
      <c r="DC182">
        <v>2</v>
      </c>
      <c r="DD182">
        <v>2</v>
      </c>
      <c r="DE182">
        <v>2</v>
      </c>
      <c r="DF182">
        <v>2</v>
      </c>
      <c r="DG182">
        <v>2</v>
      </c>
      <c r="DH182">
        <v>2</v>
      </c>
      <c r="DI182">
        <v>2</v>
      </c>
      <c r="DJ182">
        <v>2</v>
      </c>
      <c r="DK182">
        <v>2</v>
      </c>
      <c r="DL182">
        <v>2</v>
      </c>
      <c r="DM182">
        <v>2</v>
      </c>
      <c r="DN182">
        <v>2</v>
      </c>
      <c r="DO182">
        <v>2</v>
      </c>
      <c r="DP182">
        <v>2</v>
      </c>
      <c r="DQ182">
        <v>2</v>
      </c>
      <c r="DR182">
        <v>2</v>
      </c>
      <c r="DS182">
        <v>2</v>
      </c>
      <c r="DT182">
        <v>2</v>
      </c>
      <c r="DU182">
        <v>2</v>
      </c>
      <c r="DV182">
        <v>2</v>
      </c>
      <c r="DW182">
        <v>2</v>
      </c>
      <c r="DX182">
        <v>2</v>
      </c>
      <c r="DY182">
        <v>2</v>
      </c>
      <c r="DZ182">
        <v>2</v>
      </c>
      <c r="EA182">
        <v>2</v>
      </c>
      <c r="EB182">
        <v>2</v>
      </c>
      <c r="EC182">
        <v>2</v>
      </c>
      <c r="ED182">
        <v>2</v>
      </c>
      <c r="EE182">
        <v>2</v>
      </c>
      <c r="EF182">
        <v>2</v>
      </c>
      <c r="EG182">
        <v>2</v>
      </c>
      <c r="EH182">
        <v>2</v>
      </c>
      <c r="EI182">
        <v>2</v>
      </c>
      <c r="EJ182">
        <v>2</v>
      </c>
      <c r="EK182">
        <v>2</v>
      </c>
      <c r="EL182">
        <v>2</v>
      </c>
      <c r="EM182">
        <v>2</v>
      </c>
      <c r="EN182">
        <v>2</v>
      </c>
      <c r="EO182">
        <v>2</v>
      </c>
      <c r="EP182">
        <v>2</v>
      </c>
      <c r="EQ182">
        <v>2</v>
      </c>
      <c r="ER182">
        <v>2</v>
      </c>
      <c r="ES182">
        <v>2</v>
      </c>
      <c r="ET182">
        <v>2</v>
      </c>
      <c r="EU182">
        <v>2</v>
      </c>
      <c r="EV182">
        <v>2</v>
      </c>
      <c r="EW182">
        <v>2</v>
      </c>
      <c r="EX182">
        <v>2</v>
      </c>
      <c r="EY182">
        <v>2</v>
      </c>
      <c r="EZ182">
        <v>2</v>
      </c>
      <c r="FA182">
        <v>2</v>
      </c>
      <c r="FB182">
        <v>2</v>
      </c>
      <c r="FC182">
        <v>2</v>
      </c>
      <c r="FD182">
        <v>2</v>
      </c>
      <c r="FE182">
        <v>2</v>
      </c>
      <c r="FF182">
        <v>2</v>
      </c>
      <c r="FG182">
        <v>2</v>
      </c>
      <c r="FH182">
        <v>2</v>
      </c>
      <c r="FI182">
        <v>2</v>
      </c>
      <c r="FJ182">
        <v>2</v>
      </c>
      <c r="FK182">
        <v>2</v>
      </c>
      <c r="FL182">
        <v>2</v>
      </c>
      <c r="FM182">
        <v>1</v>
      </c>
      <c r="FN182">
        <v>1</v>
      </c>
      <c r="FO182">
        <v>1</v>
      </c>
      <c r="FP182">
        <v>1</v>
      </c>
      <c r="FQ182">
        <v>1</v>
      </c>
      <c r="FR182">
        <v>1</v>
      </c>
      <c r="FS182">
        <v>1</v>
      </c>
      <c r="FT182">
        <v>1</v>
      </c>
      <c r="FU182">
        <v>1</v>
      </c>
      <c r="FV182">
        <v>1</v>
      </c>
      <c r="FW182">
        <v>1</v>
      </c>
      <c r="FX182">
        <v>1</v>
      </c>
      <c r="FY182">
        <v>1</v>
      </c>
      <c r="FZ182">
        <v>1</v>
      </c>
      <c r="GA182">
        <v>1</v>
      </c>
      <c r="GB182">
        <v>1</v>
      </c>
      <c r="GC182">
        <v>1</v>
      </c>
      <c r="GD182">
        <v>1</v>
      </c>
      <c r="GE182">
        <v>1</v>
      </c>
      <c r="GF182">
        <v>1</v>
      </c>
      <c r="GG182">
        <v>1</v>
      </c>
      <c r="GH182">
        <v>1</v>
      </c>
      <c r="GI182">
        <v>1</v>
      </c>
      <c r="GJ182">
        <v>1</v>
      </c>
      <c r="GK182">
        <v>1</v>
      </c>
      <c r="GL182">
        <v>1</v>
      </c>
      <c r="GM182">
        <v>1</v>
      </c>
      <c r="GN182">
        <v>1</v>
      </c>
      <c r="GO182">
        <v>1</v>
      </c>
      <c r="GP182">
        <v>1</v>
      </c>
      <c r="GQ182">
        <v>1</v>
      </c>
      <c r="GR182">
        <v>1</v>
      </c>
      <c r="GS182">
        <v>1</v>
      </c>
      <c r="GT182">
        <v>1</v>
      </c>
      <c r="GU182">
        <v>1</v>
      </c>
      <c r="GV182">
        <v>1</v>
      </c>
      <c r="GW182">
        <v>1</v>
      </c>
      <c r="GX182">
        <v>1</v>
      </c>
      <c r="GY182">
        <v>1</v>
      </c>
      <c r="GZ182">
        <v>1</v>
      </c>
      <c r="HA182">
        <v>1</v>
      </c>
      <c r="HB182">
        <v>1</v>
      </c>
      <c r="HC182">
        <v>1</v>
      </c>
      <c r="HD182">
        <v>1</v>
      </c>
      <c r="HE182">
        <v>1</v>
      </c>
      <c r="HF182">
        <v>1</v>
      </c>
      <c r="HG182">
        <v>1</v>
      </c>
      <c r="HH182">
        <v>1</v>
      </c>
      <c r="HI182">
        <v>1</v>
      </c>
      <c r="HJ182">
        <v>1</v>
      </c>
      <c r="HK182">
        <v>1</v>
      </c>
      <c r="HL182">
        <v>1</v>
      </c>
      <c r="HM182">
        <v>1</v>
      </c>
      <c r="HN182">
        <v>1</v>
      </c>
      <c r="HO182">
        <v>1</v>
      </c>
      <c r="HP182">
        <v>1</v>
      </c>
      <c r="HQ182">
        <v>1</v>
      </c>
      <c r="HR182">
        <v>1</v>
      </c>
      <c r="HS182">
        <v>1</v>
      </c>
      <c r="HT182">
        <v>1</v>
      </c>
      <c r="HU182">
        <v>1</v>
      </c>
      <c r="HV182">
        <v>0</v>
      </c>
      <c r="HW182">
        <v>0</v>
      </c>
      <c r="HX182">
        <v>0</v>
      </c>
      <c r="HY182">
        <v>0</v>
      </c>
      <c r="HZ182">
        <v>0</v>
      </c>
      <c r="IA182">
        <v>0</v>
      </c>
      <c r="IB182">
        <v>0</v>
      </c>
      <c r="IC182">
        <v>0</v>
      </c>
      <c r="ID182">
        <v>0</v>
      </c>
      <c r="IE182">
        <v>0</v>
      </c>
      <c r="IF182">
        <v>0</v>
      </c>
      <c r="IG182">
        <v>0</v>
      </c>
      <c r="IH182">
        <v>0</v>
      </c>
      <c r="II182">
        <v>0</v>
      </c>
      <c r="IJ182">
        <v>0</v>
      </c>
      <c r="IK182">
        <v>0</v>
      </c>
      <c r="IL182">
        <v>0</v>
      </c>
      <c r="IM182">
        <v>0</v>
      </c>
      <c r="IN182">
        <v>0</v>
      </c>
      <c r="IO182">
        <v>0</v>
      </c>
      <c r="IP182">
        <v>0</v>
      </c>
      <c r="IQ182">
        <v>0</v>
      </c>
      <c r="IR182">
        <v>0</v>
      </c>
      <c r="IS182">
        <v>0</v>
      </c>
      <c r="IT182">
        <v>0</v>
      </c>
      <c r="IU182">
        <v>0</v>
      </c>
      <c r="IV182">
        <v>0</v>
      </c>
      <c r="IW182">
        <v>0</v>
      </c>
      <c r="IX182">
        <v>0</v>
      </c>
      <c r="IY182">
        <v>0</v>
      </c>
      <c r="IZ182">
        <v>0</v>
      </c>
      <c r="JA182">
        <v>0</v>
      </c>
      <c r="JB182">
        <v>0</v>
      </c>
      <c r="JC182">
        <v>0</v>
      </c>
      <c r="JD182">
        <v>0</v>
      </c>
      <c r="JE182">
        <v>0</v>
      </c>
      <c r="JF182">
        <v>0</v>
      </c>
      <c r="JG182">
        <v>0</v>
      </c>
      <c r="JH182">
        <v>0</v>
      </c>
      <c r="JI182">
        <v>0</v>
      </c>
      <c r="JJ182">
        <v>0</v>
      </c>
      <c r="JK182">
        <v>0</v>
      </c>
      <c r="JL182">
        <v>0</v>
      </c>
      <c r="JM182">
        <v>0</v>
      </c>
      <c r="JN182">
        <v>0</v>
      </c>
      <c r="JO182">
        <v>0</v>
      </c>
      <c r="JP182">
        <v>0</v>
      </c>
      <c r="JQ182">
        <v>0</v>
      </c>
      <c r="JR182">
        <v>0</v>
      </c>
      <c r="JS182">
        <v>0</v>
      </c>
      <c r="JT182">
        <v>0</v>
      </c>
      <c r="JU182">
        <v>0</v>
      </c>
      <c r="JV182">
        <v>0</v>
      </c>
      <c r="JW182">
        <v>0</v>
      </c>
      <c r="JX182">
        <v>0</v>
      </c>
      <c r="JY182">
        <v>0</v>
      </c>
      <c r="JZ182">
        <v>0</v>
      </c>
      <c r="KA182">
        <v>0</v>
      </c>
      <c r="KB182">
        <v>0</v>
      </c>
      <c r="KC182">
        <v>0</v>
      </c>
      <c r="KD182">
        <v>0</v>
      </c>
      <c r="KE182">
        <v>0</v>
      </c>
      <c r="KF182">
        <v>0</v>
      </c>
      <c r="KG182">
        <v>0</v>
      </c>
      <c r="KH182">
        <v>0</v>
      </c>
      <c r="KI182">
        <v>0</v>
      </c>
      <c r="KJ182">
        <v>0</v>
      </c>
      <c r="KK182">
        <v>0</v>
      </c>
      <c r="KL182">
        <v>0</v>
      </c>
      <c r="KM182">
        <v>0</v>
      </c>
      <c r="KN182">
        <v>0</v>
      </c>
      <c r="KO182">
        <v>0</v>
      </c>
      <c r="KP182">
        <v>0</v>
      </c>
      <c r="KQ182">
        <v>0</v>
      </c>
      <c r="KR182">
        <v>0</v>
      </c>
      <c r="KS182">
        <v>0</v>
      </c>
      <c r="KT182">
        <v>0</v>
      </c>
      <c r="KU182">
        <v>0</v>
      </c>
      <c r="KV182">
        <v>0</v>
      </c>
      <c r="KW182">
        <v>0</v>
      </c>
      <c r="KX182">
        <v>0</v>
      </c>
      <c r="KY182">
        <v>0</v>
      </c>
      <c r="KZ182">
        <v>0</v>
      </c>
      <c r="LA182">
        <v>0</v>
      </c>
      <c r="LB182">
        <v>0</v>
      </c>
      <c r="LC182">
        <v>0</v>
      </c>
      <c r="LD182">
        <v>0</v>
      </c>
      <c r="LE182">
        <v>0</v>
      </c>
      <c r="LF182">
        <v>0</v>
      </c>
      <c r="LG182">
        <v>0</v>
      </c>
      <c r="LH182">
        <v>0</v>
      </c>
      <c r="LI182">
        <v>0</v>
      </c>
      <c r="LJ182">
        <v>0</v>
      </c>
      <c r="LK182">
        <v>0</v>
      </c>
      <c r="LL182">
        <v>0</v>
      </c>
      <c r="LM182">
        <v>0</v>
      </c>
      <c r="LN182">
        <v>0</v>
      </c>
      <c r="LO182">
        <v>0</v>
      </c>
      <c r="LP182">
        <v>0</v>
      </c>
      <c r="LQ182">
        <v>0</v>
      </c>
      <c r="LR182">
        <v>0</v>
      </c>
      <c r="LS182">
        <v>0</v>
      </c>
      <c r="LT182">
        <v>0</v>
      </c>
      <c r="LU182">
        <v>0</v>
      </c>
      <c r="LV182">
        <v>0</v>
      </c>
      <c r="LW182">
        <v>0</v>
      </c>
      <c r="LX182">
        <v>0</v>
      </c>
      <c r="LY182">
        <v>0</v>
      </c>
      <c r="LZ182">
        <v>0</v>
      </c>
      <c r="MA182">
        <v>0</v>
      </c>
      <c r="MB182">
        <v>0</v>
      </c>
      <c r="MC182">
        <v>0</v>
      </c>
      <c r="MD182">
        <v>0</v>
      </c>
      <c r="ME182">
        <v>0</v>
      </c>
      <c r="MF182">
        <v>0</v>
      </c>
      <c r="MG182">
        <v>0</v>
      </c>
      <c r="MH182">
        <v>0</v>
      </c>
      <c r="MI182">
        <v>0</v>
      </c>
      <c r="MJ182">
        <v>0</v>
      </c>
      <c r="MK182">
        <v>0</v>
      </c>
      <c r="ML182">
        <v>0</v>
      </c>
      <c r="MM182">
        <v>0</v>
      </c>
      <c r="MN182">
        <v>0</v>
      </c>
      <c r="MO182">
        <v>0</v>
      </c>
      <c r="MP182">
        <v>0</v>
      </c>
      <c r="MQ182">
        <v>0</v>
      </c>
      <c r="MR182">
        <v>0</v>
      </c>
      <c r="MS182">
        <v>0</v>
      </c>
      <c r="MT182">
        <v>0</v>
      </c>
      <c r="MU182">
        <v>0</v>
      </c>
      <c r="MV182">
        <v>0</v>
      </c>
      <c r="MW182">
        <v>0</v>
      </c>
      <c r="MX182">
        <v>0</v>
      </c>
      <c r="MY182">
        <v>0</v>
      </c>
      <c r="MZ182">
        <v>0</v>
      </c>
      <c r="NA182">
        <v>0</v>
      </c>
      <c r="NB182">
        <v>0</v>
      </c>
      <c r="NC182">
        <v>0</v>
      </c>
      <c r="ND182">
        <v>0</v>
      </c>
      <c r="NE182">
        <v>0</v>
      </c>
      <c r="NF182">
        <v>0</v>
      </c>
      <c r="NG182">
        <v>0</v>
      </c>
      <c r="NH182">
        <v>0</v>
      </c>
      <c r="NI182">
        <v>0</v>
      </c>
      <c r="NJ182">
        <v>0</v>
      </c>
      <c r="NK182">
        <v>0</v>
      </c>
      <c r="NL182">
        <v>0</v>
      </c>
      <c r="NM182">
        <v>0</v>
      </c>
      <c r="NN182">
        <v>0</v>
      </c>
      <c r="NO182">
        <v>0</v>
      </c>
      <c r="NP182">
        <v>0</v>
      </c>
      <c r="NQ182">
        <v>0</v>
      </c>
      <c r="NR182">
        <v>0</v>
      </c>
      <c r="NS182">
        <v>0</v>
      </c>
      <c r="NT182">
        <v>0</v>
      </c>
      <c r="NU182">
        <v>0</v>
      </c>
      <c r="NV182">
        <v>0</v>
      </c>
      <c r="NW182">
        <v>0</v>
      </c>
      <c r="NX182">
        <v>0</v>
      </c>
      <c r="NY182">
        <v>0</v>
      </c>
      <c r="NZ182">
        <v>0</v>
      </c>
      <c r="OA182">
        <v>0</v>
      </c>
      <c r="OB182">
        <v>0</v>
      </c>
      <c r="OC182">
        <v>0</v>
      </c>
      <c r="OD182">
        <v>0</v>
      </c>
      <c r="OE182">
        <v>0</v>
      </c>
      <c r="OF182">
        <v>0</v>
      </c>
      <c r="OG182">
        <v>0</v>
      </c>
      <c r="OH182">
        <v>0</v>
      </c>
      <c r="OI182">
        <v>0</v>
      </c>
      <c r="OJ182">
        <v>0</v>
      </c>
      <c r="OK182">
        <v>0</v>
      </c>
      <c r="OL182">
        <v>0</v>
      </c>
      <c r="OM182">
        <v>0</v>
      </c>
      <c r="ON182">
        <v>0</v>
      </c>
      <c r="OO182">
        <v>0</v>
      </c>
      <c r="OP182">
        <v>0</v>
      </c>
      <c r="OQ182">
        <v>0</v>
      </c>
      <c r="OR182">
        <v>0</v>
      </c>
      <c r="OS182">
        <v>0</v>
      </c>
      <c r="OT182">
        <v>0</v>
      </c>
      <c r="OU182">
        <v>0</v>
      </c>
      <c r="OV182">
        <v>0</v>
      </c>
      <c r="OW182">
        <v>0</v>
      </c>
      <c r="OX182">
        <v>0</v>
      </c>
      <c r="OY182">
        <v>0</v>
      </c>
      <c r="OZ182">
        <v>0</v>
      </c>
      <c r="PA182">
        <v>0</v>
      </c>
      <c r="PB182">
        <v>0</v>
      </c>
      <c r="PC182">
        <v>0</v>
      </c>
      <c r="PD182">
        <v>0</v>
      </c>
      <c r="PE182">
        <v>0</v>
      </c>
      <c r="PF182">
        <v>0</v>
      </c>
      <c r="PG182">
        <v>0</v>
      </c>
      <c r="PH182">
        <v>0</v>
      </c>
      <c r="PI182">
        <v>0</v>
      </c>
      <c r="PJ182">
        <v>0</v>
      </c>
      <c r="PK182">
        <v>0</v>
      </c>
      <c r="PL182">
        <v>0</v>
      </c>
      <c r="PM182">
        <v>0</v>
      </c>
      <c r="PN182">
        <v>0</v>
      </c>
      <c r="PO182">
        <v>0</v>
      </c>
      <c r="PP182">
        <v>0</v>
      </c>
      <c r="PQ182">
        <v>0</v>
      </c>
      <c r="PR182">
        <v>0</v>
      </c>
      <c r="PS182">
        <v>0</v>
      </c>
      <c r="PT182">
        <v>0</v>
      </c>
      <c r="PU182">
        <v>0</v>
      </c>
      <c r="PV182">
        <v>0</v>
      </c>
      <c r="PW182">
        <v>0</v>
      </c>
      <c r="PX182">
        <v>0</v>
      </c>
      <c r="PY182">
        <v>0</v>
      </c>
      <c r="PZ182">
        <v>0</v>
      </c>
      <c r="QA182">
        <v>0</v>
      </c>
      <c r="QB182">
        <v>0</v>
      </c>
      <c r="QC182">
        <v>0</v>
      </c>
      <c r="QD182">
        <v>0</v>
      </c>
      <c r="QE182">
        <v>0</v>
      </c>
      <c r="QF182">
        <v>0</v>
      </c>
      <c r="QG182">
        <v>0</v>
      </c>
      <c r="QH182">
        <v>0</v>
      </c>
      <c r="QI182">
        <v>0</v>
      </c>
      <c r="QJ182">
        <v>0</v>
      </c>
      <c r="QK182">
        <v>0</v>
      </c>
      <c r="QL182">
        <v>0</v>
      </c>
      <c r="QM182">
        <v>0</v>
      </c>
      <c r="QN182">
        <v>0</v>
      </c>
      <c r="QO182">
        <v>0</v>
      </c>
      <c r="QP182">
        <v>0</v>
      </c>
      <c r="QQ182">
        <v>0</v>
      </c>
      <c r="QR182">
        <v>0</v>
      </c>
      <c r="QS182">
        <v>0</v>
      </c>
      <c r="QT182">
        <v>0</v>
      </c>
      <c r="QU182">
        <v>0</v>
      </c>
      <c r="QV182">
        <v>0</v>
      </c>
      <c r="QW182">
        <v>0</v>
      </c>
      <c r="QX182">
        <v>0</v>
      </c>
      <c r="QY182">
        <v>0</v>
      </c>
      <c r="QZ182">
        <v>0</v>
      </c>
      <c r="RA182">
        <v>0</v>
      </c>
      <c r="RB182">
        <v>0</v>
      </c>
      <c r="RC182">
        <v>0</v>
      </c>
      <c r="RD182">
        <v>0</v>
      </c>
      <c r="RE182">
        <v>0</v>
      </c>
      <c r="RF182">
        <v>0</v>
      </c>
      <c r="RG182">
        <v>0</v>
      </c>
      <c r="RH182">
        <v>0</v>
      </c>
      <c r="RI182">
        <v>0</v>
      </c>
      <c r="RJ182">
        <v>0</v>
      </c>
      <c r="RK182">
        <v>0</v>
      </c>
      <c r="RL182">
        <v>0</v>
      </c>
      <c r="RM182">
        <v>0</v>
      </c>
      <c r="RN182">
        <v>0</v>
      </c>
      <c r="RO182">
        <v>0</v>
      </c>
      <c r="RP182">
        <v>0</v>
      </c>
      <c r="RQ182">
        <v>0</v>
      </c>
      <c r="RR182">
        <v>0</v>
      </c>
      <c r="RS182">
        <v>0</v>
      </c>
      <c r="RT182">
        <v>0</v>
      </c>
      <c r="RU182">
        <v>0</v>
      </c>
      <c r="RV182">
        <v>0</v>
      </c>
      <c r="RW182">
        <v>0</v>
      </c>
      <c r="RX182">
        <v>0</v>
      </c>
      <c r="RY182">
        <v>0</v>
      </c>
      <c r="RZ182">
        <v>0</v>
      </c>
      <c r="SA182">
        <v>0</v>
      </c>
      <c r="SB182">
        <v>0</v>
      </c>
      <c r="SC182">
        <v>0</v>
      </c>
      <c r="SD182">
        <v>0</v>
      </c>
      <c r="SE182">
        <v>0</v>
      </c>
      <c r="SF182">
        <v>0</v>
      </c>
      <c r="SG182">
        <v>0</v>
      </c>
      <c r="SH182">
        <v>0</v>
      </c>
      <c r="SI182">
        <v>0</v>
      </c>
      <c r="SJ182">
        <v>0</v>
      </c>
      <c r="SK182">
        <v>0</v>
      </c>
      <c r="SL182">
        <v>0</v>
      </c>
      <c r="SM182">
        <v>0</v>
      </c>
      <c r="SN182">
        <v>0</v>
      </c>
      <c r="SO182">
        <v>0</v>
      </c>
      <c r="SP182">
        <v>0</v>
      </c>
      <c r="SQ182">
        <v>0</v>
      </c>
      <c r="SR182">
        <v>1</v>
      </c>
      <c r="SS182">
        <v>1</v>
      </c>
      <c r="ST182">
        <v>1</v>
      </c>
      <c r="SU182">
        <v>1</v>
      </c>
      <c r="SV182">
        <v>1</v>
      </c>
      <c r="SW182">
        <v>1</v>
      </c>
      <c r="SX182">
        <v>1</v>
      </c>
      <c r="SY182">
        <v>1</v>
      </c>
      <c r="SZ182">
        <v>1</v>
      </c>
      <c r="TA182">
        <v>1</v>
      </c>
      <c r="TB182">
        <v>1</v>
      </c>
      <c r="TC182">
        <v>1</v>
      </c>
      <c r="TD182">
        <v>1</v>
      </c>
      <c r="TE182">
        <v>1</v>
      </c>
      <c r="TF182">
        <v>1</v>
      </c>
      <c r="TG182">
        <v>0</v>
      </c>
      <c r="TH182">
        <v>0</v>
      </c>
      <c r="TI182">
        <v>0</v>
      </c>
      <c r="TJ182">
        <v>0</v>
      </c>
      <c r="TK182">
        <v>0</v>
      </c>
      <c r="TL182">
        <v>0</v>
      </c>
      <c r="TM182">
        <v>0</v>
      </c>
      <c r="TN182">
        <v>0</v>
      </c>
      <c r="TO182">
        <v>0</v>
      </c>
      <c r="TP182">
        <v>0</v>
      </c>
      <c r="TQ182">
        <v>0</v>
      </c>
      <c r="TR182">
        <v>0</v>
      </c>
      <c r="TS182">
        <v>0</v>
      </c>
      <c r="TT182">
        <v>0</v>
      </c>
      <c r="TU182">
        <v>0</v>
      </c>
      <c r="TV182">
        <v>0</v>
      </c>
      <c r="TW182">
        <v>0</v>
      </c>
      <c r="TX182">
        <v>0</v>
      </c>
      <c r="TY182">
        <v>0</v>
      </c>
      <c r="TZ182">
        <v>0</v>
      </c>
      <c r="UA182">
        <v>0</v>
      </c>
      <c r="UB182">
        <v>0</v>
      </c>
      <c r="UC182">
        <v>0</v>
      </c>
      <c r="UD182">
        <v>2</v>
      </c>
      <c r="UE182">
        <v>2</v>
      </c>
      <c r="UF182">
        <v>2</v>
      </c>
      <c r="UG182">
        <v>2</v>
      </c>
      <c r="UH182">
        <v>2</v>
      </c>
      <c r="UI182">
        <v>2</v>
      </c>
      <c r="UJ182">
        <v>2</v>
      </c>
      <c r="UK182">
        <v>2</v>
      </c>
      <c r="UL182">
        <v>2</v>
      </c>
      <c r="UM182">
        <v>2</v>
      </c>
      <c r="UN182">
        <v>2</v>
      </c>
      <c r="UO182">
        <v>2</v>
      </c>
      <c r="UP182">
        <v>2</v>
      </c>
      <c r="UQ182">
        <v>2</v>
      </c>
      <c r="UR182">
        <v>2</v>
      </c>
      <c r="US182">
        <v>2</v>
      </c>
      <c r="UT182">
        <v>2</v>
      </c>
      <c r="UU182">
        <v>2</v>
      </c>
      <c r="UV182">
        <v>2</v>
      </c>
      <c r="UW182">
        <v>2</v>
      </c>
      <c r="UX182">
        <v>2</v>
      </c>
      <c r="UY182">
        <v>2</v>
      </c>
      <c r="UZ182">
        <v>2</v>
      </c>
      <c r="VA182">
        <v>2</v>
      </c>
      <c r="VB182">
        <v>2</v>
      </c>
      <c r="VC182">
        <v>2</v>
      </c>
      <c r="VD182">
        <v>2</v>
      </c>
      <c r="VE182">
        <v>2</v>
      </c>
      <c r="VF182">
        <v>2</v>
      </c>
      <c r="VG182">
        <v>2</v>
      </c>
      <c r="VH182">
        <v>2</v>
      </c>
      <c r="VI182">
        <v>2</v>
      </c>
      <c r="VJ182">
        <v>2</v>
      </c>
      <c r="VK182">
        <v>2</v>
      </c>
      <c r="VL182">
        <v>2</v>
      </c>
      <c r="VM182">
        <v>2</v>
      </c>
      <c r="VN182">
        <v>2</v>
      </c>
      <c r="VO182">
        <v>2</v>
      </c>
      <c r="VP182">
        <v>2</v>
      </c>
      <c r="VQ182">
        <v>2</v>
      </c>
      <c r="VR182">
        <v>2</v>
      </c>
      <c r="VS182">
        <v>2</v>
      </c>
      <c r="VT182">
        <v>2</v>
      </c>
      <c r="VU182">
        <v>2</v>
      </c>
      <c r="VV182">
        <v>2</v>
      </c>
      <c r="VW182">
        <v>2</v>
      </c>
      <c r="VX182">
        <v>2</v>
      </c>
      <c r="VY182">
        <v>2</v>
      </c>
      <c r="VZ182">
        <v>2</v>
      </c>
      <c r="WA182">
        <v>2</v>
      </c>
      <c r="WB182">
        <v>2</v>
      </c>
      <c r="WC182">
        <v>2</v>
      </c>
      <c r="WD182">
        <v>2</v>
      </c>
      <c r="WE182">
        <v>2</v>
      </c>
      <c r="WF182">
        <v>2</v>
      </c>
      <c r="WG182">
        <v>2</v>
      </c>
      <c r="WH182">
        <v>2</v>
      </c>
      <c r="WI182">
        <v>2</v>
      </c>
      <c r="WJ182">
        <v>2</v>
      </c>
      <c r="WK182">
        <v>2</v>
      </c>
      <c r="WL182">
        <v>2</v>
      </c>
      <c r="WM182">
        <v>2</v>
      </c>
      <c r="WN182">
        <v>2</v>
      </c>
      <c r="WO182">
        <v>2</v>
      </c>
      <c r="WP182">
        <v>2</v>
      </c>
      <c r="WQ182">
        <v>2</v>
      </c>
      <c r="WR182">
        <v>2</v>
      </c>
      <c r="WS182">
        <v>2</v>
      </c>
      <c r="WT182">
        <v>2</v>
      </c>
      <c r="WU182">
        <v>2</v>
      </c>
      <c r="WV182">
        <v>2</v>
      </c>
      <c r="WW182">
        <v>2</v>
      </c>
      <c r="WX182">
        <v>2</v>
      </c>
      <c r="WY182">
        <v>2</v>
      </c>
      <c r="WZ182">
        <v>2</v>
      </c>
      <c r="XA182">
        <v>2</v>
      </c>
      <c r="XB182">
        <v>2</v>
      </c>
      <c r="XC182">
        <v>2</v>
      </c>
      <c r="XD182">
        <v>2</v>
      </c>
      <c r="XE182">
        <v>2</v>
      </c>
      <c r="XF182">
        <v>2</v>
      </c>
      <c r="XG182">
        <v>2</v>
      </c>
      <c r="XH182">
        <v>2</v>
      </c>
      <c r="XI182">
        <v>2</v>
      </c>
      <c r="XJ182">
        <v>2</v>
      </c>
      <c r="XK182">
        <v>2</v>
      </c>
      <c r="XL182">
        <v>2</v>
      </c>
      <c r="XM182">
        <v>2</v>
      </c>
      <c r="XN182">
        <v>2</v>
      </c>
      <c r="XO182">
        <v>2</v>
      </c>
      <c r="XP182">
        <v>2</v>
      </c>
      <c r="XQ182">
        <v>2</v>
      </c>
      <c r="XR182">
        <v>2</v>
      </c>
      <c r="XS182">
        <v>2</v>
      </c>
      <c r="XT182">
        <v>2</v>
      </c>
      <c r="XU182">
        <v>2</v>
      </c>
      <c r="XV182">
        <v>2</v>
      </c>
      <c r="XW182">
        <v>1</v>
      </c>
      <c r="XX182">
        <v>1</v>
      </c>
      <c r="XY182">
        <v>1</v>
      </c>
      <c r="XZ182">
        <v>1</v>
      </c>
      <c r="YA182">
        <v>1</v>
      </c>
      <c r="YB182">
        <v>1</v>
      </c>
      <c r="YC182">
        <v>1</v>
      </c>
      <c r="YD182">
        <v>1</v>
      </c>
      <c r="YE182">
        <v>1</v>
      </c>
      <c r="YF182">
        <v>1</v>
      </c>
      <c r="YG182">
        <v>1</v>
      </c>
      <c r="YH182">
        <v>1</v>
      </c>
      <c r="YI182">
        <v>1</v>
      </c>
      <c r="YJ182">
        <v>1</v>
      </c>
      <c r="YK182">
        <v>1</v>
      </c>
      <c r="YL182">
        <v>1</v>
      </c>
      <c r="YM182">
        <v>1</v>
      </c>
      <c r="YN182">
        <v>1</v>
      </c>
      <c r="YO182">
        <v>1</v>
      </c>
      <c r="YP182">
        <v>1</v>
      </c>
      <c r="YQ182">
        <v>1</v>
      </c>
      <c r="YR182">
        <v>0</v>
      </c>
      <c r="YS182">
        <v>0</v>
      </c>
      <c r="YT182">
        <v>0</v>
      </c>
      <c r="YU182">
        <v>0</v>
      </c>
      <c r="YV182">
        <v>0</v>
      </c>
      <c r="YW182">
        <v>0</v>
      </c>
      <c r="YX182">
        <v>0</v>
      </c>
      <c r="YY182">
        <v>0</v>
      </c>
      <c r="YZ182">
        <v>0</v>
      </c>
      <c r="ZA182">
        <v>0</v>
      </c>
      <c r="ZB182">
        <v>0</v>
      </c>
      <c r="ZC182">
        <v>0</v>
      </c>
      <c r="ZD182">
        <v>0</v>
      </c>
      <c r="ZE182">
        <v>0</v>
      </c>
      <c r="ZF182">
        <v>0</v>
      </c>
      <c r="ZG182">
        <v>0</v>
      </c>
      <c r="ZH182">
        <v>0</v>
      </c>
      <c r="ZI182">
        <v>0</v>
      </c>
      <c r="ZJ182">
        <v>0</v>
      </c>
      <c r="ZK182">
        <v>0</v>
      </c>
      <c r="ZL182">
        <v>0</v>
      </c>
      <c r="ZM182">
        <v>0</v>
      </c>
      <c r="ZN182">
        <v>0</v>
      </c>
      <c r="ZO182">
        <v>0</v>
      </c>
      <c r="ZP182">
        <v>0</v>
      </c>
      <c r="ZQ182">
        <v>0</v>
      </c>
      <c r="ZR182">
        <v>0</v>
      </c>
      <c r="ZS182">
        <v>0</v>
      </c>
      <c r="ZT182">
        <v>0</v>
      </c>
      <c r="ZU182">
        <v>0</v>
      </c>
      <c r="ZV182">
        <v>0</v>
      </c>
      <c r="ZW182">
        <v>0</v>
      </c>
      <c r="ZX182">
        <v>0</v>
      </c>
      <c r="ZY182">
        <v>0</v>
      </c>
      <c r="ZZ182">
        <v>1</v>
      </c>
      <c r="AAA182">
        <v>1</v>
      </c>
      <c r="AAB182">
        <v>1</v>
      </c>
      <c r="AAC182">
        <v>1</v>
      </c>
      <c r="AAD182">
        <v>1</v>
      </c>
      <c r="AAE182">
        <v>1</v>
      </c>
      <c r="AAF182">
        <v>1</v>
      </c>
      <c r="AAG182">
        <v>1</v>
      </c>
      <c r="AAH182">
        <v>1</v>
      </c>
      <c r="AAI182">
        <v>1</v>
      </c>
      <c r="AAJ182">
        <v>1</v>
      </c>
      <c r="AAK182">
        <v>1</v>
      </c>
      <c r="AAL182">
        <v>1</v>
      </c>
      <c r="AAM182">
        <v>1</v>
      </c>
      <c r="AAN182">
        <v>1</v>
      </c>
      <c r="AAO182">
        <v>1</v>
      </c>
      <c r="AAP182">
        <v>1</v>
      </c>
      <c r="AAQ182">
        <v>1</v>
      </c>
      <c r="AAR182">
        <v>1</v>
      </c>
      <c r="AAS182">
        <v>1</v>
      </c>
      <c r="AAT182">
        <v>1</v>
      </c>
      <c r="AAU182">
        <v>1</v>
      </c>
      <c r="AAV182">
        <v>1</v>
      </c>
      <c r="AAW182">
        <v>1</v>
      </c>
      <c r="AAX182">
        <v>1</v>
      </c>
      <c r="AAY182">
        <v>1</v>
      </c>
      <c r="AAZ182">
        <v>1</v>
      </c>
      <c r="ABA182">
        <v>1</v>
      </c>
      <c r="ABB182">
        <v>1</v>
      </c>
      <c r="ABC182">
        <v>1</v>
      </c>
      <c r="ABD182">
        <v>1</v>
      </c>
      <c r="ABE182">
        <v>1</v>
      </c>
      <c r="ABG182" s="1137">
        <f t="shared" si="48"/>
        <v>0</v>
      </c>
      <c r="ABH182" s="1137">
        <f t="shared" si="48"/>
        <v>0</v>
      </c>
      <c r="ABI182" s="1137">
        <f t="shared" si="48"/>
        <v>8</v>
      </c>
      <c r="ABJ182" s="1137">
        <f t="shared" si="48"/>
        <v>30</v>
      </c>
      <c r="ABK182" s="1137">
        <f t="shared" si="48"/>
        <v>31</v>
      </c>
      <c r="ABL182" s="1137">
        <f t="shared" si="48"/>
        <v>30</v>
      </c>
      <c r="ABM182" s="1137">
        <f t="shared" si="48"/>
        <v>31</v>
      </c>
      <c r="ABN182" s="1137">
        <f t="shared" si="48"/>
        <v>14</v>
      </c>
      <c r="ABO182" s="1137">
        <f t="shared" si="48"/>
        <v>0</v>
      </c>
      <c r="ABP182" s="1137">
        <f t="shared" si="48"/>
        <v>0</v>
      </c>
      <c r="ABQ182" s="1137">
        <f t="shared" si="48"/>
        <v>0</v>
      </c>
      <c r="ABR182" s="1137">
        <f t="shared" si="48"/>
        <v>0</v>
      </c>
      <c r="ABS182" s="1137">
        <f t="shared" si="48"/>
        <v>0</v>
      </c>
      <c r="ABT182" s="1137">
        <f t="shared" si="48"/>
        <v>0</v>
      </c>
      <c r="ABU182" s="1137">
        <f t="shared" si="48"/>
        <v>0</v>
      </c>
      <c r="ABV182" s="1137">
        <f t="shared" si="48"/>
        <v>0</v>
      </c>
      <c r="ABW182" s="1137">
        <f t="shared" si="49"/>
        <v>8</v>
      </c>
      <c r="ABX182" s="1137">
        <f t="shared" si="49"/>
        <v>7</v>
      </c>
      <c r="ABY182" s="1137">
        <f t="shared" si="49"/>
        <v>31</v>
      </c>
      <c r="ABZ182" s="1137">
        <f t="shared" si="49"/>
        <v>31</v>
      </c>
      <c r="ACA182" s="1137">
        <f t="shared" si="49"/>
        <v>30</v>
      </c>
      <c r="ACB182" s="1137">
        <f t="shared" si="49"/>
        <v>26</v>
      </c>
      <c r="ACC182" s="1137">
        <f t="shared" si="49"/>
        <v>1</v>
      </c>
      <c r="ACD182" s="1137">
        <f t="shared" si="49"/>
        <v>31</v>
      </c>
      <c r="ACE182" s="1137" t="s">
        <v>74</v>
      </c>
      <c r="ACF182" s="1137">
        <f t="shared" si="47"/>
        <v>0</v>
      </c>
      <c r="ACG182" s="1137">
        <f t="shared" si="47"/>
        <v>0</v>
      </c>
      <c r="ACH182" s="1137">
        <f t="shared" si="47"/>
        <v>0</v>
      </c>
      <c r="ACI182" s="1137">
        <f t="shared" si="47"/>
        <v>1</v>
      </c>
      <c r="ACJ182" s="1137">
        <f t="shared" si="47"/>
        <v>1</v>
      </c>
      <c r="ACK182" s="1137">
        <f t="shared" si="47"/>
        <v>1</v>
      </c>
      <c r="ACL182" s="1137">
        <f t="shared" si="47"/>
        <v>1</v>
      </c>
      <c r="ACM182" s="1137">
        <f t="shared" si="47"/>
        <v>1</v>
      </c>
      <c r="ACN182" s="1137">
        <f t="shared" si="47"/>
        <v>0</v>
      </c>
      <c r="ACO182" s="1137">
        <f t="shared" si="47"/>
        <v>0</v>
      </c>
      <c r="ACP182" s="1137">
        <f t="shared" si="47"/>
        <v>0</v>
      </c>
      <c r="ACQ182" s="1137">
        <f t="shared" si="47"/>
        <v>0</v>
      </c>
      <c r="ACR182" s="1137">
        <f t="shared" si="47"/>
        <v>0</v>
      </c>
      <c r="ACS182" s="1137">
        <f t="shared" si="47"/>
        <v>0</v>
      </c>
      <c r="ACT182" s="1137">
        <f t="shared" si="43"/>
        <v>0</v>
      </c>
      <c r="ACU182" s="1137">
        <f t="shared" si="43"/>
        <v>0</v>
      </c>
      <c r="ACV182" s="1137">
        <f t="shared" si="43"/>
        <v>0</v>
      </c>
      <c r="ACW182" s="1137">
        <f t="shared" si="43"/>
        <v>0</v>
      </c>
      <c r="ACX182" s="1137">
        <f t="shared" si="42"/>
        <v>1</v>
      </c>
      <c r="ACY182" s="1137">
        <f t="shared" si="42"/>
        <v>1</v>
      </c>
      <c r="ACZ182" s="1137">
        <f t="shared" si="42"/>
        <v>1</v>
      </c>
      <c r="ADA182" s="1137">
        <f t="shared" si="35"/>
        <v>1</v>
      </c>
      <c r="ADB182" s="1137">
        <f t="shared" si="35"/>
        <v>0</v>
      </c>
      <c r="ADC182" s="1137">
        <f t="shared" si="35"/>
        <v>1</v>
      </c>
    </row>
    <row r="183" spans="1:783" x14ac:dyDescent="0.25">
      <c r="A183" t="s">
        <v>1982</v>
      </c>
      <c r="B183" t="s">
        <v>590</v>
      </c>
      <c r="C183">
        <v>0</v>
      </c>
      <c r="D183">
        <v>0</v>
      </c>
      <c r="E183">
        <v>0</v>
      </c>
      <c r="F183">
        <v>0</v>
      </c>
      <c r="G183">
        <v>0</v>
      </c>
      <c r="H183">
        <v>0</v>
      </c>
      <c r="I183">
        <v>0</v>
      </c>
      <c r="J183">
        <v>0</v>
      </c>
      <c r="K183">
        <v>0</v>
      </c>
      <c r="L183">
        <v>0</v>
      </c>
      <c r="M183">
        <v>0</v>
      </c>
      <c r="N183">
        <v>0</v>
      </c>
      <c r="O183">
        <v>0</v>
      </c>
      <c r="P183">
        <v>0</v>
      </c>
      <c r="Q183">
        <v>0</v>
      </c>
      <c r="R183">
        <v>0</v>
      </c>
      <c r="S183">
        <v>0</v>
      </c>
      <c r="T183">
        <v>0</v>
      </c>
      <c r="U183">
        <v>0</v>
      </c>
      <c r="V183">
        <v>0</v>
      </c>
      <c r="W183">
        <v>0</v>
      </c>
      <c r="X183">
        <v>0</v>
      </c>
      <c r="Y183">
        <v>0</v>
      </c>
      <c r="Z183">
        <v>0</v>
      </c>
      <c r="AA183">
        <v>0</v>
      </c>
      <c r="AB183">
        <v>0</v>
      </c>
      <c r="AC183">
        <v>0</v>
      </c>
      <c r="AD183">
        <v>0</v>
      </c>
      <c r="AE183">
        <v>0</v>
      </c>
      <c r="AF183">
        <v>0</v>
      </c>
      <c r="AG183">
        <v>0</v>
      </c>
      <c r="AH183">
        <v>0</v>
      </c>
      <c r="AI183">
        <v>0</v>
      </c>
      <c r="AJ183">
        <v>0</v>
      </c>
      <c r="AK183">
        <v>0</v>
      </c>
      <c r="AL183">
        <v>0</v>
      </c>
      <c r="AM183">
        <v>0</v>
      </c>
      <c r="AN183">
        <v>0</v>
      </c>
      <c r="AO183">
        <v>0</v>
      </c>
      <c r="AP183">
        <v>0</v>
      </c>
      <c r="AQ183">
        <v>0</v>
      </c>
      <c r="AR183">
        <v>0</v>
      </c>
      <c r="AS183">
        <v>0</v>
      </c>
      <c r="AT183">
        <v>0</v>
      </c>
      <c r="AU183">
        <v>0</v>
      </c>
      <c r="AV183">
        <v>0</v>
      </c>
      <c r="AW183">
        <v>0</v>
      </c>
      <c r="AX183">
        <v>0</v>
      </c>
      <c r="AY183">
        <v>0</v>
      </c>
      <c r="AZ183">
        <v>0</v>
      </c>
      <c r="BA183">
        <v>0</v>
      </c>
      <c r="BB183">
        <v>0</v>
      </c>
      <c r="BC183">
        <v>0</v>
      </c>
      <c r="BD183">
        <v>0</v>
      </c>
      <c r="BE183">
        <v>0</v>
      </c>
      <c r="BF183">
        <v>0</v>
      </c>
      <c r="BG183">
        <v>0</v>
      </c>
      <c r="BH183">
        <v>0</v>
      </c>
      <c r="BI183">
        <v>0</v>
      </c>
      <c r="BJ183">
        <v>0</v>
      </c>
      <c r="BK183">
        <v>0</v>
      </c>
      <c r="BL183">
        <v>0</v>
      </c>
      <c r="BM183">
        <v>0</v>
      </c>
      <c r="BN183">
        <v>0</v>
      </c>
      <c r="BO183">
        <v>0</v>
      </c>
      <c r="BP183">
        <v>0</v>
      </c>
      <c r="BQ183">
        <v>0</v>
      </c>
      <c r="BR183">
        <v>0</v>
      </c>
      <c r="BS183">
        <v>0</v>
      </c>
      <c r="BT183">
        <v>0</v>
      </c>
      <c r="BU183">
        <v>0</v>
      </c>
      <c r="BV183">
        <v>0</v>
      </c>
      <c r="BW183">
        <v>2</v>
      </c>
      <c r="BX183">
        <v>2</v>
      </c>
      <c r="BY183">
        <v>2</v>
      </c>
      <c r="BZ183">
        <v>2</v>
      </c>
      <c r="CA183">
        <v>2</v>
      </c>
      <c r="CB183">
        <v>2</v>
      </c>
      <c r="CC183">
        <v>2</v>
      </c>
      <c r="CD183">
        <v>2</v>
      </c>
      <c r="CE183">
        <v>2</v>
      </c>
      <c r="CF183">
        <v>2</v>
      </c>
      <c r="CG183">
        <v>2</v>
      </c>
      <c r="CH183">
        <v>2</v>
      </c>
      <c r="CI183">
        <v>2</v>
      </c>
      <c r="CJ183">
        <v>2</v>
      </c>
      <c r="CK183">
        <v>2</v>
      </c>
      <c r="CL183">
        <v>2</v>
      </c>
      <c r="CM183">
        <v>2</v>
      </c>
      <c r="CN183">
        <v>2</v>
      </c>
      <c r="CO183">
        <v>2</v>
      </c>
      <c r="CP183">
        <v>2</v>
      </c>
      <c r="CQ183">
        <v>2</v>
      </c>
      <c r="CR183">
        <v>2</v>
      </c>
      <c r="CS183">
        <v>2</v>
      </c>
      <c r="CT183">
        <v>2</v>
      </c>
      <c r="CU183">
        <v>2</v>
      </c>
      <c r="CV183">
        <v>2</v>
      </c>
      <c r="CW183">
        <v>2</v>
      </c>
      <c r="CX183">
        <v>2</v>
      </c>
      <c r="CY183">
        <v>2</v>
      </c>
      <c r="CZ183">
        <v>2</v>
      </c>
      <c r="DA183">
        <v>2</v>
      </c>
      <c r="DB183">
        <v>2</v>
      </c>
      <c r="DC183">
        <v>2</v>
      </c>
      <c r="DD183">
        <v>2</v>
      </c>
      <c r="DE183">
        <v>2</v>
      </c>
      <c r="DF183">
        <v>2</v>
      </c>
      <c r="DG183">
        <v>2</v>
      </c>
      <c r="DH183">
        <v>2</v>
      </c>
      <c r="DI183">
        <v>2</v>
      </c>
      <c r="DJ183">
        <v>2</v>
      </c>
      <c r="DK183">
        <v>2</v>
      </c>
      <c r="DL183">
        <v>2</v>
      </c>
      <c r="DM183">
        <v>2</v>
      </c>
      <c r="DN183">
        <v>2</v>
      </c>
      <c r="DO183">
        <v>2</v>
      </c>
      <c r="DP183">
        <v>2</v>
      </c>
      <c r="DQ183">
        <v>2</v>
      </c>
      <c r="DR183">
        <v>2</v>
      </c>
      <c r="DS183">
        <v>2</v>
      </c>
      <c r="DT183">
        <v>2</v>
      </c>
      <c r="DU183">
        <v>2</v>
      </c>
      <c r="DV183">
        <v>2</v>
      </c>
      <c r="DW183">
        <v>2</v>
      </c>
      <c r="DX183">
        <v>2</v>
      </c>
      <c r="DY183">
        <v>2</v>
      </c>
      <c r="DZ183">
        <v>2</v>
      </c>
      <c r="EA183">
        <v>2</v>
      </c>
      <c r="EB183">
        <v>2</v>
      </c>
      <c r="EC183">
        <v>2</v>
      </c>
      <c r="ED183">
        <v>2</v>
      </c>
      <c r="EE183">
        <v>2</v>
      </c>
      <c r="EF183">
        <v>2</v>
      </c>
      <c r="EG183">
        <v>2</v>
      </c>
      <c r="EH183">
        <v>2</v>
      </c>
      <c r="EI183">
        <v>2</v>
      </c>
      <c r="EJ183">
        <v>2</v>
      </c>
      <c r="EK183">
        <v>2</v>
      </c>
      <c r="EL183">
        <v>2</v>
      </c>
      <c r="EM183">
        <v>2</v>
      </c>
      <c r="EN183">
        <v>2</v>
      </c>
      <c r="EO183">
        <v>2</v>
      </c>
      <c r="EP183">
        <v>2</v>
      </c>
      <c r="EQ183">
        <v>2</v>
      </c>
      <c r="ER183">
        <v>2</v>
      </c>
      <c r="ES183">
        <v>2</v>
      </c>
      <c r="ET183">
        <v>2</v>
      </c>
      <c r="EU183">
        <v>2</v>
      </c>
      <c r="EV183">
        <v>2</v>
      </c>
      <c r="EW183">
        <v>2</v>
      </c>
      <c r="EX183">
        <v>2</v>
      </c>
      <c r="EY183">
        <v>2</v>
      </c>
      <c r="EZ183">
        <v>1</v>
      </c>
      <c r="FA183">
        <v>1</v>
      </c>
      <c r="FB183">
        <v>1</v>
      </c>
      <c r="FC183">
        <v>1</v>
      </c>
      <c r="FD183">
        <v>1</v>
      </c>
      <c r="FE183">
        <v>1</v>
      </c>
      <c r="FF183">
        <v>1</v>
      </c>
      <c r="FG183">
        <v>1</v>
      </c>
      <c r="FH183">
        <v>1</v>
      </c>
      <c r="FI183">
        <v>1</v>
      </c>
      <c r="FJ183">
        <v>1</v>
      </c>
      <c r="FK183">
        <v>1</v>
      </c>
      <c r="FL183">
        <v>1</v>
      </c>
      <c r="FM183">
        <v>1</v>
      </c>
      <c r="FN183">
        <v>1</v>
      </c>
      <c r="FO183">
        <v>1</v>
      </c>
      <c r="FP183">
        <v>1</v>
      </c>
      <c r="FQ183">
        <v>1</v>
      </c>
      <c r="FR183">
        <v>1</v>
      </c>
      <c r="FS183">
        <v>1</v>
      </c>
      <c r="FT183">
        <v>2</v>
      </c>
      <c r="FU183">
        <v>2</v>
      </c>
      <c r="FV183">
        <v>2</v>
      </c>
      <c r="FW183">
        <v>2</v>
      </c>
      <c r="FX183">
        <v>2</v>
      </c>
      <c r="FY183">
        <v>2</v>
      </c>
      <c r="FZ183">
        <v>2</v>
      </c>
      <c r="GA183">
        <v>2</v>
      </c>
      <c r="GB183">
        <v>2</v>
      </c>
      <c r="GC183">
        <v>2</v>
      </c>
      <c r="GD183">
        <v>2</v>
      </c>
      <c r="GE183">
        <v>2</v>
      </c>
      <c r="GF183">
        <v>2</v>
      </c>
      <c r="GG183">
        <v>2</v>
      </c>
      <c r="GH183">
        <v>2</v>
      </c>
      <c r="GI183">
        <v>2</v>
      </c>
      <c r="GJ183">
        <v>2</v>
      </c>
      <c r="GK183">
        <v>2</v>
      </c>
      <c r="GL183">
        <v>2</v>
      </c>
      <c r="GM183">
        <v>2</v>
      </c>
      <c r="GN183">
        <v>2</v>
      </c>
      <c r="GO183">
        <v>2</v>
      </c>
      <c r="GP183">
        <v>2</v>
      </c>
      <c r="GQ183">
        <v>2</v>
      </c>
      <c r="GR183">
        <v>2</v>
      </c>
      <c r="GS183">
        <v>2</v>
      </c>
      <c r="GT183">
        <v>2</v>
      </c>
      <c r="GU183">
        <v>2</v>
      </c>
      <c r="GV183">
        <v>2</v>
      </c>
      <c r="GW183">
        <v>2</v>
      </c>
      <c r="GX183">
        <v>2</v>
      </c>
      <c r="GY183">
        <v>2</v>
      </c>
      <c r="GZ183">
        <v>2</v>
      </c>
      <c r="HA183">
        <v>2</v>
      </c>
      <c r="HB183">
        <v>2</v>
      </c>
      <c r="HC183">
        <v>2</v>
      </c>
      <c r="HD183">
        <v>2</v>
      </c>
      <c r="HE183">
        <v>2</v>
      </c>
      <c r="HF183">
        <v>2</v>
      </c>
      <c r="HG183">
        <v>2</v>
      </c>
      <c r="HH183">
        <v>2</v>
      </c>
      <c r="HI183">
        <v>2</v>
      </c>
      <c r="HJ183">
        <v>2</v>
      </c>
      <c r="HK183">
        <v>2</v>
      </c>
      <c r="HL183">
        <v>2</v>
      </c>
      <c r="HM183">
        <v>2</v>
      </c>
      <c r="HN183">
        <v>2</v>
      </c>
      <c r="HO183">
        <v>2</v>
      </c>
      <c r="HP183">
        <v>2</v>
      </c>
      <c r="HQ183">
        <v>2</v>
      </c>
      <c r="HR183">
        <v>2</v>
      </c>
      <c r="HS183">
        <v>2</v>
      </c>
      <c r="HT183">
        <v>2</v>
      </c>
      <c r="HU183">
        <v>2</v>
      </c>
      <c r="HV183">
        <v>2</v>
      </c>
      <c r="HW183">
        <v>2</v>
      </c>
      <c r="HX183">
        <v>2</v>
      </c>
      <c r="HY183">
        <v>2</v>
      </c>
      <c r="HZ183">
        <v>2</v>
      </c>
      <c r="IA183">
        <v>2</v>
      </c>
      <c r="IB183">
        <v>2</v>
      </c>
      <c r="IC183">
        <v>2</v>
      </c>
      <c r="ID183">
        <v>2</v>
      </c>
      <c r="IE183">
        <v>2</v>
      </c>
      <c r="IF183">
        <v>2</v>
      </c>
      <c r="IG183">
        <v>2</v>
      </c>
      <c r="IH183">
        <v>2</v>
      </c>
      <c r="II183">
        <v>2</v>
      </c>
      <c r="IJ183">
        <v>2</v>
      </c>
      <c r="IK183">
        <v>2</v>
      </c>
      <c r="IL183">
        <v>2</v>
      </c>
      <c r="IM183">
        <v>2</v>
      </c>
      <c r="IN183">
        <v>2</v>
      </c>
      <c r="IO183">
        <v>2</v>
      </c>
      <c r="IP183">
        <v>2</v>
      </c>
      <c r="IQ183">
        <v>2</v>
      </c>
      <c r="IR183">
        <v>2</v>
      </c>
      <c r="IS183">
        <v>2</v>
      </c>
      <c r="IT183">
        <v>2</v>
      </c>
      <c r="IU183">
        <v>2</v>
      </c>
      <c r="IV183">
        <v>2</v>
      </c>
      <c r="IW183">
        <v>2</v>
      </c>
      <c r="IX183">
        <v>2</v>
      </c>
      <c r="IY183">
        <v>2</v>
      </c>
      <c r="IZ183">
        <v>2</v>
      </c>
      <c r="JA183">
        <v>2</v>
      </c>
      <c r="JB183">
        <v>2</v>
      </c>
      <c r="JC183">
        <v>2</v>
      </c>
      <c r="JD183">
        <v>2</v>
      </c>
      <c r="JE183">
        <v>2</v>
      </c>
      <c r="JF183">
        <v>2</v>
      </c>
      <c r="JG183">
        <v>2</v>
      </c>
      <c r="JH183">
        <v>2</v>
      </c>
      <c r="JI183">
        <v>2</v>
      </c>
      <c r="JJ183">
        <v>2</v>
      </c>
      <c r="JK183">
        <v>2</v>
      </c>
      <c r="JL183">
        <v>2</v>
      </c>
      <c r="JM183">
        <v>2</v>
      </c>
      <c r="JN183">
        <v>2</v>
      </c>
      <c r="JO183">
        <v>2</v>
      </c>
      <c r="JP183">
        <v>2</v>
      </c>
      <c r="JQ183">
        <v>2</v>
      </c>
      <c r="JR183">
        <v>2</v>
      </c>
      <c r="JS183">
        <v>2</v>
      </c>
      <c r="JT183">
        <v>2</v>
      </c>
      <c r="JU183">
        <v>2</v>
      </c>
      <c r="JV183">
        <v>2</v>
      </c>
      <c r="JW183">
        <v>2</v>
      </c>
      <c r="JX183">
        <v>2</v>
      </c>
      <c r="JY183">
        <v>2</v>
      </c>
      <c r="JZ183">
        <v>2</v>
      </c>
      <c r="KA183">
        <v>2</v>
      </c>
      <c r="KB183">
        <v>2</v>
      </c>
      <c r="KC183">
        <v>2</v>
      </c>
      <c r="KD183">
        <v>2</v>
      </c>
      <c r="KE183">
        <v>2</v>
      </c>
      <c r="KF183">
        <v>2</v>
      </c>
      <c r="KG183">
        <v>2</v>
      </c>
      <c r="KH183">
        <v>2</v>
      </c>
      <c r="KI183">
        <v>2</v>
      </c>
      <c r="KJ183">
        <v>2</v>
      </c>
      <c r="KK183">
        <v>2</v>
      </c>
      <c r="KL183">
        <v>2</v>
      </c>
      <c r="KM183">
        <v>2</v>
      </c>
      <c r="KN183">
        <v>2</v>
      </c>
      <c r="KO183">
        <v>2</v>
      </c>
      <c r="KP183">
        <v>2</v>
      </c>
      <c r="KQ183">
        <v>2</v>
      </c>
      <c r="KR183">
        <v>2</v>
      </c>
      <c r="KS183">
        <v>2</v>
      </c>
      <c r="KT183">
        <v>2</v>
      </c>
      <c r="KU183">
        <v>2</v>
      </c>
      <c r="KV183">
        <v>2</v>
      </c>
      <c r="KW183">
        <v>2</v>
      </c>
      <c r="KX183">
        <v>2</v>
      </c>
      <c r="KY183">
        <v>2</v>
      </c>
      <c r="KZ183">
        <v>2</v>
      </c>
      <c r="LA183">
        <v>2</v>
      </c>
      <c r="LB183">
        <v>2</v>
      </c>
      <c r="LC183">
        <v>2</v>
      </c>
      <c r="LD183">
        <v>2</v>
      </c>
      <c r="LE183">
        <v>2</v>
      </c>
      <c r="LF183">
        <v>2</v>
      </c>
      <c r="LG183">
        <v>2</v>
      </c>
      <c r="LH183">
        <v>2</v>
      </c>
      <c r="LI183">
        <v>2</v>
      </c>
      <c r="LJ183">
        <v>2</v>
      </c>
      <c r="LK183">
        <v>2</v>
      </c>
      <c r="LL183">
        <v>2</v>
      </c>
      <c r="LM183">
        <v>2</v>
      </c>
      <c r="LN183">
        <v>2</v>
      </c>
      <c r="LO183">
        <v>2</v>
      </c>
      <c r="LP183">
        <v>2</v>
      </c>
      <c r="LQ183">
        <v>2</v>
      </c>
      <c r="LR183">
        <v>2</v>
      </c>
      <c r="LS183">
        <v>2</v>
      </c>
      <c r="LT183">
        <v>2</v>
      </c>
      <c r="LU183">
        <v>2</v>
      </c>
      <c r="LV183">
        <v>2</v>
      </c>
      <c r="LW183">
        <v>2</v>
      </c>
      <c r="LX183">
        <v>2</v>
      </c>
      <c r="LY183">
        <v>2</v>
      </c>
      <c r="LZ183">
        <v>2</v>
      </c>
      <c r="MA183">
        <v>2</v>
      </c>
      <c r="MB183">
        <v>2</v>
      </c>
      <c r="MC183">
        <v>2</v>
      </c>
      <c r="MD183">
        <v>2</v>
      </c>
      <c r="ME183">
        <v>2</v>
      </c>
      <c r="MF183">
        <v>2</v>
      </c>
      <c r="MG183">
        <v>2</v>
      </c>
      <c r="MH183">
        <v>2</v>
      </c>
      <c r="MI183">
        <v>2</v>
      </c>
      <c r="MJ183">
        <v>2</v>
      </c>
      <c r="MK183">
        <v>2</v>
      </c>
      <c r="ML183">
        <v>2</v>
      </c>
      <c r="MM183">
        <v>2</v>
      </c>
      <c r="MN183">
        <v>2</v>
      </c>
      <c r="MO183">
        <v>2</v>
      </c>
      <c r="MP183">
        <v>2</v>
      </c>
      <c r="MQ183">
        <v>2</v>
      </c>
      <c r="MR183">
        <v>2</v>
      </c>
      <c r="MS183">
        <v>2</v>
      </c>
      <c r="MT183">
        <v>2</v>
      </c>
      <c r="MU183">
        <v>2</v>
      </c>
      <c r="MV183">
        <v>2</v>
      </c>
      <c r="MW183">
        <v>2</v>
      </c>
      <c r="MX183">
        <v>2</v>
      </c>
      <c r="MY183">
        <v>2</v>
      </c>
      <c r="MZ183">
        <v>2</v>
      </c>
      <c r="NA183">
        <v>2</v>
      </c>
      <c r="NB183">
        <v>2</v>
      </c>
      <c r="NC183">
        <v>2</v>
      </c>
      <c r="ND183">
        <v>2</v>
      </c>
      <c r="NE183">
        <v>2</v>
      </c>
      <c r="NF183">
        <v>2</v>
      </c>
      <c r="NG183">
        <v>2</v>
      </c>
      <c r="NH183">
        <v>2</v>
      </c>
      <c r="NI183">
        <v>2</v>
      </c>
      <c r="NJ183">
        <v>2</v>
      </c>
      <c r="NK183">
        <v>2</v>
      </c>
      <c r="NL183">
        <v>2</v>
      </c>
      <c r="NM183">
        <v>2</v>
      </c>
      <c r="NN183">
        <v>2</v>
      </c>
      <c r="NO183">
        <v>2</v>
      </c>
      <c r="NP183">
        <v>2</v>
      </c>
      <c r="NQ183">
        <v>2</v>
      </c>
      <c r="NR183">
        <v>2</v>
      </c>
      <c r="NS183">
        <v>2</v>
      </c>
      <c r="NT183">
        <v>2</v>
      </c>
      <c r="NU183">
        <v>2</v>
      </c>
      <c r="NV183">
        <v>2</v>
      </c>
      <c r="NW183">
        <v>2</v>
      </c>
      <c r="NX183">
        <v>2</v>
      </c>
      <c r="NY183">
        <v>2</v>
      </c>
      <c r="NZ183">
        <v>2</v>
      </c>
      <c r="OA183">
        <v>2</v>
      </c>
      <c r="OB183">
        <v>2</v>
      </c>
      <c r="OC183">
        <v>2</v>
      </c>
      <c r="OD183">
        <v>2</v>
      </c>
      <c r="OE183">
        <v>2</v>
      </c>
      <c r="OF183">
        <v>2</v>
      </c>
      <c r="OG183">
        <v>2</v>
      </c>
      <c r="OH183">
        <v>2</v>
      </c>
      <c r="OI183">
        <v>2</v>
      </c>
      <c r="OJ183">
        <v>2</v>
      </c>
      <c r="OK183">
        <v>2</v>
      </c>
      <c r="OL183">
        <v>2</v>
      </c>
      <c r="OM183">
        <v>2</v>
      </c>
      <c r="ON183">
        <v>2</v>
      </c>
      <c r="OO183">
        <v>2</v>
      </c>
      <c r="OP183">
        <v>2</v>
      </c>
      <c r="OQ183">
        <v>2</v>
      </c>
      <c r="OR183">
        <v>2</v>
      </c>
      <c r="OS183">
        <v>2</v>
      </c>
      <c r="OT183">
        <v>2</v>
      </c>
      <c r="OU183">
        <v>2</v>
      </c>
      <c r="OV183">
        <v>2</v>
      </c>
      <c r="OW183">
        <v>2</v>
      </c>
      <c r="OX183">
        <v>2</v>
      </c>
      <c r="OY183">
        <v>2</v>
      </c>
      <c r="OZ183">
        <v>2</v>
      </c>
      <c r="PA183">
        <v>2</v>
      </c>
      <c r="PB183">
        <v>2</v>
      </c>
      <c r="PC183">
        <v>2</v>
      </c>
      <c r="PD183">
        <v>2</v>
      </c>
      <c r="PE183">
        <v>2</v>
      </c>
      <c r="PF183">
        <v>2</v>
      </c>
      <c r="PG183">
        <v>2</v>
      </c>
      <c r="PH183">
        <v>2</v>
      </c>
      <c r="PI183">
        <v>2</v>
      </c>
      <c r="PJ183">
        <v>2</v>
      </c>
      <c r="PK183">
        <v>2</v>
      </c>
      <c r="PL183">
        <v>2</v>
      </c>
      <c r="PM183">
        <v>2</v>
      </c>
      <c r="PN183">
        <v>2</v>
      </c>
      <c r="PO183">
        <v>2</v>
      </c>
      <c r="PP183">
        <v>2</v>
      </c>
      <c r="PQ183">
        <v>2</v>
      </c>
      <c r="PR183">
        <v>2</v>
      </c>
      <c r="PS183">
        <v>2</v>
      </c>
      <c r="PT183">
        <v>2</v>
      </c>
      <c r="PU183">
        <v>2</v>
      </c>
      <c r="PV183">
        <v>2</v>
      </c>
      <c r="PW183">
        <v>2</v>
      </c>
      <c r="PX183">
        <v>2</v>
      </c>
      <c r="PY183">
        <v>2</v>
      </c>
      <c r="PZ183">
        <v>2</v>
      </c>
      <c r="QA183">
        <v>2</v>
      </c>
      <c r="QB183">
        <v>2</v>
      </c>
      <c r="QC183">
        <v>2</v>
      </c>
      <c r="QD183">
        <v>2</v>
      </c>
      <c r="QE183">
        <v>2</v>
      </c>
      <c r="QF183">
        <v>2</v>
      </c>
      <c r="QG183">
        <v>2</v>
      </c>
      <c r="QH183">
        <v>2</v>
      </c>
      <c r="QI183">
        <v>2</v>
      </c>
      <c r="QJ183">
        <v>2</v>
      </c>
      <c r="QK183">
        <v>2</v>
      </c>
      <c r="QL183">
        <v>2</v>
      </c>
      <c r="QM183">
        <v>2</v>
      </c>
      <c r="QN183">
        <v>2</v>
      </c>
      <c r="QO183">
        <v>2</v>
      </c>
      <c r="QP183">
        <v>2</v>
      </c>
      <c r="QQ183">
        <v>2</v>
      </c>
      <c r="QR183">
        <v>2</v>
      </c>
      <c r="QS183">
        <v>2</v>
      </c>
      <c r="QT183">
        <v>2</v>
      </c>
      <c r="QU183">
        <v>2</v>
      </c>
      <c r="QV183">
        <v>2</v>
      </c>
      <c r="QW183">
        <v>2</v>
      </c>
      <c r="QX183">
        <v>2</v>
      </c>
      <c r="QY183">
        <v>2</v>
      </c>
      <c r="QZ183">
        <v>2</v>
      </c>
      <c r="RA183">
        <v>2</v>
      </c>
      <c r="RB183">
        <v>2</v>
      </c>
      <c r="RC183">
        <v>2</v>
      </c>
      <c r="RD183">
        <v>2</v>
      </c>
      <c r="RE183">
        <v>2</v>
      </c>
      <c r="RF183">
        <v>2</v>
      </c>
      <c r="RG183">
        <v>2</v>
      </c>
      <c r="RH183">
        <v>2</v>
      </c>
      <c r="RI183">
        <v>2</v>
      </c>
      <c r="RJ183">
        <v>2</v>
      </c>
      <c r="RK183">
        <v>2</v>
      </c>
      <c r="RL183">
        <v>2</v>
      </c>
      <c r="RM183">
        <v>2</v>
      </c>
      <c r="RN183">
        <v>2</v>
      </c>
      <c r="RO183">
        <v>2</v>
      </c>
      <c r="RP183">
        <v>2</v>
      </c>
      <c r="RQ183">
        <v>2</v>
      </c>
      <c r="RR183">
        <v>2</v>
      </c>
      <c r="RS183">
        <v>2</v>
      </c>
      <c r="RT183">
        <v>2</v>
      </c>
      <c r="RU183">
        <v>2</v>
      </c>
      <c r="RV183">
        <v>2</v>
      </c>
      <c r="RW183">
        <v>2</v>
      </c>
      <c r="RX183">
        <v>2</v>
      </c>
      <c r="RY183">
        <v>2</v>
      </c>
      <c r="RZ183">
        <v>2</v>
      </c>
      <c r="SA183">
        <v>2</v>
      </c>
      <c r="SB183">
        <v>2</v>
      </c>
      <c r="SC183">
        <v>2</v>
      </c>
      <c r="SD183">
        <v>2</v>
      </c>
      <c r="SE183">
        <v>2</v>
      </c>
      <c r="SF183">
        <v>2</v>
      </c>
      <c r="SG183">
        <v>2</v>
      </c>
      <c r="SH183">
        <v>2</v>
      </c>
      <c r="SI183">
        <v>2</v>
      </c>
      <c r="SJ183">
        <v>2</v>
      </c>
      <c r="SK183">
        <v>2</v>
      </c>
      <c r="SL183">
        <v>2</v>
      </c>
      <c r="SM183">
        <v>2</v>
      </c>
      <c r="SN183">
        <v>2</v>
      </c>
      <c r="SO183">
        <v>2</v>
      </c>
      <c r="SP183">
        <v>2</v>
      </c>
      <c r="SQ183">
        <v>2</v>
      </c>
      <c r="SR183">
        <v>2</v>
      </c>
      <c r="SS183">
        <v>2</v>
      </c>
      <c r="ST183">
        <v>2</v>
      </c>
      <c r="SU183">
        <v>2</v>
      </c>
      <c r="SV183">
        <v>2</v>
      </c>
      <c r="SW183">
        <v>2</v>
      </c>
      <c r="SX183">
        <v>2</v>
      </c>
      <c r="SY183">
        <v>2</v>
      </c>
      <c r="SZ183">
        <v>2</v>
      </c>
      <c r="TA183">
        <v>2</v>
      </c>
      <c r="TB183">
        <v>2</v>
      </c>
      <c r="TC183">
        <v>2</v>
      </c>
      <c r="TD183">
        <v>2</v>
      </c>
      <c r="TE183">
        <v>2</v>
      </c>
      <c r="TF183">
        <v>2</v>
      </c>
      <c r="TG183">
        <v>2</v>
      </c>
      <c r="TH183">
        <v>2</v>
      </c>
      <c r="TI183">
        <v>2</v>
      </c>
      <c r="TJ183">
        <v>2</v>
      </c>
      <c r="TK183">
        <v>2</v>
      </c>
      <c r="TL183">
        <v>2</v>
      </c>
      <c r="TM183">
        <v>2</v>
      </c>
      <c r="TN183">
        <v>2</v>
      </c>
      <c r="TO183">
        <v>2</v>
      </c>
      <c r="TP183">
        <v>2</v>
      </c>
      <c r="TQ183">
        <v>2</v>
      </c>
      <c r="TR183">
        <v>2</v>
      </c>
      <c r="TS183">
        <v>2</v>
      </c>
      <c r="TT183">
        <v>2</v>
      </c>
      <c r="TU183">
        <v>2</v>
      </c>
      <c r="TV183">
        <v>2</v>
      </c>
      <c r="TW183">
        <v>2</v>
      </c>
      <c r="TX183">
        <v>2</v>
      </c>
      <c r="TY183">
        <v>2</v>
      </c>
      <c r="TZ183">
        <v>2</v>
      </c>
      <c r="UA183">
        <v>2</v>
      </c>
      <c r="UB183">
        <v>2</v>
      </c>
      <c r="UC183">
        <v>2</v>
      </c>
      <c r="UD183">
        <v>2</v>
      </c>
      <c r="UE183">
        <v>2</v>
      </c>
      <c r="UF183">
        <v>2</v>
      </c>
      <c r="UG183">
        <v>2</v>
      </c>
      <c r="UH183">
        <v>2</v>
      </c>
      <c r="UI183">
        <v>2</v>
      </c>
      <c r="UJ183">
        <v>2</v>
      </c>
      <c r="UK183">
        <v>2</v>
      </c>
      <c r="UL183">
        <v>2</v>
      </c>
      <c r="UM183">
        <v>2</v>
      </c>
      <c r="UN183">
        <v>2</v>
      </c>
      <c r="UO183">
        <v>2</v>
      </c>
      <c r="UP183">
        <v>2</v>
      </c>
      <c r="UQ183">
        <v>2</v>
      </c>
      <c r="UR183">
        <v>2</v>
      </c>
      <c r="US183">
        <v>2</v>
      </c>
      <c r="UT183">
        <v>2</v>
      </c>
      <c r="UU183">
        <v>2</v>
      </c>
      <c r="UV183">
        <v>2</v>
      </c>
      <c r="UW183">
        <v>2</v>
      </c>
      <c r="UX183">
        <v>2</v>
      </c>
      <c r="UY183">
        <v>2</v>
      </c>
      <c r="UZ183">
        <v>2</v>
      </c>
      <c r="VA183">
        <v>2</v>
      </c>
      <c r="VB183">
        <v>2</v>
      </c>
      <c r="VC183">
        <v>2</v>
      </c>
      <c r="VD183">
        <v>2</v>
      </c>
      <c r="VE183">
        <v>2</v>
      </c>
      <c r="VF183">
        <v>2</v>
      </c>
      <c r="VG183">
        <v>2</v>
      </c>
      <c r="VH183">
        <v>2</v>
      </c>
      <c r="VI183">
        <v>2</v>
      </c>
      <c r="VJ183">
        <v>1</v>
      </c>
      <c r="VK183">
        <v>1</v>
      </c>
      <c r="VL183">
        <v>1</v>
      </c>
      <c r="VM183">
        <v>1</v>
      </c>
      <c r="VN183">
        <v>1</v>
      </c>
      <c r="VO183">
        <v>1</v>
      </c>
      <c r="VP183">
        <v>1</v>
      </c>
      <c r="VQ183">
        <v>1</v>
      </c>
      <c r="VR183">
        <v>1</v>
      </c>
      <c r="VS183">
        <v>1</v>
      </c>
      <c r="VT183">
        <v>1</v>
      </c>
      <c r="VU183">
        <v>1</v>
      </c>
      <c r="VV183">
        <v>1</v>
      </c>
      <c r="VW183">
        <v>1</v>
      </c>
      <c r="VX183">
        <v>1</v>
      </c>
      <c r="VY183">
        <v>1</v>
      </c>
      <c r="VZ183">
        <v>1</v>
      </c>
      <c r="WA183">
        <v>1</v>
      </c>
      <c r="WB183">
        <v>1</v>
      </c>
      <c r="WC183">
        <v>1</v>
      </c>
      <c r="WD183">
        <v>1</v>
      </c>
      <c r="WE183">
        <v>1</v>
      </c>
      <c r="WF183">
        <v>1</v>
      </c>
      <c r="WG183">
        <v>1</v>
      </c>
      <c r="WH183">
        <v>1</v>
      </c>
      <c r="WI183">
        <v>1</v>
      </c>
      <c r="WJ183">
        <v>1</v>
      </c>
      <c r="WK183">
        <v>1</v>
      </c>
      <c r="WL183">
        <v>1</v>
      </c>
      <c r="WM183">
        <v>1</v>
      </c>
      <c r="WN183">
        <v>1</v>
      </c>
      <c r="WO183">
        <v>1</v>
      </c>
      <c r="WP183">
        <v>1</v>
      </c>
      <c r="WQ183">
        <v>1</v>
      </c>
      <c r="WR183">
        <v>1</v>
      </c>
      <c r="WS183">
        <v>1</v>
      </c>
      <c r="WT183">
        <v>1</v>
      </c>
      <c r="WU183">
        <v>1</v>
      </c>
      <c r="WV183">
        <v>1</v>
      </c>
      <c r="WW183">
        <v>1</v>
      </c>
      <c r="WX183">
        <v>1</v>
      </c>
      <c r="WY183">
        <v>1</v>
      </c>
      <c r="WZ183">
        <v>1</v>
      </c>
      <c r="XA183">
        <v>1</v>
      </c>
      <c r="XB183">
        <v>1</v>
      </c>
      <c r="XC183">
        <v>1</v>
      </c>
      <c r="XD183">
        <v>1</v>
      </c>
      <c r="XE183">
        <v>1</v>
      </c>
      <c r="XF183">
        <v>1</v>
      </c>
      <c r="XG183">
        <v>1</v>
      </c>
      <c r="XH183">
        <v>1</v>
      </c>
      <c r="XI183">
        <v>1</v>
      </c>
      <c r="XJ183">
        <v>1</v>
      </c>
      <c r="XK183">
        <v>1</v>
      </c>
      <c r="XL183">
        <v>1</v>
      </c>
      <c r="XM183">
        <v>1</v>
      </c>
      <c r="XN183">
        <v>1</v>
      </c>
      <c r="XO183">
        <v>1</v>
      </c>
      <c r="XP183">
        <v>1</v>
      </c>
      <c r="XQ183">
        <v>1</v>
      </c>
      <c r="XR183">
        <v>1</v>
      </c>
      <c r="XS183">
        <v>1</v>
      </c>
      <c r="XT183">
        <v>1</v>
      </c>
      <c r="XU183">
        <v>1</v>
      </c>
      <c r="XV183">
        <v>1</v>
      </c>
      <c r="XW183">
        <v>1</v>
      </c>
      <c r="XX183">
        <v>1</v>
      </c>
      <c r="XY183">
        <v>1</v>
      </c>
      <c r="XZ183">
        <v>1</v>
      </c>
      <c r="YA183">
        <v>1</v>
      </c>
      <c r="YB183">
        <v>1</v>
      </c>
      <c r="YC183">
        <v>1</v>
      </c>
      <c r="YD183">
        <v>1</v>
      </c>
      <c r="YE183">
        <v>1</v>
      </c>
      <c r="YF183">
        <v>1</v>
      </c>
      <c r="YG183">
        <v>1</v>
      </c>
      <c r="YH183">
        <v>1</v>
      </c>
      <c r="YI183">
        <v>1</v>
      </c>
      <c r="YJ183">
        <v>1</v>
      </c>
      <c r="YK183">
        <v>1</v>
      </c>
      <c r="YL183">
        <v>1</v>
      </c>
      <c r="YM183">
        <v>1</v>
      </c>
      <c r="YN183">
        <v>1</v>
      </c>
      <c r="YO183">
        <v>1</v>
      </c>
      <c r="YP183">
        <v>1</v>
      </c>
      <c r="YQ183">
        <v>1</v>
      </c>
      <c r="YR183">
        <v>1</v>
      </c>
      <c r="YS183">
        <v>1</v>
      </c>
      <c r="YT183">
        <v>1</v>
      </c>
      <c r="YU183">
        <v>1</v>
      </c>
      <c r="YV183">
        <v>1</v>
      </c>
      <c r="YW183">
        <v>1</v>
      </c>
      <c r="YX183">
        <v>1</v>
      </c>
      <c r="YY183">
        <v>1</v>
      </c>
      <c r="YZ183">
        <v>1</v>
      </c>
      <c r="ZA183">
        <v>1</v>
      </c>
      <c r="ZB183">
        <v>1</v>
      </c>
      <c r="ZC183">
        <v>0</v>
      </c>
      <c r="ZD183">
        <v>0</v>
      </c>
      <c r="ZE183">
        <v>0</v>
      </c>
      <c r="ZF183">
        <v>0</v>
      </c>
      <c r="ZG183">
        <v>0</v>
      </c>
      <c r="ZH183">
        <v>0</v>
      </c>
      <c r="ZI183">
        <v>0</v>
      </c>
      <c r="ZJ183">
        <v>0</v>
      </c>
      <c r="ZK183">
        <v>0</v>
      </c>
      <c r="ZL183">
        <v>0</v>
      </c>
      <c r="ZM183">
        <v>0</v>
      </c>
      <c r="ZN183">
        <v>0</v>
      </c>
      <c r="ZO183">
        <v>0</v>
      </c>
      <c r="ZP183">
        <v>0</v>
      </c>
      <c r="ZQ183">
        <v>0</v>
      </c>
      <c r="ZR183">
        <v>0</v>
      </c>
      <c r="ZS183">
        <v>0</v>
      </c>
      <c r="ZT183">
        <v>0</v>
      </c>
      <c r="ZU183">
        <v>0</v>
      </c>
      <c r="ZV183">
        <v>0</v>
      </c>
      <c r="ZW183">
        <v>0</v>
      </c>
      <c r="ZX183">
        <v>1</v>
      </c>
      <c r="ZY183">
        <v>1</v>
      </c>
      <c r="ZZ183">
        <v>1</v>
      </c>
      <c r="AAA183">
        <v>1</v>
      </c>
      <c r="AAB183">
        <v>1</v>
      </c>
      <c r="AAC183">
        <v>1</v>
      </c>
      <c r="AAD183">
        <v>1</v>
      </c>
      <c r="AAE183">
        <v>1</v>
      </c>
      <c r="AAF183">
        <v>1</v>
      </c>
      <c r="AAG183">
        <v>1</v>
      </c>
      <c r="AAH183">
        <v>1</v>
      </c>
      <c r="AAI183">
        <v>0</v>
      </c>
      <c r="AAJ183">
        <v>0</v>
      </c>
      <c r="AAK183">
        <v>0</v>
      </c>
      <c r="AAL183">
        <v>0</v>
      </c>
      <c r="AAM183">
        <v>0</v>
      </c>
      <c r="AAN183">
        <v>0</v>
      </c>
      <c r="AAO183">
        <v>0</v>
      </c>
      <c r="AAP183">
        <v>0</v>
      </c>
      <c r="AAQ183">
        <v>0</v>
      </c>
      <c r="AAR183">
        <v>0</v>
      </c>
      <c r="AAS183">
        <v>0</v>
      </c>
      <c r="AAT183">
        <v>0</v>
      </c>
      <c r="AAU183">
        <v>0</v>
      </c>
      <c r="AAV183">
        <v>0</v>
      </c>
      <c r="AAW183">
        <v>0</v>
      </c>
      <c r="AAX183">
        <v>0</v>
      </c>
      <c r="AAY183">
        <v>0</v>
      </c>
      <c r="AAZ183">
        <v>0</v>
      </c>
      <c r="ABA183">
        <v>0</v>
      </c>
      <c r="ABB183">
        <v>0</v>
      </c>
      <c r="ABC183">
        <v>0</v>
      </c>
      <c r="ABD183">
        <v>0</v>
      </c>
      <c r="ABE183">
        <v>0</v>
      </c>
      <c r="ABG183" s="1137">
        <f t="shared" si="48"/>
        <v>0</v>
      </c>
      <c r="ABH183" s="1137">
        <f t="shared" si="48"/>
        <v>0</v>
      </c>
      <c r="ABI183" s="1137">
        <f t="shared" si="48"/>
        <v>19</v>
      </c>
      <c r="ABJ183" s="1137">
        <f t="shared" si="48"/>
        <v>30</v>
      </c>
      <c r="ABK183" s="1137">
        <f t="shared" si="48"/>
        <v>31</v>
      </c>
      <c r="ABL183" s="1137">
        <f t="shared" si="48"/>
        <v>30</v>
      </c>
      <c r="ABM183" s="1137">
        <f t="shared" si="48"/>
        <v>31</v>
      </c>
      <c r="ABN183" s="1137">
        <f t="shared" si="48"/>
        <v>31</v>
      </c>
      <c r="ABO183" s="1137">
        <f t="shared" si="48"/>
        <v>30</v>
      </c>
      <c r="ABP183" s="1137">
        <f t="shared" si="48"/>
        <v>31</v>
      </c>
      <c r="ABQ183" s="1137">
        <f t="shared" si="48"/>
        <v>30</v>
      </c>
      <c r="ABR183" s="1137">
        <f t="shared" si="48"/>
        <v>31</v>
      </c>
      <c r="ABS183" s="1137">
        <f t="shared" si="48"/>
        <v>31</v>
      </c>
      <c r="ABT183" s="1137">
        <f t="shared" si="48"/>
        <v>28</v>
      </c>
      <c r="ABU183" s="1137">
        <f t="shared" si="48"/>
        <v>31</v>
      </c>
      <c r="ABV183" s="1137">
        <f t="shared" si="48"/>
        <v>30</v>
      </c>
      <c r="ABW183" s="1137">
        <f t="shared" si="49"/>
        <v>31</v>
      </c>
      <c r="ABX183" s="1137">
        <f t="shared" si="49"/>
        <v>30</v>
      </c>
      <c r="ABY183" s="1137">
        <f t="shared" si="49"/>
        <v>31</v>
      </c>
      <c r="ABZ183" s="1137">
        <f t="shared" si="49"/>
        <v>31</v>
      </c>
      <c r="ACA183" s="1137">
        <f t="shared" si="49"/>
        <v>30</v>
      </c>
      <c r="ACB183" s="1137">
        <f t="shared" si="49"/>
        <v>31</v>
      </c>
      <c r="ACC183" s="1137">
        <f t="shared" si="49"/>
        <v>9</v>
      </c>
      <c r="ACD183" s="1137">
        <f t="shared" si="49"/>
        <v>8</v>
      </c>
      <c r="ACE183" s="1137" t="s">
        <v>590</v>
      </c>
      <c r="ACF183" s="1137">
        <f t="shared" si="47"/>
        <v>0</v>
      </c>
      <c r="ACG183" s="1137">
        <f t="shared" si="47"/>
        <v>0</v>
      </c>
      <c r="ACH183" s="1137">
        <f t="shared" si="47"/>
        <v>1</v>
      </c>
      <c r="ACI183" s="1137">
        <f t="shared" si="47"/>
        <v>1</v>
      </c>
      <c r="ACJ183" s="1137">
        <f t="shared" si="47"/>
        <v>1</v>
      </c>
      <c r="ACK183" s="1137">
        <f t="shared" si="47"/>
        <v>1</v>
      </c>
      <c r="ACL183" s="1137">
        <f t="shared" si="47"/>
        <v>1</v>
      </c>
      <c r="ACM183" s="1137">
        <f t="shared" si="47"/>
        <v>1</v>
      </c>
      <c r="ACN183" s="1137">
        <f t="shared" si="47"/>
        <v>1</v>
      </c>
      <c r="ACO183" s="1137">
        <f t="shared" si="47"/>
        <v>1</v>
      </c>
      <c r="ACP183" s="1137">
        <f t="shared" si="47"/>
        <v>1</v>
      </c>
      <c r="ACQ183" s="1137">
        <f t="shared" si="47"/>
        <v>1</v>
      </c>
      <c r="ACR183" s="1137">
        <f t="shared" si="47"/>
        <v>1</v>
      </c>
      <c r="ACS183" s="1137">
        <f t="shared" si="47"/>
        <v>1</v>
      </c>
      <c r="ACT183" s="1137">
        <f t="shared" si="43"/>
        <v>1</v>
      </c>
      <c r="ACU183" s="1137">
        <f t="shared" si="43"/>
        <v>1</v>
      </c>
      <c r="ACV183" s="1137">
        <f t="shared" si="43"/>
        <v>1</v>
      </c>
      <c r="ACW183" s="1137">
        <f t="shared" si="43"/>
        <v>1</v>
      </c>
      <c r="ACX183" s="1137">
        <f t="shared" si="42"/>
        <v>1</v>
      </c>
      <c r="ACY183" s="1137">
        <f t="shared" si="42"/>
        <v>1</v>
      </c>
      <c r="ACZ183" s="1137">
        <f t="shared" si="42"/>
        <v>1</v>
      </c>
      <c r="ADA183" s="1137">
        <f t="shared" si="35"/>
        <v>1</v>
      </c>
      <c r="ADB183" s="1137">
        <f t="shared" si="35"/>
        <v>0</v>
      </c>
      <c r="ADC183" s="1137">
        <f t="shared" si="35"/>
        <v>0</v>
      </c>
    </row>
    <row r="184" spans="1:783" x14ac:dyDescent="0.25">
      <c r="A184" t="s">
        <v>1983</v>
      </c>
      <c r="B184" t="s">
        <v>276</v>
      </c>
      <c r="C184">
        <v>0</v>
      </c>
      <c r="D184">
        <v>0</v>
      </c>
      <c r="E184">
        <v>0</v>
      </c>
      <c r="F184">
        <v>0</v>
      </c>
      <c r="G184">
        <v>0</v>
      </c>
      <c r="H184">
        <v>0</v>
      </c>
      <c r="I184">
        <v>0</v>
      </c>
      <c r="J184">
        <v>0</v>
      </c>
      <c r="K184">
        <v>0</v>
      </c>
      <c r="L184">
        <v>0</v>
      </c>
      <c r="M184">
        <v>0</v>
      </c>
      <c r="N184">
        <v>0</v>
      </c>
      <c r="O184">
        <v>0</v>
      </c>
      <c r="P184">
        <v>0</v>
      </c>
      <c r="Q184">
        <v>0</v>
      </c>
      <c r="R184">
        <v>0</v>
      </c>
      <c r="S184">
        <v>0</v>
      </c>
      <c r="T184">
        <v>0</v>
      </c>
      <c r="U184">
        <v>0</v>
      </c>
      <c r="V184">
        <v>0</v>
      </c>
      <c r="W184">
        <v>0</v>
      </c>
      <c r="X184">
        <v>0</v>
      </c>
      <c r="Y184">
        <v>0</v>
      </c>
      <c r="Z184">
        <v>0</v>
      </c>
      <c r="AA184">
        <v>0</v>
      </c>
      <c r="AB184">
        <v>0</v>
      </c>
      <c r="AC184">
        <v>0</v>
      </c>
      <c r="AD184">
        <v>0</v>
      </c>
      <c r="AE184">
        <v>0</v>
      </c>
      <c r="AF184">
        <v>0</v>
      </c>
      <c r="AG184">
        <v>0</v>
      </c>
      <c r="AH184">
        <v>0</v>
      </c>
      <c r="AI184">
        <v>0</v>
      </c>
      <c r="AJ184">
        <v>0</v>
      </c>
      <c r="AK184">
        <v>0</v>
      </c>
      <c r="AL184">
        <v>0</v>
      </c>
      <c r="AM184">
        <v>0</v>
      </c>
      <c r="AN184">
        <v>0</v>
      </c>
      <c r="AO184">
        <v>0</v>
      </c>
      <c r="AP184">
        <v>0</v>
      </c>
      <c r="AQ184">
        <v>0</v>
      </c>
      <c r="AR184">
        <v>0</v>
      </c>
      <c r="AS184">
        <v>0</v>
      </c>
      <c r="AT184">
        <v>0</v>
      </c>
      <c r="AU184">
        <v>0</v>
      </c>
      <c r="AV184">
        <v>0</v>
      </c>
      <c r="AW184">
        <v>0</v>
      </c>
      <c r="AX184">
        <v>0</v>
      </c>
      <c r="AY184">
        <v>0</v>
      </c>
      <c r="AZ184">
        <v>0</v>
      </c>
      <c r="BA184">
        <v>0</v>
      </c>
      <c r="BB184">
        <v>0</v>
      </c>
      <c r="BC184">
        <v>0</v>
      </c>
      <c r="BD184">
        <v>0</v>
      </c>
      <c r="BE184">
        <v>0</v>
      </c>
      <c r="BF184">
        <v>0</v>
      </c>
      <c r="BG184">
        <v>0</v>
      </c>
      <c r="BH184">
        <v>0</v>
      </c>
      <c r="BI184">
        <v>0</v>
      </c>
      <c r="BJ184">
        <v>0</v>
      </c>
      <c r="BK184">
        <v>0</v>
      </c>
      <c r="BL184">
        <v>0</v>
      </c>
      <c r="BM184">
        <v>0</v>
      </c>
      <c r="BN184">
        <v>0</v>
      </c>
      <c r="BO184">
        <v>0</v>
      </c>
      <c r="BP184">
        <v>0</v>
      </c>
      <c r="BQ184">
        <v>0</v>
      </c>
      <c r="BR184">
        <v>0</v>
      </c>
      <c r="BS184">
        <v>0</v>
      </c>
      <c r="BT184">
        <v>0</v>
      </c>
      <c r="BU184">
        <v>0</v>
      </c>
      <c r="BV184">
        <v>0</v>
      </c>
      <c r="BW184">
        <v>0</v>
      </c>
      <c r="BX184">
        <v>0</v>
      </c>
      <c r="BY184">
        <v>0</v>
      </c>
      <c r="BZ184">
        <v>0</v>
      </c>
      <c r="CA184">
        <v>0</v>
      </c>
      <c r="CB184">
        <v>0</v>
      </c>
      <c r="CC184">
        <v>0</v>
      </c>
      <c r="CD184">
        <v>0</v>
      </c>
      <c r="CE184">
        <v>0</v>
      </c>
      <c r="CF184">
        <v>0</v>
      </c>
      <c r="CG184">
        <v>0</v>
      </c>
      <c r="CH184">
        <v>0</v>
      </c>
      <c r="CI184">
        <v>0</v>
      </c>
      <c r="CJ184">
        <v>0</v>
      </c>
      <c r="CK184">
        <v>0</v>
      </c>
      <c r="CL184">
        <v>0</v>
      </c>
      <c r="CM184">
        <v>0</v>
      </c>
      <c r="CN184">
        <v>0</v>
      </c>
      <c r="CO184">
        <v>0</v>
      </c>
      <c r="CP184">
        <v>0</v>
      </c>
      <c r="CQ184">
        <v>0</v>
      </c>
      <c r="CR184">
        <v>0</v>
      </c>
      <c r="CS184">
        <v>0</v>
      </c>
      <c r="CT184">
        <v>0</v>
      </c>
      <c r="CU184">
        <v>0</v>
      </c>
      <c r="CV184">
        <v>0</v>
      </c>
      <c r="CW184">
        <v>0</v>
      </c>
      <c r="CX184">
        <v>0</v>
      </c>
      <c r="CY184">
        <v>0</v>
      </c>
      <c r="CZ184">
        <v>0</v>
      </c>
      <c r="DA184">
        <v>0</v>
      </c>
      <c r="DB184">
        <v>0</v>
      </c>
      <c r="DC184">
        <v>0</v>
      </c>
      <c r="DD184">
        <v>0</v>
      </c>
      <c r="DE184">
        <v>0</v>
      </c>
      <c r="DF184">
        <v>0</v>
      </c>
      <c r="DG184">
        <v>0</v>
      </c>
      <c r="DH184">
        <v>0</v>
      </c>
      <c r="DI184">
        <v>0</v>
      </c>
      <c r="DJ184">
        <v>0</v>
      </c>
      <c r="DK184">
        <v>0</v>
      </c>
      <c r="DL184">
        <v>0</v>
      </c>
      <c r="DM184">
        <v>0</v>
      </c>
      <c r="DN184">
        <v>0</v>
      </c>
      <c r="DO184">
        <v>0</v>
      </c>
      <c r="DP184">
        <v>0</v>
      </c>
      <c r="DQ184">
        <v>0</v>
      </c>
      <c r="DR184">
        <v>0</v>
      </c>
      <c r="DS184">
        <v>0</v>
      </c>
      <c r="DT184">
        <v>0</v>
      </c>
      <c r="DU184">
        <v>0</v>
      </c>
      <c r="DV184">
        <v>0</v>
      </c>
      <c r="DW184">
        <v>0</v>
      </c>
      <c r="DX184">
        <v>0</v>
      </c>
      <c r="DY184">
        <v>0</v>
      </c>
      <c r="DZ184">
        <v>0</v>
      </c>
      <c r="EA184">
        <v>0</v>
      </c>
      <c r="EB184">
        <v>0</v>
      </c>
      <c r="EC184">
        <v>0</v>
      </c>
      <c r="ED184">
        <v>0</v>
      </c>
      <c r="EE184">
        <v>0</v>
      </c>
      <c r="EF184">
        <v>0</v>
      </c>
      <c r="EG184">
        <v>0</v>
      </c>
      <c r="EH184">
        <v>0</v>
      </c>
      <c r="EI184">
        <v>0</v>
      </c>
      <c r="EJ184">
        <v>0</v>
      </c>
      <c r="EK184">
        <v>0</v>
      </c>
      <c r="EL184">
        <v>0</v>
      </c>
      <c r="EM184">
        <v>0</v>
      </c>
      <c r="EN184">
        <v>0</v>
      </c>
      <c r="EO184">
        <v>0</v>
      </c>
      <c r="EP184">
        <v>0</v>
      </c>
      <c r="EQ184">
        <v>0</v>
      </c>
      <c r="ER184">
        <v>0</v>
      </c>
      <c r="ES184">
        <v>0</v>
      </c>
      <c r="ET184">
        <v>0</v>
      </c>
      <c r="EU184">
        <v>0</v>
      </c>
      <c r="EV184">
        <v>0</v>
      </c>
      <c r="EW184">
        <v>0</v>
      </c>
      <c r="EX184">
        <v>0</v>
      </c>
      <c r="EY184">
        <v>0</v>
      </c>
      <c r="EZ184">
        <v>0</v>
      </c>
      <c r="FA184">
        <v>0</v>
      </c>
      <c r="FB184">
        <v>0</v>
      </c>
      <c r="FC184">
        <v>0</v>
      </c>
      <c r="FD184">
        <v>0</v>
      </c>
      <c r="FE184">
        <v>0</v>
      </c>
      <c r="FF184">
        <v>0</v>
      </c>
      <c r="FG184">
        <v>0</v>
      </c>
      <c r="FH184">
        <v>0</v>
      </c>
      <c r="FI184">
        <v>0</v>
      </c>
      <c r="FJ184">
        <v>0</v>
      </c>
      <c r="FK184">
        <v>0</v>
      </c>
      <c r="FL184">
        <v>0</v>
      </c>
      <c r="FM184">
        <v>0</v>
      </c>
      <c r="FN184">
        <v>0</v>
      </c>
      <c r="FO184">
        <v>0</v>
      </c>
      <c r="FP184">
        <v>0</v>
      </c>
      <c r="FQ184">
        <v>0</v>
      </c>
      <c r="FR184">
        <v>0</v>
      </c>
      <c r="FS184">
        <v>0</v>
      </c>
      <c r="FT184">
        <v>0</v>
      </c>
      <c r="FU184">
        <v>0</v>
      </c>
      <c r="FV184">
        <v>0</v>
      </c>
      <c r="FW184">
        <v>0</v>
      </c>
      <c r="FX184">
        <v>0</v>
      </c>
      <c r="FY184">
        <v>0</v>
      </c>
      <c r="FZ184">
        <v>0</v>
      </c>
      <c r="GA184">
        <v>0</v>
      </c>
      <c r="GB184">
        <v>0</v>
      </c>
      <c r="GC184">
        <v>0</v>
      </c>
      <c r="GD184">
        <v>0</v>
      </c>
      <c r="GE184">
        <v>0</v>
      </c>
      <c r="GF184">
        <v>0</v>
      </c>
      <c r="GG184">
        <v>0</v>
      </c>
      <c r="GH184">
        <v>0</v>
      </c>
      <c r="GI184">
        <v>0</v>
      </c>
      <c r="GJ184">
        <v>0</v>
      </c>
      <c r="GK184">
        <v>2</v>
      </c>
      <c r="GL184">
        <v>2</v>
      </c>
      <c r="GM184">
        <v>2</v>
      </c>
      <c r="GN184">
        <v>2</v>
      </c>
      <c r="GO184">
        <v>2</v>
      </c>
      <c r="GP184">
        <v>2</v>
      </c>
      <c r="GQ184">
        <v>2</v>
      </c>
      <c r="GR184">
        <v>2</v>
      </c>
      <c r="GS184">
        <v>2</v>
      </c>
      <c r="GT184">
        <v>2</v>
      </c>
      <c r="GU184">
        <v>2</v>
      </c>
      <c r="GV184">
        <v>2</v>
      </c>
      <c r="GW184">
        <v>2</v>
      </c>
      <c r="GX184">
        <v>2</v>
      </c>
      <c r="GY184">
        <v>2</v>
      </c>
      <c r="GZ184">
        <v>2</v>
      </c>
      <c r="HA184">
        <v>2</v>
      </c>
      <c r="HB184">
        <v>2</v>
      </c>
      <c r="HC184">
        <v>2</v>
      </c>
      <c r="HD184">
        <v>2</v>
      </c>
      <c r="HE184">
        <v>2</v>
      </c>
      <c r="HF184">
        <v>2</v>
      </c>
      <c r="HG184">
        <v>2</v>
      </c>
      <c r="HH184">
        <v>2</v>
      </c>
      <c r="HI184">
        <v>2</v>
      </c>
      <c r="HJ184">
        <v>2</v>
      </c>
      <c r="HK184">
        <v>2</v>
      </c>
      <c r="HL184">
        <v>2</v>
      </c>
      <c r="HM184">
        <v>2</v>
      </c>
      <c r="HN184">
        <v>2</v>
      </c>
      <c r="HO184">
        <v>2</v>
      </c>
      <c r="HP184">
        <v>2</v>
      </c>
      <c r="HQ184">
        <v>2</v>
      </c>
      <c r="HR184">
        <v>2</v>
      </c>
      <c r="HS184">
        <v>2</v>
      </c>
      <c r="HT184">
        <v>2</v>
      </c>
      <c r="HU184">
        <v>2</v>
      </c>
      <c r="HV184">
        <v>2</v>
      </c>
      <c r="HW184">
        <v>2</v>
      </c>
      <c r="HX184">
        <v>2</v>
      </c>
      <c r="HY184">
        <v>2</v>
      </c>
      <c r="HZ184">
        <v>2</v>
      </c>
      <c r="IA184">
        <v>2</v>
      </c>
      <c r="IB184">
        <v>2</v>
      </c>
      <c r="IC184">
        <v>2</v>
      </c>
      <c r="ID184">
        <v>2</v>
      </c>
      <c r="IE184">
        <v>2</v>
      </c>
      <c r="IF184">
        <v>2</v>
      </c>
      <c r="IG184">
        <v>2</v>
      </c>
      <c r="IH184">
        <v>2</v>
      </c>
      <c r="II184">
        <v>2</v>
      </c>
      <c r="IJ184">
        <v>2</v>
      </c>
      <c r="IK184">
        <v>2</v>
      </c>
      <c r="IL184">
        <v>2</v>
      </c>
      <c r="IM184">
        <v>2</v>
      </c>
      <c r="IN184">
        <v>2</v>
      </c>
      <c r="IO184">
        <v>2</v>
      </c>
      <c r="IP184">
        <v>2</v>
      </c>
      <c r="IQ184">
        <v>2</v>
      </c>
      <c r="IR184">
        <v>2</v>
      </c>
      <c r="IS184">
        <v>2</v>
      </c>
      <c r="IT184">
        <v>2</v>
      </c>
      <c r="IU184">
        <v>2</v>
      </c>
      <c r="IV184">
        <v>2</v>
      </c>
      <c r="IW184">
        <v>2</v>
      </c>
      <c r="IX184">
        <v>2</v>
      </c>
      <c r="IY184">
        <v>2</v>
      </c>
      <c r="IZ184">
        <v>2</v>
      </c>
      <c r="JA184">
        <v>2</v>
      </c>
      <c r="JB184">
        <v>2</v>
      </c>
      <c r="JC184">
        <v>2</v>
      </c>
      <c r="JD184">
        <v>2</v>
      </c>
      <c r="JE184">
        <v>2</v>
      </c>
      <c r="JF184">
        <v>2</v>
      </c>
      <c r="JG184">
        <v>2</v>
      </c>
      <c r="JH184">
        <v>2</v>
      </c>
      <c r="JI184">
        <v>2</v>
      </c>
      <c r="JJ184">
        <v>2</v>
      </c>
      <c r="JK184">
        <v>2</v>
      </c>
      <c r="JL184">
        <v>2</v>
      </c>
      <c r="JM184">
        <v>2</v>
      </c>
      <c r="JN184">
        <v>2</v>
      </c>
      <c r="JO184">
        <v>2</v>
      </c>
      <c r="JP184">
        <v>2</v>
      </c>
      <c r="JQ184">
        <v>2</v>
      </c>
      <c r="JR184">
        <v>2</v>
      </c>
      <c r="JS184">
        <v>2</v>
      </c>
      <c r="JT184">
        <v>2</v>
      </c>
      <c r="JU184">
        <v>2</v>
      </c>
      <c r="JV184">
        <v>2</v>
      </c>
      <c r="JW184">
        <v>2</v>
      </c>
      <c r="JX184">
        <v>2</v>
      </c>
      <c r="JY184">
        <v>2</v>
      </c>
      <c r="JZ184">
        <v>2</v>
      </c>
      <c r="KA184">
        <v>2</v>
      </c>
      <c r="KB184">
        <v>2</v>
      </c>
      <c r="KC184">
        <v>2</v>
      </c>
      <c r="KD184">
        <v>2</v>
      </c>
      <c r="KE184">
        <v>2</v>
      </c>
      <c r="KF184">
        <v>2</v>
      </c>
      <c r="KG184">
        <v>2</v>
      </c>
      <c r="KH184">
        <v>2</v>
      </c>
      <c r="KI184">
        <v>2</v>
      </c>
      <c r="KJ184">
        <v>2</v>
      </c>
      <c r="KK184">
        <v>2</v>
      </c>
      <c r="KL184">
        <v>2</v>
      </c>
      <c r="KM184">
        <v>2</v>
      </c>
      <c r="KN184">
        <v>2</v>
      </c>
      <c r="KO184">
        <v>2</v>
      </c>
      <c r="KP184">
        <v>2</v>
      </c>
      <c r="KQ184">
        <v>2</v>
      </c>
      <c r="KR184">
        <v>2</v>
      </c>
      <c r="KS184">
        <v>2</v>
      </c>
      <c r="KT184">
        <v>2</v>
      </c>
      <c r="KU184">
        <v>2</v>
      </c>
      <c r="KV184">
        <v>2</v>
      </c>
      <c r="KW184">
        <v>2</v>
      </c>
      <c r="KX184">
        <v>2</v>
      </c>
      <c r="KY184">
        <v>2</v>
      </c>
      <c r="KZ184">
        <v>2</v>
      </c>
      <c r="LA184">
        <v>2</v>
      </c>
      <c r="LB184">
        <v>2</v>
      </c>
      <c r="LC184">
        <v>2</v>
      </c>
      <c r="LD184">
        <v>2</v>
      </c>
      <c r="LE184">
        <v>2</v>
      </c>
      <c r="LF184">
        <v>2</v>
      </c>
      <c r="LG184">
        <v>2</v>
      </c>
      <c r="LH184">
        <v>2</v>
      </c>
      <c r="LI184">
        <v>2</v>
      </c>
      <c r="LJ184">
        <v>2</v>
      </c>
      <c r="LK184">
        <v>2</v>
      </c>
      <c r="LL184">
        <v>2</v>
      </c>
      <c r="LM184">
        <v>2</v>
      </c>
      <c r="LN184">
        <v>2</v>
      </c>
      <c r="LO184">
        <v>2</v>
      </c>
      <c r="LP184">
        <v>2</v>
      </c>
      <c r="LQ184">
        <v>0</v>
      </c>
      <c r="LR184">
        <v>0</v>
      </c>
      <c r="LS184">
        <v>0</v>
      </c>
      <c r="LT184">
        <v>0</v>
      </c>
      <c r="LU184">
        <v>0</v>
      </c>
      <c r="LV184">
        <v>0</v>
      </c>
      <c r="LW184">
        <v>0</v>
      </c>
      <c r="LX184">
        <v>0</v>
      </c>
      <c r="LY184">
        <v>0</v>
      </c>
      <c r="LZ184">
        <v>0</v>
      </c>
      <c r="MA184">
        <v>0</v>
      </c>
      <c r="MB184">
        <v>0</v>
      </c>
      <c r="MC184">
        <v>0</v>
      </c>
      <c r="MD184">
        <v>0</v>
      </c>
      <c r="ME184">
        <v>0</v>
      </c>
      <c r="MF184">
        <v>0</v>
      </c>
      <c r="MG184">
        <v>0</v>
      </c>
      <c r="MH184">
        <v>0</v>
      </c>
      <c r="MI184">
        <v>0</v>
      </c>
      <c r="MJ184">
        <v>0</v>
      </c>
      <c r="MK184">
        <v>0</v>
      </c>
      <c r="ML184">
        <v>0</v>
      </c>
      <c r="MM184">
        <v>0</v>
      </c>
      <c r="MN184">
        <v>0</v>
      </c>
      <c r="MO184">
        <v>0</v>
      </c>
      <c r="MP184">
        <v>0</v>
      </c>
      <c r="MQ184">
        <v>0</v>
      </c>
      <c r="MR184">
        <v>0</v>
      </c>
      <c r="MS184">
        <v>0</v>
      </c>
      <c r="MT184">
        <v>0</v>
      </c>
      <c r="MU184">
        <v>0</v>
      </c>
      <c r="MV184">
        <v>0</v>
      </c>
      <c r="MW184">
        <v>0</v>
      </c>
      <c r="MX184">
        <v>0</v>
      </c>
      <c r="MY184">
        <v>0</v>
      </c>
      <c r="MZ184">
        <v>0</v>
      </c>
      <c r="NA184">
        <v>0</v>
      </c>
      <c r="NB184">
        <v>0</v>
      </c>
      <c r="NC184">
        <v>0</v>
      </c>
      <c r="ND184">
        <v>0</v>
      </c>
      <c r="NE184">
        <v>0</v>
      </c>
      <c r="NF184">
        <v>0</v>
      </c>
      <c r="NG184">
        <v>0</v>
      </c>
      <c r="NH184">
        <v>0</v>
      </c>
      <c r="NI184">
        <v>0</v>
      </c>
      <c r="NJ184">
        <v>0</v>
      </c>
      <c r="NK184">
        <v>0</v>
      </c>
      <c r="NL184">
        <v>0</v>
      </c>
      <c r="NM184">
        <v>0</v>
      </c>
      <c r="NN184">
        <v>0</v>
      </c>
      <c r="NO184">
        <v>0</v>
      </c>
      <c r="NP184">
        <v>0</v>
      </c>
      <c r="NQ184">
        <v>0</v>
      </c>
      <c r="NR184">
        <v>0</v>
      </c>
      <c r="NS184">
        <v>0</v>
      </c>
      <c r="NT184">
        <v>0</v>
      </c>
      <c r="NU184">
        <v>0</v>
      </c>
      <c r="NV184">
        <v>0</v>
      </c>
      <c r="NW184">
        <v>0</v>
      </c>
      <c r="NX184">
        <v>0</v>
      </c>
      <c r="NY184">
        <v>0</v>
      </c>
      <c r="NZ184">
        <v>0</v>
      </c>
      <c r="OA184">
        <v>0</v>
      </c>
      <c r="OB184">
        <v>0</v>
      </c>
      <c r="OC184">
        <v>0</v>
      </c>
      <c r="OD184">
        <v>0</v>
      </c>
      <c r="OE184">
        <v>0</v>
      </c>
      <c r="OF184">
        <v>0</v>
      </c>
      <c r="OG184">
        <v>0</v>
      </c>
      <c r="OH184">
        <v>0</v>
      </c>
      <c r="OI184">
        <v>0</v>
      </c>
      <c r="OJ184">
        <v>0</v>
      </c>
      <c r="OK184">
        <v>0</v>
      </c>
      <c r="OL184">
        <v>0</v>
      </c>
      <c r="OM184">
        <v>0</v>
      </c>
      <c r="ON184">
        <v>0</v>
      </c>
      <c r="OO184">
        <v>0</v>
      </c>
      <c r="OP184">
        <v>0</v>
      </c>
      <c r="OQ184">
        <v>0</v>
      </c>
      <c r="OR184">
        <v>0</v>
      </c>
      <c r="OS184">
        <v>0</v>
      </c>
      <c r="OT184">
        <v>0</v>
      </c>
      <c r="OU184">
        <v>0</v>
      </c>
      <c r="OV184">
        <v>0</v>
      </c>
      <c r="OW184">
        <v>0</v>
      </c>
      <c r="OX184">
        <v>0</v>
      </c>
      <c r="OY184">
        <v>0</v>
      </c>
      <c r="OZ184">
        <v>0</v>
      </c>
      <c r="PA184">
        <v>0</v>
      </c>
      <c r="PB184">
        <v>0</v>
      </c>
      <c r="PC184">
        <v>0</v>
      </c>
      <c r="PD184">
        <v>0</v>
      </c>
      <c r="PE184">
        <v>0</v>
      </c>
      <c r="PF184">
        <v>0</v>
      </c>
      <c r="PG184">
        <v>0</v>
      </c>
      <c r="PH184">
        <v>0</v>
      </c>
      <c r="PI184">
        <v>0</v>
      </c>
      <c r="PJ184">
        <v>0</v>
      </c>
      <c r="PK184">
        <v>0</v>
      </c>
      <c r="PL184">
        <v>0</v>
      </c>
      <c r="PM184">
        <v>0</v>
      </c>
      <c r="PN184">
        <v>0</v>
      </c>
      <c r="PO184">
        <v>0</v>
      </c>
      <c r="PP184">
        <v>0</v>
      </c>
      <c r="PQ184">
        <v>0</v>
      </c>
      <c r="PR184">
        <v>0</v>
      </c>
      <c r="PS184">
        <v>0</v>
      </c>
      <c r="PT184">
        <v>0</v>
      </c>
      <c r="PU184">
        <v>0</v>
      </c>
      <c r="PV184">
        <v>0</v>
      </c>
      <c r="PW184">
        <v>0</v>
      </c>
      <c r="PX184">
        <v>0</v>
      </c>
      <c r="PY184">
        <v>0</v>
      </c>
      <c r="PZ184">
        <v>0</v>
      </c>
      <c r="QA184">
        <v>0</v>
      </c>
      <c r="QB184">
        <v>0</v>
      </c>
      <c r="QC184">
        <v>0</v>
      </c>
      <c r="QD184">
        <v>0</v>
      </c>
      <c r="QE184">
        <v>0</v>
      </c>
      <c r="QF184">
        <v>0</v>
      </c>
      <c r="QG184">
        <v>0</v>
      </c>
      <c r="QH184">
        <v>0</v>
      </c>
      <c r="QI184">
        <v>0</v>
      </c>
      <c r="QJ184">
        <v>0</v>
      </c>
      <c r="QK184">
        <v>0</v>
      </c>
      <c r="QL184">
        <v>0</v>
      </c>
      <c r="QM184">
        <v>0</v>
      </c>
      <c r="QN184">
        <v>0</v>
      </c>
      <c r="QO184">
        <v>0</v>
      </c>
      <c r="QP184">
        <v>0</v>
      </c>
      <c r="QQ184">
        <v>0</v>
      </c>
      <c r="QR184">
        <v>0</v>
      </c>
      <c r="QS184">
        <v>0</v>
      </c>
      <c r="QT184">
        <v>0</v>
      </c>
      <c r="QU184">
        <v>0</v>
      </c>
      <c r="QV184">
        <v>0</v>
      </c>
      <c r="QW184">
        <v>0</v>
      </c>
      <c r="QX184">
        <v>0</v>
      </c>
      <c r="QY184">
        <v>0</v>
      </c>
      <c r="QZ184">
        <v>0</v>
      </c>
      <c r="RA184">
        <v>0</v>
      </c>
      <c r="RB184">
        <v>0</v>
      </c>
      <c r="RC184">
        <v>0</v>
      </c>
      <c r="RD184">
        <v>0</v>
      </c>
      <c r="RE184">
        <v>0</v>
      </c>
      <c r="RF184">
        <v>0</v>
      </c>
      <c r="RG184">
        <v>0</v>
      </c>
      <c r="RH184">
        <v>0</v>
      </c>
      <c r="RI184">
        <v>0</v>
      </c>
      <c r="RJ184">
        <v>0</v>
      </c>
      <c r="RK184">
        <v>0</v>
      </c>
      <c r="RL184">
        <v>0</v>
      </c>
      <c r="RM184">
        <v>0</v>
      </c>
      <c r="RN184">
        <v>0</v>
      </c>
      <c r="RO184">
        <v>0</v>
      </c>
      <c r="RP184">
        <v>0</v>
      </c>
      <c r="RQ184">
        <v>0</v>
      </c>
      <c r="RR184">
        <v>0</v>
      </c>
      <c r="RS184">
        <v>0</v>
      </c>
      <c r="RT184">
        <v>0</v>
      </c>
      <c r="RU184">
        <v>0</v>
      </c>
      <c r="RV184">
        <v>0</v>
      </c>
      <c r="RW184">
        <v>0</v>
      </c>
      <c r="RX184">
        <v>0</v>
      </c>
      <c r="RY184">
        <v>0</v>
      </c>
      <c r="RZ184">
        <v>0</v>
      </c>
      <c r="SA184">
        <v>0</v>
      </c>
      <c r="SB184">
        <v>0</v>
      </c>
      <c r="SC184">
        <v>0</v>
      </c>
      <c r="SD184">
        <v>0</v>
      </c>
      <c r="SE184">
        <v>0</v>
      </c>
      <c r="SF184">
        <v>0</v>
      </c>
      <c r="SG184">
        <v>0</v>
      </c>
      <c r="SH184">
        <v>0</v>
      </c>
      <c r="SI184">
        <v>0</v>
      </c>
      <c r="SJ184">
        <v>0</v>
      </c>
      <c r="SK184">
        <v>0</v>
      </c>
      <c r="SL184">
        <v>0</v>
      </c>
      <c r="SM184">
        <v>0</v>
      </c>
      <c r="SN184">
        <v>0</v>
      </c>
      <c r="SO184">
        <v>0</v>
      </c>
      <c r="SP184">
        <v>0</v>
      </c>
      <c r="SQ184">
        <v>0</v>
      </c>
      <c r="SR184">
        <v>0</v>
      </c>
      <c r="SS184">
        <v>0</v>
      </c>
      <c r="ST184">
        <v>0</v>
      </c>
      <c r="SU184">
        <v>0</v>
      </c>
      <c r="SV184">
        <v>0</v>
      </c>
      <c r="SW184">
        <v>0</v>
      </c>
      <c r="SX184">
        <v>0</v>
      </c>
      <c r="SY184">
        <v>0</v>
      </c>
      <c r="SZ184">
        <v>0</v>
      </c>
      <c r="TA184">
        <v>0</v>
      </c>
      <c r="TB184">
        <v>0</v>
      </c>
      <c r="TC184">
        <v>0</v>
      </c>
      <c r="TD184">
        <v>0</v>
      </c>
      <c r="TE184">
        <v>0</v>
      </c>
      <c r="TF184">
        <v>0</v>
      </c>
      <c r="TG184">
        <v>0</v>
      </c>
      <c r="TH184">
        <v>0</v>
      </c>
      <c r="TI184">
        <v>0</v>
      </c>
      <c r="TJ184">
        <v>0</v>
      </c>
      <c r="TK184">
        <v>0</v>
      </c>
      <c r="TL184">
        <v>0</v>
      </c>
      <c r="TM184">
        <v>0</v>
      </c>
      <c r="TN184">
        <v>0</v>
      </c>
      <c r="TO184">
        <v>0</v>
      </c>
      <c r="TP184">
        <v>0</v>
      </c>
      <c r="TQ184">
        <v>0</v>
      </c>
      <c r="TR184">
        <v>0</v>
      </c>
      <c r="TS184">
        <v>0</v>
      </c>
      <c r="TT184">
        <v>0</v>
      </c>
      <c r="TU184">
        <v>0</v>
      </c>
      <c r="TV184">
        <v>0</v>
      </c>
      <c r="TW184">
        <v>0</v>
      </c>
      <c r="TX184">
        <v>0</v>
      </c>
      <c r="TY184">
        <v>0</v>
      </c>
      <c r="TZ184">
        <v>0</v>
      </c>
      <c r="UA184">
        <v>0</v>
      </c>
      <c r="UB184">
        <v>0</v>
      </c>
      <c r="UC184">
        <v>0</v>
      </c>
      <c r="UD184">
        <v>0</v>
      </c>
      <c r="UE184">
        <v>0</v>
      </c>
      <c r="UF184">
        <v>0</v>
      </c>
      <c r="UG184">
        <v>0</v>
      </c>
      <c r="UH184">
        <v>0</v>
      </c>
      <c r="UI184">
        <v>0</v>
      </c>
      <c r="UJ184">
        <v>0</v>
      </c>
      <c r="UK184">
        <v>0</v>
      </c>
      <c r="UL184">
        <v>0</v>
      </c>
      <c r="UM184">
        <v>0</v>
      </c>
      <c r="UN184">
        <v>0</v>
      </c>
      <c r="UO184">
        <v>0</v>
      </c>
      <c r="UP184">
        <v>0</v>
      </c>
      <c r="UQ184">
        <v>0</v>
      </c>
      <c r="UR184">
        <v>0</v>
      </c>
      <c r="US184">
        <v>0</v>
      </c>
      <c r="UT184">
        <v>0</v>
      </c>
      <c r="UU184">
        <v>0</v>
      </c>
      <c r="UV184">
        <v>0</v>
      </c>
      <c r="UW184">
        <v>0</v>
      </c>
      <c r="UX184">
        <v>0</v>
      </c>
      <c r="UY184">
        <v>0</v>
      </c>
      <c r="UZ184">
        <v>0</v>
      </c>
      <c r="VA184">
        <v>0</v>
      </c>
      <c r="VB184">
        <v>0</v>
      </c>
      <c r="VC184">
        <v>0</v>
      </c>
      <c r="VD184">
        <v>0</v>
      </c>
      <c r="VE184">
        <v>0</v>
      </c>
      <c r="VF184">
        <v>0</v>
      </c>
      <c r="VG184">
        <v>0</v>
      </c>
      <c r="VH184">
        <v>0</v>
      </c>
      <c r="VI184">
        <v>0</v>
      </c>
      <c r="VJ184">
        <v>0</v>
      </c>
      <c r="VK184">
        <v>0</v>
      </c>
      <c r="VL184">
        <v>0</v>
      </c>
      <c r="VM184">
        <v>0</v>
      </c>
      <c r="VN184">
        <v>0</v>
      </c>
      <c r="VO184">
        <v>0</v>
      </c>
      <c r="VP184">
        <v>0</v>
      </c>
      <c r="VQ184">
        <v>0</v>
      </c>
      <c r="VR184">
        <v>0</v>
      </c>
      <c r="VS184">
        <v>0</v>
      </c>
      <c r="VT184">
        <v>0</v>
      </c>
      <c r="VU184">
        <v>0</v>
      </c>
      <c r="VV184">
        <v>0</v>
      </c>
      <c r="VW184">
        <v>0</v>
      </c>
      <c r="VX184">
        <v>0</v>
      </c>
      <c r="VY184">
        <v>0</v>
      </c>
      <c r="VZ184">
        <v>0</v>
      </c>
      <c r="WA184">
        <v>0</v>
      </c>
      <c r="WB184">
        <v>0</v>
      </c>
      <c r="WC184">
        <v>0</v>
      </c>
      <c r="WD184">
        <v>0</v>
      </c>
      <c r="WE184">
        <v>0</v>
      </c>
      <c r="WF184">
        <v>0</v>
      </c>
      <c r="WG184">
        <v>0</v>
      </c>
      <c r="WH184">
        <v>0</v>
      </c>
      <c r="WI184">
        <v>0</v>
      </c>
      <c r="WJ184">
        <v>0</v>
      </c>
      <c r="WK184">
        <v>0</v>
      </c>
      <c r="WL184">
        <v>0</v>
      </c>
      <c r="WM184">
        <v>0</v>
      </c>
      <c r="WN184">
        <v>0</v>
      </c>
      <c r="WO184">
        <v>0</v>
      </c>
      <c r="WP184">
        <v>0</v>
      </c>
      <c r="WQ184">
        <v>0</v>
      </c>
      <c r="WR184">
        <v>0</v>
      </c>
      <c r="WS184">
        <v>0</v>
      </c>
      <c r="WT184">
        <v>0</v>
      </c>
      <c r="WU184">
        <v>0</v>
      </c>
      <c r="WV184">
        <v>0</v>
      </c>
      <c r="WW184">
        <v>0</v>
      </c>
      <c r="WX184">
        <v>0</v>
      </c>
      <c r="WY184">
        <v>0</v>
      </c>
      <c r="WZ184">
        <v>0</v>
      </c>
      <c r="XA184">
        <v>0</v>
      </c>
      <c r="XB184">
        <v>0</v>
      </c>
      <c r="XC184">
        <v>0</v>
      </c>
      <c r="XD184">
        <v>0</v>
      </c>
      <c r="XE184">
        <v>0</v>
      </c>
      <c r="XF184">
        <v>0</v>
      </c>
      <c r="XG184">
        <v>0</v>
      </c>
      <c r="XH184">
        <v>0</v>
      </c>
      <c r="XI184">
        <v>0</v>
      </c>
      <c r="XJ184">
        <v>0</v>
      </c>
      <c r="XK184">
        <v>0</v>
      </c>
      <c r="XL184">
        <v>0</v>
      </c>
      <c r="XM184">
        <v>0</v>
      </c>
      <c r="XN184">
        <v>0</v>
      </c>
      <c r="XO184">
        <v>0</v>
      </c>
      <c r="XP184">
        <v>0</v>
      </c>
      <c r="XQ184">
        <v>0</v>
      </c>
      <c r="XR184">
        <v>0</v>
      </c>
      <c r="XS184">
        <v>0</v>
      </c>
      <c r="XT184">
        <v>0</v>
      </c>
      <c r="XU184">
        <v>0</v>
      </c>
      <c r="XV184">
        <v>0</v>
      </c>
      <c r="XW184">
        <v>0</v>
      </c>
      <c r="XX184">
        <v>0</v>
      </c>
      <c r="XY184">
        <v>0</v>
      </c>
      <c r="XZ184">
        <v>0</v>
      </c>
      <c r="YA184">
        <v>0</v>
      </c>
      <c r="YB184">
        <v>0</v>
      </c>
      <c r="YC184">
        <v>0</v>
      </c>
      <c r="YD184">
        <v>0</v>
      </c>
      <c r="YE184">
        <v>0</v>
      </c>
      <c r="YF184">
        <v>0</v>
      </c>
      <c r="YG184">
        <v>0</v>
      </c>
      <c r="YH184">
        <v>0</v>
      </c>
      <c r="YI184">
        <v>0</v>
      </c>
      <c r="YJ184">
        <v>0</v>
      </c>
      <c r="YK184">
        <v>0</v>
      </c>
      <c r="YL184">
        <v>0</v>
      </c>
      <c r="YM184">
        <v>0</v>
      </c>
      <c r="YN184">
        <v>0</v>
      </c>
      <c r="YO184">
        <v>0</v>
      </c>
      <c r="YP184">
        <v>0</v>
      </c>
      <c r="YQ184">
        <v>0</v>
      </c>
      <c r="YR184">
        <v>0</v>
      </c>
      <c r="YS184">
        <v>0</v>
      </c>
      <c r="YT184">
        <v>0</v>
      </c>
      <c r="YU184">
        <v>0</v>
      </c>
      <c r="YV184">
        <v>0</v>
      </c>
      <c r="YW184">
        <v>0</v>
      </c>
      <c r="YX184">
        <v>0</v>
      </c>
      <c r="YY184">
        <v>0</v>
      </c>
      <c r="YZ184">
        <v>0</v>
      </c>
      <c r="ZA184">
        <v>0</v>
      </c>
      <c r="ZB184">
        <v>0</v>
      </c>
      <c r="ZC184">
        <v>0</v>
      </c>
      <c r="ZD184">
        <v>0</v>
      </c>
      <c r="ZE184">
        <v>0</v>
      </c>
      <c r="ZF184">
        <v>0</v>
      </c>
      <c r="ZG184">
        <v>0</v>
      </c>
      <c r="ZH184">
        <v>0</v>
      </c>
      <c r="ZI184">
        <v>0</v>
      </c>
      <c r="ZJ184">
        <v>0</v>
      </c>
      <c r="ZK184">
        <v>0</v>
      </c>
      <c r="ZL184">
        <v>0</v>
      </c>
      <c r="ZM184">
        <v>0</v>
      </c>
      <c r="ZN184">
        <v>0</v>
      </c>
      <c r="ZO184">
        <v>0</v>
      </c>
      <c r="ZP184">
        <v>0</v>
      </c>
      <c r="ZQ184">
        <v>0</v>
      </c>
      <c r="ZR184">
        <v>0</v>
      </c>
      <c r="ZS184">
        <v>0</v>
      </c>
      <c r="ZT184">
        <v>0</v>
      </c>
      <c r="ZU184">
        <v>0</v>
      </c>
      <c r="ZV184">
        <v>0</v>
      </c>
      <c r="ZW184">
        <v>0</v>
      </c>
      <c r="ZX184">
        <v>0</v>
      </c>
      <c r="ZY184">
        <v>0</v>
      </c>
      <c r="ZZ184">
        <v>0</v>
      </c>
      <c r="AAA184">
        <v>0</v>
      </c>
      <c r="AAB184">
        <v>0</v>
      </c>
      <c r="AAC184">
        <v>0</v>
      </c>
      <c r="AAD184">
        <v>0</v>
      </c>
      <c r="AAE184">
        <v>0</v>
      </c>
      <c r="AAF184">
        <v>0</v>
      </c>
      <c r="AAG184">
        <v>0</v>
      </c>
      <c r="AAH184">
        <v>0</v>
      </c>
      <c r="AAI184">
        <v>0</v>
      </c>
      <c r="AAJ184">
        <v>0</v>
      </c>
      <c r="AAK184">
        <v>0</v>
      </c>
      <c r="AAL184">
        <v>0</v>
      </c>
      <c r="AAM184">
        <v>0</v>
      </c>
      <c r="AAN184">
        <v>0</v>
      </c>
      <c r="AAO184">
        <v>0</v>
      </c>
      <c r="AAP184">
        <v>0</v>
      </c>
      <c r="AAQ184">
        <v>0</v>
      </c>
      <c r="AAR184">
        <v>0</v>
      </c>
      <c r="AAS184">
        <v>0</v>
      </c>
      <c r="AAT184">
        <v>0</v>
      </c>
      <c r="AAU184">
        <v>0</v>
      </c>
      <c r="AAV184">
        <v>0</v>
      </c>
      <c r="AAW184">
        <v>0</v>
      </c>
      <c r="AAX184">
        <v>0</v>
      </c>
      <c r="AAY184">
        <v>0</v>
      </c>
      <c r="AAZ184">
        <v>0</v>
      </c>
      <c r="ABA184">
        <v>0</v>
      </c>
      <c r="ABB184">
        <v>0</v>
      </c>
      <c r="ABC184">
        <v>0</v>
      </c>
      <c r="ABD184">
        <v>0</v>
      </c>
      <c r="ABE184">
        <v>0</v>
      </c>
      <c r="ABG184" s="1137">
        <f t="shared" si="48"/>
        <v>0</v>
      </c>
      <c r="ABH184" s="1137">
        <f t="shared" si="48"/>
        <v>0</v>
      </c>
      <c r="ABI184" s="1137">
        <f t="shared" si="48"/>
        <v>0</v>
      </c>
      <c r="ABJ184" s="1137">
        <f t="shared" si="48"/>
        <v>0</v>
      </c>
      <c r="ABK184" s="1137">
        <f t="shared" si="48"/>
        <v>0</v>
      </c>
      <c r="ABL184" s="1137">
        <f t="shared" si="48"/>
        <v>0</v>
      </c>
      <c r="ABM184" s="1137">
        <f t="shared" si="48"/>
        <v>23</v>
      </c>
      <c r="ABN184" s="1137">
        <f t="shared" si="48"/>
        <v>31</v>
      </c>
      <c r="ABO184" s="1137">
        <f t="shared" si="48"/>
        <v>30</v>
      </c>
      <c r="ABP184" s="1137">
        <f t="shared" si="48"/>
        <v>31</v>
      </c>
      <c r="ABQ184" s="1137">
        <f t="shared" si="48"/>
        <v>21</v>
      </c>
      <c r="ABR184" s="1137">
        <f t="shared" si="48"/>
        <v>0</v>
      </c>
      <c r="ABS184" s="1137">
        <f t="shared" si="48"/>
        <v>0</v>
      </c>
      <c r="ABT184" s="1137">
        <f t="shared" si="48"/>
        <v>0</v>
      </c>
      <c r="ABU184" s="1137">
        <f t="shared" si="48"/>
        <v>0</v>
      </c>
      <c r="ABV184" s="1137">
        <f t="shared" si="48"/>
        <v>0</v>
      </c>
      <c r="ABW184" s="1137">
        <f t="shared" si="49"/>
        <v>0</v>
      </c>
      <c r="ABX184" s="1137">
        <f t="shared" si="49"/>
        <v>0</v>
      </c>
      <c r="ABY184" s="1137">
        <f t="shared" si="49"/>
        <v>0</v>
      </c>
      <c r="ABZ184" s="1137">
        <f t="shared" si="49"/>
        <v>0</v>
      </c>
      <c r="ACA184" s="1137">
        <f t="shared" si="49"/>
        <v>0</v>
      </c>
      <c r="ACB184" s="1137">
        <f t="shared" si="49"/>
        <v>0</v>
      </c>
      <c r="ACC184" s="1137">
        <f t="shared" si="49"/>
        <v>0</v>
      </c>
      <c r="ACD184" s="1137">
        <f t="shared" si="49"/>
        <v>0</v>
      </c>
      <c r="ACE184" s="1137" t="s">
        <v>276</v>
      </c>
      <c r="ACF184" s="1137">
        <f t="shared" si="47"/>
        <v>0</v>
      </c>
      <c r="ACG184" s="1137">
        <f t="shared" si="47"/>
        <v>0</v>
      </c>
      <c r="ACH184" s="1137">
        <f t="shared" si="47"/>
        <v>0</v>
      </c>
      <c r="ACI184" s="1137">
        <f t="shared" si="47"/>
        <v>0</v>
      </c>
      <c r="ACJ184" s="1137">
        <f t="shared" si="47"/>
        <v>0</v>
      </c>
      <c r="ACK184" s="1137">
        <f t="shared" si="47"/>
        <v>0</v>
      </c>
      <c r="ACL184" s="1137">
        <f t="shared" si="47"/>
        <v>1</v>
      </c>
      <c r="ACM184" s="1137">
        <f t="shared" si="47"/>
        <v>1</v>
      </c>
      <c r="ACN184" s="1137">
        <f t="shared" si="47"/>
        <v>1</v>
      </c>
      <c r="ACO184" s="1137">
        <f t="shared" si="47"/>
        <v>1</v>
      </c>
      <c r="ACP184" s="1137">
        <f t="shared" si="47"/>
        <v>1</v>
      </c>
      <c r="ACQ184" s="1137">
        <f t="shared" si="47"/>
        <v>0</v>
      </c>
      <c r="ACR184" s="1137">
        <f t="shared" si="47"/>
        <v>0</v>
      </c>
      <c r="ACS184" s="1137">
        <f t="shared" si="47"/>
        <v>0</v>
      </c>
      <c r="ACT184" s="1137">
        <f t="shared" si="43"/>
        <v>0</v>
      </c>
      <c r="ACU184" s="1137">
        <f t="shared" si="43"/>
        <v>0</v>
      </c>
      <c r="ACV184" s="1137">
        <f t="shared" si="43"/>
        <v>0</v>
      </c>
      <c r="ACW184" s="1137">
        <f t="shared" si="43"/>
        <v>0</v>
      </c>
      <c r="ACX184" s="1137">
        <f t="shared" si="42"/>
        <v>0</v>
      </c>
      <c r="ACY184" s="1137">
        <f t="shared" si="42"/>
        <v>0</v>
      </c>
      <c r="ACZ184" s="1137">
        <f t="shared" si="42"/>
        <v>0</v>
      </c>
      <c r="ADA184" s="1137">
        <f t="shared" si="35"/>
        <v>0</v>
      </c>
      <c r="ADB184" s="1137">
        <f t="shared" si="35"/>
        <v>0</v>
      </c>
      <c r="ADC184" s="1137">
        <f t="shared" si="35"/>
        <v>0</v>
      </c>
    </row>
    <row r="185" spans="1:783" x14ac:dyDescent="0.25">
      <c r="A185" t="s">
        <v>1984</v>
      </c>
      <c r="B185" t="s">
        <v>2110</v>
      </c>
      <c r="C185">
        <v>0</v>
      </c>
      <c r="D185">
        <v>0</v>
      </c>
      <c r="E185">
        <v>0</v>
      </c>
      <c r="F185">
        <v>0</v>
      </c>
      <c r="G185">
        <v>0</v>
      </c>
      <c r="H185">
        <v>0</v>
      </c>
      <c r="I185">
        <v>0</v>
      </c>
      <c r="J185">
        <v>0</v>
      </c>
      <c r="K185">
        <v>0</v>
      </c>
      <c r="L185">
        <v>0</v>
      </c>
      <c r="M185">
        <v>0</v>
      </c>
      <c r="N185">
        <v>0</v>
      </c>
      <c r="O185">
        <v>0</v>
      </c>
      <c r="P185">
        <v>0</v>
      </c>
      <c r="Q185">
        <v>0</v>
      </c>
      <c r="R185">
        <v>0</v>
      </c>
      <c r="S185">
        <v>0</v>
      </c>
      <c r="T185">
        <v>0</v>
      </c>
      <c r="U185">
        <v>0</v>
      </c>
      <c r="V185">
        <v>0</v>
      </c>
      <c r="W185">
        <v>0</v>
      </c>
      <c r="X185">
        <v>0</v>
      </c>
      <c r="Y185">
        <v>0</v>
      </c>
      <c r="Z185">
        <v>0</v>
      </c>
      <c r="AA185">
        <v>0</v>
      </c>
      <c r="AB185">
        <v>0</v>
      </c>
      <c r="AC185">
        <v>0</v>
      </c>
      <c r="AD185">
        <v>0</v>
      </c>
      <c r="AE185">
        <v>0</v>
      </c>
      <c r="AF185">
        <v>0</v>
      </c>
      <c r="AG185">
        <v>0</v>
      </c>
      <c r="AH185">
        <v>0</v>
      </c>
      <c r="AI185">
        <v>0</v>
      </c>
      <c r="AJ185">
        <v>0</v>
      </c>
      <c r="AK185">
        <v>0</v>
      </c>
      <c r="AL185">
        <v>0</v>
      </c>
      <c r="AM185">
        <v>0</v>
      </c>
      <c r="AN185">
        <v>0</v>
      </c>
      <c r="AO185">
        <v>0</v>
      </c>
      <c r="AP185">
        <v>0</v>
      </c>
      <c r="AQ185">
        <v>0</v>
      </c>
      <c r="AR185">
        <v>0</v>
      </c>
      <c r="AS185">
        <v>0</v>
      </c>
      <c r="AT185">
        <v>2</v>
      </c>
      <c r="AU185">
        <v>2</v>
      </c>
      <c r="AV185">
        <v>2</v>
      </c>
      <c r="AW185">
        <v>2</v>
      </c>
      <c r="AX185">
        <v>2</v>
      </c>
      <c r="AY185">
        <v>2</v>
      </c>
      <c r="AZ185">
        <v>2</v>
      </c>
      <c r="BA185">
        <v>2</v>
      </c>
      <c r="BB185">
        <v>2</v>
      </c>
      <c r="BC185">
        <v>2</v>
      </c>
      <c r="BD185">
        <v>2</v>
      </c>
      <c r="BE185">
        <v>2</v>
      </c>
      <c r="BF185">
        <v>2</v>
      </c>
      <c r="BG185">
        <v>2</v>
      </c>
      <c r="BH185">
        <v>2</v>
      </c>
      <c r="BI185">
        <v>2</v>
      </c>
      <c r="BJ185">
        <v>2</v>
      </c>
      <c r="BK185">
        <v>2</v>
      </c>
      <c r="BL185">
        <v>2</v>
      </c>
      <c r="BM185">
        <v>2</v>
      </c>
      <c r="BN185">
        <v>2</v>
      </c>
      <c r="BO185">
        <v>2</v>
      </c>
      <c r="BP185">
        <v>2</v>
      </c>
      <c r="BQ185">
        <v>2</v>
      </c>
      <c r="BR185">
        <v>2</v>
      </c>
      <c r="BS185">
        <v>2</v>
      </c>
      <c r="BT185">
        <v>2</v>
      </c>
      <c r="BU185">
        <v>2</v>
      </c>
      <c r="BV185">
        <v>2</v>
      </c>
      <c r="BW185">
        <v>2</v>
      </c>
      <c r="BX185">
        <v>2</v>
      </c>
      <c r="BY185">
        <v>2</v>
      </c>
      <c r="BZ185">
        <v>2</v>
      </c>
      <c r="CA185">
        <v>2</v>
      </c>
      <c r="CB185">
        <v>2</v>
      </c>
      <c r="CC185">
        <v>2</v>
      </c>
      <c r="CD185">
        <v>2</v>
      </c>
      <c r="CE185">
        <v>2</v>
      </c>
      <c r="CF185">
        <v>2</v>
      </c>
      <c r="CG185">
        <v>2</v>
      </c>
      <c r="CH185">
        <v>2</v>
      </c>
      <c r="CI185">
        <v>2</v>
      </c>
      <c r="CJ185">
        <v>2</v>
      </c>
      <c r="CK185">
        <v>2</v>
      </c>
      <c r="CL185">
        <v>2</v>
      </c>
      <c r="CM185">
        <v>2</v>
      </c>
      <c r="CN185">
        <v>2</v>
      </c>
      <c r="CO185">
        <v>2</v>
      </c>
      <c r="CP185">
        <v>2</v>
      </c>
      <c r="CQ185">
        <v>2</v>
      </c>
      <c r="CR185">
        <v>2</v>
      </c>
      <c r="CS185">
        <v>2</v>
      </c>
      <c r="CT185">
        <v>2</v>
      </c>
      <c r="CU185">
        <v>2</v>
      </c>
      <c r="CV185">
        <v>2</v>
      </c>
      <c r="CW185">
        <v>2</v>
      </c>
      <c r="CX185">
        <v>2</v>
      </c>
      <c r="CY185">
        <v>2</v>
      </c>
      <c r="CZ185">
        <v>2</v>
      </c>
      <c r="DA185">
        <v>2</v>
      </c>
      <c r="DB185">
        <v>2</v>
      </c>
      <c r="DC185">
        <v>2</v>
      </c>
      <c r="DD185">
        <v>2</v>
      </c>
      <c r="DE185">
        <v>2</v>
      </c>
      <c r="DF185">
        <v>2</v>
      </c>
      <c r="DG185">
        <v>2</v>
      </c>
      <c r="DH185">
        <v>2</v>
      </c>
      <c r="DI185">
        <v>2</v>
      </c>
      <c r="DJ185">
        <v>2</v>
      </c>
      <c r="DK185">
        <v>2</v>
      </c>
      <c r="DL185">
        <v>2</v>
      </c>
      <c r="DM185">
        <v>2</v>
      </c>
      <c r="DN185">
        <v>2</v>
      </c>
      <c r="DO185">
        <v>2</v>
      </c>
      <c r="DP185">
        <v>2</v>
      </c>
      <c r="DQ185">
        <v>2</v>
      </c>
      <c r="DR185">
        <v>2</v>
      </c>
      <c r="DS185">
        <v>2</v>
      </c>
      <c r="DT185">
        <v>2</v>
      </c>
      <c r="DU185">
        <v>2</v>
      </c>
      <c r="DV185">
        <v>2</v>
      </c>
      <c r="DW185">
        <v>2</v>
      </c>
      <c r="DX185">
        <v>2</v>
      </c>
      <c r="DY185">
        <v>2</v>
      </c>
      <c r="DZ185">
        <v>2</v>
      </c>
      <c r="EA185">
        <v>2</v>
      </c>
      <c r="EB185">
        <v>2</v>
      </c>
      <c r="EC185">
        <v>2</v>
      </c>
      <c r="ED185">
        <v>2</v>
      </c>
      <c r="EE185">
        <v>2</v>
      </c>
      <c r="EF185">
        <v>2</v>
      </c>
      <c r="EG185">
        <v>2</v>
      </c>
      <c r="EH185">
        <v>2</v>
      </c>
      <c r="EI185">
        <v>2</v>
      </c>
      <c r="EJ185">
        <v>2</v>
      </c>
      <c r="EK185">
        <v>2</v>
      </c>
      <c r="EL185">
        <v>2</v>
      </c>
      <c r="EM185">
        <v>2</v>
      </c>
      <c r="EN185">
        <v>2</v>
      </c>
      <c r="EO185">
        <v>2</v>
      </c>
      <c r="EP185">
        <v>2</v>
      </c>
      <c r="EQ185">
        <v>2</v>
      </c>
      <c r="ER185">
        <v>2</v>
      </c>
      <c r="ES185">
        <v>2</v>
      </c>
      <c r="ET185">
        <v>2</v>
      </c>
      <c r="EU185">
        <v>2</v>
      </c>
      <c r="EV185">
        <v>2</v>
      </c>
      <c r="EW185">
        <v>2</v>
      </c>
      <c r="EX185">
        <v>2</v>
      </c>
      <c r="EY185">
        <v>2</v>
      </c>
      <c r="EZ185">
        <v>2</v>
      </c>
      <c r="FA185">
        <v>2</v>
      </c>
      <c r="FB185">
        <v>2</v>
      </c>
      <c r="FC185">
        <v>2</v>
      </c>
      <c r="FD185">
        <v>2</v>
      </c>
      <c r="FE185">
        <v>2</v>
      </c>
      <c r="FF185">
        <v>2</v>
      </c>
      <c r="FG185">
        <v>2</v>
      </c>
      <c r="FH185">
        <v>2</v>
      </c>
      <c r="FI185">
        <v>2</v>
      </c>
      <c r="FJ185">
        <v>2</v>
      </c>
      <c r="FK185">
        <v>2</v>
      </c>
      <c r="FL185">
        <v>2</v>
      </c>
      <c r="FM185">
        <v>2</v>
      </c>
      <c r="FN185">
        <v>1</v>
      </c>
      <c r="FO185">
        <v>1</v>
      </c>
      <c r="FP185">
        <v>1</v>
      </c>
      <c r="FQ185">
        <v>1</v>
      </c>
      <c r="FR185">
        <v>1</v>
      </c>
      <c r="FS185">
        <v>1</v>
      </c>
      <c r="FT185">
        <v>1</v>
      </c>
      <c r="FU185">
        <v>1</v>
      </c>
      <c r="FV185">
        <v>1</v>
      </c>
      <c r="FW185">
        <v>1</v>
      </c>
      <c r="FX185">
        <v>1</v>
      </c>
      <c r="FY185">
        <v>1</v>
      </c>
      <c r="FZ185">
        <v>1</v>
      </c>
      <c r="GA185">
        <v>1</v>
      </c>
      <c r="GB185">
        <v>1</v>
      </c>
      <c r="GC185">
        <v>1</v>
      </c>
      <c r="GD185">
        <v>1</v>
      </c>
      <c r="GE185">
        <v>1</v>
      </c>
      <c r="GF185">
        <v>1</v>
      </c>
      <c r="GG185">
        <v>1</v>
      </c>
      <c r="GH185">
        <v>1</v>
      </c>
      <c r="GI185">
        <v>1</v>
      </c>
      <c r="GJ185">
        <v>1</v>
      </c>
      <c r="GK185">
        <v>1</v>
      </c>
      <c r="GL185">
        <v>1</v>
      </c>
      <c r="GM185">
        <v>1</v>
      </c>
      <c r="GN185">
        <v>1</v>
      </c>
      <c r="GO185">
        <v>1</v>
      </c>
      <c r="GP185">
        <v>1</v>
      </c>
      <c r="GQ185">
        <v>1</v>
      </c>
      <c r="GR185">
        <v>1</v>
      </c>
      <c r="GS185">
        <v>1</v>
      </c>
      <c r="GT185">
        <v>1</v>
      </c>
      <c r="GU185">
        <v>1</v>
      </c>
      <c r="GV185">
        <v>1</v>
      </c>
      <c r="GW185">
        <v>1</v>
      </c>
      <c r="GX185">
        <v>1</v>
      </c>
      <c r="GY185">
        <v>1</v>
      </c>
      <c r="GZ185">
        <v>1</v>
      </c>
      <c r="HA185">
        <v>1</v>
      </c>
      <c r="HB185">
        <v>1</v>
      </c>
      <c r="HC185">
        <v>1</v>
      </c>
      <c r="HD185">
        <v>2</v>
      </c>
      <c r="HE185">
        <v>2</v>
      </c>
      <c r="HF185">
        <v>2</v>
      </c>
      <c r="HG185">
        <v>2</v>
      </c>
      <c r="HH185">
        <v>2</v>
      </c>
      <c r="HI185">
        <v>2</v>
      </c>
      <c r="HJ185">
        <v>2</v>
      </c>
      <c r="HK185">
        <v>2</v>
      </c>
      <c r="HL185">
        <v>2</v>
      </c>
      <c r="HM185">
        <v>2</v>
      </c>
      <c r="HN185">
        <v>2</v>
      </c>
      <c r="HO185">
        <v>2</v>
      </c>
      <c r="HP185">
        <v>2</v>
      </c>
      <c r="HQ185">
        <v>2</v>
      </c>
      <c r="HR185">
        <v>2</v>
      </c>
      <c r="HS185">
        <v>2</v>
      </c>
      <c r="HT185">
        <v>2</v>
      </c>
      <c r="HU185">
        <v>2</v>
      </c>
      <c r="HV185">
        <v>2</v>
      </c>
      <c r="HW185">
        <v>2</v>
      </c>
      <c r="HX185">
        <v>2</v>
      </c>
      <c r="HY185">
        <v>2</v>
      </c>
      <c r="HZ185">
        <v>2</v>
      </c>
      <c r="IA185">
        <v>2</v>
      </c>
      <c r="IB185">
        <v>2</v>
      </c>
      <c r="IC185">
        <v>2</v>
      </c>
      <c r="ID185">
        <v>2</v>
      </c>
      <c r="IE185">
        <v>2</v>
      </c>
      <c r="IF185">
        <v>2</v>
      </c>
      <c r="IG185">
        <v>2</v>
      </c>
      <c r="IH185">
        <v>2</v>
      </c>
      <c r="II185">
        <v>2</v>
      </c>
      <c r="IJ185">
        <v>2</v>
      </c>
      <c r="IK185">
        <v>2</v>
      </c>
      <c r="IL185">
        <v>2</v>
      </c>
      <c r="IM185">
        <v>2</v>
      </c>
      <c r="IN185">
        <v>2</v>
      </c>
      <c r="IO185">
        <v>2</v>
      </c>
      <c r="IP185">
        <v>2</v>
      </c>
      <c r="IQ185">
        <v>2</v>
      </c>
      <c r="IR185">
        <v>2</v>
      </c>
      <c r="IS185">
        <v>2</v>
      </c>
      <c r="IT185">
        <v>2</v>
      </c>
      <c r="IU185">
        <v>2</v>
      </c>
      <c r="IV185">
        <v>2</v>
      </c>
      <c r="IW185">
        <v>2</v>
      </c>
      <c r="IX185">
        <v>2</v>
      </c>
      <c r="IY185">
        <v>2</v>
      </c>
      <c r="IZ185">
        <v>2</v>
      </c>
      <c r="JA185">
        <v>2</v>
      </c>
      <c r="JB185">
        <v>2</v>
      </c>
      <c r="JC185">
        <v>2</v>
      </c>
      <c r="JD185">
        <v>2</v>
      </c>
      <c r="JE185">
        <v>2</v>
      </c>
      <c r="JF185">
        <v>2</v>
      </c>
      <c r="JG185">
        <v>2</v>
      </c>
      <c r="JH185">
        <v>2</v>
      </c>
      <c r="JI185">
        <v>2</v>
      </c>
      <c r="JJ185">
        <v>2</v>
      </c>
      <c r="JK185">
        <v>2</v>
      </c>
      <c r="JL185">
        <v>1</v>
      </c>
      <c r="JM185">
        <v>1</v>
      </c>
      <c r="JN185">
        <v>1</v>
      </c>
      <c r="JO185">
        <v>1</v>
      </c>
      <c r="JP185">
        <v>1</v>
      </c>
      <c r="JQ185">
        <v>1</v>
      </c>
      <c r="JR185">
        <v>1</v>
      </c>
      <c r="JS185">
        <v>1</v>
      </c>
      <c r="JT185">
        <v>1</v>
      </c>
      <c r="JU185">
        <v>1</v>
      </c>
      <c r="JV185">
        <v>1</v>
      </c>
      <c r="JW185">
        <v>1</v>
      </c>
      <c r="JX185">
        <v>1</v>
      </c>
      <c r="JY185">
        <v>1</v>
      </c>
      <c r="JZ185">
        <v>1</v>
      </c>
      <c r="KA185">
        <v>1</v>
      </c>
      <c r="KB185">
        <v>1</v>
      </c>
      <c r="KC185">
        <v>1</v>
      </c>
      <c r="KD185">
        <v>1</v>
      </c>
      <c r="KE185">
        <v>1</v>
      </c>
      <c r="KF185">
        <v>1</v>
      </c>
      <c r="KG185">
        <v>1</v>
      </c>
      <c r="KH185">
        <v>1</v>
      </c>
      <c r="KI185">
        <v>1</v>
      </c>
      <c r="KJ185">
        <v>1</v>
      </c>
      <c r="KK185">
        <v>1</v>
      </c>
      <c r="KL185">
        <v>1</v>
      </c>
      <c r="KM185">
        <v>1</v>
      </c>
      <c r="KN185">
        <v>1</v>
      </c>
      <c r="KO185">
        <v>1</v>
      </c>
      <c r="KP185">
        <v>1</v>
      </c>
      <c r="KQ185">
        <v>1</v>
      </c>
      <c r="KR185">
        <v>1</v>
      </c>
      <c r="KS185">
        <v>1</v>
      </c>
      <c r="KT185">
        <v>1</v>
      </c>
      <c r="KU185">
        <v>1</v>
      </c>
      <c r="KV185">
        <v>1</v>
      </c>
      <c r="KW185">
        <v>1</v>
      </c>
      <c r="KX185">
        <v>0</v>
      </c>
      <c r="KY185">
        <v>0</v>
      </c>
      <c r="KZ185">
        <v>0</v>
      </c>
      <c r="LA185">
        <v>0</v>
      </c>
      <c r="LB185">
        <v>0</v>
      </c>
      <c r="LC185">
        <v>0</v>
      </c>
      <c r="LD185">
        <v>0</v>
      </c>
      <c r="LE185">
        <v>0</v>
      </c>
      <c r="LF185">
        <v>0</v>
      </c>
      <c r="LG185">
        <v>0</v>
      </c>
      <c r="LH185">
        <v>0</v>
      </c>
      <c r="LI185">
        <v>0</v>
      </c>
      <c r="LJ185">
        <v>0</v>
      </c>
      <c r="LK185">
        <v>0</v>
      </c>
      <c r="LL185">
        <v>0</v>
      </c>
      <c r="LM185">
        <v>0</v>
      </c>
      <c r="LN185">
        <v>0</v>
      </c>
      <c r="LO185">
        <v>0</v>
      </c>
      <c r="LP185">
        <v>0</v>
      </c>
      <c r="LQ185">
        <v>0</v>
      </c>
      <c r="LR185">
        <v>0</v>
      </c>
      <c r="LS185">
        <v>0</v>
      </c>
      <c r="LT185">
        <v>0</v>
      </c>
      <c r="LU185">
        <v>0</v>
      </c>
      <c r="LV185">
        <v>0</v>
      </c>
      <c r="LW185">
        <v>0</v>
      </c>
      <c r="LX185">
        <v>0</v>
      </c>
      <c r="LY185">
        <v>0</v>
      </c>
      <c r="LZ185">
        <v>0</v>
      </c>
      <c r="MA185">
        <v>0</v>
      </c>
      <c r="MB185">
        <v>0</v>
      </c>
      <c r="MC185">
        <v>0</v>
      </c>
      <c r="MD185">
        <v>0</v>
      </c>
      <c r="ME185">
        <v>0</v>
      </c>
      <c r="MF185">
        <v>0</v>
      </c>
      <c r="MG185">
        <v>0</v>
      </c>
      <c r="MH185">
        <v>0</v>
      </c>
      <c r="MI185">
        <v>0</v>
      </c>
      <c r="MJ185">
        <v>0</v>
      </c>
      <c r="MK185">
        <v>0</v>
      </c>
      <c r="ML185">
        <v>0</v>
      </c>
      <c r="MM185">
        <v>0</v>
      </c>
      <c r="MN185">
        <v>0</v>
      </c>
      <c r="MO185">
        <v>0</v>
      </c>
      <c r="MP185">
        <v>0</v>
      </c>
      <c r="MQ185">
        <v>0</v>
      </c>
      <c r="MR185">
        <v>0</v>
      </c>
      <c r="MS185">
        <v>0</v>
      </c>
      <c r="MT185">
        <v>0</v>
      </c>
      <c r="MU185">
        <v>0</v>
      </c>
      <c r="MV185">
        <v>0</v>
      </c>
      <c r="MW185">
        <v>0</v>
      </c>
      <c r="MX185">
        <v>0</v>
      </c>
      <c r="MY185">
        <v>0</v>
      </c>
      <c r="MZ185">
        <v>0</v>
      </c>
      <c r="NA185">
        <v>0</v>
      </c>
      <c r="NB185">
        <v>0</v>
      </c>
      <c r="NC185">
        <v>0</v>
      </c>
      <c r="ND185">
        <v>0</v>
      </c>
      <c r="NE185">
        <v>0</v>
      </c>
      <c r="NF185">
        <v>0</v>
      </c>
      <c r="NG185">
        <v>0</v>
      </c>
      <c r="NH185">
        <v>0</v>
      </c>
      <c r="NI185">
        <v>0</v>
      </c>
      <c r="NJ185">
        <v>0</v>
      </c>
      <c r="NK185">
        <v>0</v>
      </c>
      <c r="NL185">
        <v>0</v>
      </c>
      <c r="NM185">
        <v>0</v>
      </c>
      <c r="NN185">
        <v>0</v>
      </c>
      <c r="NO185">
        <v>0</v>
      </c>
      <c r="NP185">
        <v>0</v>
      </c>
      <c r="NQ185">
        <v>0</v>
      </c>
      <c r="NR185">
        <v>0</v>
      </c>
      <c r="NS185">
        <v>0</v>
      </c>
      <c r="NT185">
        <v>0</v>
      </c>
      <c r="NU185">
        <v>0</v>
      </c>
      <c r="NV185">
        <v>0</v>
      </c>
      <c r="NW185">
        <v>0</v>
      </c>
      <c r="NX185">
        <v>0</v>
      </c>
      <c r="NY185">
        <v>0</v>
      </c>
      <c r="NZ185">
        <v>0</v>
      </c>
      <c r="OA185">
        <v>0</v>
      </c>
      <c r="OB185">
        <v>0</v>
      </c>
      <c r="OC185">
        <v>0</v>
      </c>
      <c r="OD185">
        <v>2</v>
      </c>
      <c r="OE185">
        <v>2</v>
      </c>
      <c r="OF185">
        <v>2</v>
      </c>
      <c r="OG185">
        <v>2</v>
      </c>
      <c r="OH185">
        <v>2</v>
      </c>
      <c r="OI185">
        <v>2</v>
      </c>
      <c r="OJ185">
        <v>2</v>
      </c>
      <c r="OK185">
        <v>2</v>
      </c>
      <c r="OL185">
        <v>2</v>
      </c>
      <c r="OM185">
        <v>2</v>
      </c>
      <c r="ON185">
        <v>2</v>
      </c>
      <c r="OO185">
        <v>2</v>
      </c>
      <c r="OP185">
        <v>2</v>
      </c>
      <c r="OQ185">
        <v>2</v>
      </c>
      <c r="OR185">
        <v>2</v>
      </c>
      <c r="OS185">
        <v>2</v>
      </c>
      <c r="OT185">
        <v>2</v>
      </c>
      <c r="OU185">
        <v>2</v>
      </c>
      <c r="OV185">
        <v>2</v>
      </c>
      <c r="OW185">
        <v>2</v>
      </c>
      <c r="OX185">
        <v>2</v>
      </c>
      <c r="OY185">
        <v>2</v>
      </c>
      <c r="OZ185">
        <v>2</v>
      </c>
      <c r="PA185">
        <v>2</v>
      </c>
      <c r="PB185">
        <v>2</v>
      </c>
      <c r="PC185">
        <v>2</v>
      </c>
      <c r="PD185">
        <v>2</v>
      </c>
      <c r="PE185">
        <v>2</v>
      </c>
      <c r="PF185">
        <v>2</v>
      </c>
      <c r="PG185">
        <v>2</v>
      </c>
      <c r="PH185">
        <v>2</v>
      </c>
      <c r="PI185">
        <v>2</v>
      </c>
      <c r="PJ185">
        <v>2</v>
      </c>
      <c r="PK185">
        <v>2</v>
      </c>
      <c r="PL185">
        <v>2</v>
      </c>
      <c r="PM185">
        <v>2</v>
      </c>
      <c r="PN185">
        <v>2</v>
      </c>
      <c r="PO185">
        <v>2</v>
      </c>
      <c r="PP185">
        <v>2</v>
      </c>
      <c r="PQ185">
        <v>2</v>
      </c>
      <c r="PR185">
        <v>2</v>
      </c>
      <c r="PS185">
        <v>2</v>
      </c>
      <c r="PT185">
        <v>2</v>
      </c>
      <c r="PU185">
        <v>2</v>
      </c>
      <c r="PV185">
        <v>2</v>
      </c>
      <c r="PW185">
        <v>2</v>
      </c>
      <c r="PX185">
        <v>2</v>
      </c>
      <c r="PY185">
        <v>2</v>
      </c>
      <c r="PZ185">
        <v>2</v>
      </c>
      <c r="QA185">
        <v>2</v>
      </c>
      <c r="QB185">
        <v>2</v>
      </c>
      <c r="QC185">
        <v>2</v>
      </c>
      <c r="QD185">
        <v>2</v>
      </c>
      <c r="QE185">
        <v>2</v>
      </c>
      <c r="QF185">
        <v>2</v>
      </c>
      <c r="QG185">
        <v>2</v>
      </c>
      <c r="QH185">
        <v>1</v>
      </c>
      <c r="QI185">
        <v>1</v>
      </c>
      <c r="QJ185">
        <v>1</v>
      </c>
      <c r="QK185">
        <v>1</v>
      </c>
      <c r="QL185">
        <v>1</v>
      </c>
      <c r="QM185">
        <v>1</v>
      </c>
      <c r="QN185">
        <v>1</v>
      </c>
      <c r="QO185">
        <v>1</v>
      </c>
      <c r="QP185">
        <v>1</v>
      </c>
      <c r="QQ185">
        <v>1</v>
      </c>
      <c r="QR185">
        <v>1</v>
      </c>
      <c r="QS185">
        <v>1</v>
      </c>
      <c r="QT185">
        <v>1</v>
      </c>
      <c r="QU185">
        <v>1</v>
      </c>
      <c r="QV185">
        <v>1</v>
      </c>
      <c r="QW185">
        <v>1</v>
      </c>
      <c r="QX185">
        <v>1</v>
      </c>
      <c r="QY185">
        <v>1</v>
      </c>
      <c r="QZ185">
        <v>1</v>
      </c>
      <c r="RA185">
        <v>1</v>
      </c>
      <c r="RB185">
        <v>1</v>
      </c>
      <c r="RC185">
        <v>1</v>
      </c>
      <c r="RD185">
        <v>1</v>
      </c>
      <c r="RE185">
        <v>1</v>
      </c>
      <c r="RF185">
        <v>1</v>
      </c>
      <c r="RG185">
        <v>1</v>
      </c>
      <c r="RH185">
        <v>1</v>
      </c>
      <c r="RI185">
        <v>1</v>
      </c>
      <c r="RJ185">
        <v>1</v>
      </c>
      <c r="RK185">
        <v>1</v>
      </c>
      <c r="RL185">
        <v>1</v>
      </c>
      <c r="RM185">
        <v>1</v>
      </c>
      <c r="RN185">
        <v>1</v>
      </c>
      <c r="RO185">
        <v>1</v>
      </c>
      <c r="RP185">
        <v>1</v>
      </c>
      <c r="RQ185">
        <v>1</v>
      </c>
      <c r="RR185">
        <v>1</v>
      </c>
      <c r="RS185">
        <v>1</v>
      </c>
      <c r="RT185">
        <v>1</v>
      </c>
      <c r="RU185">
        <v>1</v>
      </c>
      <c r="RV185">
        <v>1</v>
      </c>
      <c r="RW185">
        <v>1</v>
      </c>
      <c r="RX185">
        <v>1</v>
      </c>
      <c r="RY185">
        <v>1</v>
      </c>
      <c r="RZ185">
        <v>1</v>
      </c>
      <c r="SA185">
        <v>1</v>
      </c>
      <c r="SB185">
        <v>1</v>
      </c>
      <c r="SC185">
        <v>1</v>
      </c>
      <c r="SD185">
        <v>1</v>
      </c>
      <c r="SE185">
        <v>1</v>
      </c>
      <c r="SF185">
        <v>1</v>
      </c>
      <c r="SG185">
        <v>1</v>
      </c>
      <c r="SH185">
        <v>1</v>
      </c>
      <c r="SI185">
        <v>1</v>
      </c>
      <c r="SJ185">
        <v>1</v>
      </c>
      <c r="SK185">
        <v>1</v>
      </c>
      <c r="SL185">
        <v>2</v>
      </c>
      <c r="SM185">
        <v>2</v>
      </c>
      <c r="SN185">
        <v>2</v>
      </c>
      <c r="SO185">
        <v>2</v>
      </c>
      <c r="SP185">
        <v>2</v>
      </c>
      <c r="SQ185">
        <v>2</v>
      </c>
      <c r="SR185">
        <v>2</v>
      </c>
      <c r="SS185">
        <v>2</v>
      </c>
      <c r="ST185">
        <v>2</v>
      </c>
      <c r="SU185">
        <v>2</v>
      </c>
      <c r="SV185">
        <v>2</v>
      </c>
      <c r="SW185">
        <v>2</v>
      </c>
      <c r="SX185">
        <v>2</v>
      </c>
      <c r="SY185">
        <v>2</v>
      </c>
      <c r="SZ185">
        <v>2</v>
      </c>
      <c r="TA185">
        <v>2</v>
      </c>
      <c r="TB185">
        <v>2</v>
      </c>
      <c r="TC185">
        <v>2</v>
      </c>
      <c r="TD185">
        <v>2</v>
      </c>
      <c r="TE185">
        <v>2</v>
      </c>
      <c r="TF185">
        <v>2</v>
      </c>
      <c r="TG185">
        <v>2</v>
      </c>
      <c r="TH185">
        <v>2</v>
      </c>
      <c r="TI185">
        <v>2</v>
      </c>
      <c r="TJ185">
        <v>2</v>
      </c>
      <c r="TK185">
        <v>2</v>
      </c>
      <c r="TL185">
        <v>2</v>
      </c>
      <c r="TM185">
        <v>2</v>
      </c>
      <c r="TN185">
        <v>2</v>
      </c>
      <c r="TO185">
        <v>2</v>
      </c>
      <c r="TP185">
        <v>2</v>
      </c>
      <c r="TQ185">
        <v>2</v>
      </c>
      <c r="TR185">
        <v>2</v>
      </c>
      <c r="TS185">
        <v>2</v>
      </c>
      <c r="TT185">
        <v>2</v>
      </c>
      <c r="TU185">
        <v>2</v>
      </c>
      <c r="TV185">
        <v>2</v>
      </c>
      <c r="TW185">
        <v>2</v>
      </c>
      <c r="TX185">
        <v>2</v>
      </c>
      <c r="TY185">
        <v>2</v>
      </c>
      <c r="TZ185">
        <v>2</v>
      </c>
      <c r="UA185">
        <v>2</v>
      </c>
      <c r="UB185">
        <v>2</v>
      </c>
      <c r="UC185">
        <v>2</v>
      </c>
      <c r="UD185">
        <v>2</v>
      </c>
      <c r="UE185">
        <v>2</v>
      </c>
      <c r="UF185">
        <v>2</v>
      </c>
      <c r="UG185">
        <v>2</v>
      </c>
      <c r="UH185">
        <v>2</v>
      </c>
      <c r="UI185">
        <v>2</v>
      </c>
      <c r="UJ185">
        <v>2</v>
      </c>
      <c r="UK185">
        <v>2</v>
      </c>
      <c r="UL185">
        <v>2</v>
      </c>
      <c r="UM185">
        <v>2</v>
      </c>
      <c r="UN185">
        <v>2</v>
      </c>
      <c r="UO185">
        <v>2</v>
      </c>
      <c r="UP185">
        <v>2</v>
      </c>
      <c r="UQ185">
        <v>2</v>
      </c>
      <c r="UR185">
        <v>2</v>
      </c>
      <c r="US185">
        <v>2</v>
      </c>
      <c r="UT185">
        <v>2</v>
      </c>
      <c r="UU185">
        <v>2</v>
      </c>
      <c r="UV185">
        <v>2</v>
      </c>
      <c r="UW185">
        <v>2</v>
      </c>
      <c r="UX185">
        <v>2</v>
      </c>
      <c r="UY185">
        <v>2</v>
      </c>
      <c r="UZ185">
        <v>2</v>
      </c>
      <c r="VA185">
        <v>2</v>
      </c>
      <c r="VB185">
        <v>2</v>
      </c>
      <c r="VC185">
        <v>2</v>
      </c>
      <c r="VD185">
        <v>2</v>
      </c>
      <c r="VE185">
        <v>2</v>
      </c>
      <c r="VF185">
        <v>2</v>
      </c>
      <c r="VG185">
        <v>2</v>
      </c>
      <c r="VH185">
        <v>2</v>
      </c>
      <c r="VI185">
        <v>2</v>
      </c>
      <c r="VJ185">
        <v>2</v>
      </c>
      <c r="VK185">
        <v>2</v>
      </c>
      <c r="VL185">
        <v>2</v>
      </c>
      <c r="VM185">
        <v>2</v>
      </c>
      <c r="VN185">
        <v>2</v>
      </c>
      <c r="VO185">
        <v>2</v>
      </c>
      <c r="VP185">
        <v>2</v>
      </c>
      <c r="VQ185">
        <v>2</v>
      </c>
      <c r="VR185">
        <v>2</v>
      </c>
      <c r="VS185">
        <v>2</v>
      </c>
      <c r="VT185">
        <v>2</v>
      </c>
      <c r="VU185">
        <v>2</v>
      </c>
      <c r="VV185">
        <v>2</v>
      </c>
      <c r="VW185">
        <v>2</v>
      </c>
      <c r="VX185">
        <v>2</v>
      </c>
      <c r="VY185">
        <v>2</v>
      </c>
      <c r="VZ185">
        <v>2</v>
      </c>
      <c r="WA185">
        <v>2</v>
      </c>
      <c r="WB185">
        <v>2</v>
      </c>
      <c r="WC185">
        <v>2</v>
      </c>
      <c r="WD185">
        <v>2</v>
      </c>
      <c r="WE185">
        <v>2</v>
      </c>
      <c r="WF185">
        <v>2</v>
      </c>
      <c r="WG185">
        <v>2</v>
      </c>
      <c r="WH185">
        <v>2</v>
      </c>
      <c r="WI185">
        <v>2</v>
      </c>
      <c r="WJ185">
        <v>2</v>
      </c>
      <c r="WK185">
        <v>2</v>
      </c>
      <c r="WL185">
        <v>2</v>
      </c>
      <c r="WM185">
        <v>2</v>
      </c>
      <c r="WN185">
        <v>2</v>
      </c>
      <c r="WO185">
        <v>2</v>
      </c>
      <c r="WP185">
        <v>2</v>
      </c>
      <c r="WQ185">
        <v>2</v>
      </c>
      <c r="WR185">
        <v>2</v>
      </c>
      <c r="WS185">
        <v>2</v>
      </c>
      <c r="WT185">
        <v>2</v>
      </c>
      <c r="WU185">
        <v>2</v>
      </c>
      <c r="WV185">
        <v>2</v>
      </c>
      <c r="WW185">
        <v>2</v>
      </c>
      <c r="WX185">
        <v>2</v>
      </c>
      <c r="WY185">
        <v>2</v>
      </c>
      <c r="WZ185">
        <v>2</v>
      </c>
      <c r="XA185">
        <v>2</v>
      </c>
      <c r="XB185">
        <v>2</v>
      </c>
      <c r="XC185">
        <v>2</v>
      </c>
      <c r="XD185">
        <v>2</v>
      </c>
      <c r="XE185">
        <v>2</v>
      </c>
      <c r="XF185">
        <v>2</v>
      </c>
      <c r="XG185">
        <v>2</v>
      </c>
      <c r="XH185">
        <v>2</v>
      </c>
      <c r="XI185">
        <v>2</v>
      </c>
      <c r="XJ185">
        <v>2</v>
      </c>
      <c r="XK185">
        <v>2</v>
      </c>
      <c r="XL185">
        <v>2</v>
      </c>
      <c r="XM185">
        <v>2</v>
      </c>
      <c r="XN185">
        <v>2</v>
      </c>
      <c r="XO185">
        <v>2</v>
      </c>
      <c r="XP185">
        <v>2</v>
      </c>
      <c r="XQ185">
        <v>2</v>
      </c>
      <c r="XR185">
        <v>2</v>
      </c>
      <c r="XS185">
        <v>2</v>
      </c>
      <c r="XT185">
        <v>2</v>
      </c>
      <c r="XU185">
        <v>2</v>
      </c>
      <c r="XV185">
        <v>2</v>
      </c>
      <c r="XW185">
        <v>2</v>
      </c>
      <c r="XX185">
        <v>2</v>
      </c>
      <c r="XY185">
        <v>2</v>
      </c>
      <c r="XZ185">
        <v>2</v>
      </c>
      <c r="YA185">
        <v>2</v>
      </c>
      <c r="YB185">
        <v>2</v>
      </c>
      <c r="YC185">
        <v>2</v>
      </c>
      <c r="YD185">
        <v>2</v>
      </c>
      <c r="YE185">
        <v>2</v>
      </c>
      <c r="YF185">
        <v>2</v>
      </c>
      <c r="YG185">
        <v>2</v>
      </c>
      <c r="YH185">
        <v>2</v>
      </c>
      <c r="YI185">
        <v>2</v>
      </c>
      <c r="YJ185">
        <v>2</v>
      </c>
      <c r="YK185">
        <v>2</v>
      </c>
      <c r="YL185">
        <v>2</v>
      </c>
      <c r="YM185">
        <v>2</v>
      </c>
      <c r="YN185">
        <v>2</v>
      </c>
      <c r="YO185">
        <v>2</v>
      </c>
      <c r="YP185">
        <v>2</v>
      </c>
      <c r="YQ185">
        <v>2</v>
      </c>
      <c r="YR185">
        <v>2</v>
      </c>
      <c r="YS185">
        <v>2</v>
      </c>
      <c r="YT185">
        <v>2</v>
      </c>
      <c r="YU185">
        <v>2</v>
      </c>
      <c r="YV185">
        <v>2</v>
      </c>
      <c r="YW185">
        <v>2</v>
      </c>
      <c r="YX185">
        <v>2</v>
      </c>
      <c r="YY185">
        <v>2</v>
      </c>
      <c r="YZ185">
        <v>2</v>
      </c>
      <c r="ZA185">
        <v>2</v>
      </c>
      <c r="ZB185">
        <v>2</v>
      </c>
      <c r="ZC185">
        <v>2</v>
      </c>
      <c r="ZD185">
        <v>2</v>
      </c>
      <c r="ZE185">
        <v>2</v>
      </c>
      <c r="ZF185">
        <v>2</v>
      </c>
      <c r="ZG185">
        <v>2</v>
      </c>
      <c r="ZH185">
        <v>2</v>
      </c>
      <c r="ZI185">
        <v>2</v>
      </c>
      <c r="ZJ185">
        <v>2</v>
      </c>
      <c r="ZK185">
        <v>2</v>
      </c>
      <c r="ZL185">
        <v>2</v>
      </c>
      <c r="ZM185">
        <v>2</v>
      </c>
      <c r="ZN185">
        <v>2</v>
      </c>
      <c r="ZO185">
        <v>2</v>
      </c>
      <c r="ZP185">
        <v>2</v>
      </c>
      <c r="ZQ185">
        <v>2</v>
      </c>
      <c r="ZR185">
        <v>2</v>
      </c>
      <c r="ZS185">
        <v>2</v>
      </c>
      <c r="ZT185">
        <v>2</v>
      </c>
      <c r="ZU185">
        <v>2</v>
      </c>
      <c r="ZV185">
        <v>2</v>
      </c>
      <c r="ZW185">
        <v>2</v>
      </c>
      <c r="ZX185">
        <v>2</v>
      </c>
      <c r="ZY185">
        <v>2</v>
      </c>
      <c r="ZZ185">
        <v>2</v>
      </c>
      <c r="AAA185">
        <v>2</v>
      </c>
      <c r="AAB185">
        <v>2</v>
      </c>
      <c r="AAC185">
        <v>2</v>
      </c>
      <c r="AAD185">
        <v>2</v>
      </c>
      <c r="AAE185">
        <v>2</v>
      </c>
      <c r="AAF185">
        <v>2</v>
      </c>
      <c r="AAG185">
        <v>2</v>
      </c>
      <c r="AAH185">
        <v>2</v>
      </c>
      <c r="AAI185">
        <v>2</v>
      </c>
      <c r="AAJ185">
        <v>2</v>
      </c>
      <c r="AAK185">
        <v>2</v>
      </c>
      <c r="AAL185">
        <v>2</v>
      </c>
      <c r="AAM185">
        <v>2</v>
      </c>
      <c r="AAN185">
        <v>2</v>
      </c>
      <c r="AAO185">
        <v>2</v>
      </c>
      <c r="AAP185">
        <v>2</v>
      </c>
      <c r="AAQ185">
        <v>2</v>
      </c>
      <c r="AAR185">
        <v>2</v>
      </c>
      <c r="AAS185">
        <v>2</v>
      </c>
      <c r="AAT185">
        <v>2</v>
      </c>
      <c r="AAU185">
        <v>2</v>
      </c>
      <c r="AAV185">
        <v>2</v>
      </c>
      <c r="AAW185">
        <v>2</v>
      </c>
      <c r="AAX185">
        <v>2</v>
      </c>
      <c r="AAY185">
        <v>2</v>
      </c>
      <c r="AAZ185">
        <v>2</v>
      </c>
      <c r="ABA185">
        <v>2</v>
      </c>
      <c r="ABB185">
        <v>2</v>
      </c>
      <c r="ABC185">
        <v>2</v>
      </c>
      <c r="ABD185">
        <v>2</v>
      </c>
      <c r="ABE185">
        <v>2</v>
      </c>
      <c r="ABG185" s="1137">
        <f t="shared" si="48"/>
        <v>0</v>
      </c>
      <c r="ABH185" s="1137">
        <f t="shared" si="48"/>
        <v>17</v>
      </c>
      <c r="ABI185" s="1137">
        <f t="shared" si="48"/>
        <v>31</v>
      </c>
      <c r="ABJ185" s="1137">
        <f t="shared" si="48"/>
        <v>30</v>
      </c>
      <c r="ABK185" s="1137">
        <f t="shared" si="48"/>
        <v>31</v>
      </c>
      <c r="ABL185" s="1137">
        <f t="shared" si="48"/>
        <v>30</v>
      </c>
      <c r="ABM185" s="1137">
        <f t="shared" si="48"/>
        <v>31</v>
      </c>
      <c r="ABN185" s="1137">
        <f t="shared" si="48"/>
        <v>31</v>
      </c>
      <c r="ABO185" s="1137">
        <f t="shared" si="48"/>
        <v>30</v>
      </c>
      <c r="ABP185" s="1137">
        <f t="shared" si="48"/>
        <v>31</v>
      </c>
      <c r="ABQ185" s="1137">
        <f t="shared" si="48"/>
        <v>2</v>
      </c>
      <c r="ABR185" s="1137">
        <f t="shared" si="48"/>
        <v>0</v>
      </c>
      <c r="ABS185" s="1137">
        <f t="shared" si="48"/>
        <v>6</v>
      </c>
      <c r="ABT185" s="1137">
        <f t="shared" si="48"/>
        <v>28</v>
      </c>
      <c r="ABU185" s="1137">
        <f t="shared" si="48"/>
        <v>31</v>
      </c>
      <c r="ABV185" s="1137">
        <f t="shared" si="48"/>
        <v>30</v>
      </c>
      <c r="ABW185" s="1137">
        <f t="shared" si="49"/>
        <v>31</v>
      </c>
      <c r="ABX185" s="1137">
        <f t="shared" si="49"/>
        <v>30</v>
      </c>
      <c r="ABY185" s="1137">
        <f t="shared" si="49"/>
        <v>31</v>
      </c>
      <c r="ABZ185" s="1137">
        <f t="shared" si="49"/>
        <v>31</v>
      </c>
      <c r="ACA185" s="1137">
        <f t="shared" si="49"/>
        <v>30</v>
      </c>
      <c r="ACB185" s="1137">
        <f t="shared" si="49"/>
        <v>31</v>
      </c>
      <c r="ACC185" s="1137">
        <f t="shared" si="49"/>
        <v>30</v>
      </c>
      <c r="ACD185" s="1137">
        <f t="shared" si="49"/>
        <v>31</v>
      </c>
      <c r="ACE185" s="1137" t="s">
        <v>75</v>
      </c>
      <c r="ACF185" s="1137">
        <f t="shared" si="47"/>
        <v>0</v>
      </c>
      <c r="ACG185" s="1137">
        <f t="shared" si="47"/>
        <v>1</v>
      </c>
      <c r="ACH185" s="1137">
        <f t="shared" si="47"/>
        <v>1</v>
      </c>
      <c r="ACI185" s="1137">
        <f t="shared" si="47"/>
        <v>1</v>
      </c>
      <c r="ACJ185" s="1137">
        <f t="shared" si="47"/>
        <v>1</v>
      </c>
      <c r="ACK185" s="1137">
        <f t="shared" si="47"/>
        <v>1</v>
      </c>
      <c r="ACL185" s="1137">
        <f t="shared" si="47"/>
        <v>1</v>
      </c>
      <c r="ACM185" s="1137">
        <f t="shared" si="47"/>
        <v>1</v>
      </c>
      <c r="ACN185" s="1137">
        <f t="shared" si="47"/>
        <v>1</v>
      </c>
      <c r="ACO185" s="1137">
        <f t="shared" si="47"/>
        <v>1</v>
      </c>
      <c r="ACP185" s="1137">
        <f t="shared" si="47"/>
        <v>0</v>
      </c>
      <c r="ACQ185" s="1137">
        <f t="shared" si="47"/>
        <v>0</v>
      </c>
      <c r="ACR185" s="1137">
        <f t="shared" si="47"/>
        <v>0</v>
      </c>
      <c r="ACS185" s="1137">
        <f t="shared" si="47"/>
        <v>1</v>
      </c>
      <c r="ACT185" s="1137">
        <f t="shared" si="43"/>
        <v>1</v>
      </c>
      <c r="ACU185" s="1137">
        <f t="shared" si="43"/>
        <v>1</v>
      </c>
      <c r="ACV185" s="1137">
        <f t="shared" si="43"/>
        <v>1</v>
      </c>
      <c r="ACW185" s="1137">
        <f t="shared" si="43"/>
        <v>1</v>
      </c>
      <c r="ACX185" s="1137">
        <f t="shared" si="42"/>
        <v>1</v>
      </c>
      <c r="ACY185" s="1137">
        <f t="shared" si="42"/>
        <v>1</v>
      </c>
      <c r="ACZ185" s="1137">
        <f t="shared" si="42"/>
        <v>1</v>
      </c>
      <c r="ADA185" s="1137">
        <f t="shared" si="35"/>
        <v>1</v>
      </c>
      <c r="ADB185" s="1137">
        <f t="shared" si="35"/>
        <v>1</v>
      </c>
      <c r="ADC185" s="1137">
        <f t="shared" si="35"/>
        <v>1</v>
      </c>
    </row>
    <row r="186" spans="1:783" x14ac:dyDescent="0.25">
      <c r="A186" t="s">
        <v>1985</v>
      </c>
      <c r="B186" t="s">
        <v>278</v>
      </c>
      <c r="C186">
        <v>0</v>
      </c>
      <c r="D186">
        <v>0</v>
      </c>
      <c r="E186">
        <v>0</v>
      </c>
      <c r="F186">
        <v>0</v>
      </c>
      <c r="G186">
        <v>0</v>
      </c>
      <c r="H186">
        <v>0</v>
      </c>
      <c r="I186">
        <v>0</v>
      </c>
      <c r="J186">
        <v>0</v>
      </c>
      <c r="K186">
        <v>0</v>
      </c>
      <c r="L186">
        <v>0</v>
      </c>
      <c r="M186">
        <v>0</v>
      </c>
      <c r="N186">
        <v>0</v>
      </c>
      <c r="O186">
        <v>0</v>
      </c>
      <c r="P186">
        <v>0</v>
      </c>
      <c r="Q186">
        <v>0</v>
      </c>
      <c r="R186">
        <v>0</v>
      </c>
      <c r="S186">
        <v>0</v>
      </c>
      <c r="T186">
        <v>0</v>
      </c>
      <c r="U186">
        <v>0</v>
      </c>
      <c r="V186">
        <v>0</v>
      </c>
      <c r="W186">
        <v>0</v>
      </c>
      <c r="X186">
        <v>0</v>
      </c>
      <c r="Y186">
        <v>0</v>
      </c>
      <c r="Z186">
        <v>0</v>
      </c>
      <c r="AA186">
        <v>0</v>
      </c>
      <c r="AB186">
        <v>0</v>
      </c>
      <c r="AC186">
        <v>0</v>
      </c>
      <c r="AD186">
        <v>0</v>
      </c>
      <c r="AE186">
        <v>0</v>
      </c>
      <c r="AF186">
        <v>0</v>
      </c>
      <c r="AG186">
        <v>0</v>
      </c>
      <c r="AH186">
        <v>0</v>
      </c>
      <c r="AI186">
        <v>0</v>
      </c>
      <c r="AJ186">
        <v>0</v>
      </c>
      <c r="AK186">
        <v>0</v>
      </c>
      <c r="AL186">
        <v>0</v>
      </c>
      <c r="AM186">
        <v>0</v>
      </c>
      <c r="AN186">
        <v>0</v>
      </c>
      <c r="AO186">
        <v>0</v>
      </c>
      <c r="AP186">
        <v>0</v>
      </c>
      <c r="AQ186">
        <v>0</v>
      </c>
      <c r="AR186">
        <v>0</v>
      </c>
      <c r="AS186">
        <v>0</v>
      </c>
      <c r="AT186">
        <v>0</v>
      </c>
      <c r="AU186">
        <v>0</v>
      </c>
      <c r="AV186">
        <v>0</v>
      </c>
      <c r="AW186">
        <v>0</v>
      </c>
      <c r="AX186">
        <v>0</v>
      </c>
      <c r="AY186">
        <v>0</v>
      </c>
      <c r="AZ186">
        <v>0</v>
      </c>
      <c r="BA186">
        <v>0</v>
      </c>
      <c r="BB186">
        <v>0</v>
      </c>
      <c r="BC186">
        <v>0</v>
      </c>
      <c r="BD186">
        <v>0</v>
      </c>
      <c r="BE186">
        <v>0</v>
      </c>
      <c r="BF186">
        <v>0</v>
      </c>
      <c r="BG186">
        <v>0</v>
      </c>
      <c r="BH186">
        <v>0</v>
      </c>
      <c r="BI186">
        <v>0</v>
      </c>
      <c r="BJ186">
        <v>0</v>
      </c>
      <c r="BK186">
        <v>0</v>
      </c>
      <c r="BL186">
        <v>0</v>
      </c>
      <c r="BM186">
        <v>0</v>
      </c>
      <c r="BN186">
        <v>0</v>
      </c>
      <c r="BO186">
        <v>0</v>
      </c>
      <c r="BP186">
        <v>0</v>
      </c>
      <c r="BQ186">
        <v>0</v>
      </c>
      <c r="BR186">
        <v>0</v>
      </c>
      <c r="BS186">
        <v>0</v>
      </c>
      <c r="BT186">
        <v>0</v>
      </c>
      <c r="BU186">
        <v>0</v>
      </c>
      <c r="BV186">
        <v>0</v>
      </c>
      <c r="BW186">
        <v>0</v>
      </c>
      <c r="BX186">
        <v>0</v>
      </c>
      <c r="BY186">
        <v>0</v>
      </c>
      <c r="BZ186">
        <v>0</v>
      </c>
      <c r="CA186">
        <v>0</v>
      </c>
      <c r="CB186">
        <v>0</v>
      </c>
      <c r="CC186">
        <v>0</v>
      </c>
      <c r="CD186">
        <v>0</v>
      </c>
      <c r="CE186">
        <v>0</v>
      </c>
      <c r="CF186">
        <v>0</v>
      </c>
      <c r="CG186">
        <v>0</v>
      </c>
      <c r="CH186">
        <v>0</v>
      </c>
      <c r="CI186">
        <v>0</v>
      </c>
      <c r="CJ186">
        <v>2</v>
      </c>
      <c r="CK186">
        <v>2</v>
      </c>
      <c r="CL186">
        <v>2</v>
      </c>
      <c r="CM186">
        <v>2</v>
      </c>
      <c r="CN186">
        <v>2</v>
      </c>
      <c r="CO186">
        <v>2</v>
      </c>
      <c r="CP186">
        <v>2</v>
      </c>
      <c r="CQ186">
        <v>2</v>
      </c>
      <c r="CR186">
        <v>2</v>
      </c>
      <c r="CS186">
        <v>2</v>
      </c>
      <c r="CT186">
        <v>2</v>
      </c>
      <c r="CU186">
        <v>2</v>
      </c>
      <c r="CV186">
        <v>2</v>
      </c>
      <c r="CW186">
        <v>2</v>
      </c>
      <c r="CX186">
        <v>2</v>
      </c>
      <c r="CY186">
        <v>2</v>
      </c>
      <c r="CZ186">
        <v>1</v>
      </c>
      <c r="DA186">
        <v>1</v>
      </c>
      <c r="DB186">
        <v>1</v>
      </c>
      <c r="DC186">
        <v>1</v>
      </c>
      <c r="DD186">
        <v>1</v>
      </c>
      <c r="DE186">
        <v>1</v>
      </c>
      <c r="DF186">
        <v>1</v>
      </c>
      <c r="DG186">
        <v>1</v>
      </c>
      <c r="DH186">
        <v>1</v>
      </c>
      <c r="DI186">
        <v>1</v>
      </c>
      <c r="DJ186">
        <v>1</v>
      </c>
      <c r="DK186">
        <v>1</v>
      </c>
      <c r="DL186">
        <v>1</v>
      </c>
      <c r="DM186">
        <v>1</v>
      </c>
      <c r="DN186">
        <v>1</v>
      </c>
      <c r="DO186">
        <v>1</v>
      </c>
      <c r="DP186">
        <v>1</v>
      </c>
      <c r="DQ186">
        <v>1</v>
      </c>
      <c r="DR186">
        <v>1</v>
      </c>
      <c r="DS186">
        <v>1</v>
      </c>
      <c r="DT186">
        <v>1</v>
      </c>
      <c r="DU186">
        <v>1</v>
      </c>
      <c r="DV186">
        <v>1</v>
      </c>
      <c r="DW186">
        <v>1</v>
      </c>
      <c r="DX186">
        <v>1</v>
      </c>
      <c r="DY186">
        <v>1</v>
      </c>
      <c r="DZ186">
        <v>1</v>
      </c>
      <c r="EA186">
        <v>1</v>
      </c>
      <c r="EB186">
        <v>1</v>
      </c>
      <c r="EC186">
        <v>1</v>
      </c>
      <c r="ED186">
        <v>1</v>
      </c>
      <c r="EE186">
        <v>1</v>
      </c>
      <c r="EF186">
        <v>1</v>
      </c>
      <c r="EG186">
        <v>1</v>
      </c>
      <c r="EH186">
        <v>1</v>
      </c>
      <c r="EI186">
        <v>1</v>
      </c>
      <c r="EJ186">
        <v>1</v>
      </c>
      <c r="EK186">
        <v>1</v>
      </c>
      <c r="EL186">
        <v>1</v>
      </c>
      <c r="EM186">
        <v>1</v>
      </c>
      <c r="EN186">
        <v>1</v>
      </c>
      <c r="EO186">
        <v>1</v>
      </c>
      <c r="EP186">
        <v>1</v>
      </c>
      <c r="EQ186">
        <v>1</v>
      </c>
      <c r="ER186">
        <v>1</v>
      </c>
      <c r="ES186">
        <v>1</v>
      </c>
      <c r="ET186">
        <v>1</v>
      </c>
      <c r="EU186">
        <v>1</v>
      </c>
      <c r="EV186">
        <v>1</v>
      </c>
      <c r="EW186">
        <v>1</v>
      </c>
      <c r="EX186">
        <v>1</v>
      </c>
      <c r="EY186">
        <v>1</v>
      </c>
      <c r="EZ186">
        <v>1</v>
      </c>
      <c r="FA186">
        <v>1</v>
      </c>
      <c r="FB186">
        <v>1</v>
      </c>
      <c r="FC186">
        <v>1</v>
      </c>
      <c r="FD186">
        <v>1</v>
      </c>
      <c r="FE186">
        <v>1</v>
      </c>
      <c r="FF186">
        <v>1</v>
      </c>
      <c r="FG186">
        <v>1</v>
      </c>
      <c r="FH186">
        <v>1</v>
      </c>
      <c r="FI186">
        <v>1</v>
      </c>
      <c r="FJ186">
        <v>1</v>
      </c>
      <c r="FK186">
        <v>1</v>
      </c>
      <c r="FL186">
        <v>1</v>
      </c>
      <c r="FM186">
        <v>1</v>
      </c>
      <c r="FN186">
        <v>1</v>
      </c>
      <c r="FO186">
        <v>1</v>
      </c>
      <c r="FP186">
        <v>1</v>
      </c>
      <c r="FQ186">
        <v>1</v>
      </c>
      <c r="FR186">
        <v>1</v>
      </c>
      <c r="FS186">
        <v>1</v>
      </c>
      <c r="FT186">
        <v>1</v>
      </c>
      <c r="FU186">
        <v>1</v>
      </c>
      <c r="FV186">
        <v>1</v>
      </c>
      <c r="FW186">
        <v>1</v>
      </c>
      <c r="FX186">
        <v>1</v>
      </c>
      <c r="FY186">
        <v>1</v>
      </c>
      <c r="FZ186">
        <v>1</v>
      </c>
      <c r="GA186">
        <v>1</v>
      </c>
      <c r="GB186">
        <v>1</v>
      </c>
      <c r="GC186">
        <v>1</v>
      </c>
      <c r="GD186">
        <v>1</v>
      </c>
      <c r="GE186">
        <v>1</v>
      </c>
      <c r="GF186">
        <v>1</v>
      </c>
      <c r="GG186">
        <v>1</v>
      </c>
      <c r="GH186">
        <v>1</v>
      </c>
      <c r="GI186">
        <v>1</v>
      </c>
      <c r="GJ186">
        <v>1</v>
      </c>
      <c r="GK186">
        <v>1</v>
      </c>
      <c r="GL186">
        <v>1</v>
      </c>
      <c r="GM186">
        <v>0</v>
      </c>
      <c r="GN186">
        <v>0</v>
      </c>
      <c r="GO186">
        <v>0</v>
      </c>
      <c r="GP186">
        <v>0</v>
      </c>
      <c r="GQ186">
        <v>0</v>
      </c>
      <c r="GR186">
        <v>0</v>
      </c>
      <c r="GS186">
        <v>0</v>
      </c>
      <c r="GT186">
        <v>0</v>
      </c>
      <c r="GU186">
        <v>0</v>
      </c>
      <c r="GV186">
        <v>0</v>
      </c>
      <c r="GW186">
        <v>0</v>
      </c>
      <c r="GX186">
        <v>0</v>
      </c>
      <c r="GY186">
        <v>0</v>
      </c>
      <c r="GZ186">
        <v>0</v>
      </c>
      <c r="HA186">
        <v>0</v>
      </c>
      <c r="HB186">
        <v>0</v>
      </c>
      <c r="HC186">
        <v>0</v>
      </c>
      <c r="HD186">
        <v>0</v>
      </c>
      <c r="HE186">
        <v>0</v>
      </c>
      <c r="HF186">
        <v>0</v>
      </c>
      <c r="HG186">
        <v>0</v>
      </c>
      <c r="HH186">
        <v>0</v>
      </c>
      <c r="HI186">
        <v>0</v>
      </c>
      <c r="HJ186">
        <v>0</v>
      </c>
      <c r="HK186">
        <v>0</v>
      </c>
      <c r="HL186">
        <v>0</v>
      </c>
      <c r="HM186">
        <v>0</v>
      </c>
      <c r="HN186">
        <v>0</v>
      </c>
      <c r="HO186">
        <v>0</v>
      </c>
      <c r="HP186">
        <v>0</v>
      </c>
      <c r="HQ186">
        <v>0</v>
      </c>
      <c r="HR186">
        <v>0</v>
      </c>
      <c r="HS186">
        <v>0</v>
      </c>
      <c r="HT186">
        <v>0</v>
      </c>
      <c r="HU186">
        <v>0</v>
      </c>
      <c r="HV186">
        <v>0</v>
      </c>
      <c r="HW186">
        <v>0</v>
      </c>
      <c r="HX186">
        <v>0</v>
      </c>
      <c r="HY186">
        <v>0</v>
      </c>
      <c r="HZ186">
        <v>0</v>
      </c>
      <c r="IA186">
        <v>0</v>
      </c>
      <c r="IB186">
        <v>0</v>
      </c>
      <c r="IC186">
        <v>0</v>
      </c>
      <c r="ID186">
        <v>0</v>
      </c>
      <c r="IE186">
        <v>0</v>
      </c>
      <c r="IF186">
        <v>0</v>
      </c>
      <c r="IG186">
        <v>0</v>
      </c>
      <c r="IH186">
        <v>0</v>
      </c>
      <c r="II186">
        <v>0</v>
      </c>
      <c r="IJ186">
        <v>0</v>
      </c>
      <c r="IK186">
        <v>0</v>
      </c>
      <c r="IL186">
        <v>0</v>
      </c>
      <c r="IM186">
        <v>0</v>
      </c>
      <c r="IN186">
        <v>0</v>
      </c>
      <c r="IO186">
        <v>0</v>
      </c>
      <c r="IP186">
        <v>0</v>
      </c>
      <c r="IQ186">
        <v>0</v>
      </c>
      <c r="IR186">
        <v>0</v>
      </c>
      <c r="IS186">
        <v>0</v>
      </c>
      <c r="IT186">
        <v>0</v>
      </c>
      <c r="IU186">
        <v>0</v>
      </c>
      <c r="IV186">
        <v>0</v>
      </c>
      <c r="IW186">
        <v>0</v>
      </c>
      <c r="IX186">
        <v>0</v>
      </c>
      <c r="IY186">
        <v>0</v>
      </c>
      <c r="IZ186">
        <v>0</v>
      </c>
      <c r="JA186">
        <v>0</v>
      </c>
      <c r="JB186">
        <v>0</v>
      </c>
      <c r="JC186">
        <v>0</v>
      </c>
      <c r="JD186">
        <v>0</v>
      </c>
      <c r="JE186">
        <v>0</v>
      </c>
      <c r="JF186">
        <v>0</v>
      </c>
      <c r="JG186">
        <v>0</v>
      </c>
      <c r="JH186">
        <v>0</v>
      </c>
      <c r="JI186">
        <v>0</v>
      </c>
      <c r="JJ186">
        <v>0</v>
      </c>
      <c r="JK186">
        <v>0</v>
      </c>
      <c r="JL186">
        <v>0</v>
      </c>
      <c r="JM186">
        <v>0</v>
      </c>
      <c r="JN186">
        <v>0</v>
      </c>
      <c r="JO186">
        <v>0</v>
      </c>
      <c r="JP186">
        <v>0</v>
      </c>
      <c r="JQ186">
        <v>0</v>
      </c>
      <c r="JR186">
        <v>0</v>
      </c>
      <c r="JS186">
        <v>0</v>
      </c>
      <c r="JT186">
        <v>0</v>
      </c>
      <c r="JU186">
        <v>0</v>
      </c>
      <c r="JV186">
        <v>0</v>
      </c>
      <c r="JW186">
        <v>0</v>
      </c>
      <c r="JX186">
        <v>0</v>
      </c>
      <c r="JY186">
        <v>0</v>
      </c>
      <c r="JZ186">
        <v>0</v>
      </c>
      <c r="KA186">
        <v>0</v>
      </c>
      <c r="KB186">
        <v>0</v>
      </c>
      <c r="KC186">
        <v>0</v>
      </c>
      <c r="KD186">
        <v>0</v>
      </c>
      <c r="KE186">
        <v>0</v>
      </c>
      <c r="KF186">
        <v>0</v>
      </c>
      <c r="KG186">
        <v>0</v>
      </c>
      <c r="KH186">
        <v>0</v>
      </c>
      <c r="KI186">
        <v>0</v>
      </c>
      <c r="KJ186">
        <v>0</v>
      </c>
      <c r="KK186">
        <v>0</v>
      </c>
      <c r="KL186">
        <v>0</v>
      </c>
      <c r="KM186">
        <v>0</v>
      </c>
      <c r="KN186">
        <v>0</v>
      </c>
      <c r="KO186">
        <v>0</v>
      </c>
      <c r="KP186">
        <v>0</v>
      </c>
      <c r="KQ186">
        <v>0</v>
      </c>
      <c r="KR186">
        <v>0</v>
      </c>
      <c r="KS186">
        <v>0</v>
      </c>
      <c r="KT186">
        <v>0</v>
      </c>
      <c r="KU186">
        <v>0</v>
      </c>
      <c r="KV186">
        <v>0</v>
      </c>
      <c r="KW186">
        <v>0</v>
      </c>
      <c r="KX186">
        <v>0</v>
      </c>
      <c r="KY186">
        <v>0</v>
      </c>
      <c r="KZ186">
        <v>0</v>
      </c>
      <c r="LA186">
        <v>0</v>
      </c>
      <c r="LB186">
        <v>0</v>
      </c>
      <c r="LC186">
        <v>0</v>
      </c>
      <c r="LD186">
        <v>0</v>
      </c>
      <c r="LE186">
        <v>0</v>
      </c>
      <c r="LF186">
        <v>0</v>
      </c>
      <c r="LG186">
        <v>2</v>
      </c>
      <c r="LH186">
        <v>2</v>
      </c>
      <c r="LI186">
        <v>2</v>
      </c>
      <c r="LJ186">
        <v>2</v>
      </c>
      <c r="LK186">
        <v>2</v>
      </c>
      <c r="LL186">
        <v>2</v>
      </c>
      <c r="LM186">
        <v>2</v>
      </c>
      <c r="LN186">
        <v>2</v>
      </c>
      <c r="LO186">
        <v>2</v>
      </c>
      <c r="LP186">
        <v>2</v>
      </c>
      <c r="LQ186">
        <v>2</v>
      </c>
      <c r="LR186">
        <v>2</v>
      </c>
      <c r="LS186">
        <v>2</v>
      </c>
      <c r="LT186">
        <v>2</v>
      </c>
      <c r="LU186">
        <v>2</v>
      </c>
      <c r="LV186">
        <v>2</v>
      </c>
      <c r="LW186">
        <v>2</v>
      </c>
      <c r="LX186">
        <v>2</v>
      </c>
      <c r="LY186">
        <v>2</v>
      </c>
      <c r="LZ186">
        <v>2</v>
      </c>
      <c r="MA186">
        <v>2</v>
      </c>
      <c r="MB186">
        <v>2</v>
      </c>
      <c r="MC186">
        <v>2</v>
      </c>
      <c r="MD186">
        <v>2</v>
      </c>
      <c r="ME186">
        <v>2</v>
      </c>
      <c r="MF186">
        <v>2</v>
      </c>
      <c r="MG186">
        <v>2</v>
      </c>
      <c r="MH186">
        <v>2</v>
      </c>
      <c r="MI186">
        <v>2</v>
      </c>
      <c r="MJ186">
        <v>2</v>
      </c>
      <c r="MK186">
        <v>2</v>
      </c>
      <c r="ML186">
        <v>2</v>
      </c>
      <c r="MM186">
        <v>2</v>
      </c>
      <c r="MN186">
        <v>2</v>
      </c>
      <c r="MO186">
        <v>2</v>
      </c>
      <c r="MP186">
        <v>2</v>
      </c>
      <c r="MQ186">
        <v>2</v>
      </c>
      <c r="MR186">
        <v>2</v>
      </c>
      <c r="MS186">
        <v>2</v>
      </c>
      <c r="MT186">
        <v>2</v>
      </c>
      <c r="MU186">
        <v>2</v>
      </c>
      <c r="MV186">
        <v>2</v>
      </c>
      <c r="MW186">
        <v>2</v>
      </c>
      <c r="MX186">
        <v>2</v>
      </c>
      <c r="MY186">
        <v>2</v>
      </c>
      <c r="MZ186">
        <v>2</v>
      </c>
      <c r="NA186">
        <v>2</v>
      </c>
      <c r="NB186">
        <v>2</v>
      </c>
      <c r="NC186">
        <v>0</v>
      </c>
      <c r="ND186">
        <v>0</v>
      </c>
      <c r="NE186">
        <v>0</v>
      </c>
      <c r="NF186">
        <v>0</v>
      </c>
      <c r="NG186">
        <v>0</v>
      </c>
      <c r="NH186">
        <v>0</v>
      </c>
      <c r="NI186">
        <v>0</v>
      </c>
      <c r="NJ186">
        <v>0</v>
      </c>
      <c r="NK186">
        <v>0</v>
      </c>
      <c r="NL186">
        <v>0</v>
      </c>
      <c r="NM186">
        <v>0</v>
      </c>
      <c r="NN186">
        <v>0</v>
      </c>
      <c r="NO186">
        <v>0</v>
      </c>
      <c r="NP186">
        <v>0</v>
      </c>
      <c r="NQ186">
        <v>0</v>
      </c>
      <c r="NR186">
        <v>0</v>
      </c>
      <c r="NS186">
        <v>0</v>
      </c>
      <c r="NT186">
        <v>0</v>
      </c>
      <c r="NU186">
        <v>0</v>
      </c>
      <c r="NV186">
        <v>0</v>
      </c>
      <c r="NW186">
        <v>0</v>
      </c>
      <c r="NX186">
        <v>0</v>
      </c>
      <c r="NY186">
        <v>0</v>
      </c>
      <c r="NZ186">
        <v>0</v>
      </c>
      <c r="OA186">
        <v>0</v>
      </c>
      <c r="OB186">
        <v>0</v>
      </c>
      <c r="OC186">
        <v>0</v>
      </c>
      <c r="OD186">
        <v>0</v>
      </c>
      <c r="OE186">
        <v>0</v>
      </c>
      <c r="OF186">
        <v>0</v>
      </c>
      <c r="OG186">
        <v>0</v>
      </c>
      <c r="OH186">
        <v>0</v>
      </c>
      <c r="OI186">
        <v>0</v>
      </c>
      <c r="OJ186">
        <v>0</v>
      </c>
      <c r="OK186">
        <v>0</v>
      </c>
      <c r="OL186">
        <v>0</v>
      </c>
      <c r="OM186">
        <v>0</v>
      </c>
      <c r="ON186">
        <v>0</v>
      </c>
      <c r="OO186">
        <v>0</v>
      </c>
      <c r="OP186">
        <v>0</v>
      </c>
      <c r="OQ186">
        <v>0</v>
      </c>
      <c r="OR186">
        <v>0</v>
      </c>
      <c r="OS186">
        <v>0</v>
      </c>
      <c r="OT186">
        <v>0</v>
      </c>
      <c r="OU186">
        <v>0</v>
      </c>
      <c r="OV186">
        <v>0</v>
      </c>
      <c r="OW186">
        <v>0</v>
      </c>
      <c r="OX186">
        <v>0</v>
      </c>
      <c r="OY186">
        <v>0</v>
      </c>
      <c r="OZ186">
        <v>0</v>
      </c>
      <c r="PA186">
        <v>0</v>
      </c>
      <c r="PB186">
        <v>0</v>
      </c>
      <c r="PC186">
        <v>0</v>
      </c>
      <c r="PD186">
        <v>0</v>
      </c>
      <c r="PE186">
        <v>0</v>
      </c>
      <c r="PF186">
        <v>0</v>
      </c>
      <c r="PG186">
        <v>0</v>
      </c>
      <c r="PH186">
        <v>0</v>
      </c>
      <c r="PI186">
        <v>0</v>
      </c>
      <c r="PJ186">
        <v>0</v>
      </c>
      <c r="PK186">
        <v>0</v>
      </c>
      <c r="PL186">
        <v>0</v>
      </c>
      <c r="PM186">
        <v>0</v>
      </c>
      <c r="PN186">
        <v>0</v>
      </c>
      <c r="PO186">
        <v>0</v>
      </c>
      <c r="PP186">
        <v>0</v>
      </c>
      <c r="PQ186">
        <v>0</v>
      </c>
      <c r="PR186">
        <v>0</v>
      </c>
      <c r="PS186">
        <v>0</v>
      </c>
      <c r="PT186">
        <v>0</v>
      </c>
      <c r="PU186">
        <v>0</v>
      </c>
      <c r="PV186">
        <v>0</v>
      </c>
      <c r="PW186">
        <v>0</v>
      </c>
      <c r="PX186">
        <v>0</v>
      </c>
      <c r="PY186">
        <v>0</v>
      </c>
      <c r="PZ186">
        <v>0</v>
      </c>
      <c r="QA186">
        <v>0</v>
      </c>
      <c r="QB186">
        <v>0</v>
      </c>
      <c r="QC186">
        <v>0</v>
      </c>
      <c r="QD186">
        <v>0</v>
      </c>
      <c r="QE186">
        <v>0</v>
      </c>
      <c r="QF186">
        <v>0</v>
      </c>
      <c r="QG186">
        <v>0</v>
      </c>
      <c r="QH186">
        <v>0</v>
      </c>
      <c r="QI186">
        <v>0</v>
      </c>
      <c r="QJ186">
        <v>0</v>
      </c>
      <c r="QK186">
        <v>0</v>
      </c>
      <c r="QL186">
        <v>0</v>
      </c>
      <c r="QM186">
        <v>0</v>
      </c>
      <c r="QN186">
        <v>0</v>
      </c>
      <c r="QO186">
        <v>0</v>
      </c>
      <c r="QP186">
        <v>0</v>
      </c>
      <c r="QQ186">
        <v>0</v>
      </c>
      <c r="QR186">
        <v>0</v>
      </c>
      <c r="QS186">
        <v>0</v>
      </c>
      <c r="QT186">
        <v>0</v>
      </c>
      <c r="QU186">
        <v>0</v>
      </c>
      <c r="QV186">
        <v>0</v>
      </c>
      <c r="QW186">
        <v>0</v>
      </c>
      <c r="QX186">
        <v>0</v>
      </c>
      <c r="QY186">
        <v>0</v>
      </c>
      <c r="QZ186">
        <v>0</v>
      </c>
      <c r="RA186">
        <v>0</v>
      </c>
      <c r="RB186">
        <v>0</v>
      </c>
      <c r="RC186">
        <v>0</v>
      </c>
      <c r="RD186">
        <v>0</v>
      </c>
      <c r="RE186">
        <v>0</v>
      </c>
      <c r="RF186">
        <v>0</v>
      </c>
      <c r="RG186">
        <v>0</v>
      </c>
      <c r="RH186">
        <v>0</v>
      </c>
      <c r="RI186">
        <v>0</v>
      </c>
      <c r="RJ186">
        <v>0</v>
      </c>
      <c r="RK186">
        <v>0</v>
      </c>
      <c r="RL186">
        <v>0</v>
      </c>
      <c r="RM186">
        <v>0</v>
      </c>
      <c r="RN186">
        <v>0</v>
      </c>
      <c r="RO186">
        <v>0</v>
      </c>
      <c r="RP186">
        <v>0</v>
      </c>
      <c r="RQ186">
        <v>0</v>
      </c>
      <c r="RR186">
        <v>0</v>
      </c>
      <c r="RS186">
        <v>0</v>
      </c>
      <c r="RT186">
        <v>0</v>
      </c>
      <c r="RU186">
        <v>0</v>
      </c>
      <c r="RV186">
        <v>0</v>
      </c>
      <c r="RW186">
        <v>0</v>
      </c>
      <c r="RX186">
        <v>0</v>
      </c>
      <c r="RY186">
        <v>0</v>
      </c>
      <c r="RZ186">
        <v>0</v>
      </c>
      <c r="SA186">
        <v>0</v>
      </c>
      <c r="SB186">
        <v>0</v>
      </c>
      <c r="SC186">
        <v>0</v>
      </c>
      <c r="SD186">
        <v>0</v>
      </c>
      <c r="SE186">
        <v>0</v>
      </c>
      <c r="SF186">
        <v>0</v>
      </c>
      <c r="SG186">
        <v>0</v>
      </c>
      <c r="SH186">
        <v>0</v>
      </c>
      <c r="SI186">
        <v>0</v>
      </c>
      <c r="SJ186">
        <v>0</v>
      </c>
      <c r="SK186">
        <v>0</v>
      </c>
      <c r="SL186">
        <v>0</v>
      </c>
      <c r="SM186">
        <v>0</v>
      </c>
      <c r="SN186">
        <v>0</v>
      </c>
      <c r="SO186">
        <v>0</v>
      </c>
      <c r="SP186">
        <v>0</v>
      </c>
      <c r="SQ186">
        <v>0</v>
      </c>
      <c r="SR186">
        <v>0</v>
      </c>
      <c r="SS186">
        <v>0</v>
      </c>
      <c r="ST186">
        <v>0</v>
      </c>
      <c r="SU186">
        <v>0</v>
      </c>
      <c r="SV186">
        <v>0</v>
      </c>
      <c r="SW186">
        <v>0</v>
      </c>
      <c r="SX186">
        <v>0</v>
      </c>
      <c r="SY186">
        <v>0</v>
      </c>
      <c r="SZ186">
        <v>0</v>
      </c>
      <c r="TA186">
        <v>0</v>
      </c>
      <c r="TB186">
        <v>0</v>
      </c>
      <c r="TC186">
        <v>0</v>
      </c>
      <c r="TD186">
        <v>0</v>
      </c>
      <c r="TE186">
        <v>0</v>
      </c>
      <c r="TF186">
        <v>0</v>
      </c>
      <c r="TG186">
        <v>0</v>
      </c>
      <c r="TH186">
        <v>0</v>
      </c>
      <c r="TI186">
        <v>0</v>
      </c>
      <c r="TJ186">
        <v>0</v>
      </c>
      <c r="TK186">
        <v>0</v>
      </c>
      <c r="TL186">
        <v>0</v>
      </c>
      <c r="TM186">
        <v>0</v>
      </c>
      <c r="TN186">
        <v>0</v>
      </c>
      <c r="TO186">
        <v>0</v>
      </c>
      <c r="TP186">
        <v>0</v>
      </c>
      <c r="TQ186">
        <v>0</v>
      </c>
      <c r="TR186">
        <v>0</v>
      </c>
      <c r="TS186">
        <v>0</v>
      </c>
      <c r="TT186">
        <v>0</v>
      </c>
      <c r="TU186">
        <v>0</v>
      </c>
      <c r="TV186">
        <v>0</v>
      </c>
      <c r="TW186">
        <v>0</v>
      </c>
      <c r="TX186">
        <v>0</v>
      </c>
      <c r="TY186">
        <v>0</v>
      </c>
      <c r="TZ186">
        <v>0</v>
      </c>
      <c r="UA186">
        <v>0</v>
      </c>
      <c r="UB186">
        <v>0</v>
      </c>
      <c r="UC186">
        <v>0</v>
      </c>
      <c r="UD186">
        <v>0</v>
      </c>
      <c r="UE186">
        <v>0</v>
      </c>
      <c r="UF186">
        <v>0</v>
      </c>
      <c r="UG186">
        <v>0</v>
      </c>
      <c r="UH186">
        <v>0</v>
      </c>
      <c r="UI186">
        <v>0</v>
      </c>
      <c r="UJ186">
        <v>0</v>
      </c>
      <c r="UK186">
        <v>0</v>
      </c>
      <c r="UL186">
        <v>0</v>
      </c>
      <c r="UM186">
        <v>0</v>
      </c>
      <c r="UN186">
        <v>0</v>
      </c>
      <c r="UO186">
        <v>0</v>
      </c>
      <c r="UP186">
        <v>0</v>
      </c>
      <c r="UQ186">
        <v>0</v>
      </c>
      <c r="UR186">
        <v>0</v>
      </c>
      <c r="US186">
        <v>0</v>
      </c>
      <c r="UT186">
        <v>0</v>
      </c>
      <c r="UU186">
        <v>0</v>
      </c>
      <c r="UV186">
        <v>0</v>
      </c>
      <c r="UW186">
        <v>0</v>
      </c>
      <c r="UX186">
        <v>0</v>
      </c>
      <c r="UY186">
        <v>0</v>
      </c>
      <c r="UZ186">
        <v>0</v>
      </c>
      <c r="VA186">
        <v>0</v>
      </c>
      <c r="VB186">
        <v>0</v>
      </c>
      <c r="VC186">
        <v>0</v>
      </c>
      <c r="VD186">
        <v>0</v>
      </c>
      <c r="VE186">
        <v>0</v>
      </c>
      <c r="VF186">
        <v>0</v>
      </c>
      <c r="VG186">
        <v>0</v>
      </c>
      <c r="VH186">
        <v>0</v>
      </c>
      <c r="VI186">
        <v>0</v>
      </c>
      <c r="VJ186">
        <v>0</v>
      </c>
      <c r="VK186">
        <v>0</v>
      </c>
      <c r="VL186">
        <v>0</v>
      </c>
      <c r="VM186">
        <v>0</v>
      </c>
      <c r="VN186">
        <v>0</v>
      </c>
      <c r="VO186">
        <v>0</v>
      </c>
      <c r="VP186">
        <v>0</v>
      </c>
      <c r="VQ186">
        <v>0</v>
      </c>
      <c r="VR186">
        <v>0</v>
      </c>
      <c r="VS186">
        <v>0</v>
      </c>
      <c r="VT186">
        <v>0</v>
      </c>
      <c r="VU186">
        <v>0</v>
      </c>
      <c r="VV186">
        <v>0</v>
      </c>
      <c r="VW186">
        <v>0</v>
      </c>
      <c r="VX186">
        <v>0</v>
      </c>
      <c r="VY186">
        <v>0</v>
      </c>
      <c r="VZ186">
        <v>0</v>
      </c>
      <c r="WA186">
        <v>0</v>
      </c>
      <c r="WB186">
        <v>0</v>
      </c>
      <c r="WC186">
        <v>0</v>
      </c>
      <c r="WD186">
        <v>0</v>
      </c>
      <c r="WE186">
        <v>0</v>
      </c>
      <c r="WF186">
        <v>0</v>
      </c>
      <c r="WG186">
        <v>0</v>
      </c>
      <c r="WH186">
        <v>0</v>
      </c>
      <c r="WI186">
        <v>0</v>
      </c>
      <c r="WJ186">
        <v>0</v>
      </c>
      <c r="WK186">
        <v>0</v>
      </c>
      <c r="WL186">
        <v>0</v>
      </c>
      <c r="WM186">
        <v>0</v>
      </c>
      <c r="WN186">
        <v>0</v>
      </c>
      <c r="WO186">
        <v>0</v>
      </c>
      <c r="WP186">
        <v>0</v>
      </c>
      <c r="WQ186">
        <v>0</v>
      </c>
      <c r="WR186">
        <v>0</v>
      </c>
      <c r="WS186">
        <v>0</v>
      </c>
      <c r="WT186">
        <v>0</v>
      </c>
      <c r="WU186">
        <v>0</v>
      </c>
      <c r="WV186">
        <v>0</v>
      </c>
      <c r="WW186">
        <v>0</v>
      </c>
      <c r="WX186">
        <v>0</v>
      </c>
      <c r="WY186">
        <v>0</v>
      </c>
      <c r="WZ186">
        <v>0</v>
      </c>
      <c r="XA186">
        <v>0</v>
      </c>
      <c r="XB186">
        <v>0</v>
      </c>
      <c r="XC186">
        <v>0</v>
      </c>
      <c r="XD186">
        <v>0</v>
      </c>
      <c r="XE186">
        <v>0</v>
      </c>
      <c r="XF186">
        <v>0</v>
      </c>
      <c r="XG186">
        <v>0</v>
      </c>
      <c r="XH186">
        <v>0</v>
      </c>
      <c r="XI186">
        <v>0</v>
      </c>
      <c r="XJ186">
        <v>0</v>
      </c>
      <c r="XK186">
        <v>0</v>
      </c>
      <c r="XL186">
        <v>0</v>
      </c>
      <c r="XM186">
        <v>0</v>
      </c>
      <c r="XN186">
        <v>0</v>
      </c>
      <c r="XO186">
        <v>0</v>
      </c>
      <c r="XP186">
        <v>0</v>
      </c>
      <c r="XQ186">
        <v>0</v>
      </c>
      <c r="XR186">
        <v>0</v>
      </c>
      <c r="XS186">
        <v>0</v>
      </c>
      <c r="XT186">
        <v>0</v>
      </c>
      <c r="XU186">
        <v>0</v>
      </c>
      <c r="XV186">
        <v>0</v>
      </c>
      <c r="XW186">
        <v>0</v>
      </c>
      <c r="XX186">
        <v>0</v>
      </c>
      <c r="XY186">
        <v>0</v>
      </c>
      <c r="XZ186">
        <v>0</v>
      </c>
      <c r="YA186">
        <v>0</v>
      </c>
      <c r="YB186">
        <v>0</v>
      </c>
      <c r="YC186">
        <v>0</v>
      </c>
      <c r="YD186">
        <v>0</v>
      </c>
      <c r="YE186">
        <v>0</v>
      </c>
      <c r="YF186">
        <v>0</v>
      </c>
      <c r="YG186">
        <v>0</v>
      </c>
      <c r="YH186">
        <v>0</v>
      </c>
      <c r="YI186">
        <v>0</v>
      </c>
      <c r="YJ186">
        <v>0</v>
      </c>
      <c r="YK186">
        <v>0</v>
      </c>
      <c r="YL186">
        <v>0</v>
      </c>
      <c r="YM186">
        <v>0</v>
      </c>
      <c r="YN186">
        <v>0</v>
      </c>
      <c r="YO186">
        <v>0</v>
      </c>
      <c r="YP186">
        <v>0</v>
      </c>
      <c r="YQ186">
        <v>0</v>
      </c>
      <c r="YR186">
        <v>0</v>
      </c>
      <c r="YS186">
        <v>0</v>
      </c>
      <c r="YT186">
        <v>0</v>
      </c>
      <c r="YU186">
        <v>0</v>
      </c>
      <c r="YV186">
        <v>0</v>
      </c>
      <c r="YW186">
        <v>0</v>
      </c>
      <c r="YX186">
        <v>0</v>
      </c>
      <c r="YY186">
        <v>0</v>
      </c>
      <c r="YZ186">
        <v>0</v>
      </c>
      <c r="ZA186">
        <v>0</v>
      </c>
      <c r="ZB186">
        <v>0</v>
      </c>
      <c r="ZC186">
        <v>0</v>
      </c>
      <c r="ZD186">
        <v>0</v>
      </c>
      <c r="ZE186">
        <v>0</v>
      </c>
      <c r="ZF186">
        <v>0</v>
      </c>
      <c r="ZG186">
        <v>0</v>
      </c>
      <c r="ZH186">
        <v>0</v>
      </c>
      <c r="ZI186">
        <v>0</v>
      </c>
      <c r="ZJ186">
        <v>0</v>
      </c>
      <c r="ZK186">
        <v>0</v>
      </c>
      <c r="ZL186">
        <v>0</v>
      </c>
      <c r="ZM186">
        <v>0</v>
      </c>
      <c r="ZN186">
        <v>0</v>
      </c>
      <c r="ZO186">
        <v>0</v>
      </c>
      <c r="ZP186">
        <v>0</v>
      </c>
      <c r="ZQ186">
        <v>0</v>
      </c>
      <c r="ZR186">
        <v>0</v>
      </c>
      <c r="ZS186">
        <v>0</v>
      </c>
      <c r="ZT186">
        <v>0</v>
      </c>
      <c r="ZU186">
        <v>0</v>
      </c>
      <c r="ZV186">
        <v>0</v>
      </c>
      <c r="ZW186">
        <v>0</v>
      </c>
      <c r="ZX186">
        <v>0</v>
      </c>
      <c r="ZY186">
        <v>0</v>
      </c>
      <c r="ZZ186">
        <v>0</v>
      </c>
      <c r="AAA186">
        <v>0</v>
      </c>
      <c r="AAB186">
        <v>0</v>
      </c>
      <c r="AAC186">
        <v>0</v>
      </c>
      <c r="AAD186">
        <v>0</v>
      </c>
      <c r="AAE186">
        <v>0</v>
      </c>
      <c r="AAF186">
        <v>0</v>
      </c>
      <c r="AAG186">
        <v>0</v>
      </c>
      <c r="AAH186">
        <v>0</v>
      </c>
      <c r="AAI186">
        <v>0</v>
      </c>
      <c r="AAJ186">
        <v>0</v>
      </c>
      <c r="AAK186">
        <v>0</v>
      </c>
      <c r="AAL186">
        <v>0</v>
      </c>
      <c r="AAM186">
        <v>0</v>
      </c>
      <c r="AAN186">
        <v>0</v>
      </c>
      <c r="AAO186">
        <v>0</v>
      </c>
      <c r="AAP186">
        <v>0</v>
      </c>
      <c r="AAQ186">
        <v>0</v>
      </c>
      <c r="AAR186">
        <v>0</v>
      </c>
      <c r="AAS186">
        <v>0</v>
      </c>
      <c r="AAT186">
        <v>0</v>
      </c>
      <c r="AAU186">
        <v>0</v>
      </c>
      <c r="AAV186">
        <v>0</v>
      </c>
      <c r="AAW186">
        <v>0</v>
      </c>
      <c r="AAX186">
        <v>0</v>
      </c>
      <c r="AAY186">
        <v>0</v>
      </c>
      <c r="AAZ186">
        <v>0</v>
      </c>
      <c r="ABA186">
        <v>0</v>
      </c>
      <c r="ABB186">
        <v>0</v>
      </c>
      <c r="ABC186">
        <v>0</v>
      </c>
      <c r="ABD186">
        <v>0</v>
      </c>
      <c r="ABE186">
        <v>0</v>
      </c>
      <c r="ABG186" s="1137">
        <f t="shared" si="48"/>
        <v>0</v>
      </c>
      <c r="ABH186" s="1137">
        <f t="shared" si="48"/>
        <v>0</v>
      </c>
      <c r="ABI186" s="1137">
        <f t="shared" si="48"/>
        <v>6</v>
      </c>
      <c r="ABJ186" s="1137">
        <f t="shared" si="48"/>
        <v>30</v>
      </c>
      <c r="ABK186" s="1137">
        <f t="shared" si="48"/>
        <v>31</v>
      </c>
      <c r="ABL186" s="1137">
        <f t="shared" si="48"/>
        <v>30</v>
      </c>
      <c r="ABM186" s="1137">
        <f t="shared" si="48"/>
        <v>10</v>
      </c>
      <c r="ABN186" s="1137">
        <f t="shared" si="48"/>
        <v>0</v>
      </c>
      <c r="ABO186" s="1137">
        <f t="shared" si="48"/>
        <v>0</v>
      </c>
      <c r="ABP186" s="1137">
        <f t="shared" si="48"/>
        <v>0</v>
      </c>
      <c r="ABQ186" s="1137">
        <f t="shared" si="48"/>
        <v>19</v>
      </c>
      <c r="ABR186" s="1137">
        <f t="shared" si="48"/>
        <v>29</v>
      </c>
      <c r="ABS186" s="1137">
        <f t="shared" si="48"/>
        <v>0</v>
      </c>
      <c r="ABT186" s="1137">
        <f t="shared" si="48"/>
        <v>0</v>
      </c>
      <c r="ABU186" s="1137">
        <f t="shared" si="48"/>
        <v>0</v>
      </c>
      <c r="ABV186" s="1137">
        <f t="shared" si="48"/>
        <v>0</v>
      </c>
      <c r="ABW186" s="1137">
        <f t="shared" si="49"/>
        <v>0</v>
      </c>
      <c r="ABX186" s="1137">
        <f t="shared" si="49"/>
        <v>0</v>
      </c>
      <c r="ABY186" s="1137">
        <f t="shared" si="49"/>
        <v>0</v>
      </c>
      <c r="ABZ186" s="1137">
        <f t="shared" si="49"/>
        <v>0</v>
      </c>
      <c r="ACA186" s="1137">
        <f t="shared" si="49"/>
        <v>0</v>
      </c>
      <c r="ACB186" s="1137">
        <f t="shared" si="49"/>
        <v>0</v>
      </c>
      <c r="ACC186" s="1137">
        <f t="shared" si="49"/>
        <v>0</v>
      </c>
      <c r="ACD186" s="1137">
        <f t="shared" si="49"/>
        <v>0</v>
      </c>
      <c r="ACE186" s="1137" t="s">
        <v>278</v>
      </c>
      <c r="ACF186" s="1137">
        <f t="shared" si="47"/>
        <v>0</v>
      </c>
      <c r="ACG186" s="1137">
        <f t="shared" si="47"/>
        <v>0</v>
      </c>
      <c r="ACH186" s="1137">
        <f t="shared" si="47"/>
        <v>0</v>
      </c>
      <c r="ACI186" s="1137">
        <f t="shared" si="47"/>
        <v>1</v>
      </c>
      <c r="ACJ186" s="1137">
        <f t="shared" si="47"/>
        <v>1</v>
      </c>
      <c r="ACK186" s="1137">
        <f t="shared" si="47"/>
        <v>1</v>
      </c>
      <c r="ACL186" s="1137">
        <f t="shared" si="47"/>
        <v>0</v>
      </c>
      <c r="ACM186" s="1137">
        <f t="shared" si="47"/>
        <v>0</v>
      </c>
      <c r="ACN186" s="1137">
        <f t="shared" si="47"/>
        <v>0</v>
      </c>
      <c r="ACO186" s="1137">
        <f t="shared" si="47"/>
        <v>0</v>
      </c>
      <c r="ACP186" s="1137">
        <f t="shared" si="47"/>
        <v>1</v>
      </c>
      <c r="ACQ186" s="1137">
        <f t="shared" si="47"/>
        <v>1</v>
      </c>
      <c r="ACR186" s="1137">
        <f t="shared" si="47"/>
        <v>0</v>
      </c>
      <c r="ACS186" s="1137">
        <f t="shared" si="47"/>
        <v>0</v>
      </c>
      <c r="ACT186" s="1137">
        <f t="shared" si="43"/>
        <v>0</v>
      </c>
      <c r="ACU186" s="1137">
        <f t="shared" si="43"/>
        <v>0</v>
      </c>
      <c r="ACV186" s="1137">
        <f t="shared" si="43"/>
        <v>0</v>
      </c>
      <c r="ACW186" s="1137">
        <f t="shared" si="43"/>
        <v>0</v>
      </c>
      <c r="ACX186" s="1137">
        <f t="shared" si="42"/>
        <v>0</v>
      </c>
      <c r="ACY186" s="1137">
        <f t="shared" si="42"/>
        <v>0</v>
      </c>
      <c r="ACZ186" s="1137">
        <f t="shared" si="42"/>
        <v>0</v>
      </c>
      <c r="ADA186" s="1137">
        <f t="shared" si="35"/>
        <v>0</v>
      </c>
      <c r="ADB186" s="1137">
        <f t="shared" si="35"/>
        <v>0</v>
      </c>
      <c r="ADC186" s="1137">
        <f t="shared" si="35"/>
        <v>0</v>
      </c>
    </row>
    <row r="187" spans="1:783" x14ac:dyDescent="0.25">
      <c r="A187" t="s">
        <v>1986</v>
      </c>
      <c r="B187" t="s">
        <v>77</v>
      </c>
      <c r="C187">
        <v>0</v>
      </c>
      <c r="D187">
        <v>0</v>
      </c>
      <c r="E187">
        <v>0</v>
      </c>
      <c r="F187">
        <v>0</v>
      </c>
      <c r="G187">
        <v>0</v>
      </c>
      <c r="H187">
        <v>0</v>
      </c>
      <c r="I187">
        <v>0</v>
      </c>
      <c r="J187">
        <v>0</v>
      </c>
      <c r="K187">
        <v>0</v>
      </c>
      <c r="L187">
        <v>0</v>
      </c>
      <c r="M187">
        <v>0</v>
      </c>
      <c r="N187">
        <v>0</v>
      </c>
      <c r="O187">
        <v>0</v>
      </c>
      <c r="P187">
        <v>0</v>
      </c>
      <c r="Q187">
        <v>0</v>
      </c>
      <c r="R187">
        <v>0</v>
      </c>
      <c r="S187">
        <v>0</v>
      </c>
      <c r="T187">
        <v>0</v>
      </c>
      <c r="U187">
        <v>0</v>
      </c>
      <c r="V187">
        <v>0</v>
      </c>
      <c r="W187">
        <v>0</v>
      </c>
      <c r="X187">
        <v>0</v>
      </c>
      <c r="Y187">
        <v>0</v>
      </c>
      <c r="Z187">
        <v>0</v>
      </c>
      <c r="AA187">
        <v>0</v>
      </c>
      <c r="AB187">
        <v>0</v>
      </c>
      <c r="AC187">
        <v>0</v>
      </c>
      <c r="AD187">
        <v>0</v>
      </c>
      <c r="AE187">
        <v>0</v>
      </c>
      <c r="AF187">
        <v>0</v>
      </c>
      <c r="AG187">
        <v>0</v>
      </c>
      <c r="AH187">
        <v>0</v>
      </c>
      <c r="AI187">
        <v>0</v>
      </c>
      <c r="AJ187">
        <v>0</v>
      </c>
      <c r="AK187">
        <v>0</v>
      </c>
      <c r="AL187">
        <v>0</v>
      </c>
      <c r="AM187">
        <v>0</v>
      </c>
      <c r="AN187">
        <v>0</v>
      </c>
      <c r="AO187">
        <v>0</v>
      </c>
      <c r="AP187">
        <v>0</v>
      </c>
      <c r="AQ187">
        <v>0</v>
      </c>
      <c r="AR187">
        <v>0</v>
      </c>
      <c r="AS187">
        <v>0</v>
      </c>
      <c r="AT187">
        <v>0</v>
      </c>
      <c r="AU187">
        <v>0</v>
      </c>
      <c r="AV187">
        <v>0</v>
      </c>
      <c r="AW187">
        <v>0</v>
      </c>
      <c r="AX187">
        <v>0</v>
      </c>
      <c r="AY187">
        <v>0</v>
      </c>
      <c r="AZ187">
        <v>0</v>
      </c>
      <c r="BA187">
        <v>0</v>
      </c>
      <c r="BB187">
        <v>0</v>
      </c>
      <c r="BC187">
        <v>0</v>
      </c>
      <c r="BD187">
        <v>0</v>
      </c>
      <c r="BE187">
        <v>0</v>
      </c>
      <c r="BF187">
        <v>0</v>
      </c>
      <c r="BG187">
        <v>0</v>
      </c>
      <c r="BH187">
        <v>0</v>
      </c>
      <c r="BI187">
        <v>0</v>
      </c>
      <c r="BJ187">
        <v>0</v>
      </c>
      <c r="BK187">
        <v>0</v>
      </c>
      <c r="BL187">
        <v>0</v>
      </c>
      <c r="BM187">
        <v>0</v>
      </c>
      <c r="BN187">
        <v>0</v>
      </c>
      <c r="BO187">
        <v>0</v>
      </c>
      <c r="BP187">
        <v>0</v>
      </c>
      <c r="BQ187">
        <v>0</v>
      </c>
      <c r="BR187">
        <v>0</v>
      </c>
      <c r="BS187">
        <v>0</v>
      </c>
      <c r="BT187">
        <v>0</v>
      </c>
      <c r="BU187">
        <v>0</v>
      </c>
      <c r="BV187">
        <v>0</v>
      </c>
      <c r="BW187">
        <v>0</v>
      </c>
      <c r="BX187">
        <v>0</v>
      </c>
      <c r="BY187">
        <v>0</v>
      </c>
      <c r="BZ187">
        <v>2</v>
      </c>
      <c r="CA187">
        <v>2</v>
      </c>
      <c r="CB187">
        <v>2</v>
      </c>
      <c r="CC187">
        <v>2</v>
      </c>
      <c r="CD187">
        <v>2</v>
      </c>
      <c r="CE187">
        <v>2</v>
      </c>
      <c r="CF187">
        <v>2</v>
      </c>
      <c r="CG187">
        <v>2</v>
      </c>
      <c r="CH187">
        <v>2</v>
      </c>
      <c r="CI187">
        <v>2</v>
      </c>
      <c r="CJ187">
        <v>2</v>
      </c>
      <c r="CK187">
        <v>2</v>
      </c>
      <c r="CL187">
        <v>2</v>
      </c>
      <c r="CM187">
        <v>2</v>
      </c>
      <c r="CN187">
        <v>2</v>
      </c>
      <c r="CO187">
        <v>2</v>
      </c>
      <c r="CP187">
        <v>2</v>
      </c>
      <c r="CQ187">
        <v>2</v>
      </c>
      <c r="CR187">
        <v>2</v>
      </c>
      <c r="CS187">
        <v>2</v>
      </c>
      <c r="CT187">
        <v>2</v>
      </c>
      <c r="CU187">
        <v>2</v>
      </c>
      <c r="CV187">
        <v>2</v>
      </c>
      <c r="CW187">
        <v>2</v>
      </c>
      <c r="CX187">
        <v>2</v>
      </c>
      <c r="CY187">
        <v>2</v>
      </c>
      <c r="CZ187">
        <v>2</v>
      </c>
      <c r="DA187">
        <v>2</v>
      </c>
      <c r="DB187">
        <v>2</v>
      </c>
      <c r="DC187">
        <v>2</v>
      </c>
      <c r="DD187">
        <v>2</v>
      </c>
      <c r="DE187">
        <v>2</v>
      </c>
      <c r="DF187">
        <v>2</v>
      </c>
      <c r="DG187">
        <v>2</v>
      </c>
      <c r="DH187">
        <v>2</v>
      </c>
      <c r="DI187">
        <v>2</v>
      </c>
      <c r="DJ187">
        <v>2</v>
      </c>
      <c r="DK187">
        <v>2</v>
      </c>
      <c r="DL187">
        <v>2</v>
      </c>
      <c r="DM187">
        <v>2</v>
      </c>
      <c r="DN187">
        <v>2</v>
      </c>
      <c r="DO187">
        <v>2</v>
      </c>
      <c r="DP187">
        <v>2</v>
      </c>
      <c r="DQ187">
        <v>2</v>
      </c>
      <c r="DR187">
        <v>2</v>
      </c>
      <c r="DS187">
        <v>2</v>
      </c>
      <c r="DT187">
        <v>2</v>
      </c>
      <c r="DU187">
        <v>2</v>
      </c>
      <c r="DV187">
        <v>2</v>
      </c>
      <c r="DW187">
        <v>2</v>
      </c>
      <c r="DX187">
        <v>2</v>
      </c>
      <c r="DY187">
        <v>2</v>
      </c>
      <c r="DZ187">
        <v>2</v>
      </c>
      <c r="EA187">
        <v>2</v>
      </c>
      <c r="EB187">
        <v>2</v>
      </c>
      <c r="EC187">
        <v>2</v>
      </c>
      <c r="ED187">
        <v>2</v>
      </c>
      <c r="EE187">
        <v>2</v>
      </c>
      <c r="EF187">
        <v>2</v>
      </c>
      <c r="EG187">
        <v>2</v>
      </c>
      <c r="EH187">
        <v>2</v>
      </c>
      <c r="EI187">
        <v>2</v>
      </c>
      <c r="EJ187">
        <v>2</v>
      </c>
      <c r="EK187">
        <v>2</v>
      </c>
      <c r="EL187">
        <v>2</v>
      </c>
      <c r="EM187">
        <v>2</v>
      </c>
      <c r="EN187">
        <v>2</v>
      </c>
      <c r="EO187">
        <v>2</v>
      </c>
      <c r="EP187">
        <v>2</v>
      </c>
      <c r="EQ187">
        <v>2</v>
      </c>
      <c r="ER187">
        <v>2</v>
      </c>
      <c r="ES187">
        <v>2</v>
      </c>
      <c r="ET187">
        <v>2</v>
      </c>
      <c r="EU187">
        <v>2</v>
      </c>
      <c r="EV187">
        <v>2</v>
      </c>
      <c r="EW187">
        <v>2</v>
      </c>
      <c r="EX187">
        <v>2</v>
      </c>
      <c r="EY187">
        <v>2</v>
      </c>
      <c r="EZ187">
        <v>2</v>
      </c>
      <c r="FA187">
        <v>2</v>
      </c>
      <c r="FB187">
        <v>2</v>
      </c>
      <c r="FC187">
        <v>2</v>
      </c>
      <c r="FD187">
        <v>2</v>
      </c>
      <c r="FE187">
        <v>2</v>
      </c>
      <c r="FF187">
        <v>2</v>
      </c>
      <c r="FG187">
        <v>2</v>
      </c>
      <c r="FH187">
        <v>2</v>
      </c>
      <c r="FI187">
        <v>2</v>
      </c>
      <c r="FJ187">
        <v>2</v>
      </c>
      <c r="FK187">
        <v>2</v>
      </c>
      <c r="FL187">
        <v>2</v>
      </c>
      <c r="FM187">
        <v>2</v>
      </c>
      <c r="FN187">
        <v>2</v>
      </c>
      <c r="FO187">
        <v>2</v>
      </c>
      <c r="FP187">
        <v>2</v>
      </c>
      <c r="FQ187">
        <v>2</v>
      </c>
      <c r="FR187">
        <v>2</v>
      </c>
      <c r="FS187">
        <v>2</v>
      </c>
      <c r="FT187">
        <v>2</v>
      </c>
      <c r="FU187">
        <v>2</v>
      </c>
      <c r="FV187">
        <v>2</v>
      </c>
      <c r="FW187">
        <v>2</v>
      </c>
      <c r="FX187">
        <v>2</v>
      </c>
      <c r="FY187">
        <v>2</v>
      </c>
      <c r="FZ187">
        <v>2</v>
      </c>
      <c r="GA187">
        <v>2</v>
      </c>
      <c r="GB187">
        <v>2</v>
      </c>
      <c r="GC187">
        <v>2</v>
      </c>
      <c r="GD187">
        <v>2</v>
      </c>
      <c r="GE187">
        <v>2</v>
      </c>
      <c r="GF187">
        <v>2</v>
      </c>
      <c r="GG187">
        <v>2</v>
      </c>
      <c r="GH187">
        <v>2</v>
      </c>
      <c r="GI187">
        <v>2</v>
      </c>
      <c r="GJ187">
        <v>2</v>
      </c>
      <c r="GK187">
        <v>2</v>
      </c>
      <c r="GL187">
        <v>2</v>
      </c>
      <c r="GM187">
        <v>2</v>
      </c>
      <c r="GN187">
        <v>2</v>
      </c>
      <c r="GO187">
        <v>0</v>
      </c>
      <c r="GP187">
        <v>0</v>
      </c>
      <c r="GQ187">
        <v>0</v>
      </c>
      <c r="GR187">
        <v>0</v>
      </c>
      <c r="GS187">
        <v>0</v>
      </c>
      <c r="GT187">
        <v>0</v>
      </c>
      <c r="GU187">
        <v>0</v>
      </c>
      <c r="GV187">
        <v>0</v>
      </c>
      <c r="GW187">
        <v>0</v>
      </c>
      <c r="GX187">
        <v>0</v>
      </c>
      <c r="GY187">
        <v>0</v>
      </c>
      <c r="GZ187">
        <v>0</v>
      </c>
      <c r="HA187">
        <v>0</v>
      </c>
      <c r="HB187">
        <v>0</v>
      </c>
      <c r="HC187">
        <v>0</v>
      </c>
      <c r="HD187">
        <v>0</v>
      </c>
      <c r="HE187">
        <v>0</v>
      </c>
      <c r="HF187">
        <v>0</v>
      </c>
      <c r="HG187">
        <v>0</v>
      </c>
      <c r="HH187">
        <v>0</v>
      </c>
      <c r="HI187">
        <v>0</v>
      </c>
      <c r="HJ187">
        <v>0</v>
      </c>
      <c r="HK187">
        <v>0</v>
      </c>
      <c r="HL187">
        <v>0</v>
      </c>
      <c r="HM187">
        <v>0</v>
      </c>
      <c r="HN187">
        <v>0</v>
      </c>
      <c r="HO187">
        <v>0</v>
      </c>
      <c r="HP187">
        <v>0</v>
      </c>
      <c r="HQ187">
        <v>0</v>
      </c>
      <c r="HR187">
        <v>0</v>
      </c>
      <c r="HS187">
        <v>0</v>
      </c>
      <c r="HT187">
        <v>0</v>
      </c>
      <c r="HU187">
        <v>0</v>
      </c>
      <c r="HV187">
        <v>0</v>
      </c>
      <c r="HW187">
        <v>0</v>
      </c>
      <c r="HX187">
        <v>0</v>
      </c>
      <c r="HY187">
        <v>0</v>
      </c>
      <c r="HZ187">
        <v>0</v>
      </c>
      <c r="IA187">
        <v>0</v>
      </c>
      <c r="IB187">
        <v>0</v>
      </c>
      <c r="IC187">
        <v>0</v>
      </c>
      <c r="ID187">
        <v>0</v>
      </c>
      <c r="IE187">
        <v>0</v>
      </c>
      <c r="IF187">
        <v>0</v>
      </c>
      <c r="IG187">
        <v>0</v>
      </c>
      <c r="IH187">
        <v>0</v>
      </c>
      <c r="II187">
        <v>0</v>
      </c>
      <c r="IJ187">
        <v>0</v>
      </c>
      <c r="IK187">
        <v>0</v>
      </c>
      <c r="IL187">
        <v>0</v>
      </c>
      <c r="IM187">
        <v>0</v>
      </c>
      <c r="IN187">
        <v>0</v>
      </c>
      <c r="IO187">
        <v>0</v>
      </c>
      <c r="IP187">
        <v>0</v>
      </c>
      <c r="IQ187">
        <v>0</v>
      </c>
      <c r="IR187">
        <v>0</v>
      </c>
      <c r="IS187">
        <v>0</v>
      </c>
      <c r="IT187">
        <v>0</v>
      </c>
      <c r="IU187">
        <v>0</v>
      </c>
      <c r="IV187">
        <v>0</v>
      </c>
      <c r="IW187">
        <v>0</v>
      </c>
      <c r="IX187">
        <v>0</v>
      </c>
      <c r="IY187">
        <v>0</v>
      </c>
      <c r="IZ187">
        <v>0</v>
      </c>
      <c r="JA187">
        <v>0</v>
      </c>
      <c r="JB187">
        <v>0</v>
      </c>
      <c r="JC187">
        <v>0</v>
      </c>
      <c r="JD187">
        <v>0</v>
      </c>
      <c r="JE187">
        <v>0</v>
      </c>
      <c r="JF187">
        <v>0</v>
      </c>
      <c r="JG187">
        <v>0</v>
      </c>
      <c r="JH187">
        <v>0</v>
      </c>
      <c r="JI187">
        <v>0</v>
      </c>
      <c r="JJ187">
        <v>0</v>
      </c>
      <c r="JK187">
        <v>0</v>
      </c>
      <c r="JL187">
        <v>0</v>
      </c>
      <c r="JM187">
        <v>0</v>
      </c>
      <c r="JN187">
        <v>0</v>
      </c>
      <c r="JO187">
        <v>2</v>
      </c>
      <c r="JP187">
        <v>2</v>
      </c>
      <c r="JQ187">
        <v>2</v>
      </c>
      <c r="JR187">
        <v>2</v>
      </c>
      <c r="JS187">
        <v>2</v>
      </c>
      <c r="JT187">
        <v>2</v>
      </c>
      <c r="JU187">
        <v>2</v>
      </c>
      <c r="JV187">
        <v>2</v>
      </c>
      <c r="JW187">
        <v>2</v>
      </c>
      <c r="JX187">
        <v>2</v>
      </c>
      <c r="JY187">
        <v>2</v>
      </c>
      <c r="JZ187">
        <v>2</v>
      </c>
      <c r="KA187">
        <v>2</v>
      </c>
      <c r="KB187">
        <v>2</v>
      </c>
      <c r="KC187">
        <v>2</v>
      </c>
      <c r="KD187">
        <v>2</v>
      </c>
      <c r="KE187">
        <v>2</v>
      </c>
      <c r="KF187">
        <v>2</v>
      </c>
      <c r="KG187">
        <v>2</v>
      </c>
      <c r="KH187">
        <v>2</v>
      </c>
      <c r="KI187">
        <v>2</v>
      </c>
      <c r="KJ187">
        <v>2</v>
      </c>
      <c r="KK187">
        <v>2</v>
      </c>
      <c r="KL187">
        <v>2</v>
      </c>
      <c r="KM187">
        <v>2</v>
      </c>
      <c r="KN187">
        <v>2</v>
      </c>
      <c r="KO187">
        <v>2</v>
      </c>
      <c r="KP187">
        <v>2</v>
      </c>
      <c r="KQ187">
        <v>1</v>
      </c>
      <c r="KR187">
        <v>1</v>
      </c>
      <c r="KS187">
        <v>1</v>
      </c>
      <c r="KT187">
        <v>1</v>
      </c>
      <c r="KU187">
        <v>1</v>
      </c>
      <c r="KV187">
        <v>1</v>
      </c>
      <c r="KW187">
        <v>1</v>
      </c>
      <c r="KX187">
        <v>1</v>
      </c>
      <c r="KY187">
        <v>1</v>
      </c>
      <c r="KZ187">
        <v>1</v>
      </c>
      <c r="LA187">
        <v>1</v>
      </c>
      <c r="LB187">
        <v>1</v>
      </c>
      <c r="LC187">
        <v>1</v>
      </c>
      <c r="LD187">
        <v>1</v>
      </c>
      <c r="LE187">
        <v>1</v>
      </c>
      <c r="LF187">
        <v>1</v>
      </c>
      <c r="LG187">
        <v>1</v>
      </c>
      <c r="LH187">
        <v>1</v>
      </c>
      <c r="LI187">
        <v>1</v>
      </c>
      <c r="LJ187">
        <v>1</v>
      </c>
      <c r="LK187">
        <v>1</v>
      </c>
      <c r="LL187">
        <v>1</v>
      </c>
      <c r="LM187">
        <v>1</v>
      </c>
      <c r="LN187">
        <v>1</v>
      </c>
      <c r="LO187">
        <v>1</v>
      </c>
      <c r="LP187">
        <v>1</v>
      </c>
      <c r="LQ187">
        <v>1</v>
      </c>
      <c r="LR187">
        <v>1</v>
      </c>
      <c r="LS187">
        <v>1</v>
      </c>
      <c r="LT187">
        <v>1</v>
      </c>
      <c r="LU187">
        <v>1</v>
      </c>
      <c r="LV187">
        <v>1</v>
      </c>
      <c r="LW187">
        <v>1</v>
      </c>
      <c r="LX187">
        <v>1</v>
      </c>
      <c r="LY187">
        <v>1</v>
      </c>
      <c r="LZ187">
        <v>1</v>
      </c>
      <c r="MA187">
        <v>1</v>
      </c>
      <c r="MB187">
        <v>1</v>
      </c>
      <c r="MC187">
        <v>1</v>
      </c>
      <c r="MD187">
        <v>1</v>
      </c>
      <c r="ME187">
        <v>1</v>
      </c>
      <c r="MF187">
        <v>1</v>
      </c>
      <c r="MG187">
        <v>1</v>
      </c>
      <c r="MH187">
        <v>1</v>
      </c>
      <c r="MI187">
        <v>1</v>
      </c>
      <c r="MJ187">
        <v>1</v>
      </c>
      <c r="MK187">
        <v>1</v>
      </c>
      <c r="ML187">
        <v>1</v>
      </c>
      <c r="MM187">
        <v>1</v>
      </c>
      <c r="MN187">
        <v>1</v>
      </c>
      <c r="MO187">
        <v>1</v>
      </c>
      <c r="MP187">
        <v>1</v>
      </c>
      <c r="MQ187">
        <v>1</v>
      </c>
      <c r="MR187">
        <v>1</v>
      </c>
      <c r="MS187">
        <v>1</v>
      </c>
      <c r="MT187">
        <v>1</v>
      </c>
      <c r="MU187">
        <v>1</v>
      </c>
      <c r="MV187">
        <v>1</v>
      </c>
      <c r="MW187">
        <v>1</v>
      </c>
      <c r="MX187">
        <v>1</v>
      </c>
      <c r="MY187">
        <v>1</v>
      </c>
      <c r="MZ187">
        <v>1</v>
      </c>
      <c r="NA187">
        <v>1</v>
      </c>
      <c r="NB187">
        <v>1</v>
      </c>
      <c r="NC187">
        <v>1</v>
      </c>
      <c r="ND187">
        <v>1</v>
      </c>
      <c r="NE187">
        <v>1</v>
      </c>
      <c r="NF187">
        <v>1</v>
      </c>
      <c r="NG187">
        <v>1</v>
      </c>
      <c r="NH187">
        <v>1</v>
      </c>
      <c r="NI187">
        <v>1</v>
      </c>
      <c r="NJ187">
        <v>1</v>
      </c>
      <c r="NK187">
        <v>1</v>
      </c>
      <c r="NL187">
        <v>1</v>
      </c>
      <c r="NM187">
        <v>1</v>
      </c>
      <c r="NN187">
        <v>1</v>
      </c>
      <c r="NO187">
        <v>1</v>
      </c>
      <c r="NP187">
        <v>1</v>
      </c>
      <c r="NQ187">
        <v>1</v>
      </c>
      <c r="NR187">
        <v>1</v>
      </c>
      <c r="NS187">
        <v>1</v>
      </c>
      <c r="NT187">
        <v>1</v>
      </c>
      <c r="NU187">
        <v>1</v>
      </c>
      <c r="NV187">
        <v>1</v>
      </c>
      <c r="NW187">
        <v>1</v>
      </c>
      <c r="NX187">
        <v>1</v>
      </c>
      <c r="NY187">
        <v>1</v>
      </c>
      <c r="NZ187">
        <v>1</v>
      </c>
      <c r="OA187">
        <v>1</v>
      </c>
      <c r="OB187">
        <v>1</v>
      </c>
      <c r="OC187">
        <v>1</v>
      </c>
      <c r="OD187">
        <v>1</v>
      </c>
      <c r="OE187">
        <v>1</v>
      </c>
      <c r="OF187">
        <v>1</v>
      </c>
      <c r="OG187">
        <v>1</v>
      </c>
      <c r="OH187">
        <v>1</v>
      </c>
      <c r="OI187">
        <v>1</v>
      </c>
      <c r="OJ187">
        <v>1</v>
      </c>
      <c r="OK187">
        <v>1</v>
      </c>
      <c r="OL187">
        <v>1</v>
      </c>
      <c r="OM187">
        <v>1</v>
      </c>
      <c r="ON187">
        <v>1</v>
      </c>
      <c r="OO187">
        <v>1</v>
      </c>
      <c r="OP187">
        <v>1</v>
      </c>
      <c r="OQ187">
        <v>1</v>
      </c>
      <c r="OR187">
        <v>1</v>
      </c>
      <c r="OS187">
        <v>1</v>
      </c>
      <c r="OT187">
        <v>1</v>
      </c>
      <c r="OU187">
        <v>1</v>
      </c>
      <c r="OV187">
        <v>1</v>
      </c>
      <c r="OW187">
        <v>1</v>
      </c>
      <c r="OX187">
        <v>1</v>
      </c>
      <c r="OY187">
        <v>1</v>
      </c>
      <c r="OZ187">
        <v>1</v>
      </c>
      <c r="PA187">
        <v>1</v>
      </c>
      <c r="PB187">
        <v>1</v>
      </c>
      <c r="PC187">
        <v>1</v>
      </c>
      <c r="PD187">
        <v>1</v>
      </c>
      <c r="PE187">
        <v>1</v>
      </c>
      <c r="PF187">
        <v>1</v>
      </c>
      <c r="PG187">
        <v>1</v>
      </c>
      <c r="PH187">
        <v>1</v>
      </c>
      <c r="PI187">
        <v>1</v>
      </c>
      <c r="PJ187">
        <v>1</v>
      </c>
      <c r="PK187">
        <v>1</v>
      </c>
      <c r="PL187">
        <v>1</v>
      </c>
      <c r="PM187">
        <v>1</v>
      </c>
      <c r="PN187">
        <v>1</v>
      </c>
      <c r="PO187">
        <v>1</v>
      </c>
      <c r="PP187">
        <v>1</v>
      </c>
      <c r="PQ187">
        <v>1</v>
      </c>
      <c r="PR187">
        <v>1</v>
      </c>
      <c r="PS187">
        <v>1</v>
      </c>
      <c r="PT187">
        <v>1</v>
      </c>
      <c r="PU187">
        <v>1</v>
      </c>
      <c r="PV187">
        <v>1</v>
      </c>
      <c r="PW187">
        <v>1</v>
      </c>
      <c r="PX187">
        <v>1</v>
      </c>
      <c r="PY187">
        <v>1</v>
      </c>
      <c r="PZ187">
        <v>1</v>
      </c>
      <c r="QA187">
        <v>1</v>
      </c>
      <c r="QB187">
        <v>1</v>
      </c>
      <c r="QC187">
        <v>1</v>
      </c>
      <c r="QD187">
        <v>1</v>
      </c>
      <c r="QE187">
        <v>1</v>
      </c>
      <c r="QF187">
        <v>1</v>
      </c>
      <c r="QG187">
        <v>1</v>
      </c>
      <c r="QH187">
        <v>1</v>
      </c>
      <c r="QI187">
        <v>1</v>
      </c>
      <c r="QJ187">
        <v>1</v>
      </c>
      <c r="QK187">
        <v>1</v>
      </c>
      <c r="QL187">
        <v>1</v>
      </c>
      <c r="QM187">
        <v>1</v>
      </c>
      <c r="QN187">
        <v>1</v>
      </c>
      <c r="QO187">
        <v>1</v>
      </c>
      <c r="QP187">
        <v>1</v>
      </c>
      <c r="QQ187">
        <v>1</v>
      </c>
      <c r="QR187">
        <v>1</v>
      </c>
      <c r="QS187">
        <v>1</v>
      </c>
      <c r="QT187">
        <v>1</v>
      </c>
      <c r="QU187">
        <v>1</v>
      </c>
      <c r="QV187">
        <v>1</v>
      </c>
      <c r="QW187">
        <v>1</v>
      </c>
      <c r="QX187">
        <v>1</v>
      </c>
      <c r="QY187">
        <v>1</v>
      </c>
      <c r="QZ187">
        <v>1</v>
      </c>
      <c r="RA187">
        <v>1</v>
      </c>
      <c r="RB187">
        <v>1</v>
      </c>
      <c r="RC187">
        <v>1</v>
      </c>
      <c r="RD187">
        <v>1</v>
      </c>
      <c r="RE187">
        <v>1</v>
      </c>
      <c r="RF187">
        <v>1</v>
      </c>
      <c r="RG187">
        <v>1</v>
      </c>
      <c r="RH187">
        <v>1</v>
      </c>
      <c r="RI187">
        <v>1</v>
      </c>
      <c r="RJ187">
        <v>1</v>
      </c>
      <c r="RK187">
        <v>1</v>
      </c>
      <c r="RL187">
        <v>1</v>
      </c>
      <c r="RM187">
        <v>1</v>
      </c>
      <c r="RN187">
        <v>1</v>
      </c>
      <c r="RO187">
        <v>1</v>
      </c>
      <c r="RP187">
        <v>1</v>
      </c>
      <c r="RQ187">
        <v>1</v>
      </c>
      <c r="RR187">
        <v>1</v>
      </c>
      <c r="RS187">
        <v>1</v>
      </c>
      <c r="RT187">
        <v>1</v>
      </c>
      <c r="RU187">
        <v>1</v>
      </c>
      <c r="RV187">
        <v>1</v>
      </c>
      <c r="RW187">
        <v>1</v>
      </c>
      <c r="RX187">
        <v>1</v>
      </c>
      <c r="RY187">
        <v>1</v>
      </c>
      <c r="RZ187">
        <v>1</v>
      </c>
      <c r="SA187">
        <v>1</v>
      </c>
      <c r="SB187">
        <v>1</v>
      </c>
      <c r="SC187">
        <v>1</v>
      </c>
      <c r="SD187">
        <v>1</v>
      </c>
      <c r="SE187">
        <v>1</v>
      </c>
      <c r="SF187">
        <v>1</v>
      </c>
      <c r="SG187">
        <v>1</v>
      </c>
      <c r="SH187">
        <v>1</v>
      </c>
      <c r="SI187">
        <v>1</v>
      </c>
      <c r="SJ187">
        <v>1</v>
      </c>
      <c r="SK187">
        <v>1</v>
      </c>
      <c r="SL187">
        <v>1</v>
      </c>
      <c r="SM187">
        <v>1</v>
      </c>
      <c r="SN187">
        <v>1</v>
      </c>
      <c r="SO187">
        <v>1</v>
      </c>
      <c r="SP187">
        <v>1</v>
      </c>
      <c r="SQ187">
        <v>1</v>
      </c>
      <c r="SR187">
        <v>1</v>
      </c>
      <c r="SS187">
        <v>1</v>
      </c>
      <c r="ST187">
        <v>1</v>
      </c>
      <c r="SU187">
        <v>1</v>
      </c>
      <c r="SV187">
        <v>1</v>
      </c>
      <c r="SW187">
        <v>1</v>
      </c>
      <c r="SX187">
        <v>1</v>
      </c>
      <c r="SY187">
        <v>1</v>
      </c>
      <c r="SZ187">
        <v>1</v>
      </c>
      <c r="TA187">
        <v>1</v>
      </c>
      <c r="TB187">
        <v>1</v>
      </c>
      <c r="TC187">
        <v>1</v>
      </c>
      <c r="TD187">
        <v>1</v>
      </c>
      <c r="TE187">
        <v>1</v>
      </c>
      <c r="TF187">
        <v>1</v>
      </c>
      <c r="TG187">
        <v>1</v>
      </c>
      <c r="TH187">
        <v>1</v>
      </c>
      <c r="TI187">
        <v>1</v>
      </c>
      <c r="TJ187">
        <v>1</v>
      </c>
      <c r="TK187">
        <v>1</v>
      </c>
      <c r="TL187">
        <v>1</v>
      </c>
      <c r="TM187">
        <v>1</v>
      </c>
      <c r="TN187">
        <v>1</v>
      </c>
      <c r="TO187">
        <v>1</v>
      </c>
      <c r="TP187">
        <v>1</v>
      </c>
      <c r="TQ187">
        <v>1</v>
      </c>
      <c r="TR187">
        <v>1</v>
      </c>
      <c r="TS187">
        <v>1</v>
      </c>
      <c r="TT187">
        <v>1</v>
      </c>
      <c r="TU187">
        <v>1</v>
      </c>
      <c r="TV187">
        <v>1</v>
      </c>
      <c r="TW187">
        <v>1</v>
      </c>
      <c r="TX187">
        <v>1</v>
      </c>
      <c r="TY187">
        <v>1</v>
      </c>
      <c r="TZ187">
        <v>1</v>
      </c>
      <c r="UA187">
        <v>1</v>
      </c>
      <c r="UB187">
        <v>1</v>
      </c>
      <c r="UC187">
        <v>1</v>
      </c>
      <c r="UD187">
        <v>1</v>
      </c>
      <c r="UE187">
        <v>1</v>
      </c>
      <c r="UF187">
        <v>1</v>
      </c>
      <c r="UG187">
        <v>1</v>
      </c>
      <c r="UH187">
        <v>1</v>
      </c>
      <c r="UI187">
        <v>1</v>
      </c>
      <c r="UJ187">
        <v>1</v>
      </c>
      <c r="UK187">
        <v>1</v>
      </c>
      <c r="UL187">
        <v>1</v>
      </c>
      <c r="UM187">
        <v>1</v>
      </c>
      <c r="UN187">
        <v>1</v>
      </c>
      <c r="UO187">
        <v>1</v>
      </c>
      <c r="UP187">
        <v>1</v>
      </c>
      <c r="UQ187">
        <v>1</v>
      </c>
      <c r="UR187">
        <v>1</v>
      </c>
      <c r="US187">
        <v>1</v>
      </c>
      <c r="UT187">
        <v>1</v>
      </c>
      <c r="UU187">
        <v>1</v>
      </c>
      <c r="UV187">
        <v>1</v>
      </c>
      <c r="UW187">
        <v>1</v>
      </c>
      <c r="UX187">
        <v>1</v>
      </c>
      <c r="UY187">
        <v>1</v>
      </c>
      <c r="UZ187">
        <v>1</v>
      </c>
      <c r="VA187">
        <v>1</v>
      </c>
      <c r="VB187">
        <v>1</v>
      </c>
      <c r="VC187">
        <v>1</v>
      </c>
      <c r="VD187">
        <v>1</v>
      </c>
      <c r="VE187">
        <v>1</v>
      </c>
      <c r="VF187">
        <v>1</v>
      </c>
      <c r="VG187">
        <v>1</v>
      </c>
      <c r="VH187">
        <v>1</v>
      </c>
      <c r="VI187">
        <v>1</v>
      </c>
      <c r="VJ187">
        <v>1</v>
      </c>
      <c r="VK187">
        <v>1</v>
      </c>
      <c r="VL187">
        <v>1</v>
      </c>
      <c r="VM187">
        <v>1</v>
      </c>
      <c r="VN187">
        <v>1</v>
      </c>
      <c r="VO187">
        <v>1</v>
      </c>
      <c r="VP187">
        <v>1</v>
      </c>
      <c r="VQ187">
        <v>1</v>
      </c>
      <c r="VR187">
        <v>1</v>
      </c>
      <c r="VS187">
        <v>1</v>
      </c>
      <c r="VT187">
        <v>1</v>
      </c>
      <c r="VU187">
        <v>1</v>
      </c>
      <c r="VV187">
        <v>1</v>
      </c>
      <c r="VW187">
        <v>1</v>
      </c>
      <c r="VX187">
        <v>1</v>
      </c>
      <c r="VY187">
        <v>1</v>
      </c>
      <c r="VZ187">
        <v>1</v>
      </c>
      <c r="WA187">
        <v>1</v>
      </c>
      <c r="WB187">
        <v>1</v>
      </c>
      <c r="WC187">
        <v>1</v>
      </c>
      <c r="WD187">
        <v>1</v>
      </c>
      <c r="WE187">
        <v>1</v>
      </c>
      <c r="WF187">
        <v>1</v>
      </c>
      <c r="WG187">
        <v>1</v>
      </c>
      <c r="WH187">
        <v>1</v>
      </c>
      <c r="WI187">
        <v>1</v>
      </c>
      <c r="WJ187">
        <v>1</v>
      </c>
      <c r="WK187">
        <v>1</v>
      </c>
      <c r="WL187">
        <v>1</v>
      </c>
      <c r="WM187">
        <v>0</v>
      </c>
      <c r="WN187">
        <v>0</v>
      </c>
      <c r="WO187">
        <v>0</v>
      </c>
      <c r="WP187">
        <v>0</v>
      </c>
      <c r="WQ187">
        <v>0</v>
      </c>
      <c r="WR187">
        <v>0</v>
      </c>
      <c r="WS187">
        <v>0</v>
      </c>
      <c r="WT187">
        <v>0</v>
      </c>
      <c r="WU187">
        <v>0</v>
      </c>
      <c r="WV187">
        <v>0</v>
      </c>
      <c r="WW187">
        <v>0</v>
      </c>
      <c r="WX187">
        <v>0</v>
      </c>
      <c r="WY187">
        <v>0</v>
      </c>
      <c r="WZ187">
        <v>0</v>
      </c>
      <c r="XA187">
        <v>0</v>
      </c>
      <c r="XB187">
        <v>1</v>
      </c>
      <c r="XC187">
        <v>1</v>
      </c>
      <c r="XD187">
        <v>1</v>
      </c>
      <c r="XE187">
        <v>1</v>
      </c>
      <c r="XF187">
        <v>1</v>
      </c>
      <c r="XG187">
        <v>1</v>
      </c>
      <c r="XH187">
        <v>1</v>
      </c>
      <c r="XI187">
        <v>1</v>
      </c>
      <c r="XJ187">
        <v>1</v>
      </c>
      <c r="XK187">
        <v>1</v>
      </c>
      <c r="XL187">
        <v>1</v>
      </c>
      <c r="XM187">
        <v>1</v>
      </c>
      <c r="XN187">
        <v>1</v>
      </c>
      <c r="XO187">
        <v>1</v>
      </c>
      <c r="XP187">
        <v>1</v>
      </c>
      <c r="XQ187">
        <v>1</v>
      </c>
      <c r="XR187">
        <v>1</v>
      </c>
      <c r="XS187">
        <v>1</v>
      </c>
      <c r="XT187">
        <v>1</v>
      </c>
      <c r="XU187">
        <v>1</v>
      </c>
      <c r="XV187">
        <v>1</v>
      </c>
      <c r="XW187">
        <v>1</v>
      </c>
      <c r="XX187">
        <v>1</v>
      </c>
      <c r="XY187">
        <v>1</v>
      </c>
      <c r="XZ187">
        <v>1</v>
      </c>
      <c r="YA187">
        <v>1</v>
      </c>
      <c r="YB187">
        <v>1</v>
      </c>
      <c r="YC187">
        <v>1</v>
      </c>
      <c r="YD187">
        <v>1</v>
      </c>
      <c r="YE187">
        <v>1</v>
      </c>
      <c r="YF187">
        <v>1</v>
      </c>
      <c r="YG187">
        <v>1</v>
      </c>
      <c r="YH187">
        <v>1</v>
      </c>
      <c r="YI187">
        <v>1</v>
      </c>
      <c r="YJ187">
        <v>1</v>
      </c>
      <c r="YK187">
        <v>1</v>
      </c>
      <c r="YL187">
        <v>1</v>
      </c>
      <c r="YM187">
        <v>1</v>
      </c>
      <c r="YN187">
        <v>1</v>
      </c>
      <c r="YO187">
        <v>1</v>
      </c>
      <c r="YP187">
        <v>1</v>
      </c>
      <c r="YQ187">
        <v>1</v>
      </c>
      <c r="YR187">
        <v>1</v>
      </c>
      <c r="YS187">
        <v>1</v>
      </c>
      <c r="YT187">
        <v>1</v>
      </c>
      <c r="YU187">
        <v>1</v>
      </c>
      <c r="YV187">
        <v>1</v>
      </c>
      <c r="YW187">
        <v>1</v>
      </c>
      <c r="YX187">
        <v>1</v>
      </c>
      <c r="YY187">
        <v>1</v>
      </c>
      <c r="YZ187">
        <v>1</v>
      </c>
      <c r="ZA187">
        <v>1</v>
      </c>
      <c r="ZB187">
        <v>1</v>
      </c>
      <c r="ZC187">
        <v>1</v>
      </c>
      <c r="ZD187">
        <v>1</v>
      </c>
      <c r="ZE187">
        <v>0</v>
      </c>
      <c r="ZF187">
        <v>0</v>
      </c>
      <c r="ZG187">
        <v>0</v>
      </c>
      <c r="ZH187">
        <v>0</v>
      </c>
      <c r="ZI187">
        <v>0</v>
      </c>
      <c r="ZJ187">
        <v>0</v>
      </c>
      <c r="ZK187">
        <v>0</v>
      </c>
      <c r="ZL187">
        <v>0</v>
      </c>
      <c r="ZM187">
        <v>0</v>
      </c>
      <c r="ZN187">
        <v>0</v>
      </c>
      <c r="ZO187">
        <v>0</v>
      </c>
      <c r="ZP187">
        <v>0</v>
      </c>
      <c r="ZQ187">
        <v>0</v>
      </c>
      <c r="ZR187">
        <v>0</v>
      </c>
      <c r="ZS187">
        <v>0</v>
      </c>
      <c r="ZT187">
        <v>0</v>
      </c>
      <c r="ZU187">
        <v>0</v>
      </c>
      <c r="ZV187">
        <v>0</v>
      </c>
      <c r="ZW187">
        <v>0</v>
      </c>
      <c r="ZX187">
        <v>0</v>
      </c>
      <c r="ZY187">
        <v>0</v>
      </c>
      <c r="ZZ187">
        <v>0</v>
      </c>
      <c r="AAA187">
        <v>0</v>
      </c>
      <c r="AAB187">
        <v>0</v>
      </c>
      <c r="AAC187">
        <v>0</v>
      </c>
      <c r="AAD187">
        <v>0</v>
      </c>
      <c r="AAE187">
        <v>0</v>
      </c>
      <c r="AAF187">
        <v>0</v>
      </c>
      <c r="AAG187">
        <v>0</v>
      </c>
      <c r="AAH187">
        <v>0</v>
      </c>
      <c r="AAI187">
        <v>0</v>
      </c>
      <c r="AAJ187">
        <v>0</v>
      </c>
      <c r="AAK187">
        <v>0</v>
      </c>
      <c r="AAL187">
        <v>0</v>
      </c>
      <c r="AAM187">
        <v>0</v>
      </c>
      <c r="AAN187">
        <v>0</v>
      </c>
      <c r="AAO187">
        <v>0</v>
      </c>
      <c r="AAP187">
        <v>0</v>
      </c>
      <c r="AAQ187">
        <v>0</v>
      </c>
      <c r="AAR187">
        <v>0</v>
      </c>
      <c r="AAS187">
        <v>0</v>
      </c>
      <c r="AAT187">
        <v>0</v>
      </c>
      <c r="AAU187">
        <v>0</v>
      </c>
      <c r="AAV187">
        <v>0</v>
      </c>
      <c r="AAW187">
        <v>0</v>
      </c>
      <c r="AAX187">
        <v>0</v>
      </c>
      <c r="AAY187">
        <v>0</v>
      </c>
      <c r="AAZ187">
        <v>0</v>
      </c>
      <c r="ABA187">
        <v>0</v>
      </c>
      <c r="ABB187">
        <v>0</v>
      </c>
      <c r="ABC187">
        <v>0</v>
      </c>
      <c r="ABD187">
        <v>0</v>
      </c>
      <c r="ABE187">
        <v>0</v>
      </c>
      <c r="ABG187" s="1137">
        <f t="shared" si="48"/>
        <v>0</v>
      </c>
      <c r="ABH187" s="1137">
        <f t="shared" si="48"/>
        <v>0</v>
      </c>
      <c r="ABI187" s="1137">
        <f t="shared" si="48"/>
        <v>16</v>
      </c>
      <c r="ABJ187" s="1137">
        <f t="shared" si="48"/>
        <v>30</v>
      </c>
      <c r="ABK187" s="1137">
        <f t="shared" si="48"/>
        <v>31</v>
      </c>
      <c r="ABL187" s="1137">
        <f t="shared" si="48"/>
        <v>30</v>
      </c>
      <c r="ABM187" s="1137">
        <f t="shared" si="48"/>
        <v>12</v>
      </c>
      <c r="ABN187" s="1137">
        <f t="shared" si="48"/>
        <v>0</v>
      </c>
      <c r="ABO187" s="1137">
        <f t="shared" si="48"/>
        <v>2</v>
      </c>
      <c r="ABP187" s="1137">
        <f t="shared" si="48"/>
        <v>31</v>
      </c>
      <c r="ABQ187" s="1137">
        <f t="shared" si="48"/>
        <v>30</v>
      </c>
      <c r="ABR187" s="1137">
        <f t="shared" si="48"/>
        <v>31</v>
      </c>
      <c r="ABS187" s="1137">
        <f t="shared" si="48"/>
        <v>31</v>
      </c>
      <c r="ABT187" s="1137">
        <f t="shared" si="48"/>
        <v>28</v>
      </c>
      <c r="ABU187" s="1137">
        <f t="shared" si="48"/>
        <v>31</v>
      </c>
      <c r="ABV187" s="1137">
        <f t="shared" si="48"/>
        <v>30</v>
      </c>
      <c r="ABW187" s="1137">
        <f t="shared" si="49"/>
        <v>31</v>
      </c>
      <c r="ABX187" s="1137">
        <f t="shared" si="49"/>
        <v>30</v>
      </c>
      <c r="ABY187" s="1137">
        <f t="shared" si="49"/>
        <v>31</v>
      </c>
      <c r="ABZ187" s="1137">
        <f t="shared" si="49"/>
        <v>30</v>
      </c>
      <c r="ACA187" s="1137">
        <f t="shared" si="49"/>
        <v>16</v>
      </c>
      <c r="ACB187" s="1137">
        <f t="shared" si="49"/>
        <v>31</v>
      </c>
      <c r="ACC187" s="1137">
        <f t="shared" si="49"/>
        <v>8</v>
      </c>
      <c r="ACD187" s="1137">
        <f t="shared" si="49"/>
        <v>0</v>
      </c>
      <c r="ACE187" s="1137" t="s">
        <v>77</v>
      </c>
      <c r="ACF187" s="1137">
        <f t="shared" si="47"/>
        <v>0</v>
      </c>
      <c r="ACG187" s="1137">
        <f t="shared" si="47"/>
        <v>0</v>
      </c>
      <c r="ACH187" s="1137">
        <f t="shared" si="47"/>
        <v>1</v>
      </c>
      <c r="ACI187" s="1137">
        <f t="shared" si="47"/>
        <v>1</v>
      </c>
      <c r="ACJ187" s="1137">
        <f t="shared" si="47"/>
        <v>1</v>
      </c>
      <c r="ACK187" s="1137">
        <f t="shared" si="47"/>
        <v>1</v>
      </c>
      <c r="ACL187" s="1137">
        <f t="shared" si="47"/>
        <v>1</v>
      </c>
      <c r="ACM187" s="1137">
        <f t="shared" si="47"/>
        <v>0</v>
      </c>
      <c r="ACN187" s="1137">
        <f t="shared" si="47"/>
        <v>0</v>
      </c>
      <c r="ACO187" s="1137">
        <f t="shared" si="47"/>
        <v>1</v>
      </c>
      <c r="ACP187" s="1137">
        <f t="shared" si="47"/>
        <v>1</v>
      </c>
      <c r="ACQ187" s="1137">
        <f t="shared" si="47"/>
        <v>1</v>
      </c>
      <c r="ACR187" s="1137">
        <f t="shared" si="47"/>
        <v>1</v>
      </c>
      <c r="ACS187" s="1137">
        <f t="shared" si="47"/>
        <v>1</v>
      </c>
      <c r="ACT187" s="1137">
        <f t="shared" si="43"/>
        <v>1</v>
      </c>
      <c r="ACU187" s="1137">
        <f t="shared" si="43"/>
        <v>1</v>
      </c>
      <c r="ACV187" s="1137">
        <f t="shared" si="43"/>
        <v>1</v>
      </c>
      <c r="ACW187" s="1137">
        <f t="shared" si="43"/>
        <v>1</v>
      </c>
      <c r="ACX187" s="1137">
        <f t="shared" si="42"/>
        <v>1</v>
      </c>
      <c r="ACY187" s="1137">
        <f t="shared" si="42"/>
        <v>1</v>
      </c>
      <c r="ACZ187" s="1137">
        <f t="shared" si="42"/>
        <v>1</v>
      </c>
      <c r="ADA187" s="1137">
        <f t="shared" si="35"/>
        <v>1</v>
      </c>
      <c r="ADB187" s="1137">
        <f t="shared" si="35"/>
        <v>0</v>
      </c>
      <c r="ADC187" s="1137">
        <f t="shared" si="35"/>
        <v>0</v>
      </c>
    </row>
    <row r="188" spans="1:783" x14ac:dyDescent="0.25">
      <c r="A188" t="s">
        <v>1987</v>
      </c>
      <c r="B188" t="s">
        <v>64</v>
      </c>
      <c r="C188">
        <v>0</v>
      </c>
      <c r="D188">
        <v>0</v>
      </c>
      <c r="E188">
        <v>0</v>
      </c>
      <c r="F188">
        <v>0</v>
      </c>
      <c r="G188">
        <v>0</v>
      </c>
      <c r="H188">
        <v>0</v>
      </c>
      <c r="I188">
        <v>0</v>
      </c>
      <c r="J188">
        <v>0</v>
      </c>
      <c r="K188">
        <v>0</v>
      </c>
      <c r="L188">
        <v>0</v>
      </c>
      <c r="M188">
        <v>0</v>
      </c>
      <c r="N188">
        <v>0</v>
      </c>
      <c r="O188">
        <v>0</v>
      </c>
      <c r="P188">
        <v>0</v>
      </c>
      <c r="Q188">
        <v>0</v>
      </c>
      <c r="R188">
        <v>0</v>
      </c>
      <c r="S188">
        <v>0</v>
      </c>
      <c r="T188">
        <v>0</v>
      </c>
      <c r="U188">
        <v>0</v>
      </c>
      <c r="V188">
        <v>0</v>
      </c>
      <c r="W188">
        <v>0</v>
      </c>
      <c r="X188">
        <v>0</v>
      </c>
      <c r="Y188">
        <v>0</v>
      </c>
      <c r="Z188">
        <v>0</v>
      </c>
      <c r="AA188">
        <v>0</v>
      </c>
      <c r="AB188">
        <v>0</v>
      </c>
      <c r="AC188">
        <v>0</v>
      </c>
      <c r="AD188">
        <v>0</v>
      </c>
      <c r="AE188">
        <v>0</v>
      </c>
      <c r="AF188">
        <v>0</v>
      </c>
      <c r="AG188">
        <v>0</v>
      </c>
      <c r="AH188">
        <v>0</v>
      </c>
      <c r="AI188">
        <v>0</v>
      </c>
      <c r="AJ188">
        <v>0</v>
      </c>
      <c r="AK188">
        <v>0</v>
      </c>
      <c r="AL188">
        <v>0</v>
      </c>
      <c r="AM188">
        <v>0</v>
      </c>
      <c r="AN188">
        <v>0</v>
      </c>
      <c r="AO188">
        <v>0</v>
      </c>
      <c r="AP188">
        <v>0</v>
      </c>
      <c r="AQ188">
        <v>0</v>
      </c>
      <c r="AR188">
        <v>0</v>
      </c>
      <c r="AS188">
        <v>0</v>
      </c>
      <c r="AT188">
        <v>0</v>
      </c>
      <c r="AU188">
        <v>0</v>
      </c>
      <c r="AV188">
        <v>0</v>
      </c>
      <c r="AW188">
        <v>0</v>
      </c>
      <c r="AX188">
        <v>0</v>
      </c>
      <c r="AY188">
        <v>0</v>
      </c>
      <c r="AZ188">
        <v>0</v>
      </c>
      <c r="BA188">
        <v>0</v>
      </c>
      <c r="BB188">
        <v>0</v>
      </c>
      <c r="BC188">
        <v>0</v>
      </c>
      <c r="BD188">
        <v>0</v>
      </c>
      <c r="BE188">
        <v>0</v>
      </c>
      <c r="BF188">
        <v>0</v>
      </c>
      <c r="BG188">
        <v>0</v>
      </c>
      <c r="BH188">
        <v>0</v>
      </c>
      <c r="BI188">
        <v>0</v>
      </c>
      <c r="BJ188">
        <v>0</v>
      </c>
      <c r="BK188">
        <v>0</v>
      </c>
      <c r="BL188">
        <v>0</v>
      </c>
      <c r="BM188">
        <v>0</v>
      </c>
      <c r="BN188">
        <v>0</v>
      </c>
      <c r="BO188">
        <v>0</v>
      </c>
      <c r="BP188">
        <v>0</v>
      </c>
      <c r="BQ188">
        <v>0</v>
      </c>
      <c r="BR188">
        <v>0</v>
      </c>
      <c r="BS188">
        <v>0</v>
      </c>
      <c r="BT188">
        <v>0</v>
      </c>
      <c r="BU188">
        <v>0</v>
      </c>
      <c r="BV188">
        <v>0</v>
      </c>
      <c r="BW188">
        <v>0</v>
      </c>
      <c r="BX188">
        <v>0</v>
      </c>
      <c r="BY188">
        <v>1</v>
      </c>
      <c r="BZ188">
        <v>1</v>
      </c>
      <c r="CA188">
        <v>1</v>
      </c>
      <c r="CB188">
        <v>1</v>
      </c>
      <c r="CC188">
        <v>1</v>
      </c>
      <c r="CD188">
        <v>1</v>
      </c>
      <c r="CE188">
        <v>1</v>
      </c>
      <c r="CF188">
        <v>1</v>
      </c>
      <c r="CG188">
        <v>1</v>
      </c>
      <c r="CH188">
        <v>1</v>
      </c>
      <c r="CI188">
        <v>1</v>
      </c>
      <c r="CJ188">
        <v>2</v>
      </c>
      <c r="CK188">
        <v>2</v>
      </c>
      <c r="CL188">
        <v>2</v>
      </c>
      <c r="CM188">
        <v>2</v>
      </c>
      <c r="CN188">
        <v>2</v>
      </c>
      <c r="CO188">
        <v>2</v>
      </c>
      <c r="CP188">
        <v>2</v>
      </c>
      <c r="CQ188">
        <v>2</v>
      </c>
      <c r="CR188">
        <v>2</v>
      </c>
      <c r="CS188">
        <v>2</v>
      </c>
      <c r="CT188">
        <v>2</v>
      </c>
      <c r="CU188">
        <v>2</v>
      </c>
      <c r="CV188">
        <v>2</v>
      </c>
      <c r="CW188">
        <v>2</v>
      </c>
      <c r="CX188">
        <v>2</v>
      </c>
      <c r="CY188">
        <v>2</v>
      </c>
      <c r="CZ188">
        <v>2</v>
      </c>
      <c r="DA188">
        <v>2</v>
      </c>
      <c r="DB188">
        <v>2</v>
      </c>
      <c r="DC188">
        <v>2</v>
      </c>
      <c r="DD188">
        <v>2</v>
      </c>
      <c r="DE188">
        <v>2</v>
      </c>
      <c r="DF188">
        <v>2</v>
      </c>
      <c r="DG188">
        <v>2</v>
      </c>
      <c r="DH188">
        <v>2</v>
      </c>
      <c r="DI188">
        <v>2</v>
      </c>
      <c r="DJ188">
        <v>2</v>
      </c>
      <c r="DK188">
        <v>2</v>
      </c>
      <c r="DL188">
        <v>2</v>
      </c>
      <c r="DM188">
        <v>2</v>
      </c>
      <c r="DN188">
        <v>2</v>
      </c>
      <c r="DO188">
        <v>2</v>
      </c>
      <c r="DP188">
        <v>2</v>
      </c>
      <c r="DQ188">
        <v>2</v>
      </c>
      <c r="DR188">
        <v>2</v>
      </c>
      <c r="DS188">
        <v>2</v>
      </c>
      <c r="DT188">
        <v>2</v>
      </c>
      <c r="DU188">
        <v>2</v>
      </c>
      <c r="DV188">
        <v>2</v>
      </c>
      <c r="DW188">
        <v>2</v>
      </c>
      <c r="DX188">
        <v>2</v>
      </c>
      <c r="DY188">
        <v>2</v>
      </c>
      <c r="DZ188">
        <v>2</v>
      </c>
      <c r="EA188">
        <v>2</v>
      </c>
      <c r="EB188">
        <v>2</v>
      </c>
      <c r="EC188">
        <v>2</v>
      </c>
      <c r="ED188">
        <v>2</v>
      </c>
      <c r="EE188">
        <v>2</v>
      </c>
      <c r="EF188">
        <v>2</v>
      </c>
      <c r="EG188">
        <v>2</v>
      </c>
      <c r="EH188">
        <v>2</v>
      </c>
      <c r="EI188">
        <v>2</v>
      </c>
      <c r="EJ188">
        <v>2</v>
      </c>
      <c r="EK188">
        <v>2</v>
      </c>
      <c r="EL188">
        <v>2</v>
      </c>
      <c r="EM188">
        <v>2</v>
      </c>
      <c r="EN188">
        <v>2</v>
      </c>
      <c r="EO188">
        <v>2</v>
      </c>
      <c r="EP188">
        <v>2</v>
      </c>
      <c r="EQ188">
        <v>2</v>
      </c>
      <c r="ER188">
        <v>2</v>
      </c>
      <c r="ES188">
        <v>2</v>
      </c>
      <c r="ET188">
        <v>2</v>
      </c>
      <c r="EU188">
        <v>2</v>
      </c>
      <c r="EV188">
        <v>2</v>
      </c>
      <c r="EW188">
        <v>2</v>
      </c>
      <c r="EX188">
        <v>2</v>
      </c>
      <c r="EY188">
        <v>2</v>
      </c>
      <c r="EZ188">
        <v>2</v>
      </c>
      <c r="FA188">
        <v>2</v>
      </c>
      <c r="FB188">
        <v>2</v>
      </c>
      <c r="FC188">
        <v>2</v>
      </c>
      <c r="FD188">
        <v>2</v>
      </c>
      <c r="FE188">
        <v>2</v>
      </c>
      <c r="FF188">
        <v>2</v>
      </c>
      <c r="FG188">
        <v>2</v>
      </c>
      <c r="FH188">
        <v>2</v>
      </c>
      <c r="FI188">
        <v>2</v>
      </c>
      <c r="FJ188">
        <v>2</v>
      </c>
      <c r="FK188">
        <v>2</v>
      </c>
      <c r="FL188">
        <v>2</v>
      </c>
      <c r="FM188">
        <v>2</v>
      </c>
      <c r="FN188">
        <v>2</v>
      </c>
      <c r="FO188">
        <v>2</v>
      </c>
      <c r="FP188">
        <v>2</v>
      </c>
      <c r="FQ188">
        <v>2</v>
      </c>
      <c r="FR188">
        <v>2</v>
      </c>
      <c r="FS188">
        <v>2</v>
      </c>
      <c r="FT188">
        <v>2</v>
      </c>
      <c r="FU188">
        <v>2</v>
      </c>
      <c r="FV188">
        <v>2</v>
      </c>
      <c r="FW188">
        <v>2</v>
      </c>
      <c r="FX188">
        <v>2</v>
      </c>
      <c r="FY188">
        <v>2</v>
      </c>
      <c r="FZ188">
        <v>2</v>
      </c>
      <c r="GA188">
        <v>2</v>
      </c>
      <c r="GB188">
        <v>2</v>
      </c>
      <c r="GC188">
        <v>2</v>
      </c>
      <c r="GD188">
        <v>2</v>
      </c>
      <c r="GE188">
        <v>2</v>
      </c>
      <c r="GF188">
        <v>2</v>
      </c>
      <c r="GG188">
        <v>2</v>
      </c>
      <c r="GH188">
        <v>2</v>
      </c>
      <c r="GI188">
        <v>2</v>
      </c>
      <c r="GJ188">
        <v>2</v>
      </c>
      <c r="GK188">
        <v>2</v>
      </c>
      <c r="GL188">
        <v>2</v>
      </c>
      <c r="GM188">
        <v>2</v>
      </c>
      <c r="GN188">
        <v>2</v>
      </c>
      <c r="GO188">
        <v>2</v>
      </c>
      <c r="GP188">
        <v>2</v>
      </c>
      <c r="GQ188">
        <v>2</v>
      </c>
      <c r="GR188">
        <v>2</v>
      </c>
      <c r="GS188">
        <v>2</v>
      </c>
      <c r="GT188">
        <v>2</v>
      </c>
      <c r="GU188">
        <v>2</v>
      </c>
      <c r="GV188">
        <v>2</v>
      </c>
      <c r="GW188">
        <v>2</v>
      </c>
      <c r="GX188">
        <v>2</v>
      </c>
      <c r="GY188">
        <v>2</v>
      </c>
      <c r="GZ188">
        <v>2</v>
      </c>
      <c r="HA188">
        <v>2</v>
      </c>
      <c r="HB188">
        <v>2</v>
      </c>
      <c r="HC188">
        <v>2</v>
      </c>
      <c r="HD188">
        <v>2</v>
      </c>
      <c r="HE188">
        <v>2</v>
      </c>
      <c r="HF188">
        <v>2</v>
      </c>
      <c r="HG188">
        <v>2</v>
      </c>
      <c r="HH188">
        <v>2</v>
      </c>
      <c r="HI188">
        <v>2</v>
      </c>
      <c r="HJ188">
        <v>2</v>
      </c>
      <c r="HK188">
        <v>2</v>
      </c>
      <c r="HL188">
        <v>2</v>
      </c>
      <c r="HM188">
        <v>2</v>
      </c>
      <c r="HN188">
        <v>2</v>
      </c>
      <c r="HO188">
        <v>2</v>
      </c>
      <c r="HP188">
        <v>2</v>
      </c>
      <c r="HQ188">
        <v>2</v>
      </c>
      <c r="HR188">
        <v>2</v>
      </c>
      <c r="HS188">
        <v>2</v>
      </c>
      <c r="HT188">
        <v>2</v>
      </c>
      <c r="HU188">
        <v>2</v>
      </c>
      <c r="HV188">
        <v>2</v>
      </c>
      <c r="HW188">
        <v>2</v>
      </c>
      <c r="HX188">
        <v>2</v>
      </c>
      <c r="HY188">
        <v>1</v>
      </c>
      <c r="HZ188">
        <v>1</v>
      </c>
      <c r="IA188">
        <v>1</v>
      </c>
      <c r="IB188">
        <v>1</v>
      </c>
      <c r="IC188">
        <v>1</v>
      </c>
      <c r="ID188">
        <v>1</v>
      </c>
      <c r="IE188">
        <v>1</v>
      </c>
      <c r="IF188">
        <v>1</v>
      </c>
      <c r="IG188">
        <v>1</v>
      </c>
      <c r="IH188">
        <v>1</v>
      </c>
      <c r="II188">
        <v>1</v>
      </c>
      <c r="IJ188">
        <v>1</v>
      </c>
      <c r="IK188">
        <v>1</v>
      </c>
      <c r="IL188">
        <v>1</v>
      </c>
      <c r="IM188">
        <v>1</v>
      </c>
      <c r="IN188">
        <v>1</v>
      </c>
      <c r="IO188">
        <v>1</v>
      </c>
      <c r="IP188">
        <v>1</v>
      </c>
      <c r="IQ188">
        <v>1</v>
      </c>
      <c r="IR188">
        <v>1</v>
      </c>
      <c r="IS188">
        <v>1</v>
      </c>
      <c r="IT188">
        <v>1</v>
      </c>
      <c r="IU188">
        <v>1</v>
      </c>
      <c r="IV188">
        <v>1</v>
      </c>
      <c r="IW188">
        <v>1</v>
      </c>
      <c r="IX188">
        <v>1</v>
      </c>
      <c r="IY188">
        <v>1</v>
      </c>
      <c r="IZ188">
        <v>1</v>
      </c>
      <c r="JA188">
        <v>1</v>
      </c>
      <c r="JB188">
        <v>1</v>
      </c>
      <c r="JC188">
        <v>1</v>
      </c>
      <c r="JD188">
        <v>1</v>
      </c>
      <c r="JE188">
        <v>1</v>
      </c>
      <c r="JF188">
        <v>1</v>
      </c>
      <c r="JG188">
        <v>1</v>
      </c>
      <c r="JH188">
        <v>1</v>
      </c>
      <c r="JI188">
        <v>1</v>
      </c>
      <c r="JJ188">
        <v>1</v>
      </c>
      <c r="JK188">
        <v>1</v>
      </c>
      <c r="JL188">
        <v>1</v>
      </c>
      <c r="JM188">
        <v>1</v>
      </c>
      <c r="JN188">
        <v>1</v>
      </c>
      <c r="JO188">
        <v>1</v>
      </c>
      <c r="JP188">
        <v>1</v>
      </c>
      <c r="JQ188">
        <v>1</v>
      </c>
      <c r="JR188">
        <v>1</v>
      </c>
      <c r="JS188">
        <v>1</v>
      </c>
      <c r="JT188">
        <v>1</v>
      </c>
      <c r="JU188">
        <v>1</v>
      </c>
      <c r="JV188">
        <v>1</v>
      </c>
      <c r="JW188">
        <v>1</v>
      </c>
      <c r="JX188">
        <v>1</v>
      </c>
      <c r="JY188">
        <v>1</v>
      </c>
      <c r="JZ188">
        <v>1</v>
      </c>
      <c r="KA188">
        <v>1</v>
      </c>
      <c r="KB188">
        <v>1</v>
      </c>
      <c r="KC188">
        <v>1</v>
      </c>
      <c r="KD188">
        <v>1</v>
      </c>
      <c r="KE188">
        <v>1</v>
      </c>
      <c r="KF188">
        <v>1</v>
      </c>
      <c r="KG188">
        <v>1</v>
      </c>
      <c r="KH188">
        <v>1</v>
      </c>
      <c r="KI188">
        <v>1</v>
      </c>
      <c r="KJ188">
        <v>1</v>
      </c>
      <c r="KK188">
        <v>1</v>
      </c>
      <c r="KL188">
        <v>1</v>
      </c>
      <c r="KM188">
        <v>1</v>
      </c>
      <c r="KN188">
        <v>1</v>
      </c>
      <c r="KO188">
        <v>1</v>
      </c>
      <c r="KP188">
        <v>1</v>
      </c>
      <c r="KQ188">
        <v>1</v>
      </c>
      <c r="KR188">
        <v>1</v>
      </c>
      <c r="KS188">
        <v>1</v>
      </c>
      <c r="KT188">
        <v>1</v>
      </c>
      <c r="KU188">
        <v>1</v>
      </c>
      <c r="KV188">
        <v>0</v>
      </c>
      <c r="KW188">
        <v>0</v>
      </c>
      <c r="KX188">
        <v>0</v>
      </c>
      <c r="KY188">
        <v>0</v>
      </c>
      <c r="KZ188">
        <v>0</v>
      </c>
      <c r="LA188">
        <v>0</v>
      </c>
      <c r="LB188">
        <v>0</v>
      </c>
      <c r="LC188">
        <v>0</v>
      </c>
      <c r="LD188">
        <v>0</v>
      </c>
      <c r="LE188">
        <v>0</v>
      </c>
      <c r="LF188">
        <v>0</v>
      </c>
      <c r="LG188">
        <v>0</v>
      </c>
      <c r="LH188">
        <v>0</v>
      </c>
      <c r="LI188">
        <v>0</v>
      </c>
      <c r="LJ188">
        <v>0</v>
      </c>
      <c r="LK188">
        <v>0</v>
      </c>
      <c r="LL188">
        <v>0</v>
      </c>
      <c r="LM188">
        <v>0</v>
      </c>
      <c r="LN188">
        <v>0</v>
      </c>
      <c r="LO188">
        <v>0</v>
      </c>
      <c r="LP188">
        <v>0</v>
      </c>
      <c r="LQ188">
        <v>0</v>
      </c>
      <c r="LR188">
        <v>0</v>
      </c>
      <c r="LS188">
        <v>0</v>
      </c>
      <c r="LT188">
        <v>0</v>
      </c>
      <c r="LU188">
        <v>0</v>
      </c>
      <c r="LV188">
        <v>0</v>
      </c>
      <c r="LW188">
        <v>0</v>
      </c>
      <c r="LX188">
        <v>0</v>
      </c>
      <c r="LY188">
        <v>0</v>
      </c>
      <c r="LZ188">
        <v>0</v>
      </c>
      <c r="MA188">
        <v>0</v>
      </c>
      <c r="MB188">
        <v>0</v>
      </c>
      <c r="MC188">
        <v>0</v>
      </c>
      <c r="MD188">
        <v>0</v>
      </c>
      <c r="ME188">
        <v>0</v>
      </c>
      <c r="MF188">
        <v>0</v>
      </c>
      <c r="MG188">
        <v>0</v>
      </c>
      <c r="MH188">
        <v>0</v>
      </c>
      <c r="MI188">
        <v>0</v>
      </c>
      <c r="MJ188">
        <v>0</v>
      </c>
      <c r="MK188">
        <v>0</v>
      </c>
      <c r="ML188">
        <v>0</v>
      </c>
      <c r="MM188">
        <v>0</v>
      </c>
      <c r="MN188">
        <v>0</v>
      </c>
      <c r="MO188">
        <v>0</v>
      </c>
      <c r="MP188">
        <v>0</v>
      </c>
      <c r="MQ188">
        <v>0</v>
      </c>
      <c r="MR188">
        <v>0</v>
      </c>
      <c r="MS188">
        <v>0</v>
      </c>
      <c r="MT188">
        <v>0</v>
      </c>
      <c r="MU188">
        <v>1</v>
      </c>
      <c r="MV188">
        <v>1</v>
      </c>
      <c r="MW188">
        <v>1</v>
      </c>
      <c r="MX188">
        <v>1</v>
      </c>
      <c r="MY188">
        <v>1</v>
      </c>
      <c r="MZ188">
        <v>1</v>
      </c>
      <c r="NA188">
        <v>1</v>
      </c>
      <c r="NB188">
        <v>1</v>
      </c>
      <c r="NC188">
        <v>1</v>
      </c>
      <c r="ND188">
        <v>1</v>
      </c>
      <c r="NE188">
        <v>1</v>
      </c>
      <c r="NF188">
        <v>1</v>
      </c>
      <c r="NG188">
        <v>1</v>
      </c>
      <c r="NH188">
        <v>2</v>
      </c>
      <c r="NI188">
        <v>2</v>
      </c>
      <c r="NJ188">
        <v>2</v>
      </c>
      <c r="NK188">
        <v>2</v>
      </c>
      <c r="NL188">
        <v>2</v>
      </c>
      <c r="NM188">
        <v>2</v>
      </c>
      <c r="NN188">
        <v>2</v>
      </c>
      <c r="NO188">
        <v>2</v>
      </c>
      <c r="NP188">
        <v>0</v>
      </c>
      <c r="NQ188">
        <v>0</v>
      </c>
      <c r="NR188">
        <v>0</v>
      </c>
      <c r="NS188">
        <v>0</v>
      </c>
      <c r="NT188">
        <v>0</v>
      </c>
      <c r="NU188">
        <v>0</v>
      </c>
      <c r="NV188">
        <v>0</v>
      </c>
      <c r="NW188">
        <v>0</v>
      </c>
      <c r="NX188">
        <v>0</v>
      </c>
      <c r="NY188">
        <v>0</v>
      </c>
      <c r="NZ188">
        <v>0</v>
      </c>
      <c r="OA188">
        <v>0</v>
      </c>
      <c r="OB188">
        <v>0</v>
      </c>
      <c r="OC188">
        <v>0</v>
      </c>
      <c r="OD188">
        <v>0</v>
      </c>
      <c r="OE188">
        <v>0</v>
      </c>
      <c r="OF188">
        <v>0</v>
      </c>
      <c r="OG188">
        <v>0</v>
      </c>
      <c r="OH188">
        <v>0</v>
      </c>
      <c r="OI188">
        <v>0</v>
      </c>
      <c r="OJ188">
        <v>0</v>
      </c>
      <c r="OK188">
        <v>0</v>
      </c>
      <c r="OL188">
        <v>0</v>
      </c>
      <c r="OM188">
        <v>0</v>
      </c>
      <c r="ON188">
        <v>0</v>
      </c>
      <c r="OO188">
        <v>0</v>
      </c>
      <c r="OP188">
        <v>0</v>
      </c>
      <c r="OQ188">
        <v>0</v>
      </c>
      <c r="OR188">
        <v>0</v>
      </c>
      <c r="OS188">
        <v>0</v>
      </c>
      <c r="OT188">
        <v>0</v>
      </c>
      <c r="OU188">
        <v>0</v>
      </c>
      <c r="OV188">
        <v>0</v>
      </c>
      <c r="OW188">
        <v>0</v>
      </c>
      <c r="OX188">
        <v>0</v>
      </c>
      <c r="OY188">
        <v>0</v>
      </c>
      <c r="OZ188">
        <v>0</v>
      </c>
      <c r="PA188">
        <v>0</v>
      </c>
      <c r="PB188">
        <v>0</v>
      </c>
      <c r="PC188">
        <v>0</v>
      </c>
      <c r="PD188">
        <v>0</v>
      </c>
      <c r="PE188">
        <v>0</v>
      </c>
      <c r="PF188">
        <v>0</v>
      </c>
      <c r="PG188">
        <v>0</v>
      </c>
      <c r="PH188">
        <v>0</v>
      </c>
      <c r="PI188">
        <v>0</v>
      </c>
      <c r="PJ188">
        <v>0</v>
      </c>
      <c r="PK188">
        <v>0</v>
      </c>
      <c r="PL188">
        <v>0</v>
      </c>
      <c r="PM188">
        <v>0</v>
      </c>
      <c r="PN188">
        <v>0</v>
      </c>
      <c r="PO188">
        <v>0</v>
      </c>
      <c r="PP188">
        <v>0</v>
      </c>
      <c r="PQ188">
        <v>0</v>
      </c>
      <c r="PR188">
        <v>0</v>
      </c>
      <c r="PS188">
        <v>0</v>
      </c>
      <c r="PT188">
        <v>0</v>
      </c>
      <c r="PU188">
        <v>0</v>
      </c>
      <c r="PV188">
        <v>0</v>
      </c>
      <c r="PW188">
        <v>0</v>
      </c>
      <c r="PX188">
        <v>0</v>
      </c>
      <c r="PY188">
        <v>0</v>
      </c>
      <c r="PZ188">
        <v>0</v>
      </c>
      <c r="QA188">
        <v>0</v>
      </c>
      <c r="QB188">
        <v>0</v>
      </c>
      <c r="QC188">
        <v>0</v>
      </c>
      <c r="QD188">
        <v>0</v>
      </c>
      <c r="QE188">
        <v>0</v>
      </c>
      <c r="QF188">
        <v>0</v>
      </c>
      <c r="QG188">
        <v>0</v>
      </c>
      <c r="QH188">
        <v>0</v>
      </c>
      <c r="QI188">
        <v>0</v>
      </c>
      <c r="QJ188">
        <v>0</v>
      </c>
      <c r="QK188">
        <v>0</v>
      </c>
      <c r="QL188">
        <v>0</v>
      </c>
      <c r="QM188">
        <v>0</v>
      </c>
      <c r="QN188">
        <v>0</v>
      </c>
      <c r="QO188">
        <v>0</v>
      </c>
      <c r="QP188">
        <v>0</v>
      </c>
      <c r="QQ188">
        <v>0</v>
      </c>
      <c r="QR188">
        <v>0</v>
      </c>
      <c r="QS188">
        <v>0</v>
      </c>
      <c r="QT188">
        <v>0</v>
      </c>
      <c r="QU188">
        <v>0</v>
      </c>
      <c r="QV188">
        <v>0</v>
      </c>
      <c r="QW188">
        <v>0</v>
      </c>
      <c r="QX188">
        <v>0</v>
      </c>
      <c r="QY188">
        <v>0</v>
      </c>
      <c r="QZ188">
        <v>0</v>
      </c>
      <c r="RA188">
        <v>0</v>
      </c>
      <c r="RB188">
        <v>0</v>
      </c>
      <c r="RC188">
        <v>0</v>
      </c>
      <c r="RD188">
        <v>0</v>
      </c>
      <c r="RE188">
        <v>0</v>
      </c>
      <c r="RF188">
        <v>0</v>
      </c>
      <c r="RG188">
        <v>0</v>
      </c>
      <c r="RH188">
        <v>0</v>
      </c>
      <c r="RI188">
        <v>0</v>
      </c>
      <c r="RJ188">
        <v>0</v>
      </c>
      <c r="RK188">
        <v>0</v>
      </c>
      <c r="RL188">
        <v>0</v>
      </c>
      <c r="RM188">
        <v>0</v>
      </c>
      <c r="RN188">
        <v>0</v>
      </c>
      <c r="RO188">
        <v>0</v>
      </c>
      <c r="RP188">
        <v>0</v>
      </c>
      <c r="RQ188">
        <v>0</v>
      </c>
      <c r="RR188">
        <v>0</v>
      </c>
      <c r="RS188">
        <v>0</v>
      </c>
      <c r="RT188">
        <v>0</v>
      </c>
      <c r="RU188">
        <v>0</v>
      </c>
      <c r="RV188">
        <v>0</v>
      </c>
      <c r="RW188">
        <v>0</v>
      </c>
      <c r="RX188">
        <v>0</v>
      </c>
      <c r="RY188">
        <v>0</v>
      </c>
      <c r="RZ188">
        <v>0</v>
      </c>
      <c r="SA188">
        <v>0</v>
      </c>
      <c r="SB188">
        <v>0</v>
      </c>
      <c r="SC188">
        <v>0</v>
      </c>
      <c r="SD188">
        <v>0</v>
      </c>
      <c r="SE188">
        <v>0</v>
      </c>
      <c r="SF188">
        <v>0</v>
      </c>
      <c r="SG188">
        <v>0</v>
      </c>
      <c r="SH188">
        <v>0</v>
      </c>
      <c r="SI188">
        <v>0</v>
      </c>
      <c r="SJ188">
        <v>0</v>
      </c>
      <c r="SK188">
        <v>0</v>
      </c>
      <c r="SL188">
        <v>0</v>
      </c>
      <c r="SM188">
        <v>0</v>
      </c>
      <c r="SN188">
        <v>0</v>
      </c>
      <c r="SO188">
        <v>0</v>
      </c>
      <c r="SP188">
        <v>0</v>
      </c>
      <c r="SQ188">
        <v>0</v>
      </c>
      <c r="SR188">
        <v>0</v>
      </c>
      <c r="SS188">
        <v>0</v>
      </c>
      <c r="ST188">
        <v>0</v>
      </c>
      <c r="SU188">
        <v>0</v>
      </c>
      <c r="SV188">
        <v>0</v>
      </c>
      <c r="SW188">
        <v>0</v>
      </c>
      <c r="SX188">
        <v>0</v>
      </c>
      <c r="SY188">
        <v>0</v>
      </c>
      <c r="SZ188">
        <v>0</v>
      </c>
      <c r="TA188">
        <v>0</v>
      </c>
      <c r="TB188">
        <v>0</v>
      </c>
      <c r="TC188">
        <v>0</v>
      </c>
      <c r="TD188">
        <v>0</v>
      </c>
      <c r="TE188">
        <v>0</v>
      </c>
      <c r="TF188">
        <v>0</v>
      </c>
      <c r="TG188">
        <v>0</v>
      </c>
      <c r="TH188">
        <v>0</v>
      </c>
      <c r="TI188">
        <v>0</v>
      </c>
      <c r="TJ188">
        <v>0</v>
      </c>
      <c r="TK188">
        <v>0</v>
      </c>
      <c r="TL188">
        <v>0</v>
      </c>
      <c r="TM188">
        <v>0</v>
      </c>
      <c r="TN188">
        <v>0</v>
      </c>
      <c r="TO188">
        <v>2</v>
      </c>
      <c r="TP188">
        <v>2</v>
      </c>
      <c r="TQ188">
        <v>2</v>
      </c>
      <c r="TR188">
        <v>2</v>
      </c>
      <c r="TS188">
        <v>2</v>
      </c>
      <c r="TT188">
        <v>2</v>
      </c>
      <c r="TU188">
        <v>0</v>
      </c>
      <c r="TV188">
        <v>0</v>
      </c>
      <c r="TW188">
        <v>0</v>
      </c>
      <c r="TX188">
        <v>0</v>
      </c>
      <c r="TY188">
        <v>0</v>
      </c>
      <c r="TZ188">
        <v>2</v>
      </c>
      <c r="UA188">
        <v>2</v>
      </c>
      <c r="UB188">
        <v>2</v>
      </c>
      <c r="UC188">
        <v>2</v>
      </c>
      <c r="UD188">
        <v>2</v>
      </c>
      <c r="UE188">
        <v>2</v>
      </c>
      <c r="UF188">
        <v>2</v>
      </c>
      <c r="UG188">
        <v>2</v>
      </c>
      <c r="UH188">
        <v>2</v>
      </c>
      <c r="UI188">
        <v>2</v>
      </c>
      <c r="UJ188">
        <v>2</v>
      </c>
      <c r="UK188">
        <v>2</v>
      </c>
      <c r="UL188">
        <v>2</v>
      </c>
      <c r="UM188">
        <v>2</v>
      </c>
      <c r="UN188">
        <v>2</v>
      </c>
      <c r="UO188">
        <v>2</v>
      </c>
      <c r="UP188">
        <v>2</v>
      </c>
      <c r="UQ188">
        <v>2</v>
      </c>
      <c r="UR188">
        <v>2</v>
      </c>
      <c r="US188">
        <v>2</v>
      </c>
      <c r="UT188">
        <v>2</v>
      </c>
      <c r="UU188">
        <v>2</v>
      </c>
      <c r="UV188">
        <v>2</v>
      </c>
      <c r="UW188">
        <v>2</v>
      </c>
      <c r="UX188">
        <v>2</v>
      </c>
      <c r="UY188">
        <v>2</v>
      </c>
      <c r="UZ188">
        <v>2</v>
      </c>
      <c r="VA188">
        <v>2</v>
      </c>
      <c r="VB188">
        <v>2</v>
      </c>
      <c r="VC188">
        <v>0</v>
      </c>
      <c r="VD188">
        <v>0</v>
      </c>
      <c r="VE188">
        <v>0</v>
      </c>
      <c r="VF188">
        <v>0</v>
      </c>
      <c r="VG188">
        <v>0</v>
      </c>
      <c r="VH188">
        <v>0</v>
      </c>
      <c r="VI188">
        <v>0</v>
      </c>
      <c r="VJ188">
        <v>0</v>
      </c>
      <c r="VK188">
        <v>0</v>
      </c>
      <c r="VL188">
        <v>0</v>
      </c>
      <c r="VM188">
        <v>0</v>
      </c>
      <c r="VN188">
        <v>0</v>
      </c>
      <c r="VO188">
        <v>0</v>
      </c>
      <c r="VP188">
        <v>0</v>
      </c>
      <c r="VQ188">
        <v>0</v>
      </c>
      <c r="VR188">
        <v>0</v>
      </c>
      <c r="VS188">
        <v>0</v>
      </c>
      <c r="VT188">
        <v>0</v>
      </c>
      <c r="VU188">
        <v>0</v>
      </c>
      <c r="VV188">
        <v>0</v>
      </c>
      <c r="VW188">
        <v>0</v>
      </c>
      <c r="VX188">
        <v>0</v>
      </c>
      <c r="VY188">
        <v>0</v>
      </c>
      <c r="VZ188">
        <v>0</v>
      </c>
      <c r="WA188">
        <v>0</v>
      </c>
      <c r="WB188">
        <v>0</v>
      </c>
      <c r="WC188">
        <v>0</v>
      </c>
      <c r="WD188">
        <v>0</v>
      </c>
      <c r="WE188">
        <v>0</v>
      </c>
      <c r="WF188">
        <v>0</v>
      </c>
      <c r="WG188">
        <v>0</v>
      </c>
      <c r="WH188">
        <v>0</v>
      </c>
      <c r="WI188">
        <v>0</v>
      </c>
      <c r="WJ188">
        <v>0</v>
      </c>
      <c r="WK188">
        <v>0</v>
      </c>
      <c r="WL188">
        <v>0</v>
      </c>
      <c r="WM188">
        <v>0</v>
      </c>
      <c r="WN188">
        <v>0</v>
      </c>
      <c r="WO188">
        <v>0</v>
      </c>
      <c r="WP188">
        <v>0</v>
      </c>
      <c r="WQ188">
        <v>0</v>
      </c>
      <c r="WR188">
        <v>0</v>
      </c>
      <c r="WS188">
        <v>0</v>
      </c>
      <c r="WT188">
        <v>0</v>
      </c>
      <c r="WU188">
        <v>0</v>
      </c>
      <c r="WV188">
        <v>0</v>
      </c>
      <c r="WW188">
        <v>0</v>
      </c>
      <c r="WX188">
        <v>0</v>
      </c>
      <c r="WY188">
        <v>0</v>
      </c>
      <c r="WZ188">
        <v>0</v>
      </c>
      <c r="XA188">
        <v>0</v>
      </c>
      <c r="XB188">
        <v>0</v>
      </c>
      <c r="XC188">
        <v>0</v>
      </c>
      <c r="XD188">
        <v>0</v>
      </c>
      <c r="XE188">
        <v>0</v>
      </c>
      <c r="XF188">
        <v>0</v>
      </c>
      <c r="XG188">
        <v>0</v>
      </c>
      <c r="XH188">
        <v>0</v>
      </c>
      <c r="XI188">
        <v>0</v>
      </c>
      <c r="XJ188">
        <v>0</v>
      </c>
      <c r="XK188">
        <v>0</v>
      </c>
      <c r="XL188">
        <v>0</v>
      </c>
      <c r="XM188">
        <v>0</v>
      </c>
      <c r="XN188">
        <v>0</v>
      </c>
      <c r="XO188">
        <v>0</v>
      </c>
      <c r="XP188">
        <v>0</v>
      </c>
      <c r="XQ188">
        <v>0</v>
      </c>
      <c r="XR188">
        <v>0</v>
      </c>
      <c r="XS188">
        <v>0</v>
      </c>
      <c r="XT188">
        <v>0</v>
      </c>
      <c r="XU188">
        <v>0</v>
      </c>
      <c r="XV188">
        <v>0</v>
      </c>
      <c r="XW188">
        <v>0</v>
      </c>
      <c r="XX188">
        <v>0</v>
      </c>
      <c r="XY188">
        <v>0</v>
      </c>
      <c r="XZ188">
        <v>0</v>
      </c>
      <c r="YA188">
        <v>0</v>
      </c>
      <c r="YB188">
        <v>0</v>
      </c>
      <c r="YC188">
        <v>0</v>
      </c>
      <c r="YD188">
        <v>0</v>
      </c>
      <c r="YE188">
        <v>0</v>
      </c>
      <c r="YF188">
        <v>0</v>
      </c>
      <c r="YG188">
        <v>0</v>
      </c>
      <c r="YH188">
        <v>0</v>
      </c>
      <c r="YI188">
        <v>0</v>
      </c>
      <c r="YJ188">
        <v>0</v>
      </c>
      <c r="YK188">
        <v>0</v>
      </c>
      <c r="YL188">
        <v>0</v>
      </c>
      <c r="YM188">
        <v>0</v>
      </c>
      <c r="YN188">
        <v>0</v>
      </c>
      <c r="YO188">
        <v>0</v>
      </c>
      <c r="YP188">
        <v>0</v>
      </c>
      <c r="YQ188">
        <v>0</v>
      </c>
      <c r="YR188">
        <v>0</v>
      </c>
      <c r="YS188">
        <v>0</v>
      </c>
      <c r="YT188">
        <v>0</v>
      </c>
      <c r="YU188">
        <v>0</v>
      </c>
      <c r="YV188">
        <v>0</v>
      </c>
      <c r="YW188">
        <v>0</v>
      </c>
      <c r="YX188">
        <v>0</v>
      </c>
      <c r="YY188">
        <v>0</v>
      </c>
      <c r="YZ188">
        <v>0</v>
      </c>
      <c r="ZA188">
        <v>0</v>
      </c>
      <c r="ZB188">
        <v>0</v>
      </c>
      <c r="ZC188">
        <v>0</v>
      </c>
      <c r="ZD188">
        <v>0</v>
      </c>
      <c r="ZE188">
        <v>0</v>
      </c>
      <c r="ZF188">
        <v>0</v>
      </c>
      <c r="ZG188">
        <v>0</v>
      </c>
      <c r="ZH188">
        <v>0</v>
      </c>
      <c r="ZI188">
        <v>0</v>
      </c>
      <c r="ZJ188">
        <v>0</v>
      </c>
      <c r="ZK188">
        <v>0</v>
      </c>
      <c r="ZL188">
        <v>0</v>
      </c>
      <c r="ZM188">
        <v>0</v>
      </c>
      <c r="ZN188">
        <v>0</v>
      </c>
      <c r="ZO188">
        <v>0</v>
      </c>
      <c r="ZP188">
        <v>0</v>
      </c>
      <c r="ZQ188">
        <v>0</v>
      </c>
      <c r="ZR188">
        <v>0</v>
      </c>
      <c r="ZS188">
        <v>0</v>
      </c>
      <c r="ZT188">
        <v>0</v>
      </c>
      <c r="ZU188">
        <v>0</v>
      </c>
      <c r="ZV188">
        <v>0</v>
      </c>
      <c r="ZW188">
        <v>0</v>
      </c>
      <c r="ZX188">
        <v>0</v>
      </c>
      <c r="ZY188">
        <v>0</v>
      </c>
      <c r="ZZ188">
        <v>0</v>
      </c>
      <c r="AAA188">
        <v>0</v>
      </c>
      <c r="AAB188">
        <v>0</v>
      </c>
      <c r="AAC188">
        <v>0</v>
      </c>
      <c r="AAD188">
        <v>0</v>
      </c>
      <c r="AAE188">
        <v>0</v>
      </c>
      <c r="AAF188">
        <v>0</v>
      </c>
      <c r="AAG188">
        <v>0</v>
      </c>
      <c r="AAH188">
        <v>0</v>
      </c>
      <c r="AAI188">
        <v>0</v>
      </c>
      <c r="AAJ188">
        <v>0</v>
      </c>
      <c r="AAK188">
        <v>0</v>
      </c>
      <c r="AAL188">
        <v>0</v>
      </c>
      <c r="AAM188">
        <v>0</v>
      </c>
      <c r="AAN188">
        <v>0</v>
      </c>
      <c r="AAO188">
        <v>0</v>
      </c>
      <c r="AAP188">
        <v>0</v>
      </c>
      <c r="AAQ188">
        <v>0</v>
      </c>
      <c r="AAR188">
        <v>0</v>
      </c>
      <c r="AAS188">
        <v>0</v>
      </c>
      <c r="AAT188">
        <v>0</v>
      </c>
      <c r="AAU188">
        <v>0</v>
      </c>
      <c r="AAV188">
        <v>0</v>
      </c>
      <c r="AAW188">
        <v>0</v>
      </c>
      <c r="AAX188">
        <v>0</v>
      </c>
      <c r="AAY188">
        <v>0</v>
      </c>
      <c r="AAZ188">
        <v>0</v>
      </c>
      <c r="ABA188">
        <v>0</v>
      </c>
      <c r="ABB188">
        <v>0</v>
      </c>
      <c r="ABC188">
        <v>0</v>
      </c>
      <c r="ABD188">
        <v>0</v>
      </c>
      <c r="ABE188">
        <v>0</v>
      </c>
      <c r="ABG188" s="1137">
        <f t="shared" si="48"/>
        <v>0</v>
      </c>
      <c r="ABH188" s="1137">
        <f t="shared" si="48"/>
        <v>0</v>
      </c>
      <c r="ABI188" s="1137">
        <f t="shared" si="48"/>
        <v>17</v>
      </c>
      <c r="ABJ188" s="1137">
        <f t="shared" si="48"/>
        <v>30</v>
      </c>
      <c r="ABK188" s="1137">
        <f t="shared" si="48"/>
        <v>31</v>
      </c>
      <c r="ABL188" s="1137">
        <f t="shared" si="48"/>
        <v>30</v>
      </c>
      <c r="ABM188" s="1137">
        <f t="shared" si="48"/>
        <v>31</v>
      </c>
      <c r="ABN188" s="1137">
        <f t="shared" si="48"/>
        <v>31</v>
      </c>
      <c r="ABO188" s="1137">
        <f t="shared" si="48"/>
        <v>30</v>
      </c>
      <c r="ABP188" s="1137">
        <f t="shared" si="48"/>
        <v>31</v>
      </c>
      <c r="ABQ188" s="1137">
        <f t="shared" si="48"/>
        <v>0</v>
      </c>
      <c r="ABR188" s="1137">
        <f t="shared" si="48"/>
        <v>10</v>
      </c>
      <c r="ABS188" s="1137">
        <f t="shared" si="48"/>
        <v>11</v>
      </c>
      <c r="ABT188" s="1137">
        <f t="shared" si="48"/>
        <v>0</v>
      </c>
      <c r="ABU188" s="1137">
        <f t="shared" si="48"/>
        <v>0</v>
      </c>
      <c r="ABV188" s="1137">
        <f t="shared" si="48"/>
        <v>0</v>
      </c>
      <c r="ABW188" s="1137">
        <f t="shared" si="49"/>
        <v>0</v>
      </c>
      <c r="ABX188" s="1137">
        <f t="shared" si="49"/>
        <v>10</v>
      </c>
      <c r="ABY188" s="1137">
        <f t="shared" si="49"/>
        <v>25</v>
      </c>
      <c r="ABZ188" s="1137">
        <f t="shared" si="49"/>
        <v>0</v>
      </c>
      <c r="ACA188" s="1137">
        <f t="shared" si="49"/>
        <v>0</v>
      </c>
      <c r="ACB188" s="1137">
        <f t="shared" si="49"/>
        <v>0</v>
      </c>
      <c r="ACC188" s="1137">
        <f t="shared" si="49"/>
        <v>0</v>
      </c>
      <c r="ACD188" s="1137">
        <f t="shared" si="49"/>
        <v>0</v>
      </c>
      <c r="ACE188" s="1137" t="s">
        <v>64</v>
      </c>
      <c r="ACF188" s="1137">
        <f t="shared" si="47"/>
        <v>0</v>
      </c>
      <c r="ACG188" s="1137">
        <f t="shared" si="47"/>
        <v>0</v>
      </c>
      <c r="ACH188" s="1137">
        <f t="shared" si="47"/>
        <v>1</v>
      </c>
      <c r="ACI188" s="1137">
        <f t="shared" si="47"/>
        <v>1</v>
      </c>
      <c r="ACJ188" s="1137">
        <f t="shared" si="47"/>
        <v>1</v>
      </c>
      <c r="ACK188" s="1137">
        <f t="shared" si="47"/>
        <v>1</v>
      </c>
      <c r="ACL188" s="1137">
        <f t="shared" si="47"/>
        <v>1</v>
      </c>
      <c r="ACM188" s="1137">
        <f t="shared" si="47"/>
        <v>1</v>
      </c>
      <c r="ACN188" s="1137">
        <f t="shared" si="47"/>
        <v>1</v>
      </c>
      <c r="ACO188" s="1137">
        <f t="shared" si="47"/>
        <v>1</v>
      </c>
      <c r="ACP188" s="1137">
        <f t="shared" si="47"/>
        <v>0</v>
      </c>
      <c r="ACQ188" s="1137">
        <f t="shared" si="47"/>
        <v>0</v>
      </c>
      <c r="ACR188" s="1137">
        <f t="shared" si="47"/>
        <v>1</v>
      </c>
      <c r="ACS188" s="1137">
        <f t="shared" si="47"/>
        <v>0</v>
      </c>
      <c r="ACT188" s="1137">
        <f t="shared" si="43"/>
        <v>0</v>
      </c>
      <c r="ACU188" s="1137">
        <f t="shared" si="43"/>
        <v>0</v>
      </c>
      <c r="ACV188" s="1137">
        <f t="shared" si="43"/>
        <v>0</v>
      </c>
      <c r="ACW188" s="1137">
        <f t="shared" si="43"/>
        <v>0</v>
      </c>
      <c r="ACX188" s="1137">
        <f t="shared" si="42"/>
        <v>1</v>
      </c>
      <c r="ACY188" s="1137">
        <f t="shared" si="42"/>
        <v>0</v>
      </c>
      <c r="ACZ188" s="1137">
        <f t="shared" si="42"/>
        <v>0</v>
      </c>
      <c r="ADA188" s="1137">
        <f t="shared" si="35"/>
        <v>0</v>
      </c>
      <c r="ADB188" s="1137">
        <f t="shared" si="35"/>
        <v>0</v>
      </c>
      <c r="ADC188" s="1137">
        <f t="shared" si="35"/>
        <v>0</v>
      </c>
    </row>
    <row r="189" spans="1:783" x14ac:dyDescent="0.25">
      <c r="A189" t="s">
        <v>1988</v>
      </c>
      <c r="B189" t="s">
        <v>78</v>
      </c>
      <c r="C189">
        <v>0</v>
      </c>
      <c r="D189">
        <v>0</v>
      </c>
      <c r="E189">
        <v>0</v>
      </c>
      <c r="F189">
        <v>0</v>
      </c>
      <c r="G189">
        <v>0</v>
      </c>
      <c r="H189">
        <v>0</v>
      </c>
      <c r="I189">
        <v>0</v>
      </c>
      <c r="J189">
        <v>0</v>
      </c>
      <c r="K189">
        <v>0</v>
      </c>
      <c r="L189">
        <v>0</v>
      </c>
      <c r="M189">
        <v>0</v>
      </c>
      <c r="N189">
        <v>0</v>
      </c>
      <c r="O189">
        <v>0</v>
      </c>
      <c r="P189">
        <v>0</v>
      </c>
      <c r="Q189">
        <v>0</v>
      </c>
      <c r="R189">
        <v>0</v>
      </c>
      <c r="S189">
        <v>0</v>
      </c>
      <c r="T189">
        <v>0</v>
      </c>
      <c r="U189">
        <v>0</v>
      </c>
      <c r="V189">
        <v>0</v>
      </c>
      <c r="W189">
        <v>0</v>
      </c>
      <c r="X189">
        <v>0</v>
      </c>
      <c r="Y189">
        <v>0</v>
      </c>
      <c r="Z189">
        <v>0</v>
      </c>
      <c r="AA189">
        <v>0</v>
      </c>
      <c r="AB189">
        <v>0</v>
      </c>
      <c r="AC189">
        <v>0</v>
      </c>
      <c r="AD189">
        <v>0</v>
      </c>
      <c r="AE189">
        <v>0</v>
      </c>
      <c r="AF189">
        <v>0</v>
      </c>
      <c r="AG189">
        <v>0</v>
      </c>
      <c r="AH189">
        <v>0</v>
      </c>
      <c r="AI189">
        <v>0</v>
      </c>
      <c r="AJ189">
        <v>0</v>
      </c>
      <c r="AK189">
        <v>0</v>
      </c>
      <c r="AL189">
        <v>0</v>
      </c>
      <c r="AM189">
        <v>0</v>
      </c>
      <c r="AN189">
        <v>0</v>
      </c>
      <c r="AO189">
        <v>0</v>
      </c>
      <c r="AP189">
        <v>0</v>
      </c>
      <c r="AQ189">
        <v>0</v>
      </c>
      <c r="AR189">
        <v>0</v>
      </c>
      <c r="AS189">
        <v>0</v>
      </c>
      <c r="AT189">
        <v>0</v>
      </c>
      <c r="AU189">
        <v>0</v>
      </c>
      <c r="AV189">
        <v>0</v>
      </c>
      <c r="AW189">
        <v>0</v>
      </c>
      <c r="AX189">
        <v>0</v>
      </c>
      <c r="AY189">
        <v>0</v>
      </c>
      <c r="AZ189">
        <v>0</v>
      </c>
      <c r="BA189">
        <v>0</v>
      </c>
      <c r="BB189">
        <v>0</v>
      </c>
      <c r="BC189">
        <v>0</v>
      </c>
      <c r="BD189">
        <v>0</v>
      </c>
      <c r="BE189">
        <v>0</v>
      </c>
      <c r="BF189">
        <v>0</v>
      </c>
      <c r="BG189">
        <v>0</v>
      </c>
      <c r="BH189">
        <v>0</v>
      </c>
      <c r="BI189">
        <v>0</v>
      </c>
      <c r="BJ189">
        <v>0</v>
      </c>
      <c r="BK189">
        <v>0</v>
      </c>
      <c r="BL189">
        <v>0</v>
      </c>
      <c r="BM189">
        <v>0</v>
      </c>
      <c r="BN189">
        <v>0</v>
      </c>
      <c r="BO189">
        <v>0</v>
      </c>
      <c r="BP189">
        <v>0</v>
      </c>
      <c r="BQ189">
        <v>0</v>
      </c>
      <c r="BR189">
        <v>0</v>
      </c>
      <c r="BS189">
        <v>0</v>
      </c>
      <c r="BT189">
        <v>0</v>
      </c>
      <c r="BU189">
        <v>0</v>
      </c>
      <c r="BV189">
        <v>0</v>
      </c>
      <c r="BW189">
        <v>0</v>
      </c>
      <c r="BX189">
        <v>0</v>
      </c>
      <c r="BY189">
        <v>0</v>
      </c>
      <c r="BZ189">
        <v>0</v>
      </c>
      <c r="CA189">
        <v>0</v>
      </c>
      <c r="CB189">
        <v>0</v>
      </c>
      <c r="CC189">
        <v>0</v>
      </c>
      <c r="CD189">
        <v>0</v>
      </c>
      <c r="CE189">
        <v>0</v>
      </c>
      <c r="CF189">
        <v>0</v>
      </c>
      <c r="CG189">
        <v>0</v>
      </c>
      <c r="CH189">
        <v>0</v>
      </c>
      <c r="CI189">
        <v>0</v>
      </c>
      <c r="CJ189">
        <v>0</v>
      </c>
      <c r="CK189">
        <v>0</v>
      </c>
      <c r="CL189">
        <v>0</v>
      </c>
      <c r="CM189">
        <v>1</v>
      </c>
      <c r="CN189">
        <v>1</v>
      </c>
      <c r="CO189">
        <v>1</v>
      </c>
      <c r="CP189">
        <v>1</v>
      </c>
      <c r="CQ189">
        <v>1</v>
      </c>
      <c r="CR189">
        <v>1</v>
      </c>
      <c r="CS189">
        <v>1</v>
      </c>
      <c r="CT189">
        <v>1</v>
      </c>
      <c r="CU189">
        <v>1</v>
      </c>
      <c r="CV189">
        <v>1</v>
      </c>
      <c r="CW189">
        <v>1</v>
      </c>
      <c r="CX189">
        <v>1</v>
      </c>
      <c r="CY189">
        <v>1</v>
      </c>
      <c r="CZ189">
        <v>1</v>
      </c>
      <c r="DA189">
        <v>1</v>
      </c>
      <c r="DB189">
        <v>1</v>
      </c>
      <c r="DC189">
        <v>2</v>
      </c>
      <c r="DD189">
        <v>2</v>
      </c>
      <c r="DE189">
        <v>2</v>
      </c>
      <c r="DF189">
        <v>2</v>
      </c>
      <c r="DG189">
        <v>2</v>
      </c>
      <c r="DH189">
        <v>2</v>
      </c>
      <c r="DI189">
        <v>2</v>
      </c>
      <c r="DJ189">
        <v>2</v>
      </c>
      <c r="DK189">
        <v>2</v>
      </c>
      <c r="DL189">
        <v>2</v>
      </c>
      <c r="DM189">
        <v>2</v>
      </c>
      <c r="DN189">
        <v>2</v>
      </c>
      <c r="DO189">
        <v>2</v>
      </c>
      <c r="DP189">
        <v>2</v>
      </c>
      <c r="DQ189">
        <v>2</v>
      </c>
      <c r="DR189">
        <v>2</v>
      </c>
      <c r="DS189">
        <v>2</v>
      </c>
      <c r="DT189">
        <v>2</v>
      </c>
      <c r="DU189">
        <v>2</v>
      </c>
      <c r="DV189">
        <v>2</v>
      </c>
      <c r="DW189">
        <v>2</v>
      </c>
      <c r="DX189">
        <v>2</v>
      </c>
      <c r="DY189">
        <v>2</v>
      </c>
      <c r="DZ189">
        <v>2</v>
      </c>
      <c r="EA189">
        <v>0</v>
      </c>
      <c r="EB189">
        <v>0</v>
      </c>
      <c r="EC189">
        <v>0</v>
      </c>
      <c r="ED189">
        <v>0</v>
      </c>
      <c r="EE189">
        <v>0</v>
      </c>
      <c r="EF189">
        <v>0</v>
      </c>
      <c r="EG189">
        <v>0</v>
      </c>
      <c r="EH189">
        <v>0</v>
      </c>
      <c r="EI189">
        <v>0</v>
      </c>
      <c r="EJ189">
        <v>0</v>
      </c>
      <c r="EK189">
        <v>0</v>
      </c>
      <c r="EL189">
        <v>0</v>
      </c>
      <c r="EM189">
        <v>0</v>
      </c>
      <c r="EN189">
        <v>0</v>
      </c>
      <c r="EO189">
        <v>0</v>
      </c>
      <c r="EP189">
        <v>0</v>
      </c>
      <c r="EQ189">
        <v>0</v>
      </c>
      <c r="ER189">
        <v>0</v>
      </c>
      <c r="ES189">
        <v>0</v>
      </c>
      <c r="ET189">
        <v>0</v>
      </c>
      <c r="EU189">
        <v>0</v>
      </c>
      <c r="EV189">
        <v>0</v>
      </c>
      <c r="EW189">
        <v>0</v>
      </c>
      <c r="EX189">
        <v>0</v>
      </c>
      <c r="EY189">
        <v>0</v>
      </c>
      <c r="EZ189">
        <v>0</v>
      </c>
      <c r="FA189">
        <v>0</v>
      </c>
      <c r="FB189">
        <v>0</v>
      </c>
      <c r="FC189">
        <v>0</v>
      </c>
      <c r="FD189">
        <v>0</v>
      </c>
      <c r="FE189">
        <v>0</v>
      </c>
      <c r="FF189">
        <v>0</v>
      </c>
      <c r="FG189">
        <v>0</v>
      </c>
      <c r="FH189">
        <v>0</v>
      </c>
      <c r="FI189">
        <v>0</v>
      </c>
      <c r="FJ189">
        <v>0</v>
      </c>
      <c r="FK189">
        <v>0</v>
      </c>
      <c r="FL189">
        <v>0</v>
      </c>
      <c r="FM189">
        <v>0</v>
      </c>
      <c r="FN189">
        <v>0</v>
      </c>
      <c r="FO189">
        <v>0</v>
      </c>
      <c r="FP189">
        <v>0</v>
      </c>
      <c r="FQ189">
        <v>0</v>
      </c>
      <c r="FR189">
        <v>0</v>
      </c>
      <c r="FS189">
        <v>0</v>
      </c>
      <c r="FT189">
        <v>0</v>
      </c>
      <c r="FU189">
        <v>0</v>
      </c>
      <c r="FV189">
        <v>0</v>
      </c>
      <c r="FW189">
        <v>1</v>
      </c>
      <c r="FX189">
        <v>1</v>
      </c>
      <c r="FY189">
        <v>1</v>
      </c>
      <c r="FZ189">
        <v>1</v>
      </c>
      <c r="GA189">
        <v>1</v>
      </c>
      <c r="GB189">
        <v>1</v>
      </c>
      <c r="GC189">
        <v>1</v>
      </c>
      <c r="GD189">
        <v>1</v>
      </c>
      <c r="GE189">
        <v>1</v>
      </c>
      <c r="GF189">
        <v>1</v>
      </c>
      <c r="GG189">
        <v>1</v>
      </c>
      <c r="GH189">
        <v>1</v>
      </c>
      <c r="GI189">
        <v>1</v>
      </c>
      <c r="GJ189">
        <v>1</v>
      </c>
      <c r="GK189">
        <v>1</v>
      </c>
      <c r="GL189">
        <v>1</v>
      </c>
      <c r="GM189">
        <v>1</v>
      </c>
      <c r="GN189">
        <v>1</v>
      </c>
      <c r="GO189">
        <v>1</v>
      </c>
      <c r="GP189">
        <v>1</v>
      </c>
      <c r="GQ189">
        <v>1</v>
      </c>
      <c r="GR189">
        <v>1</v>
      </c>
      <c r="GS189">
        <v>1</v>
      </c>
      <c r="GT189">
        <v>1</v>
      </c>
      <c r="GU189">
        <v>1</v>
      </c>
      <c r="GV189">
        <v>1</v>
      </c>
      <c r="GW189">
        <v>1</v>
      </c>
      <c r="GX189">
        <v>1</v>
      </c>
      <c r="GY189">
        <v>1</v>
      </c>
      <c r="GZ189">
        <v>1</v>
      </c>
      <c r="HA189">
        <v>1</v>
      </c>
      <c r="HB189">
        <v>1</v>
      </c>
      <c r="HC189">
        <v>1</v>
      </c>
      <c r="HD189">
        <v>1</v>
      </c>
      <c r="HE189">
        <v>1</v>
      </c>
      <c r="HF189">
        <v>1</v>
      </c>
      <c r="HG189">
        <v>1</v>
      </c>
      <c r="HH189">
        <v>1</v>
      </c>
      <c r="HI189">
        <v>1</v>
      </c>
      <c r="HJ189">
        <v>1</v>
      </c>
      <c r="HK189">
        <v>1</v>
      </c>
      <c r="HL189">
        <v>1</v>
      </c>
      <c r="HM189">
        <v>1</v>
      </c>
      <c r="HN189">
        <v>1</v>
      </c>
      <c r="HO189">
        <v>1</v>
      </c>
      <c r="HP189">
        <v>1</v>
      </c>
      <c r="HQ189">
        <v>1</v>
      </c>
      <c r="HR189">
        <v>1</v>
      </c>
      <c r="HS189">
        <v>1</v>
      </c>
      <c r="HT189">
        <v>1</v>
      </c>
      <c r="HU189">
        <v>1</v>
      </c>
      <c r="HV189">
        <v>1</v>
      </c>
      <c r="HW189">
        <v>1</v>
      </c>
      <c r="HX189">
        <v>1</v>
      </c>
      <c r="HY189">
        <v>1</v>
      </c>
      <c r="HZ189">
        <v>1</v>
      </c>
      <c r="IA189">
        <v>1</v>
      </c>
      <c r="IB189">
        <v>1</v>
      </c>
      <c r="IC189">
        <v>1</v>
      </c>
      <c r="ID189">
        <v>1</v>
      </c>
      <c r="IE189">
        <v>1</v>
      </c>
      <c r="IF189">
        <v>1</v>
      </c>
      <c r="IG189">
        <v>1</v>
      </c>
      <c r="IH189">
        <v>1</v>
      </c>
      <c r="II189">
        <v>1</v>
      </c>
      <c r="IJ189">
        <v>1</v>
      </c>
      <c r="IK189">
        <v>1</v>
      </c>
      <c r="IL189">
        <v>1</v>
      </c>
      <c r="IM189">
        <v>1</v>
      </c>
      <c r="IN189">
        <v>1</v>
      </c>
      <c r="IO189">
        <v>1</v>
      </c>
      <c r="IP189">
        <v>1</v>
      </c>
      <c r="IQ189">
        <v>1</v>
      </c>
      <c r="IR189">
        <v>1</v>
      </c>
      <c r="IS189">
        <v>1</v>
      </c>
      <c r="IT189">
        <v>1</v>
      </c>
      <c r="IU189">
        <v>1</v>
      </c>
      <c r="IV189">
        <v>1</v>
      </c>
      <c r="IW189">
        <v>1</v>
      </c>
      <c r="IX189">
        <v>1</v>
      </c>
      <c r="IY189">
        <v>1</v>
      </c>
      <c r="IZ189">
        <v>1</v>
      </c>
      <c r="JA189">
        <v>1</v>
      </c>
      <c r="JB189">
        <v>1</v>
      </c>
      <c r="JC189">
        <v>1</v>
      </c>
      <c r="JD189">
        <v>1</v>
      </c>
      <c r="JE189">
        <v>1</v>
      </c>
      <c r="JF189">
        <v>1</v>
      </c>
      <c r="JG189">
        <v>1</v>
      </c>
      <c r="JH189">
        <v>1</v>
      </c>
      <c r="JI189">
        <v>1</v>
      </c>
      <c r="JJ189">
        <v>1</v>
      </c>
      <c r="JK189">
        <v>1</v>
      </c>
      <c r="JL189">
        <v>0</v>
      </c>
      <c r="JM189">
        <v>0</v>
      </c>
      <c r="JN189">
        <v>0</v>
      </c>
      <c r="JO189">
        <v>0</v>
      </c>
      <c r="JP189">
        <v>0</v>
      </c>
      <c r="JQ189">
        <v>0</v>
      </c>
      <c r="JR189">
        <v>0</v>
      </c>
      <c r="JS189">
        <v>0</v>
      </c>
      <c r="JT189">
        <v>0</v>
      </c>
      <c r="JU189">
        <v>0</v>
      </c>
      <c r="JV189">
        <v>0</v>
      </c>
      <c r="JW189">
        <v>0</v>
      </c>
      <c r="JX189">
        <v>0</v>
      </c>
      <c r="JY189">
        <v>0</v>
      </c>
      <c r="JZ189">
        <v>0</v>
      </c>
      <c r="KA189">
        <v>0</v>
      </c>
      <c r="KB189">
        <v>0</v>
      </c>
      <c r="KC189">
        <v>0</v>
      </c>
      <c r="KD189">
        <v>0</v>
      </c>
      <c r="KE189">
        <v>0</v>
      </c>
      <c r="KF189">
        <v>0</v>
      </c>
      <c r="KG189">
        <v>0</v>
      </c>
      <c r="KH189">
        <v>0</v>
      </c>
      <c r="KI189">
        <v>0</v>
      </c>
      <c r="KJ189">
        <v>0</v>
      </c>
      <c r="KK189">
        <v>0</v>
      </c>
      <c r="KL189">
        <v>0</v>
      </c>
      <c r="KM189">
        <v>0</v>
      </c>
      <c r="KN189">
        <v>0</v>
      </c>
      <c r="KO189">
        <v>0</v>
      </c>
      <c r="KP189">
        <v>0</v>
      </c>
      <c r="KQ189">
        <v>0</v>
      </c>
      <c r="KR189">
        <v>0</v>
      </c>
      <c r="KS189">
        <v>0</v>
      </c>
      <c r="KT189">
        <v>0</v>
      </c>
      <c r="KU189">
        <v>0</v>
      </c>
      <c r="KV189">
        <v>0</v>
      </c>
      <c r="KW189">
        <v>0</v>
      </c>
      <c r="KX189">
        <v>0</v>
      </c>
      <c r="KY189">
        <v>0</v>
      </c>
      <c r="KZ189">
        <v>0</v>
      </c>
      <c r="LA189">
        <v>0</v>
      </c>
      <c r="LB189">
        <v>0</v>
      </c>
      <c r="LC189">
        <v>0</v>
      </c>
      <c r="LD189">
        <v>0</v>
      </c>
      <c r="LE189">
        <v>0</v>
      </c>
      <c r="LF189">
        <v>0</v>
      </c>
      <c r="LG189">
        <v>0</v>
      </c>
      <c r="LH189">
        <v>0</v>
      </c>
      <c r="LI189">
        <v>0</v>
      </c>
      <c r="LJ189">
        <v>0</v>
      </c>
      <c r="LK189">
        <v>0</v>
      </c>
      <c r="LL189">
        <v>0</v>
      </c>
      <c r="LM189">
        <v>0</v>
      </c>
      <c r="LN189">
        <v>0</v>
      </c>
      <c r="LO189">
        <v>0</v>
      </c>
      <c r="LP189">
        <v>0</v>
      </c>
      <c r="LQ189">
        <v>0</v>
      </c>
      <c r="LR189">
        <v>0</v>
      </c>
      <c r="LS189">
        <v>0</v>
      </c>
      <c r="LT189">
        <v>0</v>
      </c>
      <c r="LU189">
        <v>0</v>
      </c>
      <c r="LV189">
        <v>0</v>
      </c>
      <c r="LW189">
        <v>0</v>
      </c>
      <c r="LX189">
        <v>0</v>
      </c>
      <c r="LY189">
        <v>0</v>
      </c>
      <c r="LZ189">
        <v>0</v>
      </c>
      <c r="MA189">
        <v>0</v>
      </c>
      <c r="MB189">
        <v>0</v>
      </c>
      <c r="MC189">
        <v>0</v>
      </c>
      <c r="MD189">
        <v>0</v>
      </c>
      <c r="ME189">
        <v>0</v>
      </c>
      <c r="MF189">
        <v>0</v>
      </c>
      <c r="MG189">
        <v>0</v>
      </c>
      <c r="MH189">
        <v>0</v>
      </c>
      <c r="MI189">
        <v>0</v>
      </c>
      <c r="MJ189">
        <v>0</v>
      </c>
      <c r="MK189">
        <v>0</v>
      </c>
      <c r="ML189">
        <v>0</v>
      </c>
      <c r="MM189">
        <v>0</v>
      </c>
      <c r="MN189">
        <v>0</v>
      </c>
      <c r="MO189">
        <v>0</v>
      </c>
      <c r="MP189">
        <v>0</v>
      </c>
      <c r="MQ189">
        <v>0</v>
      </c>
      <c r="MR189">
        <v>0</v>
      </c>
      <c r="MS189">
        <v>0</v>
      </c>
      <c r="MT189">
        <v>0</v>
      </c>
      <c r="MU189">
        <v>0</v>
      </c>
      <c r="MV189">
        <v>0</v>
      </c>
      <c r="MW189">
        <v>0</v>
      </c>
      <c r="MX189">
        <v>0</v>
      </c>
      <c r="MY189">
        <v>0</v>
      </c>
      <c r="MZ189">
        <v>0</v>
      </c>
      <c r="NA189">
        <v>0</v>
      </c>
      <c r="NB189">
        <v>0</v>
      </c>
      <c r="NC189">
        <v>0</v>
      </c>
      <c r="ND189">
        <v>0</v>
      </c>
      <c r="NE189">
        <v>0</v>
      </c>
      <c r="NF189">
        <v>0</v>
      </c>
      <c r="NG189">
        <v>0</v>
      </c>
      <c r="NH189">
        <v>0</v>
      </c>
      <c r="NI189">
        <v>0</v>
      </c>
      <c r="NJ189">
        <v>0</v>
      </c>
      <c r="NK189">
        <v>0</v>
      </c>
      <c r="NL189">
        <v>0</v>
      </c>
      <c r="NM189">
        <v>0</v>
      </c>
      <c r="NN189">
        <v>0</v>
      </c>
      <c r="NO189">
        <v>0</v>
      </c>
      <c r="NP189">
        <v>0</v>
      </c>
      <c r="NQ189">
        <v>0</v>
      </c>
      <c r="NR189">
        <v>0</v>
      </c>
      <c r="NS189">
        <v>0</v>
      </c>
      <c r="NT189">
        <v>0</v>
      </c>
      <c r="NU189">
        <v>0</v>
      </c>
      <c r="NV189">
        <v>0</v>
      </c>
      <c r="NW189">
        <v>0</v>
      </c>
      <c r="NX189">
        <v>0</v>
      </c>
      <c r="NY189">
        <v>0</v>
      </c>
      <c r="NZ189">
        <v>0</v>
      </c>
      <c r="OA189">
        <v>0</v>
      </c>
      <c r="OB189">
        <v>0</v>
      </c>
      <c r="OC189">
        <v>0</v>
      </c>
      <c r="OD189">
        <v>0</v>
      </c>
      <c r="OE189">
        <v>0</v>
      </c>
      <c r="OF189">
        <v>0</v>
      </c>
      <c r="OG189">
        <v>0</v>
      </c>
      <c r="OH189">
        <v>0</v>
      </c>
      <c r="OI189">
        <v>0</v>
      </c>
      <c r="OJ189">
        <v>0</v>
      </c>
      <c r="OK189">
        <v>0</v>
      </c>
      <c r="OL189">
        <v>0</v>
      </c>
      <c r="OM189">
        <v>0</v>
      </c>
      <c r="ON189">
        <v>0</v>
      </c>
      <c r="OO189">
        <v>0</v>
      </c>
      <c r="OP189">
        <v>0</v>
      </c>
      <c r="OQ189">
        <v>0</v>
      </c>
      <c r="OR189">
        <v>0</v>
      </c>
      <c r="OS189">
        <v>0</v>
      </c>
      <c r="OT189">
        <v>0</v>
      </c>
      <c r="OU189">
        <v>0</v>
      </c>
      <c r="OV189">
        <v>0</v>
      </c>
      <c r="OW189">
        <v>0</v>
      </c>
      <c r="OX189">
        <v>0</v>
      </c>
      <c r="OY189">
        <v>0</v>
      </c>
      <c r="OZ189">
        <v>0</v>
      </c>
      <c r="PA189">
        <v>0</v>
      </c>
      <c r="PB189">
        <v>0</v>
      </c>
      <c r="PC189">
        <v>0</v>
      </c>
      <c r="PD189">
        <v>0</v>
      </c>
      <c r="PE189">
        <v>0</v>
      </c>
      <c r="PF189">
        <v>0</v>
      </c>
      <c r="PG189">
        <v>0</v>
      </c>
      <c r="PH189">
        <v>0</v>
      </c>
      <c r="PI189">
        <v>0</v>
      </c>
      <c r="PJ189">
        <v>0</v>
      </c>
      <c r="PK189">
        <v>0</v>
      </c>
      <c r="PL189">
        <v>0</v>
      </c>
      <c r="PM189">
        <v>0</v>
      </c>
      <c r="PN189">
        <v>0</v>
      </c>
      <c r="PO189">
        <v>0</v>
      </c>
      <c r="PP189">
        <v>0</v>
      </c>
      <c r="PQ189">
        <v>0</v>
      </c>
      <c r="PR189">
        <v>0</v>
      </c>
      <c r="PS189">
        <v>0</v>
      </c>
      <c r="PT189">
        <v>0</v>
      </c>
      <c r="PU189">
        <v>0</v>
      </c>
      <c r="PV189">
        <v>0</v>
      </c>
      <c r="PW189">
        <v>0</v>
      </c>
      <c r="PX189">
        <v>0</v>
      </c>
      <c r="PY189">
        <v>0</v>
      </c>
      <c r="PZ189">
        <v>0</v>
      </c>
      <c r="QA189">
        <v>0</v>
      </c>
      <c r="QB189">
        <v>0</v>
      </c>
      <c r="QC189">
        <v>0</v>
      </c>
      <c r="QD189">
        <v>0</v>
      </c>
      <c r="QE189">
        <v>0</v>
      </c>
      <c r="QF189">
        <v>0</v>
      </c>
      <c r="QG189">
        <v>0</v>
      </c>
      <c r="QH189">
        <v>0</v>
      </c>
      <c r="QI189">
        <v>0</v>
      </c>
      <c r="QJ189">
        <v>0</v>
      </c>
      <c r="QK189">
        <v>0</v>
      </c>
      <c r="QL189">
        <v>0</v>
      </c>
      <c r="QM189">
        <v>0</v>
      </c>
      <c r="QN189">
        <v>0</v>
      </c>
      <c r="QO189">
        <v>0</v>
      </c>
      <c r="QP189">
        <v>0</v>
      </c>
      <c r="QQ189">
        <v>0</v>
      </c>
      <c r="QR189">
        <v>0</v>
      </c>
      <c r="QS189">
        <v>0</v>
      </c>
      <c r="QT189">
        <v>0</v>
      </c>
      <c r="QU189">
        <v>0</v>
      </c>
      <c r="QV189">
        <v>0</v>
      </c>
      <c r="QW189">
        <v>0</v>
      </c>
      <c r="QX189">
        <v>0</v>
      </c>
      <c r="QY189">
        <v>0</v>
      </c>
      <c r="QZ189">
        <v>0</v>
      </c>
      <c r="RA189">
        <v>0</v>
      </c>
      <c r="RB189">
        <v>0</v>
      </c>
      <c r="RC189">
        <v>0</v>
      </c>
      <c r="RD189">
        <v>0</v>
      </c>
      <c r="RE189">
        <v>0</v>
      </c>
      <c r="RF189">
        <v>0</v>
      </c>
      <c r="RG189">
        <v>0</v>
      </c>
      <c r="RH189">
        <v>0</v>
      </c>
      <c r="RI189">
        <v>0</v>
      </c>
      <c r="RJ189">
        <v>0</v>
      </c>
      <c r="RK189">
        <v>0</v>
      </c>
      <c r="RL189">
        <v>0</v>
      </c>
      <c r="RM189">
        <v>0</v>
      </c>
      <c r="RN189">
        <v>0</v>
      </c>
      <c r="RO189">
        <v>0</v>
      </c>
      <c r="RP189">
        <v>0</v>
      </c>
      <c r="RQ189">
        <v>0</v>
      </c>
      <c r="RR189">
        <v>0</v>
      </c>
      <c r="RS189">
        <v>0</v>
      </c>
      <c r="RT189">
        <v>0</v>
      </c>
      <c r="RU189">
        <v>0</v>
      </c>
      <c r="RV189">
        <v>0</v>
      </c>
      <c r="RW189">
        <v>0</v>
      </c>
      <c r="RX189">
        <v>0</v>
      </c>
      <c r="RY189">
        <v>0</v>
      </c>
      <c r="RZ189">
        <v>0</v>
      </c>
      <c r="SA189">
        <v>0</v>
      </c>
      <c r="SB189">
        <v>0</v>
      </c>
      <c r="SC189">
        <v>0</v>
      </c>
      <c r="SD189">
        <v>0</v>
      </c>
      <c r="SE189">
        <v>0</v>
      </c>
      <c r="SF189">
        <v>0</v>
      </c>
      <c r="SG189">
        <v>0</v>
      </c>
      <c r="SH189">
        <v>0</v>
      </c>
      <c r="SI189">
        <v>0</v>
      </c>
      <c r="SJ189">
        <v>0</v>
      </c>
      <c r="SK189">
        <v>0</v>
      </c>
      <c r="SL189">
        <v>0</v>
      </c>
      <c r="SM189">
        <v>0</v>
      </c>
      <c r="SN189">
        <v>0</v>
      </c>
      <c r="SO189">
        <v>0</v>
      </c>
      <c r="SP189">
        <v>0</v>
      </c>
      <c r="SQ189">
        <v>0</v>
      </c>
      <c r="SR189">
        <v>0</v>
      </c>
      <c r="SS189">
        <v>0</v>
      </c>
      <c r="ST189">
        <v>0</v>
      </c>
      <c r="SU189">
        <v>0</v>
      </c>
      <c r="SV189">
        <v>0</v>
      </c>
      <c r="SW189">
        <v>0</v>
      </c>
      <c r="SX189">
        <v>0</v>
      </c>
      <c r="SY189">
        <v>0</v>
      </c>
      <c r="SZ189">
        <v>0</v>
      </c>
      <c r="TA189">
        <v>0</v>
      </c>
      <c r="TB189">
        <v>0</v>
      </c>
      <c r="TC189">
        <v>0</v>
      </c>
      <c r="TD189">
        <v>0</v>
      </c>
      <c r="TE189">
        <v>0</v>
      </c>
      <c r="TF189">
        <v>0</v>
      </c>
      <c r="TG189">
        <v>0</v>
      </c>
      <c r="TH189">
        <v>0</v>
      </c>
      <c r="TI189">
        <v>0</v>
      </c>
      <c r="TJ189">
        <v>0</v>
      </c>
      <c r="TK189">
        <v>0</v>
      </c>
      <c r="TL189">
        <v>0</v>
      </c>
      <c r="TM189">
        <v>0</v>
      </c>
      <c r="TN189">
        <v>0</v>
      </c>
      <c r="TO189">
        <v>0</v>
      </c>
      <c r="TP189">
        <v>0</v>
      </c>
      <c r="TQ189">
        <v>0</v>
      </c>
      <c r="TR189">
        <v>0</v>
      </c>
      <c r="TS189">
        <v>0</v>
      </c>
      <c r="TT189">
        <v>0</v>
      </c>
      <c r="TU189">
        <v>0</v>
      </c>
      <c r="TV189">
        <v>0</v>
      </c>
      <c r="TW189">
        <v>0</v>
      </c>
      <c r="TX189">
        <v>0</v>
      </c>
      <c r="TY189">
        <v>0</v>
      </c>
      <c r="TZ189">
        <v>0</v>
      </c>
      <c r="UA189">
        <v>0</v>
      </c>
      <c r="UB189">
        <v>0</v>
      </c>
      <c r="UC189">
        <v>0</v>
      </c>
      <c r="UD189">
        <v>0</v>
      </c>
      <c r="UE189">
        <v>0</v>
      </c>
      <c r="UF189">
        <v>0</v>
      </c>
      <c r="UG189">
        <v>0</v>
      </c>
      <c r="UH189">
        <v>0</v>
      </c>
      <c r="UI189">
        <v>0</v>
      </c>
      <c r="UJ189">
        <v>0</v>
      </c>
      <c r="UK189">
        <v>0</v>
      </c>
      <c r="UL189">
        <v>0</v>
      </c>
      <c r="UM189">
        <v>0</v>
      </c>
      <c r="UN189">
        <v>0</v>
      </c>
      <c r="UO189">
        <v>0</v>
      </c>
      <c r="UP189">
        <v>0</v>
      </c>
      <c r="UQ189">
        <v>0</v>
      </c>
      <c r="UR189">
        <v>0</v>
      </c>
      <c r="US189">
        <v>0</v>
      </c>
      <c r="UT189">
        <v>0</v>
      </c>
      <c r="UU189">
        <v>0</v>
      </c>
      <c r="UV189">
        <v>0</v>
      </c>
      <c r="UW189">
        <v>0</v>
      </c>
      <c r="UX189">
        <v>0</v>
      </c>
      <c r="UY189">
        <v>0</v>
      </c>
      <c r="UZ189">
        <v>0</v>
      </c>
      <c r="VA189">
        <v>0</v>
      </c>
      <c r="VB189">
        <v>0</v>
      </c>
      <c r="VC189">
        <v>0</v>
      </c>
      <c r="VD189">
        <v>0</v>
      </c>
      <c r="VE189">
        <v>0</v>
      </c>
      <c r="VF189">
        <v>0</v>
      </c>
      <c r="VG189">
        <v>0</v>
      </c>
      <c r="VH189">
        <v>0</v>
      </c>
      <c r="VI189">
        <v>0</v>
      </c>
      <c r="VJ189">
        <v>0</v>
      </c>
      <c r="VK189">
        <v>0</v>
      </c>
      <c r="VL189">
        <v>0</v>
      </c>
      <c r="VM189">
        <v>0</v>
      </c>
      <c r="VN189">
        <v>0</v>
      </c>
      <c r="VO189">
        <v>0</v>
      </c>
      <c r="VP189">
        <v>0</v>
      </c>
      <c r="VQ189">
        <v>0</v>
      </c>
      <c r="VR189">
        <v>0</v>
      </c>
      <c r="VS189">
        <v>0</v>
      </c>
      <c r="VT189">
        <v>0</v>
      </c>
      <c r="VU189">
        <v>0</v>
      </c>
      <c r="VV189">
        <v>0</v>
      </c>
      <c r="VW189">
        <v>0</v>
      </c>
      <c r="VX189">
        <v>0</v>
      </c>
      <c r="VY189">
        <v>0</v>
      </c>
      <c r="VZ189">
        <v>0</v>
      </c>
      <c r="WA189">
        <v>0</v>
      </c>
      <c r="WB189">
        <v>0</v>
      </c>
      <c r="WC189">
        <v>0</v>
      </c>
      <c r="WD189">
        <v>0</v>
      </c>
      <c r="WE189">
        <v>0</v>
      </c>
      <c r="WF189">
        <v>0</v>
      </c>
      <c r="WG189">
        <v>0</v>
      </c>
      <c r="WH189">
        <v>0</v>
      </c>
      <c r="WI189">
        <v>0</v>
      </c>
      <c r="WJ189">
        <v>0</v>
      </c>
      <c r="WK189">
        <v>0</v>
      </c>
      <c r="WL189">
        <v>0</v>
      </c>
      <c r="WM189">
        <v>0</v>
      </c>
      <c r="WN189">
        <v>0</v>
      </c>
      <c r="WO189">
        <v>0</v>
      </c>
      <c r="WP189">
        <v>0</v>
      </c>
      <c r="WQ189">
        <v>0</v>
      </c>
      <c r="WR189">
        <v>0</v>
      </c>
      <c r="WS189">
        <v>0</v>
      </c>
      <c r="WT189">
        <v>0</v>
      </c>
      <c r="WU189">
        <v>0</v>
      </c>
      <c r="WV189">
        <v>0</v>
      </c>
      <c r="WW189">
        <v>0</v>
      </c>
      <c r="WX189">
        <v>0</v>
      </c>
      <c r="WY189">
        <v>0</v>
      </c>
      <c r="WZ189">
        <v>0</v>
      </c>
      <c r="XA189">
        <v>0</v>
      </c>
      <c r="XB189">
        <v>0</v>
      </c>
      <c r="XC189">
        <v>0</v>
      </c>
      <c r="XD189">
        <v>0</v>
      </c>
      <c r="XE189">
        <v>0</v>
      </c>
      <c r="XF189">
        <v>0</v>
      </c>
      <c r="XG189">
        <v>0</v>
      </c>
      <c r="XH189">
        <v>0</v>
      </c>
      <c r="XI189">
        <v>0</v>
      </c>
      <c r="XJ189">
        <v>0</v>
      </c>
      <c r="XK189">
        <v>0</v>
      </c>
      <c r="XL189">
        <v>0</v>
      </c>
      <c r="XM189">
        <v>0</v>
      </c>
      <c r="XN189">
        <v>0</v>
      </c>
      <c r="XO189">
        <v>0</v>
      </c>
      <c r="XP189">
        <v>0</v>
      </c>
      <c r="XQ189">
        <v>0</v>
      </c>
      <c r="XR189">
        <v>0</v>
      </c>
      <c r="XS189">
        <v>0</v>
      </c>
      <c r="XT189">
        <v>0</v>
      </c>
      <c r="XU189">
        <v>0</v>
      </c>
      <c r="XV189">
        <v>0</v>
      </c>
      <c r="XW189">
        <v>0</v>
      </c>
      <c r="XX189">
        <v>0</v>
      </c>
      <c r="XY189">
        <v>0</v>
      </c>
      <c r="XZ189">
        <v>0</v>
      </c>
      <c r="YA189">
        <v>0</v>
      </c>
      <c r="YB189">
        <v>0</v>
      </c>
      <c r="YC189">
        <v>0</v>
      </c>
      <c r="YD189">
        <v>0</v>
      </c>
      <c r="YE189">
        <v>0</v>
      </c>
      <c r="YF189">
        <v>0</v>
      </c>
      <c r="YG189">
        <v>0</v>
      </c>
      <c r="YH189">
        <v>0</v>
      </c>
      <c r="YI189">
        <v>0</v>
      </c>
      <c r="YJ189">
        <v>0</v>
      </c>
      <c r="YK189">
        <v>0</v>
      </c>
      <c r="YL189">
        <v>0</v>
      </c>
      <c r="YM189">
        <v>0</v>
      </c>
      <c r="YN189">
        <v>0</v>
      </c>
      <c r="YO189">
        <v>0</v>
      </c>
      <c r="YP189">
        <v>0</v>
      </c>
      <c r="YQ189">
        <v>0</v>
      </c>
      <c r="YR189">
        <v>0</v>
      </c>
      <c r="YS189">
        <v>0</v>
      </c>
      <c r="YT189">
        <v>0</v>
      </c>
      <c r="YU189">
        <v>0</v>
      </c>
      <c r="YV189">
        <v>0</v>
      </c>
      <c r="YW189">
        <v>0</v>
      </c>
      <c r="YX189">
        <v>0</v>
      </c>
      <c r="YY189">
        <v>0</v>
      </c>
      <c r="YZ189">
        <v>0</v>
      </c>
      <c r="ZA189">
        <v>0</v>
      </c>
      <c r="ZB189">
        <v>0</v>
      </c>
      <c r="ZC189">
        <v>0</v>
      </c>
      <c r="ZD189">
        <v>0</v>
      </c>
      <c r="ZE189">
        <v>0</v>
      </c>
      <c r="ZF189">
        <v>0</v>
      </c>
      <c r="ZG189">
        <v>0</v>
      </c>
      <c r="ZH189">
        <v>0</v>
      </c>
      <c r="ZI189">
        <v>0</v>
      </c>
      <c r="ZJ189">
        <v>0</v>
      </c>
      <c r="ZK189">
        <v>0</v>
      </c>
      <c r="ZL189">
        <v>0</v>
      </c>
      <c r="ZM189">
        <v>0</v>
      </c>
      <c r="ZN189">
        <v>0</v>
      </c>
      <c r="ZO189">
        <v>0</v>
      </c>
      <c r="ZP189">
        <v>0</v>
      </c>
      <c r="ZQ189">
        <v>0</v>
      </c>
      <c r="ZR189">
        <v>0</v>
      </c>
      <c r="ZS189">
        <v>0</v>
      </c>
      <c r="ZT189">
        <v>0</v>
      </c>
      <c r="ZU189">
        <v>0</v>
      </c>
      <c r="ZV189">
        <v>0</v>
      </c>
      <c r="ZW189">
        <v>0</v>
      </c>
      <c r="ZX189">
        <v>0</v>
      </c>
      <c r="ZY189">
        <v>0</v>
      </c>
      <c r="ZZ189">
        <v>0</v>
      </c>
      <c r="AAA189">
        <v>0</v>
      </c>
      <c r="AAB189">
        <v>0</v>
      </c>
      <c r="AAC189">
        <v>0</v>
      </c>
      <c r="AAD189">
        <v>0</v>
      </c>
      <c r="AAE189">
        <v>0</v>
      </c>
      <c r="AAF189">
        <v>0</v>
      </c>
      <c r="AAG189">
        <v>0</v>
      </c>
      <c r="AAH189">
        <v>0</v>
      </c>
      <c r="AAI189">
        <v>0</v>
      </c>
      <c r="AAJ189">
        <v>0</v>
      </c>
      <c r="AAK189">
        <v>0</v>
      </c>
      <c r="AAL189">
        <v>0</v>
      </c>
      <c r="AAM189">
        <v>0</v>
      </c>
      <c r="AAN189">
        <v>0</v>
      </c>
      <c r="AAO189">
        <v>0</v>
      </c>
      <c r="AAP189">
        <v>0</v>
      </c>
      <c r="AAQ189">
        <v>0</v>
      </c>
      <c r="AAR189">
        <v>0</v>
      </c>
      <c r="AAS189">
        <v>0</v>
      </c>
      <c r="AAT189">
        <v>0</v>
      </c>
      <c r="AAU189">
        <v>0</v>
      </c>
      <c r="AAV189">
        <v>0</v>
      </c>
      <c r="AAW189">
        <v>0</v>
      </c>
      <c r="AAX189">
        <v>0</v>
      </c>
      <c r="AAY189">
        <v>0</v>
      </c>
      <c r="AAZ189">
        <v>0</v>
      </c>
      <c r="ABA189">
        <v>0</v>
      </c>
      <c r="ABB189">
        <v>0</v>
      </c>
      <c r="ABC189">
        <v>0</v>
      </c>
      <c r="ABD189">
        <v>0</v>
      </c>
      <c r="ABE189">
        <v>0</v>
      </c>
      <c r="ABG189" s="1137">
        <f t="shared" si="48"/>
        <v>0</v>
      </c>
      <c r="ABH189" s="1137">
        <f t="shared" si="48"/>
        <v>0</v>
      </c>
      <c r="ABI189" s="1137">
        <f t="shared" si="48"/>
        <v>3</v>
      </c>
      <c r="ABJ189" s="1137">
        <f t="shared" si="48"/>
        <v>30</v>
      </c>
      <c r="ABK189" s="1137">
        <f t="shared" si="48"/>
        <v>7</v>
      </c>
      <c r="ABL189" s="1137">
        <f t="shared" si="48"/>
        <v>6</v>
      </c>
      <c r="ABM189" s="1137">
        <f t="shared" si="48"/>
        <v>31</v>
      </c>
      <c r="ABN189" s="1137">
        <f t="shared" si="48"/>
        <v>31</v>
      </c>
      <c r="ABO189" s="1137">
        <f t="shared" si="48"/>
        <v>25</v>
      </c>
      <c r="ABP189" s="1137">
        <f t="shared" si="48"/>
        <v>0</v>
      </c>
      <c r="ABQ189" s="1137">
        <f t="shared" si="48"/>
        <v>0</v>
      </c>
      <c r="ABR189" s="1137">
        <f t="shared" si="48"/>
        <v>0</v>
      </c>
      <c r="ABS189" s="1137">
        <f t="shared" si="48"/>
        <v>0</v>
      </c>
      <c r="ABT189" s="1137">
        <f t="shared" si="48"/>
        <v>0</v>
      </c>
      <c r="ABU189" s="1137">
        <f t="shared" si="48"/>
        <v>0</v>
      </c>
      <c r="ABV189" s="1137">
        <f t="shared" si="48"/>
        <v>0</v>
      </c>
      <c r="ABW189" s="1137">
        <f t="shared" si="49"/>
        <v>0</v>
      </c>
      <c r="ABX189" s="1137">
        <f t="shared" si="49"/>
        <v>0</v>
      </c>
      <c r="ABY189" s="1137">
        <f t="shared" si="49"/>
        <v>0</v>
      </c>
      <c r="ABZ189" s="1137">
        <f t="shared" si="49"/>
        <v>0</v>
      </c>
      <c r="ACA189" s="1137">
        <f t="shared" si="49"/>
        <v>0</v>
      </c>
      <c r="ACB189" s="1137">
        <f t="shared" si="49"/>
        <v>0</v>
      </c>
      <c r="ACC189" s="1137">
        <f t="shared" si="49"/>
        <v>0</v>
      </c>
      <c r="ACD189" s="1137">
        <f t="shared" si="49"/>
        <v>0</v>
      </c>
      <c r="ACE189" s="1137" t="s">
        <v>78</v>
      </c>
      <c r="ACF189" s="1137">
        <f t="shared" si="47"/>
        <v>0</v>
      </c>
      <c r="ACG189" s="1137">
        <f t="shared" si="47"/>
        <v>0</v>
      </c>
      <c r="ACH189" s="1137">
        <f t="shared" si="47"/>
        <v>0</v>
      </c>
      <c r="ACI189" s="1137">
        <f t="shared" si="47"/>
        <v>1</v>
      </c>
      <c r="ACJ189" s="1137">
        <f t="shared" si="47"/>
        <v>0</v>
      </c>
      <c r="ACK189" s="1137">
        <f t="shared" si="47"/>
        <v>0</v>
      </c>
      <c r="ACL189" s="1137">
        <f t="shared" si="47"/>
        <v>1</v>
      </c>
      <c r="ACM189" s="1137">
        <f t="shared" si="47"/>
        <v>1</v>
      </c>
      <c r="ACN189" s="1137">
        <f t="shared" si="47"/>
        <v>1</v>
      </c>
      <c r="ACO189" s="1137">
        <f t="shared" si="47"/>
        <v>0</v>
      </c>
      <c r="ACP189" s="1137">
        <f t="shared" si="47"/>
        <v>0</v>
      </c>
      <c r="ACQ189" s="1137">
        <f t="shared" si="47"/>
        <v>0</v>
      </c>
      <c r="ACR189" s="1137">
        <f t="shared" si="47"/>
        <v>0</v>
      </c>
      <c r="ACS189" s="1137">
        <f t="shared" si="47"/>
        <v>0</v>
      </c>
      <c r="ACT189" s="1137">
        <f t="shared" si="43"/>
        <v>0</v>
      </c>
      <c r="ACU189" s="1137">
        <f t="shared" si="43"/>
        <v>0</v>
      </c>
      <c r="ACV189" s="1137">
        <f t="shared" si="43"/>
        <v>0</v>
      </c>
      <c r="ACW189" s="1137">
        <f t="shared" si="43"/>
        <v>0</v>
      </c>
      <c r="ACX189" s="1137">
        <f t="shared" si="42"/>
        <v>0</v>
      </c>
      <c r="ACY189" s="1137">
        <f t="shared" si="42"/>
        <v>0</v>
      </c>
      <c r="ACZ189" s="1137">
        <f t="shared" si="42"/>
        <v>0</v>
      </c>
      <c r="ADA189" s="1137">
        <f t="shared" si="35"/>
        <v>0</v>
      </c>
      <c r="ADB189" s="1137">
        <f t="shared" si="35"/>
        <v>0</v>
      </c>
      <c r="ADC189" s="1137">
        <f t="shared" si="35"/>
        <v>0</v>
      </c>
    </row>
    <row r="190" spans="1:783" x14ac:dyDescent="0.25">
      <c r="A190" t="s">
        <v>550</v>
      </c>
      <c r="B190" t="s">
        <v>79</v>
      </c>
      <c r="C190">
        <v>0</v>
      </c>
      <c r="D190">
        <v>0</v>
      </c>
      <c r="E190">
        <v>0</v>
      </c>
      <c r="F190">
        <v>0</v>
      </c>
      <c r="G190">
        <v>0</v>
      </c>
      <c r="H190">
        <v>0</v>
      </c>
      <c r="I190">
        <v>0</v>
      </c>
      <c r="J190">
        <v>0</v>
      </c>
      <c r="K190">
        <v>0</v>
      </c>
      <c r="L190">
        <v>0</v>
      </c>
      <c r="M190">
        <v>0</v>
      </c>
      <c r="N190">
        <v>0</v>
      </c>
      <c r="O190">
        <v>0</v>
      </c>
      <c r="P190">
        <v>0</v>
      </c>
      <c r="Q190">
        <v>0</v>
      </c>
      <c r="R190">
        <v>0</v>
      </c>
      <c r="S190">
        <v>0</v>
      </c>
      <c r="T190">
        <v>0</v>
      </c>
      <c r="U190">
        <v>0</v>
      </c>
      <c r="V190">
        <v>0</v>
      </c>
      <c r="W190">
        <v>0</v>
      </c>
      <c r="X190">
        <v>0</v>
      </c>
      <c r="Y190">
        <v>0</v>
      </c>
      <c r="Z190">
        <v>0</v>
      </c>
      <c r="AA190">
        <v>0</v>
      </c>
      <c r="AB190">
        <v>0</v>
      </c>
      <c r="AC190">
        <v>0</v>
      </c>
      <c r="AD190">
        <v>0</v>
      </c>
      <c r="AE190">
        <v>0</v>
      </c>
      <c r="AF190">
        <v>0</v>
      </c>
      <c r="AG190">
        <v>0</v>
      </c>
      <c r="AH190">
        <v>0</v>
      </c>
      <c r="AI190">
        <v>0</v>
      </c>
      <c r="AJ190">
        <v>0</v>
      </c>
      <c r="AK190">
        <v>0</v>
      </c>
      <c r="AL190">
        <v>0</v>
      </c>
      <c r="AM190">
        <v>0</v>
      </c>
      <c r="AN190">
        <v>0</v>
      </c>
      <c r="AO190">
        <v>0</v>
      </c>
      <c r="AP190">
        <v>0</v>
      </c>
      <c r="AQ190">
        <v>0</v>
      </c>
      <c r="AR190">
        <v>0</v>
      </c>
      <c r="AS190">
        <v>0</v>
      </c>
      <c r="AT190">
        <v>0</v>
      </c>
      <c r="AU190">
        <v>0</v>
      </c>
      <c r="AV190">
        <v>0</v>
      </c>
      <c r="AW190">
        <v>0</v>
      </c>
      <c r="AX190">
        <v>0</v>
      </c>
      <c r="AY190">
        <v>0</v>
      </c>
      <c r="AZ190">
        <v>0</v>
      </c>
      <c r="BA190">
        <v>0</v>
      </c>
      <c r="BB190">
        <v>0</v>
      </c>
      <c r="BC190">
        <v>0</v>
      </c>
      <c r="BD190">
        <v>0</v>
      </c>
      <c r="BE190">
        <v>0</v>
      </c>
      <c r="BF190">
        <v>0</v>
      </c>
      <c r="BG190">
        <v>0</v>
      </c>
      <c r="BH190">
        <v>0</v>
      </c>
      <c r="BI190">
        <v>0</v>
      </c>
      <c r="BJ190">
        <v>0</v>
      </c>
      <c r="BK190">
        <v>0</v>
      </c>
      <c r="BL190">
        <v>0</v>
      </c>
      <c r="BM190">
        <v>0</v>
      </c>
      <c r="BN190">
        <v>0</v>
      </c>
      <c r="BO190">
        <v>0</v>
      </c>
      <c r="BP190">
        <v>0</v>
      </c>
      <c r="BQ190">
        <v>0</v>
      </c>
      <c r="BR190">
        <v>0</v>
      </c>
      <c r="BS190">
        <v>0</v>
      </c>
      <c r="BT190">
        <v>0</v>
      </c>
      <c r="BU190">
        <v>0</v>
      </c>
      <c r="BV190">
        <v>0</v>
      </c>
      <c r="BW190">
        <v>0</v>
      </c>
      <c r="BX190">
        <v>0</v>
      </c>
      <c r="BY190">
        <v>0</v>
      </c>
      <c r="BZ190">
        <v>0</v>
      </c>
      <c r="CA190">
        <v>0</v>
      </c>
      <c r="CB190">
        <v>0</v>
      </c>
      <c r="CC190">
        <v>0</v>
      </c>
      <c r="CD190">
        <v>0</v>
      </c>
      <c r="CE190">
        <v>0</v>
      </c>
      <c r="CF190">
        <v>0</v>
      </c>
      <c r="CG190">
        <v>1</v>
      </c>
      <c r="CH190">
        <v>1</v>
      </c>
      <c r="CI190">
        <v>1</v>
      </c>
      <c r="CJ190">
        <v>1</v>
      </c>
      <c r="CK190">
        <v>1</v>
      </c>
      <c r="CL190">
        <v>1</v>
      </c>
      <c r="CM190">
        <v>1</v>
      </c>
      <c r="CN190">
        <v>2</v>
      </c>
      <c r="CO190">
        <v>2</v>
      </c>
      <c r="CP190">
        <v>2</v>
      </c>
      <c r="CQ190">
        <v>2</v>
      </c>
      <c r="CR190">
        <v>2</v>
      </c>
      <c r="CS190">
        <v>2</v>
      </c>
      <c r="CT190">
        <v>2</v>
      </c>
      <c r="CU190">
        <v>2</v>
      </c>
      <c r="CV190">
        <v>2</v>
      </c>
      <c r="CW190">
        <v>2</v>
      </c>
      <c r="CX190">
        <v>2</v>
      </c>
      <c r="CY190">
        <v>2</v>
      </c>
      <c r="CZ190">
        <v>2</v>
      </c>
      <c r="DA190">
        <v>2</v>
      </c>
      <c r="DB190">
        <v>2</v>
      </c>
      <c r="DC190">
        <v>2</v>
      </c>
      <c r="DD190">
        <v>2</v>
      </c>
      <c r="DE190">
        <v>2</v>
      </c>
      <c r="DF190">
        <v>2</v>
      </c>
      <c r="DG190">
        <v>2</v>
      </c>
      <c r="DH190">
        <v>2</v>
      </c>
      <c r="DI190">
        <v>2</v>
      </c>
      <c r="DJ190">
        <v>2</v>
      </c>
      <c r="DK190">
        <v>2</v>
      </c>
      <c r="DL190">
        <v>2</v>
      </c>
      <c r="DM190">
        <v>2</v>
      </c>
      <c r="DN190">
        <v>2</v>
      </c>
      <c r="DO190">
        <v>2</v>
      </c>
      <c r="DP190">
        <v>2</v>
      </c>
      <c r="DQ190">
        <v>2</v>
      </c>
      <c r="DR190">
        <v>2</v>
      </c>
      <c r="DS190">
        <v>2</v>
      </c>
      <c r="DT190">
        <v>2</v>
      </c>
      <c r="DU190">
        <v>2</v>
      </c>
      <c r="DV190">
        <v>2</v>
      </c>
      <c r="DW190">
        <v>2</v>
      </c>
      <c r="DX190">
        <v>2</v>
      </c>
      <c r="DY190">
        <v>2</v>
      </c>
      <c r="DZ190">
        <v>2</v>
      </c>
      <c r="EA190">
        <v>2</v>
      </c>
      <c r="EB190">
        <v>2</v>
      </c>
      <c r="EC190">
        <v>2</v>
      </c>
      <c r="ED190">
        <v>2</v>
      </c>
      <c r="EE190">
        <v>2</v>
      </c>
      <c r="EF190">
        <v>2</v>
      </c>
      <c r="EG190">
        <v>2</v>
      </c>
      <c r="EH190">
        <v>2</v>
      </c>
      <c r="EI190">
        <v>2</v>
      </c>
      <c r="EJ190">
        <v>2</v>
      </c>
      <c r="EK190">
        <v>2</v>
      </c>
      <c r="EL190">
        <v>2</v>
      </c>
      <c r="EM190">
        <v>2</v>
      </c>
      <c r="EN190">
        <v>2</v>
      </c>
      <c r="EO190">
        <v>2</v>
      </c>
      <c r="EP190">
        <v>2</v>
      </c>
      <c r="EQ190">
        <v>2</v>
      </c>
      <c r="ER190">
        <v>2</v>
      </c>
      <c r="ES190">
        <v>2</v>
      </c>
      <c r="ET190">
        <v>2</v>
      </c>
      <c r="EU190">
        <v>2</v>
      </c>
      <c r="EV190">
        <v>2</v>
      </c>
      <c r="EW190">
        <v>2</v>
      </c>
      <c r="EX190">
        <v>2</v>
      </c>
      <c r="EY190">
        <v>2</v>
      </c>
      <c r="EZ190">
        <v>2</v>
      </c>
      <c r="FA190">
        <v>2</v>
      </c>
      <c r="FB190">
        <v>2</v>
      </c>
      <c r="FC190">
        <v>2</v>
      </c>
      <c r="FD190">
        <v>2</v>
      </c>
      <c r="FE190">
        <v>2</v>
      </c>
      <c r="FF190">
        <v>2</v>
      </c>
      <c r="FG190">
        <v>2</v>
      </c>
      <c r="FH190">
        <v>2</v>
      </c>
      <c r="FI190">
        <v>2</v>
      </c>
      <c r="FJ190">
        <v>2</v>
      </c>
      <c r="FK190">
        <v>2</v>
      </c>
      <c r="FL190">
        <v>2</v>
      </c>
      <c r="FM190">
        <v>2</v>
      </c>
      <c r="FN190">
        <v>2</v>
      </c>
      <c r="FO190">
        <v>2</v>
      </c>
      <c r="FP190">
        <v>2</v>
      </c>
      <c r="FQ190">
        <v>2</v>
      </c>
      <c r="FR190">
        <v>2</v>
      </c>
      <c r="FS190">
        <v>2</v>
      </c>
      <c r="FT190">
        <v>2</v>
      </c>
      <c r="FU190">
        <v>2</v>
      </c>
      <c r="FV190">
        <v>2</v>
      </c>
      <c r="FW190">
        <v>2</v>
      </c>
      <c r="FX190">
        <v>2</v>
      </c>
      <c r="FY190">
        <v>2</v>
      </c>
      <c r="FZ190">
        <v>2</v>
      </c>
      <c r="GA190">
        <v>2</v>
      </c>
      <c r="GB190">
        <v>2</v>
      </c>
      <c r="GC190">
        <v>2</v>
      </c>
      <c r="GD190">
        <v>2</v>
      </c>
      <c r="GE190">
        <v>2</v>
      </c>
      <c r="GF190">
        <v>2</v>
      </c>
      <c r="GG190">
        <v>2</v>
      </c>
      <c r="GH190">
        <v>2</v>
      </c>
      <c r="GI190">
        <v>2</v>
      </c>
      <c r="GJ190">
        <v>2</v>
      </c>
      <c r="GK190">
        <v>2</v>
      </c>
      <c r="GL190">
        <v>2</v>
      </c>
      <c r="GM190">
        <v>2</v>
      </c>
      <c r="GN190">
        <v>2</v>
      </c>
      <c r="GO190">
        <v>2</v>
      </c>
      <c r="GP190">
        <v>2</v>
      </c>
      <c r="GQ190">
        <v>2</v>
      </c>
      <c r="GR190">
        <v>2</v>
      </c>
      <c r="GS190">
        <v>2</v>
      </c>
      <c r="GT190">
        <v>2</v>
      </c>
      <c r="GU190">
        <v>2</v>
      </c>
      <c r="GV190">
        <v>2</v>
      </c>
      <c r="GW190">
        <v>2</v>
      </c>
      <c r="GX190">
        <v>2</v>
      </c>
      <c r="GY190">
        <v>2</v>
      </c>
      <c r="GZ190">
        <v>2</v>
      </c>
      <c r="HA190">
        <v>2</v>
      </c>
      <c r="HB190">
        <v>2</v>
      </c>
      <c r="HC190">
        <v>2</v>
      </c>
      <c r="HD190">
        <v>2</v>
      </c>
      <c r="HE190">
        <v>2</v>
      </c>
      <c r="HF190">
        <v>2</v>
      </c>
      <c r="HG190">
        <v>2</v>
      </c>
      <c r="HH190">
        <v>2</v>
      </c>
      <c r="HI190">
        <v>2</v>
      </c>
      <c r="HJ190">
        <v>2</v>
      </c>
      <c r="HK190">
        <v>2</v>
      </c>
      <c r="HL190">
        <v>2</v>
      </c>
      <c r="HM190">
        <v>2</v>
      </c>
      <c r="HN190">
        <v>2</v>
      </c>
      <c r="HO190">
        <v>2</v>
      </c>
      <c r="HP190">
        <v>2</v>
      </c>
      <c r="HQ190">
        <v>2</v>
      </c>
      <c r="HR190">
        <v>2</v>
      </c>
      <c r="HS190">
        <v>2</v>
      </c>
      <c r="HT190">
        <v>2</v>
      </c>
      <c r="HU190">
        <v>2</v>
      </c>
      <c r="HV190">
        <v>2</v>
      </c>
      <c r="HW190">
        <v>2</v>
      </c>
      <c r="HX190">
        <v>2</v>
      </c>
      <c r="HY190">
        <v>2</v>
      </c>
      <c r="HZ190">
        <v>2</v>
      </c>
      <c r="IA190">
        <v>2</v>
      </c>
      <c r="IB190">
        <v>2</v>
      </c>
      <c r="IC190">
        <v>2</v>
      </c>
      <c r="ID190">
        <v>2</v>
      </c>
      <c r="IE190">
        <v>2</v>
      </c>
      <c r="IF190">
        <v>2</v>
      </c>
      <c r="IG190">
        <v>2</v>
      </c>
      <c r="IH190">
        <v>2</v>
      </c>
      <c r="II190">
        <v>2</v>
      </c>
      <c r="IJ190">
        <v>2</v>
      </c>
      <c r="IK190">
        <v>2</v>
      </c>
      <c r="IL190">
        <v>2</v>
      </c>
      <c r="IM190">
        <v>2</v>
      </c>
      <c r="IN190">
        <v>2</v>
      </c>
      <c r="IO190">
        <v>2</v>
      </c>
      <c r="IP190">
        <v>2</v>
      </c>
      <c r="IQ190">
        <v>2</v>
      </c>
      <c r="IR190">
        <v>2</v>
      </c>
      <c r="IS190">
        <v>2</v>
      </c>
      <c r="IT190">
        <v>2</v>
      </c>
      <c r="IU190">
        <v>2</v>
      </c>
      <c r="IV190">
        <v>2</v>
      </c>
      <c r="IW190">
        <v>2</v>
      </c>
      <c r="IX190">
        <v>2</v>
      </c>
      <c r="IY190">
        <v>2</v>
      </c>
      <c r="IZ190">
        <v>2</v>
      </c>
      <c r="JA190">
        <v>2</v>
      </c>
      <c r="JB190">
        <v>2</v>
      </c>
      <c r="JC190">
        <v>2</v>
      </c>
      <c r="JD190">
        <v>2</v>
      </c>
      <c r="JE190">
        <v>2</v>
      </c>
      <c r="JF190">
        <v>2</v>
      </c>
      <c r="JG190">
        <v>2</v>
      </c>
      <c r="JH190">
        <v>2</v>
      </c>
      <c r="JI190">
        <v>2</v>
      </c>
      <c r="JJ190">
        <v>2</v>
      </c>
      <c r="JK190">
        <v>2</v>
      </c>
      <c r="JL190">
        <v>2</v>
      </c>
      <c r="JM190">
        <v>2</v>
      </c>
      <c r="JN190">
        <v>2</v>
      </c>
      <c r="JO190">
        <v>2</v>
      </c>
      <c r="JP190">
        <v>2</v>
      </c>
      <c r="JQ190">
        <v>2</v>
      </c>
      <c r="JR190">
        <v>2</v>
      </c>
      <c r="JS190">
        <v>2</v>
      </c>
      <c r="JT190">
        <v>2</v>
      </c>
      <c r="JU190">
        <v>2</v>
      </c>
      <c r="JV190">
        <v>2</v>
      </c>
      <c r="JW190">
        <v>2</v>
      </c>
      <c r="JX190">
        <v>2</v>
      </c>
      <c r="JY190">
        <v>2</v>
      </c>
      <c r="JZ190">
        <v>2</v>
      </c>
      <c r="KA190">
        <v>2</v>
      </c>
      <c r="KB190">
        <v>2</v>
      </c>
      <c r="KC190">
        <v>2</v>
      </c>
      <c r="KD190">
        <v>2</v>
      </c>
      <c r="KE190">
        <v>2</v>
      </c>
      <c r="KF190">
        <v>2</v>
      </c>
      <c r="KG190">
        <v>2</v>
      </c>
      <c r="KH190">
        <v>2</v>
      </c>
      <c r="KI190">
        <v>2</v>
      </c>
      <c r="KJ190">
        <v>2</v>
      </c>
      <c r="KK190">
        <v>2</v>
      </c>
      <c r="KL190">
        <v>2</v>
      </c>
      <c r="KM190">
        <v>2</v>
      </c>
      <c r="KN190">
        <v>2</v>
      </c>
      <c r="KO190">
        <v>2</v>
      </c>
      <c r="KP190">
        <v>2</v>
      </c>
      <c r="KQ190">
        <v>2</v>
      </c>
      <c r="KR190">
        <v>2</v>
      </c>
      <c r="KS190">
        <v>2</v>
      </c>
      <c r="KT190">
        <v>2</v>
      </c>
      <c r="KU190">
        <v>2</v>
      </c>
      <c r="KV190">
        <v>2</v>
      </c>
      <c r="KW190">
        <v>2</v>
      </c>
      <c r="KX190">
        <v>2</v>
      </c>
      <c r="KY190">
        <v>2</v>
      </c>
      <c r="KZ190">
        <v>2</v>
      </c>
      <c r="LA190">
        <v>2</v>
      </c>
      <c r="LB190">
        <v>2</v>
      </c>
      <c r="LC190">
        <v>2</v>
      </c>
      <c r="LD190">
        <v>2</v>
      </c>
      <c r="LE190">
        <v>2</v>
      </c>
      <c r="LF190">
        <v>2</v>
      </c>
      <c r="LG190">
        <v>2</v>
      </c>
      <c r="LH190">
        <v>2</v>
      </c>
      <c r="LI190">
        <v>2</v>
      </c>
      <c r="LJ190">
        <v>2</v>
      </c>
      <c r="LK190">
        <v>2</v>
      </c>
      <c r="LL190">
        <v>2</v>
      </c>
      <c r="LM190">
        <v>2</v>
      </c>
      <c r="LN190">
        <v>2</v>
      </c>
      <c r="LO190">
        <v>2</v>
      </c>
      <c r="LP190">
        <v>2</v>
      </c>
      <c r="LQ190">
        <v>2</v>
      </c>
      <c r="LR190">
        <v>2</v>
      </c>
      <c r="LS190">
        <v>2</v>
      </c>
      <c r="LT190">
        <v>2</v>
      </c>
      <c r="LU190">
        <v>2</v>
      </c>
      <c r="LV190">
        <v>2</v>
      </c>
      <c r="LW190">
        <v>2</v>
      </c>
      <c r="LX190">
        <v>2</v>
      </c>
      <c r="LY190">
        <v>2</v>
      </c>
      <c r="LZ190">
        <v>2</v>
      </c>
      <c r="MA190">
        <v>2</v>
      </c>
      <c r="MB190">
        <v>2</v>
      </c>
      <c r="MC190">
        <v>2</v>
      </c>
      <c r="MD190">
        <v>2</v>
      </c>
      <c r="ME190">
        <v>2</v>
      </c>
      <c r="MF190">
        <v>2</v>
      </c>
      <c r="MG190">
        <v>2</v>
      </c>
      <c r="MH190">
        <v>2</v>
      </c>
      <c r="MI190">
        <v>2</v>
      </c>
      <c r="MJ190">
        <v>2</v>
      </c>
      <c r="MK190">
        <v>2</v>
      </c>
      <c r="ML190">
        <v>2</v>
      </c>
      <c r="MM190">
        <v>2</v>
      </c>
      <c r="MN190">
        <v>2</v>
      </c>
      <c r="MO190">
        <v>2</v>
      </c>
      <c r="MP190">
        <v>2</v>
      </c>
      <c r="MQ190">
        <v>2</v>
      </c>
      <c r="MR190">
        <v>2</v>
      </c>
      <c r="MS190">
        <v>2</v>
      </c>
      <c r="MT190">
        <v>2</v>
      </c>
      <c r="MU190">
        <v>2</v>
      </c>
      <c r="MV190">
        <v>2</v>
      </c>
      <c r="MW190">
        <v>2</v>
      </c>
      <c r="MX190">
        <v>2</v>
      </c>
      <c r="MY190">
        <v>2</v>
      </c>
      <c r="MZ190">
        <v>2</v>
      </c>
      <c r="NA190">
        <v>2</v>
      </c>
      <c r="NB190">
        <v>2</v>
      </c>
      <c r="NC190">
        <v>2</v>
      </c>
      <c r="ND190">
        <v>2</v>
      </c>
      <c r="NE190">
        <v>2</v>
      </c>
      <c r="NF190">
        <v>2</v>
      </c>
      <c r="NG190">
        <v>2</v>
      </c>
      <c r="NH190">
        <v>2</v>
      </c>
      <c r="NI190">
        <v>2</v>
      </c>
      <c r="NJ190">
        <v>2</v>
      </c>
      <c r="NK190">
        <v>2</v>
      </c>
      <c r="NL190">
        <v>2</v>
      </c>
      <c r="NM190">
        <v>2</v>
      </c>
      <c r="NN190">
        <v>2</v>
      </c>
      <c r="NO190">
        <v>2</v>
      </c>
      <c r="NP190">
        <v>2</v>
      </c>
      <c r="NQ190">
        <v>2</v>
      </c>
      <c r="NR190">
        <v>2</v>
      </c>
      <c r="NS190">
        <v>2</v>
      </c>
      <c r="NT190">
        <v>2</v>
      </c>
      <c r="NU190">
        <v>2</v>
      </c>
      <c r="NV190">
        <v>2</v>
      </c>
      <c r="NW190">
        <v>2</v>
      </c>
      <c r="NX190">
        <v>2</v>
      </c>
      <c r="NY190">
        <v>2</v>
      </c>
      <c r="NZ190">
        <v>2</v>
      </c>
      <c r="OA190">
        <v>2</v>
      </c>
      <c r="OB190">
        <v>2</v>
      </c>
      <c r="OC190">
        <v>2</v>
      </c>
      <c r="OD190">
        <v>2</v>
      </c>
      <c r="OE190">
        <v>2</v>
      </c>
      <c r="OF190">
        <v>2</v>
      </c>
      <c r="OG190">
        <v>2</v>
      </c>
      <c r="OH190">
        <v>2</v>
      </c>
      <c r="OI190">
        <v>2</v>
      </c>
      <c r="OJ190">
        <v>2</v>
      </c>
      <c r="OK190">
        <v>2</v>
      </c>
      <c r="OL190">
        <v>2</v>
      </c>
      <c r="OM190">
        <v>2</v>
      </c>
      <c r="ON190">
        <v>2</v>
      </c>
      <c r="OO190">
        <v>2</v>
      </c>
      <c r="OP190">
        <v>2</v>
      </c>
      <c r="OQ190">
        <v>2</v>
      </c>
      <c r="OR190">
        <v>2</v>
      </c>
      <c r="OS190">
        <v>2</v>
      </c>
      <c r="OT190">
        <v>2</v>
      </c>
      <c r="OU190">
        <v>2</v>
      </c>
      <c r="OV190">
        <v>2</v>
      </c>
      <c r="OW190">
        <v>2</v>
      </c>
      <c r="OX190">
        <v>2</v>
      </c>
      <c r="OY190">
        <v>2</v>
      </c>
      <c r="OZ190">
        <v>2</v>
      </c>
      <c r="PA190">
        <v>2</v>
      </c>
      <c r="PB190">
        <v>2</v>
      </c>
      <c r="PC190">
        <v>2</v>
      </c>
      <c r="PD190">
        <v>2</v>
      </c>
      <c r="PE190">
        <v>2</v>
      </c>
      <c r="PF190">
        <v>2</v>
      </c>
      <c r="PG190">
        <v>2</v>
      </c>
      <c r="PH190">
        <v>2</v>
      </c>
      <c r="PI190">
        <v>2</v>
      </c>
      <c r="PJ190">
        <v>2</v>
      </c>
      <c r="PK190">
        <v>2</v>
      </c>
      <c r="PL190">
        <v>2</v>
      </c>
      <c r="PM190">
        <v>0</v>
      </c>
      <c r="PN190">
        <v>0</v>
      </c>
      <c r="PO190">
        <v>0</v>
      </c>
      <c r="PP190">
        <v>0</v>
      </c>
      <c r="PQ190">
        <v>0</v>
      </c>
      <c r="PR190">
        <v>0</v>
      </c>
      <c r="PS190">
        <v>0</v>
      </c>
      <c r="PT190">
        <v>0</v>
      </c>
      <c r="PU190">
        <v>0</v>
      </c>
      <c r="PV190">
        <v>0</v>
      </c>
      <c r="PW190">
        <v>0</v>
      </c>
      <c r="PX190">
        <v>0</v>
      </c>
      <c r="PY190">
        <v>0</v>
      </c>
      <c r="PZ190">
        <v>0</v>
      </c>
      <c r="QA190">
        <v>0</v>
      </c>
      <c r="QB190">
        <v>0</v>
      </c>
      <c r="QC190">
        <v>0</v>
      </c>
      <c r="QD190">
        <v>0</v>
      </c>
      <c r="QE190">
        <v>0</v>
      </c>
      <c r="QF190">
        <v>0</v>
      </c>
      <c r="QG190">
        <v>0</v>
      </c>
      <c r="QH190">
        <v>0</v>
      </c>
      <c r="QI190">
        <v>0</v>
      </c>
      <c r="QJ190">
        <v>0</v>
      </c>
      <c r="QK190">
        <v>0</v>
      </c>
      <c r="QL190">
        <v>0</v>
      </c>
      <c r="QM190">
        <v>0</v>
      </c>
      <c r="QN190">
        <v>0</v>
      </c>
      <c r="QO190">
        <v>0</v>
      </c>
      <c r="QP190">
        <v>0</v>
      </c>
      <c r="QQ190">
        <v>0</v>
      </c>
      <c r="QR190">
        <v>0</v>
      </c>
      <c r="QS190">
        <v>0</v>
      </c>
      <c r="QT190">
        <v>0</v>
      </c>
      <c r="QU190">
        <v>0</v>
      </c>
      <c r="QV190">
        <v>0</v>
      </c>
      <c r="QW190">
        <v>0</v>
      </c>
      <c r="QX190">
        <v>0</v>
      </c>
      <c r="QY190">
        <v>0</v>
      </c>
      <c r="QZ190">
        <v>0</v>
      </c>
      <c r="RA190">
        <v>0</v>
      </c>
      <c r="RB190">
        <v>0</v>
      </c>
      <c r="RC190">
        <v>0</v>
      </c>
      <c r="RD190">
        <v>0</v>
      </c>
      <c r="RE190">
        <v>0</v>
      </c>
      <c r="RF190">
        <v>0</v>
      </c>
      <c r="RG190">
        <v>0</v>
      </c>
      <c r="RH190">
        <v>0</v>
      </c>
      <c r="RI190">
        <v>0</v>
      </c>
      <c r="RJ190">
        <v>0</v>
      </c>
      <c r="RK190">
        <v>0</v>
      </c>
      <c r="RL190">
        <v>0</v>
      </c>
      <c r="RM190">
        <v>0</v>
      </c>
      <c r="RN190">
        <v>0</v>
      </c>
      <c r="RO190">
        <v>0</v>
      </c>
      <c r="RP190">
        <v>0</v>
      </c>
      <c r="RQ190">
        <v>0</v>
      </c>
      <c r="RR190">
        <v>0</v>
      </c>
      <c r="RS190">
        <v>0</v>
      </c>
      <c r="RT190">
        <v>0</v>
      </c>
      <c r="RU190">
        <v>0</v>
      </c>
      <c r="RV190">
        <v>0</v>
      </c>
      <c r="RW190">
        <v>0</v>
      </c>
      <c r="RX190">
        <v>0</v>
      </c>
      <c r="RY190">
        <v>0</v>
      </c>
      <c r="RZ190">
        <v>0</v>
      </c>
      <c r="SA190">
        <v>0</v>
      </c>
      <c r="SB190">
        <v>0</v>
      </c>
      <c r="SC190">
        <v>0</v>
      </c>
      <c r="SD190">
        <v>0</v>
      </c>
      <c r="SE190">
        <v>0</v>
      </c>
      <c r="SF190">
        <v>0</v>
      </c>
      <c r="SG190">
        <v>0</v>
      </c>
      <c r="SH190">
        <v>0</v>
      </c>
      <c r="SI190">
        <v>0</v>
      </c>
      <c r="SJ190">
        <v>0</v>
      </c>
      <c r="SK190">
        <v>0</v>
      </c>
      <c r="SL190">
        <v>0</v>
      </c>
      <c r="SM190">
        <v>0</v>
      </c>
      <c r="SN190">
        <v>0</v>
      </c>
      <c r="SO190">
        <v>0</v>
      </c>
      <c r="SP190">
        <v>0</v>
      </c>
      <c r="SQ190">
        <v>0</v>
      </c>
      <c r="SR190">
        <v>0</v>
      </c>
      <c r="SS190">
        <v>0</v>
      </c>
      <c r="ST190">
        <v>0</v>
      </c>
      <c r="SU190">
        <v>0</v>
      </c>
      <c r="SV190">
        <v>0</v>
      </c>
      <c r="SW190">
        <v>0</v>
      </c>
      <c r="SX190">
        <v>0</v>
      </c>
      <c r="SY190">
        <v>0</v>
      </c>
      <c r="SZ190">
        <v>0</v>
      </c>
      <c r="TA190">
        <v>0</v>
      </c>
      <c r="TB190">
        <v>0</v>
      </c>
      <c r="TC190">
        <v>0</v>
      </c>
      <c r="TD190">
        <v>0</v>
      </c>
      <c r="TE190">
        <v>0</v>
      </c>
      <c r="TF190">
        <v>0</v>
      </c>
      <c r="TG190">
        <v>0</v>
      </c>
      <c r="TH190">
        <v>0</v>
      </c>
      <c r="TI190">
        <v>0</v>
      </c>
      <c r="TJ190">
        <v>0</v>
      </c>
      <c r="TK190">
        <v>0</v>
      </c>
      <c r="TL190">
        <v>0</v>
      </c>
      <c r="TM190">
        <v>2</v>
      </c>
      <c r="TN190">
        <v>2</v>
      </c>
      <c r="TO190">
        <v>2</v>
      </c>
      <c r="TP190">
        <v>2</v>
      </c>
      <c r="TQ190">
        <v>2</v>
      </c>
      <c r="TR190">
        <v>2</v>
      </c>
      <c r="TS190">
        <v>2</v>
      </c>
      <c r="TT190">
        <v>2</v>
      </c>
      <c r="TU190">
        <v>2</v>
      </c>
      <c r="TV190">
        <v>2</v>
      </c>
      <c r="TW190">
        <v>2</v>
      </c>
      <c r="TX190">
        <v>2</v>
      </c>
      <c r="TY190">
        <v>2</v>
      </c>
      <c r="TZ190">
        <v>2</v>
      </c>
      <c r="UA190">
        <v>2</v>
      </c>
      <c r="UB190">
        <v>2</v>
      </c>
      <c r="UC190">
        <v>2</v>
      </c>
      <c r="UD190">
        <v>2</v>
      </c>
      <c r="UE190">
        <v>2</v>
      </c>
      <c r="UF190">
        <v>2</v>
      </c>
      <c r="UG190">
        <v>2</v>
      </c>
      <c r="UH190">
        <v>2</v>
      </c>
      <c r="UI190">
        <v>2</v>
      </c>
      <c r="UJ190">
        <v>2</v>
      </c>
      <c r="UK190">
        <v>2</v>
      </c>
      <c r="UL190">
        <v>2</v>
      </c>
      <c r="UM190">
        <v>2</v>
      </c>
      <c r="UN190">
        <v>2</v>
      </c>
      <c r="UO190">
        <v>2</v>
      </c>
      <c r="UP190">
        <v>2</v>
      </c>
      <c r="UQ190">
        <v>2</v>
      </c>
      <c r="UR190">
        <v>2</v>
      </c>
      <c r="US190">
        <v>2</v>
      </c>
      <c r="UT190">
        <v>2</v>
      </c>
      <c r="UU190">
        <v>2</v>
      </c>
      <c r="UV190">
        <v>2</v>
      </c>
      <c r="UW190">
        <v>2</v>
      </c>
      <c r="UX190">
        <v>2</v>
      </c>
      <c r="UY190">
        <v>2</v>
      </c>
      <c r="UZ190">
        <v>2</v>
      </c>
      <c r="VA190">
        <v>2</v>
      </c>
      <c r="VB190">
        <v>2</v>
      </c>
      <c r="VC190">
        <v>2</v>
      </c>
      <c r="VD190">
        <v>2</v>
      </c>
      <c r="VE190">
        <v>2</v>
      </c>
      <c r="VF190">
        <v>2</v>
      </c>
      <c r="VG190">
        <v>2</v>
      </c>
      <c r="VH190">
        <v>2</v>
      </c>
      <c r="VI190">
        <v>2</v>
      </c>
      <c r="VJ190">
        <v>2</v>
      </c>
      <c r="VK190">
        <v>2</v>
      </c>
      <c r="VL190">
        <v>2</v>
      </c>
      <c r="VM190">
        <v>2</v>
      </c>
      <c r="VN190">
        <v>2</v>
      </c>
      <c r="VO190">
        <v>2</v>
      </c>
      <c r="VP190">
        <v>2</v>
      </c>
      <c r="VQ190">
        <v>2</v>
      </c>
      <c r="VR190">
        <v>2</v>
      </c>
      <c r="VS190">
        <v>2</v>
      </c>
      <c r="VT190">
        <v>2</v>
      </c>
      <c r="VU190">
        <v>2</v>
      </c>
      <c r="VV190">
        <v>2</v>
      </c>
      <c r="VW190">
        <v>2</v>
      </c>
      <c r="VX190">
        <v>2</v>
      </c>
      <c r="VY190">
        <v>2</v>
      </c>
      <c r="VZ190">
        <v>2</v>
      </c>
      <c r="WA190">
        <v>2</v>
      </c>
      <c r="WB190">
        <v>2</v>
      </c>
      <c r="WC190">
        <v>2</v>
      </c>
      <c r="WD190">
        <v>2</v>
      </c>
      <c r="WE190">
        <v>2</v>
      </c>
      <c r="WF190">
        <v>2</v>
      </c>
      <c r="WG190">
        <v>2</v>
      </c>
      <c r="WH190">
        <v>2</v>
      </c>
      <c r="WI190">
        <v>2</v>
      </c>
      <c r="WJ190">
        <v>2</v>
      </c>
      <c r="WK190">
        <v>2</v>
      </c>
      <c r="WL190">
        <v>2</v>
      </c>
      <c r="WM190">
        <v>2</v>
      </c>
      <c r="WN190">
        <v>2</v>
      </c>
      <c r="WO190">
        <v>2</v>
      </c>
      <c r="WP190">
        <v>2</v>
      </c>
      <c r="WQ190">
        <v>2</v>
      </c>
      <c r="WR190">
        <v>2</v>
      </c>
      <c r="WS190">
        <v>2</v>
      </c>
      <c r="WT190">
        <v>1</v>
      </c>
      <c r="WU190">
        <v>1</v>
      </c>
      <c r="WV190">
        <v>1</v>
      </c>
      <c r="WW190">
        <v>1</v>
      </c>
      <c r="WX190">
        <v>1</v>
      </c>
      <c r="WY190">
        <v>1</v>
      </c>
      <c r="WZ190">
        <v>1</v>
      </c>
      <c r="XA190">
        <v>1</v>
      </c>
      <c r="XB190">
        <v>1</v>
      </c>
      <c r="XC190">
        <v>1</v>
      </c>
      <c r="XD190">
        <v>1</v>
      </c>
      <c r="XE190">
        <v>1</v>
      </c>
      <c r="XF190">
        <v>1</v>
      </c>
      <c r="XG190">
        <v>1</v>
      </c>
      <c r="XH190">
        <v>1</v>
      </c>
      <c r="XI190">
        <v>1</v>
      </c>
      <c r="XJ190">
        <v>1</v>
      </c>
      <c r="XK190">
        <v>1</v>
      </c>
      <c r="XL190">
        <v>1</v>
      </c>
      <c r="XM190">
        <v>1</v>
      </c>
      <c r="XN190">
        <v>1</v>
      </c>
      <c r="XO190">
        <v>1</v>
      </c>
      <c r="XP190">
        <v>1</v>
      </c>
      <c r="XQ190">
        <v>1</v>
      </c>
      <c r="XR190">
        <v>1</v>
      </c>
      <c r="XS190">
        <v>1</v>
      </c>
      <c r="XT190">
        <v>1</v>
      </c>
      <c r="XU190">
        <v>1</v>
      </c>
      <c r="XV190">
        <v>1</v>
      </c>
      <c r="XW190">
        <v>1</v>
      </c>
      <c r="XX190">
        <v>1</v>
      </c>
      <c r="XY190">
        <v>1</v>
      </c>
      <c r="XZ190">
        <v>1</v>
      </c>
      <c r="YA190">
        <v>1</v>
      </c>
      <c r="YB190">
        <v>1</v>
      </c>
      <c r="YC190">
        <v>0</v>
      </c>
      <c r="YD190">
        <v>0</v>
      </c>
      <c r="YE190">
        <v>0</v>
      </c>
      <c r="YF190">
        <v>0</v>
      </c>
      <c r="YG190">
        <v>0</v>
      </c>
      <c r="YH190">
        <v>0</v>
      </c>
      <c r="YI190">
        <v>0</v>
      </c>
      <c r="YJ190">
        <v>0</v>
      </c>
      <c r="YK190">
        <v>0</v>
      </c>
      <c r="YL190">
        <v>0</v>
      </c>
      <c r="YM190">
        <v>0</v>
      </c>
      <c r="YN190">
        <v>0</v>
      </c>
      <c r="YO190">
        <v>0</v>
      </c>
      <c r="YP190">
        <v>0</v>
      </c>
      <c r="YQ190">
        <v>0</v>
      </c>
      <c r="YR190">
        <v>0</v>
      </c>
      <c r="YS190">
        <v>0</v>
      </c>
      <c r="YT190">
        <v>0</v>
      </c>
      <c r="YU190">
        <v>0</v>
      </c>
      <c r="YV190">
        <v>0</v>
      </c>
      <c r="YW190">
        <v>0</v>
      </c>
      <c r="YX190">
        <v>2</v>
      </c>
      <c r="YY190">
        <v>2</v>
      </c>
      <c r="YZ190">
        <v>2</v>
      </c>
      <c r="ZA190">
        <v>2</v>
      </c>
      <c r="ZB190">
        <v>2</v>
      </c>
      <c r="ZC190">
        <v>2</v>
      </c>
      <c r="ZD190">
        <v>2</v>
      </c>
      <c r="ZE190">
        <v>2</v>
      </c>
      <c r="ZF190">
        <v>2</v>
      </c>
      <c r="ZG190">
        <v>2</v>
      </c>
      <c r="ZH190">
        <v>2</v>
      </c>
      <c r="ZI190">
        <v>2</v>
      </c>
      <c r="ZJ190">
        <v>2</v>
      </c>
      <c r="ZK190">
        <v>2</v>
      </c>
      <c r="ZL190">
        <v>2</v>
      </c>
      <c r="ZM190">
        <v>2</v>
      </c>
      <c r="ZN190">
        <v>2</v>
      </c>
      <c r="ZO190">
        <v>2</v>
      </c>
      <c r="ZP190">
        <v>2</v>
      </c>
      <c r="ZQ190">
        <v>1</v>
      </c>
      <c r="ZR190">
        <v>1</v>
      </c>
      <c r="ZS190">
        <v>1</v>
      </c>
      <c r="ZT190">
        <v>1</v>
      </c>
      <c r="ZU190">
        <v>1</v>
      </c>
      <c r="ZV190">
        <v>1</v>
      </c>
      <c r="ZW190">
        <v>1</v>
      </c>
      <c r="ZX190">
        <v>1</v>
      </c>
      <c r="ZY190">
        <v>1</v>
      </c>
      <c r="ZZ190">
        <v>1</v>
      </c>
      <c r="AAA190">
        <v>2</v>
      </c>
      <c r="AAB190">
        <v>2</v>
      </c>
      <c r="AAC190">
        <v>2</v>
      </c>
      <c r="AAD190">
        <v>2</v>
      </c>
      <c r="AAE190">
        <v>2</v>
      </c>
      <c r="AAF190">
        <v>2</v>
      </c>
      <c r="AAG190">
        <v>2</v>
      </c>
      <c r="AAH190">
        <v>2</v>
      </c>
      <c r="AAI190">
        <v>2</v>
      </c>
      <c r="AAJ190">
        <v>2</v>
      </c>
      <c r="AAK190">
        <v>2</v>
      </c>
      <c r="AAL190">
        <v>2</v>
      </c>
      <c r="AAM190">
        <v>2</v>
      </c>
      <c r="AAN190">
        <v>2</v>
      </c>
      <c r="AAO190">
        <v>2</v>
      </c>
      <c r="AAP190">
        <v>2</v>
      </c>
      <c r="AAQ190">
        <v>2</v>
      </c>
      <c r="AAR190">
        <v>2</v>
      </c>
      <c r="AAS190">
        <v>2</v>
      </c>
      <c r="AAT190">
        <v>2</v>
      </c>
      <c r="AAU190">
        <v>0</v>
      </c>
      <c r="AAV190">
        <v>0</v>
      </c>
      <c r="AAW190">
        <v>0</v>
      </c>
      <c r="AAX190">
        <v>0</v>
      </c>
      <c r="AAY190">
        <v>0</v>
      </c>
      <c r="AAZ190">
        <v>0</v>
      </c>
      <c r="ABA190">
        <v>0</v>
      </c>
      <c r="ABB190">
        <v>0</v>
      </c>
      <c r="ABC190">
        <v>0</v>
      </c>
      <c r="ABD190">
        <v>0</v>
      </c>
      <c r="ABE190">
        <v>0</v>
      </c>
      <c r="ABG190" s="1137">
        <f t="shared" si="48"/>
        <v>0</v>
      </c>
      <c r="ABH190" s="1137">
        <f t="shared" si="48"/>
        <v>0</v>
      </c>
      <c r="ABI190" s="1137">
        <f t="shared" si="48"/>
        <v>9</v>
      </c>
      <c r="ABJ190" s="1137">
        <f t="shared" si="48"/>
        <v>30</v>
      </c>
      <c r="ABK190" s="1137">
        <f t="shared" si="48"/>
        <v>31</v>
      </c>
      <c r="ABL190" s="1137">
        <f t="shared" si="48"/>
        <v>30</v>
      </c>
      <c r="ABM190" s="1137">
        <f t="shared" si="48"/>
        <v>31</v>
      </c>
      <c r="ABN190" s="1137">
        <f t="shared" si="48"/>
        <v>31</v>
      </c>
      <c r="ABO190" s="1137">
        <f t="shared" si="48"/>
        <v>30</v>
      </c>
      <c r="ABP190" s="1137">
        <f t="shared" si="48"/>
        <v>31</v>
      </c>
      <c r="ABQ190" s="1137">
        <f t="shared" si="48"/>
        <v>30</v>
      </c>
      <c r="ABR190" s="1137">
        <f t="shared" si="48"/>
        <v>31</v>
      </c>
      <c r="ABS190" s="1137">
        <f t="shared" si="48"/>
        <v>31</v>
      </c>
      <c r="ABT190" s="1137">
        <f t="shared" si="48"/>
        <v>28</v>
      </c>
      <c r="ABU190" s="1137">
        <f t="shared" si="48"/>
        <v>1</v>
      </c>
      <c r="ABV190" s="1137">
        <f t="shared" si="48"/>
        <v>0</v>
      </c>
      <c r="ABW190" s="1137">
        <f t="shared" si="49"/>
        <v>0</v>
      </c>
      <c r="ABX190" s="1137">
        <f t="shared" si="49"/>
        <v>17</v>
      </c>
      <c r="ABY190" s="1137">
        <f t="shared" si="49"/>
        <v>31</v>
      </c>
      <c r="ABZ190" s="1137">
        <f t="shared" si="49"/>
        <v>31</v>
      </c>
      <c r="ACA190" s="1137">
        <f t="shared" si="49"/>
        <v>30</v>
      </c>
      <c r="ACB190" s="1137">
        <f t="shared" si="49"/>
        <v>11</v>
      </c>
      <c r="ACC190" s="1137">
        <f t="shared" si="49"/>
        <v>29</v>
      </c>
      <c r="ACD190" s="1137">
        <f t="shared" si="49"/>
        <v>20</v>
      </c>
      <c r="ACE190" s="1137" t="s">
        <v>79</v>
      </c>
      <c r="ACF190" s="1137">
        <f t="shared" si="47"/>
        <v>0</v>
      </c>
      <c r="ACG190" s="1137">
        <f t="shared" si="47"/>
        <v>0</v>
      </c>
      <c r="ACH190" s="1137">
        <f t="shared" si="47"/>
        <v>0</v>
      </c>
      <c r="ACI190" s="1137">
        <f t="shared" si="47"/>
        <v>1</v>
      </c>
      <c r="ACJ190" s="1137">
        <f t="shared" si="47"/>
        <v>1</v>
      </c>
      <c r="ACK190" s="1137">
        <f t="shared" si="47"/>
        <v>1</v>
      </c>
      <c r="ACL190" s="1137">
        <f t="shared" si="47"/>
        <v>1</v>
      </c>
      <c r="ACM190" s="1137">
        <f t="shared" si="47"/>
        <v>1</v>
      </c>
      <c r="ACN190" s="1137">
        <f t="shared" si="47"/>
        <v>1</v>
      </c>
      <c r="ACO190" s="1137">
        <f t="shared" si="47"/>
        <v>1</v>
      </c>
      <c r="ACP190" s="1137">
        <f t="shared" si="47"/>
        <v>1</v>
      </c>
      <c r="ACQ190" s="1137">
        <f t="shared" si="47"/>
        <v>1</v>
      </c>
      <c r="ACR190" s="1137">
        <f t="shared" si="47"/>
        <v>1</v>
      </c>
      <c r="ACS190" s="1137">
        <f t="shared" si="47"/>
        <v>1</v>
      </c>
      <c r="ACT190" s="1137">
        <f t="shared" si="43"/>
        <v>0</v>
      </c>
      <c r="ACU190" s="1137">
        <f t="shared" si="43"/>
        <v>0</v>
      </c>
      <c r="ACV190" s="1137">
        <f t="shared" si="43"/>
        <v>0</v>
      </c>
      <c r="ACW190" s="1137">
        <f t="shared" si="43"/>
        <v>1</v>
      </c>
      <c r="ACX190" s="1137">
        <f t="shared" si="42"/>
        <v>1</v>
      </c>
      <c r="ACY190" s="1137">
        <f t="shared" si="42"/>
        <v>1</v>
      </c>
      <c r="ACZ190" s="1137">
        <f t="shared" si="42"/>
        <v>1</v>
      </c>
      <c r="ADA190" s="1137">
        <f t="shared" si="35"/>
        <v>1</v>
      </c>
      <c r="ADB190" s="1137">
        <f t="shared" si="35"/>
        <v>1</v>
      </c>
      <c r="ADC190" s="1137">
        <f t="shared" si="35"/>
        <v>1</v>
      </c>
    </row>
  </sheetData>
  <phoneticPr fontId="96" type="noConversion"/>
  <pageMargins left="0.7" right="0.7" top="0.75" bottom="0.75" header="0.3" footer="0.3"/>
  <pageSetup paperSize="9" orientation="portrait" horizontalDpi="300" verticalDpi="30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52ABE-22B2-42AD-AAE7-D60008F8F82C}">
  <sheetPr codeName="Sheet28">
    <tabColor theme="7"/>
  </sheetPr>
  <dimension ref="A1:BE41"/>
  <sheetViews>
    <sheetView zoomScale="90" zoomScaleNormal="90" workbookViewId="0">
      <selection activeCell="G28" sqref="G28"/>
    </sheetView>
  </sheetViews>
  <sheetFormatPr defaultRowHeight="15" x14ac:dyDescent="0.25"/>
  <cols>
    <col min="1" max="1" width="4.42578125" customWidth="1"/>
    <col min="2" max="2" width="27.28515625" customWidth="1"/>
    <col min="3" max="7" width="11.85546875" customWidth="1"/>
  </cols>
  <sheetData>
    <row r="1" spans="1:57" ht="34.5" customHeight="1" x14ac:dyDescent="0.25">
      <c r="B1" s="1649" t="s">
        <v>1263</v>
      </c>
      <c r="C1" s="1649"/>
      <c r="D1" s="1649"/>
      <c r="E1" s="1649"/>
      <c r="F1" s="1649"/>
      <c r="G1" s="1649"/>
      <c r="H1" s="1649"/>
      <c r="I1" s="1649"/>
      <c r="J1" s="1649"/>
      <c r="K1" s="1649"/>
      <c r="L1" s="1649"/>
      <c r="M1" s="1649"/>
      <c r="N1" s="1649"/>
      <c r="O1" s="1649"/>
      <c r="P1" s="1649"/>
      <c r="Q1" s="1649"/>
      <c r="R1" s="1649">
        <f>COUNT(M13:M31)</f>
        <v>0</v>
      </c>
      <c r="S1" s="1649"/>
      <c r="T1" s="1649"/>
      <c r="U1" s="1649"/>
      <c r="V1" s="1649"/>
      <c r="W1" s="287"/>
      <c r="X1" s="287"/>
      <c r="AM1" s="447" t="s">
        <v>628</v>
      </c>
      <c r="AN1" s="449" t="s">
        <v>656</v>
      </c>
      <c r="AO1" s="481" t="s">
        <v>740</v>
      </c>
      <c r="BE1" s="180"/>
    </row>
    <row r="2" spans="1:57" ht="7.5" hidden="1" customHeight="1" x14ac:dyDescent="0.25">
      <c r="A2" s="19"/>
      <c r="AM2" s="447"/>
      <c r="AN2" s="449"/>
      <c r="AO2" s="481"/>
    </row>
    <row r="3" spans="1:57" ht="7.5" customHeight="1" x14ac:dyDescent="0.25">
      <c r="AM3" s="447"/>
      <c r="AN3" s="449"/>
      <c r="AO3" s="481"/>
    </row>
    <row r="4" spans="1:57" ht="29.25" customHeight="1" x14ac:dyDescent="0.45">
      <c r="B4" s="375" t="str">
        <f>IF('2. Pop_Prev Set Up'!$W$2="Yes", '2. Pop_Prev Set Up'!$W$1&amp;" : "&amp;'2. Pop_Prev Set Up'!$W$3, '2. Pop_Prev Set Up'!$W$1&amp;" : "&amp;"National")</f>
        <v>0 : National</v>
      </c>
      <c r="C4" s="189"/>
      <c r="D4" s="189"/>
      <c r="E4" s="189"/>
      <c r="F4" s="189"/>
      <c r="G4" s="189"/>
      <c r="H4" s="189"/>
      <c r="I4" s="189"/>
      <c r="J4" s="189"/>
      <c r="K4" s="189"/>
      <c r="L4" s="189"/>
      <c r="M4" s="189"/>
      <c r="N4" s="189"/>
      <c r="O4" s="189"/>
      <c r="P4" s="189"/>
      <c r="Q4" s="189"/>
      <c r="R4" s="189"/>
      <c r="S4" s="189"/>
      <c r="T4" s="189"/>
      <c r="U4" s="189"/>
      <c r="V4" s="189"/>
      <c r="W4" s="189"/>
      <c r="X4" s="189"/>
      <c r="Y4" s="1060" t="s">
        <v>1293</v>
      </c>
      <c r="AM4" s="447" t="s">
        <v>1203</v>
      </c>
      <c r="AN4" s="449"/>
      <c r="AO4" s="481" t="s">
        <v>1125</v>
      </c>
    </row>
    <row r="5" spans="1:57" ht="16.5" customHeight="1" x14ac:dyDescent="0.3">
      <c r="B5" s="376" t="str">
        <f>'3. ServiceStats Set Up'!B8&amp;" : "&amp; '3. ServiceStats Set Up'!C8</f>
        <v>Population : All Women</v>
      </c>
      <c r="C5" s="190"/>
      <c r="D5" s="190"/>
      <c r="E5" s="190"/>
      <c r="F5" s="190"/>
      <c r="G5" s="190"/>
      <c r="H5" s="190"/>
      <c r="I5" s="190"/>
      <c r="J5" s="190"/>
      <c r="K5" s="190"/>
      <c r="L5" s="190"/>
      <c r="M5" s="190"/>
      <c r="N5" s="190"/>
      <c r="O5" s="190"/>
      <c r="P5" s="190"/>
      <c r="Q5" s="190"/>
      <c r="R5" s="190"/>
      <c r="S5" s="190"/>
      <c r="T5" s="190"/>
      <c r="U5" s="190"/>
      <c r="V5" s="190"/>
      <c r="W5" s="190"/>
      <c r="X5" s="190"/>
      <c r="AM5" s="447"/>
      <c r="AN5" s="449"/>
      <c r="AO5" s="481"/>
    </row>
    <row r="6" spans="1:57" ht="21" customHeight="1" x14ac:dyDescent="0.25">
      <c r="B6" s="1059" t="s">
        <v>1294</v>
      </c>
    </row>
    <row r="7" spans="1:57" ht="49.15" customHeight="1" x14ac:dyDescent="0.25">
      <c r="B7" s="1677" t="s">
        <v>1292</v>
      </c>
      <c r="C7" s="1677"/>
      <c r="D7" s="1677"/>
      <c r="E7" s="1677"/>
      <c r="F7" s="1677"/>
      <c r="G7" s="1677"/>
      <c r="H7" s="1677"/>
      <c r="I7" s="1677"/>
      <c r="J7" s="1677"/>
      <c r="K7" s="1677"/>
      <c r="L7" s="1677"/>
      <c r="M7" s="1677"/>
      <c r="N7" s="1677"/>
      <c r="O7" s="1677"/>
      <c r="P7" s="1677"/>
      <c r="Q7" s="1677"/>
      <c r="R7" s="1677"/>
      <c r="S7" s="1677"/>
      <c r="T7" s="1677"/>
      <c r="U7" s="1677"/>
      <c r="V7" s="1677"/>
      <c r="W7" s="1677"/>
      <c r="X7" s="1677"/>
    </row>
    <row r="8" spans="1:57" x14ac:dyDescent="0.25">
      <c r="B8" s="1657" t="str">
        <f>IF(Language="English", AM8, AO8)</f>
        <v>Sélectionnez l'année pour la comparaison</v>
      </c>
      <c r="C8" s="1658"/>
      <c r="D8" s="1658"/>
      <c r="E8" s="1658"/>
      <c r="F8" s="1659"/>
      <c r="G8" s="754">
        <v>2018</v>
      </c>
      <c r="AM8" s="475" t="s">
        <v>993</v>
      </c>
      <c r="AN8" s="478"/>
      <c r="AO8" s="482" t="s">
        <v>1082</v>
      </c>
    </row>
    <row r="9" spans="1:57" ht="15.75" thickBot="1" x14ac:dyDescent="0.3"/>
    <row r="10" spans="1:57" ht="90.75" thickBot="1" x14ac:dyDescent="0.3">
      <c r="B10" s="937" t="s">
        <v>121</v>
      </c>
      <c r="C10" s="938" t="str">
        <f>'4. FPSource Set Up'!D10</f>
        <v>No DHS Available - replace with your own data if available</v>
      </c>
      <c r="D10" s="938" t="s">
        <v>1204</v>
      </c>
      <c r="E10" s="938" t="s">
        <v>1221</v>
      </c>
      <c r="F10" s="938" t="s">
        <v>1222</v>
      </c>
      <c r="G10" s="939" t="s">
        <v>1223</v>
      </c>
    </row>
    <row r="11" spans="1:57" x14ac:dyDescent="0.25">
      <c r="B11" s="134" t="s">
        <v>1262</v>
      </c>
      <c r="C11" s="949" t="str">
        <f>D11</f>
        <v>N/A</v>
      </c>
      <c r="D11" s="949" t="str">
        <f>'4. FPSource Set Up'!$D46</f>
        <v>N/A</v>
      </c>
      <c r="E11" s="949" t="str">
        <f>'4. FPSource Set Up'!$D47</f>
        <v>N/A</v>
      </c>
      <c r="F11" s="949" t="str">
        <f>'4. FPSource Set Up'!$D48</f>
        <v>N/A</v>
      </c>
      <c r="G11" s="949" t="str">
        <f>'4. FPSource Set Up'!$D49</f>
        <v>N/A</v>
      </c>
    </row>
    <row r="12" spans="1:57" ht="9" customHeight="1" thickBot="1" x14ac:dyDescent="0.3">
      <c r="B12" s="134"/>
      <c r="C12" s="134"/>
      <c r="D12" s="949"/>
      <c r="E12" s="949"/>
      <c r="F12" s="949"/>
      <c r="G12" s="949"/>
    </row>
    <row r="13" spans="1:57" x14ac:dyDescent="0.25">
      <c r="B13" s="974" t="str">
        <f>IF(Language="English",'Language Look Ups'!$O$6,IF(Language="Francais",'Language Look Ups'!$S$6,'Language Look Ups'!$Q$6))&amp;" (F)"</f>
        <v>Stérilisation (F)</v>
      </c>
      <c r="C13" s="940">
        <f>'4. FPSource Set Up'!E162</f>
        <v>0</v>
      </c>
      <c r="D13" s="940" t="e">
        <f>VLOOKUP($B13, 'Commodities (Clients) Input'!$BJ$59:$BZ$70, MATCH('Review of PS Adjustment'!$G$8, 'Commodities (Clients) Input'!$BJ$58:$BZ$58, 0), FALSE)/VLOOKUP($G$8, '2. Pop_Prev Set Up'!$B$11:$C$28, 2, FALSE)</f>
        <v>#N/A</v>
      </c>
      <c r="E13" s="940" t="str">
        <f>IFERROR(VLOOKUP($B13, 'Commodities (Facility) Input'!$BJ$59:$BZ$70, MATCH('Review of PS Adjustment'!$G$8, 'Commodities (Facility) Input'!$BJ$58:$BZ$58, 0), FALSE)/VLOOKUP($G$8, '2. Pop_Prev Set Up'!$B$11:$C$28, 2, FALSE), "")</f>
        <v/>
      </c>
      <c r="F13" s="940" t="e">
        <f>VLOOKUP($B13, 'Visits Input'!$BJ$59:$BZ$70, MATCH('Review of PS Adjustment'!$G$8, 'Visits Input'!$BJ$58:$BZ$58, 0), FALSE)/VLOOKUP($G$8, '2. Pop_Prev Set Up'!$B$11:$C$28, 2, FALSE)</f>
        <v>#N/A</v>
      </c>
      <c r="G13" s="941" t="e">
        <f>VLOOKUP($B13, 'Users Input'!$BJ$59:$BZ$70, MATCH('Review of PS Adjustment'!$G$8, 'Users Input'!$BJ$58:$BZ$58, 0), FALSE)/VLOOKUP($G$8, '2. Pop_Prev Set Up'!$B$11:$C$28, 2, FALSE)</f>
        <v>#N/A</v>
      </c>
    </row>
    <row r="14" spans="1:57" x14ac:dyDescent="0.25">
      <c r="B14" s="915" t="str">
        <f>IF(Language="English",'Language Look Ups'!$O$6,IF(Language="Francais",'Language Look Ups'!$S$6,'Language Look Ups'!$Q$6))&amp;" (M)"</f>
        <v>Stérilisation (M)</v>
      </c>
      <c r="C14" s="972">
        <f>'4. FPSource Set Up'!E163</f>
        <v>0</v>
      </c>
      <c r="D14" s="972" t="e">
        <f>VLOOKUP($B14, 'Commodities (Clients) Input'!$BJ$59:$BZ$70, MATCH('Review of PS Adjustment'!$G$8, 'Commodities (Clients) Input'!$BJ$58:$BZ$58, 0), FALSE)/VLOOKUP($G$8, '2. Pop_Prev Set Up'!$B$11:$C$28, 2, FALSE)</f>
        <v>#N/A</v>
      </c>
      <c r="E14" s="972" t="str">
        <f>IFERROR(VLOOKUP($B14, 'Commodities (Facility) Input'!$BJ$59:$BZ$70, MATCH('Review of PS Adjustment'!$G$8, 'Commodities (Facility) Input'!$BJ$58:$BZ$58, 0), FALSE)/VLOOKUP($G$8, '2. Pop_Prev Set Up'!$B$11:$C$28, 2, FALSE), "")</f>
        <v/>
      </c>
      <c r="F14" s="972" t="e">
        <f>VLOOKUP($B14, 'Visits Input'!$BJ$59:$BZ$70, MATCH('Review of PS Adjustment'!$G$8, 'Visits Input'!$BJ$58:$BZ$58, 0), FALSE)/VLOOKUP($G$8, '2. Pop_Prev Set Up'!$B$11:$C$28, 2, FALSE)</f>
        <v>#N/A</v>
      </c>
      <c r="G14" s="973" t="e">
        <f>VLOOKUP($B14, 'Users Input'!$BJ$59:$BZ$70, MATCH('Review of PS Adjustment'!$G$8, 'Users Input'!$BJ$58:$BZ$58, 0), FALSE)/VLOOKUP($G$8, '2. Pop_Prev Set Up'!$B$11:$C$28, 2, FALSE)</f>
        <v>#N/A</v>
      </c>
    </row>
    <row r="15" spans="1:57" x14ac:dyDescent="0.25">
      <c r="B15" s="915" t="str">
        <f>IF(Language="English", 'Language Look Ups'!$O$8,IF(Language="Francais", 'Language Look Ups'!$S$8, 'Language Look Ups'!$Q$8))</f>
        <v>DIU</v>
      </c>
      <c r="C15" s="942">
        <f>'4. FPSource Set Up'!E164</f>
        <v>0</v>
      </c>
      <c r="D15" s="942" t="e">
        <f>VLOOKUP($B15, 'Commodities (Clients) Input'!$BJ$59:$BZ$70, MATCH('Review of PS Adjustment'!$G$8, 'Commodities (Clients) Input'!$BJ$58:$BZ$58, 0), FALSE)/VLOOKUP($G$8, '2. Pop_Prev Set Up'!$B$11:$C$28, 2, FALSE)</f>
        <v>#N/A</v>
      </c>
      <c r="E15" s="942" t="str">
        <f>IFERROR(VLOOKUP($B15, 'Commodities (Facility) Input'!$BJ$59:$BZ$70, MATCH('Review of PS Adjustment'!$G$8, 'Commodities (Facility) Input'!$BJ$58:$BZ$58, 0), FALSE)/VLOOKUP($G$8, '2. Pop_Prev Set Up'!$B$11:$C$28, 2, FALSE), "")</f>
        <v/>
      </c>
      <c r="F15" s="942" t="e">
        <f>VLOOKUP($B15, 'Visits Input'!$BJ$59:$BZ$70, MATCH('Review of PS Adjustment'!$G$8, 'Visits Input'!$BJ$58:$BZ$58, 0), FALSE)/VLOOKUP($G$8, '2. Pop_Prev Set Up'!$B$11:$C$28, 2, FALSE)</f>
        <v>#N/A</v>
      </c>
      <c r="G15" s="943" t="e">
        <f>VLOOKUP($B15, 'Users Input'!$BJ$59:$BZ$70, MATCH('Review of PS Adjustment'!$G$8, 'Users Input'!$BJ$58:$BZ$58, 0), FALSE)/VLOOKUP($G$8, '2. Pop_Prev Set Up'!$B$11:$C$28, 2, FALSE)</f>
        <v>#N/A</v>
      </c>
    </row>
    <row r="16" spans="1:57" x14ac:dyDescent="0.25">
      <c r="B16" s="915" t="str">
        <f>IF(Language="English", 'Language Look Ups'!$O$10,IF(Language="Francais", 'Language Look Ups'!$S$10, 'Language Look Ups'!$Q$10))</f>
        <v>Implant</v>
      </c>
      <c r="C16" s="942">
        <f>'4. FPSource Set Up'!E165</f>
        <v>0</v>
      </c>
      <c r="D16" s="942" t="e">
        <f>VLOOKUP($B16, 'Commodities (Clients) Input'!$BJ$59:$BZ$70, MATCH('Review of PS Adjustment'!$G$8, 'Commodities (Clients) Input'!$BJ$58:$BZ$58, 0), FALSE)/VLOOKUP($G$8, '2. Pop_Prev Set Up'!$B$11:$C$28, 2, FALSE)</f>
        <v>#N/A</v>
      </c>
      <c r="E16" s="942" t="str">
        <f>IFERROR(VLOOKUP($B16, 'Commodities (Facility) Input'!$BJ$59:$BZ$70, MATCH('Review of PS Adjustment'!$G$8, 'Commodities (Facility) Input'!$BJ$58:$BZ$58, 0), FALSE)/VLOOKUP($G$8, '2. Pop_Prev Set Up'!$B$11:$C$28, 2, FALSE), "")</f>
        <v/>
      </c>
      <c r="F16" s="942" t="e">
        <f>VLOOKUP($B16, 'Visits Input'!$BJ$59:$BZ$70, MATCH('Review of PS Adjustment'!$G$8, 'Visits Input'!$BJ$58:$BZ$58, 0), FALSE)/VLOOKUP($G$8, '2. Pop_Prev Set Up'!$B$11:$C$28, 2, FALSE)</f>
        <v>#N/A</v>
      </c>
      <c r="G16" s="943" t="e">
        <f>VLOOKUP($B16, 'Users Input'!$BJ$59:$BZ$70, MATCH('Review of PS Adjustment'!$G$8, 'Users Input'!$BJ$58:$BZ$58, 0), FALSE)/VLOOKUP($G$8, '2. Pop_Prev Set Up'!$B$11:$C$28, 2, FALSE)</f>
        <v>#N/A</v>
      </c>
    </row>
    <row r="17" spans="2:7" x14ac:dyDescent="0.25">
      <c r="B17" s="868" t="str">
        <f>IF(Language="English", 'Language Look Ups'!$O$15,IF(Language="Francais", 'Language Look Ups'!$S$15, 'Language Look Ups'!O$15))</f>
        <v>Produits injectables</v>
      </c>
      <c r="C17" s="942">
        <f>'4. FPSource Set Up'!E166</f>
        <v>0</v>
      </c>
      <c r="D17" s="942" t="e">
        <f>VLOOKUP($B17, 'Commodities (Clients) Input'!$BJ$59:$BZ$70, MATCH('Review of PS Adjustment'!$G$8, 'Commodities (Clients) Input'!$BJ$58:$BZ$58, 0), FALSE)/VLOOKUP($G$8, '2. Pop_Prev Set Up'!$B$11:$C$28, 2, FALSE)</f>
        <v>#N/A</v>
      </c>
      <c r="E17" s="942" t="str">
        <f>IFERROR(VLOOKUP($B17, 'Commodities (Facility) Input'!$BJ$59:$BZ$70, MATCH('Review of PS Adjustment'!$G$8, 'Commodities (Facility) Input'!$BJ$58:$BZ$58, 0), FALSE)/VLOOKUP($G$8, '2. Pop_Prev Set Up'!$B$11:$C$28, 2, FALSE), "")</f>
        <v/>
      </c>
      <c r="F17" s="942" t="e">
        <f>VLOOKUP($B17, 'Visits Input'!$BJ$59:$BZ$70, MATCH('Review of PS Adjustment'!$G$8, 'Visits Input'!$BJ$58:$BZ$58, 0), FALSE)/VLOOKUP($G$8, '2. Pop_Prev Set Up'!$B$11:$C$28, 2, FALSE)</f>
        <v>#N/A</v>
      </c>
      <c r="G17" s="943" t="e">
        <f>VLOOKUP($B17, 'Users Input'!$BJ$59:$BZ$70, MATCH('Review of PS Adjustment'!$G$8, 'Users Input'!$BJ$58:$BZ$58, 0), FALSE)/VLOOKUP($G$8, '2. Pop_Prev Set Up'!$B$11:$C$28, 2, FALSE)</f>
        <v>#N/A</v>
      </c>
    </row>
    <row r="18" spans="2:7" x14ac:dyDescent="0.25">
      <c r="B18" s="915" t="str">
        <f>'5. MethodMix Set Up'!$G$17</f>
        <v>Pilule</v>
      </c>
      <c r="C18" s="942">
        <f>'4. FPSource Set Up'!E167</f>
        <v>0</v>
      </c>
      <c r="D18" s="942" t="e">
        <f>VLOOKUP($B18, 'Commodities (Clients) Input'!$BJ$59:$BZ$70, MATCH('Review of PS Adjustment'!$G$8, 'Commodities (Clients) Input'!$BJ$58:$BZ$58, 0), FALSE)/VLOOKUP($G$8, '2. Pop_Prev Set Up'!$B$11:$C$28, 2, FALSE)</f>
        <v>#N/A</v>
      </c>
      <c r="E18" s="942" t="str">
        <f>IFERROR(VLOOKUP($B18, 'Commodities (Facility) Input'!$BJ$59:$BZ$70, MATCH('Review of PS Adjustment'!$G$8, 'Commodities (Facility) Input'!$BJ$58:$BZ$58, 0), FALSE)/VLOOKUP($G$8, '2. Pop_Prev Set Up'!$B$11:$C$28, 2, FALSE), "")</f>
        <v/>
      </c>
      <c r="F18" s="942" t="e">
        <f>VLOOKUP($B18, 'Visits Input'!$BJ$59:$BZ$70, MATCH('Review of PS Adjustment'!$G$8, 'Visits Input'!$BJ$58:$BZ$58, 0), FALSE)/VLOOKUP($G$8, '2. Pop_Prev Set Up'!$B$11:$C$28, 2, FALSE)</f>
        <v>#N/A</v>
      </c>
      <c r="G18" s="943" t="e">
        <f>VLOOKUP($B18, 'Users Input'!$BJ$59:$BZ$70, MATCH('Review of PS Adjustment'!$G$8, 'Users Input'!$BJ$58:$BZ$58, 0), FALSE)/VLOOKUP($G$8, '2. Pop_Prev Set Up'!$B$11:$C$28, 2, FALSE)</f>
        <v>#N/A</v>
      </c>
    </row>
    <row r="19" spans="2:7" x14ac:dyDescent="0.25">
      <c r="B19" s="915" t="str">
        <f>IF(Language="English", 'Language Look Ups'!$O$23,IF(Language="Francais", 'Language Look Ups'!$S$23, 'Language Look Ups'!O$23)) &amp;" (m+f)"</f>
        <v>Préservatifs (m+f)</v>
      </c>
      <c r="C19" s="942">
        <f>'4. FPSource Set Up'!E168</f>
        <v>0</v>
      </c>
      <c r="D19" s="942" t="e">
        <f>VLOOKUP($B19, 'Commodities (Clients) Input'!$BJ$59:$BZ$70, MATCH('Review of PS Adjustment'!$G$8, 'Commodities (Clients) Input'!$BJ$58:$BZ$58, 0), FALSE)/VLOOKUP($G$8, '2. Pop_Prev Set Up'!$B$11:$C$28, 2, FALSE)</f>
        <v>#N/A</v>
      </c>
      <c r="E19" s="942" t="str">
        <f>IFERROR(VLOOKUP($B19, 'Commodities (Facility) Input'!$BJ$59:$BZ$70, MATCH('Review of PS Adjustment'!$G$8, 'Commodities (Facility) Input'!$BJ$58:$BZ$58, 0), FALSE)/VLOOKUP($G$8, '2. Pop_Prev Set Up'!$B$11:$C$28, 2, FALSE), "")</f>
        <v/>
      </c>
      <c r="F19" s="942" t="e">
        <f>VLOOKUP($B19, 'Visits Input'!$BJ$59:$BZ$70, MATCH('Review of PS Adjustment'!$G$8, 'Visits Input'!$BJ$58:$BZ$58, 0), FALSE)/VLOOKUP($G$8, '2. Pop_Prev Set Up'!$B$11:$C$28, 2, FALSE)</f>
        <v>#N/A</v>
      </c>
      <c r="G19" s="943" t="e">
        <f>VLOOKUP($B19, 'Users Input'!$BJ$59:$BZ$70, MATCH('Review of PS Adjustment'!$G$8, 'Users Input'!$BJ$58:$BZ$58, 0), FALSE)/VLOOKUP($G$8, '2. Pop_Prev Set Up'!$B$11:$C$28, 2, FALSE)</f>
        <v>#N/A</v>
      </c>
    </row>
    <row r="20" spans="2:7" x14ac:dyDescent="0.25">
      <c r="B20" s="915" t="str">
        <f>IF(Language="English", 'Language Look Ups'!$O$25,IF(Language="Francais", 'Language Look Ups'!$S$25, 'Language Look Ups'!O$25))</f>
        <v>Autres Méthodes Modernes</v>
      </c>
      <c r="C20" s="942">
        <f>'4. FPSource Set Up'!E169</f>
        <v>0</v>
      </c>
      <c r="D20" s="942" t="e">
        <f>VLOOKUP($B20, 'Commodities (Clients) Input'!$BJ$59:$BZ$70, MATCH('Review of PS Adjustment'!$G$8, 'Commodities (Clients) Input'!$BJ$58:$BZ$58, 0), FALSE)/VLOOKUP($G$8, '2. Pop_Prev Set Up'!$B$11:$C$28, 2, FALSE)</f>
        <v>#N/A</v>
      </c>
      <c r="E20" s="942" t="str">
        <f>IFERROR(VLOOKUP($B20, 'Commodities (Facility) Input'!$BJ$59:$BZ$70, MATCH('Review of PS Adjustment'!$G$8, 'Commodities (Facility) Input'!$BJ$58:$BZ$58, 0), FALSE)/VLOOKUP($G$8, '2. Pop_Prev Set Up'!$B$11:$C$28, 2, FALSE), "")</f>
        <v/>
      </c>
      <c r="F20" s="942" t="e">
        <f>VLOOKUP($B20, 'Visits Input'!$BJ$59:$BZ$70, MATCH('Review of PS Adjustment'!$G$8, 'Visits Input'!$BJ$58:$BZ$58, 0), FALSE)/VLOOKUP($G$8, '2. Pop_Prev Set Up'!$B$11:$C$28, 2, FALSE)</f>
        <v>#N/A</v>
      </c>
      <c r="G20" s="943" t="e">
        <f>VLOOKUP($B20, 'Users Input'!$BJ$59:$BZ$70, MATCH('Review of PS Adjustment'!$G$8, 'Users Input'!$BJ$58:$BZ$58, 0), FALSE)/VLOOKUP($G$8, '2. Pop_Prev Set Up'!$B$11:$C$28, 2, FALSE)</f>
        <v>#N/A</v>
      </c>
    </row>
    <row r="21" spans="2:7" ht="15.75" thickBot="1" x14ac:dyDescent="0.3">
      <c r="B21" s="916" t="str">
        <f>IF(Language="English", 'Language Look Ups'!$O$29,IF(Language="Francais", 'Language Look Ups'!$S$29, 'Language Look Ups'!O$29))</f>
        <v>Contraception d'urgence</v>
      </c>
      <c r="C21" s="944">
        <f>'4. FPSource Set Up'!E170</f>
        <v>0</v>
      </c>
      <c r="D21" s="944" t="e">
        <f>VLOOKUP($B21, 'Commodities (Clients) Input'!$BJ$59:$BZ$70, MATCH('Review of PS Adjustment'!$G$8, 'Commodities (Clients) Input'!$BJ$58:$BZ$58, 0), FALSE)/VLOOKUP($G$8, '2. Pop_Prev Set Up'!$B$11:$C$28, 2, FALSE)</f>
        <v>#N/A</v>
      </c>
      <c r="E21" s="944" t="str">
        <f>IFERROR(VLOOKUP($B21, 'Commodities (Facility) Input'!$BJ$59:$BZ$70, MATCH('Review of PS Adjustment'!$G$8, 'Commodities (Facility) Input'!$BJ$58:$BZ$58, 0), FALSE)/VLOOKUP($G$8, '2. Pop_Prev Set Up'!$B$11:$C$28, 2, FALSE), "")</f>
        <v/>
      </c>
      <c r="F21" s="944" t="e">
        <f>VLOOKUP($B21, 'Visits Input'!$BJ$59:$BZ$70, MATCH('Review of PS Adjustment'!$G$8, 'Visits Input'!$BJ$58:$BZ$58, 0), FALSE)/VLOOKUP($G$8, '2. Pop_Prev Set Up'!$B$11:$C$28, 2, FALSE)</f>
        <v>#N/A</v>
      </c>
      <c r="G21" s="945" t="e">
        <f>VLOOKUP($B21, 'Users Input'!$BJ$59:$BZ$70, MATCH('Review of PS Adjustment'!$G$8, 'Users Input'!$BJ$58:$BZ$58, 0), FALSE)/VLOOKUP($G$8, '2. Pop_Prev Set Up'!$B$11:$C$28, 2, FALSE)</f>
        <v>#N/A</v>
      </c>
    </row>
    <row r="22" spans="2:7" ht="15.75" thickBot="1" x14ac:dyDescent="0.3">
      <c r="B22" s="917"/>
      <c r="C22" s="149"/>
      <c r="D22" s="149"/>
      <c r="E22" s="149"/>
      <c r="F22" s="149"/>
      <c r="G22" s="630"/>
    </row>
    <row r="23" spans="2:7" ht="15.75" thickBot="1" x14ac:dyDescent="0.3">
      <c r="B23" s="948" t="s">
        <v>313</v>
      </c>
      <c r="C23" s="946">
        <f>SUM(C13:C21)</f>
        <v>0</v>
      </c>
      <c r="D23" s="946" t="e">
        <f>SUM(D13:D21)</f>
        <v>#N/A</v>
      </c>
      <c r="E23" s="946">
        <f>SUM(E13:E21)</f>
        <v>0</v>
      </c>
      <c r="F23" s="946" t="e">
        <f>SUM(F13:F21)</f>
        <v>#N/A</v>
      </c>
      <c r="G23" s="947" t="e">
        <f>SUM(G13:G21)</f>
        <v>#N/A</v>
      </c>
    </row>
    <row r="25" spans="2:7" ht="15.75" thickBot="1" x14ac:dyDescent="0.3"/>
    <row r="26" spans="2:7" ht="90.75" thickBot="1" x14ac:dyDescent="0.3">
      <c r="B26" s="937" t="s">
        <v>121</v>
      </c>
      <c r="C26" s="938" t="str">
        <f>C10</f>
        <v>No DHS Available - replace with your own data if available</v>
      </c>
      <c r="D26" s="938" t="s">
        <v>1230</v>
      </c>
      <c r="E26" s="938" t="s">
        <v>1231</v>
      </c>
      <c r="F26" s="938" t="s">
        <v>1232</v>
      </c>
      <c r="G26" s="939" t="s">
        <v>1233</v>
      </c>
    </row>
    <row r="27" spans="2:7" ht="24" x14ac:dyDescent="0.25">
      <c r="B27" s="134" t="s">
        <v>1262</v>
      </c>
      <c r="C27" s="949" t="str">
        <f>'Language Look Ups'!$B$32</f>
        <v>Tous publics et privés</v>
      </c>
      <c r="D27" s="949" t="str">
        <f>'Language Look Ups'!$B$32</f>
        <v>Tous publics et privés</v>
      </c>
      <c r="E27" s="949" t="str">
        <f>'Language Look Ups'!$B$32</f>
        <v>Tous publics et privés</v>
      </c>
      <c r="F27" s="949" t="str">
        <f>'Language Look Ups'!$B$32</f>
        <v>Tous publics et privés</v>
      </c>
      <c r="G27" s="949" t="str">
        <f>'Language Look Ups'!$B$32</f>
        <v>Tous publics et privés</v>
      </c>
    </row>
    <row r="28" spans="2:7" ht="15.75" thickBot="1" x14ac:dyDescent="0.3">
      <c r="B28" s="134"/>
      <c r="C28" s="134"/>
      <c r="D28" s="949"/>
      <c r="E28" s="949"/>
      <c r="F28" s="949"/>
      <c r="G28" s="949"/>
    </row>
    <row r="29" spans="2:7" x14ac:dyDescent="0.25">
      <c r="B29" s="974" t="str">
        <f>IF(Language="English",'Language Look Ups'!$O$6,IF(Language="Francais",'Language Look Ups'!$S$6,'Language Look Ups'!$Q$6))&amp;" (F)"</f>
        <v>Stérilisation (F)</v>
      </c>
      <c r="C29" s="940">
        <f>'4. FPSource Set Up'!K162</f>
        <v>0</v>
      </c>
      <c r="D29" s="940" t="e">
        <f>VLOOKUP($B29, 'Commodities (Clients) Input'!$CB$59:$CR$70, MATCH('Review of PS Adjustment'!$G$8, 'Commodities (Clients) Input'!$CB$58:$CR$58, 0), FALSE)/VLOOKUP($G$8, '2. Pop_Prev Set Up'!$B$11:$C$28, 2, FALSE)</f>
        <v>#N/A</v>
      </c>
      <c r="E29" s="940" t="str">
        <f>IFERROR(VLOOKUP($B29, 'Commodities (Facility) Input'!$CB$59:$CR$70, MATCH('Review of PS Adjustment'!$G$8, 'Commodities (Facility) Input'!$CB$58:$CR$58, 0), FALSE)/VLOOKUP($G$8, '2. Pop_Prev Set Up'!$B$11:$C$28, 2, FALSE), "")</f>
        <v/>
      </c>
      <c r="F29" s="940" t="e">
        <f>VLOOKUP($B29, 'Visits Input'!$CB$59:$CR$70, MATCH('Review of PS Adjustment'!$G$8, 'Visits Input'!$CB$58:$CR$58, 0), FALSE)/VLOOKUP($G$8, '2. Pop_Prev Set Up'!$B$11:$C$28, 2, FALSE)</f>
        <v>#N/A</v>
      </c>
      <c r="G29" s="941" t="e">
        <f>VLOOKUP($B29, 'Users Input'!$CB$59:$CR$70, MATCH('Review of PS Adjustment'!$G$8, 'Users Input'!$CB$58:$CR$58, 0), FALSE)/VLOOKUP($G$8, '2. Pop_Prev Set Up'!$B$11:$C$28, 2, FALSE)</f>
        <v>#N/A</v>
      </c>
    </row>
    <row r="30" spans="2:7" x14ac:dyDescent="0.25">
      <c r="B30" s="915" t="str">
        <f>IF(Language="English",'Language Look Ups'!$O$6,IF(Language="Francais",'Language Look Ups'!$S$6,'Language Look Ups'!$Q$6))&amp;" (M)"</f>
        <v>Stérilisation (M)</v>
      </c>
      <c r="C30" s="972">
        <f>'4. FPSource Set Up'!K163</f>
        <v>0</v>
      </c>
      <c r="D30" s="972" t="e">
        <f>VLOOKUP($B30, 'Commodities (Clients) Input'!$CB$59:$CR$70, MATCH('Review of PS Adjustment'!$G$8, 'Commodities (Clients) Input'!$CB$58:$CR$58, 0), FALSE)/VLOOKUP($G$8, '2. Pop_Prev Set Up'!$B$11:$C$28, 2, FALSE)</f>
        <v>#N/A</v>
      </c>
      <c r="E30" s="972" t="str">
        <f>IFERROR(VLOOKUP($B30, 'Commodities (Facility) Input'!$CB$59:$CR$70, MATCH('Review of PS Adjustment'!$G$8, 'Commodities (Facility) Input'!$CB$58:$CR$58, 0), FALSE)/VLOOKUP($G$8, '2. Pop_Prev Set Up'!$B$11:$C$28, 2, FALSE), "")</f>
        <v/>
      </c>
      <c r="F30" s="972" t="e">
        <f>VLOOKUP($B30, 'Visits Input'!$CB$59:$CR$70, MATCH('Review of PS Adjustment'!$G$8, 'Visits Input'!$CB$58:$CR$58, 0), FALSE)/VLOOKUP($G$8, '2. Pop_Prev Set Up'!$B$11:$C$28, 2, FALSE)</f>
        <v>#N/A</v>
      </c>
      <c r="G30" s="973" t="e">
        <f>VLOOKUP($B30, 'Users Input'!$CB$59:$CR$70, MATCH('Review of PS Adjustment'!$G$8, 'Users Input'!$CB$58:$CR$58, 0), FALSE)/VLOOKUP($G$8, '2. Pop_Prev Set Up'!$B$11:$C$28, 2, FALSE)</f>
        <v>#N/A</v>
      </c>
    </row>
    <row r="31" spans="2:7" x14ac:dyDescent="0.25">
      <c r="B31" s="915" t="str">
        <f>IF(Language="English", 'Language Look Ups'!$O$8,IF(Language="Francais", 'Language Look Ups'!$S$8, 'Language Look Ups'!$Q$8))</f>
        <v>DIU</v>
      </c>
      <c r="C31" s="942">
        <f>'4. FPSource Set Up'!K164</f>
        <v>0</v>
      </c>
      <c r="D31" s="942" t="e">
        <f>VLOOKUP($B31, 'Commodities (Clients) Input'!$CB$59:$CR$70, MATCH('Review of PS Adjustment'!$G$8, 'Commodities (Clients) Input'!$CB$58:$CR$58, 0), FALSE)/VLOOKUP($G$8, '2. Pop_Prev Set Up'!$B$11:$C$28, 2, FALSE)</f>
        <v>#N/A</v>
      </c>
      <c r="E31" s="942" t="str">
        <f>IFERROR(VLOOKUP($B31, 'Commodities (Facility) Input'!$CB$59:$CR$70, MATCH('Review of PS Adjustment'!$G$8, 'Commodities (Facility) Input'!$CB$58:$CR$58, 0), FALSE)/VLOOKUP($G$8, '2. Pop_Prev Set Up'!$B$11:$C$28, 2, FALSE), "")</f>
        <v/>
      </c>
      <c r="F31" s="942" t="e">
        <f>VLOOKUP($B31, 'Visits Input'!$CB$59:$CR$70, MATCH('Review of PS Adjustment'!$G$8, 'Visits Input'!$CB$58:$CR$58, 0), FALSE)/VLOOKUP($G$8, '2. Pop_Prev Set Up'!$B$11:$C$28, 2, FALSE)</f>
        <v>#N/A</v>
      </c>
      <c r="G31" s="943" t="e">
        <f>VLOOKUP($B31, 'Users Input'!$CB$59:$CR$70, MATCH('Review of PS Adjustment'!$G$8, 'Users Input'!$CB$58:$CR$58, 0), FALSE)/VLOOKUP($G$8, '2. Pop_Prev Set Up'!$B$11:$C$28, 2, FALSE)</f>
        <v>#N/A</v>
      </c>
    </row>
    <row r="32" spans="2:7" x14ac:dyDescent="0.25">
      <c r="B32" s="915" t="str">
        <f>IF(Language="English", 'Language Look Ups'!$O$10,IF(Language="Francais", 'Language Look Ups'!$S$10, 'Language Look Ups'!$Q$10))</f>
        <v>Implant</v>
      </c>
      <c r="C32" s="942">
        <f>'4. FPSource Set Up'!K165</f>
        <v>0</v>
      </c>
      <c r="D32" s="942" t="e">
        <f>VLOOKUP($B32, 'Commodities (Clients) Input'!$CB$59:$CR$70, MATCH('Review of PS Adjustment'!$G$8, 'Commodities (Clients) Input'!$CB$58:$CR$58, 0), FALSE)/VLOOKUP($G$8, '2. Pop_Prev Set Up'!$B$11:$C$28, 2, FALSE)</f>
        <v>#N/A</v>
      </c>
      <c r="E32" s="942" t="str">
        <f>IFERROR(VLOOKUP($B32, 'Commodities (Facility) Input'!$CB$59:$CR$70, MATCH('Review of PS Adjustment'!$G$8, 'Commodities (Facility) Input'!$CB$58:$CR$58, 0), FALSE)/VLOOKUP($G$8, '2. Pop_Prev Set Up'!$B$11:$C$28, 2, FALSE), "")</f>
        <v/>
      </c>
      <c r="F32" s="942" t="e">
        <f>VLOOKUP($B32, 'Visits Input'!$CB$59:$CR$70, MATCH('Review of PS Adjustment'!$G$8, 'Visits Input'!$CB$58:$CR$58, 0), FALSE)/VLOOKUP($G$8, '2. Pop_Prev Set Up'!$B$11:$C$28, 2, FALSE)</f>
        <v>#N/A</v>
      </c>
      <c r="G32" s="943" t="e">
        <f>VLOOKUP($B32, 'Users Input'!$CB$59:$CR$70, MATCH('Review of PS Adjustment'!$G$8, 'Users Input'!$CB$58:$CR$58, 0), FALSE)/VLOOKUP($G$8, '2. Pop_Prev Set Up'!$B$11:$C$28, 2, FALSE)</f>
        <v>#N/A</v>
      </c>
    </row>
    <row r="33" spans="2:7" x14ac:dyDescent="0.25">
      <c r="B33" s="868" t="str">
        <f>IF(Language="English", 'Language Look Ups'!$O$15,IF(Language="Francais", 'Language Look Ups'!$S$15, 'Language Look Ups'!O$15))</f>
        <v>Produits injectables</v>
      </c>
      <c r="C33" s="942">
        <f>'4. FPSource Set Up'!K166</f>
        <v>0</v>
      </c>
      <c r="D33" s="942" t="e">
        <f>VLOOKUP($B33, 'Commodities (Clients) Input'!$CB$59:$CR$70, MATCH('Review of PS Adjustment'!$G$8, 'Commodities (Clients) Input'!$CB$58:$CR$58, 0), FALSE)/VLOOKUP($G$8, '2. Pop_Prev Set Up'!$B$11:$C$28, 2, FALSE)</f>
        <v>#N/A</v>
      </c>
      <c r="E33" s="942" t="str">
        <f>IFERROR(VLOOKUP($B33, 'Commodities (Facility) Input'!$CB$59:$CR$70, MATCH('Review of PS Adjustment'!$G$8, 'Commodities (Facility) Input'!$CB$58:$CR$58, 0), FALSE)/VLOOKUP($G$8, '2. Pop_Prev Set Up'!$B$11:$C$28, 2, FALSE), "")</f>
        <v/>
      </c>
      <c r="F33" s="942" t="e">
        <f>VLOOKUP($B33, 'Visits Input'!$CB$59:$CR$70, MATCH('Review of PS Adjustment'!$G$8, 'Visits Input'!$CB$58:$CR$58, 0), FALSE)/VLOOKUP($G$8, '2. Pop_Prev Set Up'!$B$11:$C$28, 2, FALSE)</f>
        <v>#N/A</v>
      </c>
      <c r="G33" s="943" t="e">
        <f>VLOOKUP($B33, 'Users Input'!$CB$59:$CR$70, MATCH('Review of PS Adjustment'!$G$8, 'Users Input'!$CB$58:$CR$58, 0), FALSE)/VLOOKUP($G$8, '2. Pop_Prev Set Up'!$B$11:$C$28, 2, FALSE)</f>
        <v>#N/A</v>
      </c>
    </row>
    <row r="34" spans="2:7" x14ac:dyDescent="0.25">
      <c r="B34" s="915" t="str">
        <f>'5. MethodMix Set Up'!$G$17</f>
        <v>Pilule</v>
      </c>
      <c r="C34" s="942">
        <f>'4. FPSource Set Up'!K167</f>
        <v>0</v>
      </c>
      <c r="D34" s="942" t="e">
        <f>VLOOKUP($B34, 'Commodities (Clients) Input'!$CB$59:$CR$70, MATCH('Review of PS Adjustment'!$G$8, 'Commodities (Clients) Input'!$CB$58:$CR$58, 0), FALSE)/VLOOKUP($G$8, '2. Pop_Prev Set Up'!$B$11:$C$28, 2, FALSE)</f>
        <v>#N/A</v>
      </c>
      <c r="E34" s="942" t="str">
        <f>IFERROR(VLOOKUP($B34, 'Commodities (Facility) Input'!$CB$59:$CR$70, MATCH('Review of PS Adjustment'!$G$8, 'Commodities (Facility) Input'!$CB$58:$CR$58, 0), FALSE)/VLOOKUP($G$8, '2. Pop_Prev Set Up'!$B$11:$C$28, 2, FALSE), "")</f>
        <v/>
      </c>
      <c r="F34" s="942" t="e">
        <f>VLOOKUP($B34, 'Visits Input'!$CB$59:$CR$70, MATCH('Review of PS Adjustment'!$G$8, 'Visits Input'!$CB$58:$CR$58, 0), FALSE)/VLOOKUP($G$8, '2. Pop_Prev Set Up'!$B$11:$C$28, 2, FALSE)</f>
        <v>#N/A</v>
      </c>
      <c r="G34" s="943" t="e">
        <f>VLOOKUP($B34, 'Users Input'!$CB$59:$CR$70, MATCH('Review of PS Adjustment'!$G$8, 'Users Input'!$CB$58:$CR$58, 0), FALSE)/VLOOKUP($G$8, '2. Pop_Prev Set Up'!$B$11:$C$28, 2, FALSE)</f>
        <v>#N/A</v>
      </c>
    </row>
    <row r="35" spans="2:7" x14ac:dyDescent="0.25">
      <c r="B35" s="915" t="str">
        <f>IF(Language="English", 'Language Look Ups'!$O$23,IF(Language="Francais", 'Language Look Ups'!$S$23, 'Language Look Ups'!O$23)) &amp;" (m+f)"</f>
        <v>Préservatifs (m+f)</v>
      </c>
      <c r="C35" s="942">
        <f>'4. FPSource Set Up'!K168</f>
        <v>0</v>
      </c>
      <c r="D35" s="942" t="e">
        <f>VLOOKUP($B35, 'Commodities (Clients) Input'!$CB$59:$CR$70, MATCH('Review of PS Adjustment'!$G$8, 'Commodities (Clients) Input'!$CB$58:$CR$58, 0), FALSE)/VLOOKUP($G$8, '2. Pop_Prev Set Up'!$B$11:$C$28, 2, FALSE)</f>
        <v>#N/A</v>
      </c>
      <c r="E35" s="942" t="str">
        <f>IFERROR(VLOOKUP($B35, 'Commodities (Facility) Input'!$CB$59:$CR$70, MATCH('Review of PS Adjustment'!$G$8, 'Commodities (Facility) Input'!$CB$58:$CR$58, 0), FALSE)/VLOOKUP($G$8, '2. Pop_Prev Set Up'!$B$11:$C$28, 2, FALSE), "")</f>
        <v/>
      </c>
      <c r="F35" s="942" t="e">
        <f>VLOOKUP($B35, 'Visits Input'!$CB$59:$CR$70, MATCH('Review of PS Adjustment'!$G$8, 'Visits Input'!$CB$58:$CR$58, 0), FALSE)/VLOOKUP($G$8, '2. Pop_Prev Set Up'!$B$11:$C$28, 2, FALSE)</f>
        <v>#N/A</v>
      </c>
      <c r="G35" s="943" t="e">
        <f>VLOOKUP($B35, 'Users Input'!$CB$59:$CR$70, MATCH('Review of PS Adjustment'!$G$8, 'Users Input'!$CB$58:$CR$58, 0), FALSE)/VLOOKUP($G$8, '2. Pop_Prev Set Up'!$B$11:$C$28, 2, FALSE)</f>
        <v>#N/A</v>
      </c>
    </row>
    <row r="36" spans="2:7" x14ac:dyDescent="0.25">
      <c r="B36" s="915" t="str">
        <f>IF(Language="English", 'Language Look Ups'!$O$25,IF(Language="Francais", 'Language Look Ups'!$S$25, 'Language Look Ups'!O$25))</f>
        <v>Autres Méthodes Modernes</v>
      </c>
      <c r="C36" s="942">
        <f>'4. FPSource Set Up'!K169</f>
        <v>0</v>
      </c>
      <c r="D36" s="942" t="e">
        <f>VLOOKUP($B36, 'Commodities (Clients) Input'!$CB$59:$CR$70, MATCH('Review of PS Adjustment'!$G$8, 'Commodities (Clients) Input'!$CB$58:$CR$58, 0), FALSE)/VLOOKUP($G$8, '2. Pop_Prev Set Up'!$B$11:$C$28, 2, FALSE)</f>
        <v>#N/A</v>
      </c>
      <c r="E36" s="942" t="str">
        <f>IFERROR(VLOOKUP($B36, 'Commodities (Facility) Input'!$CB$59:$CR$70, MATCH('Review of PS Adjustment'!$G$8, 'Commodities (Facility) Input'!$CB$58:$CR$58, 0), FALSE)/VLOOKUP($G$8, '2. Pop_Prev Set Up'!$B$11:$C$28, 2, FALSE), "")</f>
        <v/>
      </c>
      <c r="F36" s="942" t="e">
        <f>VLOOKUP($B36, 'Visits Input'!$CB$59:$CR$70, MATCH('Review of PS Adjustment'!$G$8, 'Visits Input'!$CB$58:$CR$58, 0), FALSE)/VLOOKUP($G$8, '2. Pop_Prev Set Up'!$B$11:$C$28, 2, FALSE)</f>
        <v>#N/A</v>
      </c>
      <c r="G36" s="943" t="e">
        <f>VLOOKUP($B36, 'Users Input'!$CB$59:$CR$70, MATCH('Review of PS Adjustment'!$G$8, 'Users Input'!$CB$58:$CR$58, 0), FALSE)/VLOOKUP($G$8, '2. Pop_Prev Set Up'!$B$11:$C$28, 2, FALSE)</f>
        <v>#N/A</v>
      </c>
    </row>
    <row r="37" spans="2:7" ht="15.75" thickBot="1" x14ac:dyDescent="0.3">
      <c r="B37" s="916" t="str">
        <f>IF(Language="English", 'Language Look Ups'!$O$29,IF(Language="Francais", 'Language Look Ups'!$S$29, 'Language Look Ups'!O$29))</f>
        <v>Contraception d'urgence</v>
      </c>
      <c r="C37" s="944">
        <f>'4. FPSource Set Up'!K170</f>
        <v>0</v>
      </c>
      <c r="D37" s="944" t="e">
        <f>VLOOKUP($B37, 'Commodities (Clients) Input'!$CB$59:$CR$70, MATCH('Review of PS Adjustment'!$G$8, 'Commodities (Clients) Input'!$CB$58:$CR$58, 0), FALSE)/VLOOKUP($G$8, '2. Pop_Prev Set Up'!$B$11:$C$28, 2, FALSE)</f>
        <v>#N/A</v>
      </c>
      <c r="E37" s="944" t="str">
        <f>IFERROR(VLOOKUP($B37, 'Commodities (Facility) Input'!$CB$59:$CR$70, MATCH('Review of PS Adjustment'!$G$8, 'Commodities (Facility) Input'!$CB$58:$CR$58, 0), FALSE)/VLOOKUP($G$8, '2. Pop_Prev Set Up'!$B$11:$C$28, 2, FALSE), "")</f>
        <v/>
      </c>
      <c r="F37" s="944" t="e">
        <f>VLOOKUP($B37, 'Visits Input'!$CB$59:$CR$70, MATCH('Review of PS Adjustment'!$G$8, 'Visits Input'!$CB$58:$CR$58, 0), FALSE)/VLOOKUP($G$8, '2. Pop_Prev Set Up'!$B$11:$C$28, 2, FALSE)</f>
        <v>#N/A</v>
      </c>
      <c r="G37" s="945" t="e">
        <f>VLOOKUP($B37, 'Users Input'!$CB$59:$CR$70, MATCH('Review of PS Adjustment'!$G$8, 'Users Input'!$CB$58:$CR$58, 0), FALSE)/VLOOKUP($G$8, '2. Pop_Prev Set Up'!$B$11:$C$28, 2, FALSE)</f>
        <v>#N/A</v>
      </c>
    </row>
    <row r="38" spans="2:7" ht="15.75" thickBot="1" x14ac:dyDescent="0.3"/>
    <row r="39" spans="2:7" ht="15.75" thickBot="1" x14ac:dyDescent="0.3">
      <c r="B39" s="948" t="s">
        <v>313</v>
      </c>
      <c r="C39" s="946">
        <f>SUM(C29:C37)</f>
        <v>0</v>
      </c>
      <c r="D39" s="946" t="e">
        <f>SUM(D29:D37)</f>
        <v>#N/A</v>
      </c>
      <c r="E39" s="946">
        <f>SUM(E29:E37)</f>
        <v>0</v>
      </c>
      <c r="F39" s="946" t="e">
        <f>SUM(F29:F37)</f>
        <v>#N/A</v>
      </c>
      <c r="G39" s="946" t="e">
        <f>SUM(G29:G37)</f>
        <v>#N/A</v>
      </c>
    </row>
    <row r="41" spans="2:7" x14ac:dyDescent="0.25">
      <c r="C41" s="23"/>
    </row>
  </sheetData>
  <mergeCells count="3">
    <mergeCell ref="B1:V1"/>
    <mergeCell ref="B8:F8"/>
    <mergeCell ref="B7:X7"/>
  </mergeCells>
  <dataValidations count="1">
    <dataValidation type="list" allowBlank="1" showInputMessage="1" showErrorMessage="1" sqref="G8" xr:uid="{8A3D9036-4C37-499A-9BFF-28D5754DD1CD}">
      <formula1>YEARS</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44BAF-0723-4843-A4D0-0E8726318E91}">
  <sheetPr codeName="Sheet22">
    <tabColor theme="8"/>
    <pageSetUpPr autoPageBreaks="0"/>
  </sheetPr>
  <dimension ref="A1:AD78"/>
  <sheetViews>
    <sheetView showGridLines="0" tabSelected="1" zoomScaleNormal="100" workbookViewId="0">
      <selection activeCell="C4" sqref="C4"/>
    </sheetView>
  </sheetViews>
  <sheetFormatPr defaultRowHeight="15" x14ac:dyDescent="0.25"/>
  <cols>
    <col min="1" max="1" width="6.140625" customWidth="1"/>
    <col min="2" max="2" width="58.28515625" customWidth="1"/>
    <col min="3" max="3" width="30" customWidth="1"/>
    <col min="4" max="4" width="11.5703125" customWidth="1"/>
    <col min="5" max="6" width="9.5703125" customWidth="1"/>
    <col min="7" max="7" width="12.42578125" customWidth="1"/>
    <col min="8" max="8" width="3.28515625" customWidth="1"/>
    <col min="9" max="10" width="15.7109375" customWidth="1"/>
    <col min="11" max="11" width="20.85546875" customWidth="1"/>
    <col min="12" max="16" width="7.140625" customWidth="1"/>
    <col min="17" max="17" width="3.140625" style="489" customWidth="1"/>
    <col min="18" max="18" width="8.7109375" customWidth="1"/>
    <col min="19" max="19" width="20" hidden="1" customWidth="1"/>
    <col min="20" max="27" width="9.140625" hidden="1" customWidth="1"/>
    <col min="28" max="29" width="35.5703125" style="184" hidden="1" customWidth="1"/>
    <col min="30" max="30" width="38" style="184" hidden="1" customWidth="1"/>
    <col min="31" max="31" width="9.140625" customWidth="1"/>
  </cols>
  <sheetData>
    <row r="1" spans="1:30" ht="10.5" customHeight="1" x14ac:dyDescent="0.25">
      <c r="A1" s="42"/>
      <c r="B1" s="42"/>
      <c r="C1" s="42"/>
      <c r="D1" s="42"/>
      <c r="E1" s="42"/>
      <c r="F1" s="42"/>
      <c r="G1" s="42"/>
      <c r="H1" s="42"/>
      <c r="I1" s="42"/>
      <c r="J1" s="42"/>
      <c r="K1" s="42"/>
      <c r="L1" s="42"/>
      <c r="M1" s="42"/>
      <c r="N1" s="42"/>
      <c r="O1" s="42"/>
      <c r="P1" s="42"/>
      <c r="AB1" s="184" t="s">
        <v>1046</v>
      </c>
      <c r="AC1" s="184" t="s">
        <v>666</v>
      </c>
      <c r="AD1" s="184" t="s">
        <v>1047</v>
      </c>
    </row>
    <row r="2" spans="1:30" s="41" customFormat="1" ht="40.5" customHeight="1" x14ac:dyDescent="0.25">
      <c r="A2" s="585"/>
      <c r="B2" s="586" t="str">
        <f>IF(Language="English", AB1, IF(Language="Francais", AD1, AC1))</f>
        <v>Configuration : Choisissez votre langue et pays</v>
      </c>
      <c r="C2" s="586"/>
      <c r="D2" s="586"/>
      <c r="E2" s="586"/>
      <c r="F2" s="586"/>
      <c r="G2" s="586"/>
      <c r="H2" s="586"/>
      <c r="I2" s="586"/>
      <c r="J2" s="585"/>
      <c r="K2" s="585"/>
      <c r="L2" s="585"/>
      <c r="M2" s="585"/>
      <c r="N2" s="585"/>
      <c r="O2" s="585"/>
      <c r="P2" s="585"/>
      <c r="Q2" s="587"/>
      <c r="AA2" s="588" t="s">
        <v>628</v>
      </c>
      <c r="AB2" s="588" t="s">
        <v>628</v>
      </c>
      <c r="AC2" s="589" t="s">
        <v>630</v>
      </c>
      <c r="AD2" s="589" t="s">
        <v>755</v>
      </c>
    </row>
    <row r="3" spans="1:30" ht="12" customHeight="1" x14ac:dyDescent="0.25">
      <c r="AA3" s="368" t="s">
        <v>755</v>
      </c>
      <c r="AB3" s="184" t="s">
        <v>944</v>
      </c>
      <c r="AC3" s="184" t="s">
        <v>629</v>
      </c>
      <c r="AD3" s="184" t="s">
        <v>954</v>
      </c>
    </row>
    <row r="4" spans="1:30" ht="39.950000000000003" customHeight="1" x14ac:dyDescent="0.25">
      <c r="A4" s="605">
        <v>1</v>
      </c>
      <c r="B4" s="579" t="str">
        <f>IF(C4="English", AB3,IF(Language="Francais",AD3, AC3))</f>
        <v>Choisissez votre langue</v>
      </c>
      <c r="C4" s="576" t="s">
        <v>755</v>
      </c>
      <c r="D4" s="1314" t="str">
        <f>IF(Language="English", $AB$5, IF(Language="Francais", $AD$5, $AC$5))</f>
        <v>Sélectionnez dans la liste déroulante</v>
      </c>
      <c r="E4" s="1315"/>
      <c r="AB4" s="184" t="s">
        <v>945</v>
      </c>
      <c r="AC4" s="184" t="s">
        <v>631</v>
      </c>
      <c r="AD4" s="184" t="s">
        <v>955</v>
      </c>
    </row>
    <row r="5" spans="1:30" ht="13.5" customHeight="1" x14ac:dyDescent="0.25">
      <c r="A5" s="605"/>
      <c r="B5" s="580"/>
      <c r="C5" s="577"/>
      <c r="D5" s="582"/>
      <c r="E5" s="582"/>
      <c r="AB5" s="184" t="s">
        <v>633</v>
      </c>
      <c r="AC5" s="184" t="s">
        <v>632</v>
      </c>
      <c r="AD5" s="368" t="s">
        <v>756</v>
      </c>
    </row>
    <row r="6" spans="1:30" ht="39.950000000000003" customHeight="1" x14ac:dyDescent="0.25">
      <c r="A6" s="605">
        <v>2</v>
      </c>
      <c r="B6" s="579" t="str">
        <f>IF(Language="English",AB4,IF(Language="Francais",AD4,AC4))</f>
        <v>Choisissez votre pays</v>
      </c>
      <c r="C6" s="578"/>
      <c r="D6" s="1314" t="str">
        <f>IF(Language="English", $AB$5, IF(Language="Francais", $AD$5, $AC$5))</f>
        <v>Sélectionnez dans la liste déroulante</v>
      </c>
      <c r="E6" s="1315"/>
      <c r="S6" t="s">
        <v>798</v>
      </c>
      <c r="T6" t="str">
        <f>IF(C8="National", "No", "Yes")</f>
        <v>No</v>
      </c>
    </row>
    <row r="7" spans="1:30" ht="13.5" customHeight="1" x14ac:dyDescent="0.25">
      <c r="A7" s="605"/>
      <c r="B7" s="580"/>
      <c r="C7" s="577"/>
      <c r="AD7" s="368"/>
    </row>
    <row r="8" spans="1:30" ht="39.950000000000003" customHeight="1" x14ac:dyDescent="0.25">
      <c r="A8" s="605">
        <v>3</v>
      </c>
      <c r="B8" s="581" t="str">
        <f>IF(Language="English",AB8,IF(Language="Francais",AD8,AC8))</f>
        <v>Utilisez-vous des données nationales ou sous-nationales ?</v>
      </c>
      <c r="C8" s="578" t="s">
        <v>947</v>
      </c>
      <c r="D8" s="15"/>
      <c r="E8" s="1318" t="str">
        <f>IF(T6="Yes", IF(Language="English", $AB$9, IF(Language="Francais", $AD$9, $AC$9)),"")</f>
        <v/>
      </c>
      <c r="F8" s="1318"/>
      <c r="G8" s="1317"/>
      <c r="H8" s="1317"/>
      <c r="I8" s="1317"/>
      <c r="K8" s="36"/>
      <c r="L8" s="36"/>
      <c r="M8" s="36"/>
      <c r="N8" s="36"/>
      <c r="O8" s="36"/>
      <c r="S8" t="s">
        <v>122</v>
      </c>
      <c r="T8" t="str">
        <f>IF(OR(C10="All Women", C10="Toutes les Femmes"), "AW", "MW")</f>
        <v>AW</v>
      </c>
      <c r="AB8" s="184" t="s">
        <v>946</v>
      </c>
      <c r="AD8" s="184" t="s">
        <v>1103</v>
      </c>
    </row>
    <row r="9" spans="1:30" ht="15.75" customHeight="1" x14ac:dyDescent="0.25">
      <c r="A9" s="605"/>
      <c r="B9" s="580"/>
      <c r="C9" s="577"/>
      <c r="AB9" s="184" t="s">
        <v>950</v>
      </c>
      <c r="AD9" s="184" t="s">
        <v>951</v>
      </c>
    </row>
    <row r="10" spans="1:30" ht="60" customHeight="1" x14ac:dyDescent="0.25">
      <c r="A10" s="605">
        <v>4</v>
      </c>
      <c r="B10" s="581" t="str">
        <f xml:space="preserve"> IF(Language="English", AB10,IF(Language="Francais",AD10,AC10))</f>
        <v>Vos données de planification familiale incluent-elles toutes les femmes ou uniquement les femmes mariées?</v>
      </c>
      <c r="C10" s="576" t="s">
        <v>282</v>
      </c>
      <c r="D10" s="1314" t="str">
        <f>IF(Language="English", $AB$11, IF(Language="Francais", $AD$11, $AC$11))</f>
        <v>Sélectionnez "Toutes les femmes" sauf si votre programme de planification familiale est exclusivement destiné aux femmes mariées.</v>
      </c>
      <c r="E10" s="1315"/>
      <c r="F10" s="1315"/>
      <c r="G10" s="1315"/>
      <c r="AA10" t="s">
        <v>124</v>
      </c>
      <c r="AB10" s="184" t="s">
        <v>952</v>
      </c>
      <c r="AC10" s="184" t="s">
        <v>634</v>
      </c>
      <c r="AD10" s="184" t="s">
        <v>953</v>
      </c>
    </row>
    <row r="11" spans="1:30" ht="15.75" customHeight="1" x14ac:dyDescent="0.25">
      <c r="A11" s="605"/>
      <c r="B11" s="32"/>
      <c r="E11" s="584"/>
      <c r="AB11" s="184" t="s">
        <v>956</v>
      </c>
      <c r="AD11" s="583" t="s">
        <v>1104</v>
      </c>
    </row>
    <row r="12" spans="1:30" ht="39.950000000000003" customHeight="1" x14ac:dyDescent="0.25">
      <c r="A12" s="605">
        <v>5</v>
      </c>
      <c r="B12" s="581" t="str">
        <f xml:space="preserve"> IF(Language="English", AB12,IF(Language="Francais",AD12,AC12))</f>
        <v>Plus récent complet année de données disponibles:</v>
      </c>
      <c r="C12" s="576"/>
      <c r="AB12" s="184" t="s">
        <v>959</v>
      </c>
      <c r="AC12" s="184" t="s">
        <v>672</v>
      </c>
      <c r="AD12" s="583" t="s">
        <v>773</v>
      </c>
    </row>
    <row r="13" spans="1:30" ht="33.75" customHeight="1" x14ac:dyDescent="0.25">
      <c r="D13" s="33"/>
      <c r="AB13"/>
      <c r="AC13"/>
      <c r="AD13"/>
    </row>
    <row r="14" spans="1:30" ht="12.75" customHeight="1" x14ac:dyDescent="0.25">
      <c r="B14" s="294"/>
      <c r="C14" s="1316" t="str">
        <f>IF(Language="Francais", AD35, AB35)</f>
        <v>Prochain</v>
      </c>
      <c r="D14" s="1316"/>
      <c r="E14" s="1316"/>
      <c r="F14" s="373"/>
      <c r="G14" s="373"/>
      <c r="H14" s="373"/>
      <c r="AA14" t="str">
        <f>IF(Language="English", AB14, IF(Language="Francais", AD14, AC14))</f>
        <v>Les cellules jaunes indiquent un lieu où vous devez saisir des données ou effectuer une sélection dans une liste déroulante.</v>
      </c>
      <c r="AB14" s="184" t="s">
        <v>957</v>
      </c>
      <c r="AD14" s="583" t="s">
        <v>958</v>
      </c>
    </row>
    <row r="15" spans="1:30" ht="12.75" customHeight="1" x14ac:dyDescent="0.25">
      <c r="B15" s="37"/>
      <c r="C15" s="1316"/>
      <c r="D15" s="1316"/>
      <c r="E15" s="1316"/>
      <c r="F15" s="37"/>
      <c r="G15" s="37"/>
      <c r="H15" s="37"/>
      <c r="I15" s="37"/>
      <c r="J15" s="37"/>
      <c r="K15" s="37"/>
      <c r="L15" s="37"/>
      <c r="M15" s="37"/>
      <c r="N15" s="37"/>
      <c r="O15" s="37"/>
    </row>
    <row r="16" spans="1:30" ht="24" customHeight="1" x14ac:dyDescent="0.25">
      <c r="AB16"/>
      <c r="AC16"/>
      <c r="AD16"/>
    </row>
    <row r="17" spans="2:30" ht="24" customHeight="1" x14ac:dyDescent="0.25">
      <c r="AB17"/>
      <c r="AC17"/>
      <c r="AD17"/>
    </row>
    <row r="18" spans="2:30" ht="24" customHeight="1" x14ac:dyDescent="0.25">
      <c r="AB18"/>
      <c r="AC18"/>
      <c r="AD18"/>
    </row>
    <row r="19" spans="2:30" x14ac:dyDescent="0.25">
      <c r="AB19"/>
      <c r="AC19"/>
      <c r="AD19"/>
    </row>
    <row r="20" spans="2:30" x14ac:dyDescent="0.25">
      <c r="AB20"/>
      <c r="AC20"/>
      <c r="AD20"/>
    </row>
    <row r="21" spans="2:30" ht="27" customHeight="1" x14ac:dyDescent="0.25">
      <c r="AB21"/>
      <c r="AC21"/>
      <c r="AD21"/>
    </row>
    <row r="22" spans="2:30" ht="28.5" customHeight="1" x14ac:dyDescent="0.25">
      <c r="AB22"/>
      <c r="AC22"/>
      <c r="AD22"/>
    </row>
    <row r="23" spans="2:30" ht="30" customHeight="1" x14ac:dyDescent="0.25">
      <c r="AB23"/>
      <c r="AC23"/>
      <c r="AD23"/>
    </row>
    <row r="24" spans="2:30" x14ac:dyDescent="0.25">
      <c r="AB24"/>
      <c r="AC24"/>
      <c r="AD24"/>
    </row>
    <row r="25" spans="2:30" ht="21" customHeight="1" x14ac:dyDescent="0.25">
      <c r="AB25"/>
      <c r="AC25"/>
      <c r="AD25"/>
    </row>
    <row r="26" spans="2:30" ht="6.75" customHeight="1" x14ac:dyDescent="0.25">
      <c r="AB26"/>
      <c r="AC26"/>
      <c r="AD26"/>
    </row>
    <row r="27" spans="2:30" hidden="1" x14ac:dyDescent="0.25">
      <c r="B27" t="str">
        <f>'3. ServiceStats Set Up'!C6</f>
        <v>No</v>
      </c>
      <c r="AB27"/>
      <c r="AC27"/>
      <c r="AD27"/>
    </row>
    <row r="28" spans="2:30" ht="26.25" customHeight="1" x14ac:dyDescent="0.25">
      <c r="AB28"/>
      <c r="AC28"/>
      <c r="AD28"/>
    </row>
    <row r="29" spans="2:30" x14ac:dyDescent="0.25">
      <c r="AB29"/>
      <c r="AC29"/>
      <c r="AD29"/>
    </row>
    <row r="30" spans="2:30" x14ac:dyDescent="0.25">
      <c r="AB30"/>
      <c r="AC30"/>
      <c r="AD30"/>
    </row>
    <row r="31" spans="2:30" ht="29.25" customHeight="1" x14ac:dyDescent="0.25">
      <c r="AB31"/>
      <c r="AC31"/>
      <c r="AD31"/>
    </row>
    <row r="32" spans="2:30" ht="31.5" customHeight="1" x14ac:dyDescent="0.25">
      <c r="AB32"/>
      <c r="AC32"/>
      <c r="AD32"/>
    </row>
    <row r="33" spans="2:30" ht="8.25" customHeight="1" x14ac:dyDescent="0.25">
      <c r="AB33" s="184" t="s">
        <v>687</v>
      </c>
      <c r="AC33" s="184" t="s">
        <v>688</v>
      </c>
      <c r="AD33" s="184" t="s">
        <v>768</v>
      </c>
    </row>
    <row r="34" spans="2:30" ht="8.25" customHeight="1" x14ac:dyDescent="0.25">
      <c r="AB34" s="184" t="s">
        <v>770</v>
      </c>
      <c r="AC34" s="184" t="s">
        <v>771</v>
      </c>
      <c r="AD34" s="184" t="s">
        <v>772</v>
      </c>
    </row>
    <row r="35" spans="2:30" x14ac:dyDescent="0.25">
      <c r="AB35" s="184" t="s">
        <v>929</v>
      </c>
      <c r="AD35" s="184" t="s">
        <v>930</v>
      </c>
    </row>
    <row r="36" spans="2:30" x14ac:dyDescent="0.25">
      <c r="AB36"/>
      <c r="AC36"/>
      <c r="AD36"/>
    </row>
    <row r="37" spans="2:30" hidden="1" x14ac:dyDescent="0.25">
      <c r="B37" s="170" t="s">
        <v>86</v>
      </c>
      <c r="C37" s="171">
        <f>IF(MAX(C31,K22,C22,K31)=0, 2017, MAX(C31,K22,C22,K31))</f>
        <v>2017</v>
      </c>
    </row>
    <row r="38" spans="2:30" ht="15.75" hidden="1" thickBot="1" x14ac:dyDescent="0.3">
      <c r="B38" s="28" t="s">
        <v>87</v>
      </c>
      <c r="C38" s="264">
        <f>IFERROR(MIN(C21,K21,C30,K30), 2005)</f>
        <v>0</v>
      </c>
    </row>
    <row r="39" spans="2:30" x14ac:dyDescent="0.25">
      <c r="AB39"/>
      <c r="AC39"/>
      <c r="AD39"/>
    </row>
    <row r="40" spans="2:30" x14ac:dyDescent="0.25">
      <c r="AB40"/>
      <c r="AC40"/>
      <c r="AD40"/>
    </row>
    <row r="41" spans="2:30" x14ac:dyDescent="0.25">
      <c r="AB41"/>
      <c r="AC41"/>
      <c r="AD41"/>
    </row>
    <row r="42" spans="2:30" x14ac:dyDescent="0.25">
      <c r="AB42"/>
      <c r="AC42"/>
      <c r="AD42"/>
    </row>
    <row r="43" spans="2:30" x14ac:dyDescent="0.25">
      <c r="AB43"/>
      <c r="AC43"/>
      <c r="AD43"/>
    </row>
    <row r="44" spans="2:30" x14ac:dyDescent="0.25">
      <c r="AB44"/>
      <c r="AC44"/>
      <c r="AD44"/>
    </row>
    <row r="45" spans="2:30" x14ac:dyDescent="0.25">
      <c r="AB45"/>
      <c r="AC45"/>
      <c r="AD45"/>
    </row>
    <row r="46" spans="2:30" x14ac:dyDescent="0.25">
      <c r="AB46"/>
      <c r="AC46"/>
      <c r="AD46"/>
    </row>
    <row r="47" spans="2:30" ht="17.25" customHeight="1" x14ac:dyDescent="0.25">
      <c r="AB47"/>
      <c r="AC47"/>
      <c r="AD47"/>
    </row>
    <row r="48" spans="2:30" ht="11.25" customHeight="1" x14ac:dyDescent="0.25">
      <c r="AB48"/>
      <c r="AC48"/>
      <c r="AD48"/>
    </row>
    <row r="49" spans="28:30" x14ac:dyDescent="0.25">
      <c r="AB49"/>
      <c r="AC49"/>
      <c r="AD49"/>
    </row>
    <row r="50" spans="28:30" ht="56.25" customHeight="1" x14ac:dyDescent="0.25">
      <c r="AB50"/>
      <c r="AC50"/>
      <c r="AD50"/>
    </row>
    <row r="51" spans="28:30" ht="24" customHeight="1" x14ac:dyDescent="0.25">
      <c r="AB51"/>
      <c r="AC51"/>
      <c r="AD51"/>
    </row>
    <row r="52" spans="28:30" x14ac:dyDescent="0.25">
      <c r="AB52"/>
      <c r="AC52"/>
      <c r="AD52"/>
    </row>
    <row r="53" spans="28:30" x14ac:dyDescent="0.25">
      <c r="AB53"/>
      <c r="AC53"/>
      <c r="AD53"/>
    </row>
    <row r="54" spans="28:30" x14ac:dyDescent="0.25">
      <c r="AB54"/>
      <c r="AC54"/>
      <c r="AD54"/>
    </row>
    <row r="55" spans="28:30" x14ac:dyDescent="0.25">
      <c r="AB55"/>
      <c r="AC55"/>
      <c r="AD55"/>
    </row>
    <row r="56" spans="28:30" x14ac:dyDescent="0.25">
      <c r="AB56"/>
      <c r="AC56"/>
      <c r="AD56"/>
    </row>
    <row r="57" spans="28:30" x14ac:dyDescent="0.25">
      <c r="AB57"/>
      <c r="AC57"/>
      <c r="AD57"/>
    </row>
    <row r="58" spans="28:30" x14ac:dyDescent="0.25">
      <c r="AB58"/>
      <c r="AC58"/>
      <c r="AD58"/>
    </row>
    <row r="59" spans="28:30" ht="12" customHeight="1" x14ac:dyDescent="0.25">
      <c r="AB59"/>
      <c r="AC59"/>
      <c r="AD59"/>
    </row>
    <row r="60" spans="28:30" x14ac:dyDescent="0.25">
      <c r="AB60"/>
      <c r="AC60"/>
      <c r="AD60"/>
    </row>
    <row r="61" spans="28:30" ht="14.25" customHeight="1" x14ac:dyDescent="0.25">
      <c r="AB61"/>
      <c r="AC61"/>
      <c r="AD61"/>
    </row>
    <row r="62" spans="28:30" ht="14.25" customHeight="1" x14ac:dyDescent="0.25">
      <c r="AB62"/>
      <c r="AC62"/>
      <c r="AD62"/>
    </row>
    <row r="63" spans="28:30" ht="14.25" customHeight="1" x14ac:dyDescent="0.25">
      <c r="AB63"/>
      <c r="AC63"/>
      <c r="AD63"/>
    </row>
    <row r="64" spans="28:30" ht="14.25" customHeight="1" x14ac:dyDescent="0.25">
      <c r="AB64"/>
      <c r="AC64"/>
      <c r="AD64"/>
    </row>
    <row r="65" spans="28:30" ht="14.25" customHeight="1" x14ac:dyDescent="0.25">
      <c r="AB65"/>
      <c r="AC65"/>
      <c r="AD65"/>
    </row>
    <row r="66" spans="28:30" ht="14.25" customHeight="1" x14ac:dyDescent="0.25">
      <c r="AB66"/>
      <c r="AC66"/>
      <c r="AD66"/>
    </row>
    <row r="67" spans="28:30" ht="28.5" customHeight="1" x14ac:dyDescent="0.25">
      <c r="AB67"/>
      <c r="AC67"/>
      <c r="AD67"/>
    </row>
    <row r="68" spans="28:30" ht="14.25" customHeight="1" x14ac:dyDescent="0.25">
      <c r="AB68"/>
      <c r="AC68"/>
      <c r="AD68"/>
    </row>
    <row r="69" spans="28:30" ht="14.25" customHeight="1" x14ac:dyDescent="0.25">
      <c r="AB69"/>
      <c r="AC69"/>
      <c r="AD69"/>
    </row>
    <row r="70" spans="28:30" ht="14.25" customHeight="1" x14ac:dyDescent="0.25">
      <c r="AB70"/>
      <c r="AC70"/>
      <c r="AD70"/>
    </row>
    <row r="71" spans="28:30" ht="14.25" customHeight="1" x14ac:dyDescent="0.25">
      <c r="AB71"/>
      <c r="AC71"/>
      <c r="AD71"/>
    </row>
    <row r="72" spans="28:30" ht="14.25" customHeight="1" x14ac:dyDescent="0.25">
      <c r="AB72"/>
      <c r="AC72"/>
      <c r="AD72"/>
    </row>
    <row r="73" spans="28:30" ht="14.25" customHeight="1" x14ac:dyDescent="0.25">
      <c r="AB73"/>
      <c r="AC73"/>
      <c r="AD73"/>
    </row>
    <row r="74" spans="28:30" ht="14.25" customHeight="1" x14ac:dyDescent="0.25">
      <c r="AB74"/>
      <c r="AC74"/>
      <c r="AD74"/>
    </row>
    <row r="75" spans="28:30" ht="14.25" customHeight="1" x14ac:dyDescent="0.25">
      <c r="AB75"/>
      <c r="AC75"/>
      <c r="AD75"/>
    </row>
    <row r="76" spans="28:30" x14ac:dyDescent="0.25">
      <c r="AB76"/>
      <c r="AC76"/>
      <c r="AD76"/>
    </row>
    <row r="77" spans="28:30" x14ac:dyDescent="0.25">
      <c r="AB77"/>
      <c r="AC77"/>
      <c r="AD77"/>
    </row>
    <row r="78" spans="28:30" x14ac:dyDescent="0.25">
      <c r="AB78"/>
      <c r="AC78"/>
      <c r="AD78"/>
    </row>
  </sheetData>
  <mergeCells count="6">
    <mergeCell ref="D4:E4"/>
    <mergeCell ref="D6:E6"/>
    <mergeCell ref="C14:E15"/>
    <mergeCell ref="G8:I8"/>
    <mergeCell ref="E8:F8"/>
    <mergeCell ref="D10:G10"/>
  </mergeCells>
  <conditionalFormatting sqref="G8:I8">
    <cfRule type="expression" dxfId="286" priority="5">
      <formula>$T$6="Yes"</formula>
    </cfRule>
  </conditionalFormatting>
  <dataValidations count="2">
    <dataValidation type="list" allowBlank="1" showInputMessage="1" showErrorMessage="1" sqref="C4" xr:uid="{A96B4DA7-0394-48FC-AA50-2E73E1076964}">
      <formula1>$AA$2:$AA$3</formula1>
    </dataValidation>
    <dataValidation type="whole" errorStyle="warning" allowBlank="1" showInputMessage="1" showErrorMessage="1" errorTitle="Year Error" error="Please enter a year between 2010 and 2020. _x000a_" sqref="C12" xr:uid="{AC2C311B-4292-47DA-B9D1-F8E8DA1C28D7}">
      <formula1>2010</formula1>
      <formula2>2021</formula2>
    </dataValidation>
  </dataValidations>
  <hyperlinks>
    <hyperlink ref="C14:E15" location="'2. Pop_Prev Set Up'!A1" tooltip="Click to Move to the Next Step" display="'2. Pop_Prev Set Up'!A1" xr:uid="{1D03EF07-98A0-4A64-842B-2E722B6219C9}"/>
  </hyperlink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F67C6235-D5A1-4DD5-91AB-8D2B9CE88314}">
          <x14:formula1>
            <xm:f>'Language Look Ups'!$B$45:$B$46</xm:f>
          </x14:formula1>
          <xm:sqref>C8</xm:sqref>
        </x14:dataValidation>
        <x14:dataValidation type="list" allowBlank="1" showInputMessage="1" showErrorMessage="1" xr:uid="{72F7D58B-23EB-450F-981A-EC99C8D86EE4}">
          <x14:formula1>
            <xm:f>'Language Look Ups'!$G$5:$H$5</xm:f>
          </x14:formula1>
          <xm:sqref>C10</xm:sqref>
        </x14:dataValidation>
        <x14:dataValidation type="list" allowBlank="1" showInputMessage="1" showErrorMessage="1" xr:uid="{63E40398-D366-4F3A-BFF1-4F48EDE1E8DC}">
          <x14:formula1>
            <xm:f>'Modern Method Mix 2022'!$C$5:$C$85</xm:f>
          </x14:formula1>
          <xm:sqref>C6</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37DEB-F80B-4B22-9444-6DEC183E05B1}">
  <sheetPr codeName="Sheet18">
    <tabColor theme="8"/>
  </sheetPr>
  <dimension ref="B1:EV454"/>
  <sheetViews>
    <sheetView showGridLines="0" zoomScale="50" zoomScaleNormal="50" workbookViewId="0">
      <selection activeCell="J6" sqref="J6:M6"/>
    </sheetView>
  </sheetViews>
  <sheetFormatPr defaultRowHeight="15" outlineLevelRow="1" x14ac:dyDescent="0.25"/>
  <cols>
    <col min="1" max="1" width="2.5703125" customWidth="1"/>
    <col min="2" max="2" width="18" customWidth="1"/>
    <col min="3" max="3" width="29.85546875" customWidth="1"/>
    <col min="4" max="4" width="12.7109375" customWidth="1"/>
    <col min="5" max="5" width="7.5703125" hidden="1" customWidth="1"/>
    <col min="6" max="6" width="17.28515625" customWidth="1"/>
    <col min="7" max="18" width="10.28515625" customWidth="1"/>
    <col min="19" max="19" width="13.42578125" customWidth="1"/>
    <col min="20" max="20" width="12.7109375" customWidth="1"/>
    <col min="21" max="21" width="13.7109375" customWidth="1"/>
    <col min="22" max="22" width="13.28515625" customWidth="1"/>
    <col min="23" max="42" width="10.28515625" customWidth="1"/>
    <col min="43" max="44" width="6.7109375" customWidth="1"/>
    <col min="45" max="47" width="19" customWidth="1"/>
    <col min="48" max="48" width="3.7109375" customWidth="1"/>
    <col min="49" max="50" width="19" customWidth="1"/>
    <col min="51" max="51" width="15" customWidth="1"/>
    <col min="52" max="61" width="8.5703125" customWidth="1"/>
    <col min="62" max="62" width="15" customWidth="1"/>
    <col min="63" max="64" width="10.5703125" customWidth="1"/>
    <col min="65" max="65" width="10.7109375" customWidth="1"/>
    <col min="66" max="66" width="10.5703125" customWidth="1"/>
    <col min="67" max="67" width="9.5703125" customWidth="1"/>
    <col min="68" max="68" width="29.28515625" customWidth="1"/>
    <col min="69" max="70" width="9.28515625" customWidth="1"/>
    <col min="71" max="73" width="29.5703125" style="184" customWidth="1"/>
    <col min="74" max="78" width="9.28515625" customWidth="1"/>
    <col min="79" max="79" width="9.28515625" style="180" customWidth="1"/>
    <col min="80" max="81" width="8.85546875" customWidth="1"/>
    <col min="82" max="97" width="10" customWidth="1"/>
    <col min="98" max="98" width="12" customWidth="1"/>
    <col min="99" max="105" width="8.85546875" customWidth="1"/>
    <col min="106" max="109" width="10" customWidth="1"/>
    <col min="110" max="117" width="8.85546875" customWidth="1"/>
  </cols>
  <sheetData>
    <row r="1" spans="2:73" ht="7.9" customHeight="1" x14ac:dyDescent="0.25">
      <c r="C1" s="5"/>
    </row>
    <row r="2" spans="2:73" ht="34.5" customHeight="1" x14ac:dyDescent="0.25">
      <c r="B2" s="1512" t="str">
        <f>IF(Language="English", BS3, BT3)</f>
        <v>Saisie mensuelle des données</v>
      </c>
      <c r="C2" s="1512"/>
      <c r="D2" s="1512"/>
      <c r="E2" s="1512"/>
      <c r="F2" s="1512"/>
      <c r="G2" s="1512"/>
      <c r="H2" s="1512"/>
      <c r="I2" s="1512"/>
      <c r="J2" s="1512"/>
      <c r="K2" s="1512"/>
      <c r="L2" s="1512"/>
      <c r="M2" s="1512"/>
      <c r="N2" s="1512"/>
      <c r="O2" s="1512"/>
      <c r="P2" s="1512"/>
      <c r="Q2" s="1512"/>
      <c r="R2" s="1512"/>
      <c r="S2" s="1512"/>
      <c r="T2" s="1512"/>
      <c r="U2" s="1512"/>
      <c r="V2" s="1512"/>
      <c r="W2" s="1512"/>
      <c r="X2" s="1512"/>
      <c r="Y2" s="1512"/>
      <c r="Z2" s="1512"/>
      <c r="BS2" s="184" t="s">
        <v>628</v>
      </c>
      <c r="BT2" s="184" t="s">
        <v>740</v>
      </c>
      <c r="BU2" s="184" t="s">
        <v>656</v>
      </c>
    </row>
    <row r="3" spans="2:73" ht="28.5" x14ac:dyDescent="0.45">
      <c r="B3" s="272" t="str">
        <f>IF('2. Pop_Prev Set Up'!$W$2="Yes", '2. Pop_Prev Set Up'!$W$1&amp;" : "&amp;'2. Pop_Prev Set Up'!$W$3, '2. Pop_Prev Set Up'!$W$1&amp;" : "&amp;"National")</f>
        <v>0 : National</v>
      </c>
      <c r="BS3" s="184" t="s">
        <v>2039</v>
      </c>
      <c r="BT3" s="184" t="s">
        <v>2399</v>
      </c>
    </row>
    <row r="4" spans="2:73" ht="21" hidden="1" customHeight="1" x14ac:dyDescent="0.35">
      <c r="B4" s="231" t="s">
        <v>562</v>
      </c>
    </row>
    <row r="5" spans="2:73" ht="9" customHeight="1" thickBot="1" x14ac:dyDescent="0.4">
      <c r="B5" s="231"/>
      <c r="BP5" t="s">
        <v>2040</v>
      </c>
      <c r="BQ5" t="s">
        <v>2041</v>
      </c>
    </row>
    <row r="6" spans="2:73" ht="48.6" customHeight="1" thickBot="1" x14ac:dyDescent="0.3">
      <c r="B6" s="1678" t="str">
        <f>IF(Language="English", BS6, BT6)</f>
        <v xml:space="preserve">ÉTAPE 1 DE 3. Sélectionnez le type de données pour la comparaison des données mensuelles / annuelles: </v>
      </c>
      <c r="C6" s="1678"/>
      <c r="D6" s="1678"/>
      <c r="E6" s="1678"/>
      <c r="F6" s="1678"/>
      <c r="G6" s="1678"/>
      <c r="H6" s="1678"/>
      <c r="I6" s="1678"/>
      <c r="J6" s="1679"/>
      <c r="K6" s="1680"/>
      <c r="L6" s="1680"/>
      <c r="M6" s="1681"/>
      <c r="BO6" t="e">
        <f>VLOOKUP(J6, 'Language Look Ups'!$B$15:$H$18, 7, FALSE)</f>
        <v>#N/A</v>
      </c>
      <c r="BP6" t="e">
        <f>VLOOKUP(J6, 'Language Look Ups'!$B$15:$G$18, 6, FALSE)</f>
        <v>#N/A</v>
      </c>
      <c r="BQ6" t="e">
        <f>VLOOKUP(J6, 'Language Look Ups'!$B$15:$F$18, 5, FALSE)</f>
        <v>#N/A</v>
      </c>
      <c r="BS6" s="184" t="s">
        <v>2042</v>
      </c>
      <c r="BT6" s="184" t="s">
        <v>2043</v>
      </c>
    </row>
    <row r="7" spans="2:73" ht="10.9" customHeight="1" x14ac:dyDescent="0.4">
      <c r="B7" s="509"/>
      <c r="BS7" s="184" t="s">
        <v>935</v>
      </c>
      <c r="BT7" s="184" t="s">
        <v>936</v>
      </c>
    </row>
    <row r="8" spans="2:73" ht="27" thickBot="1" x14ac:dyDescent="0.45">
      <c r="B8" s="243" t="str">
        <f>IF(Language="English", BS8, BT8)</f>
        <v>ÉTAPE 2 DE 3. SAISIR LES TAUX DE COMPLÉTUDE</v>
      </c>
      <c r="C8" s="232"/>
      <c r="D8" s="232"/>
      <c r="E8" s="232"/>
      <c r="F8" s="232"/>
      <c r="G8" s="232"/>
      <c r="H8" s="232"/>
      <c r="I8" s="232"/>
      <c r="J8" s="232"/>
      <c r="K8" s="232"/>
      <c r="L8" s="232"/>
      <c r="M8" s="232"/>
      <c r="N8" s="232"/>
      <c r="O8" s="232"/>
      <c r="P8" s="232"/>
      <c r="Q8" s="232"/>
      <c r="R8" s="232"/>
      <c r="S8" s="232"/>
      <c r="T8" s="232"/>
      <c r="U8" s="232"/>
      <c r="V8" s="232"/>
      <c r="W8" s="232"/>
      <c r="X8" s="232"/>
      <c r="Y8" s="232"/>
      <c r="Z8" s="232"/>
      <c r="AA8" s="232"/>
      <c r="AB8" s="232"/>
      <c r="AC8" s="232"/>
      <c r="AD8" s="232"/>
      <c r="AE8" s="232"/>
      <c r="AF8" s="232"/>
      <c r="AG8" s="232"/>
      <c r="AH8" s="232"/>
      <c r="AI8" s="232"/>
      <c r="AJ8" s="232"/>
      <c r="AK8" s="232"/>
      <c r="AL8" s="232"/>
      <c r="AM8" s="232"/>
      <c r="AN8" s="232"/>
      <c r="AO8" s="232"/>
      <c r="AP8" s="232"/>
      <c r="BS8" s="184" t="s">
        <v>2044</v>
      </c>
      <c r="BT8" s="184" t="s">
        <v>2045</v>
      </c>
    </row>
    <row r="9" spans="2:73" ht="15.75" customHeight="1" x14ac:dyDescent="0.25">
      <c r="B9" s="103" t="str">
        <f>IF(Language="English", BS9, BT9)</f>
        <v>Saisissez les taux de complétude pour chaque année des données disponibles. Examinez si les taux de complétude sont assez élevés et cohérents pour utiliser les données.</v>
      </c>
      <c r="BS9" s="103" t="s">
        <v>1278</v>
      </c>
      <c r="BT9" s="103" t="s">
        <v>1131</v>
      </c>
    </row>
    <row r="10" spans="2:73" ht="16.5" thickBot="1" x14ac:dyDescent="0.3">
      <c r="B10" s="103"/>
      <c r="G10" s="1682" t="str">
        <f>IF(AND(COUNT($G$14:$L$14)&lt;COUNT($G$12:$L$12),Language="English"),"COMPLETE REPORTING RATES",IF(AND(COUNT($G$14:$L$14)&lt;COUNT($G$12:$L$12),Language="Francais"),"Complétez les taux de complétude",""))</f>
        <v/>
      </c>
      <c r="H10" s="1682"/>
      <c r="I10" s="1682"/>
      <c r="J10" s="1682"/>
      <c r="K10" s="1682"/>
      <c r="L10" s="1682"/>
      <c r="M10" s="1682"/>
      <c r="N10" s="1682"/>
      <c r="O10" s="1682"/>
      <c r="P10" s="1682"/>
      <c r="Q10" s="1682"/>
      <c r="R10" s="1682"/>
      <c r="S10" s="1682"/>
      <c r="T10" s="1682"/>
      <c r="U10" s="1682"/>
      <c r="V10" s="1682"/>
      <c r="W10" s="1682"/>
      <c r="X10" s="1682"/>
      <c r="Y10" s="1682"/>
      <c r="Z10" s="1682"/>
    </row>
    <row r="11" spans="2:73" ht="18.75" x14ac:dyDescent="0.3">
      <c r="B11" s="103"/>
      <c r="G11" s="1683">
        <v>2019</v>
      </c>
      <c r="H11" s="1684"/>
      <c r="I11" s="1684"/>
      <c r="J11" s="1684"/>
      <c r="K11" s="1684"/>
      <c r="L11" s="1684"/>
      <c r="M11" s="1684"/>
      <c r="N11" s="1684"/>
      <c r="O11" s="1684"/>
      <c r="P11" s="1684"/>
      <c r="Q11" s="1684"/>
      <c r="R11" s="1685"/>
      <c r="S11" s="1683">
        <v>2020</v>
      </c>
      <c r="T11" s="1684"/>
      <c r="U11" s="1684"/>
      <c r="V11" s="1684"/>
      <c r="W11" s="1684"/>
      <c r="X11" s="1684"/>
      <c r="Y11" s="1684"/>
      <c r="Z11" s="1684"/>
      <c r="AA11" s="1684"/>
      <c r="AB11" s="1684"/>
      <c r="AC11" s="1684"/>
      <c r="AD11" s="1686"/>
      <c r="AE11" s="1683">
        <v>2021</v>
      </c>
      <c r="AF11" s="1684"/>
      <c r="AG11" s="1684"/>
      <c r="AH11" s="1684"/>
      <c r="AI11" s="1684"/>
      <c r="AJ11" s="1684"/>
      <c r="AK11" s="1684"/>
      <c r="AL11" s="1684"/>
      <c r="AM11" s="1684"/>
      <c r="AN11" s="1684"/>
      <c r="AO11" s="1684"/>
      <c r="AP11" s="1686"/>
      <c r="AS11" s="1687" t="s">
        <v>2050</v>
      </c>
      <c r="AT11" s="1687" t="s">
        <v>2051</v>
      </c>
      <c r="AU11" s="1687" t="s">
        <v>2382</v>
      </c>
      <c r="AW11" s="1687" t="s">
        <v>2052</v>
      </c>
      <c r="AX11" s="1687" t="s">
        <v>2053</v>
      </c>
      <c r="AY11" s="1687" t="s">
        <v>2381</v>
      </c>
    </row>
    <row r="12" spans="2:73" ht="15" customHeight="1" thickBot="1" x14ac:dyDescent="0.3">
      <c r="C12" s="11"/>
      <c r="D12" s="11"/>
      <c r="E12" s="11"/>
      <c r="F12" s="40"/>
      <c r="G12" s="1146" t="s">
        <v>1313</v>
      </c>
      <c r="H12" s="1147" t="s">
        <v>1314</v>
      </c>
      <c r="I12" s="1147" t="s">
        <v>1315</v>
      </c>
      <c r="J12" s="1147" t="s">
        <v>1316</v>
      </c>
      <c r="K12" s="1147" t="s">
        <v>1317</v>
      </c>
      <c r="L12" s="1147" t="s">
        <v>1318</v>
      </c>
      <c r="M12" s="1147" t="s">
        <v>1319</v>
      </c>
      <c r="N12" s="1147" t="s">
        <v>1320</v>
      </c>
      <c r="O12" s="1147" t="s">
        <v>1321</v>
      </c>
      <c r="P12" s="1147" t="s">
        <v>1322</v>
      </c>
      <c r="Q12" s="1147" t="s">
        <v>1323</v>
      </c>
      <c r="R12" s="1148" t="s">
        <v>1324</v>
      </c>
      <c r="S12" s="1146" t="s">
        <v>1313</v>
      </c>
      <c r="T12" s="1147" t="s">
        <v>1314</v>
      </c>
      <c r="U12" s="1147" t="s">
        <v>1315</v>
      </c>
      <c r="V12" s="1147" t="s">
        <v>1316</v>
      </c>
      <c r="W12" s="1147" t="s">
        <v>1317</v>
      </c>
      <c r="X12" s="1147" t="s">
        <v>1318</v>
      </c>
      <c r="Y12" s="1147" t="s">
        <v>1319</v>
      </c>
      <c r="Z12" s="1147" t="s">
        <v>1320</v>
      </c>
      <c r="AA12" s="1147" t="s">
        <v>1321</v>
      </c>
      <c r="AB12" s="1147" t="s">
        <v>1322</v>
      </c>
      <c r="AC12" s="1147" t="s">
        <v>1323</v>
      </c>
      <c r="AD12" s="1149" t="s">
        <v>1324</v>
      </c>
      <c r="AE12" s="1146" t="s">
        <v>1313</v>
      </c>
      <c r="AF12" s="1147" t="s">
        <v>1314</v>
      </c>
      <c r="AG12" s="1147" t="s">
        <v>1315</v>
      </c>
      <c r="AH12" s="1147" t="s">
        <v>1316</v>
      </c>
      <c r="AI12" s="1147" t="s">
        <v>1317</v>
      </c>
      <c r="AJ12" s="1147" t="s">
        <v>1318</v>
      </c>
      <c r="AK12" s="1147" t="s">
        <v>1319</v>
      </c>
      <c r="AL12" s="1147" t="s">
        <v>1320</v>
      </c>
      <c r="AM12" s="1147" t="s">
        <v>1321</v>
      </c>
      <c r="AN12" s="1147" t="s">
        <v>1322</v>
      </c>
      <c r="AO12" s="1147" t="s">
        <v>1323</v>
      </c>
      <c r="AP12" s="1149" t="s">
        <v>1324</v>
      </c>
      <c r="AS12" s="1687"/>
      <c r="AT12" s="1687"/>
      <c r="AU12" s="1687"/>
      <c r="AW12" s="1687"/>
      <c r="AX12" s="1687"/>
      <c r="AY12" s="1687"/>
    </row>
    <row r="13" spans="2:73" ht="15" hidden="1" customHeight="1" thickBot="1" x14ac:dyDescent="0.3">
      <c r="C13" s="11"/>
      <c r="D13" s="11"/>
      <c r="E13" s="11"/>
      <c r="F13" s="40"/>
      <c r="G13" s="1150" t="str">
        <f>G25</f>
        <v>Jan2019</v>
      </c>
      <c r="H13" s="1151" t="str">
        <f t="shared" ref="H13:AP13" si="0">H25</f>
        <v>Feb2019</v>
      </c>
      <c r="I13" s="1151" t="str">
        <f t="shared" si="0"/>
        <v>Mar2019</v>
      </c>
      <c r="J13" s="1151" t="str">
        <f t="shared" si="0"/>
        <v>Apr2019</v>
      </c>
      <c r="K13" s="1151" t="str">
        <f t="shared" si="0"/>
        <v>May2019</v>
      </c>
      <c r="L13" s="1151" t="str">
        <f t="shared" si="0"/>
        <v>Jun2019</v>
      </c>
      <c r="M13" s="1151" t="str">
        <f t="shared" si="0"/>
        <v>Jul2019</v>
      </c>
      <c r="N13" s="1151" t="str">
        <f t="shared" si="0"/>
        <v>Aug2019</v>
      </c>
      <c r="O13" s="1151" t="str">
        <f t="shared" si="0"/>
        <v>Sep2019</v>
      </c>
      <c r="P13" s="1151" t="str">
        <f t="shared" si="0"/>
        <v>Oct2019</v>
      </c>
      <c r="Q13" s="1151" t="str">
        <f t="shared" si="0"/>
        <v>Nov2019</v>
      </c>
      <c r="R13" s="1152" t="str">
        <f t="shared" si="0"/>
        <v>Dec2019</v>
      </c>
      <c r="S13" s="1150" t="str">
        <f t="shared" si="0"/>
        <v>Jan2020</v>
      </c>
      <c r="T13" s="1151" t="str">
        <f t="shared" si="0"/>
        <v>Feb2020</v>
      </c>
      <c r="U13" s="1151" t="str">
        <f t="shared" si="0"/>
        <v>Mar2020</v>
      </c>
      <c r="V13" s="1151" t="str">
        <f t="shared" si="0"/>
        <v>Apr2020</v>
      </c>
      <c r="W13" s="1151" t="str">
        <f t="shared" si="0"/>
        <v>May2020</v>
      </c>
      <c r="X13" s="1151" t="str">
        <f t="shared" si="0"/>
        <v>Jun2020</v>
      </c>
      <c r="Y13" s="1151" t="str">
        <f t="shared" si="0"/>
        <v>Jul2020</v>
      </c>
      <c r="Z13" s="1151" t="str">
        <f t="shared" si="0"/>
        <v>Aug2020</v>
      </c>
      <c r="AA13" s="1151" t="str">
        <f t="shared" si="0"/>
        <v>Sep2020</v>
      </c>
      <c r="AB13" s="1151" t="str">
        <f t="shared" si="0"/>
        <v>Oct2020</v>
      </c>
      <c r="AC13" s="1151" t="str">
        <f t="shared" si="0"/>
        <v>Nov2020</v>
      </c>
      <c r="AD13" s="1153" t="str">
        <f t="shared" si="0"/>
        <v>Dec2020</v>
      </c>
      <c r="AE13" s="1150" t="str">
        <f t="shared" si="0"/>
        <v>Jan2021</v>
      </c>
      <c r="AF13" s="1151" t="str">
        <f t="shared" si="0"/>
        <v>Feb2021</v>
      </c>
      <c r="AG13" s="1151" t="str">
        <f t="shared" si="0"/>
        <v>Mar2021</v>
      </c>
      <c r="AH13" s="1151" t="str">
        <f t="shared" si="0"/>
        <v>Apr2021</v>
      </c>
      <c r="AI13" s="1151" t="str">
        <f t="shared" si="0"/>
        <v>May2021</v>
      </c>
      <c r="AJ13" s="1151" t="str">
        <f t="shared" si="0"/>
        <v>Jun2021</v>
      </c>
      <c r="AK13" s="1151" t="str">
        <f t="shared" si="0"/>
        <v>Jul2021</v>
      </c>
      <c r="AL13" s="1151" t="str">
        <f t="shared" si="0"/>
        <v>Aug2021</v>
      </c>
      <c r="AM13" s="1151" t="str">
        <f t="shared" si="0"/>
        <v>Sep2021</v>
      </c>
      <c r="AN13" s="1151" t="str">
        <f t="shared" si="0"/>
        <v>Oct2021</v>
      </c>
      <c r="AO13" s="1151" t="str">
        <f t="shared" si="0"/>
        <v>Nov2021</v>
      </c>
      <c r="AP13" s="1153" t="str">
        <f t="shared" si="0"/>
        <v>Dec2021</v>
      </c>
      <c r="AS13" s="1698"/>
      <c r="AT13" s="1698"/>
      <c r="AU13" s="1698"/>
    </row>
    <row r="14" spans="2:73" ht="29.25" customHeight="1" thickTop="1" thickBot="1" x14ac:dyDescent="0.3">
      <c r="B14" s="1518"/>
      <c r="C14" s="1513" t="str">
        <f>'Language Look Ups'!$B$22</f>
        <v>Saisissez les taux de complétude</v>
      </c>
      <c r="D14" s="1514"/>
      <c r="E14" s="1514"/>
      <c r="F14" s="1514"/>
      <c r="G14" s="1154"/>
      <c r="H14" s="1155"/>
      <c r="I14" s="1155"/>
      <c r="J14" s="1155"/>
      <c r="K14" s="1155"/>
      <c r="L14" s="1155"/>
      <c r="M14" s="1155"/>
      <c r="N14" s="1155"/>
      <c r="O14" s="1155"/>
      <c r="P14" s="1155"/>
      <c r="Q14" s="1155"/>
      <c r="R14" s="1155"/>
      <c r="S14" s="1154"/>
      <c r="T14" s="1155"/>
      <c r="U14" s="1155"/>
      <c r="V14" s="1155"/>
      <c r="W14" s="1155"/>
      <c r="X14" s="1155"/>
      <c r="Y14" s="1155"/>
      <c r="Z14" s="1155"/>
      <c r="AA14" s="1155"/>
      <c r="AB14" s="1155"/>
      <c r="AC14" s="1155"/>
      <c r="AD14" s="1156"/>
      <c r="AE14" s="1154"/>
      <c r="AF14" s="1155"/>
      <c r="AG14" s="1155"/>
      <c r="AH14" s="1155"/>
      <c r="AI14" s="1155"/>
      <c r="AJ14" s="1155"/>
      <c r="AK14" s="1155"/>
      <c r="AL14" s="1155"/>
      <c r="AM14" s="1155"/>
      <c r="AN14" s="1155"/>
      <c r="AO14" s="1155"/>
      <c r="AP14" s="1156"/>
      <c r="AS14" s="1299">
        <f>IFERROR(AVERAGEIF($G$57:$AP$57, "&lt;&gt;1", $G14:$AP14), 0)</f>
        <v>0</v>
      </c>
      <c r="AT14" s="1300">
        <f>IFERROR(AVERAGEIF($G$57:$AP$57, 1, $G14:$AP14),0)</f>
        <v>0</v>
      </c>
      <c r="AU14" s="1300">
        <f>IFERROR(AVERAGE(G14:AP14), 0)</f>
        <v>0</v>
      </c>
      <c r="AW14" s="1301" t="e">
        <f>AVERAGEIF($G$23:$AP$23, AW$25, $G14:$AP14)</f>
        <v>#DIV/0!</v>
      </c>
      <c r="AX14" s="1301" t="e">
        <f t="shared" ref="AX14:AY14" si="1">AVERAGEIF($G$23:$AP$23, AX$25, $G14:$AP14)</f>
        <v>#DIV/0!</v>
      </c>
      <c r="AY14" s="1301" t="e">
        <f t="shared" si="1"/>
        <v>#DIV/0!</v>
      </c>
    </row>
    <row r="15" spans="2:73" ht="9" customHeight="1" thickTop="1" x14ac:dyDescent="0.25">
      <c r="B15" s="1518"/>
      <c r="C15" s="31"/>
      <c r="D15" s="31"/>
      <c r="E15" s="31"/>
      <c r="F15" s="31"/>
      <c r="AY15" s="114"/>
      <c r="AZ15" s="114"/>
      <c r="BA15" s="114"/>
      <c r="BB15" s="114"/>
      <c r="BC15" s="114"/>
      <c r="BD15" s="114"/>
      <c r="BE15" s="114"/>
      <c r="BF15" s="114"/>
      <c r="BG15" s="114"/>
      <c r="BH15" s="114"/>
    </row>
    <row r="16" spans="2:73" ht="9" customHeight="1" x14ac:dyDescent="0.45">
      <c r="B16" s="1518"/>
      <c r="C16" s="1519" t="str">
        <f>IF(COUNT(G14:Z14)&lt;COUNT(G12:Z12), "You have not entered reporting rates for all years, please add this data to continue", "")</f>
        <v/>
      </c>
      <c r="D16" s="1519"/>
      <c r="E16" s="1519"/>
      <c r="F16" s="1519"/>
      <c r="G16" s="1519"/>
      <c r="H16" s="1519"/>
      <c r="I16" s="1519"/>
      <c r="J16" s="1519"/>
      <c r="K16" s="1519"/>
      <c r="L16" s="1519"/>
      <c r="M16" s="1519"/>
      <c r="N16" s="1519"/>
      <c r="O16" s="1519"/>
      <c r="P16" s="1519"/>
      <c r="Q16" s="1519"/>
      <c r="R16" s="1519"/>
      <c r="S16" s="1519"/>
      <c r="T16" s="1519"/>
      <c r="U16" s="1519"/>
      <c r="V16" s="1519"/>
      <c r="W16" s="1519"/>
      <c r="X16" s="1519"/>
      <c r="Y16" s="1519"/>
      <c r="Z16" s="1519"/>
    </row>
    <row r="17" spans="2:117" ht="5.25" customHeight="1" x14ac:dyDescent="0.25"/>
    <row r="18" spans="2:117" ht="32.25" thickBot="1" x14ac:dyDescent="0.55000000000000004">
      <c r="B18" s="1543" t="str">
        <f>IF(Language="English", BS18, BT18)</f>
        <v>ÉTAPE 2 de 3. SAISIR LES DONNÉES MENSUELLES</v>
      </c>
      <c r="C18" s="1543"/>
      <c r="D18" s="1543"/>
      <c r="E18" s="1543"/>
      <c r="F18" s="1543"/>
      <c r="G18" s="1543"/>
      <c r="H18" s="1543"/>
      <c r="I18" s="1543"/>
      <c r="J18" s="1157">
        <f>J6</f>
        <v>0</v>
      </c>
      <c r="K18" s="508"/>
      <c r="L18" s="1157"/>
      <c r="M18" s="232"/>
      <c r="N18" s="232"/>
      <c r="O18" s="232"/>
      <c r="P18" s="232"/>
      <c r="Q18" s="232"/>
      <c r="R18" s="232"/>
      <c r="S18" s="232"/>
      <c r="T18" s="232"/>
      <c r="U18" s="232"/>
      <c r="V18" s="232"/>
      <c r="W18" s="232"/>
      <c r="X18" s="232"/>
      <c r="Y18" s="232"/>
      <c r="Z18" s="232"/>
      <c r="AA18" s="232"/>
      <c r="AB18" s="232"/>
      <c r="AC18" s="232"/>
      <c r="AD18" s="232"/>
      <c r="AE18" s="232"/>
      <c r="AF18" s="232"/>
      <c r="AG18" s="232"/>
      <c r="AH18" s="232"/>
      <c r="AI18" s="232"/>
      <c r="AJ18" s="232"/>
      <c r="AK18" s="232"/>
      <c r="AL18" s="232"/>
      <c r="AM18" s="232"/>
      <c r="AN18" s="232"/>
      <c r="AO18" s="232"/>
      <c r="AP18" s="232"/>
      <c r="BS18" s="184" t="s">
        <v>2046</v>
      </c>
      <c r="BT18" s="184" t="s">
        <v>2047</v>
      </c>
    </row>
    <row r="19" spans="2:117" ht="27" customHeight="1" x14ac:dyDescent="0.25">
      <c r="B19" s="196" t="str">
        <f>IF(Language="English", BS19, BT19)</f>
        <v xml:space="preserve">Collez les données mensuelles (en tant que valeurs), par méthode, pour le type de données sélectionné, à partir de votre outil COVID. </v>
      </c>
      <c r="BS19" s="196" t="s">
        <v>2048</v>
      </c>
      <c r="BT19" s="196" t="s">
        <v>2049</v>
      </c>
    </row>
    <row r="20" spans="2:117" ht="10.15" customHeight="1" x14ac:dyDescent="0.25">
      <c r="B20" s="196"/>
    </row>
    <row r="21" spans="2:117" ht="3.6" customHeight="1" thickBot="1" x14ac:dyDescent="0.3"/>
    <row r="22" spans="2:117" ht="24" thickBot="1" x14ac:dyDescent="0.4">
      <c r="B22" s="1"/>
      <c r="C22" s="1"/>
      <c r="D22" s="1521"/>
      <c r="E22" s="1521"/>
      <c r="F22" s="1605"/>
      <c r="G22" s="1158">
        <f>J6</f>
        <v>0</v>
      </c>
      <c r="H22" s="1159"/>
      <c r="I22" s="1159"/>
      <c r="J22" s="1159"/>
      <c r="K22" s="1159"/>
      <c r="L22" s="1159"/>
      <c r="M22" s="1159"/>
      <c r="N22" s="1159"/>
      <c r="O22" s="1159"/>
      <c r="P22" s="1159"/>
      <c r="Q22" s="1159"/>
      <c r="R22" s="1159"/>
      <c r="S22" s="1159"/>
      <c r="T22" s="1159"/>
      <c r="U22" s="1159"/>
      <c r="V22" s="1159"/>
      <c r="W22" s="1159"/>
      <c r="X22" s="1159"/>
      <c r="Y22" s="1159"/>
      <c r="Z22" s="1159"/>
      <c r="AA22" s="1159"/>
      <c r="AB22" s="1159"/>
      <c r="AC22" s="1159"/>
      <c r="AD22" s="1159"/>
      <c r="AE22" s="1159"/>
      <c r="AF22" s="1159"/>
      <c r="AG22" s="1159"/>
      <c r="AH22" s="1159"/>
      <c r="AI22" s="1159"/>
      <c r="AJ22" s="1159"/>
      <c r="AK22" s="1159"/>
      <c r="AL22" s="1159"/>
      <c r="AM22" s="1159"/>
      <c r="AN22" s="1159"/>
      <c r="AO22" s="1159"/>
      <c r="AP22" s="1159"/>
      <c r="AS22" s="1159"/>
      <c r="AT22" s="1159"/>
      <c r="AU22" s="1159"/>
      <c r="AW22" s="1159"/>
      <c r="AX22" s="1159"/>
      <c r="AY22" s="1159"/>
    </row>
    <row r="23" spans="2:117" ht="20.65" customHeight="1" x14ac:dyDescent="0.25">
      <c r="B23" s="229"/>
      <c r="C23" s="229"/>
      <c r="D23" s="1688" t="str">
        <f>IF(Language="English", $BS23, $BT23)</f>
        <v>FACTEUR CAP</v>
      </c>
      <c r="E23" s="1297"/>
      <c r="F23" s="1688" t="str">
        <f>IF(Language="English", $BS24, $BT24)</f>
        <v>UNITÉS</v>
      </c>
      <c r="G23" s="1125">
        <f>$G$11</f>
        <v>2019</v>
      </c>
      <c r="H23" s="1160">
        <f t="shared" ref="H23:R23" si="2">$G$11</f>
        <v>2019</v>
      </c>
      <c r="I23" s="1160">
        <f t="shared" si="2"/>
        <v>2019</v>
      </c>
      <c r="J23" s="1160">
        <f t="shared" si="2"/>
        <v>2019</v>
      </c>
      <c r="K23" s="1160">
        <f t="shared" si="2"/>
        <v>2019</v>
      </c>
      <c r="L23" s="1160">
        <f t="shared" si="2"/>
        <v>2019</v>
      </c>
      <c r="M23" s="1160">
        <f t="shared" si="2"/>
        <v>2019</v>
      </c>
      <c r="N23" s="1160">
        <f t="shared" si="2"/>
        <v>2019</v>
      </c>
      <c r="O23" s="1160">
        <f t="shared" si="2"/>
        <v>2019</v>
      </c>
      <c r="P23" s="1160">
        <f t="shared" si="2"/>
        <v>2019</v>
      </c>
      <c r="Q23" s="1160">
        <f t="shared" si="2"/>
        <v>2019</v>
      </c>
      <c r="R23" s="1161">
        <f t="shared" si="2"/>
        <v>2019</v>
      </c>
      <c r="S23" s="1162">
        <f>$S$11</f>
        <v>2020</v>
      </c>
      <c r="T23" s="1163">
        <f t="shared" ref="T23:AD23" si="3">$S$11</f>
        <v>2020</v>
      </c>
      <c r="U23" s="1163">
        <f t="shared" si="3"/>
        <v>2020</v>
      </c>
      <c r="V23" s="1163">
        <f t="shared" si="3"/>
        <v>2020</v>
      </c>
      <c r="W23" s="1163">
        <f t="shared" si="3"/>
        <v>2020</v>
      </c>
      <c r="X23" s="1163">
        <f t="shared" si="3"/>
        <v>2020</v>
      </c>
      <c r="Y23" s="1163">
        <f t="shared" si="3"/>
        <v>2020</v>
      </c>
      <c r="Z23" s="1163">
        <f t="shared" si="3"/>
        <v>2020</v>
      </c>
      <c r="AA23" s="1163">
        <f t="shared" si="3"/>
        <v>2020</v>
      </c>
      <c r="AB23" s="1163">
        <f t="shared" si="3"/>
        <v>2020</v>
      </c>
      <c r="AC23" s="1163">
        <f t="shared" si="3"/>
        <v>2020</v>
      </c>
      <c r="AD23" s="1165">
        <f t="shared" si="3"/>
        <v>2020</v>
      </c>
      <c r="AE23" s="1162">
        <v>2021</v>
      </c>
      <c r="AF23" s="1163">
        <v>2021</v>
      </c>
      <c r="AG23" s="1163">
        <v>2021</v>
      </c>
      <c r="AH23" s="1163">
        <v>2021</v>
      </c>
      <c r="AI23" s="1163">
        <v>2021</v>
      </c>
      <c r="AJ23" s="1163">
        <v>2021</v>
      </c>
      <c r="AK23" s="1163">
        <v>2021</v>
      </c>
      <c r="AL23" s="1163">
        <v>2021</v>
      </c>
      <c r="AM23" s="1163">
        <v>2021</v>
      </c>
      <c r="AN23" s="1163">
        <v>2021</v>
      </c>
      <c r="AO23" s="1163">
        <v>2021</v>
      </c>
      <c r="AP23" s="1165">
        <v>2021</v>
      </c>
      <c r="AS23" s="1687" t="s">
        <v>2050</v>
      </c>
      <c r="AT23" s="1687" t="s">
        <v>2051</v>
      </c>
      <c r="AU23" s="1687" t="s">
        <v>2382</v>
      </c>
      <c r="AW23" s="1687" t="s">
        <v>2052</v>
      </c>
      <c r="AX23" s="1687" t="s">
        <v>2053</v>
      </c>
      <c r="AY23" s="1687" t="s">
        <v>2381</v>
      </c>
      <c r="BS23" s="416" t="s">
        <v>8</v>
      </c>
      <c r="BT23" s="184" t="s">
        <v>2400</v>
      </c>
      <c r="CB23" t="e">
        <f>B51</f>
        <v>#N/A</v>
      </c>
      <c r="CD23" s="1125">
        <f>$G$11</f>
        <v>2019</v>
      </c>
      <c r="CE23" s="1160">
        <f t="shared" ref="CE23:CO23" si="4">$G$11</f>
        <v>2019</v>
      </c>
      <c r="CF23" s="1160">
        <f t="shared" si="4"/>
        <v>2019</v>
      </c>
      <c r="CG23" s="1160">
        <f t="shared" si="4"/>
        <v>2019</v>
      </c>
      <c r="CH23" s="1160">
        <f t="shared" si="4"/>
        <v>2019</v>
      </c>
      <c r="CI23" s="1160">
        <f t="shared" si="4"/>
        <v>2019</v>
      </c>
      <c r="CJ23" s="1160">
        <f t="shared" si="4"/>
        <v>2019</v>
      </c>
      <c r="CK23" s="1160">
        <f t="shared" si="4"/>
        <v>2019</v>
      </c>
      <c r="CL23" s="1160">
        <f t="shared" si="4"/>
        <v>2019</v>
      </c>
      <c r="CM23" s="1160">
        <f t="shared" si="4"/>
        <v>2019</v>
      </c>
      <c r="CN23" s="1160">
        <f t="shared" si="4"/>
        <v>2019</v>
      </c>
      <c r="CO23" s="1161">
        <f t="shared" si="4"/>
        <v>2019</v>
      </c>
      <c r="CP23" s="1162">
        <f>$S$11</f>
        <v>2020</v>
      </c>
      <c r="CQ23" s="1163">
        <f t="shared" ref="CQ23:DA23" si="5">$S$11</f>
        <v>2020</v>
      </c>
      <c r="CR23" s="1163">
        <f t="shared" si="5"/>
        <v>2020</v>
      </c>
      <c r="CS23" s="1163">
        <f t="shared" si="5"/>
        <v>2020</v>
      </c>
      <c r="CT23" s="1163">
        <f t="shared" si="5"/>
        <v>2020</v>
      </c>
      <c r="CU23" s="1163">
        <f t="shared" si="5"/>
        <v>2020</v>
      </c>
      <c r="CV23" s="1163">
        <f t="shared" si="5"/>
        <v>2020</v>
      </c>
      <c r="CW23" s="1163">
        <f t="shared" si="5"/>
        <v>2020</v>
      </c>
      <c r="CX23" s="1163">
        <f t="shared" si="5"/>
        <v>2020</v>
      </c>
      <c r="CY23" s="1163">
        <f t="shared" si="5"/>
        <v>2020</v>
      </c>
      <c r="CZ23" s="1163">
        <f t="shared" si="5"/>
        <v>2020</v>
      </c>
      <c r="DA23" s="1164">
        <f t="shared" si="5"/>
        <v>2020</v>
      </c>
      <c r="DB23" s="1162">
        <f>$AE$11</f>
        <v>2021</v>
      </c>
      <c r="DC23" s="1162">
        <f t="shared" ref="DC23:DM23" si="6">$AE$11</f>
        <v>2021</v>
      </c>
      <c r="DD23" s="1162">
        <f t="shared" si="6"/>
        <v>2021</v>
      </c>
      <c r="DE23" s="1162">
        <f t="shared" si="6"/>
        <v>2021</v>
      </c>
      <c r="DF23" s="1162">
        <f t="shared" si="6"/>
        <v>2021</v>
      </c>
      <c r="DG23" s="1162">
        <f t="shared" si="6"/>
        <v>2021</v>
      </c>
      <c r="DH23" s="1162">
        <f t="shared" si="6"/>
        <v>2021</v>
      </c>
      <c r="DI23" s="1162">
        <f t="shared" si="6"/>
        <v>2021</v>
      </c>
      <c r="DJ23" s="1162">
        <f t="shared" si="6"/>
        <v>2021</v>
      </c>
      <c r="DK23" s="1162">
        <f t="shared" si="6"/>
        <v>2021</v>
      </c>
      <c r="DL23" s="1162">
        <f t="shared" si="6"/>
        <v>2021</v>
      </c>
      <c r="DM23" s="1162">
        <f t="shared" si="6"/>
        <v>2021</v>
      </c>
    </row>
    <row r="24" spans="2:117" ht="20.65" customHeight="1" thickBot="1" x14ac:dyDescent="0.3">
      <c r="B24" s="1515"/>
      <c r="C24" s="1515"/>
      <c r="D24" s="1688"/>
      <c r="E24" s="1297"/>
      <c r="F24" s="1688"/>
      <c r="G24" s="1166" t="str">
        <f t="shared" ref="G24:AP24" si="7">G12</f>
        <v>Jan</v>
      </c>
      <c r="H24" s="1167" t="str">
        <f t="shared" si="7"/>
        <v>Feb</v>
      </c>
      <c r="I24" s="1167" t="str">
        <f t="shared" si="7"/>
        <v>Mar</v>
      </c>
      <c r="J24" s="1167" t="str">
        <f t="shared" si="7"/>
        <v>Apr</v>
      </c>
      <c r="K24" s="1167" t="str">
        <f t="shared" si="7"/>
        <v>May</v>
      </c>
      <c r="L24" s="1167" t="str">
        <f t="shared" si="7"/>
        <v>Jun</v>
      </c>
      <c r="M24" s="1167" t="str">
        <f t="shared" si="7"/>
        <v>Jul</v>
      </c>
      <c r="N24" s="1167" t="str">
        <f t="shared" si="7"/>
        <v>Aug</v>
      </c>
      <c r="O24" s="1167" t="str">
        <f t="shared" si="7"/>
        <v>Sep</v>
      </c>
      <c r="P24" s="1167" t="str">
        <f t="shared" si="7"/>
        <v>Oct</v>
      </c>
      <c r="Q24" s="1167" t="str">
        <f t="shared" si="7"/>
        <v>Nov</v>
      </c>
      <c r="R24" s="1168" t="str">
        <f t="shared" si="7"/>
        <v>Dec</v>
      </c>
      <c r="S24" s="1169" t="str">
        <f t="shared" si="7"/>
        <v>Jan</v>
      </c>
      <c r="T24" s="1170" t="str">
        <f t="shared" si="7"/>
        <v>Feb</v>
      </c>
      <c r="U24" s="1170" t="str">
        <f t="shared" si="7"/>
        <v>Mar</v>
      </c>
      <c r="V24" s="1170" t="str">
        <f t="shared" si="7"/>
        <v>Apr</v>
      </c>
      <c r="W24" s="1170" t="str">
        <f t="shared" si="7"/>
        <v>May</v>
      </c>
      <c r="X24" s="1170" t="str">
        <f t="shared" si="7"/>
        <v>Jun</v>
      </c>
      <c r="Y24" s="1170" t="str">
        <f t="shared" si="7"/>
        <v>Jul</v>
      </c>
      <c r="Z24" s="1170" t="str">
        <f t="shared" si="7"/>
        <v>Aug</v>
      </c>
      <c r="AA24" s="1170" t="str">
        <f t="shared" si="7"/>
        <v>Sep</v>
      </c>
      <c r="AB24" s="1170" t="str">
        <f t="shared" si="7"/>
        <v>Oct</v>
      </c>
      <c r="AC24" s="1170" t="str">
        <f t="shared" si="7"/>
        <v>Nov</v>
      </c>
      <c r="AD24" s="1171" t="str">
        <f t="shared" si="7"/>
        <v>Dec</v>
      </c>
      <c r="AE24" s="1169" t="str">
        <f t="shared" si="7"/>
        <v>Jan</v>
      </c>
      <c r="AF24" s="1170" t="str">
        <f t="shared" si="7"/>
        <v>Feb</v>
      </c>
      <c r="AG24" s="1170" t="str">
        <f t="shared" si="7"/>
        <v>Mar</v>
      </c>
      <c r="AH24" s="1170" t="str">
        <f t="shared" si="7"/>
        <v>Apr</v>
      </c>
      <c r="AI24" s="1170" t="str">
        <f t="shared" si="7"/>
        <v>May</v>
      </c>
      <c r="AJ24" s="1170" t="str">
        <f t="shared" si="7"/>
        <v>Jun</v>
      </c>
      <c r="AK24" s="1170" t="str">
        <f t="shared" si="7"/>
        <v>Jul</v>
      </c>
      <c r="AL24" s="1170" t="str">
        <f t="shared" si="7"/>
        <v>Aug</v>
      </c>
      <c r="AM24" s="1170" t="str">
        <f t="shared" si="7"/>
        <v>Sep</v>
      </c>
      <c r="AN24" s="1170" t="str">
        <f t="shared" si="7"/>
        <v>Oct</v>
      </c>
      <c r="AO24" s="1170" t="str">
        <f t="shared" si="7"/>
        <v>Nov</v>
      </c>
      <c r="AP24" s="1171" t="str">
        <f t="shared" si="7"/>
        <v>Dec</v>
      </c>
      <c r="AS24" s="1687"/>
      <c r="AT24" s="1687"/>
      <c r="AU24" s="1687"/>
      <c r="AW24" s="1687"/>
      <c r="AX24" s="1687"/>
      <c r="AY24" s="1687"/>
      <c r="BS24" s="416" t="s">
        <v>84</v>
      </c>
      <c r="BT24" s="184" t="s">
        <v>2401</v>
      </c>
      <c r="CD24" s="1166" t="str">
        <f t="shared" ref="CD24:DM24" si="8">G24</f>
        <v>Jan</v>
      </c>
      <c r="CE24" s="1166" t="str">
        <f t="shared" si="8"/>
        <v>Feb</v>
      </c>
      <c r="CF24" s="1166" t="str">
        <f t="shared" si="8"/>
        <v>Mar</v>
      </c>
      <c r="CG24" s="1166" t="str">
        <f t="shared" si="8"/>
        <v>Apr</v>
      </c>
      <c r="CH24" s="1166" t="str">
        <f t="shared" si="8"/>
        <v>May</v>
      </c>
      <c r="CI24" s="1166" t="str">
        <f t="shared" si="8"/>
        <v>Jun</v>
      </c>
      <c r="CJ24" s="1166" t="str">
        <f t="shared" si="8"/>
        <v>Jul</v>
      </c>
      <c r="CK24" s="1166" t="str">
        <f t="shared" si="8"/>
        <v>Aug</v>
      </c>
      <c r="CL24" s="1166" t="str">
        <f t="shared" si="8"/>
        <v>Sep</v>
      </c>
      <c r="CM24" s="1166" t="str">
        <f t="shared" si="8"/>
        <v>Oct</v>
      </c>
      <c r="CN24" s="1166" t="str">
        <f t="shared" si="8"/>
        <v>Nov</v>
      </c>
      <c r="CO24" s="1166" t="str">
        <f t="shared" si="8"/>
        <v>Dec</v>
      </c>
      <c r="CP24" s="1166" t="str">
        <f t="shared" si="8"/>
        <v>Jan</v>
      </c>
      <c r="CQ24" s="1166" t="str">
        <f t="shared" si="8"/>
        <v>Feb</v>
      </c>
      <c r="CR24" s="1166" t="str">
        <f t="shared" si="8"/>
        <v>Mar</v>
      </c>
      <c r="CS24" s="1166" t="str">
        <f t="shared" si="8"/>
        <v>Apr</v>
      </c>
      <c r="CT24" s="1166" t="str">
        <f t="shared" si="8"/>
        <v>May</v>
      </c>
      <c r="CU24" s="1166" t="str">
        <f t="shared" si="8"/>
        <v>Jun</v>
      </c>
      <c r="CV24" s="1166" t="str">
        <f t="shared" si="8"/>
        <v>Jul</v>
      </c>
      <c r="CW24" s="1166" t="str">
        <f t="shared" si="8"/>
        <v>Aug</v>
      </c>
      <c r="CX24" s="1166" t="str">
        <f t="shared" si="8"/>
        <v>Sep</v>
      </c>
      <c r="CY24" s="1166" t="str">
        <f t="shared" si="8"/>
        <v>Oct</v>
      </c>
      <c r="CZ24" s="1166" t="str">
        <f t="shared" si="8"/>
        <v>Nov</v>
      </c>
      <c r="DA24" s="1166" t="str">
        <f t="shared" si="8"/>
        <v>Dec</v>
      </c>
      <c r="DB24" s="1166" t="str">
        <f t="shared" si="8"/>
        <v>Jan</v>
      </c>
      <c r="DC24" s="1166" t="str">
        <f t="shared" si="8"/>
        <v>Feb</v>
      </c>
      <c r="DD24" s="1166" t="str">
        <f t="shared" si="8"/>
        <v>Mar</v>
      </c>
      <c r="DE24" s="1166" t="str">
        <f t="shared" si="8"/>
        <v>Apr</v>
      </c>
      <c r="DF24" s="1166" t="str">
        <f t="shared" si="8"/>
        <v>May</v>
      </c>
      <c r="DG24" s="1166" t="str">
        <f t="shared" si="8"/>
        <v>Jun</v>
      </c>
      <c r="DH24" s="1166" t="str">
        <f t="shared" si="8"/>
        <v>Jul</v>
      </c>
      <c r="DI24" s="1166" t="str">
        <f t="shared" si="8"/>
        <v>Aug</v>
      </c>
      <c r="DJ24" s="1166" t="str">
        <f t="shared" si="8"/>
        <v>Sep</v>
      </c>
      <c r="DK24" s="1166" t="str">
        <f t="shared" si="8"/>
        <v>Oct</v>
      </c>
      <c r="DL24" s="1166" t="str">
        <f t="shared" si="8"/>
        <v>Nov</v>
      </c>
      <c r="DM24" s="1166" t="str">
        <f t="shared" si="8"/>
        <v>Dec</v>
      </c>
    </row>
    <row r="25" spans="2:117" ht="20.65" hidden="1" customHeight="1" thickBot="1" x14ac:dyDescent="0.3">
      <c r="B25" s="229"/>
      <c r="C25" s="229"/>
      <c r="D25" s="98"/>
      <c r="E25" s="229"/>
      <c r="F25" s="229"/>
      <c r="G25" s="1172" t="str">
        <f>G24&amp;G23</f>
        <v>Jan2019</v>
      </c>
      <c r="H25" s="1172" t="str">
        <f t="shared" ref="H25:AP25" si="9">H24&amp;H23</f>
        <v>Feb2019</v>
      </c>
      <c r="I25" s="1172" t="str">
        <f t="shared" si="9"/>
        <v>Mar2019</v>
      </c>
      <c r="J25" s="1172" t="str">
        <f t="shared" si="9"/>
        <v>Apr2019</v>
      </c>
      <c r="K25" s="1172" t="str">
        <f t="shared" si="9"/>
        <v>May2019</v>
      </c>
      <c r="L25" s="1172" t="str">
        <f t="shared" si="9"/>
        <v>Jun2019</v>
      </c>
      <c r="M25" s="1172" t="str">
        <f t="shared" si="9"/>
        <v>Jul2019</v>
      </c>
      <c r="N25" s="1172" t="str">
        <f t="shared" si="9"/>
        <v>Aug2019</v>
      </c>
      <c r="O25" s="1172" t="str">
        <f t="shared" si="9"/>
        <v>Sep2019</v>
      </c>
      <c r="P25" s="1172" t="str">
        <f t="shared" si="9"/>
        <v>Oct2019</v>
      </c>
      <c r="Q25" s="1172" t="str">
        <f t="shared" si="9"/>
        <v>Nov2019</v>
      </c>
      <c r="R25" s="1172" t="str">
        <f t="shared" si="9"/>
        <v>Dec2019</v>
      </c>
      <c r="S25" s="1173" t="str">
        <f t="shared" si="9"/>
        <v>Jan2020</v>
      </c>
      <c r="T25" s="1172" t="str">
        <f t="shared" si="9"/>
        <v>Feb2020</v>
      </c>
      <c r="U25" s="1172" t="str">
        <f t="shared" si="9"/>
        <v>Mar2020</v>
      </c>
      <c r="V25" s="1172" t="str">
        <f t="shared" si="9"/>
        <v>Apr2020</v>
      </c>
      <c r="W25" s="1172" t="str">
        <f t="shared" si="9"/>
        <v>May2020</v>
      </c>
      <c r="X25" s="1172" t="str">
        <f t="shared" si="9"/>
        <v>Jun2020</v>
      </c>
      <c r="Y25" s="1172" t="str">
        <f t="shared" si="9"/>
        <v>Jul2020</v>
      </c>
      <c r="Z25" s="1172" t="str">
        <f t="shared" si="9"/>
        <v>Aug2020</v>
      </c>
      <c r="AA25" s="1172" t="str">
        <f t="shared" si="9"/>
        <v>Sep2020</v>
      </c>
      <c r="AB25" s="1172" t="str">
        <f t="shared" si="9"/>
        <v>Oct2020</v>
      </c>
      <c r="AC25" s="1172" t="str">
        <f t="shared" si="9"/>
        <v>Nov2020</v>
      </c>
      <c r="AD25" s="1174" t="str">
        <f t="shared" si="9"/>
        <v>Dec2020</v>
      </c>
      <c r="AE25" s="1173" t="str">
        <f t="shared" si="9"/>
        <v>Jan2021</v>
      </c>
      <c r="AF25" s="1172" t="str">
        <f t="shared" si="9"/>
        <v>Feb2021</v>
      </c>
      <c r="AG25" s="1172" t="str">
        <f t="shared" si="9"/>
        <v>Mar2021</v>
      </c>
      <c r="AH25" s="1172" t="str">
        <f t="shared" si="9"/>
        <v>Apr2021</v>
      </c>
      <c r="AI25" s="1172" t="str">
        <f t="shared" si="9"/>
        <v>May2021</v>
      </c>
      <c r="AJ25" s="1172" t="str">
        <f t="shared" si="9"/>
        <v>Jun2021</v>
      </c>
      <c r="AK25" s="1172" t="str">
        <f t="shared" si="9"/>
        <v>Jul2021</v>
      </c>
      <c r="AL25" s="1172" t="str">
        <f t="shared" si="9"/>
        <v>Aug2021</v>
      </c>
      <c r="AM25" s="1172" t="str">
        <f t="shared" si="9"/>
        <v>Sep2021</v>
      </c>
      <c r="AN25" s="1172" t="str">
        <f t="shared" si="9"/>
        <v>Oct2021</v>
      </c>
      <c r="AO25" s="1172" t="str">
        <f t="shared" si="9"/>
        <v>Nov2021</v>
      </c>
      <c r="AP25" s="1174" t="str">
        <f t="shared" si="9"/>
        <v>Dec2021</v>
      </c>
      <c r="AS25" s="169"/>
      <c r="AT25" s="169"/>
      <c r="AU25" s="169"/>
      <c r="AW25" s="169">
        <v>2019</v>
      </c>
      <c r="AX25" s="169">
        <v>2020</v>
      </c>
      <c r="AY25" s="169">
        <v>2021</v>
      </c>
      <c r="CB25" s="415" t="str">
        <f>IF(Language="English", 'Language Look Ups'!$O$5,IF(Language="Francais", 'Language Look Ups'!$S$5,  'Language Look Ups'!$Q$5))</f>
        <v>Méthodes à Long Terme et Permanentes</v>
      </c>
      <c r="CC25" s="401"/>
      <c r="CD25" s="1126"/>
      <c r="CE25" s="1127"/>
      <c r="CF25" s="1126"/>
      <c r="CG25" s="1127"/>
      <c r="CH25" s="1126"/>
      <c r="CI25" s="1127"/>
      <c r="CJ25" s="1126"/>
      <c r="CK25" s="1127"/>
      <c r="CL25" s="159"/>
      <c r="CM25" s="159"/>
      <c r="CN25" s="159"/>
      <c r="CO25" s="159"/>
      <c r="CP25" s="158"/>
      <c r="CQ25" s="159"/>
      <c r="CR25" s="158"/>
      <c r="CS25" s="159"/>
      <c r="CT25" s="158"/>
      <c r="CU25" s="159"/>
      <c r="CV25" s="158"/>
      <c r="CW25" s="159"/>
      <c r="CX25" s="158"/>
      <c r="CY25" s="159"/>
      <c r="CZ25" s="158"/>
      <c r="DA25" s="159"/>
      <c r="DB25" s="158"/>
      <c r="DC25" s="159"/>
      <c r="DD25" s="158"/>
      <c r="DE25" s="159"/>
      <c r="DF25" s="158"/>
      <c r="DG25" s="159"/>
      <c r="DH25" s="158"/>
      <c r="DI25" s="159"/>
      <c r="DJ25" s="158"/>
      <c r="DK25" s="159"/>
      <c r="DL25" s="158"/>
      <c r="DM25" s="159"/>
    </row>
    <row r="26" spans="2:117" s="1" customFormat="1" ht="18.75" customHeight="1" thickBot="1" x14ac:dyDescent="0.3">
      <c r="B26" s="415" t="str">
        <f>IF(Language="English", 'Language Look Ups'!$O$5,IF(Language="Francais", 'Language Look Ups'!$S$5,  'Language Look Ups'!$Q$5))</f>
        <v>Méthodes à Long Terme et Permanentes</v>
      </c>
      <c r="C26" s="401"/>
      <c r="D26" s="402"/>
      <c r="E26" s="403"/>
      <c r="F26" s="177"/>
      <c r="G26" s="1126"/>
      <c r="H26" s="1127"/>
      <c r="I26" s="1126"/>
      <c r="J26" s="1127"/>
      <c r="K26" s="1126"/>
      <c r="L26" s="1127"/>
      <c r="M26" s="1126"/>
      <c r="N26" s="1127"/>
      <c r="O26" s="159"/>
      <c r="P26" s="159"/>
      <c r="Q26" s="159"/>
      <c r="R26" s="159"/>
      <c r="S26" s="1175"/>
      <c r="T26" s="159"/>
      <c r="U26" s="158"/>
      <c r="V26" s="159"/>
      <c r="W26" s="158"/>
      <c r="X26" s="159"/>
      <c r="Y26" s="158"/>
      <c r="Z26" s="159"/>
      <c r="AA26" s="158"/>
      <c r="AB26" s="159"/>
      <c r="AC26" s="158"/>
      <c r="AD26" s="1176"/>
      <c r="AE26" s="1175"/>
      <c r="AF26" s="159"/>
      <c r="AG26" s="158"/>
      <c r="AH26" s="159"/>
      <c r="AI26" s="158"/>
      <c r="AJ26" s="159"/>
      <c r="AK26" s="158"/>
      <c r="AL26" s="159"/>
      <c r="AM26" s="158"/>
      <c r="AN26" s="159"/>
      <c r="AO26" s="158"/>
      <c r="AP26" s="1176"/>
      <c r="AQ26"/>
      <c r="AR26"/>
      <c r="AS26" s="158"/>
      <c r="AT26" s="159"/>
      <c r="AU26" s="159"/>
      <c r="AV26"/>
      <c r="AW26" s="158"/>
      <c r="AX26" s="159"/>
      <c r="AY26" s="159"/>
      <c r="AZ26"/>
      <c r="BA26"/>
      <c r="BB26"/>
      <c r="BC26"/>
      <c r="BD26"/>
      <c r="BE26"/>
      <c r="BF26"/>
      <c r="BG26"/>
      <c r="BH26"/>
      <c r="BI26"/>
      <c r="BJ26"/>
      <c r="BK26"/>
      <c r="BL26"/>
      <c r="BM26"/>
      <c r="BN26"/>
      <c r="BO26"/>
      <c r="BP26"/>
      <c r="BQ26"/>
      <c r="BR26"/>
      <c r="BU26" s="184"/>
      <c r="BV26"/>
      <c r="BW26"/>
      <c r="BX26"/>
      <c r="BY26"/>
      <c r="BZ26"/>
      <c r="CA26" s="181"/>
      <c r="CB26" s="460"/>
      <c r="CC26" s="104"/>
      <c r="CD26" s="158"/>
      <c r="CE26" s="159"/>
      <c r="CF26" s="158"/>
      <c r="CG26" s="159"/>
      <c r="CH26" s="158"/>
      <c r="CI26" s="159"/>
      <c r="CJ26" s="158"/>
      <c r="CK26" s="159"/>
      <c r="CL26" s="159"/>
      <c r="CM26" s="159"/>
      <c r="CN26" s="159"/>
      <c r="CO26" s="159"/>
      <c r="CP26" s="158"/>
      <c r="CQ26" s="159"/>
      <c r="CR26" s="158"/>
      <c r="CS26" s="159"/>
      <c r="CT26" s="158"/>
      <c r="CU26" s="159"/>
      <c r="CV26" s="158"/>
      <c r="CW26" s="159"/>
      <c r="CX26" s="158"/>
      <c r="CY26" s="159"/>
      <c r="CZ26" s="158"/>
      <c r="DA26" s="159"/>
      <c r="DB26" s="158"/>
      <c r="DC26" s="159"/>
      <c r="DD26" s="158"/>
      <c r="DE26" s="159"/>
      <c r="DF26" s="158"/>
      <c r="DG26" s="159"/>
      <c r="DH26" s="158"/>
      <c r="DI26" s="159"/>
      <c r="DJ26" s="158"/>
      <c r="DK26" s="159"/>
      <c r="DL26" s="158"/>
      <c r="DM26" s="159"/>
    </row>
    <row r="27" spans="2:117" ht="17.25" customHeight="1" x14ac:dyDescent="0.25">
      <c r="B27" s="1480" t="str">
        <f>IF(Language="English",'Language Look Ups'!$O$6,IF(Language="Francais",'Language Look Ups'!$S$6,'Language Look Ups'!$Q$6))</f>
        <v>Stérilisation</v>
      </c>
      <c r="C27" s="363" t="str">
        <f>IF(Language="English", 'Language Look Ups'!$P$6,IF(Language="Francais", 'Language Look Ups'!$T$6, 'Language Look Ups'!$R$6))</f>
        <v>Ligature des trompes</v>
      </c>
      <c r="D27" s="407" t="e">
        <f>IF($BQ$6=3, 'Visits Input'!D23, IF($BQ$6=4, 'Users Input'!D23, 'Commodities (Clients) Input'!D23))</f>
        <v>#N/A</v>
      </c>
      <c r="E27" s="408" t="e">
        <f>IF($BQ$6=3, 'Visits Input'!E23, IF($BQ$6=4, 'Users Input'!E23, 'Commodities (Clients) Input'!E23))</f>
        <v>#N/A</v>
      </c>
      <c r="F27" s="416" t="e">
        <f>IF($BQ$6=3, 'Visits Input'!F23, IF($BQ$6=4, 'Users Input'!F23, 'Commodities (Clients) Input'!F23))</f>
        <v>#N/A</v>
      </c>
      <c r="G27" s="409"/>
      <c r="H27" s="409"/>
      <c r="I27" s="409"/>
      <c r="J27" s="409"/>
      <c r="K27" s="409"/>
      <c r="L27" s="409"/>
      <c r="M27" s="409"/>
      <c r="N27" s="1177"/>
      <c r="O27" s="1177"/>
      <c r="P27" s="1177"/>
      <c r="Q27" s="1177"/>
      <c r="R27" s="1177"/>
      <c r="S27" s="1273"/>
      <c r="T27" s="1274"/>
      <c r="U27" s="1274"/>
      <c r="V27" s="1274"/>
      <c r="W27" s="1274"/>
      <c r="X27" s="1274"/>
      <c r="Y27" s="1274"/>
      <c r="Z27" s="1274"/>
      <c r="AA27" s="1274"/>
      <c r="AB27" s="1274"/>
      <c r="AC27" s="1274"/>
      <c r="AD27" s="1275"/>
      <c r="AE27" s="1273"/>
      <c r="AF27" s="1274"/>
      <c r="AG27" s="1274"/>
      <c r="AH27" s="1274"/>
      <c r="AI27" s="1274"/>
      <c r="AJ27" s="1274"/>
      <c r="AK27" s="1274"/>
      <c r="AL27" s="1274"/>
      <c r="AM27" s="1274"/>
      <c r="AN27" s="1274"/>
      <c r="AO27" s="1274"/>
      <c r="AP27" s="1275"/>
      <c r="AS27" s="1179">
        <f>IFERROR(AVERAGEIF($G$57:$AP$57, "&lt;&gt;1", $G27:$AP27), 0)</f>
        <v>0</v>
      </c>
      <c r="AT27" s="1180">
        <f>IFERROR(AVERAGEIF($G$57:$AP$57, 1, $G27:$AP27),0)</f>
        <v>0</v>
      </c>
      <c r="AU27" s="1180">
        <f>IFERROR(AVERAGE(G27:AP27), 0)</f>
        <v>0</v>
      </c>
      <c r="AW27" s="1179">
        <f t="shared" ref="AW27:AX27" si="10">SUMIF($G$23:$AP$23, AW$25, $G27:$AP27)</f>
        <v>0</v>
      </c>
      <c r="AX27" s="1179">
        <f t="shared" si="10"/>
        <v>0</v>
      </c>
      <c r="AY27" s="1179">
        <f>SUMIF($G$23:$AP$23, AY$25, $G27:$AP27)</f>
        <v>0</v>
      </c>
      <c r="BS27" s="416" t="s">
        <v>9</v>
      </c>
      <c r="BT27" s="184" t="s">
        <v>835</v>
      </c>
      <c r="CB27" s="1131" t="str">
        <f>IF(Language="English",'Language Look Ups'!$O$6,IF(Language="Francais",'Language Look Ups'!$S$6,'Language Look Ups'!$Q$6))</f>
        <v>Stérilisation</v>
      </c>
      <c r="CC27" s="363" t="str">
        <f>IF(Language="English", 'Language Look Ups'!$P$6,IF(Language="Francais", 'Language Look Ups'!$T$6, 'Language Look Ups'!$R$6))</f>
        <v>Ligature des trompes</v>
      </c>
      <c r="CD27" s="409" t="e">
        <f t="shared" ref="CD27:CM33" si="11">IF(G$14=0, NA(), G27*$E27)</f>
        <v>#N/A</v>
      </c>
      <c r="CE27" s="409" t="e">
        <f t="shared" si="11"/>
        <v>#N/A</v>
      </c>
      <c r="CF27" s="409" t="e">
        <f t="shared" si="11"/>
        <v>#N/A</v>
      </c>
      <c r="CG27" s="409" t="e">
        <f t="shared" si="11"/>
        <v>#N/A</v>
      </c>
      <c r="CH27" s="409" t="e">
        <f t="shared" si="11"/>
        <v>#N/A</v>
      </c>
      <c r="CI27" s="409" t="e">
        <f t="shared" si="11"/>
        <v>#N/A</v>
      </c>
      <c r="CJ27" s="409" t="e">
        <f t="shared" si="11"/>
        <v>#N/A</v>
      </c>
      <c r="CK27" s="1177" t="e">
        <f t="shared" si="11"/>
        <v>#N/A</v>
      </c>
      <c r="CL27" s="1177" t="e">
        <f t="shared" si="11"/>
        <v>#N/A</v>
      </c>
      <c r="CM27" s="1177" t="e">
        <f t="shared" si="11"/>
        <v>#N/A</v>
      </c>
      <c r="CN27" s="1177" t="e">
        <f t="shared" ref="CN27:CW33" si="12">IF(Q$14=0, NA(), Q27*$E27)</f>
        <v>#N/A</v>
      </c>
      <c r="CO27" s="1177" t="e">
        <f t="shared" si="12"/>
        <v>#N/A</v>
      </c>
      <c r="CP27" s="1178" t="e">
        <f t="shared" si="12"/>
        <v>#N/A</v>
      </c>
      <c r="CQ27" s="1179" t="e">
        <f t="shared" si="12"/>
        <v>#N/A</v>
      </c>
      <c r="CR27" s="1179" t="e">
        <f t="shared" si="12"/>
        <v>#N/A</v>
      </c>
      <c r="CS27" s="1179" t="e">
        <f t="shared" si="12"/>
        <v>#N/A</v>
      </c>
      <c r="CT27" s="1179" t="e">
        <f t="shared" si="12"/>
        <v>#N/A</v>
      </c>
      <c r="CU27" s="1179" t="e">
        <f t="shared" si="12"/>
        <v>#N/A</v>
      </c>
      <c r="CV27" s="1179" t="e">
        <f t="shared" si="12"/>
        <v>#N/A</v>
      </c>
      <c r="CW27" s="1179" t="e">
        <f t="shared" si="12"/>
        <v>#N/A</v>
      </c>
      <c r="CX27" s="1179" t="e">
        <f t="shared" ref="CX27:DG33" si="13">IF(AA$14=0, NA(), AA27*$E27)</f>
        <v>#N/A</v>
      </c>
      <c r="CY27" s="1179" t="e">
        <f t="shared" si="13"/>
        <v>#N/A</v>
      </c>
      <c r="CZ27" s="1179" t="e">
        <f t="shared" si="13"/>
        <v>#N/A</v>
      </c>
      <c r="DA27" s="1180" t="e">
        <f t="shared" si="13"/>
        <v>#N/A</v>
      </c>
      <c r="DB27" s="1178" t="e">
        <f t="shared" si="13"/>
        <v>#N/A</v>
      </c>
      <c r="DC27" s="1179" t="e">
        <f t="shared" si="13"/>
        <v>#N/A</v>
      </c>
      <c r="DD27" s="1179" t="e">
        <f t="shared" si="13"/>
        <v>#N/A</v>
      </c>
      <c r="DE27" s="1179" t="e">
        <f t="shared" si="13"/>
        <v>#N/A</v>
      </c>
      <c r="DF27" s="1179" t="e">
        <f t="shared" si="13"/>
        <v>#N/A</v>
      </c>
      <c r="DG27" s="1179" t="e">
        <f t="shared" si="13"/>
        <v>#N/A</v>
      </c>
      <c r="DH27" s="1179" t="e">
        <f t="shared" ref="DH27:DM33" si="14">IF(AK$14=0, NA(), AK27*$E27)</f>
        <v>#N/A</v>
      </c>
      <c r="DI27" s="1179" t="e">
        <f t="shared" si="14"/>
        <v>#N/A</v>
      </c>
      <c r="DJ27" s="1179" t="e">
        <f t="shared" si="14"/>
        <v>#N/A</v>
      </c>
      <c r="DK27" s="1179" t="e">
        <f t="shared" si="14"/>
        <v>#N/A</v>
      </c>
      <c r="DL27" s="1179" t="e">
        <f t="shared" si="14"/>
        <v>#N/A</v>
      </c>
      <c r="DM27" s="1180" t="e">
        <f t="shared" si="14"/>
        <v>#N/A</v>
      </c>
    </row>
    <row r="28" spans="2:117" ht="17.25" customHeight="1" x14ac:dyDescent="0.25">
      <c r="B28" s="1481"/>
      <c r="C28" s="275" t="str">
        <f>IF(Language="English",'Language Look Ups'!$P$7,IF(Language="Francais",'Language Look Ups'!$T$7,'Language Look Ups'!$R$7))</f>
        <v>Vasectomie</v>
      </c>
      <c r="D28" s="276" t="e">
        <f>IF($BQ$6=3, 'Visits Input'!D24, IF($BQ$6=4, 'Users Input'!D24, 'Commodities (Clients) Input'!D24))</f>
        <v>#N/A</v>
      </c>
      <c r="E28" s="99" t="e">
        <f>IF($BQ$6=3, 'Visits Input'!E24, IF($BQ$6=4, 'Users Input'!E24, 'Commodities (Clients) Input'!E24))</f>
        <v>#N/A</v>
      </c>
      <c r="F28" s="100" t="e">
        <f>IF($BQ$6=3, 'Visits Input'!F24, IF($BQ$6=4, 'Users Input'!F24, 'Commodities (Clients) Input'!F24))</f>
        <v>#N/A</v>
      </c>
      <c r="G28" s="284"/>
      <c r="H28" s="284"/>
      <c r="I28" s="284"/>
      <c r="J28" s="284"/>
      <c r="K28" s="284"/>
      <c r="L28" s="284"/>
      <c r="M28" s="284"/>
      <c r="N28" s="1181"/>
      <c r="O28" s="1181"/>
      <c r="P28" s="1181"/>
      <c r="Q28" s="1181"/>
      <c r="R28" s="1181"/>
      <c r="S28" s="1276"/>
      <c r="T28" s="284"/>
      <c r="U28" s="284"/>
      <c r="V28" s="284"/>
      <c r="W28" s="284"/>
      <c r="X28" s="284"/>
      <c r="Y28" s="284"/>
      <c r="Z28" s="284"/>
      <c r="AA28" s="284"/>
      <c r="AB28" s="284"/>
      <c r="AC28" s="284"/>
      <c r="AD28" s="1277"/>
      <c r="AE28" s="1276"/>
      <c r="AF28" s="284"/>
      <c r="AG28" s="284"/>
      <c r="AH28" s="284"/>
      <c r="AI28" s="284"/>
      <c r="AJ28" s="284"/>
      <c r="AK28" s="284"/>
      <c r="AL28" s="284"/>
      <c r="AM28" s="284"/>
      <c r="AN28" s="284"/>
      <c r="AO28" s="284"/>
      <c r="AP28" s="1277"/>
      <c r="AS28" s="1183">
        <f t="shared" ref="AS28:AS33" si="15">IFERROR(AVERAGEIF($G$57:$AP$57, "&lt;&gt;1", $G28:$AP28), 0)</f>
        <v>0</v>
      </c>
      <c r="AT28" s="1184">
        <f t="shared" ref="AT28:AT33" si="16">IFERROR(AVERAGEIF($G$57:$AP$57, 1, $G28:$AP28),0)</f>
        <v>0</v>
      </c>
      <c r="AU28" s="1184">
        <f t="shared" ref="AU28:AU33" si="17">IFERROR(AVERAGE(G28:AP28), 0)</f>
        <v>0</v>
      </c>
      <c r="AW28" s="1184">
        <f t="shared" ref="AW28:AY33" si="18">SUMIF($G$23:$AP$23, AW$25, $G28:$AP28)</f>
        <v>0</v>
      </c>
      <c r="AX28" s="1184">
        <f t="shared" si="18"/>
        <v>0</v>
      </c>
      <c r="AY28" s="1184">
        <f t="shared" si="18"/>
        <v>0</v>
      </c>
      <c r="BS28" s="100" t="s">
        <v>9</v>
      </c>
      <c r="BT28" s="184" t="s">
        <v>835</v>
      </c>
      <c r="CB28" s="1294"/>
      <c r="CC28" s="275" t="str">
        <f>IF(Language="English",'Language Look Ups'!$P$7,IF(Language="Francais",'Language Look Ups'!$T$7,'Language Look Ups'!$R$7))</f>
        <v>Vasectomie</v>
      </c>
      <c r="CD28" s="284" t="e">
        <f t="shared" si="11"/>
        <v>#N/A</v>
      </c>
      <c r="CE28" s="284" t="e">
        <f t="shared" si="11"/>
        <v>#N/A</v>
      </c>
      <c r="CF28" s="284" t="e">
        <f t="shared" si="11"/>
        <v>#N/A</v>
      </c>
      <c r="CG28" s="284" t="e">
        <f t="shared" si="11"/>
        <v>#N/A</v>
      </c>
      <c r="CH28" s="284" t="e">
        <f t="shared" si="11"/>
        <v>#N/A</v>
      </c>
      <c r="CI28" s="284" t="e">
        <f t="shared" si="11"/>
        <v>#N/A</v>
      </c>
      <c r="CJ28" s="284" t="e">
        <f t="shared" si="11"/>
        <v>#N/A</v>
      </c>
      <c r="CK28" s="1181" t="e">
        <f t="shared" si="11"/>
        <v>#N/A</v>
      </c>
      <c r="CL28" s="1181" t="e">
        <f t="shared" si="11"/>
        <v>#N/A</v>
      </c>
      <c r="CM28" s="1181" t="e">
        <f t="shared" si="11"/>
        <v>#N/A</v>
      </c>
      <c r="CN28" s="1181" t="e">
        <f t="shared" si="12"/>
        <v>#N/A</v>
      </c>
      <c r="CO28" s="1181" t="e">
        <f t="shared" si="12"/>
        <v>#N/A</v>
      </c>
      <c r="CP28" s="1182" t="e">
        <f t="shared" si="12"/>
        <v>#N/A</v>
      </c>
      <c r="CQ28" s="1183" t="e">
        <f t="shared" si="12"/>
        <v>#N/A</v>
      </c>
      <c r="CR28" s="1183" t="e">
        <f t="shared" si="12"/>
        <v>#N/A</v>
      </c>
      <c r="CS28" s="1183" t="e">
        <f t="shared" si="12"/>
        <v>#N/A</v>
      </c>
      <c r="CT28" s="1183" t="e">
        <f t="shared" si="12"/>
        <v>#N/A</v>
      </c>
      <c r="CU28" s="1183" t="e">
        <f t="shared" si="12"/>
        <v>#N/A</v>
      </c>
      <c r="CV28" s="1183" t="e">
        <f t="shared" si="12"/>
        <v>#N/A</v>
      </c>
      <c r="CW28" s="1183" t="e">
        <f t="shared" si="12"/>
        <v>#N/A</v>
      </c>
      <c r="CX28" s="1183" t="e">
        <f t="shared" si="13"/>
        <v>#N/A</v>
      </c>
      <c r="CY28" s="1183" t="e">
        <f t="shared" si="13"/>
        <v>#N/A</v>
      </c>
      <c r="CZ28" s="1183" t="e">
        <f t="shared" si="13"/>
        <v>#N/A</v>
      </c>
      <c r="DA28" s="1184" t="e">
        <f t="shared" si="13"/>
        <v>#N/A</v>
      </c>
      <c r="DB28" s="1182" t="e">
        <f t="shared" si="13"/>
        <v>#N/A</v>
      </c>
      <c r="DC28" s="1183" t="e">
        <f t="shared" si="13"/>
        <v>#N/A</v>
      </c>
      <c r="DD28" s="1183" t="e">
        <f t="shared" si="13"/>
        <v>#N/A</v>
      </c>
      <c r="DE28" s="1183" t="e">
        <f t="shared" si="13"/>
        <v>#N/A</v>
      </c>
      <c r="DF28" s="1183" t="e">
        <f t="shared" si="13"/>
        <v>#N/A</v>
      </c>
      <c r="DG28" s="1183" t="e">
        <f t="shared" si="13"/>
        <v>#N/A</v>
      </c>
      <c r="DH28" s="1183" t="e">
        <f t="shared" si="14"/>
        <v>#N/A</v>
      </c>
      <c r="DI28" s="1183" t="e">
        <f t="shared" si="14"/>
        <v>#N/A</v>
      </c>
      <c r="DJ28" s="1183" t="e">
        <f t="shared" si="14"/>
        <v>#N/A</v>
      </c>
      <c r="DK28" s="1183" t="e">
        <f t="shared" si="14"/>
        <v>#N/A</v>
      </c>
      <c r="DL28" s="1183" t="e">
        <f t="shared" si="14"/>
        <v>#N/A</v>
      </c>
      <c r="DM28" s="1184" t="e">
        <f t="shared" si="14"/>
        <v>#N/A</v>
      </c>
    </row>
    <row r="29" spans="2:117" ht="17.25" customHeight="1" x14ac:dyDescent="0.25">
      <c r="B29" s="1480" t="str">
        <f>IF(Language="English", 'Language Look Ups'!$O$8,IF(Language="Francais", 'Language Look Ups'!$S$8, 'Language Look Ups'!$Q$8))</f>
        <v>DIU</v>
      </c>
      <c r="C29" s="363" t="str">
        <f>IF(Language="English", 'Language Look Ups'!$P$8,IF(Language="Francais", 'Language Look Ups'!$T$8, 'Language Look Ups'!$R$8))</f>
        <v>Copper- T 380-A DIU</v>
      </c>
      <c r="D29" s="407" t="e">
        <f>IF($BQ$6=3, 'Visits Input'!D25, IF($BQ$6=4, 'Users Input'!D25, 'Commodities (Clients) Input'!D25))</f>
        <v>#N/A</v>
      </c>
      <c r="E29" s="408" t="e">
        <f>IF($BQ$6=3, 'Visits Input'!E25, IF($BQ$6=4, 'Users Input'!E25, 'Commodities (Clients) Input'!E25))</f>
        <v>#N/A</v>
      </c>
      <c r="F29" s="416" t="e">
        <f>IF($BQ$6=3, 'Visits Input'!F25, IF($BQ$6=4, 'Users Input'!F25, 'Commodities (Clients) Input'!F25))</f>
        <v>#N/A</v>
      </c>
      <c r="G29" s="409"/>
      <c r="H29" s="409"/>
      <c r="I29" s="409"/>
      <c r="J29" s="409"/>
      <c r="K29" s="409"/>
      <c r="L29" s="409"/>
      <c r="M29" s="409"/>
      <c r="N29" s="1177"/>
      <c r="O29" s="1177"/>
      <c r="P29" s="1177"/>
      <c r="Q29" s="1177"/>
      <c r="R29" s="1177"/>
      <c r="S29" s="1278"/>
      <c r="T29" s="409"/>
      <c r="U29" s="409"/>
      <c r="V29" s="409"/>
      <c r="W29" s="409"/>
      <c r="X29" s="409"/>
      <c r="Y29" s="409"/>
      <c r="Z29" s="409"/>
      <c r="AA29" s="409"/>
      <c r="AB29" s="409"/>
      <c r="AC29" s="409"/>
      <c r="AD29" s="1279"/>
      <c r="AE29" s="1278"/>
      <c r="AF29" s="409"/>
      <c r="AG29" s="409"/>
      <c r="AH29" s="409"/>
      <c r="AI29" s="409"/>
      <c r="AJ29" s="409"/>
      <c r="AK29" s="409"/>
      <c r="AL29" s="409"/>
      <c r="AM29" s="409"/>
      <c r="AN29" s="409"/>
      <c r="AO29" s="409"/>
      <c r="AP29" s="1279"/>
      <c r="AS29" s="1187">
        <f t="shared" si="15"/>
        <v>0</v>
      </c>
      <c r="AT29" s="1188">
        <f t="shared" si="16"/>
        <v>0</v>
      </c>
      <c r="AU29" s="1188">
        <f t="shared" si="17"/>
        <v>0</v>
      </c>
      <c r="AW29" s="1188">
        <f>SUMIF($G$23:$AP$23, AW$25, $G29:$AP29)</f>
        <v>0</v>
      </c>
      <c r="AX29" s="1188">
        <f t="shared" si="18"/>
        <v>0</v>
      </c>
      <c r="AY29" s="1188">
        <f t="shared" si="18"/>
        <v>0</v>
      </c>
      <c r="BS29" s="416" t="s">
        <v>9</v>
      </c>
      <c r="BT29" s="184" t="s">
        <v>835</v>
      </c>
      <c r="CB29" s="1131" t="str">
        <f>IF(Language="English", 'Language Look Ups'!$O$8,IF(Language="Francais", 'Language Look Ups'!$S$8, 'Language Look Ups'!$Q$8))</f>
        <v>DIU</v>
      </c>
      <c r="CC29" s="363" t="str">
        <f>IF(Language="English", 'Language Look Ups'!$P$8,IF(Language="Francais", 'Language Look Ups'!$T$8, 'Language Look Ups'!$R$8))</f>
        <v>Copper- T 380-A DIU</v>
      </c>
      <c r="CD29" s="409" t="e">
        <f t="shared" si="11"/>
        <v>#N/A</v>
      </c>
      <c r="CE29" s="409" t="e">
        <f t="shared" si="11"/>
        <v>#N/A</v>
      </c>
      <c r="CF29" s="409" t="e">
        <f t="shared" si="11"/>
        <v>#N/A</v>
      </c>
      <c r="CG29" s="409" t="e">
        <f t="shared" si="11"/>
        <v>#N/A</v>
      </c>
      <c r="CH29" s="409" t="e">
        <f t="shared" si="11"/>
        <v>#N/A</v>
      </c>
      <c r="CI29" s="409" t="e">
        <f t="shared" si="11"/>
        <v>#N/A</v>
      </c>
      <c r="CJ29" s="409" t="e">
        <f t="shared" si="11"/>
        <v>#N/A</v>
      </c>
      <c r="CK29" s="1177" t="e">
        <f t="shared" si="11"/>
        <v>#N/A</v>
      </c>
      <c r="CL29" s="1177" t="e">
        <f t="shared" si="11"/>
        <v>#N/A</v>
      </c>
      <c r="CM29" s="1177" t="e">
        <f t="shared" si="11"/>
        <v>#N/A</v>
      </c>
      <c r="CN29" s="1177" t="e">
        <f t="shared" si="12"/>
        <v>#N/A</v>
      </c>
      <c r="CO29" s="1177" t="e">
        <f t="shared" si="12"/>
        <v>#N/A</v>
      </c>
      <c r="CP29" s="1186" t="e">
        <f t="shared" si="12"/>
        <v>#N/A</v>
      </c>
      <c r="CQ29" s="1187" t="e">
        <f t="shared" si="12"/>
        <v>#N/A</v>
      </c>
      <c r="CR29" s="1187" t="e">
        <f t="shared" si="12"/>
        <v>#N/A</v>
      </c>
      <c r="CS29" s="1187" t="e">
        <f t="shared" si="12"/>
        <v>#N/A</v>
      </c>
      <c r="CT29" s="1187" t="e">
        <f t="shared" si="12"/>
        <v>#N/A</v>
      </c>
      <c r="CU29" s="1187" t="e">
        <f t="shared" si="12"/>
        <v>#N/A</v>
      </c>
      <c r="CV29" s="1187" t="e">
        <f t="shared" si="12"/>
        <v>#N/A</v>
      </c>
      <c r="CW29" s="1187" t="e">
        <f t="shared" si="12"/>
        <v>#N/A</v>
      </c>
      <c r="CX29" s="1187" t="e">
        <f t="shared" si="13"/>
        <v>#N/A</v>
      </c>
      <c r="CY29" s="1187" t="e">
        <f t="shared" si="13"/>
        <v>#N/A</v>
      </c>
      <c r="CZ29" s="1187" t="e">
        <f t="shared" si="13"/>
        <v>#N/A</v>
      </c>
      <c r="DA29" s="1188" t="e">
        <f t="shared" si="13"/>
        <v>#N/A</v>
      </c>
      <c r="DB29" s="1186" t="e">
        <f t="shared" si="13"/>
        <v>#N/A</v>
      </c>
      <c r="DC29" s="1187" t="e">
        <f t="shared" si="13"/>
        <v>#N/A</v>
      </c>
      <c r="DD29" s="1187" t="e">
        <f t="shared" si="13"/>
        <v>#N/A</v>
      </c>
      <c r="DE29" s="1187" t="e">
        <f t="shared" si="13"/>
        <v>#N/A</v>
      </c>
      <c r="DF29" s="1187" t="e">
        <f t="shared" si="13"/>
        <v>#N/A</v>
      </c>
      <c r="DG29" s="1187" t="e">
        <f t="shared" si="13"/>
        <v>#N/A</v>
      </c>
      <c r="DH29" s="1187" t="e">
        <f t="shared" si="14"/>
        <v>#N/A</v>
      </c>
      <c r="DI29" s="1187" t="e">
        <f t="shared" si="14"/>
        <v>#N/A</v>
      </c>
      <c r="DJ29" s="1187" t="e">
        <f t="shared" si="14"/>
        <v>#N/A</v>
      </c>
      <c r="DK29" s="1187" t="e">
        <f t="shared" si="14"/>
        <v>#N/A</v>
      </c>
      <c r="DL29" s="1187" t="e">
        <f t="shared" si="14"/>
        <v>#N/A</v>
      </c>
      <c r="DM29" s="1188" t="e">
        <f t="shared" si="14"/>
        <v>#N/A</v>
      </c>
    </row>
    <row r="30" spans="2:117" ht="17.25" customHeight="1" x14ac:dyDescent="0.25">
      <c r="B30" s="1481"/>
      <c r="C30" s="275" t="str">
        <f>IF(Language="English", 'Language Look Ups'!$P$9,IF(Language="Francais", 'Language Look Ups'!$T$9, 'Language Look Ups'!$R$9))</f>
        <v>DIU Hormonal (LNG-IUS)</v>
      </c>
      <c r="D30" s="276" t="e">
        <f>IF($BQ$6=3, 'Visits Input'!D26, IF($BQ$6=4, 'Users Input'!D26, 'Commodities (Clients) Input'!D26))</f>
        <v>#N/A</v>
      </c>
      <c r="E30" s="99" t="e">
        <f>IF($BQ$6=3, 'Visits Input'!E26, IF($BQ$6=4, 'Users Input'!E26, 'Commodities (Clients) Input'!E26))</f>
        <v>#N/A</v>
      </c>
      <c r="F30" s="100" t="e">
        <f>IF($BQ$6=3, 'Visits Input'!F26, IF($BQ$6=4, 'Users Input'!F26, 'Commodities (Clients) Input'!F26))</f>
        <v>#N/A</v>
      </c>
      <c r="G30" s="284"/>
      <c r="H30" s="284"/>
      <c r="I30" s="284"/>
      <c r="J30" s="284"/>
      <c r="K30" s="284"/>
      <c r="L30" s="284"/>
      <c r="M30" s="284"/>
      <c r="N30" s="1181"/>
      <c r="O30" s="1181"/>
      <c r="P30" s="1181"/>
      <c r="Q30" s="1181"/>
      <c r="R30" s="1181"/>
      <c r="S30" s="1276"/>
      <c r="T30" s="284"/>
      <c r="U30" s="284"/>
      <c r="V30" s="284"/>
      <c r="W30" s="284"/>
      <c r="X30" s="284"/>
      <c r="Y30" s="284"/>
      <c r="Z30" s="284"/>
      <c r="AA30" s="284"/>
      <c r="AB30" s="284"/>
      <c r="AC30" s="284"/>
      <c r="AD30" s="1277"/>
      <c r="AE30" s="1276"/>
      <c r="AF30" s="284"/>
      <c r="AG30" s="284"/>
      <c r="AH30" s="284"/>
      <c r="AI30" s="284"/>
      <c r="AJ30" s="284"/>
      <c r="AK30" s="284"/>
      <c r="AL30" s="284"/>
      <c r="AM30" s="284"/>
      <c r="AN30" s="284"/>
      <c r="AO30" s="284"/>
      <c r="AP30" s="1277"/>
      <c r="AS30" s="1183">
        <f t="shared" si="15"/>
        <v>0</v>
      </c>
      <c r="AT30" s="1184">
        <f t="shared" si="16"/>
        <v>0</v>
      </c>
      <c r="AU30" s="1184">
        <f t="shared" si="17"/>
        <v>0</v>
      </c>
      <c r="AW30" s="1184">
        <f t="shared" si="18"/>
        <v>0</v>
      </c>
      <c r="AX30" s="1184">
        <f t="shared" si="18"/>
        <v>0</v>
      </c>
      <c r="AY30" s="1184">
        <f t="shared" si="18"/>
        <v>0</v>
      </c>
      <c r="BS30" s="100" t="s">
        <v>9</v>
      </c>
      <c r="BT30" s="184" t="s">
        <v>835</v>
      </c>
      <c r="CB30" s="1294"/>
      <c r="CC30" s="275" t="str">
        <f>IF(Language="English", 'Language Look Ups'!$P$9,IF(Language="Francais", 'Language Look Ups'!$T$9, 'Language Look Ups'!$R$9))</f>
        <v>DIU Hormonal (LNG-IUS)</v>
      </c>
      <c r="CD30" s="284" t="e">
        <f t="shared" si="11"/>
        <v>#N/A</v>
      </c>
      <c r="CE30" s="284" t="e">
        <f t="shared" si="11"/>
        <v>#N/A</v>
      </c>
      <c r="CF30" s="284" t="e">
        <f t="shared" si="11"/>
        <v>#N/A</v>
      </c>
      <c r="CG30" s="284" t="e">
        <f t="shared" si="11"/>
        <v>#N/A</v>
      </c>
      <c r="CH30" s="284" t="e">
        <f t="shared" si="11"/>
        <v>#N/A</v>
      </c>
      <c r="CI30" s="284" t="e">
        <f t="shared" si="11"/>
        <v>#N/A</v>
      </c>
      <c r="CJ30" s="284" t="e">
        <f t="shared" si="11"/>
        <v>#N/A</v>
      </c>
      <c r="CK30" s="1181" t="e">
        <f t="shared" si="11"/>
        <v>#N/A</v>
      </c>
      <c r="CL30" s="1181" t="e">
        <f t="shared" si="11"/>
        <v>#N/A</v>
      </c>
      <c r="CM30" s="1181" t="e">
        <f t="shared" si="11"/>
        <v>#N/A</v>
      </c>
      <c r="CN30" s="1181" t="e">
        <f t="shared" si="12"/>
        <v>#N/A</v>
      </c>
      <c r="CO30" s="1181" t="e">
        <f t="shared" si="12"/>
        <v>#N/A</v>
      </c>
      <c r="CP30" s="1182" t="e">
        <f t="shared" si="12"/>
        <v>#N/A</v>
      </c>
      <c r="CQ30" s="1183" t="e">
        <f t="shared" si="12"/>
        <v>#N/A</v>
      </c>
      <c r="CR30" s="1183" t="e">
        <f t="shared" si="12"/>
        <v>#N/A</v>
      </c>
      <c r="CS30" s="1183" t="e">
        <f t="shared" si="12"/>
        <v>#N/A</v>
      </c>
      <c r="CT30" s="1183" t="e">
        <f t="shared" si="12"/>
        <v>#N/A</v>
      </c>
      <c r="CU30" s="1183" t="e">
        <f t="shared" si="12"/>
        <v>#N/A</v>
      </c>
      <c r="CV30" s="1183" t="e">
        <f t="shared" si="12"/>
        <v>#N/A</v>
      </c>
      <c r="CW30" s="1183" t="e">
        <f t="shared" si="12"/>
        <v>#N/A</v>
      </c>
      <c r="CX30" s="1183" t="e">
        <f t="shared" si="13"/>
        <v>#N/A</v>
      </c>
      <c r="CY30" s="1183" t="e">
        <f t="shared" si="13"/>
        <v>#N/A</v>
      </c>
      <c r="CZ30" s="1183" t="e">
        <f t="shared" si="13"/>
        <v>#N/A</v>
      </c>
      <c r="DA30" s="1184" t="e">
        <f t="shared" si="13"/>
        <v>#N/A</v>
      </c>
      <c r="DB30" s="1182" t="e">
        <f t="shared" si="13"/>
        <v>#N/A</v>
      </c>
      <c r="DC30" s="1183" t="e">
        <f t="shared" si="13"/>
        <v>#N/A</v>
      </c>
      <c r="DD30" s="1183" t="e">
        <f t="shared" si="13"/>
        <v>#N/A</v>
      </c>
      <c r="DE30" s="1183" t="e">
        <f t="shared" si="13"/>
        <v>#N/A</v>
      </c>
      <c r="DF30" s="1183" t="e">
        <f t="shared" si="13"/>
        <v>#N/A</v>
      </c>
      <c r="DG30" s="1183" t="e">
        <f t="shared" si="13"/>
        <v>#N/A</v>
      </c>
      <c r="DH30" s="1183" t="e">
        <f t="shared" si="14"/>
        <v>#N/A</v>
      </c>
      <c r="DI30" s="1183" t="e">
        <f t="shared" si="14"/>
        <v>#N/A</v>
      </c>
      <c r="DJ30" s="1183" t="e">
        <f t="shared" si="14"/>
        <v>#N/A</v>
      </c>
      <c r="DK30" s="1183" t="e">
        <f t="shared" si="14"/>
        <v>#N/A</v>
      </c>
      <c r="DL30" s="1183" t="e">
        <f t="shared" si="14"/>
        <v>#N/A</v>
      </c>
      <c r="DM30" s="1184" t="e">
        <f t="shared" si="14"/>
        <v>#N/A</v>
      </c>
    </row>
    <row r="31" spans="2:117" ht="17.25" customHeight="1" x14ac:dyDescent="0.25">
      <c r="B31" s="1480" t="str">
        <f>IF(Language="English", 'Language Look Ups'!$O$10,IF(Language="Francais", 'Language Look Ups'!$S$10, 'Language Look Ups'!$Q$10))</f>
        <v>Implant</v>
      </c>
      <c r="C31" s="363" t="str">
        <f>IF(Language="English", 'Language Look Ups'!$P$10,IF(Language="Francais", 'Language Look Ups'!$T$10, 'Language Look Ups'!$R$10))</f>
        <v>Implant de 3 ans (Implanon, Levoplant)</v>
      </c>
      <c r="D31" s="407" t="e">
        <f>IF($BQ$6=3, 'Visits Input'!D27, IF($BQ$6=4, 'Users Input'!D27, 'Commodities (Clients) Input'!D27))</f>
        <v>#N/A</v>
      </c>
      <c r="E31" s="408" t="e">
        <f>IF($BQ$6=3, 'Visits Input'!E27, IF($BQ$6=4, 'Users Input'!E27, 'Commodities (Clients) Input'!E27))</f>
        <v>#N/A</v>
      </c>
      <c r="F31" s="416" t="e">
        <f>IF($BQ$6=3, 'Visits Input'!F27, IF($BQ$6=4, 'Users Input'!F27, 'Commodities (Clients) Input'!F27))</f>
        <v>#N/A</v>
      </c>
      <c r="G31" s="409"/>
      <c r="H31" s="409"/>
      <c r="I31" s="409"/>
      <c r="J31" s="409"/>
      <c r="K31" s="409"/>
      <c r="L31" s="409"/>
      <c r="M31" s="409"/>
      <c r="N31" s="1177"/>
      <c r="O31" s="1177"/>
      <c r="P31" s="1177"/>
      <c r="Q31" s="1177"/>
      <c r="R31" s="1177"/>
      <c r="S31" s="1278"/>
      <c r="T31" s="409"/>
      <c r="U31" s="409"/>
      <c r="V31" s="409"/>
      <c r="W31" s="409"/>
      <c r="X31" s="409"/>
      <c r="Y31" s="409"/>
      <c r="Z31" s="409"/>
      <c r="AA31" s="409"/>
      <c r="AB31" s="409"/>
      <c r="AC31" s="409"/>
      <c r="AD31" s="1279"/>
      <c r="AE31" s="1278"/>
      <c r="AF31" s="409"/>
      <c r="AG31" s="409"/>
      <c r="AH31" s="409"/>
      <c r="AI31" s="409"/>
      <c r="AJ31" s="409"/>
      <c r="AK31" s="409"/>
      <c r="AL31" s="409"/>
      <c r="AM31" s="409"/>
      <c r="AN31" s="409"/>
      <c r="AO31" s="409"/>
      <c r="AP31" s="1279"/>
      <c r="AS31" s="1187">
        <f t="shared" si="15"/>
        <v>0</v>
      </c>
      <c r="AT31" s="1188">
        <f t="shared" si="16"/>
        <v>0</v>
      </c>
      <c r="AU31" s="1188">
        <f t="shared" si="17"/>
        <v>0</v>
      </c>
      <c r="AW31" s="1188">
        <f t="shared" si="18"/>
        <v>0</v>
      </c>
      <c r="AX31" s="1188">
        <f t="shared" si="18"/>
        <v>0</v>
      </c>
      <c r="AY31" s="1188">
        <f t="shared" si="18"/>
        <v>0</v>
      </c>
      <c r="BS31" s="416" t="s">
        <v>9</v>
      </c>
      <c r="BT31" s="184" t="s">
        <v>835</v>
      </c>
      <c r="CB31" s="1131" t="str">
        <f>IF(Language="English", 'Language Look Ups'!$O$10,IF(Language="Francais", 'Language Look Ups'!$S$10, 'Language Look Ups'!$Q$10))</f>
        <v>Implant</v>
      </c>
      <c r="CC31" s="363" t="str">
        <f>IF(Language="English", 'Language Look Ups'!$P$10,IF(Language="Francais", 'Language Look Ups'!$T$10, 'Language Look Ups'!$R$10))</f>
        <v>Implant de 3 ans (Implanon, Levoplant)</v>
      </c>
      <c r="CD31" s="409" t="e">
        <f t="shared" si="11"/>
        <v>#N/A</v>
      </c>
      <c r="CE31" s="409" t="e">
        <f t="shared" si="11"/>
        <v>#N/A</v>
      </c>
      <c r="CF31" s="409" t="e">
        <f t="shared" si="11"/>
        <v>#N/A</v>
      </c>
      <c r="CG31" s="409" t="e">
        <f t="shared" si="11"/>
        <v>#N/A</v>
      </c>
      <c r="CH31" s="409" t="e">
        <f t="shared" si="11"/>
        <v>#N/A</v>
      </c>
      <c r="CI31" s="409" t="e">
        <f t="shared" si="11"/>
        <v>#N/A</v>
      </c>
      <c r="CJ31" s="409" t="e">
        <f t="shared" si="11"/>
        <v>#N/A</v>
      </c>
      <c r="CK31" s="1177" t="e">
        <f t="shared" si="11"/>
        <v>#N/A</v>
      </c>
      <c r="CL31" s="1177" t="e">
        <f t="shared" si="11"/>
        <v>#N/A</v>
      </c>
      <c r="CM31" s="1177" t="e">
        <f t="shared" si="11"/>
        <v>#N/A</v>
      </c>
      <c r="CN31" s="1177" t="e">
        <f t="shared" si="12"/>
        <v>#N/A</v>
      </c>
      <c r="CO31" s="1177" t="e">
        <f t="shared" si="12"/>
        <v>#N/A</v>
      </c>
      <c r="CP31" s="1186" t="e">
        <f t="shared" si="12"/>
        <v>#N/A</v>
      </c>
      <c r="CQ31" s="1187" t="e">
        <f t="shared" si="12"/>
        <v>#N/A</v>
      </c>
      <c r="CR31" s="1187" t="e">
        <f t="shared" si="12"/>
        <v>#N/A</v>
      </c>
      <c r="CS31" s="1187" t="e">
        <f t="shared" si="12"/>
        <v>#N/A</v>
      </c>
      <c r="CT31" s="1187" t="e">
        <f t="shared" si="12"/>
        <v>#N/A</v>
      </c>
      <c r="CU31" s="1187" t="e">
        <f t="shared" si="12"/>
        <v>#N/A</v>
      </c>
      <c r="CV31" s="1187" t="e">
        <f t="shared" si="12"/>
        <v>#N/A</v>
      </c>
      <c r="CW31" s="1187" t="e">
        <f t="shared" si="12"/>
        <v>#N/A</v>
      </c>
      <c r="CX31" s="1187" t="e">
        <f t="shared" si="13"/>
        <v>#N/A</v>
      </c>
      <c r="CY31" s="1187" t="e">
        <f t="shared" si="13"/>
        <v>#N/A</v>
      </c>
      <c r="CZ31" s="1187" t="e">
        <f t="shared" si="13"/>
        <v>#N/A</v>
      </c>
      <c r="DA31" s="1188" t="e">
        <f t="shared" si="13"/>
        <v>#N/A</v>
      </c>
      <c r="DB31" s="1186" t="e">
        <f t="shared" si="13"/>
        <v>#N/A</v>
      </c>
      <c r="DC31" s="1187" t="e">
        <f t="shared" si="13"/>
        <v>#N/A</v>
      </c>
      <c r="DD31" s="1187" t="e">
        <f t="shared" si="13"/>
        <v>#N/A</v>
      </c>
      <c r="DE31" s="1187" t="e">
        <f t="shared" si="13"/>
        <v>#N/A</v>
      </c>
      <c r="DF31" s="1187" t="e">
        <f t="shared" si="13"/>
        <v>#N/A</v>
      </c>
      <c r="DG31" s="1187" t="e">
        <f t="shared" si="13"/>
        <v>#N/A</v>
      </c>
      <c r="DH31" s="1187" t="e">
        <f t="shared" si="14"/>
        <v>#N/A</v>
      </c>
      <c r="DI31" s="1187" t="e">
        <f t="shared" si="14"/>
        <v>#N/A</v>
      </c>
      <c r="DJ31" s="1187" t="e">
        <f t="shared" si="14"/>
        <v>#N/A</v>
      </c>
      <c r="DK31" s="1187" t="e">
        <f t="shared" si="14"/>
        <v>#N/A</v>
      </c>
      <c r="DL31" s="1187" t="e">
        <f t="shared" si="14"/>
        <v>#N/A</v>
      </c>
      <c r="DM31" s="1188" t="e">
        <f t="shared" si="14"/>
        <v>#N/A</v>
      </c>
    </row>
    <row r="32" spans="2:117" ht="17.25" customHeight="1" x14ac:dyDescent="0.25">
      <c r="B32" s="1482"/>
      <c r="C32" s="277" t="str">
        <f>IF(Language="English", 'Language Look Ups'!$P$11,IF(Language="Francais", 'Language Look Ups'!$T$11, 'Language Look Ups'!$R$11))</f>
        <v>Implant de 4 ans (Sino-Implant)</v>
      </c>
      <c r="D32" s="278" t="e">
        <f>IF($BQ$6=3, 'Visits Input'!D28, IF($BQ$6=4, 'Users Input'!D28, 'Commodities (Clients) Input'!D28))</f>
        <v>#N/A</v>
      </c>
      <c r="E32" s="101" t="e">
        <f>IF($BQ$6=3, 'Visits Input'!E28, IF($BQ$6=4, 'Users Input'!E28, 'Commodities (Clients) Input'!E28))</f>
        <v>#N/A</v>
      </c>
      <c r="F32" s="102" t="e">
        <f>IF($BQ$6=3, 'Visits Input'!F28, IF($BQ$6=4, 'Users Input'!F28, 'Commodities (Clients) Input'!F28))</f>
        <v>#N/A</v>
      </c>
      <c r="G32" s="282"/>
      <c r="H32" s="282"/>
      <c r="I32" s="282"/>
      <c r="J32" s="282"/>
      <c r="K32" s="282"/>
      <c r="L32" s="282"/>
      <c r="M32" s="282"/>
      <c r="N32" s="1190"/>
      <c r="O32" s="1190"/>
      <c r="P32" s="1190"/>
      <c r="Q32" s="1190"/>
      <c r="R32" s="1190"/>
      <c r="S32" s="1280"/>
      <c r="T32" s="282"/>
      <c r="U32" s="282"/>
      <c r="V32" s="282"/>
      <c r="W32" s="282"/>
      <c r="X32" s="282"/>
      <c r="Y32" s="282"/>
      <c r="Z32" s="282"/>
      <c r="AA32" s="282"/>
      <c r="AB32" s="282"/>
      <c r="AC32" s="282"/>
      <c r="AD32" s="1281"/>
      <c r="AE32" s="1280"/>
      <c r="AF32" s="282"/>
      <c r="AG32" s="282"/>
      <c r="AH32" s="282"/>
      <c r="AI32" s="282"/>
      <c r="AJ32" s="282"/>
      <c r="AK32" s="282"/>
      <c r="AL32" s="282"/>
      <c r="AM32" s="282"/>
      <c r="AN32" s="282"/>
      <c r="AO32" s="282"/>
      <c r="AP32" s="1281"/>
      <c r="AS32" s="1192">
        <f t="shared" si="15"/>
        <v>0</v>
      </c>
      <c r="AT32" s="1193">
        <f t="shared" si="16"/>
        <v>0</v>
      </c>
      <c r="AU32" s="1193">
        <f t="shared" si="17"/>
        <v>0</v>
      </c>
      <c r="AW32" s="1193">
        <f t="shared" si="18"/>
        <v>0</v>
      </c>
      <c r="AX32" s="1193">
        <f t="shared" si="18"/>
        <v>0</v>
      </c>
      <c r="AY32" s="1193">
        <f t="shared" si="18"/>
        <v>0</v>
      </c>
      <c r="BS32" s="102" t="s">
        <v>9</v>
      </c>
      <c r="BT32" s="184" t="s">
        <v>835</v>
      </c>
      <c r="CB32" s="1295"/>
      <c r="CC32" s="277" t="str">
        <f>IF(Language="English", 'Language Look Ups'!$P$11,IF(Language="Francais", 'Language Look Ups'!$T$11, 'Language Look Ups'!$R$11))</f>
        <v>Implant de 4 ans (Sino-Implant)</v>
      </c>
      <c r="CD32" s="282" t="e">
        <f t="shared" si="11"/>
        <v>#N/A</v>
      </c>
      <c r="CE32" s="282" t="e">
        <f t="shared" si="11"/>
        <v>#N/A</v>
      </c>
      <c r="CF32" s="282" t="e">
        <f t="shared" si="11"/>
        <v>#N/A</v>
      </c>
      <c r="CG32" s="282" t="e">
        <f t="shared" si="11"/>
        <v>#N/A</v>
      </c>
      <c r="CH32" s="282" t="e">
        <f t="shared" si="11"/>
        <v>#N/A</v>
      </c>
      <c r="CI32" s="282" t="e">
        <f t="shared" si="11"/>
        <v>#N/A</v>
      </c>
      <c r="CJ32" s="282" t="e">
        <f t="shared" si="11"/>
        <v>#N/A</v>
      </c>
      <c r="CK32" s="1190" t="e">
        <f t="shared" si="11"/>
        <v>#N/A</v>
      </c>
      <c r="CL32" s="1190" t="e">
        <f t="shared" si="11"/>
        <v>#N/A</v>
      </c>
      <c r="CM32" s="1190" t="e">
        <f t="shared" si="11"/>
        <v>#N/A</v>
      </c>
      <c r="CN32" s="1190" t="e">
        <f t="shared" si="12"/>
        <v>#N/A</v>
      </c>
      <c r="CO32" s="1190" t="e">
        <f t="shared" si="12"/>
        <v>#N/A</v>
      </c>
      <c r="CP32" s="1191" t="e">
        <f t="shared" si="12"/>
        <v>#N/A</v>
      </c>
      <c r="CQ32" s="1192" t="e">
        <f t="shared" si="12"/>
        <v>#N/A</v>
      </c>
      <c r="CR32" s="1192" t="e">
        <f t="shared" si="12"/>
        <v>#N/A</v>
      </c>
      <c r="CS32" s="1192" t="e">
        <f t="shared" si="12"/>
        <v>#N/A</v>
      </c>
      <c r="CT32" s="1192" t="e">
        <f t="shared" si="12"/>
        <v>#N/A</v>
      </c>
      <c r="CU32" s="1192" t="e">
        <f t="shared" si="12"/>
        <v>#N/A</v>
      </c>
      <c r="CV32" s="1192" t="e">
        <f t="shared" si="12"/>
        <v>#N/A</v>
      </c>
      <c r="CW32" s="1192" t="e">
        <f t="shared" si="12"/>
        <v>#N/A</v>
      </c>
      <c r="CX32" s="1192" t="e">
        <f t="shared" si="13"/>
        <v>#N/A</v>
      </c>
      <c r="CY32" s="1192" t="e">
        <f t="shared" si="13"/>
        <v>#N/A</v>
      </c>
      <c r="CZ32" s="1192" t="e">
        <f t="shared" si="13"/>
        <v>#N/A</v>
      </c>
      <c r="DA32" s="1193" t="e">
        <f t="shared" si="13"/>
        <v>#N/A</v>
      </c>
      <c r="DB32" s="1191" t="e">
        <f t="shared" si="13"/>
        <v>#N/A</v>
      </c>
      <c r="DC32" s="1192" t="e">
        <f t="shared" si="13"/>
        <v>#N/A</v>
      </c>
      <c r="DD32" s="1192" t="e">
        <f t="shared" si="13"/>
        <v>#N/A</v>
      </c>
      <c r="DE32" s="1192" t="e">
        <f t="shared" si="13"/>
        <v>#N/A</v>
      </c>
      <c r="DF32" s="1192" t="e">
        <f t="shared" si="13"/>
        <v>#N/A</v>
      </c>
      <c r="DG32" s="1192" t="e">
        <f t="shared" si="13"/>
        <v>#N/A</v>
      </c>
      <c r="DH32" s="1192" t="e">
        <f t="shared" si="14"/>
        <v>#N/A</v>
      </c>
      <c r="DI32" s="1192" t="e">
        <f t="shared" si="14"/>
        <v>#N/A</v>
      </c>
      <c r="DJ32" s="1192" t="e">
        <f t="shared" si="14"/>
        <v>#N/A</v>
      </c>
      <c r="DK32" s="1192" t="e">
        <f t="shared" si="14"/>
        <v>#N/A</v>
      </c>
      <c r="DL32" s="1192" t="e">
        <f t="shared" si="14"/>
        <v>#N/A</v>
      </c>
      <c r="DM32" s="1193" t="e">
        <f t="shared" si="14"/>
        <v>#N/A</v>
      </c>
    </row>
    <row r="33" spans="2:117" ht="17.25" customHeight="1" thickBot="1" x14ac:dyDescent="0.3">
      <c r="B33" s="1481"/>
      <c r="C33" s="275" t="str">
        <f>IF(Language="English", 'Language Look Ups'!$P$12,IF(Language="Francais", 'Language Look Ups'!$T$12, 'Language Look Ups'!$R$12))</f>
        <v>Implant de 5 ans (Jadelle)</v>
      </c>
      <c r="D33" s="276" t="e">
        <f>IF($BQ$6=3, 'Visits Input'!D29, IF($BQ$6=4, 'Users Input'!D29, 'Commodities (Clients) Input'!D29))</f>
        <v>#N/A</v>
      </c>
      <c r="E33" s="99" t="e">
        <f>IF($BQ$6=3, 'Visits Input'!E29, IF($BQ$6=4, 'Users Input'!E29, 'Commodities (Clients) Input'!E29))</f>
        <v>#N/A</v>
      </c>
      <c r="F33" s="100" t="e">
        <f>IF($BQ$6=3, 'Visits Input'!F29, IF($BQ$6=4, 'Users Input'!F29, 'Commodities (Clients) Input'!F29))</f>
        <v>#N/A</v>
      </c>
      <c r="G33" s="284"/>
      <c r="H33" s="284"/>
      <c r="I33" s="284"/>
      <c r="J33" s="284"/>
      <c r="K33" s="284"/>
      <c r="L33" s="284"/>
      <c r="M33" s="284"/>
      <c r="N33" s="1181"/>
      <c r="O33" s="1181"/>
      <c r="P33" s="1181"/>
      <c r="Q33" s="1181"/>
      <c r="R33" s="1181"/>
      <c r="S33" s="1282"/>
      <c r="T33" s="1283"/>
      <c r="U33" s="1283"/>
      <c r="V33" s="1283"/>
      <c r="W33" s="1283"/>
      <c r="X33" s="1283"/>
      <c r="Y33" s="1283"/>
      <c r="Z33" s="1283"/>
      <c r="AA33" s="1283"/>
      <c r="AB33" s="1283"/>
      <c r="AC33" s="1283"/>
      <c r="AD33" s="1284"/>
      <c r="AE33" s="1282"/>
      <c r="AF33" s="1283"/>
      <c r="AG33" s="1283"/>
      <c r="AH33" s="1283"/>
      <c r="AI33" s="1283"/>
      <c r="AJ33" s="1283"/>
      <c r="AK33" s="1283"/>
      <c r="AL33" s="1283"/>
      <c r="AM33" s="1283"/>
      <c r="AN33" s="1283"/>
      <c r="AO33" s="1283"/>
      <c r="AP33" s="1284"/>
      <c r="AS33" s="1196">
        <f t="shared" si="15"/>
        <v>0</v>
      </c>
      <c r="AT33" s="1197">
        <f t="shared" si="16"/>
        <v>0</v>
      </c>
      <c r="AU33" s="1197">
        <f t="shared" si="17"/>
        <v>0</v>
      </c>
      <c r="AW33" s="1197">
        <f t="shared" si="18"/>
        <v>0</v>
      </c>
      <c r="AX33" s="1197">
        <f t="shared" si="18"/>
        <v>0</v>
      </c>
      <c r="AY33" s="1197">
        <f t="shared" si="18"/>
        <v>0</v>
      </c>
      <c r="BS33" s="100" t="s">
        <v>9</v>
      </c>
      <c r="BT33" s="184" t="s">
        <v>835</v>
      </c>
      <c r="CB33" s="1294"/>
      <c r="CC33" s="275" t="str">
        <f>IF(Language="English", 'Language Look Ups'!$P$12,IF(Language="Francais", 'Language Look Ups'!$T$12, 'Language Look Ups'!$R$12))</f>
        <v>Implant de 5 ans (Jadelle)</v>
      </c>
      <c r="CD33" s="284" t="e">
        <f t="shared" si="11"/>
        <v>#N/A</v>
      </c>
      <c r="CE33" s="284" t="e">
        <f t="shared" si="11"/>
        <v>#N/A</v>
      </c>
      <c r="CF33" s="284" t="e">
        <f t="shared" si="11"/>
        <v>#N/A</v>
      </c>
      <c r="CG33" s="284" t="e">
        <f t="shared" si="11"/>
        <v>#N/A</v>
      </c>
      <c r="CH33" s="284" t="e">
        <f t="shared" si="11"/>
        <v>#N/A</v>
      </c>
      <c r="CI33" s="284" t="e">
        <f t="shared" si="11"/>
        <v>#N/A</v>
      </c>
      <c r="CJ33" s="284" t="e">
        <f t="shared" si="11"/>
        <v>#N/A</v>
      </c>
      <c r="CK33" s="1181" t="e">
        <f t="shared" si="11"/>
        <v>#N/A</v>
      </c>
      <c r="CL33" s="1181" t="e">
        <f t="shared" si="11"/>
        <v>#N/A</v>
      </c>
      <c r="CM33" s="1181" t="e">
        <f t="shared" si="11"/>
        <v>#N/A</v>
      </c>
      <c r="CN33" s="1181" t="e">
        <f t="shared" si="12"/>
        <v>#N/A</v>
      </c>
      <c r="CO33" s="1181" t="e">
        <f t="shared" si="12"/>
        <v>#N/A</v>
      </c>
      <c r="CP33" s="1195" t="e">
        <f t="shared" si="12"/>
        <v>#N/A</v>
      </c>
      <c r="CQ33" s="1196" t="e">
        <f t="shared" si="12"/>
        <v>#N/A</v>
      </c>
      <c r="CR33" s="1196" t="e">
        <f t="shared" si="12"/>
        <v>#N/A</v>
      </c>
      <c r="CS33" s="1196" t="e">
        <f t="shared" si="12"/>
        <v>#N/A</v>
      </c>
      <c r="CT33" s="1196" t="e">
        <f t="shared" si="12"/>
        <v>#N/A</v>
      </c>
      <c r="CU33" s="1196" t="e">
        <f t="shared" si="12"/>
        <v>#N/A</v>
      </c>
      <c r="CV33" s="1196" t="e">
        <f t="shared" si="12"/>
        <v>#N/A</v>
      </c>
      <c r="CW33" s="1196" t="e">
        <f t="shared" si="12"/>
        <v>#N/A</v>
      </c>
      <c r="CX33" s="1196" t="e">
        <f t="shared" si="13"/>
        <v>#N/A</v>
      </c>
      <c r="CY33" s="1196" t="e">
        <f t="shared" si="13"/>
        <v>#N/A</v>
      </c>
      <c r="CZ33" s="1196" t="e">
        <f t="shared" si="13"/>
        <v>#N/A</v>
      </c>
      <c r="DA33" s="1197" t="e">
        <f t="shared" si="13"/>
        <v>#N/A</v>
      </c>
      <c r="DB33" s="1195" t="e">
        <f t="shared" si="13"/>
        <v>#N/A</v>
      </c>
      <c r="DC33" s="1196" t="e">
        <f t="shared" si="13"/>
        <v>#N/A</v>
      </c>
      <c r="DD33" s="1196" t="e">
        <f t="shared" si="13"/>
        <v>#N/A</v>
      </c>
      <c r="DE33" s="1196" t="e">
        <f t="shared" si="13"/>
        <v>#N/A</v>
      </c>
      <c r="DF33" s="1196" t="e">
        <f t="shared" si="13"/>
        <v>#N/A</v>
      </c>
      <c r="DG33" s="1196" t="e">
        <f t="shared" si="13"/>
        <v>#N/A</v>
      </c>
      <c r="DH33" s="1196" t="e">
        <f t="shared" si="14"/>
        <v>#N/A</v>
      </c>
      <c r="DI33" s="1196" t="e">
        <f t="shared" si="14"/>
        <v>#N/A</v>
      </c>
      <c r="DJ33" s="1196" t="e">
        <f t="shared" si="14"/>
        <v>#N/A</v>
      </c>
      <c r="DK33" s="1196" t="e">
        <f t="shared" si="14"/>
        <v>#N/A</v>
      </c>
      <c r="DL33" s="1196" t="e">
        <f t="shared" si="14"/>
        <v>#N/A</v>
      </c>
      <c r="DM33" s="1197" t="e">
        <f t="shared" si="14"/>
        <v>#N/A</v>
      </c>
    </row>
    <row r="34" spans="2:117" ht="6" customHeight="1" x14ac:dyDescent="0.25">
      <c r="B34" s="150"/>
      <c r="C34" s="279"/>
      <c r="G34" s="2"/>
      <c r="H34" s="2"/>
      <c r="I34" s="2"/>
      <c r="J34" s="2"/>
      <c r="K34" s="2"/>
      <c r="L34" s="2"/>
      <c r="M34" s="2"/>
      <c r="N34" s="2"/>
      <c r="O34" s="2"/>
      <c r="P34" s="2"/>
      <c r="Q34" s="2"/>
      <c r="R34" s="2"/>
      <c r="S34" s="1198"/>
      <c r="T34" s="2"/>
      <c r="U34" s="2"/>
      <c r="V34" s="2"/>
      <c r="W34" s="2"/>
      <c r="X34" s="2"/>
      <c r="Y34" s="2"/>
      <c r="Z34" s="2"/>
      <c r="AA34" s="2"/>
      <c r="AB34" s="2"/>
      <c r="AC34" s="2"/>
      <c r="AD34" s="729"/>
      <c r="AE34" s="1198"/>
      <c r="AF34" s="2"/>
      <c r="AG34" s="2"/>
      <c r="AH34" s="2"/>
      <c r="AI34" s="2"/>
      <c r="AJ34" s="2"/>
      <c r="AK34" s="2"/>
      <c r="AL34" s="2"/>
      <c r="AM34" s="2"/>
      <c r="AN34" s="2"/>
      <c r="AO34" s="2"/>
      <c r="AP34" s="729"/>
      <c r="AS34" s="2"/>
      <c r="AT34" s="2"/>
      <c r="AU34" s="2"/>
      <c r="AW34" s="2"/>
      <c r="AX34" s="2"/>
      <c r="AY34" s="2"/>
      <c r="CB34" s="150"/>
      <c r="CC34" s="279"/>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row>
    <row r="35" spans="2:117" ht="21.75" customHeight="1" thickBot="1" x14ac:dyDescent="0.3">
      <c r="B35" s="364" t="str">
        <f>IF(Language="English", 'Language Look Ups'!$O$14,IF(Language="Francais", 'Language Look Ups'!$S$14, 'Language Look Ups'!$Q$14))</f>
        <v>Méthodes à Court Terme</v>
      </c>
      <c r="C35" s="104"/>
      <c r="D35" s="51"/>
      <c r="E35" s="50"/>
      <c r="F35" s="42"/>
      <c r="G35" s="1128"/>
      <c r="H35" s="1129"/>
      <c r="I35" s="1128"/>
      <c r="J35" s="1129"/>
      <c r="K35" s="1128"/>
      <c r="L35" s="1129"/>
      <c r="M35" s="1128"/>
      <c r="N35" s="1129"/>
      <c r="O35" s="1129"/>
      <c r="P35" s="1129"/>
      <c r="Q35" s="1129"/>
      <c r="R35" s="1129"/>
      <c r="S35" s="1199"/>
      <c r="T35" s="1129"/>
      <c r="U35" s="1128"/>
      <c r="V35" s="1129"/>
      <c r="W35" s="1128"/>
      <c r="X35" s="1128"/>
      <c r="Y35" s="1129"/>
      <c r="Z35" s="1129"/>
      <c r="AA35" s="1128"/>
      <c r="AB35" s="1128"/>
      <c r="AC35" s="1129"/>
      <c r="AD35" s="1200"/>
      <c r="AE35" s="1199"/>
      <c r="AF35" s="1129"/>
      <c r="AG35" s="1128"/>
      <c r="AH35" s="1129"/>
      <c r="AI35" s="1128"/>
      <c r="AJ35" s="1128"/>
      <c r="AK35" s="1129"/>
      <c r="AL35" s="1129"/>
      <c r="AM35" s="1128"/>
      <c r="AN35" s="1128"/>
      <c r="AO35" s="1129"/>
      <c r="AP35" s="1200"/>
      <c r="AS35" s="1129"/>
      <c r="AT35" s="1128"/>
      <c r="AU35" s="1128"/>
      <c r="AW35" s="1128"/>
      <c r="AX35" s="1128"/>
      <c r="AY35" s="1128"/>
      <c r="CB35" s="364" t="str">
        <f>IF(Language="English", 'Language Look Ups'!$O$14,IF(Language="Francais", 'Language Look Ups'!$S$14, 'Language Look Ups'!$Q$14))</f>
        <v>Méthodes à Court Terme</v>
      </c>
      <c r="CC35" s="104"/>
      <c r="CD35" s="1128"/>
      <c r="CE35" s="1129"/>
      <c r="CF35" s="1128"/>
      <c r="CG35" s="1129"/>
      <c r="CH35" s="1128"/>
      <c r="CI35" s="1129"/>
      <c r="CJ35" s="1128"/>
      <c r="CK35" s="1129"/>
      <c r="CL35" s="1129"/>
      <c r="CM35" s="1129"/>
      <c r="CN35" s="1129"/>
      <c r="CO35" s="1129"/>
      <c r="CP35" s="1128"/>
      <c r="CQ35" s="1129"/>
      <c r="CR35" s="1128"/>
      <c r="CS35" s="1129"/>
      <c r="CT35" s="1128"/>
      <c r="CU35" s="1128"/>
      <c r="CV35" s="1129"/>
      <c r="CW35" s="1129"/>
      <c r="CX35" s="1128"/>
      <c r="CY35" s="1128"/>
      <c r="CZ35" s="1129"/>
      <c r="DA35" s="1128"/>
      <c r="DB35" s="1128"/>
      <c r="DC35" s="1129"/>
      <c r="DD35" s="1128"/>
      <c r="DE35" s="1129"/>
      <c r="DF35" s="1128"/>
      <c r="DG35" s="1128"/>
      <c r="DH35" s="1129"/>
      <c r="DI35" s="1129"/>
      <c r="DJ35" s="1128"/>
      <c r="DK35" s="1128"/>
      <c r="DL35" s="1129"/>
      <c r="DM35" s="1128"/>
    </row>
    <row r="36" spans="2:117" ht="17.25" customHeight="1" x14ac:dyDescent="0.25">
      <c r="B36" s="1689" t="str">
        <f>IF(Language="English", 'Language Look Ups'!$O$15,IF(Language="Francais", 'Language Look Ups'!$S$15, 'Language Look Ups'!Q$15))</f>
        <v>Produits injectables</v>
      </c>
      <c r="C36" s="1130" t="str">
        <f>IF(Language="English", 'Language Look Ups'!$P$15,IF(Language="Francais", 'Language Look Ups'!$T$15, 'Language Look Ups'!$R$15))</f>
        <v>Depo Provera (DMPA)</v>
      </c>
      <c r="D36" s="1201" t="e">
        <f>IF($BQ$6=3, 'Visits Input'!D32, IF($BQ$6=4, 'Users Input'!D32, 'Commodities (Clients) Input'!D32))</f>
        <v>#N/A</v>
      </c>
      <c r="E36" s="1202" t="e">
        <f>IF($BQ$6=3, 'Visits Input'!E32, IF($BQ$6=4, 'Users Input'!E32, 'Commodities (Clients) Input'!E32))</f>
        <v>#N/A</v>
      </c>
      <c r="F36" s="1203" t="e">
        <f>IF($BQ$6=3, 'Visits Input'!F32, IF($BQ$6=4, 'Users Input'!F32, 'Commodities (Clients) Input'!F32))</f>
        <v>#N/A</v>
      </c>
      <c r="G36" s="409"/>
      <c r="H36" s="409"/>
      <c r="I36" s="409"/>
      <c r="J36" s="409"/>
      <c r="K36" s="409"/>
      <c r="L36" s="409"/>
      <c r="M36" s="409"/>
      <c r="N36" s="409"/>
      <c r="O36" s="409"/>
      <c r="P36" s="409"/>
      <c r="Q36" s="409"/>
      <c r="R36" s="1177"/>
      <c r="S36" s="1273"/>
      <c r="T36" s="1274"/>
      <c r="U36" s="1274"/>
      <c r="V36" s="1274"/>
      <c r="W36" s="1274"/>
      <c r="X36" s="1274"/>
      <c r="Y36" s="1274"/>
      <c r="Z36" s="1274"/>
      <c r="AA36" s="1274"/>
      <c r="AB36" s="1274"/>
      <c r="AC36" s="1274"/>
      <c r="AD36" s="1275"/>
      <c r="AE36" s="1273"/>
      <c r="AF36" s="1274"/>
      <c r="AG36" s="1274"/>
      <c r="AH36" s="1274"/>
      <c r="AI36" s="1274"/>
      <c r="AJ36" s="1274"/>
      <c r="AK36" s="1274"/>
      <c r="AL36" s="1274"/>
      <c r="AM36" s="1274"/>
      <c r="AN36" s="1274"/>
      <c r="AO36" s="1274"/>
      <c r="AP36" s="1275"/>
      <c r="AS36" s="1179">
        <f t="shared" ref="AS36:AS50" si="19">IFERROR(AVERAGEIF($G$57:$AP$57, "&lt;&gt;1", $G36:$AP36), 0)</f>
        <v>0</v>
      </c>
      <c r="AT36" s="1179">
        <f t="shared" ref="AT36:AT50" si="20">IFERROR(AVERAGEIF($G$57:$AP$57, 1, $G36:$AP36),0)</f>
        <v>0</v>
      </c>
      <c r="AU36" s="1179">
        <f t="shared" ref="AU36:AU50" si="21">IFERROR(AVERAGE(G36:AP36), 0)</f>
        <v>0</v>
      </c>
      <c r="AW36" s="1179">
        <f t="shared" ref="AW36:AY51" si="22">SUMIF($G$23:$AP$23, AW$25, $G36:$AP36)</f>
        <v>0</v>
      </c>
      <c r="AX36" s="1179">
        <f t="shared" si="22"/>
        <v>0</v>
      </c>
      <c r="AY36" s="1179">
        <f t="shared" si="22"/>
        <v>0</v>
      </c>
      <c r="BS36" s="416" t="s">
        <v>83</v>
      </c>
      <c r="BT36" s="184" t="s">
        <v>836</v>
      </c>
      <c r="CB36" s="1296" t="str">
        <f>IF(Language="English", 'Language Look Ups'!$O$15,IF(Language="Francais", 'Language Look Ups'!$S$15, 'Language Look Ups'!Q$15))</f>
        <v>Produits injectables</v>
      </c>
      <c r="CC36" s="1130" t="str">
        <f>IF(Language="English", 'Language Look Ups'!$P$15,IF(Language="Francais", 'Language Look Ups'!$T$15, 'Language Look Ups'!$R$15))</f>
        <v>Depo Provera (DMPA)</v>
      </c>
      <c r="CD36" s="409" t="e">
        <f t="shared" ref="CD36:CD50" si="23">IF(G$14=0, NA(), G36*$E36)</f>
        <v>#N/A</v>
      </c>
      <c r="CE36" s="409" t="e">
        <f t="shared" ref="CE36:CE50" si="24">IF(H$14=0, NA(), H36*$E36)</f>
        <v>#N/A</v>
      </c>
      <c r="CF36" s="409" t="e">
        <f t="shared" ref="CF36:CF50" si="25">IF(I$14=0, NA(), I36*$E36)</f>
        <v>#N/A</v>
      </c>
      <c r="CG36" s="409" t="e">
        <f t="shared" ref="CG36:CG50" si="26">IF(J$14=0, NA(), J36*$E36)</f>
        <v>#N/A</v>
      </c>
      <c r="CH36" s="409" t="e">
        <f t="shared" ref="CH36:CH50" si="27">IF(K$14=0, NA(), K36*$E36)</f>
        <v>#N/A</v>
      </c>
      <c r="CI36" s="409" t="e">
        <f t="shared" ref="CI36:CI50" si="28">IF(L$14=0, NA(), L36*$E36)</f>
        <v>#N/A</v>
      </c>
      <c r="CJ36" s="409" t="e">
        <f t="shared" ref="CJ36:CJ50" si="29">IF(M$14=0, NA(), M36*$E36)</f>
        <v>#N/A</v>
      </c>
      <c r="CK36" s="1177" t="e">
        <f t="shared" ref="CK36:CK50" si="30">IF(N$14=0, NA(), N36*$E36)</f>
        <v>#N/A</v>
      </c>
      <c r="CL36" s="1177" t="e">
        <f t="shared" ref="CL36:CL50" si="31">IF(O$14=0, NA(), O36*$E36)</f>
        <v>#N/A</v>
      </c>
      <c r="CM36" s="1177" t="e">
        <f t="shared" ref="CM36:CM50" si="32">IF(P$14=0, NA(), P36*$E36)</f>
        <v>#N/A</v>
      </c>
      <c r="CN36" s="1177" t="e">
        <f t="shared" ref="CN36:CN50" si="33">IF(Q$14=0, NA(), Q36*$E36)</f>
        <v>#N/A</v>
      </c>
      <c r="CO36" s="1177" t="e">
        <f t="shared" ref="CO36:CO50" si="34">IF(R$14=0, NA(), R36*$E36)</f>
        <v>#N/A</v>
      </c>
      <c r="CP36" s="1178" t="e">
        <f t="shared" ref="CP36:CP50" si="35">IF(S$14=0, NA(), S36*$E36)</f>
        <v>#N/A</v>
      </c>
      <c r="CQ36" s="1179" t="e">
        <f t="shared" ref="CQ36:CQ50" si="36">IF(T$14=0, NA(), T36*$E36)</f>
        <v>#N/A</v>
      </c>
      <c r="CR36" s="1179" t="e">
        <f t="shared" ref="CR36:CR50" si="37">IF(U$14=0, NA(), U36*$E36)</f>
        <v>#N/A</v>
      </c>
      <c r="CS36" s="1179" t="e">
        <f t="shared" ref="CS36:CS50" si="38">IF(V$14=0, NA(), V36*$E36)</f>
        <v>#N/A</v>
      </c>
      <c r="CT36" s="1179" t="e">
        <f t="shared" ref="CT36:CT50" si="39">IF(W$14=0, NA(), W36*$E36)</f>
        <v>#N/A</v>
      </c>
      <c r="CU36" s="1179" t="e">
        <f t="shared" ref="CU36:CU50" si="40">IF(X$14=0, NA(), X36*$E36)</f>
        <v>#N/A</v>
      </c>
      <c r="CV36" s="1179" t="e">
        <f t="shared" ref="CV36:CV50" si="41">IF(Y$14=0, NA(), Y36*$E36)</f>
        <v>#N/A</v>
      </c>
      <c r="CW36" s="1179" t="e">
        <f t="shared" ref="CW36:CW50" si="42">IF(Z$14=0, NA(), Z36*$E36)</f>
        <v>#N/A</v>
      </c>
      <c r="CX36" s="1179" t="e">
        <f t="shared" ref="CX36:CX50" si="43">IF(AA$14=0, NA(), AA36*$E36)</f>
        <v>#N/A</v>
      </c>
      <c r="CY36" s="1179" t="e">
        <f t="shared" ref="CY36:CY50" si="44">IF(AB$14=0, NA(), AB36*$E36)</f>
        <v>#N/A</v>
      </c>
      <c r="CZ36" s="1179" t="e">
        <f t="shared" ref="CZ36:CZ50" si="45">IF(AC$14=0, NA(), AC36*$E36)</f>
        <v>#N/A</v>
      </c>
      <c r="DA36" s="1180" t="e">
        <f t="shared" ref="DA36:DA50" si="46">IF(AD$14=0, NA(), AD36*$E36)</f>
        <v>#N/A</v>
      </c>
      <c r="DB36" s="1178" t="e">
        <f t="shared" ref="DB36:DB50" si="47">IF(AE$14=0, NA(), AE36*$E36)</f>
        <v>#N/A</v>
      </c>
      <c r="DC36" s="1179" t="e">
        <f t="shared" ref="DC36:DC50" si="48">IF(AF$14=0, NA(), AF36*$E36)</f>
        <v>#N/A</v>
      </c>
      <c r="DD36" s="1179" t="e">
        <f t="shared" ref="DD36:DD50" si="49">IF(AG$14=0, NA(), AG36*$E36)</f>
        <v>#N/A</v>
      </c>
      <c r="DE36" s="1179" t="e">
        <f t="shared" ref="DE36:DE50" si="50">IF(AH$14=0, NA(), AH36*$E36)</f>
        <v>#N/A</v>
      </c>
      <c r="DF36" s="1179" t="e">
        <f t="shared" ref="DF36:DF50" si="51">IF(AI$14=0, NA(), AI36*$E36)</f>
        <v>#N/A</v>
      </c>
      <c r="DG36" s="1179" t="e">
        <f t="shared" ref="DG36:DG50" si="52">IF(AJ$14=0, NA(), AJ36*$E36)</f>
        <v>#N/A</v>
      </c>
      <c r="DH36" s="1179" t="e">
        <f t="shared" ref="DH36:DH50" si="53">IF(AK$14=0, NA(), AK36*$E36)</f>
        <v>#N/A</v>
      </c>
      <c r="DI36" s="1179" t="e">
        <f t="shared" ref="DI36:DI50" si="54">IF(AL$14=0, NA(), AL36*$E36)</f>
        <v>#N/A</v>
      </c>
      <c r="DJ36" s="1179" t="e">
        <f t="shared" ref="DJ36:DJ50" si="55">IF(AM$14=0, NA(), AM36*$E36)</f>
        <v>#N/A</v>
      </c>
      <c r="DK36" s="1179" t="e">
        <f t="shared" ref="DK36:DK50" si="56">IF(AN$14=0, NA(), AN36*$E36)</f>
        <v>#N/A</v>
      </c>
      <c r="DL36" s="1179" t="e">
        <f t="shared" ref="DL36:DL50" si="57">IF(AO$14=0, NA(), AO36*$E36)</f>
        <v>#N/A</v>
      </c>
      <c r="DM36" s="1180" t="e">
        <f t="shared" ref="DM36:DM50" si="58">IF(AP$14=0, NA(), AP36*$E36)</f>
        <v>#N/A</v>
      </c>
    </row>
    <row r="37" spans="2:117" ht="17.25" customHeight="1" x14ac:dyDescent="0.25">
      <c r="B37" s="1492"/>
      <c r="C37" s="277" t="str">
        <f>IF(Language="English", 'Language Look Ups'!$P$16,IF(Language="Francais", 'Language Look Ups'!$T$16, 'Language Look Ups'!$R$16))</f>
        <v>Noristerat (NET-En)</v>
      </c>
      <c r="D37" s="278" t="e">
        <f>IF($BQ$6=3, 'Visits Input'!D33, IF($BQ$6=4, 'Users Input'!D33, 'Commodities (Clients) Input'!D33))</f>
        <v>#N/A</v>
      </c>
      <c r="E37" s="101" t="e">
        <f>IF($BQ$6=3, 'Visits Input'!E33, IF($BQ$6=4, 'Users Input'!E33, 'Commodities (Clients) Input'!E33))</f>
        <v>#N/A</v>
      </c>
      <c r="F37" s="102" t="e">
        <f>IF($BQ$6=3, 'Visits Input'!F33, IF($BQ$6=4, 'Users Input'!F33, 'Commodities (Clients) Input'!F33))</f>
        <v>#N/A</v>
      </c>
      <c r="G37" s="282"/>
      <c r="H37" s="282"/>
      <c r="I37" s="282"/>
      <c r="J37" s="282"/>
      <c r="K37" s="282"/>
      <c r="L37" s="282"/>
      <c r="M37" s="282"/>
      <c r="N37" s="282"/>
      <c r="O37" s="282"/>
      <c r="P37" s="282"/>
      <c r="Q37" s="282"/>
      <c r="R37" s="1190"/>
      <c r="S37" s="1280"/>
      <c r="T37" s="282"/>
      <c r="U37" s="282"/>
      <c r="V37" s="282"/>
      <c r="W37" s="282"/>
      <c r="X37" s="282"/>
      <c r="Y37" s="282"/>
      <c r="Z37" s="282"/>
      <c r="AA37" s="282"/>
      <c r="AB37" s="282"/>
      <c r="AC37" s="282"/>
      <c r="AD37" s="1281"/>
      <c r="AE37" s="1280"/>
      <c r="AF37" s="282"/>
      <c r="AG37" s="282"/>
      <c r="AH37" s="282"/>
      <c r="AI37" s="282"/>
      <c r="AJ37" s="282"/>
      <c r="AK37" s="282"/>
      <c r="AL37" s="282"/>
      <c r="AM37" s="282"/>
      <c r="AN37" s="282"/>
      <c r="AO37" s="282"/>
      <c r="AP37" s="1281"/>
      <c r="AS37" s="1192">
        <f t="shared" si="19"/>
        <v>0</v>
      </c>
      <c r="AT37" s="1192">
        <f t="shared" si="20"/>
        <v>0</v>
      </c>
      <c r="AU37" s="1192">
        <f t="shared" si="21"/>
        <v>0</v>
      </c>
      <c r="AW37" s="1192">
        <f t="shared" si="22"/>
        <v>0</v>
      </c>
      <c r="AX37" s="1192">
        <f t="shared" si="22"/>
        <v>0</v>
      </c>
      <c r="AY37" s="1192">
        <f t="shared" si="22"/>
        <v>0</v>
      </c>
      <c r="BS37" s="102" t="s">
        <v>83</v>
      </c>
      <c r="BT37" s="184" t="s">
        <v>836</v>
      </c>
      <c r="CB37" s="1295"/>
      <c r="CC37" s="277" t="str">
        <f>IF(Language="English", 'Language Look Ups'!$P$16,IF(Language="Francais", 'Language Look Ups'!$T$16, 'Language Look Ups'!$R$16))</f>
        <v>Noristerat (NET-En)</v>
      </c>
      <c r="CD37" s="282" t="e">
        <f t="shared" si="23"/>
        <v>#N/A</v>
      </c>
      <c r="CE37" s="282" t="e">
        <f t="shared" si="24"/>
        <v>#N/A</v>
      </c>
      <c r="CF37" s="282" t="e">
        <f t="shared" si="25"/>
        <v>#N/A</v>
      </c>
      <c r="CG37" s="282" t="e">
        <f t="shared" si="26"/>
        <v>#N/A</v>
      </c>
      <c r="CH37" s="282" t="e">
        <f t="shared" si="27"/>
        <v>#N/A</v>
      </c>
      <c r="CI37" s="282" t="e">
        <f t="shared" si="28"/>
        <v>#N/A</v>
      </c>
      <c r="CJ37" s="282" t="e">
        <f t="shared" si="29"/>
        <v>#N/A</v>
      </c>
      <c r="CK37" s="282" t="e">
        <f t="shared" si="30"/>
        <v>#N/A</v>
      </c>
      <c r="CL37" s="282" t="e">
        <f t="shared" si="31"/>
        <v>#N/A</v>
      </c>
      <c r="CM37" s="282" t="e">
        <f t="shared" si="32"/>
        <v>#N/A</v>
      </c>
      <c r="CN37" s="282" t="e">
        <f t="shared" si="33"/>
        <v>#N/A</v>
      </c>
      <c r="CO37" s="1190" t="e">
        <f t="shared" si="34"/>
        <v>#N/A</v>
      </c>
      <c r="CP37" s="1191" t="e">
        <f t="shared" si="35"/>
        <v>#N/A</v>
      </c>
      <c r="CQ37" s="1192" t="e">
        <f t="shared" si="36"/>
        <v>#N/A</v>
      </c>
      <c r="CR37" s="1192" t="e">
        <f t="shared" si="37"/>
        <v>#N/A</v>
      </c>
      <c r="CS37" s="1192" t="e">
        <f t="shared" si="38"/>
        <v>#N/A</v>
      </c>
      <c r="CT37" s="1192" t="e">
        <f t="shared" si="39"/>
        <v>#N/A</v>
      </c>
      <c r="CU37" s="1192" t="e">
        <f t="shared" si="40"/>
        <v>#N/A</v>
      </c>
      <c r="CV37" s="1192" t="e">
        <f t="shared" si="41"/>
        <v>#N/A</v>
      </c>
      <c r="CW37" s="1192" t="e">
        <f t="shared" si="42"/>
        <v>#N/A</v>
      </c>
      <c r="CX37" s="1192" t="e">
        <f t="shared" si="43"/>
        <v>#N/A</v>
      </c>
      <c r="CY37" s="1192" t="e">
        <f t="shared" si="44"/>
        <v>#N/A</v>
      </c>
      <c r="CZ37" s="1192" t="e">
        <f t="shared" si="45"/>
        <v>#N/A</v>
      </c>
      <c r="DA37" s="1194" t="e">
        <f t="shared" si="46"/>
        <v>#N/A</v>
      </c>
      <c r="DB37" s="1191" t="e">
        <f t="shared" si="47"/>
        <v>#N/A</v>
      </c>
      <c r="DC37" s="1192" t="e">
        <f t="shared" si="48"/>
        <v>#N/A</v>
      </c>
      <c r="DD37" s="1192" t="e">
        <f t="shared" si="49"/>
        <v>#N/A</v>
      </c>
      <c r="DE37" s="1192" t="e">
        <f t="shared" si="50"/>
        <v>#N/A</v>
      </c>
      <c r="DF37" s="1192" t="e">
        <f t="shared" si="51"/>
        <v>#N/A</v>
      </c>
      <c r="DG37" s="1192" t="e">
        <f t="shared" si="52"/>
        <v>#N/A</v>
      </c>
      <c r="DH37" s="1192" t="e">
        <f t="shared" si="53"/>
        <v>#N/A</v>
      </c>
      <c r="DI37" s="1192" t="e">
        <f t="shared" si="54"/>
        <v>#N/A</v>
      </c>
      <c r="DJ37" s="1192" t="e">
        <f t="shared" si="55"/>
        <v>#N/A</v>
      </c>
      <c r="DK37" s="1192" t="e">
        <f t="shared" si="56"/>
        <v>#N/A</v>
      </c>
      <c r="DL37" s="1192" t="e">
        <f t="shared" si="57"/>
        <v>#N/A</v>
      </c>
      <c r="DM37" s="1194" t="e">
        <f t="shared" si="58"/>
        <v>#N/A</v>
      </c>
    </row>
    <row r="38" spans="2:117" ht="17.25" customHeight="1" x14ac:dyDescent="0.25">
      <c r="B38" s="1492"/>
      <c r="C38" s="277" t="str">
        <f>IF(Language="English",'Language Look Ups'!$P$17,IF(Language="Francais",'Language Look Ups'!$T$17,'Language Look Ups'!$R$17))</f>
        <v>Lunelle</v>
      </c>
      <c r="D38" s="278" t="e">
        <f>IF($BQ$6=3, 'Visits Input'!D34, IF($BQ$6=4, 'Users Input'!D34, 'Commodities (Clients) Input'!D34))</f>
        <v>#N/A</v>
      </c>
      <c r="E38" s="101" t="e">
        <f>IF($BQ$6=3, 'Visits Input'!E34, IF($BQ$6=4, 'Users Input'!E34, 'Commodities (Clients) Input'!E34))</f>
        <v>#N/A</v>
      </c>
      <c r="F38" s="102" t="e">
        <f>IF($BQ$6=3, 'Visits Input'!F34, IF($BQ$6=4, 'Users Input'!F34, 'Commodities (Clients) Input'!F34))</f>
        <v>#N/A</v>
      </c>
      <c r="G38" s="282"/>
      <c r="H38" s="282"/>
      <c r="I38" s="282"/>
      <c r="J38" s="282"/>
      <c r="K38" s="282"/>
      <c r="L38" s="282"/>
      <c r="M38" s="282"/>
      <c r="N38" s="282"/>
      <c r="O38" s="282"/>
      <c r="P38" s="282"/>
      <c r="Q38" s="282"/>
      <c r="R38" s="1190"/>
      <c r="S38" s="1280"/>
      <c r="T38" s="282"/>
      <c r="U38" s="282"/>
      <c r="V38" s="282"/>
      <c r="W38" s="282"/>
      <c r="X38" s="282"/>
      <c r="Y38" s="282"/>
      <c r="Z38" s="282"/>
      <c r="AA38" s="282"/>
      <c r="AB38" s="282"/>
      <c r="AC38" s="282"/>
      <c r="AD38" s="1281"/>
      <c r="AE38" s="1280"/>
      <c r="AF38" s="282"/>
      <c r="AG38" s="282"/>
      <c r="AH38" s="282"/>
      <c r="AI38" s="282"/>
      <c r="AJ38" s="282"/>
      <c r="AK38" s="282"/>
      <c r="AL38" s="282"/>
      <c r="AM38" s="282"/>
      <c r="AN38" s="282"/>
      <c r="AO38" s="282"/>
      <c r="AP38" s="1281"/>
      <c r="AS38" s="1192">
        <f t="shared" si="19"/>
        <v>0</v>
      </c>
      <c r="AT38" s="1192">
        <f t="shared" si="20"/>
        <v>0</v>
      </c>
      <c r="AU38" s="1192">
        <f t="shared" si="21"/>
        <v>0</v>
      </c>
      <c r="AW38" s="1192">
        <f t="shared" si="22"/>
        <v>0</v>
      </c>
      <c r="AX38" s="1192">
        <f t="shared" si="22"/>
        <v>0</v>
      </c>
      <c r="AY38" s="1192">
        <f t="shared" si="22"/>
        <v>0</v>
      </c>
      <c r="BS38" s="102" t="s">
        <v>83</v>
      </c>
      <c r="BT38" s="184" t="s">
        <v>836</v>
      </c>
      <c r="CB38" s="1295"/>
      <c r="CC38" s="277" t="str">
        <f>IF(Language="English",'Language Look Ups'!$P$17,IF(Language="Francais",'Language Look Ups'!$T$17,'Language Look Ups'!$R$17))</f>
        <v>Lunelle</v>
      </c>
      <c r="CD38" s="282" t="e">
        <f t="shared" si="23"/>
        <v>#N/A</v>
      </c>
      <c r="CE38" s="282" t="e">
        <f t="shared" si="24"/>
        <v>#N/A</v>
      </c>
      <c r="CF38" s="282" t="e">
        <f t="shared" si="25"/>
        <v>#N/A</v>
      </c>
      <c r="CG38" s="282" t="e">
        <f t="shared" si="26"/>
        <v>#N/A</v>
      </c>
      <c r="CH38" s="282" t="e">
        <f t="shared" si="27"/>
        <v>#N/A</v>
      </c>
      <c r="CI38" s="282" t="e">
        <f t="shared" si="28"/>
        <v>#N/A</v>
      </c>
      <c r="CJ38" s="282" t="e">
        <f t="shared" si="29"/>
        <v>#N/A</v>
      </c>
      <c r="CK38" s="282" t="e">
        <f t="shared" si="30"/>
        <v>#N/A</v>
      </c>
      <c r="CL38" s="282" t="e">
        <f t="shared" si="31"/>
        <v>#N/A</v>
      </c>
      <c r="CM38" s="282" t="e">
        <f t="shared" si="32"/>
        <v>#N/A</v>
      </c>
      <c r="CN38" s="282" t="e">
        <f t="shared" si="33"/>
        <v>#N/A</v>
      </c>
      <c r="CO38" s="1190" t="e">
        <f t="shared" si="34"/>
        <v>#N/A</v>
      </c>
      <c r="CP38" s="1191" t="e">
        <f t="shared" si="35"/>
        <v>#N/A</v>
      </c>
      <c r="CQ38" s="1192" t="e">
        <f t="shared" si="36"/>
        <v>#N/A</v>
      </c>
      <c r="CR38" s="1192" t="e">
        <f t="shared" si="37"/>
        <v>#N/A</v>
      </c>
      <c r="CS38" s="1192" t="e">
        <f t="shared" si="38"/>
        <v>#N/A</v>
      </c>
      <c r="CT38" s="1192" t="e">
        <f t="shared" si="39"/>
        <v>#N/A</v>
      </c>
      <c r="CU38" s="1192" t="e">
        <f t="shared" si="40"/>
        <v>#N/A</v>
      </c>
      <c r="CV38" s="1192" t="e">
        <f t="shared" si="41"/>
        <v>#N/A</v>
      </c>
      <c r="CW38" s="1192" t="e">
        <f t="shared" si="42"/>
        <v>#N/A</v>
      </c>
      <c r="CX38" s="1192" t="e">
        <f t="shared" si="43"/>
        <v>#N/A</v>
      </c>
      <c r="CY38" s="1192" t="e">
        <f t="shared" si="44"/>
        <v>#N/A</v>
      </c>
      <c r="CZ38" s="1192" t="e">
        <f t="shared" si="45"/>
        <v>#N/A</v>
      </c>
      <c r="DA38" s="1194" t="e">
        <f t="shared" si="46"/>
        <v>#N/A</v>
      </c>
      <c r="DB38" s="1191" t="e">
        <f t="shared" si="47"/>
        <v>#N/A</v>
      </c>
      <c r="DC38" s="1192" t="e">
        <f t="shared" si="48"/>
        <v>#N/A</v>
      </c>
      <c r="DD38" s="1192" t="e">
        <f t="shared" si="49"/>
        <v>#N/A</v>
      </c>
      <c r="DE38" s="1192" t="e">
        <f t="shared" si="50"/>
        <v>#N/A</v>
      </c>
      <c r="DF38" s="1192" t="e">
        <f t="shared" si="51"/>
        <v>#N/A</v>
      </c>
      <c r="DG38" s="1192" t="e">
        <f t="shared" si="52"/>
        <v>#N/A</v>
      </c>
      <c r="DH38" s="1192" t="e">
        <f t="shared" si="53"/>
        <v>#N/A</v>
      </c>
      <c r="DI38" s="1192" t="e">
        <f t="shared" si="54"/>
        <v>#N/A</v>
      </c>
      <c r="DJ38" s="1192" t="e">
        <f t="shared" si="55"/>
        <v>#N/A</v>
      </c>
      <c r="DK38" s="1192" t="e">
        <f t="shared" si="56"/>
        <v>#N/A</v>
      </c>
      <c r="DL38" s="1192" t="e">
        <f t="shared" si="57"/>
        <v>#N/A</v>
      </c>
      <c r="DM38" s="1194" t="e">
        <f t="shared" si="58"/>
        <v>#N/A</v>
      </c>
    </row>
    <row r="39" spans="2:117" ht="17.25" customHeight="1" x14ac:dyDescent="0.25">
      <c r="B39" s="1492"/>
      <c r="C39" s="277" t="str">
        <f>IF(Language="English", 'Language Look Ups'!$P$18,IF(Language="Francais", 'Language Look Ups'!$T$18, 'Language Look Ups'!$R$18))</f>
        <v>Sayana Press</v>
      </c>
      <c r="D39" s="278" t="e">
        <f>IF($BQ$6=3, 'Visits Input'!D35, IF($BQ$6=4, 'Users Input'!D35, 'Commodities (Clients) Input'!D35))</f>
        <v>#N/A</v>
      </c>
      <c r="E39" s="101" t="e">
        <f>IF($BQ$6=3, 'Visits Input'!E35, IF($BQ$6=4, 'Users Input'!E35, 'Commodities (Clients) Input'!E35))</f>
        <v>#N/A</v>
      </c>
      <c r="F39" s="102" t="e">
        <f>IF($BQ$6=3, 'Visits Input'!F35, IF($BQ$6=4, 'Users Input'!F35, 'Commodities (Clients) Input'!F35))</f>
        <v>#N/A</v>
      </c>
      <c r="G39" s="282"/>
      <c r="H39" s="282"/>
      <c r="I39" s="282"/>
      <c r="J39" s="282"/>
      <c r="K39" s="282"/>
      <c r="L39" s="282"/>
      <c r="M39" s="282"/>
      <c r="N39" s="282"/>
      <c r="O39" s="282"/>
      <c r="P39" s="282"/>
      <c r="Q39" s="282"/>
      <c r="R39" s="1190"/>
      <c r="S39" s="1280"/>
      <c r="T39" s="282"/>
      <c r="U39" s="282"/>
      <c r="V39" s="282"/>
      <c r="W39" s="282"/>
      <c r="X39" s="282"/>
      <c r="Y39" s="282"/>
      <c r="Z39" s="282"/>
      <c r="AA39" s="282"/>
      <c r="AB39" s="282"/>
      <c r="AC39" s="282"/>
      <c r="AD39" s="1281"/>
      <c r="AE39" s="1280"/>
      <c r="AF39" s="282"/>
      <c r="AG39" s="282"/>
      <c r="AH39" s="282"/>
      <c r="AI39" s="282"/>
      <c r="AJ39" s="282"/>
      <c r="AK39" s="282"/>
      <c r="AL39" s="282"/>
      <c r="AM39" s="282"/>
      <c r="AN39" s="282"/>
      <c r="AO39" s="282"/>
      <c r="AP39" s="1281"/>
      <c r="AS39" s="1192">
        <f t="shared" si="19"/>
        <v>0</v>
      </c>
      <c r="AT39" s="1192">
        <f t="shared" si="20"/>
        <v>0</v>
      </c>
      <c r="AU39" s="1192">
        <f t="shared" si="21"/>
        <v>0</v>
      </c>
      <c r="AW39" s="1192">
        <f t="shared" si="22"/>
        <v>0</v>
      </c>
      <c r="AX39" s="1192">
        <f t="shared" si="22"/>
        <v>0</v>
      </c>
      <c r="AY39" s="1192">
        <f t="shared" si="22"/>
        <v>0</v>
      </c>
      <c r="BS39" s="102" t="s">
        <v>83</v>
      </c>
      <c r="BT39" s="184" t="s">
        <v>836</v>
      </c>
      <c r="CB39" s="1295"/>
      <c r="CC39" s="277" t="str">
        <f>IF(Language="English", 'Language Look Ups'!$P$18,IF(Language="Francais", 'Language Look Ups'!$T$18, 'Language Look Ups'!$R$18))</f>
        <v>Sayana Press</v>
      </c>
      <c r="CD39" s="282" t="e">
        <f t="shared" si="23"/>
        <v>#N/A</v>
      </c>
      <c r="CE39" s="282" t="e">
        <f t="shared" si="24"/>
        <v>#N/A</v>
      </c>
      <c r="CF39" s="282" t="e">
        <f t="shared" si="25"/>
        <v>#N/A</v>
      </c>
      <c r="CG39" s="282" t="e">
        <f t="shared" si="26"/>
        <v>#N/A</v>
      </c>
      <c r="CH39" s="282" t="e">
        <f t="shared" si="27"/>
        <v>#N/A</v>
      </c>
      <c r="CI39" s="282" t="e">
        <f t="shared" si="28"/>
        <v>#N/A</v>
      </c>
      <c r="CJ39" s="282" t="e">
        <f t="shared" si="29"/>
        <v>#N/A</v>
      </c>
      <c r="CK39" s="282" t="e">
        <f t="shared" si="30"/>
        <v>#N/A</v>
      </c>
      <c r="CL39" s="282" t="e">
        <f t="shared" si="31"/>
        <v>#N/A</v>
      </c>
      <c r="CM39" s="282" t="e">
        <f t="shared" si="32"/>
        <v>#N/A</v>
      </c>
      <c r="CN39" s="282" t="e">
        <f t="shared" si="33"/>
        <v>#N/A</v>
      </c>
      <c r="CO39" s="1190" t="e">
        <f t="shared" si="34"/>
        <v>#N/A</v>
      </c>
      <c r="CP39" s="1191" t="e">
        <f t="shared" si="35"/>
        <v>#N/A</v>
      </c>
      <c r="CQ39" s="1192" t="e">
        <f t="shared" si="36"/>
        <v>#N/A</v>
      </c>
      <c r="CR39" s="1192" t="e">
        <f t="shared" si="37"/>
        <v>#N/A</v>
      </c>
      <c r="CS39" s="1192" t="e">
        <f t="shared" si="38"/>
        <v>#N/A</v>
      </c>
      <c r="CT39" s="1192" t="e">
        <f t="shared" si="39"/>
        <v>#N/A</v>
      </c>
      <c r="CU39" s="1192" t="e">
        <f t="shared" si="40"/>
        <v>#N/A</v>
      </c>
      <c r="CV39" s="1192" t="e">
        <f t="shared" si="41"/>
        <v>#N/A</v>
      </c>
      <c r="CW39" s="1192" t="e">
        <f t="shared" si="42"/>
        <v>#N/A</v>
      </c>
      <c r="CX39" s="1192" t="e">
        <f t="shared" si="43"/>
        <v>#N/A</v>
      </c>
      <c r="CY39" s="1192" t="e">
        <f t="shared" si="44"/>
        <v>#N/A</v>
      </c>
      <c r="CZ39" s="1192" t="e">
        <f t="shared" si="45"/>
        <v>#N/A</v>
      </c>
      <c r="DA39" s="1194" t="e">
        <f t="shared" si="46"/>
        <v>#N/A</v>
      </c>
      <c r="DB39" s="1191" t="e">
        <f t="shared" si="47"/>
        <v>#N/A</v>
      </c>
      <c r="DC39" s="1192" t="e">
        <f t="shared" si="48"/>
        <v>#N/A</v>
      </c>
      <c r="DD39" s="1192" t="e">
        <f t="shared" si="49"/>
        <v>#N/A</v>
      </c>
      <c r="DE39" s="1192" t="e">
        <f t="shared" si="50"/>
        <v>#N/A</v>
      </c>
      <c r="DF39" s="1192" t="e">
        <f t="shared" si="51"/>
        <v>#N/A</v>
      </c>
      <c r="DG39" s="1192" t="e">
        <f t="shared" si="52"/>
        <v>#N/A</v>
      </c>
      <c r="DH39" s="1192" t="e">
        <f t="shared" si="53"/>
        <v>#N/A</v>
      </c>
      <c r="DI39" s="1192" t="e">
        <f t="shared" si="54"/>
        <v>#N/A</v>
      </c>
      <c r="DJ39" s="1192" t="e">
        <f t="shared" si="55"/>
        <v>#N/A</v>
      </c>
      <c r="DK39" s="1192" t="e">
        <f t="shared" si="56"/>
        <v>#N/A</v>
      </c>
      <c r="DL39" s="1192" t="e">
        <f t="shared" si="57"/>
        <v>#N/A</v>
      </c>
      <c r="DM39" s="1194" t="e">
        <f t="shared" si="58"/>
        <v>#N/A</v>
      </c>
    </row>
    <row r="40" spans="2:117" ht="17.25" customHeight="1" x14ac:dyDescent="0.25">
      <c r="B40" s="1493"/>
      <c r="C40" s="275" t="str">
        <f>IF(Language="English", 'Language Look Ups'!$P$19,IF(Language="Francais", 'Language Look Ups'!$T$19, 'Language Look Ups'!$R$19))</f>
        <v>Autre Injectable</v>
      </c>
      <c r="D40" s="276" t="e">
        <f>IF($BQ$6=3, 'Visits Input'!D36, IF($BQ$6=4, 'Users Input'!D36, 'Commodities (Clients) Input'!D36))</f>
        <v>#N/A</v>
      </c>
      <c r="E40" s="99" t="e">
        <f>IF($BQ$6=3, 'Visits Input'!E36, IF($BQ$6=4, 'Users Input'!E36, 'Commodities (Clients) Input'!E36))</f>
        <v>#N/A</v>
      </c>
      <c r="F40" s="100" t="e">
        <f>IF($BQ$6=3, 'Visits Input'!F36, IF($BQ$6=4, 'Users Input'!F36, 'Commodities (Clients) Input'!F36))</f>
        <v>#N/A</v>
      </c>
      <c r="G40" s="284"/>
      <c r="H40" s="284"/>
      <c r="I40" s="284"/>
      <c r="J40" s="284"/>
      <c r="K40" s="284"/>
      <c r="L40" s="284"/>
      <c r="M40" s="284"/>
      <c r="N40" s="284"/>
      <c r="O40" s="284"/>
      <c r="P40" s="284"/>
      <c r="Q40" s="284"/>
      <c r="R40" s="1181"/>
      <c r="S40" s="1276"/>
      <c r="T40" s="284"/>
      <c r="U40" s="284"/>
      <c r="V40" s="284"/>
      <c r="W40" s="284"/>
      <c r="X40" s="284"/>
      <c r="Y40" s="284"/>
      <c r="Z40" s="284"/>
      <c r="AA40" s="284"/>
      <c r="AB40" s="284"/>
      <c r="AC40" s="284"/>
      <c r="AD40" s="1277"/>
      <c r="AE40" s="1276"/>
      <c r="AF40" s="284"/>
      <c r="AG40" s="284"/>
      <c r="AH40" s="284"/>
      <c r="AI40" s="284"/>
      <c r="AJ40" s="284"/>
      <c r="AK40" s="284"/>
      <c r="AL40" s="284"/>
      <c r="AM40" s="284"/>
      <c r="AN40" s="284"/>
      <c r="AO40" s="284"/>
      <c r="AP40" s="1277"/>
      <c r="AS40" s="1183">
        <f t="shared" si="19"/>
        <v>0</v>
      </c>
      <c r="AT40" s="1183">
        <f t="shared" si="20"/>
        <v>0</v>
      </c>
      <c r="AU40" s="1183">
        <f t="shared" si="21"/>
        <v>0</v>
      </c>
      <c r="AW40" s="1183">
        <f t="shared" si="22"/>
        <v>0</v>
      </c>
      <c r="AX40" s="1183">
        <f t="shared" si="22"/>
        <v>0</v>
      </c>
      <c r="AY40" s="1183">
        <f t="shared" si="22"/>
        <v>0</v>
      </c>
      <c r="BS40" s="100" t="s">
        <v>83</v>
      </c>
      <c r="BT40" s="184" t="s">
        <v>836</v>
      </c>
      <c r="CB40" s="1294"/>
      <c r="CC40" s="275" t="str">
        <f>IF(Language="English", 'Language Look Ups'!$P$19,IF(Language="Francais", 'Language Look Ups'!$T$19, 'Language Look Ups'!$R$19))</f>
        <v>Autre Injectable</v>
      </c>
      <c r="CD40" s="284" t="e">
        <f t="shared" si="23"/>
        <v>#N/A</v>
      </c>
      <c r="CE40" s="284" t="e">
        <f t="shared" si="24"/>
        <v>#N/A</v>
      </c>
      <c r="CF40" s="284" t="e">
        <f t="shared" si="25"/>
        <v>#N/A</v>
      </c>
      <c r="CG40" s="284" t="e">
        <f t="shared" si="26"/>
        <v>#N/A</v>
      </c>
      <c r="CH40" s="284" t="e">
        <f t="shared" si="27"/>
        <v>#N/A</v>
      </c>
      <c r="CI40" s="284" t="e">
        <f t="shared" si="28"/>
        <v>#N/A</v>
      </c>
      <c r="CJ40" s="284" t="e">
        <f t="shared" si="29"/>
        <v>#N/A</v>
      </c>
      <c r="CK40" s="284" t="e">
        <f t="shared" si="30"/>
        <v>#N/A</v>
      </c>
      <c r="CL40" s="284" t="e">
        <f t="shared" si="31"/>
        <v>#N/A</v>
      </c>
      <c r="CM40" s="284" t="e">
        <f t="shared" si="32"/>
        <v>#N/A</v>
      </c>
      <c r="CN40" s="284" t="e">
        <f t="shared" si="33"/>
        <v>#N/A</v>
      </c>
      <c r="CO40" s="1181" t="e">
        <f t="shared" si="34"/>
        <v>#N/A</v>
      </c>
      <c r="CP40" s="1182" t="e">
        <f t="shared" si="35"/>
        <v>#N/A</v>
      </c>
      <c r="CQ40" s="1183" t="e">
        <f t="shared" si="36"/>
        <v>#N/A</v>
      </c>
      <c r="CR40" s="1183" t="e">
        <f t="shared" si="37"/>
        <v>#N/A</v>
      </c>
      <c r="CS40" s="1183" t="e">
        <f t="shared" si="38"/>
        <v>#N/A</v>
      </c>
      <c r="CT40" s="1183" t="e">
        <f t="shared" si="39"/>
        <v>#N/A</v>
      </c>
      <c r="CU40" s="1183" t="e">
        <f t="shared" si="40"/>
        <v>#N/A</v>
      </c>
      <c r="CV40" s="1183" t="e">
        <f t="shared" si="41"/>
        <v>#N/A</v>
      </c>
      <c r="CW40" s="1183" t="e">
        <f t="shared" si="42"/>
        <v>#N/A</v>
      </c>
      <c r="CX40" s="1183" t="e">
        <f t="shared" si="43"/>
        <v>#N/A</v>
      </c>
      <c r="CY40" s="1183" t="e">
        <f t="shared" si="44"/>
        <v>#N/A</v>
      </c>
      <c r="CZ40" s="1183" t="e">
        <f t="shared" si="45"/>
        <v>#N/A</v>
      </c>
      <c r="DA40" s="1185" t="e">
        <f t="shared" si="46"/>
        <v>#N/A</v>
      </c>
      <c r="DB40" s="1182" t="e">
        <f t="shared" si="47"/>
        <v>#N/A</v>
      </c>
      <c r="DC40" s="1183" t="e">
        <f t="shared" si="48"/>
        <v>#N/A</v>
      </c>
      <c r="DD40" s="1183" t="e">
        <f t="shared" si="49"/>
        <v>#N/A</v>
      </c>
      <c r="DE40" s="1183" t="e">
        <f t="shared" si="50"/>
        <v>#N/A</v>
      </c>
      <c r="DF40" s="1183" t="e">
        <f t="shared" si="51"/>
        <v>#N/A</v>
      </c>
      <c r="DG40" s="1183" t="e">
        <f t="shared" si="52"/>
        <v>#N/A</v>
      </c>
      <c r="DH40" s="1183" t="e">
        <f t="shared" si="53"/>
        <v>#N/A</v>
      </c>
      <c r="DI40" s="1183" t="e">
        <f t="shared" si="54"/>
        <v>#N/A</v>
      </c>
      <c r="DJ40" s="1183" t="e">
        <f t="shared" si="55"/>
        <v>#N/A</v>
      </c>
      <c r="DK40" s="1183" t="e">
        <f t="shared" si="56"/>
        <v>#N/A</v>
      </c>
      <c r="DL40" s="1183" t="e">
        <f t="shared" si="57"/>
        <v>#N/A</v>
      </c>
      <c r="DM40" s="1185" t="e">
        <f t="shared" si="58"/>
        <v>#N/A</v>
      </c>
    </row>
    <row r="41" spans="2:117" ht="17.25" customHeight="1" x14ac:dyDescent="0.25">
      <c r="B41" s="1480" t="str">
        <f>IF(Language="English", 'Language Look Ups'!$O$20,IF(Language="Francais", 'Language Look Ups'!$S$20, 'Language Look Ups'!Q$20))</f>
        <v>Pilule</v>
      </c>
      <c r="C41" s="363" t="str">
        <f>IF(Language="English", 'Language Look Ups'!$P$20,IF(Language="Francais", 'Language Look Ups'!$T$20, 'Language Look Ups'!$R$20))</f>
        <v>Oraux combinés (COC)</v>
      </c>
      <c r="D41" s="407" t="e">
        <f>IF($BQ$6=3, 'Visits Input'!D37, IF($BQ$6=4, 'Users Input'!D37, 'Commodities (Clients) Input'!D37))</f>
        <v>#N/A</v>
      </c>
      <c r="E41" s="408" t="e">
        <f>IF($BQ$6=3, 'Visits Input'!E37, IF($BQ$6=4, 'Users Input'!E37, 'Commodities (Clients) Input'!E37))</f>
        <v>#N/A</v>
      </c>
      <c r="F41" s="416" t="e">
        <f>IF($BQ$6=3, 'Visits Input'!F37, IF($BQ$6=4, 'Users Input'!F37, 'Commodities (Clients) Input'!F37))</f>
        <v>#N/A</v>
      </c>
      <c r="G41" s="409"/>
      <c r="H41" s="409"/>
      <c r="I41" s="409"/>
      <c r="J41" s="409"/>
      <c r="K41" s="409"/>
      <c r="L41" s="409"/>
      <c r="M41" s="409"/>
      <c r="N41" s="409"/>
      <c r="O41" s="409"/>
      <c r="P41" s="409"/>
      <c r="Q41" s="409"/>
      <c r="R41" s="1177"/>
      <c r="S41" s="1278"/>
      <c r="T41" s="409"/>
      <c r="U41" s="409"/>
      <c r="V41" s="409"/>
      <c r="W41" s="409"/>
      <c r="X41" s="409"/>
      <c r="Y41" s="409"/>
      <c r="Z41" s="409"/>
      <c r="AA41" s="409"/>
      <c r="AB41" s="409"/>
      <c r="AC41" s="409"/>
      <c r="AD41" s="1279"/>
      <c r="AE41" s="1278"/>
      <c r="AF41" s="409"/>
      <c r="AG41" s="409"/>
      <c r="AH41" s="409"/>
      <c r="AI41" s="409"/>
      <c r="AJ41" s="409"/>
      <c r="AK41" s="409"/>
      <c r="AL41" s="409"/>
      <c r="AM41" s="409"/>
      <c r="AN41" s="409"/>
      <c r="AO41" s="409"/>
      <c r="AP41" s="1279"/>
      <c r="AS41" s="1187">
        <f t="shared" si="19"/>
        <v>0</v>
      </c>
      <c r="AT41" s="1187">
        <f t="shared" si="20"/>
        <v>0</v>
      </c>
      <c r="AU41" s="1187">
        <f t="shared" si="21"/>
        <v>0</v>
      </c>
      <c r="AW41" s="1187">
        <f t="shared" si="22"/>
        <v>0</v>
      </c>
      <c r="AX41" s="1187">
        <f t="shared" si="22"/>
        <v>0</v>
      </c>
      <c r="AY41" s="1187">
        <f t="shared" si="22"/>
        <v>0</v>
      </c>
      <c r="BS41" s="416" t="s">
        <v>83</v>
      </c>
      <c r="BT41" s="184" t="s">
        <v>836</v>
      </c>
      <c r="CB41" s="1131" t="str">
        <f>IF(Language="English", 'Language Look Ups'!$O$20,IF(Language="Francais", 'Language Look Ups'!$S$20, 'Language Look Ups'!Q$20))</f>
        <v>Pilule</v>
      </c>
      <c r="CC41" s="363" t="str">
        <f>IF(Language="English", 'Language Look Ups'!$P$20,IF(Language="Francais", 'Language Look Ups'!$T$20, 'Language Look Ups'!$R$20))</f>
        <v>Oraux combinés (COC)</v>
      </c>
      <c r="CD41" s="409" t="e">
        <f t="shared" si="23"/>
        <v>#N/A</v>
      </c>
      <c r="CE41" s="409" t="e">
        <f t="shared" si="24"/>
        <v>#N/A</v>
      </c>
      <c r="CF41" s="409" t="e">
        <f t="shared" si="25"/>
        <v>#N/A</v>
      </c>
      <c r="CG41" s="409" t="e">
        <f t="shared" si="26"/>
        <v>#N/A</v>
      </c>
      <c r="CH41" s="409" t="e">
        <f t="shared" si="27"/>
        <v>#N/A</v>
      </c>
      <c r="CI41" s="409" t="e">
        <f t="shared" si="28"/>
        <v>#N/A</v>
      </c>
      <c r="CJ41" s="409" t="e">
        <f t="shared" si="29"/>
        <v>#N/A</v>
      </c>
      <c r="CK41" s="409" t="e">
        <f t="shared" si="30"/>
        <v>#N/A</v>
      </c>
      <c r="CL41" s="409" t="e">
        <f t="shared" si="31"/>
        <v>#N/A</v>
      </c>
      <c r="CM41" s="409" t="e">
        <f t="shared" si="32"/>
        <v>#N/A</v>
      </c>
      <c r="CN41" s="409" t="e">
        <f t="shared" si="33"/>
        <v>#N/A</v>
      </c>
      <c r="CO41" s="1177" t="e">
        <f t="shared" si="34"/>
        <v>#N/A</v>
      </c>
      <c r="CP41" s="1186" t="e">
        <f t="shared" si="35"/>
        <v>#N/A</v>
      </c>
      <c r="CQ41" s="1187" t="e">
        <f t="shared" si="36"/>
        <v>#N/A</v>
      </c>
      <c r="CR41" s="1187" t="e">
        <f t="shared" si="37"/>
        <v>#N/A</v>
      </c>
      <c r="CS41" s="1187" t="e">
        <f t="shared" si="38"/>
        <v>#N/A</v>
      </c>
      <c r="CT41" s="1187" t="e">
        <f t="shared" si="39"/>
        <v>#N/A</v>
      </c>
      <c r="CU41" s="1187" t="e">
        <f t="shared" si="40"/>
        <v>#N/A</v>
      </c>
      <c r="CV41" s="1187" t="e">
        <f t="shared" si="41"/>
        <v>#N/A</v>
      </c>
      <c r="CW41" s="1187" t="e">
        <f t="shared" si="42"/>
        <v>#N/A</v>
      </c>
      <c r="CX41" s="1187" t="e">
        <f t="shared" si="43"/>
        <v>#N/A</v>
      </c>
      <c r="CY41" s="1187" t="e">
        <f t="shared" si="44"/>
        <v>#N/A</v>
      </c>
      <c r="CZ41" s="1187" t="e">
        <f t="shared" si="45"/>
        <v>#N/A</v>
      </c>
      <c r="DA41" s="1189" t="e">
        <f t="shared" si="46"/>
        <v>#N/A</v>
      </c>
      <c r="DB41" s="1186" t="e">
        <f t="shared" si="47"/>
        <v>#N/A</v>
      </c>
      <c r="DC41" s="1187" t="e">
        <f t="shared" si="48"/>
        <v>#N/A</v>
      </c>
      <c r="DD41" s="1187" t="e">
        <f t="shared" si="49"/>
        <v>#N/A</v>
      </c>
      <c r="DE41" s="1187" t="e">
        <f t="shared" si="50"/>
        <v>#N/A</v>
      </c>
      <c r="DF41" s="1187" t="e">
        <f t="shared" si="51"/>
        <v>#N/A</v>
      </c>
      <c r="DG41" s="1187" t="e">
        <f t="shared" si="52"/>
        <v>#N/A</v>
      </c>
      <c r="DH41" s="1187" t="e">
        <f t="shared" si="53"/>
        <v>#N/A</v>
      </c>
      <c r="DI41" s="1187" t="e">
        <f t="shared" si="54"/>
        <v>#N/A</v>
      </c>
      <c r="DJ41" s="1187" t="e">
        <f t="shared" si="55"/>
        <v>#N/A</v>
      </c>
      <c r="DK41" s="1187" t="e">
        <f t="shared" si="56"/>
        <v>#N/A</v>
      </c>
      <c r="DL41" s="1187" t="e">
        <f t="shared" si="57"/>
        <v>#N/A</v>
      </c>
      <c r="DM41" s="1189" t="e">
        <f t="shared" si="58"/>
        <v>#N/A</v>
      </c>
    </row>
    <row r="42" spans="2:117" ht="17.25" customHeight="1" x14ac:dyDescent="0.25">
      <c r="B42" s="1482"/>
      <c r="C42" s="277" t="str">
        <f>IF(Language="English", 'Language Look Ups'!$P$21,IF(Language="Francais", 'Language Look Ups'!$T$21, 'Language Look Ups'!$R$21))</f>
        <v>Progestatifs seul (POP)</v>
      </c>
      <c r="D42" s="278" t="e">
        <f>IF($BQ$6=3, 'Visits Input'!D38, IF($BQ$6=4, 'Users Input'!D38, 'Commodities (Clients) Input'!D38))</f>
        <v>#N/A</v>
      </c>
      <c r="E42" s="101" t="e">
        <f>IF($BQ$6=3, 'Visits Input'!E38, IF($BQ$6=4, 'Users Input'!E38, 'Commodities (Clients) Input'!E38))</f>
        <v>#N/A</v>
      </c>
      <c r="F42" s="102" t="e">
        <f>IF($BQ$6=3, 'Visits Input'!F38, IF($BQ$6=4, 'Users Input'!F38, 'Commodities (Clients) Input'!F38))</f>
        <v>#N/A</v>
      </c>
      <c r="G42" s="282"/>
      <c r="H42" s="282"/>
      <c r="I42" s="282"/>
      <c r="J42" s="282"/>
      <c r="K42" s="282"/>
      <c r="L42" s="282"/>
      <c r="M42" s="282"/>
      <c r="N42" s="282"/>
      <c r="O42" s="282"/>
      <c r="P42" s="282"/>
      <c r="Q42" s="282"/>
      <c r="R42" s="1190"/>
      <c r="S42" s="1280"/>
      <c r="T42" s="282"/>
      <c r="U42" s="282"/>
      <c r="V42" s="282"/>
      <c r="W42" s="282"/>
      <c r="X42" s="282"/>
      <c r="Y42" s="282"/>
      <c r="Z42" s="282"/>
      <c r="AA42" s="282"/>
      <c r="AB42" s="282"/>
      <c r="AC42" s="282"/>
      <c r="AD42" s="1281"/>
      <c r="AE42" s="1280"/>
      <c r="AF42" s="282"/>
      <c r="AG42" s="282"/>
      <c r="AH42" s="282"/>
      <c r="AI42" s="282"/>
      <c r="AJ42" s="282"/>
      <c r="AK42" s="282"/>
      <c r="AL42" s="282"/>
      <c r="AM42" s="282"/>
      <c r="AN42" s="282"/>
      <c r="AO42" s="282"/>
      <c r="AP42" s="1281"/>
      <c r="AS42" s="1192">
        <f t="shared" si="19"/>
        <v>0</v>
      </c>
      <c r="AT42" s="1192">
        <f t="shared" si="20"/>
        <v>0</v>
      </c>
      <c r="AU42" s="1192">
        <f t="shared" si="21"/>
        <v>0</v>
      </c>
      <c r="AW42" s="1192">
        <f t="shared" si="22"/>
        <v>0</v>
      </c>
      <c r="AX42" s="1192">
        <f t="shared" si="22"/>
        <v>0</v>
      </c>
      <c r="AY42" s="1192">
        <f t="shared" si="22"/>
        <v>0</v>
      </c>
      <c r="BS42" s="102" t="s">
        <v>83</v>
      </c>
      <c r="BT42" s="184" t="s">
        <v>836</v>
      </c>
      <c r="CB42" s="1295"/>
      <c r="CC42" s="277" t="str">
        <f>IF(Language="English", 'Language Look Ups'!$P$21,IF(Language="Francais", 'Language Look Ups'!$T$21, 'Language Look Ups'!$R$21))</f>
        <v>Progestatifs seul (POP)</v>
      </c>
      <c r="CD42" s="282" t="e">
        <f t="shared" si="23"/>
        <v>#N/A</v>
      </c>
      <c r="CE42" s="282" t="e">
        <f t="shared" si="24"/>
        <v>#N/A</v>
      </c>
      <c r="CF42" s="282" t="e">
        <f t="shared" si="25"/>
        <v>#N/A</v>
      </c>
      <c r="CG42" s="282" t="e">
        <f t="shared" si="26"/>
        <v>#N/A</v>
      </c>
      <c r="CH42" s="282" t="e">
        <f t="shared" si="27"/>
        <v>#N/A</v>
      </c>
      <c r="CI42" s="282" t="e">
        <f t="shared" si="28"/>
        <v>#N/A</v>
      </c>
      <c r="CJ42" s="282" t="e">
        <f t="shared" si="29"/>
        <v>#N/A</v>
      </c>
      <c r="CK42" s="282" t="e">
        <f t="shared" si="30"/>
        <v>#N/A</v>
      </c>
      <c r="CL42" s="282" t="e">
        <f t="shared" si="31"/>
        <v>#N/A</v>
      </c>
      <c r="CM42" s="282" t="e">
        <f t="shared" si="32"/>
        <v>#N/A</v>
      </c>
      <c r="CN42" s="282" t="e">
        <f t="shared" si="33"/>
        <v>#N/A</v>
      </c>
      <c r="CO42" s="1190" t="e">
        <f t="shared" si="34"/>
        <v>#N/A</v>
      </c>
      <c r="CP42" s="1191" t="e">
        <f t="shared" si="35"/>
        <v>#N/A</v>
      </c>
      <c r="CQ42" s="1192" t="e">
        <f t="shared" si="36"/>
        <v>#N/A</v>
      </c>
      <c r="CR42" s="1192" t="e">
        <f t="shared" si="37"/>
        <v>#N/A</v>
      </c>
      <c r="CS42" s="1192" t="e">
        <f t="shared" si="38"/>
        <v>#N/A</v>
      </c>
      <c r="CT42" s="1192" t="e">
        <f t="shared" si="39"/>
        <v>#N/A</v>
      </c>
      <c r="CU42" s="1192" t="e">
        <f t="shared" si="40"/>
        <v>#N/A</v>
      </c>
      <c r="CV42" s="1192" t="e">
        <f t="shared" si="41"/>
        <v>#N/A</v>
      </c>
      <c r="CW42" s="1192" t="e">
        <f t="shared" si="42"/>
        <v>#N/A</v>
      </c>
      <c r="CX42" s="1192" t="e">
        <f t="shared" si="43"/>
        <v>#N/A</v>
      </c>
      <c r="CY42" s="1192" t="e">
        <f t="shared" si="44"/>
        <v>#N/A</v>
      </c>
      <c r="CZ42" s="1192" t="e">
        <f t="shared" si="45"/>
        <v>#N/A</v>
      </c>
      <c r="DA42" s="1194" t="e">
        <f t="shared" si="46"/>
        <v>#N/A</v>
      </c>
      <c r="DB42" s="1191" t="e">
        <f t="shared" si="47"/>
        <v>#N/A</v>
      </c>
      <c r="DC42" s="1192" t="e">
        <f t="shared" si="48"/>
        <v>#N/A</v>
      </c>
      <c r="DD42" s="1192" t="e">
        <f t="shared" si="49"/>
        <v>#N/A</v>
      </c>
      <c r="DE42" s="1192" t="e">
        <f t="shared" si="50"/>
        <v>#N/A</v>
      </c>
      <c r="DF42" s="1192" t="e">
        <f t="shared" si="51"/>
        <v>#N/A</v>
      </c>
      <c r="DG42" s="1192" t="e">
        <f t="shared" si="52"/>
        <v>#N/A</v>
      </c>
      <c r="DH42" s="1192" t="e">
        <f t="shared" si="53"/>
        <v>#N/A</v>
      </c>
      <c r="DI42" s="1192" t="e">
        <f t="shared" si="54"/>
        <v>#N/A</v>
      </c>
      <c r="DJ42" s="1192" t="e">
        <f t="shared" si="55"/>
        <v>#N/A</v>
      </c>
      <c r="DK42" s="1192" t="e">
        <f t="shared" si="56"/>
        <v>#N/A</v>
      </c>
      <c r="DL42" s="1192" t="e">
        <f t="shared" si="57"/>
        <v>#N/A</v>
      </c>
      <c r="DM42" s="1194" t="e">
        <f t="shared" si="58"/>
        <v>#N/A</v>
      </c>
    </row>
    <row r="43" spans="2:117" ht="17.25" customHeight="1" x14ac:dyDescent="0.25">
      <c r="B43" s="1481"/>
      <c r="C43" s="275" t="str">
        <f>IF(Language="English", 'Language Look Ups'!$P$22,IF(Language="Francais", 'Language Look Ups'!$T$22, 'Language Look Ups'!$R$22))</f>
        <v>Autre pilule</v>
      </c>
      <c r="D43" s="276" t="e">
        <f>IF($BQ$6=3, 'Visits Input'!D39, IF($BQ$6=4, 'Users Input'!D39, 'Commodities (Clients) Input'!D39))</f>
        <v>#N/A</v>
      </c>
      <c r="E43" s="99" t="e">
        <f>IF($BQ$6=3, 'Visits Input'!E39, IF($BQ$6=4, 'Users Input'!E39, 'Commodities (Clients) Input'!E39))</f>
        <v>#N/A</v>
      </c>
      <c r="F43" s="100" t="e">
        <f>IF($BQ$6=3, 'Visits Input'!F39, IF($BQ$6=4, 'Users Input'!F39, 'Commodities (Clients) Input'!F39))</f>
        <v>#N/A</v>
      </c>
      <c r="G43" s="284"/>
      <c r="H43" s="284"/>
      <c r="I43" s="284"/>
      <c r="J43" s="284"/>
      <c r="K43" s="284"/>
      <c r="L43" s="284"/>
      <c r="M43" s="284"/>
      <c r="N43" s="284"/>
      <c r="O43" s="284"/>
      <c r="P43" s="284"/>
      <c r="Q43" s="284"/>
      <c r="R43" s="1181"/>
      <c r="S43" s="1276"/>
      <c r="T43" s="284"/>
      <c r="U43" s="284"/>
      <c r="V43" s="284"/>
      <c r="W43" s="284"/>
      <c r="X43" s="284"/>
      <c r="Y43" s="284"/>
      <c r="Z43" s="284"/>
      <c r="AA43" s="284"/>
      <c r="AB43" s="284"/>
      <c r="AC43" s="284"/>
      <c r="AD43" s="1277"/>
      <c r="AE43" s="1276"/>
      <c r="AF43" s="284"/>
      <c r="AG43" s="284"/>
      <c r="AH43" s="284"/>
      <c r="AI43" s="284"/>
      <c r="AJ43" s="284"/>
      <c r="AK43" s="284"/>
      <c r="AL43" s="284"/>
      <c r="AM43" s="284"/>
      <c r="AN43" s="284"/>
      <c r="AO43" s="284"/>
      <c r="AP43" s="1277"/>
      <c r="AS43" s="1183">
        <f t="shared" si="19"/>
        <v>0</v>
      </c>
      <c r="AT43" s="1183">
        <f t="shared" si="20"/>
        <v>0</v>
      </c>
      <c r="AU43" s="1183">
        <f t="shared" si="21"/>
        <v>0</v>
      </c>
      <c r="AW43" s="1183">
        <f t="shared" si="22"/>
        <v>0</v>
      </c>
      <c r="AX43" s="1183">
        <f t="shared" si="22"/>
        <v>0</v>
      </c>
      <c r="AY43" s="1183">
        <f t="shared" si="22"/>
        <v>0</v>
      </c>
      <c r="BS43" s="100" t="s">
        <v>83</v>
      </c>
      <c r="BT43" s="184" t="s">
        <v>836</v>
      </c>
      <c r="CB43" s="1294"/>
      <c r="CC43" s="275" t="str">
        <f>IF(Language="English", 'Language Look Ups'!$P$22,IF(Language="Francais", 'Language Look Ups'!$T$22, 'Language Look Ups'!$R$22))</f>
        <v>Autre pilule</v>
      </c>
      <c r="CD43" s="284" t="e">
        <f t="shared" si="23"/>
        <v>#N/A</v>
      </c>
      <c r="CE43" s="284" t="e">
        <f t="shared" si="24"/>
        <v>#N/A</v>
      </c>
      <c r="CF43" s="284" t="e">
        <f t="shared" si="25"/>
        <v>#N/A</v>
      </c>
      <c r="CG43" s="284" t="e">
        <f t="shared" si="26"/>
        <v>#N/A</v>
      </c>
      <c r="CH43" s="284" t="e">
        <f t="shared" si="27"/>
        <v>#N/A</v>
      </c>
      <c r="CI43" s="284" t="e">
        <f t="shared" si="28"/>
        <v>#N/A</v>
      </c>
      <c r="CJ43" s="284" t="e">
        <f t="shared" si="29"/>
        <v>#N/A</v>
      </c>
      <c r="CK43" s="284" t="e">
        <f t="shared" si="30"/>
        <v>#N/A</v>
      </c>
      <c r="CL43" s="284" t="e">
        <f t="shared" si="31"/>
        <v>#N/A</v>
      </c>
      <c r="CM43" s="284" t="e">
        <f t="shared" si="32"/>
        <v>#N/A</v>
      </c>
      <c r="CN43" s="284" t="e">
        <f t="shared" si="33"/>
        <v>#N/A</v>
      </c>
      <c r="CO43" s="1181" t="e">
        <f t="shared" si="34"/>
        <v>#N/A</v>
      </c>
      <c r="CP43" s="1182" t="e">
        <f t="shared" si="35"/>
        <v>#N/A</v>
      </c>
      <c r="CQ43" s="1183" t="e">
        <f t="shared" si="36"/>
        <v>#N/A</v>
      </c>
      <c r="CR43" s="1183" t="e">
        <f t="shared" si="37"/>
        <v>#N/A</v>
      </c>
      <c r="CS43" s="1183" t="e">
        <f t="shared" si="38"/>
        <v>#N/A</v>
      </c>
      <c r="CT43" s="1183" t="e">
        <f t="shared" si="39"/>
        <v>#N/A</v>
      </c>
      <c r="CU43" s="1183" t="e">
        <f t="shared" si="40"/>
        <v>#N/A</v>
      </c>
      <c r="CV43" s="1183" t="e">
        <f t="shared" si="41"/>
        <v>#N/A</v>
      </c>
      <c r="CW43" s="1183" t="e">
        <f t="shared" si="42"/>
        <v>#N/A</v>
      </c>
      <c r="CX43" s="1183" t="e">
        <f t="shared" si="43"/>
        <v>#N/A</v>
      </c>
      <c r="CY43" s="1183" t="e">
        <f t="shared" si="44"/>
        <v>#N/A</v>
      </c>
      <c r="CZ43" s="1183" t="e">
        <f t="shared" si="45"/>
        <v>#N/A</v>
      </c>
      <c r="DA43" s="1185" t="e">
        <f t="shared" si="46"/>
        <v>#N/A</v>
      </c>
      <c r="DB43" s="1182" t="e">
        <f t="shared" si="47"/>
        <v>#N/A</v>
      </c>
      <c r="DC43" s="1183" t="e">
        <f t="shared" si="48"/>
        <v>#N/A</v>
      </c>
      <c r="DD43" s="1183" t="e">
        <f t="shared" si="49"/>
        <v>#N/A</v>
      </c>
      <c r="DE43" s="1183" t="e">
        <f t="shared" si="50"/>
        <v>#N/A</v>
      </c>
      <c r="DF43" s="1183" t="e">
        <f t="shared" si="51"/>
        <v>#N/A</v>
      </c>
      <c r="DG43" s="1183" t="e">
        <f t="shared" si="52"/>
        <v>#N/A</v>
      </c>
      <c r="DH43" s="1183" t="e">
        <f t="shared" si="53"/>
        <v>#N/A</v>
      </c>
      <c r="DI43" s="1183" t="e">
        <f t="shared" si="54"/>
        <v>#N/A</v>
      </c>
      <c r="DJ43" s="1183" t="e">
        <f t="shared" si="55"/>
        <v>#N/A</v>
      </c>
      <c r="DK43" s="1183" t="e">
        <f t="shared" si="56"/>
        <v>#N/A</v>
      </c>
      <c r="DL43" s="1183" t="e">
        <f t="shared" si="57"/>
        <v>#N/A</v>
      </c>
      <c r="DM43" s="1185" t="e">
        <f t="shared" si="58"/>
        <v>#N/A</v>
      </c>
    </row>
    <row r="44" spans="2:117" ht="17.25" customHeight="1" x14ac:dyDescent="0.25">
      <c r="B44" s="1480" t="str">
        <f>IF(Language="English", 'Language Look Ups'!$O$23,IF(Language="Francais", 'Language Look Ups'!$S$23, 'Language Look Ups'!Q$23))</f>
        <v>Préservatifs</v>
      </c>
      <c r="C44" s="363" t="str">
        <f>IF(Language="English", 'Language Look Ups'!$P$23,IF(Language="Francais", 'Language Look Ups'!$T$23, 'Language Look Ups'!$R$23))</f>
        <v>Préservatifs masculin</v>
      </c>
      <c r="D44" s="407" t="e">
        <f>IF($BQ$6=3, 'Visits Input'!D40, IF($BQ$6=4, 'Users Input'!D40, 'Commodities (Clients) Input'!D40))</f>
        <v>#N/A</v>
      </c>
      <c r="E44" s="408" t="e">
        <f>IF($BQ$6=3, 'Visits Input'!E40, IF($BQ$6=4, 'Users Input'!E40, 'Commodities (Clients) Input'!E40))</f>
        <v>#N/A</v>
      </c>
      <c r="F44" s="416" t="e">
        <f>IF($BQ$6=3, 'Visits Input'!F40, IF($BQ$6=4, 'Users Input'!F40, 'Commodities (Clients) Input'!F40))</f>
        <v>#N/A</v>
      </c>
      <c r="G44" s="409"/>
      <c r="H44" s="409"/>
      <c r="I44" s="409"/>
      <c r="J44" s="409"/>
      <c r="K44" s="409"/>
      <c r="L44" s="409"/>
      <c r="M44" s="409"/>
      <c r="N44" s="409"/>
      <c r="O44" s="409"/>
      <c r="P44" s="409"/>
      <c r="Q44" s="409"/>
      <c r="R44" s="1177"/>
      <c r="S44" s="1278"/>
      <c r="T44" s="409"/>
      <c r="U44" s="409"/>
      <c r="V44" s="409"/>
      <c r="W44" s="409"/>
      <c r="X44" s="409"/>
      <c r="Y44" s="409"/>
      <c r="Z44" s="409"/>
      <c r="AA44" s="409"/>
      <c r="AB44" s="409"/>
      <c r="AC44" s="409"/>
      <c r="AD44" s="1279"/>
      <c r="AE44" s="1278"/>
      <c r="AF44" s="409"/>
      <c r="AG44" s="409"/>
      <c r="AH44" s="409"/>
      <c r="AI44" s="409"/>
      <c r="AJ44" s="409"/>
      <c r="AK44" s="409"/>
      <c r="AL44" s="409"/>
      <c r="AM44" s="409"/>
      <c r="AN44" s="409"/>
      <c r="AO44" s="409"/>
      <c r="AP44" s="1279"/>
      <c r="AS44" s="1187">
        <f t="shared" si="19"/>
        <v>0</v>
      </c>
      <c r="AT44" s="1187">
        <f t="shared" si="20"/>
        <v>0</v>
      </c>
      <c r="AU44" s="1187">
        <f t="shared" si="21"/>
        <v>0</v>
      </c>
      <c r="AW44" s="1187">
        <f t="shared" si="22"/>
        <v>0</v>
      </c>
      <c r="AX44" s="1187">
        <f t="shared" si="22"/>
        <v>0</v>
      </c>
      <c r="AY44" s="1187">
        <f t="shared" si="22"/>
        <v>0</v>
      </c>
      <c r="BS44" s="416" t="s">
        <v>83</v>
      </c>
      <c r="BT44" s="184" t="s">
        <v>836</v>
      </c>
      <c r="CB44" s="1131" t="str">
        <f>IF(Language="English", 'Language Look Ups'!$O$23,IF(Language="Francais", 'Language Look Ups'!$S$23, 'Language Look Ups'!Q$23))</f>
        <v>Préservatifs</v>
      </c>
      <c r="CC44" s="363" t="str">
        <f>IF(Language="English", 'Language Look Ups'!$P$23,IF(Language="Francais", 'Language Look Ups'!$T$23, 'Language Look Ups'!$R$23))</f>
        <v>Préservatifs masculin</v>
      </c>
      <c r="CD44" s="409" t="e">
        <f t="shared" si="23"/>
        <v>#N/A</v>
      </c>
      <c r="CE44" s="409" t="e">
        <f t="shared" si="24"/>
        <v>#N/A</v>
      </c>
      <c r="CF44" s="409" t="e">
        <f t="shared" si="25"/>
        <v>#N/A</v>
      </c>
      <c r="CG44" s="409" t="e">
        <f t="shared" si="26"/>
        <v>#N/A</v>
      </c>
      <c r="CH44" s="409" t="e">
        <f t="shared" si="27"/>
        <v>#N/A</v>
      </c>
      <c r="CI44" s="409" t="e">
        <f t="shared" si="28"/>
        <v>#N/A</v>
      </c>
      <c r="CJ44" s="409" t="e">
        <f t="shared" si="29"/>
        <v>#N/A</v>
      </c>
      <c r="CK44" s="409" t="e">
        <f t="shared" si="30"/>
        <v>#N/A</v>
      </c>
      <c r="CL44" s="409" t="e">
        <f t="shared" si="31"/>
        <v>#N/A</v>
      </c>
      <c r="CM44" s="409" t="e">
        <f t="shared" si="32"/>
        <v>#N/A</v>
      </c>
      <c r="CN44" s="409" t="e">
        <f t="shared" si="33"/>
        <v>#N/A</v>
      </c>
      <c r="CO44" s="1177" t="e">
        <f t="shared" si="34"/>
        <v>#N/A</v>
      </c>
      <c r="CP44" s="1186" t="e">
        <f t="shared" si="35"/>
        <v>#N/A</v>
      </c>
      <c r="CQ44" s="1187" t="e">
        <f t="shared" si="36"/>
        <v>#N/A</v>
      </c>
      <c r="CR44" s="1187" t="e">
        <f t="shared" si="37"/>
        <v>#N/A</v>
      </c>
      <c r="CS44" s="1187" t="e">
        <f t="shared" si="38"/>
        <v>#N/A</v>
      </c>
      <c r="CT44" s="1187" t="e">
        <f t="shared" si="39"/>
        <v>#N/A</v>
      </c>
      <c r="CU44" s="1187" t="e">
        <f t="shared" si="40"/>
        <v>#N/A</v>
      </c>
      <c r="CV44" s="1187" t="e">
        <f t="shared" si="41"/>
        <v>#N/A</v>
      </c>
      <c r="CW44" s="1187" t="e">
        <f t="shared" si="42"/>
        <v>#N/A</v>
      </c>
      <c r="CX44" s="1187" t="e">
        <f t="shared" si="43"/>
        <v>#N/A</v>
      </c>
      <c r="CY44" s="1187" t="e">
        <f t="shared" si="44"/>
        <v>#N/A</v>
      </c>
      <c r="CZ44" s="1187" t="e">
        <f t="shared" si="45"/>
        <v>#N/A</v>
      </c>
      <c r="DA44" s="1189" t="e">
        <f t="shared" si="46"/>
        <v>#N/A</v>
      </c>
      <c r="DB44" s="1186" t="e">
        <f t="shared" si="47"/>
        <v>#N/A</v>
      </c>
      <c r="DC44" s="1187" t="e">
        <f t="shared" si="48"/>
        <v>#N/A</v>
      </c>
      <c r="DD44" s="1187" t="e">
        <f t="shared" si="49"/>
        <v>#N/A</v>
      </c>
      <c r="DE44" s="1187" t="e">
        <f t="shared" si="50"/>
        <v>#N/A</v>
      </c>
      <c r="DF44" s="1187" t="e">
        <f t="shared" si="51"/>
        <v>#N/A</v>
      </c>
      <c r="DG44" s="1187" t="e">
        <f t="shared" si="52"/>
        <v>#N/A</v>
      </c>
      <c r="DH44" s="1187" t="e">
        <f t="shared" si="53"/>
        <v>#N/A</v>
      </c>
      <c r="DI44" s="1187" t="e">
        <f t="shared" si="54"/>
        <v>#N/A</v>
      </c>
      <c r="DJ44" s="1187" t="e">
        <f t="shared" si="55"/>
        <v>#N/A</v>
      </c>
      <c r="DK44" s="1187" t="e">
        <f t="shared" si="56"/>
        <v>#N/A</v>
      </c>
      <c r="DL44" s="1187" t="e">
        <f t="shared" si="57"/>
        <v>#N/A</v>
      </c>
      <c r="DM44" s="1189" t="e">
        <f t="shared" si="58"/>
        <v>#N/A</v>
      </c>
    </row>
    <row r="45" spans="2:117" ht="17.25" customHeight="1" x14ac:dyDescent="0.25">
      <c r="B45" s="1481"/>
      <c r="C45" s="275" t="str">
        <f>IF(Language="English", 'Language Look Ups'!$P$24,IF(Language="Francais", 'Language Look Ups'!$T$24, 'Language Look Ups'!$R$24))</f>
        <v>Préservatifs feminin</v>
      </c>
      <c r="D45" s="276" t="e">
        <f>IF($BQ$6=3, 'Visits Input'!D41, IF($BQ$6=4, 'Users Input'!D41, 'Commodities (Clients) Input'!D41))</f>
        <v>#N/A</v>
      </c>
      <c r="E45" s="99" t="e">
        <f>IF($BQ$6=3, 'Visits Input'!E41, IF($BQ$6=4, 'Users Input'!E41, 'Commodities (Clients) Input'!E41))</f>
        <v>#N/A</v>
      </c>
      <c r="F45" s="100" t="e">
        <f>IF($BQ$6=3, 'Visits Input'!F41, IF($BQ$6=4, 'Users Input'!F41, 'Commodities (Clients) Input'!F41))</f>
        <v>#N/A</v>
      </c>
      <c r="G45" s="284"/>
      <c r="H45" s="284"/>
      <c r="I45" s="284"/>
      <c r="J45" s="284"/>
      <c r="K45" s="284"/>
      <c r="L45" s="284"/>
      <c r="M45" s="284"/>
      <c r="N45" s="284"/>
      <c r="O45" s="284"/>
      <c r="P45" s="284"/>
      <c r="Q45" s="284"/>
      <c r="R45" s="1181"/>
      <c r="S45" s="1276"/>
      <c r="T45" s="284"/>
      <c r="U45" s="284"/>
      <c r="V45" s="284"/>
      <c r="W45" s="284"/>
      <c r="X45" s="284"/>
      <c r="Y45" s="284"/>
      <c r="Z45" s="284"/>
      <c r="AA45" s="284"/>
      <c r="AB45" s="284"/>
      <c r="AC45" s="284"/>
      <c r="AD45" s="1277"/>
      <c r="AE45" s="1276"/>
      <c r="AF45" s="284"/>
      <c r="AG45" s="284"/>
      <c r="AH45" s="284"/>
      <c r="AI45" s="284"/>
      <c r="AJ45" s="284"/>
      <c r="AK45" s="284"/>
      <c r="AL45" s="284"/>
      <c r="AM45" s="284"/>
      <c r="AN45" s="284"/>
      <c r="AO45" s="284"/>
      <c r="AP45" s="1277"/>
      <c r="AS45" s="1183">
        <f t="shared" si="19"/>
        <v>0</v>
      </c>
      <c r="AT45" s="1183">
        <f t="shared" si="20"/>
        <v>0</v>
      </c>
      <c r="AU45" s="1183">
        <f t="shared" si="21"/>
        <v>0</v>
      </c>
      <c r="AW45" s="1183">
        <f t="shared" si="22"/>
        <v>0</v>
      </c>
      <c r="AX45" s="1183">
        <f t="shared" si="22"/>
        <v>0</v>
      </c>
      <c r="AY45" s="1183">
        <f t="shared" si="22"/>
        <v>0</v>
      </c>
      <c r="BS45" s="100" t="s">
        <v>83</v>
      </c>
      <c r="BT45" s="184" t="s">
        <v>836</v>
      </c>
      <c r="CB45" s="1294"/>
      <c r="CC45" s="275" t="str">
        <f>IF(Language="English", 'Language Look Ups'!$P$24,IF(Language="Francais", 'Language Look Ups'!$T$24, 'Language Look Ups'!$R$24))</f>
        <v>Préservatifs feminin</v>
      </c>
      <c r="CD45" s="284" t="e">
        <f t="shared" si="23"/>
        <v>#N/A</v>
      </c>
      <c r="CE45" s="284" t="e">
        <f t="shared" si="24"/>
        <v>#N/A</v>
      </c>
      <c r="CF45" s="284" t="e">
        <f t="shared" si="25"/>
        <v>#N/A</v>
      </c>
      <c r="CG45" s="284" t="e">
        <f t="shared" si="26"/>
        <v>#N/A</v>
      </c>
      <c r="CH45" s="284" t="e">
        <f t="shared" si="27"/>
        <v>#N/A</v>
      </c>
      <c r="CI45" s="284" t="e">
        <f t="shared" si="28"/>
        <v>#N/A</v>
      </c>
      <c r="CJ45" s="284" t="e">
        <f t="shared" si="29"/>
        <v>#N/A</v>
      </c>
      <c r="CK45" s="284" t="e">
        <f t="shared" si="30"/>
        <v>#N/A</v>
      </c>
      <c r="CL45" s="284" t="e">
        <f t="shared" si="31"/>
        <v>#N/A</v>
      </c>
      <c r="CM45" s="284" t="e">
        <f t="shared" si="32"/>
        <v>#N/A</v>
      </c>
      <c r="CN45" s="284" t="e">
        <f t="shared" si="33"/>
        <v>#N/A</v>
      </c>
      <c r="CO45" s="1181" t="e">
        <f t="shared" si="34"/>
        <v>#N/A</v>
      </c>
      <c r="CP45" s="1182" t="e">
        <f t="shared" si="35"/>
        <v>#N/A</v>
      </c>
      <c r="CQ45" s="1183" t="e">
        <f t="shared" si="36"/>
        <v>#N/A</v>
      </c>
      <c r="CR45" s="1183" t="e">
        <f t="shared" si="37"/>
        <v>#N/A</v>
      </c>
      <c r="CS45" s="1183" t="e">
        <f t="shared" si="38"/>
        <v>#N/A</v>
      </c>
      <c r="CT45" s="1183" t="e">
        <f t="shared" si="39"/>
        <v>#N/A</v>
      </c>
      <c r="CU45" s="1183" t="e">
        <f t="shared" si="40"/>
        <v>#N/A</v>
      </c>
      <c r="CV45" s="1183" t="e">
        <f t="shared" si="41"/>
        <v>#N/A</v>
      </c>
      <c r="CW45" s="1183" t="e">
        <f t="shared" si="42"/>
        <v>#N/A</v>
      </c>
      <c r="CX45" s="1183" t="e">
        <f t="shared" si="43"/>
        <v>#N/A</v>
      </c>
      <c r="CY45" s="1183" t="e">
        <f t="shared" si="44"/>
        <v>#N/A</v>
      </c>
      <c r="CZ45" s="1183" t="e">
        <f t="shared" si="45"/>
        <v>#N/A</v>
      </c>
      <c r="DA45" s="1185" t="e">
        <f t="shared" si="46"/>
        <v>#N/A</v>
      </c>
      <c r="DB45" s="1182" t="e">
        <f t="shared" si="47"/>
        <v>#N/A</v>
      </c>
      <c r="DC45" s="1183" t="e">
        <f t="shared" si="48"/>
        <v>#N/A</v>
      </c>
      <c r="DD45" s="1183" t="e">
        <f t="shared" si="49"/>
        <v>#N/A</v>
      </c>
      <c r="DE45" s="1183" t="e">
        <f t="shared" si="50"/>
        <v>#N/A</v>
      </c>
      <c r="DF45" s="1183" t="e">
        <f t="shared" si="51"/>
        <v>#N/A</v>
      </c>
      <c r="DG45" s="1183" t="e">
        <f t="shared" si="52"/>
        <v>#N/A</v>
      </c>
      <c r="DH45" s="1183" t="e">
        <f t="shared" si="53"/>
        <v>#N/A</v>
      </c>
      <c r="DI45" s="1183" t="e">
        <f t="shared" si="54"/>
        <v>#N/A</v>
      </c>
      <c r="DJ45" s="1183" t="e">
        <f t="shared" si="55"/>
        <v>#N/A</v>
      </c>
      <c r="DK45" s="1183" t="e">
        <f t="shared" si="56"/>
        <v>#N/A</v>
      </c>
      <c r="DL45" s="1183" t="e">
        <f t="shared" si="57"/>
        <v>#N/A</v>
      </c>
      <c r="DM45" s="1185" t="e">
        <f t="shared" si="58"/>
        <v>#N/A</v>
      </c>
    </row>
    <row r="46" spans="2:117" ht="17.25" customHeight="1" x14ac:dyDescent="0.25">
      <c r="B46" s="1491" t="str">
        <f>IF(Language="English", 'Language Look Ups'!$O$25,IF(Language="Francais", 'Language Look Ups'!$S$25, 'Language Look Ups'!Q$25))</f>
        <v>Autres Méthodes Modernes</v>
      </c>
      <c r="C46" s="363" t="str">
        <f>IF(Language="English", 'Language Look Ups'!$P$25,IF(Language="Francais", 'Language Look Ups'!$T$25, 'Language Look Ups'!$R$25))</f>
        <v>MAMA</v>
      </c>
      <c r="D46" s="407" t="e">
        <f>IF($BQ$6=3, 'Visits Input'!D42, IF($BQ$6=4, 'Users Input'!D42, 'Commodities (Clients) Input'!D42))</f>
        <v>#N/A</v>
      </c>
      <c r="E46" s="408" t="e">
        <f>IF($BQ$6=3, 'Visits Input'!E42, IF($BQ$6=4, 'Users Input'!E42, 'Commodities (Clients) Input'!E42))</f>
        <v>#N/A</v>
      </c>
      <c r="F46" s="416" t="e">
        <f>IF($BQ$6=3, 'Visits Input'!F42, IF($BQ$6=4, 'Users Input'!F42, 'Commodities (Clients) Input'!F42))</f>
        <v>#N/A</v>
      </c>
      <c r="G46" s="409"/>
      <c r="H46" s="409"/>
      <c r="I46" s="409"/>
      <c r="J46" s="409"/>
      <c r="K46" s="409"/>
      <c r="L46" s="409"/>
      <c r="M46" s="409"/>
      <c r="N46" s="409"/>
      <c r="O46" s="409"/>
      <c r="P46" s="409"/>
      <c r="Q46" s="409"/>
      <c r="R46" s="1177"/>
      <c r="S46" s="1278"/>
      <c r="T46" s="409"/>
      <c r="U46" s="409"/>
      <c r="V46" s="409"/>
      <c r="W46" s="409"/>
      <c r="X46" s="409"/>
      <c r="Y46" s="409"/>
      <c r="Z46" s="409"/>
      <c r="AA46" s="409"/>
      <c r="AB46" s="409"/>
      <c r="AC46" s="409"/>
      <c r="AD46" s="1279"/>
      <c r="AE46" s="1278"/>
      <c r="AF46" s="409"/>
      <c r="AG46" s="409"/>
      <c r="AH46" s="409"/>
      <c r="AI46" s="409"/>
      <c r="AJ46" s="409"/>
      <c r="AK46" s="409"/>
      <c r="AL46" s="409"/>
      <c r="AM46" s="409"/>
      <c r="AN46" s="409"/>
      <c r="AO46" s="409"/>
      <c r="AP46" s="1279"/>
      <c r="AS46" s="1187">
        <f t="shared" si="19"/>
        <v>0</v>
      </c>
      <c r="AT46" s="1187">
        <f t="shared" si="20"/>
        <v>0</v>
      </c>
      <c r="AU46" s="1187">
        <f t="shared" si="21"/>
        <v>0</v>
      </c>
      <c r="AW46" s="1187">
        <f t="shared" si="22"/>
        <v>0</v>
      </c>
      <c r="AX46" s="1187">
        <f t="shared" si="22"/>
        <v>0</v>
      </c>
      <c r="AY46" s="1187">
        <f t="shared" si="22"/>
        <v>0</v>
      </c>
      <c r="BS46" s="416" t="s">
        <v>83</v>
      </c>
      <c r="BT46" s="184" t="s">
        <v>836</v>
      </c>
      <c r="CB46" s="1131" t="str">
        <f>IF(Language="English", 'Language Look Ups'!$O$25,IF(Language="Francais", 'Language Look Ups'!$S$25, 'Language Look Ups'!Q$25))</f>
        <v>Autres Méthodes Modernes</v>
      </c>
      <c r="CC46" s="363" t="str">
        <f>IF(Language="English", 'Language Look Ups'!$P$25,IF(Language="Francais", 'Language Look Ups'!$T$25, 'Language Look Ups'!$R$25))</f>
        <v>MAMA</v>
      </c>
      <c r="CD46" s="409" t="e">
        <f t="shared" si="23"/>
        <v>#N/A</v>
      </c>
      <c r="CE46" s="409" t="e">
        <f t="shared" si="24"/>
        <v>#N/A</v>
      </c>
      <c r="CF46" s="409" t="e">
        <f t="shared" si="25"/>
        <v>#N/A</v>
      </c>
      <c r="CG46" s="409" t="e">
        <f t="shared" si="26"/>
        <v>#N/A</v>
      </c>
      <c r="CH46" s="409" t="e">
        <f t="shared" si="27"/>
        <v>#N/A</v>
      </c>
      <c r="CI46" s="409" t="e">
        <f t="shared" si="28"/>
        <v>#N/A</v>
      </c>
      <c r="CJ46" s="409" t="e">
        <f t="shared" si="29"/>
        <v>#N/A</v>
      </c>
      <c r="CK46" s="409" t="e">
        <f t="shared" si="30"/>
        <v>#N/A</v>
      </c>
      <c r="CL46" s="409" t="e">
        <f t="shared" si="31"/>
        <v>#N/A</v>
      </c>
      <c r="CM46" s="409" t="e">
        <f t="shared" si="32"/>
        <v>#N/A</v>
      </c>
      <c r="CN46" s="409" t="e">
        <f t="shared" si="33"/>
        <v>#N/A</v>
      </c>
      <c r="CO46" s="1177" t="e">
        <f t="shared" si="34"/>
        <v>#N/A</v>
      </c>
      <c r="CP46" s="1186" t="e">
        <f t="shared" si="35"/>
        <v>#N/A</v>
      </c>
      <c r="CQ46" s="1187" t="e">
        <f t="shared" si="36"/>
        <v>#N/A</v>
      </c>
      <c r="CR46" s="1187" t="e">
        <f t="shared" si="37"/>
        <v>#N/A</v>
      </c>
      <c r="CS46" s="1187" t="e">
        <f t="shared" si="38"/>
        <v>#N/A</v>
      </c>
      <c r="CT46" s="1187" t="e">
        <f t="shared" si="39"/>
        <v>#N/A</v>
      </c>
      <c r="CU46" s="1187" t="e">
        <f t="shared" si="40"/>
        <v>#N/A</v>
      </c>
      <c r="CV46" s="1187" t="e">
        <f t="shared" si="41"/>
        <v>#N/A</v>
      </c>
      <c r="CW46" s="1187" t="e">
        <f t="shared" si="42"/>
        <v>#N/A</v>
      </c>
      <c r="CX46" s="1187" t="e">
        <f t="shared" si="43"/>
        <v>#N/A</v>
      </c>
      <c r="CY46" s="1187" t="e">
        <f t="shared" si="44"/>
        <v>#N/A</v>
      </c>
      <c r="CZ46" s="1187" t="e">
        <f t="shared" si="45"/>
        <v>#N/A</v>
      </c>
      <c r="DA46" s="1189" t="e">
        <f t="shared" si="46"/>
        <v>#N/A</v>
      </c>
      <c r="DB46" s="1186" t="e">
        <f t="shared" si="47"/>
        <v>#N/A</v>
      </c>
      <c r="DC46" s="1187" t="e">
        <f t="shared" si="48"/>
        <v>#N/A</v>
      </c>
      <c r="DD46" s="1187" t="e">
        <f t="shared" si="49"/>
        <v>#N/A</v>
      </c>
      <c r="DE46" s="1187" t="e">
        <f t="shared" si="50"/>
        <v>#N/A</v>
      </c>
      <c r="DF46" s="1187" t="e">
        <f t="shared" si="51"/>
        <v>#N/A</v>
      </c>
      <c r="DG46" s="1187" t="e">
        <f t="shared" si="52"/>
        <v>#N/A</v>
      </c>
      <c r="DH46" s="1187" t="e">
        <f t="shared" si="53"/>
        <v>#N/A</v>
      </c>
      <c r="DI46" s="1187" t="e">
        <f t="shared" si="54"/>
        <v>#N/A</v>
      </c>
      <c r="DJ46" s="1187" t="e">
        <f t="shared" si="55"/>
        <v>#N/A</v>
      </c>
      <c r="DK46" s="1187" t="e">
        <f t="shared" si="56"/>
        <v>#N/A</v>
      </c>
      <c r="DL46" s="1187" t="e">
        <f t="shared" si="57"/>
        <v>#N/A</v>
      </c>
      <c r="DM46" s="1189" t="e">
        <f t="shared" si="58"/>
        <v>#N/A</v>
      </c>
    </row>
    <row r="47" spans="2:117" ht="17.25" customHeight="1" x14ac:dyDescent="0.25">
      <c r="B47" s="1492"/>
      <c r="C47" s="277" t="str">
        <f>IF(Language="English", 'Language Look Ups'!$P$26,IF(Language="Francais", 'Language Look Ups'!$T$26, 'Language Look Ups'!$R$26))</f>
        <v>MJF (Jours fixes)</v>
      </c>
      <c r="D47" s="278" t="e">
        <f>IF($BQ$6=3, 'Visits Input'!D43, IF($BQ$6=4, 'Users Input'!D43, 'Commodities (Clients) Input'!D43))</f>
        <v>#N/A</v>
      </c>
      <c r="E47" s="101" t="e">
        <f>IF($BQ$6=3, 'Visits Input'!E43, IF($BQ$6=4, 'Users Input'!E43, 'Commodities (Clients) Input'!E43))</f>
        <v>#N/A</v>
      </c>
      <c r="F47" s="102" t="e">
        <f>IF($BQ$6=3, 'Visits Input'!F43, IF($BQ$6=4, 'Users Input'!F43, 'Commodities (Clients) Input'!F43))</f>
        <v>#N/A</v>
      </c>
      <c r="G47" s="282"/>
      <c r="H47" s="282"/>
      <c r="I47" s="282"/>
      <c r="J47" s="282"/>
      <c r="K47" s="282"/>
      <c r="L47" s="282"/>
      <c r="M47" s="282"/>
      <c r="N47" s="282"/>
      <c r="O47" s="282"/>
      <c r="P47" s="282"/>
      <c r="Q47" s="282"/>
      <c r="R47" s="1190"/>
      <c r="S47" s="1280"/>
      <c r="T47" s="282"/>
      <c r="U47" s="282"/>
      <c r="V47" s="282"/>
      <c r="W47" s="282"/>
      <c r="X47" s="282"/>
      <c r="Y47" s="282"/>
      <c r="Z47" s="282"/>
      <c r="AA47" s="282"/>
      <c r="AB47" s="282"/>
      <c r="AC47" s="282"/>
      <c r="AD47" s="1281"/>
      <c r="AE47" s="1280"/>
      <c r="AF47" s="282"/>
      <c r="AG47" s="282"/>
      <c r="AH47" s="282"/>
      <c r="AI47" s="282"/>
      <c r="AJ47" s="282"/>
      <c r="AK47" s="282"/>
      <c r="AL47" s="282"/>
      <c r="AM47" s="282"/>
      <c r="AN47" s="282"/>
      <c r="AO47" s="282"/>
      <c r="AP47" s="1281"/>
      <c r="AS47" s="1192">
        <f t="shared" si="19"/>
        <v>0</v>
      </c>
      <c r="AT47" s="1192">
        <f t="shared" si="20"/>
        <v>0</v>
      </c>
      <c r="AU47" s="1192">
        <f t="shared" si="21"/>
        <v>0</v>
      </c>
      <c r="AW47" s="1192">
        <f t="shared" si="22"/>
        <v>0</v>
      </c>
      <c r="AX47" s="1192">
        <f t="shared" si="22"/>
        <v>0</v>
      </c>
      <c r="AY47" s="1192">
        <f t="shared" si="22"/>
        <v>0</v>
      </c>
      <c r="BS47" s="102" t="s">
        <v>9</v>
      </c>
      <c r="BT47" s="184" t="s">
        <v>835</v>
      </c>
      <c r="CB47" s="1295"/>
      <c r="CC47" s="277" t="str">
        <f>IF(Language="English", 'Language Look Ups'!$P$26,IF(Language="Francais", 'Language Look Ups'!$T$26, 'Language Look Ups'!$R$26))</f>
        <v>MJF (Jours fixes)</v>
      </c>
      <c r="CD47" s="282" t="e">
        <f t="shared" si="23"/>
        <v>#N/A</v>
      </c>
      <c r="CE47" s="282" t="e">
        <f t="shared" si="24"/>
        <v>#N/A</v>
      </c>
      <c r="CF47" s="282" t="e">
        <f t="shared" si="25"/>
        <v>#N/A</v>
      </c>
      <c r="CG47" s="282" t="e">
        <f t="shared" si="26"/>
        <v>#N/A</v>
      </c>
      <c r="CH47" s="282" t="e">
        <f t="shared" si="27"/>
        <v>#N/A</v>
      </c>
      <c r="CI47" s="282" t="e">
        <f t="shared" si="28"/>
        <v>#N/A</v>
      </c>
      <c r="CJ47" s="282" t="e">
        <f t="shared" si="29"/>
        <v>#N/A</v>
      </c>
      <c r="CK47" s="282" t="e">
        <f t="shared" si="30"/>
        <v>#N/A</v>
      </c>
      <c r="CL47" s="282" t="e">
        <f t="shared" si="31"/>
        <v>#N/A</v>
      </c>
      <c r="CM47" s="282" t="e">
        <f t="shared" si="32"/>
        <v>#N/A</v>
      </c>
      <c r="CN47" s="282" t="e">
        <f t="shared" si="33"/>
        <v>#N/A</v>
      </c>
      <c r="CO47" s="1190" t="e">
        <f t="shared" si="34"/>
        <v>#N/A</v>
      </c>
      <c r="CP47" s="1191" t="e">
        <f t="shared" si="35"/>
        <v>#N/A</v>
      </c>
      <c r="CQ47" s="1192" t="e">
        <f t="shared" si="36"/>
        <v>#N/A</v>
      </c>
      <c r="CR47" s="1192" t="e">
        <f t="shared" si="37"/>
        <v>#N/A</v>
      </c>
      <c r="CS47" s="1192" t="e">
        <f t="shared" si="38"/>
        <v>#N/A</v>
      </c>
      <c r="CT47" s="1192" t="e">
        <f t="shared" si="39"/>
        <v>#N/A</v>
      </c>
      <c r="CU47" s="1192" t="e">
        <f t="shared" si="40"/>
        <v>#N/A</v>
      </c>
      <c r="CV47" s="1192" t="e">
        <f t="shared" si="41"/>
        <v>#N/A</v>
      </c>
      <c r="CW47" s="1192" t="e">
        <f t="shared" si="42"/>
        <v>#N/A</v>
      </c>
      <c r="CX47" s="1192" t="e">
        <f t="shared" si="43"/>
        <v>#N/A</v>
      </c>
      <c r="CY47" s="1192" t="e">
        <f t="shared" si="44"/>
        <v>#N/A</v>
      </c>
      <c r="CZ47" s="1192" t="e">
        <f t="shared" si="45"/>
        <v>#N/A</v>
      </c>
      <c r="DA47" s="1194" t="e">
        <f t="shared" si="46"/>
        <v>#N/A</v>
      </c>
      <c r="DB47" s="1191" t="e">
        <f t="shared" si="47"/>
        <v>#N/A</v>
      </c>
      <c r="DC47" s="1192" t="e">
        <f t="shared" si="48"/>
        <v>#N/A</v>
      </c>
      <c r="DD47" s="1192" t="e">
        <f t="shared" si="49"/>
        <v>#N/A</v>
      </c>
      <c r="DE47" s="1192" t="e">
        <f t="shared" si="50"/>
        <v>#N/A</v>
      </c>
      <c r="DF47" s="1192" t="e">
        <f t="shared" si="51"/>
        <v>#N/A</v>
      </c>
      <c r="DG47" s="1192" t="e">
        <f t="shared" si="52"/>
        <v>#N/A</v>
      </c>
      <c r="DH47" s="1192" t="e">
        <f t="shared" si="53"/>
        <v>#N/A</v>
      </c>
      <c r="DI47" s="1192" t="e">
        <f t="shared" si="54"/>
        <v>#N/A</v>
      </c>
      <c r="DJ47" s="1192" t="e">
        <f t="shared" si="55"/>
        <v>#N/A</v>
      </c>
      <c r="DK47" s="1192" t="e">
        <f t="shared" si="56"/>
        <v>#N/A</v>
      </c>
      <c r="DL47" s="1192" t="e">
        <f t="shared" si="57"/>
        <v>#N/A</v>
      </c>
      <c r="DM47" s="1194" t="e">
        <f t="shared" si="58"/>
        <v>#N/A</v>
      </c>
    </row>
    <row r="48" spans="2:117" ht="17.25" customHeight="1" x14ac:dyDescent="0.25">
      <c r="B48" s="1492"/>
      <c r="C48" s="277" t="str">
        <f>IF(Language="English", 'Language Look Ups'!$P$27,IF(Language="Francais", 'Language Look Ups'!$T$27, 'Language Look Ups'!$R$27))</f>
        <v>Barrière vaginale</v>
      </c>
      <c r="D48" s="278" t="e">
        <f>IF($BQ$6=3, 'Visits Input'!D44, IF($BQ$6=4, 'Users Input'!D44, 'Commodities (Clients) Input'!D44))</f>
        <v>#N/A</v>
      </c>
      <c r="E48" s="101" t="e">
        <f>IF($BQ$6=3, 'Visits Input'!E44, IF($BQ$6=4, 'Users Input'!E44, 'Commodities (Clients) Input'!E44))</f>
        <v>#N/A</v>
      </c>
      <c r="F48" s="102" t="e">
        <f>IF($BQ$6=3, 'Visits Input'!F44, IF($BQ$6=4, 'Users Input'!F44, 'Commodities (Clients) Input'!F44))</f>
        <v>#N/A</v>
      </c>
      <c r="G48" s="282"/>
      <c r="H48" s="282"/>
      <c r="I48" s="282"/>
      <c r="J48" s="282"/>
      <c r="K48" s="282"/>
      <c r="L48" s="282"/>
      <c r="M48" s="282"/>
      <c r="N48" s="282"/>
      <c r="O48" s="282"/>
      <c r="P48" s="282"/>
      <c r="Q48" s="282"/>
      <c r="R48" s="1190"/>
      <c r="S48" s="1280"/>
      <c r="T48" s="282"/>
      <c r="U48" s="282"/>
      <c r="V48" s="282"/>
      <c r="W48" s="282"/>
      <c r="X48" s="282"/>
      <c r="Y48" s="282"/>
      <c r="Z48" s="282"/>
      <c r="AA48" s="282"/>
      <c r="AB48" s="282"/>
      <c r="AC48" s="282"/>
      <c r="AD48" s="1281"/>
      <c r="AE48" s="1280"/>
      <c r="AF48" s="282"/>
      <c r="AG48" s="282"/>
      <c r="AH48" s="282"/>
      <c r="AI48" s="282"/>
      <c r="AJ48" s="282"/>
      <c r="AK48" s="282"/>
      <c r="AL48" s="282"/>
      <c r="AM48" s="282"/>
      <c r="AN48" s="282"/>
      <c r="AO48" s="282"/>
      <c r="AP48" s="1281"/>
      <c r="AS48" s="1192">
        <f t="shared" si="19"/>
        <v>0</v>
      </c>
      <c r="AT48" s="1192">
        <f t="shared" si="20"/>
        <v>0</v>
      </c>
      <c r="AU48" s="1192">
        <f t="shared" si="21"/>
        <v>0</v>
      </c>
      <c r="AW48" s="1192">
        <f t="shared" si="22"/>
        <v>0</v>
      </c>
      <c r="AX48" s="1192">
        <f t="shared" si="22"/>
        <v>0</v>
      </c>
      <c r="AY48" s="1192">
        <f t="shared" si="22"/>
        <v>0</v>
      </c>
      <c r="BS48" s="102" t="s">
        <v>83</v>
      </c>
      <c r="BT48" s="184" t="s">
        <v>836</v>
      </c>
      <c r="CB48" s="1295"/>
      <c r="CC48" s="277" t="str">
        <f>IF(Language="English", 'Language Look Ups'!$P$27,IF(Language="Francais", 'Language Look Ups'!$T$27, 'Language Look Ups'!$R$27))</f>
        <v>Barrière vaginale</v>
      </c>
      <c r="CD48" s="282" t="e">
        <f t="shared" si="23"/>
        <v>#N/A</v>
      </c>
      <c r="CE48" s="282" t="e">
        <f t="shared" si="24"/>
        <v>#N/A</v>
      </c>
      <c r="CF48" s="282" t="e">
        <f t="shared" si="25"/>
        <v>#N/A</v>
      </c>
      <c r="CG48" s="282" t="e">
        <f t="shared" si="26"/>
        <v>#N/A</v>
      </c>
      <c r="CH48" s="282" t="e">
        <f t="shared" si="27"/>
        <v>#N/A</v>
      </c>
      <c r="CI48" s="282" t="e">
        <f t="shared" si="28"/>
        <v>#N/A</v>
      </c>
      <c r="CJ48" s="282" t="e">
        <f t="shared" si="29"/>
        <v>#N/A</v>
      </c>
      <c r="CK48" s="282" t="e">
        <f t="shared" si="30"/>
        <v>#N/A</v>
      </c>
      <c r="CL48" s="282" t="e">
        <f t="shared" si="31"/>
        <v>#N/A</v>
      </c>
      <c r="CM48" s="282" t="e">
        <f t="shared" si="32"/>
        <v>#N/A</v>
      </c>
      <c r="CN48" s="282" t="e">
        <f t="shared" si="33"/>
        <v>#N/A</v>
      </c>
      <c r="CO48" s="1190" t="e">
        <f t="shared" si="34"/>
        <v>#N/A</v>
      </c>
      <c r="CP48" s="1191" t="e">
        <f t="shared" si="35"/>
        <v>#N/A</v>
      </c>
      <c r="CQ48" s="1192" t="e">
        <f t="shared" si="36"/>
        <v>#N/A</v>
      </c>
      <c r="CR48" s="1192" t="e">
        <f t="shared" si="37"/>
        <v>#N/A</v>
      </c>
      <c r="CS48" s="1192" t="e">
        <f t="shared" si="38"/>
        <v>#N/A</v>
      </c>
      <c r="CT48" s="1192" t="e">
        <f t="shared" si="39"/>
        <v>#N/A</v>
      </c>
      <c r="CU48" s="1192" t="e">
        <f t="shared" si="40"/>
        <v>#N/A</v>
      </c>
      <c r="CV48" s="1192" t="e">
        <f t="shared" si="41"/>
        <v>#N/A</v>
      </c>
      <c r="CW48" s="1192" t="e">
        <f t="shared" si="42"/>
        <v>#N/A</v>
      </c>
      <c r="CX48" s="1192" t="e">
        <f t="shared" si="43"/>
        <v>#N/A</v>
      </c>
      <c r="CY48" s="1192" t="e">
        <f t="shared" si="44"/>
        <v>#N/A</v>
      </c>
      <c r="CZ48" s="1192" t="e">
        <f t="shared" si="45"/>
        <v>#N/A</v>
      </c>
      <c r="DA48" s="1194" t="e">
        <f t="shared" si="46"/>
        <v>#N/A</v>
      </c>
      <c r="DB48" s="1191" t="e">
        <f t="shared" si="47"/>
        <v>#N/A</v>
      </c>
      <c r="DC48" s="1192" t="e">
        <f t="shared" si="48"/>
        <v>#N/A</v>
      </c>
      <c r="DD48" s="1192" t="e">
        <f t="shared" si="49"/>
        <v>#N/A</v>
      </c>
      <c r="DE48" s="1192" t="e">
        <f t="shared" si="50"/>
        <v>#N/A</v>
      </c>
      <c r="DF48" s="1192" t="e">
        <f t="shared" si="51"/>
        <v>#N/A</v>
      </c>
      <c r="DG48" s="1192" t="e">
        <f t="shared" si="52"/>
        <v>#N/A</v>
      </c>
      <c r="DH48" s="1192" t="e">
        <f t="shared" si="53"/>
        <v>#N/A</v>
      </c>
      <c r="DI48" s="1192" t="e">
        <f t="shared" si="54"/>
        <v>#N/A</v>
      </c>
      <c r="DJ48" s="1192" t="e">
        <f t="shared" si="55"/>
        <v>#N/A</v>
      </c>
      <c r="DK48" s="1192" t="e">
        <f t="shared" si="56"/>
        <v>#N/A</v>
      </c>
      <c r="DL48" s="1192" t="e">
        <f t="shared" si="57"/>
        <v>#N/A</v>
      </c>
      <c r="DM48" s="1194" t="e">
        <f t="shared" si="58"/>
        <v>#N/A</v>
      </c>
    </row>
    <row r="49" spans="2:117" ht="15" customHeight="1" x14ac:dyDescent="0.25">
      <c r="B49" s="1493"/>
      <c r="C49" s="275" t="str">
        <f>IF(Language="English", 'Language Look Ups'!$P$28,IF(Language="Francais", 'Language Look Ups'!$T$28, 'Language Look Ups'!$R$28))</f>
        <v>Spermicides</v>
      </c>
      <c r="D49" s="276" t="e">
        <f>IF($BQ$6=3, 'Visits Input'!D45, IF($BQ$6=4, 'Users Input'!D45, 'Commodities (Clients) Input'!D45))</f>
        <v>#N/A</v>
      </c>
      <c r="E49" s="99" t="e">
        <f>IF($BQ$6=3, 'Visits Input'!E45, IF($BQ$6=4, 'Users Input'!E45, 'Commodities (Clients) Input'!E45))</f>
        <v>#N/A</v>
      </c>
      <c r="F49" s="100" t="e">
        <f>IF($BQ$6=3, 'Visits Input'!F45, IF($BQ$6=4, 'Users Input'!F45, 'Commodities (Clients) Input'!F45))</f>
        <v>#N/A</v>
      </c>
      <c r="G49" s="284"/>
      <c r="H49" s="284"/>
      <c r="I49" s="284"/>
      <c r="J49" s="284"/>
      <c r="K49" s="284"/>
      <c r="L49" s="284"/>
      <c r="M49" s="284"/>
      <c r="N49" s="284"/>
      <c r="O49" s="284"/>
      <c r="P49" s="284"/>
      <c r="Q49" s="284"/>
      <c r="R49" s="1181"/>
      <c r="S49" s="1276"/>
      <c r="T49" s="284"/>
      <c r="U49" s="284"/>
      <c r="V49" s="284"/>
      <c r="W49" s="284"/>
      <c r="X49" s="284"/>
      <c r="Y49" s="284"/>
      <c r="Z49" s="284"/>
      <c r="AA49" s="284"/>
      <c r="AB49" s="284"/>
      <c r="AC49" s="284"/>
      <c r="AD49" s="1277"/>
      <c r="AE49" s="1276"/>
      <c r="AF49" s="284"/>
      <c r="AG49" s="284"/>
      <c r="AH49" s="284"/>
      <c r="AI49" s="284"/>
      <c r="AJ49" s="284"/>
      <c r="AK49" s="284"/>
      <c r="AL49" s="284"/>
      <c r="AM49" s="284"/>
      <c r="AN49" s="284"/>
      <c r="AO49" s="284"/>
      <c r="AP49" s="1277"/>
      <c r="AS49" s="1183">
        <f t="shared" si="19"/>
        <v>0</v>
      </c>
      <c r="AT49" s="1183">
        <f t="shared" si="20"/>
        <v>0</v>
      </c>
      <c r="AU49" s="1183">
        <f t="shared" si="21"/>
        <v>0</v>
      </c>
      <c r="AW49" s="1183">
        <f t="shared" si="22"/>
        <v>0</v>
      </c>
      <c r="AX49" s="1183">
        <f t="shared" si="22"/>
        <v>0</v>
      </c>
      <c r="AY49" s="1183">
        <f t="shared" si="22"/>
        <v>0</v>
      </c>
      <c r="BS49" s="100" t="s">
        <v>83</v>
      </c>
      <c r="BT49" s="184" t="s">
        <v>836</v>
      </c>
      <c r="CB49" s="1294"/>
      <c r="CC49" s="275" t="str">
        <f>IF(Language="English", 'Language Look Ups'!$P$28,IF(Language="Francais", 'Language Look Ups'!$T$28, 'Language Look Ups'!$R$28))</f>
        <v>Spermicides</v>
      </c>
      <c r="CD49" s="284" t="e">
        <f t="shared" si="23"/>
        <v>#N/A</v>
      </c>
      <c r="CE49" s="284" t="e">
        <f t="shared" si="24"/>
        <v>#N/A</v>
      </c>
      <c r="CF49" s="284" t="e">
        <f t="shared" si="25"/>
        <v>#N/A</v>
      </c>
      <c r="CG49" s="284" t="e">
        <f t="shared" si="26"/>
        <v>#N/A</v>
      </c>
      <c r="CH49" s="284" t="e">
        <f t="shared" si="27"/>
        <v>#N/A</v>
      </c>
      <c r="CI49" s="284" t="e">
        <f t="shared" si="28"/>
        <v>#N/A</v>
      </c>
      <c r="CJ49" s="284" t="e">
        <f t="shared" si="29"/>
        <v>#N/A</v>
      </c>
      <c r="CK49" s="284" t="e">
        <f t="shared" si="30"/>
        <v>#N/A</v>
      </c>
      <c r="CL49" s="284" t="e">
        <f t="shared" si="31"/>
        <v>#N/A</v>
      </c>
      <c r="CM49" s="284" t="e">
        <f t="shared" si="32"/>
        <v>#N/A</v>
      </c>
      <c r="CN49" s="284" t="e">
        <f t="shared" si="33"/>
        <v>#N/A</v>
      </c>
      <c r="CO49" s="1181" t="e">
        <f t="shared" si="34"/>
        <v>#N/A</v>
      </c>
      <c r="CP49" s="1182" t="e">
        <f t="shared" si="35"/>
        <v>#N/A</v>
      </c>
      <c r="CQ49" s="1183" t="e">
        <f t="shared" si="36"/>
        <v>#N/A</v>
      </c>
      <c r="CR49" s="1183" t="e">
        <f t="shared" si="37"/>
        <v>#N/A</v>
      </c>
      <c r="CS49" s="1183" t="e">
        <f t="shared" si="38"/>
        <v>#N/A</v>
      </c>
      <c r="CT49" s="1183" t="e">
        <f t="shared" si="39"/>
        <v>#N/A</v>
      </c>
      <c r="CU49" s="1183" t="e">
        <f t="shared" si="40"/>
        <v>#N/A</v>
      </c>
      <c r="CV49" s="1183" t="e">
        <f t="shared" si="41"/>
        <v>#N/A</v>
      </c>
      <c r="CW49" s="1183" t="e">
        <f t="shared" si="42"/>
        <v>#N/A</v>
      </c>
      <c r="CX49" s="1183" t="e">
        <f t="shared" si="43"/>
        <v>#N/A</v>
      </c>
      <c r="CY49" s="1183" t="e">
        <f t="shared" si="44"/>
        <v>#N/A</v>
      </c>
      <c r="CZ49" s="1183" t="e">
        <f t="shared" si="45"/>
        <v>#N/A</v>
      </c>
      <c r="DA49" s="1185" t="e">
        <f t="shared" si="46"/>
        <v>#N/A</v>
      </c>
      <c r="DB49" s="1182" t="e">
        <f t="shared" si="47"/>
        <v>#N/A</v>
      </c>
      <c r="DC49" s="1183" t="e">
        <f t="shared" si="48"/>
        <v>#N/A</v>
      </c>
      <c r="DD49" s="1183" t="e">
        <f t="shared" si="49"/>
        <v>#N/A</v>
      </c>
      <c r="DE49" s="1183" t="e">
        <f t="shared" si="50"/>
        <v>#N/A</v>
      </c>
      <c r="DF49" s="1183" t="e">
        <f t="shared" si="51"/>
        <v>#N/A</v>
      </c>
      <c r="DG49" s="1183" t="e">
        <f t="shared" si="52"/>
        <v>#N/A</v>
      </c>
      <c r="DH49" s="1183" t="e">
        <f t="shared" si="53"/>
        <v>#N/A</v>
      </c>
      <c r="DI49" s="1183" t="e">
        <f t="shared" si="54"/>
        <v>#N/A</v>
      </c>
      <c r="DJ49" s="1183" t="e">
        <f t="shared" si="55"/>
        <v>#N/A</v>
      </c>
      <c r="DK49" s="1183" t="e">
        <f t="shared" si="56"/>
        <v>#N/A</v>
      </c>
      <c r="DL49" s="1183" t="e">
        <f t="shared" si="57"/>
        <v>#N/A</v>
      </c>
      <c r="DM49" s="1185" t="e">
        <f t="shared" si="58"/>
        <v>#N/A</v>
      </c>
    </row>
    <row r="50" spans="2:117" ht="33" customHeight="1" thickBot="1" x14ac:dyDescent="0.3">
      <c r="B50" s="378" t="str">
        <f>IF(Language="English", 'Language Look Ups'!$O$29,IF(Language="Francais", 'Language Look Ups'!$S$29, 'Language Look Ups'!Q$29))</f>
        <v>Contraception d'urgence</v>
      </c>
      <c r="C50" s="397" t="str">
        <f>IF(Language="English", 'Language Look Ups'!$P$29,IF(Language="Francais", 'Language Look Ups'!$T$29, 'Language Look Ups'!$R$29))</f>
        <v>CU</v>
      </c>
      <c r="D50" s="417" t="e">
        <f>IF($BQ$6=3, 'Visits Input'!D46, IF($BQ$6=4, 'Users Input'!D46, 'Commodities (Clients) Input'!D46))</f>
        <v>#N/A</v>
      </c>
      <c r="E50" s="418" t="e">
        <f>IF($BQ$6=3, 'Visits Input'!E46, IF($BQ$6=4, 'Users Input'!E46, 'Commodities (Clients) Input'!E46))</f>
        <v>#N/A</v>
      </c>
      <c r="F50" s="419" t="e">
        <f>IF($BQ$6=3, 'Visits Input'!F46, IF($BQ$6=4, 'Users Input'!F46, 'Commodities (Clients) Input'!F46))</f>
        <v>#N/A</v>
      </c>
      <c r="G50" s="409"/>
      <c r="H50" s="409"/>
      <c r="I50" s="409"/>
      <c r="J50" s="409"/>
      <c r="K50" s="409"/>
      <c r="L50" s="409"/>
      <c r="M50" s="409"/>
      <c r="N50" s="1177"/>
      <c r="O50" s="1177"/>
      <c r="P50" s="1177"/>
      <c r="Q50" s="1177"/>
      <c r="R50" s="1177"/>
      <c r="S50" s="1285"/>
      <c r="T50" s="1286"/>
      <c r="U50" s="1286"/>
      <c r="V50" s="1286"/>
      <c r="W50" s="1286"/>
      <c r="X50" s="1286"/>
      <c r="Y50" s="1286"/>
      <c r="Z50" s="1286"/>
      <c r="AA50" s="1286"/>
      <c r="AB50" s="1286"/>
      <c r="AC50" s="1286"/>
      <c r="AD50" s="1287"/>
      <c r="AE50" s="1285"/>
      <c r="AF50" s="1286"/>
      <c r="AG50" s="1286"/>
      <c r="AH50" s="1286"/>
      <c r="AI50" s="1286"/>
      <c r="AJ50" s="1286"/>
      <c r="AK50" s="1286"/>
      <c r="AL50" s="1286"/>
      <c r="AM50" s="1286"/>
      <c r="AN50" s="1286"/>
      <c r="AO50" s="1286"/>
      <c r="AP50" s="1287"/>
      <c r="AS50" s="1205">
        <f t="shared" si="19"/>
        <v>0</v>
      </c>
      <c r="AT50" s="1205">
        <f t="shared" si="20"/>
        <v>0</v>
      </c>
      <c r="AU50" s="1205">
        <f t="shared" si="21"/>
        <v>0</v>
      </c>
      <c r="AW50" s="1205">
        <f t="shared" si="22"/>
        <v>0</v>
      </c>
      <c r="AX50" s="1205">
        <f t="shared" si="22"/>
        <v>0</v>
      </c>
      <c r="AY50" s="1205">
        <f t="shared" si="22"/>
        <v>0</v>
      </c>
      <c r="BS50" s="419" t="s">
        <v>83</v>
      </c>
      <c r="BT50" s="184" t="s">
        <v>836</v>
      </c>
      <c r="CB50" s="1131" t="str">
        <f>IF(Language="English", 'Language Look Ups'!$O$29,IF(Language="Francais", 'Language Look Ups'!$S$29, 'Language Look Ups'!Q$29))</f>
        <v>Contraception d'urgence</v>
      </c>
      <c r="CC50" s="397" t="str">
        <f>IF(Language="English", 'Language Look Ups'!$P$29,IF(Language="Francais", 'Language Look Ups'!$T$29, 'Language Look Ups'!$R$29))</f>
        <v>CU</v>
      </c>
      <c r="CD50" s="409" t="e">
        <f t="shared" si="23"/>
        <v>#N/A</v>
      </c>
      <c r="CE50" s="409" t="e">
        <f t="shared" si="24"/>
        <v>#N/A</v>
      </c>
      <c r="CF50" s="409" t="e">
        <f t="shared" si="25"/>
        <v>#N/A</v>
      </c>
      <c r="CG50" s="409" t="e">
        <f t="shared" si="26"/>
        <v>#N/A</v>
      </c>
      <c r="CH50" s="409" t="e">
        <f t="shared" si="27"/>
        <v>#N/A</v>
      </c>
      <c r="CI50" s="409" t="e">
        <f t="shared" si="28"/>
        <v>#N/A</v>
      </c>
      <c r="CJ50" s="409" t="e">
        <f t="shared" si="29"/>
        <v>#N/A</v>
      </c>
      <c r="CK50" s="1177" t="e">
        <f t="shared" si="30"/>
        <v>#N/A</v>
      </c>
      <c r="CL50" s="1177" t="e">
        <f t="shared" si="31"/>
        <v>#N/A</v>
      </c>
      <c r="CM50" s="1177" t="e">
        <f t="shared" si="32"/>
        <v>#N/A</v>
      </c>
      <c r="CN50" s="1177" t="e">
        <f t="shared" si="33"/>
        <v>#N/A</v>
      </c>
      <c r="CO50" s="1177" t="e">
        <f t="shared" si="34"/>
        <v>#N/A</v>
      </c>
      <c r="CP50" s="1204" t="e">
        <f t="shared" si="35"/>
        <v>#N/A</v>
      </c>
      <c r="CQ50" s="1205" t="e">
        <f t="shared" si="36"/>
        <v>#N/A</v>
      </c>
      <c r="CR50" s="1205" t="e">
        <f t="shared" si="37"/>
        <v>#N/A</v>
      </c>
      <c r="CS50" s="1205" t="e">
        <f t="shared" si="38"/>
        <v>#N/A</v>
      </c>
      <c r="CT50" s="1205" t="e">
        <f t="shared" si="39"/>
        <v>#N/A</v>
      </c>
      <c r="CU50" s="1205" t="e">
        <f t="shared" si="40"/>
        <v>#N/A</v>
      </c>
      <c r="CV50" s="1205" t="e">
        <f t="shared" si="41"/>
        <v>#N/A</v>
      </c>
      <c r="CW50" s="1205" t="e">
        <f t="shared" si="42"/>
        <v>#N/A</v>
      </c>
      <c r="CX50" s="1205" t="e">
        <f t="shared" si="43"/>
        <v>#N/A</v>
      </c>
      <c r="CY50" s="1205" t="e">
        <f t="shared" si="44"/>
        <v>#N/A</v>
      </c>
      <c r="CZ50" s="1205" t="e">
        <f t="shared" si="45"/>
        <v>#N/A</v>
      </c>
      <c r="DA50" s="1206" t="e">
        <f t="shared" si="46"/>
        <v>#N/A</v>
      </c>
      <c r="DB50" s="1204" t="e">
        <f t="shared" si="47"/>
        <v>#N/A</v>
      </c>
      <c r="DC50" s="1205" t="e">
        <f t="shared" si="48"/>
        <v>#N/A</v>
      </c>
      <c r="DD50" s="1205" t="e">
        <f t="shared" si="49"/>
        <v>#N/A</v>
      </c>
      <c r="DE50" s="1205" t="e">
        <f t="shared" si="50"/>
        <v>#N/A</v>
      </c>
      <c r="DF50" s="1205" t="e">
        <f t="shared" si="51"/>
        <v>#N/A</v>
      </c>
      <c r="DG50" s="1205" t="e">
        <f t="shared" si="52"/>
        <v>#N/A</v>
      </c>
      <c r="DH50" s="1205" t="e">
        <f t="shared" si="53"/>
        <v>#N/A</v>
      </c>
      <c r="DI50" s="1205" t="e">
        <f t="shared" si="54"/>
        <v>#N/A</v>
      </c>
      <c r="DJ50" s="1205" t="e">
        <f t="shared" si="55"/>
        <v>#N/A</v>
      </c>
      <c r="DK50" s="1205" t="e">
        <f t="shared" si="56"/>
        <v>#N/A</v>
      </c>
      <c r="DL50" s="1205" t="e">
        <f t="shared" si="57"/>
        <v>#N/A</v>
      </c>
      <c r="DM50" s="1206" t="e">
        <f t="shared" si="58"/>
        <v>#N/A</v>
      </c>
    </row>
    <row r="51" spans="2:117" ht="19.149999999999999" customHeight="1" thickBot="1" x14ac:dyDescent="0.35">
      <c r="B51" s="429" t="e">
        <f>IF('Monthly Data Input'!$BQ$6=4, 'Monthly Data Input'!$BR$51, IF(Language="English",'Language Look Ups'!O30,'Language Look Ups'!S30))</f>
        <v>#N/A</v>
      </c>
      <c r="C51" s="430"/>
      <c r="D51" s="430"/>
      <c r="E51" s="431"/>
      <c r="F51" s="432"/>
      <c r="G51" s="1207" t="e">
        <f>IF(G24="", "", SUMPRODUCT(G27:G50, $E$27:$E$50))</f>
        <v>#N/A</v>
      </c>
      <c r="H51" s="1207" t="e">
        <f t="shared" ref="H51:AP51" si="59">IF(H24="", "", SUMPRODUCT(H27:H50, $E$27:$E$50))</f>
        <v>#N/A</v>
      </c>
      <c r="I51" s="1207" t="e">
        <f t="shared" si="59"/>
        <v>#N/A</v>
      </c>
      <c r="J51" s="1207" t="e">
        <f t="shared" si="59"/>
        <v>#N/A</v>
      </c>
      <c r="K51" s="1207" t="e">
        <f>IF(K24="", "", SUMPRODUCT(K27:K50, $E$27:$E$50))</f>
        <v>#N/A</v>
      </c>
      <c r="L51" s="1207" t="e">
        <f t="shared" si="59"/>
        <v>#N/A</v>
      </c>
      <c r="M51" s="1207" t="e">
        <f t="shared" si="59"/>
        <v>#N/A</v>
      </c>
      <c r="N51" s="1207" t="e">
        <f t="shared" si="59"/>
        <v>#N/A</v>
      </c>
      <c r="O51" s="1207" t="e">
        <f t="shared" si="59"/>
        <v>#N/A</v>
      </c>
      <c r="P51" s="1207" t="e">
        <f t="shared" si="59"/>
        <v>#N/A</v>
      </c>
      <c r="Q51" s="1207" t="e">
        <f t="shared" si="59"/>
        <v>#N/A</v>
      </c>
      <c r="R51" s="1207" t="e">
        <f t="shared" si="59"/>
        <v>#N/A</v>
      </c>
      <c r="S51" s="1208" t="e">
        <f t="shared" si="59"/>
        <v>#N/A</v>
      </c>
      <c r="T51" s="1207" t="e">
        <f t="shared" si="59"/>
        <v>#N/A</v>
      </c>
      <c r="U51" s="1207" t="e">
        <f t="shared" si="59"/>
        <v>#N/A</v>
      </c>
      <c r="V51" s="1207" t="e">
        <f t="shared" si="59"/>
        <v>#N/A</v>
      </c>
      <c r="W51" s="1207" t="e">
        <f t="shared" si="59"/>
        <v>#N/A</v>
      </c>
      <c r="X51" s="1207" t="e">
        <f t="shared" si="59"/>
        <v>#N/A</v>
      </c>
      <c r="Y51" s="1207" t="e">
        <f t="shared" si="59"/>
        <v>#N/A</v>
      </c>
      <c r="Z51" s="1207" t="e">
        <f t="shared" si="59"/>
        <v>#N/A</v>
      </c>
      <c r="AA51" s="1207" t="e">
        <f t="shared" si="59"/>
        <v>#N/A</v>
      </c>
      <c r="AB51" s="1207" t="e">
        <f t="shared" si="59"/>
        <v>#N/A</v>
      </c>
      <c r="AC51" s="1207" t="e">
        <f t="shared" si="59"/>
        <v>#N/A</v>
      </c>
      <c r="AD51" s="1209" t="e">
        <f t="shared" si="59"/>
        <v>#N/A</v>
      </c>
      <c r="AE51" s="1208" t="e">
        <f t="shared" si="59"/>
        <v>#N/A</v>
      </c>
      <c r="AF51" s="1207" t="e">
        <f t="shared" si="59"/>
        <v>#N/A</v>
      </c>
      <c r="AG51" s="1207" t="e">
        <f t="shared" si="59"/>
        <v>#N/A</v>
      </c>
      <c r="AH51" s="1207" t="e">
        <f t="shared" si="59"/>
        <v>#N/A</v>
      </c>
      <c r="AI51" s="1207" t="e">
        <f t="shared" si="59"/>
        <v>#N/A</v>
      </c>
      <c r="AJ51" s="1207" t="e">
        <f t="shared" si="59"/>
        <v>#N/A</v>
      </c>
      <c r="AK51" s="1207" t="e">
        <f t="shared" si="59"/>
        <v>#N/A</v>
      </c>
      <c r="AL51" s="1207" t="e">
        <f t="shared" si="59"/>
        <v>#N/A</v>
      </c>
      <c r="AM51" s="1207" t="e">
        <f t="shared" si="59"/>
        <v>#N/A</v>
      </c>
      <c r="AN51" s="1207" t="e">
        <f t="shared" si="59"/>
        <v>#N/A</v>
      </c>
      <c r="AO51" s="1207" t="e">
        <f t="shared" si="59"/>
        <v>#N/A</v>
      </c>
      <c r="AP51" s="1209" t="e">
        <f t="shared" si="59"/>
        <v>#N/A</v>
      </c>
      <c r="AS51" s="1210" t="str">
        <f t="shared" ref="AS51" si="60">IFERROR(AVERAGEIF($G$57:$AP$57, "&lt;&gt;1", $G51:$AP51), "")</f>
        <v/>
      </c>
      <c r="AT51" s="1210" t="str">
        <f>IFERROR(AVERAGEIF($G$57:$AP$57, 1, $G51:$AP51), "")</f>
        <v/>
      </c>
      <c r="AU51" s="1210" t="str">
        <f>IFERROR(AVERAGE(G51:AP51), "")</f>
        <v/>
      </c>
      <c r="AW51" s="1210" t="e">
        <f t="shared" si="22"/>
        <v>#N/A</v>
      </c>
      <c r="AX51" s="1210" t="e">
        <f t="shared" si="22"/>
        <v>#N/A</v>
      </c>
      <c r="AY51" s="1210" t="e">
        <f>SUMIF($G$23:$AP$23, AY$25, $G51:$AP51)</f>
        <v>#N/A</v>
      </c>
      <c r="BR51" t="str">
        <f>IF(Language="English", BS51, BT51)</f>
        <v>Utilisatrices de PF</v>
      </c>
      <c r="BS51" s="184" t="s">
        <v>2054</v>
      </c>
      <c r="BT51" s="184" t="s">
        <v>2413</v>
      </c>
      <c r="CB51" s="429" t="e">
        <f>B51</f>
        <v>#N/A</v>
      </c>
      <c r="CC51" s="430"/>
      <c r="CD51" s="433" t="e">
        <f>SUM(CD27:CD33,CD36:CD50)</f>
        <v>#N/A</v>
      </c>
      <c r="CE51" s="433" t="e">
        <f t="shared" ref="CE51:DM51" si="61">SUM(CE27:CE33,CE36:CE50)</f>
        <v>#N/A</v>
      </c>
      <c r="CF51" s="433" t="e">
        <f t="shared" si="61"/>
        <v>#N/A</v>
      </c>
      <c r="CG51" s="433" t="e">
        <f t="shared" si="61"/>
        <v>#N/A</v>
      </c>
      <c r="CH51" s="433" t="e">
        <f t="shared" si="61"/>
        <v>#N/A</v>
      </c>
      <c r="CI51" s="433" t="e">
        <f t="shared" si="61"/>
        <v>#N/A</v>
      </c>
      <c r="CJ51" s="433" t="e">
        <f t="shared" si="61"/>
        <v>#N/A</v>
      </c>
      <c r="CK51" s="433" t="e">
        <f t="shared" si="61"/>
        <v>#N/A</v>
      </c>
      <c r="CL51" s="433" t="e">
        <f t="shared" si="61"/>
        <v>#N/A</v>
      </c>
      <c r="CM51" s="433" t="e">
        <f t="shared" si="61"/>
        <v>#N/A</v>
      </c>
      <c r="CN51" s="433" t="e">
        <f t="shared" si="61"/>
        <v>#N/A</v>
      </c>
      <c r="CO51" s="433" t="e">
        <f t="shared" si="61"/>
        <v>#N/A</v>
      </c>
      <c r="CP51" s="433" t="e">
        <f t="shared" si="61"/>
        <v>#N/A</v>
      </c>
      <c r="CQ51" s="433" t="e">
        <f t="shared" si="61"/>
        <v>#N/A</v>
      </c>
      <c r="CR51" s="433" t="e">
        <f t="shared" si="61"/>
        <v>#N/A</v>
      </c>
      <c r="CS51" s="433" t="e">
        <f t="shared" si="61"/>
        <v>#N/A</v>
      </c>
      <c r="CT51" s="433" t="e">
        <f t="shared" si="61"/>
        <v>#N/A</v>
      </c>
      <c r="CU51" s="433" t="e">
        <f t="shared" si="61"/>
        <v>#N/A</v>
      </c>
      <c r="CV51" s="433" t="e">
        <f t="shared" si="61"/>
        <v>#N/A</v>
      </c>
      <c r="CW51" s="433" t="e">
        <f t="shared" si="61"/>
        <v>#N/A</v>
      </c>
      <c r="CX51" s="433" t="e">
        <f t="shared" si="61"/>
        <v>#N/A</v>
      </c>
      <c r="CY51" s="433" t="e">
        <f t="shared" si="61"/>
        <v>#N/A</v>
      </c>
      <c r="CZ51" s="433" t="e">
        <f t="shared" si="61"/>
        <v>#N/A</v>
      </c>
      <c r="DA51" s="433" t="e">
        <f t="shared" si="61"/>
        <v>#N/A</v>
      </c>
      <c r="DB51" s="433" t="e">
        <f t="shared" si="61"/>
        <v>#N/A</v>
      </c>
      <c r="DC51" s="433" t="e">
        <f t="shared" si="61"/>
        <v>#N/A</v>
      </c>
      <c r="DD51" s="433" t="e">
        <f t="shared" si="61"/>
        <v>#N/A</v>
      </c>
      <c r="DE51" s="433" t="e">
        <f t="shared" si="61"/>
        <v>#N/A</v>
      </c>
      <c r="DF51" s="433" t="e">
        <f t="shared" si="61"/>
        <v>#N/A</v>
      </c>
      <c r="DG51" s="433" t="e">
        <f t="shared" si="61"/>
        <v>#N/A</v>
      </c>
      <c r="DH51" s="433" t="e">
        <f t="shared" si="61"/>
        <v>#N/A</v>
      </c>
      <c r="DI51" s="433" t="e">
        <f t="shared" si="61"/>
        <v>#N/A</v>
      </c>
      <c r="DJ51" s="433" t="e">
        <f t="shared" si="61"/>
        <v>#N/A</v>
      </c>
      <c r="DK51" s="433" t="e">
        <f t="shared" si="61"/>
        <v>#N/A</v>
      </c>
      <c r="DL51" s="433" t="e">
        <f t="shared" si="61"/>
        <v>#N/A</v>
      </c>
      <c r="DM51" s="433" t="e">
        <f t="shared" si="61"/>
        <v>#N/A</v>
      </c>
    </row>
    <row r="52" spans="2:117" ht="12.75" customHeight="1" x14ac:dyDescent="0.25">
      <c r="CD52" t="str">
        <f t="shared" ref="CD52:DM52" si="62">CD24&amp;CD23</f>
        <v>Jan2019</v>
      </c>
      <c r="CE52" t="str">
        <f t="shared" si="62"/>
        <v>Feb2019</v>
      </c>
      <c r="CF52" t="str">
        <f t="shared" si="62"/>
        <v>Mar2019</v>
      </c>
      <c r="CG52" t="str">
        <f t="shared" si="62"/>
        <v>Apr2019</v>
      </c>
      <c r="CH52" t="str">
        <f t="shared" si="62"/>
        <v>May2019</v>
      </c>
      <c r="CI52" t="str">
        <f t="shared" si="62"/>
        <v>Jun2019</v>
      </c>
      <c r="CJ52" t="str">
        <f t="shared" si="62"/>
        <v>Jul2019</v>
      </c>
      <c r="CK52" t="str">
        <f t="shared" si="62"/>
        <v>Aug2019</v>
      </c>
      <c r="CL52" t="str">
        <f t="shared" si="62"/>
        <v>Sep2019</v>
      </c>
      <c r="CM52" t="str">
        <f t="shared" si="62"/>
        <v>Oct2019</v>
      </c>
      <c r="CN52" t="str">
        <f t="shared" si="62"/>
        <v>Nov2019</v>
      </c>
      <c r="CO52" t="str">
        <f t="shared" si="62"/>
        <v>Dec2019</v>
      </c>
      <c r="CP52" t="str">
        <f t="shared" si="62"/>
        <v>Jan2020</v>
      </c>
      <c r="CQ52" t="str">
        <f t="shared" si="62"/>
        <v>Feb2020</v>
      </c>
      <c r="CR52" t="str">
        <f t="shared" si="62"/>
        <v>Mar2020</v>
      </c>
      <c r="CS52" t="str">
        <f t="shared" si="62"/>
        <v>Apr2020</v>
      </c>
      <c r="CT52" t="str">
        <f t="shared" si="62"/>
        <v>May2020</v>
      </c>
      <c r="CU52" t="str">
        <f t="shared" si="62"/>
        <v>Jun2020</v>
      </c>
      <c r="CV52" t="str">
        <f t="shared" si="62"/>
        <v>Jul2020</v>
      </c>
      <c r="CW52" t="str">
        <f t="shared" si="62"/>
        <v>Aug2020</v>
      </c>
      <c r="CX52" t="str">
        <f t="shared" si="62"/>
        <v>Sep2020</v>
      </c>
      <c r="CY52" t="str">
        <f t="shared" si="62"/>
        <v>Oct2020</v>
      </c>
      <c r="CZ52" t="str">
        <f t="shared" si="62"/>
        <v>Nov2020</v>
      </c>
      <c r="DA52" t="str">
        <f t="shared" si="62"/>
        <v>Dec2020</v>
      </c>
      <c r="DB52" t="str">
        <f t="shared" si="62"/>
        <v>Jan2021</v>
      </c>
      <c r="DC52" t="str">
        <f t="shared" si="62"/>
        <v>Feb2021</v>
      </c>
      <c r="DD52" t="str">
        <f t="shared" si="62"/>
        <v>Mar2021</v>
      </c>
      <c r="DE52" t="str">
        <f t="shared" si="62"/>
        <v>Apr2021</v>
      </c>
      <c r="DF52" t="str">
        <f t="shared" si="62"/>
        <v>May2021</v>
      </c>
      <c r="DG52" t="str">
        <f t="shared" si="62"/>
        <v>Jun2021</v>
      </c>
      <c r="DH52" t="str">
        <f t="shared" si="62"/>
        <v>Jul2021</v>
      </c>
      <c r="DI52" t="str">
        <f t="shared" si="62"/>
        <v>Aug2021</v>
      </c>
      <c r="DJ52" t="str">
        <f t="shared" si="62"/>
        <v>Sep2021</v>
      </c>
      <c r="DK52" t="str">
        <f t="shared" si="62"/>
        <v>Oct2021</v>
      </c>
      <c r="DL52" t="str">
        <f t="shared" si="62"/>
        <v>Nov2021</v>
      </c>
      <c r="DM52" t="str">
        <f t="shared" si="62"/>
        <v>Dec2021</v>
      </c>
    </row>
    <row r="53" spans="2:117" ht="12.75" customHeight="1" thickBot="1" x14ac:dyDescent="0.3">
      <c r="CD53" s="1437">
        <f>CD23</f>
        <v>2019</v>
      </c>
      <c r="CE53" s="1437"/>
      <c r="CF53" s="1437"/>
      <c r="CG53" s="1437"/>
      <c r="CH53" s="1437"/>
      <c r="CI53" s="1437"/>
      <c r="CJ53" s="1437"/>
      <c r="CK53" s="1437"/>
      <c r="CL53" s="1437"/>
      <c r="CM53" s="1437"/>
      <c r="CN53" s="1437"/>
      <c r="CO53" s="1437"/>
      <c r="CP53" s="1437">
        <f>CP23</f>
        <v>2020</v>
      </c>
      <c r="CQ53" s="1437"/>
      <c r="CR53" s="1437"/>
      <c r="CS53" s="1437"/>
      <c r="CT53" s="1437"/>
      <c r="CU53" s="1437"/>
      <c r="CV53" s="1437"/>
      <c r="CW53" s="1437"/>
      <c r="CX53" s="1437"/>
      <c r="CY53" s="1437"/>
      <c r="CZ53" s="1437"/>
      <c r="DA53" s="1437"/>
      <c r="DB53" s="1437">
        <f>DB23</f>
        <v>2021</v>
      </c>
      <c r="DC53" s="1437"/>
      <c r="DD53" s="1437"/>
      <c r="DE53" s="1437"/>
      <c r="DF53" s="1437"/>
      <c r="DG53" s="1437"/>
      <c r="DH53" s="1437"/>
      <c r="DI53" s="1437"/>
      <c r="DJ53" s="1437"/>
      <c r="DK53" s="1437"/>
      <c r="DL53" s="1437"/>
      <c r="DM53" s="1437"/>
    </row>
    <row r="54" spans="2:117" ht="32.25" thickBot="1" x14ac:dyDescent="0.55000000000000004">
      <c r="B54" s="243" t="str">
        <f>IF(Language="English", BS54, BT54)</f>
        <v xml:space="preserve">ÉTAPE 3 de 4. Examiner le délai de mouvement restreint COVID </v>
      </c>
      <c r="C54" s="243"/>
      <c r="D54" s="243"/>
      <c r="E54" s="243"/>
      <c r="F54" s="243"/>
      <c r="G54" s="1157"/>
      <c r="H54" s="1157"/>
      <c r="I54" s="1157"/>
      <c r="J54" s="1157"/>
      <c r="K54" s="232"/>
      <c r="L54" s="232"/>
      <c r="M54" s="232"/>
      <c r="N54" s="232"/>
      <c r="O54" s="232"/>
      <c r="P54" s="232"/>
      <c r="Q54" s="232"/>
      <c r="R54" s="232"/>
      <c r="S54" s="232"/>
      <c r="T54" s="232"/>
      <c r="U54" s="232"/>
      <c r="V54" s="232"/>
      <c r="W54" s="232"/>
      <c r="X54" s="232"/>
      <c r="Y54" s="232"/>
      <c r="Z54" s="232"/>
      <c r="AA54" s="232"/>
      <c r="AB54" s="232"/>
      <c r="AC54" s="232"/>
      <c r="AD54" s="232"/>
      <c r="AE54" s="232"/>
      <c r="AF54" s="232"/>
      <c r="AG54" s="232"/>
      <c r="AH54" s="232"/>
      <c r="AI54" s="232"/>
      <c r="AJ54" s="232"/>
      <c r="AK54" s="232"/>
      <c r="AL54" s="232"/>
      <c r="AM54" s="232"/>
      <c r="AN54" s="232"/>
      <c r="AO54" s="232"/>
      <c r="AP54" s="232"/>
      <c r="BS54" s="184" t="s">
        <v>2055</v>
      </c>
      <c r="BT54" s="184" t="s">
        <v>2056</v>
      </c>
      <c r="CB54" s="918">
        <f>E63</f>
        <v>0</v>
      </c>
      <c r="CC54" s="921"/>
      <c r="CD54" s="1211" t="str">
        <f>CD24</f>
        <v>Jan</v>
      </c>
      <c r="CE54" s="1211" t="str">
        <f t="shared" ref="CE54:CO54" si="63">CE24</f>
        <v>Feb</v>
      </c>
      <c r="CF54" s="1211" t="str">
        <f t="shared" si="63"/>
        <v>Mar</v>
      </c>
      <c r="CG54" s="1211" t="str">
        <f t="shared" si="63"/>
        <v>Apr</v>
      </c>
      <c r="CH54" s="1211" t="str">
        <f t="shared" si="63"/>
        <v>May</v>
      </c>
      <c r="CI54" s="1211" t="str">
        <f t="shared" si="63"/>
        <v>Jun</v>
      </c>
      <c r="CJ54" s="1211" t="str">
        <f t="shared" si="63"/>
        <v>Jul</v>
      </c>
      <c r="CK54" s="1211" t="str">
        <f t="shared" si="63"/>
        <v>Aug</v>
      </c>
      <c r="CL54" s="1211" t="str">
        <f t="shared" si="63"/>
        <v>Sep</v>
      </c>
      <c r="CM54" s="1211" t="str">
        <f t="shared" si="63"/>
        <v>Oct</v>
      </c>
      <c r="CN54" s="1211" t="str">
        <f t="shared" si="63"/>
        <v>Nov</v>
      </c>
      <c r="CO54" s="1211" t="str">
        <f t="shared" si="63"/>
        <v>Dec</v>
      </c>
      <c r="CP54" s="1211" t="str">
        <f>CP24</f>
        <v>Jan</v>
      </c>
      <c r="CQ54" s="1211" t="str">
        <f t="shared" ref="CQ54:DA54" si="64">CQ24</f>
        <v>Feb</v>
      </c>
      <c r="CR54" s="1211" t="str">
        <f t="shared" si="64"/>
        <v>Mar</v>
      </c>
      <c r="CS54" s="1211" t="str">
        <f t="shared" si="64"/>
        <v>Apr</v>
      </c>
      <c r="CT54" s="1211" t="str">
        <f t="shared" si="64"/>
        <v>May</v>
      </c>
      <c r="CU54" s="1211" t="str">
        <f t="shared" si="64"/>
        <v>Jun</v>
      </c>
      <c r="CV54" s="1211" t="str">
        <f t="shared" si="64"/>
        <v>Jul</v>
      </c>
      <c r="CW54" s="1211" t="str">
        <f t="shared" si="64"/>
        <v>Aug</v>
      </c>
      <c r="CX54" s="1211" t="str">
        <f t="shared" si="64"/>
        <v>Sep</v>
      </c>
      <c r="CY54" s="1211" t="str">
        <f t="shared" si="64"/>
        <v>Oct</v>
      </c>
      <c r="CZ54" s="1211" t="str">
        <f t="shared" si="64"/>
        <v>Nov</v>
      </c>
      <c r="DA54" s="1211" t="str">
        <f t="shared" si="64"/>
        <v>Dec</v>
      </c>
      <c r="DB54" s="1211" t="str">
        <f>DB24</f>
        <v>Jan</v>
      </c>
      <c r="DC54" s="1211" t="str">
        <f t="shared" ref="DC54:DM54" si="65">DC24</f>
        <v>Feb</v>
      </c>
      <c r="DD54" s="1211" t="str">
        <f t="shared" si="65"/>
        <v>Mar</v>
      </c>
      <c r="DE54" s="1211" t="str">
        <f t="shared" si="65"/>
        <v>Apr</v>
      </c>
      <c r="DF54" s="1211" t="str">
        <f t="shared" si="65"/>
        <v>May</v>
      </c>
      <c r="DG54" s="1211" t="str">
        <f t="shared" si="65"/>
        <v>Jun</v>
      </c>
      <c r="DH54" s="1211" t="str">
        <f t="shared" si="65"/>
        <v>Jul</v>
      </c>
      <c r="DI54" s="1211" t="str">
        <f t="shared" si="65"/>
        <v>Aug</v>
      </c>
      <c r="DJ54" s="1211" t="str">
        <f t="shared" si="65"/>
        <v>Sep</v>
      </c>
      <c r="DK54" s="1211" t="str">
        <f t="shared" si="65"/>
        <v>Oct</v>
      </c>
      <c r="DL54" s="1211" t="str">
        <f t="shared" si="65"/>
        <v>Nov</v>
      </c>
      <c r="DM54" s="1211" t="str">
        <f t="shared" si="65"/>
        <v>Dec</v>
      </c>
    </row>
    <row r="55" spans="2:117" ht="16.899999999999999" customHeight="1" x14ac:dyDescent="0.25">
      <c r="B55" s="196" t="str">
        <f>IF(Language="English", BS55, BT55)</f>
        <v>Saisissez les chiffres des produits annuels par méthode dans le tableau ci-dessous pour les méthodes utilisées dans votre pays. Saisissez les données pour chaque année.</v>
      </c>
      <c r="BS55" s="196" t="s">
        <v>81</v>
      </c>
      <c r="BT55" s="196" t="s">
        <v>822</v>
      </c>
      <c r="CB55" s="921"/>
      <c r="CC55" s="921" t="e">
        <f t="shared" ref="CC55:CC61" si="66">C66</f>
        <v>#REF!</v>
      </c>
      <c r="CD55" s="922" t="e">
        <f t="shared" ref="CD55:DM55" si="67">IF(CD27="", "", CD27)</f>
        <v>#N/A</v>
      </c>
      <c r="CE55" s="922" t="e">
        <f t="shared" si="67"/>
        <v>#N/A</v>
      </c>
      <c r="CF55" s="922" t="e">
        <f t="shared" si="67"/>
        <v>#N/A</v>
      </c>
      <c r="CG55" s="922" t="e">
        <f t="shared" si="67"/>
        <v>#N/A</v>
      </c>
      <c r="CH55" s="922" t="e">
        <f t="shared" si="67"/>
        <v>#N/A</v>
      </c>
      <c r="CI55" s="922" t="e">
        <f t="shared" si="67"/>
        <v>#N/A</v>
      </c>
      <c r="CJ55" s="922" t="e">
        <f t="shared" si="67"/>
        <v>#N/A</v>
      </c>
      <c r="CK55" s="922" t="e">
        <f t="shared" si="67"/>
        <v>#N/A</v>
      </c>
      <c r="CL55" s="922" t="e">
        <f t="shared" si="67"/>
        <v>#N/A</v>
      </c>
      <c r="CM55" s="922" t="e">
        <f t="shared" si="67"/>
        <v>#N/A</v>
      </c>
      <c r="CN55" s="922" t="e">
        <f t="shared" si="67"/>
        <v>#N/A</v>
      </c>
      <c r="CO55" s="922" t="e">
        <f t="shared" si="67"/>
        <v>#N/A</v>
      </c>
      <c r="CP55" s="922" t="e">
        <f t="shared" si="67"/>
        <v>#N/A</v>
      </c>
      <c r="CQ55" s="922" t="e">
        <f t="shared" si="67"/>
        <v>#N/A</v>
      </c>
      <c r="CR55" s="922" t="e">
        <f t="shared" si="67"/>
        <v>#N/A</v>
      </c>
      <c r="CS55" s="922" t="e">
        <f t="shared" si="67"/>
        <v>#N/A</v>
      </c>
      <c r="CT55" s="922" t="e">
        <f t="shared" si="67"/>
        <v>#N/A</v>
      </c>
      <c r="CU55" s="922" t="e">
        <f t="shared" si="67"/>
        <v>#N/A</v>
      </c>
      <c r="CV55" s="922" t="e">
        <f t="shared" si="67"/>
        <v>#N/A</v>
      </c>
      <c r="CW55" s="922" t="e">
        <f t="shared" si="67"/>
        <v>#N/A</v>
      </c>
      <c r="CX55" s="922" t="e">
        <f t="shared" si="67"/>
        <v>#N/A</v>
      </c>
      <c r="CY55" s="922" t="e">
        <f t="shared" si="67"/>
        <v>#N/A</v>
      </c>
      <c r="CZ55" s="922" t="e">
        <f t="shared" si="67"/>
        <v>#N/A</v>
      </c>
      <c r="DA55" s="922" t="e">
        <f t="shared" si="67"/>
        <v>#N/A</v>
      </c>
      <c r="DB55" s="922" t="e">
        <f t="shared" si="67"/>
        <v>#N/A</v>
      </c>
      <c r="DC55" s="922" t="e">
        <f t="shared" si="67"/>
        <v>#N/A</v>
      </c>
      <c r="DD55" s="922" t="e">
        <f t="shared" si="67"/>
        <v>#N/A</v>
      </c>
      <c r="DE55" s="922" t="e">
        <f t="shared" si="67"/>
        <v>#N/A</v>
      </c>
      <c r="DF55" s="922" t="e">
        <f t="shared" si="67"/>
        <v>#N/A</v>
      </c>
      <c r="DG55" s="922" t="e">
        <f t="shared" si="67"/>
        <v>#N/A</v>
      </c>
      <c r="DH55" s="922" t="e">
        <f t="shared" si="67"/>
        <v>#N/A</v>
      </c>
      <c r="DI55" s="922" t="e">
        <f t="shared" si="67"/>
        <v>#N/A</v>
      </c>
      <c r="DJ55" s="922" t="e">
        <f t="shared" si="67"/>
        <v>#N/A</v>
      </c>
      <c r="DK55" s="922" t="e">
        <f t="shared" si="67"/>
        <v>#N/A</v>
      </c>
      <c r="DL55" s="922" t="e">
        <f t="shared" si="67"/>
        <v>#N/A</v>
      </c>
      <c r="DM55" s="922" t="e">
        <f t="shared" si="67"/>
        <v>#N/A</v>
      </c>
    </row>
    <row r="56" spans="2:117" s="119" customFormat="1" ht="29.45" customHeight="1" thickBot="1" x14ac:dyDescent="0.3">
      <c r="G56" s="169" t="str">
        <f>G24&amp;G23</f>
        <v>Jan2019</v>
      </c>
      <c r="H56" s="169" t="str">
        <f t="shared" ref="H56:AP56" si="68">H24&amp;H23</f>
        <v>Feb2019</v>
      </c>
      <c r="I56" s="169" t="str">
        <f t="shared" si="68"/>
        <v>Mar2019</v>
      </c>
      <c r="J56" s="169" t="str">
        <f t="shared" si="68"/>
        <v>Apr2019</v>
      </c>
      <c r="K56" s="169" t="str">
        <f t="shared" si="68"/>
        <v>May2019</v>
      </c>
      <c r="L56" s="169" t="str">
        <f t="shared" si="68"/>
        <v>Jun2019</v>
      </c>
      <c r="M56" s="169" t="str">
        <f t="shared" si="68"/>
        <v>Jul2019</v>
      </c>
      <c r="N56" s="169" t="str">
        <f t="shared" si="68"/>
        <v>Aug2019</v>
      </c>
      <c r="O56" s="169" t="str">
        <f t="shared" si="68"/>
        <v>Sep2019</v>
      </c>
      <c r="P56" s="169" t="str">
        <f t="shared" si="68"/>
        <v>Oct2019</v>
      </c>
      <c r="Q56" s="169" t="str">
        <f t="shared" si="68"/>
        <v>Nov2019</v>
      </c>
      <c r="R56" s="169" t="str">
        <f t="shared" si="68"/>
        <v>Dec2019</v>
      </c>
      <c r="S56" s="169" t="str">
        <f t="shared" si="68"/>
        <v>Jan2020</v>
      </c>
      <c r="T56" s="169" t="str">
        <f t="shared" si="68"/>
        <v>Feb2020</v>
      </c>
      <c r="U56" s="169" t="str">
        <f t="shared" si="68"/>
        <v>Mar2020</v>
      </c>
      <c r="V56" s="169" t="str">
        <f t="shared" si="68"/>
        <v>Apr2020</v>
      </c>
      <c r="W56" s="169" t="str">
        <f t="shared" si="68"/>
        <v>May2020</v>
      </c>
      <c r="X56" s="169" t="str">
        <f t="shared" si="68"/>
        <v>Jun2020</v>
      </c>
      <c r="Y56" s="169" t="str">
        <f t="shared" si="68"/>
        <v>Jul2020</v>
      </c>
      <c r="Z56" s="169" t="str">
        <f t="shared" si="68"/>
        <v>Aug2020</v>
      </c>
      <c r="AA56" s="169" t="str">
        <f t="shared" si="68"/>
        <v>Sep2020</v>
      </c>
      <c r="AB56" s="169" t="str">
        <f t="shared" si="68"/>
        <v>Oct2020</v>
      </c>
      <c r="AC56" s="169" t="str">
        <f t="shared" si="68"/>
        <v>Nov2020</v>
      </c>
      <c r="AD56" s="169" t="str">
        <f t="shared" si="68"/>
        <v>Dec2020</v>
      </c>
      <c r="AE56" s="169" t="str">
        <f t="shared" si="68"/>
        <v>Jan2021</v>
      </c>
      <c r="AF56" s="169" t="str">
        <f t="shared" si="68"/>
        <v>Feb2021</v>
      </c>
      <c r="AG56" s="169" t="str">
        <f t="shared" si="68"/>
        <v>Mar2021</v>
      </c>
      <c r="AH56" s="169" t="str">
        <f t="shared" si="68"/>
        <v>Apr2021</v>
      </c>
      <c r="AI56" s="169" t="str">
        <f t="shared" si="68"/>
        <v>May2021</v>
      </c>
      <c r="AJ56" s="169" t="str">
        <f t="shared" si="68"/>
        <v>Jun2021</v>
      </c>
      <c r="AK56" s="169" t="str">
        <f t="shared" si="68"/>
        <v>Jul2021</v>
      </c>
      <c r="AL56" s="169" t="str">
        <f t="shared" si="68"/>
        <v>Aug2021</v>
      </c>
      <c r="AM56" s="169" t="str">
        <f t="shared" si="68"/>
        <v>Sep2021</v>
      </c>
      <c r="AN56" s="169" t="str">
        <f t="shared" si="68"/>
        <v>Oct2021</v>
      </c>
      <c r="AO56" s="169" t="str">
        <f t="shared" si="68"/>
        <v>Nov2021</v>
      </c>
      <c r="AP56" s="169" t="str">
        <f t="shared" si="68"/>
        <v>Dec2021</v>
      </c>
      <c r="BS56" s="368" t="s">
        <v>2057</v>
      </c>
      <c r="BT56" s="368" t="s">
        <v>2403</v>
      </c>
      <c r="BU56" s="368"/>
      <c r="CA56" s="1288"/>
      <c r="CB56" s="1289"/>
      <c r="CC56" s="1289" t="e">
        <f t="shared" si="66"/>
        <v>#REF!</v>
      </c>
      <c r="CD56" s="1290" t="e">
        <f t="shared" ref="CD56:DM56" si="69">IF(CD28="", "", CD28)</f>
        <v>#N/A</v>
      </c>
      <c r="CE56" s="1290" t="e">
        <f t="shared" si="69"/>
        <v>#N/A</v>
      </c>
      <c r="CF56" s="1290" t="e">
        <f t="shared" si="69"/>
        <v>#N/A</v>
      </c>
      <c r="CG56" s="1290" t="e">
        <f t="shared" si="69"/>
        <v>#N/A</v>
      </c>
      <c r="CH56" s="1290" t="e">
        <f t="shared" si="69"/>
        <v>#N/A</v>
      </c>
      <c r="CI56" s="1290" t="e">
        <f t="shared" si="69"/>
        <v>#N/A</v>
      </c>
      <c r="CJ56" s="1290" t="e">
        <f t="shared" si="69"/>
        <v>#N/A</v>
      </c>
      <c r="CK56" s="1290" t="e">
        <f t="shared" si="69"/>
        <v>#N/A</v>
      </c>
      <c r="CL56" s="1290" t="e">
        <f t="shared" si="69"/>
        <v>#N/A</v>
      </c>
      <c r="CM56" s="1290" t="e">
        <f t="shared" si="69"/>
        <v>#N/A</v>
      </c>
      <c r="CN56" s="1290" t="e">
        <f t="shared" si="69"/>
        <v>#N/A</v>
      </c>
      <c r="CO56" s="1290" t="e">
        <f t="shared" si="69"/>
        <v>#N/A</v>
      </c>
      <c r="CP56" s="1290" t="e">
        <f t="shared" si="69"/>
        <v>#N/A</v>
      </c>
      <c r="CQ56" s="1290" t="e">
        <f t="shared" si="69"/>
        <v>#N/A</v>
      </c>
      <c r="CR56" s="1290" t="e">
        <f t="shared" si="69"/>
        <v>#N/A</v>
      </c>
      <c r="CS56" s="1290" t="e">
        <f t="shared" si="69"/>
        <v>#N/A</v>
      </c>
      <c r="CT56" s="1290" t="e">
        <f t="shared" si="69"/>
        <v>#N/A</v>
      </c>
      <c r="CU56" s="1290" t="e">
        <f t="shared" si="69"/>
        <v>#N/A</v>
      </c>
      <c r="CV56" s="1290" t="e">
        <f t="shared" si="69"/>
        <v>#N/A</v>
      </c>
      <c r="CW56" s="1290" t="e">
        <f t="shared" si="69"/>
        <v>#N/A</v>
      </c>
      <c r="CX56" s="1290" t="e">
        <f t="shared" si="69"/>
        <v>#N/A</v>
      </c>
      <c r="CY56" s="1290" t="e">
        <f t="shared" si="69"/>
        <v>#N/A</v>
      </c>
      <c r="CZ56" s="1290" t="e">
        <f t="shared" si="69"/>
        <v>#N/A</v>
      </c>
      <c r="DA56" s="1290" t="e">
        <f t="shared" si="69"/>
        <v>#N/A</v>
      </c>
      <c r="DB56" s="1290" t="e">
        <f t="shared" si="69"/>
        <v>#N/A</v>
      </c>
      <c r="DC56" s="1290" t="e">
        <f t="shared" si="69"/>
        <v>#N/A</v>
      </c>
      <c r="DD56" s="1290" t="e">
        <f t="shared" si="69"/>
        <v>#N/A</v>
      </c>
      <c r="DE56" s="1290" t="e">
        <f t="shared" si="69"/>
        <v>#N/A</v>
      </c>
      <c r="DF56" s="1290" t="e">
        <f t="shared" si="69"/>
        <v>#N/A</v>
      </c>
      <c r="DG56" s="1290" t="e">
        <f t="shared" si="69"/>
        <v>#N/A</v>
      </c>
      <c r="DH56" s="1290" t="e">
        <f t="shared" si="69"/>
        <v>#N/A</v>
      </c>
      <c r="DI56" s="1290" t="e">
        <f t="shared" si="69"/>
        <v>#N/A</v>
      </c>
      <c r="DJ56" s="1290" t="e">
        <f t="shared" si="69"/>
        <v>#N/A</v>
      </c>
      <c r="DK56" s="1290" t="e">
        <f t="shared" si="69"/>
        <v>#N/A</v>
      </c>
      <c r="DL56" s="1290" t="e">
        <f t="shared" si="69"/>
        <v>#N/A</v>
      </c>
      <c r="DM56" s="1290" t="e">
        <f t="shared" si="69"/>
        <v>#N/A</v>
      </c>
    </row>
    <row r="57" spans="2:117" ht="19.149999999999999" customHeight="1" thickBot="1" x14ac:dyDescent="0.35">
      <c r="B57" s="429" t="str">
        <f>IF(Language="English", BS54, BT54)</f>
        <v xml:space="preserve">ÉTAPE 3 de 4. Examiner le délai de mouvement restreint COVID </v>
      </c>
      <c r="C57" s="430"/>
      <c r="D57" s="430"/>
      <c r="E57" s="431"/>
      <c r="F57" s="432"/>
      <c r="G57" s="1212"/>
      <c r="H57" s="1212"/>
      <c r="I57" s="1212"/>
      <c r="J57" s="1212"/>
      <c r="K57" s="1212"/>
      <c r="L57" s="1212"/>
      <c r="M57" s="1212"/>
      <c r="N57" s="1212"/>
      <c r="O57" s="1212"/>
      <c r="P57" s="1212"/>
      <c r="Q57" s="1212"/>
      <c r="R57" s="1212"/>
      <c r="S57" s="433" t="e">
        <f>VLOOKUP(Country_Selected, 'c7_movementrestrictions'!$ACE$5:$ADC$190, MATCH(S56, 'c7_movementrestrictions'!$ACE$2:$ADC$2, 0), FALSE)</f>
        <v>#N/A</v>
      </c>
      <c r="T57" s="433" t="e">
        <f>VLOOKUP(Country_Selected, 'c7_movementrestrictions'!$ACE$5:$ADC$190, MATCH(T56, 'c7_movementrestrictions'!$ACE$2:$ADC$2, 0), FALSE)</f>
        <v>#N/A</v>
      </c>
      <c r="U57" s="433" t="e">
        <f>VLOOKUP(Country_Selected, 'c7_movementrestrictions'!$ACE$5:$ADC$190, MATCH(U56, 'c7_movementrestrictions'!$ACE$2:$ADC$2, 0), FALSE)</f>
        <v>#N/A</v>
      </c>
      <c r="V57" s="433" t="e">
        <f>VLOOKUP(Country_Selected, 'c7_movementrestrictions'!$ACE$5:$ADC$190, MATCH(V56, 'c7_movementrestrictions'!$ACE$2:$ADC$2, 0), FALSE)</f>
        <v>#N/A</v>
      </c>
      <c r="W57" s="433" t="e">
        <f>VLOOKUP(Country_Selected, 'c7_movementrestrictions'!$ACE$5:$ADC$190, MATCH(W56, 'c7_movementrestrictions'!$ACE$2:$ADC$2, 0), FALSE)</f>
        <v>#N/A</v>
      </c>
      <c r="X57" s="433" t="e">
        <f>VLOOKUP(Country_Selected, 'c7_movementrestrictions'!$ACE$5:$ADC$190, MATCH(X56, 'c7_movementrestrictions'!$ACE$2:$ADC$2, 0), FALSE)</f>
        <v>#N/A</v>
      </c>
      <c r="Y57" s="433" t="e">
        <f>VLOOKUP(Country_Selected, 'c7_movementrestrictions'!$ACE$5:$ADC$190, MATCH(Y56, 'c7_movementrestrictions'!$ACE$2:$ADC$2, 0), FALSE)</f>
        <v>#N/A</v>
      </c>
      <c r="Z57" s="433" t="e">
        <f>VLOOKUP(Country_Selected, 'c7_movementrestrictions'!$ACE$5:$ADC$190, MATCH(Z56, 'c7_movementrestrictions'!$ACE$2:$ADC$2, 0), FALSE)</f>
        <v>#N/A</v>
      </c>
      <c r="AA57" s="433" t="e">
        <f>VLOOKUP(Country_Selected, 'c7_movementrestrictions'!$ACE$5:$ADC$190, MATCH(AA56, 'c7_movementrestrictions'!$ACE$2:$ADC$2, 0), FALSE)</f>
        <v>#N/A</v>
      </c>
      <c r="AB57" s="433" t="e">
        <f>VLOOKUP(Country_Selected, 'c7_movementrestrictions'!$ACE$5:$ADC$190, MATCH(AB56, 'c7_movementrestrictions'!$ACE$2:$ADC$2, 0), FALSE)</f>
        <v>#N/A</v>
      </c>
      <c r="AC57" s="433" t="e">
        <f>VLOOKUP(Country_Selected, 'c7_movementrestrictions'!$ACE$5:$ADC$190, MATCH(AC56, 'c7_movementrestrictions'!$ACE$2:$ADC$2, 0), FALSE)</f>
        <v>#N/A</v>
      </c>
      <c r="AD57" s="433" t="e">
        <f>VLOOKUP(Country_Selected, 'c7_movementrestrictions'!$ACE$5:$ADC$190, MATCH(AD56, 'c7_movementrestrictions'!$ACE$2:$ADC$2, 0), FALSE)</f>
        <v>#N/A</v>
      </c>
      <c r="AE57" s="433" t="e">
        <f>VLOOKUP(Country_Selected, 'c7_movementrestrictions'!$ACE$5:$ADC$190, MATCH(AE56, 'c7_movementrestrictions'!$ACE$2:$ADC$2, 0), FALSE)</f>
        <v>#N/A</v>
      </c>
      <c r="AF57" s="433" t="e">
        <f>VLOOKUP(Country_Selected, 'c7_movementrestrictions'!$ACE$5:$ADC$190, MATCH(AF56, 'c7_movementrestrictions'!$ACE$2:$ADC$2, 0), FALSE)</f>
        <v>#N/A</v>
      </c>
      <c r="AG57" s="433" t="e">
        <f>VLOOKUP(Country_Selected, 'c7_movementrestrictions'!$ACE$5:$ADC$190, MATCH(AG56, 'c7_movementrestrictions'!$ACE$2:$ADC$2, 0), FALSE)</f>
        <v>#N/A</v>
      </c>
      <c r="AH57" s="433" t="e">
        <f>VLOOKUP(Country_Selected, 'c7_movementrestrictions'!$ACE$5:$ADC$190, MATCH(AH56, 'c7_movementrestrictions'!$ACE$2:$ADC$2, 0), FALSE)</f>
        <v>#N/A</v>
      </c>
      <c r="AI57" s="433" t="e">
        <f>VLOOKUP(Country_Selected, 'c7_movementrestrictions'!$ACE$5:$ADC$190, MATCH(AI56, 'c7_movementrestrictions'!$ACE$2:$ADC$2, 0), FALSE)</f>
        <v>#N/A</v>
      </c>
      <c r="AJ57" s="433" t="e">
        <f>VLOOKUP(Country_Selected, 'c7_movementrestrictions'!$ACE$5:$ADC$190, MATCH(AJ56, 'c7_movementrestrictions'!$ACE$2:$ADC$2, 0), FALSE)</f>
        <v>#N/A</v>
      </c>
      <c r="AK57" s="433" t="e">
        <f>VLOOKUP(Country_Selected, 'c7_movementrestrictions'!$ACE$5:$ADC$190, MATCH(AK56, 'c7_movementrestrictions'!$ACE$2:$ADC$2, 0), FALSE)</f>
        <v>#N/A</v>
      </c>
      <c r="AL57" s="433" t="e">
        <f>VLOOKUP(Country_Selected, 'c7_movementrestrictions'!$ACE$5:$ADC$190, MATCH(AL56, 'c7_movementrestrictions'!$ACE$2:$ADC$2, 0), FALSE)</f>
        <v>#N/A</v>
      </c>
      <c r="AM57" s="433" t="e">
        <f>VLOOKUP(Country_Selected, 'c7_movementrestrictions'!$ACE$5:$ADC$190, MATCH(AM56, 'c7_movementrestrictions'!$ACE$2:$ADC$2, 0), FALSE)</f>
        <v>#N/A</v>
      </c>
      <c r="AN57" s="433" t="e">
        <f>VLOOKUP(Country_Selected, 'c7_movementrestrictions'!$ACE$5:$ADC$190, MATCH(AN56, 'c7_movementrestrictions'!$ACE$2:$ADC$2, 0), FALSE)</f>
        <v>#N/A</v>
      </c>
      <c r="AO57" s="433" t="e">
        <f>VLOOKUP(Country_Selected, 'c7_movementrestrictions'!$ACE$5:$ADC$190, MATCH(AO56, 'c7_movementrestrictions'!$ACE$2:$ADC$2, 0), FALSE)</f>
        <v>#N/A</v>
      </c>
      <c r="AP57" s="433" t="e">
        <f>VLOOKUP(Country_Selected, 'c7_movementrestrictions'!$ACE$5:$ADC$190, MATCH(AP56, 'c7_movementrestrictions'!$ACE$2:$ADC$2, 0), FALSE)</f>
        <v>#N/A</v>
      </c>
      <c r="BR57" t="str">
        <f>IF(Language="English", BS57, BT57)</f>
        <v>Mois avec restrictions COVID</v>
      </c>
      <c r="BS57" s="184" t="s">
        <v>2058</v>
      </c>
      <c r="BT57" s="184" t="s">
        <v>2402</v>
      </c>
      <c r="CB57" s="921"/>
      <c r="CC57" s="921" t="e">
        <f t="shared" si="66"/>
        <v>#REF!</v>
      </c>
      <c r="CD57" s="922" t="e">
        <f t="shared" ref="CD57:DM57" si="70">IF(SUM(CD29:CD30)=0, "", SUM(CD29:CD30))</f>
        <v>#N/A</v>
      </c>
      <c r="CE57" s="922" t="e">
        <f t="shared" si="70"/>
        <v>#N/A</v>
      </c>
      <c r="CF57" s="922" t="e">
        <f t="shared" si="70"/>
        <v>#N/A</v>
      </c>
      <c r="CG57" s="922" t="e">
        <f t="shared" si="70"/>
        <v>#N/A</v>
      </c>
      <c r="CH57" s="922" t="e">
        <f t="shared" si="70"/>
        <v>#N/A</v>
      </c>
      <c r="CI57" s="922" t="e">
        <f t="shared" si="70"/>
        <v>#N/A</v>
      </c>
      <c r="CJ57" s="922" t="e">
        <f t="shared" si="70"/>
        <v>#N/A</v>
      </c>
      <c r="CK57" s="922" t="e">
        <f t="shared" si="70"/>
        <v>#N/A</v>
      </c>
      <c r="CL57" s="922" t="e">
        <f t="shared" si="70"/>
        <v>#N/A</v>
      </c>
      <c r="CM57" s="922" t="e">
        <f t="shared" si="70"/>
        <v>#N/A</v>
      </c>
      <c r="CN57" s="922" t="e">
        <f t="shared" si="70"/>
        <v>#N/A</v>
      </c>
      <c r="CO57" s="922" t="e">
        <f t="shared" si="70"/>
        <v>#N/A</v>
      </c>
      <c r="CP57" s="922" t="e">
        <f t="shared" si="70"/>
        <v>#N/A</v>
      </c>
      <c r="CQ57" s="922" t="e">
        <f t="shared" si="70"/>
        <v>#N/A</v>
      </c>
      <c r="CR57" s="922" t="e">
        <f t="shared" si="70"/>
        <v>#N/A</v>
      </c>
      <c r="CS57" s="922" t="e">
        <f t="shared" si="70"/>
        <v>#N/A</v>
      </c>
      <c r="CT57" s="922" t="e">
        <f t="shared" si="70"/>
        <v>#N/A</v>
      </c>
      <c r="CU57" s="922" t="e">
        <f t="shared" si="70"/>
        <v>#N/A</v>
      </c>
      <c r="CV57" s="922" t="e">
        <f t="shared" si="70"/>
        <v>#N/A</v>
      </c>
      <c r="CW57" s="922" t="e">
        <f t="shared" si="70"/>
        <v>#N/A</v>
      </c>
      <c r="CX57" s="922" t="e">
        <f t="shared" si="70"/>
        <v>#N/A</v>
      </c>
      <c r="CY57" s="922" t="e">
        <f t="shared" si="70"/>
        <v>#N/A</v>
      </c>
      <c r="CZ57" s="922" t="e">
        <f t="shared" si="70"/>
        <v>#N/A</v>
      </c>
      <c r="DA57" s="922" t="e">
        <f t="shared" si="70"/>
        <v>#N/A</v>
      </c>
      <c r="DB57" s="922" t="e">
        <f t="shared" si="70"/>
        <v>#N/A</v>
      </c>
      <c r="DC57" s="922" t="e">
        <f t="shared" si="70"/>
        <v>#N/A</v>
      </c>
      <c r="DD57" s="922" t="e">
        <f t="shared" si="70"/>
        <v>#N/A</v>
      </c>
      <c r="DE57" s="922" t="e">
        <f t="shared" si="70"/>
        <v>#N/A</v>
      </c>
      <c r="DF57" s="922" t="e">
        <f t="shared" si="70"/>
        <v>#N/A</v>
      </c>
      <c r="DG57" s="922" t="e">
        <f t="shared" si="70"/>
        <v>#N/A</v>
      </c>
      <c r="DH57" s="922" t="e">
        <f t="shared" si="70"/>
        <v>#N/A</v>
      </c>
      <c r="DI57" s="922" t="e">
        <f t="shared" si="70"/>
        <v>#N/A</v>
      </c>
      <c r="DJ57" s="922" t="e">
        <f t="shared" si="70"/>
        <v>#N/A</v>
      </c>
      <c r="DK57" s="922" t="e">
        <f t="shared" si="70"/>
        <v>#N/A</v>
      </c>
      <c r="DL57" s="922" t="e">
        <f t="shared" si="70"/>
        <v>#N/A</v>
      </c>
      <c r="DM57" s="922" t="e">
        <f t="shared" si="70"/>
        <v>#N/A</v>
      </c>
    </row>
    <row r="58" spans="2:117" ht="21" customHeight="1" thickBot="1" x14ac:dyDescent="0.35">
      <c r="B58" s="1213" t="str">
        <f>IF(Language="English", BS58, BT58)</f>
        <v>1 = Mouvement restreint pendant plus de 10 jours dans le mois</v>
      </c>
      <c r="BS58" s="1213" t="s">
        <v>2059</v>
      </c>
      <c r="BT58" s="184" t="s">
        <v>2404</v>
      </c>
      <c r="CB58" s="921"/>
      <c r="CC58" s="921" t="e">
        <f t="shared" si="66"/>
        <v>#REF!</v>
      </c>
      <c r="CD58" s="922" t="e">
        <f t="shared" ref="CD58:DM58" si="71">IF(SUM(CD31:CD33)=0, "", SUM(CD31:CD33))</f>
        <v>#N/A</v>
      </c>
      <c r="CE58" s="922" t="e">
        <f t="shared" si="71"/>
        <v>#N/A</v>
      </c>
      <c r="CF58" s="922" t="e">
        <f t="shared" si="71"/>
        <v>#N/A</v>
      </c>
      <c r="CG58" s="922" t="e">
        <f t="shared" si="71"/>
        <v>#N/A</v>
      </c>
      <c r="CH58" s="922" t="e">
        <f t="shared" si="71"/>
        <v>#N/A</v>
      </c>
      <c r="CI58" s="922" t="e">
        <f t="shared" si="71"/>
        <v>#N/A</v>
      </c>
      <c r="CJ58" s="922" t="e">
        <f t="shared" si="71"/>
        <v>#N/A</v>
      </c>
      <c r="CK58" s="922" t="e">
        <f t="shared" si="71"/>
        <v>#N/A</v>
      </c>
      <c r="CL58" s="922" t="e">
        <f t="shared" si="71"/>
        <v>#N/A</v>
      </c>
      <c r="CM58" s="922" t="e">
        <f t="shared" si="71"/>
        <v>#N/A</v>
      </c>
      <c r="CN58" s="922" t="e">
        <f t="shared" si="71"/>
        <v>#N/A</v>
      </c>
      <c r="CO58" s="922" t="e">
        <f t="shared" si="71"/>
        <v>#N/A</v>
      </c>
      <c r="CP58" s="922" t="e">
        <f t="shared" si="71"/>
        <v>#N/A</v>
      </c>
      <c r="CQ58" s="922" t="e">
        <f t="shared" si="71"/>
        <v>#N/A</v>
      </c>
      <c r="CR58" s="922" t="e">
        <f t="shared" si="71"/>
        <v>#N/A</v>
      </c>
      <c r="CS58" s="922" t="e">
        <f t="shared" si="71"/>
        <v>#N/A</v>
      </c>
      <c r="CT58" s="922" t="e">
        <f t="shared" si="71"/>
        <v>#N/A</v>
      </c>
      <c r="CU58" s="922" t="e">
        <f t="shared" si="71"/>
        <v>#N/A</v>
      </c>
      <c r="CV58" s="922" t="e">
        <f t="shared" si="71"/>
        <v>#N/A</v>
      </c>
      <c r="CW58" s="922" t="e">
        <f t="shared" si="71"/>
        <v>#N/A</v>
      </c>
      <c r="CX58" s="922" t="e">
        <f t="shared" si="71"/>
        <v>#N/A</v>
      </c>
      <c r="CY58" s="922" t="e">
        <f t="shared" si="71"/>
        <v>#N/A</v>
      </c>
      <c r="CZ58" s="922" t="e">
        <f t="shared" si="71"/>
        <v>#N/A</v>
      </c>
      <c r="DA58" s="922" t="e">
        <f t="shared" si="71"/>
        <v>#N/A</v>
      </c>
      <c r="DB58" s="922" t="e">
        <f t="shared" si="71"/>
        <v>#N/A</v>
      </c>
      <c r="DC58" s="922" t="e">
        <f t="shared" si="71"/>
        <v>#N/A</v>
      </c>
      <c r="DD58" s="922" t="e">
        <f t="shared" si="71"/>
        <v>#N/A</v>
      </c>
      <c r="DE58" s="922" t="e">
        <f t="shared" si="71"/>
        <v>#N/A</v>
      </c>
      <c r="DF58" s="922" t="e">
        <f t="shared" si="71"/>
        <v>#N/A</v>
      </c>
      <c r="DG58" s="922" t="e">
        <f t="shared" si="71"/>
        <v>#N/A</v>
      </c>
      <c r="DH58" s="922" t="e">
        <f t="shared" si="71"/>
        <v>#N/A</v>
      </c>
      <c r="DI58" s="922" t="e">
        <f t="shared" si="71"/>
        <v>#N/A</v>
      </c>
      <c r="DJ58" s="922" t="e">
        <f t="shared" si="71"/>
        <v>#N/A</v>
      </c>
      <c r="DK58" s="922" t="e">
        <f t="shared" si="71"/>
        <v>#N/A</v>
      </c>
      <c r="DL58" s="922" t="e">
        <f t="shared" si="71"/>
        <v>#N/A</v>
      </c>
      <c r="DM58" s="922" t="e">
        <f t="shared" si="71"/>
        <v>#N/A</v>
      </c>
    </row>
    <row r="59" spans="2:117" hidden="1" outlineLevel="1" x14ac:dyDescent="0.25">
      <c r="CB59" s="921"/>
      <c r="CC59" s="921" t="e">
        <f t="shared" si="66"/>
        <v>#REF!</v>
      </c>
      <c r="CD59" s="922" t="e">
        <f t="shared" ref="CD59:DM59" si="72">IF(SUM(CD36:CD40)=0, "", SUM(CD36:CD40))</f>
        <v>#N/A</v>
      </c>
      <c r="CE59" s="922" t="e">
        <f t="shared" si="72"/>
        <v>#N/A</v>
      </c>
      <c r="CF59" s="922" t="e">
        <f t="shared" si="72"/>
        <v>#N/A</v>
      </c>
      <c r="CG59" s="922" t="e">
        <f t="shared" si="72"/>
        <v>#N/A</v>
      </c>
      <c r="CH59" s="922" t="e">
        <f t="shared" si="72"/>
        <v>#N/A</v>
      </c>
      <c r="CI59" s="922" t="e">
        <f t="shared" si="72"/>
        <v>#N/A</v>
      </c>
      <c r="CJ59" s="922" t="e">
        <f t="shared" si="72"/>
        <v>#N/A</v>
      </c>
      <c r="CK59" s="922" t="e">
        <f t="shared" si="72"/>
        <v>#N/A</v>
      </c>
      <c r="CL59" s="922" t="e">
        <f t="shared" si="72"/>
        <v>#N/A</v>
      </c>
      <c r="CM59" s="922" t="e">
        <f t="shared" si="72"/>
        <v>#N/A</v>
      </c>
      <c r="CN59" s="922" t="e">
        <f t="shared" si="72"/>
        <v>#N/A</v>
      </c>
      <c r="CO59" s="922" t="e">
        <f t="shared" si="72"/>
        <v>#N/A</v>
      </c>
      <c r="CP59" s="922" t="e">
        <f t="shared" si="72"/>
        <v>#N/A</v>
      </c>
      <c r="CQ59" s="922" t="e">
        <f t="shared" si="72"/>
        <v>#N/A</v>
      </c>
      <c r="CR59" s="922" t="e">
        <f t="shared" si="72"/>
        <v>#N/A</v>
      </c>
      <c r="CS59" s="922" t="e">
        <f t="shared" si="72"/>
        <v>#N/A</v>
      </c>
      <c r="CT59" s="922" t="e">
        <f t="shared" si="72"/>
        <v>#N/A</v>
      </c>
      <c r="CU59" s="922" t="e">
        <f t="shared" si="72"/>
        <v>#N/A</v>
      </c>
      <c r="CV59" s="922" t="e">
        <f t="shared" si="72"/>
        <v>#N/A</v>
      </c>
      <c r="CW59" s="922" t="e">
        <f t="shared" si="72"/>
        <v>#N/A</v>
      </c>
      <c r="CX59" s="922" t="e">
        <f t="shared" si="72"/>
        <v>#N/A</v>
      </c>
      <c r="CY59" s="922" t="e">
        <f t="shared" si="72"/>
        <v>#N/A</v>
      </c>
      <c r="CZ59" s="922" t="e">
        <f t="shared" si="72"/>
        <v>#N/A</v>
      </c>
      <c r="DA59" s="922" t="e">
        <f t="shared" si="72"/>
        <v>#N/A</v>
      </c>
      <c r="DB59" s="922" t="e">
        <f t="shared" si="72"/>
        <v>#N/A</v>
      </c>
      <c r="DC59" s="922" t="e">
        <f t="shared" si="72"/>
        <v>#N/A</v>
      </c>
      <c r="DD59" s="922" t="e">
        <f t="shared" si="72"/>
        <v>#N/A</v>
      </c>
      <c r="DE59" s="922" t="e">
        <f t="shared" si="72"/>
        <v>#N/A</v>
      </c>
      <c r="DF59" s="922" t="e">
        <f t="shared" si="72"/>
        <v>#N/A</v>
      </c>
      <c r="DG59" s="922" t="e">
        <f t="shared" si="72"/>
        <v>#N/A</v>
      </c>
      <c r="DH59" s="922" t="e">
        <f t="shared" si="72"/>
        <v>#N/A</v>
      </c>
      <c r="DI59" s="922" t="e">
        <f t="shared" si="72"/>
        <v>#N/A</v>
      </c>
      <c r="DJ59" s="922" t="e">
        <f t="shared" si="72"/>
        <v>#N/A</v>
      </c>
      <c r="DK59" s="922" t="e">
        <f t="shared" si="72"/>
        <v>#N/A</v>
      </c>
      <c r="DL59" s="922" t="e">
        <f t="shared" si="72"/>
        <v>#N/A</v>
      </c>
      <c r="DM59" s="922" t="e">
        <f t="shared" si="72"/>
        <v>#N/A</v>
      </c>
    </row>
    <row r="60" spans="2:117" hidden="1" outlineLevel="1" x14ac:dyDescent="0.25">
      <c r="CB60" s="921"/>
      <c r="CC60" s="921" t="e">
        <f t="shared" si="66"/>
        <v>#REF!</v>
      </c>
      <c r="CD60" s="922" t="e">
        <f t="shared" ref="CD60:DM60" si="73">IF(SUM(CD41:CD43)=0,"", SUM(CD41:CD43))</f>
        <v>#N/A</v>
      </c>
      <c r="CE60" s="922" t="e">
        <f t="shared" si="73"/>
        <v>#N/A</v>
      </c>
      <c r="CF60" s="922" t="e">
        <f t="shared" si="73"/>
        <v>#N/A</v>
      </c>
      <c r="CG60" s="922" t="e">
        <f t="shared" si="73"/>
        <v>#N/A</v>
      </c>
      <c r="CH60" s="922" t="e">
        <f t="shared" si="73"/>
        <v>#N/A</v>
      </c>
      <c r="CI60" s="922" t="e">
        <f t="shared" si="73"/>
        <v>#N/A</v>
      </c>
      <c r="CJ60" s="922" t="e">
        <f t="shared" si="73"/>
        <v>#N/A</v>
      </c>
      <c r="CK60" s="922" t="e">
        <f t="shared" si="73"/>
        <v>#N/A</v>
      </c>
      <c r="CL60" s="922" t="e">
        <f t="shared" si="73"/>
        <v>#N/A</v>
      </c>
      <c r="CM60" s="922" t="e">
        <f t="shared" si="73"/>
        <v>#N/A</v>
      </c>
      <c r="CN60" s="922" t="e">
        <f t="shared" si="73"/>
        <v>#N/A</v>
      </c>
      <c r="CO60" s="922" t="e">
        <f t="shared" si="73"/>
        <v>#N/A</v>
      </c>
      <c r="CP60" s="922" t="e">
        <f t="shared" si="73"/>
        <v>#N/A</v>
      </c>
      <c r="CQ60" s="922" t="e">
        <f t="shared" si="73"/>
        <v>#N/A</v>
      </c>
      <c r="CR60" s="922" t="e">
        <f t="shared" si="73"/>
        <v>#N/A</v>
      </c>
      <c r="CS60" s="922" t="e">
        <f t="shared" si="73"/>
        <v>#N/A</v>
      </c>
      <c r="CT60" s="922" t="e">
        <f t="shared" si="73"/>
        <v>#N/A</v>
      </c>
      <c r="CU60" s="922" t="e">
        <f t="shared" si="73"/>
        <v>#N/A</v>
      </c>
      <c r="CV60" s="922" t="e">
        <f t="shared" si="73"/>
        <v>#N/A</v>
      </c>
      <c r="CW60" s="922" t="e">
        <f t="shared" si="73"/>
        <v>#N/A</v>
      </c>
      <c r="CX60" s="922" t="e">
        <f t="shared" si="73"/>
        <v>#N/A</v>
      </c>
      <c r="CY60" s="922" t="e">
        <f t="shared" si="73"/>
        <v>#N/A</v>
      </c>
      <c r="CZ60" s="922" t="e">
        <f t="shared" si="73"/>
        <v>#N/A</v>
      </c>
      <c r="DA60" s="922" t="e">
        <f t="shared" si="73"/>
        <v>#N/A</v>
      </c>
      <c r="DB60" s="922" t="e">
        <f t="shared" si="73"/>
        <v>#N/A</v>
      </c>
      <c r="DC60" s="922" t="e">
        <f t="shared" si="73"/>
        <v>#N/A</v>
      </c>
      <c r="DD60" s="922" t="e">
        <f t="shared" si="73"/>
        <v>#N/A</v>
      </c>
      <c r="DE60" s="922" t="e">
        <f t="shared" si="73"/>
        <v>#N/A</v>
      </c>
      <c r="DF60" s="922" t="e">
        <f t="shared" si="73"/>
        <v>#N/A</v>
      </c>
      <c r="DG60" s="922" t="e">
        <f t="shared" si="73"/>
        <v>#N/A</v>
      </c>
      <c r="DH60" s="922" t="e">
        <f t="shared" si="73"/>
        <v>#N/A</v>
      </c>
      <c r="DI60" s="922" t="e">
        <f t="shared" si="73"/>
        <v>#N/A</v>
      </c>
      <c r="DJ60" s="922" t="e">
        <f t="shared" si="73"/>
        <v>#N/A</v>
      </c>
      <c r="DK60" s="922" t="e">
        <f t="shared" si="73"/>
        <v>#N/A</v>
      </c>
      <c r="DL60" s="922" t="e">
        <f t="shared" si="73"/>
        <v>#N/A</v>
      </c>
      <c r="DM60" s="922" t="e">
        <f t="shared" si="73"/>
        <v>#N/A</v>
      </c>
    </row>
    <row r="61" spans="2:117" ht="15.75" hidden="1" outlineLevel="1" thickBot="1" x14ac:dyDescent="0.3">
      <c r="CB61" s="925"/>
      <c r="CC61" s="921" t="e">
        <f t="shared" si="66"/>
        <v>#REF!</v>
      </c>
      <c r="CD61" s="925" t="e">
        <f t="shared" ref="CD61:DM61" si="74">IF(SUM(CD44:CD45)=0,"", SUM(CD44:CD45))</f>
        <v>#N/A</v>
      </c>
      <c r="CE61" s="925" t="e">
        <f t="shared" si="74"/>
        <v>#N/A</v>
      </c>
      <c r="CF61" s="925" t="e">
        <f t="shared" si="74"/>
        <v>#N/A</v>
      </c>
      <c r="CG61" s="925" t="e">
        <f t="shared" si="74"/>
        <v>#N/A</v>
      </c>
      <c r="CH61" s="925" t="e">
        <f t="shared" si="74"/>
        <v>#N/A</v>
      </c>
      <c r="CI61" s="925" t="e">
        <f t="shared" si="74"/>
        <v>#N/A</v>
      </c>
      <c r="CJ61" s="925" t="e">
        <f t="shared" si="74"/>
        <v>#N/A</v>
      </c>
      <c r="CK61" s="925" t="e">
        <f t="shared" si="74"/>
        <v>#N/A</v>
      </c>
      <c r="CL61" s="925" t="e">
        <f t="shared" si="74"/>
        <v>#N/A</v>
      </c>
      <c r="CM61" s="925" t="e">
        <f t="shared" si="74"/>
        <v>#N/A</v>
      </c>
      <c r="CN61" s="925" t="e">
        <f t="shared" si="74"/>
        <v>#N/A</v>
      </c>
      <c r="CO61" s="925" t="e">
        <f t="shared" si="74"/>
        <v>#N/A</v>
      </c>
      <c r="CP61" s="925" t="e">
        <f t="shared" si="74"/>
        <v>#N/A</v>
      </c>
      <c r="CQ61" s="925" t="e">
        <f t="shared" si="74"/>
        <v>#N/A</v>
      </c>
      <c r="CR61" s="925" t="e">
        <f t="shared" si="74"/>
        <v>#N/A</v>
      </c>
      <c r="CS61" s="925" t="e">
        <f t="shared" si="74"/>
        <v>#N/A</v>
      </c>
      <c r="CT61" s="925" t="e">
        <f t="shared" si="74"/>
        <v>#N/A</v>
      </c>
      <c r="CU61" s="925" t="e">
        <f t="shared" si="74"/>
        <v>#N/A</v>
      </c>
      <c r="CV61" s="925" t="e">
        <f t="shared" si="74"/>
        <v>#N/A</v>
      </c>
      <c r="CW61" s="925" t="e">
        <f t="shared" si="74"/>
        <v>#N/A</v>
      </c>
      <c r="CX61" s="925" t="e">
        <f t="shared" si="74"/>
        <v>#N/A</v>
      </c>
      <c r="CY61" s="925" t="e">
        <f t="shared" si="74"/>
        <v>#N/A</v>
      </c>
      <c r="CZ61" s="925" t="e">
        <f t="shared" si="74"/>
        <v>#N/A</v>
      </c>
      <c r="DA61" s="925" t="e">
        <f t="shared" si="74"/>
        <v>#N/A</v>
      </c>
      <c r="DB61" s="925" t="e">
        <f t="shared" si="74"/>
        <v>#N/A</v>
      </c>
      <c r="DC61" s="925" t="e">
        <f t="shared" si="74"/>
        <v>#N/A</v>
      </c>
      <c r="DD61" s="925" t="e">
        <f t="shared" si="74"/>
        <v>#N/A</v>
      </c>
      <c r="DE61" s="925" t="e">
        <f t="shared" si="74"/>
        <v>#N/A</v>
      </c>
      <c r="DF61" s="925" t="e">
        <f t="shared" si="74"/>
        <v>#N/A</v>
      </c>
      <c r="DG61" s="925" t="e">
        <f t="shared" si="74"/>
        <v>#N/A</v>
      </c>
      <c r="DH61" s="925" t="e">
        <f t="shared" si="74"/>
        <v>#N/A</v>
      </c>
      <c r="DI61" s="925" t="e">
        <f t="shared" si="74"/>
        <v>#N/A</v>
      </c>
      <c r="DJ61" s="925" t="e">
        <f t="shared" si="74"/>
        <v>#N/A</v>
      </c>
      <c r="DK61" s="925" t="e">
        <f t="shared" si="74"/>
        <v>#N/A</v>
      </c>
      <c r="DL61" s="925" t="e">
        <f t="shared" si="74"/>
        <v>#N/A</v>
      </c>
      <c r="DM61" s="925" t="e">
        <f t="shared" si="74"/>
        <v>#N/A</v>
      </c>
    </row>
    <row r="62" spans="2:117" hidden="1" outlineLevel="1" x14ac:dyDescent="0.25">
      <c r="CC62" t="s">
        <v>109</v>
      </c>
      <c r="CD62" s="2" t="e">
        <f>SUM(CD55:CD61)</f>
        <v>#N/A</v>
      </c>
      <c r="CE62" s="2" t="e">
        <f t="shared" ref="CE62:DM62" si="75">SUM(CE55:CE61)</f>
        <v>#N/A</v>
      </c>
      <c r="CF62" s="2" t="e">
        <f t="shared" si="75"/>
        <v>#N/A</v>
      </c>
      <c r="CG62" s="2" t="e">
        <f t="shared" si="75"/>
        <v>#N/A</v>
      </c>
      <c r="CH62" s="2" t="e">
        <f t="shared" si="75"/>
        <v>#N/A</v>
      </c>
      <c r="CI62" s="2" t="e">
        <f t="shared" si="75"/>
        <v>#N/A</v>
      </c>
      <c r="CJ62" s="2" t="e">
        <f t="shared" si="75"/>
        <v>#N/A</v>
      </c>
      <c r="CK62" s="2" t="e">
        <f t="shared" si="75"/>
        <v>#N/A</v>
      </c>
      <c r="CL62" s="2" t="e">
        <f t="shared" si="75"/>
        <v>#N/A</v>
      </c>
      <c r="CM62" s="2" t="e">
        <f t="shared" si="75"/>
        <v>#N/A</v>
      </c>
      <c r="CN62" s="2" t="e">
        <f t="shared" si="75"/>
        <v>#N/A</v>
      </c>
      <c r="CO62" s="2" t="e">
        <f t="shared" si="75"/>
        <v>#N/A</v>
      </c>
      <c r="CP62" s="2" t="e">
        <f t="shared" si="75"/>
        <v>#N/A</v>
      </c>
      <c r="CQ62" s="2" t="e">
        <f t="shared" si="75"/>
        <v>#N/A</v>
      </c>
      <c r="CR62" s="2" t="e">
        <f t="shared" si="75"/>
        <v>#N/A</v>
      </c>
      <c r="CS62" s="2" t="e">
        <f t="shared" si="75"/>
        <v>#N/A</v>
      </c>
      <c r="CT62" s="2" t="e">
        <f t="shared" si="75"/>
        <v>#N/A</v>
      </c>
      <c r="CU62" s="2" t="e">
        <f t="shared" si="75"/>
        <v>#N/A</v>
      </c>
      <c r="CV62" s="2" t="e">
        <f t="shared" si="75"/>
        <v>#N/A</v>
      </c>
      <c r="CW62" s="2" t="e">
        <f t="shared" si="75"/>
        <v>#N/A</v>
      </c>
      <c r="CX62" s="2" t="e">
        <f t="shared" si="75"/>
        <v>#N/A</v>
      </c>
      <c r="CY62" s="2" t="e">
        <f t="shared" si="75"/>
        <v>#N/A</v>
      </c>
      <c r="CZ62" s="2" t="e">
        <f t="shared" si="75"/>
        <v>#N/A</v>
      </c>
      <c r="DA62" s="2" t="e">
        <f t="shared" si="75"/>
        <v>#N/A</v>
      </c>
      <c r="DB62" s="2" t="e">
        <f t="shared" si="75"/>
        <v>#N/A</v>
      </c>
      <c r="DC62" s="2" t="e">
        <f t="shared" si="75"/>
        <v>#N/A</v>
      </c>
      <c r="DD62" s="2" t="e">
        <f t="shared" si="75"/>
        <v>#N/A</v>
      </c>
      <c r="DE62" s="2" t="e">
        <f t="shared" si="75"/>
        <v>#N/A</v>
      </c>
      <c r="DF62" s="2" t="e">
        <f t="shared" si="75"/>
        <v>#N/A</v>
      </c>
      <c r="DG62" s="2" t="e">
        <f t="shared" si="75"/>
        <v>#N/A</v>
      </c>
      <c r="DH62" s="2" t="e">
        <f t="shared" si="75"/>
        <v>#N/A</v>
      </c>
      <c r="DI62" s="2" t="e">
        <f t="shared" si="75"/>
        <v>#N/A</v>
      </c>
      <c r="DJ62" s="2" t="e">
        <f t="shared" si="75"/>
        <v>#N/A</v>
      </c>
      <c r="DK62" s="2" t="e">
        <f t="shared" si="75"/>
        <v>#N/A</v>
      </c>
      <c r="DL62" s="2" t="e">
        <f t="shared" si="75"/>
        <v>#N/A</v>
      </c>
      <c r="DM62" s="2" t="e">
        <f t="shared" si="75"/>
        <v>#N/A</v>
      </c>
    </row>
    <row r="63" spans="2:117" ht="15.75" hidden="1" outlineLevel="1" thickBot="1" x14ac:dyDescent="0.3"/>
    <row r="64" spans="2:117" ht="14.65" hidden="1" customHeight="1" outlineLevel="1" thickBot="1" x14ac:dyDescent="0.3">
      <c r="B64" t="s">
        <v>2060</v>
      </c>
      <c r="CC64" s="1214" t="s">
        <v>1325</v>
      </c>
      <c r="CD64" s="1215" t="e">
        <f>SUM(CD55:CD56)</f>
        <v>#N/A</v>
      </c>
      <c r="CE64" s="1215" t="e">
        <f t="shared" ref="CE64:DM64" si="76">SUM(CE55:CE56)</f>
        <v>#N/A</v>
      </c>
      <c r="CF64" s="1215" t="e">
        <f t="shared" si="76"/>
        <v>#N/A</v>
      </c>
      <c r="CG64" s="1215" t="e">
        <f t="shared" si="76"/>
        <v>#N/A</v>
      </c>
      <c r="CH64" s="1215" t="e">
        <f t="shared" si="76"/>
        <v>#N/A</v>
      </c>
      <c r="CI64" s="1215" t="e">
        <f t="shared" si="76"/>
        <v>#N/A</v>
      </c>
      <c r="CJ64" s="1215" t="e">
        <f t="shared" si="76"/>
        <v>#N/A</v>
      </c>
      <c r="CK64" s="1215" t="e">
        <f t="shared" si="76"/>
        <v>#N/A</v>
      </c>
      <c r="CL64" s="1215" t="e">
        <f t="shared" si="76"/>
        <v>#N/A</v>
      </c>
      <c r="CM64" s="1215" t="e">
        <f t="shared" si="76"/>
        <v>#N/A</v>
      </c>
      <c r="CN64" s="1215" t="e">
        <f t="shared" si="76"/>
        <v>#N/A</v>
      </c>
      <c r="CO64" s="1215" t="e">
        <f t="shared" si="76"/>
        <v>#N/A</v>
      </c>
      <c r="CP64" s="1215" t="e">
        <f t="shared" si="76"/>
        <v>#N/A</v>
      </c>
      <c r="CQ64" s="1215" t="e">
        <f t="shared" si="76"/>
        <v>#N/A</v>
      </c>
      <c r="CR64" s="1215" t="e">
        <f t="shared" si="76"/>
        <v>#N/A</v>
      </c>
      <c r="CS64" s="1215" t="e">
        <f t="shared" si="76"/>
        <v>#N/A</v>
      </c>
      <c r="CT64" s="1215" t="e">
        <f t="shared" si="76"/>
        <v>#N/A</v>
      </c>
      <c r="CU64" s="1215" t="e">
        <f t="shared" si="76"/>
        <v>#N/A</v>
      </c>
      <c r="CV64" s="1215" t="e">
        <f t="shared" si="76"/>
        <v>#N/A</v>
      </c>
      <c r="CW64" s="1215" t="e">
        <f t="shared" si="76"/>
        <v>#N/A</v>
      </c>
      <c r="CX64" s="1215" t="e">
        <f t="shared" si="76"/>
        <v>#N/A</v>
      </c>
      <c r="CY64" s="1215" t="e">
        <f t="shared" si="76"/>
        <v>#N/A</v>
      </c>
      <c r="CZ64" s="1215" t="e">
        <f t="shared" si="76"/>
        <v>#N/A</v>
      </c>
      <c r="DA64" s="1216" t="e">
        <f t="shared" si="76"/>
        <v>#N/A</v>
      </c>
      <c r="DB64" s="1215" t="e">
        <f t="shared" si="76"/>
        <v>#N/A</v>
      </c>
      <c r="DC64" s="1215" t="e">
        <f t="shared" si="76"/>
        <v>#N/A</v>
      </c>
      <c r="DD64" s="1215" t="e">
        <f t="shared" si="76"/>
        <v>#N/A</v>
      </c>
      <c r="DE64" s="1215" t="e">
        <f t="shared" si="76"/>
        <v>#N/A</v>
      </c>
      <c r="DF64" s="1215" t="e">
        <f t="shared" si="76"/>
        <v>#N/A</v>
      </c>
      <c r="DG64" s="1215" t="e">
        <f t="shared" si="76"/>
        <v>#N/A</v>
      </c>
      <c r="DH64" s="1215" t="e">
        <f t="shared" si="76"/>
        <v>#N/A</v>
      </c>
      <c r="DI64" s="1215" t="e">
        <f t="shared" si="76"/>
        <v>#N/A</v>
      </c>
      <c r="DJ64" s="1215" t="e">
        <f t="shared" si="76"/>
        <v>#N/A</v>
      </c>
      <c r="DK64" s="1215" t="e">
        <f t="shared" si="76"/>
        <v>#N/A</v>
      </c>
      <c r="DL64" s="1215" t="e">
        <f t="shared" si="76"/>
        <v>#N/A</v>
      </c>
      <c r="DM64" s="1216" t="e">
        <f t="shared" si="76"/>
        <v>#N/A</v>
      </c>
    </row>
    <row r="65" spans="2:152" ht="14.65" hidden="1" customHeight="1" outlineLevel="1" x14ac:dyDescent="0.25">
      <c r="B65" s="1497">
        <f>B24</f>
        <v>0</v>
      </c>
      <c r="C65" s="1498"/>
      <c r="D65" s="918" t="str">
        <f>D23</f>
        <v>FACTEUR CAP</v>
      </c>
      <c r="E65" s="918">
        <f t="shared" ref="E65:AP65" si="77">E24</f>
        <v>0</v>
      </c>
      <c r="F65" s="918" t="str">
        <f>F23</f>
        <v>UNITÉS</v>
      </c>
      <c r="G65" s="918" t="str">
        <f t="shared" si="77"/>
        <v>Jan</v>
      </c>
      <c r="H65" s="918" t="str">
        <f t="shared" si="77"/>
        <v>Feb</v>
      </c>
      <c r="I65" s="918" t="str">
        <f t="shared" si="77"/>
        <v>Mar</v>
      </c>
      <c r="J65" s="918" t="str">
        <f t="shared" si="77"/>
        <v>Apr</v>
      </c>
      <c r="K65" s="918" t="str">
        <f t="shared" si="77"/>
        <v>May</v>
      </c>
      <c r="L65" s="918" t="str">
        <f t="shared" si="77"/>
        <v>Jun</v>
      </c>
      <c r="M65" s="918" t="str">
        <f t="shared" si="77"/>
        <v>Jul</v>
      </c>
      <c r="N65" s="918" t="str">
        <f t="shared" si="77"/>
        <v>Aug</v>
      </c>
      <c r="O65" s="918" t="str">
        <f t="shared" si="77"/>
        <v>Sep</v>
      </c>
      <c r="P65" s="918" t="str">
        <f t="shared" si="77"/>
        <v>Oct</v>
      </c>
      <c r="Q65" s="918" t="str">
        <f t="shared" si="77"/>
        <v>Nov</v>
      </c>
      <c r="R65" s="918" t="str">
        <f t="shared" si="77"/>
        <v>Dec</v>
      </c>
      <c r="S65" s="918" t="str">
        <f t="shared" si="77"/>
        <v>Jan</v>
      </c>
      <c r="T65" s="918" t="str">
        <f t="shared" si="77"/>
        <v>Feb</v>
      </c>
      <c r="U65" s="918" t="str">
        <f t="shared" si="77"/>
        <v>Mar</v>
      </c>
      <c r="V65" s="918" t="str">
        <f t="shared" si="77"/>
        <v>Apr</v>
      </c>
      <c r="W65" s="918" t="str">
        <f t="shared" si="77"/>
        <v>May</v>
      </c>
      <c r="X65" s="918" t="str">
        <f t="shared" si="77"/>
        <v>Jun</v>
      </c>
      <c r="Y65" s="918" t="str">
        <f t="shared" si="77"/>
        <v>Jul</v>
      </c>
      <c r="Z65" s="918" t="str">
        <f t="shared" si="77"/>
        <v>Aug</v>
      </c>
      <c r="AA65" s="918" t="str">
        <f t="shared" si="77"/>
        <v>Sep</v>
      </c>
      <c r="AB65" s="918" t="str">
        <f t="shared" si="77"/>
        <v>Oct</v>
      </c>
      <c r="AC65" s="918" t="str">
        <f t="shared" si="77"/>
        <v>Nov</v>
      </c>
      <c r="AD65" s="918" t="str">
        <f t="shared" si="77"/>
        <v>Dec</v>
      </c>
      <c r="AE65" s="918" t="str">
        <f t="shared" si="77"/>
        <v>Jan</v>
      </c>
      <c r="AF65" s="918" t="str">
        <f t="shared" si="77"/>
        <v>Feb</v>
      </c>
      <c r="AG65" s="918" t="str">
        <f t="shared" si="77"/>
        <v>Mar</v>
      </c>
      <c r="AH65" s="918" t="str">
        <f t="shared" si="77"/>
        <v>Apr</v>
      </c>
      <c r="AI65" s="918" t="str">
        <f t="shared" si="77"/>
        <v>May</v>
      </c>
      <c r="AJ65" s="918" t="str">
        <f t="shared" si="77"/>
        <v>Jun</v>
      </c>
      <c r="AK65" s="918" t="str">
        <f t="shared" si="77"/>
        <v>Jul</v>
      </c>
      <c r="AL65" s="918" t="str">
        <f t="shared" si="77"/>
        <v>Aug</v>
      </c>
      <c r="AM65" s="918" t="str">
        <f t="shared" si="77"/>
        <v>Sep</v>
      </c>
      <c r="AN65" s="918" t="str">
        <f t="shared" si="77"/>
        <v>Oct</v>
      </c>
      <c r="AO65" s="918" t="str">
        <f t="shared" si="77"/>
        <v>Nov</v>
      </c>
      <c r="AP65" s="918" t="str">
        <f t="shared" si="77"/>
        <v>Dec</v>
      </c>
      <c r="CC65" s="920" t="s">
        <v>1326</v>
      </c>
      <c r="CD65" s="1217" t="e">
        <f>SUM(CD57:CD58)</f>
        <v>#N/A</v>
      </c>
      <c r="CE65" s="1217" t="e">
        <f t="shared" ref="CE65:DM65" si="78">SUM(CE57:CE58)</f>
        <v>#N/A</v>
      </c>
      <c r="CF65" s="1217" t="e">
        <f t="shared" si="78"/>
        <v>#N/A</v>
      </c>
      <c r="CG65" s="1217" t="e">
        <f t="shared" si="78"/>
        <v>#N/A</v>
      </c>
      <c r="CH65" s="1217" t="e">
        <f t="shared" si="78"/>
        <v>#N/A</v>
      </c>
      <c r="CI65" s="1217" t="e">
        <f t="shared" si="78"/>
        <v>#N/A</v>
      </c>
      <c r="CJ65" s="1217" t="e">
        <f t="shared" si="78"/>
        <v>#N/A</v>
      </c>
      <c r="CK65" s="1217" t="e">
        <f t="shared" si="78"/>
        <v>#N/A</v>
      </c>
      <c r="CL65" s="1217" t="e">
        <f t="shared" si="78"/>
        <v>#N/A</v>
      </c>
      <c r="CM65" s="1217" t="e">
        <f t="shared" si="78"/>
        <v>#N/A</v>
      </c>
      <c r="CN65" s="1217" t="e">
        <f t="shared" si="78"/>
        <v>#N/A</v>
      </c>
      <c r="CO65" s="1217" t="e">
        <f t="shared" si="78"/>
        <v>#N/A</v>
      </c>
      <c r="CP65" s="1217" t="e">
        <f t="shared" si="78"/>
        <v>#N/A</v>
      </c>
      <c r="CQ65" s="1217" t="e">
        <f t="shared" si="78"/>
        <v>#N/A</v>
      </c>
      <c r="CR65" s="1217" t="e">
        <f t="shared" si="78"/>
        <v>#N/A</v>
      </c>
      <c r="CS65" s="1217" t="e">
        <f t="shared" si="78"/>
        <v>#N/A</v>
      </c>
      <c r="CT65" s="1217" t="e">
        <f t="shared" si="78"/>
        <v>#N/A</v>
      </c>
      <c r="CU65" s="1217" t="e">
        <f t="shared" si="78"/>
        <v>#N/A</v>
      </c>
      <c r="CV65" s="1217" t="e">
        <f t="shared" si="78"/>
        <v>#N/A</v>
      </c>
      <c r="CW65" s="1217" t="e">
        <f t="shared" si="78"/>
        <v>#N/A</v>
      </c>
      <c r="CX65" s="1217" t="e">
        <f t="shared" si="78"/>
        <v>#N/A</v>
      </c>
      <c r="CY65" s="1217" t="e">
        <f t="shared" si="78"/>
        <v>#N/A</v>
      </c>
      <c r="CZ65" s="1217" t="e">
        <f t="shared" si="78"/>
        <v>#N/A</v>
      </c>
      <c r="DA65" s="1218" t="e">
        <f t="shared" si="78"/>
        <v>#N/A</v>
      </c>
      <c r="DB65" s="1217" t="e">
        <f t="shared" si="78"/>
        <v>#N/A</v>
      </c>
      <c r="DC65" s="1217" t="e">
        <f t="shared" si="78"/>
        <v>#N/A</v>
      </c>
      <c r="DD65" s="1217" t="e">
        <f t="shared" si="78"/>
        <v>#N/A</v>
      </c>
      <c r="DE65" s="1217" t="e">
        <f t="shared" si="78"/>
        <v>#N/A</v>
      </c>
      <c r="DF65" s="1217" t="e">
        <f t="shared" si="78"/>
        <v>#N/A</v>
      </c>
      <c r="DG65" s="1217" t="e">
        <f t="shared" si="78"/>
        <v>#N/A</v>
      </c>
      <c r="DH65" s="1217" t="e">
        <f t="shared" si="78"/>
        <v>#N/A</v>
      </c>
      <c r="DI65" s="1217" t="e">
        <f t="shared" si="78"/>
        <v>#N/A</v>
      </c>
      <c r="DJ65" s="1217" t="e">
        <f t="shared" si="78"/>
        <v>#N/A</v>
      </c>
      <c r="DK65" s="1217" t="e">
        <f t="shared" si="78"/>
        <v>#N/A</v>
      </c>
      <c r="DL65" s="1217" t="e">
        <f t="shared" si="78"/>
        <v>#N/A</v>
      </c>
      <c r="DM65" s="1218" t="e">
        <f t="shared" si="78"/>
        <v>#N/A</v>
      </c>
    </row>
    <row r="66" spans="2:152" ht="14.65" hidden="1" customHeight="1" outlineLevel="1" thickBot="1" x14ac:dyDescent="0.3">
      <c r="B66" s="920"/>
      <c r="C66" s="921" t="e">
        <f>#REF!</f>
        <v>#REF!</v>
      </c>
      <c r="D66" s="921"/>
      <c r="E66" s="921"/>
      <c r="F66" s="921"/>
      <c r="G66" s="922" t="str">
        <f t="shared" ref="G66:AP67" si="79">IF(G27="", "", G27)</f>
        <v/>
      </c>
      <c r="H66" s="922" t="str">
        <f t="shared" si="79"/>
        <v/>
      </c>
      <c r="I66" s="922" t="str">
        <f t="shared" si="79"/>
        <v/>
      </c>
      <c r="J66" s="922" t="str">
        <f t="shared" si="79"/>
        <v/>
      </c>
      <c r="K66" s="922" t="str">
        <f t="shared" si="79"/>
        <v/>
      </c>
      <c r="L66" s="922" t="str">
        <f t="shared" si="79"/>
        <v/>
      </c>
      <c r="M66" s="922" t="str">
        <f t="shared" si="79"/>
        <v/>
      </c>
      <c r="N66" s="922" t="str">
        <f t="shared" si="79"/>
        <v/>
      </c>
      <c r="O66" s="922" t="str">
        <f t="shared" si="79"/>
        <v/>
      </c>
      <c r="P66" s="922" t="str">
        <f t="shared" si="79"/>
        <v/>
      </c>
      <c r="Q66" s="922" t="str">
        <f t="shared" si="79"/>
        <v/>
      </c>
      <c r="R66" s="922" t="str">
        <f t="shared" si="79"/>
        <v/>
      </c>
      <c r="S66" s="922" t="str">
        <f t="shared" si="79"/>
        <v/>
      </c>
      <c r="T66" s="922" t="str">
        <f t="shared" si="79"/>
        <v/>
      </c>
      <c r="U66" s="922" t="str">
        <f t="shared" si="79"/>
        <v/>
      </c>
      <c r="V66" s="922" t="str">
        <f t="shared" si="79"/>
        <v/>
      </c>
      <c r="W66" s="922" t="str">
        <f t="shared" si="79"/>
        <v/>
      </c>
      <c r="X66" s="922" t="str">
        <f t="shared" si="79"/>
        <v/>
      </c>
      <c r="Y66" s="922" t="str">
        <f t="shared" si="79"/>
        <v/>
      </c>
      <c r="Z66" s="922" t="str">
        <f t="shared" si="79"/>
        <v/>
      </c>
      <c r="AA66" s="922" t="str">
        <f t="shared" si="79"/>
        <v/>
      </c>
      <c r="AB66" s="922" t="str">
        <f t="shared" si="79"/>
        <v/>
      </c>
      <c r="AC66" s="922" t="str">
        <f t="shared" si="79"/>
        <v/>
      </c>
      <c r="AD66" s="922" t="str">
        <f t="shared" si="79"/>
        <v/>
      </c>
      <c r="AE66" s="922" t="str">
        <f t="shared" si="79"/>
        <v/>
      </c>
      <c r="AF66" s="922" t="str">
        <f t="shared" si="79"/>
        <v/>
      </c>
      <c r="AG66" s="922" t="str">
        <f t="shared" si="79"/>
        <v/>
      </c>
      <c r="AH66" s="922" t="str">
        <f t="shared" si="79"/>
        <v/>
      </c>
      <c r="AI66" s="922" t="str">
        <f t="shared" si="79"/>
        <v/>
      </c>
      <c r="AJ66" s="922" t="str">
        <f t="shared" si="79"/>
        <v/>
      </c>
      <c r="AK66" s="922" t="str">
        <f t="shared" si="79"/>
        <v/>
      </c>
      <c r="AL66" s="922" t="str">
        <f t="shared" si="79"/>
        <v/>
      </c>
      <c r="AM66" s="922" t="str">
        <f t="shared" si="79"/>
        <v/>
      </c>
      <c r="AN66" s="922" t="str">
        <f t="shared" si="79"/>
        <v/>
      </c>
      <c r="AO66" s="922" t="str">
        <f t="shared" si="79"/>
        <v/>
      </c>
      <c r="AP66" s="922" t="str">
        <f t="shared" si="79"/>
        <v/>
      </c>
      <c r="CC66" s="924" t="s">
        <v>1327</v>
      </c>
      <c r="CD66" s="1219" t="e">
        <f>SUM(CD59:CD61)</f>
        <v>#N/A</v>
      </c>
      <c r="CE66" s="1219" t="e">
        <f t="shared" ref="CE66:DM66" si="80">SUM(CE59:CE61)</f>
        <v>#N/A</v>
      </c>
      <c r="CF66" s="1219" t="e">
        <f t="shared" si="80"/>
        <v>#N/A</v>
      </c>
      <c r="CG66" s="1219" t="e">
        <f t="shared" si="80"/>
        <v>#N/A</v>
      </c>
      <c r="CH66" s="1219" t="e">
        <f t="shared" si="80"/>
        <v>#N/A</v>
      </c>
      <c r="CI66" s="1219" t="e">
        <f t="shared" si="80"/>
        <v>#N/A</v>
      </c>
      <c r="CJ66" s="1219" t="e">
        <f t="shared" si="80"/>
        <v>#N/A</v>
      </c>
      <c r="CK66" s="1219" t="e">
        <f t="shared" si="80"/>
        <v>#N/A</v>
      </c>
      <c r="CL66" s="1219" t="e">
        <f t="shared" si="80"/>
        <v>#N/A</v>
      </c>
      <c r="CM66" s="1219" t="e">
        <f t="shared" si="80"/>
        <v>#N/A</v>
      </c>
      <c r="CN66" s="1219" t="e">
        <f t="shared" si="80"/>
        <v>#N/A</v>
      </c>
      <c r="CO66" s="1219" t="e">
        <f t="shared" si="80"/>
        <v>#N/A</v>
      </c>
      <c r="CP66" s="1219" t="e">
        <f t="shared" si="80"/>
        <v>#N/A</v>
      </c>
      <c r="CQ66" s="1219" t="e">
        <f t="shared" si="80"/>
        <v>#N/A</v>
      </c>
      <c r="CR66" s="1219" t="e">
        <f t="shared" si="80"/>
        <v>#N/A</v>
      </c>
      <c r="CS66" s="1219" t="e">
        <f t="shared" si="80"/>
        <v>#N/A</v>
      </c>
      <c r="CT66" s="1219" t="e">
        <f t="shared" si="80"/>
        <v>#N/A</v>
      </c>
      <c r="CU66" s="1219" t="e">
        <f t="shared" si="80"/>
        <v>#N/A</v>
      </c>
      <c r="CV66" s="1219" t="e">
        <f t="shared" si="80"/>
        <v>#N/A</v>
      </c>
      <c r="CW66" s="1219" t="e">
        <f t="shared" si="80"/>
        <v>#N/A</v>
      </c>
      <c r="CX66" s="1219" t="e">
        <f t="shared" si="80"/>
        <v>#N/A</v>
      </c>
      <c r="CY66" s="1219" t="e">
        <f t="shared" si="80"/>
        <v>#N/A</v>
      </c>
      <c r="CZ66" s="1219" t="e">
        <f t="shared" si="80"/>
        <v>#N/A</v>
      </c>
      <c r="DA66" s="1220" t="e">
        <f t="shared" si="80"/>
        <v>#N/A</v>
      </c>
      <c r="DB66" s="1219" t="e">
        <f t="shared" si="80"/>
        <v>#N/A</v>
      </c>
      <c r="DC66" s="1219" t="e">
        <f t="shared" si="80"/>
        <v>#N/A</v>
      </c>
      <c r="DD66" s="1219" t="e">
        <f t="shared" si="80"/>
        <v>#N/A</v>
      </c>
      <c r="DE66" s="1219" t="e">
        <f t="shared" si="80"/>
        <v>#N/A</v>
      </c>
      <c r="DF66" s="1219" t="e">
        <f t="shared" si="80"/>
        <v>#N/A</v>
      </c>
      <c r="DG66" s="1219" t="e">
        <f t="shared" si="80"/>
        <v>#N/A</v>
      </c>
      <c r="DH66" s="1219" t="e">
        <f t="shared" si="80"/>
        <v>#N/A</v>
      </c>
      <c r="DI66" s="1219" t="e">
        <f t="shared" si="80"/>
        <v>#N/A</v>
      </c>
      <c r="DJ66" s="1219" t="e">
        <f t="shared" si="80"/>
        <v>#N/A</v>
      </c>
      <c r="DK66" s="1219" t="e">
        <f t="shared" si="80"/>
        <v>#N/A</v>
      </c>
      <c r="DL66" s="1219" t="e">
        <f t="shared" si="80"/>
        <v>#N/A</v>
      </c>
      <c r="DM66" s="1220" t="e">
        <f t="shared" si="80"/>
        <v>#N/A</v>
      </c>
    </row>
    <row r="67" spans="2:152" ht="14.65" hidden="1" customHeight="1" outlineLevel="1" thickBot="1" x14ac:dyDescent="0.3">
      <c r="B67" s="920"/>
      <c r="C67" s="921" t="e">
        <f>#REF!</f>
        <v>#REF!</v>
      </c>
      <c r="D67" s="921"/>
      <c r="E67" s="921"/>
      <c r="F67" s="921"/>
      <c r="G67" s="922" t="str">
        <f t="shared" si="79"/>
        <v/>
      </c>
      <c r="H67" s="922" t="str">
        <f t="shared" si="79"/>
        <v/>
      </c>
      <c r="I67" s="922" t="str">
        <f t="shared" si="79"/>
        <v/>
      </c>
      <c r="J67" s="922" t="str">
        <f t="shared" si="79"/>
        <v/>
      </c>
      <c r="K67" s="922" t="str">
        <f t="shared" si="79"/>
        <v/>
      </c>
      <c r="L67" s="922" t="str">
        <f t="shared" si="79"/>
        <v/>
      </c>
      <c r="M67" s="922" t="str">
        <f t="shared" si="79"/>
        <v/>
      </c>
      <c r="N67" s="922" t="str">
        <f t="shared" si="79"/>
        <v/>
      </c>
      <c r="O67" s="922" t="str">
        <f t="shared" si="79"/>
        <v/>
      </c>
      <c r="P67" s="922" t="str">
        <f t="shared" si="79"/>
        <v/>
      </c>
      <c r="Q67" s="922" t="str">
        <f t="shared" si="79"/>
        <v/>
      </c>
      <c r="R67" s="922" t="str">
        <f t="shared" si="79"/>
        <v/>
      </c>
      <c r="S67" s="922" t="str">
        <f t="shared" si="79"/>
        <v/>
      </c>
      <c r="T67" s="922" t="str">
        <f t="shared" si="79"/>
        <v/>
      </c>
      <c r="U67" s="922" t="str">
        <f t="shared" si="79"/>
        <v/>
      </c>
      <c r="V67" s="922" t="str">
        <f t="shared" si="79"/>
        <v/>
      </c>
      <c r="W67" s="922" t="str">
        <f t="shared" si="79"/>
        <v/>
      </c>
      <c r="X67" s="922" t="str">
        <f t="shared" si="79"/>
        <v/>
      </c>
      <c r="Y67" s="922" t="str">
        <f t="shared" si="79"/>
        <v/>
      </c>
      <c r="Z67" s="922" t="str">
        <f t="shared" si="79"/>
        <v/>
      </c>
      <c r="AA67" s="922" t="str">
        <f t="shared" si="79"/>
        <v/>
      </c>
      <c r="AB67" s="922" t="str">
        <f t="shared" si="79"/>
        <v/>
      </c>
      <c r="AC67" s="922" t="str">
        <f t="shared" si="79"/>
        <v/>
      </c>
      <c r="AD67" s="922" t="str">
        <f t="shared" si="79"/>
        <v/>
      </c>
      <c r="AE67" s="922" t="str">
        <f t="shared" si="79"/>
        <v/>
      </c>
      <c r="AF67" s="922" t="str">
        <f t="shared" si="79"/>
        <v/>
      </c>
      <c r="AG67" s="922" t="str">
        <f t="shared" si="79"/>
        <v/>
      </c>
      <c r="AH67" s="922" t="str">
        <f t="shared" si="79"/>
        <v/>
      </c>
      <c r="AI67" s="922" t="str">
        <f t="shared" si="79"/>
        <v/>
      </c>
      <c r="AJ67" s="922" t="str">
        <f t="shared" si="79"/>
        <v/>
      </c>
      <c r="AK67" s="922" t="str">
        <f t="shared" si="79"/>
        <v/>
      </c>
      <c r="AL67" s="922" t="str">
        <f t="shared" si="79"/>
        <v/>
      </c>
      <c r="AM67" s="922" t="str">
        <f t="shared" si="79"/>
        <v/>
      </c>
      <c r="AN67" s="922" t="str">
        <f t="shared" si="79"/>
        <v/>
      </c>
      <c r="AO67" s="922" t="str">
        <f t="shared" si="79"/>
        <v/>
      </c>
      <c r="AP67" s="922" t="str">
        <f t="shared" si="79"/>
        <v/>
      </c>
      <c r="CC67" s="1221"/>
      <c r="CD67" s="824"/>
      <c r="CE67" s="824"/>
      <c r="CF67" s="824"/>
      <c r="CG67" s="824"/>
      <c r="CH67" s="824"/>
      <c r="CI67" s="824"/>
      <c r="CJ67" s="824"/>
      <c r="CK67" s="824"/>
      <c r="CL67" s="824"/>
      <c r="CM67" s="824"/>
      <c r="CN67" s="824"/>
      <c r="CO67" s="824"/>
      <c r="CP67" s="824" t="e">
        <f>VLOOKUP(Country_Selected, 'c7_movementrestrictions'!$RU$5:$SK$190, MATCH(CP$52, 'c7_movementrestrictions'!$RU$2:$SK$2, 0), FALSE)</f>
        <v>#N/A</v>
      </c>
      <c r="CQ67" s="824" t="e">
        <f>VLOOKUP(Country_Selected, 'c7_movementrestrictions'!$RU$5:$SK$190, MATCH(CQ$52, 'c7_movementrestrictions'!$RU$2:$SK$2, 0), FALSE)</f>
        <v>#N/A</v>
      </c>
      <c r="CR67" s="824" t="e">
        <f>VLOOKUP(Country_Selected, 'c7_movementrestrictions'!$RU$5:$SK$190, MATCH(CR$52, 'c7_movementrestrictions'!$RU$2:$SK$2, 0), FALSE)</f>
        <v>#N/A</v>
      </c>
      <c r="CS67" s="824" t="e">
        <f>VLOOKUP(Country_Selected, 'c7_movementrestrictions'!$RU$5:$SK$190, MATCH(CS$52, 'c7_movementrestrictions'!$RU$2:$SK$2, 0), FALSE)</f>
        <v>#N/A</v>
      </c>
      <c r="CT67" s="824" t="e">
        <f>VLOOKUP(Country_Selected, 'c7_movementrestrictions'!$RU$5:$SK$190, MATCH(CT$52, 'c7_movementrestrictions'!$RU$2:$SK$2, 0), FALSE)</f>
        <v>#N/A</v>
      </c>
      <c r="CU67" s="824" t="e">
        <f>VLOOKUP(Country_Selected, 'c7_movementrestrictions'!$RU$5:$SK$190, MATCH(CU$52, 'c7_movementrestrictions'!$RU$2:$SK$2, 0), FALSE)</f>
        <v>#N/A</v>
      </c>
      <c r="CV67" s="824" t="e">
        <f>VLOOKUP(Country_Selected, 'c7_movementrestrictions'!$RU$5:$SK$190, MATCH(CV$52, 'c7_movementrestrictions'!$RU$2:$SK$2, 0), FALSE)</f>
        <v>#N/A</v>
      </c>
      <c r="CW67" s="824" t="e">
        <f>VLOOKUP(Country_Selected, 'c7_movementrestrictions'!$RU$5:$SK$190, MATCH(CW$52, 'c7_movementrestrictions'!$RU$2:$SK$2, 0), FALSE)</f>
        <v>#N/A</v>
      </c>
      <c r="CX67" s="824" t="e">
        <f>VLOOKUP(Country_Selected, 'c7_movementrestrictions'!$RU$5:$SK$190, MATCH(CX$52, 'c7_movementrestrictions'!$RU$2:$SK$2, 0), FALSE)</f>
        <v>#N/A</v>
      </c>
      <c r="CY67" s="824" t="e">
        <f>VLOOKUP(Country_Selected, 'c7_movementrestrictions'!$RU$5:$SK$190, MATCH(CY$52, 'c7_movementrestrictions'!$RU$2:$SK$2, 0), FALSE)</f>
        <v>#N/A</v>
      </c>
      <c r="CZ67" s="824" t="e">
        <f>VLOOKUP(Country_Selected, 'c7_movementrestrictions'!$RU$5:$SK$190, MATCH(CZ$52, 'c7_movementrestrictions'!$RU$2:$SK$2, 0), FALSE)</f>
        <v>#N/A</v>
      </c>
      <c r="DA67" s="824" t="e">
        <f>VLOOKUP(Country_Selected, 'c7_movementrestrictions'!$RU$5:$SK$190, MATCH(DA$52, 'c7_movementrestrictions'!$RU$2:$SK$2, 0), FALSE)</f>
        <v>#N/A</v>
      </c>
      <c r="DB67" s="824" t="e">
        <f>VLOOKUP(Country_Selected, 'c7_movementrestrictions'!$RU$5:$SK$190, MATCH(DB$52, 'c7_movementrestrictions'!$RU$2:$SK$2, 0), FALSE)</f>
        <v>#N/A</v>
      </c>
      <c r="DC67" s="824" t="e">
        <f>VLOOKUP(Country_Selected, 'c7_movementrestrictions'!$RU$5:$SK$190, MATCH(DC$52, 'c7_movementrestrictions'!$RU$2:$SK$2, 0), FALSE)</f>
        <v>#N/A</v>
      </c>
      <c r="DD67" s="824" t="e">
        <f>VLOOKUP(Country_Selected, 'c7_movementrestrictions'!$RU$5:$SK$190, MATCH(DD$52, 'c7_movementrestrictions'!$RU$2:$SK$2, 0), FALSE)</f>
        <v>#N/A</v>
      </c>
      <c r="DE67" s="824" t="e">
        <f>VLOOKUP(Country_Selected, 'c7_movementrestrictions'!$RU$5:$SK$190, MATCH(DE$52, 'c7_movementrestrictions'!$RU$2:$SK$2, 0), FALSE)</f>
        <v>#N/A</v>
      </c>
      <c r="DF67" s="824" t="e">
        <f>VLOOKUP(Country_Selected, 'c7_movementrestrictions'!$RU$5:$SK$190, MATCH(DF$52, 'c7_movementrestrictions'!$RU$2:$SK$2, 0), FALSE)</f>
        <v>#N/A</v>
      </c>
      <c r="DG67" s="824" t="e">
        <f>VLOOKUP(Country_Selected, 'c7_movementrestrictions'!$RU$5:$SK$190, MATCH(DG$52, 'c7_movementrestrictions'!$RU$2:$SK$2, 0), FALSE)</f>
        <v>#N/A</v>
      </c>
      <c r="DH67" s="824" t="e">
        <f>VLOOKUP(Country_Selected, 'c7_movementrestrictions'!$RU$5:$SK$190, MATCH(DH$52, 'c7_movementrestrictions'!$RU$2:$SK$2, 0), FALSE)</f>
        <v>#N/A</v>
      </c>
      <c r="DI67" s="824" t="e">
        <f>VLOOKUP(Country_Selected, 'c7_movementrestrictions'!$RU$5:$SK$190, MATCH(DI$52, 'c7_movementrestrictions'!$RU$2:$SK$2, 0), FALSE)</f>
        <v>#N/A</v>
      </c>
      <c r="DJ67" s="824" t="e">
        <f>VLOOKUP(Country_Selected, 'c7_movementrestrictions'!$RU$5:$SK$190, MATCH(DJ$52, 'c7_movementrestrictions'!$RU$2:$SK$2, 0), FALSE)</f>
        <v>#N/A</v>
      </c>
      <c r="DK67" s="824" t="e">
        <f>VLOOKUP(Country_Selected, 'c7_movementrestrictions'!$RU$5:$SK$190, MATCH(DK$52, 'c7_movementrestrictions'!$RU$2:$SK$2, 0), FALSE)</f>
        <v>#N/A</v>
      </c>
      <c r="DL67" s="824" t="e">
        <f>VLOOKUP(Country_Selected, 'c7_movementrestrictions'!$RU$5:$SK$190, MATCH(DL$52, 'c7_movementrestrictions'!$RU$2:$SK$2, 0), FALSE)</f>
        <v>#N/A</v>
      </c>
      <c r="DM67" s="824" t="e">
        <f>VLOOKUP(Country_Selected, 'c7_movementrestrictions'!$RU$5:$SK$190, MATCH(DM$52, 'c7_movementrestrictions'!$RU$2:$SK$2, 0), FALSE)</f>
        <v>#N/A</v>
      </c>
    </row>
    <row r="68" spans="2:152" ht="14.65" hidden="1" customHeight="1" outlineLevel="1" x14ac:dyDescent="0.25">
      <c r="B68" s="920"/>
      <c r="C68" s="921" t="e">
        <f>#REF!</f>
        <v>#REF!</v>
      </c>
      <c r="D68" s="921"/>
      <c r="E68" s="921"/>
      <c r="F68" s="921"/>
      <c r="G68" s="922" t="str">
        <f t="shared" ref="G68:N68" si="81">IF(SUM(G29:G30)=0, "", SUM(G29:G30))</f>
        <v/>
      </c>
      <c r="H68" s="922" t="str">
        <f t="shared" si="81"/>
        <v/>
      </c>
      <c r="I68" s="922" t="str">
        <f t="shared" si="81"/>
        <v/>
      </c>
      <c r="J68" s="922" t="str">
        <f t="shared" si="81"/>
        <v/>
      </c>
      <c r="K68" s="922" t="str">
        <f t="shared" si="81"/>
        <v/>
      </c>
      <c r="L68" s="922" t="str">
        <f t="shared" si="81"/>
        <v/>
      </c>
      <c r="M68" s="922" t="str">
        <f t="shared" si="81"/>
        <v/>
      </c>
      <c r="N68" s="922" t="str">
        <f t="shared" si="81"/>
        <v/>
      </c>
      <c r="O68" s="922" t="str">
        <f t="shared" ref="O68:AP68" si="82">IF(SUM(O29:O30)=0, "", SUM(O29:O30))</f>
        <v/>
      </c>
      <c r="P68" s="922" t="str">
        <f t="shared" si="82"/>
        <v/>
      </c>
      <c r="Q68" s="922" t="str">
        <f t="shared" si="82"/>
        <v/>
      </c>
      <c r="R68" s="922" t="str">
        <f t="shared" si="82"/>
        <v/>
      </c>
      <c r="S68" s="922" t="str">
        <f t="shared" si="82"/>
        <v/>
      </c>
      <c r="T68" s="922" t="str">
        <f t="shared" si="82"/>
        <v/>
      </c>
      <c r="U68" s="922" t="str">
        <f t="shared" si="82"/>
        <v/>
      </c>
      <c r="V68" s="922" t="str">
        <f t="shared" si="82"/>
        <v/>
      </c>
      <c r="W68" s="922" t="str">
        <f t="shared" si="82"/>
        <v/>
      </c>
      <c r="X68" s="922" t="str">
        <f t="shared" si="82"/>
        <v/>
      </c>
      <c r="Y68" s="922" t="str">
        <f t="shared" si="82"/>
        <v/>
      </c>
      <c r="Z68" s="922" t="str">
        <f t="shared" si="82"/>
        <v/>
      </c>
      <c r="AA68" s="922" t="str">
        <f t="shared" si="82"/>
        <v/>
      </c>
      <c r="AB68" s="922" t="str">
        <f t="shared" si="82"/>
        <v/>
      </c>
      <c r="AC68" s="922" t="str">
        <f t="shared" si="82"/>
        <v/>
      </c>
      <c r="AD68" s="922" t="str">
        <f t="shared" si="82"/>
        <v/>
      </c>
      <c r="AE68" s="922" t="str">
        <f t="shared" si="82"/>
        <v/>
      </c>
      <c r="AF68" s="922" t="str">
        <f t="shared" si="82"/>
        <v/>
      </c>
      <c r="AG68" s="922" t="str">
        <f t="shared" si="82"/>
        <v/>
      </c>
      <c r="AH68" s="922" t="str">
        <f t="shared" si="82"/>
        <v/>
      </c>
      <c r="AI68" s="922" t="str">
        <f t="shared" si="82"/>
        <v/>
      </c>
      <c r="AJ68" s="922" t="str">
        <f t="shared" si="82"/>
        <v/>
      </c>
      <c r="AK68" s="922" t="str">
        <f t="shared" si="82"/>
        <v/>
      </c>
      <c r="AL68" s="922" t="str">
        <f t="shared" si="82"/>
        <v/>
      </c>
      <c r="AM68" s="922" t="str">
        <f t="shared" si="82"/>
        <v/>
      </c>
      <c r="AN68" s="922" t="str">
        <f t="shared" si="82"/>
        <v/>
      </c>
      <c r="AO68" s="922" t="str">
        <f t="shared" si="82"/>
        <v/>
      </c>
      <c r="AP68" s="922" t="str">
        <f t="shared" si="82"/>
        <v/>
      </c>
      <c r="CC68" t="s">
        <v>2061</v>
      </c>
      <c r="CD68" s="824" t="e">
        <f>IF(CD67=0, CD62, "")</f>
        <v>#N/A</v>
      </c>
      <c r="CE68" s="824" t="e">
        <f t="shared" ref="CE68:DM68" si="83">IF(CE67=0, CE62, "")</f>
        <v>#N/A</v>
      </c>
      <c r="CF68" s="824" t="e">
        <f t="shared" si="83"/>
        <v>#N/A</v>
      </c>
      <c r="CG68" s="824" t="e">
        <f t="shared" si="83"/>
        <v>#N/A</v>
      </c>
      <c r="CH68" s="824" t="e">
        <f t="shared" si="83"/>
        <v>#N/A</v>
      </c>
      <c r="CI68" s="824" t="e">
        <f t="shared" si="83"/>
        <v>#N/A</v>
      </c>
      <c r="CJ68" s="824" t="e">
        <f t="shared" si="83"/>
        <v>#N/A</v>
      </c>
      <c r="CK68" s="824" t="e">
        <f t="shared" si="83"/>
        <v>#N/A</v>
      </c>
      <c r="CL68" s="824" t="e">
        <f t="shared" si="83"/>
        <v>#N/A</v>
      </c>
      <c r="CM68" s="824" t="e">
        <f t="shared" si="83"/>
        <v>#N/A</v>
      </c>
      <c r="CN68" s="824" t="e">
        <f t="shared" si="83"/>
        <v>#N/A</v>
      </c>
      <c r="CO68" s="824" t="e">
        <f t="shared" si="83"/>
        <v>#N/A</v>
      </c>
      <c r="CP68" s="824" t="e">
        <f t="shared" si="83"/>
        <v>#N/A</v>
      </c>
      <c r="CQ68" s="824" t="e">
        <f t="shared" si="83"/>
        <v>#N/A</v>
      </c>
      <c r="CR68" s="824" t="e">
        <f t="shared" si="83"/>
        <v>#N/A</v>
      </c>
      <c r="CS68" s="824" t="e">
        <f t="shared" si="83"/>
        <v>#N/A</v>
      </c>
      <c r="CT68" s="824" t="e">
        <f t="shared" si="83"/>
        <v>#N/A</v>
      </c>
      <c r="CU68" s="824" t="e">
        <f t="shared" si="83"/>
        <v>#N/A</v>
      </c>
      <c r="CV68" s="824" t="e">
        <f t="shared" si="83"/>
        <v>#N/A</v>
      </c>
      <c r="CW68" s="824" t="e">
        <f t="shared" si="83"/>
        <v>#N/A</v>
      </c>
      <c r="CX68" s="824" t="e">
        <f t="shared" si="83"/>
        <v>#N/A</v>
      </c>
      <c r="CY68" s="824" t="e">
        <f t="shared" si="83"/>
        <v>#N/A</v>
      </c>
      <c r="CZ68" s="824" t="e">
        <f t="shared" si="83"/>
        <v>#N/A</v>
      </c>
      <c r="DA68" s="824" t="e">
        <f t="shared" si="83"/>
        <v>#N/A</v>
      </c>
      <c r="DB68" s="824" t="e">
        <f t="shared" si="83"/>
        <v>#N/A</v>
      </c>
      <c r="DC68" s="824" t="e">
        <f t="shared" si="83"/>
        <v>#N/A</v>
      </c>
      <c r="DD68" s="824" t="e">
        <f t="shared" si="83"/>
        <v>#N/A</v>
      </c>
      <c r="DE68" s="824" t="e">
        <f t="shared" si="83"/>
        <v>#N/A</v>
      </c>
      <c r="DF68" s="824" t="e">
        <f t="shared" si="83"/>
        <v>#N/A</v>
      </c>
      <c r="DG68" s="824" t="e">
        <f t="shared" si="83"/>
        <v>#N/A</v>
      </c>
      <c r="DH68" s="824" t="e">
        <f t="shared" si="83"/>
        <v>#N/A</v>
      </c>
      <c r="DI68" s="824" t="e">
        <f t="shared" si="83"/>
        <v>#N/A</v>
      </c>
      <c r="DJ68" s="824" t="e">
        <f t="shared" si="83"/>
        <v>#N/A</v>
      </c>
      <c r="DK68" s="824" t="e">
        <f t="shared" si="83"/>
        <v>#N/A</v>
      </c>
      <c r="DL68" s="824" t="e">
        <f t="shared" si="83"/>
        <v>#N/A</v>
      </c>
      <c r="DM68" s="824" t="e">
        <f t="shared" si="83"/>
        <v>#N/A</v>
      </c>
    </row>
    <row r="69" spans="2:152" ht="14.65" hidden="1" customHeight="1" outlineLevel="1" x14ac:dyDescent="0.25">
      <c r="B69" s="920"/>
      <c r="C69" s="921" t="e">
        <f>#REF!</f>
        <v>#REF!</v>
      </c>
      <c r="D69" s="921"/>
      <c r="E69" s="921"/>
      <c r="F69" s="921"/>
      <c r="G69" s="922" t="str">
        <f t="shared" ref="G69:N69" si="84">IF(SUM(G31:G33)=0, "", SUM(G31:G33))</f>
        <v/>
      </c>
      <c r="H69" s="922" t="str">
        <f t="shared" si="84"/>
        <v/>
      </c>
      <c r="I69" s="922" t="str">
        <f t="shared" si="84"/>
        <v/>
      </c>
      <c r="J69" s="922" t="str">
        <f t="shared" si="84"/>
        <v/>
      </c>
      <c r="K69" s="922" t="str">
        <f t="shared" si="84"/>
        <v/>
      </c>
      <c r="L69" s="922" t="str">
        <f t="shared" si="84"/>
        <v/>
      </c>
      <c r="M69" s="922" t="str">
        <f t="shared" si="84"/>
        <v/>
      </c>
      <c r="N69" s="922" t="str">
        <f t="shared" si="84"/>
        <v/>
      </c>
      <c r="O69" s="922" t="str">
        <f t="shared" ref="O69:AP69" si="85">IF(SUM(O31:O33)=0, "", SUM(O31:O33))</f>
        <v/>
      </c>
      <c r="P69" s="922" t="str">
        <f t="shared" si="85"/>
        <v/>
      </c>
      <c r="Q69" s="922" t="str">
        <f t="shared" si="85"/>
        <v/>
      </c>
      <c r="R69" s="922" t="str">
        <f t="shared" si="85"/>
        <v/>
      </c>
      <c r="S69" s="922" t="str">
        <f t="shared" si="85"/>
        <v/>
      </c>
      <c r="T69" s="922" t="str">
        <f t="shared" si="85"/>
        <v/>
      </c>
      <c r="U69" s="922" t="str">
        <f t="shared" si="85"/>
        <v/>
      </c>
      <c r="V69" s="922" t="str">
        <f t="shared" si="85"/>
        <v/>
      </c>
      <c r="W69" s="922" t="str">
        <f t="shared" si="85"/>
        <v/>
      </c>
      <c r="X69" s="922" t="str">
        <f t="shared" si="85"/>
        <v/>
      </c>
      <c r="Y69" s="922" t="str">
        <f t="shared" si="85"/>
        <v/>
      </c>
      <c r="Z69" s="922" t="str">
        <f t="shared" si="85"/>
        <v/>
      </c>
      <c r="AA69" s="922" t="str">
        <f t="shared" si="85"/>
        <v/>
      </c>
      <c r="AB69" s="922" t="str">
        <f t="shared" si="85"/>
        <v/>
      </c>
      <c r="AC69" s="922" t="str">
        <f t="shared" si="85"/>
        <v/>
      </c>
      <c r="AD69" s="922" t="str">
        <f t="shared" si="85"/>
        <v/>
      </c>
      <c r="AE69" s="922" t="str">
        <f t="shared" si="85"/>
        <v/>
      </c>
      <c r="AF69" s="922" t="str">
        <f t="shared" si="85"/>
        <v/>
      </c>
      <c r="AG69" s="922" t="str">
        <f t="shared" si="85"/>
        <v/>
      </c>
      <c r="AH69" s="922" t="str">
        <f t="shared" si="85"/>
        <v/>
      </c>
      <c r="AI69" s="922" t="str">
        <f t="shared" si="85"/>
        <v/>
      </c>
      <c r="AJ69" s="922" t="str">
        <f t="shared" si="85"/>
        <v/>
      </c>
      <c r="AK69" s="922" t="str">
        <f t="shared" si="85"/>
        <v/>
      </c>
      <c r="AL69" s="922" t="str">
        <f t="shared" si="85"/>
        <v/>
      </c>
      <c r="AM69" s="922" t="str">
        <f t="shared" si="85"/>
        <v/>
      </c>
      <c r="AN69" s="922" t="str">
        <f t="shared" si="85"/>
        <v/>
      </c>
      <c r="AO69" s="922" t="str">
        <f t="shared" si="85"/>
        <v/>
      </c>
      <c r="AP69" s="922" t="str">
        <f t="shared" si="85"/>
        <v/>
      </c>
      <c r="CC69" t="s">
        <v>2062</v>
      </c>
      <c r="CD69" s="824" t="str">
        <f>IF(CD67=1, CD62, "")</f>
        <v/>
      </c>
      <c r="CE69" s="824" t="str">
        <f t="shared" ref="CE69:DM69" si="86">IF(CE67=1, CE62, "")</f>
        <v/>
      </c>
      <c r="CF69" s="824" t="str">
        <f t="shared" si="86"/>
        <v/>
      </c>
      <c r="CG69" s="824" t="str">
        <f t="shared" si="86"/>
        <v/>
      </c>
      <c r="CH69" s="824" t="str">
        <f t="shared" si="86"/>
        <v/>
      </c>
      <c r="CI69" s="824" t="str">
        <f t="shared" si="86"/>
        <v/>
      </c>
      <c r="CJ69" s="824" t="str">
        <f t="shared" si="86"/>
        <v/>
      </c>
      <c r="CK69" s="824" t="str">
        <f t="shared" si="86"/>
        <v/>
      </c>
      <c r="CL69" s="824" t="str">
        <f t="shared" si="86"/>
        <v/>
      </c>
      <c r="CM69" s="824" t="str">
        <f t="shared" si="86"/>
        <v/>
      </c>
      <c r="CN69" s="824" t="str">
        <f t="shared" si="86"/>
        <v/>
      </c>
      <c r="CO69" s="824" t="str">
        <f t="shared" si="86"/>
        <v/>
      </c>
      <c r="CP69" s="824" t="e">
        <f t="shared" si="86"/>
        <v>#N/A</v>
      </c>
      <c r="CQ69" s="824" t="e">
        <f t="shared" si="86"/>
        <v>#N/A</v>
      </c>
      <c r="CR69" s="824" t="e">
        <f t="shared" si="86"/>
        <v>#N/A</v>
      </c>
      <c r="CS69" s="824" t="e">
        <f t="shared" si="86"/>
        <v>#N/A</v>
      </c>
      <c r="CT69" s="824" t="e">
        <f t="shared" si="86"/>
        <v>#N/A</v>
      </c>
      <c r="CU69" s="824" t="e">
        <f t="shared" si="86"/>
        <v>#N/A</v>
      </c>
      <c r="CV69" s="824" t="e">
        <f t="shared" si="86"/>
        <v>#N/A</v>
      </c>
      <c r="CW69" s="824" t="e">
        <f t="shared" si="86"/>
        <v>#N/A</v>
      </c>
      <c r="CX69" s="824" t="e">
        <f t="shared" si="86"/>
        <v>#N/A</v>
      </c>
      <c r="CY69" s="824" t="e">
        <f t="shared" si="86"/>
        <v>#N/A</v>
      </c>
      <c r="CZ69" s="824" t="e">
        <f t="shared" si="86"/>
        <v>#N/A</v>
      </c>
      <c r="DA69" s="824" t="e">
        <f t="shared" si="86"/>
        <v>#N/A</v>
      </c>
      <c r="DB69" s="824" t="e">
        <f t="shared" si="86"/>
        <v>#N/A</v>
      </c>
      <c r="DC69" s="824" t="e">
        <f t="shared" si="86"/>
        <v>#N/A</v>
      </c>
      <c r="DD69" s="824" t="e">
        <f t="shared" si="86"/>
        <v>#N/A</v>
      </c>
      <c r="DE69" s="824" t="e">
        <f t="shared" si="86"/>
        <v>#N/A</v>
      </c>
      <c r="DF69" s="824" t="e">
        <f t="shared" si="86"/>
        <v>#N/A</v>
      </c>
      <c r="DG69" s="824" t="e">
        <f t="shared" si="86"/>
        <v>#N/A</v>
      </c>
      <c r="DH69" s="824" t="e">
        <f t="shared" si="86"/>
        <v>#N/A</v>
      </c>
      <c r="DI69" s="824" t="e">
        <f t="shared" si="86"/>
        <v>#N/A</v>
      </c>
      <c r="DJ69" s="824" t="e">
        <f t="shared" si="86"/>
        <v>#N/A</v>
      </c>
      <c r="DK69" s="824" t="e">
        <f t="shared" si="86"/>
        <v>#N/A</v>
      </c>
      <c r="DL69" s="824" t="e">
        <f t="shared" si="86"/>
        <v>#N/A</v>
      </c>
      <c r="DM69" s="824" t="e">
        <f t="shared" si="86"/>
        <v>#N/A</v>
      </c>
    </row>
    <row r="70" spans="2:152" ht="14.65" hidden="1" customHeight="1" outlineLevel="1" x14ac:dyDescent="0.25">
      <c r="B70" s="920"/>
      <c r="C70" s="921" t="e">
        <f>#REF!</f>
        <v>#REF!</v>
      </c>
      <c r="D70" s="921"/>
      <c r="E70" s="921"/>
      <c r="F70" s="921"/>
      <c r="G70" s="922" t="str">
        <f t="shared" ref="G70:N70" si="87">IF(SUM(G36:G40)=0, "", SUM(G36:G40))</f>
        <v/>
      </c>
      <c r="H70" s="922" t="str">
        <f t="shared" si="87"/>
        <v/>
      </c>
      <c r="I70" s="922" t="str">
        <f t="shared" si="87"/>
        <v/>
      </c>
      <c r="J70" s="922" t="str">
        <f t="shared" si="87"/>
        <v/>
      </c>
      <c r="K70" s="922" t="str">
        <f t="shared" si="87"/>
        <v/>
      </c>
      <c r="L70" s="922" t="str">
        <f t="shared" si="87"/>
        <v/>
      </c>
      <c r="M70" s="922" t="str">
        <f t="shared" si="87"/>
        <v/>
      </c>
      <c r="N70" s="922" t="str">
        <f t="shared" si="87"/>
        <v/>
      </c>
      <c r="O70" s="922" t="str">
        <f t="shared" ref="O70:AP70" si="88">IF(SUM(O36:O40)=0, "", SUM(O36:O40))</f>
        <v/>
      </c>
      <c r="P70" s="922" t="str">
        <f t="shared" si="88"/>
        <v/>
      </c>
      <c r="Q70" s="922" t="str">
        <f t="shared" si="88"/>
        <v/>
      </c>
      <c r="R70" s="922" t="str">
        <f t="shared" si="88"/>
        <v/>
      </c>
      <c r="S70" s="922" t="str">
        <f t="shared" si="88"/>
        <v/>
      </c>
      <c r="T70" s="922" t="str">
        <f t="shared" si="88"/>
        <v/>
      </c>
      <c r="U70" s="922" t="str">
        <f t="shared" si="88"/>
        <v/>
      </c>
      <c r="V70" s="922" t="str">
        <f t="shared" si="88"/>
        <v/>
      </c>
      <c r="W70" s="922" t="str">
        <f t="shared" si="88"/>
        <v/>
      </c>
      <c r="X70" s="922" t="str">
        <f t="shared" si="88"/>
        <v/>
      </c>
      <c r="Y70" s="922" t="str">
        <f t="shared" si="88"/>
        <v/>
      </c>
      <c r="Z70" s="922" t="str">
        <f t="shared" si="88"/>
        <v/>
      </c>
      <c r="AA70" s="922" t="str">
        <f t="shared" si="88"/>
        <v/>
      </c>
      <c r="AB70" s="922" t="str">
        <f t="shared" si="88"/>
        <v/>
      </c>
      <c r="AC70" s="922" t="str">
        <f t="shared" si="88"/>
        <v/>
      </c>
      <c r="AD70" s="922" t="str">
        <f t="shared" si="88"/>
        <v/>
      </c>
      <c r="AE70" s="922" t="str">
        <f t="shared" si="88"/>
        <v/>
      </c>
      <c r="AF70" s="922" t="str">
        <f t="shared" si="88"/>
        <v/>
      </c>
      <c r="AG70" s="922" t="str">
        <f t="shared" si="88"/>
        <v/>
      </c>
      <c r="AH70" s="922" t="str">
        <f t="shared" si="88"/>
        <v/>
      </c>
      <c r="AI70" s="922" t="str">
        <f t="shared" si="88"/>
        <v/>
      </c>
      <c r="AJ70" s="922" t="str">
        <f t="shared" si="88"/>
        <v/>
      </c>
      <c r="AK70" s="922" t="str">
        <f t="shared" si="88"/>
        <v/>
      </c>
      <c r="AL70" s="922" t="str">
        <f t="shared" si="88"/>
        <v/>
      </c>
      <c r="AM70" s="922" t="str">
        <f t="shared" si="88"/>
        <v/>
      </c>
      <c r="AN70" s="922" t="str">
        <f t="shared" si="88"/>
        <v/>
      </c>
      <c r="AO70" s="922" t="str">
        <f t="shared" si="88"/>
        <v/>
      </c>
      <c r="AP70" s="922" t="str">
        <f t="shared" si="88"/>
        <v/>
      </c>
    </row>
    <row r="71" spans="2:152" ht="14.65" hidden="1" customHeight="1" outlineLevel="1" x14ac:dyDescent="0.25">
      <c r="B71" s="920"/>
      <c r="C71" s="921" t="e">
        <f>#REF!</f>
        <v>#REF!</v>
      </c>
      <c r="D71" s="921"/>
      <c r="E71" s="921"/>
      <c r="F71" s="921"/>
      <c r="G71" s="922" t="str">
        <f t="shared" ref="G71:N71" si="89">IF(SUM(G41:G43)=0,"", SUM(G41:G43))</f>
        <v/>
      </c>
      <c r="H71" s="922" t="str">
        <f t="shared" si="89"/>
        <v/>
      </c>
      <c r="I71" s="922" t="str">
        <f t="shared" si="89"/>
        <v/>
      </c>
      <c r="J71" s="922" t="str">
        <f t="shared" si="89"/>
        <v/>
      </c>
      <c r="K71" s="922" t="str">
        <f t="shared" si="89"/>
        <v/>
      </c>
      <c r="L71" s="922" t="str">
        <f t="shared" si="89"/>
        <v/>
      </c>
      <c r="M71" s="922" t="str">
        <f t="shared" si="89"/>
        <v/>
      </c>
      <c r="N71" s="922" t="str">
        <f t="shared" si="89"/>
        <v/>
      </c>
      <c r="O71" s="922" t="str">
        <f t="shared" ref="O71:AP71" si="90">IF(SUM(O41:O43)=0,"", SUM(O41:O43))</f>
        <v/>
      </c>
      <c r="P71" s="922" t="str">
        <f t="shared" si="90"/>
        <v/>
      </c>
      <c r="Q71" s="922" t="str">
        <f t="shared" si="90"/>
        <v/>
      </c>
      <c r="R71" s="922" t="str">
        <f t="shared" si="90"/>
        <v/>
      </c>
      <c r="S71" s="922" t="str">
        <f t="shared" si="90"/>
        <v/>
      </c>
      <c r="T71" s="922" t="str">
        <f t="shared" si="90"/>
        <v/>
      </c>
      <c r="U71" s="922" t="str">
        <f t="shared" si="90"/>
        <v/>
      </c>
      <c r="V71" s="922" t="str">
        <f t="shared" si="90"/>
        <v/>
      </c>
      <c r="W71" s="922" t="str">
        <f t="shared" si="90"/>
        <v/>
      </c>
      <c r="X71" s="922" t="str">
        <f t="shared" si="90"/>
        <v/>
      </c>
      <c r="Y71" s="922" t="str">
        <f t="shared" si="90"/>
        <v/>
      </c>
      <c r="Z71" s="922" t="str">
        <f t="shared" si="90"/>
        <v/>
      </c>
      <c r="AA71" s="922" t="str">
        <f t="shared" si="90"/>
        <v/>
      </c>
      <c r="AB71" s="922" t="str">
        <f t="shared" si="90"/>
        <v/>
      </c>
      <c r="AC71" s="922" t="str">
        <f t="shared" si="90"/>
        <v/>
      </c>
      <c r="AD71" s="922" t="str">
        <f t="shared" si="90"/>
        <v/>
      </c>
      <c r="AE71" s="922" t="str">
        <f t="shared" si="90"/>
        <v/>
      </c>
      <c r="AF71" s="922" t="str">
        <f t="shared" si="90"/>
        <v/>
      </c>
      <c r="AG71" s="922" t="str">
        <f t="shared" si="90"/>
        <v/>
      </c>
      <c r="AH71" s="922" t="str">
        <f t="shared" si="90"/>
        <v/>
      </c>
      <c r="AI71" s="922" t="str">
        <f t="shared" si="90"/>
        <v/>
      </c>
      <c r="AJ71" s="922" t="str">
        <f t="shared" si="90"/>
        <v/>
      </c>
      <c r="AK71" s="922" t="str">
        <f t="shared" si="90"/>
        <v/>
      </c>
      <c r="AL71" s="922" t="str">
        <f t="shared" si="90"/>
        <v/>
      </c>
      <c r="AM71" s="922" t="str">
        <f t="shared" si="90"/>
        <v/>
      </c>
      <c r="AN71" s="922" t="str">
        <f t="shared" si="90"/>
        <v/>
      </c>
      <c r="AO71" s="922" t="str">
        <f t="shared" si="90"/>
        <v/>
      </c>
      <c r="AP71" s="922" t="str">
        <f t="shared" si="90"/>
        <v/>
      </c>
    </row>
    <row r="72" spans="2:152" ht="15" hidden="1" customHeight="1" outlineLevel="1" thickBot="1" x14ac:dyDescent="0.3">
      <c r="B72" s="924"/>
      <c r="C72" s="925" t="e">
        <f>#REF!</f>
        <v>#REF!</v>
      </c>
      <c r="D72" s="925"/>
      <c r="E72" s="925"/>
      <c r="F72" s="925"/>
      <c r="G72" s="925" t="str">
        <f t="shared" ref="G72:AP72" si="91">IF(SUM(G44:G45)=0,"", SUM(G44:G45))</f>
        <v/>
      </c>
      <c r="H72" s="925" t="str">
        <f t="shared" si="91"/>
        <v/>
      </c>
      <c r="I72" s="925" t="str">
        <f t="shared" si="91"/>
        <v/>
      </c>
      <c r="J72" s="925" t="str">
        <f t="shared" si="91"/>
        <v/>
      </c>
      <c r="K72" s="925" t="str">
        <f t="shared" si="91"/>
        <v/>
      </c>
      <c r="L72" s="925" t="str">
        <f t="shared" si="91"/>
        <v/>
      </c>
      <c r="M72" s="925" t="str">
        <f t="shared" si="91"/>
        <v/>
      </c>
      <c r="N72" s="925" t="str">
        <f t="shared" si="91"/>
        <v/>
      </c>
      <c r="O72" s="925" t="str">
        <f t="shared" si="91"/>
        <v/>
      </c>
      <c r="P72" s="925" t="str">
        <f t="shared" si="91"/>
        <v/>
      </c>
      <c r="Q72" s="925" t="str">
        <f t="shared" si="91"/>
        <v/>
      </c>
      <c r="R72" s="925" t="str">
        <f t="shared" si="91"/>
        <v/>
      </c>
      <c r="S72" s="925" t="str">
        <f t="shared" si="91"/>
        <v/>
      </c>
      <c r="T72" s="925" t="str">
        <f t="shared" si="91"/>
        <v/>
      </c>
      <c r="U72" s="925" t="str">
        <f t="shared" si="91"/>
        <v/>
      </c>
      <c r="V72" s="925" t="str">
        <f t="shared" si="91"/>
        <v/>
      </c>
      <c r="W72" s="925" t="str">
        <f t="shared" si="91"/>
        <v/>
      </c>
      <c r="X72" s="925" t="str">
        <f t="shared" si="91"/>
        <v/>
      </c>
      <c r="Y72" s="925" t="str">
        <f t="shared" si="91"/>
        <v/>
      </c>
      <c r="Z72" s="925" t="str">
        <f t="shared" si="91"/>
        <v/>
      </c>
      <c r="AA72" s="925" t="str">
        <f t="shared" si="91"/>
        <v/>
      </c>
      <c r="AB72" s="925" t="str">
        <f t="shared" si="91"/>
        <v/>
      </c>
      <c r="AC72" s="925" t="str">
        <f t="shared" si="91"/>
        <v/>
      </c>
      <c r="AD72" s="925" t="str">
        <f t="shared" si="91"/>
        <v/>
      </c>
      <c r="AE72" s="925" t="str">
        <f t="shared" si="91"/>
        <v/>
      </c>
      <c r="AF72" s="925" t="str">
        <f t="shared" si="91"/>
        <v/>
      </c>
      <c r="AG72" s="925" t="str">
        <f t="shared" si="91"/>
        <v/>
      </c>
      <c r="AH72" s="925" t="str">
        <f t="shared" si="91"/>
        <v/>
      </c>
      <c r="AI72" s="925" t="str">
        <f t="shared" si="91"/>
        <v/>
      </c>
      <c r="AJ72" s="925" t="str">
        <f t="shared" si="91"/>
        <v/>
      </c>
      <c r="AK72" s="925" t="str">
        <f t="shared" si="91"/>
        <v/>
      </c>
      <c r="AL72" s="925" t="str">
        <f t="shared" si="91"/>
        <v/>
      </c>
      <c r="AM72" s="925" t="str">
        <f t="shared" si="91"/>
        <v/>
      </c>
      <c r="AN72" s="925" t="str">
        <f t="shared" si="91"/>
        <v/>
      </c>
      <c r="AO72" s="925" t="str">
        <f t="shared" si="91"/>
        <v/>
      </c>
      <c r="AP72" s="925" t="str">
        <f t="shared" si="91"/>
        <v/>
      </c>
    </row>
    <row r="73" spans="2:152" ht="15" hidden="1" customHeight="1" outlineLevel="1" x14ac:dyDescent="0.25">
      <c r="B73" s="921"/>
      <c r="C73" s="921"/>
      <c r="D73" s="921"/>
      <c r="E73" s="921"/>
      <c r="F73" s="921"/>
      <c r="G73" s="921"/>
      <c r="H73" s="921"/>
      <c r="I73" s="921"/>
      <c r="J73" s="921"/>
      <c r="K73" s="921"/>
      <c r="L73" s="921"/>
      <c r="M73" s="921"/>
      <c r="N73" s="921"/>
      <c r="O73" s="921"/>
      <c r="P73" s="921"/>
      <c r="Q73" s="921"/>
      <c r="R73" s="921"/>
      <c r="S73" s="921"/>
      <c r="T73" s="921"/>
      <c r="U73" s="921"/>
      <c r="V73" s="921"/>
      <c r="W73" s="921"/>
      <c r="X73" s="921"/>
      <c r="Y73" s="921"/>
      <c r="Z73" s="921"/>
      <c r="AA73" s="921"/>
      <c r="AB73" s="921"/>
      <c r="AC73" s="921"/>
      <c r="AD73" s="921"/>
      <c r="AE73" s="921"/>
      <c r="AF73" s="921"/>
      <c r="AG73" s="921"/>
      <c r="AH73" s="921"/>
      <c r="AI73" s="921"/>
      <c r="AJ73" s="921"/>
      <c r="AK73" s="921"/>
      <c r="AL73" s="921"/>
      <c r="AM73" s="921"/>
      <c r="AN73" s="921"/>
      <c r="AO73" s="921"/>
      <c r="AP73" s="921"/>
    </row>
    <row r="74" spans="2:152" ht="14.65" hidden="1" customHeight="1" outlineLevel="1" x14ac:dyDescent="0.25"/>
    <row r="75" spans="2:152" ht="14.65" hidden="1" customHeight="1" outlineLevel="1" thickBot="1" x14ac:dyDescent="0.3">
      <c r="G75" s="426" t="e" cm="1">
        <f t="array" aca="1" ref="G75" ca="1">INDIRECT("'"&amp;$BP$6&amp;"G21")</f>
        <v>#N/A</v>
      </c>
      <c r="H75" s="426" t="e" cm="1">
        <f t="array" aca="1" ref="H75" ca="1">INDIRECT("'"&amp;$BP$6&amp;"H21")</f>
        <v>#N/A</v>
      </c>
      <c r="I75" s="426" t="e" cm="1">
        <f t="array" aca="1" ref="I75" ca="1">INDIRECT("'"&amp;$BP$6&amp;"I21")</f>
        <v>#N/A</v>
      </c>
      <c r="J75" s="426" t="e" cm="1">
        <f t="array" aca="1" ref="J75" ca="1">INDIRECT("'"&amp;$BP$6&amp;"J21")</f>
        <v>#N/A</v>
      </c>
      <c r="K75" s="426" t="e" cm="1">
        <f t="array" aca="1" ref="K75" ca="1">INDIRECT("'"&amp;$BP$6&amp;"K21")</f>
        <v>#N/A</v>
      </c>
      <c r="L75" s="426" t="e" cm="1">
        <f t="array" aca="1" ref="L75" ca="1">INDIRECT("'"&amp;$BP$6&amp;"L21")</f>
        <v>#N/A</v>
      </c>
      <c r="M75" s="426" t="e" cm="1">
        <f t="array" aca="1" ref="M75" ca="1">INDIRECT("'"&amp;$BP$6&amp;"M21")</f>
        <v>#N/A</v>
      </c>
      <c r="N75" s="426" t="e" cm="1">
        <f t="array" aca="1" ref="N75" ca="1">INDIRECT("'"&amp;$BP$6&amp;"N21")</f>
        <v>#N/A</v>
      </c>
      <c r="O75" s="426" t="e" cm="1">
        <f t="array" aca="1" ref="O75" ca="1">INDIRECT("'"&amp;$BP$6&amp;"O21")</f>
        <v>#N/A</v>
      </c>
      <c r="P75" s="426" t="e" cm="1">
        <f t="array" aca="1" ref="P75" ca="1">INDIRECT("'"&amp;$BP$6&amp;"P21")</f>
        <v>#N/A</v>
      </c>
      <c r="Q75" s="426" t="e" cm="1">
        <f t="array" aca="1" ref="Q75" ca="1">INDIRECT("'"&amp;$BP$6&amp;"Q21")</f>
        <v>#N/A</v>
      </c>
      <c r="R75" s="426" t="e" cm="1">
        <f t="array" aca="1" ref="R75" ca="1">INDIRECT("'"&amp;$BP$6&amp;"R21")</f>
        <v>#N/A</v>
      </c>
      <c r="S75" s="426" t="e" cm="1">
        <f t="array" aca="1" ref="S75" ca="1">INDIRECT("'"&amp;$BP$6&amp;"S21")</f>
        <v>#N/A</v>
      </c>
      <c r="T75" s="426" t="e" cm="1">
        <f t="array" aca="1" ref="T75" ca="1">INDIRECT("'"&amp;$BP$6&amp;"T21")</f>
        <v>#N/A</v>
      </c>
      <c r="U75" s="426" t="e" cm="1">
        <f t="array" aca="1" ref="U75" ca="1">INDIRECT("'"&amp;$BP$6&amp;"U21")</f>
        <v>#N/A</v>
      </c>
      <c r="V75" s="426" t="e" cm="1">
        <f t="array" aca="1" ref="V75" ca="1">INDIRECT("'"&amp;$BP$6&amp;"V21")</f>
        <v>#N/A</v>
      </c>
    </row>
    <row r="76" spans="2:152" ht="23.25" hidden="1" outlineLevel="1" x14ac:dyDescent="0.35">
      <c r="B76" s="1" t="s">
        <v>2063</v>
      </c>
      <c r="C76" s="1"/>
      <c r="D76" s="1521" t="e">
        <f>IF(AND(SUM(D79:D85,D88:D102)&lt;&gt;Assumptions!$D$32, Language="English"), "CYP Factor Changed", IF(AND(SUM(D79:D85,D88:D102)&lt;&gt;Assumptions!$D$32, Language="Francais"), "Facteur CAP modifié",""))</f>
        <v>#N/A</v>
      </c>
      <c r="E76" s="1521"/>
      <c r="F76" s="1605"/>
      <c r="G76" s="423"/>
      <c r="H76" s="424"/>
      <c r="I76" s="424"/>
      <c r="J76" s="424"/>
      <c r="K76" s="424"/>
      <c r="L76" s="424"/>
      <c r="M76" s="424"/>
      <c r="N76" s="424"/>
      <c r="O76" s="424"/>
      <c r="P76" s="424"/>
      <c r="Q76" s="424"/>
      <c r="R76" s="424"/>
      <c r="S76" s="424"/>
      <c r="T76" s="424"/>
      <c r="U76" s="424"/>
      <c r="V76" s="425"/>
      <c r="BS76" s="184" t="s">
        <v>817</v>
      </c>
      <c r="BT76" s="184" t="s">
        <v>837</v>
      </c>
      <c r="CA76"/>
      <c r="CB76" s="1"/>
      <c r="CC76" s="1"/>
      <c r="CD76" s="423"/>
      <c r="CE76" s="424"/>
      <c r="CF76" s="424"/>
      <c r="CG76" s="424"/>
      <c r="CH76" s="424"/>
      <c r="CI76" s="424"/>
      <c r="CJ76" s="424"/>
      <c r="CK76" s="424"/>
      <c r="CL76" s="424"/>
      <c r="CM76" s="424"/>
      <c r="CN76" s="424"/>
      <c r="CO76" s="424"/>
      <c r="CP76" s="424"/>
      <c r="CQ76" s="424"/>
      <c r="CR76" s="424"/>
      <c r="CS76" s="425"/>
      <c r="DB76" s="424"/>
      <c r="DC76" s="424"/>
      <c r="DD76" s="424"/>
      <c r="DE76" s="425"/>
    </row>
    <row r="77" spans="2:152" ht="32.25" hidden="1" customHeight="1" outlineLevel="1" thickBot="1" x14ac:dyDescent="0.3">
      <c r="B77" s="1515" t="s">
        <v>6</v>
      </c>
      <c r="C77" s="1515"/>
      <c r="D77" s="98" t="s">
        <v>8</v>
      </c>
      <c r="E77" s="229"/>
      <c r="F77" s="229" t="s">
        <v>84</v>
      </c>
      <c r="G77" s="426" t="e">
        <f ca="1">H77-1</f>
        <v>#N/A</v>
      </c>
      <c r="H77" s="426" t="e">
        <f t="shared" ref="H77:T77" ca="1" si="92">I77-1</f>
        <v>#N/A</v>
      </c>
      <c r="I77" s="426" t="e">
        <f t="shared" ca="1" si="92"/>
        <v>#N/A</v>
      </c>
      <c r="J77" s="426" t="e">
        <f t="shared" ca="1" si="92"/>
        <v>#N/A</v>
      </c>
      <c r="K77" s="426" t="e">
        <f t="shared" ca="1" si="92"/>
        <v>#N/A</v>
      </c>
      <c r="L77" s="426" t="e">
        <f t="shared" ca="1" si="92"/>
        <v>#N/A</v>
      </c>
      <c r="M77" s="426" t="e">
        <f t="shared" ca="1" si="92"/>
        <v>#N/A</v>
      </c>
      <c r="N77" s="426" t="e">
        <f t="shared" ca="1" si="92"/>
        <v>#N/A</v>
      </c>
      <c r="O77" s="426" t="e">
        <f t="shared" ca="1" si="92"/>
        <v>#N/A</v>
      </c>
      <c r="P77" s="426" t="e">
        <f t="shared" ca="1" si="92"/>
        <v>#N/A</v>
      </c>
      <c r="Q77" s="426" t="e">
        <f t="shared" ca="1" si="92"/>
        <v>#N/A</v>
      </c>
      <c r="R77" s="426" t="e">
        <f t="shared" ca="1" si="92"/>
        <v>#N/A</v>
      </c>
      <c r="S77" s="426" t="e">
        <f t="shared" ca="1" si="92"/>
        <v>#N/A</v>
      </c>
      <c r="T77" s="426" t="e">
        <f t="shared" ca="1" si="92"/>
        <v>#N/A</v>
      </c>
      <c r="U77" s="426" t="e">
        <f ca="1">V77-1</f>
        <v>#N/A</v>
      </c>
      <c r="V77" s="426" t="e">
        <f ca="1">MAX(G75:V75)</f>
        <v>#N/A</v>
      </c>
      <c r="BS77" s="184" t="s">
        <v>1276</v>
      </c>
      <c r="BT77" s="184" t="s">
        <v>1308</v>
      </c>
      <c r="CA77"/>
      <c r="CB77" s="1515" t="s">
        <v>6</v>
      </c>
      <c r="CC77" s="1515"/>
      <c r="CD77" s="426" t="e">
        <f t="shared" ref="CD77:CT77" ca="1" si="93">G77</f>
        <v>#N/A</v>
      </c>
      <c r="CE77" s="426" t="e">
        <f t="shared" ca="1" si="93"/>
        <v>#N/A</v>
      </c>
      <c r="CF77" s="426" t="e">
        <f t="shared" ca="1" si="93"/>
        <v>#N/A</v>
      </c>
      <c r="CG77" s="426" t="e">
        <f t="shared" ca="1" si="93"/>
        <v>#N/A</v>
      </c>
      <c r="CH77" s="426" t="e">
        <f t="shared" ca="1" si="93"/>
        <v>#N/A</v>
      </c>
      <c r="CI77" s="426" t="e">
        <f t="shared" ca="1" si="93"/>
        <v>#N/A</v>
      </c>
      <c r="CJ77" s="426" t="e">
        <f t="shared" ca="1" si="93"/>
        <v>#N/A</v>
      </c>
      <c r="CK77" s="426" t="e">
        <f t="shared" ca="1" si="93"/>
        <v>#N/A</v>
      </c>
      <c r="CL77" s="426" t="e">
        <f t="shared" ca="1" si="93"/>
        <v>#N/A</v>
      </c>
      <c r="CM77" s="426" t="e">
        <f t="shared" ca="1" si="93"/>
        <v>#N/A</v>
      </c>
      <c r="CN77" s="426" t="e">
        <f t="shared" ca="1" si="93"/>
        <v>#N/A</v>
      </c>
      <c r="CO77" s="426" t="e">
        <f t="shared" ca="1" si="93"/>
        <v>#N/A</v>
      </c>
      <c r="CP77" s="426" t="e">
        <f t="shared" ca="1" si="93"/>
        <v>#N/A</v>
      </c>
      <c r="CQ77" s="426" t="e">
        <f t="shared" ca="1" si="93"/>
        <v>#N/A</v>
      </c>
      <c r="CR77" s="426" t="e">
        <f t="shared" ca="1" si="93"/>
        <v>#N/A</v>
      </c>
      <c r="CS77" s="426" t="e">
        <f t="shared" ca="1" si="93"/>
        <v>#N/A</v>
      </c>
      <c r="CT77" s="426">
        <f t="shared" si="93"/>
        <v>0</v>
      </c>
      <c r="DB77" s="426">
        <f>AE77</f>
        <v>0</v>
      </c>
      <c r="DC77" s="426">
        <f>AF77</f>
        <v>0</v>
      </c>
      <c r="DD77" s="426">
        <f>AG77</f>
        <v>0</v>
      </c>
      <c r="DE77" s="426">
        <f>AH77</f>
        <v>0</v>
      </c>
    </row>
    <row r="78" spans="2:152" s="1" customFormat="1" ht="18.75" hidden="1" customHeight="1" outlineLevel="1" x14ac:dyDescent="0.25">
      <c r="B78" s="415" t="str">
        <f>IF(Language="English", 'Language Look Ups'!$O$5,IF(Language="Francais", 'Language Look Ups'!$S$5,  'Language Look Ups'!$Q$5))</f>
        <v>Méthodes à Long Terme et Permanentes</v>
      </c>
      <c r="C78" s="401"/>
      <c r="D78" s="402"/>
      <c r="E78" s="403"/>
      <c r="F78" s="177"/>
      <c r="G78" s="404"/>
      <c r="H78" s="405"/>
      <c r="I78" s="404"/>
      <c r="J78" s="405"/>
      <c r="K78" s="404"/>
      <c r="L78" s="405"/>
      <c r="M78" s="404"/>
      <c r="N78" s="405"/>
      <c r="O78" s="404"/>
      <c r="P78" s="405"/>
      <c r="Q78" s="404"/>
      <c r="R78" s="405"/>
      <c r="S78" s="404"/>
      <c r="T78" s="405"/>
      <c r="U78" s="404"/>
      <c r="V78" s="406"/>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Q78"/>
      <c r="BR78"/>
      <c r="BS78" s="184" t="s">
        <v>102</v>
      </c>
      <c r="BT78" s="184" t="s">
        <v>838</v>
      </c>
      <c r="BU78" s="184"/>
      <c r="BV78"/>
      <c r="BW78"/>
      <c r="BX78"/>
      <c r="BY78"/>
      <c r="BZ78"/>
      <c r="CA78"/>
      <c r="CB78" s="415" t="str">
        <f>IF(Language="English", 'Language Look Ups'!$O$5,IF(Language="Francais", 'Language Look Ups'!$S$5,  'Language Look Ups'!$Q$5))</f>
        <v>Méthodes à Long Terme et Permanentes</v>
      </c>
      <c r="CC78" s="401"/>
      <c r="CD78" s="404"/>
      <c r="CE78" s="405"/>
      <c r="CF78" s="404"/>
      <c r="CG78" s="405"/>
      <c r="CH78" s="404"/>
      <c r="CI78" s="405"/>
      <c r="CJ78" s="404"/>
      <c r="CK78" s="405"/>
      <c r="CL78" s="404"/>
      <c r="CM78" s="405"/>
      <c r="CN78" s="404"/>
      <c r="CO78" s="405"/>
      <c r="CP78" s="404"/>
      <c r="CQ78" s="405"/>
      <c r="CR78" s="404"/>
      <c r="CS78" s="406"/>
      <c r="CT78" s="406"/>
      <c r="CU78"/>
      <c r="CV78"/>
      <c r="CW78"/>
      <c r="CX78"/>
      <c r="CY78"/>
      <c r="CZ78"/>
      <c r="DA78"/>
      <c r="DB78" s="404"/>
      <c r="DC78" s="405"/>
      <c r="DD78" s="404"/>
      <c r="DE78" s="406"/>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row>
    <row r="79" spans="2:152" ht="17.25" hidden="1" customHeight="1" outlineLevel="1" x14ac:dyDescent="0.25">
      <c r="B79" s="1480" t="str">
        <f>IF(Language="English",'Language Look Ups'!$O$6,IF(Language="Francais",'Language Look Ups'!$S$6,'Language Look Ups'!$Q$6))</f>
        <v>Stérilisation</v>
      </c>
      <c r="C79" s="363" t="str">
        <f>IF(Language="English", 'Language Look Ups'!$P$6,IF(Language="Francais", 'Language Look Ups'!$T$6, 'Language Look Ups'!$R$6))</f>
        <v>Ligature des trompes</v>
      </c>
      <c r="D79" s="407" t="e">
        <f>D27</f>
        <v>#N/A</v>
      </c>
      <c r="E79" s="408" t="e">
        <f t="shared" ref="E79:F79" si="94">E27</f>
        <v>#N/A</v>
      </c>
      <c r="F79" s="416" t="e">
        <f t="shared" si="94"/>
        <v>#N/A</v>
      </c>
      <c r="G79" s="409" t="e">
        <f t="shared" ref="G79:V85" ca="1" si="95">VLOOKUP($C79, INDIRECT("'"&amp;$BP$6&amp;"$C$23:$V$46"), MATCH(G$77, INDIRECT("'"&amp;$BP$6&amp;"$C$21:$V$21"), 0), FALSE)</f>
        <v>#N/A</v>
      </c>
      <c r="H79" s="409" t="e">
        <f t="shared" ca="1" si="95"/>
        <v>#N/A</v>
      </c>
      <c r="I79" s="409" t="e">
        <f t="shared" ca="1" si="95"/>
        <v>#N/A</v>
      </c>
      <c r="J79" s="409" t="e">
        <f t="shared" ca="1" si="95"/>
        <v>#N/A</v>
      </c>
      <c r="K79" s="409" t="e">
        <f t="shared" ca="1" si="95"/>
        <v>#N/A</v>
      </c>
      <c r="L79" s="409" t="e">
        <f t="shared" ca="1" si="95"/>
        <v>#N/A</v>
      </c>
      <c r="M79" s="409" t="e">
        <f t="shared" ca="1" si="95"/>
        <v>#N/A</v>
      </c>
      <c r="N79" s="409" t="e">
        <f t="shared" ca="1" si="95"/>
        <v>#N/A</v>
      </c>
      <c r="O79" s="409" t="e">
        <f t="shared" ca="1" si="95"/>
        <v>#N/A</v>
      </c>
      <c r="P79" s="409" t="e">
        <f t="shared" ca="1" si="95"/>
        <v>#N/A</v>
      </c>
      <c r="Q79" s="409" t="e">
        <f t="shared" ca="1" si="95"/>
        <v>#N/A</v>
      </c>
      <c r="R79" s="409" t="e">
        <f t="shared" ca="1" si="95"/>
        <v>#N/A</v>
      </c>
      <c r="S79" s="409" t="e">
        <f t="shared" ca="1" si="95"/>
        <v>#N/A</v>
      </c>
      <c r="T79" s="409" t="e">
        <f t="shared" ca="1" si="95"/>
        <v>#N/A</v>
      </c>
      <c r="U79" s="409" t="e">
        <f t="shared" ca="1" si="95"/>
        <v>#N/A</v>
      </c>
      <c r="V79" s="409" t="e">
        <f t="shared" ca="1" si="95"/>
        <v>#N/A</v>
      </c>
      <c r="BS79" s="416" t="s">
        <v>9</v>
      </c>
      <c r="BT79" s="184" t="s">
        <v>835</v>
      </c>
      <c r="CA79"/>
      <c r="CB79" s="1480" t="str">
        <f>IF(Language="English",'Language Look Ups'!$O$6,IF(Language="Francais",'Language Look Ups'!$S$6,'Language Look Ups'!$Q$6))</f>
        <v>Stérilisation</v>
      </c>
      <c r="CC79" s="363" t="str">
        <f>IF(Language="English", 'Language Look Ups'!$P$6,IF(Language="Francais", 'Language Look Ups'!$T$6, 'Language Look Ups'!$R$6))</f>
        <v>Ligature des trompes</v>
      </c>
      <c r="CD79" s="409" t="e">
        <f t="shared" ref="CD79:CM85" ca="1" si="96">G79*$E79</f>
        <v>#N/A</v>
      </c>
      <c r="CE79" s="409" t="e">
        <f t="shared" ca="1" si="96"/>
        <v>#N/A</v>
      </c>
      <c r="CF79" s="409" t="e">
        <f t="shared" ca="1" si="96"/>
        <v>#N/A</v>
      </c>
      <c r="CG79" s="409" t="e">
        <f t="shared" ca="1" si="96"/>
        <v>#N/A</v>
      </c>
      <c r="CH79" s="409" t="e">
        <f t="shared" ca="1" si="96"/>
        <v>#N/A</v>
      </c>
      <c r="CI79" s="409" t="e">
        <f t="shared" ca="1" si="96"/>
        <v>#N/A</v>
      </c>
      <c r="CJ79" s="409" t="e">
        <f t="shared" ca="1" si="96"/>
        <v>#N/A</v>
      </c>
      <c r="CK79" s="409" t="e">
        <f t="shared" ca="1" si="96"/>
        <v>#N/A</v>
      </c>
      <c r="CL79" s="409" t="e">
        <f t="shared" ca="1" si="96"/>
        <v>#N/A</v>
      </c>
      <c r="CM79" s="409" t="e">
        <f t="shared" ca="1" si="96"/>
        <v>#N/A</v>
      </c>
      <c r="CN79" s="409" t="e">
        <f t="shared" ref="CN79:CT85" ca="1" si="97">Q79*$E79</f>
        <v>#N/A</v>
      </c>
      <c r="CO79" s="409" t="e">
        <f t="shared" ca="1" si="97"/>
        <v>#N/A</v>
      </c>
      <c r="CP79" s="409" t="e">
        <f t="shared" ca="1" si="97"/>
        <v>#N/A</v>
      </c>
      <c r="CQ79" s="409" t="e">
        <f t="shared" ca="1" si="97"/>
        <v>#N/A</v>
      </c>
      <c r="CR79" s="409" t="e">
        <f t="shared" ca="1" si="97"/>
        <v>#N/A</v>
      </c>
      <c r="CS79" s="409" t="e">
        <f t="shared" ca="1" si="97"/>
        <v>#N/A</v>
      </c>
      <c r="CT79" s="409" t="e">
        <f t="shared" si="97"/>
        <v>#N/A</v>
      </c>
      <c r="DB79" s="409" t="e">
        <f t="shared" ref="DB79:DE85" si="98">AE79*$E79</f>
        <v>#N/A</v>
      </c>
      <c r="DC79" s="409" t="e">
        <f t="shared" si="98"/>
        <v>#N/A</v>
      </c>
      <c r="DD79" s="409" t="e">
        <f t="shared" si="98"/>
        <v>#N/A</v>
      </c>
      <c r="DE79" s="409" t="e">
        <f t="shared" si="98"/>
        <v>#N/A</v>
      </c>
    </row>
    <row r="80" spans="2:152" ht="17.25" hidden="1" customHeight="1" outlineLevel="1" x14ac:dyDescent="0.25">
      <c r="B80" s="1481"/>
      <c r="C80" s="275" t="str">
        <f>IF(Language="English",'Language Look Ups'!$P$7,IF(Language="Francais",'Language Look Ups'!$T$7,'Language Look Ups'!$R$7))</f>
        <v>Vasectomie</v>
      </c>
      <c r="D80" s="276" t="e">
        <f t="shared" ref="D80:D85" si="99">D28</f>
        <v>#N/A</v>
      </c>
      <c r="E80" s="99" t="e">
        <f t="shared" ref="E80:F80" si="100">E28</f>
        <v>#N/A</v>
      </c>
      <c r="F80" s="100" t="e">
        <f t="shared" si="100"/>
        <v>#N/A</v>
      </c>
      <c r="G80" s="409" t="e">
        <f t="shared" ca="1" si="95"/>
        <v>#N/A</v>
      </c>
      <c r="H80" s="409" t="e">
        <f t="shared" ca="1" si="95"/>
        <v>#N/A</v>
      </c>
      <c r="I80" s="409" t="e">
        <f t="shared" ca="1" si="95"/>
        <v>#N/A</v>
      </c>
      <c r="J80" s="409" t="e">
        <f t="shared" ca="1" si="95"/>
        <v>#N/A</v>
      </c>
      <c r="K80" s="409" t="e">
        <f t="shared" ca="1" si="95"/>
        <v>#N/A</v>
      </c>
      <c r="L80" s="409" t="e">
        <f t="shared" ca="1" si="95"/>
        <v>#N/A</v>
      </c>
      <c r="M80" s="409" t="e">
        <f t="shared" ca="1" si="95"/>
        <v>#N/A</v>
      </c>
      <c r="N80" s="409" t="e">
        <f t="shared" ca="1" si="95"/>
        <v>#N/A</v>
      </c>
      <c r="O80" s="409" t="e">
        <f t="shared" ca="1" si="95"/>
        <v>#N/A</v>
      </c>
      <c r="P80" s="409" t="e">
        <f t="shared" ca="1" si="95"/>
        <v>#N/A</v>
      </c>
      <c r="Q80" s="409" t="e">
        <f t="shared" ca="1" si="95"/>
        <v>#N/A</v>
      </c>
      <c r="R80" s="409" t="e">
        <f t="shared" ca="1" si="95"/>
        <v>#N/A</v>
      </c>
      <c r="S80" s="409" t="e">
        <f t="shared" ca="1" si="95"/>
        <v>#N/A</v>
      </c>
      <c r="T80" s="409" t="e">
        <f t="shared" ca="1" si="95"/>
        <v>#N/A</v>
      </c>
      <c r="U80" s="409" t="e">
        <f t="shared" ca="1" si="95"/>
        <v>#N/A</v>
      </c>
      <c r="V80" s="409" t="e">
        <f t="shared" ca="1" si="95"/>
        <v>#N/A</v>
      </c>
      <c r="BS80" s="100" t="s">
        <v>9</v>
      </c>
      <c r="BT80" s="184" t="s">
        <v>835</v>
      </c>
      <c r="CA80"/>
      <c r="CB80" s="1481"/>
      <c r="CC80" s="275" t="str">
        <f>IF(Language="English",'Language Look Ups'!$P$7,IF(Language="Francais",'Language Look Ups'!$T$7,'Language Look Ups'!$R$7))</f>
        <v>Vasectomie</v>
      </c>
      <c r="CD80" s="409" t="e">
        <f t="shared" ca="1" si="96"/>
        <v>#N/A</v>
      </c>
      <c r="CE80" s="409" t="e">
        <f t="shared" ca="1" si="96"/>
        <v>#N/A</v>
      </c>
      <c r="CF80" s="409" t="e">
        <f t="shared" ca="1" si="96"/>
        <v>#N/A</v>
      </c>
      <c r="CG80" s="409" t="e">
        <f t="shared" ca="1" si="96"/>
        <v>#N/A</v>
      </c>
      <c r="CH80" s="409" t="e">
        <f t="shared" ca="1" si="96"/>
        <v>#N/A</v>
      </c>
      <c r="CI80" s="409" t="e">
        <f t="shared" ca="1" si="96"/>
        <v>#N/A</v>
      </c>
      <c r="CJ80" s="409" t="e">
        <f t="shared" ca="1" si="96"/>
        <v>#N/A</v>
      </c>
      <c r="CK80" s="409" t="e">
        <f t="shared" ca="1" si="96"/>
        <v>#N/A</v>
      </c>
      <c r="CL80" s="409" t="e">
        <f t="shared" ca="1" si="96"/>
        <v>#N/A</v>
      </c>
      <c r="CM80" s="409" t="e">
        <f t="shared" ca="1" si="96"/>
        <v>#N/A</v>
      </c>
      <c r="CN80" s="409" t="e">
        <f t="shared" ca="1" si="97"/>
        <v>#N/A</v>
      </c>
      <c r="CO80" s="409" t="e">
        <f t="shared" ca="1" si="97"/>
        <v>#N/A</v>
      </c>
      <c r="CP80" s="409" t="e">
        <f t="shared" ca="1" si="97"/>
        <v>#N/A</v>
      </c>
      <c r="CQ80" s="409" t="e">
        <f t="shared" ca="1" si="97"/>
        <v>#N/A</v>
      </c>
      <c r="CR80" s="409" t="e">
        <f t="shared" ca="1" si="97"/>
        <v>#N/A</v>
      </c>
      <c r="CS80" s="409" t="e">
        <f t="shared" ca="1" si="97"/>
        <v>#N/A</v>
      </c>
      <c r="CT80" s="409" t="e">
        <f t="shared" si="97"/>
        <v>#N/A</v>
      </c>
      <c r="DB80" s="409" t="e">
        <f t="shared" si="98"/>
        <v>#N/A</v>
      </c>
      <c r="DC80" s="409" t="e">
        <f t="shared" si="98"/>
        <v>#N/A</v>
      </c>
      <c r="DD80" s="409" t="e">
        <f t="shared" si="98"/>
        <v>#N/A</v>
      </c>
      <c r="DE80" s="409" t="e">
        <f t="shared" si="98"/>
        <v>#N/A</v>
      </c>
    </row>
    <row r="81" spans="2:109" ht="17.25" hidden="1" customHeight="1" outlineLevel="1" x14ac:dyDescent="0.25">
      <c r="B81" s="1480" t="str">
        <f>IF(Language="English", 'Language Look Ups'!$O$8,IF(Language="Francais", 'Language Look Ups'!$S$8, 'Language Look Ups'!$Q$8))</f>
        <v>DIU</v>
      </c>
      <c r="C81" s="363" t="str">
        <f>IF(Language="English", 'Language Look Ups'!$P$8,IF(Language="Francais", 'Language Look Ups'!$T$8, 'Language Look Ups'!$R$8))</f>
        <v>Copper- T 380-A DIU</v>
      </c>
      <c r="D81" s="407" t="e">
        <f t="shared" si="99"/>
        <v>#N/A</v>
      </c>
      <c r="E81" s="408" t="e">
        <f t="shared" ref="E81:F81" si="101">E29</f>
        <v>#N/A</v>
      </c>
      <c r="F81" s="416" t="e">
        <f t="shared" si="101"/>
        <v>#N/A</v>
      </c>
      <c r="G81" s="409" t="e">
        <f t="shared" ca="1" si="95"/>
        <v>#N/A</v>
      </c>
      <c r="H81" s="409" t="e">
        <f t="shared" ca="1" si="95"/>
        <v>#N/A</v>
      </c>
      <c r="I81" s="409" t="e">
        <f t="shared" ca="1" si="95"/>
        <v>#N/A</v>
      </c>
      <c r="J81" s="409" t="e">
        <f t="shared" ca="1" si="95"/>
        <v>#N/A</v>
      </c>
      <c r="K81" s="409" t="e">
        <f t="shared" ca="1" si="95"/>
        <v>#N/A</v>
      </c>
      <c r="L81" s="409" t="e">
        <f t="shared" ca="1" si="95"/>
        <v>#N/A</v>
      </c>
      <c r="M81" s="409" t="e">
        <f t="shared" ca="1" si="95"/>
        <v>#N/A</v>
      </c>
      <c r="N81" s="409" t="e">
        <f t="shared" ca="1" si="95"/>
        <v>#N/A</v>
      </c>
      <c r="O81" s="409" t="e">
        <f t="shared" ca="1" si="95"/>
        <v>#N/A</v>
      </c>
      <c r="P81" s="409" t="e">
        <f t="shared" ca="1" si="95"/>
        <v>#N/A</v>
      </c>
      <c r="Q81" s="409" t="e">
        <f t="shared" ca="1" si="95"/>
        <v>#N/A</v>
      </c>
      <c r="R81" s="409" t="e">
        <f t="shared" ca="1" si="95"/>
        <v>#N/A</v>
      </c>
      <c r="S81" s="409" t="e">
        <f t="shared" ca="1" si="95"/>
        <v>#N/A</v>
      </c>
      <c r="T81" s="409" t="e">
        <f t="shared" ca="1" si="95"/>
        <v>#N/A</v>
      </c>
      <c r="U81" s="409" t="e">
        <f t="shared" ca="1" si="95"/>
        <v>#N/A</v>
      </c>
      <c r="V81" s="409" t="e">
        <f t="shared" ca="1" si="95"/>
        <v>#N/A</v>
      </c>
      <c r="BS81" s="416" t="s">
        <v>9</v>
      </c>
      <c r="BT81" s="184" t="s">
        <v>835</v>
      </c>
      <c r="CA81"/>
      <c r="CB81" s="1480" t="str">
        <f>IF(Language="English", 'Language Look Ups'!$O$8,IF(Language="Francais", 'Language Look Ups'!$S$8, 'Language Look Ups'!$Q$8))</f>
        <v>DIU</v>
      </c>
      <c r="CC81" s="363" t="str">
        <f>IF(Language="English", 'Language Look Ups'!$P$8,IF(Language="Francais", 'Language Look Ups'!$T$8, 'Language Look Ups'!$R$8))</f>
        <v>Copper- T 380-A DIU</v>
      </c>
      <c r="CD81" s="409" t="e">
        <f t="shared" ca="1" si="96"/>
        <v>#N/A</v>
      </c>
      <c r="CE81" s="409" t="e">
        <f t="shared" ca="1" si="96"/>
        <v>#N/A</v>
      </c>
      <c r="CF81" s="409" t="e">
        <f t="shared" ca="1" si="96"/>
        <v>#N/A</v>
      </c>
      <c r="CG81" s="409" t="e">
        <f t="shared" ca="1" si="96"/>
        <v>#N/A</v>
      </c>
      <c r="CH81" s="409" t="e">
        <f t="shared" ca="1" si="96"/>
        <v>#N/A</v>
      </c>
      <c r="CI81" s="409" t="e">
        <f t="shared" ca="1" si="96"/>
        <v>#N/A</v>
      </c>
      <c r="CJ81" s="409" t="e">
        <f t="shared" ca="1" si="96"/>
        <v>#N/A</v>
      </c>
      <c r="CK81" s="409" t="e">
        <f t="shared" ca="1" si="96"/>
        <v>#N/A</v>
      </c>
      <c r="CL81" s="409" t="e">
        <f t="shared" ca="1" si="96"/>
        <v>#N/A</v>
      </c>
      <c r="CM81" s="409" t="e">
        <f t="shared" ca="1" si="96"/>
        <v>#N/A</v>
      </c>
      <c r="CN81" s="409" t="e">
        <f t="shared" ca="1" si="97"/>
        <v>#N/A</v>
      </c>
      <c r="CO81" s="409" t="e">
        <f t="shared" ca="1" si="97"/>
        <v>#N/A</v>
      </c>
      <c r="CP81" s="409" t="e">
        <f t="shared" ca="1" si="97"/>
        <v>#N/A</v>
      </c>
      <c r="CQ81" s="409" t="e">
        <f t="shared" ca="1" si="97"/>
        <v>#N/A</v>
      </c>
      <c r="CR81" s="409" t="e">
        <f t="shared" ca="1" si="97"/>
        <v>#N/A</v>
      </c>
      <c r="CS81" s="409" t="e">
        <f t="shared" ca="1" si="97"/>
        <v>#N/A</v>
      </c>
      <c r="CT81" s="409" t="e">
        <f t="shared" si="97"/>
        <v>#N/A</v>
      </c>
      <c r="DB81" s="409" t="e">
        <f t="shared" si="98"/>
        <v>#N/A</v>
      </c>
      <c r="DC81" s="409" t="e">
        <f t="shared" si="98"/>
        <v>#N/A</v>
      </c>
      <c r="DD81" s="409" t="e">
        <f t="shared" si="98"/>
        <v>#N/A</v>
      </c>
      <c r="DE81" s="409" t="e">
        <f t="shared" si="98"/>
        <v>#N/A</v>
      </c>
    </row>
    <row r="82" spans="2:109" ht="17.25" hidden="1" customHeight="1" outlineLevel="1" x14ac:dyDescent="0.25">
      <c r="B82" s="1481"/>
      <c r="C82" s="275" t="str">
        <f>IF(Language="English", 'Language Look Ups'!$P$9,IF(Language="Francais", 'Language Look Ups'!$T$9, 'Language Look Ups'!$R$9))</f>
        <v>DIU Hormonal (LNG-IUS)</v>
      </c>
      <c r="D82" s="276" t="e">
        <f t="shared" si="99"/>
        <v>#N/A</v>
      </c>
      <c r="E82" s="99" t="e">
        <f t="shared" ref="E82:F82" si="102">E30</f>
        <v>#N/A</v>
      </c>
      <c r="F82" s="100" t="e">
        <f t="shared" si="102"/>
        <v>#N/A</v>
      </c>
      <c r="G82" s="284" t="e">
        <f t="shared" ca="1" si="95"/>
        <v>#N/A</v>
      </c>
      <c r="H82" s="284" t="e">
        <f t="shared" ca="1" si="95"/>
        <v>#N/A</v>
      </c>
      <c r="I82" s="284" t="e">
        <f t="shared" ca="1" si="95"/>
        <v>#N/A</v>
      </c>
      <c r="J82" s="284" t="e">
        <f t="shared" ca="1" si="95"/>
        <v>#N/A</v>
      </c>
      <c r="K82" s="284" t="e">
        <f t="shared" ca="1" si="95"/>
        <v>#N/A</v>
      </c>
      <c r="L82" s="284" t="e">
        <f t="shared" ca="1" si="95"/>
        <v>#N/A</v>
      </c>
      <c r="M82" s="284" t="e">
        <f t="shared" ca="1" si="95"/>
        <v>#N/A</v>
      </c>
      <c r="N82" s="284" t="e">
        <f t="shared" ca="1" si="95"/>
        <v>#N/A</v>
      </c>
      <c r="O82" s="284" t="e">
        <f t="shared" ca="1" si="95"/>
        <v>#N/A</v>
      </c>
      <c r="P82" s="284" t="e">
        <f t="shared" ca="1" si="95"/>
        <v>#N/A</v>
      </c>
      <c r="Q82" s="284" t="e">
        <f t="shared" ca="1" si="95"/>
        <v>#N/A</v>
      </c>
      <c r="R82" s="284" t="e">
        <f t="shared" ca="1" si="95"/>
        <v>#N/A</v>
      </c>
      <c r="S82" s="284" t="e">
        <f t="shared" ca="1" si="95"/>
        <v>#N/A</v>
      </c>
      <c r="T82" s="284" t="e">
        <f t="shared" ca="1" si="95"/>
        <v>#N/A</v>
      </c>
      <c r="U82" s="284" t="e">
        <f t="shared" ca="1" si="95"/>
        <v>#N/A</v>
      </c>
      <c r="V82" s="284" t="e">
        <f t="shared" ca="1" si="95"/>
        <v>#N/A</v>
      </c>
      <c r="BS82" s="100" t="s">
        <v>9</v>
      </c>
      <c r="BT82" s="184" t="s">
        <v>835</v>
      </c>
      <c r="CA82"/>
      <c r="CB82" s="1481"/>
      <c r="CC82" s="275" t="str">
        <f>IF(Language="English", 'Language Look Ups'!$P$9,IF(Language="Francais", 'Language Look Ups'!$T$9, 'Language Look Ups'!$R$9))</f>
        <v>DIU Hormonal (LNG-IUS)</v>
      </c>
      <c r="CD82" s="284" t="e">
        <f t="shared" ca="1" si="96"/>
        <v>#N/A</v>
      </c>
      <c r="CE82" s="284" t="e">
        <f t="shared" ca="1" si="96"/>
        <v>#N/A</v>
      </c>
      <c r="CF82" s="284" t="e">
        <f t="shared" ca="1" si="96"/>
        <v>#N/A</v>
      </c>
      <c r="CG82" s="284" t="e">
        <f t="shared" ca="1" si="96"/>
        <v>#N/A</v>
      </c>
      <c r="CH82" s="284" t="e">
        <f t="shared" ca="1" si="96"/>
        <v>#N/A</v>
      </c>
      <c r="CI82" s="284" t="e">
        <f t="shared" ca="1" si="96"/>
        <v>#N/A</v>
      </c>
      <c r="CJ82" s="284" t="e">
        <f t="shared" ca="1" si="96"/>
        <v>#N/A</v>
      </c>
      <c r="CK82" s="284" t="e">
        <f t="shared" ca="1" si="96"/>
        <v>#N/A</v>
      </c>
      <c r="CL82" s="284" t="e">
        <f t="shared" ca="1" si="96"/>
        <v>#N/A</v>
      </c>
      <c r="CM82" s="284" t="e">
        <f t="shared" ca="1" si="96"/>
        <v>#N/A</v>
      </c>
      <c r="CN82" s="284" t="e">
        <f t="shared" ca="1" si="97"/>
        <v>#N/A</v>
      </c>
      <c r="CO82" s="284" t="e">
        <f t="shared" ca="1" si="97"/>
        <v>#N/A</v>
      </c>
      <c r="CP82" s="284" t="e">
        <f t="shared" ca="1" si="97"/>
        <v>#N/A</v>
      </c>
      <c r="CQ82" s="284" t="e">
        <f t="shared" ca="1" si="97"/>
        <v>#N/A</v>
      </c>
      <c r="CR82" s="284" t="e">
        <f t="shared" ca="1" si="97"/>
        <v>#N/A</v>
      </c>
      <c r="CS82" s="284" t="e">
        <f t="shared" ca="1" si="97"/>
        <v>#N/A</v>
      </c>
      <c r="CT82" s="284" t="e">
        <f t="shared" si="97"/>
        <v>#N/A</v>
      </c>
      <c r="DB82" s="284" t="e">
        <f t="shared" si="98"/>
        <v>#N/A</v>
      </c>
      <c r="DC82" s="284" t="e">
        <f t="shared" si="98"/>
        <v>#N/A</v>
      </c>
      <c r="DD82" s="284" t="e">
        <f t="shared" si="98"/>
        <v>#N/A</v>
      </c>
      <c r="DE82" s="284" t="e">
        <f t="shared" si="98"/>
        <v>#N/A</v>
      </c>
    </row>
    <row r="83" spans="2:109" ht="17.25" hidden="1" customHeight="1" outlineLevel="1" x14ac:dyDescent="0.25">
      <c r="B83" s="1480" t="str">
        <f>IF(Language="English", 'Language Look Ups'!$O$10,IF(Language="Francais", 'Language Look Ups'!$S$10, 'Language Look Ups'!$Q$10))</f>
        <v>Implant</v>
      </c>
      <c r="C83" s="363" t="str">
        <f>IF(Language="English", 'Language Look Ups'!$P$10,IF(Language="Francais", 'Language Look Ups'!$T$10, 'Language Look Ups'!$R$10))</f>
        <v>Implant de 3 ans (Implanon, Levoplant)</v>
      </c>
      <c r="D83" s="407" t="e">
        <f t="shared" si="99"/>
        <v>#N/A</v>
      </c>
      <c r="E83" s="408" t="e">
        <f t="shared" ref="E83:F83" si="103">E31</f>
        <v>#N/A</v>
      </c>
      <c r="F83" s="416" t="e">
        <f t="shared" si="103"/>
        <v>#N/A</v>
      </c>
      <c r="G83" s="409" t="e">
        <f t="shared" ca="1" si="95"/>
        <v>#N/A</v>
      </c>
      <c r="H83" s="409" t="e">
        <f t="shared" ca="1" si="95"/>
        <v>#N/A</v>
      </c>
      <c r="I83" s="409" t="e">
        <f t="shared" ca="1" si="95"/>
        <v>#N/A</v>
      </c>
      <c r="J83" s="409" t="e">
        <f t="shared" ca="1" si="95"/>
        <v>#N/A</v>
      </c>
      <c r="K83" s="409" t="e">
        <f t="shared" ca="1" si="95"/>
        <v>#N/A</v>
      </c>
      <c r="L83" s="409" t="e">
        <f t="shared" ca="1" si="95"/>
        <v>#N/A</v>
      </c>
      <c r="M83" s="409" t="e">
        <f t="shared" ca="1" si="95"/>
        <v>#N/A</v>
      </c>
      <c r="N83" s="409" t="e">
        <f t="shared" ca="1" si="95"/>
        <v>#N/A</v>
      </c>
      <c r="O83" s="409" t="e">
        <f t="shared" ca="1" si="95"/>
        <v>#N/A</v>
      </c>
      <c r="P83" s="409" t="e">
        <f t="shared" ca="1" si="95"/>
        <v>#N/A</v>
      </c>
      <c r="Q83" s="409" t="e">
        <f t="shared" ca="1" si="95"/>
        <v>#N/A</v>
      </c>
      <c r="R83" s="409" t="e">
        <f t="shared" ca="1" si="95"/>
        <v>#N/A</v>
      </c>
      <c r="S83" s="409" t="e">
        <f t="shared" ca="1" si="95"/>
        <v>#N/A</v>
      </c>
      <c r="T83" s="409" t="e">
        <f t="shared" ca="1" si="95"/>
        <v>#N/A</v>
      </c>
      <c r="U83" s="409" t="e">
        <f t="shared" ca="1" si="95"/>
        <v>#N/A</v>
      </c>
      <c r="V83" s="409" t="e">
        <f t="shared" ca="1" si="95"/>
        <v>#N/A</v>
      </c>
      <c r="BS83" s="416" t="s">
        <v>9</v>
      </c>
      <c r="BT83" s="184" t="s">
        <v>835</v>
      </c>
      <c r="CA83"/>
      <c r="CB83" s="1480" t="str">
        <f>IF(Language="English", 'Language Look Ups'!$O$10,IF(Language="Francais", 'Language Look Ups'!$S$10, 'Language Look Ups'!$Q$10))</f>
        <v>Implant</v>
      </c>
      <c r="CC83" s="363" t="str">
        <f>IF(Language="English", 'Language Look Ups'!$P$10,IF(Language="Francais", 'Language Look Ups'!$T$10, 'Language Look Ups'!$R$10))</f>
        <v>Implant de 3 ans (Implanon, Levoplant)</v>
      </c>
      <c r="CD83" s="409" t="e">
        <f t="shared" ca="1" si="96"/>
        <v>#N/A</v>
      </c>
      <c r="CE83" s="409" t="e">
        <f t="shared" ca="1" si="96"/>
        <v>#N/A</v>
      </c>
      <c r="CF83" s="409" t="e">
        <f t="shared" ca="1" si="96"/>
        <v>#N/A</v>
      </c>
      <c r="CG83" s="409" t="e">
        <f t="shared" ca="1" si="96"/>
        <v>#N/A</v>
      </c>
      <c r="CH83" s="409" t="e">
        <f t="shared" ca="1" si="96"/>
        <v>#N/A</v>
      </c>
      <c r="CI83" s="409" t="e">
        <f t="shared" ca="1" si="96"/>
        <v>#N/A</v>
      </c>
      <c r="CJ83" s="409" t="e">
        <f t="shared" ca="1" si="96"/>
        <v>#N/A</v>
      </c>
      <c r="CK83" s="409" t="e">
        <f t="shared" ca="1" si="96"/>
        <v>#N/A</v>
      </c>
      <c r="CL83" s="409" t="e">
        <f t="shared" ca="1" si="96"/>
        <v>#N/A</v>
      </c>
      <c r="CM83" s="409" t="e">
        <f t="shared" ca="1" si="96"/>
        <v>#N/A</v>
      </c>
      <c r="CN83" s="409" t="e">
        <f t="shared" ca="1" si="97"/>
        <v>#N/A</v>
      </c>
      <c r="CO83" s="409" t="e">
        <f t="shared" ca="1" si="97"/>
        <v>#N/A</v>
      </c>
      <c r="CP83" s="409" t="e">
        <f t="shared" ca="1" si="97"/>
        <v>#N/A</v>
      </c>
      <c r="CQ83" s="409" t="e">
        <f t="shared" ca="1" si="97"/>
        <v>#N/A</v>
      </c>
      <c r="CR83" s="409" t="e">
        <f t="shared" ca="1" si="97"/>
        <v>#N/A</v>
      </c>
      <c r="CS83" s="409" t="e">
        <f t="shared" ca="1" si="97"/>
        <v>#N/A</v>
      </c>
      <c r="CT83" s="409" t="e">
        <f t="shared" si="97"/>
        <v>#N/A</v>
      </c>
      <c r="DB83" s="409" t="e">
        <f t="shared" si="98"/>
        <v>#N/A</v>
      </c>
      <c r="DC83" s="409" t="e">
        <f t="shared" si="98"/>
        <v>#N/A</v>
      </c>
      <c r="DD83" s="409" t="e">
        <f t="shared" si="98"/>
        <v>#N/A</v>
      </c>
      <c r="DE83" s="409" t="e">
        <f t="shared" si="98"/>
        <v>#N/A</v>
      </c>
    </row>
    <row r="84" spans="2:109" ht="17.25" hidden="1" customHeight="1" outlineLevel="1" x14ac:dyDescent="0.25">
      <c r="B84" s="1482"/>
      <c r="C84" s="277" t="str">
        <f>IF(Language="English", 'Language Look Ups'!$P$11,IF(Language="Francais", 'Language Look Ups'!$T$11, 'Language Look Ups'!$R$11))</f>
        <v>Implant de 4 ans (Sino-Implant)</v>
      </c>
      <c r="D84" s="278" t="e">
        <f t="shared" si="99"/>
        <v>#N/A</v>
      </c>
      <c r="E84" s="101" t="e">
        <f t="shared" ref="E84:F84" si="104">E32</f>
        <v>#N/A</v>
      </c>
      <c r="F84" s="102" t="e">
        <f t="shared" si="104"/>
        <v>#N/A</v>
      </c>
      <c r="G84" s="282" t="e">
        <f t="shared" ca="1" si="95"/>
        <v>#N/A</v>
      </c>
      <c r="H84" s="282" t="e">
        <f t="shared" ca="1" si="95"/>
        <v>#N/A</v>
      </c>
      <c r="I84" s="282" t="e">
        <f t="shared" ca="1" si="95"/>
        <v>#N/A</v>
      </c>
      <c r="J84" s="282" t="e">
        <f t="shared" ca="1" si="95"/>
        <v>#N/A</v>
      </c>
      <c r="K84" s="282" t="e">
        <f t="shared" ca="1" si="95"/>
        <v>#N/A</v>
      </c>
      <c r="L84" s="282" t="e">
        <f t="shared" ca="1" si="95"/>
        <v>#N/A</v>
      </c>
      <c r="M84" s="282" t="e">
        <f t="shared" ca="1" si="95"/>
        <v>#N/A</v>
      </c>
      <c r="N84" s="282" t="e">
        <f t="shared" ca="1" si="95"/>
        <v>#N/A</v>
      </c>
      <c r="O84" s="282" t="e">
        <f t="shared" ca="1" si="95"/>
        <v>#N/A</v>
      </c>
      <c r="P84" s="282" t="e">
        <f t="shared" ca="1" si="95"/>
        <v>#N/A</v>
      </c>
      <c r="Q84" s="282" t="e">
        <f t="shared" ca="1" si="95"/>
        <v>#N/A</v>
      </c>
      <c r="R84" s="282" t="e">
        <f t="shared" ca="1" si="95"/>
        <v>#N/A</v>
      </c>
      <c r="S84" s="282" t="e">
        <f t="shared" ca="1" si="95"/>
        <v>#N/A</v>
      </c>
      <c r="T84" s="282" t="e">
        <f t="shared" ca="1" si="95"/>
        <v>#N/A</v>
      </c>
      <c r="U84" s="282" t="e">
        <f t="shared" ca="1" si="95"/>
        <v>#N/A</v>
      </c>
      <c r="V84" s="282" t="e">
        <f t="shared" ca="1" si="95"/>
        <v>#N/A</v>
      </c>
      <c r="BS84" s="102" t="s">
        <v>9</v>
      </c>
      <c r="BT84" s="184" t="s">
        <v>835</v>
      </c>
      <c r="CA84"/>
      <c r="CB84" s="1482"/>
      <c r="CC84" s="277" t="str">
        <f>IF(Language="English", 'Language Look Ups'!$P$11,IF(Language="Francais", 'Language Look Ups'!$T$11, 'Language Look Ups'!$R$11))</f>
        <v>Implant de 4 ans (Sino-Implant)</v>
      </c>
      <c r="CD84" s="282" t="e">
        <f t="shared" ca="1" si="96"/>
        <v>#N/A</v>
      </c>
      <c r="CE84" s="282" t="e">
        <f t="shared" ca="1" si="96"/>
        <v>#N/A</v>
      </c>
      <c r="CF84" s="282" t="e">
        <f t="shared" ca="1" si="96"/>
        <v>#N/A</v>
      </c>
      <c r="CG84" s="282" t="e">
        <f t="shared" ca="1" si="96"/>
        <v>#N/A</v>
      </c>
      <c r="CH84" s="282" t="e">
        <f t="shared" ca="1" si="96"/>
        <v>#N/A</v>
      </c>
      <c r="CI84" s="282" t="e">
        <f t="shared" ca="1" si="96"/>
        <v>#N/A</v>
      </c>
      <c r="CJ84" s="282" t="e">
        <f t="shared" ca="1" si="96"/>
        <v>#N/A</v>
      </c>
      <c r="CK84" s="282" t="e">
        <f t="shared" ca="1" si="96"/>
        <v>#N/A</v>
      </c>
      <c r="CL84" s="282" t="e">
        <f t="shared" ca="1" si="96"/>
        <v>#N/A</v>
      </c>
      <c r="CM84" s="282" t="e">
        <f t="shared" ca="1" si="96"/>
        <v>#N/A</v>
      </c>
      <c r="CN84" s="282" t="e">
        <f t="shared" ca="1" si="97"/>
        <v>#N/A</v>
      </c>
      <c r="CO84" s="282" t="e">
        <f t="shared" ca="1" si="97"/>
        <v>#N/A</v>
      </c>
      <c r="CP84" s="282" t="e">
        <f t="shared" ca="1" si="97"/>
        <v>#N/A</v>
      </c>
      <c r="CQ84" s="282" t="e">
        <f t="shared" ca="1" si="97"/>
        <v>#N/A</v>
      </c>
      <c r="CR84" s="282" t="e">
        <f t="shared" ca="1" si="97"/>
        <v>#N/A</v>
      </c>
      <c r="CS84" s="282" t="e">
        <f t="shared" ca="1" si="97"/>
        <v>#N/A</v>
      </c>
      <c r="CT84" s="282" t="e">
        <f t="shared" si="97"/>
        <v>#N/A</v>
      </c>
      <c r="DB84" s="282" t="e">
        <f t="shared" si="98"/>
        <v>#N/A</v>
      </c>
      <c r="DC84" s="282" t="e">
        <f t="shared" si="98"/>
        <v>#N/A</v>
      </c>
      <c r="DD84" s="282" t="e">
        <f t="shared" si="98"/>
        <v>#N/A</v>
      </c>
      <c r="DE84" s="282" t="e">
        <f t="shared" si="98"/>
        <v>#N/A</v>
      </c>
    </row>
    <row r="85" spans="2:109" ht="17.25" hidden="1" customHeight="1" outlineLevel="1" x14ac:dyDescent="0.25">
      <c r="B85" s="1481"/>
      <c r="C85" s="275" t="str">
        <f>IF(Language="English", 'Language Look Ups'!$P$12,IF(Language="Francais", 'Language Look Ups'!$T$12, 'Language Look Ups'!$R$12))</f>
        <v>Implant de 5 ans (Jadelle)</v>
      </c>
      <c r="D85" s="276" t="e">
        <f t="shared" si="99"/>
        <v>#N/A</v>
      </c>
      <c r="E85" s="99" t="e">
        <f t="shared" ref="E85:F85" si="105">E33</f>
        <v>#N/A</v>
      </c>
      <c r="F85" s="100" t="e">
        <f t="shared" si="105"/>
        <v>#N/A</v>
      </c>
      <c r="G85" s="284" t="e">
        <f t="shared" ca="1" si="95"/>
        <v>#N/A</v>
      </c>
      <c r="H85" s="284" t="e">
        <f t="shared" ca="1" si="95"/>
        <v>#N/A</v>
      </c>
      <c r="I85" s="284" t="e">
        <f t="shared" ca="1" si="95"/>
        <v>#N/A</v>
      </c>
      <c r="J85" s="284" t="e">
        <f t="shared" ca="1" si="95"/>
        <v>#N/A</v>
      </c>
      <c r="K85" s="284" t="e">
        <f t="shared" ca="1" si="95"/>
        <v>#N/A</v>
      </c>
      <c r="L85" s="284" t="e">
        <f t="shared" ca="1" si="95"/>
        <v>#N/A</v>
      </c>
      <c r="M85" s="284" t="e">
        <f t="shared" ca="1" si="95"/>
        <v>#N/A</v>
      </c>
      <c r="N85" s="284" t="e">
        <f t="shared" ca="1" si="95"/>
        <v>#N/A</v>
      </c>
      <c r="O85" s="284" t="e">
        <f t="shared" ca="1" si="95"/>
        <v>#N/A</v>
      </c>
      <c r="P85" s="284" t="e">
        <f t="shared" ca="1" si="95"/>
        <v>#N/A</v>
      </c>
      <c r="Q85" s="284" t="e">
        <f t="shared" ca="1" si="95"/>
        <v>#N/A</v>
      </c>
      <c r="R85" s="284" t="e">
        <f t="shared" ca="1" si="95"/>
        <v>#N/A</v>
      </c>
      <c r="S85" s="284" t="e">
        <f t="shared" ca="1" si="95"/>
        <v>#N/A</v>
      </c>
      <c r="T85" s="284" t="e">
        <f t="shared" ca="1" si="95"/>
        <v>#N/A</v>
      </c>
      <c r="U85" s="284" t="e">
        <f t="shared" ca="1" si="95"/>
        <v>#N/A</v>
      </c>
      <c r="V85" s="284" t="e">
        <f t="shared" ca="1" si="95"/>
        <v>#N/A</v>
      </c>
      <c r="BS85" s="100" t="s">
        <v>9</v>
      </c>
      <c r="BT85" s="184" t="s">
        <v>835</v>
      </c>
      <c r="CA85"/>
      <c r="CB85" s="1481"/>
      <c r="CC85" s="275" t="str">
        <f>IF(Language="English", 'Language Look Ups'!$P$12,IF(Language="Francais", 'Language Look Ups'!$T$12, 'Language Look Ups'!$R$12))</f>
        <v>Implant de 5 ans (Jadelle)</v>
      </c>
      <c r="CD85" s="284" t="e">
        <f t="shared" ca="1" si="96"/>
        <v>#N/A</v>
      </c>
      <c r="CE85" s="284" t="e">
        <f t="shared" ca="1" si="96"/>
        <v>#N/A</v>
      </c>
      <c r="CF85" s="284" t="e">
        <f t="shared" ca="1" si="96"/>
        <v>#N/A</v>
      </c>
      <c r="CG85" s="284" t="e">
        <f t="shared" ca="1" si="96"/>
        <v>#N/A</v>
      </c>
      <c r="CH85" s="284" t="e">
        <f t="shared" ca="1" si="96"/>
        <v>#N/A</v>
      </c>
      <c r="CI85" s="284" t="e">
        <f t="shared" ca="1" si="96"/>
        <v>#N/A</v>
      </c>
      <c r="CJ85" s="284" t="e">
        <f t="shared" ca="1" si="96"/>
        <v>#N/A</v>
      </c>
      <c r="CK85" s="284" t="e">
        <f t="shared" ca="1" si="96"/>
        <v>#N/A</v>
      </c>
      <c r="CL85" s="284" t="e">
        <f t="shared" ca="1" si="96"/>
        <v>#N/A</v>
      </c>
      <c r="CM85" s="284" t="e">
        <f t="shared" ca="1" si="96"/>
        <v>#N/A</v>
      </c>
      <c r="CN85" s="284" t="e">
        <f t="shared" ca="1" si="97"/>
        <v>#N/A</v>
      </c>
      <c r="CO85" s="284" t="e">
        <f t="shared" ca="1" si="97"/>
        <v>#N/A</v>
      </c>
      <c r="CP85" s="284" t="e">
        <f t="shared" ca="1" si="97"/>
        <v>#N/A</v>
      </c>
      <c r="CQ85" s="284" t="e">
        <f t="shared" ca="1" si="97"/>
        <v>#N/A</v>
      </c>
      <c r="CR85" s="284" t="e">
        <f t="shared" ca="1" si="97"/>
        <v>#N/A</v>
      </c>
      <c r="CS85" s="284" t="e">
        <f t="shared" ca="1" si="97"/>
        <v>#N/A</v>
      </c>
      <c r="CT85" s="284" t="e">
        <f t="shared" si="97"/>
        <v>#N/A</v>
      </c>
      <c r="DB85" s="284" t="e">
        <f t="shared" si="98"/>
        <v>#N/A</v>
      </c>
      <c r="DC85" s="284" t="e">
        <f t="shared" si="98"/>
        <v>#N/A</v>
      </c>
      <c r="DD85" s="284" t="e">
        <f t="shared" si="98"/>
        <v>#N/A</v>
      </c>
      <c r="DE85" s="284" t="e">
        <f t="shared" si="98"/>
        <v>#N/A</v>
      </c>
    </row>
    <row r="86" spans="2:109" ht="6" hidden="1" customHeight="1" outlineLevel="1" x14ac:dyDescent="0.25">
      <c r="B86" s="150"/>
      <c r="C86" s="279"/>
      <c r="G86" s="2"/>
      <c r="H86" s="2"/>
      <c r="I86" s="2"/>
      <c r="J86" s="2"/>
      <c r="K86" s="2"/>
      <c r="L86" s="2"/>
      <c r="M86" s="2"/>
      <c r="N86" s="2"/>
      <c r="O86" s="2"/>
      <c r="P86" s="2"/>
      <c r="Q86" s="2"/>
      <c r="R86" s="2"/>
      <c r="S86" s="2"/>
      <c r="T86" s="2"/>
      <c r="U86" s="2"/>
      <c r="V86" s="301"/>
      <c r="CA86"/>
      <c r="CB86" s="150"/>
      <c r="CC86" s="279"/>
      <c r="CD86" s="2"/>
      <c r="CE86" s="2"/>
      <c r="CF86" s="2"/>
      <c r="CG86" s="2"/>
      <c r="CH86" s="2"/>
      <c r="CI86" s="2"/>
      <c r="CJ86" s="2"/>
      <c r="CK86" s="2"/>
      <c r="CL86" s="2"/>
      <c r="CM86" s="2"/>
      <c r="CN86" s="2"/>
      <c r="CO86" s="2"/>
      <c r="CP86" s="2"/>
      <c r="CQ86" s="2"/>
      <c r="CR86" s="2"/>
      <c r="CS86" s="301"/>
      <c r="CT86" s="301"/>
      <c r="DB86" s="2"/>
      <c r="DC86" s="2"/>
      <c r="DD86" s="2"/>
      <c r="DE86" s="301"/>
    </row>
    <row r="87" spans="2:109" ht="21.75" hidden="1" customHeight="1" outlineLevel="1" x14ac:dyDescent="0.25">
      <c r="B87" s="364" t="str">
        <f>IF(Language="English", 'Language Look Ups'!$O$14,IF(Language="Francais", 'Language Look Ups'!$S$14, 'Language Look Ups'!$Q$14))</f>
        <v>Méthodes à Court Terme</v>
      </c>
      <c r="C87" s="104"/>
      <c r="D87" s="51"/>
      <c r="E87" s="50"/>
      <c r="F87" s="42"/>
      <c r="G87" s="299"/>
      <c r="H87" s="300"/>
      <c r="I87" s="299"/>
      <c r="J87" s="300"/>
      <c r="K87" s="299"/>
      <c r="L87" s="300"/>
      <c r="M87" s="299"/>
      <c r="N87" s="300"/>
      <c r="O87" s="299"/>
      <c r="P87" s="300"/>
      <c r="Q87" s="299"/>
      <c r="R87" s="300"/>
      <c r="S87" s="299"/>
      <c r="T87" s="300"/>
      <c r="U87" s="299"/>
      <c r="V87" s="414"/>
      <c r="CA87"/>
      <c r="CB87" s="364" t="str">
        <f>IF(Language="English", 'Language Look Ups'!$O$14,IF(Language="Francais", 'Language Look Ups'!$S$14, 'Language Look Ups'!$Q$14))</f>
        <v>Méthodes à Court Terme</v>
      </c>
      <c r="CC87" s="104"/>
      <c r="CD87" s="299"/>
      <c r="CE87" s="300"/>
      <c r="CF87" s="299"/>
      <c r="CG87" s="300"/>
      <c r="CH87" s="299"/>
      <c r="CI87" s="300"/>
      <c r="CJ87" s="299"/>
      <c r="CK87" s="300"/>
      <c r="CL87" s="299"/>
      <c r="CM87" s="300"/>
      <c r="CN87" s="299"/>
      <c r="CO87" s="300"/>
      <c r="CP87" s="299"/>
      <c r="CQ87" s="300"/>
      <c r="CR87" s="299"/>
      <c r="CS87" s="414"/>
      <c r="CT87" s="414"/>
      <c r="DB87" s="299"/>
      <c r="DC87" s="300"/>
      <c r="DD87" s="299"/>
      <c r="DE87" s="414"/>
    </row>
    <row r="88" spans="2:109" ht="17.25" hidden="1" customHeight="1" outlineLevel="1" x14ac:dyDescent="0.25">
      <c r="B88" s="1491" t="str">
        <f>IF(Language="English", 'Language Look Ups'!$O$15,IF(Language="Francais", 'Language Look Ups'!$S$15, 'Language Look Ups'!Q$15))</f>
        <v>Produits injectables</v>
      </c>
      <c r="C88" s="363" t="str">
        <f>IF(Language="English", 'Language Look Ups'!$P$15,IF(Language="Francais", 'Language Look Ups'!$T$15, 'Language Look Ups'!$R$15))</f>
        <v>Depo Provera (DMPA)</v>
      </c>
      <c r="D88" s="407" t="e">
        <f t="shared" ref="D88:D102" si="106">D36</f>
        <v>#N/A</v>
      </c>
      <c r="E88" s="408" t="e">
        <f t="shared" ref="E88:F88" si="107">E36</f>
        <v>#N/A</v>
      </c>
      <c r="F88" s="416" t="e">
        <f t="shared" si="107"/>
        <v>#N/A</v>
      </c>
      <c r="G88" s="409" t="e">
        <f t="shared" ref="G88:V102" ca="1" si="108">VLOOKUP($C88, INDIRECT("'"&amp;$BP$6&amp;"$C$23:$V$46"), MATCH(G$77, INDIRECT("'"&amp;$BP$6&amp;"$C$21:$V$21"), 0), FALSE)</f>
        <v>#N/A</v>
      </c>
      <c r="H88" s="409" t="e">
        <f t="shared" ca="1" si="108"/>
        <v>#N/A</v>
      </c>
      <c r="I88" s="409" t="e">
        <f t="shared" ca="1" si="108"/>
        <v>#N/A</v>
      </c>
      <c r="J88" s="409" t="e">
        <f t="shared" ca="1" si="108"/>
        <v>#N/A</v>
      </c>
      <c r="K88" s="409" t="e">
        <f t="shared" ca="1" si="108"/>
        <v>#N/A</v>
      </c>
      <c r="L88" s="409" t="e">
        <f t="shared" ca="1" si="108"/>
        <v>#N/A</v>
      </c>
      <c r="M88" s="409" t="e">
        <f t="shared" ca="1" si="108"/>
        <v>#N/A</v>
      </c>
      <c r="N88" s="409" t="e">
        <f t="shared" ca="1" si="108"/>
        <v>#N/A</v>
      </c>
      <c r="O88" s="409" t="e">
        <f t="shared" ca="1" si="108"/>
        <v>#N/A</v>
      </c>
      <c r="P88" s="409" t="e">
        <f t="shared" ca="1" si="108"/>
        <v>#N/A</v>
      </c>
      <c r="Q88" s="409" t="e">
        <f t="shared" ca="1" si="108"/>
        <v>#N/A</v>
      </c>
      <c r="R88" s="409" t="e">
        <f t="shared" ca="1" si="108"/>
        <v>#N/A</v>
      </c>
      <c r="S88" s="409" t="e">
        <f t="shared" ca="1" si="108"/>
        <v>#N/A</v>
      </c>
      <c r="T88" s="409" t="e">
        <f t="shared" ca="1" si="108"/>
        <v>#N/A</v>
      </c>
      <c r="U88" s="409" t="e">
        <f t="shared" ca="1" si="108"/>
        <v>#N/A</v>
      </c>
      <c r="V88" s="409" t="e">
        <f t="shared" ca="1" si="108"/>
        <v>#N/A</v>
      </c>
      <c r="BS88" s="416" t="s">
        <v>83</v>
      </c>
      <c r="BT88" s="184" t="s">
        <v>836</v>
      </c>
      <c r="CA88"/>
      <c r="CB88" s="1491" t="str">
        <f>IF(Language="English", 'Language Look Ups'!$O$15,IF(Language="Francais", 'Language Look Ups'!$S$15, 'Language Look Ups'!CE$15))</f>
        <v>Produits injectables</v>
      </c>
      <c r="CC88" s="363" t="str">
        <f>IF(Language="English", 'Language Look Ups'!$P$15,IF(Language="Francais", 'Language Look Ups'!$T$15, 'Language Look Ups'!$R$15))</f>
        <v>Depo Provera (DMPA)</v>
      </c>
      <c r="CD88" s="409" t="e">
        <f t="shared" ref="CD88:CD102" ca="1" si="109">G88*$E88</f>
        <v>#N/A</v>
      </c>
      <c r="CE88" s="409" t="e">
        <f t="shared" ref="CE88:CE102" ca="1" si="110">H88*$E88</f>
        <v>#N/A</v>
      </c>
      <c r="CF88" s="409" t="e">
        <f t="shared" ref="CF88:CF102" ca="1" si="111">I88*$E88</f>
        <v>#N/A</v>
      </c>
      <c r="CG88" s="409" t="e">
        <f t="shared" ref="CG88:CG102" ca="1" si="112">J88*$E88</f>
        <v>#N/A</v>
      </c>
      <c r="CH88" s="409" t="e">
        <f t="shared" ref="CH88:CH102" ca="1" si="113">K88*$E88</f>
        <v>#N/A</v>
      </c>
      <c r="CI88" s="409" t="e">
        <f t="shared" ref="CI88:CI102" ca="1" si="114">L88*$E88</f>
        <v>#N/A</v>
      </c>
      <c r="CJ88" s="409" t="e">
        <f t="shared" ref="CJ88:CJ102" ca="1" si="115">M88*$E88</f>
        <v>#N/A</v>
      </c>
      <c r="CK88" s="409" t="e">
        <f t="shared" ref="CK88:CK102" ca="1" si="116">N88*$E88</f>
        <v>#N/A</v>
      </c>
      <c r="CL88" s="409" t="e">
        <f t="shared" ref="CL88:CL102" ca="1" si="117">O88*$E88</f>
        <v>#N/A</v>
      </c>
      <c r="CM88" s="409" t="e">
        <f t="shared" ref="CM88:CM102" ca="1" si="118">P88*$E88</f>
        <v>#N/A</v>
      </c>
      <c r="CN88" s="409" t="e">
        <f t="shared" ref="CN88:CN102" ca="1" si="119">Q88*$E88</f>
        <v>#N/A</v>
      </c>
      <c r="CO88" s="409" t="e">
        <f t="shared" ref="CO88:CO102" ca="1" si="120">R88*$E88</f>
        <v>#N/A</v>
      </c>
      <c r="CP88" s="409" t="e">
        <f t="shared" ref="CP88:CP102" ca="1" si="121">S88*$E88</f>
        <v>#N/A</v>
      </c>
      <c r="CQ88" s="409" t="e">
        <f t="shared" ref="CQ88:CQ102" ca="1" si="122">T88*$E88</f>
        <v>#N/A</v>
      </c>
      <c r="CR88" s="409" t="e">
        <f t="shared" ref="CR88:CR102" ca="1" si="123">U88*$E88</f>
        <v>#N/A</v>
      </c>
      <c r="CS88" s="409" t="e">
        <f t="shared" ref="CS88:CS102" ca="1" si="124">V88*$E88</f>
        <v>#N/A</v>
      </c>
      <c r="CT88" s="409" t="e">
        <f t="shared" ref="CT88:CT102" si="125">W88*$E88</f>
        <v>#N/A</v>
      </c>
      <c r="DB88" s="409" t="e">
        <f t="shared" ref="DB88:DB102" si="126">AE88*$E88</f>
        <v>#N/A</v>
      </c>
      <c r="DC88" s="409" t="e">
        <f t="shared" ref="DC88:DC102" si="127">AF88*$E88</f>
        <v>#N/A</v>
      </c>
      <c r="DD88" s="409" t="e">
        <f t="shared" ref="DD88:DD102" si="128">AG88*$E88</f>
        <v>#N/A</v>
      </c>
      <c r="DE88" s="409" t="e">
        <f t="shared" ref="DE88:DE102" si="129">AH88*$E88</f>
        <v>#N/A</v>
      </c>
    </row>
    <row r="89" spans="2:109" ht="17.25" hidden="1" customHeight="1" outlineLevel="1" x14ac:dyDescent="0.25">
      <c r="B89" s="1492"/>
      <c r="C89" s="277" t="str">
        <f>IF(Language="English", 'Language Look Ups'!$P$16,IF(Language="Francais", 'Language Look Ups'!$T$16, 'Language Look Ups'!$R$16))</f>
        <v>Noristerat (NET-En)</v>
      </c>
      <c r="D89" s="278" t="e">
        <f t="shared" si="106"/>
        <v>#N/A</v>
      </c>
      <c r="E89" s="101" t="e">
        <f t="shared" ref="E89:F89" si="130">E37</f>
        <v>#N/A</v>
      </c>
      <c r="F89" s="102" t="e">
        <f t="shared" si="130"/>
        <v>#N/A</v>
      </c>
      <c r="G89" s="282" t="e">
        <f t="shared" ca="1" si="108"/>
        <v>#N/A</v>
      </c>
      <c r="H89" s="282" t="e">
        <f t="shared" ca="1" si="108"/>
        <v>#N/A</v>
      </c>
      <c r="I89" s="282" t="e">
        <f t="shared" ca="1" si="108"/>
        <v>#N/A</v>
      </c>
      <c r="J89" s="282" t="e">
        <f t="shared" ca="1" si="108"/>
        <v>#N/A</v>
      </c>
      <c r="K89" s="282" t="e">
        <f t="shared" ca="1" si="108"/>
        <v>#N/A</v>
      </c>
      <c r="L89" s="282" t="e">
        <f t="shared" ca="1" si="108"/>
        <v>#N/A</v>
      </c>
      <c r="M89" s="282" t="e">
        <f t="shared" ca="1" si="108"/>
        <v>#N/A</v>
      </c>
      <c r="N89" s="282" t="e">
        <f t="shared" ca="1" si="108"/>
        <v>#N/A</v>
      </c>
      <c r="O89" s="282" t="e">
        <f t="shared" ca="1" si="108"/>
        <v>#N/A</v>
      </c>
      <c r="P89" s="282" t="e">
        <f t="shared" ca="1" si="108"/>
        <v>#N/A</v>
      </c>
      <c r="Q89" s="282" t="e">
        <f t="shared" ca="1" si="108"/>
        <v>#N/A</v>
      </c>
      <c r="R89" s="282" t="e">
        <f t="shared" ca="1" si="108"/>
        <v>#N/A</v>
      </c>
      <c r="S89" s="282" t="e">
        <f t="shared" ca="1" si="108"/>
        <v>#N/A</v>
      </c>
      <c r="T89" s="282" t="e">
        <f t="shared" ca="1" si="108"/>
        <v>#N/A</v>
      </c>
      <c r="U89" s="282" t="e">
        <f t="shared" ca="1" si="108"/>
        <v>#N/A</v>
      </c>
      <c r="V89" s="282" t="e">
        <f t="shared" ca="1" si="108"/>
        <v>#N/A</v>
      </c>
      <c r="BS89" s="102" t="s">
        <v>83</v>
      </c>
      <c r="BT89" s="184" t="s">
        <v>836</v>
      </c>
      <c r="CA89"/>
      <c r="CB89" s="1492"/>
      <c r="CC89" s="277" t="str">
        <f>IF(Language="English", 'Language Look Ups'!$P$16,IF(Language="Francais", 'Language Look Ups'!$T$16, 'Language Look Ups'!$R$16))</f>
        <v>Noristerat (NET-En)</v>
      </c>
      <c r="CD89" s="409" t="e">
        <f t="shared" ca="1" si="109"/>
        <v>#N/A</v>
      </c>
      <c r="CE89" s="409" t="e">
        <f t="shared" ca="1" si="110"/>
        <v>#N/A</v>
      </c>
      <c r="CF89" s="409" t="e">
        <f t="shared" ca="1" si="111"/>
        <v>#N/A</v>
      </c>
      <c r="CG89" s="409" t="e">
        <f t="shared" ca="1" si="112"/>
        <v>#N/A</v>
      </c>
      <c r="CH89" s="409" t="e">
        <f t="shared" ca="1" si="113"/>
        <v>#N/A</v>
      </c>
      <c r="CI89" s="409" t="e">
        <f t="shared" ca="1" si="114"/>
        <v>#N/A</v>
      </c>
      <c r="CJ89" s="409" t="e">
        <f t="shared" ca="1" si="115"/>
        <v>#N/A</v>
      </c>
      <c r="CK89" s="409" t="e">
        <f t="shared" ca="1" si="116"/>
        <v>#N/A</v>
      </c>
      <c r="CL89" s="409" t="e">
        <f t="shared" ca="1" si="117"/>
        <v>#N/A</v>
      </c>
      <c r="CM89" s="409" t="e">
        <f t="shared" ca="1" si="118"/>
        <v>#N/A</v>
      </c>
      <c r="CN89" s="409" t="e">
        <f t="shared" ca="1" si="119"/>
        <v>#N/A</v>
      </c>
      <c r="CO89" s="409" t="e">
        <f t="shared" ca="1" si="120"/>
        <v>#N/A</v>
      </c>
      <c r="CP89" s="409" t="e">
        <f t="shared" ca="1" si="121"/>
        <v>#N/A</v>
      </c>
      <c r="CQ89" s="409" t="e">
        <f t="shared" ca="1" si="122"/>
        <v>#N/A</v>
      </c>
      <c r="CR89" s="409" t="e">
        <f t="shared" ca="1" si="123"/>
        <v>#N/A</v>
      </c>
      <c r="CS89" s="409" t="e">
        <f t="shared" ca="1" si="124"/>
        <v>#N/A</v>
      </c>
      <c r="CT89" s="409" t="e">
        <f t="shared" si="125"/>
        <v>#N/A</v>
      </c>
      <c r="DB89" s="409" t="e">
        <f t="shared" si="126"/>
        <v>#N/A</v>
      </c>
      <c r="DC89" s="409" t="e">
        <f t="shared" si="127"/>
        <v>#N/A</v>
      </c>
      <c r="DD89" s="409" t="e">
        <f t="shared" si="128"/>
        <v>#N/A</v>
      </c>
      <c r="DE89" s="409" t="e">
        <f t="shared" si="129"/>
        <v>#N/A</v>
      </c>
    </row>
    <row r="90" spans="2:109" ht="17.25" hidden="1" customHeight="1" outlineLevel="1" x14ac:dyDescent="0.25">
      <c r="B90" s="1492"/>
      <c r="C90" s="277" t="str">
        <f>IF(Language="English",'Language Look Ups'!$P$17,IF(Language="Francais",'Language Look Ups'!$T$17,'Language Look Ups'!$R$17))</f>
        <v>Lunelle</v>
      </c>
      <c r="D90" s="278" t="e">
        <f t="shared" si="106"/>
        <v>#N/A</v>
      </c>
      <c r="E90" s="101" t="e">
        <f t="shared" ref="E90:F90" si="131">E38</f>
        <v>#N/A</v>
      </c>
      <c r="F90" s="102" t="e">
        <f t="shared" si="131"/>
        <v>#N/A</v>
      </c>
      <c r="G90" s="282" t="e">
        <f t="shared" ca="1" si="108"/>
        <v>#N/A</v>
      </c>
      <c r="H90" s="282" t="e">
        <f t="shared" ca="1" si="108"/>
        <v>#N/A</v>
      </c>
      <c r="I90" s="282" t="e">
        <f t="shared" ca="1" si="108"/>
        <v>#N/A</v>
      </c>
      <c r="J90" s="282" t="e">
        <f t="shared" ca="1" si="108"/>
        <v>#N/A</v>
      </c>
      <c r="K90" s="282" t="e">
        <f t="shared" ca="1" si="108"/>
        <v>#N/A</v>
      </c>
      <c r="L90" s="282" t="e">
        <f t="shared" ca="1" si="108"/>
        <v>#N/A</v>
      </c>
      <c r="M90" s="282" t="e">
        <f t="shared" ca="1" si="108"/>
        <v>#N/A</v>
      </c>
      <c r="N90" s="282" t="e">
        <f t="shared" ca="1" si="108"/>
        <v>#N/A</v>
      </c>
      <c r="O90" s="282" t="e">
        <f t="shared" ca="1" si="108"/>
        <v>#N/A</v>
      </c>
      <c r="P90" s="282" t="e">
        <f t="shared" ca="1" si="108"/>
        <v>#N/A</v>
      </c>
      <c r="Q90" s="282" t="e">
        <f t="shared" ca="1" si="108"/>
        <v>#N/A</v>
      </c>
      <c r="R90" s="282" t="e">
        <f t="shared" ca="1" si="108"/>
        <v>#N/A</v>
      </c>
      <c r="S90" s="282" t="e">
        <f t="shared" ca="1" si="108"/>
        <v>#N/A</v>
      </c>
      <c r="T90" s="282" t="e">
        <f t="shared" ca="1" si="108"/>
        <v>#N/A</v>
      </c>
      <c r="U90" s="282" t="e">
        <f t="shared" ca="1" si="108"/>
        <v>#N/A</v>
      </c>
      <c r="V90" s="282" t="e">
        <f t="shared" ca="1" si="108"/>
        <v>#N/A</v>
      </c>
      <c r="BS90" s="102" t="s">
        <v>83</v>
      </c>
      <c r="BT90" s="184" t="s">
        <v>836</v>
      </c>
      <c r="CA90"/>
      <c r="CB90" s="1492"/>
      <c r="CC90" s="277" t="str">
        <f>IF(Language="English",'Language Look Ups'!$P$17,IF(Language="Francais",'Language Look Ups'!$T$17,'Language Look Ups'!$R$17))</f>
        <v>Lunelle</v>
      </c>
      <c r="CD90" s="409" t="e">
        <f t="shared" ca="1" si="109"/>
        <v>#N/A</v>
      </c>
      <c r="CE90" s="409" t="e">
        <f t="shared" ca="1" si="110"/>
        <v>#N/A</v>
      </c>
      <c r="CF90" s="409" t="e">
        <f t="shared" ca="1" si="111"/>
        <v>#N/A</v>
      </c>
      <c r="CG90" s="409" t="e">
        <f t="shared" ca="1" si="112"/>
        <v>#N/A</v>
      </c>
      <c r="CH90" s="409" t="e">
        <f t="shared" ca="1" si="113"/>
        <v>#N/A</v>
      </c>
      <c r="CI90" s="409" t="e">
        <f t="shared" ca="1" si="114"/>
        <v>#N/A</v>
      </c>
      <c r="CJ90" s="409" t="e">
        <f t="shared" ca="1" si="115"/>
        <v>#N/A</v>
      </c>
      <c r="CK90" s="409" t="e">
        <f t="shared" ca="1" si="116"/>
        <v>#N/A</v>
      </c>
      <c r="CL90" s="409" t="e">
        <f t="shared" ca="1" si="117"/>
        <v>#N/A</v>
      </c>
      <c r="CM90" s="409" t="e">
        <f t="shared" ca="1" si="118"/>
        <v>#N/A</v>
      </c>
      <c r="CN90" s="409" t="e">
        <f t="shared" ca="1" si="119"/>
        <v>#N/A</v>
      </c>
      <c r="CO90" s="409" t="e">
        <f t="shared" ca="1" si="120"/>
        <v>#N/A</v>
      </c>
      <c r="CP90" s="409" t="e">
        <f t="shared" ca="1" si="121"/>
        <v>#N/A</v>
      </c>
      <c r="CQ90" s="409" t="e">
        <f t="shared" ca="1" si="122"/>
        <v>#N/A</v>
      </c>
      <c r="CR90" s="409" t="e">
        <f t="shared" ca="1" si="123"/>
        <v>#N/A</v>
      </c>
      <c r="CS90" s="409" t="e">
        <f t="shared" ca="1" si="124"/>
        <v>#N/A</v>
      </c>
      <c r="CT90" s="409" t="e">
        <f t="shared" si="125"/>
        <v>#N/A</v>
      </c>
      <c r="DB90" s="409" t="e">
        <f t="shared" si="126"/>
        <v>#N/A</v>
      </c>
      <c r="DC90" s="409" t="e">
        <f t="shared" si="127"/>
        <v>#N/A</v>
      </c>
      <c r="DD90" s="409" t="e">
        <f t="shared" si="128"/>
        <v>#N/A</v>
      </c>
      <c r="DE90" s="409" t="e">
        <f t="shared" si="129"/>
        <v>#N/A</v>
      </c>
    </row>
    <row r="91" spans="2:109" ht="17.25" hidden="1" customHeight="1" outlineLevel="1" x14ac:dyDescent="0.25">
      <c r="B91" s="1492"/>
      <c r="C91" s="277" t="str">
        <f>IF(Language="English", 'Language Look Ups'!$P$18,IF(Language="Francais", 'Language Look Ups'!$T$18, 'Language Look Ups'!$R$18))</f>
        <v>Sayana Press</v>
      </c>
      <c r="D91" s="278" t="e">
        <f t="shared" si="106"/>
        <v>#N/A</v>
      </c>
      <c r="E91" s="101" t="e">
        <f t="shared" ref="E91:F91" si="132">E39</f>
        <v>#N/A</v>
      </c>
      <c r="F91" s="102" t="e">
        <f t="shared" si="132"/>
        <v>#N/A</v>
      </c>
      <c r="G91" s="282" t="e">
        <f t="shared" ca="1" si="108"/>
        <v>#N/A</v>
      </c>
      <c r="H91" s="282" t="e">
        <f t="shared" ca="1" si="108"/>
        <v>#N/A</v>
      </c>
      <c r="I91" s="282" t="e">
        <f t="shared" ca="1" si="108"/>
        <v>#N/A</v>
      </c>
      <c r="J91" s="282" t="e">
        <f t="shared" ca="1" si="108"/>
        <v>#N/A</v>
      </c>
      <c r="K91" s="282" t="e">
        <f t="shared" ca="1" si="108"/>
        <v>#N/A</v>
      </c>
      <c r="L91" s="282" t="e">
        <f t="shared" ca="1" si="108"/>
        <v>#N/A</v>
      </c>
      <c r="M91" s="282" t="e">
        <f t="shared" ca="1" si="108"/>
        <v>#N/A</v>
      </c>
      <c r="N91" s="282" t="e">
        <f t="shared" ca="1" si="108"/>
        <v>#N/A</v>
      </c>
      <c r="O91" s="282" t="e">
        <f t="shared" ca="1" si="108"/>
        <v>#N/A</v>
      </c>
      <c r="P91" s="282" t="e">
        <f t="shared" ca="1" si="108"/>
        <v>#N/A</v>
      </c>
      <c r="Q91" s="282" t="e">
        <f t="shared" ca="1" si="108"/>
        <v>#N/A</v>
      </c>
      <c r="R91" s="282" t="e">
        <f t="shared" ca="1" si="108"/>
        <v>#N/A</v>
      </c>
      <c r="S91" s="282" t="e">
        <f t="shared" ca="1" si="108"/>
        <v>#N/A</v>
      </c>
      <c r="T91" s="282" t="e">
        <f t="shared" ca="1" si="108"/>
        <v>#N/A</v>
      </c>
      <c r="U91" s="282" t="e">
        <f t="shared" ca="1" si="108"/>
        <v>#N/A</v>
      </c>
      <c r="V91" s="282" t="e">
        <f t="shared" ca="1" si="108"/>
        <v>#N/A</v>
      </c>
      <c r="BS91" s="102" t="s">
        <v>83</v>
      </c>
      <c r="BT91" s="184" t="s">
        <v>836</v>
      </c>
      <c r="CA91"/>
      <c r="CB91" s="1492"/>
      <c r="CC91" s="277" t="str">
        <f>IF(Language="English", 'Language Look Ups'!$P$18,IF(Language="Francais", 'Language Look Ups'!$T$18, 'Language Look Ups'!$R$18))</f>
        <v>Sayana Press</v>
      </c>
      <c r="CD91" s="409" t="e">
        <f t="shared" ca="1" si="109"/>
        <v>#N/A</v>
      </c>
      <c r="CE91" s="409" t="e">
        <f t="shared" ca="1" si="110"/>
        <v>#N/A</v>
      </c>
      <c r="CF91" s="409" t="e">
        <f t="shared" ca="1" si="111"/>
        <v>#N/A</v>
      </c>
      <c r="CG91" s="409" t="e">
        <f t="shared" ca="1" si="112"/>
        <v>#N/A</v>
      </c>
      <c r="CH91" s="409" t="e">
        <f t="shared" ca="1" si="113"/>
        <v>#N/A</v>
      </c>
      <c r="CI91" s="409" t="e">
        <f t="shared" ca="1" si="114"/>
        <v>#N/A</v>
      </c>
      <c r="CJ91" s="409" t="e">
        <f t="shared" ca="1" si="115"/>
        <v>#N/A</v>
      </c>
      <c r="CK91" s="409" t="e">
        <f t="shared" ca="1" si="116"/>
        <v>#N/A</v>
      </c>
      <c r="CL91" s="409" t="e">
        <f t="shared" ca="1" si="117"/>
        <v>#N/A</v>
      </c>
      <c r="CM91" s="409" t="e">
        <f t="shared" ca="1" si="118"/>
        <v>#N/A</v>
      </c>
      <c r="CN91" s="409" t="e">
        <f t="shared" ca="1" si="119"/>
        <v>#N/A</v>
      </c>
      <c r="CO91" s="409" t="e">
        <f t="shared" ca="1" si="120"/>
        <v>#N/A</v>
      </c>
      <c r="CP91" s="409" t="e">
        <f t="shared" ca="1" si="121"/>
        <v>#N/A</v>
      </c>
      <c r="CQ91" s="409" t="e">
        <f t="shared" ca="1" si="122"/>
        <v>#N/A</v>
      </c>
      <c r="CR91" s="409" t="e">
        <f t="shared" ca="1" si="123"/>
        <v>#N/A</v>
      </c>
      <c r="CS91" s="409" t="e">
        <f t="shared" ca="1" si="124"/>
        <v>#N/A</v>
      </c>
      <c r="CT91" s="409" t="e">
        <f t="shared" si="125"/>
        <v>#N/A</v>
      </c>
      <c r="DB91" s="409" t="e">
        <f t="shared" si="126"/>
        <v>#N/A</v>
      </c>
      <c r="DC91" s="409" t="e">
        <f t="shared" si="127"/>
        <v>#N/A</v>
      </c>
      <c r="DD91" s="409" t="e">
        <f t="shared" si="128"/>
        <v>#N/A</v>
      </c>
      <c r="DE91" s="409" t="e">
        <f t="shared" si="129"/>
        <v>#N/A</v>
      </c>
    </row>
    <row r="92" spans="2:109" ht="17.25" hidden="1" customHeight="1" outlineLevel="1" x14ac:dyDescent="0.25">
      <c r="B92" s="1493"/>
      <c r="C92" s="275" t="str">
        <f>IF(Language="English", 'Language Look Ups'!$P$19,IF(Language="Francais", 'Language Look Ups'!$T$19, 'Language Look Ups'!$R$19))</f>
        <v>Autre Injectable</v>
      </c>
      <c r="D92" s="276" t="e">
        <f t="shared" si="106"/>
        <v>#N/A</v>
      </c>
      <c r="E92" s="99" t="e">
        <f t="shared" ref="E92:F92" si="133">E40</f>
        <v>#N/A</v>
      </c>
      <c r="F92" s="100" t="e">
        <f t="shared" si="133"/>
        <v>#N/A</v>
      </c>
      <c r="G92" s="284" t="e">
        <f t="shared" ca="1" si="108"/>
        <v>#N/A</v>
      </c>
      <c r="H92" s="284" t="e">
        <f t="shared" ca="1" si="108"/>
        <v>#N/A</v>
      </c>
      <c r="I92" s="284" t="e">
        <f t="shared" ca="1" si="108"/>
        <v>#N/A</v>
      </c>
      <c r="J92" s="284" t="e">
        <f t="shared" ca="1" si="108"/>
        <v>#N/A</v>
      </c>
      <c r="K92" s="284" t="e">
        <f t="shared" ca="1" si="108"/>
        <v>#N/A</v>
      </c>
      <c r="L92" s="284" t="e">
        <f t="shared" ca="1" si="108"/>
        <v>#N/A</v>
      </c>
      <c r="M92" s="284" t="e">
        <f t="shared" ca="1" si="108"/>
        <v>#N/A</v>
      </c>
      <c r="N92" s="284" t="e">
        <f t="shared" ca="1" si="108"/>
        <v>#N/A</v>
      </c>
      <c r="O92" s="284" t="e">
        <f t="shared" ca="1" si="108"/>
        <v>#N/A</v>
      </c>
      <c r="P92" s="284" t="e">
        <f t="shared" ca="1" si="108"/>
        <v>#N/A</v>
      </c>
      <c r="Q92" s="284" t="e">
        <f t="shared" ca="1" si="108"/>
        <v>#N/A</v>
      </c>
      <c r="R92" s="284" t="e">
        <f t="shared" ca="1" si="108"/>
        <v>#N/A</v>
      </c>
      <c r="S92" s="284" t="e">
        <f t="shared" ca="1" si="108"/>
        <v>#N/A</v>
      </c>
      <c r="T92" s="284" t="e">
        <f t="shared" ca="1" si="108"/>
        <v>#N/A</v>
      </c>
      <c r="U92" s="284" t="e">
        <f t="shared" ca="1" si="108"/>
        <v>#N/A</v>
      </c>
      <c r="V92" s="284" t="e">
        <f t="shared" ca="1" si="108"/>
        <v>#N/A</v>
      </c>
      <c r="BS92" s="100" t="s">
        <v>83</v>
      </c>
      <c r="BT92" s="184" t="s">
        <v>836</v>
      </c>
      <c r="CA92"/>
      <c r="CB92" s="1493"/>
      <c r="CC92" s="275" t="str">
        <f>IF(Language="English", 'Language Look Ups'!$P$19,IF(Language="Francais", 'Language Look Ups'!$T$19, 'Language Look Ups'!$R$19))</f>
        <v>Autre Injectable</v>
      </c>
      <c r="CD92" s="409" t="e">
        <f t="shared" ca="1" si="109"/>
        <v>#N/A</v>
      </c>
      <c r="CE92" s="409" t="e">
        <f t="shared" ca="1" si="110"/>
        <v>#N/A</v>
      </c>
      <c r="CF92" s="409" t="e">
        <f t="shared" ca="1" si="111"/>
        <v>#N/A</v>
      </c>
      <c r="CG92" s="409" t="e">
        <f t="shared" ca="1" si="112"/>
        <v>#N/A</v>
      </c>
      <c r="CH92" s="409" t="e">
        <f t="shared" ca="1" si="113"/>
        <v>#N/A</v>
      </c>
      <c r="CI92" s="409" t="e">
        <f t="shared" ca="1" si="114"/>
        <v>#N/A</v>
      </c>
      <c r="CJ92" s="409" t="e">
        <f t="shared" ca="1" si="115"/>
        <v>#N/A</v>
      </c>
      <c r="CK92" s="409" t="e">
        <f t="shared" ca="1" si="116"/>
        <v>#N/A</v>
      </c>
      <c r="CL92" s="409" t="e">
        <f t="shared" ca="1" si="117"/>
        <v>#N/A</v>
      </c>
      <c r="CM92" s="409" t="e">
        <f t="shared" ca="1" si="118"/>
        <v>#N/A</v>
      </c>
      <c r="CN92" s="409" t="e">
        <f t="shared" ca="1" si="119"/>
        <v>#N/A</v>
      </c>
      <c r="CO92" s="409" t="e">
        <f t="shared" ca="1" si="120"/>
        <v>#N/A</v>
      </c>
      <c r="CP92" s="409" t="e">
        <f t="shared" ca="1" si="121"/>
        <v>#N/A</v>
      </c>
      <c r="CQ92" s="409" t="e">
        <f t="shared" ca="1" si="122"/>
        <v>#N/A</v>
      </c>
      <c r="CR92" s="409" t="e">
        <f t="shared" ca="1" si="123"/>
        <v>#N/A</v>
      </c>
      <c r="CS92" s="409" t="e">
        <f t="shared" ca="1" si="124"/>
        <v>#N/A</v>
      </c>
      <c r="CT92" s="409" t="e">
        <f t="shared" si="125"/>
        <v>#N/A</v>
      </c>
      <c r="DB92" s="409" t="e">
        <f t="shared" si="126"/>
        <v>#N/A</v>
      </c>
      <c r="DC92" s="409" t="e">
        <f t="shared" si="127"/>
        <v>#N/A</v>
      </c>
      <c r="DD92" s="409" t="e">
        <f t="shared" si="128"/>
        <v>#N/A</v>
      </c>
      <c r="DE92" s="409" t="e">
        <f t="shared" si="129"/>
        <v>#N/A</v>
      </c>
    </row>
    <row r="93" spans="2:109" ht="17.25" hidden="1" customHeight="1" outlineLevel="1" x14ac:dyDescent="0.25">
      <c r="B93" s="1480" t="str">
        <f>IF(Language="English", 'Language Look Ups'!$O$20,IF(Language="Francais", 'Language Look Ups'!$S$20, 'Language Look Ups'!Q$20))</f>
        <v>Pilule</v>
      </c>
      <c r="C93" s="363" t="str">
        <f>IF(Language="English", 'Language Look Ups'!$P$20,IF(Language="Francais", 'Language Look Ups'!$T$20, 'Language Look Ups'!$R$20))</f>
        <v>Oraux combinés (COC)</v>
      </c>
      <c r="D93" s="407" t="e">
        <f t="shared" si="106"/>
        <v>#N/A</v>
      </c>
      <c r="E93" s="408" t="e">
        <f t="shared" ref="E93:F93" si="134">E41</f>
        <v>#N/A</v>
      </c>
      <c r="F93" s="416" t="e">
        <f t="shared" si="134"/>
        <v>#N/A</v>
      </c>
      <c r="G93" s="409" t="e">
        <f t="shared" ca="1" si="108"/>
        <v>#N/A</v>
      </c>
      <c r="H93" s="409" t="e">
        <f t="shared" ca="1" si="108"/>
        <v>#N/A</v>
      </c>
      <c r="I93" s="409" t="e">
        <f t="shared" ca="1" si="108"/>
        <v>#N/A</v>
      </c>
      <c r="J93" s="409" t="e">
        <f t="shared" ca="1" si="108"/>
        <v>#N/A</v>
      </c>
      <c r="K93" s="409" t="e">
        <f t="shared" ca="1" si="108"/>
        <v>#N/A</v>
      </c>
      <c r="L93" s="409" t="e">
        <f t="shared" ca="1" si="108"/>
        <v>#N/A</v>
      </c>
      <c r="M93" s="409" t="e">
        <f t="shared" ca="1" si="108"/>
        <v>#N/A</v>
      </c>
      <c r="N93" s="409" t="e">
        <f t="shared" ca="1" si="108"/>
        <v>#N/A</v>
      </c>
      <c r="O93" s="409" t="e">
        <f t="shared" ca="1" si="108"/>
        <v>#N/A</v>
      </c>
      <c r="P93" s="409" t="e">
        <f t="shared" ca="1" si="108"/>
        <v>#N/A</v>
      </c>
      <c r="Q93" s="409" t="e">
        <f t="shared" ca="1" si="108"/>
        <v>#N/A</v>
      </c>
      <c r="R93" s="409" t="e">
        <f t="shared" ca="1" si="108"/>
        <v>#N/A</v>
      </c>
      <c r="S93" s="409" t="e">
        <f t="shared" ca="1" si="108"/>
        <v>#N/A</v>
      </c>
      <c r="T93" s="409" t="e">
        <f t="shared" ca="1" si="108"/>
        <v>#N/A</v>
      </c>
      <c r="U93" s="409" t="e">
        <f t="shared" ca="1" si="108"/>
        <v>#N/A</v>
      </c>
      <c r="V93" s="409" t="e">
        <f t="shared" ca="1" si="108"/>
        <v>#N/A</v>
      </c>
      <c r="BS93" s="416" t="s">
        <v>83</v>
      </c>
      <c r="BT93" s="184" t="s">
        <v>836</v>
      </c>
      <c r="CA93"/>
      <c r="CB93" s="1480" t="str">
        <f>IF(Language="English", 'Language Look Ups'!$O$20,IF(Language="Francais", 'Language Look Ups'!$S$20, 'Language Look Ups'!CE$20))</f>
        <v>Pilule</v>
      </c>
      <c r="CC93" s="363" t="str">
        <f>IF(Language="English", 'Language Look Ups'!$P$20,IF(Language="Francais", 'Language Look Ups'!$T$20, 'Language Look Ups'!$R$20))</f>
        <v>Oraux combinés (COC)</v>
      </c>
      <c r="CD93" s="409" t="e">
        <f t="shared" ca="1" si="109"/>
        <v>#N/A</v>
      </c>
      <c r="CE93" s="409" t="e">
        <f t="shared" ca="1" si="110"/>
        <v>#N/A</v>
      </c>
      <c r="CF93" s="409" t="e">
        <f t="shared" ca="1" si="111"/>
        <v>#N/A</v>
      </c>
      <c r="CG93" s="409" t="e">
        <f t="shared" ca="1" si="112"/>
        <v>#N/A</v>
      </c>
      <c r="CH93" s="409" t="e">
        <f t="shared" ca="1" si="113"/>
        <v>#N/A</v>
      </c>
      <c r="CI93" s="409" t="e">
        <f t="shared" ca="1" si="114"/>
        <v>#N/A</v>
      </c>
      <c r="CJ93" s="409" t="e">
        <f t="shared" ca="1" si="115"/>
        <v>#N/A</v>
      </c>
      <c r="CK93" s="409" t="e">
        <f t="shared" ca="1" si="116"/>
        <v>#N/A</v>
      </c>
      <c r="CL93" s="409" t="e">
        <f t="shared" ca="1" si="117"/>
        <v>#N/A</v>
      </c>
      <c r="CM93" s="409" t="e">
        <f t="shared" ca="1" si="118"/>
        <v>#N/A</v>
      </c>
      <c r="CN93" s="409" t="e">
        <f t="shared" ca="1" si="119"/>
        <v>#N/A</v>
      </c>
      <c r="CO93" s="409" t="e">
        <f t="shared" ca="1" si="120"/>
        <v>#N/A</v>
      </c>
      <c r="CP93" s="409" t="e">
        <f t="shared" ca="1" si="121"/>
        <v>#N/A</v>
      </c>
      <c r="CQ93" s="409" t="e">
        <f t="shared" ca="1" si="122"/>
        <v>#N/A</v>
      </c>
      <c r="CR93" s="409" t="e">
        <f t="shared" ca="1" si="123"/>
        <v>#N/A</v>
      </c>
      <c r="CS93" s="409" t="e">
        <f t="shared" ca="1" si="124"/>
        <v>#N/A</v>
      </c>
      <c r="CT93" s="409" t="e">
        <f t="shared" si="125"/>
        <v>#N/A</v>
      </c>
      <c r="DB93" s="409" t="e">
        <f t="shared" si="126"/>
        <v>#N/A</v>
      </c>
      <c r="DC93" s="409" t="e">
        <f t="shared" si="127"/>
        <v>#N/A</v>
      </c>
      <c r="DD93" s="409" t="e">
        <f t="shared" si="128"/>
        <v>#N/A</v>
      </c>
      <c r="DE93" s="409" t="e">
        <f t="shared" si="129"/>
        <v>#N/A</v>
      </c>
    </row>
    <row r="94" spans="2:109" ht="17.25" hidden="1" customHeight="1" outlineLevel="1" x14ac:dyDescent="0.25">
      <c r="B94" s="1482"/>
      <c r="C94" s="277" t="str">
        <f>IF(Language="English", 'Language Look Ups'!$P$21,IF(Language="Francais", 'Language Look Ups'!$T$21, 'Language Look Ups'!$R$21))</f>
        <v>Progestatifs seul (POP)</v>
      </c>
      <c r="D94" s="278" t="e">
        <f t="shared" si="106"/>
        <v>#N/A</v>
      </c>
      <c r="E94" s="101" t="e">
        <f t="shared" ref="E94:F94" si="135">E42</f>
        <v>#N/A</v>
      </c>
      <c r="F94" s="102" t="e">
        <f t="shared" si="135"/>
        <v>#N/A</v>
      </c>
      <c r="G94" s="282" t="e">
        <f t="shared" ca="1" si="108"/>
        <v>#N/A</v>
      </c>
      <c r="H94" s="282" t="e">
        <f t="shared" ca="1" si="108"/>
        <v>#N/A</v>
      </c>
      <c r="I94" s="282" t="e">
        <f t="shared" ca="1" si="108"/>
        <v>#N/A</v>
      </c>
      <c r="J94" s="282" t="e">
        <f t="shared" ca="1" si="108"/>
        <v>#N/A</v>
      </c>
      <c r="K94" s="282" t="e">
        <f t="shared" ca="1" si="108"/>
        <v>#N/A</v>
      </c>
      <c r="L94" s="282" t="e">
        <f t="shared" ca="1" si="108"/>
        <v>#N/A</v>
      </c>
      <c r="M94" s="282" t="e">
        <f t="shared" ca="1" si="108"/>
        <v>#N/A</v>
      </c>
      <c r="N94" s="282" t="e">
        <f t="shared" ca="1" si="108"/>
        <v>#N/A</v>
      </c>
      <c r="O94" s="282" t="e">
        <f t="shared" ca="1" si="108"/>
        <v>#N/A</v>
      </c>
      <c r="P94" s="282" t="e">
        <f t="shared" ca="1" si="108"/>
        <v>#N/A</v>
      </c>
      <c r="Q94" s="282" t="e">
        <f t="shared" ca="1" si="108"/>
        <v>#N/A</v>
      </c>
      <c r="R94" s="282" t="e">
        <f t="shared" ca="1" si="108"/>
        <v>#N/A</v>
      </c>
      <c r="S94" s="282" t="e">
        <f t="shared" ca="1" si="108"/>
        <v>#N/A</v>
      </c>
      <c r="T94" s="282" t="e">
        <f t="shared" ca="1" si="108"/>
        <v>#N/A</v>
      </c>
      <c r="U94" s="282" t="e">
        <f t="shared" ca="1" si="108"/>
        <v>#N/A</v>
      </c>
      <c r="V94" s="282" t="e">
        <f t="shared" ca="1" si="108"/>
        <v>#N/A</v>
      </c>
      <c r="BS94" s="102" t="s">
        <v>83</v>
      </c>
      <c r="BT94" s="184" t="s">
        <v>836</v>
      </c>
      <c r="CA94"/>
      <c r="CB94" s="1482"/>
      <c r="CC94" s="277" t="str">
        <f>IF(Language="English", 'Language Look Ups'!$P$21,IF(Language="Francais", 'Language Look Ups'!$T$21, 'Language Look Ups'!$R$21))</f>
        <v>Progestatifs seul (POP)</v>
      </c>
      <c r="CD94" s="409" t="e">
        <f t="shared" ca="1" si="109"/>
        <v>#N/A</v>
      </c>
      <c r="CE94" s="409" t="e">
        <f t="shared" ca="1" si="110"/>
        <v>#N/A</v>
      </c>
      <c r="CF94" s="409" t="e">
        <f t="shared" ca="1" si="111"/>
        <v>#N/A</v>
      </c>
      <c r="CG94" s="409" t="e">
        <f t="shared" ca="1" si="112"/>
        <v>#N/A</v>
      </c>
      <c r="CH94" s="409" t="e">
        <f t="shared" ca="1" si="113"/>
        <v>#N/A</v>
      </c>
      <c r="CI94" s="409" t="e">
        <f t="shared" ca="1" si="114"/>
        <v>#N/A</v>
      </c>
      <c r="CJ94" s="409" t="e">
        <f t="shared" ca="1" si="115"/>
        <v>#N/A</v>
      </c>
      <c r="CK94" s="409" t="e">
        <f t="shared" ca="1" si="116"/>
        <v>#N/A</v>
      </c>
      <c r="CL94" s="409" t="e">
        <f t="shared" ca="1" si="117"/>
        <v>#N/A</v>
      </c>
      <c r="CM94" s="409" t="e">
        <f t="shared" ca="1" si="118"/>
        <v>#N/A</v>
      </c>
      <c r="CN94" s="409" t="e">
        <f t="shared" ca="1" si="119"/>
        <v>#N/A</v>
      </c>
      <c r="CO94" s="409" t="e">
        <f t="shared" ca="1" si="120"/>
        <v>#N/A</v>
      </c>
      <c r="CP94" s="409" t="e">
        <f t="shared" ca="1" si="121"/>
        <v>#N/A</v>
      </c>
      <c r="CQ94" s="409" t="e">
        <f t="shared" ca="1" si="122"/>
        <v>#N/A</v>
      </c>
      <c r="CR94" s="409" t="e">
        <f t="shared" ca="1" si="123"/>
        <v>#N/A</v>
      </c>
      <c r="CS94" s="409" t="e">
        <f t="shared" ca="1" si="124"/>
        <v>#N/A</v>
      </c>
      <c r="CT94" s="409" t="e">
        <f t="shared" si="125"/>
        <v>#N/A</v>
      </c>
      <c r="DB94" s="409" t="e">
        <f t="shared" si="126"/>
        <v>#N/A</v>
      </c>
      <c r="DC94" s="409" t="e">
        <f t="shared" si="127"/>
        <v>#N/A</v>
      </c>
      <c r="DD94" s="409" t="e">
        <f t="shared" si="128"/>
        <v>#N/A</v>
      </c>
      <c r="DE94" s="409" t="e">
        <f t="shared" si="129"/>
        <v>#N/A</v>
      </c>
    </row>
    <row r="95" spans="2:109" ht="17.25" hidden="1" customHeight="1" outlineLevel="1" x14ac:dyDescent="0.25">
      <c r="B95" s="1481"/>
      <c r="C95" s="275" t="str">
        <f>IF(Language="English", 'Language Look Ups'!$P$22,IF(Language="Francais", 'Language Look Ups'!$T$22, 'Language Look Ups'!$R$22))</f>
        <v>Autre pilule</v>
      </c>
      <c r="D95" s="276" t="e">
        <f t="shared" si="106"/>
        <v>#N/A</v>
      </c>
      <c r="E95" s="99" t="e">
        <f t="shared" ref="E95:F95" si="136">E43</f>
        <v>#N/A</v>
      </c>
      <c r="F95" s="100" t="e">
        <f t="shared" si="136"/>
        <v>#N/A</v>
      </c>
      <c r="G95" s="284" t="e">
        <f t="shared" ca="1" si="108"/>
        <v>#N/A</v>
      </c>
      <c r="H95" s="284" t="e">
        <f t="shared" ca="1" si="108"/>
        <v>#N/A</v>
      </c>
      <c r="I95" s="284" t="e">
        <f t="shared" ca="1" si="108"/>
        <v>#N/A</v>
      </c>
      <c r="J95" s="284" t="e">
        <f t="shared" ca="1" si="108"/>
        <v>#N/A</v>
      </c>
      <c r="K95" s="284" t="e">
        <f t="shared" ca="1" si="108"/>
        <v>#N/A</v>
      </c>
      <c r="L95" s="284" t="e">
        <f t="shared" ca="1" si="108"/>
        <v>#N/A</v>
      </c>
      <c r="M95" s="284" t="e">
        <f t="shared" ca="1" si="108"/>
        <v>#N/A</v>
      </c>
      <c r="N95" s="284" t="e">
        <f t="shared" ca="1" si="108"/>
        <v>#N/A</v>
      </c>
      <c r="O95" s="284" t="e">
        <f t="shared" ca="1" si="108"/>
        <v>#N/A</v>
      </c>
      <c r="P95" s="284" t="e">
        <f t="shared" ca="1" si="108"/>
        <v>#N/A</v>
      </c>
      <c r="Q95" s="284" t="e">
        <f t="shared" ca="1" si="108"/>
        <v>#N/A</v>
      </c>
      <c r="R95" s="284" t="e">
        <f t="shared" ca="1" si="108"/>
        <v>#N/A</v>
      </c>
      <c r="S95" s="284" t="e">
        <f t="shared" ca="1" si="108"/>
        <v>#N/A</v>
      </c>
      <c r="T95" s="284" t="e">
        <f t="shared" ca="1" si="108"/>
        <v>#N/A</v>
      </c>
      <c r="U95" s="284" t="e">
        <f t="shared" ca="1" si="108"/>
        <v>#N/A</v>
      </c>
      <c r="V95" s="284" t="e">
        <f t="shared" ca="1" si="108"/>
        <v>#N/A</v>
      </c>
      <c r="BS95" s="100" t="s">
        <v>83</v>
      </c>
      <c r="BT95" s="184" t="s">
        <v>836</v>
      </c>
      <c r="CA95"/>
      <c r="CB95" s="1481"/>
      <c r="CC95" s="275" t="str">
        <f>IF(Language="English", 'Language Look Ups'!$P$22,IF(Language="Francais", 'Language Look Ups'!$T$22, 'Language Look Ups'!$R$22))</f>
        <v>Autre pilule</v>
      </c>
      <c r="CD95" s="409" t="e">
        <f t="shared" ca="1" si="109"/>
        <v>#N/A</v>
      </c>
      <c r="CE95" s="409" t="e">
        <f t="shared" ca="1" si="110"/>
        <v>#N/A</v>
      </c>
      <c r="CF95" s="409" t="e">
        <f t="shared" ca="1" si="111"/>
        <v>#N/A</v>
      </c>
      <c r="CG95" s="409" t="e">
        <f t="shared" ca="1" si="112"/>
        <v>#N/A</v>
      </c>
      <c r="CH95" s="409" t="e">
        <f t="shared" ca="1" si="113"/>
        <v>#N/A</v>
      </c>
      <c r="CI95" s="409" t="e">
        <f t="shared" ca="1" si="114"/>
        <v>#N/A</v>
      </c>
      <c r="CJ95" s="409" t="e">
        <f t="shared" ca="1" si="115"/>
        <v>#N/A</v>
      </c>
      <c r="CK95" s="409" t="e">
        <f t="shared" ca="1" si="116"/>
        <v>#N/A</v>
      </c>
      <c r="CL95" s="409" t="e">
        <f t="shared" ca="1" si="117"/>
        <v>#N/A</v>
      </c>
      <c r="CM95" s="409" t="e">
        <f t="shared" ca="1" si="118"/>
        <v>#N/A</v>
      </c>
      <c r="CN95" s="409" t="e">
        <f t="shared" ca="1" si="119"/>
        <v>#N/A</v>
      </c>
      <c r="CO95" s="409" t="e">
        <f t="shared" ca="1" si="120"/>
        <v>#N/A</v>
      </c>
      <c r="CP95" s="409" t="e">
        <f t="shared" ca="1" si="121"/>
        <v>#N/A</v>
      </c>
      <c r="CQ95" s="409" t="e">
        <f t="shared" ca="1" si="122"/>
        <v>#N/A</v>
      </c>
      <c r="CR95" s="409" t="e">
        <f t="shared" ca="1" si="123"/>
        <v>#N/A</v>
      </c>
      <c r="CS95" s="409" t="e">
        <f t="shared" ca="1" si="124"/>
        <v>#N/A</v>
      </c>
      <c r="CT95" s="409" t="e">
        <f t="shared" si="125"/>
        <v>#N/A</v>
      </c>
      <c r="DB95" s="409" t="e">
        <f t="shared" si="126"/>
        <v>#N/A</v>
      </c>
      <c r="DC95" s="409" t="e">
        <f t="shared" si="127"/>
        <v>#N/A</v>
      </c>
      <c r="DD95" s="409" t="e">
        <f t="shared" si="128"/>
        <v>#N/A</v>
      </c>
      <c r="DE95" s="409" t="e">
        <f t="shared" si="129"/>
        <v>#N/A</v>
      </c>
    </row>
    <row r="96" spans="2:109" ht="17.25" hidden="1" customHeight="1" outlineLevel="1" x14ac:dyDescent="0.25">
      <c r="B96" s="1480" t="str">
        <f>IF(Language="English", 'Language Look Ups'!$O$23,IF(Language="Francais", 'Language Look Ups'!$S$23, 'Language Look Ups'!Q$23))</f>
        <v>Préservatifs</v>
      </c>
      <c r="C96" s="363" t="str">
        <f>IF(Language="English", 'Language Look Ups'!$P$23,IF(Language="Francais", 'Language Look Ups'!$T$23, 'Language Look Ups'!$R$23))</f>
        <v>Préservatifs masculin</v>
      </c>
      <c r="D96" s="407" t="e">
        <f t="shared" si="106"/>
        <v>#N/A</v>
      </c>
      <c r="E96" s="408" t="e">
        <f t="shared" ref="E96:F96" si="137">E44</f>
        <v>#N/A</v>
      </c>
      <c r="F96" s="416" t="e">
        <f t="shared" si="137"/>
        <v>#N/A</v>
      </c>
      <c r="G96" s="409" t="e">
        <f t="shared" ca="1" si="108"/>
        <v>#N/A</v>
      </c>
      <c r="H96" s="409" t="e">
        <f t="shared" ca="1" si="108"/>
        <v>#N/A</v>
      </c>
      <c r="I96" s="409" t="e">
        <f t="shared" ca="1" si="108"/>
        <v>#N/A</v>
      </c>
      <c r="J96" s="409" t="e">
        <f t="shared" ca="1" si="108"/>
        <v>#N/A</v>
      </c>
      <c r="K96" s="409" t="e">
        <f t="shared" ca="1" si="108"/>
        <v>#N/A</v>
      </c>
      <c r="L96" s="409" t="e">
        <f t="shared" ca="1" si="108"/>
        <v>#N/A</v>
      </c>
      <c r="M96" s="409" t="e">
        <f t="shared" ca="1" si="108"/>
        <v>#N/A</v>
      </c>
      <c r="N96" s="409" t="e">
        <f t="shared" ca="1" si="108"/>
        <v>#N/A</v>
      </c>
      <c r="O96" s="409" t="e">
        <f t="shared" ca="1" si="108"/>
        <v>#N/A</v>
      </c>
      <c r="P96" s="409" t="e">
        <f t="shared" ca="1" si="108"/>
        <v>#N/A</v>
      </c>
      <c r="Q96" s="409" t="e">
        <f t="shared" ca="1" si="108"/>
        <v>#N/A</v>
      </c>
      <c r="R96" s="409" t="e">
        <f t="shared" ca="1" si="108"/>
        <v>#N/A</v>
      </c>
      <c r="S96" s="409" t="e">
        <f t="shared" ca="1" si="108"/>
        <v>#N/A</v>
      </c>
      <c r="T96" s="409" t="e">
        <f t="shared" ca="1" si="108"/>
        <v>#N/A</v>
      </c>
      <c r="U96" s="409" t="e">
        <f t="shared" ca="1" si="108"/>
        <v>#N/A</v>
      </c>
      <c r="V96" s="409" t="e">
        <f t="shared" ca="1" si="108"/>
        <v>#N/A</v>
      </c>
      <c r="BS96" s="416" t="s">
        <v>83</v>
      </c>
      <c r="BT96" s="184" t="s">
        <v>836</v>
      </c>
      <c r="CA96"/>
      <c r="CB96" s="1480" t="str">
        <f>IF(Language="English", 'Language Look Ups'!$O$23,IF(Language="Francais", 'Language Look Ups'!$S$23, 'Language Look Ups'!CE$23))</f>
        <v>Préservatifs</v>
      </c>
      <c r="CC96" s="363" t="str">
        <f>IF(Language="English", 'Language Look Ups'!$P$23,IF(Language="Francais", 'Language Look Ups'!$T$23, 'Language Look Ups'!$R$23))</f>
        <v>Préservatifs masculin</v>
      </c>
      <c r="CD96" s="409" t="e">
        <f t="shared" ca="1" si="109"/>
        <v>#N/A</v>
      </c>
      <c r="CE96" s="409" t="e">
        <f t="shared" ca="1" si="110"/>
        <v>#N/A</v>
      </c>
      <c r="CF96" s="409" t="e">
        <f t="shared" ca="1" si="111"/>
        <v>#N/A</v>
      </c>
      <c r="CG96" s="409" t="e">
        <f t="shared" ca="1" si="112"/>
        <v>#N/A</v>
      </c>
      <c r="CH96" s="409" t="e">
        <f t="shared" ca="1" si="113"/>
        <v>#N/A</v>
      </c>
      <c r="CI96" s="409" t="e">
        <f t="shared" ca="1" si="114"/>
        <v>#N/A</v>
      </c>
      <c r="CJ96" s="409" t="e">
        <f t="shared" ca="1" si="115"/>
        <v>#N/A</v>
      </c>
      <c r="CK96" s="409" t="e">
        <f t="shared" ca="1" si="116"/>
        <v>#N/A</v>
      </c>
      <c r="CL96" s="409" t="e">
        <f t="shared" ca="1" si="117"/>
        <v>#N/A</v>
      </c>
      <c r="CM96" s="409" t="e">
        <f t="shared" ca="1" si="118"/>
        <v>#N/A</v>
      </c>
      <c r="CN96" s="409" t="e">
        <f t="shared" ca="1" si="119"/>
        <v>#N/A</v>
      </c>
      <c r="CO96" s="409" t="e">
        <f t="shared" ca="1" si="120"/>
        <v>#N/A</v>
      </c>
      <c r="CP96" s="409" t="e">
        <f t="shared" ca="1" si="121"/>
        <v>#N/A</v>
      </c>
      <c r="CQ96" s="409" t="e">
        <f t="shared" ca="1" si="122"/>
        <v>#N/A</v>
      </c>
      <c r="CR96" s="409" t="e">
        <f t="shared" ca="1" si="123"/>
        <v>#N/A</v>
      </c>
      <c r="CS96" s="409" t="e">
        <f t="shared" ca="1" si="124"/>
        <v>#N/A</v>
      </c>
      <c r="CT96" s="409" t="e">
        <f t="shared" si="125"/>
        <v>#N/A</v>
      </c>
      <c r="DB96" s="409" t="e">
        <f t="shared" si="126"/>
        <v>#N/A</v>
      </c>
      <c r="DC96" s="409" t="e">
        <f t="shared" si="127"/>
        <v>#N/A</v>
      </c>
      <c r="DD96" s="409" t="e">
        <f t="shared" si="128"/>
        <v>#N/A</v>
      </c>
      <c r="DE96" s="409" t="e">
        <f t="shared" si="129"/>
        <v>#N/A</v>
      </c>
    </row>
    <row r="97" spans="2:109" ht="17.25" hidden="1" customHeight="1" outlineLevel="1" x14ac:dyDescent="0.25">
      <c r="B97" s="1481"/>
      <c r="C97" s="275" t="str">
        <f>IF(Language="English", 'Language Look Ups'!$P$24,IF(Language="Francais", 'Language Look Ups'!$T$24, 'Language Look Ups'!$R$24))</f>
        <v>Préservatifs feminin</v>
      </c>
      <c r="D97" s="276" t="e">
        <f t="shared" si="106"/>
        <v>#N/A</v>
      </c>
      <c r="E97" s="99" t="e">
        <f t="shared" ref="E97:F97" si="138">E45</f>
        <v>#N/A</v>
      </c>
      <c r="F97" s="100" t="e">
        <f t="shared" si="138"/>
        <v>#N/A</v>
      </c>
      <c r="G97" s="284" t="e">
        <f t="shared" ca="1" si="108"/>
        <v>#N/A</v>
      </c>
      <c r="H97" s="284" t="e">
        <f t="shared" ca="1" si="108"/>
        <v>#N/A</v>
      </c>
      <c r="I97" s="284" t="e">
        <f t="shared" ca="1" si="108"/>
        <v>#N/A</v>
      </c>
      <c r="J97" s="284" t="e">
        <f t="shared" ca="1" si="108"/>
        <v>#N/A</v>
      </c>
      <c r="K97" s="284" t="e">
        <f t="shared" ca="1" si="108"/>
        <v>#N/A</v>
      </c>
      <c r="L97" s="284" t="e">
        <f t="shared" ca="1" si="108"/>
        <v>#N/A</v>
      </c>
      <c r="M97" s="284" t="e">
        <f t="shared" ca="1" si="108"/>
        <v>#N/A</v>
      </c>
      <c r="N97" s="284" t="e">
        <f t="shared" ca="1" si="108"/>
        <v>#N/A</v>
      </c>
      <c r="O97" s="284" t="e">
        <f t="shared" ca="1" si="108"/>
        <v>#N/A</v>
      </c>
      <c r="P97" s="284" t="e">
        <f t="shared" ca="1" si="108"/>
        <v>#N/A</v>
      </c>
      <c r="Q97" s="284" t="e">
        <f t="shared" ca="1" si="108"/>
        <v>#N/A</v>
      </c>
      <c r="R97" s="284" t="e">
        <f t="shared" ca="1" si="108"/>
        <v>#N/A</v>
      </c>
      <c r="S97" s="284" t="e">
        <f t="shared" ca="1" si="108"/>
        <v>#N/A</v>
      </c>
      <c r="T97" s="284" t="e">
        <f t="shared" ca="1" si="108"/>
        <v>#N/A</v>
      </c>
      <c r="U97" s="284" t="e">
        <f t="shared" ca="1" si="108"/>
        <v>#N/A</v>
      </c>
      <c r="V97" s="284" t="e">
        <f t="shared" ca="1" si="108"/>
        <v>#N/A</v>
      </c>
      <c r="BS97" s="100" t="s">
        <v>83</v>
      </c>
      <c r="BT97" s="184" t="s">
        <v>836</v>
      </c>
      <c r="CA97"/>
      <c r="CB97" s="1481"/>
      <c r="CC97" s="275" t="str">
        <f>IF(Language="English", 'Language Look Ups'!$P$24,IF(Language="Francais", 'Language Look Ups'!$T$24, 'Language Look Ups'!$R$24))</f>
        <v>Préservatifs feminin</v>
      </c>
      <c r="CD97" s="409" t="e">
        <f t="shared" ca="1" si="109"/>
        <v>#N/A</v>
      </c>
      <c r="CE97" s="409" t="e">
        <f t="shared" ca="1" si="110"/>
        <v>#N/A</v>
      </c>
      <c r="CF97" s="409" t="e">
        <f t="shared" ca="1" si="111"/>
        <v>#N/A</v>
      </c>
      <c r="CG97" s="409" t="e">
        <f t="shared" ca="1" si="112"/>
        <v>#N/A</v>
      </c>
      <c r="CH97" s="409" t="e">
        <f t="shared" ca="1" si="113"/>
        <v>#N/A</v>
      </c>
      <c r="CI97" s="409" t="e">
        <f t="shared" ca="1" si="114"/>
        <v>#N/A</v>
      </c>
      <c r="CJ97" s="409" t="e">
        <f t="shared" ca="1" si="115"/>
        <v>#N/A</v>
      </c>
      <c r="CK97" s="409" t="e">
        <f t="shared" ca="1" si="116"/>
        <v>#N/A</v>
      </c>
      <c r="CL97" s="409" t="e">
        <f t="shared" ca="1" si="117"/>
        <v>#N/A</v>
      </c>
      <c r="CM97" s="409" t="e">
        <f t="shared" ca="1" si="118"/>
        <v>#N/A</v>
      </c>
      <c r="CN97" s="409" t="e">
        <f t="shared" ca="1" si="119"/>
        <v>#N/A</v>
      </c>
      <c r="CO97" s="409" t="e">
        <f t="shared" ca="1" si="120"/>
        <v>#N/A</v>
      </c>
      <c r="CP97" s="409" t="e">
        <f t="shared" ca="1" si="121"/>
        <v>#N/A</v>
      </c>
      <c r="CQ97" s="409" t="e">
        <f t="shared" ca="1" si="122"/>
        <v>#N/A</v>
      </c>
      <c r="CR97" s="409" t="e">
        <f t="shared" ca="1" si="123"/>
        <v>#N/A</v>
      </c>
      <c r="CS97" s="409" t="e">
        <f t="shared" ca="1" si="124"/>
        <v>#N/A</v>
      </c>
      <c r="CT97" s="409" t="e">
        <f t="shared" si="125"/>
        <v>#N/A</v>
      </c>
      <c r="DB97" s="409" t="e">
        <f t="shared" si="126"/>
        <v>#N/A</v>
      </c>
      <c r="DC97" s="409" t="e">
        <f t="shared" si="127"/>
        <v>#N/A</v>
      </c>
      <c r="DD97" s="409" t="e">
        <f t="shared" si="128"/>
        <v>#N/A</v>
      </c>
      <c r="DE97" s="409" t="e">
        <f t="shared" si="129"/>
        <v>#N/A</v>
      </c>
    </row>
    <row r="98" spans="2:109" ht="17.25" hidden="1" customHeight="1" outlineLevel="1" x14ac:dyDescent="0.25">
      <c r="B98" s="1491" t="str">
        <f>IF(Language="English", 'Language Look Ups'!$O$25,IF(Language="Francais", 'Language Look Ups'!$S$25, 'Language Look Ups'!Q$25))</f>
        <v>Autres Méthodes Modernes</v>
      </c>
      <c r="C98" s="363" t="str">
        <f>IF(Language="English", 'Language Look Ups'!$P$25,IF(Language="Francais", 'Language Look Ups'!$T$25, 'Language Look Ups'!$R$25))</f>
        <v>MAMA</v>
      </c>
      <c r="D98" s="407" t="e">
        <f t="shared" si="106"/>
        <v>#N/A</v>
      </c>
      <c r="E98" s="408" t="e">
        <f t="shared" ref="E98:F98" si="139">E46</f>
        <v>#N/A</v>
      </c>
      <c r="F98" s="416" t="e">
        <f t="shared" si="139"/>
        <v>#N/A</v>
      </c>
      <c r="G98" s="409" t="e">
        <f t="shared" ca="1" si="108"/>
        <v>#N/A</v>
      </c>
      <c r="H98" s="409" t="e">
        <f t="shared" ca="1" si="108"/>
        <v>#N/A</v>
      </c>
      <c r="I98" s="409" t="e">
        <f t="shared" ca="1" si="108"/>
        <v>#N/A</v>
      </c>
      <c r="J98" s="409" t="e">
        <f t="shared" ca="1" si="108"/>
        <v>#N/A</v>
      </c>
      <c r="K98" s="409" t="e">
        <f t="shared" ca="1" si="108"/>
        <v>#N/A</v>
      </c>
      <c r="L98" s="409" t="e">
        <f t="shared" ca="1" si="108"/>
        <v>#N/A</v>
      </c>
      <c r="M98" s="409" t="e">
        <f t="shared" ca="1" si="108"/>
        <v>#N/A</v>
      </c>
      <c r="N98" s="409" t="e">
        <f t="shared" ca="1" si="108"/>
        <v>#N/A</v>
      </c>
      <c r="O98" s="409" t="e">
        <f t="shared" ca="1" si="108"/>
        <v>#N/A</v>
      </c>
      <c r="P98" s="409" t="e">
        <f t="shared" ca="1" si="108"/>
        <v>#N/A</v>
      </c>
      <c r="Q98" s="409" t="e">
        <f t="shared" ca="1" si="108"/>
        <v>#N/A</v>
      </c>
      <c r="R98" s="409" t="e">
        <f t="shared" ca="1" si="108"/>
        <v>#N/A</v>
      </c>
      <c r="S98" s="409" t="e">
        <f t="shared" ca="1" si="108"/>
        <v>#N/A</v>
      </c>
      <c r="T98" s="409" t="e">
        <f t="shared" ca="1" si="108"/>
        <v>#N/A</v>
      </c>
      <c r="U98" s="409" t="e">
        <f t="shared" ca="1" si="108"/>
        <v>#N/A</v>
      </c>
      <c r="V98" s="409" t="e">
        <f t="shared" ca="1" si="108"/>
        <v>#N/A</v>
      </c>
      <c r="BS98" s="416" t="s">
        <v>83</v>
      </c>
      <c r="BT98" s="184" t="s">
        <v>836</v>
      </c>
      <c r="CA98"/>
      <c r="CB98" s="1491" t="str">
        <f>IF(Language="English", 'Language Look Ups'!$O$25,IF(Language="Francais", 'Language Look Ups'!$S$25, 'Language Look Ups'!CE$25))</f>
        <v>Autres Méthodes Modernes</v>
      </c>
      <c r="CC98" s="363" t="str">
        <f>IF(Language="English", 'Language Look Ups'!$P$25,IF(Language="Francais", 'Language Look Ups'!$T$25, 'Language Look Ups'!$R$25))</f>
        <v>MAMA</v>
      </c>
      <c r="CD98" s="409" t="e">
        <f t="shared" ca="1" si="109"/>
        <v>#N/A</v>
      </c>
      <c r="CE98" s="409" t="e">
        <f t="shared" ca="1" si="110"/>
        <v>#N/A</v>
      </c>
      <c r="CF98" s="409" t="e">
        <f t="shared" ca="1" si="111"/>
        <v>#N/A</v>
      </c>
      <c r="CG98" s="409" t="e">
        <f t="shared" ca="1" si="112"/>
        <v>#N/A</v>
      </c>
      <c r="CH98" s="409" t="e">
        <f t="shared" ca="1" si="113"/>
        <v>#N/A</v>
      </c>
      <c r="CI98" s="409" t="e">
        <f t="shared" ca="1" si="114"/>
        <v>#N/A</v>
      </c>
      <c r="CJ98" s="409" t="e">
        <f t="shared" ca="1" si="115"/>
        <v>#N/A</v>
      </c>
      <c r="CK98" s="409" t="e">
        <f t="shared" ca="1" si="116"/>
        <v>#N/A</v>
      </c>
      <c r="CL98" s="409" t="e">
        <f t="shared" ca="1" si="117"/>
        <v>#N/A</v>
      </c>
      <c r="CM98" s="409" t="e">
        <f t="shared" ca="1" si="118"/>
        <v>#N/A</v>
      </c>
      <c r="CN98" s="409" t="e">
        <f t="shared" ca="1" si="119"/>
        <v>#N/A</v>
      </c>
      <c r="CO98" s="409" t="e">
        <f t="shared" ca="1" si="120"/>
        <v>#N/A</v>
      </c>
      <c r="CP98" s="409" t="e">
        <f t="shared" ca="1" si="121"/>
        <v>#N/A</v>
      </c>
      <c r="CQ98" s="409" t="e">
        <f t="shared" ca="1" si="122"/>
        <v>#N/A</v>
      </c>
      <c r="CR98" s="409" t="e">
        <f t="shared" ca="1" si="123"/>
        <v>#N/A</v>
      </c>
      <c r="CS98" s="409" t="e">
        <f t="shared" ca="1" si="124"/>
        <v>#N/A</v>
      </c>
      <c r="CT98" s="409" t="e">
        <f t="shared" si="125"/>
        <v>#N/A</v>
      </c>
      <c r="DB98" s="409" t="e">
        <f t="shared" si="126"/>
        <v>#N/A</v>
      </c>
      <c r="DC98" s="409" t="e">
        <f t="shared" si="127"/>
        <v>#N/A</v>
      </c>
      <c r="DD98" s="409" t="e">
        <f t="shared" si="128"/>
        <v>#N/A</v>
      </c>
      <c r="DE98" s="409" t="e">
        <f t="shared" si="129"/>
        <v>#N/A</v>
      </c>
    </row>
    <row r="99" spans="2:109" ht="17.25" hidden="1" customHeight="1" outlineLevel="1" x14ac:dyDescent="0.25">
      <c r="B99" s="1492"/>
      <c r="C99" s="277" t="str">
        <f>IF(Language="English", 'Language Look Ups'!$P$26,IF(Language="Francais", 'Language Look Ups'!$T$26, 'Language Look Ups'!$R$26))</f>
        <v>MJF (Jours fixes)</v>
      </c>
      <c r="D99" s="278" t="e">
        <f t="shared" si="106"/>
        <v>#N/A</v>
      </c>
      <c r="E99" s="101" t="e">
        <f t="shared" ref="E99:F99" si="140">E47</f>
        <v>#N/A</v>
      </c>
      <c r="F99" s="102" t="e">
        <f t="shared" si="140"/>
        <v>#N/A</v>
      </c>
      <c r="G99" s="282" t="e">
        <f t="shared" ca="1" si="108"/>
        <v>#N/A</v>
      </c>
      <c r="H99" s="282" t="e">
        <f t="shared" ca="1" si="108"/>
        <v>#N/A</v>
      </c>
      <c r="I99" s="282" t="e">
        <f t="shared" ca="1" si="108"/>
        <v>#N/A</v>
      </c>
      <c r="J99" s="282" t="e">
        <f t="shared" ca="1" si="108"/>
        <v>#N/A</v>
      </c>
      <c r="K99" s="282" t="e">
        <f t="shared" ca="1" si="108"/>
        <v>#N/A</v>
      </c>
      <c r="L99" s="282" t="e">
        <f t="shared" ca="1" si="108"/>
        <v>#N/A</v>
      </c>
      <c r="M99" s="282" t="e">
        <f t="shared" ca="1" si="108"/>
        <v>#N/A</v>
      </c>
      <c r="N99" s="282" t="e">
        <f t="shared" ca="1" si="108"/>
        <v>#N/A</v>
      </c>
      <c r="O99" s="282" t="e">
        <f t="shared" ca="1" si="108"/>
        <v>#N/A</v>
      </c>
      <c r="P99" s="282" t="e">
        <f t="shared" ca="1" si="108"/>
        <v>#N/A</v>
      </c>
      <c r="Q99" s="282" t="e">
        <f t="shared" ca="1" si="108"/>
        <v>#N/A</v>
      </c>
      <c r="R99" s="282" t="e">
        <f t="shared" ca="1" si="108"/>
        <v>#N/A</v>
      </c>
      <c r="S99" s="282" t="e">
        <f t="shared" ca="1" si="108"/>
        <v>#N/A</v>
      </c>
      <c r="T99" s="282" t="e">
        <f t="shared" ca="1" si="108"/>
        <v>#N/A</v>
      </c>
      <c r="U99" s="282" t="e">
        <f t="shared" ca="1" si="108"/>
        <v>#N/A</v>
      </c>
      <c r="V99" s="282" t="e">
        <f t="shared" ca="1" si="108"/>
        <v>#N/A</v>
      </c>
      <c r="BS99" s="102" t="s">
        <v>9</v>
      </c>
      <c r="BT99" s="184" t="s">
        <v>835</v>
      </c>
      <c r="CA99"/>
      <c r="CB99" s="1492"/>
      <c r="CC99" s="277" t="str">
        <f>IF(Language="English", 'Language Look Ups'!$P$26,IF(Language="Francais", 'Language Look Ups'!$T$26, 'Language Look Ups'!$R$26))</f>
        <v>MJF (Jours fixes)</v>
      </c>
      <c r="CD99" s="409" t="e">
        <f t="shared" ca="1" si="109"/>
        <v>#N/A</v>
      </c>
      <c r="CE99" s="409" t="e">
        <f t="shared" ca="1" si="110"/>
        <v>#N/A</v>
      </c>
      <c r="CF99" s="409" t="e">
        <f t="shared" ca="1" si="111"/>
        <v>#N/A</v>
      </c>
      <c r="CG99" s="409" t="e">
        <f t="shared" ca="1" si="112"/>
        <v>#N/A</v>
      </c>
      <c r="CH99" s="409" t="e">
        <f t="shared" ca="1" si="113"/>
        <v>#N/A</v>
      </c>
      <c r="CI99" s="409" t="e">
        <f t="shared" ca="1" si="114"/>
        <v>#N/A</v>
      </c>
      <c r="CJ99" s="409" t="e">
        <f t="shared" ca="1" si="115"/>
        <v>#N/A</v>
      </c>
      <c r="CK99" s="409" t="e">
        <f t="shared" ca="1" si="116"/>
        <v>#N/A</v>
      </c>
      <c r="CL99" s="409" t="e">
        <f t="shared" ca="1" si="117"/>
        <v>#N/A</v>
      </c>
      <c r="CM99" s="409" t="e">
        <f t="shared" ca="1" si="118"/>
        <v>#N/A</v>
      </c>
      <c r="CN99" s="409" t="e">
        <f t="shared" ca="1" si="119"/>
        <v>#N/A</v>
      </c>
      <c r="CO99" s="409" t="e">
        <f t="shared" ca="1" si="120"/>
        <v>#N/A</v>
      </c>
      <c r="CP99" s="409" t="e">
        <f t="shared" ca="1" si="121"/>
        <v>#N/A</v>
      </c>
      <c r="CQ99" s="409" t="e">
        <f t="shared" ca="1" si="122"/>
        <v>#N/A</v>
      </c>
      <c r="CR99" s="409" t="e">
        <f t="shared" ca="1" si="123"/>
        <v>#N/A</v>
      </c>
      <c r="CS99" s="409" t="e">
        <f t="shared" ca="1" si="124"/>
        <v>#N/A</v>
      </c>
      <c r="CT99" s="409" t="e">
        <f t="shared" si="125"/>
        <v>#N/A</v>
      </c>
      <c r="DB99" s="409" t="e">
        <f t="shared" si="126"/>
        <v>#N/A</v>
      </c>
      <c r="DC99" s="409" t="e">
        <f t="shared" si="127"/>
        <v>#N/A</v>
      </c>
      <c r="DD99" s="409" t="e">
        <f t="shared" si="128"/>
        <v>#N/A</v>
      </c>
      <c r="DE99" s="409" t="e">
        <f t="shared" si="129"/>
        <v>#N/A</v>
      </c>
    </row>
    <row r="100" spans="2:109" ht="17.25" hidden="1" customHeight="1" outlineLevel="1" x14ac:dyDescent="0.25">
      <c r="B100" s="1492"/>
      <c r="C100" s="277" t="str">
        <f>IF(Language="English", 'Language Look Ups'!$P$27,IF(Language="Francais", 'Language Look Ups'!$T$27, 'Language Look Ups'!$R$27))</f>
        <v>Barrière vaginale</v>
      </c>
      <c r="D100" s="278" t="e">
        <f t="shared" si="106"/>
        <v>#N/A</v>
      </c>
      <c r="E100" s="101" t="e">
        <f t="shared" ref="E100:F100" si="141">E48</f>
        <v>#N/A</v>
      </c>
      <c r="F100" s="102" t="e">
        <f t="shared" si="141"/>
        <v>#N/A</v>
      </c>
      <c r="G100" s="282" t="e">
        <f t="shared" ca="1" si="108"/>
        <v>#N/A</v>
      </c>
      <c r="H100" s="282" t="e">
        <f t="shared" ca="1" si="108"/>
        <v>#N/A</v>
      </c>
      <c r="I100" s="282" t="e">
        <f t="shared" ca="1" si="108"/>
        <v>#N/A</v>
      </c>
      <c r="J100" s="282" t="e">
        <f t="shared" ca="1" si="108"/>
        <v>#N/A</v>
      </c>
      <c r="K100" s="282" t="e">
        <f t="shared" ca="1" si="108"/>
        <v>#N/A</v>
      </c>
      <c r="L100" s="282" t="e">
        <f t="shared" ca="1" si="108"/>
        <v>#N/A</v>
      </c>
      <c r="M100" s="282" t="e">
        <f t="shared" ca="1" si="108"/>
        <v>#N/A</v>
      </c>
      <c r="N100" s="282" t="e">
        <f t="shared" ca="1" si="108"/>
        <v>#N/A</v>
      </c>
      <c r="O100" s="282" t="e">
        <f t="shared" ca="1" si="108"/>
        <v>#N/A</v>
      </c>
      <c r="P100" s="282" t="e">
        <f t="shared" ca="1" si="108"/>
        <v>#N/A</v>
      </c>
      <c r="Q100" s="282" t="e">
        <f t="shared" ca="1" si="108"/>
        <v>#N/A</v>
      </c>
      <c r="R100" s="282" t="e">
        <f t="shared" ca="1" si="108"/>
        <v>#N/A</v>
      </c>
      <c r="S100" s="282" t="e">
        <f t="shared" ca="1" si="108"/>
        <v>#N/A</v>
      </c>
      <c r="T100" s="282" t="e">
        <f t="shared" ca="1" si="108"/>
        <v>#N/A</v>
      </c>
      <c r="U100" s="282" t="e">
        <f t="shared" ca="1" si="108"/>
        <v>#N/A</v>
      </c>
      <c r="V100" s="282" t="e">
        <f t="shared" ca="1" si="108"/>
        <v>#N/A</v>
      </c>
      <c r="BS100" s="102" t="s">
        <v>83</v>
      </c>
      <c r="BT100" s="184" t="s">
        <v>836</v>
      </c>
      <c r="CA100"/>
      <c r="CB100" s="1492"/>
      <c r="CC100" s="277" t="str">
        <f>IF(Language="English", 'Language Look Ups'!$P$27,IF(Language="Francais", 'Language Look Ups'!$T$27, 'Language Look Ups'!$R$27))</f>
        <v>Barrière vaginale</v>
      </c>
      <c r="CD100" s="409" t="e">
        <f t="shared" ca="1" si="109"/>
        <v>#N/A</v>
      </c>
      <c r="CE100" s="409" t="e">
        <f t="shared" ca="1" si="110"/>
        <v>#N/A</v>
      </c>
      <c r="CF100" s="409" t="e">
        <f t="shared" ca="1" si="111"/>
        <v>#N/A</v>
      </c>
      <c r="CG100" s="409" t="e">
        <f t="shared" ca="1" si="112"/>
        <v>#N/A</v>
      </c>
      <c r="CH100" s="409" t="e">
        <f t="shared" ca="1" si="113"/>
        <v>#N/A</v>
      </c>
      <c r="CI100" s="409" t="e">
        <f t="shared" ca="1" si="114"/>
        <v>#N/A</v>
      </c>
      <c r="CJ100" s="409" t="e">
        <f t="shared" ca="1" si="115"/>
        <v>#N/A</v>
      </c>
      <c r="CK100" s="409" t="e">
        <f t="shared" ca="1" si="116"/>
        <v>#N/A</v>
      </c>
      <c r="CL100" s="409" t="e">
        <f t="shared" ca="1" si="117"/>
        <v>#N/A</v>
      </c>
      <c r="CM100" s="409" t="e">
        <f t="shared" ca="1" si="118"/>
        <v>#N/A</v>
      </c>
      <c r="CN100" s="409" t="e">
        <f t="shared" ca="1" si="119"/>
        <v>#N/A</v>
      </c>
      <c r="CO100" s="409" t="e">
        <f t="shared" ca="1" si="120"/>
        <v>#N/A</v>
      </c>
      <c r="CP100" s="409" t="e">
        <f t="shared" ca="1" si="121"/>
        <v>#N/A</v>
      </c>
      <c r="CQ100" s="409" t="e">
        <f t="shared" ca="1" si="122"/>
        <v>#N/A</v>
      </c>
      <c r="CR100" s="409" t="e">
        <f t="shared" ca="1" si="123"/>
        <v>#N/A</v>
      </c>
      <c r="CS100" s="409" t="e">
        <f t="shared" ca="1" si="124"/>
        <v>#N/A</v>
      </c>
      <c r="CT100" s="409" t="e">
        <f t="shared" si="125"/>
        <v>#N/A</v>
      </c>
      <c r="DB100" s="409" t="e">
        <f t="shared" si="126"/>
        <v>#N/A</v>
      </c>
      <c r="DC100" s="409" t="e">
        <f t="shared" si="127"/>
        <v>#N/A</v>
      </c>
      <c r="DD100" s="409" t="e">
        <f t="shared" si="128"/>
        <v>#N/A</v>
      </c>
      <c r="DE100" s="409" t="e">
        <f t="shared" si="129"/>
        <v>#N/A</v>
      </c>
    </row>
    <row r="101" spans="2:109" ht="15" hidden="1" customHeight="1" outlineLevel="1" x14ac:dyDescent="0.25">
      <c r="B101" s="1493"/>
      <c r="C101" s="275" t="str">
        <f>IF(Language="English", 'Language Look Ups'!$P$28,IF(Language="Francais", 'Language Look Ups'!$T$28, 'Language Look Ups'!$R$28))</f>
        <v>Spermicides</v>
      </c>
      <c r="D101" s="276" t="e">
        <f t="shared" si="106"/>
        <v>#N/A</v>
      </c>
      <c r="E101" s="99" t="e">
        <f t="shared" ref="E101:F101" si="142">E49</f>
        <v>#N/A</v>
      </c>
      <c r="F101" s="100" t="e">
        <f t="shared" si="142"/>
        <v>#N/A</v>
      </c>
      <c r="G101" s="284" t="e">
        <f t="shared" ca="1" si="108"/>
        <v>#N/A</v>
      </c>
      <c r="H101" s="284" t="e">
        <f t="shared" ca="1" si="108"/>
        <v>#N/A</v>
      </c>
      <c r="I101" s="284" t="e">
        <f t="shared" ca="1" si="108"/>
        <v>#N/A</v>
      </c>
      <c r="J101" s="284" t="e">
        <f t="shared" ca="1" si="108"/>
        <v>#N/A</v>
      </c>
      <c r="K101" s="284" t="e">
        <f t="shared" ca="1" si="108"/>
        <v>#N/A</v>
      </c>
      <c r="L101" s="284" t="e">
        <f t="shared" ca="1" si="108"/>
        <v>#N/A</v>
      </c>
      <c r="M101" s="284" t="e">
        <f t="shared" ca="1" si="108"/>
        <v>#N/A</v>
      </c>
      <c r="N101" s="284" t="e">
        <f t="shared" ca="1" si="108"/>
        <v>#N/A</v>
      </c>
      <c r="O101" s="284" t="e">
        <f t="shared" ca="1" si="108"/>
        <v>#N/A</v>
      </c>
      <c r="P101" s="284" t="e">
        <f t="shared" ca="1" si="108"/>
        <v>#N/A</v>
      </c>
      <c r="Q101" s="284" t="e">
        <f t="shared" ca="1" si="108"/>
        <v>#N/A</v>
      </c>
      <c r="R101" s="284" t="e">
        <f t="shared" ca="1" si="108"/>
        <v>#N/A</v>
      </c>
      <c r="S101" s="284" t="e">
        <f t="shared" ca="1" si="108"/>
        <v>#N/A</v>
      </c>
      <c r="T101" s="284" t="e">
        <f t="shared" ca="1" si="108"/>
        <v>#N/A</v>
      </c>
      <c r="U101" s="284" t="e">
        <f t="shared" ca="1" si="108"/>
        <v>#N/A</v>
      </c>
      <c r="V101" s="284" t="e">
        <f t="shared" ca="1" si="108"/>
        <v>#N/A</v>
      </c>
      <c r="BS101" s="100" t="s">
        <v>83</v>
      </c>
      <c r="BT101" s="184" t="s">
        <v>836</v>
      </c>
      <c r="CA101"/>
      <c r="CB101" s="1493"/>
      <c r="CC101" s="275" t="str">
        <f>IF(Language="English", 'Language Look Ups'!$P$28,IF(Language="Francais", 'Language Look Ups'!$T$28, 'Language Look Ups'!$R$28))</f>
        <v>Spermicides</v>
      </c>
      <c r="CD101" s="409" t="e">
        <f t="shared" ca="1" si="109"/>
        <v>#N/A</v>
      </c>
      <c r="CE101" s="409" t="e">
        <f t="shared" ca="1" si="110"/>
        <v>#N/A</v>
      </c>
      <c r="CF101" s="409" t="e">
        <f t="shared" ca="1" si="111"/>
        <v>#N/A</v>
      </c>
      <c r="CG101" s="409" t="e">
        <f t="shared" ca="1" si="112"/>
        <v>#N/A</v>
      </c>
      <c r="CH101" s="409" t="e">
        <f t="shared" ca="1" si="113"/>
        <v>#N/A</v>
      </c>
      <c r="CI101" s="409" t="e">
        <f t="shared" ca="1" si="114"/>
        <v>#N/A</v>
      </c>
      <c r="CJ101" s="409" t="e">
        <f t="shared" ca="1" si="115"/>
        <v>#N/A</v>
      </c>
      <c r="CK101" s="409" t="e">
        <f t="shared" ca="1" si="116"/>
        <v>#N/A</v>
      </c>
      <c r="CL101" s="409" t="e">
        <f t="shared" ca="1" si="117"/>
        <v>#N/A</v>
      </c>
      <c r="CM101" s="409" t="e">
        <f t="shared" ca="1" si="118"/>
        <v>#N/A</v>
      </c>
      <c r="CN101" s="409" t="e">
        <f t="shared" ca="1" si="119"/>
        <v>#N/A</v>
      </c>
      <c r="CO101" s="409" t="e">
        <f t="shared" ca="1" si="120"/>
        <v>#N/A</v>
      </c>
      <c r="CP101" s="409" t="e">
        <f t="shared" ca="1" si="121"/>
        <v>#N/A</v>
      </c>
      <c r="CQ101" s="409" t="e">
        <f t="shared" ca="1" si="122"/>
        <v>#N/A</v>
      </c>
      <c r="CR101" s="409" t="e">
        <f t="shared" ca="1" si="123"/>
        <v>#N/A</v>
      </c>
      <c r="CS101" s="409" t="e">
        <f t="shared" ca="1" si="124"/>
        <v>#N/A</v>
      </c>
      <c r="CT101" s="409" t="e">
        <f t="shared" si="125"/>
        <v>#N/A</v>
      </c>
      <c r="DB101" s="409" t="e">
        <f t="shared" si="126"/>
        <v>#N/A</v>
      </c>
      <c r="DC101" s="409" t="e">
        <f t="shared" si="127"/>
        <v>#N/A</v>
      </c>
      <c r="DD101" s="409" t="e">
        <f t="shared" si="128"/>
        <v>#N/A</v>
      </c>
      <c r="DE101" s="409" t="e">
        <f t="shared" si="129"/>
        <v>#N/A</v>
      </c>
    </row>
    <row r="102" spans="2:109" ht="33" hidden="1" customHeight="1" outlineLevel="1" thickBot="1" x14ac:dyDescent="0.3">
      <c r="B102" s="378" t="str">
        <f>IF(Language="English", 'Language Look Ups'!$O$29,IF(Language="Francais", 'Language Look Ups'!$S$29, 'Language Look Ups'!Q$29))</f>
        <v>Contraception d'urgence</v>
      </c>
      <c r="C102" s="397" t="str">
        <f>IF(Language="English", 'Language Look Ups'!$P$29,IF(Language="Francais", 'Language Look Ups'!$T$29, 'Language Look Ups'!$R$29))</f>
        <v>CU</v>
      </c>
      <c r="D102" s="417" t="e">
        <f t="shared" si="106"/>
        <v>#N/A</v>
      </c>
      <c r="E102" s="418" t="e">
        <f t="shared" ref="E102:F102" si="143">E50</f>
        <v>#N/A</v>
      </c>
      <c r="F102" s="419" t="e">
        <f t="shared" si="143"/>
        <v>#N/A</v>
      </c>
      <c r="G102" s="420" t="e">
        <f ca="1">VLOOKUP($C102, INDIRECT("'"&amp;$BP$6&amp;"$C$23:$V$46"), MATCH(G$77, INDIRECT("'"&amp;$BP$6&amp;"$C$21:$V$21"), 0), FALSE)</f>
        <v>#N/A</v>
      </c>
      <c r="H102" s="420" t="e">
        <f t="shared" ca="1" si="108"/>
        <v>#N/A</v>
      </c>
      <c r="I102" s="420" t="e">
        <f t="shared" ca="1" si="108"/>
        <v>#N/A</v>
      </c>
      <c r="J102" s="420" t="e">
        <f t="shared" ca="1" si="108"/>
        <v>#N/A</v>
      </c>
      <c r="K102" s="420" t="e">
        <f t="shared" ca="1" si="108"/>
        <v>#N/A</v>
      </c>
      <c r="L102" s="420" t="e">
        <f t="shared" ca="1" si="108"/>
        <v>#N/A</v>
      </c>
      <c r="M102" s="420" t="e">
        <f t="shared" ca="1" si="108"/>
        <v>#N/A</v>
      </c>
      <c r="N102" s="420" t="e">
        <f t="shared" ca="1" si="108"/>
        <v>#N/A</v>
      </c>
      <c r="O102" s="420" t="e">
        <f t="shared" ca="1" si="108"/>
        <v>#N/A</v>
      </c>
      <c r="P102" s="420" t="e">
        <f t="shared" ca="1" si="108"/>
        <v>#N/A</v>
      </c>
      <c r="Q102" s="420" t="e">
        <f t="shared" ca="1" si="108"/>
        <v>#N/A</v>
      </c>
      <c r="R102" s="420" t="e">
        <f t="shared" ca="1" si="108"/>
        <v>#N/A</v>
      </c>
      <c r="S102" s="420" t="e">
        <f t="shared" ca="1" si="108"/>
        <v>#N/A</v>
      </c>
      <c r="T102" s="420" t="e">
        <f t="shared" ca="1" si="108"/>
        <v>#N/A</v>
      </c>
      <c r="U102" s="420" t="e">
        <f t="shared" ca="1" si="108"/>
        <v>#N/A</v>
      </c>
      <c r="V102" s="420" t="e">
        <f t="shared" ca="1" si="108"/>
        <v>#N/A</v>
      </c>
      <c r="BS102" s="419" t="s">
        <v>83</v>
      </c>
      <c r="BT102" s="184" t="s">
        <v>836</v>
      </c>
      <c r="CA102"/>
      <c r="CB102" s="378" t="str">
        <f>IF(Language="English", 'Language Look Ups'!$O$29,IF(Language="Francais", 'Language Look Ups'!$S$29, 'Language Look Ups'!CE$29))</f>
        <v>Contraception d'urgence</v>
      </c>
      <c r="CC102" s="397" t="str">
        <f>IF(Language="English", 'Language Look Ups'!$P$29,IF(Language="Francais", 'Language Look Ups'!$T$29, 'Language Look Ups'!$R$29))</f>
        <v>CU</v>
      </c>
      <c r="CD102" s="409" t="e">
        <f t="shared" ca="1" si="109"/>
        <v>#N/A</v>
      </c>
      <c r="CE102" s="409" t="e">
        <f t="shared" ca="1" si="110"/>
        <v>#N/A</v>
      </c>
      <c r="CF102" s="409" t="e">
        <f t="shared" ca="1" si="111"/>
        <v>#N/A</v>
      </c>
      <c r="CG102" s="409" t="e">
        <f t="shared" ca="1" si="112"/>
        <v>#N/A</v>
      </c>
      <c r="CH102" s="409" t="e">
        <f t="shared" ca="1" si="113"/>
        <v>#N/A</v>
      </c>
      <c r="CI102" s="409" t="e">
        <f t="shared" ca="1" si="114"/>
        <v>#N/A</v>
      </c>
      <c r="CJ102" s="409" t="e">
        <f t="shared" ca="1" si="115"/>
        <v>#N/A</v>
      </c>
      <c r="CK102" s="409" t="e">
        <f t="shared" ca="1" si="116"/>
        <v>#N/A</v>
      </c>
      <c r="CL102" s="409" t="e">
        <f t="shared" ca="1" si="117"/>
        <v>#N/A</v>
      </c>
      <c r="CM102" s="409" t="e">
        <f t="shared" ca="1" si="118"/>
        <v>#N/A</v>
      </c>
      <c r="CN102" s="409" t="e">
        <f t="shared" ca="1" si="119"/>
        <v>#N/A</v>
      </c>
      <c r="CO102" s="409" t="e">
        <f t="shared" ca="1" si="120"/>
        <v>#N/A</v>
      </c>
      <c r="CP102" s="409" t="e">
        <f t="shared" ca="1" si="121"/>
        <v>#N/A</v>
      </c>
      <c r="CQ102" s="409" t="e">
        <f t="shared" ca="1" si="122"/>
        <v>#N/A</v>
      </c>
      <c r="CR102" s="409" t="e">
        <f t="shared" ca="1" si="123"/>
        <v>#N/A</v>
      </c>
      <c r="CS102" s="409" t="e">
        <f t="shared" ca="1" si="124"/>
        <v>#N/A</v>
      </c>
      <c r="CT102" s="409" t="e">
        <f t="shared" si="125"/>
        <v>#N/A</v>
      </c>
      <c r="DB102" s="409" t="e">
        <f t="shared" si="126"/>
        <v>#N/A</v>
      </c>
      <c r="DC102" s="409" t="e">
        <f t="shared" si="127"/>
        <v>#N/A</v>
      </c>
      <c r="DD102" s="409" t="e">
        <f t="shared" si="128"/>
        <v>#N/A</v>
      </c>
      <c r="DE102" s="409" t="e">
        <f t="shared" si="129"/>
        <v>#N/A</v>
      </c>
    </row>
    <row r="103" spans="2:109" ht="19.149999999999999" hidden="1" customHeight="1" outlineLevel="1" thickBot="1" x14ac:dyDescent="0.35">
      <c r="B103" s="429">
        <f>IF(Language="English",'Language Look Ups'!O85,'Language Look Ups'!S85)</f>
        <v>0</v>
      </c>
      <c r="C103" s="430"/>
      <c r="D103" s="430"/>
      <c r="E103" s="431"/>
      <c r="F103" s="432"/>
      <c r="G103" s="1305" t="e">
        <f ca="1">SUMPRODUCT(G79:G102, $E$79:$E$102)</f>
        <v>#N/A</v>
      </c>
      <c r="H103" s="1305" t="e">
        <f t="shared" ref="H103:V103" ca="1" si="144">SUMPRODUCT(H79:H102, $E$79:$E$102)</f>
        <v>#N/A</v>
      </c>
      <c r="I103" s="1305" t="e">
        <f t="shared" ca="1" si="144"/>
        <v>#N/A</v>
      </c>
      <c r="J103" s="1305" t="e">
        <f t="shared" ca="1" si="144"/>
        <v>#N/A</v>
      </c>
      <c r="K103" s="1305" t="e">
        <f t="shared" ca="1" si="144"/>
        <v>#N/A</v>
      </c>
      <c r="L103" s="1305" t="e">
        <f t="shared" ca="1" si="144"/>
        <v>#N/A</v>
      </c>
      <c r="M103" s="1305" t="e">
        <f t="shared" ca="1" si="144"/>
        <v>#N/A</v>
      </c>
      <c r="N103" s="1305" t="e">
        <f t="shared" ca="1" si="144"/>
        <v>#N/A</v>
      </c>
      <c r="O103" s="1305" t="e">
        <f t="shared" ca="1" si="144"/>
        <v>#N/A</v>
      </c>
      <c r="P103" s="1305" t="e">
        <f t="shared" ca="1" si="144"/>
        <v>#N/A</v>
      </c>
      <c r="Q103" s="1305" t="e">
        <f t="shared" ca="1" si="144"/>
        <v>#N/A</v>
      </c>
      <c r="R103" s="1305" t="e">
        <f t="shared" ca="1" si="144"/>
        <v>#N/A</v>
      </c>
      <c r="S103" s="1305" t="e">
        <f t="shared" ca="1" si="144"/>
        <v>#N/A</v>
      </c>
      <c r="T103" s="1305" t="e">
        <f t="shared" ca="1" si="144"/>
        <v>#N/A</v>
      </c>
      <c r="U103" s="1305" t="e">
        <f t="shared" ca="1" si="144"/>
        <v>#N/A</v>
      </c>
      <c r="V103" s="1305" t="e">
        <f t="shared" ca="1" si="144"/>
        <v>#N/A</v>
      </c>
      <c r="CA103"/>
      <c r="CB103" s="429">
        <f>IF(Language="English",'Language Look Ups'!CC85,'Language Look Ups'!CG85)</f>
        <v>0</v>
      </c>
      <c r="CC103" s="430"/>
      <c r="CD103" s="433" t="e">
        <f ca="1">SUM(CD79:CD102)</f>
        <v>#N/A</v>
      </c>
      <c r="CE103" s="433" t="e">
        <f t="shared" ref="CE103:CS103" ca="1" si="145">SUM(CE79:CE102)</f>
        <v>#N/A</v>
      </c>
      <c r="CF103" s="433" t="e">
        <f t="shared" ca="1" si="145"/>
        <v>#N/A</v>
      </c>
      <c r="CG103" s="433" t="e">
        <f t="shared" ca="1" si="145"/>
        <v>#N/A</v>
      </c>
      <c r="CH103" s="433" t="e">
        <f t="shared" ca="1" si="145"/>
        <v>#N/A</v>
      </c>
      <c r="CI103" s="433" t="e">
        <f t="shared" ca="1" si="145"/>
        <v>#N/A</v>
      </c>
      <c r="CJ103" s="433" t="e">
        <f t="shared" ca="1" si="145"/>
        <v>#N/A</v>
      </c>
      <c r="CK103" s="433" t="e">
        <f t="shared" ca="1" si="145"/>
        <v>#N/A</v>
      </c>
      <c r="CL103" s="433" t="e">
        <f t="shared" ca="1" si="145"/>
        <v>#N/A</v>
      </c>
      <c r="CM103" s="433" t="e">
        <f t="shared" ca="1" si="145"/>
        <v>#N/A</v>
      </c>
      <c r="CN103" s="433" t="e">
        <f t="shared" ca="1" si="145"/>
        <v>#N/A</v>
      </c>
      <c r="CO103" s="433" t="e">
        <f t="shared" ca="1" si="145"/>
        <v>#N/A</v>
      </c>
      <c r="CP103" s="433" t="e">
        <f t="shared" ca="1" si="145"/>
        <v>#N/A</v>
      </c>
      <c r="CQ103" s="433" t="e">
        <f t="shared" ca="1" si="145"/>
        <v>#N/A</v>
      </c>
      <c r="CR103" s="433" t="e">
        <f t="shared" ca="1" si="145"/>
        <v>#N/A</v>
      </c>
      <c r="CS103" s="433" t="e">
        <f t="shared" ca="1" si="145"/>
        <v>#N/A</v>
      </c>
      <c r="CT103" s="433" t="e">
        <f t="shared" ref="CT103" si="146">SUM(CT79:CT102)</f>
        <v>#N/A</v>
      </c>
      <c r="DB103" s="433" t="e">
        <f t="shared" ref="DB103:DE103" si="147">SUM(DB79:DB102)</f>
        <v>#N/A</v>
      </c>
      <c r="DC103" s="433" t="e">
        <f t="shared" si="147"/>
        <v>#N/A</v>
      </c>
      <c r="DD103" s="433" t="e">
        <f t="shared" si="147"/>
        <v>#N/A</v>
      </c>
      <c r="DE103" s="433" t="e">
        <f t="shared" si="147"/>
        <v>#N/A</v>
      </c>
    </row>
    <row r="104" spans="2:109" hidden="1" outlineLevel="1" x14ac:dyDescent="0.25">
      <c r="C104" t="str">
        <f>IF(Language="English", $BS$104, $BT$104)</f>
        <v>Les taux de complétude</v>
      </c>
      <c r="G104" s="1302" t="e">
        <f ca="1">HLOOKUP(G$77, INDIRECT("'"&amp;$BP$6&amp;"$G$9:$V$10"), 2, FALSE)</f>
        <v>#N/A</v>
      </c>
      <c r="H104" s="1302" t="e">
        <f t="shared" ref="H104:V104" ca="1" si="148">HLOOKUP(H$77, INDIRECT("'"&amp;$BP$6&amp;"$G$9:$V$10"), 2, FALSE)</f>
        <v>#N/A</v>
      </c>
      <c r="I104" s="1302" t="e">
        <f t="shared" ca="1" si="148"/>
        <v>#N/A</v>
      </c>
      <c r="J104" s="1302" t="e">
        <f t="shared" ca="1" si="148"/>
        <v>#N/A</v>
      </c>
      <c r="K104" s="1302" t="e">
        <f t="shared" ca="1" si="148"/>
        <v>#N/A</v>
      </c>
      <c r="L104" s="1302" t="e">
        <f t="shared" ca="1" si="148"/>
        <v>#N/A</v>
      </c>
      <c r="M104" s="1302" t="e">
        <f t="shared" ca="1" si="148"/>
        <v>#N/A</v>
      </c>
      <c r="N104" s="1302" t="e">
        <f t="shared" ca="1" si="148"/>
        <v>#N/A</v>
      </c>
      <c r="O104" s="1302" t="e">
        <f t="shared" ca="1" si="148"/>
        <v>#N/A</v>
      </c>
      <c r="P104" s="1302" t="e">
        <f t="shared" ca="1" si="148"/>
        <v>#N/A</v>
      </c>
      <c r="Q104" s="1302" t="e">
        <f t="shared" ca="1" si="148"/>
        <v>#N/A</v>
      </c>
      <c r="R104" s="1302" t="e">
        <f t="shared" ca="1" si="148"/>
        <v>#N/A</v>
      </c>
      <c r="S104" s="1302" t="e">
        <f t="shared" ca="1" si="148"/>
        <v>#N/A</v>
      </c>
      <c r="T104" s="1302" t="e">
        <f t="shared" ca="1" si="148"/>
        <v>#N/A</v>
      </c>
      <c r="U104" s="1302" t="e">
        <f t="shared" ca="1" si="148"/>
        <v>#N/A</v>
      </c>
      <c r="V104" s="1302" t="e">
        <f t="shared" ca="1" si="148"/>
        <v>#N/A</v>
      </c>
      <c r="BS104" s="184" t="s">
        <v>85</v>
      </c>
      <c r="BT104" s="184" t="s">
        <v>2472</v>
      </c>
      <c r="CA104"/>
    </row>
    <row r="105" spans="2:109" ht="15.75" hidden="1" outlineLevel="1" thickBot="1" x14ac:dyDescent="0.3">
      <c r="B105" s="1" t="s">
        <v>2064</v>
      </c>
    </row>
    <row r="106" spans="2:109" ht="23.25" hidden="1" outlineLevel="1" x14ac:dyDescent="0.35">
      <c r="B106" s="1"/>
      <c r="C106" s="1"/>
      <c r="D106" s="1521"/>
      <c r="E106" s="1521"/>
      <c r="F106" s="1605"/>
      <c r="G106" s="423"/>
      <c r="H106" s="424"/>
      <c r="I106" s="424"/>
      <c r="J106" s="424"/>
      <c r="K106" s="424"/>
      <c r="L106" s="424"/>
      <c r="M106" s="424"/>
      <c r="N106" s="424"/>
      <c r="O106" s="424"/>
      <c r="P106" s="424"/>
      <c r="Q106" s="424"/>
      <c r="R106" s="424"/>
      <c r="S106" s="424"/>
      <c r="T106" s="424"/>
      <c r="U106" s="424"/>
      <c r="V106" s="425"/>
    </row>
    <row r="107" spans="2:109" ht="15.75" hidden="1" outlineLevel="1" thickBot="1" x14ac:dyDescent="0.3">
      <c r="B107" s="1515" t="s">
        <v>6</v>
      </c>
      <c r="C107" s="1515"/>
      <c r="D107" s="98" t="s">
        <v>8</v>
      </c>
      <c r="E107" s="229"/>
      <c r="F107" s="229" t="s">
        <v>84</v>
      </c>
      <c r="G107" s="426" t="e">
        <f ca="1">G77</f>
        <v>#N/A</v>
      </c>
      <c r="H107" s="426" t="e">
        <f t="shared" ref="H107:V107" ca="1" si="149">H77</f>
        <v>#N/A</v>
      </c>
      <c r="I107" s="426" t="e">
        <f t="shared" ca="1" si="149"/>
        <v>#N/A</v>
      </c>
      <c r="J107" s="426" t="e">
        <f t="shared" ca="1" si="149"/>
        <v>#N/A</v>
      </c>
      <c r="K107" s="426" t="e">
        <f t="shared" ca="1" si="149"/>
        <v>#N/A</v>
      </c>
      <c r="L107" s="426" t="e">
        <f t="shared" ca="1" si="149"/>
        <v>#N/A</v>
      </c>
      <c r="M107" s="426" t="e">
        <f t="shared" ca="1" si="149"/>
        <v>#N/A</v>
      </c>
      <c r="N107" s="426" t="e">
        <f t="shared" ca="1" si="149"/>
        <v>#N/A</v>
      </c>
      <c r="O107" s="426" t="e">
        <f t="shared" ca="1" si="149"/>
        <v>#N/A</v>
      </c>
      <c r="P107" s="426" t="e">
        <f t="shared" ca="1" si="149"/>
        <v>#N/A</v>
      </c>
      <c r="Q107" s="426" t="e">
        <f t="shared" ca="1" si="149"/>
        <v>#N/A</v>
      </c>
      <c r="R107" s="426" t="e">
        <f t="shared" ca="1" si="149"/>
        <v>#N/A</v>
      </c>
      <c r="S107" s="426" t="e">
        <f t="shared" ca="1" si="149"/>
        <v>#N/A</v>
      </c>
      <c r="T107" s="426" t="e">
        <f t="shared" ca="1" si="149"/>
        <v>#N/A</v>
      </c>
      <c r="U107" s="426" t="e">
        <f t="shared" ca="1" si="149"/>
        <v>#N/A</v>
      </c>
      <c r="V107" s="426" t="e">
        <f t="shared" ca="1" si="149"/>
        <v>#N/A</v>
      </c>
    </row>
    <row r="108" spans="2:109" ht="18.75" hidden="1" outlineLevel="1" x14ac:dyDescent="0.25">
      <c r="B108" s="415" t="str">
        <f>IF(Language="English", 'Language Look Ups'!$O$5,IF(Language="Francais", 'Language Look Ups'!$S$5,  'Language Look Ups'!$Q$5))</f>
        <v>Méthodes à Long Terme et Permanentes</v>
      </c>
      <c r="C108" s="401"/>
      <c r="D108" s="402"/>
      <c r="E108" s="403"/>
      <c r="F108" s="177"/>
      <c r="G108" s="404"/>
      <c r="H108" s="405"/>
      <c r="I108" s="404"/>
      <c r="J108" s="405"/>
      <c r="K108" s="404"/>
      <c r="L108" s="405"/>
      <c r="M108" s="404"/>
      <c r="N108" s="405"/>
      <c r="O108" s="404"/>
      <c r="P108" s="405"/>
      <c r="Q108" s="404"/>
      <c r="R108" s="405"/>
      <c r="S108" s="404"/>
      <c r="T108" s="405"/>
      <c r="U108" s="404"/>
      <c r="V108" s="406"/>
    </row>
    <row r="109" spans="2:109" hidden="1" outlineLevel="1" x14ac:dyDescent="0.25">
      <c r="B109" s="1480" t="str">
        <f>IF(Language="English",'Language Look Ups'!$O$6,IF(Language="Francais",'Language Look Ups'!$S$6,'Language Look Ups'!$Q$6))</f>
        <v>Stérilisation</v>
      </c>
      <c r="C109" s="363" t="str">
        <f>IF(Language="English", 'Language Look Ups'!$P$6,IF(Language="Francais", 'Language Look Ups'!$T$6, 'Language Look Ups'!$R$6))</f>
        <v>Ligature des trompes</v>
      </c>
      <c r="D109" s="407">
        <f>IF(OR(Country_Selected="India", Country_Selected = "Bangladesh", Country_Selected="Nepal"), 13, 10)</f>
        <v>10</v>
      </c>
      <c r="E109" s="408">
        <f>D109</f>
        <v>10</v>
      </c>
      <c r="F109" s="416">
        <f t="shared" ref="F109:F115" si="150">IF(Language="English", BS109, BT109)</f>
        <v>0</v>
      </c>
      <c r="G109" s="409" t="e">
        <f ca="1">G79/12</f>
        <v>#N/A</v>
      </c>
      <c r="H109" s="409" t="e">
        <f t="shared" ref="H109:V109" ca="1" si="151">H79/12</f>
        <v>#N/A</v>
      </c>
      <c r="I109" s="409" t="e">
        <f t="shared" ca="1" si="151"/>
        <v>#N/A</v>
      </c>
      <c r="J109" s="409" t="e">
        <f t="shared" ca="1" si="151"/>
        <v>#N/A</v>
      </c>
      <c r="K109" s="409" t="e">
        <f t="shared" ca="1" si="151"/>
        <v>#N/A</v>
      </c>
      <c r="L109" s="409" t="e">
        <f t="shared" ca="1" si="151"/>
        <v>#N/A</v>
      </c>
      <c r="M109" s="409" t="e">
        <f t="shared" ca="1" si="151"/>
        <v>#N/A</v>
      </c>
      <c r="N109" s="409" t="e">
        <f t="shared" ca="1" si="151"/>
        <v>#N/A</v>
      </c>
      <c r="O109" s="409" t="e">
        <f t="shared" ca="1" si="151"/>
        <v>#N/A</v>
      </c>
      <c r="P109" s="409" t="e">
        <f t="shared" ca="1" si="151"/>
        <v>#N/A</v>
      </c>
      <c r="Q109" s="409" t="e">
        <f t="shared" ca="1" si="151"/>
        <v>#N/A</v>
      </c>
      <c r="R109" s="409" t="e">
        <f t="shared" ca="1" si="151"/>
        <v>#N/A</v>
      </c>
      <c r="S109" s="409" t="e">
        <f t="shared" ca="1" si="151"/>
        <v>#N/A</v>
      </c>
      <c r="T109" s="409" t="e">
        <f t="shared" ca="1" si="151"/>
        <v>#N/A</v>
      </c>
      <c r="U109" s="409" t="e">
        <f t="shared" ca="1" si="151"/>
        <v>#N/A</v>
      </c>
      <c r="V109" s="409" t="e">
        <f t="shared" ca="1" si="151"/>
        <v>#N/A</v>
      </c>
    </row>
    <row r="110" spans="2:109" hidden="1" outlineLevel="1" x14ac:dyDescent="0.25">
      <c r="B110" s="1481"/>
      <c r="C110" s="275" t="str">
        <f>IF(Language="English",'Language Look Ups'!$P$7,IF(Language="Francais",'Language Look Ups'!$T$7,'Language Look Ups'!$R$7))</f>
        <v>Vasectomie</v>
      </c>
      <c r="D110" s="276">
        <f>IF(OR(Country_Selected="India", Country_Selected = "Bangladesh", Country_Selected="Nepal"), 13, 10)</f>
        <v>10</v>
      </c>
      <c r="E110" s="99">
        <f t="shared" ref="E110:E115" si="152">D110</f>
        <v>10</v>
      </c>
      <c r="F110" s="100">
        <f t="shared" si="150"/>
        <v>0</v>
      </c>
      <c r="G110" s="409" t="e">
        <f t="shared" ref="G110:V115" ca="1" si="153">G80/12</f>
        <v>#N/A</v>
      </c>
      <c r="H110" s="409" t="e">
        <f t="shared" ca="1" si="153"/>
        <v>#N/A</v>
      </c>
      <c r="I110" s="409" t="e">
        <f t="shared" ca="1" si="153"/>
        <v>#N/A</v>
      </c>
      <c r="J110" s="409" t="e">
        <f t="shared" ca="1" si="153"/>
        <v>#N/A</v>
      </c>
      <c r="K110" s="409" t="e">
        <f t="shared" ca="1" si="153"/>
        <v>#N/A</v>
      </c>
      <c r="L110" s="409" t="e">
        <f t="shared" ca="1" si="153"/>
        <v>#N/A</v>
      </c>
      <c r="M110" s="409" t="e">
        <f t="shared" ca="1" si="153"/>
        <v>#N/A</v>
      </c>
      <c r="N110" s="409" t="e">
        <f t="shared" ca="1" si="153"/>
        <v>#N/A</v>
      </c>
      <c r="O110" s="409" t="e">
        <f t="shared" ca="1" si="153"/>
        <v>#N/A</v>
      </c>
      <c r="P110" s="409" t="e">
        <f t="shared" ca="1" si="153"/>
        <v>#N/A</v>
      </c>
      <c r="Q110" s="409" t="e">
        <f t="shared" ca="1" si="153"/>
        <v>#N/A</v>
      </c>
      <c r="R110" s="409" t="e">
        <f t="shared" ca="1" si="153"/>
        <v>#N/A</v>
      </c>
      <c r="S110" s="409" t="e">
        <f t="shared" ca="1" si="153"/>
        <v>#N/A</v>
      </c>
      <c r="T110" s="409" t="e">
        <f t="shared" ca="1" si="153"/>
        <v>#N/A</v>
      </c>
      <c r="U110" s="409" t="e">
        <f t="shared" ca="1" si="153"/>
        <v>#N/A</v>
      </c>
      <c r="V110" s="409" t="e">
        <f t="shared" ca="1" si="153"/>
        <v>#N/A</v>
      </c>
    </row>
    <row r="111" spans="2:109" hidden="1" outlineLevel="1" x14ac:dyDescent="0.25">
      <c r="B111" s="1480" t="str">
        <f>IF(Language="English", 'Language Look Ups'!$O$8,IF(Language="Francais", 'Language Look Ups'!$S$8, 'Language Look Ups'!$Q$8))</f>
        <v>DIU</v>
      </c>
      <c r="C111" s="363" t="str">
        <f>IF(Language="English", 'Language Look Ups'!$P$8,IF(Language="Francais", 'Language Look Ups'!$T$8, 'Language Look Ups'!$R$8))</f>
        <v>Copper- T 380-A DIU</v>
      </c>
      <c r="D111" s="407">
        <v>4.5999999999999996</v>
      </c>
      <c r="E111" s="408">
        <f t="shared" si="152"/>
        <v>4.5999999999999996</v>
      </c>
      <c r="F111" s="416">
        <f t="shared" si="150"/>
        <v>0</v>
      </c>
      <c r="G111" s="409" t="e">
        <f t="shared" ca="1" si="153"/>
        <v>#N/A</v>
      </c>
      <c r="H111" s="409" t="e">
        <f t="shared" ca="1" si="153"/>
        <v>#N/A</v>
      </c>
      <c r="I111" s="409" t="e">
        <f t="shared" ca="1" si="153"/>
        <v>#N/A</v>
      </c>
      <c r="J111" s="409" t="e">
        <f t="shared" ca="1" si="153"/>
        <v>#N/A</v>
      </c>
      <c r="K111" s="409" t="e">
        <f t="shared" ca="1" si="153"/>
        <v>#N/A</v>
      </c>
      <c r="L111" s="409" t="e">
        <f t="shared" ca="1" si="153"/>
        <v>#N/A</v>
      </c>
      <c r="M111" s="409" t="e">
        <f t="shared" ca="1" si="153"/>
        <v>#N/A</v>
      </c>
      <c r="N111" s="409" t="e">
        <f t="shared" ca="1" si="153"/>
        <v>#N/A</v>
      </c>
      <c r="O111" s="409" t="e">
        <f t="shared" ca="1" si="153"/>
        <v>#N/A</v>
      </c>
      <c r="P111" s="409" t="e">
        <f t="shared" ca="1" si="153"/>
        <v>#N/A</v>
      </c>
      <c r="Q111" s="409" t="e">
        <f t="shared" ca="1" si="153"/>
        <v>#N/A</v>
      </c>
      <c r="R111" s="409" t="e">
        <f t="shared" ca="1" si="153"/>
        <v>#N/A</v>
      </c>
      <c r="S111" s="409" t="e">
        <f t="shared" ca="1" si="153"/>
        <v>#N/A</v>
      </c>
      <c r="T111" s="409" t="e">
        <f t="shared" ca="1" si="153"/>
        <v>#N/A</v>
      </c>
      <c r="U111" s="409" t="e">
        <f t="shared" ca="1" si="153"/>
        <v>#N/A</v>
      </c>
      <c r="V111" s="409" t="e">
        <f t="shared" ca="1" si="153"/>
        <v>#N/A</v>
      </c>
    </row>
    <row r="112" spans="2:109" hidden="1" outlineLevel="1" x14ac:dyDescent="0.25">
      <c r="B112" s="1481"/>
      <c r="C112" s="275" t="str">
        <f>IF(Language="English", 'Language Look Ups'!$P$9,IF(Language="Francais", 'Language Look Ups'!$T$9, 'Language Look Ups'!$R$9))</f>
        <v>DIU Hormonal (LNG-IUS)</v>
      </c>
      <c r="D112" s="276">
        <v>3.3</v>
      </c>
      <c r="E112" s="99">
        <f t="shared" si="152"/>
        <v>3.3</v>
      </c>
      <c r="F112" s="100">
        <f t="shared" si="150"/>
        <v>0</v>
      </c>
      <c r="G112" s="284" t="e">
        <f t="shared" ca="1" si="153"/>
        <v>#N/A</v>
      </c>
      <c r="H112" s="284" t="e">
        <f t="shared" ca="1" si="153"/>
        <v>#N/A</v>
      </c>
      <c r="I112" s="284" t="e">
        <f t="shared" ca="1" si="153"/>
        <v>#N/A</v>
      </c>
      <c r="J112" s="284" t="e">
        <f t="shared" ca="1" si="153"/>
        <v>#N/A</v>
      </c>
      <c r="K112" s="284" t="e">
        <f t="shared" ca="1" si="153"/>
        <v>#N/A</v>
      </c>
      <c r="L112" s="284" t="e">
        <f t="shared" ca="1" si="153"/>
        <v>#N/A</v>
      </c>
      <c r="M112" s="284" t="e">
        <f t="shared" ca="1" si="153"/>
        <v>#N/A</v>
      </c>
      <c r="N112" s="284" t="e">
        <f t="shared" ca="1" si="153"/>
        <v>#N/A</v>
      </c>
      <c r="O112" s="284" t="e">
        <f t="shared" ca="1" si="153"/>
        <v>#N/A</v>
      </c>
      <c r="P112" s="284" t="e">
        <f t="shared" ca="1" si="153"/>
        <v>#N/A</v>
      </c>
      <c r="Q112" s="284" t="e">
        <f t="shared" ca="1" si="153"/>
        <v>#N/A</v>
      </c>
      <c r="R112" s="284" t="e">
        <f t="shared" ca="1" si="153"/>
        <v>#N/A</v>
      </c>
      <c r="S112" s="284" t="e">
        <f t="shared" ca="1" si="153"/>
        <v>#N/A</v>
      </c>
      <c r="T112" s="284" t="e">
        <f t="shared" ca="1" si="153"/>
        <v>#N/A</v>
      </c>
      <c r="U112" s="284" t="e">
        <f t="shared" ca="1" si="153"/>
        <v>#N/A</v>
      </c>
      <c r="V112" s="284" t="e">
        <f t="shared" ca="1" si="153"/>
        <v>#N/A</v>
      </c>
    </row>
    <row r="113" spans="2:43" hidden="1" outlineLevel="1" x14ac:dyDescent="0.25">
      <c r="B113" s="1480" t="str">
        <f>IF(Language="English", 'Language Look Ups'!$O$10,IF(Language="Francais", 'Language Look Ups'!$S$10, 'Language Look Ups'!$Q$10))</f>
        <v>Implant</v>
      </c>
      <c r="C113" s="363" t="str">
        <f>IF(Language="English", 'Language Look Ups'!$P$10,IF(Language="Francais", 'Language Look Ups'!$T$10, 'Language Look Ups'!$R$10))</f>
        <v>Implant de 3 ans (Implanon, Levoplant)</v>
      </c>
      <c r="D113" s="407">
        <v>2.5</v>
      </c>
      <c r="E113" s="408">
        <f t="shared" si="152"/>
        <v>2.5</v>
      </c>
      <c r="F113" s="416">
        <f t="shared" si="150"/>
        <v>0</v>
      </c>
      <c r="G113" s="409" t="e">
        <f t="shared" ca="1" si="153"/>
        <v>#N/A</v>
      </c>
      <c r="H113" s="409" t="e">
        <f t="shared" ca="1" si="153"/>
        <v>#N/A</v>
      </c>
      <c r="I113" s="409" t="e">
        <f t="shared" ca="1" si="153"/>
        <v>#N/A</v>
      </c>
      <c r="J113" s="409" t="e">
        <f t="shared" ca="1" si="153"/>
        <v>#N/A</v>
      </c>
      <c r="K113" s="409" t="e">
        <f t="shared" ca="1" si="153"/>
        <v>#N/A</v>
      </c>
      <c r="L113" s="409" t="e">
        <f t="shared" ca="1" si="153"/>
        <v>#N/A</v>
      </c>
      <c r="M113" s="409" t="e">
        <f t="shared" ca="1" si="153"/>
        <v>#N/A</v>
      </c>
      <c r="N113" s="409" t="e">
        <f t="shared" ca="1" si="153"/>
        <v>#N/A</v>
      </c>
      <c r="O113" s="409" t="e">
        <f t="shared" ca="1" si="153"/>
        <v>#N/A</v>
      </c>
      <c r="P113" s="409" t="e">
        <f t="shared" ca="1" si="153"/>
        <v>#N/A</v>
      </c>
      <c r="Q113" s="409" t="e">
        <f t="shared" ca="1" si="153"/>
        <v>#N/A</v>
      </c>
      <c r="R113" s="409" t="e">
        <f t="shared" ca="1" si="153"/>
        <v>#N/A</v>
      </c>
      <c r="S113" s="409" t="e">
        <f t="shared" ca="1" si="153"/>
        <v>#N/A</v>
      </c>
      <c r="T113" s="409" t="e">
        <f t="shared" ca="1" si="153"/>
        <v>#N/A</v>
      </c>
      <c r="U113" s="409" t="e">
        <f t="shared" ca="1" si="153"/>
        <v>#N/A</v>
      </c>
      <c r="V113" s="409" t="e">
        <f t="shared" ca="1" si="153"/>
        <v>#N/A</v>
      </c>
    </row>
    <row r="114" spans="2:43" hidden="1" outlineLevel="1" x14ac:dyDescent="0.25">
      <c r="B114" s="1482"/>
      <c r="C114" s="277" t="str">
        <f>IF(Language="English", 'Language Look Ups'!$P$11,IF(Language="Francais", 'Language Look Ups'!$T$11, 'Language Look Ups'!$R$11))</f>
        <v>Implant de 4 ans (Sino-Implant)</v>
      </c>
      <c r="D114" s="278">
        <v>3.8</v>
      </c>
      <c r="E114" s="101">
        <f t="shared" si="152"/>
        <v>3.8</v>
      </c>
      <c r="F114" s="102">
        <f t="shared" si="150"/>
        <v>0</v>
      </c>
      <c r="G114" s="282" t="e">
        <f t="shared" ca="1" si="153"/>
        <v>#N/A</v>
      </c>
      <c r="H114" s="282" t="e">
        <f t="shared" ca="1" si="153"/>
        <v>#N/A</v>
      </c>
      <c r="I114" s="282" t="e">
        <f t="shared" ca="1" si="153"/>
        <v>#N/A</v>
      </c>
      <c r="J114" s="282" t="e">
        <f t="shared" ca="1" si="153"/>
        <v>#N/A</v>
      </c>
      <c r="K114" s="282" t="e">
        <f t="shared" ca="1" si="153"/>
        <v>#N/A</v>
      </c>
      <c r="L114" s="282" t="e">
        <f t="shared" ca="1" si="153"/>
        <v>#N/A</v>
      </c>
      <c r="M114" s="282" t="e">
        <f t="shared" ca="1" si="153"/>
        <v>#N/A</v>
      </c>
      <c r="N114" s="282" t="e">
        <f t="shared" ca="1" si="153"/>
        <v>#N/A</v>
      </c>
      <c r="O114" s="282" t="e">
        <f t="shared" ca="1" si="153"/>
        <v>#N/A</v>
      </c>
      <c r="P114" s="282" t="e">
        <f t="shared" ca="1" si="153"/>
        <v>#N/A</v>
      </c>
      <c r="Q114" s="282" t="e">
        <f t="shared" ca="1" si="153"/>
        <v>#N/A</v>
      </c>
      <c r="R114" s="282" t="e">
        <f t="shared" ca="1" si="153"/>
        <v>#N/A</v>
      </c>
      <c r="S114" s="282" t="e">
        <f t="shared" ca="1" si="153"/>
        <v>#N/A</v>
      </c>
      <c r="T114" s="282" t="e">
        <f t="shared" ca="1" si="153"/>
        <v>#N/A</v>
      </c>
      <c r="U114" s="282" t="e">
        <f t="shared" ca="1" si="153"/>
        <v>#N/A</v>
      </c>
      <c r="V114" s="282" t="e">
        <f t="shared" ca="1" si="153"/>
        <v>#N/A</v>
      </c>
    </row>
    <row r="115" spans="2:43" hidden="1" outlineLevel="1" x14ac:dyDescent="0.25">
      <c r="B115" s="1481"/>
      <c r="C115" s="275" t="str">
        <f>IF(Language="English", 'Language Look Ups'!$P$12,IF(Language="Francais", 'Language Look Ups'!$T$12, 'Language Look Ups'!$R$12))</f>
        <v>Implant de 5 ans (Jadelle)</v>
      </c>
      <c r="D115" s="276">
        <v>3.2</v>
      </c>
      <c r="E115" s="99">
        <f t="shared" si="152"/>
        <v>3.2</v>
      </c>
      <c r="F115" s="100">
        <f t="shared" si="150"/>
        <v>0</v>
      </c>
      <c r="G115" s="284" t="e">
        <f t="shared" ca="1" si="153"/>
        <v>#N/A</v>
      </c>
      <c r="H115" s="284" t="e">
        <f t="shared" ca="1" si="153"/>
        <v>#N/A</v>
      </c>
      <c r="I115" s="284" t="e">
        <f t="shared" ca="1" si="153"/>
        <v>#N/A</v>
      </c>
      <c r="J115" s="284" t="e">
        <f t="shared" ca="1" si="153"/>
        <v>#N/A</v>
      </c>
      <c r="K115" s="284" t="e">
        <f t="shared" ca="1" si="153"/>
        <v>#N/A</v>
      </c>
      <c r="L115" s="284" t="e">
        <f t="shared" ca="1" si="153"/>
        <v>#N/A</v>
      </c>
      <c r="M115" s="284" t="e">
        <f t="shared" ca="1" si="153"/>
        <v>#N/A</v>
      </c>
      <c r="N115" s="284" t="e">
        <f t="shared" ca="1" si="153"/>
        <v>#N/A</v>
      </c>
      <c r="O115" s="284" t="e">
        <f t="shared" ca="1" si="153"/>
        <v>#N/A</v>
      </c>
      <c r="P115" s="284" t="e">
        <f t="shared" ca="1" si="153"/>
        <v>#N/A</v>
      </c>
      <c r="Q115" s="284" t="e">
        <f t="shared" ca="1" si="153"/>
        <v>#N/A</v>
      </c>
      <c r="R115" s="284" t="e">
        <f t="shared" ca="1" si="153"/>
        <v>#N/A</v>
      </c>
      <c r="S115" s="284" t="e">
        <f t="shared" ca="1" si="153"/>
        <v>#N/A</v>
      </c>
      <c r="T115" s="284" t="e">
        <f t="shared" ca="1" si="153"/>
        <v>#N/A</v>
      </c>
      <c r="U115" s="284" t="e">
        <f t="shared" ca="1" si="153"/>
        <v>#N/A</v>
      </c>
      <c r="V115" s="284" t="e">
        <f t="shared" ca="1" si="153"/>
        <v>#N/A</v>
      </c>
    </row>
    <row r="116" spans="2:43" hidden="1" outlineLevel="1" x14ac:dyDescent="0.25">
      <c r="B116" s="150"/>
      <c r="C116" s="279"/>
      <c r="G116" s="2"/>
      <c r="H116" s="2"/>
      <c r="I116" s="2"/>
      <c r="J116" s="2"/>
      <c r="K116" s="2"/>
      <c r="L116" s="2"/>
      <c r="M116" s="2"/>
      <c r="N116" s="2"/>
      <c r="O116" s="2"/>
      <c r="P116" s="2"/>
      <c r="Q116" s="2"/>
      <c r="R116" s="2"/>
      <c r="S116" s="2"/>
      <c r="T116" s="2"/>
      <c r="U116" s="2"/>
      <c r="V116" s="301"/>
      <c r="AQ116" s="824"/>
    </row>
    <row r="117" spans="2:43" ht="18.75" hidden="1" outlineLevel="1" x14ac:dyDescent="0.25">
      <c r="B117" s="364" t="str">
        <f>IF(Language="English", 'Language Look Ups'!$O$14,IF(Language="Francais", 'Language Look Ups'!$S$14, 'Language Look Ups'!$Q$14))</f>
        <v>Méthodes à Court Terme</v>
      </c>
      <c r="C117" s="104"/>
      <c r="D117" s="51"/>
      <c r="E117" s="50"/>
      <c r="F117" s="42"/>
      <c r="G117" s="299"/>
      <c r="H117" s="300"/>
      <c r="I117" s="299"/>
      <c r="J117" s="300"/>
      <c r="K117" s="299"/>
      <c r="L117" s="300"/>
      <c r="M117" s="299"/>
      <c r="N117" s="300"/>
      <c r="O117" s="299"/>
      <c r="P117" s="300"/>
      <c r="Q117" s="299"/>
      <c r="R117" s="300"/>
      <c r="S117" s="299"/>
      <c r="T117" s="300"/>
      <c r="U117" s="299"/>
      <c r="V117" s="414"/>
      <c r="AQ117" s="824"/>
    </row>
    <row r="118" spans="2:43" hidden="1" outlineLevel="1" x14ac:dyDescent="0.25">
      <c r="B118" s="1491" t="str">
        <f>IF(Language="English", 'Language Look Ups'!$O$15,IF(Language="Francais", 'Language Look Ups'!$S$15, 'Language Look Ups'!Q$15))</f>
        <v>Produits injectables</v>
      </c>
      <c r="C118" s="363" t="str">
        <f>IF(Language="English", 'Language Look Ups'!$P$15,IF(Language="Francais", 'Language Look Ups'!$T$15, 'Language Look Ups'!$R$15))</f>
        <v>Depo Provera (DMPA)</v>
      </c>
      <c r="D118" s="407">
        <v>4</v>
      </c>
      <c r="E118" s="408">
        <f>1/D118</f>
        <v>0.25</v>
      </c>
      <c r="F118" s="416">
        <f t="shared" ref="F118:F132" si="154">IF(Language="English", BS118, BT118)</f>
        <v>0</v>
      </c>
      <c r="G118" s="409" t="e">
        <f t="shared" ref="G118:V132" ca="1" si="155">G88/12</f>
        <v>#N/A</v>
      </c>
      <c r="H118" s="409" t="e">
        <f t="shared" ca="1" si="155"/>
        <v>#N/A</v>
      </c>
      <c r="I118" s="409" t="e">
        <f t="shared" ca="1" si="155"/>
        <v>#N/A</v>
      </c>
      <c r="J118" s="409" t="e">
        <f t="shared" ca="1" si="155"/>
        <v>#N/A</v>
      </c>
      <c r="K118" s="409" t="e">
        <f t="shared" ca="1" si="155"/>
        <v>#N/A</v>
      </c>
      <c r="L118" s="409" t="e">
        <f t="shared" ca="1" si="155"/>
        <v>#N/A</v>
      </c>
      <c r="M118" s="409" t="e">
        <f t="shared" ca="1" si="155"/>
        <v>#N/A</v>
      </c>
      <c r="N118" s="409" t="e">
        <f t="shared" ca="1" si="155"/>
        <v>#N/A</v>
      </c>
      <c r="O118" s="409" t="e">
        <f t="shared" ca="1" si="155"/>
        <v>#N/A</v>
      </c>
      <c r="P118" s="409" t="e">
        <f t="shared" ca="1" si="155"/>
        <v>#N/A</v>
      </c>
      <c r="Q118" s="409" t="e">
        <f t="shared" ca="1" si="155"/>
        <v>#N/A</v>
      </c>
      <c r="R118" s="409" t="e">
        <f t="shared" ca="1" si="155"/>
        <v>#N/A</v>
      </c>
      <c r="S118" s="409" t="e">
        <f t="shared" ca="1" si="155"/>
        <v>#N/A</v>
      </c>
      <c r="T118" s="409" t="e">
        <f t="shared" ca="1" si="155"/>
        <v>#N/A</v>
      </c>
      <c r="U118" s="409" t="e">
        <f t="shared" ca="1" si="155"/>
        <v>#N/A</v>
      </c>
      <c r="V118" s="409" t="e">
        <f t="shared" ca="1" si="155"/>
        <v>#N/A</v>
      </c>
      <c r="AQ118" s="824"/>
    </row>
    <row r="119" spans="2:43" hidden="1" outlineLevel="1" x14ac:dyDescent="0.25">
      <c r="B119" s="1492"/>
      <c r="C119" s="277" t="str">
        <f>IF(Language="English", 'Language Look Ups'!$P$16,IF(Language="Francais", 'Language Look Ups'!$T$16, 'Language Look Ups'!$R$16))</f>
        <v>Noristerat (NET-En)</v>
      </c>
      <c r="D119" s="278">
        <v>6</v>
      </c>
      <c r="E119" s="101">
        <f t="shared" ref="E119:E120" si="156">1/D119</f>
        <v>0.16666666666666666</v>
      </c>
      <c r="F119" s="102">
        <f t="shared" si="154"/>
        <v>0</v>
      </c>
      <c r="G119" s="282" t="e">
        <f t="shared" ca="1" si="155"/>
        <v>#N/A</v>
      </c>
      <c r="H119" s="282" t="e">
        <f t="shared" ca="1" si="155"/>
        <v>#N/A</v>
      </c>
      <c r="I119" s="282" t="e">
        <f t="shared" ca="1" si="155"/>
        <v>#N/A</v>
      </c>
      <c r="J119" s="282" t="e">
        <f t="shared" ca="1" si="155"/>
        <v>#N/A</v>
      </c>
      <c r="K119" s="282" t="e">
        <f t="shared" ca="1" si="155"/>
        <v>#N/A</v>
      </c>
      <c r="L119" s="282" t="e">
        <f t="shared" ca="1" si="155"/>
        <v>#N/A</v>
      </c>
      <c r="M119" s="282" t="e">
        <f t="shared" ca="1" si="155"/>
        <v>#N/A</v>
      </c>
      <c r="N119" s="282" t="e">
        <f t="shared" ca="1" si="155"/>
        <v>#N/A</v>
      </c>
      <c r="O119" s="282" t="e">
        <f t="shared" ca="1" si="155"/>
        <v>#N/A</v>
      </c>
      <c r="P119" s="282" t="e">
        <f t="shared" ca="1" si="155"/>
        <v>#N/A</v>
      </c>
      <c r="Q119" s="282" t="e">
        <f t="shared" ca="1" si="155"/>
        <v>#N/A</v>
      </c>
      <c r="R119" s="282" t="e">
        <f t="shared" ca="1" si="155"/>
        <v>#N/A</v>
      </c>
      <c r="S119" s="282" t="e">
        <f t="shared" ca="1" si="155"/>
        <v>#N/A</v>
      </c>
      <c r="T119" s="282" t="e">
        <f t="shared" ca="1" si="155"/>
        <v>#N/A</v>
      </c>
      <c r="U119" s="282" t="e">
        <f t="shared" ca="1" si="155"/>
        <v>#N/A</v>
      </c>
      <c r="V119" s="282" t="e">
        <f t="shared" ca="1" si="155"/>
        <v>#N/A</v>
      </c>
      <c r="AQ119" s="824"/>
    </row>
    <row r="120" spans="2:43" hidden="1" outlineLevel="1" x14ac:dyDescent="0.25">
      <c r="B120" s="1492"/>
      <c r="C120" s="277" t="str">
        <f>IF(Language="English",'Language Look Ups'!$P$17,IF(Language="Francais",'Language Look Ups'!$T$17,'Language Look Ups'!$R$17))</f>
        <v>Lunelle</v>
      </c>
      <c r="D120" s="278">
        <v>13</v>
      </c>
      <c r="E120" s="101">
        <f t="shared" si="156"/>
        <v>7.6923076923076927E-2</v>
      </c>
      <c r="F120" s="102">
        <f t="shared" si="154"/>
        <v>0</v>
      </c>
      <c r="G120" s="282" t="e">
        <f t="shared" ca="1" si="155"/>
        <v>#N/A</v>
      </c>
      <c r="H120" s="282" t="e">
        <f t="shared" ca="1" si="155"/>
        <v>#N/A</v>
      </c>
      <c r="I120" s="282" t="e">
        <f t="shared" ca="1" si="155"/>
        <v>#N/A</v>
      </c>
      <c r="J120" s="282" t="e">
        <f t="shared" ca="1" si="155"/>
        <v>#N/A</v>
      </c>
      <c r="K120" s="282" t="e">
        <f t="shared" ca="1" si="155"/>
        <v>#N/A</v>
      </c>
      <c r="L120" s="282" t="e">
        <f t="shared" ca="1" si="155"/>
        <v>#N/A</v>
      </c>
      <c r="M120" s="282" t="e">
        <f t="shared" ca="1" si="155"/>
        <v>#N/A</v>
      </c>
      <c r="N120" s="282" t="e">
        <f t="shared" ca="1" si="155"/>
        <v>#N/A</v>
      </c>
      <c r="O120" s="282" t="e">
        <f t="shared" ca="1" si="155"/>
        <v>#N/A</v>
      </c>
      <c r="P120" s="282" t="e">
        <f t="shared" ca="1" si="155"/>
        <v>#N/A</v>
      </c>
      <c r="Q120" s="282" t="e">
        <f t="shared" ca="1" si="155"/>
        <v>#N/A</v>
      </c>
      <c r="R120" s="282" t="e">
        <f t="shared" ca="1" si="155"/>
        <v>#N/A</v>
      </c>
      <c r="S120" s="282" t="e">
        <f t="shared" ca="1" si="155"/>
        <v>#N/A</v>
      </c>
      <c r="T120" s="282" t="e">
        <f t="shared" ca="1" si="155"/>
        <v>#N/A</v>
      </c>
      <c r="U120" s="282" t="e">
        <f t="shared" ca="1" si="155"/>
        <v>#N/A</v>
      </c>
      <c r="V120" s="282" t="e">
        <f t="shared" ca="1" si="155"/>
        <v>#N/A</v>
      </c>
      <c r="AQ120" s="824" t="e">
        <f>AVERAGE(CD68:DA68)</f>
        <v>#N/A</v>
      </c>
    </row>
    <row r="121" spans="2:43" hidden="1" outlineLevel="1" x14ac:dyDescent="0.25">
      <c r="B121" s="1492"/>
      <c r="C121" s="277" t="str">
        <f>IF(Language="English", 'Language Look Ups'!$P$18,IF(Language="Francais", 'Language Look Ups'!$T$18, 'Language Look Ups'!$R$18))</f>
        <v>Sayana Press</v>
      </c>
      <c r="D121" s="278">
        <v>4</v>
      </c>
      <c r="E121" s="101">
        <v>0.25</v>
      </c>
      <c r="F121" s="102">
        <f t="shared" si="154"/>
        <v>0</v>
      </c>
      <c r="G121" s="282" t="e">
        <f t="shared" ca="1" si="155"/>
        <v>#N/A</v>
      </c>
      <c r="H121" s="282" t="e">
        <f t="shared" ca="1" si="155"/>
        <v>#N/A</v>
      </c>
      <c r="I121" s="282" t="e">
        <f t="shared" ca="1" si="155"/>
        <v>#N/A</v>
      </c>
      <c r="J121" s="282" t="e">
        <f t="shared" ca="1" si="155"/>
        <v>#N/A</v>
      </c>
      <c r="K121" s="282" t="e">
        <f t="shared" ca="1" si="155"/>
        <v>#N/A</v>
      </c>
      <c r="L121" s="282" t="e">
        <f t="shared" ca="1" si="155"/>
        <v>#N/A</v>
      </c>
      <c r="M121" s="282" t="e">
        <f t="shared" ca="1" si="155"/>
        <v>#N/A</v>
      </c>
      <c r="N121" s="282" t="e">
        <f t="shared" ca="1" si="155"/>
        <v>#N/A</v>
      </c>
      <c r="O121" s="282" t="e">
        <f t="shared" ca="1" si="155"/>
        <v>#N/A</v>
      </c>
      <c r="P121" s="282" t="e">
        <f t="shared" ca="1" si="155"/>
        <v>#N/A</v>
      </c>
      <c r="Q121" s="282" t="e">
        <f t="shared" ca="1" si="155"/>
        <v>#N/A</v>
      </c>
      <c r="R121" s="282" t="e">
        <f t="shared" ca="1" si="155"/>
        <v>#N/A</v>
      </c>
      <c r="S121" s="282" t="e">
        <f t="shared" ca="1" si="155"/>
        <v>#N/A</v>
      </c>
      <c r="T121" s="282" t="e">
        <f t="shared" ca="1" si="155"/>
        <v>#N/A</v>
      </c>
      <c r="U121" s="282" t="e">
        <f t="shared" ca="1" si="155"/>
        <v>#N/A</v>
      </c>
      <c r="V121" s="282" t="e">
        <f t="shared" ca="1" si="155"/>
        <v>#N/A</v>
      </c>
      <c r="AQ121" s="824" t="e">
        <f>AVERAGE(CD69:DA69)</f>
        <v>#N/A</v>
      </c>
    </row>
    <row r="122" spans="2:43" hidden="1" outlineLevel="1" x14ac:dyDescent="0.25">
      <c r="B122" s="1493"/>
      <c r="C122" s="275" t="str">
        <f>IF(Language="English", 'Language Look Ups'!$P$19,IF(Language="Francais", 'Language Look Ups'!$T$19, 'Language Look Ups'!$R$19))</f>
        <v>Autre Injectable</v>
      </c>
      <c r="D122" s="276">
        <v>4</v>
      </c>
      <c r="E122" s="99">
        <f t="shared" ref="E122:E128" si="157">1/D122</f>
        <v>0.25</v>
      </c>
      <c r="F122" s="100">
        <f t="shared" si="154"/>
        <v>0</v>
      </c>
      <c r="G122" s="284" t="e">
        <f t="shared" ca="1" si="155"/>
        <v>#N/A</v>
      </c>
      <c r="H122" s="284" t="e">
        <f t="shared" ca="1" si="155"/>
        <v>#N/A</v>
      </c>
      <c r="I122" s="284" t="e">
        <f t="shared" ca="1" si="155"/>
        <v>#N/A</v>
      </c>
      <c r="J122" s="284" t="e">
        <f t="shared" ca="1" si="155"/>
        <v>#N/A</v>
      </c>
      <c r="K122" s="284" t="e">
        <f t="shared" ca="1" si="155"/>
        <v>#N/A</v>
      </c>
      <c r="L122" s="284" t="e">
        <f t="shared" ca="1" si="155"/>
        <v>#N/A</v>
      </c>
      <c r="M122" s="284" t="e">
        <f t="shared" ca="1" si="155"/>
        <v>#N/A</v>
      </c>
      <c r="N122" s="284" t="e">
        <f t="shared" ca="1" si="155"/>
        <v>#N/A</v>
      </c>
      <c r="O122" s="284" t="e">
        <f t="shared" ca="1" si="155"/>
        <v>#N/A</v>
      </c>
      <c r="P122" s="284" t="e">
        <f t="shared" ca="1" si="155"/>
        <v>#N/A</v>
      </c>
      <c r="Q122" s="284" t="e">
        <f t="shared" ca="1" si="155"/>
        <v>#N/A</v>
      </c>
      <c r="R122" s="284" t="e">
        <f t="shared" ca="1" si="155"/>
        <v>#N/A</v>
      </c>
      <c r="S122" s="284" t="e">
        <f t="shared" ca="1" si="155"/>
        <v>#N/A</v>
      </c>
      <c r="T122" s="284" t="e">
        <f t="shared" ca="1" si="155"/>
        <v>#N/A</v>
      </c>
      <c r="U122" s="284" t="e">
        <f t="shared" ca="1" si="155"/>
        <v>#N/A</v>
      </c>
      <c r="V122" s="284" t="e">
        <f t="shared" ca="1" si="155"/>
        <v>#N/A</v>
      </c>
    </row>
    <row r="123" spans="2:43" hidden="1" outlineLevel="1" x14ac:dyDescent="0.25">
      <c r="B123" s="1480" t="str">
        <f>IF(Language="English", 'Language Look Ups'!$O$20,IF(Language="Francais", 'Language Look Ups'!$S$20, 'Language Look Ups'!Q$20))</f>
        <v>Pilule</v>
      </c>
      <c r="C123" s="363" t="str">
        <f>IF(Language="English", 'Language Look Ups'!$P$20,IF(Language="Francais", 'Language Look Ups'!$T$20, 'Language Look Ups'!$R$20))</f>
        <v>Oraux combinés (COC)</v>
      </c>
      <c r="D123" s="407">
        <v>15</v>
      </c>
      <c r="E123" s="408">
        <f t="shared" si="157"/>
        <v>6.6666666666666666E-2</v>
      </c>
      <c r="F123" s="416">
        <f t="shared" si="154"/>
        <v>0</v>
      </c>
      <c r="G123" s="409" t="e">
        <f t="shared" ca="1" si="155"/>
        <v>#N/A</v>
      </c>
      <c r="H123" s="409" t="e">
        <f t="shared" ca="1" si="155"/>
        <v>#N/A</v>
      </c>
      <c r="I123" s="409" t="e">
        <f t="shared" ca="1" si="155"/>
        <v>#N/A</v>
      </c>
      <c r="J123" s="409" t="e">
        <f t="shared" ca="1" si="155"/>
        <v>#N/A</v>
      </c>
      <c r="K123" s="409" t="e">
        <f t="shared" ca="1" si="155"/>
        <v>#N/A</v>
      </c>
      <c r="L123" s="409" t="e">
        <f t="shared" ca="1" si="155"/>
        <v>#N/A</v>
      </c>
      <c r="M123" s="409" t="e">
        <f t="shared" ca="1" si="155"/>
        <v>#N/A</v>
      </c>
      <c r="N123" s="409" t="e">
        <f t="shared" ca="1" si="155"/>
        <v>#N/A</v>
      </c>
      <c r="O123" s="409" t="e">
        <f t="shared" ca="1" si="155"/>
        <v>#N/A</v>
      </c>
      <c r="P123" s="409" t="e">
        <f t="shared" ca="1" si="155"/>
        <v>#N/A</v>
      </c>
      <c r="Q123" s="409" t="e">
        <f t="shared" ca="1" si="155"/>
        <v>#N/A</v>
      </c>
      <c r="R123" s="409" t="e">
        <f t="shared" ca="1" si="155"/>
        <v>#N/A</v>
      </c>
      <c r="S123" s="409" t="e">
        <f t="shared" ca="1" si="155"/>
        <v>#N/A</v>
      </c>
      <c r="T123" s="409" t="e">
        <f t="shared" ca="1" si="155"/>
        <v>#N/A</v>
      </c>
      <c r="U123" s="409" t="e">
        <f t="shared" ca="1" si="155"/>
        <v>#N/A</v>
      </c>
      <c r="V123" s="409" t="e">
        <f t="shared" ca="1" si="155"/>
        <v>#N/A</v>
      </c>
    </row>
    <row r="124" spans="2:43" hidden="1" outlineLevel="1" x14ac:dyDescent="0.25">
      <c r="B124" s="1482"/>
      <c r="C124" s="277" t="str">
        <f>IF(Language="English", 'Language Look Ups'!$P$21,IF(Language="Francais", 'Language Look Ups'!$T$21, 'Language Look Ups'!$R$21))</f>
        <v>Progestatifs seul (POP)</v>
      </c>
      <c r="D124" s="278">
        <v>15</v>
      </c>
      <c r="E124" s="101">
        <f t="shared" si="157"/>
        <v>6.6666666666666666E-2</v>
      </c>
      <c r="F124" s="102">
        <f t="shared" si="154"/>
        <v>0</v>
      </c>
      <c r="G124" s="282" t="e">
        <f t="shared" ca="1" si="155"/>
        <v>#N/A</v>
      </c>
      <c r="H124" s="282" t="e">
        <f t="shared" ca="1" si="155"/>
        <v>#N/A</v>
      </c>
      <c r="I124" s="282" t="e">
        <f t="shared" ca="1" si="155"/>
        <v>#N/A</v>
      </c>
      <c r="J124" s="282" t="e">
        <f t="shared" ca="1" si="155"/>
        <v>#N/A</v>
      </c>
      <c r="K124" s="282" t="e">
        <f t="shared" ca="1" si="155"/>
        <v>#N/A</v>
      </c>
      <c r="L124" s="282" t="e">
        <f t="shared" ca="1" si="155"/>
        <v>#N/A</v>
      </c>
      <c r="M124" s="282" t="e">
        <f t="shared" ca="1" si="155"/>
        <v>#N/A</v>
      </c>
      <c r="N124" s="282" t="e">
        <f t="shared" ca="1" si="155"/>
        <v>#N/A</v>
      </c>
      <c r="O124" s="282" t="e">
        <f t="shared" ca="1" si="155"/>
        <v>#N/A</v>
      </c>
      <c r="P124" s="282" t="e">
        <f t="shared" ca="1" si="155"/>
        <v>#N/A</v>
      </c>
      <c r="Q124" s="282" t="e">
        <f t="shared" ca="1" si="155"/>
        <v>#N/A</v>
      </c>
      <c r="R124" s="282" t="e">
        <f t="shared" ca="1" si="155"/>
        <v>#N/A</v>
      </c>
      <c r="S124" s="282" t="e">
        <f t="shared" ca="1" si="155"/>
        <v>#N/A</v>
      </c>
      <c r="T124" s="282" t="e">
        <f t="shared" ca="1" si="155"/>
        <v>#N/A</v>
      </c>
      <c r="U124" s="282" t="e">
        <f t="shared" ca="1" si="155"/>
        <v>#N/A</v>
      </c>
      <c r="V124" s="282" t="e">
        <f t="shared" ca="1" si="155"/>
        <v>#N/A</v>
      </c>
    </row>
    <row r="125" spans="2:43" hidden="1" outlineLevel="1" x14ac:dyDescent="0.25">
      <c r="B125" s="1481"/>
      <c r="C125" s="275" t="str">
        <f>IF(Language="English", 'Language Look Ups'!$P$22,IF(Language="Francais", 'Language Look Ups'!$T$22, 'Language Look Ups'!$R$22))</f>
        <v>Autre pilule</v>
      </c>
      <c r="D125" s="276">
        <v>15</v>
      </c>
      <c r="E125" s="99">
        <f t="shared" si="157"/>
        <v>6.6666666666666666E-2</v>
      </c>
      <c r="F125" s="100">
        <f t="shared" si="154"/>
        <v>0</v>
      </c>
      <c r="G125" s="284" t="e">
        <f t="shared" ca="1" si="155"/>
        <v>#N/A</v>
      </c>
      <c r="H125" s="284" t="e">
        <f t="shared" ca="1" si="155"/>
        <v>#N/A</v>
      </c>
      <c r="I125" s="284" t="e">
        <f t="shared" ca="1" si="155"/>
        <v>#N/A</v>
      </c>
      <c r="J125" s="284" t="e">
        <f t="shared" ca="1" si="155"/>
        <v>#N/A</v>
      </c>
      <c r="K125" s="284" t="e">
        <f t="shared" ca="1" si="155"/>
        <v>#N/A</v>
      </c>
      <c r="L125" s="284" t="e">
        <f t="shared" ca="1" si="155"/>
        <v>#N/A</v>
      </c>
      <c r="M125" s="284" t="e">
        <f t="shared" ca="1" si="155"/>
        <v>#N/A</v>
      </c>
      <c r="N125" s="284" t="e">
        <f t="shared" ca="1" si="155"/>
        <v>#N/A</v>
      </c>
      <c r="O125" s="284" t="e">
        <f t="shared" ca="1" si="155"/>
        <v>#N/A</v>
      </c>
      <c r="P125" s="284" t="e">
        <f t="shared" ca="1" si="155"/>
        <v>#N/A</v>
      </c>
      <c r="Q125" s="284" t="e">
        <f t="shared" ca="1" si="155"/>
        <v>#N/A</v>
      </c>
      <c r="R125" s="284" t="e">
        <f t="shared" ca="1" si="155"/>
        <v>#N/A</v>
      </c>
      <c r="S125" s="284" t="e">
        <f t="shared" ca="1" si="155"/>
        <v>#N/A</v>
      </c>
      <c r="T125" s="284" t="e">
        <f t="shared" ca="1" si="155"/>
        <v>#N/A</v>
      </c>
      <c r="U125" s="284" t="e">
        <f t="shared" ca="1" si="155"/>
        <v>#N/A</v>
      </c>
      <c r="V125" s="284" t="e">
        <f t="shared" ca="1" si="155"/>
        <v>#N/A</v>
      </c>
    </row>
    <row r="126" spans="2:43" hidden="1" outlineLevel="1" x14ac:dyDescent="0.25">
      <c r="B126" s="1480" t="str">
        <f>IF(Language="English", 'Language Look Ups'!$O$23,IF(Language="Francais", 'Language Look Ups'!$S$23, 'Language Look Ups'!Q$23))</f>
        <v>Préservatifs</v>
      </c>
      <c r="C126" s="363" t="str">
        <f>IF(Language="English", 'Language Look Ups'!$P$23,IF(Language="Francais", 'Language Look Ups'!$T$23, 'Language Look Ups'!$R$23))</f>
        <v>Préservatifs masculin</v>
      </c>
      <c r="D126" s="407">
        <v>120</v>
      </c>
      <c r="E126" s="408">
        <f t="shared" si="157"/>
        <v>8.3333333333333332E-3</v>
      </c>
      <c r="F126" s="416">
        <f t="shared" si="154"/>
        <v>0</v>
      </c>
      <c r="G126" s="409" t="e">
        <f t="shared" ca="1" si="155"/>
        <v>#N/A</v>
      </c>
      <c r="H126" s="409" t="e">
        <f t="shared" ca="1" si="155"/>
        <v>#N/A</v>
      </c>
      <c r="I126" s="409" t="e">
        <f t="shared" ca="1" si="155"/>
        <v>#N/A</v>
      </c>
      <c r="J126" s="409" t="e">
        <f t="shared" ca="1" si="155"/>
        <v>#N/A</v>
      </c>
      <c r="K126" s="409" t="e">
        <f t="shared" ca="1" si="155"/>
        <v>#N/A</v>
      </c>
      <c r="L126" s="409" t="e">
        <f t="shared" ca="1" si="155"/>
        <v>#N/A</v>
      </c>
      <c r="M126" s="409" t="e">
        <f t="shared" ca="1" si="155"/>
        <v>#N/A</v>
      </c>
      <c r="N126" s="409" t="e">
        <f t="shared" ca="1" si="155"/>
        <v>#N/A</v>
      </c>
      <c r="O126" s="409" t="e">
        <f t="shared" ca="1" si="155"/>
        <v>#N/A</v>
      </c>
      <c r="P126" s="409" t="e">
        <f t="shared" ca="1" si="155"/>
        <v>#N/A</v>
      </c>
      <c r="Q126" s="409" t="e">
        <f t="shared" ca="1" si="155"/>
        <v>#N/A</v>
      </c>
      <c r="R126" s="409" t="e">
        <f t="shared" ca="1" si="155"/>
        <v>#N/A</v>
      </c>
      <c r="S126" s="409" t="e">
        <f t="shared" ca="1" si="155"/>
        <v>#N/A</v>
      </c>
      <c r="T126" s="409" t="e">
        <f t="shared" ca="1" si="155"/>
        <v>#N/A</v>
      </c>
      <c r="U126" s="409" t="e">
        <f t="shared" ca="1" si="155"/>
        <v>#N/A</v>
      </c>
      <c r="V126" s="409" t="e">
        <f t="shared" ca="1" si="155"/>
        <v>#N/A</v>
      </c>
    </row>
    <row r="127" spans="2:43" hidden="1" outlineLevel="1" x14ac:dyDescent="0.25">
      <c r="B127" s="1481"/>
      <c r="C127" s="275" t="str">
        <f>IF(Language="English", 'Language Look Ups'!$P$24,IF(Language="Francais", 'Language Look Ups'!$T$24, 'Language Look Ups'!$R$24))</f>
        <v>Préservatifs feminin</v>
      </c>
      <c r="D127" s="276">
        <v>120</v>
      </c>
      <c r="E127" s="99">
        <f t="shared" si="157"/>
        <v>8.3333333333333332E-3</v>
      </c>
      <c r="F127" s="100">
        <f t="shared" si="154"/>
        <v>0</v>
      </c>
      <c r="G127" s="284" t="e">
        <f t="shared" ca="1" si="155"/>
        <v>#N/A</v>
      </c>
      <c r="H127" s="284" t="e">
        <f t="shared" ca="1" si="155"/>
        <v>#N/A</v>
      </c>
      <c r="I127" s="284" t="e">
        <f t="shared" ca="1" si="155"/>
        <v>#N/A</v>
      </c>
      <c r="J127" s="284" t="e">
        <f t="shared" ca="1" si="155"/>
        <v>#N/A</v>
      </c>
      <c r="K127" s="284" t="e">
        <f t="shared" ca="1" si="155"/>
        <v>#N/A</v>
      </c>
      <c r="L127" s="284" t="e">
        <f t="shared" ca="1" si="155"/>
        <v>#N/A</v>
      </c>
      <c r="M127" s="284" t="e">
        <f t="shared" ca="1" si="155"/>
        <v>#N/A</v>
      </c>
      <c r="N127" s="284" t="e">
        <f t="shared" ca="1" si="155"/>
        <v>#N/A</v>
      </c>
      <c r="O127" s="284" t="e">
        <f t="shared" ca="1" si="155"/>
        <v>#N/A</v>
      </c>
      <c r="P127" s="284" t="e">
        <f t="shared" ca="1" si="155"/>
        <v>#N/A</v>
      </c>
      <c r="Q127" s="284" t="e">
        <f t="shared" ca="1" si="155"/>
        <v>#N/A</v>
      </c>
      <c r="R127" s="284" t="e">
        <f t="shared" ca="1" si="155"/>
        <v>#N/A</v>
      </c>
      <c r="S127" s="284" t="e">
        <f t="shared" ca="1" si="155"/>
        <v>#N/A</v>
      </c>
      <c r="T127" s="284" t="e">
        <f t="shared" ca="1" si="155"/>
        <v>#N/A</v>
      </c>
      <c r="U127" s="284" t="e">
        <f t="shared" ca="1" si="155"/>
        <v>#N/A</v>
      </c>
      <c r="V127" s="284" t="e">
        <f t="shared" ca="1" si="155"/>
        <v>#N/A</v>
      </c>
    </row>
    <row r="128" spans="2:43" hidden="1" outlineLevel="1" x14ac:dyDescent="0.25">
      <c r="B128" s="1491" t="str">
        <f>IF(Language="English", 'Language Look Ups'!$O$25,IF(Language="Francais", 'Language Look Ups'!$S$25, 'Language Look Ups'!Q$25))</f>
        <v>Autres Méthodes Modernes</v>
      </c>
      <c r="C128" s="363" t="str">
        <f>IF(Language="English", 'Language Look Ups'!$P$25,IF(Language="Francais", 'Language Look Ups'!$T$25, 'Language Look Ups'!$R$25))</f>
        <v>MAMA</v>
      </c>
      <c r="D128" s="407">
        <v>4</v>
      </c>
      <c r="E128" s="408">
        <f t="shared" si="157"/>
        <v>0.25</v>
      </c>
      <c r="F128" s="416">
        <f t="shared" si="154"/>
        <v>0</v>
      </c>
      <c r="G128" s="409" t="e">
        <f t="shared" ca="1" si="155"/>
        <v>#N/A</v>
      </c>
      <c r="H128" s="409" t="e">
        <f t="shared" ca="1" si="155"/>
        <v>#N/A</v>
      </c>
      <c r="I128" s="409" t="e">
        <f t="shared" ca="1" si="155"/>
        <v>#N/A</v>
      </c>
      <c r="J128" s="409" t="e">
        <f t="shared" ca="1" si="155"/>
        <v>#N/A</v>
      </c>
      <c r="K128" s="409" t="e">
        <f t="shared" ca="1" si="155"/>
        <v>#N/A</v>
      </c>
      <c r="L128" s="409" t="e">
        <f t="shared" ca="1" si="155"/>
        <v>#N/A</v>
      </c>
      <c r="M128" s="409" t="e">
        <f t="shared" ca="1" si="155"/>
        <v>#N/A</v>
      </c>
      <c r="N128" s="409" t="e">
        <f t="shared" ca="1" si="155"/>
        <v>#N/A</v>
      </c>
      <c r="O128" s="409" t="e">
        <f t="shared" ca="1" si="155"/>
        <v>#N/A</v>
      </c>
      <c r="P128" s="409" t="e">
        <f t="shared" ca="1" si="155"/>
        <v>#N/A</v>
      </c>
      <c r="Q128" s="409" t="e">
        <f t="shared" ca="1" si="155"/>
        <v>#N/A</v>
      </c>
      <c r="R128" s="409" t="e">
        <f t="shared" ca="1" si="155"/>
        <v>#N/A</v>
      </c>
      <c r="S128" s="409" t="e">
        <f t="shared" ca="1" si="155"/>
        <v>#N/A</v>
      </c>
      <c r="T128" s="409" t="e">
        <f t="shared" ca="1" si="155"/>
        <v>#N/A</v>
      </c>
      <c r="U128" s="409" t="e">
        <f t="shared" ca="1" si="155"/>
        <v>#N/A</v>
      </c>
      <c r="V128" s="409" t="e">
        <f t="shared" ca="1" si="155"/>
        <v>#N/A</v>
      </c>
    </row>
    <row r="129" spans="2:79" hidden="1" outlineLevel="1" x14ac:dyDescent="0.25">
      <c r="B129" s="1492"/>
      <c r="C129" s="277" t="str">
        <f>IF(Language="English", 'Language Look Ups'!$P$26,IF(Language="Francais", 'Language Look Ups'!$T$26, 'Language Look Ups'!$R$26))</f>
        <v>MJF (Jours fixes)</v>
      </c>
      <c r="D129" s="278">
        <v>1.5</v>
      </c>
      <c r="E129" s="101">
        <f>D129</f>
        <v>1.5</v>
      </c>
      <c r="F129" s="102">
        <f t="shared" si="154"/>
        <v>0</v>
      </c>
      <c r="G129" s="282" t="e">
        <f t="shared" ca="1" si="155"/>
        <v>#N/A</v>
      </c>
      <c r="H129" s="282" t="e">
        <f t="shared" ca="1" si="155"/>
        <v>#N/A</v>
      </c>
      <c r="I129" s="282" t="e">
        <f t="shared" ca="1" si="155"/>
        <v>#N/A</v>
      </c>
      <c r="J129" s="282" t="e">
        <f t="shared" ca="1" si="155"/>
        <v>#N/A</v>
      </c>
      <c r="K129" s="282" t="e">
        <f t="shared" ca="1" si="155"/>
        <v>#N/A</v>
      </c>
      <c r="L129" s="282" t="e">
        <f t="shared" ca="1" si="155"/>
        <v>#N/A</v>
      </c>
      <c r="M129" s="282" t="e">
        <f t="shared" ca="1" si="155"/>
        <v>#N/A</v>
      </c>
      <c r="N129" s="282" t="e">
        <f t="shared" ca="1" si="155"/>
        <v>#N/A</v>
      </c>
      <c r="O129" s="282" t="e">
        <f t="shared" ca="1" si="155"/>
        <v>#N/A</v>
      </c>
      <c r="P129" s="282" t="e">
        <f t="shared" ca="1" si="155"/>
        <v>#N/A</v>
      </c>
      <c r="Q129" s="282" t="e">
        <f t="shared" ca="1" si="155"/>
        <v>#N/A</v>
      </c>
      <c r="R129" s="282" t="e">
        <f t="shared" ca="1" si="155"/>
        <v>#N/A</v>
      </c>
      <c r="S129" s="282" t="e">
        <f t="shared" ca="1" si="155"/>
        <v>#N/A</v>
      </c>
      <c r="T129" s="282" t="e">
        <f t="shared" ca="1" si="155"/>
        <v>#N/A</v>
      </c>
      <c r="U129" s="282" t="e">
        <f t="shared" ca="1" si="155"/>
        <v>#N/A</v>
      </c>
      <c r="V129" s="282" t="e">
        <f t="shared" ca="1" si="155"/>
        <v>#N/A</v>
      </c>
    </row>
    <row r="130" spans="2:79" hidden="1" outlineLevel="1" x14ac:dyDescent="0.25">
      <c r="B130" s="1492"/>
      <c r="C130" s="277" t="str">
        <f>IF(Language="English", 'Language Look Ups'!$P$27,IF(Language="Francais", 'Language Look Ups'!$T$27, 'Language Look Ups'!$R$27))</f>
        <v>Barrière vaginale</v>
      </c>
      <c r="D130" s="278">
        <v>1</v>
      </c>
      <c r="E130" s="101">
        <f t="shared" ref="E130:E132" si="158">1/D130</f>
        <v>1</v>
      </c>
      <c r="F130" s="102">
        <f t="shared" si="154"/>
        <v>0</v>
      </c>
      <c r="G130" s="282" t="e">
        <f t="shared" ca="1" si="155"/>
        <v>#N/A</v>
      </c>
      <c r="H130" s="282" t="e">
        <f t="shared" ca="1" si="155"/>
        <v>#N/A</v>
      </c>
      <c r="I130" s="282" t="e">
        <f t="shared" ca="1" si="155"/>
        <v>#N/A</v>
      </c>
      <c r="J130" s="282" t="e">
        <f t="shared" ca="1" si="155"/>
        <v>#N/A</v>
      </c>
      <c r="K130" s="282" t="e">
        <f t="shared" ca="1" si="155"/>
        <v>#N/A</v>
      </c>
      <c r="L130" s="282" t="e">
        <f t="shared" ca="1" si="155"/>
        <v>#N/A</v>
      </c>
      <c r="M130" s="282" t="e">
        <f t="shared" ca="1" si="155"/>
        <v>#N/A</v>
      </c>
      <c r="N130" s="282" t="e">
        <f t="shared" ca="1" si="155"/>
        <v>#N/A</v>
      </c>
      <c r="O130" s="282" t="e">
        <f t="shared" ca="1" si="155"/>
        <v>#N/A</v>
      </c>
      <c r="P130" s="282" t="e">
        <f t="shared" ca="1" si="155"/>
        <v>#N/A</v>
      </c>
      <c r="Q130" s="282" t="e">
        <f t="shared" ca="1" si="155"/>
        <v>#N/A</v>
      </c>
      <c r="R130" s="282" t="e">
        <f t="shared" ca="1" si="155"/>
        <v>#N/A</v>
      </c>
      <c r="S130" s="282" t="e">
        <f t="shared" ca="1" si="155"/>
        <v>#N/A</v>
      </c>
      <c r="T130" s="282" t="e">
        <f t="shared" ca="1" si="155"/>
        <v>#N/A</v>
      </c>
      <c r="U130" s="282" t="e">
        <f t="shared" ca="1" si="155"/>
        <v>#N/A</v>
      </c>
      <c r="V130" s="282" t="e">
        <f t="shared" ca="1" si="155"/>
        <v>#N/A</v>
      </c>
    </row>
    <row r="131" spans="2:79" hidden="1" outlineLevel="1" x14ac:dyDescent="0.25">
      <c r="B131" s="1493"/>
      <c r="C131" s="275" t="str">
        <f>IF(Language="English", 'Language Look Ups'!$P$28,IF(Language="Francais", 'Language Look Ups'!$T$28, 'Language Look Ups'!$R$28))</f>
        <v>Spermicides</v>
      </c>
      <c r="D131" s="276">
        <v>120</v>
      </c>
      <c r="E131" s="99">
        <f t="shared" si="158"/>
        <v>8.3333333333333332E-3</v>
      </c>
      <c r="F131" s="100">
        <f t="shared" si="154"/>
        <v>0</v>
      </c>
      <c r="G131" s="284" t="e">
        <f t="shared" ca="1" si="155"/>
        <v>#N/A</v>
      </c>
      <c r="H131" s="284" t="e">
        <f t="shared" ca="1" si="155"/>
        <v>#N/A</v>
      </c>
      <c r="I131" s="284" t="e">
        <f t="shared" ca="1" si="155"/>
        <v>#N/A</v>
      </c>
      <c r="J131" s="284" t="e">
        <f t="shared" ca="1" si="155"/>
        <v>#N/A</v>
      </c>
      <c r="K131" s="284" t="e">
        <f t="shared" ca="1" si="155"/>
        <v>#N/A</v>
      </c>
      <c r="L131" s="284" t="e">
        <f t="shared" ca="1" si="155"/>
        <v>#N/A</v>
      </c>
      <c r="M131" s="284" t="e">
        <f t="shared" ca="1" si="155"/>
        <v>#N/A</v>
      </c>
      <c r="N131" s="284" t="e">
        <f t="shared" ca="1" si="155"/>
        <v>#N/A</v>
      </c>
      <c r="O131" s="284" t="e">
        <f t="shared" ca="1" si="155"/>
        <v>#N/A</v>
      </c>
      <c r="P131" s="284" t="e">
        <f t="shared" ca="1" si="155"/>
        <v>#N/A</v>
      </c>
      <c r="Q131" s="284" t="e">
        <f t="shared" ca="1" si="155"/>
        <v>#N/A</v>
      </c>
      <c r="R131" s="284" t="e">
        <f t="shared" ca="1" si="155"/>
        <v>#N/A</v>
      </c>
      <c r="S131" s="284" t="e">
        <f t="shared" ca="1" si="155"/>
        <v>#N/A</v>
      </c>
      <c r="T131" s="284" t="e">
        <f t="shared" ca="1" si="155"/>
        <v>#N/A</v>
      </c>
      <c r="U131" s="284" t="e">
        <f t="shared" ca="1" si="155"/>
        <v>#N/A</v>
      </c>
      <c r="V131" s="284" t="e">
        <f t="shared" ca="1" si="155"/>
        <v>#N/A</v>
      </c>
    </row>
    <row r="132" spans="2:79" ht="30.75" hidden="1" outlineLevel="1" thickBot="1" x14ac:dyDescent="0.3">
      <c r="B132" s="378" t="str">
        <f>IF(Language="English", 'Language Look Ups'!$O$29,IF(Language="Francais", 'Language Look Ups'!$S$29, 'Language Look Ups'!Q$29))</f>
        <v>Contraception d'urgence</v>
      </c>
      <c r="C132" s="397" t="str">
        <f>IF(Language="English", 'Language Look Ups'!$P$29,IF(Language="Francais", 'Language Look Ups'!$T$29, 'Language Look Ups'!$R$29))</f>
        <v>CU</v>
      </c>
      <c r="D132" s="417">
        <v>20</v>
      </c>
      <c r="E132" s="418">
        <f t="shared" si="158"/>
        <v>0.05</v>
      </c>
      <c r="F132" s="419">
        <f t="shared" si="154"/>
        <v>0</v>
      </c>
      <c r="G132" s="420" t="e">
        <f t="shared" ca="1" si="155"/>
        <v>#N/A</v>
      </c>
      <c r="H132" s="420" t="e">
        <f t="shared" ca="1" si="155"/>
        <v>#N/A</v>
      </c>
      <c r="I132" s="420" t="e">
        <f t="shared" ca="1" si="155"/>
        <v>#N/A</v>
      </c>
      <c r="J132" s="420" t="e">
        <f t="shared" ca="1" si="155"/>
        <v>#N/A</v>
      </c>
      <c r="K132" s="420" t="e">
        <f t="shared" ca="1" si="155"/>
        <v>#N/A</v>
      </c>
      <c r="L132" s="420" t="e">
        <f t="shared" ca="1" si="155"/>
        <v>#N/A</v>
      </c>
      <c r="M132" s="420" t="e">
        <f t="shared" ca="1" si="155"/>
        <v>#N/A</v>
      </c>
      <c r="N132" s="420" t="e">
        <f t="shared" ca="1" si="155"/>
        <v>#N/A</v>
      </c>
      <c r="O132" s="420" t="e">
        <f t="shared" ca="1" si="155"/>
        <v>#N/A</v>
      </c>
      <c r="P132" s="420" t="e">
        <f t="shared" ca="1" si="155"/>
        <v>#N/A</v>
      </c>
      <c r="Q132" s="420" t="e">
        <f t="shared" ca="1" si="155"/>
        <v>#N/A</v>
      </c>
      <c r="R132" s="420" t="e">
        <f t="shared" ca="1" si="155"/>
        <v>#N/A</v>
      </c>
      <c r="S132" s="420" t="e">
        <f t="shared" ca="1" si="155"/>
        <v>#N/A</v>
      </c>
      <c r="T132" s="420" t="e">
        <f t="shared" ca="1" si="155"/>
        <v>#N/A</v>
      </c>
      <c r="U132" s="420" t="e">
        <f t="shared" ca="1" si="155"/>
        <v>#N/A</v>
      </c>
      <c r="V132" s="420" t="e">
        <f t="shared" ca="1" si="155"/>
        <v>#N/A</v>
      </c>
    </row>
    <row r="133" spans="2:79" ht="21.75" hidden="1" outlineLevel="1" thickBot="1" x14ac:dyDescent="0.35">
      <c r="B133" s="429">
        <f>IF(Language="English",'Language Look Ups'!O115,'Language Look Ups'!S115)</f>
        <v>0</v>
      </c>
      <c r="C133" s="430"/>
      <c r="D133" s="430"/>
      <c r="E133" s="431"/>
      <c r="F133" s="432"/>
      <c r="G133" s="433" t="e">
        <f ca="1">SUMPRODUCT(G109:G132, $E$79:$E$102)</f>
        <v>#N/A</v>
      </c>
      <c r="H133" s="433" t="e">
        <f t="shared" ref="H133:V133" ca="1" si="159">SUMPRODUCT(H109:H132, $E$79:$E$102)</f>
        <v>#N/A</v>
      </c>
      <c r="I133" s="433" t="e">
        <f t="shared" ca="1" si="159"/>
        <v>#N/A</v>
      </c>
      <c r="J133" s="433" t="e">
        <f t="shared" ca="1" si="159"/>
        <v>#N/A</v>
      </c>
      <c r="K133" s="433" t="e">
        <f t="shared" ca="1" si="159"/>
        <v>#N/A</v>
      </c>
      <c r="L133" s="433" t="e">
        <f t="shared" ca="1" si="159"/>
        <v>#N/A</v>
      </c>
      <c r="M133" s="433" t="e">
        <f t="shared" ca="1" si="159"/>
        <v>#N/A</v>
      </c>
      <c r="N133" s="433" t="e">
        <f t="shared" ca="1" si="159"/>
        <v>#N/A</v>
      </c>
      <c r="O133" s="433" t="e">
        <f t="shared" ca="1" si="159"/>
        <v>#N/A</v>
      </c>
      <c r="P133" s="433" t="e">
        <f t="shared" ca="1" si="159"/>
        <v>#N/A</v>
      </c>
      <c r="Q133" s="433" t="e">
        <f t="shared" ca="1" si="159"/>
        <v>#N/A</v>
      </c>
      <c r="R133" s="433" t="e">
        <f t="shared" ca="1" si="159"/>
        <v>#N/A</v>
      </c>
      <c r="S133" s="433" t="e">
        <f t="shared" ca="1" si="159"/>
        <v>#N/A</v>
      </c>
      <c r="T133" s="433" t="e">
        <f t="shared" ca="1" si="159"/>
        <v>#N/A</v>
      </c>
      <c r="U133" s="433" t="e">
        <f t="shared" ca="1" si="159"/>
        <v>#N/A</v>
      </c>
      <c r="V133" s="433" t="e">
        <f t="shared" ca="1" si="159"/>
        <v>#N/A</v>
      </c>
    </row>
    <row r="134" spans="2:79" hidden="1" outlineLevel="1" x14ac:dyDescent="0.25"/>
    <row r="135" spans="2:79" hidden="1" outlineLevel="1" x14ac:dyDescent="0.25"/>
    <row r="136" spans="2:79" ht="18.75" hidden="1" customHeight="1" outlineLevel="1" collapsed="1" x14ac:dyDescent="0.3">
      <c r="D136" s="1222" t="s">
        <v>2065</v>
      </c>
      <c r="U136">
        <v>2019</v>
      </c>
      <c r="V136">
        <v>2019</v>
      </c>
      <c r="W136">
        <v>2019</v>
      </c>
      <c r="X136">
        <v>2019</v>
      </c>
      <c r="Y136">
        <v>2019</v>
      </c>
      <c r="Z136">
        <v>2019</v>
      </c>
      <c r="AA136">
        <v>2019</v>
      </c>
      <c r="AB136">
        <v>2019</v>
      </c>
      <c r="AC136">
        <v>2019</v>
      </c>
      <c r="AD136">
        <v>2019</v>
      </c>
      <c r="AE136">
        <v>2019</v>
      </c>
      <c r="AF136">
        <v>2019</v>
      </c>
      <c r="AG136">
        <v>2020</v>
      </c>
      <c r="AH136">
        <v>2020</v>
      </c>
      <c r="AI136">
        <v>2020</v>
      </c>
      <c r="AJ136">
        <v>2020</v>
      </c>
      <c r="AK136">
        <v>2020</v>
      </c>
      <c r="AL136">
        <v>2020</v>
      </c>
      <c r="AM136">
        <v>2020</v>
      </c>
      <c r="AN136">
        <v>2020</v>
      </c>
      <c r="AO136">
        <v>2020</v>
      </c>
      <c r="AP136">
        <v>2020</v>
      </c>
      <c r="AQ136">
        <v>2020</v>
      </c>
      <c r="AR136">
        <v>2020</v>
      </c>
      <c r="AS136">
        <v>2021</v>
      </c>
      <c r="AT136">
        <v>2021</v>
      </c>
      <c r="AU136">
        <v>2021</v>
      </c>
      <c r="AV136">
        <v>2021</v>
      </c>
      <c r="AW136">
        <v>2021</v>
      </c>
      <c r="AX136">
        <v>2021</v>
      </c>
      <c r="AY136">
        <v>2021</v>
      </c>
      <c r="AZ136">
        <v>2021</v>
      </c>
      <c r="BA136">
        <v>2021</v>
      </c>
      <c r="BB136">
        <v>2021</v>
      </c>
      <c r="BC136">
        <v>2021</v>
      </c>
      <c r="BD136">
        <v>2021</v>
      </c>
      <c r="BS136"/>
      <c r="BT136"/>
      <c r="BU136"/>
      <c r="CA136"/>
    </row>
    <row r="137" spans="2:79" hidden="1" outlineLevel="1" x14ac:dyDescent="0.25">
      <c r="G137" t="e">
        <f t="shared" ref="G137:S137" ca="1" si="160">G$107</f>
        <v>#N/A</v>
      </c>
      <c r="H137" t="e">
        <f t="shared" ca="1" si="160"/>
        <v>#N/A</v>
      </c>
      <c r="I137" t="e">
        <f t="shared" ca="1" si="160"/>
        <v>#N/A</v>
      </c>
      <c r="J137" t="e">
        <f t="shared" ca="1" si="160"/>
        <v>#N/A</v>
      </c>
      <c r="K137" t="e">
        <f t="shared" ca="1" si="160"/>
        <v>#N/A</v>
      </c>
      <c r="L137" t="e">
        <f t="shared" ca="1" si="160"/>
        <v>#N/A</v>
      </c>
      <c r="M137" t="e">
        <f t="shared" ca="1" si="160"/>
        <v>#N/A</v>
      </c>
      <c r="N137" t="e">
        <f t="shared" ca="1" si="160"/>
        <v>#N/A</v>
      </c>
      <c r="O137" t="e">
        <f t="shared" ca="1" si="160"/>
        <v>#N/A</v>
      </c>
      <c r="P137" t="e">
        <f t="shared" ca="1" si="160"/>
        <v>#N/A</v>
      </c>
      <c r="Q137" t="e">
        <f t="shared" ca="1" si="160"/>
        <v>#N/A</v>
      </c>
      <c r="R137" t="e">
        <f t="shared" ca="1" si="160"/>
        <v>#N/A</v>
      </c>
      <c r="S137" t="e">
        <f t="shared" ca="1" si="160"/>
        <v>#N/A</v>
      </c>
      <c r="T137" t="e">
        <f ca="1">T$107</f>
        <v>#N/A</v>
      </c>
      <c r="U137" s="24" t="str">
        <f t="shared" ref="U137:BD137" si="161">G$25</f>
        <v>Jan2019</v>
      </c>
      <c r="V137" s="24" t="str">
        <f t="shared" si="161"/>
        <v>Feb2019</v>
      </c>
      <c r="W137" s="24" t="str">
        <f t="shared" si="161"/>
        <v>Mar2019</v>
      </c>
      <c r="X137" s="24" t="str">
        <f t="shared" si="161"/>
        <v>Apr2019</v>
      </c>
      <c r="Y137" s="24" t="str">
        <f t="shared" si="161"/>
        <v>May2019</v>
      </c>
      <c r="Z137" s="24" t="str">
        <f t="shared" si="161"/>
        <v>Jun2019</v>
      </c>
      <c r="AA137" s="24" t="str">
        <f t="shared" si="161"/>
        <v>Jul2019</v>
      </c>
      <c r="AB137" s="24" t="str">
        <f t="shared" si="161"/>
        <v>Aug2019</v>
      </c>
      <c r="AC137" s="24" t="str">
        <f t="shared" si="161"/>
        <v>Sep2019</v>
      </c>
      <c r="AD137" s="24" t="str">
        <f t="shared" si="161"/>
        <v>Oct2019</v>
      </c>
      <c r="AE137" s="24" t="str">
        <f t="shared" si="161"/>
        <v>Nov2019</v>
      </c>
      <c r="AF137" s="24" t="str">
        <f t="shared" si="161"/>
        <v>Dec2019</v>
      </c>
      <c r="AG137" s="24" t="str">
        <f t="shared" si="161"/>
        <v>Jan2020</v>
      </c>
      <c r="AH137" s="24" t="str">
        <f t="shared" si="161"/>
        <v>Feb2020</v>
      </c>
      <c r="AI137" s="24" t="str">
        <f t="shared" si="161"/>
        <v>Mar2020</v>
      </c>
      <c r="AJ137" s="24" t="str">
        <f t="shared" si="161"/>
        <v>Apr2020</v>
      </c>
      <c r="AK137" s="24" t="str">
        <f t="shared" si="161"/>
        <v>May2020</v>
      </c>
      <c r="AL137" s="24" t="str">
        <f t="shared" si="161"/>
        <v>Jun2020</v>
      </c>
      <c r="AM137" s="24" t="str">
        <f t="shared" si="161"/>
        <v>Jul2020</v>
      </c>
      <c r="AN137" s="24" t="str">
        <f t="shared" si="161"/>
        <v>Aug2020</v>
      </c>
      <c r="AO137" s="24" t="str">
        <f t="shared" si="161"/>
        <v>Sep2020</v>
      </c>
      <c r="AP137" s="24" t="str">
        <f t="shared" si="161"/>
        <v>Oct2020</v>
      </c>
      <c r="AQ137" s="24" t="str">
        <f t="shared" si="161"/>
        <v>Nov2020</v>
      </c>
      <c r="AR137" s="24" t="str">
        <f t="shared" si="161"/>
        <v>Dec2020</v>
      </c>
      <c r="AS137" s="24" t="str">
        <f t="shared" si="161"/>
        <v>Jan2021</v>
      </c>
      <c r="AT137" s="24" t="str">
        <f t="shared" si="161"/>
        <v>Feb2021</v>
      </c>
      <c r="AU137" s="24" t="str">
        <f t="shared" si="161"/>
        <v>Mar2021</v>
      </c>
      <c r="AV137" s="24" t="str">
        <f t="shared" si="161"/>
        <v>Apr2021</v>
      </c>
      <c r="AW137" s="24" t="str">
        <f t="shared" si="161"/>
        <v>May2021</v>
      </c>
      <c r="AX137" s="24" t="str">
        <f t="shared" si="161"/>
        <v>Jun2021</v>
      </c>
      <c r="AY137" s="24" t="str">
        <f t="shared" si="161"/>
        <v>Jul2021</v>
      </c>
      <c r="AZ137" s="24" t="str">
        <f t="shared" si="161"/>
        <v>Aug2021</v>
      </c>
      <c r="BA137" s="24" t="str">
        <f t="shared" si="161"/>
        <v>Sep2021</v>
      </c>
      <c r="BB137" s="24" t="str">
        <f t="shared" si="161"/>
        <v>Oct2021</v>
      </c>
      <c r="BC137" s="24" t="str">
        <f t="shared" si="161"/>
        <v>Nov2021</v>
      </c>
      <c r="BD137" s="24" t="str">
        <f t="shared" si="161"/>
        <v>Dec2021</v>
      </c>
      <c r="BS137"/>
      <c r="BT137"/>
      <c r="BU137"/>
      <c r="CA137"/>
    </row>
    <row r="138" spans="2:79" hidden="1" outlineLevel="1" x14ac:dyDescent="0.25">
      <c r="C138" t="str">
        <f>C79</f>
        <v>Ligature des trompes</v>
      </c>
      <c r="D138" t="str">
        <f>IF(Language="English", $BS138, $BT138)</f>
        <v>Les données mensuelles</v>
      </c>
      <c r="G138" s="2" t="e">
        <f t="shared" ref="G138:AS138" ca="1" si="162">VLOOKUP($C138, $C$25:$AP$51, MATCH(G137, $C$25:$AP$25, 0), FALSE)</f>
        <v>#N/A</v>
      </c>
      <c r="H138" s="2" t="e">
        <f t="shared" ca="1" si="162"/>
        <v>#N/A</v>
      </c>
      <c r="I138" s="2" t="e">
        <f t="shared" ca="1" si="162"/>
        <v>#N/A</v>
      </c>
      <c r="J138" s="2" t="e">
        <f t="shared" ca="1" si="162"/>
        <v>#N/A</v>
      </c>
      <c r="K138" s="2" t="e">
        <f t="shared" ca="1" si="162"/>
        <v>#N/A</v>
      </c>
      <c r="L138" s="2" t="e">
        <f t="shared" ca="1" si="162"/>
        <v>#N/A</v>
      </c>
      <c r="M138" s="2" t="e">
        <f t="shared" ca="1" si="162"/>
        <v>#N/A</v>
      </c>
      <c r="N138" s="2" t="e">
        <f t="shared" ca="1" si="162"/>
        <v>#N/A</v>
      </c>
      <c r="O138" s="2" t="e">
        <f t="shared" ca="1" si="162"/>
        <v>#N/A</v>
      </c>
      <c r="P138" s="2" t="e">
        <f t="shared" ca="1" si="162"/>
        <v>#N/A</v>
      </c>
      <c r="Q138" s="2" t="e">
        <f t="shared" ca="1" si="162"/>
        <v>#N/A</v>
      </c>
      <c r="R138" s="2" t="e">
        <f t="shared" ca="1" si="162"/>
        <v>#N/A</v>
      </c>
      <c r="S138" s="2" t="e">
        <f t="shared" ca="1" si="162"/>
        <v>#N/A</v>
      </c>
      <c r="T138" s="2" t="e">
        <f t="shared" ca="1" si="162"/>
        <v>#N/A</v>
      </c>
      <c r="U138" s="2">
        <f t="shared" si="162"/>
        <v>0</v>
      </c>
      <c r="V138" s="2">
        <f t="shared" si="162"/>
        <v>0</v>
      </c>
      <c r="W138" s="2">
        <f t="shared" si="162"/>
        <v>0</v>
      </c>
      <c r="X138" s="2">
        <f t="shared" si="162"/>
        <v>0</v>
      </c>
      <c r="Y138" s="2">
        <f t="shared" si="162"/>
        <v>0</v>
      </c>
      <c r="Z138" s="2">
        <f t="shared" si="162"/>
        <v>0</v>
      </c>
      <c r="AA138" s="2">
        <f t="shared" si="162"/>
        <v>0</v>
      </c>
      <c r="AB138" s="2">
        <f t="shared" si="162"/>
        <v>0</v>
      </c>
      <c r="AC138" s="2">
        <f t="shared" si="162"/>
        <v>0</v>
      </c>
      <c r="AD138" s="2">
        <f t="shared" si="162"/>
        <v>0</v>
      </c>
      <c r="AE138" s="2">
        <f t="shared" si="162"/>
        <v>0</v>
      </c>
      <c r="AF138" s="2">
        <f t="shared" si="162"/>
        <v>0</v>
      </c>
      <c r="AG138" s="2">
        <f t="shared" si="162"/>
        <v>0</v>
      </c>
      <c r="AH138" s="2">
        <f t="shared" si="162"/>
        <v>0</v>
      </c>
      <c r="AI138" s="2">
        <f t="shared" si="162"/>
        <v>0</v>
      </c>
      <c r="AJ138" s="2">
        <f t="shared" si="162"/>
        <v>0</v>
      </c>
      <c r="AK138" s="2">
        <f t="shared" si="162"/>
        <v>0</v>
      </c>
      <c r="AL138" s="2">
        <f t="shared" si="162"/>
        <v>0</v>
      </c>
      <c r="AM138" s="2">
        <f t="shared" si="162"/>
        <v>0</v>
      </c>
      <c r="AN138" s="2">
        <f t="shared" si="162"/>
        <v>0</v>
      </c>
      <c r="AO138" s="2">
        <f t="shared" si="162"/>
        <v>0</v>
      </c>
      <c r="AP138" s="2">
        <f t="shared" si="162"/>
        <v>0</v>
      </c>
      <c r="AQ138" s="2">
        <f t="shared" si="162"/>
        <v>0</v>
      </c>
      <c r="AR138" s="2">
        <f t="shared" si="162"/>
        <v>0</v>
      </c>
      <c r="AS138" s="2">
        <f t="shared" si="162"/>
        <v>0</v>
      </c>
      <c r="AT138" s="2">
        <f t="shared" ref="AT138:AY138" si="163">VLOOKUP($C138, $C$25:$AP$51, MATCH(AT137, $C$25:$AP$25, 0), FALSE)</f>
        <v>0</v>
      </c>
      <c r="AU138" s="2">
        <f t="shared" si="163"/>
        <v>0</v>
      </c>
      <c r="AV138" s="2">
        <f t="shared" si="163"/>
        <v>0</v>
      </c>
      <c r="AW138" s="2">
        <f t="shared" si="163"/>
        <v>0</v>
      </c>
      <c r="AX138" s="2">
        <f t="shared" si="163"/>
        <v>0</v>
      </c>
      <c r="AY138" s="2">
        <f t="shared" si="163"/>
        <v>0</v>
      </c>
      <c r="AZ138" s="2">
        <f>VLOOKUP($C138, $C$25:$AP$51, MATCH(AZ137, $C$25:$AP$25, 0), FALSE)</f>
        <v>0</v>
      </c>
      <c r="BA138" s="2">
        <f>VLOOKUP($C138, $C$25:$AP$51, MATCH(BA137, $C$25:$AP$25, 0), FALSE)</f>
        <v>0</v>
      </c>
      <c r="BB138" s="2">
        <f>VLOOKUP($C138, $C$25:$AP$51, MATCH(BB137, $C$25:$AP$25, 0), FALSE)</f>
        <v>0</v>
      </c>
      <c r="BC138" s="2">
        <f>VLOOKUP($C138, $C$25:$AP$51, MATCH(BC137, $C$25:$AP$25, 0), FALSE)</f>
        <v>0</v>
      </c>
      <c r="BD138" s="2">
        <f>VLOOKUP($C138, $C$25:$AP$51, MATCH(BD137, $C$25:$AP$25, 0), FALSE)</f>
        <v>0</v>
      </c>
      <c r="BS138" t="s">
        <v>2066</v>
      </c>
      <c r="BT138" t="s">
        <v>2410</v>
      </c>
      <c r="BU138"/>
      <c r="CA138"/>
    </row>
    <row r="139" spans="2:79" hidden="1" outlineLevel="1" x14ac:dyDescent="0.25">
      <c r="C139" t="str">
        <f>C79</f>
        <v>Ligature des trompes</v>
      </c>
      <c r="D139" t="str">
        <f>IF(Language="English", $BS139, $BT139)</f>
        <v>Les données annuelles (moyenne mensuelle)</v>
      </c>
      <c r="G139" s="2" t="e">
        <f ca="1">VLOOKUP($C139, $C$109:$V$132, MATCH(G$137, $C$107:$V$107, 0), FALSE)</f>
        <v>#N/A</v>
      </c>
      <c r="H139" s="2" t="e">
        <f t="shared" ref="H139:T139" ca="1" si="164">VLOOKUP($C139, $C$109:$V$132, MATCH(H$137, $C$107:$V$107, 0), FALSE)</f>
        <v>#N/A</v>
      </c>
      <c r="I139" s="2" t="e">
        <f t="shared" ca="1" si="164"/>
        <v>#N/A</v>
      </c>
      <c r="J139" s="2" t="e">
        <f t="shared" ca="1" si="164"/>
        <v>#N/A</v>
      </c>
      <c r="K139" s="2" t="e">
        <f t="shared" ca="1" si="164"/>
        <v>#N/A</v>
      </c>
      <c r="L139" s="2" t="e">
        <f t="shared" ca="1" si="164"/>
        <v>#N/A</v>
      </c>
      <c r="M139" s="2" t="e">
        <f t="shared" ca="1" si="164"/>
        <v>#N/A</v>
      </c>
      <c r="N139" s="2" t="e">
        <f t="shared" ca="1" si="164"/>
        <v>#N/A</v>
      </c>
      <c r="O139" s="2" t="e">
        <f t="shared" ca="1" si="164"/>
        <v>#N/A</v>
      </c>
      <c r="P139" s="2" t="e">
        <f t="shared" ca="1" si="164"/>
        <v>#N/A</v>
      </c>
      <c r="Q139" s="2" t="e">
        <f t="shared" ca="1" si="164"/>
        <v>#N/A</v>
      </c>
      <c r="R139" s="2" t="e">
        <f t="shared" ca="1" si="164"/>
        <v>#N/A</v>
      </c>
      <c r="S139" s="2" t="e">
        <f t="shared" ca="1" si="164"/>
        <v>#N/A</v>
      </c>
      <c r="T139" s="2" t="e">
        <f t="shared" ca="1" si="164"/>
        <v>#N/A</v>
      </c>
      <c r="U139" s="2" t="e">
        <f ca="1">VLOOKUP($C139, $C$109:$V$132, MATCH(U$136, $C$107:$V$107, 0), FALSE)</f>
        <v>#N/A</v>
      </c>
      <c r="V139" s="2" t="e">
        <f t="shared" ref="V139:AF139" ca="1" si="165">VLOOKUP($C139, $C$109:$V$132, MATCH(V$136, $C$107:$V$107, 0), FALSE)</f>
        <v>#N/A</v>
      </c>
      <c r="W139" s="2" t="e">
        <f t="shared" ca="1" si="165"/>
        <v>#N/A</v>
      </c>
      <c r="X139" s="2" t="e">
        <f t="shared" ca="1" si="165"/>
        <v>#N/A</v>
      </c>
      <c r="Y139" s="2" t="e">
        <f t="shared" ca="1" si="165"/>
        <v>#N/A</v>
      </c>
      <c r="Z139" s="2" t="e">
        <f t="shared" ca="1" si="165"/>
        <v>#N/A</v>
      </c>
      <c r="AA139" s="2" t="e">
        <f t="shared" ca="1" si="165"/>
        <v>#N/A</v>
      </c>
      <c r="AB139" s="2" t="e">
        <f t="shared" ca="1" si="165"/>
        <v>#N/A</v>
      </c>
      <c r="AC139" s="2" t="e">
        <f t="shared" ca="1" si="165"/>
        <v>#N/A</v>
      </c>
      <c r="AD139" s="2" t="e">
        <f t="shared" ca="1" si="165"/>
        <v>#N/A</v>
      </c>
      <c r="AE139" s="2" t="e">
        <f t="shared" ca="1" si="165"/>
        <v>#N/A</v>
      </c>
      <c r="AF139" s="2" t="e">
        <f t="shared" ca="1" si="165"/>
        <v>#N/A</v>
      </c>
      <c r="AG139" s="2" t="e">
        <f ca="1">VLOOKUP($C139, $C$109:$V$132, MATCH(AG$136, $C$107:$V$107, 0), FALSE)</f>
        <v>#N/A</v>
      </c>
      <c r="AH139" s="2" t="e">
        <f t="shared" ref="AH139:BD139" ca="1" si="166">VLOOKUP($C139, $C$109:$V$132, MATCH(AH$136, $C$107:$V$107, 0), FALSE)</f>
        <v>#N/A</v>
      </c>
      <c r="AI139" s="2" t="e">
        <f t="shared" ca="1" si="166"/>
        <v>#N/A</v>
      </c>
      <c r="AJ139" s="2" t="e">
        <f t="shared" ca="1" si="166"/>
        <v>#N/A</v>
      </c>
      <c r="AK139" s="2" t="e">
        <f t="shared" ca="1" si="166"/>
        <v>#N/A</v>
      </c>
      <c r="AL139" s="2" t="e">
        <f t="shared" ca="1" si="166"/>
        <v>#N/A</v>
      </c>
      <c r="AM139" s="2" t="e">
        <f t="shared" ca="1" si="166"/>
        <v>#N/A</v>
      </c>
      <c r="AN139" s="2" t="e">
        <f t="shared" ca="1" si="166"/>
        <v>#N/A</v>
      </c>
      <c r="AO139" s="2" t="e">
        <f t="shared" ca="1" si="166"/>
        <v>#N/A</v>
      </c>
      <c r="AP139" s="2" t="e">
        <f t="shared" ca="1" si="166"/>
        <v>#N/A</v>
      </c>
      <c r="AQ139" s="2" t="e">
        <f t="shared" ca="1" si="166"/>
        <v>#N/A</v>
      </c>
      <c r="AR139" s="2" t="e">
        <f t="shared" ca="1" si="166"/>
        <v>#N/A</v>
      </c>
      <c r="AS139" s="2" t="e">
        <f t="shared" ca="1" si="166"/>
        <v>#N/A</v>
      </c>
      <c r="AT139" s="2" t="e">
        <f t="shared" ca="1" si="166"/>
        <v>#N/A</v>
      </c>
      <c r="AU139" s="2" t="e">
        <f t="shared" ca="1" si="166"/>
        <v>#N/A</v>
      </c>
      <c r="AV139" s="2" t="e">
        <f t="shared" ca="1" si="166"/>
        <v>#N/A</v>
      </c>
      <c r="AW139" s="2" t="e">
        <f t="shared" ca="1" si="166"/>
        <v>#N/A</v>
      </c>
      <c r="AX139" s="2" t="e">
        <f t="shared" ca="1" si="166"/>
        <v>#N/A</v>
      </c>
      <c r="AY139" s="2" t="e">
        <f t="shared" ca="1" si="166"/>
        <v>#N/A</v>
      </c>
      <c r="AZ139" s="2" t="e">
        <f t="shared" ca="1" si="166"/>
        <v>#N/A</v>
      </c>
      <c r="BA139" s="2" t="e">
        <f t="shared" ca="1" si="166"/>
        <v>#N/A</v>
      </c>
      <c r="BB139" s="2" t="e">
        <f t="shared" ca="1" si="166"/>
        <v>#N/A</v>
      </c>
      <c r="BC139" s="2" t="e">
        <f t="shared" ca="1" si="166"/>
        <v>#N/A</v>
      </c>
      <c r="BD139" s="2" t="e">
        <f t="shared" ca="1" si="166"/>
        <v>#N/A</v>
      </c>
      <c r="BS139" t="s">
        <v>2067</v>
      </c>
      <c r="BT139" t="s">
        <v>2407</v>
      </c>
      <c r="BU139"/>
      <c r="CA139"/>
    </row>
    <row r="140" spans="2:79" hidden="1" outlineLevel="1" x14ac:dyDescent="0.25">
      <c r="D140" t="str">
        <f>IF(Language="English", $BS140, $BT140)</f>
        <v>Mois avec restrictions COVID</v>
      </c>
      <c r="G140" s="2"/>
      <c r="H140" s="2"/>
      <c r="I140" s="2"/>
      <c r="J140" s="2"/>
      <c r="K140" s="2"/>
      <c r="L140" s="2"/>
      <c r="M140" s="2"/>
      <c r="N140" s="2"/>
      <c r="O140" s="2"/>
      <c r="P140" s="2"/>
      <c r="Q140" s="2"/>
      <c r="R140" s="2"/>
      <c r="S140" s="2"/>
      <c r="T140" s="2"/>
      <c r="U140" s="2">
        <f>G$57</f>
        <v>0</v>
      </c>
      <c r="V140" s="2">
        <f t="shared" ref="V140:BD140" si="167">H$57</f>
        <v>0</v>
      </c>
      <c r="W140" s="2">
        <f t="shared" si="167"/>
        <v>0</v>
      </c>
      <c r="X140" s="2">
        <f t="shared" si="167"/>
        <v>0</v>
      </c>
      <c r="Y140" s="2">
        <f t="shared" si="167"/>
        <v>0</v>
      </c>
      <c r="Z140" s="2">
        <f t="shared" si="167"/>
        <v>0</v>
      </c>
      <c r="AA140" s="2">
        <f t="shared" si="167"/>
        <v>0</v>
      </c>
      <c r="AB140" s="2">
        <f t="shared" si="167"/>
        <v>0</v>
      </c>
      <c r="AC140" s="2">
        <f t="shared" si="167"/>
        <v>0</v>
      </c>
      <c r="AD140" s="2">
        <f t="shared" si="167"/>
        <v>0</v>
      </c>
      <c r="AE140" s="2">
        <f t="shared" si="167"/>
        <v>0</v>
      </c>
      <c r="AF140" s="2">
        <f t="shared" si="167"/>
        <v>0</v>
      </c>
      <c r="AG140" s="2" t="e">
        <f t="shared" si="167"/>
        <v>#N/A</v>
      </c>
      <c r="AH140" s="2" t="e">
        <f t="shared" si="167"/>
        <v>#N/A</v>
      </c>
      <c r="AI140" s="2" t="e">
        <f t="shared" si="167"/>
        <v>#N/A</v>
      </c>
      <c r="AJ140" s="2" t="e">
        <f t="shared" si="167"/>
        <v>#N/A</v>
      </c>
      <c r="AK140" s="2" t="e">
        <f t="shared" si="167"/>
        <v>#N/A</v>
      </c>
      <c r="AL140" s="2" t="e">
        <f t="shared" si="167"/>
        <v>#N/A</v>
      </c>
      <c r="AM140" s="2" t="e">
        <f t="shared" si="167"/>
        <v>#N/A</v>
      </c>
      <c r="AN140" s="2" t="e">
        <f t="shared" si="167"/>
        <v>#N/A</v>
      </c>
      <c r="AO140" s="2" t="e">
        <f t="shared" si="167"/>
        <v>#N/A</v>
      </c>
      <c r="AP140" s="2" t="e">
        <f t="shared" si="167"/>
        <v>#N/A</v>
      </c>
      <c r="AQ140" s="2" t="e">
        <f t="shared" si="167"/>
        <v>#N/A</v>
      </c>
      <c r="AR140" s="2" t="e">
        <f t="shared" si="167"/>
        <v>#N/A</v>
      </c>
      <c r="AS140" s="2" t="e">
        <f t="shared" si="167"/>
        <v>#N/A</v>
      </c>
      <c r="AT140" s="2" t="e">
        <f t="shared" si="167"/>
        <v>#N/A</v>
      </c>
      <c r="AU140" s="2" t="e">
        <f t="shared" si="167"/>
        <v>#N/A</v>
      </c>
      <c r="AV140" s="2" t="e">
        <f t="shared" si="167"/>
        <v>#N/A</v>
      </c>
      <c r="AW140" s="2" t="e">
        <f t="shared" si="167"/>
        <v>#N/A</v>
      </c>
      <c r="AX140" s="2" t="e">
        <f t="shared" si="167"/>
        <v>#N/A</v>
      </c>
      <c r="AY140" s="2" t="e">
        <f t="shared" si="167"/>
        <v>#N/A</v>
      </c>
      <c r="AZ140" s="2" t="e">
        <f t="shared" si="167"/>
        <v>#N/A</v>
      </c>
      <c r="BA140" s="2" t="e">
        <f t="shared" si="167"/>
        <v>#N/A</v>
      </c>
      <c r="BB140" s="2" t="e">
        <f t="shared" si="167"/>
        <v>#N/A</v>
      </c>
      <c r="BC140" s="2" t="e">
        <f t="shared" si="167"/>
        <v>#N/A</v>
      </c>
      <c r="BD140" s="2" t="e">
        <f t="shared" si="167"/>
        <v>#N/A</v>
      </c>
      <c r="BS140" t="s">
        <v>2068</v>
      </c>
      <c r="BT140" t="s">
        <v>2402</v>
      </c>
      <c r="BU140"/>
      <c r="CA140"/>
    </row>
    <row r="141" spans="2:79" hidden="1" outlineLevel="1" x14ac:dyDescent="0.25">
      <c r="AR141" t="e">
        <f ca="1">U$107</f>
        <v>#N/A</v>
      </c>
      <c r="BD141" t="e">
        <f ca="1">V$107</f>
        <v>#N/A</v>
      </c>
      <c r="BS141"/>
      <c r="BT141"/>
      <c r="BU141"/>
      <c r="CA141"/>
    </row>
    <row r="142" spans="2:79" hidden="1" outlineLevel="1" x14ac:dyDescent="0.25">
      <c r="G142" t="e">
        <f t="shared" ref="G142:S142" ca="1" si="168">G$107</f>
        <v>#N/A</v>
      </c>
      <c r="H142" t="e">
        <f t="shared" ca="1" si="168"/>
        <v>#N/A</v>
      </c>
      <c r="I142" t="e">
        <f t="shared" ca="1" si="168"/>
        <v>#N/A</v>
      </c>
      <c r="J142" t="e">
        <f t="shared" ca="1" si="168"/>
        <v>#N/A</v>
      </c>
      <c r="K142" t="e">
        <f t="shared" ca="1" si="168"/>
        <v>#N/A</v>
      </c>
      <c r="L142" t="e">
        <f t="shared" ca="1" si="168"/>
        <v>#N/A</v>
      </c>
      <c r="M142" t="e">
        <f t="shared" ca="1" si="168"/>
        <v>#N/A</v>
      </c>
      <c r="N142" t="e">
        <f t="shared" ca="1" si="168"/>
        <v>#N/A</v>
      </c>
      <c r="O142" t="e">
        <f t="shared" ca="1" si="168"/>
        <v>#N/A</v>
      </c>
      <c r="P142" t="e">
        <f t="shared" ca="1" si="168"/>
        <v>#N/A</v>
      </c>
      <c r="Q142" t="e">
        <f t="shared" ca="1" si="168"/>
        <v>#N/A</v>
      </c>
      <c r="R142" t="e">
        <f t="shared" ca="1" si="168"/>
        <v>#N/A</v>
      </c>
      <c r="S142" t="e">
        <f t="shared" ca="1" si="168"/>
        <v>#N/A</v>
      </c>
      <c r="T142" t="e">
        <f ca="1">T$107</f>
        <v>#N/A</v>
      </c>
      <c r="U142" s="24" t="str">
        <f t="shared" ref="U142:AP142" si="169">G$25</f>
        <v>Jan2019</v>
      </c>
      <c r="V142" s="24" t="str">
        <f t="shared" si="169"/>
        <v>Feb2019</v>
      </c>
      <c r="W142" s="24" t="str">
        <f t="shared" si="169"/>
        <v>Mar2019</v>
      </c>
      <c r="X142" s="24" t="str">
        <f t="shared" si="169"/>
        <v>Apr2019</v>
      </c>
      <c r="Y142" s="24" t="str">
        <f t="shared" si="169"/>
        <v>May2019</v>
      </c>
      <c r="Z142" s="24" t="str">
        <f t="shared" si="169"/>
        <v>Jun2019</v>
      </c>
      <c r="AA142" s="24" t="str">
        <f t="shared" si="169"/>
        <v>Jul2019</v>
      </c>
      <c r="AB142" s="24" t="str">
        <f t="shared" si="169"/>
        <v>Aug2019</v>
      </c>
      <c r="AC142" s="24" t="str">
        <f t="shared" si="169"/>
        <v>Sep2019</v>
      </c>
      <c r="AD142" s="24" t="str">
        <f t="shared" si="169"/>
        <v>Oct2019</v>
      </c>
      <c r="AE142" s="24" t="str">
        <f t="shared" si="169"/>
        <v>Nov2019</v>
      </c>
      <c r="AF142" s="24" t="str">
        <f t="shared" si="169"/>
        <v>Dec2019</v>
      </c>
      <c r="AG142" s="24" t="str">
        <f t="shared" si="169"/>
        <v>Jan2020</v>
      </c>
      <c r="AH142" s="24" t="str">
        <f t="shared" si="169"/>
        <v>Feb2020</v>
      </c>
      <c r="AI142" s="24" t="str">
        <f t="shared" si="169"/>
        <v>Mar2020</v>
      </c>
      <c r="AJ142" s="24" t="str">
        <f t="shared" si="169"/>
        <v>Apr2020</v>
      </c>
      <c r="AK142" s="24" t="str">
        <f t="shared" si="169"/>
        <v>May2020</v>
      </c>
      <c r="AL142" s="24" t="str">
        <f t="shared" si="169"/>
        <v>Jun2020</v>
      </c>
      <c r="AM142" s="24" t="str">
        <f t="shared" si="169"/>
        <v>Jul2020</v>
      </c>
      <c r="AN142" s="24" t="str">
        <f t="shared" si="169"/>
        <v>Aug2020</v>
      </c>
      <c r="AO142" s="24" t="str">
        <f t="shared" si="169"/>
        <v>Sep2020</v>
      </c>
      <c r="AP142" s="24" t="str">
        <f t="shared" si="169"/>
        <v>Oct2020</v>
      </c>
      <c r="AQ142" s="24" t="str">
        <f t="shared" ref="AQ142:AR142" si="170">Q$25</f>
        <v>Nov2019</v>
      </c>
      <c r="AR142" s="24" t="str">
        <f t="shared" si="170"/>
        <v>Dec2019</v>
      </c>
      <c r="AS142" s="24" t="str">
        <f t="shared" ref="AS142:BD142" si="171">AE$25</f>
        <v>Jan2021</v>
      </c>
      <c r="AT142" s="24" t="str">
        <f t="shared" si="171"/>
        <v>Feb2021</v>
      </c>
      <c r="AU142" s="24" t="str">
        <f t="shared" si="171"/>
        <v>Mar2021</v>
      </c>
      <c r="AV142" s="24" t="str">
        <f t="shared" si="171"/>
        <v>Apr2021</v>
      </c>
      <c r="AW142" s="24" t="str">
        <f t="shared" si="171"/>
        <v>May2021</v>
      </c>
      <c r="AX142" s="24" t="str">
        <f t="shared" si="171"/>
        <v>Jun2021</v>
      </c>
      <c r="AY142" s="24" t="str">
        <f t="shared" si="171"/>
        <v>Jul2021</v>
      </c>
      <c r="AZ142" s="24" t="str">
        <f t="shared" si="171"/>
        <v>Aug2021</v>
      </c>
      <c r="BA142" s="24" t="str">
        <f t="shared" si="171"/>
        <v>Sep2021</v>
      </c>
      <c r="BB142" s="24" t="str">
        <f t="shared" si="171"/>
        <v>Oct2021</v>
      </c>
      <c r="BC142" s="24" t="str">
        <f t="shared" si="171"/>
        <v>Nov2021</v>
      </c>
      <c r="BD142" s="24" t="str">
        <f t="shared" si="171"/>
        <v>Dec2021</v>
      </c>
      <c r="BS142"/>
      <c r="BT142"/>
      <c r="BU142"/>
      <c r="CA142"/>
    </row>
    <row r="143" spans="2:79" hidden="1" outlineLevel="1" x14ac:dyDescent="0.25">
      <c r="C143" t="str">
        <f>C80</f>
        <v>Vasectomie</v>
      </c>
      <c r="D143" t="str">
        <f>IF(Language="English", $BS143, $BT143)</f>
        <v>Les données mensuelles</v>
      </c>
      <c r="G143" s="2" t="e">
        <f t="shared" ref="G143:AS143" ca="1" si="172">VLOOKUP($C143, $C$25:$AP$51, MATCH(G142, $C$25:$AP$25, 0), FALSE)</f>
        <v>#N/A</v>
      </c>
      <c r="H143" s="2" t="e">
        <f t="shared" ca="1" si="172"/>
        <v>#N/A</v>
      </c>
      <c r="I143" s="2" t="e">
        <f t="shared" ca="1" si="172"/>
        <v>#N/A</v>
      </c>
      <c r="J143" s="2" t="e">
        <f t="shared" ca="1" si="172"/>
        <v>#N/A</v>
      </c>
      <c r="K143" s="2" t="e">
        <f t="shared" ca="1" si="172"/>
        <v>#N/A</v>
      </c>
      <c r="L143" s="2" t="e">
        <f t="shared" ca="1" si="172"/>
        <v>#N/A</v>
      </c>
      <c r="M143" s="2" t="e">
        <f t="shared" ca="1" si="172"/>
        <v>#N/A</v>
      </c>
      <c r="N143" s="2" t="e">
        <f t="shared" ca="1" si="172"/>
        <v>#N/A</v>
      </c>
      <c r="O143" s="2" t="e">
        <f t="shared" ca="1" si="172"/>
        <v>#N/A</v>
      </c>
      <c r="P143" s="2" t="e">
        <f t="shared" ca="1" si="172"/>
        <v>#N/A</v>
      </c>
      <c r="Q143" s="2" t="e">
        <f t="shared" ca="1" si="172"/>
        <v>#N/A</v>
      </c>
      <c r="R143" s="2" t="e">
        <f t="shared" ca="1" si="172"/>
        <v>#N/A</v>
      </c>
      <c r="S143" s="2" t="e">
        <f t="shared" ca="1" si="172"/>
        <v>#N/A</v>
      </c>
      <c r="T143" s="2" t="e">
        <f t="shared" ca="1" si="172"/>
        <v>#N/A</v>
      </c>
      <c r="U143" s="2">
        <f t="shared" si="172"/>
        <v>0</v>
      </c>
      <c r="V143" s="2">
        <f t="shared" si="172"/>
        <v>0</v>
      </c>
      <c r="W143" s="2">
        <f t="shared" si="172"/>
        <v>0</v>
      </c>
      <c r="X143" s="2">
        <f t="shared" si="172"/>
        <v>0</v>
      </c>
      <c r="Y143" s="2">
        <f t="shared" si="172"/>
        <v>0</v>
      </c>
      <c r="Z143" s="2">
        <f t="shared" si="172"/>
        <v>0</v>
      </c>
      <c r="AA143" s="2">
        <f t="shared" si="172"/>
        <v>0</v>
      </c>
      <c r="AB143" s="2">
        <f t="shared" si="172"/>
        <v>0</v>
      </c>
      <c r="AC143" s="2">
        <f t="shared" si="172"/>
        <v>0</v>
      </c>
      <c r="AD143" s="2">
        <f t="shared" si="172"/>
        <v>0</v>
      </c>
      <c r="AE143" s="2">
        <f t="shared" si="172"/>
        <v>0</v>
      </c>
      <c r="AF143" s="2">
        <f t="shared" si="172"/>
        <v>0</v>
      </c>
      <c r="AG143" s="2">
        <f t="shared" si="172"/>
        <v>0</v>
      </c>
      <c r="AH143" s="2">
        <f t="shared" si="172"/>
        <v>0</v>
      </c>
      <c r="AI143" s="2">
        <f t="shared" si="172"/>
        <v>0</v>
      </c>
      <c r="AJ143" s="2">
        <f t="shared" si="172"/>
        <v>0</v>
      </c>
      <c r="AK143" s="2">
        <f t="shared" si="172"/>
        <v>0</v>
      </c>
      <c r="AL143" s="2">
        <f t="shared" si="172"/>
        <v>0</v>
      </c>
      <c r="AM143" s="2">
        <f t="shared" si="172"/>
        <v>0</v>
      </c>
      <c r="AN143" s="2">
        <f t="shared" si="172"/>
        <v>0</v>
      </c>
      <c r="AO143" s="2">
        <f t="shared" si="172"/>
        <v>0</v>
      </c>
      <c r="AP143" s="2">
        <f t="shared" si="172"/>
        <v>0</v>
      </c>
      <c r="AQ143" s="2">
        <f t="shared" si="172"/>
        <v>0</v>
      </c>
      <c r="AR143" s="2">
        <f t="shared" si="172"/>
        <v>0</v>
      </c>
      <c r="AS143" s="2">
        <f t="shared" si="172"/>
        <v>0</v>
      </c>
      <c r="AT143" s="2">
        <f t="shared" ref="AT143:AY143" si="173">VLOOKUP($C143, $C$25:$AP$51, MATCH(AT142, $C$25:$AP$25, 0), FALSE)</f>
        <v>0</v>
      </c>
      <c r="AU143" s="2">
        <f t="shared" si="173"/>
        <v>0</v>
      </c>
      <c r="AV143" s="2">
        <f t="shared" si="173"/>
        <v>0</v>
      </c>
      <c r="AW143" s="2">
        <f t="shared" si="173"/>
        <v>0</v>
      </c>
      <c r="AX143" s="2">
        <f t="shared" si="173"/>
        <v>0</v>
      </c>
      <c r="AY143" s="2">
        <f t="shared" si="173"/>
        <v>0</v>
      </c>
      <c r="AZ143" s="2">
        <f>VLOOKUP($C143, $C$25:$AP$51, MATCH(AZ142, $C$25:$AP$25, 0), FALSE)</f>
        <v>0</v>
      </c>
      <c r="BA143" s="2">
        <f>VLOOKUP($C143, $C$25:$AP$51, MATCH(BA142, $C$25:$AP$25, 0), FALSE)</f>
        <v>0</v>
      </c>
      <c r="BB143" s="2">
        <f>VLOOKUP($C143, $C$25:$AP$51, MATCH(BB142, $C$25:$AP$25, 0), FALSE)</f>
        <v>0</v>
      </c>
      <c r="BC143" s="2">
        <f>VLOOKUP($C143, $C$25:$AP$51, MATCH(BC142, $C$25:$AP$25, 0), FALSE)</f>
        <v>0</v>
      </c>
      <c r="BD143" s="2">
        <f>VLOOKUP($C143, $C$25:$AP$51, MATCH(BD142, $C$25:$AP$25, 0), FALSE)</f>
        <v>0</v>
      </c>
      <c r="BS143" t="s">
        <v>2066</v>
      </c>
      <c r="BT143" t="s">
        <v>2410</v>
      </c>
      <c r="BU143"/>
      <c r="CA143"/>
    </row>
    <row r="144" spans="2:79" hidden="1" outlineLevel="1" x14ac:dyDescent="0.25">
      <c r="C144" t="str">
        <f>C80</f>
        <v>Vasectomie</v>
      </c>
      <c r="D144" t="str">
        <f>IF(Language="English", $BS144, $BT144)</f>
        <v>Les données annuelles (moyenne mensuelle)</v>
      </c>
      <c r="G144" s="2" t="e">
        <f ca="1">VLOOKUP($C144, $C$109:$V$132, MATCH(G$137, $C$107:$V$107, 0), FALSE)</f>
        <v>#N/A</v>
      </c>
      <c r="H144" s="2" t="e">
        <f t="shared" ref="H144:T144" ca="1" si="174">VLOOKUP($C144, $C$109:$V$132, MATCH(H$137, $C$107:$V$107, 0), FALSE)</f>
        <v>#N/A</v>
      </c>
      <c r="I144" s="2" t="e">
        <f t="shared" ca="1" si="174"/>
        <v>#N/A</v>
      </c>
      <c r="J144" s="2" t="e">
        <f t="shared" ca="1" si="174"/>
        <v>#N/A</v>
      </c>
      <c r="K144" s="2" t="e">
        <f t="shared" ca="1" si="174"/>
        <v>#N/A</v>
      </c>
      <c r="L144" s="2" t="e">
        <f t="shared" ca="1" si="174"/>
        <v>#N/A</v>
      </c>
      <c r="M144" s="2" t="e">
        <f t="shared" ca="1" si="174"/>
        <v>#N/A</v>
      </c>
      <c r="N144" s="2" t="e">
        <f t="shared" ca="1" si="174"/>
        <v>#N/A</v>
      </c>
      <c r="O144" s="2" t="e">
        <f t="shared" ca="1" si="174"/>
        <v>#N/A</v>
      </c>
      <c r="P144" s="2" t="e">
        <f t="shared" ca="1" si="174"/>
        <v>#N/A</v>
      </c>
      <c r="Q144" s="2" t="e">
        <f t="shared" ca="1" si="174"/>
        <v>#N/A</v>
      </c>
      <c r="R144" s="2" t="e">
        <f t="shared" ca="1" si="174"/>
        <v>#N/A</v>
      </c>
      <c r="S144" s="2" t="e">
        <f t="shared" ca="1" si="174"/>
        <v>#N/A</v>
      </c>
      <c r="T144" s="2" t="e">
        <f t="shared" ca="1" si="174"/>
        <v>#N/A</v>
      </c>
      <c r="U144" s="2" t="e">
        <f ca="1">VLOOKUP($C144, $C$109:$V$132, MATCH(U$136, $C$107:$V$107, 0), FALSE)</f>
        <v>#N/A</v>
      </c>
      <c r="V144" s="2" t="e">
        <f t="shared" ref="V144:AF144" ca="1" si="175">VLOOKUP($C144, $C$109:$V$132, MATCH(V$136, $C$107:$V$107, 0), FALSE)</f>
        <v>#N/A</v>
      </c>
      <c r="W144" s="2" t="e">
        <f t="shared" ca="1" si="175"/>
        <v>#N/A</v>
      </c>
      <c r="X144" s="2" t="e">
        <f t="shared" ca="1" si="175"/>
        <v>#N/A</v>
      </c>
      <c r="Y144" s="2" t="e">
        <f t="shared" ca="1" si="175"/>
        <v>#N/A</v>
      </c>
      <c r="Z144" s="2" t="e">
        <f t="shared" ca="1" si="175"/>
        <v>#N/A</v>
      </c>
      <c r="AA144" s="2" t="e">
        <f t="shared" ca="1" si="175"/>
        <v>#N/A</v>
      </c>
      <c r="AB144" s="2" t="e">
        <f t="shared" ca="1" si="175"/>
        <v>#N/A</v>
      </c>
      <c r="AC144" s="2" t="e">
        <f t="shared" ca="1" si="175"/>
        <v>#N/A</v>
      </c>
      <c r="AD144" s="2" t="e">
        <f t="shared" ca="1" si="175"/>
        <v>#N/A</v>
      </c>
      <c r="AE144" s="2" t="e">
        <f t="shared" ca="1" si="175"/>
        <v>#N/A</v>
      </c>
      <c r="AF144" s="2" t="e">
        <f t="shared" ca="1" si="175"/>
        <v>#N/A</v>
      </c>
      <c r="AG144" s="2" t="e">
        <f ca="1">VLOOKUP($C144, $C$109:$V$132, MATCH(AG$136, $C$107:$V$107, 0), FALSE)</f>
        <v>#N/A</v>
      </c>
      <c r="AH144" s="2" t="e">
        <f t="shared" ref="AH144:BD144" ca="1" si="176">VLOOKUP($C144, $C$109:$V$132, MATCH(AH$136, $C$107:$V$107, 0), FALSE)</f>
        <v>#N/A</v>
      </c>
      <c r="AI144" s="2" t="e">
        <f t="shared" ca="1" si="176"/>
        <v>#N/A</v>
      </c>
      <c r="AJ144" s="2" t="e">
        <f t="shared" ca="1" si="176"/>
        <v>#N/A</v>
      </c>
      <c r="AK144" s="2" t="e">
        <f t="shared" ca="1" si="176"/>
        <v>#N/A</v>
      </c>
      <c r="AL144" s="2" t="e">
        <f t="shared" ca="1" si="176"/>
        <v>#N/A</v>
      </c>
      <c r="AM144" s="2" t="e">
        <f t="shared" ca="1" si="176"/>
        <v>#N/A</v>
      </c>
      <c r="AN144" s="2" t="e">
        <f t="shared" ca="1" si="176"/>
        <v>#N/A</v>
      </c>
      <c r="AO144" s="2" t="e">
        <f t="shared" ca="1" si="176"/>
        <v>#N/A</v>
      </c>
      <c r="AP144" s="2" t="e">
        <f t="shared" ca="1" si="176"/>
        <v>#N/A</v>
      </c>
      <c r="AQ144" s="2" t="e">
        <f t="shared" ca="1" si="176"/>
        <v>#N/A</v>
      </c>
      <c r="AR144" s="2" t="e">
        <f t="shared" ca="1" si="176"/>
        <v>#N/A</v>
      </c>
      <c r="AS144" s="2" t="e">
        <f t="shared" ca="1" si="176"/>
        <v>#N/A</v>
      </c>
      <c r="AT144" s="2" t="e">
        <f t="shared" ca="1" si="176"/>
        <v>#N/A</v>
      </c>
      <c r="AU144" s="2" t="e">
        <f t="shared" ca="1" si="176"/>
        <v>#N/A</v>
      </c>
      <c r="AV144" s="2" t="e">
        <f t="shared" ca="1" si="176"/>
        <v>#N/A</v>
      </c>
      <c r="AW144" s="2" t="e">
        <f t="shared" ca="1" si="176"/>
        <v>#N/A</v>
      </c>
      <c r="AX144" s="2" t="e">
        <f t="shared" ca="1" si="176"/>
        <v>#N/A</v>
      </c>
      <c r="AY144" s="2" t="e">
        <f t="shared" ca="1" si="176"/>
        <v>#N/A</v>
      </c>
      <c r="AZ144" s="2" t="e">
        <f t="shared" ca="1" si="176"/>
        <v>#N/A</v>
      </c>
      <c r="BA144" s="2" t="e">
        <f t="shared" ca="1" si="176"/>
        <v>#N/A</v>
      </c>
      <c r="BB144" s="2" t="e">
        <f t="shared" ca="1" si="176"/>
        <v>#N/A</v>
      </c>
      <c r="BC144" s="2" t="e">
        <f t="shared" ca="1" si="176"/>
        <v>#N/A</v>
      </c>
      <c r="BD144" s="2" t="e">
        <f t="shared" ca="1" si="176"/>
        <v>#N/A</v>
      </c>
      <c r="BS144" t="s">
        <v>2067</v>
      </c>
      <c r="BT144" t="s">
        <v>2407</v>
      </c>
      <c r="BU144"/>
      <c r="CA144"/>
    </row>
    <row r="145" spans="3:79" hidden="1" outlineLevel="1" x14ac:dyDescent="0.25">
      <c r="D145" t="str">
        <f>IF(Language="English", $BS145, $BT145)</f>
        <v>Mois avec restrictions COVID</v>
      </c>
      <c r="G145" s="2"/>
      <c r="H145" s="2"/>
      <c r="I145" s="2"/>
      <c r="J145" s="2"/>
      <c r="K145" s="2"/>
      <c r="L145" s="2"/>
      <c r="M145" s="2"/>
      <c r="N145" s="2"/>
      <c r="O145" s="2"/>
      <c r="P145" s="2"/>
      <c r="Q145" s="2"/>
      <c r="R145" s="2"/>
      <c r="S145" s="2"/>
      <c r="T145" s="2"/>
      <c r="U145" s="2">
        <f>G$57</f>
        <v>0</v>
      </c>
      <c r="V145" s="2">
        <f t="shared" ref="V145:BD145" si="177">H$57</f>
        <v>0</v>
      </c>
      <c r="W145" s="2">
        <f t="shared" si="177"/>
        <v>0</v>
      </c>
      <c r="X145" s="2">
        <f t="shared" si="177"/>
        <v>0</v>
      </c>
      <c r="Y145" s="2">
        <f t="shared" si="177"/>
        <v>0</v>
      </c>
      <c r="Z145" s="2">
        <f t="shared" si="177"/>
        <v>0</v>
      </c>
      <c r="AA145" s="2">
        <f t="shared" si="177"/>
        <v>0</v>
      </c>
      <c r="AB145" s="2">
        <f t="shared" si="177"/>
        <v>0</v>
      </c>
      <c r="AC145" s="2">
        <f t="shared" si="177"/>
        <v>0</v>
      </c>
      <c r="AD145" s="2">
        <f t="shared" si="177"/>
        <v>0</v>
      </c>
      <c r="AE145" s="2">
        <f t="shared" si="177"/>
        <v>0</v>
      </c>
      <c r="AF145" s="2">
        <f t="shared" si="177"/>
        <v>0</v>
      </c>
      <c r="AG145" s="2" t="e">
        <f t="shared" si="177"/>
        <v>#N/A</v>
      </c>
      <c r="AH145" s="2" t="e">
        <f t="shared" si="177"/>
        <v>#N/A</v>
      </c>
      <c r="AI145" s="2" t="e">
        <f t="shared" si="177"/>
        <v>#N/A</v>
      </c>
      <c r="AJ145" s="2" t="e">
        <f t="shared" si="177"/>
        <v>#N/A</v>
      </c>
      <c r="AK145" s="2" t="e">
        <f t="shared" si="177"/>
        <v>#N/A</v>
      </c>
      <c r="AL145" s="2" t="e">
        <f t="shared" si="177"/>
        <v>#N/A</v>
      </c>
      <c r="AM145" s="2" t="e">
        <f t="shared" si="177"/>
        <v>#N/A</v>
      </c>
      <c r="AN145" s="2" t="e">
        <f t="shared" si="177"/>
        <v>#N/A</v>
      </c>
      <c r="AO145" s="2" t="e">
        <f t="shared" si="177"/>
        <v>#N/A</v>
      </c>
      <c r="AP145" s="2" t="e">
        <f t="shared" si="177"/>
        <v>#N/A</v>
      </c>
      <c r="AQ145" s="2" t="e">
        <f t="shared" si="177"/>
        <v>#N/A</v>
      </c>
      <c r="AR145" s="2" t="e">
        <f t="shared" si="177"/>
        <v>#N/A</v>
      </c>
      <c r="AS145" s="2" t="e">
        <f t="shared" si="177"/>
        <v>#N/A</v>
      </c>
      <c r="AT145" s="2" t="e">
        <f t="shared" si="177"/>
        <v>#N/A</v>
      </c>
      <c r="AU145" s="2" t="e">
        <f t="shared" si="177"/>
        <v>#N/A</v>
      </c>
      <c r="AV145" s="2" t="e">
        <f t="shared" si="177"/>
        <v>#N/A</v>
      </c>
      <c r="AW145" s="2" t="e">
        <f t="shared" si="177"/>
        <v>#N/A</v>
      </c>
      <c r="AX145" s="2" t="e">
        <f t="shared" si="177"/>
        <v>#N/A</v>
      </c>
      <c r="AY145" s="2" t="e">
        <f t="shared" si="177"/>
        <v>#N/A</v>
      </c>
      <c r="AZ145" s="2" t="e">
        <f t="shared" si="177"/>
        <v>#N/A</v>
      </c>
      <c r="BA145" s="2" t="e">
        <f t="shared" si="177"/>
        <v>#N/A</v>
      </c>
      <c r="BB145" s="2" t="e">
        <f t="shared" si="177"/>
        <v>#N/A</v>
      </c>
      <c r="BC145" s="2" t="e">
        <f t="shared" si="177"/>
        <v>#N/A</v>
      </c>
      <c r="BD145" s="2" t="e">
        <f t="shared" si="177"/>
        <v>#N/A</v>
      </c>
      <c r="BS145" t="s">
        <v>2068</v>
      </c>
      <c r="BT145" t="s">
        <v>2402</v>
      </c>
      <c r="BU145"/>
      <c r="CA145"/>
    </row>
    <row r="146" spans="3:79" hidden="1" outlineLevel="1" x14ac:dyDescent="0.25">
      <c r="BS146"/>
      <c r="BT146"/>
      <c r="BU146"/>
      <c r="CA146"/>
    </row>
    <row r="147" spans="3:79" hidden="1" outlineLevel="1" x14ac:dyDescent="0.25">
      <c r="G147" t="e">
        <f t="shared" ref="G147:S147" ca="1" si="178">G$107</f>
        <v>#N/A</v>
      </c>
      <c r="H147" t="e">
        <f t="shared" ca="1" si="178"/>
        <v>#N/A</v>
      </c>
      <c r="I147" t="e">
        <f t="shared" ca="1" si="178"/>
        <v>#N/A</v>
      </c>
      <c r="J147" t="e">
        <f t="shared" ca="1" si="178"/>
        <v>#N/A</v>
      </c>
      <c r="K147" t="e">
        <f t="shared" ca="1" si="178"/>
        <v>#N/A</v>
      </c>
      <c r="L147" t="e">
        <f t="shared" ca="1" si="178"/>
        <v>#N/A</v>
      </c>
      <c r="M147" t="e">
        <f t="shared" ca="1" si="178"/>
        <v>#N/A</v>
      </c>
      <c r="N147" t="e">
        <f t="shared" ca="1" si="178"/>
        <v>#N/A</v>
      </c>
      <c r="O147" t="e">
        <f t="shared" ca="1" si="178"/>
        <v>#N/A</v>
      </c>
      <c r="P147" t="e">
        <f t="shared" ca="1" si="178"/>
        <v>#N/A</v>
      </c>
      <c r="Q147" t="e">
        <f t="shared" ca="1" si="178"/>
        <v>#N/A</v>
      </c>
      <c r="R147" t="e">
        <f t="shared" ca="1" si="178"/>
        <v>#N/A</v>
      </c>
      <c r="S147" t="e">
        <f t="shared" ca="1" si="178"/>
        <v>#N/A</v>
      </c>
      <c r="T147" t="e">
        <f ca="1">T$107</f>
        <v>#N/A</v>
      </c>
      <c r="U147" s="24" t="str">
        <f t="shared" ref="U147:AP147" si="179">G$25</f>
        <v>Jan2019</v>
      </c>
      <c r="V147" s="24" t="str">
        <f t="shared" si="179"/>
        <v>Feb2019</v>
      </c>
      <c r="W147" s="24" t="str">
        <f t="shared" si="179"/>
        <v>Mar2019</v>
      </c>
      <c r="X147" s="24" t="str">
        <f t="shared" si="179"/>
        <v>Apr2019</v>
      </c>
      <c r="Y147" s="24" t="str">
        <f t="shared" si="179"/>
        <v>May2019</v>
      </c>
      <c r="Z147" s="24" t="str">
        <f t="shared" si="179"/>
        <v>Jun2019</v>
      </c>
      <c r="AA147" s="24" t="str">
        <f t="shared" si="179"/>
        <v>Jul2019</v>
      </c>
      <c r="AB147" s="24" t="str">
        <f t="shared" si="179"/>
        <v>Aug2019</v>
      </c>
      <c r="AC147" s="24" t="str">
        <f t="shared" si="179"/>
        <v>Sep2019</v>
      </c>
      <c r="AD147" s="24" t="str">
        <f t="shared" si="179"/>
        <v>Oct2019</v>
      </c>
      <c r="AE147" s="24" t="str">
        <f t="shared" si="179"/>
        <v>Nov2019</v>
      </c>
      <c r="AF147" s="24" t="str">
        <f t="shared" si="179"/>
        <v>Dec2019</v>
      </c>
      <c r="AG147" s="24" t="str">
        <f t="shared" si="179"/>
        <v>Jan2020</v>
      </c>
      <c r="AH147" s="24" t="str">
        <f t="shared" si="179"/>
        <v>Feb2020</v>
      </c>
      <c r="AI147" s="24" t="str">
        <f t="shared" si="179"/>
        <v>Mar2020</v>
      </c>
      <c r="AJ147" s="24" t="str">
        <f t="shared" si="179"/>
        <v>Apr2020</v>
      </c>
      <c r="AK147" s="24" t="str">
        <f t="shared" si="179"/>
        <v>May2020</v>
      </c>
      <c r="AL147" s="24" t="str">
        <f t="shared" si="179"/>
        <v>Jun2020</v>
      </c>
      <c r="AM147" s="24" t="str">
        <f t="shared" si="179"/>
        <v>Jul2020</v>
      </c>
      <c r="AN147" s="24" t="str">
        <f t="shared" si="179"/>
        <v>Aug2020</v>
      </c>
      <c r="AO147" s="24" t="str">
        <f t="shared" si="179"/>
        <v>Sep2020</v>
      </c>
      <c r="AP147" s="24" t="str">
        <f t="shared" si="179"/>
        <v>Oct2020</v>
      </c>
      <c r="AQ147" s="24" t="str">
        <f t="shared" ref="AQ147:AR147" si="180">Q$25</f>
        <v>Nov2019</v>
      </c>
      <c r="AR147" s="24" t="str">
        <f t="shared" si="180"/>
        <v>Dec2019</v>
      </c>
      <c r="AS147" s="24" t="str">
        <f t="shared" ref="AS147:BD147" si="181">AE$25</f>
        <v>Jan2021</v>
      </c>
      <c r="AT147" s="24" t="str">
        <f t="shared" si="181"/>
        <v>Feb2021</v>
      </c>
      <c r="AU147" s="24" t="str">
        <f t="shared" si="181"/>
        <v>Mar2021</v>
      </c>
      <c r="AV147" s="24" t="str">
        <f t="shared" si="181"/>
        <v>Apr2021</v>
      </c>
      <c r="AW147" s="24" t="str">
        <f t="shared" si="181"/>
        <v>May2021</v>
      </c>
      <c r="AX147" s="24" t="str">
        <f t="shared" si="181"/>
        <v>Jun2021</v>
      </c>
      <c r="AY147" s="24" t="str">
        <f t="shared" si="181"/>
        <v>Jul2021</v>
      </c>
      <c r="AZ147" s="24" t="str">
        <f t="shared" si="181"/>
        <v>Aug2021</v>
      </c>
      <c r="BA147" s="24" t="str">
        <f t="shared" si="181"/>
        <v>Sep2021</v>
      </c>
      <c r="BB147" s="24" t="str">
        <f t="shared" si="181"/>
        <v>Oct2021</v>
      </c>
      <c r="BC147" s="24" t="str">
        <f t="shared" si="181"/>
        <v>Nov2021</v>
      </c>
      <c r="BD147" s="24" t="str">
        <f t="shared" si="181"/>
        <v>Dec2021</v>
      </c>
      <c r="BS147"/>
      <c r="BT147"/>
      <c r="BU147"/>
      <c r="CA147"/>
    </row>
    <row r="148" spans="3:79" hidden="1" outlineLevel="1" x14ac:dyDescent="0.25">
      <c r="C148" t="str">
        <f>C111</f>
        <v>Copper- T 380-A DIU</v>
      </c>
      <c r="D148" t="str">
        <f>IF(Language="English", $BS148, $BT148)</f>
        <v>Les données mensuelles</v>
      </c>
      <c r="G148" s="2" t="e">
        <f t="shared" ref="G148:AS148" ca="1" si="182">VLOOKUP($C148, $C$25:$AP$51, MATCH(G147, $C$25:$AP$25, 0), FALSE)</f>
        <v>#N/A</v>
      </c>
      <c r="H148" s="2" t="e">
        <f t="shared" ca="1" si="182"/>
        <v>#N/A</v>
      </c>
      <c r="I148" s="2" t="e">
        <f t="shared" ca="1" si="182"/>
        <v>#N/A</v>
      </c>
      <c r="J148" s="2" t="e">
        <f t="shared" ca="1" si="182"/>
        <v>#N/A</v>
      </c>
      <c r="K148" s="2" t="e">
        <f t="shared" ca="1" si="182"/>
        <v>#N/A</v>
      </c>
      <c r="L148" s="2" t="e">
        <f t="shared" ca="1" si="182"/>
        <v>#N/A</v>
      </c>
      <c r="M148" s="2" t="e">
        <f t="shared" ca="1" si="182"/>
        <v>#N/A</v>
      </c>
      <c r="N148" s="2" t="e">
        <f t="shared" ca="1" si="182"/>
        <v>#N/A</v>
      </c>
      <c r="O148" s="2" t="e">
        <f t="shared" ca="1" si="182"/>
        <v>#N/A</v>
      </c>
      <c r="P148" s="2" t="e">
        <f t="shared" ca="1" si="182"/>
        <v>#N/A</v>
      </c>
      <c r="Q148" s="2" t="e">
        <f t="shared" ca="1" si="182"/>
        <v>#N/A</v>
      </c>
      <c r="R148" s="2" t="e">
        <f t="shared" ca="1" si="182"/>
        <v>#N/A</v>
      </c>
      <c r="S148" s="2" t="e">
        <f t="shared" ca="1" si="182"/>
        <v>#N/A</v>
      </c>
      <c r="T148" s="2" t="e">
        <f t="shared" ca="1" si="182"/>
        <v>#N/A</v>
      </c>
      <c r="U148" s="2">
        <f t="shared" si="182"/>
        <v>0</v>
      </c>
      <c r="V148" s="2">
        <f t="shared" si="182"/>
        <v>0</v>
      </c>
      <c r="W148" s="2">
        <f t="shared" si="182"/>
        <v>0</v>
      </c>
      <c r="X148" s="2">
        <f t="shared" si="182"/>
        <v>0</v>
      </c>
      <c r="Y148" s="2">
        <f t="shared" si="182"/>
        <v>0</v>
      </c>
      <c r="Z148" s="2">
        <f t="shared" si="182"/>
        <v>0</v>
      </c>
      <c r="AA148" s="2">
        <f t="shared" si="182"/>
        <v>0</v>
      </c>
      <c r="AB148" s="2">
        <f t="shared" si="182"/>
        <v>0</v>
      </c>
      <c r="AC148" s="2">
        <f t="shared" si="182"/>
        <v>0</v>
      </c>
      <c r="AD148" s="2">
        <f t="shared" si="182"/>
        <v>0</v>
      </c>
      <c r="AE148" s="2">
        <f t="shared" si="182"/>
        <v>0</v>
      </c>
      <c r="AF148" s="2">
        <f t="shared" si="182"/>
        <v>0</v>
      </c>
      <c r="AG148" s="2">
        <f t="shared" si="182"/>
        <v>0</v>
      </c>
      <c r="AH148" s="2">
        <f t="shared" si="182"/>
        <v>0</v>
      </c>
      <c r="AI148" s="2">
        <f t="shared" si="182"/>
        <v>0</v>
      </c>
      <c r="AJ148" s="2">
        <f t="shared" si="182"/>
        <v>0</v>
      </c>
      <c r="AK148" s="2">
        <f t="shared" si="182"/>
        <v>0</v>
      </c>
      <c r="AL148" s="2">
        <f t="shared" si="182"/>
        <v>0</v>
      </c>
      <c r="AM148" s="2">
        <f t="shared" si="182"/>
        <v>0</v>
      </c>
      <c r="AN148" s="2">
        <f t="shared" si="182"/>
        <v>0</v>
      </c>
      <c r="AO148" s="2">
        <f t="shared" si="182"/>
        <v>0</v>
      </c>
      <c r="AP148" s="2">
        <f t="shared" si="182"/>
        <v>0</v>
      </c>
      <c r="AQ148" s="2">
        <f t="shared" si="182"/>
        <v>0</v>
      </c>
      <c r="AR148" s="2">
        <f t="shared" si="182"/>
        <v>0</v>
      </c>
      <c r="AS148" s="2">
        <f t="shared" si="182"/>
        <v>0</v>
      </c>
      <c r="AT148" s="2">
        <f t="shared" ref="AT148:AY148" si="183">VLOOKUP($C148, $C$25:$AP$51, MATCH(AT147, $C$25:$AP$25, 0), FALSE)</f>
        <v>0</v>
      </c>
      <c r="AU148" s="2">
        <f t="shared" si="183"/>
        <v>0</v>
      </c>
      <c r="AV148" s="2">
        <f t="shared" si="183"/>
        <v>0</v>
      </c>
      <c r="AW148" s="2">
        <f t="shared" si="183"/>
        <v>0</v>
      </c>
      <c r="AX148" s="2">
        <f t="shared" si="183"/>
        <v>0</v>
      </c>
      <c r="AY148" s="2">
        <f t="shared" si="183"/>
        <v>0</v>
      </c>
      <c r="AZ148" s="2">
        <f>VLOOKUP($C148, $C$25:$AP$51, MATCH(AZ147, $C$25:$AP$25, 0), FALSE)</f>
        <v>0</v>
      </c>
      <c r="BA148" s="2">
        <f>VLOOKUP($C148, $C$25:$AP$51, MATCH(BA147, $C$25:$AP$25, 0), FALSE)</f>
        <v>0</v>
      </c>
      <c r="BB148" s="2">
        <f>VLOOKUP($C148, $C$25:$AP$51, MATCH(BB147, $C$25:$AP$25, 0), FALSE)</f>
        <v>0</v>
      </c>
      <c r="BC148" s="2">
        <f>VLOOKUP($C148, $C$25:$AP$51, MATCH(BC147, $C$25:$AP$25, 0), FALSE)</f>
        <v>0</v>
      </c>
      <c r="BD148" s="2">
        <f>VLOOKUP($C148, $C$25:$AP$51, MATCH(BD147, $C$25:$AP$25, 0), FALSE)</f>
        <v>0</v>
      </c>
      <c r="BS148" t="s">
        <v>2066</v>
      </c>
      <c r="BT148" t="s">
        <v>2410</v>
      </c>
      <c r="BU148"/>
      <c r="CA148"/>
    </row>
    <row r="149" spans="3:79" hidden="1" outlineLevel="1" x14ac:dyDescent="0.25">
      <c r="C149" t="str">
        <f>C111</f>
        <v>Copper- T 380-A DIU</v>
      </c>
      <c r="D149" t="str">
        <f>IF(Language="English", $BS149, $BT149)</f>
        <v>Les données annuelles (moyenne mensuelle)</v>
      </c>
      <c r="G149" s="2" t="e">
        <f ca="1">VLOOKUP($C149, $C$109:$V$132, MATCH(G$137, $C$107:$V$107, 0), FALSE)</f>
        <v>#N/A</v>
      </c>
      <c r="H149" s="2" t="e">
        <f t="shared" ref="H149:T149" ca="1" si="184">VLOOKUP($C149, $C$109:$V$132, MATCH(H$137, $C$107:$V$107, 0), FALSE)</f>
        <v>#N/A</v>
      </c>
      <c r="I149" s="2" t="e">
        <f t="shared" ca="1" si="184"/>
        <v>#N/A</v>
      </c>
      <c r="J149" s="2" t="e">
        <f t="shared" ca="1" si="184"/>
        <v>#N/A</v>
      </c>
      <c r="K149" s="2" t="e">
        <f t="shared" ca="1" si="184"/>
        <v>#N/A</v>
      </c>
      <c r="L149" s="2" t="e">
        <f t="shared" ca="1" si="184"/>
        <v>#N/A</v>
      </c>
      <c r="M149" s="2" t="e">
        <f t="shared" ca="1" si="184"/>
        <v>#N/A</v>
      </c>
      <c r="N149" s="2" t="e">
        <f t="shared" ca="1" si="184"/>
        <v>#N/A</v>
      </c>
      <c r="O149" s="2" t="e">
        <f t="shared" ca="1" si="184"/>
        <v>#N/A</v>
      </c>
      <c r="P149" s="2" t="e">
        <f t="shared" ca="1" si="184"/>
        <v>#N/A</v>
      </c>
      <c r="Q149" s="2" t="e">
        <f t="shared" ca="1" si="184"/>
        <v>#N/A</v>
      </c>
      <c r="R149" s="2" t="e">
        <f t="shared" ca="1" si="184"/>
        <v>#N/A</v>
      </c>
      <c r="S149" s="2" t="e">
        <f t="shared" ca="1" si="184"/>
        <v>#N/A</v>
      </c>
      <c r="T149" s="2" t="e">
        <f t="shared" ca="1" si="184"/>
        <v>#N/A</v>
      </c>
      <c r="U149" s="2" t="e">
        <f ca="1">VLOOKUP($C149, $C$109:$V$132, MATCH(U$136, $C$107:$V$107, 0), FALSE)</f>
        <v>#N/A</v>
      </c>
      <c r="V149" s="2" t="e">
        <f t="shared" ref="V149:AF149" ca="1" si="185">VLOOKUP($C149, $C$109:$V$132, MATCH(V$136, $C$107:$V$107, 0), FALSE)</f>
        <v>#N/A</v>
      </c>
      <c r="W149" s="2" t="e">
        <f t="shared" ca="1" si="185"/>
        <v>#N/A</v>
      </c>
      <c r="X149" s="2" t="e">
        <f t="shared" ca="1" si="185"/>
        <v>#N/A</v>
      </c>
      <c r="Y149" s="2" t="e">
        <f t="shared" ca="1" si="185"/>
        <v>#N/A</v>
      </c>
      <c r="Z149" s="2" t="e">
        <f t="shared" ca="1" si="185"/>
        <v>#N/A</v>
      </c>
      <c r="AA149" s="2" t="e">
        <f t="shared" ca="1" si="185"/>
        <v>#N/A</v>
      </c>
      <c r="AB149" s="2" t="e">
        <f t="shared" ca="1" si="185"/>
        <v>#N/A</v>
      </c>
      <c r="AC149" s="2" t="e">
        <f t="shared" ca="1" si="185"/>
        <v>#N/A</v>
      </c>
      <c r="AD149" s="2" t="e">
        <f t="shared" ca="1" si="185"/>
        <v>#N/A</v>
      </c>
      <c r="AE149" s="2" t="e">
        <f t="shared" ca="1" si="185"/>
        <v>#N/A</v>
      </c>
      <c r="AF149" s="2" t="e">
        <f t="shared" ca="1" si="185"/>
        <v>#N/A</v>
      </c>
      <c r="AG149" s="2" t="e">
        <f ca="1">VLOOKUP($C149, $C$109:$V$132, MATCH(AG$136, $C$107:$V$107, 0), FALSE)</f>
        <v>#N/A</v>
      </c>
      <c r="AH149" s="2" t="e">
        <f t="shared" ref="AH149:BD149" ca="1" si="186">VLOOKUP($C149, $C$109:$V$132, MATCH(AH$136, $C$107:$V$107, 0), FALSE)</f>
        <v>#N/A</v>
      </c>
      <c r="AI149" s="2" t="e">
        <f t="shared" ca="1" si="186"/>
        <v>#N/A</v>
      </c>
      <c r="AJ149" s="2" t="e">
        <f t="shared" ca="1" si="186"/>
        <v>#N/A</v>
      </c>
      <c r="AK149" s="2" t="e">
        <f t="shared" ca="1" si="186"/>
        <v>#N/A</v>
      </c>
      <c r="AL149" s="2" t="e">
        <f t="shared" ca="1" si="186"/>
        <v>#N/A</v>
      </c>
      <c r="AM149" s="2" t="e">
        <f t="shared" ca="1" si="186"/>
        <v>#N/A</v>
      </c>
      <c r="AN149" s="2" t="e">
        <f t="shared" ca="1" si="186"/>
        <v>#N/A</v>
      </c>
      <c r="AO149" s="2" t="e">
        <f t="shared" ca="1" si="186"/>
        <v>#N/A</v>
      </c>
      <c r="AP149" s="2" t="e">
        <f t="shared" ca="1" si="186"/>
        <v>#N/A</v>
      </c>
      <c r="AQ149" s="2" t="e">
        <f t="shared" ca="1" si="186"/>
        <v>#N/A</v>
      </c>
      <c r="AR149" s="2" t="e">
        <f t="shared" ca="1" si="186"/>
        <v>#N/A</v>
      </c>
      <c r="AS149" s="2" t="e">
        <f t="shared" ca="1" si="186"/>
        <v>#N/A</v>
      </c>
      <c r="AT149" s="2" t="e">
        <f t="shared" ca="1" si="186"/>
        <v>#N/A</v>
      </c>
      <c r="AU149" s="2" t="e">
        <f t="shared" ca="1" si="186"/>
        <v>#N/A</v>
      </c>
      <c r="AV149" s="2" t="e">
        <f t="shared" ca="1" si="186"/>
        <v>#N/A</v>
      </c>
      <c r="AW149" s="2" t="e">
        <f t="shared" ca="1" si="186"/>
        <v>#N/A</v>
      </c>
      <c r="AX149" s="2" t="e">
        <f t="shared" ca="1" si="186"/>
        <v>#N/A</v>
      </c>
      <c r="AY149" s="2" t="e">
        <f t="shared" ca="1" si="186"/>
        <v>#N/A</v>
      </c>
      <c r="AZ149" s="2" t="e">
        <f t="shared" ca="1" si="186"/>
        <v>#N/A</v>
      </c>
      <c r="BA149" s="2" t="e">
        <f t="shared" ca="1" si="186"/>
        <v>#N/A</v>
      </c>
      <c r="BB149" s="2" t="e">
        <f t="shared" ca="1" si="186"/>
        <v>#N/A</v>
      </c>
      <c r="BC149" s="2" t="e">
        <f t="shared" ca="1" si="186"/>
        <v>#N/A</v>
      </c>
      <c r="BD149" s="2" t="e">
        <f t="shared" ca="1" si="186"/>
        <v>#N/A</v>
      </c>
      <c r="BS149" t="s">
        <v>2067</v>
      </c>
      <c r="BT149" t="s">
        <v>2407</v>
      </c>
      <c r="BU149"/>
      <c r="CA149"/>
    </row>
    <row r="150" spans="3:79" hidden="1" outlineLevel="1" x14ac:dyDescent="0.25">
      <c r="D150" t="str">
        <f>IF(Language="English", $BS150, $BT150)</f>
        <v>Mois avec restrictions COVID</v>
      </c>
      <c r="G150" s="2"/>
      <c r="H150" s="2"/>
      <c r="I150" s="2"/>
      <c r="J150" s="2"/>
      <c r="K150" s="2"/>
      <c r="L150" s="2"/>
      <c r="M150" s="2"/>
      <c r="N150" s="2"/>
      <c r="O150" s="2"/>
      <c r="P150" s="2"/>
      <c r="Q150" s="2"/>
      <c r="R150" s="2"/>
      <c r="S150" s="2"/>
      <c r="T150" s="2"/>
      <c r="U150" s="2">
        <f>G$57</f>
        <v>0</v>
      </c>
      <c r="V150" s="2">
        <f t="shared" ref="V150:BD150" si="187">H$57</f>
        <v>0</v>
      </c>
      <c r="W150" s="2">
        <f t="shared" si="187"/>
        <v>0</v>
      </c>
      <c r="X150" s="2">
        <f t="shared" si="187"/>
        <v>0</v>
      </c>
      <c r="Y150" s="2">
        <f t="shared" si="187"/>
        <v>0</v>
      </c>
      <c r="Z150" s="2">
        <f t="shared" si="187"/>
        <v>0</v>
      </c>
      <c r="AA150" s="2">
        <f t="shared" si="187"/>
        <v>0</v>
      </c>
      <c r="AB150" s="2">
        <f t="shared" si="187"/>
        <v>0</v>
      </c>
      <c r="AC150" s="2">
        <f t="shared" si="187"/>
        <v>0</v>
      </c>
      <c r="AD150" s="2">
        <f t="shared" si="187"/>
        <v>0</v>
      </c>
      <c r="AE150" s="2">
        <f t="shared" si="187"/>
        <v>0</v>
      </c>
      <c r="AF150" s="2">
        <f t="shared" si="187"/>
        <v>0</v>
      </c>
      <c r="AG150" s="2" t="e">
        <f t="shared" si="187"/>
        <v>#N/A</v>
      </c>
      <c r="AH150" s="2" t="e">
        <f t="shared" si="187"/>
        <v>#N/A</v>
      </c>
      <c r="AI150" s="2" t="e">
        <f t="shared" si="187"/>
        <v>#N/A</v>
      </c>
      <c r="AJ150" s="2" t="e">
        <f t="shared" si="187"/>
        <v>#N/A</v>
      </c>
      <c r="AK150" s="2" t="e">
        <f t="shared" si="187"/>
        <v>#N/A</v>
      </c>
      <c r="AL150" s="2" t="e">
        <f t="shared" si="187"/>
        <v>#N/A</v>
      </c>
      <c r="AM150" s="2" t="e">
        <f t="shared" si="187"/>
        <v>#N/A</v>
      </c>
      <c r="AN150" s="2" t="e">
        <f t="shared" si="187"/>
        <v>#N/A</v>
      </c>
      <c r="AO150" s="2" t="e">
        <f t="shared" si="187"/>
        <v>#N/A</v>
      </c>
      <c r="AP150" s="2" t="e">
        <f t="shared" si="187"/>
        <v>#N/A</v>
      </c>
      <c r="AQ150" s="2" t="e">
        <f t="shared" si="187"/>
        <v>#N/A</v>
      </c>
      <c r="AR150" s="2" t="e">
        <f t="shared" si="187"/>
        <v>#N/A</v>
      </c>
      <c r="AS150" s="2" t="e">
        <f t="shared" si="187"/>
        <v>#N/A</v>
      </c>
      <c r="AT150" s="2" t="e">
        <f t="shared" si="187"/>
        <v>#N/A</v>
      </c>
      <c r="AU150" s="2" t="e">
        <f t="shared" si="187"/>
        <v>#N/A</v>
      </c>
      <c r="AV150" s="2" t="e">
        <f t="shared" si="187"/>
        <v>#N/A</v>
      </c>
      <c r="AW150" s="2" t="e">
        <f t="shared" si="187"/>
        <v>#N/A</v>
      </c>
      <c r="AX150" s="2" t="e">
        <f t="shared" si="187"/>
        <v>#N/A</v>
      </c>
      <c r="AY150" s="2" t="e">
        <f t="shared" si="187"/>
        <v>#N/A</v>
      </c>
      <c r="AZ150" s="2" t="e">
        <f t="shared" si="187"/>
        <v>#N/A</v>
      </c>
      <c r="BA150" s="2" t="e">
        <f t="shared" si="187"/>
        <v>#N/A</v>
      </c>
      <c r="BB150" s="2" t="e">
        <f t="shared" si="187"/>
        <v>#N/A</v>
      </c>
      <c r="BC150" s="2" t="e">
        <f t="shared" si="187"/>
        <v>#N/A</v>
      </c>
      <c r="BD150" s="2" t="e">
        <f t="shared" si="187"/>
        <v>#N/A</v>
      </c>
      <c r="BS150" t="s">
        <v>2068</v>
      </c>
      <c r="BT150" t="s">
        <v>2402</v>
      </c>
      <c r="BU150"/>
      <c r="CA150"/>
    </row>
    <row r="151" spans="3:79" hidden="1" outlineLevel="1" x14ac:dyDescent="0.25">
      <c r="BS151"/>
      <c r="BT151"/>
      <c r="BU151"/>
      <c r="CA151"/>
    </row>
    <row r="152" spans="3:79" hidden="1" outlineLevel="1" x14ac:dyDescent="0.25">
      <c r="G152" t="e">
        <f t="shared" ref="G152:S152" ca="1" si="188">G$107</f>
        <v>#N/A</v>
      </c>
      <c r="H152" t="e">
        <f t="shared" ca="1" si="188"/>
        <v>#N/A</v>
      </c>
      <c r="I152" t="e">
        <f t="shared" ca="1" si="188"/>
        <v>#N/A</v>
      </c>
      <c r="J152" t="e">
        <f t="shared" ca="1" si="188"/>
        <v>#N/A</v>
      </c>
      <c r="K152" t="e">
        <f t="shared" ca="1" si="188"/>
        <v>#N/A</v>
      </c>
      <c r="L152" t="e">
        <f t="shared" ca="1" si="188"/>
        <v>#N/A</v>
      </c>
      <c r="M152" t="e">
        <f t="shared" ca="1" si="188"/>
        <v>#N/A</v>
      </c>
      <c r="N152" t="e">
        <f t="shared" ca="1" si="188"/>
        <v>#N/A</v>
      </c>
      <c r="O152" t="e">
        <f t="shared" ca="1" si="188"/>
        <v>#N/A</v>
      </c>
      <c r="P152" t="e">
        <f t="shared" ca="1" si="188"/>
        <v>#N/A</v>
      </c>
      <c r="Q152" t="e">
        <f t="shared" ca="1" si="188"/>
        <v>#N/A</v>
      </c>
      <c r="R152" t="e">
        <f t="shared" ca="1" si="188"/>
        <v>#N/A</v>
      </c>
      <c r="S152" t="e">
        <f t="shared" ca="1" si="188"/>
        <v>#N/A</v>
      </c>
      <c r="T152" t="e">
        <f ca="1">T$107</f>
        <v>#N/A</v>
      </c>
      <c r="U152" s="24" t="str">
        <f t="shared" ref="U152:AP152" si="189">G$25</f>
        <v>Jan2019</v>
      </c>
      <c r="V152" s="24" t="str">
        <f t="shared" si="189"/>
        <v>Feb2019</v>
      </c>
      <c r="W152" s="24" t="str">
        <f t="shared" si="189"/>
        <v>Mar2019</v>
      </c>
      <c r="X152" s="24" t="str">
        <f t="shared" si="189"/>
        <v>Apr2019</v>
      </c>
      <c r="Y152" s="24" t="str">
        <f t="shared" si="189"/>
        <v>May2019</v>
      </c>
      <c r="Z152" s="24" t="str">
        <f t="shared" si="189"/>
        <v>Jun2019</v>
      </c>
      <c r="AA152" s="24" t="str">
        <f t="shared" si="189"/>
        <v>Jul2019</v>
      </c>
      <c r="AB152" s="24" t="str">
        <f t="shared" si="189"/>
        <v>Aug2019</v>
      </c>
      <c r="AC152" s="24" t="str">
        <f t="shared" si="189"/>
        <v>Sep2019</v>
      </c>
      <c r="AD152" s="24" t="str">
        <f t="shared" si="189"/>
        <v>Oct2019</v>
      </c>
      <c r="AE152" s="24" t="str">
        <f t="shared" si="189"/>
        <v>Nov2019</v>
      </c>
      <c r="AF152" s="24" t="str">
        <f t="shared" si="189"/>
        <v>Dec2019</v>
      </c>
      <c r="AG152" s="24" t="str">
        <f t="shared" si="189"/>
        <v>Jan2020</v>
      </c>
      <c r="AH152" s="24" t="str">
        <f t="shared" si="189"/>
        <v>Feb2020</v>
      </c>
      <c r="AI152" s="24" t="str">
        <f t="shared" si="189"/>
        <v>Mar2020</v>
      </c>
      <c r="AJ152" s="24" t="str">
        <f t="shared" si="189"/>
        <v>Apr2020</v>
      </c>
      <c r="AK152" s="24" t="str">
        <f t="shared" si="189"/>
        <v>May2020</v>
      </c>
      <c r="AL152" s="24" t="str">
        <f t="shared" si="189"/>
        <v>Jun2020</v>
      </c>
      <c r="AM152" s="24" t="str">
        <f t="shared" si="189"/>
        <v>Jul2020</v>
      </c>
      <c r="AN152" s="24" t="str">
        <f t="shared" si="189"/>
        <v>Aug2020</v>
      </c>
      <c r="AO152" s="24" t="str">
        <f t="shared" si="189"/>
        <v>Sep2020</v>
      </c>
      <c r="AP152" s="24" t="str">
        <f t="shared" si="189"/>
        <v>Oct2020</v>
      </c>
      <c r="AQ152" s="24" t="str">
        <f t="shared" ref="AQ152:AR152" si="190">Q$25</f>
        <v>Nov2019</v>
      </c>
      <c r="AR152" s="24" t="str">
        <f t="shared" si="190"/>
        <v>Dec2019</v>
      </c>
      <c r="AS152" s="24" t="str">
        <f t="shared" ref="AS152:BD152" si="191">AE$25</f>
        <v>Jan2021</v>
      </c>
      <c r="AT152" s="24" t="str">
        <f t="shared" si="191"/>
        <v>Feb2021</v>
      </c>
      <c r="AU152" s="24" t="str">
        <f t="shared" si="191"/>
        <v>Mar2021</v>
      </c>
      <c r="AV152" s="24" t="str">
        <f t="shared" si="191"/>
        <v>Apr2021</v>
      </c>
      <c r="AW152" s="24" t="str">
        <f t="shared" si="191"/>
        <v>May2021</v>
      </c>
      <c r="AX152" s="24" t="str">
        <f t="shared" si="191"/>
        <v>Jun2021</v>
      </c>
      <c r="AY152" s="24" t="str">
        <f t="shared" si="191"/>
        <v>Jul2021</v>
      </c>
      <c r="AZ152" s="24" t="str">
        <f t="shared" si="191"/>
        <v>Aug2021</v>
      </c>
      <c r="BA152" s="24" t="str">
        <f t="shared" si="191"/>
        <v>Sep2021</v>
      </c>
      <c r="BB152" s="24" t="str">
        <f t="shared" si="191"/>
        <v>Oct2021</v>
      </c>
      <c r="BC152" s="24" t="str">
        <f t="shared" si="191"/>
        <v>Nov2021</v>
      </c>
      <c r="BD152" s="24" t="str">
        <f t="shared" si="191"/>
        <v>Dec2021</v>
      </c>
      <c r="BS152"/>
      <c r="BT152"/>
      <c r="BU152"/>
      <c r="CA152"/>
    </row>
    <row r="153" spans="3:79" hidden="1" outlineLevel="1" x14ac:dyDescent="0.25">
      <c r="C153" t="str">
        <f>C112</f>
        <v>DIU Hormonal (LNG-IUS)</v>
      </c>
      <c r="D153" t="str">
        <f>IF(Language="English", $BS153, $BT153)</f>
        <v>Les données mensuelles</v>
      </c>
      <c r="G153" s="2" t="e">
        <f t="shared" ref="G153:AS153" ca="1" si="192">VLOOKUP($C153, $C$25:$AP$51, MATCH(G152, $C$25:$AP$25, 0), FALSE)</f>
        <v>#N/A</v>
      </c>
      <c r="H153" s="2" t="e">
        <f t="shared" ca="1" si="192"/>
        <v>#N/A</v>
      </c>
      <c r="I153" s="2" t="e">
        <f t="shared" ca="1" si="192"/>
        <v>#N/A</v>
      </c>
      <c r="J153" s="2" t="e">
        <f t="shared" ca="1" si="192"/>
        <v>#N/A</v>
      </c>
      <c r="K153" s="2" t="e">
        <f t="shared" ca="1" si="192"/>
        <v>#N/A</v>
      </c>
      <c r="L153" s="2" t="e">
        <f t="shared" ca="1" si="192"/>
        <v>#N/A</v>
      </c>
      <c r="M153" s="2" t="e">
        <f t="shared" ca="1" si="192"/>
        <v>#N/A</v>
      </c>
      <c r="N153" s="2" t="e">
        <f t="shared" ca="1" si="192"/>
        <v>#N/A</v>
      </c>
      <c r="O153" s="2" t="e">
        <f t="shared" ca="1" si="192"/>
        <v>#N/A</v>
      </c>
      <c r="P153" s="2" t="e">
        <f t="shared" ca="1" si="192"/>
        <v>#N/A</v>
      </c>
      <c r="Q153" s="2" t="e">
        <f t="shared" ca="1" si="192"/>
        <v>#N/A</v>
      </c>
      <c r="R153" s="2" t="e">
        <f t="shared" ca="1" si="192"/>
        <v>#N/A</v>
      </c>
      <c r="S153" s="2" t="e">
        <f t="shared" ca="1" si="192"/>
        <v>#N/A</v>
      </c>
      <c r="T153" s="2" t="e">
        <f t="shared" ca="1" si="192"/>
        <v>#N/A</v>
      </c>
      <c r="U153" s="2">
        <f t="shared" si="192"/>
        <v>0</v>
      </c>
      <c r="V153" s="2">
        <f t="shared" si="192"/>
        <v>0</v>
      </c>
      <c r="W153" s="2">
        <f t="shared" si="192"/>
        <v>0</v>
      </c>
      <c r="X153" s="2">
        <f t="shared" si="192"/>
        <v>0</v>
      </c>
      <c r="Y153" s="2">
        <f t="shared" si="192"/>
        <v>0</v>
      </c>
      <c r="Z153" s="2">
        <f t="shared" si="192"/>
        <v>0</v>
      </c>
      <c r="AA153" s="2">
        <f t="shared" si="192"/>
        <v>0</v>
      </c>
      <c r="AB153" s="2">
        <f t="shared" si="192"/>
        <v>0</v>
      </c>
      <c r="AC153" s="2">
        <f t="shared" si="192"/>
        <v>0</v>
      </c>
      <c r="AD153" s="2">
        <f t="shared" si="192"/>
        <v>0</v>
      </c>
      <c r="AE153" s="2">
        <f t="shared" si="192"/>
        <v>0</v>
      </c>
      <c r="AF153" s="2">
        <f t="shared" si="192"/>
        <v>0</v>
      </c>
      <c r="AG153" s="2">
        <f t="shared" si="192"/>
        <v>0</v>
      </c>
      <c r="AH153" s="2">
        <f t="shared" si="192"/>
        <v>0</v>
      </c>
      <c r="AI153" s="2">
        <f t="shared" si="192"/>
        <v>0</v>
      </c>
      <c r="AJ153" s="2">
        <f t="shared" si="192"/>
        <v>0</v>
      </c>
      <c r="AK153" s="2">
        <f t="shared" si="192"/>
        <v>0</v>
      </c>
      <c r="AL153" s="2">
        <f t="shared" si="192"/>
        <v>0</v>
      </c>
      <c r="AM153" s="2">
        <f t="shared" si="192"/>
        <v>0</v>
      </c>
      <c r="AN153" s="2">
        <f t="shared" si="192"/>
        <v>0</v>
      </c>
      <c r="AO153" s="2">
        <f t="shared" si="192"/>
        <v>0</v>
      </c>
      <c r="AP153" s="2">
        <f t="shared" si="192"/>
        <v>0</v>
      </c>
      <c r="AQ153" s="2">
        <f t="shared" si="192"/>
        <v>0</v>
      </c>
      <c r="AR153" s="2">
        <f t="shared" si="192"/>
        <v>0</v>
      </c>
      <c r="AS153" s="2">
        <f t="shared" si="192"/>
        <v>0</v>
      </c>
      <c r="AT153" s="2">
        <f t="shared" ref="AT153:AY153" si="193">VLOOKUP($C153, $C$25:$AP$51, MATCH(AT152, $C$25:$AP$25, 0), FALSE)</f>
        <v>0</v>
      </c>
      <c r="AU153" s="2">
        <f t="shared" si="193"/>
        <v>0</v>
      </c>
      <c r="AV153" s="2">
        <f t="shared" si="193"/>
        <v>0</v>
      </c>
      <c r="AW153" s="2">
        <f t="shared" si="193"/>
        <v>0</v>
      </c>
      <c r="AX153" s="2">
        <f t="shared" si="193"/>
        <v>0</v>
      </c>
      <c r="AY153" s="2">
        <f t="shared" si="193"/>
        <v>0</v>
      </c>
      <c r="AZ153" s="2">
        <f>VLOOKUP($C153, $C$25:$AP$51, MATCH(AZ152, $C$25:$AP$25, 0), FALSE)</f>
        <v>0</v>
      </c>
      <c r="BA153" s="2">
        <f>VLOOKUP($C153, $C$25:$AP$51, MATCH(BA152, $C$25:$AP$25, 0), FALSE)</f>
        <v>0</v>
      </c>
      <c r="BB153" s="2">
        <f>VLOOKUP($C153, $C$25:$AP$51, MATCH(BB152, $C$25:$AP$25, 0), FALSE)</f>
        <v>0</v>
      </c>
      <c r="BC153" s="2">
        <f>VLOOKUP($C153, $C$25:$AP$51, MATCH(BC152, $C$25:$AP$25, 0), FALSE)</f>
        <v>0</v>
      </c>
      <c r="BD153" s="2">
        <f>VLOOKUP($C153, $C$25:$AP$51, MATCH(BD152, $C$25:$AP$25, 0), FALSE)</f>
        <v>0</v>
      </c>
      <c r="BS153" t="s">
        <v>2066</v>
      </c>
      <c r="BT153" t="s">
        <v>2410</v>
      </c>
      <c r="BU153"/>
      <c r="CA153"/>
    </row>
    <row r="154" spans="3:79" hidden="1" outlineLevel="1" x14ac:dyDescent="0.25">
      <c r="C154" t="str">
        <f>C112</f>
        <v>DIU Hormonal (LNG-IUS)</v>
      </c>
      <c r="D154" t="str">
        <f>IF(Language="English", $BS154, $BT154)</f>
        <v>Les données annuelles (moyenne mensuelle)</v>
      </c>
      <c r="G154" s="2" t="e">
        <f ca="1">VLOOKUP($C154, $C$109:$V$132, MATCH(G$137, $C$107:$V$107, 0), FALSE)</f>
        <v>#N/A</v>
      </c>
      <c r="H154" s="2" t="e">
        <f t="shared" ref="H154:T154" ca="1" si="194">VLOOKUP($C154, $C$109:$V$132, MATCH(H$137, $C$107:$V$107, 0), FALSE)</f>
        <v>#N/A</v>
      </c>
      <c r="I154" s="2" t="e">
        <f t="shared" ca="1" si="194"/>
        <v>#N/A</v>
      </c>
      <c r="J154" s="2" t="e">
        <f t="shared" ca="1" si="194"/>
        <v>#N/A</v>
      </c>
      <c r="K154" s="2" t="e">
        <f t="shared" ca="1" si="194"/>
        <v>#N/A</v>
      </c>
      <c r="L154" s="2" t="e">
        <f t="shared" ca="1" si="194"/>
        <v>#N/A</v>
      </c>
      <c r="M154" s="2" t="e">
        <f t="shared" ca="1" si="194"/>
        <v>#N/A</v>
      </c>
      <c r="N154" s="2" t="e">
        <f t="shared" ca="1" si="194"/>
        <v>#N/A</v>
      </c>
      <c r="O154" s="2" t="e">
        <f t="shared" ca="1" si="194"/>
        <v>#N/A</v>
      </c>
      <c r="P154" s="2" t="e">
        <f t="shared" ca="1" si="194"/>
        <v>#N/A</v>
      </c>
      <c r="Q154" s="2" t="e">
        <f t="shared" ca="1" si="194"/>
        <v>#N/A</v>
      </c>
      <c r="R154" s="2" t="e">
        <f t="shared" ca="1" si="194"/>
        <v>#N/A</v>
      </c>
      <c r="S154" s="2" t="e">
        <f t="shared" ca="1" si="194"/>
        <v>#N/A</v>
      </c>
      <c r="T154" s="2" t="e">
        <f t="shared" ca="1" si="194"/>
        <v>#N/A</v>
      </c>
      <c r="U154" s="2" t="e">
        <f ca="1">VLOOKUP($C154, $C$109:$V$132, MATCH(U$136, $C$107:$V$107, 0), FALSE)</f>
        <v>#N/A</v>
      </c>
      <c r="V154" s="2" t="e">
        <f t="shared" ref="V154:AF154" ca="1" si="195">VLOOKUP($C154, $C$109:$V$132, MATCH(V$136, $C$107:$V$107, 0), FALSE)</f>
        <v>#N/A</v>
      </c>
      <c r="W154" s="2" t="e">
        <f t="shared" ca="1" si="195"/>
        <v>#N/A</v>
      </c>
      <c r="X154" s="2" t="e">
        <f t="shared" ca="1" si="195"/>
        <v>#N/A</v>
      </c>
      <c r="Y154" s="2" t="e">
        <f t="shared" ca="1" si="195"/>
        <v>#N/A</v>
      </c>
      <c r="Z154" s="2" t="e">
        <f t="shared" ca="1" si="195"/>
        <v>#N/A</v>
      </c>
      <c r="AA154" s="2" t="e">
        <f t="shared" ca="1" si="195"/>
        <v>#N/A</v>
      </c>
      <c r="AB154" s="2" t="e">
        <f t="shared" ca="1" si="195"/>
        <v>#N/A</v>
      </c>
      <c r="AC154" s="2" t="e">
        <f t="shared" ca="1" si="195"/>
        <v>#N/A</v>
      </c>
      <c r="AD154" s="2" t="e">
        <f t="shared" ca="1" si="195"/>
        <v>#N/A</v>
      </c>
      <c r="AE154" s="2" t="e">
        <f t="shared" ca="1" si="195"/>
        <v>#N/A</v>
      </c>
      <c r="AF154" s="2" t="e">
        <f t="shared" ca="1" si="195"/>
        <v>#N/A</v>
      </c>
      <c r="AG154" s="2" t="e">
        <f ca="1">VLOOKUP($C154, $C$109:$V$132, MATCH(AG$136, $C$107:$V$107, 0), FALSE)</f>
        <v>#N/A</v>
      </c>
      <c r="AH154" s="2" t="e">
        <f t="shared" ref="AH154:BD154" ca="1" si="196">VLOOKUP($C154, $C$109:$V$132, MATCH(AH$136, $C$107:$V$107, 0), FALSE)</f>
        <v>#N/A</v>
      </c>
      <c r="AI154" s="2" t="e">
        <f t="shared" ca="1" si="196"/>
        <v>#N/A</v>
      </c>
      <c r="AJ154" s="2" t="e">
        <f t="shared" ca="1" si="196"/>
        <v>#N/A</v>
      </c>
      <c r="AK154" s="2" t="e">
        <f t="shared" ca="1" si="196"/>
        <v>#N/A</v>
      </c>
      <c r="AL154" s="2" t="e">
        <f t="shared" ca="1" si="196"/>
        <v>#N/A</v>
      </c>
      <c r="AM154" s="2" t="e">
        <f t="shared" ca="1" si="196"/>
        <v>#N/A</v>
      </c>
      <c r="AN154" s="2" t="e">
        <f t="shared" ca="1" si="196"/>
        <v>#N/A</v>
      </c>
      <c r="AO154" s="2" t="e">
        <f t="shared" ca="1" si="196"/>
        <v>#N/A</v>
      </c>
      <c r="AP154" s="2" t="e">
        <f t="shared" ca="1" si="196"/>
        <v>#N/A</v>
      </c>
      <c r="AQ154" s="2" t="e">
        <f t="shared" ca="1" si="196"/>
        <v>#N/A</v>
      </c>
      <c r="AR154" s="2" t="e">
        <f t="shared" ca="1" si="196"/>
        <v>#N/A</v>
      </c>
      <c r="AS154" s="2" t="e">
        <f t="shared" ca="1" si="196"/>
        <v>#N/A</v>
      </c>
      <c r="AT154" s="2" t="e">
        <f t="shared" ca="1" si="196"/>
        <v>#N/A</v>
      </c>
      <c r="AU154" s="2" t="e">
        <f t="shared" ca="1" si="196"/>
        <v>#N/A</v>
      </c>
      <c r="AV154" s="2" t="e">
        <f t="shared" ca="1" si="196"/>
        <v>#N/A</v>
      </c>
      <c r="AW154" s="2" t="e">
        <f t="shared" ca="1" si="196"/>
        <v>#N/A</v>
      </c>
      <c r="AX154" s="2" t="e">
        <f t="shared" ca="1" si="196"/>
        <v>#N/A</v>
      </c>
      <c r="AY154" s="2" t="e">
        <f t="shared" ca="1" si="196"/>
        <v>#N/A</v>
      </c>
      <c r="AZ154" s="2" t="e">
        <f t="shared" ca="1" si="196"/>
        <v>#N/A</v>
      </c>
      <c r="BA154" s="2" t="e">
        <f t="shared" ca="1" si="196"/>
        <v>#N/A</v>
      </c>
      <c r="BB154" s="2" t="e">
        <f t="shared" ca="1" si="196"/>
        <v>#N/A</v>
      </c>
      <c r="BC154" s="2" t="e">
        <f t="shared" ca="1" si="196"/>
        <v>#N/A</v>
      </c>
      <c r="BD154" s="2" t="e">
        <f t="shared" ca="1" si="196"/>
        <v>#N/A</v>
      </c>
      <c r="BS154" t="s">
        <v>2067</v>
      </c>
      <c r="BT154" t="s">
        <v>2407</v>
      </c>
      <c r="BU154"/>
      <c r="CA154"/>
    </row>
    <row r="155" spans="3:79" hidden="1" outlineLevel="1" x14ac:dyDescent="0.25">
      <c r="D155" t="str">
        <f>IF(Language="English", $BS155, $BT155)</f>
        <v>Mois avec restrictions COVID</v>
      </c>
      <c r="G155" s="2"/>
      <c r="H155" s="2"/>
      <c r="I155" s="2"/>
      <c r="J155" s="2"/>
      <c r="K155" s="2"/>
      <c r="L155" s="2"/>
      <c r="M155" s="2"/>
      <c r="N155" s="2"/>
      <c r="O155" s="2"/>
      <c r="P155" s="2"/>
      <c r="Q155" s="2"/>
      <c r="R155" s="2"/>
      <c r="S155" s="2"/>
      <c r="T155" s="2"/>
      <c r="U155" s="2">
        <f>G$57</f>
        <v>0</v>
      </c>
      <c r="V155" s="2">
        <f t="shared" ref="V155:BD155" si="197">H$57</f>
        <v>0</v>
      </c>
      <c r="W155" s="2">
        <f t="shared" si="197"/>
        <v>0</v>
      </c>
      <c r="X155" s="2">
        <f t="shared" si="197"/>
        <v>0</v>
      </c>
      <c r="Y155" s="2">
        <f t="shared" si="197"/>
        <v>0</v>
      </c>
      <c r="Z155" s="2">
        <f t="shared" si="197"/>
        <v>0</v>
      </c>
      <c r="AA155" s="2">
        <f t="shared" si="197"/>
        <v>0</v>
      </c>
      <c r="AB155" s="2">
        <f t="shared" si="197"/>
        <v>0</v>
      </c>
      <c r="AC155" s="2">
        <f t="shared" si="197"/>
        <v>0</v>
      </c>
      <c r="AD155" s="2">
        <f t="shared" si="197"/>
        <v>0</v>
      </c>
      <c r="AE155" s="2">
        <f t="shared" si="197"/>
        <v>0</v>
      </c>
      <c r="AF155" s="2">
        <f t="shared" si="197"/>
        <v>0</v>
      </c>
      <c r="AG155" s="2" t="e">
        <f t="shared" si="197"/>
        <v>#N/A</v>
      </c>
      <c r="AH155" s="2" t="e">
        <f t="shared" si="197"/>
        <v>#N/A</v>
      </c>
      <c r="AI155" s="2" t="e">
        <f t="shared" si="197"/>
        <v>#N/A</v>
      </c>
      <c r="AJ155" s="2" t="e">
        <f t="shared" si="197"/>
        <v>#N/A</v>
      </c>
      <c r="AK155" s="2" t="e">
        <f t="shared" si="197"/>
        <v>#N/A</v>
      </c>
      <c r="AL155" s="2" t="e">
        <f t="shared" si="197"/>
        <v>#N/A</v>
      </c>
      <c r="AM155" s="2" t="e">
        <f t="shared" si="197"/>
        <v>#N/A</v>
      </c>
      <c r="AN155" s="2" t="e">
        <f t="shared" si="197"/>
        <v>#N/A</v>
      </c>
      <c r="AO155" s="2" t="e">
        <f t="shared" si="197"/>
        <v>#N/A</v>
      </c>
      <c r="AP155" s="2" t="e">
        <f t="shared" si="197"/>
        <v>#N/A</v>
      </c>
      <c r="AQ155" s="2" t="e">
        <f t="shared" si="197"/>
        <v>#N/A</v>
      </c>
      <c r="AR155" s="2" t="e">
        <f t="shared" si="197"/>
        <v>#N/A</v>
      </c>
      <c r="AS155" s="2" t="e">
        <f t="shared" si="197"/>
        <v>#N/A</v>
      </c>
      <c r="AT155" s="2" t="e">
        <f t="shared" si="197"/>
        <v>#N/A</v>
      </c>
      <c r="AU155" s="2" t="e">
        <f t="shared" si="197"/>
        <v>#N/A</v>
      </c>
      <c r="AV155" s="2" t="e">
        <f t="shared" si="197"/>
        <v>#N/A</v>
      </c>
      <c r="AW155" s="2" t="e">
        <f t="shared" si="197"/>
        <v>#N/A</v>
      </c>
      <c r="AX155" s="2" t="e">
        <f t="shared" si="197"/>
        <v>#N/A</v>
      </c>
      <c r="AY155" s="2" t="e">
        <f t="shared" si="197"/>
        <v>#N/A</v>
      </c>
      <c r="AZ155" s="2" t="e">
        <f t="shared" si="197"/>
        <v>#N/A</v>
      </c>
      <c r="BA155" s="2" t="e">
        <f t="shared" si="197"/>
        <v>#N/A</v>
      </c>
      <c r="BB155" s="2" t="e">
        <f t="shared" si="197"/>
        <v>#N/A</v>
      </c>
      <c r="BC155" s="2" t="e">
        <f t="shared" si="197"/>
        <v>#N/A</v>
      </c>
      <c r="BD155" s="2" t="e">
        <f t="shared" si="197"/>
        <v>#N/A</v>
      </c>
      <c r="BS155" t="s">
        <v>2068</v>
      </c>
      <c r="BT155" t="s">
        <v>2402</v>
      </c>
      <c r="BU155"/>
      <c r="CA155"/>
    </row>
    <row r="156" spans="3:79" hidden="1" outlineLevel="1" x14ac:dyDescent="0.25">
      <c r="BS156"/>
      <c r="BT156"/>
      <c r="BU156"/>
      <c r="CA156"/>
    </row>
    <row r="157" spans="3:79" hidden="1" outlineLevel="1" x14ac:dyDescent="0.25">
      <c r="G157" t="e">
        <f t="shared" ref="G157:S157" ca="1" si="198">G$107</f>
        <v>#N/A</v>
      </c>
      <c r="H157" t="e">
        <f t="shared" ca="1" si="198"/>
        <v>#N/A</v>
      </c>
      <c r="I157" t="e">
        <f t="shared" ca="1" si="198"/>
        <v>#N/A</v>
      </c>
      <c r="J157" t="e">
        <f t="shared" ca="1" si="198"/>
        <v>#N/A</v>
      </c>
      <c r="K157" t="e">
        <f t="shared" ca="1" si="198"/>
        <v>#N/A</v>
      </c>
      <c r="L157" t="e">
        <f t="shared" ca="1" si="198"/>
        <v>#N/A</v>
      </c>
      <c r="M157" t="e">
        <f t="shared" ca="1" si="198"/>
        <v>#N/A</v>
      </c>
      <c r="N157" t="e">
        <f t="shared" ca="1" si="198"/>
        <v>#N/A</v>
      </c>
      <c r="O157" t="e">
        <f t="shared" ca="1" si="198"/>
        <v>#N/A</v>
      </c>
      <c r="P157" t="e">
        <f t="shared" ca="1" si="198"/>
        <v>#N/A</v>
      </c>
      <c r="Q157" t="e">
        <f t="shared" ca="1" si="198"/>
        <v>#N/A</v>
      </c>
      <c r="R157" t="e">
        <f t="shared" ca="1" si="198"/>
        <v>#N/A</v>
      </c>
      <c r="S157" t="e">
        <f t="shared" ca="1" si="198"/>
        <v>#N/A</v>
      </c>
      <c r="T157" t="e">
        <f ca="1">T$107</f>
        <v>#N/A</v>
      </c>
      <c r="U157" s="24" t="str">
        <f t="shared" ref="U157:AP157" si="199">G$25</f>
        <v>Jan2019</v>
      </c>
      <c r="V157" s="24" t="str">
        <f t="shared" si="199"/>
        <v>Feb2019</v>
      </c>
      <c r="W157" s="24" t="str">
        <f t="shared" si="199"/>
        <v>Mar2019</v>
      </c>
      <c r="X157" s="24" t="str">
        <f t="shared" si="199"/>
        <v>Apr2019</v>
      </c>
      <c r="Y157" s="24" t="str">
        <f t="shared" si="199"/>
        <v>May2019</v>
      </c>
      <c r="Z157" s="24" t="str">
        <f t="shared" si="199"/>
        <v>Jun2019</v>
      </c>
      <c r="AA157" s="24" t="str">
        <f t="shared" si="199"/>
        <v>Jul2019</v>
      </c>
      <c r="AB157" s="24" t="str">
        <f t="shared" si="199"/>
        <v>Aug2019</v>
      </c>
      <c r="AC157" s="24" t="str">
        <f t="shared" si="199"/>
        <v>Sep2019</v>
      </c>
      <c r="AD157" s="24" t="str">
        <f t="shared" si="199"/>
        <v>Oct2019</v>
      </c>
      <c r="AE157" s="24" t="str">
        <f t="shared" si="199"/>
        <v>Nov2019</v>
      </c>
      <c r="AF157" s="24" t="str">
        <f t="shared" si="199"/>
        <v>Dec2019</v>
      </c>
      <c r="AG157" s="24" t="str">
        <f t="shared" si="199"/>
        <v>Jan2020</v>
      </c>
      <c r="AH157" s="24" t="str">
        <f t="shared" si="199"/>
        <v>Feb2020</v>
      </c>
      <c r="AI157" s="24" t="str">
        <f t="shared" si="199"/>
        <v>Mar2020</v>
      </c>
      <c r="AJ157" s="24" t="str">
        <f t="shared" si="199"/>
        <v>Apr2020</v>
      </c>
      <c r="AK157" s="24" t="str">
        <f t="shared" si="199"/>
        <v>May2020</v>
      </c>
      <c r="AL157" s="24" t="str">
        <f t="shared" si="199"/>
        <v>Jun2020</v>
      </c>
      <c r="AM157" s="24" t="str">
        <f t="shared" si="199"/>
        <v>Jul2020</v>
      </c>
      <c r="AN157" s="24" t="str">
        <f t="shared" si="199"/>
        <v>Aug2020</v>
      </c>
      <c r="AO157" s="24" t="str">
        <f t="shared" si="199"/>
        <v>Sep2020</v>
      </c>
      <c r="AP157" s="24" t="str">
        <f t="shared" si="199"/>
        <v>Oct2020</v>
      </c>
      <c r="AQ157" s="24" t="str">
        <f t="shared" ref="AQ157:AR157" si="200">Q$25</f>
        <v>Nov2019</v>
      </c>
      <c r="AR157" s="24" t="str">
        <f t="shared" si="200"/>
        <v>Dec2019</v>
      </c>
      <c r="AS157" s="24" t="str">
        <f t="shared" ref="AS157:BD157" si="201">AE$25</f>
        <v>Jan2021</v>
      </c>
      <c r="AT157" s="24" t="str">
        <f t="shared" si="201"/>
        <v>Feb2021</v>
      </c>
      <c r="AU157" s="24" t="str">
        <f t="shared" si="201"/>
        <v>Mar2021</v>
      </c>
      <c r="AV157" s="24" t="str">
        <f t="shared" si="201"/>
        <v>Apr2021</v>
      </c>
      <c r="AW157" s="24" t="str">
        <f t="shared" si="201"/>
        <v>May2021</v>
      </c>
      <c r="AX157" s="24" t="str">
        <f t="shared" si="201"/>
        <v>Jun2021</v>
      </c>
      <c r="AY157" s="24" t="str">
        <f t="shared" si="201"/>
        <v>Jul2021</v>
      </c>
      <c r="AZ157" s="24" t="str">
        <f t="shared" si="201"/>
        <v>Aug2021</v>
      </c>
      <c r="BA157" s="24" t="str">
        <f t="shared" si="201"/>
        <v>Sep2021</v>
      </c>
      <c r="BB157" s="24" t="str">
        <f t="shared" si="201"/>
        <v>Oct2021</v>
      </c>
      <c r="BC157" s="24" t="str">
        <f t="shared" si="201"/>
        <v>Nov2021</v>
      </c>
      <c r="BD157" s="24" t="str">
        <f t="shared" si="201"/>
        <v>Dec2021</v>
      </c>
      <c r="BS157"/>
      <c r="BT157"/>
      <c r="BU157"/>
      <c r="CA157"/>
    </row>
    <row r="158" spans="3:79" hidden="1" outlineLevel="1" x14ac:dyDescent="0.25">
      <c r="C158" t="str">
        <f>C113</f>
        <v>Implant de 3 ans (Implanon, Levoplant)</v>
      </c>
      <c r="D158" t="str">
        <f>IF(Language="English", $BS158, $BT158)</f>
        <v>Les données mensuelles</v>
      </c>
      <c r="G158" s="2" t="e">
        <f t="shared" ref="G158:AS158" ca="1" si="202">VLOOKUP($C158, $C$25:$AP$51, MATCH(G157, $C$25:$AP$25, 0), FALSE)</f>
        <v>#N/A</v>
      </c>
      <c r="H158" s="2" t="e">
        <f t="shared" ca="1" si="202"/>
        <v>#N/A</v>
      </c>
      <c r="I158" s="2" t="e">
        <f t="shared" ca="1" si="202"/>
        <v>#N/A</v>
      </c>
      <c r="J158" s="2" t="e">
        <f t="shared" ca="1" si="202"/>
        <v>#N/A</v>
      </c>
      <c r="K158" s="2" t="e">
        <f t="shared" ca="1" si="202"/>
        <v>#N/A</v>
      </c>
      <c r="L158" s="2" t="e">
        <f t="shared" ca="1" si="202"/>
        <v>#N/A</v>
      </c>
      <c r="M158" s="2" t="e">
        <f t="shared" ca="1" si="202"/>
        <v>#N/A</v>
      </c>
      <c r="N158" s="2" t="e">
        <f t="shared" ca="1" si="202"/>
        <v>#N/A</v>
      </c>
      <c r="O158" s="2" t="e">
        <f t="shared" ca="1" si="202"/>
        <v>#N/A</v>
      </c>
      <c r="P158" s="2" t="e">
        <f t="shared" ca="1" si="202"/>
        <v>#N/A</v>
      </c>
      <c r="Q158" s="2" t="e">
        <f t="shared" ca="1" si="202"/>
        <v>#N/A</v>
      </c>
      <c r="R158" s="2" t="e">
        <f t="shared" ca="1" si="202"/>
        <v>#N/A</v>
      </c>
      <c r="S158" s="2" t="e">
        <f t="shared" ca="1" si="202"/>
        <v>#N/A</v>
      </c>
      <c r="T158" s="2" t="e">
        <f t="shared" ca="1" si="202"/>
        <v>#N/A</v>
      </c>
      <c r="U158" s="2">
        <f t="shared" si="202"/>
        <v>0</v>
      </c>
      <c r="V158" s="2">
        <f t="shared" si="202"/>
        <v>0</v>
      </c>
      <c r="W158" s="2">
        <f t="shared" si="202"/>
        <v>0</v>
      </c>
      <c r="X158" s="2">
        <f t="shared" si="202"/>
        <v>0</v>
      </c>
      <c r="Y158" s="2">
        <f t="shared" si="202"/>
        <v>0</v>
      </c>
      <c r="Z158" s="2">
        <f t="shared" si="202"/>
        <v>0</v>
      </c>
      <c r="AA158" s="2">
        <f t="shared" si="202"/>
        <v>0</v>
      </c>
      <c r="AB158" s="2">
        <f t="shared" si="202"/>
        <v>0</v>
      </c>
      <c r="AC158" s="2">
        <f t="shared" si="202"/>
        <v>0</v>
      </c>
      <c r="AD158" s="2">
        <f t="shared" si="202"/>
        <v>0</v>
      </c>
      <c r="AE158" s="2">
        <f t="shared" si="202"/>
        <v>0</v>
      </c>
      <c r="AF158" s="2">
        <f t="shared" si="202"/>
        <v>0</v>
      </c>
      <c r="AG158" s="2">
        <f t="shared" si="202"/>
        <v>0</v>
      </c>
      <c r="AH158" s="2">
        <f t="shared" si="202"/>
        <v>0</v>
      </c>
      <c r="AI158" s="2">
        <f t="shared" si="202"/>
        <v>0</v>
      </c>
      <c r="AJ158" s="2">
        <f t="shared" si="202"/>
        <v>0</v>
      </c>
      <c r="AK158" s="2">
        <f t="shared" si="202"/>
        <v>0</v>
      </c>
      <c r="AL158" s="2">
        <f t="shared" si="202"/>
        <v>0</v>
      </c>
      <c r="AM158" s="2">
        <f t="shared" si="202"/>
        <v>0</v>
      </c>
      <c r="AN158" s="2">
        <f t="shared" si="202"/>
        <v>0</v>
      </c>
      <c r="AO158" s="2">
        <f t="shared" si="202"/>
        <v>0</v>
      </c>
      <c r="AP158" s="2">
        <f t="shared" si="202"/>
        <v>0</v>
      </c>
      <c r="AQ158" s="2">
        <f t="shared" si="202"/>
        <v>0</v>
      </c>
      <c r="AR158" s="2">
        <f t="shared" si="202"/>
        <v>0</v>
      </c>
      <c r="AS158" s="2">
        <f t="shared" si="202"/>
        <v>0</v>
      </c>
      <c r="AT158" s="2">
        <f t="shared" ref="AT158:AY158" si="203">VLOOKUP($C158, $C$25:$AP$51, MATCH(AT157, $C$25:$AP$25, 0), FALSE)</f>
        <v>0</v>
      </c>
      <c r="AU158" s="2">
        <f t="shared" si="203"/>
        <v>0</v>
      </c>
      <c r="AV158" s="2">
        <f t="shared" si="203"/>
        <v>0</v>
      </c>
      <c r="AW158" s="2">
        <f t="shared" si="203"/>
        <v>0</v>
      </c>
      <c r="AX158" s="2">
        <f t="shared" si="203"/>
        <v>0</v>
      </c>
      <c r="AY158" s="2">
        <f t="shared" si="203"/>
        <v>0</v>
      </c>
      <c r="AZ158" s="2">
        <f>VLOOKUP($C158, $C$25:$AP$51, MATCH(AZ157, $C$25:$AP$25, 0), FALSE)</f>
        <v>0</v>
      </c>
      <c r="BA158" s="2">
        <f>VLOOKUP($C158, $C$25:$AP$51, MATCH(BA157, $C$25:$AP$25, 0), FALSE)</f>
        <v>0</v>
      </c>
      <c r="BB158" s="2">
        <f>VLOOKUP($C158, $C$25:$AP$51, MATCH(BB157, $C$25:$AP$25, 0), FALSE)</f>
        <v>0</v>
      </c>
      <c r="BC158" s="2">
        <f>VLOOKUP($C158, $C$25:$AP$51, MATCH(BC157, $C$25:$AP$25, 0), FALSE)</f>
        <v>0</v>
      </c>
      <c r="BD158" s="2">
        <f>VLOOKUP($C158, $C$25:$AP$51, MATCH(BD157, $C$25:$AP$25, 0), FALSE)</f>
        <v>0</v>
      </c>
      <c r="BS158" t="s">
        <v>2066</v>
      </c>
      <c r="BT158" t="s">
        <v>2410</v>
      </c>
      <c r="BU158"/>
      <c r="CA158"/>
    </row>
    <row r="159" spans="3:79" hidden="1" outlineLevel="1" x14ac:dyDescent="0.25">
      <c r="C159" t="str">
        <f>C113</f>
        <v>Implant de 3 ans (Implanon, Levoplant)</v>
      </c>
      <c r="D159" t="str">
        <f>IF(Language="English", $BS159, $BT159)</f>
        <v>Les données annuelles (moyenne mensuelle)</v>
      </c>
      <c r="G159" s="2" t="e">
        <f ca="1">VLOOKUP($C159, $C$109:$V$132, MATCH(G$137, $C$107:$V$107, 0), FALSE)</f>
        <v>#N/A</v>
      </c>
      <c r="H159" s="2" t="e">
        <f t="shared" ref="H159:T159" ca="1" si="204">VLOOKUP($C159, $C$109:$V$132, MATCH(H$137, $C$107:$V$107, 0), FALSE)</f>
        <v>#N/A</v>
      </c>
      <c r="I159" s="2" t="e">
        <f t="shared" ca="1" si="204"/>
        <v>#N/A</v>
      </c>
      <c r="J159" s="2" t="e">
        <f t="shared" ca="1" si="204"/>
        <v>#N/A</v>
      </c>
      <c r="K159" s="2" t="e">
        <f t="shared" ca="1" si="204"/>
        <v>#N/A</v>
      </c>
      <c r="L159" s="2" t="e">
        <f t="shared" ca="1" si="204"/>
        <v>#N/A</v>
      </c>
      <c r="M159" s="2" t="e">
        <f t="shared" ca="1" si="204"/>
        <v>#N/A</v>
      </c>
      <c r="N159" s="2" t="e">
        <f t="shared" ca="1" si="204"/>
        <v>#N/A</v>
      </c>
      <c r="O159" s="2" t="e">
        <f t="shared" ca="1" si="204"/>
        <v>#N/A</v>
      </c>
      <c r="P159" s="2" t="e">
        <f t="shared" ca="1" si="204"/>
        <v>#N/A</v>
      </c>
      <c r="Q159" s="2" t="e">
        <f t="shared" ca="1" si="204"/>
        <v>#N/A</v>
      </c>
      <c r="R159" s="2" t="e">
        <f t="shared" ca="1" si="204"/>
        <v>#N/A</v>
      </c>
      <c r="S159" s="2" t="e">
        <f t="shared" ca="1" si="204"/>
        <v>#N/A</v>
      </c>
      <c r="T159" s="2" t="e">
        <f t="shared" ca="1" si="204"/>
        <v>#N/A</v>
      </c>
      <c r="U159" s="2" t="e">
        <f ca="1">VLOOKUP($C159, $C$109:$V$132, MATCH(U$136, $C$107:$V$107, 0), FALSE)</f>
        <v>#N/A</v>
      </c>
      <c r="V159" s="2" t="e">
        <f t="shared" ref="V159:AF159" ca="1" si="205">VLOOKUP($C159, $C$109:$V$132, MATCH(V$136, $C$107:$V$107, 0), FALSE)</f>
        <v>#N/A</v>
      </c>
      <c r="W159" s="2" t="e">
        <f t="shared" ca="1" si="205"/>
        <v>#N/A</v>
      </c>
      <c r="X159" s="2" t="e">
        <f t="shared" ca="1" si="205"/>
        <v>#N/A</v>
      </c>
      <c r="Y159" s="2" t="e">
        <f t="shared" ca="1" si="205"/>
        <v>#N/A</v>
      </c>
      <c r="Z159" s="2" t="e">
        <f t="shared" ca="1" si="205"/>
        <v>#N/A</v>
      </c>
      <c r="AA159" s="2" t="e">
        <f t="shared" ca="1" si="205"/>
        <v>#N/A</v>
      </c>
      <c r="AB159" s="2" t="e">
        <f t="shared" ca="1" si="205"/>
        <v>#N/A</v>
      </c>
      <c r="AC159" s="2" t="e">
        <f t="shared" ca="1" si="205"/>
        <v>#N/A</v>
      </c>
      <c r="AD159" s="2" t="e">
        <f t="shared" ca="1" si="205"/>
        <v>#N/A</v>
      </c>
      <c r="AE159" s="2" t="e">
        <f t="shared" ca="1" si="205"/>
        <v>#N/A</v>
      </c>
      <c r="AF159" s="2" t="e">
        <f t="shared" ca="1" si="205"/>
        <v>#N/A</v>
      </c>
      <c r="AG159" s="2" t="e">
        <f ca="1">VLOOKUP($C159, $C$109:$V$132, MATCH(AG$136, $C$107:$V$107, 0), FALSE)</f>
        <v>#N/A</v>
      </c>
      <c r="AH159" s="2" t="e">
        <f t="shared" ref="AH159:BD159" ca="1" si="206">VLOOKUP($C159, $C$109:$V$132, MATCH(AH$136, $C$107:$V$107, 0), FALSE)</f>
        <v>#N/A</v>
      </c>
      <c r="AI159" s="2" t="e">
        <f t="shared" ca="1" si="206"/>
        <v>#N/A</v>
      </c>
      <c r="AJ159" s="2" t="e">
        <f t="shared" ca="1" si="206"/>
        <v>#N/A</v>
      </c>
      <c r="AK159" s="2" t="e">
        <f t="shared" ca="1" si="206"/>
        <v>#N/A</v>
      </c>
      <c r="AL159" s="2" t="e">
        <f t="shared" ca="1" si="206"/>
        <v>#N/A</v>
      </c>
      <c r="AM159" s="2" t="e">
        <f t="shared" ca="1" si="206"/>
        <v>#N/A</v>
      </c>
      <c r="AN159" s="2" t="e">
        <f t="shared" ca="1" si="206"/>
        <v>#N/A</v>
      </c>
      <c r="AO159" s="2" t="e">
        <f t="shared" ca="1" si="206"/>
        <v>#N/A</v>
      </c>
      <c r="AP159" s="2" t="e">
        <f t="shared" ca="1" si="206"/>
        <v>#N/A</v>
      </c>
      <c r="AQ159" s="2" t="e">
        <f t="shared" ca="1" si="206"/>
        <v>#N/A</v>
      </c>
      <c r="AR159" s="2" t="e">
        <f t="shared" ca="1" si="206"/>
        <v>#N/A</v>
      </c>
      <c r="AS159" s="2" t="e">
        <f t="shared" ca="1" si="206"/>
        <v>#N/A</v>
      </c>
      <c r="AT159" s="2" t="e">
        <f t="shared" ca="1" si="206"/>
        <v>#N/A</v>
      </c>
      <c r="AU159" s="2" t="e">
        <f t="shared" ca="1" si="206"/>
        <v>#N/A</v>
      </c>
      <c r="AV159" s="2" t="e">
        <f t="shared" ca="1" si="206"/>
        <v>#N/A</v>
      </c>
      <c r="AW159" s="2" t="e">
        <f t="shared" ca="1" si="206"/>
        <v>#N/A</v>
      </c>
      <c r="AX159" s="2" t="e">
        <f t="shared" ca="1" si="206"/>
        <v>#N/A</v>
      </c>
      <c r="AY159" s="2" t="e">
        <f t="shared" ca="1" si="206"/>
        <v>#N/A</v>
      </c>
      <c r="AZ159" s="2" t="e">
        <f t="shared" ca="1" si="206"/>
        <v>#N/A</v>
      </c>
      <c r="BA159" s="2" t="e">
        <f t="shared" ca="1" si="206"/>
        <v>#N/A</v>
      </c>
      <c r="BB159" s="2" t="e">
        <f t="shared" ca="1" si="206"/>
        <v>#N/A</v>
      </c>
      <c r="BC159" s="2" t="e">
        <f t="shared" ca="1" si="206"/>
        <v>#N/A</v>
      </c>
      <c r="BD159" s="2" t="e">
        <f t="shared" ca="1" si="206"/>
        <v>#N/A</v>
      </c>
      <c r="BS159" t="s">
        <v>2067</v>
      </c>
      <c r="BT159" t="s">
        <v>2407</v>
      </c>
      <c r="BU159"/>
      <c r="CA159"/>
    </row>
    <row r="160" spans="3:79" hidden="1" outlineLevel="1" x14ac:dyDescent="0.25">
      <c r="D160" t="str">
        <f>IF(Language="English", $BS160, $BT160)</f>
        <v>Mois avec restrictions COVID</v>
      </c>
      <c r="G160" s="2"/>
      <c r="H160" s="2"/>
      <c r="I160" s="2"/>
      <c r="J160" s="2"/>
      <c r="K160" s="2"/>
      <c r="L160" s="2"/>
      <c r="M160" s="2"/>
      <c r="N160" s="2"/>
      <c r="O160" s="2"/>
      <c r="P160" s="2"/>
      <c r="Q160" s="2"/>
      <c r="R160" s="2"/>
      <c r="S160" s="2"/>
      <c r="T160" s="2"/>
      <c r="U160" s="2">
        <f>G$57</f>
        <v>0</v>
      </c>
      <c r="V160" s="2">
        <f t="shared" ref="V160:BD160" si="207">H$57</f>
        <v>0</v>
      </c>
      <c r="W160" s="2">
        <f t="shared" si="207"/>
        <v>0</v>
      </c>
      <c r="X160" s="2">
        <f t="shared" si="207"/>
        <v>0</v>
      </c>
      <c r="Y160" s="2">
        <f t="shared" si="207"/>
        <v>0</v>
      </c>
      <c r="Z160" s="2">
        <f t="shared" si="207"/>
        <v>0</v>
      </c>
      <c r="AA160" s="2">
        <f t="shared" si="207"/>
        <v>0</v>
      </c>
      <c r="AB160" s="2">
        <f t="shared" si="207"/>
        <v>0</v>
      </c>
      <c r="AC160" s="2">
        <f t="shared" si="207"/>
        <v>0</v>
      </c>
      <c r="AD160" s="2">
        <f t="shared" si="207"/>
        <v>0</v>
      </c>
      <c r="AE160" s="2">
        <f t="shared" si="207"/>
        <v>0</v>
      </c>
      <c r="AF160" s="2">
        <f t="shared" si="207"/>
        <v>0</v>
      </c>
      <c r="AG160" s="2" t="e">
        <f t="shared" si="207"/>
        <v>#N/A</v>
      </c>
      <c r="AH160" s="2" t="e">
        <f t="shared" si="207"/>
        <v>#N/A</v>
      </c>
      <c r="AI160" s="2" t="e">
        <f t="shared" si="207"/>
        <v>#N/A</v>
      </c>
      <c r="AJ160" s="2" t="e">
        <f t="shared" si="207"/>
        <v>#N/A</v>
      </c>
      <c r="AK160" s="2" t="e">
        <f t="shared" si="207"/>
        <v>#N/A</v>
      </c>
      <c r="AL160" s="2" t="e">
        <f t="shared" si="207"/>
        <v>#N/A</v>
      </c>
      <c r="AM160" s="2" t="e">
        <f t="shared" si="207"/>
        <v>#N/A</v>
      </c>
      <c r="AN160" s="2" t="e">
        <f t="shared" si="207"/>
        <v>#N/A</v>
      </c>
      <c r="AO160" s="2" t="e">
        <f t="shared" si="207"/>
        <v>#N/A</v>
      </c>
      <c r="AP160" s="2" t="e">
        <f t="shared" si="207"/>
        <v>#N/A</v>
      </c>
      <c r="AQ160" s="2" t="e">
        <f t="shared" si="207"/>
        <v>#N/A</v>
      </c>
      <c r="AR160" s="2" t="e">
        <f t="shared" si="207"/>
        <v>#N/A</v>
      </c>
      <c r="AS160" s="2" t="e">
        <f t="shared" si="207"/>
        <v>#N/A</v>
      </c>
      <c r="AT160" s="2" t="e">
        <f t="shared" si="207"/>
        <v>#N/A</v>
      </c>
      <c r="AU160" s="2" t="e">
        <f t="shared" si="207"/>
        <v>#N/A</v>
      </c>
      <c r="AV160" s="2" t="e">
        <f t="shared" si="207"/>
        <v>#N/A</v>
      </c>
      <c r="AW160" s="2" t="e">
        <f t="shared" si="207"/>
        <v>#N/A</v>
      </c>
      <c r="AX160" s="2" t="e">
        <f t="shared" si="207"/>
        <v>#N/A</v>
      </c>
      <c r="AY160" s="2" t="e">
        <f t="shared" si="207"/>
        <v>#N/A</v>
      </c>
      <c r="AZ160" s="2" t="e">
        <f t="shared" si="207"/>
        <v>#N/A</v>
      </c>
      <c r="BA160" s="2" t="e">
        <f t="shared" si="207"/>
        <v>#N/A</v>
      </c>
      <c r="BB160" s="2" t="e">
        <f t="shared" si="207"/>
        <v>#N/A</v>
      </c>
      <c r="BC160" s="2" t="e">
        <f t="shared" si="207"/>
        <v>#N/A</v>
      </c>
      <c r="BD160" s="2" t="e">
        <f t="shared" si="207"/>
        <v>#N/A</v>
      </c>
      <c r="BS160" t="s">
        <v>2068</v>
      </c>
      <c r="BT160" t="s">
        <v>2402</v>
      </c>
      <c r="BU160"/>
      <c r="CA160"/>
    </row>
    <row r="161" spans="3:79" hidden="1" outlineLevel="1" x14ac:dyDescent="0.25">
      <c r="BS161"/>
      <c r="BT161"/>
    </row>
    <row r="162" spans="3:79" hidden="1" outlineLevel="1" x14ac:dyDescent="0.25">
      <c r="G162" t="e">
        <f t="shared" ref="G162:S162" ca="1" si="208">G$107</f>
        <v>#N/A</v>
      </c>
      <c r="H162" t="e">
        <f t="shared" ca="1" si="208"/>
        <v>#N/A</v>
      </c>
      <c r="I162" t="e">
        <f t="shared" ca="1" si="208"/>
        <v>#N/A</v>
      </c>
      <c r="J162" t="e">
        <f t="shared" ca="1" si="208"/>
        <v>#N/A</v>
      </c>
      <c r="K162" t="e">
        <f t="shared" ca="1" si="208"/>
        <v>#N/A</v>
      </c>
      <c r="L162" t="e">
        <f t="shared" ca="1" si="208"/>
        <v>#N/A</v>
      </c>
      <c r="M162" t="e">
        <f t="shared" ca="1" si="208"/>
        <v>#N/A</v>
      </c>
      <c r="N162" t="e">
        <f t="shared" ca="1" si="208"/>
        <v>#N/A</v>
      </c>
      <c r="O162" t="e">
        <f t="shared" ca="1" si="208"/>
        <v>#N/A</v>
      </c>
      <c r="P162" t="e">
        <f t="shared" ca="1" si="208"/>
        <v>#N/A</v>
      </c>
      <c r="Q162" t="e">
        <f t="shared" ca="1" si="208"/>
        <v>#N/A</v>
      </c>
      <c r="R162" t="e">
        <f t="shared" ca="1" si="208"/>
        <v>#N/A</v>
      </c>
      <c r="S162" t="e">
        <f t="shared" ca="1" si="208"/>
        <v>#N/A</v>
      </c>
      <c r="T162" t="e">
        <f ca="1">T$107</f>
        <v>#N/A</v>
      </c>
      <c r="U162" s="24" t="str">
        <f t="shared" ref="U162:AP162" si="209">G$25</f>
        <v>Jan2019</v>
      </c>
      <c r="V162" s="24" t="str">
        <f t="shared" si="209"/>
        <v>Feb2019</v>
      </c>
      <c r="W162" s="24" t="str">
        <f t="shared" si="209"/>
        <v>Mar2019</v>
      </c>
      <c r="X162" s="24" t="str">
        <f t="shared" si="209"/>
        <v>Apr2019</v>
      </c>
      <c r="Y162" s="24" t="str">
        <f t="shared" si="209"/>
        <v>May2019</v>
      </c>
      <c r="Z162" s="24" t="str">
        <f t="shared" si="209"/>
        <v>Jun2019</v>
      </c>
      <c r="AA162" s="24" t="str">
        <f t="shared" si="209"/>
        <v>Jul2019</v>
      </c>
      <c r="AB162" s="24" t="str">
        <f t="shared" si="209"/>
        <v>Aug2019</v>
      </c>
      <c r="AC162" s="24" t="str">
        <f t="shared" si="209"/>
        <v>Sep2019</v>
      </c>
      <c r="AD162" s="24" t="str">
        <f t="shared" si="209"/>
        <v>Oct2019</v>
      </c>
      <c r="AE162" s="24" t="str">
        <f t="shared" si="209"/>
        <v>Nov2019</v>
      </c>
      <c r="AF162" s="24" t="str">
        <f t="shared" si="209"/>
        <v>Dec2019</v>
      </c>
      <c r="AG162" s="24" t="str">
        <f t="shared" si="209"/>
        <v>Jan2020</v>
      </c>
      <c r="AH162" s="24" t="str">
        <f t="shared" si="209"/>
        <v>Feb2020</v>
      </c>
      <c r="AI162" s="24" t="str">
        <f t="shared" si="209"/>
        <v>Mar2020</v>
      </c>
      <c r="AJ162" s="24" t="str">
        <f t="shared" si="209"/>
        <v>Apr2020</v>
      </c>
      <c r="AK162" s="24" t="str">
        <f t="shared" si="209"/>
        <v>May2020</v>
      </c>
      <c r="AL162" s="24" t="str">
        <f t="shared" si="209"/>
        <v>Jun2020</v>
      </c>
      <c r="AM162" s="24" t="str">
        <f t="shared" si="209"/>
        <v>Jul2020</v>
      </c>
      <c r="AN162" s="24" t="str">
        <f t="shared" si="209"/>
        <v>Aug2020</v>
      </c>
      <c r="AO162" s="24" t="str">
        <f t="shared" si="209"/>
        <v>Sep2020</v>
      </c>
      <c r="AP162" s="24" t="str">
        <f t="shared" si="209"/>
        <v>Oct2020</v>
      </c>
      <c r="AQ162" s="24" t="str">
        <f t="shared" ref="AQ162:AR162" si="210">Q$25</f>
        <v>Nov2019</v>
      </c>
      <c r="AR162" s="24" t="str">
        <f t="shared" si="210"/>
        <v>Dec2019</v>
      </c>
      <c r="AS162" s="24" t="str">
        <f t="shared" ref="AS162:BD162" si="211">AE$25</f>
        <v>Jan2021</v>
      </c>
      <c r="AT162" s="24" t="str">
        <f t="shared" si="211"/>
        <v>Feb2021</v>
      </c>
      <c r="AU162" s="24" t="str">
        <f t="shared" si="211"/>
        <v>Mar2021</v>
      </c>
      <c r="AV162" s="24" t="str">
        <f t="shared" si="211"/>
        <v>Apr2021</v>
      </c>
      <c r="AW162" s="24" t="str">
        <f t="shared" si="211"/>
        <v>May2021</v>
      </c>
      <c r="AX162" s="24" t="str">
        <f t="shared" si="211"/>
        <v>Jun2021</v>
      </c>
      <c r="AY162" s="24" t="str">
        <f t="shared" si="211"/>
        <v>Jul2021</v>
      </c>
      <c r="AZ162" s="24" t="str">
        <f t="shared" si="211"/>
        <v>Aug2021</v>
      </c>
      <c r="BA162" s="24" t="str">
        <f t="shared" si="211"/>
        <v>Sep2021</v>
      </c>
      <c r="BB162" s="24" t="str">
        <f t="shared" si="211"/>
        <v>Oct2021</v>
      </c>
      <c r="BC162" s="24" t="str">
        <f t="shared" si="211"/>
        <v>Nov2021</v>
      </c>
      <c r="BD162" s="24" t="str">
        <f t="shared" si="211"/>
        <v>Dec2021</v>
      </c>
      <c r="BS162"/>
      <c r="BT162"/>
      <c r="BU162"/>
      <c r="CA162"/>
    </row>
    <row r="163" spans="3:79" hidden="1" outlineLevel="1" x14ac:dyDescent="0.25">
      <c r="C163" t="str">
        <f>C114</f>
        <v>Implant de 4 ans (Sino-Implant)</v>
      </c>
      <c r="D163" t="str">
        <f>IF(Language="English", $BS163, $BT163)</f>
        <v>Les données mensuelles</v>
      </c>
      <c r="G163" s="2" t="e">
        <f t="shared" ref="G163:AS163" ca="1" si="212">VLOOKUP($C163, $C$25:$AP$51, MATCH(G162, $C$25:$AP$25, 0), FALSE)</f>
        <v>#N/A</v>
      </c>
      <c r="H163" s="2" t="e">
        <f t="shared" ca="1" si="212"/>
        <v>#N/A</v>
      </c>
      <c r="I163" s="2" t="e">
        <f t="shared" ca="1" si="212"/>
        <v>#N/A</v>
      </c>
      <c r="J163" s="2" t="e">
        <f t="shared" ca="1" si="212"/>
        <v>#N/A</v>
      </c>
      <c r="K163" s="2" t="e">
        <f t="shared" ca="1" si="212"/>
        <v>#N/A</v>
      </c>
      <c r="L163" s="2" t="e">
        <f t="shared" ca="1" si="212"/>
        <v>#N/A</v>
      </c>
      <c r="M163" s="2" t="e">
        <f t="shared" ca="1" si="212"/>
        <v>#N/A</v>
      </c>
      <c r="N163" s="2" t="e">
        <f t="shared" ca="1" si="212"/>
        <v>#N/A</v>
      </c>
      <c r="O163" s="2" t="e">
        <f t="shared" ca="1" si="212"/>
        <v>#N/A</v>
      </c>
      <c r="P163" s="2" t="e">
        <f t="shared" ca="1" si="212"/>
        <v>#N/A</v>
      </c>
      <c r="Q163" s="2" t="e">
        <f t="shared" ca="1" si="212"/>
        <v>#N/A</v>
      </c>
      <c r="R163" s="2" t="e">
        <f t="shared" ca="1" si="212"/>
        <v>#N/A</v>
      </c>
      <c r="S163" s="2" t="e">
        <f t="shared" ca="1" si="212"/>
        <v>#N/A</v>
      </c>
      <c r="T163" s="2" t="e">
        <f t="shared" ca="1" si="212"/>
        <v>#N/A</v>
      </c>
      <c r="U163" s="2">
        <f t="shared" si="212"/>
        <v>0</v>
      </c>
      <c r="V163" s="2">
        <f t="shared" si="212"/>
        <v>0</v>
      </c>
      <c r="W163" s="2">
        <f t="shared" si="212"/>
        <v>0</v>
      </c>
      <c r="X163" s="2">
        <f t="shared" si="212"/>
        <v>0</v>
      </c>
      <c r="Y163" s="2">
        <f t="shared" si="212"/>
        <v>0</v>
      </c>
      <c r="Z163" s="2">
        <f t="shared" si="212"/>
        <v>0</v>
      </c>
      <c r="AA163" s="2">
        <f t="shared" si="212"/>
        <v>0</v>
      </c>
      <c r="AB163" s="2">
        <f t="shared" si="212"/>
        <v>0</v>
      </c>
      <c r="AC163" s="2">
        <f t="shared" si="212"/>
        <v>0</v>
      </c>
      <c r="AD163" s="2">
        <f t="shared" si="212"/>
        <v>0</v>
      </c>
      <c r="AE163" s="2">
        <f t="shared" si="212"/>
        <v>0</v>
      </c>
      <c r="AF163" s="2">
        <f t="shared" si="212"/>
        <v>0</v>
      </c>
      <c r="AG163" s="2">
        <f t="shared" si="212"/>
        <v>0</v>
      </c>
      <c r="AH163" s="2">
        <f t="shared" si="212"/>
        <v>0</v>
      </c>
      <c r="AI163" s="2">
        <f t="shared" si="212"/>
        <v>0</v>
      </c>
      <c r="AJ163" s="2">
        <f t="shared" si="212"/>
        <v>0</v>
      </c>
      <c r="AK163" s="2">
        <f t="shared" si="212"/>
        <v>0</v>
      </c>
      <c r="AL163" s="2">
        <f t="shared" si="212"/>
        <v>0</v>
      </c>
      <c r="AM163" s="2">
        <f t="shared" si="212"/>
        <v>0</v>
      </c>
      <c r="AN163" s="2">
        <f t="shared" si="212"/>
        <v>0</v>
      </c>
      <c r="AO163" s="2">
        <f t="shared" si="212"/>
        <v>0</v>
      </c>
      <c r="AP163" s="2">
        <f t="shared" si="212"/>
        <v>0</v>
      </c>
      <c r="AQ163" s="2">
        <f t="shared" si="212"/>
        <v>0</v>
      </c>
      <c r="AR163" s="2">
        <f t="shared" si="212"/>
        <v>0</v>
      </c>
      <c r="AS163" s="2">
        <f t="shared" si="212"/>
        <v>0</v>
      </c>
      <c r="AT163" s="2">
        <f t="shared" ref="AT163:AY163" si="213">VLOOKUP($C163, $C$25:$AP$51, MATCH(AT162, $C$25:$AP$25, 0), FALSE)</f>
        <v>0</v>
      </c>
      <c r="AU163" s="2">
        <f t="shared" si="213"/>
        <v>0</v>
      </c>
      <c r="AV163" s="2">
        <f t="shared" si="213"/>
        <v>0</v>
      </c>
      <c r="AW163" s="2">
        <f t="shared" si="213"/>
        <v>0</v>
      </c>
      <c r="AX163" s="2">
        <f t="shared" si="213"/>
        <v>0</v>
      </c>
      <c r="AY163" s="2">
        <f t="shared" si="213"/>
        <v>0</v>
      </c>
      <c r="AZ163" s="2">
        <f>VLOOKUP($C163, $C$25:$AP$51, MATCH(AZ162, $C$25:$AP$25, 0), FALSE)</f>
        <v>0</v>
      </c>
      <c r="BA163" s="2">
        <f>VLOOKUP($C163, $C$25:$AP$51, MATCH(BA162, $C$25:$AP$25, 0), FALSE)</f>
        <v>0</v>
      </c>
      <c r="BB163" s="2">
        <f>VLOOKUP($C163, $C$25:$AP$51, MATCH(BB162, $C$25:$AP$25, 0), FALSE)</f>
        <v>0</v>
      </c>
      <c r="BC163" s="2">
        <f>VLOOKUP($C163, $C$25:$AP$51, MATCH(BC162, $C$25:$AP$25, 0), FALSE)</f>
        <v>0</v>
      </c>
      <c r="BD163" s="2">
        <f>VLOOKUP($C163, $C$25:$AP$51, MATCH(BD162, $C$25:$AP$25, 0), FALSE)</f>
        <v>0</v>
      </c>
      <c r="BS163" t="s">
        <v>2066</v>
      </c>
      <c r="BT163" t="s">
        <v>2410</v>
      </c>
      <c r="BU163"/>
      <c r="CA163"/>
    </row>
    <row r="164" spans="3:79" hidden="1" outlineLevel="1" x14ac:dyDescent="0.25">
      <c r="C164" t="str">
        <f>C114</f>
        <v>Implant de 4 ans (Sino-Implant)</v>
      </c>
      <c r="D164" t="str">
        <f>IF(Language="English", $BS164, $BT164)</f>
        <v>Les données annuelles (moyenne mensuelle)</v>
      </c>
      <c r="G164" s="2" t="e">
        <f ca="1">VLOOKUP($C164, $C$109:$V$132, MATCH(G$137, $C$107:$V$107, 0), FALSE)</f>
        <v>#N/A</v>
      </c>
      <c r="H164" s="2" t="e">
        <f t="shared" ref="H164:T164" ca="1" si="214">VLOOKUP($C164, $C$109:$V$132, MATCH(H$137, $C$107:$V$107, 0), FALSE)</f>
        <v>#N/A</v>
      </c>
      <c r="I164" s="2" t="e">
        <f t="shared" ca="1" si="214"/>
        <v>#N/A</v>
      </c>
      <c r="J164" s="2" t="e">
        <f t="shared" ca="1" si="214"/>
        <v>#N/A</v>
      </c>
      <c r="K164" s="2" t="e">
        <f t="shared" ca="1" si="214"/>
        <v>#N/A</v>
      </c>
      <c r="L164" s="2" t="e">
        <f t="shared" ca="1" si="214"/>
        <v>#N/A</v>
      </c>
      <c r="M164" s="2" t="e">
        <f t="shared" ca="1" si="214"/>
        <v>#N/A</v>
      </c>
      <c r="N164" s="2" t="e">
        <f t="shared" ca="1" si="214"/>
        <v>#N/A</v>
      </c>
      <c r="O164" s="2" t="e">
        <f t="shared" ca="1" si="214"/>
        <v>#N/A</v>
      </c>
      <c r="P164" s="2" t="e">
        <f t="shared" ca="1" si="214"/>
        <v>#N/A</v>
      </c>
      <c r="Q164" s="2" t="e">
        <f t="shared" ca="1" si="214"/>
        <v>#N/A</v>
      </c>
      <c r="R164" s="2" t="e">
        <f t="shared" ca="1" si="214"/>
        <v>#N/A</v>
      </c>
      <c r="S164" s="2" t="e">
        <f t="shared" ca="1" si="214"/>
        <v>#N/A</v>
      </c>
      <c r="T164" s="2" t="e">
        <f t="shared" ca="1" si="214"/>
        <v>#N/A</v>
      </c>
      <c r="U164" s="2" t="e">
        <f ca="1">VLOOKUP($C164, $C$109:$V$132, MATCH(U$136, $C$107:$V$107, 0), FALSE)</f>
        <v>#N/A</v>
      </c>
      <c r="V164" s="2" t="e">
        <f t="shared" ref="V164:AF164" ca="1" si="215">VLOOKUP($C164, $C$109:$V$132, MATCH(V$136, $C$107:$V$107, 0), FALSE)</f>
        <v>#N/A</v>
      </c>
      <c r="W164" s="2" t="e">
        <f t="shared" ca="1" si="215"/>
        <v>#N/A</v>
      </c>
      <c r="X164" s="2" t="e">
        <f t="shared" ca="1" si="215"/>
        <v>#N/A</v>
      </c>
      <c r="Y164" s="2" t="e">
        <f t="shared" ca="1" si="215"/>
        <v>#N/A</v>
      </c>
      <c r="Z164" s="2" t="e">
        <f t="shared" ca="1" si="215"/>
        <v>#N/A</v>
      </c>
      <c r="AA164" s="2" t="e">
        <f t="shared" ca="1" si="215"/>
        <v>#N/A</v>
      </c>
      <c r="AB164" s="2" t="e">
        <f t="shared" ca="1" si="215"/>
        <v>#N/A</v>
      </c>
      <c r="AC164" s="2" t="e">
        <f t="shared" ca="1" si="215"/>
        <v>#N/A</v>
      </c>
      <c r="AD164" s="2" t="e">
        <f t="shared" ca="1" si="215"/>
        <v>#N/A</v>
      </c>
      <c r="AE164" s="2" t="e">
        <f t="shared" ca="1" si="215"/>
        <v>#N/A</v>
      </c>
      <c r="AF164" s="2" t="e">
        <f t="shared" ca="1" si="215"/>
        <v>#N/A</v>
      </c>
      <c r="AG164" s="2" t="e">
        <f ca="1">VLOOKUP($C164, $C$109:$V$132, MATCH(AG$136, $C$107:$V$107, 0), FALSE)</f>
        <v>#N/A</v>
      </c>
      <c r="AH164" s="2" t="e">
        <f t="shared" ref="AH164:BD164" ca="1" si="216">VLOOKUP($C164, $C$109:$V$132, MATCH(AH$136, $C$107:$V$107, 0), FALSE)</f>
        <v>#N/A</v>
      </c>
      <c r="AI164" s="2" t="e">
        <f t="shared" ca="1" si="216"/>
        <v>#N/A</v>
      </c>
      <c r="AJ164" s="2" t="e">
        <f t="shared" ca="1" si="216"/>
        <v>#N/A</v>
      </c>
      <c r="AK164" s="2" t="e">
        <f t="shared" ca="1" si="216"/>
        <v>#N/A</v>
      </c>
      <c r="AL164" s="2" t="e">
        <f t="shared" ca="1" si="216"/>
        <v>#N/A</v>
      </c>
      <c r="AM164" s="2" t="e">
        <f t="shared" ca="1" si="216"/>
        <v>#N/A</v>
      </c>
      <c r="AN164" s="2" t="e">
        <f t="shared" ca="1" si="216"/>
        <v>#N/A</v>
      </c>
      <c r="AO164" s="2" t="e">
        <f t="shared" ca="1" si="216"/>
        <v>#N/A</v>
      </c>
      <c r="AP164" s="2" t="e">
        <f t="shared" ca="1" si="216"/>
        <v>#N/A</v>
      </c>
      <c r="AQ164" s="2" t="e">
        <f t="shared" ca="1" si="216"/>
        <v>#N/A</v>
      </c>
      <c r="AR164" s="2" t="e">
        <f t="shared" ca="1" si="216"/>
        <v>#N/A</v>
      </c>
      <c r="AS164" s="2" t="e">
        <f t="shared" ca="1" si="216"/>
        <v>#N/A</v>
      </c>
      <c r="AT164" s="2" t="e">
        <f t="shared" ca="1" si="216"/>
        <v>#N/A</v>
      </c>
      <c r="AU164" s="2" t="e">
        <f t="shared" ca="1" si="216"/>
        <v>#N/A</v>
      </c>
      <c r="AV164" s="2" t="e">
        <f t="shared" ca="1" si="216"/>
        <v>#N/A</v>
      </c>
      <c r="AW164" s="2" t="e">
        <f t="shared" ca="1" si="216"/>
        <v>#N/A</v>
      </c>
      <c r="AX164" s="2" t="e">
        <f t="shared" ca="1" si="216"/>
        <v>#N/A</v>
      </c>
      <c r="AY164" s="2" t="e">
        <f t="shared" ca="1" si="216"/>
        <v>#N/A</v>
      </c>
      <c r="AZ164" s="2" t="e">
        <f t="shared" ca="1" si="216"/>
        <v>#N/A</v>
      </c>
      <c r="BA164" s="2" t="e">
        <f t="shared" ca="1" si="216"/>
        <v>#N/A</v>
      </c>
      <c r="BB164" s="2" t="e">
        <f t="shared" ca="1" si="216"/>
        <v>#N/A</v>
      </c>
      <c r="BC164" s="2" t="e">
        <f t="shared" ca="1" si="216"/>
        <v>#N/A</v>
      </c>
      <c r="BD164" s="2" t="e">
        <f t="shared" ca="1" si="216"/>
        <v>#N/A</v>
      </c>
      <c r="BS164" t="s">
        <v>2067</v>
      </c>
      <c r="BT164" t="s">
        <v>2407</v>
      </c>
      <c r="BU164"/>
      <c r="CA164"/>
    </row>
    <row r="165" spans="3:79" hidden="1" outlineLevel="1" x14ac:dyDescent="0.25">
      <c r="D165" t="str">
        <f>IF(Language="English", $BS165, $BT165)</f>
        <v>Mois avec restrictions COVID</v>
      </c>
      <c r="G165" s="2"/>
      <c r="H165" s="2"/>
      <c r="I165" s="2"/>
      <c r="J165" s="2"/>
      <c r="K165" s="2"/>
      <c r="L165" s="2"/>
      <c r="M165" s="2"/>
      <c r="N165" s="2"/>
      <c r="O165" s="2"/>
      <c r="P165" s="2"/>
      <c r="Q165" s="2"/>
      <c r="R165" s="2"/>
      <c r="S165" s="2"/>
      <c r="T165" s="2"/>
      <c r="U165" s="2">
        <f>G$57</f>
        <v>0</v>
      </c>
      <c r="V165" s="2">
        <f t="shared" ref="V165:BD165" si="217">H$57</f>
        <v>0</v>
      </c>
      <c r="W165" s="2">
        <f t="shared" si="217"/>
        <v>0</v>
      </c>
      <c r="X165" s="2">
        <f t="shared" si="217"/>
        <v>0</v>
      </c>
      <c r="Y165" s="2">
        <f t="shared" si="217"/>
        <v>0</v>
      </c>
      <c r="Z165" s="2">
        <f t="shared" si="217"/>
        <v>0</v>
      </c>
      <c r="AA165" s="2">
        <f t="shared" si="217"/>
        <v>0</v>
      </c>
      <c r="AB165" s="2">
        <f t="shared" si="217"/>
        <v>0</v>
      </c>
      <c r="AC165" s="2">
        <f t="shared" si="217"/>
        <v>0</v>
      </c>
      <c r="AD165" s="2">
        <f t="shared" si="217"/>
        <v>0</v>
      </c>
      <c r="AE165" s="2">
        <f t="shared" si="217"/>
        <v>0</v>
      </c>
      <c r="AF165" s="2">
        <f t="shared" si="217"/>
        <v>0</v>
      </c>
      <c r="AG165" s="2" t="e">
        <f t="shared" si="217"/>
        <v>#N/A</v>
      </c>
      <c r="AH165" s="2" t="e">
        <f t="shared" si="217"/>
        <v>#N/A</v>
      </c>
      <c r="AI165" s="2" t="e">
        <f t="shared" si="217"/>
        <v>#N/A</v>
      </c>
      <c r="AJ165" s="2" t="e">
        <f t="shared" si="217"/>
        <v>#N/A</v>
      </c>
      <c r="AK165" s="2" t="e">
        <f t="shared" si="217"/>
        <v>#N/A</v>
      </c>
      <c r="AL165" s="2" t="e">
        <f t="shared" si="217"/>
        <v>#N/A</v>
      </c>
      <c r="AM165" s="2" t="e">
        <f t="shared" si="217"/>
        <v>#N/A</v>
      </c>
      <c r="AN165" s="2" t="e">
        <f t="shared" si="217"/>
        <v>#N/A</v>
      </c>
      <c r="AO165" s="2" t="e">
        <f t="shared" si="217"/>
        <v>#N/A</v>
      </c>
      <c r="AP165" s="2" t="e">
        <f t="shared" si="217"/>
        <v>#N/A</v>
      </c>
      <c r="AQ165" s="2" t="e">
        <f t="shared" si="217"/>
        <v>#N/A</v>
      </c>
      <c r="AR165" s="2" t="e">
        <f t="shared" si="217"/>
        <v>#N/A</v>
      </c>
      <c r="AS165" s="2" t="e">
        <f t="shared" si="217"/>
        <v>#N/A</v>
      </c>
      <c r="AT165" s="2" t="e">
        <f t="shared" si="217"/>
        <v>#N/A</v>
      </c>
      <c r="AU165" s="2" t="e">
        <f t="shared" si="217"/>
        <v>#N/A</v>
      </c>
      <c r="AV165" s="2" t="e">
        <f t="shared" si="217"/>
        <v>#N/A</v>
      </c>
      <c r="AW165" s="2" t="e">
        <f t="shared" si="217"/>
        <v>#N/A</v>
      </c>
      <c r="AX165" s="2" t="e">
        <f t="shared" si="217"/>
        <v>#N/A</v>
      </c>
      <c r="AY165" s="2" t="e">
        <f t="shared" si="217"/>
        <v>#N/A</v>
      </c>
      <c r="AZ165" s="2" t="e">
        <f t="shared" si="217"/>
        <v>#N/A</v>
      </c>
      <c r="BA165" s="2" t="e">
        <f t="shared" si="217"/>
        <v>#N/A</v>
      </c>
      <c r="BB165" s="2" t="e">
        <f t="shared" si="217"/>
        <v>#N/A</v>
      </c>
      <c r="BC165" s="2" t="e">
        <f t="shared" si="217"/>
        <v>#N/A</v>
      </c>
      <c r="BD165" s="2" t="e">
        <f t="shared" si="217"/>
        <v>#N/A</v>
      </c>
      <c r="BS165" t="s">
        <v>2068</v>
      </c>
      <c r="BT165" t="s">
        <v>2402</v>
      </c>
      <c r="BU165"/>
      <c r="CA165"/>
    </row>
    <row r="166" spans="3:79" hidden="1" outlineLevel="1" x14ac:dyDescent="0.25">
      <c r="BS166"/>
      <c r="BT166"/>
    </row>
    <row r="167" spans="3:79" hidden="1" outlineLevel="1" x14ac:dyDescent="0.25">
      <c r="G167" t="e">
        <f t="shared" ref="G167:S167" ca="1" si="218">G$107</f>
        <v>#N/A</v>
      </c>
      <c r="H167" t="e">
        <f t="shared" ca="1" si="218"/>
        <v>#N/A</v>
      </c>
      <c r="I167" t="e">
        <f t="shared" ca="1" si="218"/>
        <v>#N/A</v>
      </c>
      <c r="J167" t="e">
        <f t="shared" ca="1" si="218"/>
        <v>#N/A</v>
      </c>
      <c r="K167" t="e">
        <f t="shared" ca="1" si="218"/>
        <v>#N/A</v>
      </c>
      <c r="L167" t="e">
        <f t="shared" ca="1" si="218"/>
        <v>#N/A</v>
      </c>
      <c r="M167" t="e">
        <f t="shared" ca="1" si="218"/>
        <v>#N/A</v>
      </c>
      <c r="N167" t="e">
        <f t="shared" ca="1" si="218"/>
        <v>#N/A</v>
      </c>
      <c r="O167" t="e">
        <f t="shared" ca="1" si="218"/>
        <v>#N/A</v>
      </c>
      <c r="P167" t="e">
        <f t="shared" ca="1" si="218"/>
        <v>#N/A</v>
      </c>
      <c r="Q167" t="e">
        <f t="shared" ca="1" si="218"/>
        <v>#N/A</v>
      </c>
      <c r="R167" t="e">
        <f t="shared" ca="1" si="218"/>
        <v>#N/A</v>
      </c>
      <c r="S167" t="e">
        <f t="shared" ca="1" si="218"/>
        <v>#N/A</v>
      </c>
      <c r="T167" t="e">
        <f ca="1">T$107</f>
        <v>#N/A</v>
      </c>
      <c r="U167" s="24" t="str">
        <f t="shared" ref="U167:AP167" si="219">G$25</f>
        <v>Jan2019</v>
      </c>
      <c r="V167" s="24" t="str">
        <f t="shared" si="219"/>
        <v>Feb2019</v>
      </c>
      <c r="W167" s="24" t="str">
        <f t="shared" si="219"/>
        <v>Mar2019</v>
      </c>
      <c r="X167" s="24" t="str">
        <f t="shared" si="219"/>
        <v>Apr2019</v>
      </c>
      <c r="Y167" s="24" t="str">
        <f t="shared" si="219"/>
        <v>May2019</v>
      </c>
      <c r="Z167" s="24" t="str">
        <f t="shared" si="219"/>
        <v>Jun2019</v>
      </c>
      <c r="AA167" s="24" t="str">
        <f t="shared" si="219"/>
        <v>Jul2019</v>
      </c>
      <c r="AB167" s="24" t="str">
        <f t="shared" si="219"/>
        <v>Aug2019</v>
      </c>
      <c r="AC167" s="24" t="str">
        <f t="shared" si="219"/>
        <v>Sep2019</v>
      </c>
      <c r="AD167" s="24" t="str">
        <f t="shared" si="219"/>
        <v>Oct2019</v>
      </c>
      <c r="AE167" s="24" t="str">
        <f t="shared" si="219"/>
        <v>Nov2019</v>
      </c>
      <c r="AF167" s="24" t="str">
        <f t="shared" si="219"/>
        <v>Dec2019</v>
      </c>
      <c r="AG167" s="24" t="str">
        <f t="shared" si="219"/>
        <v>Jan2020</v>
      </c>
      <c r="AH167" s="24" t="str">
        <f t="shared" si="219"/>
        <v>Feb2020</v>
      </c>
      <c r="AI167" s="24" t="str">
        <f t="shared" si="219"/>
        <v>Mar2020</v>
      </c>
      <c r="AJ167" s="24" t="str">
        <f t="shared" si="219"/>
        <v>Apr2020</v>
      </c>
      <c r="AK167" s="24" t="str">
        <f t="shared" si="219"/>
        <v>May2020</v>
      </c>
      <c r="AL167" s="24" t="str">
        <f t="shared" si="219"/>
        <v>Jun2020</v>
      </c>
      <c r="AM167" s="24" t="str">
        <f t="shared" si="219"/>
        <v>Jul2020</v>
      </c>
      <c r="AN167" s="24" t="str">
        <f t="shared" si="219"/>
        <v>Aug2020</v>
      </c>
      <c r="AO167" s="24" t="str">
        <f t="shared" si="219"/>
        <v>Sep2020</v>
      </c>
      <c r="AP167" s="24" t="str">
        <f t="shared" si="219"/>
        <v>Oct2020</v>
      </c>
      <c r="AQ167" s="24" t="str">
        <f t="shared" ref="AQ167:AR167" si="220">Q$25</f>
        <v>Nov2019</v>
      </c>
      <c r="AR167" s="24" t="str">
        <f t="shared" si="220"/>
        <v>Dec2019</v>
      </c>
      <c r="AS167" s="24" t="str">
        <f t="shared" ref="AS167:BD167" si="221">AE$25</f>
        <v>Jan2021</v>
      </c>
      <c r="AT167" s="24" t="str">
        <f t="shared" si="221"/>
        <v>Feb2021</v>
      </c>
      <c r="AU167" s="24" t="str">
        <f t="shared" si="221"/>
        <v>Mar2021</v>
      </c>
      <c r="AV167" s="24" t="str">
        <f t="shared" si="221"/>
        <v>Apr2021</v>
      </c>
      <c r="AW167" s="24" t="str">
        <f t="shared" si="221"/>
        <v>May2021</v>
      </c>
      <c r="AX167" s="24" t="str">
        <f t="shared" si="221"/>
        <v>Jun2021</v>
      </c>
      <c r="AY167" s="24" t="str">
        <f t="shared" si="221"/>
        <v>Jul2021</v>
      </c>
      <c r="AZ167" s="24" t="str">
        <f t="shared" si="221"/>
        <v>Aug2021</v>
      </c>
      <c r="BA167" s="24" t="str">
        <f t="shared" si="221"/>
        <v>Sep2021</v>
      </c>
      <c r="BB167" s="24" t="str">
        <f t="shared" si="221"/>
        <v>Oct2021</v>
      </c>
      <c r="BC167" s="24" t="str">
        <f t="shared" si="221"/>
        <v>Nov2021</v>
      </c>
      <c r="BD167" s="24" t="str">
        <f t="shared" si="221"/>
        <v>Dec2021</v>
      </c>
      <c r="BS167"/>
      <c r="BT167"/>
      <c r="BU167"/>
      <c r="CA167"/>
    </row>
    <row r="168" spans="3:79" hidden="1" outlineLevel="1" x14ac:dyDescent="0.25">
      <c r="C168" t="str">
        <f>C115</f>
        <v>Implant de 5 ans (Jadelle)</v>
      </c>
      <c r="D168" t="str">
        <f>IF(Language="English", $BS168, $BT168)</f>
        <v>Les données mensuelles</v>
      </c>
      <c r="G168" s="2" t="e">
        <f t="shared" ref="G168:AS168" ca="1" si="222">VLOOKUP($C168, $C$25:$AP$51, MATCH(G167, $C$25:$AP$25, 0), FALSE)</f>
        <v>#N/A</v>
      </c>
      <c r="H168" s="2" t="e">
        <f t="shared" ca="1" si="222"/>
        <v>#N/A</v>
      </c>
      <c r="I168" s="2" t="e">
        <f t="shared" ca="1" si="222"/>
        <v>#N/A</v>
      </c>
      <c r="J168" s="2" t="e">
        <f t="shared" ca="1" si="222"/>
        <v>#N/A</v>
      </c>
      <c r="K168" s="2" t="e">
        <f t="shared" ca="1" si="222"/>
        <v>#N/A</v>
      </c>
      <c r="L168" s="2" t="e">
        <f t="shared" ca="1" si="222"/>
        <v>#N/A</v>
      </c>
      <c r="M168" s="2" t="e">
        <f t="shared" ca="1" si="222"/>
        <v>#N/A</v>
      </c>
      <c r="N168" s="2" t="e">
        <f t="shared" ca="1" si="222"/>
        <v>#N/A</v>
      </c>
      <c r="O168" s="2" t="e">
        <f t="shared" ca="1" si="222"/>
        <v>#N/A</v>
      </c>
      <c r="P168" s="2" t="e">
        <f t="shared" ca="1" si="222"/>
        <v>#N/A</v>
      </c>
      <c r="Q168" s="2" t="e">
        <f t="shared" ca="1" si="222"/>
        <v>#N/A</v>
      </c>
      <c r="R168" s="2" t="e">
        <f t="shared" ca="1" si="222"/>
        <v>#N/A</v>
      </c>
      <c r="S168" s="2" t="e">
        <f t="shared" ca="1" si="222"/>
        <v>#N/A</v>
      </c>
      <c r="T168" s="2" t="e">
        <f t="shared" ca="1" si="222"/>
        <v>#N/A</v>
      </c>
      <c r="U168" s="2">
        <f t="shared" si="222"/>
        <v>0</v>
      </c>
      <c r="V168" s="2">
        <f t="shared" si="222"/>
        <v>0</v>
      </c>
      <c r="W168" s="2">
        <f t="shared" si="222"/>
        <v>0</v>
      </c>
      <c r="X168" s="2">
        <f t="shared" si="222"/>
        <v>0</v>
      </c>
      <c r="Y168" s="2">
        <f t="shared" si="222"/>
        <v>0</v>
      </c>
      <c r="Z168" s="2">
        <f t="shared" si="222"/>
        <v>0</v>
      </c>
      <c r="AA168" s="2">
        <f t="shared" si="222"/>
        <v>0</v>
      </c>
      <c r="AB168" s="2">
        <f t="shared" si="222"/>
        <v>0</v>
      </c>
      <c r="AC168" s="2">
        <f t="shared" si="222"/>
        <v>0</v>
      </c>
      <c r="AD168" s="2">
        <f t="shared" si="222"/>
        <v>0</v>
      </c>
      <c r="AE168" s="2">
        <f t="shared" si="222"/>
        <v>0</v>
      </c>
      <c r="AF168" s="2">
        <f t="shared" si="222"/>
        <v>0</v>
      </c>
      <c r="AG168" s="2">
        <f t="shared" si="222"/>
        <v>0</v>
      </c>
      <c r="AH168" s="2">
        <f t="shared" si="222"/>
        <v>0</v>
      </c>
      <c r="AI168" s="2">
        <f t="shared" si="222"/>
        <v>0</v>
      </c>
      <c r="AJ168" s="2">
        <f t="shared" si="222"/>
        <v>0</v>
      </c>
      <c r="AK168" s="2">
        <f t="shared" si="222"/>
        <v>0</v>
      </c>
      <c r="AL168" s="2">
        <f t="shared" si="222"/>
        <v>0</v>
      </c>
      <c r="AM168" s="2">
        <f t="shared" si="222"/>
        <v>0</v>
      </c>
      <c r="AN168" s="2">
        <f t="shared" si="222"/>
        <v>0</v>
      </c>
      <c r="AO168" s="2">
        <f t="shared" si="222"/>
        <v>0</v>
      </c>
      <c r="AP168" s="2">
        <f t="shared" si="222"/>
        <v>0</v>
      </c>
      <c r="AQ168" s="2">
        <f t="shared" si="222"/>
        <v>0</v>
      </c>
      <c r="AR168" s="2">
        <f t="shared" si="222"/>
        <v>0</v>
      </c>
      <c r="AS168" s="2">
        <f t="shared" si="222"/>
        <v>0</v>
      </c>
      <c r="AT168" s="2">
        <f t="shared" ref="AT168:AY168" si="223">VLOOKUP($C168, $C$25:$AP$51, MATCH(AT167, $C$25:$AP$25, 0), FALSE)</f>
        <v>0</v>
      </c>
      <c r="AU168" s="2">
        <f t="shared" si="223"/>
        <v>0</v>
      </c>
      <c r="AV168" s="2">
        <f t="shared" si="223"/>
        <v>0</v>
      </c>
      <c r="AW168" s="2">
        <f t="shared" si="223"/>
        <v>0</v>
      </c>
      <c r="AX168" s="2">
        <f t="shared" si="223"/>
        <v>0</v>
      </c>
      <c r="AY168" s="2">
        <f t="shared" si="223"/>
        <v>0</v>
      </c>
      <c r="AZ168" s="2">
        <f>VLOOKUP($C168, $C$25:$AP$51, MATCH(AZ167, $C$25:$AP$25, 0), FALSE)</f>
        <v>0</v>
      </c>
      <c r="BA168" s="2">
        <f>VLOOKUP($C168, $C$25:$AP$51, MATCH(BA167, $C$25:$AP$25, 0), FALSE)</f>
        <v>0</v>
      </c>
      <c r="BB168" s="2">
        <f>VLOOKUP($C168, $C$25:$AP$51, MATCH(BB167, $C$25:$AP$25, 0), FALSE)</f>
        <v>0</v>
      </c>
      <c r="BC168" s="2">
        <f>VLOOKUP($C168, $C$25:$AP$51, MATCH(BC167, $C$25:$AP$25, 0), FALSE)</f>
        <v>0</v>
      </c>
      <c r="BD168" s="2">
        <f>VLOOKUP($C168, $C$25:$AP$51, MATCH(BD167, $C$25:$AP$25, 0), FALSE)</f>
        <v>0</v>
      </c>
      <c r="BS168" t="s">
        <v>2066</v>
      </c>
      <c r="BT168" t="s">
        <v>2410</v>
      </c>
      <c r="BU168"/>
      <c r="CA168"/>
    </row>
    <row r="169" spans="3:79" hidden="1" outlineLevel="1" x14ac:dyDescent="0.25">
      <c r="C169" t="str">
        <f>C115</f>
        <v>Implant de 5 ans (Jadelle)</v>
      </c>
      <c r="D169" t="str">
        <f>IF(Language="English", $BS169, $BT169)</f>
        <v>Les données annuelles (moyenne mensuelle)</v>
      </c>
      <c r="G169" s="2" t="e">
        <f ca="1">VLOOKUP($C169, $C$109:$V$132, MATCH(G$137, $C$107:$V$107, 0), FALSE)</f>
        <v>#N/A</v>
      </c>
      <c r="H169" s="2" t="e">
        <f t="shared" ref="H169:T169" ca="1" si="224">VLOOKUP($C169, $C$109:$V$132, MATCH(H$137, $C$107:$V$107, 0), FALSE)</f>
        <v>#N/A</v>
      </c>
      <c r="I169" s="2" t="e">
        <f t="shared" ca="1" si="224"/>
        <v>#N/A</v>
      </c>
      <c r="J169" s="2" t="e">
        <f t="shared" ca="1" si="224"/>
        <v>#N/A</v>
      </c>
      <c r="K169" s="2" t="e">
        <f t="shared" ca="1" si="224"/>
        <v>#N/A</v>
      </c>
      <c r="L169" s="2" t="e">
        <f t="shared" ca="1" si="224"/>
        <v>#N/A</v>
      </c>
      <c r="M169" s="2" t="e">
        <f t="shared" ca="1" si="224"/>
        <v>#N/A</v>
      </c>
      <c r="N169" s="2" t="e">
        <f t="shared" ca="1" si="224"/>
        <v>#N/A</v>
      </c>
      <c r="O169" s="2" t="e">
        <f t="shared" ca="1" si="224"/>
        <v>#N/A</v>
      </c>
      <c r="P169" s="2" t="e">
        <f t="shared" ca="1" si="224"/>
        <v>#N/A</v>
      </c>
      <c r="Q169" s="2" t="e">
        <f t="shared" ca="1" si="224"/>
        <v>#N/A</v>
      </c>
      <c r="R169" s="2" t="e">
        <f t="shared" ca="1" si="224"/>
        <v>#N/A</v>
      </c>
      <c r="S169" s="2" t="e">
        <f t="shared" ca="1" si="224"/>
        <v>#N/A</v>
      </c>
      <c r="T169" s="2" t="e">
        <f t="shared" ca="1" si="224"/>
        <v>#N/A</v>
      </c>
      <c r="U169" s="2" t="e">
        <f ca="1">VLOOKUP($C169, $C$109:$V$132, MATCH(U$136, $C$107:$V$107, 0), FALSE)</f>
        <v>#N/A</v>
      </c>
      <c r="V169" s="2" t="e">
        <f t="shared" ref="V169:AF169" ca="1" si="225">VLOOKUP($C169, $C$109:$V$132, MATCH(V$136, $C$107:$V$107, 0), FALSE)</f>
        <v>#N/A</v>
      </c>
      <c r="W169" s="2" t="e">
        <f t="shared" ca="1" si="225"/>
        <v>#N/A</v>
      </c>
      <c r="X169" s="2" t="e">
        <f t="shared" ca="1" si="225"/>
        <v>#N/A</v>
      </c>
      <c r="Y169" s="2" t="e">
        <f t="shared" ca="1" si="225"/>
        <v>#N/A</v>
      </c>
      <c r="Z169" s="2" t="e">
        <f t="shared" ca="1" si="225"/>
        <v>#N/A</v>
      </c>
      <c r="AA169" s="2" t="e">
        <f t="shared" ca="1" si="225"/>
        <v>#N/A</v>
      </c>
      <c r="AB169" s="2" t="e">
        <f t="shared" ca="1" si="225"/>
        <v>#N/A</v>
      </c>
      <c r="AC169" s="2" t="e">
        <f t="shared" ca="1" si="225"/>
        <v>#N/A</v>
      </c>
      <c r="AD169" s="2" t="e">
        <f t="shared" ca="1" si="225"/>
        <v>#N/A</v>
      </c>
      <c r="AE169" s="2" t="e">
        <f t="shared" ca="1" si="225"/>
        <v>#N/A</v>
      </c>
      <c r="AF169" s="2" t="e">
        <f t="shared" ca="1" si="225"/>
        <v>#N/A</v>
      </c>
      <c r="AG169" s="2" t="e">
        <f ca="1">VLOOKUP($C169, $C$109:$V$132, MATCH(AG$136, $C$107:$V$107, 0), FALSE)</f>
        <v>#N/A</v>
      </c>
      <c r="AH169" s="2" t="e">
        <f t="shared" ref="AH169:BD169" ca="1" si="226">VLOOKUP($C169, $C$109:$V$132, MATCH(AH$136, $C$107:$V$107, 0), FALSE)</f>
        <v>#N/A</v>
      </c>
      <c r="AI169" s="2" t="e">
        <f t="shared" ca="1" si="226"/>
        <v>#N/A</v>
      </c>
      <c r="AJ169" s="2" t="e">
        <f t="shared" ca="1" si="226"/>
        <v>#N/A</v>
      </c>
      <c r="AK169" s="2" t="e">
        <f t="shared" ca="1" si="226"/>
        <v>#N/A</v>
      </c>
      <c r="AL169" s="2" t="e">
        <f t="shared" ca="1" si="226"/>
        <v>#N/A</v>
      </c>
      <c r="AM169" s="2" t="e">
        <f t="shared" ca="1" si="226"/>
        <v>#N/A</v>
      </c>
      <c r="AN169" s="2" t="e">
        <f t="shared" ca="1" si="226"/>
        <v>#N/A</v>
      </c>
      <c r="AO169" s="2" t="e">
        <f t="shared" ca="1" si="226"/>
        <v>#N/A</v>
      </c>
      <c r="AP169" s="2" t="e">
        <f t="shared" ca="1" si="226"/>
        <v>#N/A</v>
      </c>
      <c r="AQ169" s="2" t="e">
        <f t="shared" ca="1" si="226"/>
        <v>#N/A</v>
      </c>
      <c r="AR169" s="2" t="e">
        <f t="shared" ca="1" si="226"/>
        <v>#N/A</v>
      </c>
      <c r="AS169" s="2" t="e">
        <f t="shared" ca="1" si="226"/>
        <v>#N/A</v>
      </c>
      <c r="AT169" s="2" t="e">
        <f t="shared" ca="1" si="226"/>
        <v>#N/A</v>
      </c>
      <c r="AU169" s="2" t="e">
        <f t="shared" ca="1" si="226"/>
        <v>#N/A</v>
      </c>
      <c r="AV169" s="2" t="e">
        <f t="shared" ca="1" si="226"/>
        <v>#N/A</v>
      </c>
      <c r="AW169" s="2" t="e">
        <f t="shared" ca="1" si="226"/>
        <v>#N/A</v>
      </c>
      <c r="AX169" s="2" t="e">
        <f t="shared" ca="1" si="226"/>
        <v>#N/A</v>
      </c>
      <c r="AY169" s="2" t="e">
        <f t="shared" ca="1" si="226"/>
        <v>#N/A</v>
      </c>
      <c r="AZ169" s="2" t="e">
        <f t="shared" ca="1" si="226"/>
        <v>#N/A</v>
      </c>
      <c r="BA169" s="2" t="e">
        <f t="shared" ca="1" si="226"/>
        <v>#N/A</v>
      </c>
      <c r="BB169" s="2" t="e">
        <f t="shared" ca="1" si="226"/>
        <v>#N/A</v>
      </c>
      <c r="BC169" s="2" t="e">
        <f t="shared" ca="1" si="226"/>
        <v>#N/A</v>
      </c>
      <c r="BD169" s="2" t="e">
        <f t="shared" ca="1" si="226"/>
        <v>#N/A</v>
      </c>
      <c r="BS169" t="s">
        <v>2067</v>
      </c>
      <c r="BT169" t="s">
        <v>2407</v>
      </c>
      <c r="BU169"/>
      <c r="CA169"/>
    </row>
    <row r="170" spans="3:79" hidden="1" outlineLevel="1" x14ac:dyDescent="0.25">
      <c r="D170" t="str">
        <f>IF(Language="English", $BS170, $BT170)</f>
        <v>Mois avec restrictions COVID</v>
      </c>
      <c r="G170" s="2"/>
      <c r="H170" s="2"/>
      <c r="I170" s="2"/>
      <c r="J170" s="2"/>
      <c r="K170" s="2"/>
      <c r="L170" s="2"/>
      <c r="M170" s="2"/>
      <c r="N170" s="2"/>
      <c r="O170" s="2"/>
      <c r="P170" s="2"/>
      <c r="Q170" s="2"/>
      <c r="R170" s="2"/>
      <c r="S170" s="2"/>
      <c r="T170" s="2"/>
      <c r="U170" s="2">
        <f>G$57</f>
        <v>0</v>
      </c>
      <c r="V170" s="2">
        <f t="shared" ref="V170:BD170" si="227">H$57</f>
        <v>0</v>
      </c>
      <c r="W170" s="2">
        <f t="shared" si="227"/>
        <v>0</v>
      </c>
      <c r="X170" s="2">
        <f t="shared" si="227"/>
        <v>0</v>
      </c>
      <c r="Y170" s="2">
        <f t="shared" si="227"/>
        <v>0</v>
      </c>
      <c r="Z170" s="2">
        <f t="shared" si="227"/>
        <v>0</v>
      </c>
      <c r="AA170" s="2">
        <f t="shared" si="227"/>
        <v>0</v>
      </c>
      <c r="AB170" s="2">
        <f t="shared" si="227"/>
        <v>0</v>
      </c>
      <c r="AC170" s="2">
        <f t="shared" si="227"/>
        <v>0</v>
      </c>
      <c r="AD170" s="2">
        <f t="shared" si="227"/>
        <v>0</v>
      </c>
      <c r="AE170" s="2">
        <f t="shared" si="227"/>
        <v>0</v>
      </c>
      <c r="AF170" s="2">
        <f t="shared" si="227"/>
        <v>0</v>
      </c>
      <c r="AG170" s="2" t="e">
        <f t="shared" si="227"/>
        <v>#N/A</v>
      </c>
      <c r="AH170" s="2" t="e">
        <f t="shared" si="227"/>
        <v>#N/A</v>
      </c>
      <c r="AI170" s="2" t="e">
        <f t="shared" si="227"/>
        <v>#N/A</v>
      </c>
      <c r="AJ170" s="2" t="e">
        <f t="shared" si="227"/>
        <v>#N/A</v>
      </c>
      <c r="AK170" s="2" t="e">
        <f t="shared" si="227"/>
        <v>#N/A</v>
      </c>
      <c r="AL170" s="2" t="e">
        <f t="shared" si="227"/>
        <v>#N/A</v>
      </c>
      <c r="AM170" s="2" t="e">
        <f t="shared" si="227"/>
        <v>#N/A</v>
      </c>
      <c r="AN170" s="2" t="e">
        <f t="shared" si="227"/>
        <v>#N/A</v>
      </c>
      <c r="AO170" s="2" t="e">
        <f t="shared" si="227"/>
        <v>#N/A</v>
      </c>
      <c r="AP170" s="2" t="e">
        <f t="shared" si="227"/>
        <v>#N/A</v>
      </c>
      <c r="AQ170" s="2" t="e">
        <f t="shared" si="227"/>
        <v>#N/A</v>
      </c>
      <c r="AR170" s="2" t="e">
        <f t="shared" si="227"/>
        <v>#N/A</v>
      </c>
      <c r="AS170" s="2" t="e">
        <f t="shared" si="227"/>
        <v>#N/A</v>
      </c>
      <c r="AT170" s="2" t="e">
        <f t="shared" si="227"/>
        <v>#N/A</v>
      </c>
      <c r="AU170" s="2" t="e">
        <f t="shared" si="227"/>
        <v>#N/A</v>
      </c>
      <c r="AV170" s="2" t="e">
        <f t="shared" si="227"/>
        <v>#N/A</v>
      </c>
      <c r="AW170" s="2" t="e">
        <f t="shared" si="227"/>
        <v>#N/A</v>
      </c>
      <c r="AX170" s="2" t="e">
        <f t="shared" si="227"/>
        <v>#N/A</v>
      </c>
      <c r="AY170" s="2" t="e">
        <f t="shared" si="227"/>
        <v>#N/A</v>
      </c>
      <c r="AZ170" s="2" t="e">
        <f t="shared" si="227"/>
        <v>#N/A</v>
      </c>
      <c r="BA170" s="2" t="e">
        <f t="shared" si="227"/>
        <v>#N/A</v>
      </c>
      <c r="BB170" s="2" t="e">
        <f t="shared" si="227"/>
        <v>#N/A</v>
      </c>
      <c r="BC170" s="2" t="e">
        <f t="shared" si="227"/>
        <v>#N/A</v>
      </c>
      <c r="BD170" s="2" t="e">
        <f t="shared" si="227"/>
        <v>#N/A</v>
      </c>
      <c r="BS170" t="s">
        <v>2068</v>
      </c>
      <c r="BT170" t="s">
        <v>2402</v>
      </c>
      <c r="BU170"/>
      <c r="CA170"/>
    </row>
    <row r="171" spans="3:79" hidden="1" outlineLevel="1" x14ac:dyDescent="0.25">
      <c r="BS171"/>
      <c r="BT171"/>
    </row>
    <row r="172" spans="3:79" hidden="1" outlineLevel="1" x14ac:dyDescent="0.25">
      <c r="G172" t="e">
        <f t="shared" ref="G172:S172" ca="1" si="228">G$107</f>
        <v>#N/A</v>
      </c>
      <c r="H172" t="e">
        <f t="shared" ca="1" si="228"/>
        <v>#N/A</v>
      </c>
      <c r="I172" t="e">
        <f t="shared" ca="1" si="228"/>
        <v>#N/A</v>
      </c>
      <c r="J172" t="e">
        <f t="shared" ca="1" si="228"/>
        <v>#N/A</v>
      </c>
      <c r="K172" t="e">
        <f t="shared" ca="1" si="228"/>
        <v>#N/A</v>
      </c>
      <c r="L172" t="e">
        <f t="shared" ca="1" si="228"/>
        <v>#N/A</v>
      </c>
      <c r="M172" t="e">
        <f t="shared" ca="1" si="228"/>
        <v>#N/A</v>
      </c>
      <c r="N172" t="e">
        <f t="shared" ca="1" si="228"/>
        <v>#N/A</v>
      </c>
      <c r="O172" t="e">
        <f t="shared" ca="1" si="228"/>
        <v>#N/A</v>
      </c>
      <c r="P172" t="e">
        <f t="shared" ca="1" si="228"/>
        <v>#N/A</v>
      </c>
      <c r="Q172" t="e">
        <f t="shared" ca="1" si="228"/>
        <v>#N/A</v>
      </c>
      <c r="R172" t="e">
        <f t="shared" ca="1" si="228"/>
        <v>#N/A</v>
      </c>
      <c r="S172" t="e">
        <f t="shared" ca="1" si="228"/>
        <v>#N/A</v>
      </c>
      <c r="T172" t="e">
        <f ca="1">T$107</f>
        <v>#N/A</v>
      </c>
      <c r="U172" s="24" t="str">
        <f t="shared" ref="U172:AP172" si="229">G$25</f>
        <v>Jan2019</v>
      </c>
      <c r="V172" s="24" t="str">
        <f t="shared" si="229"/>
        <v>Feb2019</v>
      </c>
      <c r="W172" s="24" t="str">
        <f t="shared" si="229"/>
        <v>Mar2019</v>
      </c>
      <c r="X172" s="24" t="str">
        <f t="shared" si="229"/>
        <v>Apr2019</v>
      </c>
      <c r="Y172" s="24" t="str">
        <f t="shared" si="229"/>
        <v>May2019</v>
      </c>
      <c r="Z172" s="24" t="str">
        <f t="shared" si="229"/>
        <v>Jun2019</v>
      </c>
      <c r="AA172" s="24" t="str">
        <f t="shared" si="229"/>
        <v>Jul2019</v>
      </c>
      <c r="AB172" s="24" t="str">
        <f t="shared" si="229"/>
        <v>Aug2019</v>
      </c>
      <c r="AC172" s="24" t="str">
        <f t="shared" si="229"/>
        <v>Sep2019</v>
      </c>
      <c r="AD172" s="24" t="str">
        <f t="shared" si="229"/>
        <v>Oct2019</v>
      </c>
      <c r="AE172" s="24" t="str">
        <f t="shared" si="229"/>
        <v>Nov2019</v>
      </c>
      <c r="AF172" s="24" t="str">
        <f t="shared" si="229"/>
        <v>Dec2019</v>
      </c>
      <c r="AG172" s="24" t="str">
        <f t="shared" si="229"/>
        <v>Jan2020</v>
      </c>
      <c r="AH172" s="24" t="str">
        <f t="shared" si="229"/>
        <v>Feb2020</v>
      </c>
      <c r="AI172" s="24" t="str">
        <f t="shared" si="229"/>
        <v>Mar2020</v>
      </c>
      <c r="AJ172" s="24" t="str">
        <f t="shared" si="229"/>
        <v>Apr2020</v>
      </c>
      <c r="AK172" s="24" t="str">
        <f t="shared" si="229"/>
        <v>May2020</v>
      </c>
      <c r="AL172" s="24" t="str">
        <f t="shared" si="229"/>
        <v>Jun2020</v>
      </c>
      <c r="AM172" s="24" t="str">
        <f t="shared" si="229"/>
        <v>Jul2020</v>
      </c>
      <c r="AN172" s="24" t="str">
        <f t="shared" si="229"/>
        <v>Aug2020</v>
      </c>
      <c r="AO172" s="24" t="str">
        <f t="shared" si="229"/>
        <v>Sep2020</v>
      </c>
      <c r="AP172" s="24" t="str">
        <f t="shared" si="229"/>
        <v>Oct2020</v>
      </c>
      <c r="AQ172" s="24" t="str">
        <f t="shared" ref="AQ172:AR172" si="230">Q$25</f>
        <v>Nov2019</v>
      </c>
      <c r="AR172" s="24" t="str">
        <f t="shared" si="230"/>
        <v>Dec2019</v>
      </c>
      <c r="AS172" s="24" t="str">
        <f t="shared" ref="AS172:BD172" si="231">AE$25</f>
        <v>Jan2021</v>
      </c>
      <c r="AT172" s="24" t="str">
        <f t="shared" si="231"/>
        <v>Feb2021</v>
      </c>
      <c r="AU172" s="24" t="str">
        <f t="shared" si="231"/>
        <v>Mar2021</v>
      </c>
      <c r="AV172" s="24" t="str">
        <f t="shared" si="231"/>
        <v>Apr2021</v>
      </c>
      <c r="AW172" s="24" t="str">
        <f t="shared" si="231"/>
        <v>May2021</v>
      </c>
      <c r="AX172" s="24" t="str">
        <f t="shared" si="231"/>
        <v>Jun2021</v>
      </c>
      <c r="AY172" s="24" t="str">
        <f t="shared" si="231"/>
        <v>Jul2021</v>
      </c>
      <c r="AZ172" s="24" t="str">
        <f t="shared" si="231"/>
        <v>Aug2021</v>
      </c>
      <c r="BA172" s="24" t="str">
        <f t="shared" si="231"/>
        <v>Sep2021</v>
      </c>
      <c r="BB172" s="24" t="str">
        <f t="shared" si="231"/>
        <v>Oct2021</v>
      </c>
      <c r="BC172" s="24" t="str">
        <f t="shared" si="231"/>
        <v>Nov2021</v>
      </c>
      <c r="BD172" s="24" t="str">
        <f t="shared" si="231"/>
        <v>Dec2021</v>
      </c>
      <c r="BS172"/>
      <c r="BT172"/>
      <c r="BU172"/>
      <c r="CA172"/>
    </row>
    <row r="173" spans="3:79" hidden="1" outlineLevel="1" x14ac:dyDescent="0.25">
      <c r="C173" t="str">
        <f>C118</f>
        <v>Depo Provera (DMPA)</v>
      </c>
      <c r="D173" t="str">
        <f>IF(Language="English", $BS173, $BT173)</f>
        <v>Les données mensuelles</v>
      </c>
      <c r="G173" s="2" t="e">
        <f t="shared" ref="G173:AS173" ca="1" si="232">VLOOKUP($C173, $C$25:$AP$51, MATCH(G172, $C$25:$AP$25, 0), FALSE)</f>
        <v>#N/A</v>
      </c>
      <c r="H173" s="2" t="e">
        <f t="shared" ca="1" si="232"/>
        <v>#N/A</v>
      </c>
      <c r="I173" s="2" t="e">
        <f t="shared" ca="1" si="232"/>
        <v>#N/A</v>
      </c>
      <c r="J173" s="2" t="e">
        <f t="shared" ca="1" si="232"/>
        <v>#N/A</v>
      </c>
      <c r="K173" s="2" t="e">
        <f t="shared" ca="1" si="232"/>
        <v>#N/A</v>
      </c>
      <c r="L173" s="2" t="e">
        <f t="shared" ca="1" si="232"/>
        <v>#N/A</v>
      </c>
      <c r="M173" s="2" t="e">
        <f t="shared" ca="1" si="232"/>
        <v>#N/A</v>
      </c>
      <c r="N173" s="2" t="e">
        <f t="shared" ca="1" si="232"/>
        <v>#N/A</v>
      </c>
      <c r="O173" s="2" t="e">
        <f t="shared" ca="1" si="232"/>
        <v>#N/A</v>
      </c>
      <c r="P173" s="2" t="e">
        <f t="shared" ca="1" si="232"/>
        <v>#N/A</v>
      </c>
      <c r="Q173" s="2" t="e">
        <f t="shared" ca="1" si="232"/>
        <v>#N/A</v>
      </c>
      <c r="R173" s="2" t="e">
        <f t="shared" ca="1" si="232"/>
        <v>#N/A</v>
      </c>
      <c r="S173" s="2" t="e">
        <f t="shared" ca="1" si="232"/>
        <v>#N/A</v>
      </c>
      <c r="T173" s="2" t="e">
        <f t="shared" ca="1" si="232"/>
        <v>#N/A</v>
      </c>
      <c r="U173" s="2">
        <f t="shared" si="232"/>
        <v>0</v>
      </c>
      <c r="V173" s="2">
        <f t="shared" si="232"/>
        <v>0</v>
      </c>
      <c r="W173" s="2">
        <f t="shared" si="232"/>
        <v>0</v>
      </c>
      <c r="X173" s="2">
        <f t="shared" si="232"/>
        <v>0</v>
      </c>
      <c r="Y173" s="2">
        <f t="shared" si="232"/>
        <v>0</v>
      </c>
      <c r="Z173" s="2">
        <f t="shared" si="232"/>
        <v>0</v>
      </c>
      <c r="AA173" s="2">
        <f t="shared" si="232"/>
        <v>0</v>
      </c>
      <c r="AB173" s="2">
        <f t="shared" si="232"/>
        <v>0</v>
      </c>
      <c r="AC173" s="2">
        <f t="shared" si="232"/>
        <v>0</v>
      </c>
      <c r="AD173" s="2">
        <f t="shared" si="232"/>
        <v>0</v>
      </c>
      <c r="AE173" s="2">
        <f t="shared" si="232"/>
        <v>0</v>
      </c>
      <c r="AF173" s="2">
        <f t="shared" si="232"/>
        <v>0</v>
      </c>
      <c r="AG173" s="2">
        <f t="shared" si="232"/>
        <v>0</v>
      </c>
      <c r="AH173" s="2">
        <f t="shared" si="232"/>
        <v>0</v>
      </c>
      <c r="AI173" s="2">
        <f t="shared" si="232"/>
        <v>0</v>
      </c>
      <c r="AJ173" s="2">
        <f t="shared" si="232"/>
        <v>0</v>
      </c>
      <c r="AK173" s="2">
        <f t="shared" si="232"/>
        <v>0</v>
      </c>
      <c r="AL173" s="2">
        <f t="shared" si="232"/>
        <v>0</v>
      </c>
      <c r="AM173" s="2">
        <f t="shared" si="232"/>
        <v>0</v>
      </c>
      <c r="AN173" s="2">
        <f t="shared" si="232"/>
        <v>0</v>
      </c>
      <c r="AO173" s="2">
        <f t="shared" si="232"/>
        <v>0</v>
      </c>
      <c r="AP173" s="2">
        <f t="shared" si="232"/>
        <v>0</v>
      </c>
      <c r="AQ173" s="2">
        <f t="shared" si="232"/>
        <v>0</v>
      </c>
      <c r="AR173" s="2">
        <f t="shared" si="232"/>
        <v>0</v>
      </c>
      <c r="AS173" s="2">
        <f t="shared" si="232"/>
        <v>0</v>
      </c>
      <c r="AT173" s="2">
        <f t="shared" ref="AT173:AY173" si="233">VLOOKUP($C173, $C$25:$AP$51, MATCH(AT172, $C$25:$AP$25, 0), FALSE)</f>
        <v>0</v>
      </c>
      <c r="AU173" s="2">
        <f t="shared" si="233"/>
        <v>0</v>
      </c>
      <c r="AV173" s="2">
        <f t="shared" si="233"/>
        <v>0</v>
      </c>
      <c r="AW173" s="2">
        <f t="shared" si="233"/>
        <v>0</v>
      </c>
      <c r="AX173" s="2">
        <f t="shared" si="233"/>
        <v>0</v>
      </c>
      <c r="AY173" s="2">
        <f t="shared" si="233"/>
        <v>0</v>
      </c>
      <c r="AZ173" s="2">
        <f>VLOOKUP($C173, $C$25:$AP$51, MATCH(AZ172, $C$25:$AP$25, 0), FALSE)</f>
        <v>0</v>
      </c>
      <c r="BA173" s="2">
        <f>VLOOKUP($C173, $C$25:$AP$51, MATCH(BA172, $C$25:$AP$25, 0), FALSE)</f>
        <v>0</v>
      </c>
      <c r="BB173" s="2">
        <f>VLOOKUP($C173, $C$25:$AP$51, MATCH(BB172, $C$25:$AP$25, 0), FALSE)</f>
        <v>0</v>
      </c>
      <c r="BC173" s="2">
        <f>VLOOKUP($C173, $C$25:$AP$51, MATCH(BC172, $C$25:$AP$25, 0), FALSE)</f>
        <v>0</v>
      </c>
      <c r="BD173" s="2">
        <f>VLOOKUP($C173, $C$25:$AP$51, MATCH(BD172, $C$25:$AP$25, 0), FALSE)</f>
        <v>0</v>
      </c>
      <c r="BS173" t="s">
        <v>2066</v>
      </c>
      <c r="BT173" t="s">
        <v>2410</v>
      </c>
      <c r="BU173"/>
      <c r="CA173"/>
    </row>
    <row r="174" spans="3:79" hidden="1" outlineLevel="1" x14ac:dyDescent="0.25">
      <c r="C174" t="str">
        <f>C118</f>
        <v>Depo Provera (DMPA)</v>
      </c>
      <c r="D174" t="str">
        <f>IF(Language="English", $BS174, $BT174)</f>
        <v>Les données annuelles (moyenne mensuelle)</v>
      </c>
      <c r="G174" s="2" t="e">
        <f ca="1">VLOOKUP($C174, $C$109:$V$132, MATCH(G$137, $C$107:$V$107, 0), FALSE)</f>
        <v>#N/A</v>
      </c>
      <c r="H174" s="2" t="e">
        <f t="shared" ref="H174:T174" ca="1" si="234">VLOOKUP($C174, $C$109:$V$132, MATCH(H$137, $C$107:$V$107, 0), FALSE)</f>
        <v>#N/A</v>
      </c>
      <c r="I174" s="2" t="e">
        <f t="shared" ca="1" si="234"/>
        <v>#N/A</v>
      </c>
      <c r="J174" s="2" t="e">
        <f t="shared" ca="1" si="234"/>
        <v>#N/A</v>
      </c>
      <c r="K174" s="2" t="e">
        <f t="shared" ca="1" si="234"/>
        <v>#N/A</v>
      </c>
      <c r="L174" s="2" t="e">
        <f t="shared" ca="1" si="234"/>
        <v>#N/A</v>
      </c>
      <c r="M174" s="2" t="e">
        <f t="shared" ca="1" si="234"/>
        <v>#N/A</v>
      </c>
      <c r="N174" s="2" t="e">
        <f t="shared" ca="1" si="234"/>
        <v>#N/A</v>
      </c>
      <c r="O174" s="2" t="e">
        <f t="shared" ca="1" si="234"/>
        <v>#N/A</v>
      </c>
      <c r="P174" s="2" t="e">
        <f t="shared" ca="1" si="234"/>
        <v>#N/A</v>
      </c>
      <c r="Q174" s="2" t="e">
        <f t="shared" ca="1" si="234"/>
        <v>#N/A</v>
      </c>
      <c r="R174" s="2" t="e">
        <f t="shared" ca="1" si="234"/>
        <v>#N/A</v>
      </c>
      <c r="S174" s="2" t="e">
        <f t="shared" ca="1" si="234"/>
        <v>#N/A</v>
      </c>
      <c r="T174" s="2" t="e">
        <f t="shared" ca="1" si="234"/>
        <v>#N/A</v>
      </c>
      <c r="U174" s="2" t="e">
        <f ca="1">VLOOKUP($C174, $C$109:$V$132, MATCH(U$136, $C$107:$V$107, 0), FALSE)</f>
        <v>#N/A</v>
      </c>
      <c r="V174" s="2" t="e">
        <f t="shared" ref="V174:AF174" ca="1" si="235">VLOOKUP($C174, $C$109:$V$132, MATCH(V$136, $C$107:$V$107, 0), FALSE)</f>
        <v>#N/A</v>
      </c>
      <c r="W174" s="2" t="e">
        <f t="shared" ca="1" si="235"/>
        <v>#N/A</v>
      </c>
      <c r="X174" s="2" t="e">
        <f t="shared" ca="1" si="235"/>
        <v>#N/A</v>
      </c>
      <c r="Y174" s="2" t="e">
        <f t="shared" ca="1" si="235"/>
        <v>#N/A</v>
      </c>
      <c r="Z174" s="2" t="e">
        <f t="shared" ca="1" si="235"/>
        <v>#N/A</v>
      </c>
      <c r="AA174" s="2" t="e">
        <f t="shared" ca="1" si="235"/>
        <v>#N/A</v>
      </c>
      <c r="AB174" s="2" t="e">
        <f t="shared" ca="1" si="235"/>
        <v>#N/A</v>
      </c>
      <c r="AC174" s="2" t="e">
        <f t="shared" ca="1" si="235"/>
        <v>#N/A</v>
      </c>
      <c r="AD174" s="2" t="e">
        <f t="shared" ca="1" si="235"/>
        <v>#N/A</v>
      </c>
      <c r="AE174" s="2" t="e">
        <f t="shared" ca="1" si="235"/>
        <v>#N/A</v>
      </c>
      <c r="AF174" s="2" t="e">
        <f t="shared" ca="1" si="235"/>
        <v>#N/A</v>
      </c>
      <c r="AG174" s="2" t="e">
        <f ca="1">VLOOKUP($C174, $C$109:$V$132, MATCH(AG$136, $C$107:$V$107, 0), FALSE)</f>
        <v>#N/A</v>
      </c>
      <c r="AH174" s="2" t="e">
        <f t="shared" ref="AH174:BD174" ca="1" si="236">VLOOKUP($C174, $C$109:$V$132, MATCH(AH$136, $C$107:$V$107, 0), FALSE)</f>
        <v>#N/A</v>
      </c>
      <c r="AI174" s="2" t="e">
        <f t="shared" ca="1" si="236"/>
        <v>#N/A</v>
      </c>
      <c r="AJ174" s="2" t="e">
        <f t="shared" ca="1" si="236"/>
        <v>#N/A</v>
      </c>
      <c r="AK174" s="2" t="e">
        <f t="shared" ca="1" si="236"/>
        <v>#N/A</v>
      </c>
      <c r="AL174" s="2" t="e">
        <f t="shared" ca="1" si="236"/>
        <v>#N/A</v>
      </c>
      <c r="AM174" s="2" t="e">
        <f t="shared" ca="1" si="236"/>
        <v>#N/A</v>
      </c>
      <c r="AN174" s="2" t="e">
        <f t="shared" ca="1" si="236"/>
        <v>#N/A</v>
      </c>
      <c r="AO174" s="2" t="e">
        <f t="shared" ca="1" si="236"/>
        <v>#N/A</v>
      </c>
      <c r="AP174" s="2" t="e">
        <f t="shared" ca="1" si="236"/>
        <v>#N/A</v>
      </c>
      <c r="AQ174" s="2" t="e">
        <f t="shared" ca="1" si="236"/>
        <v>#N/A</v>
      </c>
      <c r="AR174" s="2" t="e">
        <f t="shared" ca="1" si="236"/>
        <v>#N/A</v>
      </c>
      <c r="AS174" s="2" t="e">
        <f t="shared" ca="1" si="236"/>
        <v>#N/A</v>
      </c>
      <c r="AT174" s="2" t="e">
        <f t="shared" ca="1" si="236"/>
        <v>#N/A</v>
      </c>
      <c r="AU174" s="2" t="e">
        <f t="shared" ca="1" si="236"/>
        <v>#N/A</v>
      </c>
      <c r="AV174" s="2" t="e">
        <f t="shared" ca="1" si="236"/>
        <v>#N/A</v>
      </c>
      <c r="AW174" s="2" t="e">
        <f t="shared" ca="1" si="236"/>
        <v>#N/A</v>
      </c>
      <c r="AX174" s="2" t="e">
        <f t="shared" ca="1" si="236"/>
        <v>#N/A</v>
      </c>
      <c r="AY174" s="2" t="e">
        <f t="shared" ca="1" si="236"/>
        <v>#N/A</v>
      </c>
      <c r="AZ174" s="2" t="e">
        <f t="shared" ca="1" si="236"/>
        <v>#N/A</v>
      </c>
      <c r="BA174" s="2" t="e">
        <f t="shared" ca="1" si="236"/>
        <v>#N/A</v>
      </c>
      <c r="BB174" s="2" t="e">
        <f t="shared" ca="1" si="236"/>
        <v>#N/A</v>
      </c>
      <c r="BC174" s="2" t="e">
        <f t="shared" ca="1" si="236"/>
        <v>#N/A</v>
      </c>
      <c r="BD174" s="2" t="e">
        <f t="shared" ca="1" si="236"/>
        <v>#N/A</v>
      </c>
      <c r="BS174" t="s">
        <v>2067</v>
      </c>
      <c r="BT174" t="s">
        <v>2407</v>
      </c>
      <c r="BU174"/>
      <c r="CA174"/>
    </row>
    <row r="175" spans="3:79" hidden="1" outlineLevel="1" x14ac:dyDescent="0.25">
      <c r="D175" t="str">
        <f>IF(Language="English", $BS175, $BT175)</f>
        <v>Mois avec restrictions COVID</v>
      </c>
      <c r="G175" s="2"/>
      <c r="H175" s="2"/>
      <c r="I175" s="2"/>
      <c r="J175" s="2"/>
      <c r="K175" s="2"/>
      <c r="L175" s="2"/>
      <c r="M175" s="2"/>
      <c r="N175" s="2"/>
      <c r="O175" s="2"/>
      <c r="P175" s="2"/>
      <c r="Q175" s="2"/>
      <c r="R175" s="2"/>
      <c r="S175" s="2"/>
      <c r="T175" s="2"/>
      <c r="U175" s="2">
        <f>G$57</f>
        <v>0</v>
      </c>
      <c r="V175" s="2">
        <f t="shared" ref="V175:BD175" si="237">H$57</f>
        <v>0</v>
      </c>
      <c r="W175" s="2">
        <f t="shared" si="237"/>
        <v>0</v>
      </c>
      <c r="X175" s="2">
        <f t="shared" si="237"/>
        <v>0</v>
      </c>
      <c r="Y175" s="2">
        <f t="shared" si="237"/>
        <v>0</v>
      </c>
      <c r="Z175" s="2">
        <f t="shared" si="237"/>
        <v>0</v>
      </c>
      <c r="AA175" s="2">
        <f t="shared" si="237"/>
        <v>0</v>
      </c>
      <c r="AB175" s="2">
        <f t="shared" si="237"/>
        <v>0</v>
      </c>
      <c r="AC175" s="2">
        <f t="shared" si="237"/>
        <v>0</v>
      </c>
      <c r="AD175" s="2">
        <f t="shared" si="237"/>
        <v>0</v>
      </c>
      <c r="AE175" s="2">
        <f t="shared" si="237"/>
        <v>0</v>
      </c>
      <c r="AF175" s="2">
        <f t="shared" si="237"/>
        <v>0</v>
      </c>
      <c r="AG175" s="2" t="e">
        <f t="shared" si="237"/>
        <v>#N/A</v>
      </c>
      <c r="AH175" s="2" t="e">
        <f t="shared" si="237"/>
        <v>#N/A</v>
      </c>
      <c r="AI175" s="2" t="e">
        <f t="shared" si="237"/>
        <v>#N/A</v>
      </c>
      <c r="AJ175" s="2" t="e">
        <f t="shared" si="237"/>
        <v>#N/A</v>
      </c>
      <c r="AK175" s="2" t="e">
        <f t="shared" si="237"/>
        <v>#N/A</v>
      </c>
      <c r="AL175" s="2" t="e">
        <f t="shared" si="237"/>
        <v>#N/A</v>
      </c>
      <c r="AM175" s="2" t="e">
        <f t="shared" si="237"/>
        <v>#N/A</v>
      </c>
      <c r="AN175" s="2" t="e">
        <f t="shared" si="237"/>
        <v>#N/A</v>
      </c>
      <c r="AO175" s="2" t="e">
        <f t="shared" si="237"/>
        <v>#N/A</v>
      </c>
      <c r="AP175" s="2" t="e">
        <f t="shared" si="237"/>
        <v>#N/A</v>
      </c>
      <c r="AQ175" s="2" t="e">
        <f t="shared" si="237"/>
        <v>#N/A</v>
      </c>
      <c r="AR175" s="2" t="e">
        <f t="shared" si="237"/>
        <v>#N/A</v>
      </c>
      <c r="AS175" s="2" t="e">
        <f t="shared" si="237"/>
        <v>#N/A</v>
      </c>
      <c r="AT175" s="2" t="e">
        <f t="shared" si="237"/>
        <v>#N/A</v>
      </c>
      <c r="AU175" s="2" t="e">
        <f t="shared" si="237"/>
        <v>#N/A</v>
      </c>
      <c r="AV175" s="2" t="e">
        <f t="shared" si="237"/>
        <v>#N/A</v>
      </c>
      <c r="AW175" s="2" t="e">
        <f t="shared" si="237"/>
        <v>#N/A</v>
      </c>
      <c r="AX175" s="2" t="e">
        <f t="shared" si="237"/>
        <v>#N/A</v>
      </c>
      <c r="AY175" s="2" t="e">
        <f t="shared" si="237"/>
        <v>#N/A</v>
      </c>
      <c r="AZ175" s="2" t="e">
        <f t="shared" si="237"/>
        <v>#N/A</v>
      </c>
      <c r="BA175" s="2" t="e">
        <f t="shared" si="237"/>
        <v>#N/A</v>
      </c>
      <c r="BB175" s="2" t="e">
        <f t="shared" si="237"/>
        <v>#N/A</v>
      </c>
      <c r="BC175" s="2" t="e">
        <f t="shared" si="237"/>
        <v>#N/A</v>
      </c>
      <c r="BD175" s="2" t="e">
        <f t="shared" si="237"/>
        <v>#N/A</v>
      </c>
      <c r="BS175" t="s">
        <v>2068</v>
      </c>
      <c r="BT175" t="s">
        <v>2402</v>
      </c>
      <c r="BU175"/>
      <c r="CA175"/>
    </row>
    <row r="176" spans="3:79" hidden="1" outlineLevel="1" x14ac:dyDescent="0.25">
      <c r="BS176"/>
      <c r="BT176"/>
    </row>
    <row r="177" spans="3:79" hidden="1" outlineLevel="1" x14ac:dyDescent="0.25">
      <c r="G177" t="e">
        <f t="shared" ref="G177:S177" ca="1" si="238">G$107</f>
        <v>#N/A</v>
      </c>
      <c r="H177" t="e">
        <f t="shared" ca="1" si="238"/>
        <v>#N/A</v>
      </c>
      <c r="I177" t="e">
        <f t="shared" ca="1" si="238"/>
        <v>#N/A</v>
      </c>
      <c r="J177" t="e">
        <f t="shared" ca="1" si="238"/>
        <v>#N/A</v>
      </c>
      <c r="K177" t="e">
        <f t="shared" ca="1" si="238"/>
        <v>#N/A</v>
      </c>
      <c r="L177" t="e">
        <f t="shared" ca="1" si="238"/>
        <v>#N/A</v>
      </c>
      <c r="M177" t="e">
        <f t="shared" ca="1" si="238"/>
        <v>#N/A</v>
      </c>
      <c r="N177" t="e">
        <f t="shared" ca="1" si="238"/>
        <v>#N/A</v>
      </c>
      <c r="O177" t="e">
        <f t="shared" ca="1" si="238"/>
        <v>#N/A</v>
      </c>
      <c r="P177" t="e">
        <f t="shared" ca="1" si="238"/>
        <v>#N/A</v>
      </c>
      <c r="Q177" t="e">
        <f t="shared" ca="1" si="238"/>
        <v>#N/A</v>
      </c>
      <c r="R177" t="e">
        <f t="shared" ca="1" si="238"/>
        <v>#N/A</v>
      </c>
      <c r="S177" t="e">
        <f t="shared" ca="1" si="238"/>
        <v>#N/A</v>
      </c>
      <c r="T177" t="e">
        <f ca="1">T$107</f>
        <v>#N/A</v>
      </c>
      <c r="U177" s="24" t="str">
        <f t="shared" ref="U177:AP177" si="239">G$25</f>
        <v>Jan2019</v>
      </c>
      <c r="V177" s="24" t="str">
        <f t="shared" si="239"/>
        <v>Feb2019</v>
      </c>
      <c r="W177" s="24" t="str">
        <f t="shared" si="239"/>
        <v>Mar2019</v>
      </c>
      <c r="X177" s="24" t="str">
        <f t="shared" si="239"/>
        <v>Apr2019</v>
      </c>
      <c r="Y177" s="24" t="str">
        <f t="shared" si="239"/>
        <v>May2019</v>
      </c>
      <c r="Z177" s="24" t="str">
        <f t="shared" si="239"/>
        <v>Jun2019</v>
      </c>
      <c r="AA177" s="24" t="str">
        <f t="shared" si="239"/>
        <v>Jul2019</v>
      </c>
      <c r="AB177" s="24" t="str">
        <f t="shared" si="239"/>
        <v>Aug2019</v>
      </c>
      <c r="AC177" s="24" t="str">
        <f t="shared" si="239"/>
        <v>Sep2019</v>
      </c>
      <c r="AD177" s="24" t="str">
        <f t="shared" si="239"/>
        <v>Oct2019</v>
      </c>
      <c r="AE177" s="24" t="str">
        <f t="shared" si="239"/>
        <v>Nov2019</v>
      </c>
      <c r="AF177" s="24" t="str">
        <f t="shared" si="239"/>
        <v>Dec2019</v>
      </c>
      <c r="AG177" s="24" t="str">
        <f t="shared" si="239"/>
        <v>Jan2020</v>
      </c>
      <c r="AH177" s="24" t="str">
        <f t="shared" si="239"/>
        <v>Feb2020</v>
      </c>
      <c r="AI177" s="24" t="str">
        <f t="shared" si="239"/>
        <v>Mar2020</v>
      </c>
      <c r="AJ177" s="24" t="str">
        <f t="shared" si="239"/>
        <v>Apr2020</v>
      </c>
      <c r="AK177" s="24" t="str">
        <f t="shared" si="239"/>
        <v>May2020</v>
      </c>
      <c r="AL177" s="24" t="str">
        <f t="shared" si="239"/>
        <v>Jun2020</v>
      </c>
      <c r="AM177" s="24" t="str">
        <f t="shared" si="239"/>
        <v>Jul2020</v>
      </c>
      <c r="AN177" s="24" t="str">
        <f t="shared" si="239"/>
        <v>Aug2020</v>
      </c>
      <c r="AO177" s="24" t="str">
        <f t="shared" si="239"/>
        <v>Sep2020</v>
      </c>
      <c r="AP177" s="24" t="str">
        <f t="shared" si="239"/>
        <v>Oct2020</v>
      </c>
      <c r="AQ177" s="24" t="str">
        <f t="shared" ref="AQ177:AR177" si="240">Q$25</f>
        <v>Nov2019</v>
      </c>
      <c r="AR177" s="24" t="str">
        <f t="shared" si="240"/>
        <v>Dec2019</v>
      </c>
      <c r="AS177" s="24" t="str">
        <f t="shared" ref="AS177:BD177" si="241">AE$25</f>
        <v>Jan2021</v>
      </c>
      <c r="AT177" s="24" t="str">
        <f t="shared" si="241"/>
        <v>Feb2021</v>
      </c>
      <c r="AU177" s="24" t="str">
        <f t="shared" si="241"/>
        <v>Mar2021</v>
      </c>
      <c r="AV177" s="24" t="str">
        <f t="shared" si="241"/>
        <v>Apr2021</v>
      </c>
      <c r="AW177" s="24" t="str">
        <f t="shared" si="241"/>
        <v>May2021</v>
      </c>
      <c r="AX177" s="24" t="str">
        <f t="shared" si="241"/>
        <v>Jun2021</v>
      </c>
      <c r="AY177" s="24" t="str">
        <f t="shared" si="241"/>
        <v>Jul2021</v>
      </c>
      <c r="AZ177" s="24" t="str">
        <f t="shared" si="241"/>
        <v>Aug2021</v>
      </c>
      <c r="BA177" s="24" t="str">
        <f t="shared" si="241"/>
        <v>Sep2021</v>
      </c>
      <c r="BB177" s="24" t="str">
        <f t="shared" si="241"/>
        <v>Oct2021</v>
      </c>
      <c r="BC177" s="24" t="str">
        <f t="shared" si="241"/>
        <v>Nov2021</v>
      </c>
      <c r="BD177" s="24" t="str">
        <f t="shared" si="241"/>
        <v>Dec2021</v>
      </c>
      <c r="BS177"/>
      <c r="BT177"/>
      <c r="BU177"/>
      <c r="CA177"/>
    </row>
    <row r="178" spans="3:79" hidden="1" outlineLevel="1" x14ac:dyDescent="0.25">
      <c r="C178" t="str">
        <f>C119</f>
        <v>Noristerat (NET-En)</v>
      </c>
      <c r="D178" t="str">
        <f>IF(Language="English", $BS178, $BT178)</f>
        <v>Les données mensuelles</v>
      </c>
      <c r="G178" s="2" t="e">
        <f t="shared" ref="G178:AS178" ca="1" si="242">VLOOKUP($C178, $C$25:$AP$51, MATCH(G177, $C$25:$AP$25, 0), FALSE)</f>
        <v>#N/A</v>
      </c>
      <c r="H178" s="2" t="e">
        <f t="shared" ca="1" si="242"/>
        <v>#N/A</v>
      </c>
      <c r="I178" s="2" t="e">
        <f t="shared" ca="1" si="242"/>
        <v>#N/A</v>
      </c>
      <c r="J178" s="2" t="e">
        <f t="shared" ca="1" si="242"/>
        <v>#N/A</v>
      </c>
      <c r="K178" s="2" t="e">
        <f t="shared" ca="1" si="242"/>
        <v>#N/A</v>
      </c>
      <c r="L178" s="2" t="e">
        <f t="shared" ca="1" si="242"/>
        <v>#N/A</v>
      </c>
      <c r="M178" s="2" t="e">
        <f t="shared" ca="1" si="242"/>
        <v>#N/A</v>
      </c>
      <c r="N178" s="2" t="e">
        <f t="shared" ca="1" si="242"/>
        <v>#N/A</v>
      </c>
      <c r="O178" s="2" t="e">
        <f t="shared" ca="1" si="242"/>
        <v>#N/A</v>
      </c>
      <c r="P178" s="2" t="e">
        <f t="shared" ca="1" si="242"/>
        <v>#N/A</v>
      </c>
      <c r="Q178" s="2" t="e">
        <f t="shared" ca="1" si="242"/>
        <v>#N/A</v>
      </c>
      <c r="R178" s="2" t="e">
        <f t="shared" ca="1" si="242"/>
        <v>#N/A</v>
      </c>
      <c r="S178" s="2" t="e">
        <f t="shared" ca="1" si="242"/>
        <v>#N/A</v>
      </c>
      <c r="T178" s="2" t="e">
        <f t="shared" ca="1" si="242"/>
        <v>#N/A</v>
      </c>
      <c r="U178" s="2">
        <f t="shared" si="242"/>
        <v>0</v>
      </c>
      <c r="V178" s="2">
        <f t="shared" si="242"/>
        <v>0</v>
      </c>
      <c r="W178" s="2">
        <f t="shared" si="242"/>
        <v>0</v>
      </c>
      <c r="X178" s="2">
        <f t="shared" si="242"/>
        <v>0</v>
      </c>
      <c r="Y178" s="2">
        <f t="shared" si="242"/>
        <v>0</v>
      </c>
      <c r="Z178" s="2">
        <f t="shared" si="242"/>
        <v>0</v>
      </c>
      <c r="AA178" s="2">
        <f t="shared" si="242"/>
        <v>0</v>
      </c>
      <c r="AB178" s="2">
        <f t="shared" si="242"/>
        <v>0</v>
      </c>
      <c r="AC178" s="2">
        <f t="shared" si="242"/>
        <v>0</v>
      </c>
      <c r="AD178" s="2">
        <f t="shared" si="242"/>
        <v>0</v>
      </c>
      <c r="AE178" s="2">
        <f t="shared" si="242"/>
        <v>0</v>
      </c>
      <c r="AF178" s="2">
        <f t="shared" si="242"/>
        <v>0</v>
      </c>
      <c r="AG178" s="2">
        <f t="shared" si="242"/>
        <v>0</v>
      </c>
      <c r="AH178" s="2">
        <f t="shared" si="242"/>
        <v>0</v>
      </c>
      <c r="AI178" s="2">
        <f t="shared" si="242"/>
        <v>0</v>
      </c>
      <c r="AJ178" s="2">
        <f t="shared" si="242"/>
        <v>0</v>
      </c>
      <c r="AK178" s="2">
        <f t="shared" si="242"/>
        <v>0</v>
      </c>
      <c r="AL178" s="2">
        <f t="shared" si="242"/>
        <v>0</v>
      </c>
      <c r="AM178" s="2">
        <f t="shared" si="242"/>
        <v>0</v>
      </c>
      <c r="AN178" s="2">
        <f t="shared" si="242"/>
        <v>0</v>
      </c>
      <c r="AO178" s="2">
        <f t="shared" si="242"/>
        <v>0</v>
      </c>
      <c r="AP178" s="2">
        <f t="shared" si="242"/>
        <v>0</v>
      </c>
      <c r="AQ178" s="2">
        <f t="shared" si="242"/>
        <v>0</v>
      </c>
      <c r="AR178" s="2">
        <f t="shared" si="242"/>
        <v>0</v>
      </c>
      <c r="AS178" s="2">
        <f t="shared" si="242"/>
        <v>0</v>
      </c>
      <c r="AT178" s="2">
        <f t="shared" ref="AT178:AY178" si="243">VLOOKUP($C178, $C$25:$AP$51, MATCH(AT177, $C$25:$AP$25, 0), FALSE)</f>
        <v>0</v>
      </c>
      <c r="AU178" s="2">
        <f t="shared" si="243"/>
        <v>0</v>
      </c>
      <c r="AV178" s="2">
        <f t="shared" si="243"/>
        <v>0</v>
      </c>
      <c r="AW178" s="2">
        <f t="shared" si="243"/>
        <v>0</v>
      </c>
      <c r="AX178" s="2">
        <f t="shared" si="243"/>
        <v>0</v>
      </c>
      <c r="AY178" s="2">
        <f t="shared" si="243"/>
        <v>0</v>
      </c>
      <c r="AZ178" s="2">
        <f>VLOOKUP($C178, $C$25:$AP$51, MATCH(AZ177, $C$25:$AP$25, 0), FALSE)</f>
        <v>0</v>
      </c>
      <c r="BA178" s="2">
        <f>VLOOKUP($C178, $C$25:$AP$51, MATCH(BA177, $C$25:$AP$25, 0), FALSE)</f>
        <v>0</v>
      </c>
      <c r="BB178" s="2">
        <f>VLOOKUP($C178, $C$25:$AP$51, MATCH(BB177, $C$25:$AP$25, 0), FALSE)</f>
        <v>0</v>
      </c>
      <c r="BC178" s="2">
        <f>VLOOKUP($C178, $C$25:$AP$51, MATCH(BC177, $C$25:$AP$25, 0), FALSE)</f>
        <v>0</v>
      </c>
      <c r="BD178" s="2">
        <f>VLOOKUP($C178, $C$25:$AP$51, MATCH(BD177, $C$25:$AP$25, 0), FALSE)</f>
        <v>0</v>
      </c>
      <c r="BS178" t="s">
        <v>2066</v>
      </c>
      <c r="BT178" t="s">
        <v>2410</v>
      </c>
      <c r="BU178"/>
      <c r="CA178"/>
    </row>
    <row r="179" spans="3:79" hidden="1" outlineLevel="1" x14ac:dyDescent="0.25">
      <c r="C179" t="str">
        <f>C119</f>
        <v>Noristerat (NET-En)</v>
      </c>
      <c r="D179" t="str">
        <f>IF(Language="English", $BS179, $BT179)</f>
        <v>Les données annuelles (moyenne mensuelle)</v>
      </c>
      <c r="G179" s="2" t="e">
        <f ca="1">VLOOKUP($C179, $C$109:$V$132, MATCH(G$137, $C$107:$V$107, 0), FALSE)</f>
        <v>#N/A</v>
      </c>
      <c r="H179" s="2" t="e">
        <f t="shared" ref="H179:T179" ca="1" si="244">VLOOKUP($C179, $C$109:$V$132, MATCH(H$137, $C$107:$V$107, 0), FALSE)</f>
        <v>#N/A</v>
      </c>
      <c r="I179" s="2" t="e">
        <f t="shared" ca="1" si="244"/>
        <v>#N/A</v>
      </c>
      <c r="J179" s="2" t="e">
        <f t="shared" ca="1" si="244"/>
        <v>#N/A</v>
      </c>
      <c r="K179" s="2" t="e">
        <f t="shared" ca="1" si="244"/>
        <v>#N/A</v>
      </c>
      <c r="L179" s="2" t="e">
        <f t="shared" ca="1" si="244"/>
        <v>#N/A</v>
      </c>
      <c r="M179" s="2" t="e">
        <f t="shared" ca="1" si="244"/>
        <v>#N/A</v>
      </c>
      <c r="N179" s="2" t="e">
        <f t="shared" ca="1" si="244"/>
        <v>#N/A</v>
      </c>
      <c r="O179" s="2" t="e">
        <f t="shared" ca="1" si="244"/>
        <v>#N/A</v>
      </c>
      <c r="P179" s="2" t="e">
        <f t="shared" ca="1" si="244"/>
        <v>#N/A</v>
      </c>
      <c r="Q179" s="2" t="e">
        <f t="shared" ca="1" si="244"/>
        <v>#N/A</v>
      </c>
      <c r="R179" s="2" t="e">
        <f t="shared" ca="1" si="244"/>
        <v>#N/A</v>
      </c>
      <c r="S179" s="2" t="e">
        <f t="shared" ca="1" si="244"/>
        <v>#N/A</v>
      </c>
      <c r="T179" s="2" t="e">
        <f t="shared" ca="1" si="244"/>
        <v>#N/A</v>
      </c>
      <c r="U179" s="2" t="e">
        <f ca="1">VLOOKUP($C179, $C$109:$V$132, MATCH(U$136, $C$107:$V$107, 0), FALSE)</f>
        <v>#N/A</v>
      </c>
      <c r="V179" s="2" t="e">
        <f t="shared" ref="V179:AF179" ca="1" si="245">VLOOKUP($C179, $C$109:$V$132, MATCH(V$136, $C$107:$V$107, 0), FALSE)</f>
        <v>#N/A</v>
      </c>
      <c r="W179" s="2" t="e">
        <f t="shared" ca="1" si="245"/>
        <v>#N/A</v>
      </c>
      <c r="X179" s="2" t="e">
        <f t="shared" ca="1" si="245"/>
        <v>#N/A</v>
      </c>
      <c r="Y179" s="2" t="e">
        <f t="shared" ca="1" si="245"/>
        <v>#N/A</v>
      </c>
      <c r="Z179" s="2" t="e">
        <f t="shared" ca="1" si="245"/>
        <v>#N/A</v>
      </c>
      <c r="AA179" s="2" t="e">
        <f t="shared" ca="1" si="245"/>
        <v>#N/A</v>
      </c>
      <c r="AB179" s="2" t="e">
        <f t="shared" ca="1" si="245"/>
        <v>#N/A</v>
      </c>
      <c r="AC179" s="2" t="e">
        <f t="shared" ca="1" si="245"/>
        <v>#N/A</v>
      </c>
      <c r="AD179" s="2" t="e">
        <f t="shared" ca="1" si="245"/>
        <v>#N/A</v>
      </c>
      <c r="AE179" s="2" t="e">
        <f t="shared" ca="1" si="245"/>
        <v>#N/A</v>
      </c>
      <c r="AF179" s="2" t="e">
        <f t="shared" ca="1" si="245"/>
        <v>#N/A</v>
      </c>
      <c r="AG179" s="2" t="e">
        <f ca="1">VLOOKUP($C179, $C$109:$V$132, MATCH(AG$136, $C$107:$V$107, 0), FALSE)</f>
        <v>#N/A</v>
      </c>
      <c r="AH179" s="2" t="e">
        <f t="shared" ref="AH179:BD179" ca="1" si="246">VLOOKUP($C179, $C$109:$V$132, MATCH(AH$136, $C$107:$V$107, 0), FALSE)</f>
        <v>#N/A</v>
      </c>
      <c r="AI179" s="2" t="e">
        <f t="shared" ca="1" si="246"/>
        <v>#N/A</v>
      </c>
      <c r="AJ179" s="2" t="e">
        <f t="shared" ca="1" si="246"/>
        <v>#N/A</v>
      </c>
      <c r="AK179" s="2" t="e">
        <f t="shared" ca="1" si="246"/>
        <v>#N/A</v>
      </c>
      <c r="AL179" s="2" t="e">
        <f t="shared" ca="1" si="246"/>
        <v>#N/A</v>
      </c>
      <c r="AM179" s="2" t="e">
        <f t="shared" ca="1" si="246"/>
        <v>#N/A</v>
      </c>
      <c r="AN179" s="2" t="e">
        <f t="shared" ca="1" si="246"/>
        <v>#N/A</v>
      </c>
      <c r="AO179" s="2" t="e">
        <f t="shared" ca="1" si="246"/>
        <v>#N/A</v>
      </c>
      <c r="AP179" s="2" t="e">
        <f t="shared" ca="1" si="246"/>
        <v>#N/A</v>
      </c>
      <c r="AQ179" s="2" t="e">
        <f t="shared" ca="1" si="246"/>
        <v>#N/A</v>
      </c>
      <c r="AR179" s="2" t="e">
        <f t="shared" ca="1" si="246"/>
        <v>#N/A</v>
      </c>
      <c r="AS179" s="2" t="e">
        <f t="shared" ca="1" si="246"/>
        <v>#N/A</v>
      </c>
      <c r="AT179" s="2" t="e">
        <f t="shared" ca="1" si="246"/>
        <v>#N/A</v>
      </c>
      <c r="AU179" s="2" t="e">
        <f t="shared" ca="1" si="246"/>
        <v>#N/A</v>
      </c>
      <c r="AV179" s="2" t="e">
        <f t="shared" ca="1" si="246"/>
        <v>#N/A</v>
      </c>
      <c r="AW179" s="2" t="e">
        <f t="shared" ca="1" si="246"/>
        <v>#N/A</v>
      </c>
      <c r="AX179" s="2" t="e">
        <f t="shared" ca="1" si="246"/>
        <v>#N/A</v>
      </c>
      <c r="AY179" s="2" t="e">
        <f t="shared" ca="1" si="246"/>
        <v>#N/A</v>
      </c>
      <c r="AZ179" s="2" t="e">
        <f t="shared" ca="1" si="246"/>
        <v>#N/A</v>
      </c>
      <c r="BA179" s="2" t="e">
        <f t="shared" ca="1" si="246"/>
        <v>#N/A</v>
      </c>
      <c r="BB179" s="2" t="e">
        <f t="shared" ca="1" si="246"/>
        <v>#N/A</v>
      </c>
      <c r="BC179" s="2" t="e">
        <f t="shared" ca="1" si="246"/>
        <v>#N/A</v>
      </c>
      <c r="BD179" s="2" t="e">
        <f t="shared" ca="1" si="246"/>
        <v>#N/A</v>
      </c>
      <c r="BS179" t="s">
        <v>2067</v>
      </c>
      <c r="BT179" t="s">
        <v>2407</v>
      </c>
      <c r="BU179"/>
      <c r="CA179"/>
    </row>
    <row r="180" spans="3:79" hidden="1" outlineLevel="1" x14ac:dyDescent="0.25">
      <c r="D180" t="str">
        <f>IF(Language="English", $BS180, $BT180)</f>
        <v>Mois avec restrictions COVID</v>
      </c>
      <c r="G180" s="2"/>
      <c r="H180" s="2"/>
      <c r="I180" s="2"/>
      <c r="J180" s="2"/>
      <c r="K180" s="2"/>
      <c r="L180" s="2"/>
      <c r="M180" s="2"/>
      <c r="N180" s="2"/>
      <c r="O180" s="2"/>
      <c r="P180" s="2"/>
      <c r="Q180" s="2"/>
      <c r="R180" s="2"/>
      <c r="S180" s="2"/>
      <c r="T180" s="2"/>
      <c r="U180" s="2">
        <f>G$57</f>
        <v>0</v>
      </c>
      <c r="V180" s="2">
        <f t="shared" ref="V180:BD180" si="247">H$57</f>
        <v>0</v>
      </c>
      <c r="W180" s="2">
        <f t="shared" si="247"/>
        <v>0</v>
      </c>
      <c r="X180" s="2">
        <f t="shared" si="247"/>
        <v>0</v>
      </c>
      <c r="Y180" s="2">
        <f t="shared" si="247"/>
        <v>0</v>
      </c>
      <c r="Z180" s="2">
        <f t="shared" si="247"/>
        <v>0</v>
      </c>
      <c r="AA180" s="2">
        <f t="shared" si="247"/>
        <v>0</v>
      </c>
      <c r="AB180" s="2">
        <f t="shared" si="247"/>
        <v>0</v>
      </c>
      <c r="AC180" s="2">
        <f t="shared" si="247"/>
        <v>0</v>
      </c>
      <c r="AD180" s="2">
        <f t="shared" si="247"/>
        <v>0</v>
      </c>
      <c r="AE180" s="2">
        <f t="shared" si="247"/>
        <v>0</v>
      </c>
      <c r="AF180" s="2">
        <f t="shared" si="247"/>
        <v>0</v>
      </c>
      <c r="AG180" s="2" t="e">
        <f t="shared" si="247"/>
        <v>#N/A</v>
      </c>
      <c r="AH180" s="2" t="e">
        <f t="shared" si="247"/>
        <v>#N/A</v>
      </c>
      <c r="AI180" s="2" t="e">
        <f t="shared" si="247"/>
        <v>#N/A</v>
      </c>
      <c r="AJ180" s="2" t="e">
        <f t="shared" si="247"/>
        <v>#N/A</v>
      </c>
      <c r="AK180" s="2" t="e">
        <f t="shared" si="247"/>
        <v>#N/A</v>
      </c>
      <c r="AL180" s="2" t="e">
        <f t="shared" si="247"/>
        <v>#N/A</v>
      </c>
      <c r="AM180" s="2" t="e">
        <f t="shared" si="247"/>
        <v>#N/A</v>
      </c>
      <c r="AN180" s="2" t="e">
        <f t="shared" si="247"/>
        <v>#N/A</v>
      </c>
      <c r="AO180" s="2" t="e">
        <f t="shared" si="247"/>
        <v>#N/A</v>
      </c>
      <c r="AP180" s="2" t="e">
        <f t="shared" si="247"/>
        <v>#N/A</v>
      </c>
      <c r="AQ180" s="2" t="e">
        <f t="shared" si="247"/>
        <v>#N/A</v>
      </c>
      <c r="AR180" s="2" t="e">
        <f t="shared" si="247"/>
        <v>#N/A</v>
      </c>
      <c r="AS180" s="2" t="e">
        <f t="shared" si="247"/>
        <v>#N/A</v>
      </c>
      <c r="AT180" s="2" t="e">
        <f t="shared" si="247"/>
        <v>#N/A</v>
      </c>
      <c r="AU180" s="2" t="e">
        <f t="shared" si="247"/>
        <v>#N/A</v>
      </c>
      <c r="AV180" s="2" t="e">
        <f t="shared" si="247"/>
        <v>#N/A</v>
      </c>
      <c r="AW180" s="2" t="e">
        <f t="shared" si="247"/>
        <v>#N/A</v>
      </c>
      <c r="AX180" s="2" t="e">
        <f t="shared" si="247"/>
        <v>#N/A</v>
      </c>
      <c r="AY180" s="2" t="e">
        <f t="shared" si="247"/>
        <v>#N/A</v>
      </c>
      <c r="AZ180" s="2" t="e">
        <f t="shared" si="247"/>
        <v>#N/A</v>
      </c>
      <c r="BA180" s="2" t="e">
        <f t="shared" si="247"/>
        <v>#N/A</v>
      </c>
      <c r="BB180" s="2" t="e">
        <f t="shared" si="247"/>
        <v>#N/A</v>
      </c>
      <c r="BC180" s="2" t="e">
        <f t="shared" si="247"/>
        <v>#N/A</v>
      </c>
      <c r="BD180" s="2" t="e">
        <f t="shared" si="247"/>
        <v>#N/A</v>
      </c>
      <c r="BS180" t="s">
        <v>2068</v>
      </c>
      <c r="BT180" t="s">
        <v>2402</v>
      </c>
      <c r="BU180"/>
      <c r="CA180"/>
    </row>
    <row r="181" spans="3:79" hidden="1" outlineLevel="1" x14ac:dyDescent="0.25">
      <c r="BS181"/>
      <c r="BT181"/>
    </row>
    <row r="182" spans="3:79" hidden="1" outlineLevel="1" x14ac:dyDescent="0.25">
      <c r="G182" t="e">
        <f t="shared" ref="G182:S182" ca="1" si="248">G$107</f>
        <v>#N/A</v>
      </c>
      <c r="H182" t="e">
        <f t="shared" ca="1" si="248"/>
        <v>#N/A</v>
      </c>
      <c r="I182" t="e">
        <f t="shared" ca="1" si="248"/>
        <v>#N/A</v>
      </c>
      <c r="J182" t="e">
        <f t="shared" ca="1" si="248"/>
        <v>#N/A</v>
      </c>
      <c r="K182" t="e">
        <f t="shared" ca="1" si="248"/>
        <v>#N/A</v>
      </c>
      <c r="L182" t="e">
        <f t="shared" ca="1" si="248"/>
        <v>#N/A</v>
      </c>
      <c r="M182" t="e">
        <f t="shared" ca="1" si="248"/>
        <v>#N/A</v>
      </c>
      <c r="N182" t="e">
        <f t="shared" ca="1" si="248"/>
        <v>#N/A</v>
      </c>
      <c r="O182" t="e">
        <f t="shared" ca="1" si="248"/>
        <v>#N/A</v>
      </c>
      <c r="P182" t="e">
        <f t="shared" ca="1" si="248"/>
        <v>#N/A</v>
      </c>
      <c r="Q182" t="e">
        <f t="shared" ca="1" si="248"/>
        <v>#N/A</v>
      </c>
      <c r="R182" t="e">
        <f t="shared" ca="1" si="248"/>
        <v>#N/A</v>
      </c>
      <c r="S182" t="e">
        <f t="shared" ca="1" si="248"/>
        <v>#N/A</v>
      </c>
      <c r="T182" t="e">
        <f ca="1">T$107</f>
        <v>#N/A</v>
      </c>
      <c r="U182" s="24" t="str">
        <f t="shared" ref="U182:AP182" si="249">G$25</f>
        <v>Jan2019</v>
      </c>
      <c r="V182" s="24" t="str">
        <f t="shared" si="249"/>
        <v>Feb2019</v>
      </c>
      <c r="W182" s="24" t="str">
        <f t="shared" si="249"/>
        <v>Mar2019</v>
      </c>
      <c r="X182" s="24" t="str">
        <f t="shared" si="249"/>
        <v>Apr2019</v>
      </c>
      <c r="Y182" s="24" t="str">
        <f t="shared" si="249"/>
        <v>May2019</v>
      </c>
      <c r="Z182" s="24" t="str">
        <f t="shared" si="249"/>
        <v>Jun2019</v>
      </c>
      <c r="AA182" s="24" t="str">
        <f t="shared" si="249"/>
        <v>Jul2019</v>
      </c>
      <c r="AB182" s="24" t="str">
        <f t="shared" si="249"/>
        <v>Aug2019</v>
      </c>
      <c r="AC182" s="24" t="str">
        <f t="shared" si="249"/>
        <v>Sep2019</v>
      </c>
      <c r="AD182" s="24" t="str">
        <f t="shared" si="249"/>
        <v>Oct2019</v>
      </c>
      <c r="AE182" s="24" t="str">
        <f t="shared" si="249"/>
        <v>Nov2019</v>
      </c>
      <c r="AF182" s="24" t="str">
        <f t="shared" si="249"/>
        <v>Dec2019</v>
      </c>
      <c r="AG182" s="24" t="str">
        <f t="shared" si="249"/>
        <v>Jan2020</v>
      </c>
      <c r="AH182" s="24" t="str">
        <f t="shared" si="249"/>
        <v>Feb2020</v>
      </c>
      <c r="AI182" s="24" t="str">
        <f t="shared" si="249"/>
        <v>Mar2020</v>
      </c>
      <c r="AJ182" s="24" t="str">
        <f t="shared" si="249"/>
        <v>Apr2020</v>
      </c>
      <c r="AK182" s="24" t="str">
        <f t="shared" si="249"/>
        <v>May2020</v>
      </c>
      <c r="AL182" s="24" t="str">
        <f t="shared" si="249"/>
        <v>Jun2020</v>
      </c>
      <c r="AM182" s="24" t="str">
        <f t="shared" si="249"/>
        <v>Jul2020</v>
      </c>
      <c r="AN182" s="24" t="str">
        <f t="shared" si="249"/>
        <v>Aug2020</v>
      </c>
      <c r="AO182" s="24" t="str">
        <f t="shared" si="249"/>
        <v>Sep2020</v>
      </c>
      <c r="AP182" s="24" t="str">
        <f t="shared" si="249"/>
        <v>Oct2020</v>
      </c>
      <c r="AQ182" s="24" t="str">
        <f t="shared" ref="AQ182:AR182" si="250">Q$25</f>
        <v>Nov2019</v>
      </c>
      <c r="AR182" s="24" t="str">
        <f t="shared" si="250"/>
        <v>Dec2019</v>
      </c>
      <c r="AS182" s="24" t="str">
        <f t="shared" ref="AS182:BD182" si="251">AE$25</f>
        <v>Jan2021</v>
      </c>
      <c r="AT182" s="24" t="str">
        <f t="shared" si="251"/>
        <v>Feb2021</v>
      </c>
      <c r="AU182" s="24" t="str">
        <f t="shared" si="251"/>
        <v>Mar2021</v>
      </c>
      <c r="AV182" s="24" t="str">
        <f t="shared" si="251"/>
        <v>Apr2021</v>
      </c>
      <c r="AW182" s="24" t="str">
        <f t="shared" si="251"/>
        <v>May2021</v>
      </c>
      <c r="AX182" s="24" t="str">
        <f t="shared" si="251"/>
        <v>Jun2021</v>
      </c>
      <c r="AY182" s="24" t="str">
        <f t="shared" si="251"/>
        <v>Jul2021</v>
      </c>
      <c r="AZ182" s="24" t="str">
        <f t="shared" si="251"/>
        <v>Aug2021</v>
      </c>
      <c r="BA182" s="24" t="str">
        <f t="shared" si="251"/>
        <v>Sep2021</v>
      </c>
      <c r="BB182" s="24" t="str">
        <f t="shared" si="251"/>
        <v>Oct2021</v>
      </c>
      <c r="BC182" s="24" t="str">
        <f t="shared" si="251"/>
        <v>Nov2021</v>
      </c>
      <c r="BD182" s="24" t="str">
        <f t="shared" si="251"/>
        <v>Dec2021</v>
      </c>
      <c r="BS182"/>
      <c r="BT182"/>
      <c r="BU182"/>
      <c r="CA182"/>
    </row>
    <row r="183" spans="3:79" hidden="1" outlineLevel="1" x14ac:dyDescent="0.25">
      <c r="C183" t="str">
        <f>C120</f>
        <v>Lunelle</v>
      </c>
      <c r="D183" t="str">
        <f>IF(Language="English", $BS183, $BT183)</f>
        <v>Les données mensuelles</v>
      </c>
      <c r="G183" s="2" t="e">
        <f t="shared" ref="G183:AS183" ca="1" si="252">VLOOKUP($C183, $C$25:$AP$51, MATCH(G182, $C$25:$AP$25, 0), FALSE)</f>
        <v>#N/A</v>
      </c>
      <c r="H183" s="2" t="e">
        <f t="shared" ca="1" si="252"/>
        <v>#N/A</v>
      </c>
      <c r="I183" s="2" t="e">
        <f t="shared" ca="1" si="252"/>
        <v>#N/A</v>
      </c>
      <c r="J183" s="2" t="e">
        <f t="shared" ca="1" si="252"/>
        <v>#N/A</v>
      </c>
      <c r="K183" s="2" t="e">
        <f t="shared" ca="1" si="252"/>
        <v>#N/A</v>
      </c>
      <c r="L183" s="2" t="e">
        <f t="shared" ca="1" si="252"/>
        <v>#N/A</v>
      </c>
      <c r="M183" s="2" t="e">
        <f t="shared" ca="1" si="252"/>
        <v>#N/A</v>
      </c>
      <c r="N183" s="2" t="e">
        <f t="shared" ca="1" si="252"/>
        <v>#N/A</v>
      </c>
      <c r="O183" s="2" t="e">
        <f t="shared" ca="1" si="252"/>
        <v>#N/A</v>
      </c>
      <c r="P183" s="2" t="e">
        <f t="shared" ca="1" si="252"/>
        <v>#N/A</v>
      </c>
      <c r="Q183" s="2" t="e">
        <f t="shared" ca="1" si="252"/>
        <v>#N/A</v>
      </c>
      <c r="R183" s="2" t="e">
        <f t="shared" ca="1" si="252"/>
        <v>#N/A</v>
      </c>
      <c r="S183" s="2" t="e">
        <f t="shared" ca="1" si="252"/>
        <v>#N/A</v>
      </c>
      <c r="T183" s="2" t="e">
        <f t="shared" ca="1" si="252"/>
        <v>#N/A</v>
      </c>
      <c r="U183" s="2">
        <f t="shared" si="252"/>
        <v>0</v>
      </c>
      <c r="V183" s="2">
        <f t="shared" si="252"/>
        <v>0</v>
      </c>
      <c r="W183" s="2">
        <f t="shared" si="252"/>
        <v>0</v>
      </c>
      <c r="X183" s="2">
        <f t="shared" si="252"/>
        <v>0</v>
      </c>
      <c r="Y183" s="2">
        <f t="shared" si="252"/>
        <v>0</v>
      </c>
      <c r="Z183" s="2">
        <f t="shared" si="252"/>
        <v>0</v>
      </c>
      <c r="AA183" s="2">
        <f t="shared" si="252"/>
        <v>0</v>
      </c>
      <c r="AB183" s="2">
        <f t="shared" si="252"/>
        <v>0</v>
      </c>
      <c r="AC183" s="2">
        <f t="shared" si="252"/>
        <v>0</v>
      </c>
      <c r="AD183" s="2">
        <f t="shared" si="252"/>
        <v>0</v>
      </c>
      <c r="AE183" s="2">
        <f t="shared" si="252"/>
        <v>0</v>
      </c>
      <c r="AF183" s="2">
        <f t="shared" si="252"/>
        <v>0</v>
      </c>
      <c r="AG183" s="2">
        <f t="shared" si="252"/>
        <v>0</v>
      </c>
      <c r="AH183" s="2">
        <f t="shared" si="252"/>
        <v>0</v>
      </c>
      <c r="AI183" s="2">
        <f t="shared" si="252"/>
        <v>0</v>
      </c>
      <c r="AJ183" s="2">
        <f t="shared" si="252"/>
        <v>0</v>
      </c>
      <c r="AK183" s="2">
        <f t="shared" si="252"/>
        <v>0</v>
      </c>
      <c r="AL183" s="2">
        <f t="shared" si="252"/>
        <v>0</v>
      </c>
      <c r="AM183" s="2">
        <f t="shared" si="252"/>
        <v>0</v>
      </c>
      <c r="AN183" s="2">
        <f t="shared" si="252"/>
        <v>0</v>
      </c>
      <c r="AO183" s="2">
        <f t="shared" si="252"/>
        <v>0</v>
      </c>
      <c r="AP183" s="2">
        <f t="shared" si="252"/>
        <v>0</v>
      </c>
      <c r="AQ183" s="2">
        <f t="shared" si="252"/>
        <v>0</v>
      </c>
      <c r="AR183" s="2">
        <f t="shared" si="252"/>
        <v>0</v>
      </c>
      <c r="AS183" s="2">
        <f t="shared" si="252"/>
        <v>0</v>
      </c>
      <c r="AT183" s="2">
        <f t="shared" ref="AT183:AY183" si="253">VLOOKUP($C183, $C$25:$AP$51, MATCH(AT182, $C$25:$AP$25, 0), FALSE)</f>
        <v>0</v>
      </c>
      <c r="AU183" s="2">
        <f t="shared" si="253"/>
        <v>0</v>
      </c>
      <c r="AV183" s="2">
        <f t="shared" si="253"/>
        <v>0</v>
      </c>
      <c r="AW183" s="2">
        <f t="shared" si="253"/>
        <v>0</v>
      </c>
      <c r="AX183" s="2">
        <f t="shared" si="253"/>
        <v>0</v>
      </c>
      <c r="AY183" s="2">
        <f t="shared" si="253"/>
        <v>0</v>
      </c>
      <c r="AZ183" s="2">
        <f>VLOOKUP($C183, $C$25:$AP$51, MATCH(AZ182, $C$25:$AP$25, 0), FALSE)</f>
        <v>0</v>
      </c>
      <c r="BA183" s="2">
        <f>VLOOKUP($C183, $C$25:$AP$51, MATCH(BA182, $C$25:$AP$25, 0), FALSE)</f>
        <v>0</v>
      </c>
      <c r="BB183" s="2">
        <f>VLOOKUP($C183, $C$25:$AP$51, MATCH(BB182, $C$25:$AP$25, 0), FALSE)</f>
        <v>0</v>
      </c>
      <c r="BC183" s="2">
        <f>VLOOKUP($C183, $C$25:$AP$51, MATCH(BC182, $C$25:$AP$25, 0), FALSE)</f>
        <v>0</v>
      </c>
      <c r="BD183" s="2">
        <f>VLOOKUP($C183, $C$25:$AP$51, MATCH(BD182, $C$25:$AP$25, 0), FALSE)</f>
        <v>0</v>
      </c>
      <c r="BS183" t="s">
        <v>2066</v>
      </c>
      <c r="BT183" t="s">
        <v>2410</v>
      </c>
      <c r="BU183"/>
      <c r="CA183"/>
    </row>
    <row r="184" spans="3:79" hidden="1" outlineLevel="1" x14ac:dyDescent="0.25">
      <c r="C184" t="str">
        <f>C120</f>
        <v>Lunelle</v>
      </c>
      <c r="D184" t="str">
        <f>IF(Language="English", $BS184, $BT184)</f>
        <v>Les données annuelles (moyenne mensuelle)</v>
      </c>
      <c r="G184" s="2" t="e">
        <f ca="1">VLOOKUP($C184, $C$109:$V$132, MATCH(G$137, $C$107:$V$107, 0), FALSE)</f>
        <v>#N/A</v>
      </c>
      <c r="H184" s="2" t="e">
        <f t="shared" ref="H184:T184" ca="1" si="254">VLOOKUP($C184, $C$109:$V$132, MATCH(H$137, $C$107:$V$107, 0), FALSE)</f>
        <v>#N/A</v>
      </c>
      <c r="I184" s="2" t="e">
        <f t="shared" ca="1" si="254"/>
        <v>#N/A</v>
      </c>
      <c r="J184" s="2" t="e">
        <f t="shared" ca="1" si="254"/>
        <v>#N/A</v>
      </c>
      <c r="K184" s="2" t="e">
        <f t="shared" ca="1" si="254"/>
        <v>#N/A</v>
      </c>
      <c r="L184" s="2" t="e">
        <f t="shared" ca="1" si="254"/>
        <v>#N/A</v>
      </c>
      <c r="M184" s="2" t="e">
        <f t="shared" ca="1" si="254"/>
        <v>#N/A</v>
      </c>
      <c r="N184" s="2" t="e">
        <f t="shared" ca="1" si="254"/>
        <v>#N/A</v>
      </c>
      <c r="O184" s="2" t="e">
        <f t="shared" ca="1" si="254"/>
        <v>#N/A</v>
      </c>
      <c r="P184" s="2" t="e">
        <f t="shared" ca="1" si="254"/>
        <v>#N/A</v>
      </c>
      <c r="Q184" s="2" t="e">
        <f t="shared" ca="1" si="254"/>
        <v>#N/A</v>
      </c>
      <c r="R184" s="2" t="e">
        <f t="shared" ca="1" si="254"/>
        <v>#N/A</v>
      </c>
      <c r="S184" s="2" t="e">
        <f t="shared" ca="1" si="254"/>
        <v>#N/A</v>
      </c>
      <c r="T184" s="2" t="e">
        <f t="shared" ca="1" si="254"/>
        <v>#N/A</v>
      </c>
      <c r="U184" s="2" t="e">
        <f ca="1">VLOOKUP($C184, $C$109:$V$132, MATCH(U$136, $C$107:$V$107, 0), FALSE)</f>
        <v>#N/A</v>
      </c>
      <c r="V184" s="2" t="e">
        <f t="shared" ref="V184:AF184" ca="1" si="255">VLOOKUP($C184, $C$109:$V$132, MATCH(V$136, $C$107:$V$107, 0), FALSE)</f>
        <v>#N/A</v>
      </c>
      <c r="W184" s="2" t="e">
        <f t="shared" ca="1" si="255"/>
        <v>#N/A</v>
      </c>
      <c r="X184" s="2" t="e">
        <f t="shared" ca="1" si="255"/>
        <v>#N/A</v>
      </c>
      <c r="Y184" s="2" t="e">
        <f t="shared" ca="1" si="255"/>
        <v>#N/A</v>
      </c>
      <c r="Z184" s="2" t="e">
        <f t="shared" ca="1" si="255"/>
        <v>#N/A</v>
      </c>
      <c r="AA184" s="2" t="e">
        <f t="shared" ca="1" si="255"/>
        <v>#N/A</v>
      </c>
      <c r="AB184" s="2" t="e">
        <f t="shared" ca="1" si="255"/>
        <v>#N/A</v>
      </c>
      <c r="AC184" s="2" t="e">
        <f t="shared" ca="1" si="255"/>
        <v>#N/A</v>
      </c>
      <c r="AD184" s="2" t="e">
        <f t="shared" ca="1" si="255"/>
        <v>#N/A</v>
      </c>
      <c r="AE184" s="2" t="e">
        <f t="shared" ca="1" si="255"/>
        <v>#N/A</v>
      </c>
      <c r="AF184" s="2" t="e">
        <f t="shared" ca="1" si="255"/>
        <v>#N/A</v>
      </c>
      <c r="AG184" s="2" t="e">
        <f ca="1">VLOOKUP($C184, $C$109:$V$132, MATCH(AG$136, $C$107:$V$107, 0), FALSE)</f>
        <v>#N/A</v>
      </c>
      <c r="AH184" s="2" t="e">
        <f t="shared" ref="AH184:BD184" ca="1" si="256">VLOOKUP($C184, $C$109:$V$132, MATCH(AH$136, $C$107:$V$107, 0), FALSE)</f>
        <v>#N/A</v>
      </c>
      <c r="AI184" s="2" t="e">
        <f t="shared" ca="1" si="256"/>
        <v>#N/A</v>
      </c>
      <c r="AJ184" s="2" t="e">
        <f t="shared" ca="1" si="256"/>
        <v>#N/A</v>
      </c>
      <c r="AK184" s="2" t="e">
        <f t="shared" ca="1" si="256"/>
        <v>#N/A</v>
      </c>
      <c r="AL184" s="2" t="e">
        <f t="shared" ca="1" si="256"/>
        <v>#N/A</v>
      </c>
      <c r="AM184" s="2" t="e">
        <f t="shared" ca="1" si="256"/>
        <v>#N/A</v>
      </c>
      <c r="AN184" s="2" t="e">
        <f t="shared" ca="1" si="256"/>
        <v>#N/A</v>
      </c>
      <c r="AO184" s="2" t="e">
        <f t="shared" ca="1" si="256"/>
        <v>#N/A</v>
      </c>
      <c r="AP184" s="2" t="e">
        <f t="shared" ca="1" si="256"/>
        <v>#N/A</v>
      </c>
      <c r="AQ184" s="2" t="e">
        <f t="shared" ca="1" si="256"/>
        <v>#N/A</v>
      </c>
      <c r="AR184" s="2" t="e">
        <f t="shared" ca="1" si="256"/>
        <v>#N/A</v>
      </c>
      <c r="AS184" s="2" t="e">
        <f t="shared" ca="1" si="256"/>
        <v>#N/A</v>
      </c>
      <c r="AT184" s="2" t="e">
        <f t="shared" ca="1" si="256"/>
        <v>#N/A</v>
      </c>
      <c r="AU184" s="2" t="e">
        <f t="shared" ca="1" si="256"/>
        <v>#N/A</v>
      </c>
      <c r="AV184" s="2" t="e">
        <f t="shared" ca="1" si="256"/>
        <v>#N/A</v>
      </c>
      <c r="AW184" s="2" t="e">
        <f t="shared" ca="1" si="256"/>
        <v>#N/A</v>
      </c>
      <c r="AX184" s="2" t="e">
        <f t="shared" ca="1" si="256"/>
        <v>#N/A</v>
      </c>
      <c r="AY184" s="2" t="e">
        <f t="shared" ca="1" si="256"/>
        <v>#N/A</v>
      </c>
      <c r="AZ184" s="2" t="e">
        <f t="shared" ca="1" si="256"/>
        <v>#N/A</v>
      </c>
      <c r="BA184" s="2" t="e">
        <f t="shared" ca="1" si="256"/>
        <v>#N/A</v>
      </c>
      <c r="BB184" s="2" t="e">
        <f t="shared" ca="1" si="256"/>
        <v>#N/A</v>
      </c>
      <c r="BC184" s="2" t="e">
        <f t="shared" ca="1" si="256"/>
        <v>#N/A</v>
      </c>
      <c r="BD184" s="2" t="e">
        <f t="shared" ca="1" si="256"/>
        <v>#N/A</v>
      </c>
      <c r="BS184" t="s">
        <v>2067</v>
      </c>
      <c r="BT184" t="s">
        <v>2407</v>
      </c>
      <c r="BU184"/>
      <c r="CA184"/>
    </row>
    <row r="185" spans="3:79" hidden="1" outlineLevel="1" x14ac:dyDescent="0.25">
      <c r="D185" t="str">
        <f>IF(Language="English", $BS185, $BT185)</f>
        <v>Mois avec restrictions COVID</v>
      </c>
      <c r="G185" s="2"/>
      <c r="H185" s="2"/>
      <c r="I185" s="2"/>
      <c r="J185" s="2"/>
      <c r="K185" s="2"/>
      <c r="L185" s="2"/>
      <c r="M185" s="2"/>
      <c r="N185" s="2"/>
      <c r="O185" s="2"/>
      <c r="P185" s="2"/>
      <c r="Q185" s="2"/>
      <c r="R185" s="2"/>
      <c r="S185" s="2"/>
      <c r="T185" s="2"/>
      <c r="U185" s="2">
        <f>G$57</f>
        <v>0</v>
      </c>
      <c r="V185" s="2">
        <f t="shared" ref="V185:BD185" si="257">H$57</f>
        <v>0</v>
      </c>
      <c r="W185" s="2">
        <f t="shared" si="257"/>
        <v>0</v>
      </c>
      <c r="X185" s="2">
        <f t="shared" si="257"/>
        <v>0</v>
      </c>
      <c r="Y185" s="2">
        <f t="shared" si="257"/>
        <v>0</v>
      </c>
      <c r="Z185" s="2">
        <f t="shared" si="257"/>
        <v>0</v>
      </c>
      <c r="AA185" s="2">
        <f t="shared" si="257"/>
        <v>0</v>
      </c>
      <c r="AB185" s="2">
        <f t="shared" si="257"/>
        <v>0</v>
      </c>
      <c r="AC185" s="2">
        <f t="shared" si="257"/>
        <v>0</v>
      </c>
      <c r="AD185" s="2">
        <f t="shared" si="257"/>
        <v>0</v>
      </c>
      <c r="AE185" s="2">
        <f t="shared" si="257"/>
        <v>0</v>
      </c>
      <c r="AF185" s="2">
        <f t="shared" si="257"/>
        <v>0</v>
      </c>
      <c r="AG185" s="2" t="e">
        <f t="shared" si="257"/>
        <v>#N/A</v>
      </c>
      <c r="AH185" s="2" t="e">
        <f t="shared" si="257"/>
        <v>#N/A</v>
      </c>
      <c r="AI185" s="2" t="e">
        <f t="shared" si="257"/>
        <v>#N/A</v>
      </c>
      <c r="AJ185" s="2" t="e">
        <f t="shared" si="257"/>
        <v>#N/A</v>
      </c>
      <c r="AK185" s="2" t="e">
        <f t="shared" si="257"/>
        <v>#N/A</v>
      </c>
      <c r="AL185" s="2" t="e">
        <f t="shared" si="257"/>
        <v>#N/A</v>
      </c>
      <c r="AM185" s="2" t="e">
        <f t="shared" si="257"/>
        <v>#N/A</v>
      </c>
      <c r="AN185" s="2" t="e">
        <f t="shared" si="257"/>
        <v>#N/A</v>
      </c>
      <c r="AO185" s="2" t="e">
        <f t="shared" si="257"/>
        <v>#N/A</v>
      </c>
      <c r="AP185" s="2" t="e">
        <f t="shared" si="257"/>
        <v>#N/A</v>
      </c>
      <c r="AQ185" s="2" t="e">
        <f t="shared" si="257"/>
        <v>#N/A</v>
      </c>
      <c r="AR185" s="2" t="e">
        <f t="shared" si="257"/>
        <v>#N/A</v>
      </c>
      <c r="AS185" s="2" t="e">
        <f t="shared" si="257"/>
        <v>#N/A</v>
      </c>
      <c r="AT185" s="2" t="e">
        <f t="shared" si="257"/>
        <v>#N/A</v>
      </c>
      <c r="AU185" s="2" t="e">
        <f t="shared" si="257"/>
        <v>#N/A</v>
      </c>
      <c r="AV185" s="2" t="e">
        <f t="shared" si="257"/>
        <v>#N/A</v>
      </c>
      <c r="AW185" s="2" t="e">
        <f t="shared" si="257"/>
        <v>#N/A</v>
      </c>
      <c r="AX185" s="2" t="e">
        <f t="shared" si="257"/>
        <v>#N/A</v>
      </c>
      <c r="AY185" s="2" t="e">
        <f t="shared" si="257"/>
        <v>#N/A</v>
      </c>
      <c r="AZ185" s="2" t="e">
        <f t="shared" si="257"/>
        <v>#N/A</v>
      </c>
      <c r="BA185" s="2" t="e">
        <f t="shared" si="257"/>
        <v>#N/A</v>
      </c>
      <c r="BB185" s="2" t="e">
        <f t="shared" si="257"/>
        <v>#N/A</v>
      </c>
      <c r="BC185" s="2" t="e">
        <f t="shared" si="257"/>
        <v>#N/A</v>
      </c>
      <c r="BD185" s="2" t="e">
        <f t="shared" si="257"/>
        <v>#N/A</v>
      </c>
      <c r="BS185" t="s">
        <v>2068</v>
      </c>
      <c r="BT185" t="s">
        <v>2402</v>
      </c>
      <c r="BU185"/>
      <c r="CA185"/>
    </row>
    <row r="186" spans="3:79" hidden="1" outlineLevel="1" x14ac:dyDescent="0.25">
      <c r="BS186"/>
      <c r="BT186"/>
    </row>
    <row r="187" spans="3:79" hidden="1" outlineLevel="1" x14ac:dyDescent="0.25">
      <c r="G187" t="e">
        <f t="shared" ref="G187:S187" ca="1" si="258">G$107</f>
        <v>#N/A</v>
      </c>
      <c r="H187" t="e">
        <f t="shared" ca="1" si="258"/>
        <v>#N/A</v>
      </c>
      <c r="I187" t="e">
        <f t="shared" ca="1" si="258"/>
        <v>#N/A</v>
      </c>
      <c r="J187" t="e">
        <f t="shared" ca="1" si="258"/>
        <v>#N/A</v>
      </c>
      <c r="K187" t="e">
        <f t="shared" ca="1" si="258"/>
        <v>#N/A</v>
      </c>
      <c r="L187" t="e">
        <f t="shared" ca="1" si="258"/>
        <v>#N/A</v>
      </c>
      <c r="M187" t="e">
        <f t="shared" ca="1" si="258"/>
        <v>#N/A</v>
      </c>
      <c r="N187" t="e">
        <f t="shared" ca="1" si="258"/>
        <v>#N/A</v>
      </c>
      <c r="O187" t="e">
        <f t="shared" ca="1" si="258"/>
        <v>#N/A</v>
      </c>
      <c r="P187" t="e">
        <f t="shared" ca="1" si="258"/>
        <v>#N/A</v>
      </c>
      <c r="Q187" t="e">
        <f t="shared" ca="1" si="258"/>
        <v>#N/A</v>
      </c>
      <c r="R187" t="e">
        <f t="shared" ca="1" si="258"/>
        <v>#N/A</v>
      </c>
      <c r="S187" t="e">
        <f t="shared" ca="1" si="258"/>
        <v>#N/A</v>
      </c>
      <c r="T187" t="e">
        <f ca="1">T$107</f>
        <v>#N/A</v>
      </c>
      <c r="U187" s="24" t="str">
        <f t="shared" ref="U187:AP187" si="259">G$25</f>
        <v>Jan2019</v>
      </c>
      <c r="V187" s="24" t="str">
        <f t="shared" si="259"/>
        <v>Feb2019</v>
      </c>
      <c r="W187" s="24" t="str">
        <f t="shared" si="259"/>
        <v>Mar2019</v>
      </c>
      <c r="X187" s="24" t="str">
        <f t="shared" si="259"/>
        <v>Apr2019</v>
      </c>
      <c r="Y187" s="24" t="str">
        <f t="shared" si="259"/>
        <v>May2019</v>
      </c>
      <c r="Z187" s="24" t="str">
        <f t="shared" si="259"/>
        <v>Jun2019</v>
      </c>
      <c r="AA187" s="24" t="str">
        <f t="shared" si="259"/>
        <v>Jul2019</v>
      </c>
      <c r="AB187" s="24" t="str">
        <f t="shared" si="259"/>
        <v>Aug2019</v>
      </c>
      <c r="AC187" s="24" t="str">
        <f t="shared" si="259"/>
        <v>Sep2019</v>
      </c>
      <c r="AD187" s="24" t="str">
        <f t="shared" si="259"/>
        <v>Oct2019</v>
      </c>
      <c r="AE187" s="24" t="str">
        <f t="shared" si="259"/>
        <v>Nov2019</v>
      </c>
      <c r="AF187" s="24" t="str">
        <f t="shared" si="259"/>
        <v>Dec2019</v>
      </c>
      <c r="AG187" s="24" t="str">
        <f t="shared" si="259"/>
        <v>Jan2020</v>
      </c>
      <c r="AH187" s="24" t="str">
        <f t="shared" si="259"/>
        <v>Feb2020</v>
      </c>
      <c r="AI187" s="24" t="str">
        <f t="shared" si="259"/>
        <v>Mar2020</v>
      </c>
      <c r="AJ187" s="24" t="str">
        <f t="shared" si="259"/>
        <v>Apr2020</v>
      </c>
      <c r="AK187" s="24" t="str">
        <f t="shared" si="259"/>
        <v>May2020</v>
      </c>
      <c r="AL187" s="24" t="str">
        <f t="shared" si="259"/>
        <v>Jun2020</v>
      </c>
      <c r="AM187" s="24" t="str">
        <f t="shared" si="259"/>
        <v>Jul2020</v>
      </c>
      <c r="AN187" s="24" t="str">
        <f t="shared" si="259"/>
        <v>Aug2020</v>
      </c>
      <c r="AO187" s="24" t="str">
        <f t="shared" si="259"/>
        <v>Sep2020</v>
      </c>
      <c r="AP187" s="24" t="str">
        <f t="shared" si="259"/>
        <v>Oct2020</v>
      </c>
      <c r="AQ187" s="24" t="str">
        <f t="shared" ref="AQ187:AR187" si="260">Q$25</f>
        <v>Nov2019</v>
      </c>
      <c r="AR187" s="24" t="str">
        <f t="shared" si="260"/>
        <v>Dec2019</v>
      </c>
      <c r="AS187" s="24" t="str">
        <f t="shared" ref="AS187:BD187" si="261">AE$25</f>
        <v>Jan2021</v>
      </c>
      <c r="AT187" s="24" t="str">
        <f t="shared" si="261"/>
        <v>Feb2021</v>
      </c>
      <c r="AU187" s="24" t="str">
        <f t="shared" si="261"/>
        <v>Mar2021</v>
      </c>
      <c r="AV187" s="24" t="str">
        <f t="shared" si="261"/>
        <v>Apr2021</v>
      </c>
      <c r="AW187" s="24" t="str">
        <f t="shared" si="261"/>
        <v>May2021</v>
      </c>
      <c r="AX187" s="24" t="str">
        <f t="shared" si="261"/>
        <v>Jun2021</v>
      </c>
      <c r="AY187" s="24" t="str">
        <f t="shared" si="261"/>
        <v>Jul2021</v>
      </c>
      <c r="AZ187" s="24" t="str">
        <f t="shared" si="261"/>
        <v>Aug2021</v>
      </c>
      <c r="BA187" s="24" t="str">
        <f t="shared" si="261"/>
        <v>Sep2021</v>
      </c>
      <c r="BB187" s="24" t="str">
        <f t="shared" si="261"/>
        <v>Oct2021</v>
      </c>
      <c r="BC187" s="24" t="str">
        <f t="shared" si="261"/>
        <v>Nov2021</v>
      </c>
      <c r="BD187" s="24" t="str">
        <f t="shared" si="261"/>
        <v>Dec2021</v>
      </c>
      <c r="BS187"/>
      <c r="BT187"/>
      <c r="BU187"/>
      <c r="CA187"/>
    </row>
    <row r="188" spans="3:79" hidden="1" outlineLevel="1" x14ac:dyDescent="0.25">
      <c r="C188" t="str">
        <f>C121</f>
        <v>Sayana Press</v>
      </c>
      <c r="D188" t="str">
        <f>IF(Language="English", $BS188, $BT188)</f>
        <v>Les données mensuelles</v>
      </c>
      <c r="G188" s="2" t="e">
        <f t="shared" ref="G188:AS188" ca="1" si="262">VLOOKUP($C188, $C$25:$AP$51, MATCH(G187, $C$25:$AP$25, 0), FALSE)</f>
        <v>#N/A</v>
      </c>
      <c r="H188" s="2" t="e">
        <f t="shared" ca="1" si="262"/>
        <v>#N/A</v>
      </c>
      <c r="I188" s="2" t="e">
        <f t="shared" ca="1" si="262"/>
        <v>#N/A</v>
      </c>
      <c r="J188" s="2" t="e">
        <f t="shared" ca="1" si="262"/>
        <v>#N/A</v>
      </c>
      <c r="K188" s="2" t="e">
        <f t="shared" ca="1" si="262"/>
        <v>#N/A</v>
      </c>
      <c r="L188" s="2" t="e">
        <f t="shared" ca="1" si="262"/>
        <v>#N/A</v>
      </c>
      <c r="M188" s="2" t="e">
        <f t="shared" ca="1" si="262"/>
        <v>#N/A</v>
      </c>
      <c r="N188" s="2" t="e">
        <f t="shared" ca="1" si="262"/>
        <v>#N/A</v>
      </c>
      <c r="O188" s="2" t="e">
        <f t="shared" ca="1" si="262"/>
        <v>#N/A</v>
      </c>
      <c r="P188" s="2" t="e">
        <f t="shared" ca="1" si="262"/>
        <v>#N/A</v>
      </c>
      <c r="Q188" s="2" t="e">
        <f t="shared" ca="1" si="262"/>
        <v>#N/A</v>
      </c>
      <c r="R188" s="2" t="e">
        <f t="shared" ca="1" si="262"/>
        <v>#N/A</v>
      </c>
      <c r="S188" s="2" t="e">
        <f t="shared" ca="1" si="262"/>
        <v>#N/A</v>
      </c>
      <c r="T188" s="2" t="e">
        <f t="shared" ca="1" si="262"/>
        <v>#N/A</v>
      </c>
      <c r="U188" s="2">
        <f t="shared" si="262"/>
        <v>0</v>
      </c>
      <c r="V188" s="2">
        <f t="shared" si="262"/>
        <v>0</v>
      </c>
      <c r="W188" s="2">
        <f t="shared" si="262"/>
        <v>0</v>
      </c>
      <c r="X188" s="2">
        <f t="shared" si="262"/>
        <v>0</v>
      </c>
      <c r="Y188" s="2">
        <f t="shared" si="262"/>
        <v>0</v>
      </c>
      <c r="Z188" s="2">
        <f t="shared" si="262"/>
        <v>0</v>
      </c>
      <c r="AA188" s="2">
        <f t="shared" si="262"/>
        <v>0</v>
      </c>
      <c r="AB188" s="2">
        <f t="shared" si="262"/>
        <v>0</v>
      </c>
      <c r="AC188" s="2">
        <f t="shared" si="262"/>
        <v>0</v>
      </c>
      <c r="AD188" s="2">
        <f t="shared" si="262"/>
        <v>0</v>
      </c>
      <c r="AE188" s="2">
        <f t="shared" si="262"/>
        <v>0</v>
      </c>
      <c r="AF188" s="2">
        <f t="shared" si="262"/>
        <v>0</v>
      </c>
      <c r="AG188" s="2">
        <f t="shared" si="262"/>
        <v>0</v>
      </c>
      <c r="AH188" s="2">
        <f t="shared" si="262"/>
        <v>0</v>
      </c>
      <c r="AI188" s="2">
        <f t="shared" si="262"/>
        <v>0</v>
      </c>
      <c r="AJ188" s="2">
        <f t="shared" si="262"/>
        <v>0</v>
      </c>
      <c r="AK188" s="2">
        <f t="shared" si="262"/>
        <v>0</v>
      </c>
      <c r="AL188" s="2">
        <f t="shared" si="262"/>
        <v>0</v>
      </c>
      <c r="AM188" s="2">
        <f t="shared" si="262"/>
        <v>0</v>
      </c>
      <c r="AN188" s="2">
        <f t="shared" si="262"/>
        <v>0</v>
      </c>
      <c r="AO188" s="2">
        <f t="shared" si="262"/>
        <v>0</v>
      </c>
      <c r="AP188" s="2">
        <f t="shared" si="262"/>
        <v>0</v>
      </c>
      <c r="AQ188" s="2">
        <f t="shared" si="262"/>
        <v>0</v>
      </c>
      <c r="AR188" s="2">
        <f t="shared" si="262"/>
        <v>0</v>
      </c>
      <c r="AS188" s="2">
        <f t="shared" si="262"/>
        <v>0</v>
      </c>
      <c r="AT188" s="2">
        <f t="shared" ref="AT188:AY188" si="263">VLOOKUP($C188, $C$25:$AP$51, MATCH(AT187, $C$25:$AP$25, 0), FALSE)</f>
        <v>0</v>
      </c>
      <c r="AU188" s="2">
        <f t="shared" si="263"/>
        <v>0</v>
      </c>
      <c r="AV188" s="2">
        <f t="shared" si="263"/>
        <v>0</v>
      </c>
      <c r="AW188" s="2">
        <f t="shared" si="263"/>
        <v>0</v>
      </c>
      <c r="AX188" s="2">
        <f t="shared" si="263"/>
        <v>0</v>
      </c>
      <c r="AY188" s="2">
        <f t="shared" si="263"/>
        <v>0</v>
      </c>
      <c r="AZ188" s="2">
        <f>VLOOKUP($C188, $C$25:$AP$51, MATCH(AZ187, $C$25:$AP$25, 0), FALSE)</f>
        <v>0</v>
      </c>
      <c r="BA188" s="2">
        <f>VLOOKUP($C188, $C$25:$AP$51, MATCH(BA187, $C$25:$AP$25, 0), FALSE)</f>
        <v>0</v>
      </c>
      <c r="BB188" s="2">
        <f>VLOOKUP($C188, $C$25:$AP$51, MATCH(BB187, $C$25:$AP$25, 0), FALSE)</f>
        <v>0</v>
      </c>
      <c r="BC188" s="2">
        <f>VLOOKUP($C188, $C$25:$AP$51, MATCH(BC187, $C$25:$AP$25, 0), FALSE)</f>
        <v>0</v>
      </c>
      <c r="BD188" s="2">
        <f>VLOOKUP($C188, $C$25:$AP$51, MATCH(BD187, $C$25:$AP$25, 0), FALSE)</f>
        <v>0</v>
      </c>
      <c r="BS188" t="s">
        <v>2066</v>
      </c>
      <c r="BT188" t="s">
        <v>2410</v>
      </c>
      <c r="BU188"/>
      <c r="CA188"/>
    </row>
    <row r="189" spans="3:79" hidden="1" outlineLevel="1" x14ac:dyDescent="0.25">
      <c r="C189" t="str">
        <f>C121</f>
        <v>Sayana Press</v>
      </c>
      <c r="D189" t="str">
        <f>IF(Language="English", $BS189, $BT189)</f>
        <v>Les données annuelles (moyenne mensuelle)</v>
      </c>
      <c r="G189" s="2" t="e">
        <f ca="1">VLOOKUP($C189, $C$109:$V$132, MATCH(G$137, $C$107:$V$107, 0), FALSE)</f>
        <v>#N/A</v>
      </c>
      <c r="H189" s="2" t="e">
        <f t="shared" ref="H189:T189" ca="1" si="264">VLOOKUP($C189, $C$109:$V$132, MATCH(H$137, $C$107:$V$107, 0), FALSE)</f>
        <v>#N/A</v>
      </c>
      <c r="I189" s="2" t="e">
        <f t="shared" ca="1" si="264"/>
        <v>#N/A</v>
      </c>
      <c r="J189" s="2" t="e">
        <f t="shared" ca="1" si="264"/>
        <v>#N/A</v>
      </c>
      <c r="K189" s="2" t="e">
        <f t="shared" ca="1" si="264"/>
        <v>#N/A</v>
      </c>
      <c r="L189" s="2" t="e">
        <f t="shared" ca="1" si="264"/>
        <v>#N/A</v>
      </c>
      <c r="M189" s="2" t="e">
        <f t="shared" ca="1" si="264"/>
        <v>#N/A</v>
      </c>
      <c r="N189" s="2" t="e">
        <f t="shared" ca="1" si="264"/>
        <v>#N/A</v>
      </c>
      <c r="O189" s="2" t="e">
        <f t="shared" ca="1" si="264"/>
        <v>#N/A</v>
      </c>
      <c r="P189" s="2" t="e">
        <f t="shared" ca="1" si="264"/>
        <v>#N/A</v>
      </c>
      <c r="Q189" s="2" t="e">
        <f t="shared" ca="1" si="264"/>
        <v>#N/A</v>
      </c>
      <c r="R189" s="2" t="e">
        <f t="shared" ca="1" si="264"/>
        <v>#N/A</v>
      </c>
      <c r="S189" s="2" t="e">
        <f t="shared" ca="1" si="264"/>
        <v>#N/A</v>
      </c>
      <c r="T189" s="2" t="e">
        <f t="shared" ca="1" si="264"/>
        <v>#N/A</v>
      </c>
      <c r="U189" s="2" t="e">
        <f ca="1">VLOOKUP($C189, $C$109:$V$132, MATCH(U$136, $C$107:$V$107, 0), FALSE)</f>
        <v>#N/A</v>
      </c>
      <c r="V189" s="2" t="e">
        <f t="shared" ref="V189:AF189" ca="1" si="265">VLOOKUP($C189, $C$109:$V$132, MATCH(V$136, $C$107:$V$107, 0), FALSE)</f>
        <v>#N/A</v>
      </c>
      <c r="W189" s="2" t="e">
        <f t="shared" ca="1" si="265"/>
        <v>#N/A</v>
      </c>
      <c r="X189" s="2" t="e">
        <f t="shared" ca="1" si="265"/>
        <v>#N/A</v>
      </c>
      <c r="Y189" s="2" t="e">
        <f t="shared" ca="1" si="265"/>
        <v>#N/A</v>
      </c>
      <c r="Z189" s="2" t="e">
        <f t="shared" ca="1" si="265"/>
        <v>#N/A</v>
      </c>
      <c r="AA189" s="2" t="e">
        <f t="shared" ca="1" si="265"/>
        <v>#N/A</v>
      </c>
      <c r="AB189" s="2" t="e">
        <f t="shared" ca="1" si="265"/>
        <v>#N/A</v>
      </c>
      <c r="AC189" s="2" t="e">
        <f t="shared" ca="1" si="265"/>
        <v>#N/A</v>
      </c>
      <c r="AD189" s="2" t="e">
        <f t="shared" ca="1" si="265"/>
        <v>#N/A</v>
      </c>
      <c r="AE189" s="2" t="e">
        <f t="shared" ca="1" si="265"/>
        <v>#N/A</v>
      </c>
      <c r="AF189" s="2" t="e">
        <f t="shared" ca="1" si="265"/>
        <v>#N/A</v>
      </c>
      <c r="AG189" s="2" t="e">
        <f ca="1">VLOOKUP($C189, $C$109:$V$132, MATCH(AG$136, $C$107:$V$107, 0), FALSE)</f>
        <v>#N/A</v>
      </c>
      <c r="AH189" s="2" t="e">
        <f t="shared" ref="AH189:BD189" ca="1" si="266">VLOOKUP($C189, $C$109:$V$132, MATCH(AH$136, $C$107:$V$107, 0), FALSE)</f>
        <v>#N/A</v>
      </c>
      <c r="AI189" s="2" t="e">
        <f t="shared" ca="1" si="266"/>
        <v>#N/A</v>
      </c>
      <c r="AJ189" s="2" t="e">
        <f t="shared" ca="1" si="266"/>
        <v>#N/A</v>
      </c>
      <c r="AK189" s="2" t="e">
        <f t="shared" ca="1" si="266"/>
        <v>#N/A</v>
      </c>
      <c r="AL189" s="2" t="e">
        <f t="shared" ca="1" si="266"/>
        <v>#N/A</v>
      </c>
      <c r="AM189" s="2" t="e">
        <f t="shared" ca="1" si="266"/>
        <v>#N/A</v>
      </c>
      <c r="AN189" s="2" t="e">
        <f t="shared" ca="1" si="266"/>
        <v>#N/A</v>
      </c>
      <c r="AO189" s="2" t="e">
        <f t="shared" ca="1" si="266"/>
        <v>#N/A</v>
      </c>
      <c r="AP189" s="2" t="e">
        <f t="shared" ca="1" si="266"/>
        <v>#N/A</v>
      </c>
      <c r="AQ189" s="2" t="e">
        <f t="shared" ca="1" si="266"/>
        <v>#N/A</v>
      </c>
      <c r="AR189" s="2" t="e">
        <f t="shared" ca="1" si="266"/>
        <v>#N/A</v>
      </c>
      <c r="AS189" s="2" t="e">
        <f t="shared" ca="1" si="266"/>
        <v>#N/A</v>
      </c>
      <c r="AT189" s="2" t="e">
        <f t="shared" ca="1" si="266"/>
        <v>#N/A</v>
      </c>
      <c r="AU189" s="2" t="e">
        <f t="shared" ca="1" si="266"/>
        <v>#N/A</v>
      </c>
      <c r="AV189" s="2" t="e">
        <f t="shared" ca="1" si="266"/>
        <v>#N/A</v>
      </c>
      <c r="AW189" s="2" t="e">
        <f t="shared" ca="1" si="266"/>
        <v>#N/A</v>
      </c>
      <c r="AX189" s="2" t="e">
        <f t="shared" ca="1" si="266"/>
        <v>#N/A</v>
      </c>
      <c r="AY189" s="2" t="e">
        <f t="shared" ca="1" si="266"/>
        <v>#N/A</v>
      </c>
      <c r="AZ189" s="2" t="e">
        <f t="shared" ca="1" si="266"/>
        <v>#N/A</v>
      </c>
      <c r="BA189" s="2" t="e">
        <f t="shared" ca="1" si="266"/>
        <v>#N/A</v>
      </c>
      <c r="BB189" s="2" t="e">
        <f t="shared" ca="1" si="266"/>
        <v>#N/A</v>
      </c>
      <c r="BC189" s="2" t="e">
        <f t="shared" ca="1" si="266"/>
        <v>#N/A</v>
      </c>
      <c r="BD189" s="2" t="e">
        <f t="shared" ca="1" si="266"/>
        <v>#N/A</v>
      </c>
      <c r="BS189" t="s">
        <v>2067</v>
      </c>
      <c r="BT189" t="s">
        <v>2407</v>
      </c>
      <c r="BU189"/>
      <c r="CA189"/>
    </row>
    <row r="190" spans="3:79" hidden="1" outlineLevel="1" x14ac:dyDescent="0.25">
      <c r="D190" t="str">
        <f>IF(Language="English", $BS190, $BT190)</f>
        <v>Mois avec restrictions COVID</v>
      </c>
      <c r="G190" s="2"/>
      <c r="H190" s="2"/>
      <c r="I190" s="2"/>
      <c r="J190" s="2"/>
      <c r="K190" s="2"/>
      <c r="L190" s="2"/>
      <c r="M190" s="2"/>
      <c r="N190" s="2"/>
      <c r="O190" s="2"/>
      <c r="P190" s="2"/>
      <c r="Q190" s="2"/>
      <c r="R190" s="2"/>
      <c r="S190" s="2"/>
      <c r="T190" s="2"/>
      <c r="U190" s="2">
        <f>G$57</f>
        <v>0</v>
      </c>
      <c r="V190" s="2">
        <f t="shared" ref="V190:BD190" si="267">H$57</f>
        <v>0</v>
      </c>
      <c r="W190" s="2">
        <f t="shared" si="267"/>
        <v>0</v>
      </c>
      <c r="X190" s="2">
        <f t="shared" si="267"/>
        <v>0</v>
      </c>
      <c r="Y190" s="2">
        <f t="shared" si="267"/>
        <v>0</v>
      </c>
      <c r="Z190" s="2">
        <f t="shared" si="267"/>
        <v>0</v>
      </c>
      <c r="AA190" s="2">
        <f t="shared" si="267"/>
        <v>0</v>
      </c>
      <c r="AB190" s="2">
        <f t="shared" si="267"/>
        <v>0</v>
      </c>
      <c r="AC190" s="2">
        <f t="shared" si="267"/>
        <v>0</v>
      </c>
      <c r="AD190" s="2">
        <f t="shared" si="267"/>
        <v>0</v>
      </c>
      <c r="AE190" s="2">
        <f t="shared" si="267"/>
        <v>0</v>
      </c>
      <c r="AF190" s="2">
        <f t="shared" si="267"/>
        <v>0</v>
      </c>
      <c r="AG190" s="2" t="e">
        <f t="shared" si="267"/>
        <v>#N/A</v>
      </c>
      <c r="AH190" s="2" t="e">
        <f t="shared" si="267"/>
        <v>#N/A</v>
      </c>
      <c r="AI190" s="2" t="e">
        <f t="shared" si="267"/>
        <v>#N/A</v>
      </c>
      <c r="AJ190" s="2" t="e">
        <f t="shared" si="267"/>
        <v>#N/A</v>
      </c>
      <c r="AK190" s="2" t="e">
        <f t="shared" si="267"/>
        <v>#N/A</v>
      </c>
      <c r="AL190" s="2" t="e">
        <f t="shared" si="267"/>
        <v>#N/A</v>
      </c>
      <c r="AM190" s="2" t="e">
        <f t="shared" si="267"/>
        <v>#N/A</v>
      </c>
      <c r="AN190" s="2" t="e">
        <f t="shared" si="267"/>
        <v>#N/A</v>
      </c>
      <c r="AO190" s="2" t="e">
        <f t="shared" si="267"/>
        <v>#N/A</v>
      </c>
      <c r="AP190" s="2" t="e">
        <f t="shared" si="267"/>
        <v>#N/A</v>
      </c>
      <c r="AQ190" s="2" t="e">
        <f t="shared" si="267"/>
        <v>#N/A</v>
      </c>
      <c r="AR190" s="2" t="e">
        <f t="shared" si="267"/>
        <v>#N/A</v>
      </c>
      <c r="AS190" s="2" t="e">
        <f t="shared" si="267"/>
        <v>#N/A</v>
      </c>
      <c r="AT190" s="2" t="e">
        <f t="shared" si="267"/>
        <v>#N/A</v>
      </c>
      <c r="AU190" s="2" t="e">
        <f t="shared" si="267"/>
        <v>#N/A</v>
      </c>
      <c r="AV190" s="2" t="e">
        <f t="shared" si="267"/>
        <v>#N/A</v>
      </c>
      <c r="AW190" s="2" t="e">
        <f t="shared" si="267"/>
        <v>#N/A</v>
      </c>
      <c r="AX190" s="2" t="e">
        <f t="shared" si="267"/>
        <v>#N/A</v>
      </c>
      <c r="AY190" s="2" t="e">
        <f t="shared" si="267"/>
        <v>#N/A</v>
      </c>
      <c r="AZ190" s="2" t="e">
        <f t="shared" si="267"/>
        <v>#N/A</v>
      </c>
      <c r="BA190" s="2" t="e">
        <f t="shared" si="267"/>
        <v>#N/A</v>
      </c>
      <c r="BB190" s="2" t="e">
        <f t="shared" si="267"/>
        <v>#N/A</v>
      </c>
      <c r="BC190" s="2" t="e">
        <f t="shared" si="267"/>
        <v>#N/A</v>
      </c>
      <c r="BD190" s="2" t="e">
        <f t="shared" si="267"/>
        <v>#N/A</v>
      </c>
      <c r="BS190" t="s">
        <v>2068</v>
      </c>
      <c r="BT190" t="s">
        <v>2402</v>
      </c>
      <c r="BU190"/>
      <c r="CA190"/>
    </row>
    <row r="191" spans="3:79" hidden="1" outlineLevel="1" x14ac:dyDescent="0.25">
      <c r="BS191"/>
      <c r="BT191"/>
    </row>
    <row r="192" spans="3:79" hidden="1" outlineLevel="1" x14ac:dyDescent="0.25">
      <c r="G192" t="e">
        <f t="shared" ref="G192:S192" ca="1" si="268">G$107</f>
        <v>#N/A</v>
      </c>
      <c r="H192" t="e">
        <f t="shared" ca="1" si="268"/>
        <v>#N/A</v>
      </c>
      <c r="I192" t="e">
        <f t="shared" ca="1" si="268"/>
        <v>#N/A</v>
      </c>
      <c r="J192" t="e">
        <f t="shared" ca="1" si="268"/>
        <v>#N/A</v>
      </c>
      <c r="K192" t="e">
        <f t="shared" ca="1" si="268"/>
        <v>#N/A</v>
      </c>
      <c r="L192" t="e">
        <f t="shared" ca="1" si="268"/>
        <v>#N/A</v>
      </c>
      <c r="M192" t="e">
        <f t="shared" ca="1" si="268"/>
        <v>#N/A</v>
      </c>
      <c r="N192" t="e">
        <f t="shared" ca="1" si="268"/>
        <v>#N/A</v>
      </c>
      <c r="O192" t="e">
        <f t="shared" ca="1" si="268"/>
        <v>#N/A</v>
      </c>
      <c r="P192" t="e">
        <f t="shared" ca="1" si="268"/>
        <v>#N/A</v>
      </c>
      <c r="Q192" t="e">
        <f t="shared" ca="1" si="268"/>
        <v>#N/A</v>
      </c>
      <c r="R192" t="e">
        <f t="shared" ca="1" si="268"/>
        <v>#N/A</v>
      </c>
      <c r="S192" t="e">
        <f t="shared" ca="1" si="268"/>
        <v>#N/A</v>
      </c>
      <c r="T192" t="e">
        <f ca="1">T$107</f>
        <v>#N/A</v>
      </c>
      <c r="U192" s="24" t="str">
        <f t="shared" ref="U192:AP192" si="269">G$25</f>
        <v>Jan2019</v>
      </c>
      <c r="V192" s="24" t="str">
        <f t="shared" si="269"/>
        <v>Feb2019</v>
      </c>
      <c r="W192" s="24" t="str">
        <f t="shared" si="269"/>
        <v>Mar2019</v>
      </c>
      <c r="X192" s="24" t="str">
        <f t="shared" si="269"/>
        <v>Apr2019</v>
      </c>
      <c r="Y192" s="24" t="str">
        <f t="shared" si="269"/>
        <v>May2019</v>
      </c>
      <c r="Z192" s="24" t="str">
        <f t="shared" si="269"/>
        <v>Jun2019</v>
      </c>
      <c r="AA192" s="24" t="str">
        <f t="shared" si="269"/>
        <v>Jul2019</v>
      </c>
      <c r="AB192" s="24" t="str">
        <f t="shared" si="269"/>
        <v>Aug2019</v>
      </c>
      <c r="AC192" s="24" t="str">
        <f t="shared" si="269"/>
        <v>Sep2019</v>
      </c>
      <c r="AD192" s="24" t="str">
        <f t="shared" si="269"/>
        <v>Oct2019</v>
      </c>
      <c r="AE192" s="24" t="str">
        <f t="shared" si="269"/>
        <v>Nov2019</v>
      </c>
      <c r="AF192" s="24" t="str">
        <f t="shared" si="269"/>
        <v>Dec2019</v>
      </c>
      <c r="AG192" s="24" t="str">
        <f t="shared" si="269"/>
        <v>Jan2020</v>
      </c>
      <c r="AH192" s="24" t="str">
        <f t="shared" si="269"/>
        <v>Feb2020</v>
      </c>
      <c r="AI192" s="24" t="str">
        <f t="shared" si="269"/>
        <v>Mar2020</v>
      </c>
      <c r="AJ192" s="24" t="str">
        <f t="shared" si="269"/>
        <v>Apr2020</v>
      </c>
      <c r="AK192" s="24" t="str">
        <f t="shared" si="269"/>
        <v>May2020</v>
      </c>
      <c r="AL192" s="24" t="str">
        <f t="shared" si="269"/>
        <v>Jun2020</v>
      </c>
      <c r="AM192" s="24" t="str">
        <f t="shared" si="269"/>
        <v>Jul2020</v>
      </c>
      <c r="AN192" s="24" t="str">
        <f t="shared" si="269"/>
        <v>Aug2020</v>
      </c>
      <c r="AO192" s="24" t="str">
        <f t="shared" si="269"/>
        <v>Sep2020</v>
      </c>
      <c r="AP192" s="24" t="str">
        <f t="shared" si="269"/>
        <v>Oct2020</v>
      </c>
      <c r="AQ192" s="24" t="str">
        <f t="shared" ref="AQ192:AR192" si="270">Q$25</f>
        <v>Nov2019</v>
      </c>
      <c r="AR192" s="24" t="str">
        <f t="shared" si="270"/>
        <v>Dec2019</v>
      </c>
      <c r="AS192" s="24" t="str">
        <f t="shared" ref="AS192:BD192" si="271">AE$25</f>
        <v>Jan2021</v>
      </c>
      <c r="AT192" s="24" t="str">
        <f t="shared" si="271"/>
        <v>Feb2021</v>
      </c>
      <c r="AU192" s="24" t="str">
        <f t="shared" si="271"/>
        <v>Mar2021</v>
      </c>
      <c r="AV192" s="24" t="str">
        <f t="shared" si="271"/>
        <v>Apr2021</v>
      </c>
      <c r="AW192" s="24" t="str">
        <f t="shared" si="271"/>
        <v>May2021</v>
      </c>
      <c r="AX192" s="24" t="str">
        <f t="shared" si="271"/>
        <v>Jun2021</v>
      </c>
      <c r="AY192" s="24" t="str">
        <f t="shared" si="271"/>
        <v>Jul2021</v>
      </c>
      <c r="AZ192" s="24" t="str">
        <f t="shared" si="271"/>
        <v>Aug2021</v>
      </c>
      <c r="BA192" s="24" t="str">
        <f t="shared" si="271"/>
        <v>Sep2021</v>
      </c>
      <c r="BB192" s="24" t="str">
        <f t="shared" si="271"/>
        <v>Oct2021</v>
      </c>
      <c r="BC192" s="24" t="str">
        <f t="shared" si="271"/>
        <v>Nov2021</v>
      </c>
      <c r="BD192" s="24" t="str">
        <f t="shared" si="271"/>
        <v>Dec2021</v>
      </c>
      <c r="BS192"/>
      <c r="BT192"/>
      <c r="BU192"/>
      <c r="CA192"/>
    </row>
    <row r="193" spans="3:79" hidden="1" outlineLevel="1" x14ac:dyDescent="0.25">
      <c r="C193" t="str">
        <f>C123</f>
        <v>Oraux combinés (COC)</v>
      </c>
      <c r="D193" t="str">
        <f>IF(Language="English", $BS193, $BT193)</f>
        <v>Les données mensuelles</v>
      </c>
      <c r="G193" s="2" t="e">
        <f t="shared" ref="G193:AS193" ca="1" si="272">VLOOKUP($C193, $C$25:$AP$51, MATCH(G192, $C$25:$AP$25, 0), FALSE)</f>
        <v>#N/A</v>
      </c>
      <c r="H193" s="2" t="e">
        <f t="shared" ca="1" si="272"/>
        <v>#N/A</v>
      </c>
      <c r="I193" s="2" t="e">
        <f t="shared" ca="1" si="272"/>
        <v>#N/A</v>
      </c>
      <c r="J193" s="2" t="e">
        <f t="shared" ca="1" si="272"/>
        <v>#N/A</v>
      </c>
      <c r="K193" s="2" t="e">
        <f t="shared" ca="1" si="272"/>
        <v>#N/A</v>
      </c>
      <c r="L193" s="2" t="e">
        <f t="shared" ca="1" si="272"/>
        <v>#N/A</v>
      </c>
      <c r="M193" s="2" t="e">
        <f t="shared" ca="1" si="272"/>
        <v>#N/A</v>
      </c>
      <c r="N193" s="2" t="e">
        <f t="shared" ca="1" si="272"/>
        <v>#N/A</v>
      </c>
      <c r="O193" s="2" t="e">
        <f t="shared" ca="1" si="272"/>
        <v>#N/A</v>
      </c>
      <c r="P193" s="2" t="e">
        <f t="shared" ca="1" si="272"/>
        <v>#N/A</v>
      </c>
      <c r="Q193" s="2" t="e">
        <f t="shared" ca="1" si="272"/>
        <v>#N/A</v>
      </c>
      <c r="R193" s="2" t="e">
        <f t="shared" ca="1" si="272"/>
        <v>#N/A</v>
      </c>
      <c r="S193" s="2" t="e">
        <f t="shared" ca="1" si="272"/>
        <v>#N/A</v>
      </c>
      <c r="T193" s="2" t="e">
        <f t="shared" ca="1" si="272"/>
        <v>#N/A</v>
      </c>
      <c r="U193" s="2">
        <f t="shared" si="272"/>
        <v>0</v>
      </c>
      <c r="V193" s="2">
        <f t="shared" si="272"/>
        <v>0</v>
      </c>
      <c r="W193" s="2">
        <f t="shared" si="272"/>
        <v>0</v>
      </c>
      <c r="X193" s="2">
        <f t="shared" si="272"/>
        <v>0</v>
      </c>
      <c r="Y193" s="2">
        <f t="shared" si="272"/>
        <v>0</v>
      </c>
      <c r="Z193" s="2">
        <f t="shared" si="272"/>
        <v>0</v>
      </c>
      <c r="AA193" s="2">
        <f t="shared" si="272"/>
        <v>0</v>
      </c>
      <c r="AB193" s="2">
        <f t="shared" si="272"/>
        <v>0</v>
      </c>
      <c r="AC193" s="2">
        <f t="shared" si="272"/>
        <v>0</v>
      </c>
      <c r="AD193" s="2">
        <f t="shared" si="272"/>
        <v>0</v>
      </c>
      <c r="AE193" s="2">
        <f t="shared" si="272"/>
        <v>0</v>
      </c>
      <c r="AF193" s="2">
        <f t="shared" si="272"/>
        <v>0</v>
      </c>
      <c r="AG193" s="2">
        <f t="shared" si="272"/>
        <v>0</v>
      </c>
      <c r="AH193" s="2">
        <f t="shared" si="272"/>
        <v>0</v>
      </c>
      <c r="AI193" s="2">
        <f t="shared" si="272"/>
        <v>0</v>
      </c>
      <c r="AJ193" s="2">
        <f t="shared" si="272"/>
        <v>0</v>
      </c>
      <c r="AK193" s="2">
        <f t="shared" si="272"/>
        <v>0</v>
      </c>
      <c r="AL193" s="2">
        <f t="shared" si="272"/>
        <v>0</v>
      </c>
      <c r="AM193" s="2">
        <f t="shared" si="272"/>
        <v>0</v>
      </c>
      <c r="AN193" s="2">
        <f t="shared" si="272"/>
        <v>0</v>
      </c>
      <c r="AO193" s="2">
        <f t="shared" si="272"/>
        <v>0</v>
      </c>
      <c r="AP193" s="2">
        <f t="shared" si="272"/>
        <v>0</v>
      </c>
      <c r="AQ193" s="2">
        <f t="shared" si="272"/>
        <v>0</v>
      </c>
      <c r="AR193" s="2">
        <f t="shared" si="272"/>
        <v>0</v>
      </c>
      <c r="AS193" s="2">
        <f t="shared" si="272"/>
        <v>0</v>
      </c>
      <c r="AT193" s="2">
        <f t="shared" ref="AT193:AY193" si="273">VLOOKUP($C193, $C$25:$AP$51, MATCH(AT192, $C$25:$AP$25, 0), FALSE)</f>
        <v>0</v>
      </c>
      <c r="AU193" s="2">
        <f t="shared" si="273"/>
        <v>0</v>
      </c>
      <c r="AV193" s="2">
        <f t="shared" si="273"/>
        <v>0</v>
      </c>
      <c r="AW193" s="2">
        <f t="shared" si="273"/>
        <v>0</v>
      </c>
      <c r="AX193" s="2">
        <f t="shared" si="273"/>
        <v>0</v>
      </c>
      <c r="AY193" s="2">
        <f t="shared" si="273"/>
        <v>0</v>
      </c>
      <c r="AZ193" s="2">
        <f>VLOOKUP($C193, $C$25:$AP$51, MATCH(AZ192, $C$25:$AP$25, 0), FALSE)</f>
        <v>0</v>
      </c>
      <c r="BA193" s="2">
        <f>VLOOKUP($C193, $C$25:$AP$51, MATCH(BA192, $C$25:$AP$25, 0), FALSE)</f>
        <v>0</v>
      </c>
      <c r="BB193" s="2">
        <f>VLOOKUP($C193, $C$25:$AP$51, MATCH(BB192, $C$25:$AP$25, 0), FALSE)</f>
        <v>0</v>
      </c>
      <c r="BC193" s="2">
        <f>VLOOKUP($C193, $C$25:$AP$51, MATCH(BC192, $C$25:$AP$25, 0), FALSE)</f>
        <v>0</v>
      </c>
      <c r="BD193" s="2">
        <f>VLOOKUP($C193, $C$25:$AP$51, MATCH(BD192, $C$25:$AP$25, 0), FALSE)</f>
        <v>0</v>
      </c>
      <c r="BS193" t="s">
        <v>2066</v>
      </c>
      <c r="BT193" t="s">
        <v>2410</v>
      </c>
      <c r="BU193"/>
      <c r="CA193"/>
    </row>
    <row r="194" spans="3:79" hidden="1" outlineLevel="1" x14ac:dyDescent="0.25">
      <c r="C194" t="str">
        <f>C123</f>
        <v>Oraux combinés (COC)</v>
      </c>
      <c r="D194" t="str">
        <f>IF(Language="English", $BS194, $BT194)</f>
        <v>Les données annuelles (moyenne mensuelle)</v>
      </c>
      <c r="G194" s="2" t="e">
        <f ca="1">VLOOKUP($C194, $C$109:$V$132, MATCH(G$137, $C$107:$V$107, 0), FALSE)</f>
        <v>#N/A</v>
      </c>
      <c r="H194" s="2" t="e">
        <f t="shared" ref="H194:T194" ca="1" si="274">VLOOKUP($C194, $C$109:$V$132, MATCH(H$137, $C$107:$V$107, 0), FALSE)</f>
        <v>#N/A</v>
      </c>
      <c r="I194" s="2" t="e">
        <f t="shared" ca="1" si="274"/>
        <v>#N/A</v>
      </c>
      <c r="J194" s="2" t="e">
        <f t="shared" ca="1" si="274"/>
        <v>#N/A</v>
      </c>
      <c r="K194" s="2" t="e">
        <f t="shared" ca="1" si="274"/>
        <v>#N/A</v>
      </c>
      <c r="L194" s="2" t="e">
        <f t="shared" ca="1" si="274"/>
        <v>#N/A</v>
      </c>
      <c r="M194" s="2" t="e">
        <f t="shared" ca="1" si="274"/>
        <v>#N/A</v>
      </c>
      <c r="N194" s="2" t="e">
        <f t="shared" ca="1" si="274"/>
        <v>#N/A</v>
      </c>
      <c r="O194" s="2" t="e">
        <f t="shared" ca="1" si="274"/>
        <v>#N/A</v>
      </c>
      <c r="P194" s="2" t="e">
        <f t="shared" ca="1" si="274"/>
        <v>#N/A</v>
      </c>
      <c r="Q194" s="2" t="e">
        <f t="shared" ca="1" si="274"/>
        <v>#N/A</v>
      </c>
      <c r="R194" s="2" t="e">
        <f t="shared" ca="1" si="274"/>
        <v>#N/A</v>
      </c>
      <c r="S194" s="2" t="e">
        <f t="shared" ca="1" si="274"/>
        <v>#N/A</v>
      </c>
      <c r="T194" s="2" t="e">
        <f t="shared" ca="1" si="274"/>
        <v>#N/A</v>
      </c>
      <c r="U194" s="2" t="e">
        <f ca="1">VLOOKUP($C194, $C$109:$V$132, MATCH(U$136, $C$107:$V$107, 0), FALSE)</f>
        <v>#N/A</v>
      </c>
      <c r="V194" s="2" t="e">
        <f t="shared" ref="V194:AF194" ca="1" si="275">VLOOKUP($C194, $C$109:$V$132, MATCH(V$136, $C$107:$V$107, 0), FALSE)</f>
        <v>#N/A</v>
      </c>
      <c r="W194" s="2" t="e">
        <f t="shared" ca="1" si="275"/>
        <v>#N/A</v>
      </c>
      <c r="X194" s="2" t="e">
        <f t="shared" ca="1" si="275"/>
        <v>#N/A</v>
      </c>
      <c r="Y194" s="2" t="e">
        <f t="shared" ca="1" si="275"/>
        <v>#N/A</v>
      </c>
      <c r="Z194" s="2" t="e">
        <f t="shared" ca="1" si="275"/>
        <v>#N/A</v>
      </c>
      <c r="AA194" s="2" t="e">
        <f t="shared" ca="1" si="275"/>
        <v>#N/A</v>
      </c>
      <c r="AB194" s="2" t="e">
        <f t="shared" ca="1" si="275"/>
        <v>#N/A</v>
      </c>
      <c r="AC194" s="2" t="e">
        <f t="shared" ca="1" si="275"/>
        <v>#N/A</v>
      </c>
      <c r="AD194" s="2" t="e">
        <f t="shared" ca="1" si="275"/>
        <v>#N/A</v>
      </c>
      <c r="AE194" s="2" t="e">
        <f t="shared" ca="1" si="275"/>
        <v>#N/A</v>
      </c>
      <c r="AF194" s="2" t="e">
        <f t="shared" ca="1" si="275"/>
        <v>#N/A</v>
      </c>
      <c r="AG194" s="2" t="e">
        <f ca="1">VLOOKUP($C194, $C$109:$V$132, MATCH(AG$136, $C$107:$V$107, 0), FALSE)</f>
        <v>#N/A</v>
      </c>
      <c r="AH194" s="2" t="e">
        <f t="shared" ref="AH194:BD194" ca="1" si="276">VLOOKUP($C194, $C$109:$V$132, MATCH(AH$136, $C$107:$V$107, 0), FALSE)</f>
        <v>#N/A</v>
      </c>
      <c r="AI194" s="2" t="e">
        <f t="shared" ca="1" si="276"/>
        <v>#N/A</v>
      </c>
      <c r="AJ194" s="2" t="e">
        <f t="shared" ca="1" si="276"/>
        <v>#N/A</v>
      </c>
      <c r="AK194" s="2" t="e">
        <f t="shared" ca="1" si="276"/>
        <v>#N/A</v>
      </c>
      <c r="AL194" s="2" t="e">
        <f t="shared" ca="1" si="276"/>
        <v>#N/A</v>
      </c>
      <c r="AM194" s="2" t="e">
        <f t="shared" ca="1" si="276"/>
        <v>#N/A</v>
      </c>
      <c r="AN194" s="2" t="e">
        <f t="shared" ca="1" si="276"/>
        <v>#N/A</v>
      </c>
      <c r="AO194" s="2" t="e">
        <f t="shared" ca="1" si="276"/>
        <v>#N/A</v>
      </c>
      <c r="AP194" s="2" t="e">
        <f t="shared" ca="1" si="276"/>
        <v>#N/A</v>
      </c>
      <c r="AQ194" s="2" t="e">
        <f t="shared" ca="1" si="276"/>
        <v>#N/A</v>
      </c>
      <c r="AR194" s="2" t="e">
        <f t="shared" ca="1" si="276"/>
        <v>#N/A</v>
      </c>
      <c r="AS194" s="2" t="e">
        <f t="shared" ca="1" si="276"/>
        <v>#N/A</v>
      </c>
      <c r="AT194" s="2" t="e">
        <f t="shared" ca="1" si="276"/>
        <v>#N/A</v>
      </c>
      <c r="AU194" s="2" t="e">
        <f t="shared" ca="1" si="276"/>
        <v>#N/A</v>
      </c>
      <c r="AV194" s="2" t="e">
        <f t="shared" ca="1" si="276"/>
        <v>#N/A</v>
      </c>
      <c r="AW194" s="2" t="e">
        <f t="shared" ca="1" si="276"/>
        <v>#N/A</v>
      </c>
      <c r="AX194" s="2" t="e">
        <f t="shared" ca="1" si="276"/>
        <v>#N/A</v>
      </c>
      <c r="AY194" s="2" t="e">
        <f t="shared" ca="1" si="276"/>
        <v>#N/A</v>
      </c>
      <c r="AZ194" s="2" t="e">
        <f t="shared" ca="1" si="276"/>
        <v>#N/A</v>
      </c>
      <c r="BA194" s="2" t="e">
        <f t="shared" ca="1" si="276"/>
        <v>#N/A</v>
      </c>
      <c r="BB194" s="2" t="e">
        <f t="shared" ca="1" si="276"/>
        <v>#N/A</v>
      </c>
      <c r="BC194" s="2" t="e">
        <f t="shared" ca="1" si="276"/>
        <v>#N/A</v>
      </c>
      <c r="BD194" s="2" t="e">
        <f t="shared" ca="1" si="276"/>
        <v>#N/A</v>
      </c>
      <c r="BS194" t="s">
        <v>2067</v>
      </c>
      <c r="BT194" t="s">
        <v>2407</v>
      </c>
      <c r="BU194"/>
      <c r="CA194"/>
    </row>
    <row r="195" spans="3:79" hidden="1" outlineLevel="1" x14ac:dyDescent="0.25">
      <c r="D195" t="str">
        <f>IF(Language="English", $BS195, $BT195)</f>
        <v>Mois avec restrictions COVID</v>
      </c>
      <c r="G195" s="2"/>
      <c r="H195" s="2"/>
      <c r="I195" s="2"/>
      <c r="J195" s="2"/>
      <c r="K195" s="2"/>
      <c r="L195" s="2"/>
      <c r="M195" s="2"/>
      <c r="N195" s="2"/>
      <c r="O195" s="2"/>
      <c r="P195" s="2"/>
      <c r="Q195" s="2"/>
      <c r="R195" s="2"/>
      <c r="S195" s="2"/>
      <c r="T195" s="2"/>
      <c r="U195" s="2">
        <f>G$57</f>
        <v>0</v>
      </c>
      <c r="V195" s="2">
        <f t="shared" ref="V195:BD195" si="277">H$57</f>
        <v>0</v>
      </c>
      <c r="W195" s="2">
        <f t="shared" si="277"/>
        <v>0</v>
      </c>
      <c r="X195" s="2">
        <f t="shared" si="277"/>
        <v>0</v>
      </c>
      <c r="Y195" s="2">
        <f t="shared" si="277"/>
        <v>0</v>
      </c>
      <c r="Z195" s="2">
        <f t="shared" si="277"/>
        <v>0</v>
      </c>
      <c r="AA195" s="2">
        <f t="shared" si="277"/>
        <v>0</v>
      </c>
      <c r="AB195" s="2">
        <f t="shared" si="277"/>
        <v>0</v>
      </c>
      <c r="AC195" s="2">
        <f t="shared" si="277"/>
        <v>0</v>
      </c>
      <c r="AD195" s="2">
        <f t="shared" si="277"/>
        <v>0</v>
      </c>
      <c r="AE195" s="2">
        <f t="shared" si="277"/>
        <v>0</v>
      </c>
      <c r="AF195" s="2">
        <f t="shared" si="277"/>
        <v>0</v>
      </c>
      <c r="AG195" s="2" t="e">
        <f t="shared" si="277"/>
        <v>#N/A</v>
      </c>
      <c r="AH195" s="2" t="e">
        <f t="shared" si="277"/>
        <v>#N/A</v>
      </c>
      <c r="AI195" s="2" t="e">
        <f t="shared" si="277"/>
        <v>#N/A</v>
      </c>
      <c r="AJ195" s="2" t="e">
        <f t="shared" si="277"/>
        <v>#N/A</v>
      </c>
      <c r="AK195" s="2" t="e">
        <f t="shared" si="277"/>
        <v>#N/A</v>
      </c>
      <c r="AL195" s="2" t="e">
        <f t="shared" si="277"/>
        <v>#N/A</v>
      </c>
      <c r="AM195" s="2" t="e">
        <f t="shared" si="277"/>
        <v>#N/A</v>
      </c>
      <c r="AN195" s="2" t="e">
        <f t="shared" si="277"/>
        <v>#N/A</v>
      </c>
      <c r="AO195" s="2" t="e">
        <f t="shared" si="277"/>
        <v>#N/A</v>
      </c>
      <c r="AP195" s="2" t="e">
        <f t="shared" si="277"/>
        <v>#N/A</v>
      </c>
      <c r="AQ195" s="2" t="e">
        <f t="shared" si="277"/>
        <v>#N/A</v>
      </c>
      <c r="AR195" s="2" t="e">
        <f t="shared" si="277"/>
        <v>#N/A</v>
      </c>
      <c r="AS195" s="2" t="e">
        <f t="shared" si="277"/>
        <v>#N/A</v>
      </c>
      <c r="AT195" s="2" t="e">
        <f t="shared" si="277"/>
        <v>#N/A</v>
      </c>
      <c r="AU195" s="2" t="e">
        <f t="shared" si="277"/>
        <v>#N/A</v>
      </c>
      <c r="AV195" s="2" t="e">
        <f t="shared" si="277"/>
        <v>#N/A</v>
      </c>
      <c r="AW195" s="2" t="e">
        <f t="shared" si="277"/>
        <v>#N/A</v>
      </c>
      <c r="AX195" s="2" t="e">
        <f t="shared" si="277"/>
        <v>#N/A</v>
      </c>
      <c r="AY195" s="2" t="e">
        <f t="shared" si="277"/>
        <v>#N/A</v>
      </c>
      <c r="AZ195" s="2" t="e">
        <f t="shared" si="277"/>
        <v>#N/A</v>
      </c>
      <c r="BA195" s="2" t="e">
        <f t="shared" si="277"/>
        <v>#N/A</v>
      </c>
      <c r="BB195" s="2" t="e">
        <f t="shared" si="277"/>
        <v>#N/A</v>
      </c>
      <c r="BC195" s="2" t="e">
        <f t="shared" si="277"/>
        <v>#N/A</v>
      </c>
      <c r="BD195" s="2" t="e">
        <f t="shared" si="277"/>
        <v>#N/A</v>
      </c>
      <c r="BS195" t="s">
        <v>2068</v>
      </c>
      <c r="BT195" t="s">
        <v>2402</v>
      </c>
      <c r="BU195"/>
      <c r="CA195"/>
    </row>
    <row r="196" spans="3:79" hidden="1" outlineLevel="1" x14ac:dyDescent="0.25">
      <c r="BS196"/>
      <c r="BT196"/>
    </row>
    <row r="197" spans="3:79" hidden="1" outlineLevel="1" x14ac:dyDescent="0.25">
      <c r="G197" t="e">
        <f t="shared" ref="G197:S197" ca="1" si="278">G$107</f>
        <v>#N/A</v>
      </c>
      <c r="H197" t="e">
        <f t="shared" ca="1" si="278"/>
        <v>#N/A</v>
      </c>
      <c r="I197" t="e">
        <f t="shared" ca="1" si="278"/>
        <v>#N/A</v>
      </c>
      <c r="J197" t="e">
        <f t="shared" ca="1" si="278"/>
        <v>#N/A</v>
      </c>
      <c r="K197" t="e">
        <f t="shared" ca="1" si="278"/>
        <v>#N/A</v>
      </c>
      <c r="L197" t="e">
        <f t="shared" ca="1" si="278"/>
        <v>#N/A</v>
      </c>
      <c r="M197" t="e">
        <f t="shared" ca="1" si="278"/>
        <v>#N/A</v>
      </c>
      <c r="N197" t="e">
        <f t="shared" ca="1" si="278"/>
        <v>#N/A</v>
      </c>
      <c r="O197" t="e">
        <f t="shared" ca="1" si="278"/>
        <v>#N/A</v>
      </c>
      <c r="P197" t="e">
        <f t="shared" ca="1" si="278"/>
        <v>#N/A</v>
      </c>
      <c r="Q197" t="e">
        <f t="shared" ca="1" si="278"/>
        <v>#N/A</v>
      </c>
      <c r="R197" t="e">
        <f t="shared" ca="1" si="278"/>
        <v>#N/A</v>
      </c>
      <c r="S197" t="e">
        <f t="shared" ca="1" si="278"/>
        <v>#N/A</v>
      </c>
      <c r="T197" t="e">
        <f ca="1">T$107</f>
        <v>#N/A</v>
      </c>
      <c r="U197" s="24" t="str">
        <f t="shared" ref="U197:AP197" si="279">G$25</f>
        <v>Jan2019</v>
      </c>
      <c r="V197" s="24" t="str">
        <f t="shared" si="279"/>
        <v>Feb2019</v>
      </c>
      <c r="W197" s="24" t="str">
        <f t="shared" si="279"/>
        <v>Mar2019</v>
      </c>
      <c r="X197" s="24" t="str">
        <f t="shared" si="279"/>
        <v>Apr2019</v>
      </c>
      <c r="Y197" s="24" t="str">
        <f t="shared" si="279"/>
        <v>May2019</v>
      </c>
      <c r="Z197" s="24" t="str">
        <f t="shared" si="279"/>
        <v>Jun2019</v>
      </c>
      <c r="AA197" s="24" t="str">
        <f t="shared" si="279"/>
        <v>Jul2019</v>
      </c>
      <c r="AB197" s="24" t="str">
        <f t="shared" si="279"/>
        <v>Aug2019</v>
      </c>
      <c r="AC197" s="24" t="str">
        <f t="shared" si="279"/>
        <v>Sep2019</v>
      </c>
      <c r="AD197" s="24" t="str">
        <f t="shared" si="279"/>
        <v>Oct2019</v>
      </c>
      <c r="AE197" s="24" t="str">
        <f t="shared" si="279"/>
        <v>Nov2019</v>
      </c>
      <c r="AF197" s="24" t="str">
        <f t="shared" si="279"/>
        <v>Dec2019</v>
      </c>
      <c r="AG197" s="24" t="str">
        <f t="shared" si="279"/>
        <v>Jan2020</v>
      </c>
      <c r="AH197" s="24" t="str">
        <f t="shared" si="279"/>
        <v>Feb2020</v>
      </c>
      <c r="AI197" s="24" t="str">
        <f t="shared" si="279"/>
        <v>Mar2020</v>
      </c>
      <c r="AJ197" s="24" t="str">
        <f t="shared" si="279"/>
        <v>Apr2020</v>
      </c>
      <c r="AK197" s="24" t="str">
        <f t="shared" si="279"/>
        <v>May2020</v>
      </c>
      <c r="AL197" s="24" t="str">
        <f t="shared" si="279"/>
        <v>Jun2020</v>
      </c>
      <c r="AM197" s="24" t="str">
        <f t="shared" si="279"/>
        <v>Jul2020</v>
      </c>
      <c r="AN197" s="24" t="str">
        <f t="shared" si="279"/>
        <v>Aug2020</v>
      </c>
      <c r="AO197" s="24" t="str">
        <f t="shared" si="279"/>
        <v>Sep2020</v>
      </c>
      <c r="AP197" s="24" t="str">
        <f t="shared" si="279"/>
        <v>Oct2020</v>
      </c>
      <c r="AQ197" s="24" t="str">
        <f t="shared" ref="AQ197:AR197" si="280">Q$25</f>
        <v>Nov2019</v>
      </c>
      <c r="AR197" s="24" t="str">
        <f t="shared" si="280"/>
        <v>Dec2019</v>
      </c>
      <c r="AS197" s="24" t="str">
        <f t="shared" ref="AS197:BD197" si="281">AE$25</f>
        <v>Jan2021</v>
      </c>
      <c r="AT197" s="24" t="str">
        <f t="shared" si="281"/>
        <v>Feb2021</v>
      </c>
      <c r="AU197" s="24" t="str">
        <f t="shared" si="281"/>
        <v>Mar2021</v>
      </c>
      <c r="AV197" s="24" t="str">
        <f t="shared" si="281"/>
        <v>Apr2021</v>
      </c>
      <c r="AW197" s="24" t="str">
        <f t="shared" si="281"/>
        <v>May2021</v>
      </c>
      <c r="AX197" s="24" t="str">
        <f t="shared" si="281"/>
        <v>Jun2021</v>
      </c>
      <c r="AY197" s="24" t="str">
        <f t="shared" si="281"/>
        <v>Jul2021</v>
      </c>
      <c r="AZ197" s="24" t="str">
        <f t="shared" si="281"/>
        <v>Aug2021</v>
      </c>
      <c r="BA197" s="24" t="str">
        <f t="shared" si="281"/>
        <v>Sep2021</v>
      </c>
      <c r="BB197" s="24" t="str">
        <f t="shared" si="281"/>
        <v>Oct2021</v>
      </c>
      <c r="BC197" s="24" t="str">
        <f t="shared" si="281"/>
        <v>Nov2021</v>
      </c>
      <c r="BD197" s="24" t="str">
        <f t="shared" si="281"/>
        <v>Dec2021</v>
      </c>
      <c r="BS197"/>
      <c r="BT197"/>
      <c r="BU197"/>
      <c r="CA197"/>
    </row>
    <row r="198" spans="3:79" hidden="1" outlineLevel="1" x14ac:dyDescent="0.25">
      <c r="C198" t="str">
        <f>C94</f>
        <v>Progestatifs seul (POP)</v>
      </c>
      <c r="D198" t="str">
        <f>IF(Language="English", $BS198, $BT198)</f>
        <v>Les données mensuelles</v>
      </c>
      <c r="G198" s="2" t="e">
        <f t="shared" ref="G198:AS198" ca="1" si="282">VLOOKUP($C198, $C$25:$AP$51, MATCH(G197, $C$25:$AP$25, 0), FALSE)</f>
        <v>#N/A</v>
      </c>
      <c r="H198" s="2" t="e">
        <f t="shared" ca="1" si="282"/>
        <v>#N/A</v>
      </c>
      <c r="I198" s="2" t="e">
        <f t="shared" ca="1" si="282"/>
        <v>#N/A</v>
      </c>
      <c r="J198" s="2" t="e">
        <f t="shared" ca="1" si="282"/>
        <v>#N/A</v>
      </c>
      <c r="K198" s="2" t="e">
        <f t="shared" ca="1" si="282"/>
        <v>#N/A</v>
      </c>
      <c r="L198" s="2" t="e">
        <f t="shared" ca="1" si="282"/>
        <v>#N/A</v>
      </c>
      <c r="M198" s="2" t="e">
        <f t="shared" ca="1" si="282"/>
        <v>#N/A</v>
      </c>
      <c r="N198" s="2" t="e">
        <f t="shared" ca="1" si="282"/>
        <v>#N/A</v>
      </c>
      <c r="O198" s="2" t="e">
        <f t="shared" ca="1" si="282"/>
        <v>#N/A</v>
      </c>
      <c r="P198" s="2" t="e">
        <f t="shared" ca="1" si="282"/>
        <v>#N/A</v>
      </c>
      <c r="Q198" s="2" t="e">
        <f t="shared" ca="1" si="282"/>
        <v>#N/A</v>
      </c>
      <c r="R198" s="2" t="e">
        <f t="shared" ca="1" si="282"/>
        <v>#N/A</v>
      </c>
      <c r="S198" s="2" t="e">
        <f t="shared" ca="1" si="282"/>
        <v>#N/A</v>
      </c>
      <c r="T198" s="2" t="e">
        <f t="shared" ca="1" si="282"/>
        <v>#N/A</v>
      </c>
      <c r="U198" s="2">
        <f t="shared" si="282"/>
        <v>0</v>
      </c>
      <c r="V198" s="2">
        <f t="shared" si="282"/>
        <v>0</v>
      </c>
      <c r="W198" s="2">
        <f t="shared" si="282"/>
        <v>0</v>
      </c>
      <c r="X198" s="2">
        <f t="shared" si="282"/>
        <v>0</v>
      </c>
      <c r="Y198" s="2">
        <f t="shared" si="282"/>
        <v>0</v>
      </c>
      <c r="Z198" s="2">
        <f t="shared" si="282"/>
        <v>0</v>
      </c>
      <c r="AA198" s="2">
        <f t="shared" si="282"/>
        <v>0</v>
      </c>
      <c r="AB198" s="2">
        <f t="shared" si="282"/>
        <v>0</v>
      </c>
      <c r="AC198" s="2">
        <f t="shared" si="282"/>
        <v>0</v>
      </c>
      <c r="AD198" s="2">
        <f t="shared" si="282"/>
        <v>0</v>
      </c>
      <c r="AE198" s="2">
        <f t="shared" si="282"/>
        <v>0</v>
      </c>
      <c r="AF198" s="2">
        <f t="shared" si="282"/>
        <v>0</v>
      </c>
      <c r="AG198" s="2">
        <f t="shared" si="282"/>
        <v>0</v>
      </c>
      <c r="AH198" s="2">
        <f t="shared" si="282"/>
        <v>0</v>
      </c>
      <c r="AI198" s="2">
        <f t="shared" si="282"/>
        <v>0</v>
      </c>
      <c r="AJ198" s="2">
        <f t="shared" si="282"/>
        <v>0</v>
      </c>
      <c r="AK198" s="2">
        <f t="shared" si="282"/>
        <v>0</v>
      </c>
      <c r="AL198" s="2">
        <f t="shared" si="282"/>
        <v>0</v>
      </c>
      <c r="AM198" s="2">
        <f t="shared" si="282"/>
        <v>0</v>
      </c>
      <c r="AN198" s="2">
        <f t="shared" si="282"/>
        <v>0</v>
      </c>
      <c r="AO198" s="2">
        <f t="shared" si="282"/>
        <v>0</v>
      </c>
      <c r="AP198" s="2">
        <f t="shared" si="282"/>
        <v>0</v>
      </c>
      <c r="AQ198" s="2">
        <f t="shared" si="282"/>
        <v>0</v>
      </c>
      <c r="AR198" s="2">
        <f t="shared" si="282"/>
        <v>0</v>
      </c>
      <c r="AS198" s="2">
        <f t="shared" si="282"/>
        <v>0</v>
      </c>
      <c r="AT198" s="2">
        <f t="shared" ref="AT198:AY198" si="283">VLOOKUP($C198, $C$25:$AP$51, MATCH(AT197, $C$25:$AP$25, 0), FALSE)</f>
        <v>0</v>
      </c>
      <c r="AU198" s="2">
        <f t="shared" si="283"/>
        <v>0</v>
      </c>
      <c r="AV198" s="2">
        <f t="shared" si="283"/>
        <v>0</v>
      </c>
      <c r="AW198" s="2">
        <f t="shared" si="283"/>
        <v>0</v>
      </c>
      <c r="AX198" s="2">
        <f t="shared" si="283"/>
        <v>0</v>
      </c>
      <c r="AY198" s="2">
        <f t="shared" si="283"/>
        <v>0</v>
      </c>
      <c r="AZ198" s="2">
        <f>VLOOKUP($C198, $C$25:$AP$51, MATCH(AZ197, $C$25:$AP$25, 0), FALSE)</f>
        <v>0</v>
      </c>
      <c r="BA198" s="2">
        <f>VLOOKUP($C198, $C$25:$AP$51, MATCH(BA197, $C$25:$AP$25, 0), FALSE)</f>
        <v>0</v>
      </c>
      <c r="BB198" s="2">
        <f>VLOOKUP($C198, $C$25:$AP$51, MATCH(BB197, $C$25:$AP$25, 0), FALSE)</f>
        <v>0</v>
      </c>
      <c r="BC198" s="2">
        <f>VLOOKUP($C198, $C$25:$AP$51, MATCH(BC197, $C$25:$AP$25, 0), FALSE)</f>
        <v>0</v>
      </c>
      <c r="BD198" s="2">
        <f>VLOOKUP($C198, $C$25:$AP$51, MATCH(BD197, $C$25:$AP$25, 0), FALSE)</f>
        <v>0</v>
      </c>
      <c r="BS198" t="s">
        <v>2066</v>
      </c>
      <c r="BT198" t="s">
        <v>2410</v>
      </c>
      <c r="BU198"/>
      <c r="CA198"/>
    </row>
    <row r="199" spans="3:79" hidden="1" outlineLevel="1" x14ac:dyDescent="0.25">
      <c r="C199" t="str">
        <f>C124</f>
        <v>Progestatifs seul (POP)</v>
      </c>
      <c r="D199" t="str">
        <f>IF(Language="English", $BS199, $BT199)</f>
        <v>Les données annuelles (moyenne mensuelle)</v>
      </c>
      <c r="G199" s="2" t="e">
        <f ca="1">VLOOKUP($C199, $C$109:$V$132, MATCH(G$137, $C$107:$V$107, 0), FALSE)</f>
        <v>#N/A</v>
      </c>
      <c r="H199" s="2" t="e">
        <f t="shared" ref="H199:T199" ca="1" si="284">VLOOKUP($C199, $C$109:$V$132, MATCH(H$137, $C$107:$V$107, 0), FALSE)</f>
        <v>#N/A</v>
      </c>
      <c r="I199" s="2" t="e">
        <f t="shared" ca="1" si="284"/>
        <v>#N/A</v>
      </c>
      <c r="J199" s="2" t="e">
        <f t="shared" ca="1" si="284"/>
        <v>#N/A</v>
      </c>
      <c r="K199" s="2" t="e">
        <f t="shared" ca="1" si="284"/>
        <v>#N/A</v>
      </c>
      <c r="L199" s="2" t="e">
        <f t="shared" ca="1" si="284"/>
        <v>#N/A</v>
      </c>
      <c r="M199" s="2" t="e">
        <f t="shared" ca="1" si="284"/>
        <v>#N/A</v>
      </c>
      <c r="N199" s="2" t="e">
        <f t="shared" ca="1" si="284"/>
        <v>#N/A</v>
      </c>
      <c r="O199" s="2" t="e">
        <f t="shared" ca="1" si="284"/>
        <v>#N/A</v>
      </c>
      <c r="P199" s="2" t="e">
        <f t="shared" ca="1" si="284"/>
        <v>#N/A</v>
      </c>
      <c r="Q199" s="2" t="e">
        <f t="shared" ca="1" si="284"/>
        <v>#N/A</v>
      </c>
      <c r="R199" s="2" t="e">
        <f t="shared" ca="1" si="284"/>
        <v>#N/A</v>
      </c>
      <c r="S199" s="2" t="e">
        <f t="shared" ca="1" si="284"/>
        <v>#N/A</v>
      </c>
      <c r="T199" s="2" t="e">
        <f t="shared" ca="1" si="284"/>
        <v>#N/A</v>
      </c>
      <c r="U199" s="2" t="e">
        <f ca="1">VLOOKUP($C199, $C$109:$V$132, MATCH(U$136, $C$107:$V$107, 0), FALSE)</f>
        <v>#N/A</v>
      </c>
      <c r="V199" s="2" t="e">
        <f t="shared" ref="V199:AF199" ca="1" si="285">VLOOKUP($C199, $C$109:$V$132, MATCH(V$136, $C$107:$V$107, 0), FALSE)</f>
        <v>#N/A</v>
      </c>
      <c r="W199" s="2" t="e">
        <f t="shared" ca="1" si="285"/>
        <v>#N/A</v>
      </c>
      <c r="X199" s="2" t="e">
        <f t="shared" ca="1" si="285"/>
        <v>#N/A</v>
      </c>
      <c r="Y199" s="2" t="e">
        <f t="shared" ca="1" si="285"/>
        <v>#N/A</v>
      </c>
      <c r="Z199" s="2" t="e">
        <f t="shared" ca="1" si="285"/>
        <v>#N/A</v>
      </c>
      <c r="AA199" s="2" t="e">
        <f t="shared" ca="1" si="285"/>
        <v>#N/A</v>
      </c>
      <c r="AB199" s="2" t="e">
        <f t="shared" ca="1" si="285"/>
        <v>#N/A</v>
      </c>
      <c r="AC199" s="2" t="e">
        <f t="shared" ca="1" si="285"/>
        <v>#N/A</v>
      </c>
      <c r="AD199" s="2" t="e">
        <f t="shared" ca="1" si="285"/>
        <v>#N/A</v>
      </c>
      <c r="AE199" s="2" t="e">
        <f t="shared" ca="1" si="285"/>
        <v>#N/A</v>
      </c>
      <c r="AF199" s="2" t="e">
        <f t="shared" ca="1" si="285"/>
        <v>#N/A</v>
      </c>
      <c r="AG199" s="2" t="e">
        <f ca="1">VLOOKUP($C199, $C$109:$V$132, MATCH(AG$136, $C$107:$V$107, 0), FALSE)</f>
        <v>#N/A</v>
      </c>
      <c r="AH199" s="2" t="e">
        <f t="shared" ref="AH199:BD199" ca="1" si="286">VLOOKUP($C199, $C$109:$V$132, MATCH(AH$136, $C$107:$V$107, 0), FALSE)</f>
        <v>#N/A</v>
      </c>
      <c r="AI199" s="2" t="e">
        <f t="shared" ca="1" si="286"/>
        <v>#N/A</v>
      </c>
      <c r="AJ199" s="2" t="e">
        <f t="shared" ca="1" si="286"/>
        <v>#N/A</v>
      </c>
      <c r="AK199" s="2" t="e">
        <f t="shared" ca="1" si="286"/>
        <v>#N/A</v>
      </c>
      <c r="AL199" s="2" t="e">
        <f t="shared" ca="1" si="286"/>
        <v>#N/A</v>
      </c>
      <c r="AM199" s="2" t="e">
        <f t="shared" ca="1" si="286"/>
        <v>#N/A</v>
      </c>
      <c r="AN199" s="2" t="e">
        <f t="shared" ca="1" si="286"/>
        <v>#N/A</v>
      </c>
      <c r="AO199" s="2" t="e">
        <f t="shared" ca="1" si="286"/>
        <v>#N/A</v>
      </c>
      <c r="AP199" s="2" t="e">
        <f t="shared" ca="1" si="286"/>
        <v>#N/A</v>
      </c>
      <c r="AQ199" s="2" t="e">
        <f t="shared" ca="1" si="286"/>
        <v>#N/A</v>
      </c>
      <c r="AR199" s="2" t="e">
        <f t="shared" ca="1" si="286"/>
        <v>#N/A</v>
      </c>
      <c r="AS199" s="2" t="e">
        <f t="shared" ca="1" si="286"/>
        <v>#N/A</v>
      </c>
      <c r="AT199" s="2" t="e">
        <f t="shared" ca="1" si="286"/>
        <v>#N/A</v>
      </c>
      <c r="AU199" s="2" t="e">
        <f t="shared" ca="1" si="286"/>
        <v>#N/A</v>
      </c>
      <c r="AV199" s="2" t="e">
        <f t="shared" ca="1" si="286"/>
        <v>#N/A</v>
      </c>
      <c r="AW199" s="2" t="e">
        <f t="shared" ca="1" si="286"/>
        <v>#N/A</v>
      </c>
      <c r="AX199" s="2" t="e">
        <f t="shared" ca="1" si="286"/>
        <v>#N/A</v>
      </c>
      <c r="AY199" s="2" t="e">
        <f t="shared" ca="1" si="286"/>
        <v>#N/A</v>
      </c>
      <c r="AZ199" s="2" t="e">
        <f t="shared" ca="1" si="286"/>
        <v>#N/A</v>
      </c>
      <c r="BA199" s="2" t="e">
        <f t="shared" ca="1" si="286"/>
        <v>#N/A</v>
      </c>
      <c r="BB199" s="2" t="e">
        <f t="shared" ca="1" si="286"/>
        <v>#N/A</v>
      </c>
      <c r="BC199" s="2" t="e">
        <f t="shared" ca="1" si="286"/>
        <v>#N/A</v>
      </c>
      <c r="BD199" s="2" t="e">
        <f t="shared" ca="1" si="286"/>
        <v>#N/A</v>
      </c>
      <c r="BS199" t="s">
        <v>2067</v>
      </c>
      <c r="BT199" t="s">
        <v>2407</v>
      </c>
      <c r="BU199"/>
      <c r="CA199"/>
    </row>
    <row r="200" spans="3:79" hidden="1" outlineLevel="1" x14ac:dyDescent="0.25">
      <c r="D200" t="str">
        <f>IF(Language="English", $BS200, $BT200)</f>
        <v>Mois avec restrictions COVID</v>
      </c>
      <c r="G200" s="2"/>
      <c r="H200" s="2"/>
      <c r="I200" s="2"/>
      <c r="J200" s="2"/>
      <c r="K200" s="2"/>
      <c r="L200" s="2"/>
      <c r="M200" s="2"/>
      <c r="N200" s="2"/>
      <c r="O200" s="2"/>
      <c r="P200" s="2"/>
      <c r="Q200" s="2"/>
      <c r="R200" s="2"/>
      <c r="S200" s="2"/>
      <c r="T200" s="2"/>
      <c r="U200" s="2">
        <f>G$57</f>
        <v>0</v>
      </c>
      <c r="V200" s="2">
        <f t="shared" ref="V200:BD200" si="287">H$57</f>
        <v>0</v>
      </c>
      <c r="W200" s="2">
        <f t="shared" si="287"/>
        <v>0</v>
      </c>
      <c r="X200" s="2">
        <f t="shared" si="287"/>
        <v>0</v>
      </c>
      <c r="Y200" s="2">
        <f t="shared" si="287"/>
        <v>0</v>
      </c>
      <c r="Z200" s="2">
        <f t="shared" si="287"/>
        <v>0</v>
      </c>
      <c r="AA200" s="2">
        <f t="shared" si="287"/>
        <v>0</v>
      </c>
      <c r="AB200" s="2">
        <f t="shared" si="287"/>
        <v>0</v>
      </c>
      <c r="AC200" s="2">
        <f t="shared" si="287"/>
        <v>0</v>
      </c>
      <c r="AD200" s="2">
        <f t="shared" si="287"/>
        <v>0</v>
      </c>
      <c r="AE200" s="2">
        <f t="shared" si="287"/>
        <v>0</v>
      </c>
      <c r="AF200" s="2">
        <f t="shared" si="287"/>
        <v>0</v>
      </c>
      <c r="AG200" s="2" t="e">
        <f t="shared" si="287"/>
        <v>#N/A</v>
      </c>
      <c r="AH200" s="2" t="e">
        <f t="shared" si="287"/>
        <v>#N/A</v>
      </c>
      <c r="AI200" s="2" t="e">
        <f t="shared" si="287"/>
        <v>#N/A</v>
      </c>
      <c r="AJ200" s="2" t="e">
        <f t="shared" si="287"/>
        <v>#N/A</v>
      </c>
      <c r="AK200" s="2" t="e">
        <f t="shared" si="287"/>
        <v>#N/A</v>
      </c>
      <c r="AL200" s="2" t="e">
        <f t="shared" si="287"/>
        <v>#N/A</v>
      </c>
      <c r="AM200" s="2" t="e">
        <f t="shared" si="287"/>
        <v>#N/A</v>
      </c>
      <c r="AN200" s="2" t="e">
        <f t="shared" si="287"/>
        <v>#N/A</v>
      </c>
      <c r="AO200" s="2" t="e">
        <f t="shared" si="287"/>
        <v>#N/A</v>
      </c>
      <c r="AP200" s="2" t="e">
        <f t="shared" si="287"/>
        <v>#N/A</v>
      </c>
      <c r="AQ200" s="2" t="e">
        <f t="shared" si="287"/>
        <v>#N/A</v>
      </c>
      <c r="AR200" s="2" t="e">
        <f t="shared" si="287"/>
        <v>#N/A</v>
      </c>
      <c r="AS200" s="2" t="e">
        <f t="shared" si="287"/>
        <v>#N/A</v>
      </c>
      <c r="AT200" s="2" t="e">
        <f t="shared" si="287"/>
        <v>#N/A</v>
      </c>
      <c r="AU200" s="2" t="e">
        <f t="shared" si="287"/>
        <v>#N/A</v>
      </c>
      <c r="AV200" s="2" t="e">
        <f t="shared" si="287"/>
        <v>#N/A</v>
      </c>
      <c r="AW200" s="2" t="e">
        <f t="shared" si="287"/>
        <v>#N/A</v>
      </c>
      <c r="AX200" s="2" t="e">
        <f t="shared" si="287"/>
        <v>#N/A</v>
      </c>
      <c r="AY200" s="2" t="e">
        <f t="shared" si="287"/>
        <v>#N/A</v>
      </c>
      <c r="AZ200" s="2" t="e">
        <f t="shared" si="287"/>
        <v>#N/A</v>
      </c>
      <c r="BA200" s="2" t="e">
        <f t="shared" si="287"/>
        <v>#N/A</v>
      </c>
      <c r="BB200" s="2" t="e">
        <f t="shared" si="287"/>
        <v>#N/A</v>
      </c>
      <c r="BC200" s="2" t="e">
        <f t="shared" si="287"/>
        <v>#N/A</v>
      </c>
      <c r="BD200" s="2" t="e">
        <f t="shared" si="287"/>
        <v>#N/A</v>
      </c>
      <c r="BS200" t="s">
        <v>2068</v>
      </c>
      <c r="BT200" t="s">
        <v>2402</v>
      </c>
      <c r="BU200"/>
      <c r="CA200"/>
    </row>
    <row r="201" spans="3:79" hidden="1" outlineLevel="1" x14ac:dyDescent="0.25">
      <c r="BS201"/>
      <c r="BT201"/>
    </row>
    <row r="202" spans="3:79" hidden="1" outlineLevel="1" x14ac:dyDescent="0.25">
      <c r="G202" t="e">
        <f t="shared" ref="G202:S202" ca="1" si="288">G$107</f>
        <v>#N/A</v>
      </c>
      <c r="H202" t="e">
        <f t="shared" ca="1" si="288"/>
        <v>#N/A</v>
      </c>
      <c r="I202" t="e">
        <f t="shared" ca="1" si="288"/>
        <v>#N/A</v>
      </c>
      <c r="J202" t="e">
        <f t="shared" ca="1" si="288"/>
        <v>#N/A</v>
      </c>
      <c r="K202" t="e">
        <f t="shared" ca="1" si="288"/>
        <v>#N/A</v>
      </c>
      <c r="L202" t="e">
        <f t="shared" ca="1" si="288"/>
        <v>#N/A</v>
      </c>
      <c r="M202" t="e">
        <f t="shared" ca="1" si="288"/>
        <v>#N/A</v>
      </c>
      <c r="N202" t="e">
        <f t="shared" ca="1" si="288"/>
        <v>#N/A</v>
      </c>
      <c r="O202" t="e">
        <f t="shared" ca="1" si="288"/>
        <v>#N/A</v>
      </c>
      <c r="P202" t="e">
        <f t="shared" ca="1" si="288"/>
        <v>#N/A</v>
      </c>
      <c r="Q202" t="e">
        <f t="shared" ca="1" si="288"/>
        <v>#N/A</v>
      </c>
      <c r="R202" t="e">
        <f t="shared" ca="1" si="288"/>
        <v>#N/A</v>
      </c>
      <c r="S202" t="e">
        <f t="shared" ca="1" si="288"/>
        <v>#N/A</v>
      </c>
      <c r="T202" t="e">
        <f ca="1">T$107</f>
        <v>#N/A</v>
      </c>
      <c r="U202" s="24" t="str">
        <f t="shared" ref="U202:AP202" si="289">G$25</f>
        <v>Jan2019</v>
      </c>
      <c r="V202" s="24" t="str">
        <f t="shared" si="289"/>
        <v>Feb2019</v>
      </c>
      <c r="W202" s="24" t="str">
        <f t="shared" si="289"/>
        <v>Mar2019</v>
      </c>
      <c r="X202" s="24" t="str">
        <f t="shared" si="289"/>
        <v>Apr2019</v>
      </c>
      <c r="Y202" s="24" t="str">
        <f t="shared" si="289"/>
        <v>May2019</v>
      </c>
      <c r="Z202" s="24" t="str">
        <f t="shared" si="289"/>
        <v>Jun2019</v>
      </c>
      <c r="AA202" s="24" t="str">
        <f t="shared" si="289"/>
        <v>Jul2019</v>
      </c>
      <c r="AB202" s="24" t="str">
        <f t="shared" si="289"/>
        <v>Aug2019</v>
      </c>
      <c r="AC202" s="24" t="str">
        <f t="shared" si="289"/>
        <v>Sep2019</v>
      </c>
      <c r="AD202" s="24" t="str">
        <f t="shared" si="289"/>
        <v>Oct2019</v>
      </c>
      <c r="AE202" s="24" t="str">
        <f t="shared" si="289"/>
        <v>Nov2019</v>
      </c>
      <c r="AF202" s="24" t="str">
        <f t="shared" si="289"/>
        <v>Dec2019</v>
      </c>
      <c r="AG202" s="24" t="str">
        <f t="shared" si="289"/>
        <v>Jan2020</v>
      </c>
      <c r="AH202" s="24" t="str">
        <f t="shared" si="289"/>
        <v>Feb2020</v>
      </c>
      <c r="AI202" s="24" t="str">
        <f t="shared" si="289"/>
        <v>Mar2020</v>
      </c>
      <c r="AJ202" s="24" t="str">
        <f t="shared" si="289"/>
        <v>Apr2020</v>
      </c>
      <c r="AK202" s="24" t="str">
        <f t="shared" si="289"/>
        <v>May2020</v>
      </c>
      <c r="AL202" s="24" t="str">
        <f t="shared" si="289"/>
        <v>Jun2020</v>
      </c>
      <c r="AM202" s="24" t="str">
        <f t="shared" si="289"/>
        <v>Jul2020</v>
      </c>
      <c r="AN202" s="24" t="str">
        <f t="shared" si="289"/>
        <v>Aug2020</v>
      </c>
      <c r="AO202" s="24" t="str">
        <f t="shared" si="289"/>
        <v>Sep2020</v>
      </c>
      <c r="AP202" s="24" t="str">
        <f t="shared" si="289"/>
        <v>Oct2020</v>
      </c>
      <c r="AQ202" s="24" t="str">
        <f t="shared" ref="AQ202:AR202" si="290">Q$25</f>
        <v>Nov2019</v>
      </c>
      <c r="AR202" s="24" t="str">
        <f t="shared" si="290"/>
        <v>Dec2019</v>
      </c>
      <c r="AS202" s="24" t="str">
        <f t="shared" ref="AS202:BD202" si="291">AE$25</f>
        <v>Jan2021</v>
      </c>
      <c r="AT202" s="24" t="str">
        <f t="shared" si="291"/>
        <v>Feb2021</v>
      </c>
      <c r="AU202" s="24" t="str">
        <f t="shared" si="291"/>
        <v>Mar2021</v>
      </c>
      <c r="AV202" s="24" t="str">
        <f t="shared" si="291"/>
        <v>Apr2021</v>
      </c>
      <c r="AW202" s="24" t="str">
        <f t="shared" si="291"/>
        <v>May2021</v>
      </c>
      <c r="AX202" s="24" t="str">
        <f t="shared" si="291"/>
        <v>Jun2021</v>
      </c>
      <c r="AY202" s="24" t="str">
        <f t="shared" si="291"/>
        <v>Jul2021</v>
      </c>
      <c r="AZ202" s="24" t="str">
        <f t="shared" si="291"/>
        <v>Aug2021</v>
      </c>
      <c r="BA202" s="24" t="str">
        <f t="shared" si="291"/>
        <v>Sep2021</v>
      </c>
      <c r="BB202" s="24" t="str">
        <f t="shared" si="291"/>
        <v>Oct2021</v>
      </c>
      <c r="BC202" s="24" t="str">
        <f t="shared" si="291"/>
        <v>Nov2021</v>
      </c>
      <c r="BD202" s="24" t="str">
        <f t="shared" si="291"/>
        <v>Dec2021</v>
      </c>
      <c r="BS202"/>
      <c r="BT202"/>
      <c r="BU202"/>
      <c r="CA202"/>
    </row>
    <row r="203" spans="3:79" hidden="1" outlineLevel="1" x14ac:dyDescent="0.25">
      <c r="C203" t="str">
        <f>C126</f>
        <v>Préservatifs masculin</v>
      </c>
      <c r="D203" t="str">
        <f>IF(Language="English", $BS203, $BT203)</f>
        <v>Les données mensuelles</v>
      </c>
      <c r="G203" s="2" t="e">
        <f t="shared" ref="G203:AS203" ca="1" si="292">VLOOKUP($C203, $C$25:$AP$51, MATCH(G202, $C$25:$AP$25, 0), FALSE)</f>
        <v>#N/A</v>
      </c>
      <c r="H203" s="2" t="e">
        <f t="shared" ca="1" si="292"/>
        <v>#N/A</v>
      </c>
      <c r="I203" s="2" t="e">
        <f t="shared" ca="1" si="292"/>
        <v>#N/A</v>
      </c>
      <c r="J203" s="2" t="e">
        <f t="shared" ca="1" si="292"/>
        <v>#N/A</v>
      </c>
      <c r="K203" s="2" t="e">
        <f t="shared" ca="1" si="292"/>
        <v>#N/A</v>
      </c>
      <c r="L203" s="2" t="e">
        <f t="shared" ca="1" si="292"/>
        <v>#N/A</v>
      </c>
      <c r="M203" s="2" t="e">
        <f t="shared" ca="1" si="292"/>
        <v>#N/A</v>
      </c>
      <c r="N203" s="2" t="e">
        <f t="shared" ca="1" si="292"/>
        <v>#N/A</v>
      </c>
      <c r="O203" s="2" t="e">
        <f t="shared" ca="1" si="292"/>
        <v>#N/A</v>
      </c>
      <c r="P203" s="2" t="e">
        <f t="shared" ca="1" si="292"/>
        <v>#N/A</v>
      </c>
      <c r="Q203" s="2" t="e">
        <f t="shared" ca="1" si="292"/>
        <v>#N/A</v>
      </c>
      <c r="R203" s="2" t="e">
        <f t="shared" ca="1" si="292"/>
        <v>#N/A</v>
      </c>
      <c r="S203" s="2" t="e">
        <f t="shared" ca="1" si="292"/>
        <v>#N/A</v>
      </c>
      <c r="T203" s="2" t="e">
        <f t="shared" ca="1" si="292"/>
        <v>#N/A</v>
      </c>
      <c r="U203" s="2">
        <f t="shared" si="292"/>
        <v>0</v>
      </c>
      <c r="V203" s="2">
        <f t="shared" si="292"/>
        <v>0</v>
      </c>
      <c r="W203" s="2">
        <f t="shared" si="292"/>
        <v>0</v>
      </c>
      <c r="X203" s="2">
        <f t="shared" si="292"/>
        <v>0</v>
      </c>
      <c r="Y203" s="2">
        <f t="shared" si="292"/>
        <v>0</v>
      </c>
      <c r="Z203" s="2">
        <f t="shared" si="292"/>
        <v>0</v>
      </c>
      <c r="AA203" s="2">
        <f t="shared" si="292"/>
        <v>0</v>
      </c>
      <c r="AB203" s="2">
        <f t="shared" si="292"/>
        <v>0</v>
      </c>
      <c r="AC203" s="2">
        <f t="shared" si="292"/>
        <v>0</v>
      </c>
      <c r="AD203" s="2">
        <f t="shared" si="292"/>
        <v>0</v>
      </c>
      <c r="AE203" s="2">
        <f t="shared" si="292"/>
        <v>0</v>
      </c>
      <c r="AF203" s="2">
        <f t="shared" si="292"/>
        <v>0</v>
      </c>
      <c r="AG203" s="2">
        <f t="shared" si="292"/>
        <v>0</v>
      </c>
      <c r="AH203" s="2">
        <f t="shared" si="292"/>
        <v>0</v>
      </c>
      <c r="AI203" s="2">
        <f t="shared" si="292"/>
        <v>0</v>
      </c>
      <c r="AJ203" s="2">
        <f t="shared" si="292"/>
        <v>0</v>
      </c>
      <c r="AK203" s="2">
        <f t="shared" si="292"/>
        <v>0</v>
      </c>
      <c r="AL203" s="2">
        <f t="shared" si="292"/>
        <v>0</v>
      </c>
      <c r="AM203" s="2">
        <f t="shared" si="292"/>
        <v>0</v>
      </c>
      <c r="AN203" s="2">
        <f t="shared" si="292"/>
        <v>0</v>
      </c>
      <c r="AO203" s="2">
        <f t="shared" si="292"/>
        <v>0</v>
      </c>
      <c r="AP203" s="2">
        <f t="shared" si="292"/>
        <v>0</v>
      </c>
      <c r="AQ203" s="2">
        <f t="shared" si="292"/>
        <v>0</v>
      </c>
      <c r="AR203" s="2">
        <f t="shared" si="292"/>
        <v>0</v>
      </c>
      <c r="AS203" s="2">
        <f t="shared" si="292"/>
        <v>0</v>
      </c>
      <c r="AT203" s="2">
        <f t="shared" ref="AT203:AY203" si="293">VLOOKUP($C203, $C$25:$AP$51, MATCH(AT202, $C$25:$AP$25, 0), FALSE)</f>
        <v>0</v>
      </c>
      <c r="AU203" s="2">
        <f t="shared" si="293"/>
        <v>0</v>
      </c>
      <c r="AV203" s="2">
        <f t="shared" si="293"/>
        <v>0</v>
      </c>
      <c r="AW203" s="2">
        <f t="shared" si="293"/>
        <v>0</v>
      </c>
      <c r="AX203" s="2">
        <f t="shared" si="293"/>
        <v>0</v>
      </c>
      <c r="AY203" s="2">
        <f t="shared" si="293"/>
        <v>0</v>
      </c>
      <c r="AZ203" s="2">
        <f>VLOOKUP($C203, $C$25:$AP$51, MATCH(AZ202, $C$25:$AP$25, 0), FALSE)</f>
        <v>0</v>
      </c>
      <c r="BA203" s="2">
        <f>VLOOKUP($C203, $C$25:$AP$51, MATCH(BA202, $C$25:$AP$25, 0), FALSE)</f>
        <v>0</v>
      </c>
      <c r="BB203" s="2">
        <f>VLOOKUP($C203, $C$25:$AP$51, MATCH(BB202, $C$25:$AP$25, 0), FALSE)</f>
        <v>0</v>
      </c>
      <c r="BC203" s="2">
        <f>VLOOKUP($C203, $C$25:$AP$51, MATCH(BC202, $C$25:$AP$25, 0), FALSE)</f>
        <v>0</v>
      </c>
      <c r="BD203" s="2">
        <f>VLOOKUP($C203, $C$25:$AP$51, MATCH(BD202, $C$25:$AP$25, 0), FALSE)</f>
        <v>0</v>
      </c>
      <c r="BS203" t="s">
        <v>2066</v>
      </c>
      <c r="BT203" t="s">
        <v>2410</v>
      </c>
      <c r="BU203"/>
      <c r="CA203"/>
    </row>
    <row r="204" spans="3:79" hidden="1" outlineLevel="1" x14ac:dyDescent="0.25">
      <c r="C204" t="str">
        <f>C126</f>
        <v>Préservatifs masculin</v>
      </c>
      <c r="D204" t="str">
        <f>IF(Language="English", $BS204, $BT204)</f>
        <v>Les données annuelles (moyenne mensuelle)</v>
      </c>
      <c r="G204" s="2" t="e">
        <f ca="1">VLOOKUP($C204, $C$109:$V$132, MATCH(G$137, $C$107:$V$107, 0), FALSE)</f>
        <v>#N/A</v>
      </c>
      <c r="H204" s="2" t="e">
        <f t="shared" ref="H204:T204" ca="1" si="294">VLOOKUP($C204, $C$109:$V$132, MATCH(H$137, $C$107:$V$107, 0), FALSE)</f>
        <v>#N/A</v>
      </c>
      <c r="I204" s="2" t="e">
        <f t="shared" ca="1" si="294"/>
        <v>#N/A</v>
      </c>
      <c r="J204" s="2" t="e">
        <f t="shared" ca="1" si="294"/>
        <v>#N/A</v>
      </c>
      <c r="K204" s="2" t="e">
        <f t="shared" ca="1" si="294"/>
        <v>#N/A</v>
      </c>
      <c r="L204" s="2" t="e">
        <f t="shared" ca="1" si="294"/>
        <v>#N/A</v>
      </c>
      <c r="M204" s="2" t="e">
        <f t="shared" ca="1" si="294"/>
        <v>#N/A</v>
      </c>
      <c r="N204" s="2" t="e">
        <f t="shared" ca="1" si="294"/>
        <v>#N/A</v>
      </c>
      <c r="O204" s="2" t="e">
        <f t="shared" ca="1" si="294"/>
        <v>#N/A</v>
      </c>
      <c r="P204" s="2" t="e">
        <f t="shared" ca="1" si="294"/>
        <v>#N/A</v>
      </c>
      <c r="Q204" s="2" t="e">
        <f t="shared" ca="1" si="294"/>
        <v>#N/A</v>
      </c>
      <c r="R204" s="2" t="e">
        <f t="shared" ca="1" si="294"/>
        <v>#N/A</v>
      </c>
      <c r="S204" s="2" t="e">
        <f t="shared" ca="1" si="294"/>
        <v>#N/A</v>
      </c>
      <c r="T204" s="2" t="e">
        <f t="shared" ca="1" si="294"/>
        <v>#N/A</v>
      </c>
      <c r="U204" s="2" t="e">
        <f ca="1">VLOOKUP($C204, $C$109:$V$132, MATCH(U$136, $C$107:$V$107, 0), FALSE)</f>
        <v>#N/A</v>
      </c>
      <c r="V204" s="2" t="e">
        <f t="shared" ref="V204:AF204" ca="1" si="295">VLOOKUP($C204, $C$109:$V$132, MATCH(V$136, $C$107:$V$107, 0), FALSE)</f>
        <v>#N/A</v>
      </c>
      <c r="W204" s="2" t="e">
        <f t="shared" ca="1" si="295"/>
        <v>#N/A</v>
      </c>
      <c r="X204" s="2" t="e">
        <f t="shared" ca="1" si="295"/>
        <v>#N/A</v>
      </c>
      <c r="Y204" s="2" t="e">
        <f t="shared" ca="1" si="295"/>
        <v>#N/A</v>
      </c>
      <c r="Z204" s="2" t="e">
        <f t="shared" ca="1" si="295"/>
        <v>#N/A</v>
      </c>
      <c r="AA204" s="2" t="e">
        <f t="shared" ca="1" si="295"/>
        <v>#N/A</v>
      </c>
      <c r="AB204" s="2" t="e">
        <f t="shared" ca="1" si="295"/>
        <v>#N/A</v>
      </c>
      <c r="AC204" s="2" t="e">
        <f t="shared" ca="1" si="295"/>
        <v>#N/A</v>
      </c>
      <c r="AD204" s="2" t="e">
        <f t="shared" ca="1" si="295"/>
        <v>#N/A</v>
      </c>
      <c r="AE204" s="2" t="e">
        <f t="shared" ca="1" si="295"/>
        <v>#N/A</v>
      </c>
      <c r="AF204" s="2" t="e">
        <f t="shared" ca="1" si="295"/>
        <v>#N/A</v>
      </c>
      <c r="AG204" s="2" t="e">
        <f ca="1">VLOOKUP($C204, $C$109:$V$132, MATCH(AG$136, $C$107:$V$107, 0), FALSE)</f>
        <v>#N/A</v>
      </c>
      <c r="AH204" s="2" t="e">
        <f t="shared" ref="AH204:BD204" ca="1" si="296">VLOOKUP($C204, $C$109:$V$132, MATCH(AH$136, $C$107:$V$107, 0), FALSE)</f>
        <v>#N/A</v>
      </c>
      <c r="AI204" s="2" t="e">
        <f t="shared" ca="1" si="296"/>
        <v>#N/A</v>
      </c>
      <c r="AJ204" s="2" t="e">
        <f t="shared" ca="1" si="296"/>
        <v>#N/A</v>
      </c>
      <c r="AK204" s="2" t="e">
        <f t="shared" ca="1" si="296"/>
        <v>#N/A</v>
      </c>
      <c r="AL204" s="2" t="e">
        <f t="shared" ca="1" si="296"/>
        <v>#N/A</v>
      </c>
      <c r="AM204" s="2" t="e">
        <f t="shared" ca="1" si="296"/>
        <v>#N/A</v>
      </c>
      <c r="AN204" s="2" t="e">
        <f t="shared" ca="1" si="296"/>
        <v>#N/A</v>
      </c>
      <c r="AO204" s="2" t="e">
        <f t="shared" ca="1" si="296"/>
        <v>#N/A</v>
      </c>
      <c r="AP204" s="2" t="e">
        <f t="shared" ca="1" si="296"/>
        <v>#N/A</v>
      </c>
      <c r="AQ204" s="2" t="e">
        <f t="shared" ca="1" si="296"/>
        <v>#N/A</v>
      </c>
      <c r="AR204" s="2" t="e">
        <f t="shared" ca="1" si="296"/>
        <v>#N/A</v>
      </c>
      <c r="AS204" s="2" t="e">
        <f t="shared" ca="1" si="296"/>
        <v>#N/A</v>
      </c>
      <c r="AT204" s="2" t="e">
        <f t="shared" ca="1" si="296"/>
        <v>#N/A</v>
      </c>
      <c r="AU204" s="2" t="e">
        <f t="shared" ca="1" si="296"/>
        <v>#N/A</v>
      </c>
      <c r="AV204" s="2" t="e">
        <f t="shared" ca="1" si="296"/>
        <v>#N/A</v>
      </c>
      <c r="AW204" s="2" t="e">
        <f t="shared" ca="1" si="296"/>
        <v>#N/A</v>
      </c>
      <c r="AX204" s="2" t="e">
        <f t="shared" ca="1" si="296"/>
        <v>#N/A</v>
      </c>
      <c r="AY204" s="2" t="e">
        <f t="shared" ca="1" si="296"/>
        <v>#N/A</v>
      </c>
      <c r="AZ204" s="2" t="e">
        <f t="shared" ca="1" si="296"/>
        <v>#N/A</v>
      </c>
      <c r="BA204" s="2" t="e">
        <f t="shared" ca="1" si="296"/>
        <v>#N/A</v>
      </c>
      <c r="BB204" s="2" t="e">
        <f t="shared" ca="1" si="296"/>
        <v>#N/A</v>
      </c>
      <c r="BC204" s="2" t="e">
        <f t="shared" ca="1" si="296"/>
        <v>#N/A</v>
      </c>
      <c r="BD204" s="2" t="e">
        <f t="shared" ca="1" si="296"/>
        <v>#N/A</v>
      </c>
      <c r="BS204" t="s">
        <v>2067</v>
      </c>
      <c r="BT204" t="s">
        <v>2407</v>
      </c>
      <c r="BU204"/>
      <c r="CA204"/>
    </row>
    <row r="205" spans="3:79" hidden="1" outlineLevel="1" x14ac:dyDescent="0.25">
      <c r="D205" t="str">
        <f>IF(Language="English", $BS205, $BT205)</f>
        <v>Mois avec restrictions COVID</v>
      </c>
      <c r="G205" s="2"/>
      <c r="H205" s="2"/>
      <c r="I205" s="2"/>
      <c r="J205" s="2"/>
      <c r="K205" s="2"/>
      <c r="L205" s="2"/>
      <c r="M205" s="2"/>
      <c r="N205" s="2"/>
      <c r="O205" s="2"/>
      <c r="P205" s="2"/>
      <c r="Q205" s="2"/>
      <c r="R205" s="2"/>
      <c r="S205" s="2"/>
      <c r="T205" s="2"/>
      <c r="U205" s="2">
        <f>G$57</f>
        <v>0</v>
      </c>
      <c r="V205" s="2">
        <f t="shared" ref="V205:BD205" si="297">H$57</f>
        <v>0</v>
      </c>
      <c r="W205" s="2">
        <f t="shared" si="297"/>
        <v>0</v>
      </c>
      <c r="X205" s="2">
        <f t="shared" si="297"/>
        <v>0</v>
      </c>
      <c r="Y205" s="2">
        <f t="shared" si="297"/>
        <v>0</v>
      </c>
      <c r="Z205" s="2">
        <f t="shared" si="297"/>
        <v>0</v>
      </c>
      <c r="AA205" s="2">
        <f t="shared" si="297"/>
        <v>0</v>
      </c>
      <c r="AB205" s="2">
        <f t="shared" si="297"/>
        <v>0</v>
      </c>
      <c r="AC205" s="2">
        <f t="shared" si="297"/>
        <v>0</v>
      </c>
      <c r="AD205" s="2">
        <f t="shared" si="297"/>
        <v>0</v>
      </c>
      <c r="AE205" s="2">
        <f t="shared" si="297"/>
        <v>0</v>
      </c>
      <c r="AF205" s="2">
        <f t="shared" si="297"/>
        <v>0</v>
      </c>
      <c r="AG205" s="2" t="e">
        <f t="shared" si="297"/>
        <v>#N/A</v>
      </c>
      <c r="AH205" s="2" t="e">
        <f t="shared" si="297"/>
        <v>#N/A</v>
      </c>
      <c r="AI205" s="2" t="e">
        <f t="shared" si="297"/>
        <v>#N/A</v>
      </c>
      <c r="AJ205" s="2" t="e">
        <f t="shared" si="297"/>
        <v>#N/A</v>
      </c>
      <c r="AK205" s="2" t="e">
        <f t="shared" si="297"/>
        <v>#N/A</v>
      </c>
      <c r="AL205" s="2" t="e">
        <f t="shared" si="297"/>
        <v>#N/A</v>
      </c>
      <c r="AM205" s="2" t="e">
        <f t="shared" si="297"/>
        <v>#N/A</v>
      </c>
      <c r="AN205" s="2" t="e">
        <f t="shared" si="297"/>
        <v>#N/A</v>
      </c>
      <c r="AO205" s="2" t="e">
        <f t="shared" si="297"/>
        <v>#N/A</v>
      </c>
      <c r="AP205" s="2" t="e">
        <f t="shared" si="297"/>
        <v>#N/A</v>
      </c>
      <c r="AQ205" s="2" t="e">
        <f t="shared" si="297"/>
        <v>#N/A</v>
      </c>
      <c r="AR205" s="2" t="e">
        <f t="shared" si="297"/>
        <v>#N/A</v>
      </c>
      <c r="AS205" s="2" t="e">
        <f t="shared" si="297"/>
        <v>#N/A</v>
      </c>
      <c r="AT205" s="2" t="e">
        <f t="shared" si="297"/>
        <v>#N/A</v>
      </c>
      <c r="AU205" s="2" t="e">
        <f t="shared" si="297"/>
        <v>#N/A</v>
      </c>
      <c r="AV205" s="2" t="e">
        <f t="shared" si="297"/>
        <v>#N/A</v>
      </c>
      <c r="AW205" s="2" t="e">
        <f t="shared" si="297"/>
        <v>#N/A</v>
      </c>
      <c r="AX205" s="2" t="e">
        <f t="shared" si="297"/>
        <v>#N/A</v>
      </c>
      <c r="AY205" s="2" t="e">
        <f t="shared" si="297"/>
        <v>#N/A</v>
      </c>
      <c r="AZ205" s="2" t="e">
        <f t="shared" si="297"/>
        <v>#N/A</v>
      </c>
      <c r="BA205" s="2" t="e">
        <f t="shared" si="297"/>
        <v>#N/A</v>
      </c>
      <c r="BB205" s="2" t="e">
        <f t="shared" si="297"/>
        <v>#N/A</v>
      </c>
      <c r="BC205" s="2" t="e">
        <f t="shared" si="297"/>
        <v>#N/A</v>
      </c>
      <c r="BD205" s="2" t="e">
        <f t="shared" si="297"/>
        <v>#N/A</v>
      </c>
      <c r="BS205" t="s">
        <v>2068</v>
      </c>
      <c r="BT205" t="s">
        <v>2402</v>
      </c>
      <c r="BU205"/>
      <c r="CA205"/>
    </row>
    <row r="206" spans="3:79" hidden="1" outlineLevel="1" x14ac:dyDescent="0.25">
      <c r="BS206"/>
      <c r="BT206"/>
    </row>
    <row r="207" spans="3:79" hidden="1" outlineLevel="1" x14ac:dyDescent="0.25">
      <c r="G207" t="e">
        <f t="shared" ref="G207:S207" ca="1" si="298">G$107</f>
        <v>#N/A</v>
      </c>
      <c r="H207" t="e">
        <f t="shared" ca="1" si="298"/>
        <v>#N/A</v>
      </c>
      <c r="I207" t="e">
        <f t="shared" ca="1" si="298"/>
        <v>#N/A</v>
      </c>
      <c r="J207" t="e">
        <f t="shared" ca="1" si="298"/>
        <v>#N/A</v>
      </c>
      <c r="K207" t="e">
        <f t="shared" ca="1" si="298"/>
        <v>#N/A</v>
      </c>
      <c r="L207" t="e">
        <f t="shared" ca="1" si="298"/>
        <v>#N/A</v>
      </c>
      <c r="M207" t="e">
        <f t="shared" ca="1" si="298"/>
        <v>#N/A</v>
      </c>
      <c r="N207" t="e">
        <f t="shared" ca="1" si="298"/>
        <v>#N/A</v>
      </c>
      <c r="O207" t="e">
        <f t="shared" ca="1" si="298"/>
        <v>#N/A</v>
      </c>
      <c r="P207" t="e">
        <f t="shared" ca="1" si="298"/>
        <v>#N/A</v>
      </c>
      <c r="Q207" t="e">
        <f t="shared" ca="1" si="298"/>
        <v>#N/A</v>
      </c>
      <c r="R207" t="e">
        <f t="shared" ca="1" si="298"/>
        <v>#N/A</v>
      </c>
      <c r="S207" t="e">
        <f t="shared" ca="1" si="298"/>
        <v>#N/A</v>
      </c>
      <c r="T207" t="e">
        <f ca="1">T$107</f>
        <v>#N/A</v>
      </c>
      <c r="U207" s="24" t="str">
        <f t="shared" ref="U207:AP207" si="299">G$25</f>
        <v>Jan2019</v>
      </c>
      <c r="V207" s="24" t="str">
        <f t="shared" si="299"/>
        <v>Feb2019</v>
      </c>
      <c r="W207" s="24" t="str">
        <f t="shared" si="299"/>
        <v>Mar2019</v>
      </c>
      <c r="X207" s="24" t="str">
        <f t="shared" si="299"/>
        <v>Apr2019</v>
      </c>
      <c r="Y207" s="24" t="str">
        <f t="shared" si="299"/>
        <v>May2019</v>
      </c>
      <c r="Z207" s="24" t="str">
        <f t="shared" si="299"/>
        <v>Jun2019</v>
      </c>
      <c r="AA207" s="24" t="str">
        <f t="shared" si="299"/>
        <v>Jul2019</v>
      </c>
      <c r="AB207" s="24" t="str">
        <f t="shared" si="299"/>
        <v>Aug2019</v>
      </c>
      <c r="AC207" s="24" t="str">
        <f t="shared" si="299"/>
        <v>Sep2019</v>
      </c>
      <c r="AD207" s="24" t="str">
        <f t="shared" si="299"/>
        <v>Oct2019</v>
      </c>
      <c r="AE207" s="24" t="str">
        <f t="shared" si="299"/>
        <v>Nov2019</v>
      </c>
      <c r="AF207" s="24" t="str">
        <f t="shared" si="299"/>
        <v>Dec2019</v>
      </c>
      <c r="AG207" s="24" t="str">
        <f t="shared" si="299"/>
        <v>Jan2020</v>
      </c>
      <c r="AH207" s="24" t="str">
        <f t="shared" si="299"/>
        <v>Feb2020</v>
      </c>
      <c r="AI207" s="24" t="str">
        <f t="shared" si="299"/>
        <v>Mar2020</v>
      </c>
      <c r="AJ207" s="24" t="str">
        <f t="shared" si="299"/>
        <v>Apr2020</v>
      </c>
      <c r="AK207" s="24" t="str">
        <f t="shared" si="299"/>
        <v>May2020</v>
      </c>
      <c r="AL207" s="24" t="str">
        <f t="shared" si="299"/>
        <v>Jun2020</v>
      </c>
      <c r="AM207" s="24" t="str">
        <f t="shared" si="299"/>
        <v>Jul2020</v>
      </c>
      <c r="AN207" s="24" t="str">
        <f t="shared" si="299"/>
        <v>Aug2020</v>
      </c>
      <c r="AO207" s="24" t="str">
        <f t="shared" si="299"/>
        <v>Sep2020</v>
      </c>
      <c r="AP207" s="24" t="str">
        <f t="shared" si="299"/>
        <v>Oct2020</v>
      </c>
      <c r="AQ207" s="24" t="str">
        <f t="shared" ref="AQ207:AR207" si="300">Q$25</f>
        <v>Nov2019</v>
      </c>
      <c r="AR207" s="24" t="str">
        <f t="shared" si="300"/>
        <v>Dec2019</v>
      </c>
      <c r="AS207" s="24" t="str">
        <f t="shared" ref="AS207:BD207" si="301">AE$25</f>
        <v>Jan2021</v>
      </c>
      <c r="AT207" s="24" t="str">
        <f t="shared" si="301"/>
        <v>Feb2021</v>
      </c>
      <c r="AU207" s="24" t="str">
        <f t="shared" si="301"/>
        <v>Mar2021</v>
      </c>
      <c r="AV207" s="24" t="str">
        <f t="shared" si="301"/>
        <v>Apr2021</v>
      </c>
      <c r="AW207" s="24" t="str">
        <f t="shared" si="301"/>
        <v>May2021</v>
      </c>
      <c r="AX207" s="24" t="str">
        <f t="shared" si="301"/>
        <v>Jun2021</v>
      </c>
      <c r="AY207" s="24" t="str">
        <f t="shared" si="301"/>
        <v>Jul2021</v>
      </c>
      <c r="AZ207" s="24" t="str">
        <f t="shared" si="301"/>
        <v>Aug2021</v>
      </c>
      <c r="BA207" s="24" t="str">
        <f t="shared" si="301"/>
        <v>Sep2021</v>
      </c>
      <c r="BB207" s="24" t="str">
        <f t="shared" si="301"/>
        <v>Oct2021</v>
      </c>
      <c r="BC207" s="24" t="str">
        <f t="shared" si="301"/>
        <v>Nov2021</v>
      </c>
      <c r="BD207" s="24" t="str">
        <f t="shared" si="301"/>
        <v>Dec2021</v>
      </c>
      <c r="BS207"/>
      <c r="BT207"/>
      <c r="BU207"/>
      <c r="CA207"/>
    </row>
    <row r="208" spans="3:79" hidden="1" outlineLevel="1" x14ac:dyDescent="0.25">
      <c r="C208" t="str">
        <f>C132</f>
        <v>CU</v>
      </c>
      <c r="D208" t="str">
        <f>IF(Language="English", $BS208, $BT208)</f>
        <v>Les données mensuelles</v>
      </c>
      <c r="G208" s="2" t="e">
        <f t="shared" ref="G208:AS208" ca="1" si="302">VLOOKUP($C208, $C$25:$AP$51, MATCH(G207, $C$25:$AP$25, 0), FALSE)</f>
        <v>#N/A</v>
      </c>
      <c r="H208" s="2" t="e">
        <f t="shared" ca="1" si="302"/>
        <v>#N/A</v>
      </c>
      <c r="I208" s="2" t="e">
        <f t="shared" ca="1" si="302"/>
        <v>#N/A</v>
      </c>
      <c r="J208" s="2" t="e">
        <f t="shared" ca="1" si="302"/>
        <v>#N/A</v>
      </c>
      <c r="K208" s="2" t="e">
        <f t="shared" ca="1" si="302"/>
        <v>#N/A</v>
      </c>
      <c r="L208" s="2" t="e">
        <f t="shared" ca="1" si="302"/>
        <v>#N/A</v>
      </c>
      <c r="M208" s="2" t="e">
        <f t="shared" ca="1" si="302"/>
        <v>#N/A</v>
      </c>
      <c r="N208" s="2" t="e">
        <f t="shared" ca="1" si="302"/>
        <v>#N/A</v>
      </c>
      <c r="O208" s="2" t="e">
        <f t="shared" ca="1" si="302"/>
        <v>#N/A</v>
      </c>
      <c r="P208" s="2" t="e">
        <f t="shared" ca="1" si="302"/>
        <v>#N/A</v>
      </c>
      <c r="Q208" s="2" t="e">
        <f t="shared" ca="1" si="302"/>
        <v>#N/A</v>
      </c>
      <c r="R208" s="2" t="e">
        <f t="shared" ca="1" si="302"/>
        <v>#N/A</v>
      </c>
      <c r="S208" s="2" t="e">
        <f t="shared" ca="1" si="302"/>
        <v>#N/A</v>
      </c>
      <c r="T208" s="2" t="e">
        <f t="shared" ca="1" si="302"/>
        <v>#N/A</v>
      </c>
      <c r="U208" s="2">
        <f t="shared" si="302"/>
        <v>0</v>
      </c>
      <c r="V208" s="2">
        <f t="shared" si="302"/>
        <v>0</v>
      </c>
      <c r="W208" s="2">
        <f t="shared" si="302"/>
        <v>0</v>
      </c>
      <c r="X208" s="2">
        <f t="shared" si="302"/>
        <v>0</v>
      </c>
      <c r="Y208" s="2">
        <f t="shared" si="302"/>
        <v>0</v>
      </c>
      <c r="Z208" s="2">
        <f t="shared" si="302"/>
        <v>0</v>
      </c>
      <c r="AA208" s="2">
        <f t="shared" si="302"/>
        <v>0</v>
      </c>
      <c r="AB208" s="2">
        <f t="shared" si="302"/>
        <v>0</v>
      </c>
      <c r="AC208" s="2">
        <f t="shared" si="302"/>
        <v>0</v>
      </c>
      <c r="AD208" s="2">
        <f t="shared" si="302"/>
        <v>0</v>
      </c>
      <c r="AE208" s="2">
        <f t="shared" si="302"/>
        <v>0</v>
      </c>
      <c r="AF208" s="2">
        <f t="shared" si="302"/>
        <v>0</v>
      </c>
      <c r="AG208" s="2">
        <f t="shared" si="302"/>
        <v>0</v>
      </c>
      <c r="AH208" s="2">
        <f t="shared" si="302"/>
        <v>0</v>
      </c>
      <c r="AI208" s="2">
        <f t="shared" si="302"/>
        <v>0</v>
      </c>
      <c r="AJ208" s="2">
        <f t="shared" si="302"/>
        <v>0</v>
      </c>
      <c r="AK208" s="2">
        <f t="shared" si="302"/>
        <v>0</v>
      </c>
      <c r="AL208" s="2">
        <f t="shared" si="302"/>
        <v>0</v>
      </c>
      <c r="AM208" s="2">
        <f t="shared" si="302"/>
        <v>0</v>
      </c>
      <c r="AN208" s="2">
        <f t="shared" si="302"/>
        <v>0</v>
      </c>
      <c r="AO208" s="2">
        <f t="shared" si="302"/>
        <v>0</v>
      </c>
      <c r="AP208" s="2">
        <f t="shared" si="302"/>
        <v>0</v>
      </c>
      <c r="AQ208" s="2">
        <f t="shared" si="302"/>
        <v>0</v>
      </c>
      <c r="AR208" s="2">
        <f t="shared" si="302"/>
        <v>0</v>
      </c>
      <c r="AS208" s="2">
        <f t="shared" si="302"/>
        <v>0</v>
      </c>
      <c r="AT208" s="2">
        <f t="shared" ref="AT208:AY208" si="303">VLOOKUP($C208, $C$25:$AP$51, MATCH(AT207, $C$25:$AP$25, 0), FALSE)</f>
        <v>0</v>
      </c>
      <c r="AU208" s="2">
        <f t="shared" si="303"/>
        <v>0</v>
      </c>
      <c r="AV208" s="2">
        <f t="shared" si="303"/>
        <v>0</v>
      </c>
      <c r="AW208" s="2">
        <f t="shared" si="303"/>
        <v>0</v>
      </c>
      <c r="AX208" s="2">
        <f t="shared" si="303"/>
        <v>0</v>
      </c>
      <c r="AY208" s="2">
        <f t="shared" si="303"/>
        <v>0</v>
      </c>
      <c r="AZ208" s="2">
        <f>VLOOKUP($C208, $C$25:$AP$51, MATCH(AZ207, $C$25:$AP$25, 0), FALSE)</f>
        <v>0</v>
      </c>
      <c r="BA208" s="2">
        <f>VLOOKUP($C208, $C$25:$AP$51, MATCH(BA207, $C$25:$AP$25, 0), FALSE)</f>
        <v>0</v>
      </c>
      <c r="BB208" s="2">
        <f>VLOOKUP($C208, $C$25:$AP$51, MATCH(BB207, $C$25:$AP$25, 0), FALSE)</f>
        <v>0</v>
      </c>
      <c r="BC208" s="2">
        <f>VLOOKUP($C208, $C$25:$AP$51, MATCH(BC207, $C$25:$AP$25, 0), FALSE)</f>
        <v>0</v>
      </c>
      <c r="BD208" s="2">
        <f>VLOOKUP($C208, $C$25:$AP$51, MATCH(BD207, $C$25:$AP$25, 0), FALSE)</f>
        <v>0</v>
      </c>
      <c r="BS208" t="s">
        <v>2066</v>
      </c>
      <c r="BT208" t="s">
        <v>2410</v>
      </c>
      <c r="BU208"/>
      <c r="CA208"/>
    </row>
    <row r="209" spans="2:117" hidden="1" outlineLevel="1" x14ac:dyDescent="0.25">
      <c r="C209" t="str">
        <f>C132</f>
        <v>CU</v>
      </c>
      <c r="D209" t="str">
        <f>IF(Language="English", $BS209, $BT209)</f>
        <v>Les données annuelles (moyenne mensuelle)</v>
      </c>
      <c r="G209" s="2" t="e">
        <f ca="1">VLOOKUP($C209, $C$109:$V$132, MATCH(G$137, $C$107:$V$107, 0), FALSE)</f>
        <v>#N/A</v>
      </c>
      <c r="H209" s="2" t="e">
        <f t="shared" ref="H209:T209" ca="1" si="304">VLOOKUP($C209, $C$109:$V$132, MATCH(H$137, $C$107:$V$107, 0), FALSE)</f>
        <v>#N/A</v>
      </c>
      <c r="I209" s="2" t="e">
        <f t="shared" ca="1" si="304"/>
        <v>#N/A</v>
      </c>
      <c r="J209" s="2" t="e">
        <f t="shared" ca="1" si="304"/>
        <v>#N/A</v>
      </c>
      <c r="K209" s="2" t="e">
        <f t="shared" ca="1" si="304"/>
        <v>#N/A</v>
      </c>
      <c r="L209" s="2" t="e">
        <f t="shared" ca="1" si="304"/>
        <v>#N/A</v>
      </c>
      <c r="M209" s="2" t="e">
        <f t="shared" ca="1" si="304"/>
        <v>#N/A</v>
      </c>
      <c r="N209" s="2" t="e">
        <f t="shared" ca="1" si="304"/>
        <v>#N/A</v>
      </c>
      <c r="O209" s="2" t="e">
        <f t="shared" ca="1" si="304"/>
        <v>#N/A</v>
      </c>
      <c r="P209" s="2" t="e">
        <f t="shared" ca="1" si="304"/>
        <v>#N/A</v>
      </c>
      <c r="Q209" s="2" t="e">
        <f t="shared" ca="1" si="304"/>
        <v>#N/A</v>
      </c>
      <c r="R209" s="2" t="e">
        <f t="shared" ca="1" si="304"/>
        <v>#N/A</v>
      </c>
      <c r="S209" s="2" t="e">
        <f t="shared" ca="1" si="304"/>
        <v>#N/A</v>
      </c>
      <c r="T209" s="2" t="e">
        <f t="shared" ca="1" si="304"/>
        <v>#N/A</v>
      </c>
      <c r="U209" s="2" t="e">
        <f ca="1">VLOOKUP($C209, $C$109:$V$132, MATCH(U$136, $C$107:$V$107, 0), FALSE)</f>
        <v>#N/A</v>
      </c>
      <c r="V209" s="2" t="e">
        <f t="shared" ref="V209:AF209" ca="1" si="305">VLOOKUP($C209, $C$109:$V$132, MATCH(V$136, $C$107:$V$107, 0), FALSE)</f>
        <v>#N/A</v>
      </c>
      <c r="W209" s="2" t="e">
        <f t="shared" ca="1" si="305"/>
        <v>#N/A</v>
      </c>
      <c r="X209" s="2" t="e">
        <f t="shared" ca="1" si="305"/>
        <v>#N/A</v>
      </c>
      <c r="Y209" s="2" t="e">
        <f t="shared" ca="1" si="305"/>
        <v>#N/A</v>
      </c>
      <c r="Z209" s="2" t="e">
        <f t="shared" ca="1" si="305"/>
        <v>#N/A</v>
      </c>
      <c r="AA209" s="2" t="e">
        <f t="shared" ca="1" si="305"/>
        <v>#N/A</v>
      </c>
      <c r="AB209" s="2" t="e">
        <f t="shared" ca="1" si="305"/>
        <v>#N/A</v>
      </c>
      <c r="AC209" s="2" t="e">
        <f t="shared" ca="1" si="305"/>
        <v>#N/A</v>
      </c>
      <c r="AD209" s="2" t="e">
        <f t="shared" ca="1" si="305"/>
        <v>#N/A</v>
      </c>
      <c r="AE209" s="2" t="e">
        <f t="shared" ca="1" si="305"/>
        <v>#N/A</v>
      </c>
      <c r="AF209" s="2" t="e">
        <f t="shared" ca="1" si="305"/>
        <v>#N/A</v>
      </c>
      <c r="AG209" s="2" t="e">
        <f ca="1">VLOOKUP($C209, $C$109:$V$132, MATCH(AG$136, $C$107:$V$107, 0), FALSE)</f>
        <v>#N/A</v>
      </c>
      <c r="AH209" s="2" t="e">
        <f t="shared" ref="AH209:BD209" ca="1" si="306">VLOOKUP($C209, $C$109:$V$132, MATCH(AH$136, $C$107:$V$107, 0), FALSE)</f>
        <v>#N/A</v>
      </c>
      <c r="AI209" s="2" t="e">
        <f t="shared" ca="1" si="306"/>
        <v>#N/A</v>
      </c>
      <c r="AJ209" s="2" t="e">
        <f t="shared" ca="1" si="306"/>
        <v>#N/A</v>
      </c>
      <c r="AK209" s="2" t="e">
        <f t="shared" ca="1" si="306"/>
        <v>#N/A</v>
      </c>
      <c r="AL209" s="2" t="e">
        <f t="shared" ca="1" si="306"/>
        <v>#N/A</v>
      </c>
      <c r="AM209" s="2" t="e">
        <f t="shared" ca="1" si="306"/>
        <v>#N/A</v>
      </c>
      <c r="AN209" s="2" t="e">
        <f t="shared" ca="1" si="306"/>
        <v>#N/A</v>
      </c>
      <c r="AO209" s="2" t="e">
        <f t="shared" ca="1" si="306"/>
        <v>#N/A</v>
      </c>
      <c r="AP209" s="2" t="e">
        <f t="shared" ca="1" si="306"/>
        <v>#N/A</v>
      </c>
      <c r="AQ209" s="2" t="e">
        <f t="shared" ca="1" si="306"/>
        <v>#N/A</v>
      </c>
      <c r="AR209" s="2" t="e">
        <f t="shared" ca="1" si="306"/>
        <v>#N/A</v>
      </c>
      <c r="AS209" s="2" t="e">
        <f t="shared" ca="1" si="306"/>
        <v>#N/A</v>
      </c>
      <c r="AT209" s="2" t="e">
        <f t="shared" ca="1" si="306"/>
        <v>#N/A</v>
      </c>
      <c r="AU209" s="2" t="e">
        <f t="shared" ca="1" si="306"/>
        <v>#N/A</v>
      </c>
      <c r="AV209" s="2" t="e">
        <f t="shared" ca="1" si="306"/>
        <v>#N/A</v>
      </c>
      <c r="AW209" s="2" t="e">
        <f t="shared" ca="1" si="306"/>
        <v>#N/A</v>
      </c>
      <c r="AX209" s="2" t="e">
        <f t="shared" ca="1" si="306"/>
        <v>#N/A</v>
      </c>
      <c r="AY209" s="2" t="e">
        <f t="shared" ca="1" si="306"/>
        <v>#N/A</v>
      </c>
      <c r="AZ209" s="2" t="e">
        <f t="shared" ca="1" si="306"/>
        <v>#N/A</v>
      </c>
      <c r="BA209" s="2" t="e">
        <f t="shared" ca="1" si="306"/>
        <v>#N/A</v>
      </c>
      <c r="BB209" s="2" t="e">
        <f t="shared" ca="1" si="306"/>
        <v>#N/A</v>
      </c>
      <c r="BC209" s="2" t="e">
        <f t="shared" ca="1" si="306"/>
        <v>#N/A</v>
      </c>
      <c r="BD209" s="2" t="e">
        <f t="shared" ca="1" si="306"/>
        <v>#N/A</v>
      </c>
      <c r="BS209" t="s">
        <v>2067</v>
      </c>
      <c r="BT209" t="s">
        <v>2407</v>
      </c>
      <c r="BU209"/>
      <c r="CA209"/>
    </row>
    <row r="210" spans="2:117" hidden="1" outlineLevel="1" x14ac:dyDescent="0.25">
      <c r="D210" t="str">
        <f>IF(Language="English", $BS210, $BT210)</f>
        <v>Mois avec restrictions COVID</v>
      </c>
      <c r="G210" s="2"/>
      <c r="H210" s="2"/>
      <c r="I210" s="2"/>
      <c r="J210" s="2"/>
      <c r="K210" s="2"/>
      <c r="L210" s="2"/>
      <c r="M210" s="2"/>
      <c r="N210" s="2"/>
      <c r="O210" s="2"/>
      <c r="P210" s="2"/>
      <c r="Q210" s="2"/>
      <c r="R210" s="2"/>
      <c r="S210" s="2"/>
      <c r="T210" s="2"/>
      <c r="U210" s="2">
        <f>G$57</f>
        <v>0</v>
      </c>
      <c r="V210" s="2">
        <f t="shared" ref="V210:BD210" si="307">H$57</f>
        <v>0</v>
      </c>
      <c r="W210" s="2">
        <f t="shared" si="307"/>
        <v>0</v>
      </c>
      <c r="X210" s="2">
        <f t="shared" si="307"/>
        <v>0</v>
      </c>
      <c r="Y210" s="2">
        <f t="shared" si="307"/>
        <v>0</v>
      </c>
      <c r="Z210" s="2">
        <f t="shared" si="307"/>
        <v>0</v>
      </c>
      <c r="AA210" s="2">
        <f t="shared" si="307"/>
        <v>0</v>
      </c>
      <c r="AB210" s="2">
        <f t="shared" si="307"/>
        <v>0</v>
      </c>
      <c r="AC210" s="2">
        <f t="shared" si="307"/>
        <v>0</v>
      </c>
      <c r="AD210" s="2">
        <f t="shared" si="307"/>
        <v>0</v>
      </c>
      <c r="AE210" s="2">
        <f t="shared" si="307"/>
        <v>0</v>
      </c>
      <c r="AF210" s="2">
        <f t="shared" si="307"/>
        <v>0</v>
      </c>
      <c r="AG210" s="2" t="e">
        <f t="shared" si="307"/>
        <v>#N/A</v>
      </c>
      <c r="AH210" s="2" t="e">
        <f t="shared" si="307"/>
        <v>#N/A</v>
      </c>
      <c r="AI210" s="2" t="e">
        <f t="shared" si="307"/>
        <v>#N/A</v>
      </c>
      <c r="AJ210" s="2" t="e">
        <f t="shared" si="307"/>
        <v>#N/A</v>
      </c>
      <c r="AK210" s="2" t="e">
        <f t="shared" si="307"/>
        <v>#N/A</v>
      </c>
      <c r="AL210" s="2" t="e">
        <f t="shared" si="307"/>
        <v>#N/A</v>
      </c>
      <c r="AM210" s="2" t="e">
        <f t="shared" si="307"/>
        <v>#N/A</v>
      </c>
      <c r="AN210" s="2" t="e">
        <f t="shared" si="307"/>
        <v>#N/A</v>
      </c>
      <c r="AO210" s="2" t="e">
        <f t="shared" si="307"/>
        <v>#N/A</v>
      </c>
      <c r="AP210" s="2" t="e">
        <f t="shared" si="307"/>
        <v>#N/A</v>
      </c>
      <c r="AQ210" s="2" t="e">
        <f t="shared" si="307"/>
        <v>#N/A</v>
      </c>
      <c r="AR210" s="2" t="e">
        <f t="shared" si="307"/>
        <v>#N/A</v>
      </c>
      <c r="AS210" s="2" t="e">
        <f t="shared" si="307"/>
        <v>#N/A</v>
      </c>
      <c r="AT210" s="2" t="e">
        <f t="shared" si="307"/>
        <v>#N/A</v>
      </c>
      <c r="AU210" s="2" t="e">
        <f t="shared" si="307"/>
        <v>#N/A</v>
      </c>
      <c r="AV210" s="2" t="e">
        <f t="shared" si="307"/>
        <v>#N/A</v>
      </c>
      <c r="AW210" s="2" t="e">
        <f t="shared" si="307"/>
        <v>#N/A</v>
      </c>
      <c r="AX210" s="2" t="e">
        <f t="shared" si="307"/>
        <v>#N/A</v>
      </c>
      <c r="AY210" s="2" t="e">
        <f t="shared" si="307"/>
        <v>#N/A</v>
      </c>
      <c r="AZ210" s="2" t="e">
        <f t="shared" si="307"/>
        <v>#N/A</v>
      </c>
      <c r="BA210" s="2" t="e">
        <f t="shared" si="307"/>
        <v>#N/A</v>
      </c>
      <c r="BB210" s="2" t="e">
        <f t="shared" si="307"/>
        <v>#N/A</v>
      </c>
      <c r="BC210" s="2" t="e">
        <f t="shared" si="307"/>
        <v>#N/A</v>
      </c>
      <c r="BD210" s="2" t="e">
        <f t="shared" si="307"/>
        <v>#N/A</v>
      </c>
      <c r="BS210" t="s">
        <v>2068</v>
      </c>
      <c r="BT210" t="s">
        <v>2402</v>
      </c>
      <c r="BU210"/>
      <c r="CA210"/>
    </row>
    <row r="211" spans="2:117" hidden="1" outlineLevel="1" x14ac:dyDescent="0.25">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S211"/>
      <c r="BT211"/>
      <c r="BU211"/>
      <c r="CA211"/>
    </row>
    <row r="212" spans="2:117" hidden="1" outlineLevel="1" x14ac:dyDescent="0.25">
      <c r="G212" t="e">
        <f t="shared" ref="G212:S212" ca="1" si="308">G$107</f>
        <v>#N/A</v>
      </c>
      <c r="H212" t="e">
        <f t="shared" ca="1" si="308"/>
        <v>#N/A</v>
      </c>
      <c r="I212" t="e">
        <f t="shared" ca="1" si="308"/>
        <v>#N/A</v>
      </c>
      <c r="J212" t="e">
        <f t="shared" ca="1" si="308"/>
        <v>#N/A</v>
      </c>
      <c r="K212" t="e">
        <f t="shared" ca="1" si="308"/>
        <v>#N/A</v>
      </c>
      <c r="L212" t="e">
        <f t="shared" ca="1" si="308"/>
        <v>#N/A</v>
      </c>
      <c r="M212" t="e">
        <f t="shared" ca="1" si="308"/>
        <v>#N/A</v>
      </c>
      <c r="N212" t="e">
        <f t="shared" ca="1" si="308"/>
        <v>#N/A</v>
      </c>
      <c r="O212" t="e">
        <f t="shared" ca="1" si="308"/>
        <v>#N/A</v>
      </c>
      <c r="P212" t="e">
        <f t="shared" ca="1" si="308"/>
        <v>#N/A</v>
      </c>
      <c r="Q212" t="e">
        <f t="shared" ca="1" si="308"/>
        <v>#N/A</v>
      </c>
      <c r="R212" t="e">
        <f t="shared" ca="1" si="308"/>
        <v>#N/A</v>
      </c>
      <c r="S212" t="e">
        <f t="shared" ca="1" si="308"/>
        <v>#N/A</v>
      </c>
      <c r="T212" t="e">
        <f ca="1">T$107</f>
        <v>#N/A</v>
      </c>
      <c r="U212" s="24" t="str">
        <f t="shared" ref="U212" si="309">G$25</f>
        <v>Jan2019</v>
      </c>
      <c r="V212" s="24" t="str">
        <f t="shared" ref="V212" si="310">H$25</f>
        <v>Feb2019</v>
      </c>
      <c r="W212" s="24" t="str">
        <f t="shared" ref="W212" si="311">I$25</f>
        <v>Mar2019</v>
      </c>
      <c r="X212" s="24" t="str">
        <f t="shared" ref="X212" si="312">J$25</f>
        <v>Apr2019</v>
      </c>
      <c r="Y212" s="24" t="str">
        <f t="shared" ref="Y212" si="313">K$25</f>
        <v>May2019</v>
      </c>
      <c r="Z212" s="24" t="str">
        <f t="shared" ref="Z212" si="314">L$25</f>
        <v>Jun2019</v>
      </c>
      <c r="AA212" s="24" t="str">
        <f t="shared" ref="AA212" si="315">M$25</f>
        <v>Jul2019</v>
      </c>
      <c r="AB212" s="24" t="str">
        <f t="shared" ref="AB212" si="316">N$25</f>
        <v>Aug2019</v>
      </c>
      <c r="AC212" s="24" t="str">
        <f t="shared" ref="AC212" si="317">O$25</f>
        <v>Sep2019</v>
      </c>
      <c r="AD212" s="24" t="str">
        <f t="shared" ref="AD212" si="318">P$25</f>
        <v>Oct2019</v>
      </c>
      <c r="AE212" s="24" t="str">
        <f t="shared" ref="AE212" si="319">Q$25</f>
        <v>Nov2019</v>
      </c>
      <c r="AF212" s="24" t="str">
        <f t="shared" ref="AF212" si="320">R$25</f>
        <v>Dec2019</v>
      </c>
      <c r="AG212" s="24" t="str">
        <f t="shared" ref="AG212" si="321">S$25</f>
        <v>Jan2020</v>
      </c>
      <c r="AH212" s="24" t="str">
        <f t="shared" ref="AH212" si="322">T$25</f>
        <v>Feb2020</v>
      </c>
      <c r="AI212" s="24" t="str">
        <f t="shared" ref="AI212" si="323">U$25</f>
        <v>Mar2020</v>
      </c>
      <c r="AJ212" s="24" t="str">
        <f t="shared" ref="AJ212" si="324">V$25</f>
        <v>Apr2020</v>
      </c>
      <c r="AK212" s="24" t="str">
        <f t="shared" ref="AK212" si="325">W$25</f>
        <v>May2020</v>
      </c>
      <c r="AL212" s="24" t="str">
        <f t="shared" ref="AL212" si="326">X$25</f>
        <v>Jun2020</v>
      </c>
      <c r="AM212" s="24" t="str">
        <f t="shared" ref="AM212" si="327">Y$25</f>
        <v>Jul2020</v>
      </c>
      <c r="AN212" s="24" t="str">
        <f t="shared" ref="AN212" si="328">Z$25</f>
        <v>Aug2020</v>
      </c>
      <c r="AO212" s="24" t="str">
        <f t="shared" ref="AO212" si="329">AA$25</f>
        <v>Sep2020</v>
      </c>
      <c r="AP212" s="24" t="str">
        <f t="shared" ref="AP212" si="330">AB$25</f>
        <v>Oct2020</v>
      </c>
      <c r="AQ212" s="24" t="str">
        <f t="shared" ref="AQ212" si="331">Q$25</f>
        <v>Nov2019</v>
      </c>
      <c r="AR212" s="24" t="str">
        <f t="shared" ref="AR212" si="332">R$25</f>
        <v>Dec2019</v>
      </c>
      <c r="AS212" s="24" t="str">
        <f t="shared" ref="AS212" si="333">AE$25</f>
        <v>Jan2021</v>
      </c>
      <c r="AT212" s="24" t="str">
        <f t="shared" ref="AT212" si="334">AF$25</f>
        <v>Feb2021</v>
      </c>
      <c r="AU212" s="24" t="str">
        <f t="shared" ref="AU212" si="335">AG$25</f>
        <v>Mar2021</v>
      </c>
      <c r="AV212" s="24" t="str">
        <f t="shared" ref="AV212" si="336">AH$25</f>
        <v>Apr2021</v>
      </c>
      <c r="AW212" s="24" t="str">
        <f t="shared" ref="AW212" si="337">AI$25</f>
        <v>May2021</v>
      </c>
      <c r="AX212" s="24" t="str">
        <f t="shared" ref="AX212" si="338">AJ$25</f>
        <v>Jun2021</v>
      </c>
      <c r="AY212" s="24" t="str">
        <f t="shared" ref="AY212" si="339">AK$25</f>
        <v>Jul2021</v>
      </c>
      <c r="AZ212" s="24" t="str">
        <f t="shared" ref="AZ212" si="340">AL$25</f>
        <v>Aug2021</v>
      </c>
      <c r="BA212" s="24" t="str">
        <f t="shared" ref="BA212" si="341">AM$25</f>
        <v>Sep2021</v>
      </c>
      <c r="BB212" s="24" t="str">
        <f t="shared" ref="BB212" si="342">AN$25</f>
        <v>Oct2021</v>
      </c>
      <c r="BC212" s="24" t="str">
        <f t="shared" ref="BC212" si="343">AO$25</f>
        <v>Nov2021</v>
      </c>
      <c r="BD212" s="24" t="str">
        <f t="shared" ref="BD212" si="344">AP$25</f>
        <v>Dec2021</v>
      </c>
      <c r="BS212"/>
      <c r="BT212"/>
      <c r="BU212"/>
      <c r="CA212"/>
    </row>
    <row r="213" spans="2:117" hidden="1" outlineLevel="1" x14ac:dyDescent="0.25">
      <c r="C213" t="str">
        <f>IF(Language="English", $BS$104, $BT$104)</f>
        <v>Les taux de complétude</v>
      </c>
      <c r="D213" t="str">
        <f>IF(Language="English", $BS213, $BT213)</f>
        <v>Les données mensuelles</v>
      </c>
      <c r="G213" s="23" t="e">
        <f ca="1">HLOOKUP(G$212, $G$13:$AP$14, 2, FALSE)</f>
        <v>#N/A</v>
      </c>
      <c r="H213" s="23" t="e">
        <f t="shared" ref="H213:BD213" ca="1" si="345">HLOOKUP(H$212, $G$13:$AP$14, 2, FALSE)</f>
        <v>#N/A</v>
      </c>
      <c r="I213" s="23" t="e">
        <f t="shared" ca="1" si="345"/>
        <v>#N/A</v>
      </c>
      <c r="J213" s="23" t="e">
        <f t="shared" ca="1" si="345"/>
        <v>#N/A</v>
      </c>
      <c r="K213" s="23" t="e">
        <f t="shared" ca="1" si="345"/>
        <v>#N/A</v>
      </c>
      <c r="L213" s="23" t="e">
        <f t="shared" ca="1" si="345"/>
        <v>#N/A</v>
      </c>
      <c r="M213" s="23" t="e">
        <f t="shared" ca="1" si="345"/>
        <v>#N/A</v>
      </c>
      <c r="N213" s="23" t="e">
        <f t="shared" ca="1" si="345"/>
        <v>#N/A</v>
      </c>
      <c r="O213" s="23" t="e">
        <f t="shared" ca="1" si="345"/>
        <v>#N/A</v>
      </c>
      <c r="P213" s="23" t="e">
        <f t="shared" ca="1" si="345"/>
        <v>#N/A</v>
      </c>
      <c r="Q213" s="23" t="e">
        <f t="shared" ca="1" si="345"/>
        <v>#N/A</v>
      </c>
      <c r="R213" s="23" t="e">
        <f t="shared" ca="1" si="345"/>
        <v>#N/A</v>
      </c>
      <c r="S213" s="23" t="e">
        <f t="shared" ca="1" si="345"/>
        <v>#N/A</v>
      </c>
      <c r="T213" s="23" t="e">
        <f t="shared" ca="1" si="345"/>
        <v>#N/A</v>
      </c>
      <c r="U213" s="23">
        <f t="shared" si="345"/>
        <v>0</v>
      </c>
      <c r="V213" s="23">
        <f t="shared" si="345"/>
        <v>0</v>
      </c>
      <c r="W213" s="23">
        <f t="shared" si="345"/>
        <v>0</v>
      </c>
      <c r="X213" s="23">
        <f t="shared" si="345"/>
        <v>0</v>
      </c>
      <c r="Y213" s="23">
        <f t="shared" si="345"/>
        <v>0</v>
      </c>
      <c r="Z213" s="23">
        <f t="shared" si="345"/>
        <v>0</v>
      </c>
      <c r="AA213" s="23">
        <f t="shared" si="345"/>
        <v>0</v>
      </c>
      <c r="AB213" s="23">
        <f t="shared" si="345"/>
        <v>0</v>
      </c>
      <c r="AC213" s="23">
        <f t="shared" si="345"/>
        <v>0</v>
      </c>
      <c r="AD213" s="23">
        <f t="shared" si="345"/>
        <v>0</v>
      </c>
      <c r="AE213" s="23">
        <f t="shared" si="345"/>
        <v>0</v>
      </c>
      <c r="AF213" s="23">
        <f t="shared" si="345"/>
        <v>0</v>
      </c>
      <c r="AG213" s="23">
        <f t="shared" si="345"/>
        <v>0</v>
      </c>
      <c r="AH213" s="23">
        <f t="shared" si="345"/>
        <v>0</v>
      </c>
      <c r="AI213" s="23">
        <f t="shared" si="345"/>
        <v>0</v>
      </c>
      <c r="AJ213" s="23">
        <f t="shared" si="345"/>
        <v>0</v>
      </c>
      <c r="AK213" s="23">
        <f t="shared" si="345"/>
        <v>0</v>
      </c>
      <c r="AL213" s="23">
        <f t="shared" si="345"/>
        <v>0</v>
      </c>
      <c r="AM213" s="23">
        <f t="shared" si="345"/>
        <v>0</v>
      </c>
      <c r="AN213" s="23">
        <f t="shared" si="345"/>
        <v>0</v>
      </c>
      <c r="AO213" s="23">
        <f t="shared" si="345"/>
        <v>0</v>
      </c>
      <c r="AP213" s="23">
        <f t="shared" si="345"/>
        <v>0</v>
      </c>
      <c r="AQ213" s="23">
        <f t="shared" si="345"/>
        <v>0</v>
      </c>
      <c r="AR213" s="23">
        <f t="shared" si="345"/>
        <v>0</v>
      </c>
      <c r="AS213" s="23">
        <f t="shared" si="345"/>
        <v>0</v>
      </c>
      <c r="AT213" s="23">
        <f t="shared" si="345"/>
        <v>0</v>
      </c>
      <c r="AU213" s="23">
        <f t="shared" si="345"/>
        <v>0</v>
      </c>
      <c r="AV213" s="23">
        <f t="shared" si="345"/>
        <v>0</v>
      </c>
      <c r="AW213" s="23">
        <f t="shared" si="345"/>
        <v>0</v>
      </c>
      <c r="AX213" s="23">
        <f t="shared" si="345"/>
        <v>0</v>
      </c>
      <c r="AY213" s="23">
        <f t="shared" si="345"/>
        <v>0</v>
      </c>
      <c r="AZ213" s="23">
        <f t="shared" si="345"/>
        <v>0</v>
      </c>
      <c r="BA213" s="23">
        <f t="shared" si="345"/>
        <v>0</v>
      </c>
      <c r="BB213" s="23">
        <f t="shared" si="345"/>
        <v>0</v>
      </c>
      <c r="BC213" s="23">
        <f t="shared" si="345"/>
        <v>0</v>
      </c>
      <c r="BD213" s="23">
        <f t="shared" si="345"/>
        <v>0</v>
      </c>
      <c r="BS213" t="s">
        <v>2066</v>
      </c>
      <c r="BT213" t="s">
        <v>2410</v>
      </c>
      <c r="BU213"/>
      <c r="CA213"/>
    </row>
    <row r="214" spans="2:117" hidden="1" outlineLevel="1" x14ac:dyDescent="0.25">
      <c r="C214" t="str">
        <f>IF(Language="English", $BS$104, $BT$104)</f>
        <v>Les taux de complétude</v>
      </c>
      <c r="D214" t="str">
        <f>IF(Language="English", $BS214, $BT214)</f>
        <v>Les données annuelles</v>
      </c>
      <c r="G214" s="23" t="e">
        <f t="shared" ref="G214:S214" ca="1" si="346">VLOOKUP($C214, $C$79:$V$104, MATCH(G$137, $C$77:$V$77, 0), FALSE)</f>
        <v>#N/A</v>
      </c>
      <c r="H214" s="23" t="e">
        <f t="shared" ca="1" si="346"/>
        <v>#N/A</v>
      </c>
      <c r="I214" s="23" t="e">
        <f t="shared" ca="1" si="346"/>
        <v>#N/A</v>
      </c>
      <c r="J214" s="23" t="e">
        <f t="shared" ca="1" si="346"/>
        <v>#N/A</v>
      </c>
      <c r="K214" s="23" t="e">
        <f t="shared" ca="1" si="346"/>
        <v>#N/A</v>
      </c>
      <c r="L214" s="23" t="e">
        <f t="shared" ca="1" si="346"/>
        <v>#N/A</v>
      </c>
      <c r="M214" s="23" t="e">
        <f t="shared" ca="1" si="346"/>
        <v>#N/A</v>
      </c>
      <c r="N214" s="23" t="e">
        <f t="shared" ca="1" si="346"/>
        <v>#N/A</v>
      </c>
      <c r="O214" s="23" t="e">
        <f t="shared" ca="1" si="346"/>
        <v>#N/A</v>
      </c>
      <c r="P214" s="23" t="e">
        <f t="shared" ca="1" si="346"/>
        <v>#N/A</v>
      </c>
      <c r="Q214" s="23" t="e">
        <f t="shared" ca="1" si="346"/>
        <v>#N/A</v>
      </c>
      <c r="R214" s="23" t="e">
        <f t="shared" ca="1" si="346"/>
        <v>#N/A</v>
      </c>
      <c r="S214" s="23" t="e">
        <f t="shared" ca="1" si="346"/>
        <v>#N/A</v>
      </c>
      <c r="T214" s="23" t="e">
        <f ca="1">VLOOKUP($C214, $C$79:$V$104, MATCH(T$137, $C$77:$V$77, 0), FALSE)</f>
        <v>#N/A</v>
      </c>
      <c r="U214" s="23" t="e">
        <f ca="1">VLOOKUP($C214, $C$79:$V$104, MATCH(U$136, $C$77:$V$77, 0), FALSE)</f>
        <v>#N/A</v>
      </c>
      <c r="V214" s="23" t="e">
        <f t="shared" ref="V214:BD214" ca="1" si="347">VLOOKUP($C214, $C$79:$V$104, MATCH(V$136, $C$77:$V$77, 0), FALSE)</f>
        <v>#N/A</v>
      </c>
      <c r="W214" s="23" t="e">
        <f t="shared" ca="1" si="347"/>
        <v>#N/A</v>
      </c>
      <c r="X214" s="23" t="e">
        <f t="shared" ca="1" si="347"/>
        <v>#N/A</v>
      </c>
      <c r="Y214" s="23" t="e">
        <f t="shared" ca="1" si="347"/>
        <v>#N/A</v>
      </c>
      <c r="Z214" s="23" t="e">
        <f t="shared" ca="1" si="347"/>
        <v>#N/A</v>
      </c>
      <c r="AA214" s="23" t="e">
        <f t="shared" ca="1" si="347"/>
        <v>#N/A</v>
      </c>
      <c r="AB214" s="23" t="e">
        <f t="shared" ca="1" si="347"/>
        <v>#N/A</v>
      </c>
      <c r="AC214" s="23" t="e">
        <f t="shared" ca="1" si="347"/>
        <v>#N/A</v>
      </c>
      <c r="AD214" s="23" t="e">
        <f t="shared" ca="1" si="347"/>
        <v>#N/A</v>
      </c>
      <c r="AE214" s="23" t="e">
        <f t="shared" ca="1" si="347"/>
        <v>#N/A</v>
      </c>
      <c r="AF214" s="23" t="e">
        <f t="shared" ca="1" si="347"/>
        <v>#N/A</v>
      </c>
      <c r="AG214" s="23" t="e">
        <f t="shared" ca="1" si="347"/>
        <v>#N/A</v>
      </c>
      <c r="AH214" s="23" t="e">
        <f t="shared" ca="1" si="347"/>
        <v>#N/A</v>
      </c>
      <c r="AI214" s="23" t="e">
        <f t="shared" ca="1" si="347"/>
        <v>#N/A</v>
      </c>
      <c r="AJ214" s="23" t="e">
        <f t="shared" ca="1" si="347"/>
        <v>#N/A</v>
      </c>
      <c r="AK214" s="23" t="e">
        <f t="shared" ca="1" si="347"/>
        <v>#N/A</v>
      </c>
      <c r="AL214" s="23" t="e">
        <f t="shared" ca="1" si="347"/>
        <v>#N/A</v>
      </c>
      <c r="AM214" s="23" t="e">
        <f t="shared" ca="1" si="347"/>
        <v>#N/A</v>
      </c>
      <c r="AN214" s="23" t="e">
        <f t="shared" ca="1" si="347"/>
        <v>#N/A</v>
      </c>
      <c r="AO214" s="23" t="e">
        <f t="shared" ca="1" si="347"/>
        <v>#N/A</v>
      </c>
      <c r="AP214" s="23" t="e">
        <f t="shared" ca="1" si="347"/>
        <v>#N/A</v>
      </c>
      <c r="AQ214" s="23" t="e">
        <f t="shared" ca="1" si="347"/>
        <v>#N/A</v>
      </c>
      <c r="AR214" s="23" t="e">
        <f t="shared" ca="1" si="347"/>
        <v>#N/A</v>
      </c>
      <c r="AS214" s="23" t="e">
        <f t="shared" ca="1" si="347"/>
        <v>#N/A</v>
      </c>
      <c r="AT214" s="23" t="e">
        <f t="shared" ca="1" si="347"/>
        <v>#N/A</v>
      </c>
      <c r="AU214" s="23" t="e">
        <f t="shared" ca="1" si="347"/>
        <v>#N/A</v>
      </c>
      <c r="AV214" s="23" t="e">
        <f t="shared" ca="1" si="347"/>
        <v>#N/A</v>
      </c>
      <c r="AW214" s="23" t="e">
        <f t="shared" ca="1" si="347"/>
        <v>#N/A</v>
      </c>
      <c r="AX214" s="23" t="e">
        <f t="shared" ca="1" si="347"/>
        <v>#N/A</v>
      </c>
      <c r="AY214" s="23" t="e">
        <f t="shared" ca="1" si="347"/>
        <v>#N/A</v>
      </c>
      <c r="AZ214" s="23" t="e">
        <f t="shared" ca="1" si="347"/>
        <v>#N/A</v>
      </c>
      <c r="BA214" s="23" t="e">
        <f t="shared" ca="1" si="347"/>
        <v>#N/A</v>
      </c>
      <c r="BB214" s="23" t="e">
        <f t="shared" ca="1" si="347"/>
        <v>#N/A</v>
      </c>
      <c r="BC214" s="23" t="e">
        <f t="shared" ca="1" si="347"/>
        <v>#N/A</v>
      </c>
      <c r="BD214" s="23" t="e">
        <f t="shared" ca="1" si="347"/>
        <v>#N/A</v>
      </c>
      <c r="BS214" t="s">
        <v>2085</v>
      </c>
      <c r="BT214" t="s">
        <v>2411</v>
      </c>
      <c r="BU214"/>
      <c r="CA214"/>
    </row>
    <row r="215" spans="2:117" hidden="1" outlineLevel="1" x14ac:dyDescent="0.25">
      <c r="D215" t="str">
        <f>IF(Language="English", $BS215, $BT215)</f>
        <v>Mois avec restrictions COVID</v>
      </c>
      <c r="G215" s="2"/>
      <c r="H215" s="2"/>
      <c r="I215" s="2"/>
      <c r="J215" s="2"/>
      <c r="K215" s="2"/>
      <c r="L215" s="2"/>
      <c r="M215" s="2"/>
      <c r="N215" s="2"/>
      <c r="O215" s="2"/>
      <c r="P215" s="2"/>
      <c r="Q215" s="2"/>
      <c r="R215" s="2"/>
      <c r="S215" s="2"/>
      <c r="T215" s="2"/>
      <c r="U215" s="2">
        <f>G$57</f>
        <v>0</v>
      </c>
      <c r="V215" s="2">
        <f t="shared" ref="V215" si="348">H$57</f>
        <v>0</v>
      </c>
      <c r="W215" s="2">
        <f t="shared" ref="W215" si="349">I$57</f>
        <v>0</v>
      </c>
      <c r="X215" s="2">
        <f t="shared" ref="X215" si="350">J$57</f>
        <v>0</v>
      </c>
      <c r="Y215" s="2">
        <f t="shared" ref="Y215" si="351">K$57</f>
        <v>0</v>
      </c>
      <c r="Z215" s="2">
        <f t="shared" ref="Z215" si="352">L$57</f>
        <v>0</v>
      </c>
      <c r="AA215" s="2">
        <f t="shared" ref="AA215" si="353">M$57</f>
        <v>0</v>
      </c>
      <c r="AB215" s="2">
        <f t="shared" ref="AB215" si="354">N$57</f>
        <v>0</v>
      </c>
      <c r="AC215" s="2">
        <f t="shared" ref="AC215" si="355">O$57</f>
        <v>0</v>
      </c>
      <c r="AD215" s="2">
        <f t="shared" ref="AD215" si="356">P$57</f>
        <v>0</v>
      </c>
      <c r="AE215" s="2">
        <f t="shared" ref="AE215" si="357">Q$57</f>
        <v>0</v>
      </c>
      <c r="AF215" s="2">
        <f t="shared" ref="AF215" si="358">R$57</f>
        <v>0</v>
      </c>
      <c r="AG215" s="2" t="e">
        <f t="shared" ref="AG215" si="359">S$57</f>
        <v>#N/A</v>
      </c>
      <c r="AH215" s="2" t="e">
        <f t="shared" ref="AH215" si="360">T$57</f>
        <v>#N/A</v>
      </c>
      <c r="AI215" s="2" t="e">
        <f t="shared" ref="AI215" si="361">U$57</f>
        <v>#N/A</v>
      </c>
      <c r="AJ215" s="2" t="e">
        <f t="shared" ref="AJ215" si="362">V$57</f>
        <v>#N/A</v>
      </c>
      <c r="AK215" s="2" t="e">
        <f t="shared" ref="AK215" si="363">W$57</f>
        <v>#N/A</v>
      </c>
      <c r="AL215" s="2" t="e">
        <f t="shared" ref="AL215" si="364">X$57</f>
        <v>#N/A</v>
      </c>
      <c r="AM215" s="2" t="e">
        <f t="shared" ref="AM215" si="365">Y$57</f>
        <v>#N/A</v>
      </c>
      <c r="AN215" s="2" t="e">
        <f t="shared" ref="AN215" si="366">Z$57</f>
        <v>#N/A</v>
      </c>
      <c r="AO215" s="2" t="e">
        <f t="shared" ref="AO215" si="367">AA$57</f>
        <v>#N/A</v>
      </c>
      <c r="AP215" s="2" t="e">
        <f t="shared" ref="AP215" si="368">AB$57</f>
        <v>#N/A</v>
      </c>
      <c r="AQ215" s="2" t="e">
        <f t="shared" ref="AQ215" si="369">AC$57</f>
        <v>#N/A</v>
      </c>
      <c r="AR215" s="2" t="e">
        <f t="shared" ref="AR215" si="370">AD$57</f>
        <v>#N/A</v>
      </c>
      <c r="AS215" s="2" t="e">
        <f t="shared" ref="AS215" si="371">AE$57</f>
        <v>#N/A</v>
      </c>
      <c r="AT215" s="2" t="e">
        <f t="shared" ref="AT215" si="372">AF$57</f>
        <v>#N/A</v>
      </c>
      <c r="AU215" s="2" t="e">
        <f t="shared" ref="AU215" si="373">AG$57</f>
        <v>#N/A</v>
      </c>
      <c r="AV215" s="2" t="e">
        <f t="shared" ref="AV215" si="374">AH$57</f>
        <v>#N/A</v>
      </c>
      <c r="AW215" s="2" t="e">
        <f t="shared" ref="AW215" si="375">AI$57</f>
        <v>#N/A</v>
      </c>
      <c r="AX215" s="2" t="e">
        <f t="shared" ref="AX215" si="376">AJ$57</f>
        <v>#N/A</v>
      </c>
      <c r="AY215" s="2" t="e">
        <f t="shared" ref="AY215" si="377">AK$57</f>
        <v>#N/A</v>
      </c>
      <c r="AZ215" s="2" t="e">
        <f t="shared" ref="AZ215" si="378">AL$57</f>
        <v>#N/A</v>
      </c>
      <c r="BA215" s="2" t="e">
        <f t="shared" ref="BA215" si="379">AM$57</f>
        <v>#N/A</v>
      </c>
      <c r="BB215" s="2" t="e">
        <f t="shared" ref="BB215" si="380">AN$57</f>
        <v>#N/A</v>
      </c>
      <c r="BC215" s="2" t="e">
        <f t="shared" ref="BC215" si="381">AO$57</f>
        <v>#N/A</v>
      </c>
      <c r="BD215" s="2" t="e">
        <f t="shared" ref="BD215" si="382">AP$57</f>
        <v>#N/A</v>
      </c>
      <c r="BS215" t="s">
        <v>2068</v>
      </c>
      <c r="BT215" t="s">
        <v>2402</v>
      </c>
      <c r="BU215"/>
      <c r="CA215"/>
    </row>
    <row r="216" spans="2:117" hidden="1" outlineLevel="1" x14ac:dyDescent="0.25">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S216"/>
      <c r="BT216"/>
      <c r="BU216"/>
      <c r="CA216"/>
    </row>
    <row r="217" spans="2:117" hidden="1" outlineLevel="1" x14ac:dyDescent="0.25">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S217"/>
      <c r="BT217"/>
      <c r="BU217"/>
      <c r="CA217"/>
    </row>
    <row r="218" spans="2:117" ht="15.75" hidden="1" outlineLevel="1" thickBot="1" x14ac:dyDescent="0.3">
      <c r="BR218" t="str">
        <f>IF(Language="English", BS218, BT218)</f>
        <v>Les taux de complétude annuels vs mensuels</v>
      </c>
      <c r="BS218" s="184" t="s">
        <v>2489</v>
      </c>
      <c r="BT218" t="s">
        <v>2490</v>
      </c>
    </row>
    <row r="219" spans="2:117" ht="52.15" customHeight="1" collapsed="1" thickBot="1" x14ac:dyDescent="0.45">
      <c r="B219" s="1661" t="str">
        <f>IF(Language="English", BS219, BT219)</f>
        <v xml:space="preserve">ÉTAPE 4 de 4. Examiner les données mensuelles de fourniture de service (2019-2020) par rapport à la fourniture mensuelle moyenne (à partir de la saisie annuelle des données) par rapport à la période de verrouillage COVID </v>
      </c>
      <c r="C219" s="1661"/>
      <c r="D219" s="1661"/>
      <c r="E219" s="1661"/>
      <c r="F219" s="1661"/>
      <c r="G219" s="1661"/>
      <c r="H219" s="1661"/>
      <c r="I219" s="1661"/>
      <c r="J219" s="1661"/>
      <c r="K219" s="1661"/>
      <c r="L219" s="1661"/>
      <c r="M219" s="1661"/>
      <c r="N219" s="1661"/>
      <c r="O219" s="1661"/>
      <c r="P219" s="1661"/>
      <c r="Q219" s="1661"/>
      <c r="R219" s="1661"/>
      <c r="S219" s="1661"/>
      <c r="T219" s="1661"/>
      <c r="U219" s="1661"/>
      <c r="V219" s="1661"/>
      <c r="W219" s="232"/>
      <c r="X219" s="232"/>
      <c r="Y219" s="232"/>
      <c r="Z219" s="232"/>
      <c r="AA219" s="232"/>
      <c r="AB219" s="232"/>
      <c r="AC219" s="232"/>
      <c r="AD219" s="232"/>
      <c r="AE219" s="245"/>
      <c r="AF219" s="245"/>
      <c r="AG219" s="245"/>
      <c r="AH219" s="245"/>
      <c r="AI219" s="232"/>
      <c r="AJ219" s="232"/>
      <c r="AK219" s="232"/>
      <c r="AL219" s="232"/>
      <c r="AM219" s="232"/>
      <c r="AN219" s="232"/>
      <c r="AO219" s="232"/>
      <c r="AP219" s="232"/>
      <c r="BS219" s="184" t="s">
        <v>2069</v>
      </c>
      <c r="BT219" s="184" t="s">
        <v>2070</v>
      </c>
      <c r="CB219" s="918">
        <f>E241</f>
        <v>0</v>
      </c>
      <c r="CC219" s="921"/>
      <c r="CD219" s="1211">
        <f>CD181</f>
        <v>0</v>
      </c>
      <c r="CE219" s="1211">
        <f t="shared" ref="CE219:DM219" si="383">CE181</f>
        <v>0</v>
      </c>
      <c r="CF219" s="1211">
        <f t="shared" si="383"/>
        <v>0</v>
      </c>
      <c r="CG219" s="1211">
        <f t="shared" si="383"/>
        <v>0</v>
      </c>
      <c r="CH219" s="1211">
        <f t="shared" si="383"/>
        <v>0</v>
      </c>
      <c r="CI219" s="1211">
        <f t="shared" si="383"/>
        <v>0</v>
      </c>
      <c r="CJ219" s="1211">
        <f t="shared" si="383"/>
        <v>0</v>
      </c>
      <c r="CK219" s="1211">
        <f t="shared" si="383"/>
        <v>0</v>
      </c>
      <c r="CL219" s="1211">
        <f t="shared" si="383"/>
        <v>0</v>
      </c>
      <c r="CM219" s="1211">
        <f t="shared" si="383"/>
        <v>0</v>
      </c>
      <c r="CN219" s="1211">
        <f t="shared" si="383"/>
        <v>0</v>
      </c>
      <c r="CO219" s="1211">
        <f t="shared" si="383"/>
        <v>0</v>
      </c>
      <c r="CP219" s="1211">
        <f t="shared" si="383"/>
        <v>0</v>
      </c>
      <c r="CQ219" s="1211">
        <f t="shared" si="383"/>
        <v>0</v>
      </c>
      <c r="CR219" s="1211">
        <f t="shared" si="383"/>
        <v>0</v>
      </c>
      <c r="CS219" s="1211">
        <f t="shared" si="383"/>
        <v>0</v>
      </c>
      <c r="CT219" s="1211">
        <f t="shared" si="383"/>
        <v>0</v>
      </c>
      <c r="CU219" s="1211">
        <f t="shared" si="383"/>
        <v>0</v>
      </c>
      <c r="CV219" s="1211">
        <f t="shared" si="383"/>
        <v>0</v>
      </c>
      <c r="CW219" s="1211">
        <f t="shared" si="383"/>
        <v>0</v>
      </c>
      <c r="CX219" s="1211">
        <f t="shared" si="383"/>
        <v>0</v>
      </c>
      <c r="CY219" s="1211">
        <f t="shared" si="383"/>
        <v>0</v>
      </c>
      <c r="CZ219" s="1211">
        <f t="shared" si="383"/>
        <v>0</v>
      </c>
      <c r="DA219" s="1211">
        <f t="shared" si="383"/>
        <v>0</v>
      </c>
      <c r="DB219" s="1211">
        <f t="shared" si="383"/>
        <v>0</v>
      </c>
      <c r="DC219" s="1211">
        <f t="shared" si="383"/>
        <v>0</v>
      </c>
      <c r="DD219" s="1211">
        <f t="shared" si="383"/>
        <v>0</v>
      </c>
      <c r="DE219" s="1211">
        <f t="shared" si="383"/>
        <v>0</v>
      </c>
      <c r="DF219" s="1211">
        <f t="shared" si="383"/>
        <v>0</v>
      </c>
      <c r="DG219" s="1211">
        <f t="shared" si="383"/>
        <v>0</v>
      </c>
      <c r="DH219" s="1211">
        <f t="shared" si="383"/>
        <v>0</v>
      </c>
      <c r="DI219" s="1211">
        <f t="shared" si="383"/>
        <v>0</v>
      </c>
      <c r="DJ219" s="1211">
        <f t="shared" si="383"/>
        <v>0</v>
      </c>
      <c r="DK219" s="1211">
        <f t="shared" si="383"/>
        <v>0</v>
      </c>
      <c r="DL219" s="1211">
        <f t="shared" si="383"/>
        <v>0</v>
      </c>
      <c r="DM219" s="1211">
        <f t="shared" si="383"/>
        <v>0</v>
      </c>
    </row>
    <row r="220" spans="2:117" ht="56.45" customHeight="1" thickBot="1" x14ac:dyDescent="0.3">
      <c r="B220" s="1541" t="str">
        <f>IF(Language="English", BS220, BT220)</f>
        <v>Les graphiques ci-dessous comparent, par méthode, les données mensuelles sur la fourniture de services de 2019-2021 et les données annuelles sur la fourniture de services (pour autant d'années que disponibles) pour aider à illustrer la variabilité des données mensuelles et mettre en évidence l'impact possible que les blocages COVID ont pu avoir sur le service. disposition. Ceci est également destiné à aider à indiquer les écarts entre les données annuelles et mensuelles pour 2019, 2020, et 2021 (voir le tableau)</v>
      </c>
      <c r="C220" s="1541"/>
      <c r="D220" s="1541"/>
      <c r="E220" s="1541"/>
      <c r="F220" s="1541"/>
      <c r="G220" s="1541"/>
      <c r="H220" s="1541"/>
      <c r="I220" s="1541"/>
      <c r="J220" s="1541"/>
      <c r="K220" s="1541"/>
      <c r="L220" s="1541"/>
      <c r="M220" s="1541"/>
      <c r="N220" s="1541"/>
      <c r="O220" s="1541"/>
      <c r="P220" s="1541"/>
      <c r="Q220" s="1541"/>
      <c r="R220" s="1541"/>
      <c r="S220" s="1541"/>
      <c r="T220" s="1541"/>
      <c r="BS220" s="196" t="s">
        <v>2405</v>
      </c>
      <c r="BT220" s="196" t="s">
        <v>2406</v>
      </c>
      <c r="CB220" s="921"/>
      <c r="CC220" s="921" t="str">
        <f>C244</f>
        <v>Différence (somme des mois moins annuelle)</v>
      </c>
      <c r="CD220" s="922" t="str">
        <f>IF(CD184="", "", CD184)</f>
        <v/>
      </c>
      <c r="CE220" s="922" t="str">
        <f t="shared" ref="CE220:DM220" si="384">IF(CE184="", "", CE184)</f>
        <v/>
      </c>
      <c r="CF220" s="922" t="str">
        <f t="shared" si="384"/>
        <v/>
      </c>
      <c r="CG220" s="922" t="str">
        <f t="shared" si="384"/>
        <v/>
      </c>
      <c r="CH220" s="922" t="str">
        <f t="shared" si="384"/>
        <v/>
      </c>
      <c r="CI220" s="922" t="str">
        <f t="shared" si="384"/>
        <v/>
      </c>
      <c r="CJ220" s="922" t="str">
        <f t="shared" si="384"/>
        <v/>
      </c>
      <c r="CK220" s="922" t="str">
        <f t="shared" si="384"/>
        <v/>
      </c>
      <c r="CL220" s="922" t="str">
        <f t="shared" si="384"/>
        <v/>
      </c>
      <c r="CM220" s="922" t="str">
        <f t="shared" si="384"/>
        <v/>
      </c>
      <c r="CN220" s="922" t="str">
        <f t="shared" si="384"/>
        <v/>
      </c>
      <c r="CO220" s="922" t="str">
        <f t="shared" si="384"/>
        <v/>
      </c>
      <c r="CP220" s="922" t="str">
        <f t="shared" si="384"/>
        <v/>
      </c>
      <c r="CQ220" s="922" t="str">
        <f t="shared" si="384"/>
        <v/>
      </c>
      <c r="CR220" s="922" t="str">
        <f t="shared" si="384"/>
        <v/>
      </c>
      <c r="CS220" s="922" t="str">
        <f t="shared" si="384"/>
        <v/>
      </c>
      <c r="CT220" s="922" t="str">
        <f t="shared" si="384"/>
        <v/>
      </c>
      <c r="CU220" s="922" t="str">
        <f t="shared" si="384"/>
        <v/>
      </c>
      <c r="CV220" s="922" t="str">
        <f t="shared" si="384"/>
        <v/>
      </c>
      <c r="CW220" s="922" t="str">
        <f t="shared" si="384"/>
        <v/>
      </c>
      <c r="CX220" s="922" t="str">
        <f t="shared" si="384"/>
        <v/>
      </c>
      <c r="CY220" s="922" t="str">
        <f t="shared" si="384"/>
        <v/>
      </c>
      <c r="CZ220" s="922" t="str">
        <f t="shared" si="384"/>
        <v/>
      </c>
      <c r="DA220" s="922" t="str">
        <f t="shared" si="384"/>
        <v/>
      </c>
      <c r="DB220" s="922" t="str">
        <f t="shared" si="384"/>
        <v/>
      </c>
      <c r="DC220" s="922" t="str">
        <f t="shared" si="384"/>
        <v/>
      </c>
      <c r="DD220" s="922" t="str">
        <f t="shared" si="384"/>
        <v/>
      </c>
      <c r="DE220" s="922" t="str">
        <f t="shared" si="384"/>
        <v/>
      </c>
      <c r="DF220" s="922" t="str">
        <f t="shared" si="384"/>
        <v/>
      </c>
      <c r="DG220" s="922" t="str">
        <f t="shared" si="384"/>
        <v/>
      </c>
      <c r="DH220" s="922" t="str">
        <f t="shared" si="384"/>
        <v/>
      </c>
      <c r="DI220" s="922" t="str">
        <f t="shared" si="384"/>
        <v/>
      </c>
      <c r="DJ220" s="922" t="str">
        <f t="shared" si="384"/>
        <v/>
      </c>
      <c r="DK220" s="922" t="str">
        <f t="shared" si="384"/>
        <v/>
      </c>
      <c r="DL220" s="922" t="str">
        <f t="shared" si="384"/>
        <v/>
      </c>
      <c r="DM220" s="922" t="str">
        <f t="shared" si="384"/>
        <v/>
      </c>
    </row>
    <row r="221" spans="2:117" ht="24" customHeight="1" x14ac:dyDescent="0.25">
      <c r="B221" s="1692" t="str">
        <f>IF(Language="English", $BS$104, $BT$104)</f>
        <v>Les taux de complétude</v>
      </c>
      <c r="C221" s="1690" t="str">
        <f>B221&amp;" (2019-2021)"</f>
        <v>Les taux de complétude (2019-2021)</v>
      </c>
      <c r="D221" s="1691"/>
      <c r="E221" s="148"/>
      <c r="F221" s="148"/>
      <c r="G221" s="148"/>
      <c r="H221" s="148"/>
      <c r="I221" s="148"/>
      <c r="J221" s="148"/>
      <c r="K221" s="148"/>
      <c r="L221" s="148"/>
      <c r="M221" s="148"/>
      <c r="N221" s="148"/>
      <c r="O221" s="148"/>
      <c r="P221" s="148"/>
      <c r="Q221" s="148"/>
      <c r="R221" s="148"/>
      <c r="S221" s="148"/>
      <c r="T221" s="1223"/>
      <c r="BR221" t="str">
        <f>IF(Language="English", BS221, BT221)</f>
        <v>Moyenne mensuelle (par rapport à annuelle) contre la prestation de service mensuelle réelle</v>
      </c>
      <c r="BS221" s="184" t="s">
        <v>2408</v>
      </c>
      <c r="BT221" s="184" t="s">
        <v>2409</v>
      </c>
    </row>
    <row r="222" spans="2:117" ht="31.15" customHeight="1" x14ac:dyDescent="0.25">
      <c r="B222" s="1693"/>
      <c r="C222" s="1224" t="str">
        <f t="shared" ref="C222:C234" si="385">IF(Language="English", BS222, BT222)</f>
        <v>Pendant le verrouillage COVID (circulation restreinte)</v>
      </c>
      <c r="D222" s="1303">
        <f>$AT$14</f>
        <v>0</v>
      </c>
      <c r="T222" s="301"/>
      <c r="BS222" s="184" t="s">
        <v>2071</v>
      </c>
      <c r="BT222" s="184" t="s">
        <v>2387</v>
      </c>
    </row>
    <row r="223" spans="2:117" ht="31.15" customHeight="1" x14ac:dyDescent="0.25">
      <c r="B223" s="1693"/>
      <c r="C223" s="1224" t="str">
        <f t="shared" si="385"/>
        <v>En dehors du verrouillage COVID</v>
      </c>
      <c r="D223" s="1303">
        <f>$AS$14</f>
        <v>0</v>
      </c>
      <c r="T223" s="301"/>
      <c r="BS223" s="184" t="s">
        <v>2072</v>
      </c>
      <c r="BT223" s="184" t="s">
        <v>2388</v>
      </c>
    </row>
    <row r="224" spans="2:117" ht="31.15" customHeight="1" thickBot="1" x14ac:dyDescent="0.3">
      <c r="B224" s="1693"/>
      <c r="C224" s="1224" t="str">
        <f t="shared" si="385"/>
        <v>Globalement (2019-2021)</v>
      </c>
      <c r="D224" s="1304">
        <f>$AU$14</f>
        <v>0</v>
      </c>
      <c r="T224" s="301"/>
      <c r="BS224" s="184" t="s">
        <v>2384</v>
      </c>
      <c r="BT224" s="184" t="s">
        <v>2396</v>
      </c>
    </row>
    <row r="225" spans="2:79" ht="30.6" customHeight="1" x14ac:dyDescent="0.25">
      <c r="B225" s="1693"/>
      <c r="C225" s="1690" t="str">
        <f t="shared" si="385"/>
        <v>Comparaison des taux annuels et mensuels</v>
      </c>
      <c r="D225" s="1691"/>
      <c r="T225" s="301"/>
      <c r="BS225" s="184" t="s">
        <v>2473</v>
      </c>
      <c r="BT225" s="184" t="s">
        <v>2474</v>
      </c>
      <c r="BU225"/>
    </row>
    <row r="226" spans="2:79" ht="30" customHeight="1" x14ac:dyDescent="0.25">
      <c r="B226" s="1693"/>
      <c r="C226" s="1224" t="str">
        <f t="shared" si="385"/>
        <v>Moyenne des taux mensuels de 2019</v>
      </c>
      <c r="D226" s="1303" t="e">
        <f>$AW$14</f>
        <v>#DIV/0!</v>
      </c>
      <c r="T226" s="301"/>
      <c r="BS226" s="184" t="s">
        <v>2475</v>
      </c>
      <c r="BT226" s="184" t="s">
        <v>2482</v>
      </c>
    </row>
    <row r="227" spans="2:79" ht="30" customHeight="1" x14ac:dyDescent="0.25">
      <c r="B227" s="1693"/>
      <c r="C227" s="1224" t="str">
        <f t="shared" si="385"/>
        <v>Taux annuels 2019</v>
      </c>
      <c r="D227" s="1303" t="e">
        <f ca="1">VLOOKUP(B221, $C$79:$V$104, MATCH(2019, $C$77:$V$77, 0),FALSE)</f>
        <v>#N/A</v>
      </c>
      <c r="T227" s="301"/>
      <c r="BS227" s="184" t="s">
        <v>2476</v>
      </c>
      <c r="BT227" s="184" t="s">
        <v>2483</v>
      </c>
    </row>
    <row r="228" spans="2:79" ht="30" customHeight="1" thickBot="1" x14ac:dyDescent="0.3">
      <c r="B228" s="1693"/>
      <c r="C228" s="1227" t="str">
        <f t="shared" si="385"/>
        <v>% Différence</v>
      </c>
      <c r="D228" s="1306" t="e">
        <f ca="1">(D226-D227)/D226</f>
        <v>#DIV/0!</v>
      </c>
      <c r="T228" s="301"/>
      <c r="BS228" s="184" t="s">
        <v>2477</v>
      </c>
      <c r="BT228" s="184" t="s">
        <v>2484</v>
      </c>
    </row>
    <row r="229" spans="2:79" ht="30" customHeight="1" x14ac:dyDescent="0.25">
      <c r="B229" s="1693"/>
      <c r="C229" s="1224" t="str">
        <f t="shared" si="385"/>
        <v>Moyenne des taux mensuels de 2020</v>
      </c>
      <c r="D229" s="1303" t="e">
        <f>$AX$14</f>
        <v>#DIV/0!</v>
      </c>
      <c r="T229" s="301"/>
      <c r="BS229" s="184" t="s">
        <v>2478</v>
      </c>
      <c r="BT229" s="184" t="s">
        <v>2485</v>
      </c>
    </row>
    <row r="230" spans="2:79" ht="30" customHeight="1" x14ac:dyDescent="0.25">
      <c r="B230" s="1693"/>
      <c r="C230" s="1224" t="str">
        <f t="shared" si="385"/>
        <v>Taux annuels 2020</v>
      </c>
      <c r="D230" s="1303" t="e">
        <f ca="1">VLOOKUP(B221, $C$79:$V$104, MATCH(2020, $C$77:$V$77, 0),FALSE)</f>
        <v>#N/A</v>
      </c>
      <c r="T230" s="301"/>
      <c r="BS230" s="184" t="s">
        <v>2479</v>
      </c>
      <c r="BT230" s="184" t="s">
        <v>2486</v>
      </c>
    </row>
    <row r="231" spans="2:79" ht="30" customHeight="1" thickBot="1" x14ac:dyDescent="0.3">
      <c r="B231" s="1693"/>
      <c r="C231" s="1227" t="str">
        <f t="shared" si="385"/>
        <v>% Différence</v>
      </c>
      <c r="D231" s="1306" t="e">
        <f ca="1">(D229-D230)/D229</f>
        <v>#DIV/0!</v>
      </c>
      <c r="E231" s="149"/>
      <c r="T231" s="301"/>
      <c r="BS231" s="184" t="s">
        <v>2477</v>
      </c>
      <c r="BT231" s="184" t="s">
        <v>2484</v>
      </c>
    </row>
    <row r="232" spans="2:79" ht="30" customHeight="1" x14ac:dyDescent="0.25">
      <c r="B232" s="1693"/>
      <c r="C232" s="1224" t="str">
        <f t="shared" si="385"/>
        <v>Moyenne des taux mensuels de 2021</v>
      </c>
      <c r="D232" s="1303" t="e">
        <f>$AY$14</f>
        <v>#DIV/0!</v>
      </c>
      <c r="T232" s="301"/>
      <c r="BS232" s="184" t="s">
        <v>2480</v>
      </c>
      <c r="BT232" s="184" t="s">
        <v>2487</v>
      </c>
    </row>
    <row r="233" spans="2:79" ht="30" customHeight="1" x14ac:dyDescent="0.25">
      <c r="B233" s="1693"/>
      <c r="C233" s="1224" t="str">
        <f t="shared" si="385"/>
        <v>Taux annuels 2021</v>
      </c>
      <c r="D233" s="1303" t="e">
        <f ca="1">VLOOKUP(B221, $C$79:$V$104, MATCH(2021, $C$77:$V$77, 0),FALSE)</f>
        <v>#N/A</v>
      </c>
      <c r="T233" s="301"/>
      <c r="BS233" s="184" t="s">
        <v>2481</v>
      </c>
      <c r="BT233" s="184" t="s">
        <v>2488</v>
      </c>
    </row>
    <row r="234" spans="2:79" ht="30" customHeight="1" thickBot="1" x14ac:dyDescent="0.3">
      <c r="B234" s="1694"/>
      <c r="C234" s="1227" t="str">
        <f t="shared" si="385"/>
        <v>% Différence</v>
      </c>
      <c r="D234" s="1306" t="e">
        <f ca="1">(D232-D233)/D232</f>
        <v>#DIV/0!</v>
      </c>
      <c r="E234" s="149"/>
      <c r="F234" s="149"/>
      <c r="G234" s="149"/>
      <c r="H234" s="149"/>
      <c r="I234" s="149"/>
      <c r="J234" s="149"/>
      <c r="K234" s="149"/>
      <c r="L234" s="149"/>
      <c r="M234" s="149"/>
      <c r="N234" s="149"/>
      <c r="O234" s="149"/>
      <c r="P234" s="149"/>
      <c r="Q234" s="149"/>
      <c r="R234" s="149"/>
      <c r="S234" s="149"/>
      <c r="T234" s="630"/>
      <c r="BS234" s="184" t="s">
        <v>2477</v>
      </c>
      <c r="BT234" s="184" t="s">
        <v>2484</v>
      </c>
    </row>
    <row r="235" spans="2:79" ht="31.15" customHeight="1" x14ac:dyDescent="0.25">
      <c r="BU235"/>
      <c r="CA235"/>
    </row>
    <row r="236" spans="2:79" ht="9.6" customHeight="1" thickBot="1" x14ac:dyDescent="0.3"/>
    <row r="237" spans="2:79" ht="24" customHeight="1" x14ac:dyDescent="0.25">
      <c r="B237" s="1692" t="str">
        <f>C109</f>
        <v>Ligature des trompes</v>
      </c>
      <c r="C237" s="1690" t="str">
        <f t="shared" ref="C237:C250" si="386">IF(Language="English", BS237, BT237)</f>
        <v>Services mensuels moyens (2019-2021)</v>
      </c>
      <c r="D237" s="1691"/>
      <c r="E237" s="148"/>
      <c r="F237" s="148"/>
      <c r="G237" s="148"/>
      <c r="H237" s="148"/>
      <c r="I237" s="148"/>
      <c r="J237" s="148"/>
      <c r="K237" s="148"/>
      <c r="L237" s="148"/>
      <c r="M237" s="148"/>
      <c r="N237" s="148"/>
      <c r="O237" s="148"/>
      <c r="P237" s="148"/>
      <c r="Q237" s="148"/>
      <c r="R237" s="148"/>
      <c r="S237" s="148"/>
      <c r="T237" s="1223"/>
      <c r="BS237" s="184" t="s">
        <v>2386</v>
      </c>
      <c r="BT237" s="184" t="s">
        <v>2395</v>
      </c>
    </row>
    <row r="238" spans="2:79" ht="31.15" customHeight="1" x14ac:dyDescent="0.25">
      <c r="B238" s="1693"/>
      <c r="C238" s="1224" t="str">
        <f t="shared" si="386"/>
        <v>Pendant le verrouillage COVID (circulation restreinte)</v>
      </c>
      <c r="D238" s="1225">
        <f>VLOOKUP(B237, $C$27:$AY$50, 44, FALSE)</f>
        <v>0</v>
      </c>
      <c r="T238" s="301"/>
      <c r="BS238" s="184" t="s">
        <v>2071</v>
      </c>
      <c r="BT238" s="184" t="s">
        <v>2387</v>
      </c>
    </row>
    <row r="239" spans="2:79" ht="31.15" customHeight="1" x14ac:dyDescent="0.25">
      <c r="B239" s="1693"/>
      <c r="C239" s="1224" t="str">
        <f t="shared" si="386"/>
        <v>En dehors du verrouillage COVID</v>
      </c>
      <c r="D239" s="1225">
        <f>VLOOKUP(B237, $C$27:$AY$50, 43, FALSE)</f>
        <v>0</v>
      </c>
      <c r="T239" s="301"/>
      <c r="BS239" s="184" t="s">
        <v>2072</v>
      </c>
      <c r="BT239" s="184" t="s">
        <v>2388</v>
      </c>
    </row>
    <row r="240" spans="2:79" ht="31.15" customHeight="1" thickBot="1" x14ac:dyDescent="0.3">
      <c r="B240" s="1693"/>
      <c r="C240" s="260" t="str">
        <f t="shared" si="386"/>
        <v>Globalement (2019-2021)</v>
      </c>
      <c r="D240" s="1226">
        <f>VLOOKUP(B237, $C$27:$AY$50, 45, FALSE)</f>
        <v>0</v>
      </c>
      <c r="T240" s="301"/>
      <c r="BS240" s="184" t="s">
        <v>2384</v>
      </c>
      <c r="BT240" s="184" t="s">
        <v>2396</v>
      </c>
    </row>
    <row r="241" spans="2:72" ht="30.6" customHeight="1" x14ac:dyDescent="0.25">
      <c r="B241" s="1693"/>
      <c r="C241" s="1690" t="str">
        <f t="shared" si="386"/>
        <v>Comparaison des totaux annuels et mensuels</v>
      </c>
      <c r="D241" s="1691"/>
      <c r="T241" s="301"/>
      <c r="BS241" s="184" t="s">
        <v>2073</v>
      </c>
      <c r="BT241" s="184" t="s">
        <v>2389</v>
      </c>
    </row>
    <row r="242" spans="2:72" ht="30" customHeight="1" x14ac:dyDescent="0.25">
      <c r="B242" s="1693"/>
      <c r="C242" s="1224" t="str">
        <f t="shared" si="386"/>
        <v>Somme des services mensuels 2019</v>
      </c>
      <c r="D242" s="1225">
        <f>VLOOKUP(B237, $C$27:$AX$51, 47, FALSE)</f>
        <v>0</v>
      </c>
      <c r="T242" s="301"/>
      <c r="BS242" s="184" t="s">
        <v>2052</v>
      </c>
      <c r="BT242" s="184" t="s">
        <v>2390</v>
      </c>
    </row>
    <row r="243" spans="2:72" ht="30" customHeight="1" x14ac:dyDescent="0.25">
      <c r="B243" s="1693"/>
      <c r="C243" s="1224" t="str">
        <f t="shared" si="386"/>
        <v>Prestations annuelles 2019</v>
      </c>
      <c r="D243" s="1225" t="e">
        <f ca="1">VLOOKUP(B237, $C$79:$V$104, MATCH(2019, $C$77:$V$77, 0),FALSE)</f>
        <v>#N/A</v>
      </c>
      <c r="T243" s="301"/>
      <c r="BS243" s="184" t="s">
        <v>2074</v>
      </c>
      <c r="BT243" s="184" t="s">
        <v>2391</v>
      </c>
    </row>
    <row r="244" spans="2:72" ht="30" customHeight="1" thickBot="1" x14ac:dyDescent="0.3">
      <c r="B244" s="1693"/>
      <c r="C244" s="1227" t="str">
        <f t="shared" si="386"/>
        <v>Différence (somme des mois moins annuelle)</v>
      </c>
      <c r="D244" s="1228" t="e">
        <f ca="1">D242-D243</f>
        <v>#N/A</v>
      </c>
      <c r="T244" s="301"/>
      <c r="BS244" s="184" t="s">
        <v>2075</v>
      </c>
      <c r="BT244" s="184" t="s">
        <v>2392</v>
      </c>
    </row>
    <row r="245" spans="2:72" ht="30" customHeight="1" x14ac:dyDescent="0.25">
      <c r="B245" s="1693"/>
      <c r="C245" s="1224" t="str">
        <f t="shared" si="386"/>
        <v>Somme des services mensuels 2020</v>
      </c>
      <c r="D245" s="1225">
        <f>VLOOKUP(B237, $C$27:$AX$51, 48, FALSE)</f>
        <v>0</v>
      </c>
      <c r="T245" s="301"/>
      <c r="BS245" s="184" t="s">
        <v>2076</v>
      </c>
      <c r="BT245" s="184" t="s">
        <v>2393</v>
      </c>
    </row>
    <row r="246" spans="2:72" ht="30" customHeight="1" x14ac:dyDescent="0.25">
      <c r="B246" s="1693"/>
      <c r="C246" s="1224" t="str">
        <f t="shared" si="386"/>
        <v>Prestations annuelles 2020</v>
      </c>
      <c r="D246" s="1225" t="e">
        <f ca="1">VLOOKUP(B237, $C$79:$V$103, MATCH(2020, $C$77:$V$77, 0),FALSE)</f>
        <v>#N/A</v>
      </c>
      <c r="T246" s="301"/>
      <c r="BS246" s="184" t="s">
        <v>2077</v>
      </c>
      <c r="BT246" s="184" t="s">
        <v>2394</v>
      </c>
    </row>
    <row r="247" spans="2:72" ht="30" customHeight="1" thickBot="1" x14ac:dyDescent="0.3">
      <c r="B247" s="1693"/>
      <c r="C247" s="1227" t="str">
        <f t="shared" si="386"/>
        <v>Différence (somme des mois moins annuelle)</v>
      </c>
      <c r="D247" s="1228" t="e">
        <f ca="1">D245-D246</f>
        <v>#N/A</v>
      </c>
      <c r="E247" s="149"/>
      <c r="T247" s="301"/>
      <c r="BS247" s="184" t="s">
        <v>2075</v>
      </c>
      <c r="BT247" s="184" t="s">
        <v>2392</v>
      </c>
    </row>
    <row r="248" spans="2:72" ht="30" customHeight="1" x14ac:dyDescent="0.25">
      <c r="B248" s="1693"/>
      <c r="C248" s="1224" t="str">
        <f t="shared" si="386"/>
        <v>Somme des services mensuels 2021</v>
      </c>
      <c r="D248" s="1225">
        <f>VLOOKUP(B237, $C$27:$AY$51, 49, FALSE)</f>
        <v>0</v>
      </c>
      <c r="T248" s="301"/>
      <c r="BS248" s="184" t="s">
        <v>2383</v>
      </c>
      <c r="BT248" s="184" t="s">
        <v>2397</v>
      </c>
    </row>
    <row r="249" spans="2:72" ht="30" customHeight="1" x14ac:dyDescent="0.25">
      <c r="B249" s="1693"/>
      <c r="C249" s="1224" t="str">
        <f t="shared" si="386"/>
        <v>Prestations annuelles 2021</v>
      </c>
      <c r="D249" s="1225" t="e">
        <f ca="1">VLOOKUP(B237, $C$79:$V$103, MATCH(2021, $C$77:$V$77, 0),FALSE)</f>
        <v>#N/A</v>
      </c>
      <c r="T249" s="301"/>
      <c r="BS249" s="184" t="s">
        <v>2385</v>
      </c>
      <c r="BT249" s="184" t="s">
        <v>2398</v>
      </c>
    </row>
    <row r="250" spans="2:72" ht="30" customHeight="1" thickBot="1" x14ac:dyDescent="0.3">
      <c r="B250" s="1694"/>
      <c r="C250" s="1227" t="str">
        <f t="shared" si="386"/>
        <v>Différence (somme des mois moins annuelle)</v>
      </c>
      <c r="D250" s="1228" t="e">
        <f ca="1">D248-D249</f>
        <v>#N/A</v>
      </c>
      <c r="E250" s="149"/>
      <c r="F250" s="149"/>
      <c r="G250" s="149"/>
      <c r="H250" s="149"/>
      <c r="I250" s="149"/>
      <c r="J250" s="149"/>
      <c r="K250" s="149"/>
      <c r="L250" s="149"/>
      <c r="M250" s="149"/>
      <c r="N250" s="149"/>
      <c r="O250" s="149"/>
      <c r="P250" s="149"/>
      <c r="Q250" s="149"/>
      <c r="R250" s="149"/>
      <c r="S250" s="149"/>
      <c r="T250" s="630"/>
      <c r="BS250" s="184" t="s">
        <v>2075</v>
      </c>
      <c r="BT250" s="184" t="s">
        <v>2392</v>
      </c>
    </row>
    <row r="251" spans="2:72" ht="15.75" thickBot="1" x14ac:dyDescent="0.3"/>
    <row r="252" spans="2:72" ht="24" customHeight="1" x14ac:dyDescent="0.25">
      <c r="B252" s="1695" t="str">
        <f>C110</f>
        <v>Vasectomie</v>
      </c>
      <c r="C252" s="1690" t="str">
        <f t="shared" ref="C252:C265" si="387">IF(Language="English", BS252, BT252)</f>
        <v>Services mensuels moyens (2019-2021)</v>
      </c>
      <c r="D252" s="1691"/>
      <c r="E252" s="148"/>
      <c r="F252" s="148"/>
      <c r="G252" s="148"/>
      <c r="H252" s="148"/>
      <c r="I252" s="148"/>
      <c r="J252" s="148"/>
      <c r="K252" s="148"/>
      <c r="L252" s="148"/>
      <c r="M252" s="148"/>
      <c r="N252" s="148"/>
      <c r="O252" s="148"/>
      <c r="P252" s="148"/>
      <c r="Q252" s="148"/>
      <c r="R252" s="148"/>
      <c r="S252" s="148"/>
      <c r="T252" s="1223"/>
      <c r="BS252" s="184" t="s">
        <v>2386</v>
      </c>
      <c r="BT252" s="184" t="s">
        <v>2395</v>
      </c>
    </row>
    <row r="253" spans="2:72" ht="31.15" customHeight="1" x14ac:dyDescent="0.25">
      <c r="B253" s="1696"/>
      <c r="C253" s="1224" t="str">
        <f t="shared" si="387"/>
        <v>Pendant le verrouillage COVID (circulation restreinte)</v>
      </c>
      <c r="D253" s="1225">
        <f>VLOOKUP(B252, $C$27:$AY$50, 44, FALSE)</f>
        <v>0</v>
      </c>
      <c r="T253" s="301"/>
      <c r="BS253" s="184" t="s">
        <v>2071</v>
      </c>
      <c r="BT253" s="184" t="s">
        <v>2387</v>
      </c>
    </row>
    <row r="254" spans="2:72" ht="31.15" customHeight="1" x14ac:dyDescent="0.25">
      <c r="B254" s="1696"/>
      <c r="C254" s="1224" t="str">
        <f t="shared" si="387"/>
        <v>En dehors du verrouillage COVID</v>
      </c>
      <c r="D254" s="1225">
        <f>VLOOKUP(B252, $C$27:$AY$50, 43, FALSE)</f>
        <v>0</v>
      </c>
      <c r="T254" s="301"/>
      <c r="BS254" s="184" t="s">
        <v>2072</v>
      </c>
      <c r="BT254" s="184" t="s">
        <v>2388</v>
      </c>
    </row>
    <row r="255" spans="2:72" ht="31.15" customHeight="1" thickBot="1" x14ac:dyDescent="0.3">
      <c r="B255" s="1696"/>
      <c r="C255" s="260" t="str">
        <f t="shared" si="387"/>
        <v>Globalement (2019-2021)</v>
      </c>
      <c r="D255" s="1226">
        <f>VLOOKUP(B252, $C$27:$AY$50, 45, FALSE)</f>
        <v>0</v>
      </c>
      <c r="T255" s="301"/>
      <c r="BS255" s="184" t="s">
        <v>2384</v>
      </c>
      <c r="BT255" s="184" t="s">
        <v>2396</v>
      </c>
    </row>
    <row r="256" spans="2:72" ht="30.6" customHeight="1" x14ac:dyDescent="0.25">
      <c r="B256" s="1696"/>
      <c r="C256" s="1690" t="str">
        <f t="shared" si="387"/>
        <v>Comparaison des totaux annuels et mensuels</v>
      </c>
      <c r="D256" s="1691"/>
      <c r="T256" s="301"/>
      <c r="BS256" s="184" t="s">
        <v>2073</v>
      </c>
      <c r="BT256" s="184" t="s">
        <v>2389</v>
      </c>
    </row>
    <row r="257" spans="2:72" ht="30" customHeight="1" x14ac:dyDescent="0.25">
      <c r="B257" s="1696"/>
      <c r="C257" s="1224" t="str">
        <f t="shared" si="387"/>
        <v>Somme des services mensuels 2019</v>
      </c>
      <c r="D257" s="1225">
        <f>VLOOKUP(B252, $C$27:$AX$51, 47, FALSE)</f>
        <v>0</v>
      </c>
      <c r="T257" s="301"/>
      <c r="BS257" s="184" t="s">
        <v>2052</v>
      </c>
      <c r="BT257" s="184" t="s">
        <v>2390</v>
      </c>
    </row>
    <row r="258" spans="2:72" ht="30" customHeight="1" x14ac:dyDescent="0.25">
      <c r="B258" s="1696"/>
      <c r="C258" s="1224" t="str">
        <f t="shared" si="387"/>
        <v>Prestations annuelles 2019</v>
      </c>
      <c r="D258" s="1225" t="e">
        <f ca="1">VLOOKUP(B252, $C$79:$V$103, MATCH(2019, $C$77:$V$77, 0),FALSE)</f>
        <v>#N/A</v>
      </c>
      <c r="T258" s="301"/>
      <c r="BS258" s="184" t="s">
        <v>2074</v>
      </c>
      <c r="BT258" s="184" t="s">
        <v>2391</v>
      </c>
    </row>
    <row r="259" spans="2:72" ht="30" customHeight="1" thickBot="1" x14ac:dyDescent="0.3">
      <c r="B259" s="1696"/>
      <c r="C259" s="1227" t="str">
        <f t="shared" si="387"/>
        <v>Différence (somme des mois moins annuelle)</v>
      </c>
      <c r="D259" s="1228" t="e">
        <f ca="1">D257-D258</f>
        <v>#N/A</v>
      </c>
      <c r="T259" s="301"/>
      <c r="BS259" s="184" t="s">
        <v>2075</v>
      </c>
      <c r="BT259" s="184" t="s">
        <v>2392</v>
      </c>
    </row>
    <row r="260" spans="2:72" ht="30" customHeight="1" x14ac:dyDescent="0.25">
      <c r="B260" s="1696"/>
      <c r="C260" s="1224" t="str">
        <f t="shared" si="387"/>
        <v>Somme des services mensuels 2020</v>
      </c>
      <c r="D260" s="1225">
        <f>VLOOKUP(B252, $C$27:$AX$51, 48, FALSE)</f>
        <v>0</v>
      </c>
      <c r="T260" s="301"/>
      <c r="BS260" s="184" t="s">
        <v>2076</v>
      </c>
      <c r="BT260" s="184" t="s">
        <v>2393</v>
      </c>
    </row>
    <row r="261" spans="2:72" ht="30" customHeight="1" x14ac:dyDescent="0.25">
      <c r="B261" s="1696"/>
      <c r="C261" s="1224" t="str">
        <f t="shared" si="387"/>
        <v>Prestations annuelles 2020</v>
      </c>
      <c r="D261" s="1225" t="e">
        <f ca="1">VLOOKUP(B252, $C$79:$V$103, MATCH(2020, $C$77:$V$77, 0),FALSE)</f>
        <v>#N/A</v>
      </c>
      <c r="T261" s="301"/>
      <c r="BS261" s="184" t="s">
        <v>2077</v>
      </c>
      <c r="BT261" s="184" t="s">
        <v>2394</v>
      </c>
    </row>
    <row r="262" spans="2:72" ht="24" customHeight="1" thickBot="1" x14ac:dyDescent="0.3">
      <c r="B262" s="1696"/>
      <c r="C262" s="1227" t="str">
        <f t="shared" si="387"/>
        <v>Différence (somme des mois moins annuelle)</v>
      </c>
      <c r="D262" s="1228" t="e">
        <f ca="1">D260-D261</f>
        <v>#N/A</v>
      </c>
      <c r="E262" s="149"/>
      <c r="T262" s="301"/>
      <c r="BS262" s="184" t="s">
        <v>2075</v>
      </c>
      <c r="BT262" s="184" t="s">
        <v>2392</v>
      </c>
    </row>
    <row r="263" spans="2:72" ht="30" customHeight="1" x14ac:dyDescent="0.25">
      <c r="B263" s="1696"/>
      <c r="C263" s="1224" t="str">
        <f t="shared" si="387"/>
        <v>Somme des services mensuels 2021</v>
      </c>
      <c r="D263" s="1225">
        <f>VLOOKUP(B252, $C$27:$AY$51, 49, FALSE)</f>
        <v>0</v>
      </c>
      <c r="T263" s="301"/>
      <c r="BS263" s="184" t="s">
        <v>2383</v>
      </c>
      <c r="BT263" s="184" t="s">
        <v>2397</v>
      </c>
    </row>
    <row r="264" spans="2:72" ht="30" customHeight="1" x14ac:dyDescent="0.25">
      <c r="B264" s="1696"/>
      <c r="C264" s="1224" t="str">
        <f t="shared" si="387"/>
        <v>Prestations annuelles 2021</v>
      </c>
      <c r="D264" s="1225" t="e">
        <f ca="1">VLOOKUP(B252, $C$79:$V$103, MATCH(2021, $C$77:$V$77, 0),FALSE)</f>
        <v>#N/A</v>
      </c>
      <c r="T264" s="301"/>
      <c r="BS264" s="184" t="s">
        <v>2385</v>
      </c>
      <c r="BT264" s="184" t="s">
        <v>2398</v>
      </c>
    </row>
    <row r="265" spans="2:72" ht="30" customHeight="1" thickBot="1" x14ac:dyDescent="0.3">
      <c r="B265" s="1697"/>
      <c r="C265" s="1227" t="str">
        <f t="shared" si="387"/>
        <v>Différence (somme des mois moins annuelle)</v>
      </c>
      <c r="D265" s="1228" t="e">
        <f ca="1">D263-D264</f>
        <v>#N/A</v>
      </c>
      <c r="E265" s="149"/>
      <c r="F265" s="149"/>
      <c r="G265" s="149"/>
      <c r="H265" s="149"/>
      <c r="I265" s="149"/>
      <c r="J265" s="149"/>
      <c r="K265" s="149"/>
      <c r="L265" s="149"/>
      <c r="M265" s="149"/>
      <c r="N265" s="149"/>
      <c r="O265" s="149"/>
      <c r="P265" s="149"/>
      <c r="Q265" s="149"/>
      <c r="R265" s="149"/>
      <c r="S265" s="149"/>
      <c r="T265" s="630"/>
      <c r="BS265" s="184" t="s">
        <v>2075</v>
      </c>
      <c r="BT265" s="184" t="s">
        <v>2392</v>
      </c>
    </row>
    <row r="266" spans="2:72" ht="15.75" thickBot="1" x14ac:dyDescent="0.3"/>
    <row r="267" spans="2:72" ht="24" customHeight="1" x14ac:dyDescent="0.25">
      <c r="B267" s="1695" t="str">
        <f>C111</f>
        <v>Copper- T 380-A DIU</v>
      </c>
      <c r="C267" s="1690" t="str">
        <f t="shared" ref="C267:C280" si="388">IF(Language="English", BS267, BT267)</f>
        <v>Services mensuels moyens (2019-2021)</v>
      </c>
      <c r="D267" s="1691"/>
      <c r="E267" s="148"/>
      <c r="F267" s="148"/>
      <c r="G267" s="148"/>
      <c r="H267" s="148"/>
      <c r="I267" s="148"/>
      <c r="J267" s="148"/>
      <c r="K267" s="148"/>
      <c r="L267" s="148"/>
      <c r="M267" s="148"/>
      <c r="N267" s="148"/>
      <c r="O267" s="148"/>
      <c r="P267" s="148"/>
      <c r="Q267" s="148"/>
      <c r="R267" s="148"/>
      <c r="S267" s="148"/>
      <c r="T267" s="1223"/>
      <c r="BS267" s="184" t="s">
        <v>2386</v>
      </c>
      <c r="BT267" s="184" t="s">
        <v>2395</v>
      </c>
    </row>
    <row r="268" spans="2:72" ht="31.15" customHeight="1" x14ac:dyDescent="0.25">
      <c r="B268" s="1696"/>
      <c r="C268" s="1224" t="str">
        <f t="shared" si="388"/>
        <v>Pendant le verrouillage COVID (circulation restreinte)</v>
      </c>
      <c r="D268" s="1225">
        <f>VLOOKUP(B267, $C$27:$AY$50, 44, FALSE)</f>
        <v>0</v>
      </c>
      <c r="T268" s="301"/>
      <c r="BS268" s="184" t="s">
        <v>2071</v>
      </c>
      <c r="BT268" s="184" t="s">
        <v>2387</v>
      </c>
    </row>
    <row r="269" spans="2:72" ht="31.15" customHeight="1" x14ac:dyDescent="0.25">
      <c r="B269" s="1696"/>
      <c r="C269" s="1224" t="str">
        <f t="shared" si="388"/>
        <v>En dehors du verrouillage COVID</v>
      </c>
      <c r="D269" s="1225">
        <f>VLOOKUP(B267, $C$27:$AY$50, 43, FALSE)</f>
        <v>0</v>
      </c>
      <c r="T269" s="301"/>
      <c r="BS269" s="184" t="s">
        <v>2072</v>
      </c>
      <c r="BT269" s="184" t="s">
        <v>2388</v>
      </c>
    </row>
    <row r="270" spans="2:72" ht="31.15" customHeight="1" thickBot="1" x14ac:dyDescent="0.3">
      <c r="B270" s="1696"/>
      <c r="C270" s="260" t="str">
        <f t="shared" si="388"/>
        <v>Globalement (2019-2021)</v>
      </c>
      <c r="D270" s="1226">
        <f>VLOOKUP(B267, $C$27:$AY$50, 45, FALSE)</f>
        <v>0</v>
      </c>
      <c r="T270" s="301"/>
      <c r="BS270" s="184" t="s">
        <v>2384</v>
      </c>
      <c r="BT270" s="184" t="s">
        <v>2396</v>
      </c>
    </row>
    <row r="271" spans="2:72" ht="30.6" customHeight="1" x14ac:dyDescent="0.25">
      <c r="B271" s="1696"/>
      <c r="C271" s="1690" t="str">
        <f t="shared" si="388"/>
        <v>Comparaison des totaux annuels et mensuels</v>
      </c>
      <c r="D271" s="1691"/>
      <c r="T271" s="301"/>
      <c r="BS271" s="184" t="s">
        <v>2073</v>
      </c>
      <c r="BT271" s="184" t="s">
        <v>2389</v>
      </c>
    </row>
    <row r="272" spans="2:72" ht="30" customHeight="1" x14ac:dyDescent="0.25">
      <c r="B272" s="1696"/>
      <c r="C272" s="1224" t="str">
        <f t="shared" si="388"/>
        <v>Somme des services mensuels 2019</v>
      </c>
      <c r="D272" s="1225">
        <f>VLOOKUP(B267, $C$27:$AX$51, 47, FALSE)</f>
        <v>0</v>
      </c>
      <c r="T272" s="301"/>
      <c r="BS272" s="184" t="s">
        <v>2052</v>
      </c>
      <c r="BT272" s="184" t="s">
        <v>2390</v>
      </c>
    </row>
    <row r="273" spans="2:72" ht="30" customHeight="1" x14ac:dyDescent="0.25">
      <c r="B273" s="1696"/>
      <c r="C273" s="1224" t="str">
        <f t="shared" si="388"/>
        <v>Prestations annuelles 2019</v>
      </c>
      <c r="D273" s="1225" t="e">
        <f ca="1">VLOOKUP(B267, $C$79:$V$103, MATCH(2019, $C$77:$V$77, 0),FALSE)</f>
        <v>#N/A</v>
      </c>
      <c r="T273" s="301"/>
      <c r="BS273" s="184" t="s">
        <v>2074</v>
      </c>
      <c r="BT273" s="184" t="s">
        <v>2391</v>
      </c>
    </row>
    <row r="274" spans="2:72" ht="30" customHeight="1" thickBot="1" x14ac:dyDescent="0.3">
      <c r="B274" s="1696"/>
      <c r="C274" s="1227" t="str">
        <f t="shared" si="388"/>
        <v>Différence (somme des mois moins annuelle)</v>
      </c>
      <c r="D274" s="1228" t="e">
        <f ca="1">D272-D273</f>
        <v>#N/A</v>
      </c>
      <c r="T274" s="301"/>
      <c r="BS274" s="184" t="s">
        <v>2075</v>
      </c>
      <c r="BT274" s="184" t="s">
        <v>2392</v>
      </c>
    </row>
    <row r="275" spans="2:72" ht="30" customHeight="1" x14ac:dyDescent="0.25">
      <c r="B275" s="1696"/>
      <c r="C275" s="1224" t="str">
        <f t="shared" si="388"/>
        <v>Somme des services mensuels 2020</v>
      </c>
      <c r="D275" s="1225">
        <f>VLOOKUP(B267, $C$27:$AX$51, 48, FALSE)</f>
        <v>0</v>
      </c>
      <c r="T275" s="301"/>
      <c r="BS275" s="184" t="s">
        <v>2076</v>
      </c>
      <c r="BT275" s="184" t="s">
        <v>2393</v>
      </c>
    </row>
    <row r="276" spans="2:72" ht="30" customHeight="1" x14ac:dyDescent="0.25">
      <c r="B276" s="1696"/>
      <c r="C276" s="1224" t="str">
        <f t="shared" si="388"/>
        <v>Prestations annuelles 2020</v>
      </c>
      <c r="D276" s="1225" t="e">
        <f ca="1">VLOOKUP(B267, $C$79:$V$103, MATCH(2020, $C$77:$V$77, 0),FALSE)</f>
        <v>#N/A</v>
      </c>
      <c r="T276" s="301"/>
      <c r="BS276" s="184" t="s">
        <v>2077</v>
      </c>
      <c r="BT276" s="184" t="s">
        <v>2394</v>
      </c>
    </row>
    <row r="277" spans="2:72" ht="24" customHeight="1" thickBot="1" x14ac:dyDescent="0.3">
      <c r="B277" s="1696"/>
      <c r="C277" s="1227" t="str">
        <f t="shared" si="388"/>
        <v>Différence (somme des mois moins annuelle)</v>
      </c>
      <c r="D277" s="1228" t="e">
        <f ca="1">D275-D276</f>
        <v>#N/A</v>
      </c>
      <c r="E277" s="149"/>
      <c r="T277" s="301"/>
      <c r="BS277" s="184" t="s">
        <v>2075</v>
      </c>
      <c r="BT277" s="184" t="s">
        <v>2392</v>
      </c>
    </row>
    <row r="278" spans="2:72" ht="30" customHeight="1" x14ac:dyDescent="0.25">
      <c r="B278" s="1696"/>
      <c r="C278" s="1224" t="str">
        <f t="shared" si="388"/>
        <v>Somme des services mensuels 2021</v>
      </c>
      <c r="D278" s="1225">
        <f>VLOOKUP(B267, $C$27:$AY$51, 49, FALSE)</f>
        <v>0</v>
      </c>
      <c r="T278" s="301"/>
      <c r="BS278" s="184" t="s">
        <v>2383</v>
      </c>
      <c r="BT278" s="184" t="s">
        <v>2397</v>
      </c>
    </row>
    <row r="279" spans="2:72" ht="30" customHeight="1" x14ac:dyDescent="0.25">
      <c r="B279" s="1696"/>
      <c r="C279" s="1224" t="str">
        <f t="shared" si="388"/>
        <v>Prestations annuelles 2021</v>
      </c>
      <c r="D279" s="1225" t="e">
        <f ca="1">VLOOKUP(B267, $C$79:$V$103, MATCH(2021, $C$77:$V$77, 0),FALSE)</f>
        <v>#N/A</v>
      </c>
      <c r="T279" s="301"/>
      <c r="BS279" s="184" t="s">
        <v>2385</v>
      </c>
      <c r="BT279" s="184" t="s">
        <v>2398</v>
      </c>
    </row>
    <row r="280" spans="2:72" ht="30" customHeight="1" thickBot="1" x14ac:dyDescent="0.3">
      <c r="B280" s="1697"/>
      <c r="C280" s="1227" t="str">
        <f t="shared" si="388"/>
        <v>Différence (somme des mois moins annuelle)</v>
      </c>
      <c r="D280" s="1228" t="e">
        <f ca="1">D278-D279</f>
        <v>#N/A</v>
      </c>
      <c r="E280" s="149"/>
      <c r="F280" s="149"/>
      <c r="G280" s="149"/>
      <c r="H280" s="149"/>
      <c r="I280" s="149"/>
      <c r="J280" s="149"/>
      <c r="K280" s="149"/>
      <c r="L280" s="149"/>
      <c r="M280" s="149"/>
      <c r="N280" s="149"/>
      <c r="O280" s="149"/>
      <c r="P280" s="149"/>
      <c r="Q280" s="149"/>
      <c r="R280" s="149"/>
      <c r="S280" s="149"/>
      <c r="T280" s="630"/>
      <c r="BS280" s="184" t="s">
        <v>2075</v>
      </c>
      <c r="BT280" s="184" t="s">
        <v>2392</v>
      </c>
    </row>
    <row r="281" spans="2:72" ht="15.75" thickBot="1" x14ac:dyDescent="0.3"/>
    <row r="282" spans="2:72" ht="24" customHeight="1" x14ac:dyDescent="0.25">
      <c r="B282" s="1695" t="str">
        <f>C112</f>
        <v>DIU Hormonal (LNG-IUS)</v>
      </c>
      <c r="C282" s="1690" t="str">
        <f t="shared" ref="C282:C295" si="389">IF(Language="English", BS282, BT282)</f>
        <v>Services mensuels moyens (2019-2021)</v>
      </c>
      <c r="D282" s="1691"/>
      <c r="E282" s="148"/>
      <c r="F282" s="148"/>
      <c r="G282" s="148"/>
      <c r="H282" s="148"/>
      <c r="I282" s="148"/>
      <c r="J282" s="148"/>
      <c r="K282" s="148"/>
      <c r="L282" s="148"/>
      <c r="M282" s="148"/>
      <c r="N282" s="148"/>
      <c r="O282" s="148"/>
      <c r="P282" s="148"/>
      <c r="Q282" s="148"/>
      <c r="R282" s="148"/>
      <c r="S282" s="148"/>
      <c r="T282" s="1223"/>
      <c r="BS282" s="184" t="s">
        <v>2386</v>
      </c>
      <c r="BT282" s="184" t="s">
        <v>2395</v>
      </c>
    </row>
    <row r="283" spans="2:72" ht="31.15" customHeight="1" x14ac:dyDescent="0.25">
      <c r="B283" s="1696"/>
      <c r="C283" s="1224" t="str">
        <f t="shared" si="389"/>
        <v>Pendant le verrouillage COVID (circulation restreinte)</v>
      </c>
      <c r="D283" s="1225">
        <f>VLOOKUP(B282, $C$27:$AY$50, 44, FALSE)</f>
        <v>0</v>
      </c>
      <c r="T283" s="301"/>
      <c r="BS283" s="184" t="s">
        <v>2071</v>
      </c>
      <c r="BT283" s="184" t="s">
        <v>2387</v>
      </c>
    </row>
    <row r="284" spans="2:72" ht="31.15" customHeight="1" x14ac:dyDescent="0.25">
      <c r="B284" s="1696"/>
      <c r="C284" s="1224" t="str">
        <f t="shared" si="389"/>
        <v>En dehors du verrouillage COVID</v>
      </c>
      <c r="D284" s="1225">
        <f>VLOOKUP(B282, $C$27:$AY$50, 43, FALSE)</f>
        <v>0</v>
      </c>
      <c r="T284" s="301"/>
      <c r="BS284" s="184" t="s">
        <v>2072</v>
      </c>
      <c r="BT284" s="184" t="s">
        <v>2388</v>
      </c>
    </row>
    <row r="285" spans="2:72" ht="31.15" customHeight="1" thickBot="1" x14ac:dyDescent="0.3">
      <c r="B285" s="1696"/>
      <c r="C285" s="260" t="str">
        <f t="shared" si="389"/>
        <v>Globalement (2019-2021)</v>
      </c>
      <c r="D285" s="1226">
        <f>VLOOKUP(B282, $C$27:$AY$50, 45, FALSE)</f>
        <v>0</v>
      </c>
      <c r="T285" s="301"/>
      <c r="BS285" s="184" t="s">
        <v>2384</v>
      </c>
      <c r="BT285" s="184" t="s">
        <v>2396</v>
      </c>
    </row>
    <row r="286" spans="2:72" ht="30.6" customHeight="1" x14ac:dyDescent="0.25">
      <c r="B286" s="1696"/>
      <c r="C286" s="1690" t="str">
        <f t="shared" si="389"/>
        <v>Comparaison des totaux annuels et mensuels</v>
      </c>
      <c r="D286" s="1691"/>
      <c r="T286" s="301"/>
      <c r="BS286" s="184" t="s">
        <v>2073</v>
      </c>
      <c r="BT286" s="184" t="s">
        <v>2389</v>
      </c>
    </row>
    <row r="287" spans="2:72" ht="30" customHeight="1" x14ac:dyDescent="0.25">
      <c r="B287" s="1696"/>
      <c r="C287" s="1224" t="str">
        <f t="shared" si="389"/>
        <v>Somme des services mensuels 2019</v>
      </c>
      <c r="D287" s="1225">
        <f>VLOOKUP(B282, $C$27:$AX$51, 47, FALSE)</f>
        <v>0</v>
      </c>
      <c r="T287" s="301"/>
      <c r="BS287" s="184" t="s">
        <v>2052</v>
      </c>
      <c r="BT287" s="184" t="s">
        <v>2390</v>
      </c>
    </row>
    <row r="288" spans="2:72" ht="30" customHeight="1" x14ac:dyDescent="0.25">
      <c r="B288" s="1696"/>
      <c r="C288" s="1224" t="str">
        <f t="shared" si="389"/>
        <v>Prestations annuelles 2019</v>
      </c>
      <c r="D288" s="1225" t="e">
        <f ca="1">VLOOKUP(B282, $C$79:$V$103, MATCH(2019, $C$77:$V$77, 0),FALSE)</f>
        <v>#N/A</v>
      </c>
      <c r="T288" s="301"/>
      <c r="BS288" s="184" t="s">
        <v>2074</v>
      </c>
      <c r="BT288" s="184" t="s">
        <v>2391</v>
      </c>
    </row>
    <row r="289" spans="2:72" ht="30" customHeight="1" thickBot="1" x14ac:dyDescent="0.3">
      <c r="B289" s="1696"/>
      <c r="C289" s="1227" t="str">
        <f t="shared" si="389"/>
        <v>Différence (somme des mois moins annuelle)</v>
      </c>
      <c r="D289" s="1228" t="e">
        <f ca="1">D287-D288</f>
        <v>#N/A</v>
      </c>
      <c r="T289" s="301"/>
      <c r="BS289" s="184" t="s">
        <v>2075</v>
      </c>
      <c r="BT289" s="184" t="s">
        <v>2392</v>
      </c>
    </row>
    <row r="290" spans="2:72" ht="30" customHeight="1" x14ac:dyDescent="0.25">
      <c r="B290" s="1696"/>
      <c r="C290" s="1224" t="str">
        <f t="shared" si="389"/>
        <v>Somme des services mensuels 2020</v>
      </c>
      <c r="D290" s="1225">
        <f>VLOOKUP(B282, $C$27:$AX$51, 48, FALSE)</f>
        <v>0</v>
      </c>
      <c r="T290" s="301"/>
      <c r="BS290" s="184" t="s">
        <v>2076</v>
      </c>
      <c r="BT290" s="184" t="s">
        <v>2393</v>
      </c>
    </row>
    <row r="291" spans="2:72" ht="30" customHeight="1" x14ac:dyDescent="0.25">
      <c r="B291" s="1696"/>
      <c r="C291" s="1224" t="str">
        <f t="shared" si="389"/>
        <v>Prestations annuelles 2020</v>
      </c>
      <c r="D291" s="1225" t="e">
        <f ca="1">VLOOKUP(B282, $C$79:$V$103, MATCH(2020, $C$77:$V$77, 0),FALSE)</f>
        <v>#N/A</v>
      </c>
      <c r="T291" s="301"/>
      <c r="BS291" s="184" t="s">
        <v>2077</v>
      </c>
      <c r="BT291" s="184" t="s">
        <v>2394</v>
      </c>
    </row>
    <row r="292" spans="2:72" ht="24" customHeight="1" thickBot="1" x14ac:dyDescent="0.3">
      <c r="B292" s="1696"/>
      <c r="C292" s="1227" t="str">
        <f t="shared" si="389"/>
        <v>Différence (somme des mois moins annuelle)</v>
      </c>
      <c r="D292" s="1228" t="e">
        <f ca="1">D290-D291</f>
        <v>#N/A</v>
      </c>
      <c r="E292" s="149"/>
      <c r="T292" s="301"/>
      <c r="BS292" s="184" t="s">
        <v>2075</v>
      </c>
      <c r="BT292" s="184" t="s">
        <v>2392</v>
      </c>
    </row>
    <row r="293" spans="2:72" ht="30" customHeight="1" x14ac:dyDescent="0.25">
      <c r="B293" s="1696"/>
      <c r="C293" s="1224" t="str">
        <f t="shared" si="389"/>
        <v>Somme des services mensuels 2021</v>
      </c>
      <c r="D293" s="1225">
        <f>VLOOKUP(B282, $C$27:$AY$51, 49, FALSE)</f>
        <v>0</v>
      </c>
      <c r="T293" s="301"/>
      <c r="BS293" s="184" t="s">
        <v>2383</v>
      </c>
      <c r="BT293" s="184" t="s">
        <v>2397</v>
      </c>
    </row>
    <row r="294" spans="2:72" ht="30" customHeight="1" x14ac:dyDescent="0.25">
      <c r="B294" s="1696"/>
      <c r="C294" s="1224" t="str">
        <f t="shared" si="389"/>
        <v>Prestations annuelles 2021</v>
      </c>
      <c r="D294" s="1225" t="e">
        <f ca="1">VLOOKUP(B282, $C$79:$V$103, MATCH(2021, $C$77:$V$77, 0),FALSE)</f>
        <v>#N/A</v>
      </c>
      <c r="T294" s="301"/>
      <c r="BS294" s="184" t="s">
        <v>2385</v>
      </c>
      <c r="BT294" s="184" t="s">
        <v>2398</v>
      </c>
    </row>
    <row r="295" spans="2:72" ht="30" customHeight="1" thickBot="1" x14ac:dyDescent="0.3">
      <c r="B295" s="1697"/>
      <c r="C295" s="1227" t="str">
        <f t="shared" si="389"/>
        <v>Différence (somme des mois moins annuelle)</v>
      </c>
      <c r="D295" s="1228" t="e">
        <f ca="1">D293-D294</f>
        <v>#N/A</v>
      </c>
      <c r="E295" s="149"/>
      <c r="F295" s="149"/>
      <c r="G295" s="149"/>
      <c r="H295" s="149"/>
      <c r="I295" s="149"/>
      <c r="J295" s="149"/>
      <c r="K295" s="149"/>
      <c r="L295" s="149"/>
      <c r="M295" s="149"/>
      <c r="N295" s="149"/>
      <c r="O295" s="149"/>
      <c r="P295" s="149"/>
      <c r="Q295" s="149"/>
      <c r="R295" s="149"/>
      <c r="S295" s="149"/>
      <c r="T295" s="630"/>
      <c r="BS295" s="184" t="s">
        <v>2075</v>
      </c>
      <c r="BT295" s="184" t="s">
        <v>2392</v>
      </c>
    </row>
    <row r="296" spans="2:72" ht="15.75" thickBot="1" x14ac:dyDescent="0.3"/>
    <row r="297" spans="2:72" ht="24" customHeight="1" x14ac:dyDescent="0.25">
      <c r="B297" s="1695" t="str">
        <f>C113</f>
        <v>Implant de 3 ans (Implanon, Levoplant)</v>
      </c>
      <c r="C297" s="1690" t="str">
        <f t="shared" ref="C297:C310" si="390">IF(Language="English", BS297, BT297)</f>
        <v>Services mensuels moyens (2019-2021)</v>
      </c>
      <c r="D297" s="1691"/>
      <c r="E297" s="148"/>
      <c r="F297" s="148"/>
      <c r="G297" s="148"/>
      <c r="H297" s="148"/>
      <c r="I297" s="148"/>
      <c r="J297" s="148"/>
      <c r="K297" s="148"/>
      <c r="L297" s="148"/>
      <c r="M297" s="148"/>
      <c r="N297" s="148"/>
      <c r="O297" s="148"/>
      <c r="P297" s="148"/>
      <c r="Q297" s="148"/>
      <c r="R297" s="148"/>
      <c r="S297" s="148"/>
      <c r="T297" s="1223"/>
      <c r="BS297" s="184" t="s">
        <v>2386</v>
      </c>
      <c r="BT297" s="184" t="s">
        <v>2395</v>
      </c>
    </row>
    <row r="298" spans="2:72" ht="31.15" customHeight="1" x14ac:dyDescent="0.25">
      <c r="B298" s="1696"/>
      <c r="C298" s="1224" t="str">
        <f t="shared" si="390"/>
        <v>Pendant le verrouillage COVID (circulation restreinte)</v>
      </c>
      <c r="D298" s="1225">
        <f>VLOOKUP(B297, $C$27:$AY$50, 44, FALSE)</f>
        <v>0</v>
      </c>
      <c r="T298" s="301"/>
      <c r="BS298" s="184" t="s">
        <v>2071</v>
      </c>
      <c r="BT298" s="184" t="s">
        <v>2387</v>
      </c>
    </row>
    <row r="299" spans="2:72" ht="31.15" customHeight="1" x14ac:dyDescent="0.25">
      <c r="B299" s="1696"/>
      <c r="C299" s="1224" t="str">
        <f t="shared" si="390"/>
        <v>En dehors du verrouillage COVID</v>
      </c>
      <c r="D299" s="1225">
        <f>VLOOKUP(B297, $C$27:$AY$50, 43, FALSE)</f>
        <v>0</v>
      </c>
      <c r="T299" s="301"/>
      <c r="BS299" s="184" t="s">
        <v>2072</v>
      </c>
      <c r="BT299" s="184" t="s">
        <v>2388</v>
      </c>
    </row>
    <row r="300" spans="2:72" ht="31.15" customHeight="1" thickBot="1" x14ac:dyDescent="0.3">
      <c r="B300" s="1696"/>
      <c r="C300" s="260" t="str">
        <f t="shared" si="390"/>
        <v>Globalement (2019-2021)</v>
      </c>
      <c r="D300" s="1226">
        <f>VLOOKUP(B297, $C$27:$AY$50, 45, FALSE)</f>
        <v>0</v>
      </c>
      <c r="T300" s="301"/>
      <c r="BS300" s="184" t="s">
        <v>2384</v>
      </c>
      <c r="BT300" s="184" t="s">
        <v>2396</v>
      </c>
    </row>
    <row r="301" spans="2:72" ht="30.6" customHeight="1" x14ac:dyDescent="0.25">
      <c r="B301" s="1696"/>
      <c r="C301" s="1690" t="str">
        <f t="shared" si="390"/>
        <v>Comparaison des totaux annuels et mensuels</v>
      </c>
      <c r="D301" s="1691"/>
      <c r="T301" s="301"/>
      <c r="BS301" s="184" t="s">
        <v>2073</v>
      </c>
      <c r="BT301" s="184" t="s">
        <v>2389</v>
      </c>
    </row>
    <row r="302" spans="2:72" ht="30" customHeight="1" x14ac:dyDescent="0.25">
      <c r="B302" s="1696"/>
      <c r="C302" s="1224" t="str">
        <f t="shared" si="390"/>
        <v>Somme des services mensuels 2019</v>
      </c>
      <c r="D302" s="1225">
        <f>VLOOKUP(B297, $C$27:$AX$51, 47, FALSE)</f>
        <v>0</v>
      </c>
      <c r="T302" s="301"/>
      <c r="BS302" s="184" t="s">
        <v>2052</v>
      </c>
      <c r="BT302" s="184" t="s">
        <v>2390</v>
      </c>
    </row>
    <row r="303" spans="2:72" ht="30" customHeight="1" x14ac:dyDescent="0.25">
      <c r="B303" s="1696"/>
      <c r="C303" s="1224" t="str">
        <f t="shared" si="390"/>
        <v>Prestations annuelles 2019</v>
      </c>
      <c r="D303" s="1225" t="e">
        <f ca="1">VLOOKUP(B297, $C$79:$V$103, MATCH(2019, $C$77:$V$77, 0),FALSE)</f>
        <v>#N/A</v>
      </c>
      <c r="T303" s="301"/>
      <c r="BS303" s="184" t="s">
        <v>2074</v>
      </c>
      <c r="BT303" s="184" t="s">
        <v>2391</v>
      </c>
    </row>
    <row r="304" spans="2:72" ht="30" customHeight="1" thickBot="1" x14ac:dyDescent="0.3">
      <c r="B304" s="1696"/>
      <c r="C304" s="1227" t="str">
        <f t="shared" si="390"/>
        <v>Différence (somme des mois moins annuelle)</v>
      </c>
      <c r="D304" s="1228" t="e">
        <f ca="1">D302-D303</f>
        <v>#N/A</v>
      </c>
      <c r="T304" s="301"/>
      <c r="BS304" s="184" t="s">
        <v>2075</v>
      </c>
      <c r="BT304" s="184" t="s">
        <v>2392</v>
      </c>
    </row>
    <row r="305" spans="2:72" ht="30" customHeight="1" x14ac:dyDescent="0.25">
      <c r="B305" s="1696"/>
      <c r="C305" s="1224" t="str">
        <f t="shared" si="390"/>
        <v>Somme des services mensuels 2020</v>
      </c>
      <c r="D305" s="1225">
        <f>VLOOKUP(B297, $C$27:$AX$51, 48, FALSE)</f>
        <v>0</v>
      </c>
      <c r="T305" s="301"/>
      <c r="BS305" s="184" t="s">
        <v>2076</v>
      </c>
      <c r="BT305" s="184" t="s">
        <v>2393</v>
      </c>
    </row>
    <row r="306" spans="2:72" ht="30" customHeight="1" x14ac:dyDescent="0.25">
      <c r="B306" s="1696"/>
      <c r="C306" s="1224" t="str">
        <f t="shared" si="390"/>
        <v>Prestations annuelles 2020</v>
      </c>
      <c r="D306" s="1225" t="e">
        <f ca="1">VLOOKUP(B297, $C$79:$V$103, MATCH(2020, $C$77:$V$77, 0),FALSE)</f>
        <v>#N/A</v>
      </c>
      <c r="T306" s="301"/>
      <c r="BS306" s="184" t="s">
        <v>2077</v>
      </c>
      <c r="BT306" s="184" t="s">
        <v>2394</v>
      </c>
    </row>
    <row r="307" spans="2:72" ht="24" customHeight="1" thickBot="1" x14ac:dyDescent="0.3">
      <c r="B307" s="1696"/>
      <c r="C307" s="1227" t="str">
        <f t="shared" si="390"/>
        <v>Différence (somme des mois moins annuelle)</v>
      </c>
      <c r="D307" s="1228" t="e">
        <f ca="1">D305-D306</f>
        <v>#N/A</v>
      </c>
      <c r="E307" s="149"/>
      <c r="T307" s="301"/>
      <c r="BS307" s="184" t="s">
        <v>2075</v>
      </c>
      <c r="BT307" s="184" t="s">
        <v>2392</v>
      </c>
    </row>
    <row r="308" spans="2:72" ht="30" customHeight="1" x14ac:dyDescent="0.25">
      <c r="B308" s="1696"/>
      <c r="C308" s="1224" t="str">
        <f t="shared" si="390"/>
        <v>Somme des services mensuels 2021</v>
      </c>
      <c r="D308" s="1225">
        <f>VLOOKUP(B297, $C$27:$AY$51, 49, FALSE)</f>
        <v>0</v>
      </c>
      <c r="T308" s="301"/>
      <c r="BS308" s="184" t="s">
        <v>2383</v>
      </c>
      <c r="BT308" s="184" t="s">
        <v>2397</v>
      </c>
    </row>
    <row r="309" spans="2:72" ht="30" customHeight="1" x14ac:dyDescent="0.25">
      <c r="B309" s="1696"/>
      <c r="C309" s="1224" t="str">
        <f t="shared" si="390"/>
        <v>Prestations annuelles 2021</v>
      </c>
      <c r="D309" s="1225" t="e">
        <f ca="1">VLOOKUP(B297, $C$79:$V$103, MATCH(2021, $C$77:$V$77, 0),FALSE)</f>
        <v>#N/A</v>
      </c>
      <c r="T309" s="301"/>
      <c r="BS309" s="184" t="s">
        <v>2385</v>
      </c>
      <c r="BT309" s="184" t="s">
        <v>2398</v>
      </c>
    </row>
    <row r="310" spans="2:72" ht="30" customHeight="1" thickBot="1" x14ac:dyDescent="0.3">
      <c r="B310" s="1697"/>
      <c r="C310" s="1227" t="str">
        <f t="shared" si="390"/>
        <v>Différence (somme des mois moins annuelle)</v>
      </c>
      <c r="D310" s="1228" t="e">
        <f ca="1">D308-D309</f>
        <v>#N/A</v>
      </c>
      <c r="E310" s="149"/>
      <c r="F310" s="149"/>
      <c r="G310" s="149"/>
      <c r="H310" s="149"/>
      <c r="I310" s="149"/>
      <c r="J310" s="149"/>
      <c r="K310" s="149"/>
      <c r="L310" s="149"/>
      <c r="M310" s="149"/>
      <c r="N310" s="149"/>
      <c r="O310" s="149"/>
      <c r="P310" s="149"/>
      <c r="Q310" s="149"/>
      <c r="R310" s="149"/>
      <c r="S310" s="149"/>
      <c r="T310" s="630"/>
      <c r="BS310" s="184" t="s">
        <v>2075</v>
      </c>
      <c r="BT310" s="184" t="s">
        <v>2392</v>
      </c>
    </row>
    <row r="311" spans="2:72" ht="15.75" thickBot="1" x14ac:dyDescent="0.3"/>
    <row r="312" spans="2:72" ht="24" customHeight="1" x14ac:dyDescent="0.25">
      <c r="B312" s="1695" t="str">
        <f>C114</f>
        <v>Implant de 4 ans (Sino-Implant)</v>
      </c>
      <c r="C312" s="1690" t="str">
        <f t="shared" ref="C312:C325" si="391">IF(Language="English", BS312, BT312)</f>
        <v>Services mensuels moyens (2019-2021)</v>
      </c>
      <c r="D312" s="1691"/>
      <c r="E312" s="148"/>
      <c r="F312" s="148"/>
      <c r="G312" s="148"/>
      <c r="H312" s="148"/>
      <c r="I312" s="148"/>
      <c r="J312" s="148"/>
      <c r="K312" s="148"/>
      <c r="L312" s="148"/>
      <c r="M312" s="148"/>
      <c r="N312" s="148"/>
      <c r="O312" s="148"/>
      <c r="P312" s="148"/>
      <c r="Q312" s="148"/>
      <c r="R312" s="148"/>
      <c r="S312" s="148"/>
      <c r="T312" s="1223"/>
      <c r="BS312" s="184" t="s">
        <v>2386</v>
      </c>
      <c r="BT312" s="184" t="s">
        <v>2395</v>
      </c>
    </row>
    <row r="313" spans="2:72" ht="31.15" customHeight="1" x14ac:dyDescent="0.25">
      <c r="B313" s="1696"/>
      <c r="C313" s="1224" t="str">
        <f t="shared" si="391"/>
        <v>Pendant le verrouillage COVID (circulation restreinte)</v>
      </c>
      <c r="D313" s="1225">
        <f>VLOOKUP(B312, $C$27:$AY$50, 44, FALSE)</f>
        <v>0</v>
      </c>
      <c r="T313" s="301"/>
      <c r="BS313" s="184" t="s">
        <v>2071</v>
      </c>
      <c r="BT313" s="184" t="s">
        <v>2387</v>
      </c>
    </row>
    <row r="314" spans="2:72" ht="31.15" customHeight="1" x14ac:dyDescent="0.25">
      <c r="B314" s="1696"/>
      <c r="C314" s="1224" t="str">
        <f t="shared" si="391"/>
        <v>En dehors du verrouillage COVID</v>
      </c>
      <c r="D314" s="1225">
        <f>VLOOKUP(B312, $C$27:$AY$50, 43, FALSE)</f>
        <v>0</v>
      </c>
      <c r="T314" s="301"/>
      <c r="BS314" s="184" t="s">
        <v>2072</v>
      </c>
      <c r="BT314" s="184" t="s">
        <v>2388</v>
      </c>
    </row>
    <row r="315" spans="2:72" ht="31.15" customHeight="1" thickBot="1" x14ac:dyDescent="0.3">
      <c r="B315" s="1696"/>
      <c r="C315" s="260" t="str">
        <f t="shared" si="391"/>
        <v>Globalement (2019-2021)</v>
      </c>
      <c r="D315" s="1226">
        <f>VLOOKUP(B312, $C$27:$AY$50, 45, FALSE)</f>
        <v>0</v>
      </c>
      <c r="T315" s="301"/>
      <c r="BS315" s="184" t="s">
        <v>2384</v>
      </c>
      <c r="BT315" s="184" t="s">
        <v>2396</v>
      </c>
    </row>
    <row r="316" spans="2:72" ht="30.6" customHeight="1" x14ac:dyDescent="0.25">
      <c r="B316" s="1696"/>
      <c r="C316" s="1690" t="str">
        <f t="shared" si="391"/>
        <v>Comparaison des totaux annuels et mensuels</v>
      </c>
      <c r="D316" s="1691"/>
      <c r="T316" s="301"/>
      <c r="BS316" s="184" t="s">
        <v>2073</v>
      </c>
      <c r="BT316" s="184" t="s">
        <v>2389</v>
      </c>
    </row>
    <row r="317" spans="2:72" ht="30" customHeight="1" x14ac:dyDescent="0.25">
      <c r="B317" s="1696"/>
      <c r="C317" s="1224" t="str">
        <f t="shared" si="391"/>
        <v>Somme des services mensuels 2019</v>
      </c>
      <c r="D317" s="1225">
        <f>VLOOKUP(B312, $C$27:$AX$51, 47, FALSE)</f>
        <v>0</v>
      </c>
      <c r="T317" s="301"/>
      <c r="BS317" s="184" t="s">
        <v>2052</v>
      </c>
      <c r="BT317" s="184" t="s">
        <v>2390</v>
      </c>
    </row>
    <row r="318" spans="2:72" ht="30" customHeight="1" x14ac:dyDescent="0.25">
      <c r="B318" s="1696"/>
      <c r="C318" s="1224" t="str">
        <f t="shared" si="391"/>
        <v>Prestations annuelles 2019</v>
      </c>
      <c r="D318" s="1225" t="e">
        <f ca="1">VLOOKUP(B312, $C$79:$V$103, MATCH(2019, $C$77:$V$77, 0),FALSE)</f>
        <v>#N/A</v>
      </c>
      <c r="T318" s="301"/>
      <c r="BS318" s="184" t="s">
        <v>2074</v>
      </c>
      <c r="BT318" s="184" t="s">
        <v>2391</v>
      </c>
    </row>
    <row r="319" spans="2:72" ht="30" customHeight="1" thickBot="1" x14ac:dyDescent="0.3">
      <c r="B319" s="1696"/>
      <c r="C319" s="1227" t="str">
        <f t="shared" si="391"/>
        <v>Différence (somme des mois moins annuelle)</v>
      </c>
      <c r="D319" s="1228" t="e">
        <f ca="1">D317-D318</f>
        <v>#N/A</v>
      </c>
      <c r="T319" s="301"/>
      <c r="BS319" s="184" t="s">
        <v>2075</v>
      </c>
      <c r="BT319" s="184" t="s">
        <v>2392</v>
      </c>
    </row>
    <row r="320" spans="2:72" ht="30" customHeight="1" x14ac:dyDescent="0.25">
      <c r="B320" s="1696"/>
      <c r="C320" s="1224" t="str">
        <f t="shared" si="391"/>
        <v>Somme des services mensuels 2020</v>
      </c>
      <c r="D320" s="1225">
        <f>VLOOKUP(B312, $C$27:$AX$51, 48, FALSE)</f>
        <v>0</v>
      </c>
      <c r="T320" s="301"/>
      <c r="BS320" s="184" t="s">
        <v>2076</v>
      </c>
      <c r="BT320" s="184" t="s">
        <v>2393</v>
      </c>
    </row>
    <row r="321" spans="2:72" ht="30" customHeight="1" x14ac:dyDescent="0.25">
      <c r="B321" s="1696"/>
      <c r="C321" s="1224" t="str">
        <f t="shared" si="391"/>
        <v>Prestations annuelles 2020</v>
      </c>
      <c r="D321" s="1225" t="e">
        <f ca="1">VLOOKUP(B312, $C$79:$V$103, MATCH(2020, $C$77:$V$77, 0),FALSE)</f>
        <v>#N/A</v>
      </c>
      <c r="T321" s="301"/>
      <c r="BS321" s="184" t="s">
        <v>2077</v>
      </c>
      <c r="BT321" s="184" t="s">
        <v>2394</v>
      </c>
    </row>
    <row r="322" spans="2:72" ht="24" customHeight="1" thickBot="1" x14ac:dyDescent="0.3">
      <c r="B322" s="1696"/>
      <c r="C322" s="1227" t="str">
        <f t="shared" si="391"/>
        <v>Différence (somme des mois moins annuelle)</v>
      </c>
      <c r="D322" s="1228" t="e">
        <f ca="1">D320-D321</f>
        <v>#N/A</v>
      </c>
      <c r="E322" s="149"/>
      <c r="T322" s="301"/>
      <c r="BS322" s="184" t="s">
        <v>2075</v>
      </c>
      <c r="BT322" s="184" t="s">
        <v>2392</v>
      </c>
    </row>
    <row r="323" spans="2:72" ht="30" customHeight="1" x14ac:dyDescent="0.25">
      <c r="B323" s="1696"/>
      <c r="C323" s="1224" t="str">
        <f t="shared" si="391"/>
        <v>Somme des services mensuels 2021</v>
      </c>
      <c r="D323" s="1225">
        <f>VLOOKUP(B312, $C$27:$AY$51, 49, FALSE)</f>
        <v>0</v>
      </c>
      <c r="T323" s="301"/>
      <c r="BS323" s="184" t="s">
        <v>2383</v>
      </c>
      <c r="BT323" s="184" t="s">
        <v>2397</v>
      </c>
    </row>
    <row r="324" spans="2:72" ht="30" customHeight="1" x14ac:dyDescent="0.25">
      <c r="B324" s="1696"/>
      <c r="C324" s="1224" t="str">
        <f t="shared" si="391"/>
        <v>Prestations annuelles 2021</v>
      </c>
      <c r="D324" s="1225" t="e">
        <f ca="1">VLOOKUP(B312, $C$79:$V$103, MATCH(2021, $C$77:$V$77, 0),FALSE)</f>
        <v>#N/A</v>
      </c>
      <c r="T324" s="301"/>
      <c r="BS324" s="184" t="s">
        <v>2385</v>
      </c>
      <c r="BT324" s="184" t="s">
        <v>2398</v>
      </c>
    </row>
    <row r="325" spans="2:72" ht="30" customHeight="1" thickBot="1" x14ac:dyDescent="0.3">
      <c r="B325" s="1697"/>
      <c r="C325" s="1227" t="str">
        <f t="shared" si="391"/>
        <v>Différence (somme des mois moins annuelle)</v>
      </c>
      <c r="D325" s="1228" t="e">
        <f ca="1">D323-D324</f>
        <v>#N/A</v>
      </c>
      <c r="E325" s="149"/>
      <c r="F325" s="149"/>
      <c r="G325" s="149"/>
      <c r="H325" s="149"/>
      <c r="I325" s="149"/>
      <c r="J325" s="149"/>
      <c r="K325" s="149"/>
      <c r="L325" s="149"/>
      <c r="M325" s="149"/>
      <c r="N325" s="149"/>
      <c r="O325" s="149"/>
      <c r="P325" s="149"/>
      <c r="Q325" s="149"/>
      <c r="R325" s="149"/>
      <c r="S325" s="149"/>
      <c r="T325" s="630"/>
      <c r="BS325" s="184" t="s">
        <v>2075</v>
      </c>
      <c r="BT325" s="184" t="s">
        <v>2392</v>
      </c>
    </row>
    <row r="326" spans="2:72" ht="15.75" thickBot="1" x14ac:dyDescent="0.3"/>
    <row r="327" spans="2:72" ht="24" customHeight="1" x14ac:dyDescent="0.25">
      <c r="B327" s="1695" t="str">
        <f>C115</f>
        <v>Implant de 5 ans (Jadelle)</v>
      </c>
      <c r="C327" s="1690" t="str">
        <f t="shared" ref="C327:C340" si="392">IF(Language="English", BS327, BT327)</f>
        <v>Services mensuels moyens (2019-2021)</v>
      </c>
      <c r="D327" s="1691"/>
      <c r="E327" s="148"/>
      <c r="F327" s="148"/>
      <c r="G327" s="148"/>
      <c r="H327" s="148"/>
      <c r="I327" s="148"/>
      <c r="J327" s="148"/>
      <c r="K327" s="148"/>
      <c r="L327" s="148"/>
      <c r="M327" s="148"/>
      <c r="N327" s="148"/>
      <c r="O327" s="148"/>
      <c r="P327" s="148"/>
      <c r="Q327" s="148"/>
      <c r="R327" s="148"/>
      <c r="S327" s="148"/>
      <c r="T327" s="1223"/>
      <c r="BS327" s="184" t="s">
        <v>2386</v>
      </c>
      <c r="BT327" s="184" t="s">
        <v>2395</v>
      </c>
    </row>
    <row r="328" spans="2:72" ht="31.15" customHeight="1" x14ac:dyDescent="0.25">
      <c r="B328" s="1696"/>
      <c r="C328" s="1224" t="str">
        <f t="shared" si="392"/>
        <v>Pendant le verrouillage COVID (circulation restreinte)</v>
      </c>
      <c r="D328" s="1225">
        <f>VLOOKUP(B327, $C$27:$AY$50, 44, FALSE)</f>
        <v>0</v>
      </c>
      <c r="T328" s="301"/>
      <c r="BS328" s="184" t="s">
        <v>2071</v>
      </c>
      <c r="BT328" s="184" t="s">
        <v>2387</v>
      </c>
    </row>
    <row r="329" spans="2:72" ht="31.15" customHeight="1" x14ac:dyDescent="0.25">
      <c r="B329" s="1696"/>
      <c r="C329" s="1224" t="str">
        <f t="shared" si="392"/>
        <v>En dehors du verrouillage COVID</v>
      </c>
      <c r="D329" s="1225">
        <f>VLOOKUP(B327, $C$27:$AY$50, 43, FALSE)</f>
        <v>0</v>
      </c>
      <c r="T329" s="301"/>
      <c r="BS329" s="184" t="s">
        <v>2072</v>
      </c>
      <c r="BT329" s="184" t="s">
        <v>2388</v>
      </c>
    </row>
    <row r="330" spans="2:72" ht="31.15" customHeight="1" thickBot="1" x14ac:dyDescent="0.3">
      <c r="B330" s="1696"/>
      <c r="C330" s="260" t="str">
        <f t="shared" si="392"/>
        <v>Globalement (2019-2021)</v>
      </c>
      <c r="D330" s="1226">
        <f>VLOOKUP(B327, $C$27:$AY$50, 45, FALSE)</f>
        <v>0</v>
      </c>
      <c r="T330" s="301"/>
      <c r="BS330" s="184" t="s">
        <v>2384</v>
      </c>
      <c r="BT330" s="184" t="s">
        <v>2396</v>
      </c>
    </row>
    <row r="331" spans="2:72" ht="30.6" customHeight="1" x14ac:dyDescent="0.25">
      <c r="B331" s="1696"/>
      <c r="C331" s="1690" t="str">
        <f t="shared" si="392"/>
        <v>Comparaison des totaux annuels et mensuels</v>
      </c>
      <c r="D331" s="1691"/>
      <c r="T331" s="301"/>
      <c r="BS331" s="184" t="s">
        <v>2073</v>
      </c>
      <c r="BT331" s="184" t="s">
        <v>2389</v>
      </c>
    </row>
    <row r="332" spans="2:72" ht="30" customHeight="1" x14ac:dyDescent="0.25">
      <c r="B332" s="1696"/>
      <c r="C332" s="1224" t="str">
        <f t="shared" si="392"/>
        <v>Somme des services mensuels 2019</v>
      </c>
      <c r="D332" s="1225">
        <f>VLOOKUP(B327, $C$27:$AX$51, 47, FALSE)</f>
        <v>0</v>
      </c>
      <c r="T332" s="301"/>
      <c r="BS332" s="184" t="s">
        <v>2052</v>
      </c>
      <c r="BT332" s="184" t="s">
        <v>2390</v>
      </c>
    </row>
    <row r="333" spans="2:72" ht="30" customHeight="1" x14ac:dyDescent="0.25">
      <c r="B333" s="1696"/>
      <c r="C333" s="1224" t="str">
        <f t="shared" si="392"/>
        <v>Prestations annuelles 2019</v>
      </c>
      <c r="D333" s="1225" t="e">
        <f ca="1">VLOOKUP(B327, $C$79:$V$103, MATCH(2019, $C$77:$V$77, 0),FALSE)</f>
        <v>#N/A</v>
      </c>
      <c r="T333" s="301"/>
      <c r="BS333" s="184" t="s">
        <v>2074</v>
      </c>
      <c r="BT333" s="184" t="s">
        <v>2391</v>
      </c>
    </row>
    <row r="334" spans="2:72" ht="30" customHeight="1" thickBot="1" x14ac:dyDescent="0.3">
      <c r="B334" s="1696"/>
      <c r="C334" s="1227" t="str">
        <f t="shared" si="392"/>
        <v>Différence (somme des mois moins annuelle)</v>
      </c>
      <c r="D334" s="1228" t="e">
        <f ca="1">D332-D333</f>
        <v>#N/A</v>
      </c>
      <c r="T334" s="301"/>
      <c r="BS334" s="184" t="s">
        <v>2075</v>
      </c>
      <c r="BT334" s="184" t="s">
        <v>2392</v>
      </c>
    </row>
    <row r="335" spans="2:72" ht="30" customHeight="1" x14ac:dyDescent="0.25">
      <c r="B335" s="1696"/>
      <c r="C335" s="1224" t="str">
        <f t="shared" si="392"/>
        <v>Somme des services mensuels 2020</v>
      </c>
      <c r="D335" s="1225">
        <f>VLOOKUP(B327, $C$27:$AX$51, 48, FALSE)</f>
        <v>0</v>
      </c>
      <c r="T335" s="301"/>
      <c r="BS335" s="184" t="s">
        <v>2076</v>
      </c>
      <c r="BT335" s="184" t="s">
        <v>2393</v>
      </c>
    </row>
    <row r="336" spans="2:72" ht="30" customHeight="1" x14ac:dyDescent="0.25">
      <c r="B336" s="1696"/>
      <c r="C336" s="1224" t="str">
        <f t="shared" si="392"/>
        <v>Prestations annuelles 2020</v>
      </c>
      <c r="D336" s="1225" t="e">
        <f ca="1">VLOOKUP(B327, $C$79:$V$103, MATCH(2020, $C$77:$V$77, 0),FALSE)</f>
        <v>#N/A</v>
      </c>
      <c r="T336" s="301"/>
      <c r="BS336" s="184" t="s">
        <v>2077</v>
      </c>
      <c r="BT336" s="184" t="s">
        <v>2394</v>
      </c>
    </row>
    <row r="337" spans="2:72" ht="24" customHeight="1" thickBot="1" x14ac:dyDescent="0.3">
      <c r="B337" s="1696"/>
      <c r="C337" s="1227" t="str">
        <f t="shared" si="392"/>
        <v>Différence (somme des mois moins annuelle)</v>
      </c>
      <c r="D337" s="1228" t="e">
        <f ca="1">D335-D336</f>
        <v>#N/A</v>
      </c>
      <c r="E337" s="149"/>
      <c r="T337" s="301"/>
      <c r="BS337" s="184" t="s">
        <v>2075</v>
      </c>
      <c r="BT337" s="184" t="s">
        <v>2392</v>
      </c>
    </row>
    <row r="338" spans="2:72" ht="30" customHeight="1" x14ac:dyDescent="0.25">
      <c r="B338" s="1696"/>
      <c r="C338" s="1224" t="str">
        <f t="shared" si="392"/>
        <v>Somme des services mensuels 2021</v>
      </c>
      <c r="D338" s="1225">
        <f>VLOOKUP(B327, $C$27:$AY$51, 49, FALSE)</f>
        <v>0</v>
      </c>
      <c r="T338" s="301"/>
      <c r="BS338" s="184" t="s">
        <v>2383</v>
      </c>
      <c r="BT338" s="184" t="s">
        <v>2397</v>
      </c>
    </row>
    <row r="339" spans="2:72" ht="30" customHeight="1" x14ac:dyDescent="0.25">
      <c r="B339" s="1696"/>
      <c r="C339" s="1224" t="str">
        <f t="shared" si="392"/>
        <v>Prestations annuelles 2021</v>
      </c>
      <c r="D339" s="1225" t="e">
        <f ca="1">VLOOKUP(B327, $C$79:$V$103, MATCH(2021, $C$77:$V$77, 0),FALSE)</f>
        <v>#N/A</v>
      </c>
      <c r="T339" s="301"/>
      <c r="BS339" s="184" t="s">
        <v>2385</v>
      </c>
      <c r="BT339" s="184" t="s">
        <v>2398</v>
      </c>
    </row>
    <row r="340" spans="2:72" ht="30" customHeight="1" thickBot="1" x14ac:dyDescent="0.3">
      <c r="B340" s="1697"/>
      <c r="C340" s="1227" t="str">
        <f t="shared" si="392"/>
        <v>Différence (somme des mois moins annuelle)</v>
      </c>
      <c r="D340" s="1228" t="e">
        <f ca="1">D338-D339</f>
        <v>#N/A</v>
      </c>
      <c r="E340" s="149"/>
      <c r="F340" s="149"/>
      <c r="G340" s="149"/>
      <c r="H340" s="149"/>
      <c r="I340" s="149"/>
      <c r="J340" s="149"/>
      <c r="K340" s="149"/>
      <c r="L340" s="149"/>
      <c r="M340" s="149"/>
      <c r="N340" s="149"/>
      <c r="O340" s="149"/>
      <c r="P340" s="149"/>
      <c r="Q340" s="149"/>
      <c r="R340" s="149"/>
      <c r="S340" s="149"/>
      <c r="T340" s="630"/>
      <c r="BS340" s="184" t="s">
        <v>2075</v>
      </c>
      <c r="BT340" s="184" t="s">
        <v>2392</v>
      </c>
    </row>
    <row r="341" spans="2:72" ht="15.75" thickBot="1" x14ac:dyDescent="0.3"/>
    <row r="342" spans="2:72" ht="24" customHeight="1" x14ac:dyDescent="0.25">
      <c r="B342" s="1695" t="str">
        <f>C118</f>
        <v>Depo Provera (DMPA)</v>
      </c>
      <c r="C342" s="1690" t="str">
        <f t="shared" ref="C342:C355" si="393">IF(Language="English", BS342, BT342)</f>
        <v>Services mensuels moyens (2019-2021)</v>
      </c>
      <c r="D342" s="1691"/>
      <c r="E342" s="148"/>
      <c r="F342" s="148"/>
      <c r="G342" s="148"/>
      <c r="H342" s="148"/>
      <c r="I342" s="148"/>
      <c r="J342" s="148"/>
      <c r="K342" s="148"/>
      <c r="L342" s="148"/>
      <c r="M342" s="148"/>
      <c r="N342" s="148"/>
      <c r="O342" s="148"/>
      <c r="P342" s="148"/>
      <c r="Q342" s="148"/>
      <c r="R342" s="148"/>
      <c r="S342" s="148"/>
      <c r="T342" s="1223"/>
      <c r="BS342" s="184" t="s">
        <v>2386</v>
      </c>
      <c r="BT342" s="184" t="s">
        <v>2395</v>
      </c>
    </row>
    <row r="343" spans="2:72" ht="31.15" customHeight="1" x14ac:dyDescent="0.25">
      <c r="B343" s="1696"/>
      <c r="C343" s="1224" t="str">
        <f t="shared" si="393"/>
        <v>Pendant le verrouillage COVID (circulation restreinte)</v>
      </c>
      <c r="D343" s="1225">
        <f>VLOOKUP(B342, $C$27:$AY$50, 44, FALSE)</f>
        <v>0</v>
      </c>
      <c r="T343" s="301"/>
      <c r="BS343" s="184" t="s">
        <v>2071</v>
      </c>
      <c r="BT343" s="184" t="s">
        <v>2387</v>
      </c>
    </row>
    <row r="344" spans="2:72" ht="31.15" customHeight="1" x14ac:dyDescent="0.25">
      <c r="B344" s="1696"/>
      <c r="C344" s="1224" t="str">
        <f t="shared" si="393"/>
        <v>En dehors du verrouillage COVID</v>
      </c>
      <c r="D344" s="1225">
        <f>VLOOKUP(B342, $C$27:$AY$50, 43, FALSE)</f>
        <v>0</v>
      </c>
      <c r="T344" s="301"/>
      <c r="BS344" s="184" t="s">
        <v>2072</v>
      </c>
      <c r="BT344" s="184" t="s">
        <v>2388</v>
      </c>
    </row>
    <row r="345" spans="2:72" ht="31.15" customHeight="1" thickBot="1" x14ac:dyDescent="0.3">
      <c r="B345" s="1696"/>
      <c r="C345" s="260" t="str">
        <f t="shared" si="393"/>
        <v>Globalement (2019-2021)</v>
      </c>
      <c r="D345" s="1226">
        <f>VLOOKUP(B342, $C$27:$AY$50, 45, FALSE)</f>
        <v>0</v>
      </c>
      <c r="T345" s="301"/>
      <c r="BS345" s="184" t="s">
        <v>2384</v>
      </c>
      <c r="BT345" s="184" t="s">
        <v>2396</v>
      </c>
    </row>
    <row r="346" spans="2:72" ht="30.6" customHeight="1" x14ac:dyDescent="0.25">
      <c r="B346" s="1696"/>
      <c r="C346" s="1690" t="str">
        <f t="shared" si="393"/>
        <v>Comparaison des totaux annuels et mensuels</v>
      </c>
      <c r="D346" s="1691"/>
      <c r="T346" s="301"/>
      <c r="BS346" s="184" t="s">
        <v>2073</v>
      </c>
      <c r="BT346" s="184" t="s">
        <v>2389</v>
      </c>
    </row>
    <row r="347" spans="2:72" ht="30" customHeight="1" x14ac:dyDescent="0.25">
      <c r="B347" s="1696"/>
      <c r="C347" s="1224" t="str">
        <f t="shared" si="393"/>
        <v>Somme des services mensuels 2019</v>
      </c>
      <c r="D347" s="1225">
        <f>VLOOKUP(B342, $C$27:$AX$51, 47, FALSE)</f>
        <v>0</v>
      </c>
      <c r="T347" s="301"/>
      <c r="BS347" s="184" t="s">
        <v>2052</v>
      </c>
      <c r="BT347" s="184" t="s">
        <v>2390</v>
      </c>
    </row>
    <row r="348" spans="2:72" ht="30" customHeight="1" x14ac:dyDescent="0.25">
      <c r="B348" s="1696"/>
      <c r="C348" s="1224" t="str">
        <f t="shared" si="393"/>
        <v>Prestations annuelles 2019</v>
      </c>
      <c r="D348" s="1225" t="e">
        <f ca="1">VLOOKUP(B342, $C$79:$V$103, MATCH(2019, $C$77:$V$77, 0),FALSE)</f>
        <v>#N/A</v>
      </c>
      <c r="T348" s="301"/>
      <c r="BS348" s="184" t="s">
        <v>2074</v>
      </c>
      <c r="BT348" s="184" t="s">
        <v>2391</v>
      </c>
    </row>
    <row r="349" spans="2:72" ht="30" customHeight="1" thickBot="1" x14ac:dyDescent="0.3">
      <c r="B349" s="1696"/>
      <c r="C349" s="1227" t="str">
        <f t="shared" si="393"/>
        <v>Différence (somme des mois moins annuelle)</v>
      </c>
      <c r="D349" s="1228" t="e">
        <f ca="1">D347-D348</f>
        <v>#N/A</v>
      </c>
      <c r="T349" s="301"/>
      <c r="BS349" s="184" t="s">
        <v>2075</v>
      </c>
      <c r="BT349" s="184" t="s">
        <v>2392</v>
      </c>
    </row>
    <row r="350" spans="2:72" ht="30" customHeight="1" x14ac:dyDescent="0.25">
      <c r="B350" s="1696"/>
      <c r="C350" s="1224" t="str">
        <f t="shared" si="393"/>
        <v>Somme des services mensuels 2020</v>
      </c>
      <c r="D350" s="1225">
        <f>VLOOKUP(B342, $C$27:$AX$51, 48, FALSE)</f>
        <v>0</v>
      </c>
      <c r="T350" s="301"/>
      <c r="BS350" s="184" t="s">
        <v>2076</v>
      </c>
      <c r="BT350" s="184" t="s">
        <v>2393</v>
      </c>
    </row>
    <row r="351" spans="2:72" ht="30" customHeight="1" x14ac:dyDescent="0.25">
      <c r="B351" s="1696"/>
      <c r="C351" s="1224" t="str">
        <f t="shared" si="393"/>
        <v>Prestations annuelles 2020</v>
      </c>
      <c r="D351" s="1225" t="e">
        <f ca="1">VLOOKUP(B342, $C$79:$V$103, MATCH(2020, $C$77:$V$77, 0),FALSE)</f>
        <v>#N/A</v>
      </c>
      <c r="T351" s="301"/>
      <c r="BS351" s="184" t="s">
        <v>2077</v>
      </c>
      <c r="BT351" s="184" t="s">
        <v>2394</v>
      </c>
    </row>
    <row r="352" spans="2:72" ht="24" customHeight="1" thickBot="1" x14ac:dyDescent="0.3">
      <c r="B352" s="1696"/>
      <c r="C352" s="1227" t="str">
        <f t="shared" si="393"/>
        <v>Différence (somme des mois moins annuelle)</v>
      </c>
      <c r="D352" s="1228" t="e">
        <f ca="1">D350-D351</f>
        <v>#N/A</v>
      </c>
      <c r="E352" s="149"/>
      <c r="T352" s="301"/>
      <c r="BS352" s="184" t="s">
        <v>2075</v>
      </c>
      <c r="BT352" s="184" t="s">
        <v>2392</v>
      </c>
    </row>
    <row r="353" spans="2:72" ht="30" customHeight="1" x14ac:dyDescent="0.25">
      <c r="B353" s="1696"/>
      <c r="C353" s="1224" t="str">
        <f t="shared" si="393"/>
        <v>Somme des services mensuels 2021</v>
      </c>
      <c r="D353" s="1225">
        <f>VLOOKUP(B342, $C$27:$AY$51, 49, FALSE)</f>
        <v>0</v>
      </c>
      <c r="T353" s="301"/>
      <c r="BS353" s="184" t="s">
        <v>2383</v>
      </c>
      <c r="BT353" s="184" t="s">
        <v>2397</v>
      </c>
    </row>
    <row r="354" spans="2:72" ht="30" customHeight="1" x14ac:dyDescent="0.25">
      <c r="B354" s="1696"/>
      <c r="C354" s="1224" t="str">
        <f t="shared" si="393"/>
        <v>Prestations annuelles 2021</v>
      </c>
      <c r="D354" s="1225" t="e">
        <f ca="1">VLOOKUP(B342, $C$79:$V$103, MATCH(2021, $C$77:$V$77, 0),FALSE)</f>
        <v>#N/A</v>
      </c>
      <c r="T354" s="301"/>
      <c r="BS354" s="184" t="s">
        <v>2385</v>
      </c>
      <c r="BT354" s="184" t="s">
        <v>2398</v>
      </c>
    </row>
    <row r="355" spans="2:72" ht="30" customHeight="1" thickBot="1" x14ac:dyDescent="0.3">
      <c r="B355" s="1697"/>
      <c r="C355" s="1227" t="str">
        <f t="shared" si="393"/>
        <v>Différence (somme des mois moins annuelle)</v>
      </c>
      <c r="D355" s="1228" t="e">
        <f ca="1">D353-D354</f>
        <v>#N/A</v>
      </c>
      <c r="E355" s="149"/>
      <c r="F355" s="149"/>
      <c r="G355" s="149"/>
      <c r="H355" s="149"/>
      <c r="I355" s="149"/>
      <c r="J355" s="149"/>
      <c r="K355" s="149"/>
      <c r="L355" s="149"/>
      <c r="M355" s="149"/>
      <c r="N355" s="149"/>
      <c r="O355" s="149"/>
      <c r="P355" s="149"/>
      <c r="Q355" s="149"/>
      <c r="R355" s="149"/>
      <c r="S355" s="149"/>
      <c r="T355" s="630"/>
      <c r="BS355" s="184" t="s">
        <v>2075</v>
      </c>
      <c r="BT355" s="184" t="s">
        <v>2392</v>
      </c>
    </row>
    <row r="356" spans="2:72" ht="15.75" thickBot="1" x14ac:dyDescent="0.3"/>
    <row r="357" spans="2:72" ht="24" hidden="1" customHeight="1" x14ac:dyDescent="0.25">
      <c r="B357" s="1692" t="str">
        <f>C119</f>
        <v>Noristerat (NET-En)</v>
      </c>
      <c r="C357" s="1690" t="s">
        <v>2386</v>
      </c>
      <c r="D357" s="1691"/>
      <c r="E357" s="148"/>
      <c r="F357" s="148"/>
      <c r="G357" s="148"/>
      <c r="H357" s="148"/>
      <c r="I357" s="148"/>
      <c r="J357" s="148"/>
      <c r="K357" s="148"/>
      <c r="L357" s="148"/>
      <c r="M357" s="148"/>
      <c r="N357" s="148"/>
      <c r="O357" s="148"/>
      <c r="P357" s="148"/>
      <c r="Q357" s="148"/>
      <c r="R357" s="148"/>
      <c r="S357" s="148"/>
      <c r="T357" s="1223"/>
    </row>
    <row r="358" spans="2:72" ht="31.15" hidden="1" customHeight="1" x14ac:dyDescent="0.25">
      <c r="B358" s="1693"/>
      <c r="C358" s="1224" t="s">
        <v>2071</v>
      </c>
      <c r="D358" s="1225">
        <f>VLOOKUP(B357, $C$27:$AY$50, 32, FALSE)</f>
        <v>0</v>
      </c>
      <c r="T358" s="301"/>
    </row>
    <row r="359" spans="2:72" ht="31.15" hidden="1" customHeight="1" x14ac:dyDescent="0.25">
      <c r="B359" s="1693"/>
      <c r="C359" s="1224" t="s">
        <v>2072</v>
      </c>
      <c r="D359" s="1225">
        <f>VLOOKUP(B357, $C$27:$AY$50, 31, FALSE)</f>
        <v>0</v>
      </c>
      <c r="T359" s="301"/>
    </row>
    <row r="360" spans="2:72" ht="31.15" hidden="1" customHeight="1" thickBot="1" x14ac:dyDescent="0.3">
      <c r="B360" s="1693"/>
      <c r="C360" s="260" t="s">
        <v>2384</v>
      </c>
      <c r="D360" s="1226">
        <f>VLOOKUP(B357, $C$27:$AU$50, 33, FALSE)</f>
        <v>0</v>
      </c>
      <c r="T360" s="301"/>
    </row>
    <row r="361" spans="2:72" ht="30.6" hidden="1" customHeight="1" x14ac:dyDescent="0.25">
      <c r="B361" s="1693"/>
      <c r="C361" s="1690" t="s">
        <v>2073</v>
      </c>
      <c r="D361" s="1691"/>
      <c r="T361" s="301"/>
    </row>
    <row r="362" spans="2:72" ht="30" hidden="1" customHeight="1" x14ac:dyDescent="0.25">
      <c r="B362" s="1693"/>
      <c r="C362" s="1224" t="s">
        <v>2052</v>
      </c>
      <c r="D362" s="1225">
        <f>VLOOKUP(B357, $C$27:$AX$51, 35, FALSE)</f>
        <v>0</v>
      </c>
      <c r="T362" s="301"/>
    </row>
    <row r="363" spans="2:72" ht="30" hidden="1" customHeight="1" x14ac:dyDescent="0.25">
      <c r="B363" s="1693"/>
      <c r="C363" s="1224" t="s">
        <v>2074</v>
      </c>
      <c r="D363" s="1225" t="e">
        <f ca="1">VLOOKUP(B357, $C$79:$V$103, MATCH(2019, $C$77:$V$77, 0),FALSE)</f>
        <v>#N/A</v>
      </c>
      <c r="T363" s="301"/>
    </row>
    <row r="364" spans="2:72" ht="30" hidden="1" customHeight="1" thickBot="1" x14ac:dyDescent="0.3">
      <c r="B364" s="1693"/>
      <c r="C364" s="1227" t="s">
        <v>2075</v>
      </c>
      <c r="D364" s="1228" t="e">
        <f ca="1">D362-D363</f>
        <v>#N/A</v>
      </c>
      <c r="T364" s="301"/>
    </row>
    <row r="365" spans="2:72" ht="30" hidden="1" customHeight="1" x14ac:dyDescent="0.25">
      <c r="B365" s="1693"/>
      <c r="C365" s="1224" t="s">
        <v>2076</v>
      </c>
      <c r="D365" s="1225">
        <f>VLOOKUP(B357, $C$27:$AX$51, 36, FALSE)</f>
        <v>0</v>
      </c>
      <c r="T365" s="301"/>
    </row>
    <row r="366" spans="2:72" ht="30" hidden="1" customHeight="1" x14ac:dyDescent="0.25">
      <c r="B366" s="1693"/>
      <c r="C366" s="1224" t="s">
        <v>2077</v>
      </c>
      <c r="D366" s="1225" t="e">
        <f ca="1">VLOOKUP(B357, $C$79:$V$103, MATCH(2020, $C$77:$V$77, 0),FALSE)</f>
        <v>#N/A</v>
      </c>
      <c r="T366" s="301"/>
    </row>
    <row r="367" spans="2:72" ht="24" hidden="1" customHeight="1" thickBot="1" x14ac:dyDescent="0.3">
      <c r="B367" s="1694"/>
      <c r="C367" s="1227" t="s">
        <v>2075</v>
      </c>
      <c r="D367" s="1228" t="e">
        <f ca="1">D365-D366</f>
        <v>#N/A</v>
      </c>
      <c r="E367" s="149"/>
      <c r="F367" s="149"/>
      <c r="G367" s="149"/>
      <c r="H367" s="149"/>
      <c r="I367" s="149"/>
      <c r="J367" s="149"/>
      <c r="K367" s="149"/>
      <c r="L367" s="149"/>
      <c r="M367" s="149"/>
      <c r="N367" s="149"/>
      <c r="O367" s="149"/>
      <c r="P367" s="149"/>
      <c r="Q367" s="149"/>
      <c r="R367" s="149"/>
      <c r="S367" s="149"/>
      <c r="T367" s="630"/>
    </row>
    <row r="368" spans="2:72" ht="15.75" hidden="1" thickBot="1" x14ac:dyDescent="0.3"/>
    <row r="369" spans="2:72" ht="24" hidden="1" customHeight="1" x14ac:dyDescent="0.25">
      <c r="B369" s="1692" t="str">
        <f>C120</f>
        <v>Lunelle</v>
      </c>
      <c r="C369" s="1690" t="s">
        <v>2386</v>
      </c>
      <c r="D369" s="1691"/>
      <c r="E369" s="148"/>
      <c r="F369" s="148"/>
      <c r="G369" s="148"/>
      <c r="H369" s="148"/>
      <c r="I369" s="148"/>
      <c r="J369" s="148"/>
      <c r="K369" s="148"/>
      <c r="L369" s="148"/>
      <c r="M369" s="148"/>
      <c r="N369" s="148"/>
      <c r="O369" s="148"/>
      <c r="P369" s="148"/>
      <c r="Q369" s="148"/>
      <c r="R369" s="148"/>
      <c r="S369" s="148"/>
      <c r="T369" s="1223"/>
    </row>
    <row r="370" spans="2:72" ht="31.15" hidden="1" customHeight="1" x14ac:dyDescent="0.25">
      <c r="B370" s="1693"/>
      <c r="C370" s="1224" t="s">
        <v>2071</v>
      </c>
      <c r="D370" s="1225">
        <f>VLOOKUP(B369, $C$27:$AY$50, 32, FALSE)</f>
        <v>0</v>
      </c>
      <c r="T370" s="301"/>
    </row>
    <row r="371" spans="2:72" ht="31.15" hidden="1" customHeight="1" x14ac:dyDescent="0.25">
      <c r="B371" s="1693"/>
      <c r="C371" s="1224" t="s">
        <v>2072</v>
      </c>
      <c r="D371" s="1225">
        <f>VLOOKUP(B369, $C$27:$AY$50, 31, FALSE)</f>
        <v>0</v>
      </c>
      <c r="T371" s="301"/>
    </row>
    <row r="372" spans="2:72" ht="31.15" hidden="1" customHeight="1" thickBot="1" x14ac:dyDescent="0.3">
      <c r="B372" s="1693"/>
      <c r="C372" s="260" t="s">
        <v>2384</v>
      </c>
      <c r="D372" s="1226">
        <f>VLOOKUP(B369, $C$27:$AU$50, 33, FALSE)</f>
        <v>0</v>
      </c>
      <c r="T372" s="301"/>
    </row>
    <row r="373" spans="2:72" ht="30.6" hidden="1" customHeight="1" x14ac:dyDescent="0.25">
      <c r="B373" s="1693"/>
      <c r="C373" s="1690" t="s">
        <v>2073</v>
      </c>
      <c r="D373" s="1691"/>
      <c r="T373" s="301"/>
    </row>
    <row r="374" spans="2:72" ht="30" hidden="1" customHeight="1" x14ac:dyDescent="0.25">
      <c r="B374" s="1693"/>
      <c r="C374" s="1224" t="s">
        <v>2052</v>
      </c>
      <c r="D374" s="1225">
        <f>VLOOKUP(B369, $C$27:$AX$51, 35, FALSE)</f>
        <v>0</v>
      </c>
      <c r="T374" s="301"/>
    </row>
    <row r="375" spans="2:72" ht="30" hidden="1" customHeight="1" x14ac:dyDescent="0.25">
      <c r="B375" s="1693"/>
      <c r="C375" s="1224" t="s">
        <v>2074</v>
      </c>
      <c r="D375" s="1225" t="e">
        <f ca="1">VLOOKUP(B369, $C$79:$V$103, MATCH(2019, $C$77:$V$77, 0),FALSE)</f>
        <v>#N/A</v>
      </c>
      <c r="T375" s="301"/>
    </row>
    <row r="376" spans="2:72" ht="30" hidden="1" customHeight="1" thickBot="1" x14ac:dyDescent="0.3">
      <c r="B376" s="1693"/>
      <c r="C376" s="1227" t="s">
        <v>2075</v>
      </c>
      <c r="D376" s="1228" t="e">
        <f ca="1">D374-D375</f>
        <v>#N/A</v>
      </c>
      <c r="T376" s="301"/>
    </row>
    <row r="377" spans="2:72" ht="30" hidden="1" customHeight="1" x14ac:dyDescent="0.25">
      <c r="B377" s="1693"/>
      <c r="C377" s="1224" t="s">
        <v>2076</v>
      </c>
      <c r="D377" s="1225">
        <f>VLOOKUP(B369, $C$27:$AX$51, 36, FALSE)</f>
        <v>0</v>
      </c>
      <c r="T377" s="301"/>
    </row>
    <row r="378" spans="2:72" ht="30" hidden="1" customHeight="1" x14ac:dyDescent="0.25">
      <c r="B378" s="1693"/>
      <c r="C378" s="1224" t="s">
        <v>2077</v>
      </c>
      <c r="D378" s="1225" t="e">
        <f ca="1">VLOOKUP(B369, $C$79:$V$103, MATCH(2020, $C$77:$V$77, 0),FALSE)</f>
        <v>#N/A</v>
      </c>
      <c r="T378" s="301"/>
    </row>
    <row r="379" spans="2:72" ht="24" hidden="1" customHeight="1" thickBot="1" x14ac:dyDescent="0.3">
      <c r="B379" s="1694"/>
      <c r="C379" s="1227" t="s">
        <v>2075</v>
      </c>
      <c r="D379" s="1228" t="e">
        <f ca="1">D377-D378</f>
        <v>#N/A</v>
      </c>
      <c r="E379" s="149"/>
      <c r="F379" s="149"/>
      <c r="G379" s="149"/>
      <c r="H379" s="149"/>
      <c r="I379" s="149"/>
      <c r="J379" s="149"/>
      <c r="K379" s="149"/>
      <c r="L379" s="149"/>
      <c r="M379" s="149"/>
      <c r="N379" s="149"/>
      <c r="O379" s="149"/>
      <c r="P379" s="149"/>
      <c r="Q379" s="149"/>
      <c r="R379" s="149"/>
      <c r="S379" s="149"/>
      <c r="T379" s="630"/>
    </row>
    <row r="380" spans="2:72" ht="15.75" hidden="1" thickBot="1" x14ac:dyDescent="0.3"/>
    <row r="381" spans="2:72" ht="24" customHeight="1" x14ac:dyDescent="0.25">
      <c r="B381" s="1695" t="str">
        <f>C121</f>
        <v>Sayana Press</v>
      </c>
      <c r="C381" s="1690" t="str">
        <f t="shared" ref="C381:C394" si="394">IF(Language="English", BS381, BT381)</f>
        <v>Services mensuels moyens (2019-2021)</v>
      </c>
      <c r="D381" s="1691"/>
      <c r="E381" s="148"/>
      <c r="F381" s="148"/>
      <c r="G381" s="148"/>
      <c r="H381" s="148"/>
      <c r="I381" s="148"/>
      <c r="J381" s="148"/>
      <c r="K381" s="148"/>
      <c r="L381" s="148"/>
      <c r="M381" s="148"/>
      <c r="N381" s="148"/>
      <c r="O381" s="148"/>
      <c r="P381" s="148"/>
      <c r="Q381" s="148"/>
      <c r="R381" s="148"/>
      <c r="S381" s="148"/>
      <c r="T381" s="1223"/>
      <c r="BS381" s="184" t="s">
        <v>2386</v>
      </c>
      <c r="BT381" s="184" t="s">
        <v>2395</v>
      </c>
    </row>
    <row r="382" spans="2:72" ht="31.15" customHeight="1" x14ac:dyDescent="0.25">
      <c r="B382" s="1696"/>
      <c r="C382" s="1224" t="str">
        <f t="shared" si="394"/>
        <v>Pendant le verrouillage COVID (circulation restreinte)</v>
      </c>
      <c r="D382" s="1225">
        <f>VLOOKUP(B381, $C$27:$AY$50, 44, FALSE)</f>
        <v>0</v>
      </c>
      <c r="T382" s="301"/>
      <c r="BS382" s="184" t="s">
        <v>2071</v>
      </c>
      <c r="BT382" s="184" t="s">
        <v>2387</v>
      </c>
    </row>
    <row r="383" spans="2:72" ht="31.15" customHeight="1" x14ac:dyDescent="0.25">
      <c r="B383" s="1696"/>
      <c r="C383" s="1224" t="str">
        <f t="shared" si="394"/>
        <v>En dehors du verrouillage COVID</v>
      </c>
      <c r="D383" s="1225">
        <f>VLOOKUP(B381, $C$27:$AY$50, 43, FALSE)</f>
        <v>0</v>
      </c>
      <c r="T383" s="301"/>
      <c r="BS383" s="184" t="s">
        <v>2072</v>
      </c>
      <c r="BT383" s="184" t="s">
        <v>2388</v>
      </c>
    </row>
    <row r="384" spans="2:72" ht="31.15" customHeight="1" thickBot="1" x14ac:dyDescent="0.3">
      <c r="B384" s="1696"/>
      <c r="C384" s="260" t="str">
        <f t="shared" si="394"/>
        <v>Globalement (2019-2021)</v>
      </c>
      <c r="D384" s="1226">
        <f>VLOOKUP(B381, $C$27:$AY$50, 45, FALSE)</f>
        <v>0</v>
      </c>
      <c r="T384" s="301"/>
      <c r="BS384" s="184" t="s">
        <v>2384</v>
      </c>
      <c r="BT384" s="184" t="s">
        <v>2396</v>
      </c>
    </row>
    <row r="385" spans="2:72" ht="30.6" customHeight="1" x14ac:dyDescent="0.25">
      <c r="B385" s="1696"/>
      <c r="C385" s="1690" t="str">
        <f t="shared" si="394"/>
        <v>Comparaison des totaux annuels et mensuels</v>
      </c>
      <c r="D385" s="1691"/>
      <c r="T385" s="301"/>
      <c r="BS385" s="184" t="s">
        <v>2073</v>
      </c>
      <c r="BT385" s="184" t="s">
        <v>2389</v>
      </c>
    </row>
    <row r="386" spans="2:72" ht="30" customHeight="1" x14ac:dyDescent="0.25">
      <c r="B386" s="1696"/>
      <c r="C386" s="1224" t="str">
        <f t="shared" si="394"/>
        <v>Somme des services mensuels 2019</v>
      </c>
      <c r="D386" s="1225">
        <f>VLOOKUP(B381, $C$27:$AX$51, 47, FALSE)</f>
        <v>0</v>
      </c>
      <c r="T386" s="301"/>
      <c r="BS386" s="184" t="s">
        <v>2052</v>
      </c>
      <c r="BT386" s="184" t="s">
        <v>2390</v>
      </c>
    </row>
    <row r="387" spans="2:72" ht="30" customHeight="1" x14ac:dyDescent="0.25">
      <c r="B387" s="1696"/>
      <c r="C387" s="1224" t="str">
        <f t="shared" si="394"/>
        <v>Prestations annuelles 2019</v>
      </c>
      <c r="D387" s="1225" t="e">
        <f ca="1">VLOOKUP(B381, $C$79:$V$103, MATCH(2019, $C$77:$V$77, 0),FALSE)</f>
        <v>#N/A</v>
      </c>
      <c r="T387" s="301"/>
      <c r="BS387" s="184" t="s">
        <v>2074</v>
      </c>
      <c r="BT387" s="184" t="s">
        <v>2391</v>
      </c>
    </row>
    <row r="388" spans="2:72" ht="30" customHeight="1" thickBot="1" x14ac:dyDescent="0.3">
      <c r="B388" s="1696"/>
      <c r="C388" s="1227" t="str">
        <f t="shared" si="394"/>
        <v>Différence (somme des mois moins annuelle)</v>
      </c>
      <c r="D388" s="1228" t="e">
        <f ca="1">D386-D387</f>
        <v>#N/A</v>
      </c>
      <c r="T388" s="301"/>
      <c r="BS388" s="184" t="s">
        <v>2075</v>
      </c>
      <c r="BT388" s="184" t="s">
        <v>2392</v>
      </c>
    </row>
    <row r="389" spans="2:72" ht="30" customHeight="1" x14ac:dyDescent="0.25">
      <c r="B389" s="1696"/>
      <c r="C389" s="1224" t="str">
        <f t="shared" si="394"/>
        <v>Somme des services mensuels 2020</v>
      </c>
      <c r="D389" s="1225">
        <f>VLOOKUP(B381, $C$27:$AX$51, 48, FALSE)</f>
        <v>0</v>
      </c>
      <c r="T389" s="301"/>
      <c r="BS389" s="184" t="s">
        <v>2076</v>
      </c>
      <c r="BT389" s="184" t="s">
        <v>2393</v>
      </c>
    </row>
    <row r="390" spans="2:72" ht="30" customHeight="1" x14ac:dyDescent="0.25">
      <c r="B390" s="1696"/>
      <c r="C390" s="1224" t="str">
        <f t="shared" si="394"/>
        <v>Prestations annuelles 2020</v>
      </c>
      <c r="D390" s="1225" t="e">
        <f ca="1">VLOOKUP(B381, $C$79:$V$103, MATCH(2020, $C$77:$V$77, 0),FALSE)</f>
        <v>#N/A</v>
      </c>
      <c r="T390" s="301"/>
      <c r="BS390" s="184" t="s">
        <v>2077</v>
      </c>
      <c r="BT390" s="184" t="s">
        <v>2394</v>
      </c>
    </row>
    <row r="391" spans="2:72" ht="24" customHeight="1" thickBot="1" x14ac:dyDescent="0.3">
      <c r="B391" s="1696"/>
      <c r="C391" s="1227" t="str">
        <f t="shared" si="394"/>
        <v>Différence (somme des mois moins annuelle)</v>
      </c>
      <c r="D391" s="1228" t="e">
        <f ca="1">D389-D390</f>
        <v>#N/A</v>
      </c>
      <c r="E391" s="149"/>
      <c r="T391" s="301"/>
      <c r="BS391" s="184" t="s">
        <v>2075</v>
      </c>
      <c r="BT391" s="184" t="s">
        <v>2392</v>
      </c>
    </row>
    <row r="392" spans="2:72" ht="30" customHeight="1" x14ac:dyDescent="0.25">
      <c r="B392" s="1696"/>
      <c r="C392" s="1224" t="str">
        <f t="shared" si="394"/>
        <v>Somme des services mensuels 2021</v>
      </c>
      <c r="D392" s="1225">
        <f>VLOOKUP(B381, $C$27:$AY$51, 49, FALSE)</f>
        <v>0</v>
      </c>
      <c r="T392" s="301"/>
      <c r="BS392" s="184" t="s">
        <v>2383</v>
      </c>
      <c r="BT392" s="184" t="s">
        <v>2397</v>
      </c>
    </row>
    <row r="393" spans="2:72" ht="30" customHeight="1" x14ac:dyDescent="0.25">
      <c r="B393" s="1696"/>
      <c r="C393" s="1224" t="str">
        <f t="shared" si="394"/>
        <v>Prestations annuelles 2021</v>
      </c>
      <c r="D393" s="1225" t="e">
        <f ca="1">VLOOKUP(B381, $C$79:$V$103, MATCH(2021, $C$77:$V$77, 0),FALSE)</f>
        <v>#N/A</v>
      </c>
      <c r="T393" s="301"/>
      <c r="BS393" s="184" t="s">
        <v>2385</v>
      </c>
      <c r="BT393" s="184" t="s">
        <v>2398</v>
      </c>
    </row>
    <row r="394" spans="2:72" ht="30" customHeight="1" thickBot="1" x14ac:dyDescent="0.3">
      <c r="B394" s="1697"/>
      <c r="C394" s="1227" t="str">
        <f t="shared" si="394"/>
        <v>Différence (somme des mois moins annuelle)</v>
      </c>
      <c r="D394" s="1228" t="e">
        <f ca="1">D392-D393</f>
        <v>#N/A</v>
      </c>
      <c r="E394" s="149"/>
      <c r="F394" s="149"/>
      <c r="G394" s="149"/>
      <c r="H394" s="149"/>
      <c r="I394" s="149"/>
      <c r="J394" s="149"/>
      <c r="K394" s="149"/>
      <c r="L394" s="149"/>
      <c r="M394" s="149"/>
      <c r="N394" s="149"/>
      <c r="O394" s="149"/>
      <c r="P394" s="149"/>
      <c r="Q394" s="149"/>
      <c r="R394" s="149"/>
      <c r="S394" s="149"/>
      <c r="T394" s="630"/>
      <c r="BS394" s="184" t="s">
        <v>2075</v>
      </c>
      <c r="BT394" s="184" t="s">
        <v>2392</v>
      </c>
    </row>
    <row r="395" spans="2:72" ht="15.75" thickBot="1" x14ac:dyDescent="0.3"/>
    <row r="396" spans="2:72" ht="32.450000000000003" customHeight="1" x14ac:dyDescent="0.25">
      <c r="B396" s="1695" t="str">
        <f>C123</f>
        <v>Oraux combinés (COC)</v>
      </c>
      <c r="C396" s="1690" t="str">
        <f t="shared" ref="C396:C409" si="395">IF(Language="English", BS396, BT396)</f>
        <v>Services mensuels moyens (2019-2021)</v>
      </c>
      <c r="D396" s="1691"/>
      <c r="E396" s="148"/>
      <c r="F396" s="148"/>
      <c r="G396" s="148"/>
      <c r="H396" s="148"/>
      <c r="I396" s="148"/>
      <c r="J396" s="148"/>
      <c r="K396" s="148"/>
      <c r="L396" s="148"/>
      <c r="M396" s="148"/>
      <c r="N396" s="148"/>
      <c r="O396" s="148"/>
      <c r="P396" s="148"/>
      <c r="Q396" s="148"/>
      <c r="R396" s="148"/>
      <c r="S396" s="148"/>
      <c r="T396" s="1223"/>
      <c r="BS396" s="184" t="s">
        <v>2386</v>
      </c>
      <c r="BT396" s="184" t="s">
        <v>2395</v>
      </c>
    </row>
    <row r="397" spans="2:72" ht="31.15" customHeight="1" x14ac:dyDescent="0.25">
      <c r="B397" s="1696"/>
      <c r="C397" s="1224" t="str">
        <f t="shared" si="395"/>
        <v>Pendant le verrouillage COVID (circulation restreinte)</v>
      </c>
      <c r="D397" s="1225">
        <f>VLOOKUP(B396, $C$27:$AY$50, 44, FALSE)</f>
        <v>0</v>
      </c>
      <c r="T397" s="301"/>
      <c r="BS397" s="184" t="s">
        <v>2071</v>
      </c>
      <c r="BT397" s="184" t="s">
        <v>2387</v>
      </c>
    </row>
    <row r="398" spans="2:72" ht="31.15" customHeight="1" x14ac:dyDescent="0.25">
      <c r="B398" s="1696"/>
      <c r="C398" s="1224" t="str">
        <f t="shared" si="395"/>
        <v>En dehors du verrouillage COVID</v>
      </c>
      <c r="D398" s="1225">
        <f>VLOOKUP(B396, $C$27:$AY$50, 43, FALSE)</f>
        <v>0</v>
      </c>
      <c r="T398" s="301"/>
      <c r="BS398" s="184" t="s">
        <v>2072</v>
      </c>
      <c r="BT398" s="184" t="s">
        <v>2388</v>
      </c>
    </row>
    <row r="399" spans="2:72" ht="31.15" customHeight="1" thickBot="1" x14ac:dyDescent="0.3">
      <c r="B399" s="1696"/>
      <c r="C399" s="260" t="str">
        <f t="shared" si="395"/>
        <v>Globalement (2019-2021)</v>
      </c>
      <c r="D399" s="1226">
        <f>VLOOKUP(B396, $C$27:$AY$50, 45, FALSE)</f>
        <v>0</v>
      </c>
      <c r="T399" s="301"/>
      <c r="BS399" s="184" t="s">
        <v>2384</v>
      </c>
      <c r="BT399" s="184" t="s">
        <v>2396</v>
      </c>
    </row>
    <row r="400" spans="2:72" ht="30.6" customHeight="1" x14ac:dyDescent="0.25">
      <c r="B400" s="1696"/>
      <c r="C400" s="1690" t="str">
        <f t="shared" si="395"/>
        <v>Comparaison des totaux annuels et mensuels</v>
      </c>
      <c r="D400" s="1691"/>
      <c r="T400" s="301"/>
      <c r="BS400" s="184" t="s">
        <v>2073</v>
      </c>
      <c r="BT400" s="184" t="s">
        <v>2389</v>
      </c>
    </row>
    <row r="401" spans="2:72" ht="30" customHeight="1" x14ac:dyDescent="0.25">
      <c r="B401" s="1696"/>
      <c r="C401" s="1224" t="str">
        <f t="shared" si="395"/>
        <v>Somme des services mensuels 2019</v>
      </c>
      <c r="D401" s="1225">
        <f>VLOOKUP(B396, $C$27:$AY$51, 47, FALSE)</f>
        <v>0</v>
      </c>
      <c r="T401" s="301"/>
      <c r="BS401" s="184" t="s">
        <v>2052</v>
      </c>
      <c r="BT401" s="184" t="s">
        <v>2390</v>
      </c>
    </row>
    <row r="402" spans="2:72" ht="30" customHeight="1" x14ac:dyDescent="0.25">
      <c r="B402" s="1696"/>
      <c r="C402" s="1224" t="str">
        <f t="shared" si="395"/>
        <v>Prestations annuelles 2019</v>
      </c>
      <c r="D402" s="1225" t="e">
        <f ca="1">VLOOKUP(B396, $C$79:$V$103, MATCH(2019, $C$77:$V$77, 0),FALSE)</f>
        <v>#N/A</v>
      </c>
      <c r="T402" s="301"/>
      <c r="BS402" s="184" t="s">
        <v>2074</v>
      </c>
      <c r="BT402" s="184" t="s">
        <v>2391</v>
      </c>
    </row>
    <row r="403" spans="2:72" ht="30" customHeight="1" thickBot="1" x14ac:dyDescent="0.3">
      <c r="B403" s="1696"/>
      <c r="C403" s="1227" t="str">
        <f t="shared" si="395"/>
        <v>Différence (somme des mois moins annuelle)</v>
      </c>
      <c r="D403" s="1228" t="e">
        <f ca="1">D401-D402</f>
        <v>#N/A</v>
      </c>
      <c r="T403" s="301"/>
      <c r="BS403" s="184" t="s">
        <v>2075</v>
      </c>
      <c r="BT403" s="184" t="s">
        <v>2392</v>
      </c>
    </row>
    <row r="404" spans="2:72" ht="30" customHeight="1" x14ac:dyDescent="0.25">
      <c r="B404" s="1696"/>
      <c r="C404" s="1224" t="str">
        <f t="shared" si="395"/>
        <v>Somme des services mensuels 2020</v>
      </c>
      <c r="D404" s="1225">
        <f>VLOOKUP(B396, $C$27:$AX$51, 48, FALSE)</f>
        <v>0</v>
      </c>
      <c r="T404" s="301"/>
      <c r="BS404" s="184" t="s">
        <v>2076</v>
      </c>
      <c r="BT404" s="184" t="s">
        <v>2393</v>
      </c>
    </row>
    <row r="405" spans="2:72" ht="30" customHeight="1" x14ac:dyDescent="0.25">
      <c r="B405" s="1696"/>
      <c r="C405" s="1224" t="str">
        <f t="shared" si="395"/>
        <v>Prestations annuelles 2020</v>
      </c>
      <c r="D405" s="1225" t="e">
        <f ca="1">VLOOKUP(B396, $C$79:$V$103, MATCH(2020, $C$77:$V$77, 0),FALSE)</f>
        <v>#N/A</v>
      </c>
      <c r="T405" s="301"/>
      <c r="BS405" s="184" t="s">
        <v>2077</v>
      </c>
      <c r="BT405" s="184" t="s">
        <v>2394</v>
      </c>
    </row>
    <row r="406" spans="2:72" ht="24" customHeight="1" thickBot="1" x14ac:dyDescent="0.3">
      <c r="B406" s="1696"/>
      <c r="C406" s="1227" t="str">
        <f t="shared" si="395"/>
        <v>Différence (somme des mois moins annuelle)</v>
      </c>
      <c r="D406" s="1228" t="e">
        <f ca="1">D404-D405</f>
        <v>#N/A</v>
      </c>
      <c r="E406" s="149"/>
      <c r="T406" s="301"/>
      <c r="BS406" s="184" t="s">
        <v>2075</v>
      </c>
      <c r="BT406" s="184" t="s">
        <v>2392</v>
      </c>
    </row>
    <row r="407" spans="2:72" ht="30" customHeight="1" x14ac:dyDescent="0.25">
      <c r="B407" s="1696"/>
      <c r="C407" s="1224" t="str">
        <f t="shared" si="395"/>
        <v>Somme des services mensuels 2021</v>
      </c>
      <c r="D407" s="1225">
        <f>VLOOKUP(B396, $C$27:$AY$51, 49, FALSE)</f>
        <v>0</v>
      </c>
      <c r="T407" s="301"/>
      <c r="BS407" s="184" t="s">
        <v>2383</v>
      </c>
      <c r="BT407" s="184" t="s">
        <v>2397</v>
      </c>
    </row>
    <row r="408" spans="2:72" ht="30" customHeight="1" x14ac:dyDescent="0.25">
      <c r="B408" s="1696"/>
      <c r="C408" s="1224" t="str">
        <f t="shared" si="395"/>
        <v>Prestations annuelles 2021</v>
      </c>
      <c r="D408" s="1225" t="e">
        <f ca="1">VLOOKUP(B396, $C$79:$V$103, MATCH(2021, $C$77:$V$77, 0),FALSE)</f>
        <v>#N/A</v>
      </c>
      <c r="T408" s="301"/>
      <c r="BS408" s="184" t="s">
        <v>2385</v>
      </c>
      <c r="BT408" s="184" t="s">
        <v>2398</v>
      </c>
    </row>
    <row r="409" spans="2:72" ht="30" customHeight="1" thickBot="1" x14ac:dyDescent="0.3">
      <c r="B409" s="1697"/>
      <c r="C409" s="1227" t="str">
        <f t="shared" si="395"/>
        <v>Différence (somme des mois moins annuelle)</v>
      </c>
      <c r="D409" s="1228" t="e">
        <f ca="1">D407-D408</f>
        <v>#N/A</v>
      </c>
      <c r="E409" s="149"/>
      <c r="F409" s="149"/>
      <c r="G409" s="149"/>
      <c r="H409" s="149"/>
      <c r="I409" s="149"/>
      <c r="J409" s="149"/>
      <c r="K409" s="149"/>
      <c r="L409" s="149"/>
      <c r="M409" s="149"/>
      <c r="N409" s="149"/>
      <c r="O409" s="149"/>
      <c r="P409" s="149"/>
      <c r="Q409" s="149"/>
      <c r="R409" s="149"/>
      <c r="S409" s="149"/>
      <c r="T409" s="630"/>
      <c r="BS409" s="184" t="s">
        <v>2075</v>
      </c>
      <c r="BT409" s="184" t="s">
        <v>2392</v>
      </c>
    </row>
    <row r="410" spans="2:72" ht="15.75" thickBot="1" x14ac:dyDescent="0.3"/>
    <row r="411" spans="2:72" ht="31.9" customHeight="1" x14ac:dyDescent="0.25">
      <c r="B411" s="1695" t="str">
        <f>C124</f>
        <v>Progestatifs seul (POP)</v>
      </c>
      <c r="C411" s="1690" t="str">
        <f t="shared" ref="C411:C424" si="396">IF(Language="English", BS411, BT411)</f>
        <v>Services mensuels moyens (2019-2021)</v>
      </c>
      <c r="D411" s="1691"/>
      <c r="E411" s="148"/>
      <c r="F411" s="148"/>
      <c r="G411" s="148"/>
      <c r="H411" s="148"/>
      <c r="I411" s="148"/>
      <c r="J411" s="148"/>
      <c r="K411" s="148"/>
      <c r="L411" s="148"/>
      <c r="M411" s="148"/>
      <c r="N411" s="148"/>
      <c r="O411" s="148"/>
      <c r="P411" s="148"/>
      <c r="Q411" s="148"/>
      <c r="R411" s="148"/>
      <c r="S411" s="148"/>
      <c r="T411" s="1223"/>
      <c r="BS411" s="184" t="s">
        <v>2386</v>
      </c>
      <c r="BT411" s="184" t="s">
        <v>2395</v>
      </c>
    </row>
    <row r="412" spans="2:72" ht="31.15" customHeight="1" x14ac:dyDescent="0.25">
      <c r="B412" s="1696"/>
      <c r="C412" s="1224" t="str">
        <f t="shared" si="396"/>
        <v>Pendant le verrouillage COVID (circulation restreinte)</v>
      </c>
      <c r="D412" s="1225">
        <f>VLOOKUP(B411, $C$27:$AY$50, 44, FALSE)</f>
        <v>0</v>
      </c>
      <c r="T412" s="301"/>
      <c r="BS412" s="184" t="s">
        <v>2071</v>
      </c>
      <c r="BT412" s="184" t="s">
        <v>2387</v>
      </c>
    </row>
    <row r="413" spans="2:72" ht="31.15" customHeight="1" x14ac:dyDescent="0.25">
      <c r="B413" s="1696"/>
      <c r="C413" s="1224" t="str">
        <f t="shared" si="396"/>
        <v>En dehors du verrouillage COVID</v>
      </c>
      <c r="D413" s="1225">
        <f>VLOOKUP(B411, $C$27:$AY$50, 43, FALSE)</f>
        <v>0</v>
      </c>
      <c r="T413" s="301"/>
      <c r="BS413" s="184" t="s">
        <v>2072</v>
      </c>
      <c r="BT413" s="184" t="s">
        <v>2388</v>
      </c>
    </row>
    <row r="414" spans="2:72" ht="31.15" customHeight="1" thickBot="1" x14ac:dyDescent="0.3">
      <c r="B414" s="1696"/>
      <c r="C414" s="260" t="str">
        <f t="shared" si="396"/>
        <v>Globalement (2019-2021)</v>
      </c>
      <c r="D414" s="1226">
        <f>VLOOKUP(B411, $C$27:$AY$50, 45, FALSE)</f>
        <v>0</v>
      </c>
      <c r="T414" s="301"/>
      <c r="BS414" s="184" t="s">
        <v>2384</v>
      </c>
      <c r="BT414" s="184" t="s">
        <v>2396</v>
      </c>
    </row>
    <row r="415" spans="2:72" ht="30.6" customHeight="1" x14ac:dyDescent="0.25">
      <c r="B415" s="1696"/>
      <c r="C415" s="1690" t="str">
        <f t="shared" si="396"/>
        <v>Comparaison des totaux annuels et mensuels</v>
      </c>
      <c r="D415" s="1691"/>
      <c r="T415" s="301"/>
      <c r="BS415" s="184" t="s">
        <v>2073</v>
      </c>
      <c r="BT415" s="184" t="s">
        <v>2389</v>
      </c>
    </row>
    <row r="416" spans="2:72" ht="30" customHeight="1" x14ac:dyDescent="0.25">
      <c r="B416" s="1696"/>
      <c r="C416" s="1224" t="str">
        <f t="shared" si="396"/>
        <v>Somme des services mensuels 2019</v>
      </c>
      <c r="D416" s="1225">
        <f>VLOOKUP(B411, $C$27:$AX$51, 47, FALSE)</f>
        <v>0</v>
      </c>
      <c r="T416" s="301"/>
      <c r="BS416" s="184" t="s">
        <v>2052</v>
      </c>
      <c r="BT416" s="184" t="s">
        <v>2390</v>
      </c>
    </row>
    <row r="417" spans="2:72" ht="30" customHeight="1" x14ac:dyDescent="0.25">
      <c r="B417" s="1696"/>
      <c r="C417" s="1224" t="str">
        <f t="shared" si="396"/>
        <v>Prestations annuelles 2019</v>
      </c>
      <c r="D417" s="1225" t="e">
        <f ca="1">VLOOKUP(B411, $C$79:$V$103, MATCH(2019, $C$77:$V$77, 0),FALSE)</f>
        <v>#N/A</v>
      </c>
      <c r="T417" s="301"/>
      <c r="BS417" s="184" t="s">
        <v>2074</v>
      </c>
      <c r="BT417" s="184" t="s">
        <v>2391</v>
      </c>
    </row>
    <row r="418" spans="2:72" ht="30" customHeight="1" thickBot="1" x14ac:dyDescent="0.3">
      <c r="B418" s="1696"/>
      <c r="C418" s="1227" t="str">
        <f t="shared" si="396"/>
        <v>Différence (somme des mois moins annuelle)</v>
      </c>
      <c r="D418" s="1228" t="e">
        <f ca="1">D416-D417</f>
        <v>#N/A</v>
      </c>
      <c r="T418" s="301"/>
      <c r="BS418" s="184" t="s">
        <v>2075</v>
      </c>
      <c r="BT418" s="184" t="s">
        <v>2392</v>
      </c>
    </row>
    <row r="419" spans="2:72" ht="30" customHeight="1" x14ac:dyDescent="0.25">
      <c r="B419" s="1696"/>
      <c r="C419" s="1224" t="str">
        <f t="shared" si="396"/>
        <v>Somme des services mensuels 2020</v>
      </c>
      <c r="D419" s="1225">
        <f>VLOOKUP(B411, $C$27:$AX$51, 48, FALSE)</f>
        <v>0</v>
      </c>
      <c r="T419" s="301"/>
      <c r="BS419" s="184" t="s">
        <v>2076</v>
      </c>
      <c r="BT419" s="184" t="s">
        <v>2393</v>
      </c>
    </row>
    <row r="420" spans="2:72" ht="30" customHeight="1" x14ac:dyDescent="0.25">
      <c r="B420" s="1696"/>
      <c r="C420" s="1224" t="str">
        <f t="shared" si="396"/>
        <v>Prestations annuelles 2020</v>
      </c>
      <c r="D420" s="1225" t="e">
        <f ca="1">VLOOKUP(B411, $C$79:$V$103, MATCH(2020, $C$77:$V$77, 0),FALSE)</f>
        <v>#N/A</v>
      </c>
      <c r="T420" s="301"/>
      <c r="BS420" s="184" t="s">
        <v>2077</v>
      </c>
      <c r="BT420" s="184" t="s">
        <v>2394</v>
      </c>
    </row>
    <row r="421" spans="2:72" ht="24" customHeight="1" thickBot="1" x14ac:dyDescent="0.3">
      <c r="B421" s="1696"/>
      <c r="C421" s="1227" t="str">
        <f t="shared" si="396"/>
        <v>Différence (somme des mois moins annuelle)</v>
      </c>
      <c r="D421" s="1228" t="e">
        <f ca="1">D419-D420</f>
        <v>#N/A</v>
      </c>
      <c r="E421" s="149"/>
      <c r="T421" s="301"/>
      <c r="BS421" s="184" t="s">
        <v>2075</v>
      </c>
      <c r="BT421" s="184" t="s">
        <v>2392</v>
      </c>
    </row>
    <row r="422" spans="2:72" ht="30" customHeight="1" x14ac:dyDescent="0.25">
      <c r="B422" s="1696"/>
      <c r="C422" s="1224" t="str">
        <f t="shared" si="396"/>
        <v>Somme des services mensuels 2021</v>
      </c>
      <c r="D422" s="1225">
        <f>VLOOKUP(B411, $C$27:$AY$51, 49, FALSE)</f>
        <v>0</v>
      </c>
      <c r="T422" s="301"/>
      <c r="BS422" s="184" t="s">
        <v>2383</v>
      </c>
      <c r="BT422" s="184" t="s">
        <v>2397</v>
      </c>
    </row>
    <row r="423" spans="2:72" ht="30" customHeight="1" x14ac:dyDescent="0.25">
      <c r="B423" s="1696"/>
      <c r="C423" s="1224" t="str">
        <f t="shared" si="396"/>
        <v>Prestations annuelles 2021</v>
      </c>
      <c r="D423" s="1225" t="e">
        <f ca="1">VLOOKUP(B411, $C$79:$V$103, MATCH(2021, $C$77:$V$77, 0),FALSE)</f>
        <v>#N/A</v>
      </c>
      <c r="T423" s="301"/>
      <c r="BS423" s="184" t="s">
        <v>2385</v>
      </c>
      <c r="BT423" s="184" t="s">
        <v>2398</v>
      </c>
    </row>
    <row r="424" spans="2:72" ht="30" customHeight="1" thickBot="1" x14ac:dyDescent="0.3">
      <c r="B424" s="1697"/>
      <c r="C424" s="1227" t="str">
        <f t="shared" si="396"/>
        <v>Différence (somme des mois moins annuelle)</v>
      </c>
      <c r="D424" s="1228" t="e">
        <f ca="1">D422-D423</f>
        <v>#N/A</v>
      </c>
      <c r="E424" s="149"/>
      <c r="F424" s="149"/>
      <c r="G424" s="149"/>
      <c r="H424" s="149"/>
      <c r="I424" s="149"/>
      <c r="J424" s="149"/>
      <c r="K424" s="149"/>
      <c r="L424" s="149"/>
      <c r="M424" s="149"/>
      <c r="N424" s="149"/>
      <c r="O424" s="149"/>
      <c r="P424" s="149"/>
      <c r="Q424" s="149"/>
      <c r="R424" s="149"/>
      <c r="S424" s="149"/>
      <c r="T424" s="630"/>
      <c r="BS424" s="184" t="s">
        <v>2075</v>
      </c>
      <c r="BT424" s="184" t="s">
        <v>2392</v>
      </c>
    </row>
    <row r="425" spans="2:72" ht="15.75" thickBot="1" x14ac:dyDescent="0.3"/>
    <row r="426" spans="2:72" ht="24" customHeight="1" x14ac:dyDescent="0.25">
      <c r="B426" s="1695" t="str">
        <f>C126</f>
        <v>Préservatifs masculin</v>
      </c>
      <c r="C426" s="1690" t="str">
        <f t="shared" ref="C426:C439" si="397">IF(Language="English", BS426, BT426)</f>
        <v>Services mensuels moyens (2019-2021)</v>
      </c>
      <c r="D426" s="1691"/>
      <c r="E426" s="148"/>
      <c r="F426" s="148"/>
      <c r="G426" s="148"/>
      <c r="H426" s="148"/>
      <c r="I426" s="148"/>
      <c r="J426" s="148"/>
      <c r="K426" s="148"/>
      <c r="L426" s="148"/>
      <c r="M426" s="148"/>
      <c r="N426" s="148"/>
      <c r="O426" s="148"/>
      <c r="P426" s="148"/>
      <c r="Q426" s="148"/>
      <c r="R426" s="148"/>
      <c r="S426" s="148"/>
      <c r="T426" s="1223"/>
      <c r="BS426" s="184" t="s">
        <v>2386</v>
      </c>
      <c r="BT426" s="184" t="s">
        <v>2395</v>
      </c>
    </row>
    <row r="427" spans="2:72" ht="31.15" customHeight="1" x14ac:dyDescent="0.25">
      <c r="B427" s="1696"/>
      <c r="C427" s="1224" t="str">
        <f t="shared" si="397"/>
        <v>Pendant le verrouillage COVID (circulation restreinte)</v>
      </c>
      <c r="D427" s="1225">
        <f>VLOOKUP(B426, $C$27:$AY$50, 44, FALSE)</f>
        <v>0</v>
      </c>
      <c r="T427" s="301"/>
      <c r="BS427" s="184" t="s">
        <v>2071</v>
      </c>
      <c r="BT427" s="184" t="s">
        <v>2387</v>
      </c>
    </row>
    <row r="428" spans="2:72" ht="31.15" customHeight="1" x14ac:dyDescent="0.25">
      <c r="B428" s="1696"/>
      <c r="C428" s="1224" t="str">
        <f t="shared" si="397"/>
        <v>En dehors du verrouillage COVID</v>
      </c>
      <c r="D428" s="1225">
        <f>VLOOKUP(B426, $C$27:$AY$50, 43, FALSE)</f>
        <v>0</v>
      </c>
      <c r="T428" s="301"/>
      <c r="BS428" s="184" t="s">
        <v>2072</v>
      </c>
      <c r="BT428" s="184" t="s">
        <v>2388</v>
      </c>
    </row>
    <row r="429" spans="2:72" ht="31.15" customHeight="1" thickBot="1" x14ac:dyDescent="0.3">
      <c r="B429" s="1696"/>
      <c r="C429" s="260" t="str">
        <f t="shared" si="397"/>
        <v>Globalement (2019-2021)</v>
      </c>
      <c r="D429" s="1226">
        <f>VLOOKUP(B426, $C$27:$AY$50, 45, FALSE)</f>
        <v>0</v>
      </c>
      <c r="T429" s="301"/>
      <c r="BS429" s="184" t="s">
        <v>2384</v>
      </c>
      <c r="BT429" s="184" t="s">
        <v>2396</v>
      </c>
    </row>
    <row r="430" spans="2:72" ht="30.6" customHeight="1" x14ac:dyDescent="0.25">
      <c r="B430" s="1696"/>
      <c r="C430" s="1690" t="str">
        <f t="shared" si="397"/>
        <v>Comparaison des totaux annuels et mensuels</v>
      </c>
      <c r="D430" s="1691"/>
      <c r="T430" s="301"/>
      <c r="BS430" s="184" t="s">
        <v>2073</v>
      </c>
      <c r="BT430" s="184" t="s">
        <v>2389</v>
      </c>
    </row>
    <row r="431" spans="2:72" ht="30" customHeight="1" x14ac:dyDescent="0.25">
      <c r="B431" s="1696"/>
      <c r="C431" s="1224" t="str">
        <f t="shared" si="397"/>
        <v>Somme des services mensuels 2019</v>
      </c>
      <c r="D431" s="1225">
        <f>VLOOKUP(B426, $C$27:$AX$51, 47, FALSE)</f>
        <v>0</v>
      </c>
      <c r="T431" s="301"/>
      <c r="BS431" s="184" t="s">
        <v>2052</v>
      </c>
      <c r="BT431" s="184" t="s">
        <v>2390</v>
      </c>
    </row>
    <row r="432" spans="2:72" ht="30" customHeight="1" x14ac:dyDescent="0.25">
      <c r="B432" s="1696"/>
      <c r="C432" s="1224" t="str">
        <f t="shared" si="397"/>
        <v>Prestations annuelles 2019</v>
      </c>
      <c r="D432" s="1225" t="e">
        <f ca="1">VLOOKUP(B426, $C$79:$V$103, MATCH(2019, $C$77:$V$77, 0),FALSE)</f>
        <v>#N/A</v>
      </c>
      <c r="T432" s="301"/>
      <c r="BS432" s="184" t="s">
        <v>2074</v>
      </c>
      <c r="BT432" s="184" t="s">
        <v>2391</v>
      </c>
    </row>
    <row r="433" spans="2:72" ht="30" customHeight="1" thickBot="1" x14ac:dyDescent="0.3">
      <c r="B433" s="1696"/>
      <c r="C433" s="1227" t="str">
        <f t="shared" si="397"/>
        <v>Différence (somme des mois moins annuelle)</v>
      </c>
      <c r="D433" s="1228" t="e">
        <f ca="1">D431-D432</f>
        <v>#N/A</v>
      </c>
      <c r="T433" s="301"/>
      <c r="BS433" s="184" t="s">
        <v>2075</v>
      </c>
      <c r="BT433" s="184" t="s">
        <v>2392</v>
      </c>
    </row>
    <row r="434" spans="2:72" ht="30" customHeight="1" x14ac:dyDescent="0.25">
      <c r="B434" s="1696"/>
      <c r="C434" s="1224" t="str">
        <f t="shared" si="397"/>
        <v>Somme des services mensuels 2020</v>
      </c>
      <c r="D434" s="1225">
        <f>VLOOKUP(B426, $C$27:$AX$51, 48, FALSE)</f>
        <v>0</v>
      </c>
      <c r="T434" s="301"/>
      <c r="BS434" s="184" t="s">
        <v>2076</v>
      </c>
      <c r="BT434" s="184" t="s">
        <v>2393</v>
      </c>
    </row>
    <row r="435" spans="2:72" ht="30" customHeight="1" x14ac:dyDescent="0.25">
      <c r="B435" s="1696"/>
      <c r="C435" s="1224" t="str">
        <f t="shared" si="397"/>
        <v>Prestations annuelles 2020</v>
      </c>
      <c r="D435" s="1225" t="e">
        <f ca="1">VLOOKUP(B426, $C$79:$V$103, MATCH(2020, $C$77:$V$77, 0),FALSE)</f>
        <v>#N/A</v>
      </c>
      <c r="T435" s="301"/>
      <c r="BS435" s="184" t="s">
        <v>2077</v>
      </c>
      <c r="BT435" s="184" t="s">
        <v>2394</v>
      </c>
    </row>
    <row r="436" spans="2:72" ht="24" customHeight="1" thickBot="1" x14ac:dyDescent="0.3">
      <c r="B436" s="1696"/>
      <c r="C436" s="1227" t="str">
        <f t="shared" si="397"/>
        <v>Différence (somme des mois moins annuelle)</v>
      </c>
      <c r="D436" s="1228" t="e">
        <f ca="1">D434-D435</f>
        <v>#N/A</v>
      </c>
      <c r="E436" s="149"/>
      <c r="T436" s="301"/>
      <c r="BS436" s="184" t="s">
        <v>2075</v>
      </c>
      <c r="BT436" s="184" t="s">
        <v>2392</v>
      </c>
    </row>
    <row r="437" spans="2:72" ht="30" customHeight="1" x14ac:dyDescent="0.25">
      <c r="B437" s="1696"/>
      <c r="C437" s="1224" t="str">
        <f t="shared" si="397"/>
        <v>Somme des services mensuels 2021</v>
      </c>
      <c r="D437" s="1225">
        <f>VLOOKUP(B426, $C$27:$AY$51, 49, FALSE)</f>
        <v>0</v>
      </c>
      <c r="T437" s="301"/>
      <c r="BS437" s="184" t="s">
        <v>2383</v>
      </c>
      <c r="BT437" s="184" t="s">
        <v>2397</v>
      </c>
    </row>
    <row r="438" spans="2:72" ht="30" customHeight="1" x14ac:dyDescent="0.25">
      <c r="B438" s="1696"/>
      <c r="C438" s="1224" t="str">
        <f t="shared" si="397"/>
        <v>Prestations annuelles 2021</v>
      </c>
      <c r="D438" s="1225" t="e">
        <f ca="1">VLOOKUP(B426, $C$79:$V$103, MATCH(2021, $C$77:$V$77, 0),FALSE)</f>
        <v>#N/A</v>
      </c>
      <c r="T438" s="301"/>
      <c r="BS438" s="184" t="s">
        <v>2385</v>
      </c>
      <c r="BT438" s="184" t="s">
        <v>2398</v>
      </c>
    </row>
    <row r="439" spans="2:72" ht="30" customHeight="1" thickBot="1" x14ac:dyDescent="0.3">
      <c r="B439" s="1697"/>
      <c r="C439" s="1227" t="str">
        <f t="shared" si="397"/>
        <v>Différence (somme des mois moins annuelle)</v>
      </c>
      <c r="D439" s="1228" t="e">
        <f ca="1">D437-D438</f>
        <v>#N/A</v>
      </c>
      <c r="E439" s="149"/>
      <c r="F439" s="149"/>
      <c r="G439" s="149"/>
      <c r="H439" s="149"/>
      <c r="I439" s="149"/>
      <c r="J439" s="149"/>
      <c r="K439" s="149"/>
      <c r="L439" s="149"/>
      <c r="M439" s="149"/>
      <c r="N439" s="149"/>
      <c r="O439" s="149"/>
      <c r="P439" s="149"/>
      <c r="Q439" s="149"/>
      <c r="R439" s="149"/>
      <c r="S439" s="149"/>
      <c r="T439" s="630"/>
      <c r="BS439" s="184" t="s">
        <v>2075</v>
      </c>
      <c r="BT439" s="184" t="s">
        <v>2392</v>
      </c>
    </row>
    <row r="440" spans="2:72" ht="15.75" thickBot="1" x14ac:dyDescent="0.3"/>
    <row r="441" spans="2:72" ht="24" customHeight="1" x14ac:dyDescent="0.25">
      <c r="B441" s="1695" t="str">
        <f>C102</f>
        <v>CU</v>
      </c>
      <c r="C441" s="1690" t="str">
        <f t="shared" ref="C441:C454" si="398">IF(Language="English", BS441, BT441)</f>
        <v>Services mensuels moyens (2019-2021)</v>
      </c>
      <c r="D441" s="1691"/>
      <c r="E441" s="148"/>
      <c r="F441" s="148"/>
      <c r="G441" s="148"/>
      <c r="H441" s="148"/>
      <c r="I441" s="148"/>
      <c r="J441" s="148"/>
      <c r="K441" s="148"/>
      <c r="L441" s="148"/>
      <c r="M441" s="148"/>
      <c r="N441" s="148"/>
      <c r="O441" s="148"/>
      <c r="P441" s="148"/>
      <c r="Q441" s="148"/>
      <c r="R441" s="148"/>
      <c r="S441" s="148"/>
      <c r="T441" s="1223"/>
      <c r="BS441" s="184" t="s">
        <v>2386</v>
      </c>
      <c r="BT441" s="184" t="s">
        <v>2395</v>
      </c>
    </row>
    <row r="442" spans="2:72" ht="31.15" customHeight="1" x14ac:dyDescent="0.25">
      <c r="B442" s="1696"/>
      <c r="C442" s="1224" t="str">
        <f t="shared" si="398"/>
        <v>Pendant le verrouillage COVID (circulation restreinte)</v>
      </c>
      <c r="D442" s="1225">
        <f>VLOOKUP(B441, $C$27:$AY$50, 44, FALSE)</f>
        <v>0</v>
      </c>
      <c r="T442" s="301"/>
      <c r="BS442" s="184" t="s">
        <v>2071</v>
      </c>
      <c r="BT442" s="184" t="s">
        <v>2387</v>
      </c>
    </row>
    <row r="443" spans="2:72" ht="31.15" customHeight="1" x14ac:dyDescent="0.25">
      <c r="B443" s="1696"/>
      <c r="C443" s="1224" t="str">
        <f t="shared" si="398"/>
        <v>En dehors du verrouillage COVID</v>
      </c>
      <c r="D443" s="1225">
        <f>VLOOKUP(B441, $C$27:$AY$50, 43, FALSE)</f>
        <v>0</v>
      </c>
      <c r="T443" s="301"/>
      <c r="BS443" s="184" t="s">
        <v>2072</v>
      </c>
      <c r="BT443" s="184" t="s">
        <v>2388</v>
      </c>
    </row>
    <row r="444" spans="2:72" ht="31.15" customHeight="1" thickBot="1" x14ac:dyDescent="0.3">
      <c r="B444" s="1696"/>
      <c r="C444" s="260" t="str">
        <f t="shared" si="398"/>
        <v>Globalement (2019-2021)</v>
      </c>
      <c r="D444" s="1226">
        <f>VLOOKUP(B441, $C$27:$AY$50, 45, FALSE)</f>
        <v>0</v>
      </c>
      <c r="T444" s="301"/>
      <c r="BS444" s="184" t="s">
        <v>2384</v>
      </c>
      <c r="BT444" s="184" t="s">
        <v>2396</v>
      </c>
    </row>
    <row r="445" spans="2:72" ht="30.6" customHeight="1" x14ac:dyDescent="0.25">
      <c r="B445" s="1696"/>
      <c r="C445" s="1690" t="str">
        <f t="shared" si="398"/>
        <v>Comparaison des totaux annuels et mensuels</v>
      </c>
      <c r="D445" s="1691"/>
      <c r="T445" s="301"/>
      <c r="BS445" s="184" t="s">
        <v>2073</v>
      </c>
      <c r="BT445" s="184" t="s">
        <v>2389</v>
      </c>
    </row>
    <row r="446" spans="2:72" ht="30" customHeight="1" x14ac:dyDescent="0.25">
      <c r="B446" s="1696"/>
      <c r="C446" s="1224" t="str">
        <f t="shared" si="398"/>
        <v>Somme des services mensuels 2019</v>
      </c>
      <c r="D446" s="1225">
        <f>VLOOKUP(B441, $C$27:$AX$51, 47, FALSE)</f>
        <v>0</v>
      </c>
      <c r="T446" s="301"/>
      <c r="BS446" s="184" t="s">
        <v>2052</v>
      </c>
      <c r="BT446" s="184" t="s">
        <v>2390</v>
      </c>
    </row>
    <row r="447" spans="2:72" ht="30" customHeight="1" x14ac:dyDescent="0.25">
      <c r="B447" s="1696"/>
      <c r="C447" s="1224" t="str">
        <f t="shared" si="398"/>
        <v>Prestations annuelles 2019</v>
      </c>
      <c r="D447" s="1225" t="e">
        <f ca="1">VLOOKUP(B441, $C$79:$V$103, MATCH(2019, $C$77:$V$77, 0),FALSE)</f>
        <v>#N/A</v>
      </c>
      <c r="T447" s="301"/>
      <c r="BS447" s="184" t="s">
        <v>2074</v>
      </c>
      <c r="BT447" s="184" t="s">
        <v>2391</v>
      </c>
    </row>
    <row r="448" spans="2:72" ht="30" customHeight="1" thickBot="1" x14ac:dyDescent="0.3">
      <c r="B448" s="1696"/>
      <c r="C448" s="1227" t="str">
        <f t="shared" si="398"/>
        <v>Différence (somme des mois moins annuelle)</v>
      </c>
      <c r="D448" s="1228" t="e">
        <f ca="1">D446-D447</f>
        <v>#N/A</v>
      </c>
      <c r="T448" s="301"/>
      <c r="BS448" s="184" t="s">
        <v>2075</v>
      </c>
      <c r="BT448" s="184" t="s">
        <v>2392</v>
      </c>
    </row>
    <row r="449" spans="2:72" ht="30" customHeight="1" x14ac:dyDescent="0.25">
      <c r="B449" s="1696"/>
      <c r="C449" s="1224" t="str">
        <f t="shared" si="398"/>
        <v>Somme des services mensuels 2020</v>
      </c>
      <c r="D449" s="1225">
        <f>VLOOKUP(B441, $C$27:$AX$51, 48, FALSE)</f>
        <v>0</v>
      </c>
      <c r="T449" s="301"/>
      <c r="BS449" s="184" t="s">
        <v>2076</v>
      </c>
      <c r="BT449" s="184" t="s">
        <v>2393</v>
      </c>
    </row>
    <row r="450" spans="2:72" ht="30" customHeight="1" x14ac:dyDescent="0.25">
      <c r="B450" s="1696"/>
      <c r="C450" s="1224" t="str">
        <f t="shared" si="398"/>
        <v>Prestations annuelles 2020</v>
      </c>
      <c r="D450" s="1225" t="e">
        <f ca="1">VLOOKUP(B441, $C$79:$V$103, MATCH(2020, $C$77:$V$77, 0),FALSE)</f>
        <v>#N/A</v>
      </c>
      <c r="T450" s="301"/>
      <c r="BS450" s="184" t="s">
        <v>2077</v>
      </c>
      <c r="BT450" s="184" t="s">
        <v>2394</v>
      </c>
    </row>
    <row r="451" spans="2:72" ht="24" customHeight="1" thickBot="1" x14ac:dyDescent="0.3">
      <c r="B451" s="1696"/>
      <c r="C451" s="1227" t="str">
        <f t="shared" si="398"/>
        <v>Différence (somme des mois moins annuelle)</v>
      </c>
      <c r="D451" s="1228" t="e">
        <f ca="1">D449-D450</f>
        <v>#N/A</v>
      </c>
      <c r="E451" s="149"/>
      <c r="T451" s="301"/>
      <c r="BS451" s="184" t="s">
        <v>2075</v>
      </c>
      <c r="BT451" s="184" t="s">
        <v>2392</v>
      </c>
    </row>
    <row r="452" spans="2:72" ht="30" customHeight="1" x14ac:dyDescent="0.25">
      <c r="B452" s="1696"/>
      <c r="C452" s="1224" t="str">
        <f t="shared" si="398"/>
        <v>Somme des services mensuels 2021</v>
      </c>
      <c r="D452" s="1225">
        <f>VLOOKUP(B441, $C$27:$AY$51, 49, FALSE)</f>
        <v>0</v>
      </c>
      <c r="T452" s="301"/>
      <c r="BS452" s="184" t="s">
        <v>2383</v>
      </c>
      <c r="BT452" s="184" t="s">
        <v>2397</v>
      </c>
    </row>
    <row r="453" spans="2:72" ht="30" customHeight="1" x14ac:dyDescent="0.25">
      <c r="B453" s="1696"/>
      <c r="C453" s="1224" t="str">
        <f t="shared" si="398"/>
        <v>Prestations annuelles 2021</v>
      </c>
      <c r="D453" s="1225" t="e">
        <f ca="1">VLOOKUP(B441, $C$79:$V$103, MATCH(2021, $C$77:$V$77, 0),FALSE)</f>
        <v>#N/A</v>
      </c>
      <c r="T453" s="301"/>
      <c r="BS453" s="184" t="s">
        <v>2385</v>
      </c>
      <c r="BT453" s="184" t="s">
        <v>2398</v>
      </c>
    </row>
    <row r="454" spans="2:72" ht="30" customHeight="1" thickBot="1" x14ac:dyDescent="0.3">
      <c r="B454" s="1697"/>
      <c r="C454" s="1227" t="str">
        <f t="shared" si="398"/>
        <v>Différence (somme des mois moins annuelle)</v>
      </c>
      <c r="D454" s="1228" t="e">
        <f ca="1">D452-D453</f>
        <v>#N/A</v>
      </c>
      <c r="E454" s="149"/>
      <c r="F454" s="149"/>
      <c r="G454" s="149"/>
      <c r="H454" s="149"/>
      <c r="I454" s="149"/>
      <c r="J454" s="149"/>
      <c r="K454" s="149"/>
      <c r="L454" s="149"/>
      <c r="M454" s="149"/>
      <c r="N454" s="149"/>
      <c r="O454" s="149"/>
      <c r="P454" s="149"/>
      <c r="Q454" s="149"/>
      <c r="R454" s="149"/>
      <c r="S454" s="149"/>
      <c r="T454" s="630"/>
      <c r="BS454" s="184" t="s">
        <v>2075</v>
      </c>
      <c r="BT454" s="184" t="s">
        <v>2392</v>
      </c>
    </row>
  </sheetData>
  <mergeCells count="114">
    <mergeCell ref="C441:D441"/>
    <mergeCell ref="C445:D445"/>
    <mergeCell ref="C411:D411"/>
    <mergeCell ref="C415:D415"/>
    <mergeCell ref="C426:D426"/>
    <mergeCell ref="C430:D430"/>
    <mergeCell ref="C381:D381"/>
    <mergeCell ref="B441:B454"/>
    <mergeCell ref="B426:B439"/>
    <mergeCell ref="B411:B424"/>
    <mergeCell ref="B396:B409"/>
    <mergeCell ref="B381:B394"/>
    <mergeCell ref="B342:B355"/>
    <mergeCell ref="B327:B340"/>
    <mergeCell ref="B312:B325"/>
    <mergeCell ref="B221:B234"/>
    <mergeCell ref="C385:D385"/>
    <mergeCell ref="C396:D396"/>
    <mergeCell ref="C400:D400"/>
    <mergeCell ref="B357:B367"/>
    <mergeCell ref="C357:D357"/>
    <mergeCell ref="C361:D361"/>
    <mergeCell ref="B369:B379"/>
    <mergeCell ref="C369:D369"/>
    <mergeCell ref="C373:D373"/>
    <mergeCell ref="C327:D327"/>
    <mergeCell ref="C331:D331"/>
    <mergeCell ref="C342:D342"/>
    <mergeCell ref="C346:D346"/>
    <mergeCell ref="C297:D297"/>
    <mergeCell ref="C301:D301"/>
    <mergeCell ref="C312:D312"/>
    <mergeCell ref="C316:D316"/>
    <mergeCell ref="B297:B310"/>
    <mergeCell ref="C267:D267"/>
    <mergeCell ref="C271:D271"/>
    <mergeCell ref="C282:D282"/>
    <mergeCell ref="C286:D286"/>
    <mergeCell ref="B220:T220"/>
    <mergeCell ref="B237:B250"/>
    <mergeCell ref="C237:D237"/>
    <mergeCell ref="C241:D241"/>
    <mergeCell ref="C252:D252"/>
    <mergeCell ref="C256:D256"/>
    <mergeCell ref="B252:B265"/>
    <mergeCell ref="B267:B280"/>
    <mergeCell ref="B282:B295"/>
    <mergeCell ref="C221:D221"/>
    <mergeCell ref="C225:D225"/>
    <mergeCell ref="B113:B115"/>
    <mergeCell ref="B118:B122"/>
    <mergeCell ref="B123:B125"/>
    <mergeCell ref="B126:B127"/>
    <mergeCell ref="B128:B131"/>
    <mergeCell ref="B219:V219"/>
    <mergeCell ref="B98:B101"/>
    <mergeCell ref="CB98:CB101"/>
    <mergeCell ref="D106:F106"/>
    <mergeCell ref="B107:C107"/>
    <mergeCell ref="B109:B110"/>
    <mergeCell ref="B111:B112"/>
    <mergeCell ref="B88:B92"/>
    <mergeCell ref="CB88:CB92"/>
    <mergeCell ref="B93:B95"/>
    <mergeCell ref="CB93:CB95"/>
    <mergeCell ref="B96:B97"/>
    <mergeCell ref="CB96:CB97"/>
    <mergeCell ref="B79:B80"/>
    <mergeCell ref="CB79:CB80"/>
    <mergeCell ref="B81:B82"/>
    <mergeCell ref="CB81:CB82"/>
    <mergeCell ref="B83:B85"/>
    <mergeCell ref="CB83:CB85"/>
    <mergeCell ref="CD53:CO53"/>
    <mergeCell ref="CP53:DA53"/>
    <mergeCell ref="DB53:DM53"/>
    <mergeCell ref="B65:C65"/>
    <mergeCell ref="D76:F76"/>
    <mergeCell ref="B77:C77"/>
    <mergeCell ref="CB77:CC77"/>
    <mergeCell ref="B36:B40"/>
    <mergeCell ref="B41:B43"/>
    <mergeCell ref="B44:B45"/>
    <mergeCell ref="B46:B49"/>
    <mergeCell ref="B27:B28"/>
    <mergeCell ref="B29:B30"/>
    <mergeCell ref="B31:B33"/>
    <mergeCell ref="AS23:AS24"/>
    <mergeCell ref="AT23:AT24"/>
    <mergeCell ref="AU23:AU24"/>
    <mergeCell ref="AW23:AW24"/>
    <mergeCell ref="AX23:AX24"/>
    <mergeCell ref="B24:C24"/>
    <mergeCell ref="B2:Z2"/>
    <mergeCell ref="B6:I6"/>
    <mergeCell ref="J6:M6"/>
    <mergeCell ref="G10:Z10"/>
    <mergeCell ref="G11:R11"/>
    <mergeCell ref="S11:AD11"/>
    <mergeCell ref="AY23:AY24"/>
    <mergeCell ref="D23:D24"/>
    <mergeCell ref="F23:F24"/>
    <mergeCell ref="AE11:AP11"/>
    <mergeCell ref="B14:B16"/>
    <mergeCell ref="C14:F14"/>
    <mergeCell ref="C16:Z16"/>
    <mergeCell ref="B18:I18"/>
    <mergeCell ref="D22:F22"/>
    <mergeCell ref="AS11:AS13"/>
    <mergeCell ref="AT11:AT13"/>
    <mergeCell ref="AU11:AU13"/>
    <mergeCell ref="AW11:AW12"/>
    <mergeCell ref="AX11:AX12"/>
    <mergeCell ref="AY11:AY12"/>
  </mergeCells>
  <conditionalFormatting sqref="G14:AD14">
    <cfRule type="cellIs" dxfId="18" priority="15" operator="equal">
      <formula>""</formula>
    </cfRule>
    <cfRule type="cellIs" dxfId="17" priority="16" operator="greaterThanOrEqual">
      <formula>0.8</formula>
    </cfRule>
    <cfRule type="cellIs" dxfId="16" priority="17" operator="between">
      <formula>0.599</formula>
      <formula>0.7999</formula>
    </cfRule>
    <cfRule type="cellIs" dxfId="15" priority="18" operator="lessThan">
      <formula>0.5999</formula>
    </cfRule>
  </conditionalFormatting>
  <conditionalFormatting sqref="G14:AD14">
    <cfRule type="cellIs" dxfId="14" priority="11" operator="equal">
      <formula>""</formula>
    </cfRule>
    <cfRule type="cellIs" dxfId="13" priority="12" operator="greaterThanOrEqual">
      <formula>0.8</formula>
    </cfRule>
    <cfRule type="cellIs" dxfId="12" priority="13" operator="between">
      <formula>0.599</formula>
      <formula>0.7999</formula>
    </cfRule>
    <cfRule type="cellIs" dxfId="11" priority="14" operator="lessThan">
      <formula>0.5999</formula>
    </cfRule>
  </conditionalFormatting>
  <conditionalFormatting sqref="G14:AD14">
    <cfRule type="expression" dxfId="10" priority="10">
      <formula>G$12=""</formula>
    </cfRule>
  </conditionalFormatting>
  <conditionalFormatting sqref="AE14:AP14">
    <cfRule type="cellIs" dxfId="9" priority="6" operator="equal">
      <formula>""</formula>
    </cfRule>
    <cfRule type="cellIs" dxfId="8" priority="7" operator="greaterThanOrEqual">
      <formula>0.8</formula>
    </cfRule>
    <cfRule type="cellIs" dxfId="7" priority="8" operator="between">
      <formula>0.599</formula>
      <formula>0.7999</formula>
    </cfRule>
    <cfRule type="cellIs" dxfId="6" priority="9" operator="lessThan">
      <formula>0.5999</formula>
    </cfRule>
  </conditionalFormatting>
  <conditionalFormatting sqref="AE14:AP14">
    <cfRule type="cellIs" dxfId="5" priority="2" operator="equal">
      <formula>""</formula>
    </cfRule>
    <cfRule type="cellIs" dxfId="4" priority="3" operator="greaterThanOrEqual">
      <formula>0.8</formula>
    </cfRule>
    <cfRule type="cellIs" dxfId="3" priority="4" operator="between">
      <formula>0.599</formula>
      <formula>0.7999</formula>
    </cfRule>
    <cfRule type="cellIs" dxfId="2" priority="5" operator="lessThan">
      <formula>0.5999</formula>
    </cfRule>
  </conditionalFormatting>
  <conditionalFormatting sqref="AE14:AP14">
    <cfRule type="expression" dxfId="1" priority="1">
      <formula>AE$12=""</formula>
    </cfRule>
  </conditionalFormatting>
  <dataValidations count="1">
    <dataValidation type="list" allowBlank="1" showInputMessage="1" showErrorMessage="1" sqref="J6:M6" xr:uid="{36C5AD97-197C-4505-BC7E-F3E787434784}">
      <formula1>DataTypes</formula1>
    </dataValidation>
  </dataValidations>
  <pageMargins left="0.7" right="0.7" top="0.75" bottom="0.75" header="0.3" footer="0.3"/>
  <pageSetup orientation="portrait" r:id="rId1"/>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86614-524E-4E9C-A8DE-177DE608A6DB}">
  <sheetPr codeName="Sheet27">
    <tabColor theme="2"/>
  </sheetPr>
  <dimension ref="A1:BO199"/>
  <sheetViews>
    <sheetView showGridLines="0" topLeftCell="A6" zoomScale="70" zoomScaleNormal="70" workbookViewId="0">
      <selection activeCell="T174" sqref="T174"/>
    </sheetView>
  </sheetViews>
  <sheetFormatPr defaultRowHeight="15" outlineLevelRow="1" x14ac:dyDescent="0.25"/>
  <cols>
    <col min="1" max="1" width="1.7109375" customWidth="1"/>
    <col min="2" max="2" width="27.28515625" customWidth="1"/>
    <col min="3" max="3" width="32.28515625" customWidth="1"/>
    <col min="4" max="37" width="12.28515625" customWidth="1"/>
    <col min="41" max="41" width="10.28515625" bestFit="1" customWidth="1"/>
    <col min="42" max="42" width="12.28515625" bestFit="1" customWidth="1"/>
    <col min="47" max="48" width="0" hidden="1" customWidth="1"/>
    <col min="49" max="49" width="0" style="739" hidden="1" customWidth="1"/>
    <col min="50" max="50" width="0" hidden="1" customWidth="1"/>
    <col min="51" max="51" width="0" style="1298" hidden="1" customWidth="1"/>
    <col min="52" max="52" width="0" hidden="1" customWidth="1"/>
  </cols>
  <sheetData>
    <row r="1" spans="1:67" ht="34.5" customHeight="1" x14ac:dyDescent="0.25">
      <c r="B1" s="1649" t="str">
        <f>IF(Language="English", AW4, AY4)&amp;'Monthly Data Input'!$J$6</f>
        <v>Examen des données mensuelles vs annuelles :</v>
      </c>
      <c r="C1" s="1649"/>
      <c r="D1" s="1649"/>
      <c r="E1" s="1649"/>
      <c r="F1" s="1649"/>
      <c r="G1" s="1649"/>
      <c r="H1" s="1649"/>
      <c r="I1" s="1649"/>
      <c r="J1" s="1649"/>
      <c r="K1" s="1649"/>
      <c r="L1" s="1649"/>
      <c r="M1" s="1649"/>
      <c r="N1" s="1649"/>
      <c r="O1" s="1649"/>
      <c r="P1" s="1649"/>
      <c r="Q1" s="1649"/>
      <c r="R1" s="1649">
        <f>COUNT(M15:M33)</f>
        <v>0</v>
      </c>
      <c r="S1" s="1649"/>
      <c r="T1" s="1649"/>
      <c r="U1" s="1649"/>
      <c r="V1" s="1649"/>
      <c r="W1" s="287"/>
      <c r="X1" s="287"/>
      <c r="AW1" s="447" t="s">
        <v>628</v>
      </c>
      <c r="AX1" s="449" t="s">
        <v>656</v>
      </c>
      <c r="AY1" s="481" t="s">
        <v>740</v>
      </c>
      <c r="BO1" s="180"/>
    </row>
    <row r="2" spans="1:67" ht="7.5" hidden="1" customHeight="1" x14ac:dyDescent="0.25">
      <c r="A2" s="19"/>
      <c r="AW2" s="447"/>
      <c r="AX2" s="449"/>
      <c r="AY2" s="481"/>
    </row>
    <row r="3" spans="1:67" ht="7.5" customHeight="1" x14ac:dyDescent="0.25">
      <c r="AW3" s="447"/>
      <c r="AX3" s="449"/>
      <c r="AY3" s="481"/>
    </row>
    <row r="4" spans="1:67" ht="29.25" customHeight="1" x14ac:dyDescent="0.45">
      <c r="B4" s="375" t="str">
        <f>IF('2. Pop_Prev Set Up'!$W$2="Yes", '2. Pop_Prev Set Up'!$W$1&amp;" : "&amp;'2. Pop_Prev Set Up'!$W$3, '2. Pop_Prev Set Up'!$W$1&amp;" : "&amp;"National")</f>
        <v>0 : National</v>
      </c>
      <c r="C4" s="189"/>
      <c r="D4" s="189"/>
      <c r="E4" s="189"/>
      <c r="F4" s="189"/>
      <c r="G4" s="189"/>
      <c r="H4" s="189"/>
      <c r="I4" s="189"/>
      <c r="J4" s="189"/>
      <c r="K4" s="189"/>
      <c r="L4" s="189"/>
      <c r="M4" s="189"/>
      <c r="N4" s="189"/>
      <c r="O4" s="189"/>
      <c r="P4" s="189"/>
      <c r="Q4" s="189"/>
      <c r="R4" s="189"/>
      <c r="S4" s="189"/>
      <c r="T4" s="189"/>
      <c r="U4" s="189"/>
      <c r="V4" s="189"/>
      <c r="W4" s="189"/>
      <c r="X4" s="189"/>
      <c r="Y4" s="1060" t="s">
        <v>1293</v>
      </c>
      <c r="AW4" s="447" t="s">
        <v>2445</v>
      </c>
      <c r="AX4" s="449"/>
      <c r="AY4" s="481" t="s">
        <v>2446</v>
      </c>
    </row>
    <row r="5" spans="1:67" ht="16.149999999999999" customHeight="1" x14ac:dyDescent="0.3">
      <c r="B5" s="376" t="str">
        <f>'3. ServiceStats Set Up'!B8&amp;" : "&amp; '3. ServiceStats Set Up'!C8</f>
        <v>Population : All Women</v>
      </c>
      <c r="C5" s="190"/>
      <c r="D5" s="190"/>
      <c r="E5" s="190"/>
      <c r="F5" s="190"/>
      <c r="G5" s="190"/>
      <c r="H5" s="190"/>
      <c r="I5" s="190"/>
      <c r="J5" s="190"/>
      <c r="K5" s="190"/>
      <c r="L5" s="190"/>
      <c r="M5" s="190"/>
      <c r="N5" s="190"/>
      <c r="O5" s="190"/>
      <c r="P5" s="190"/>
      <c r="Q5" s="190"/>
      <c r="R5" s="190"/>
      <c r="S5" s="190"/>
      <c r="T5" s="190"/>
      <c r="U5" s="190"/>
      <c r="V5" s="190"/>
      <c r="W5" s="190"/>
      <c r="X5" s="190"/>
      <c r="AW5" s="447"/>
      <c r="AX5" s="449"/>
      <c r="AY5" s="481"/>
    </row>
    <row r="6" spans="1:67" ht="27.6" customHeight="1" x14ac:dyDescent="0.3">
      <c r="B6" s="1700" t="str">
        <f>IF(Language="English", AW6, AY6)</f>
        <v>Type de données comparé :</v>
      </c>
      <c r="C6" s="1700"/>
      <c r="D6" s="1700" t="s">
        <v>2465</v>
      </c>
      <c r="E6" s="1700"/>
      <c r="F6" s="1700"/>
      <c r="G6" s="244"/>
      <c r="H6" s="244"/>
      <c r="I6" s="244"/>
      <c r="J6" s="244"/>
      <c r="K6" s="244"/>
      <c r="L6" s="244"/>
      <c r="M6" s="244"/>
      <c r="N6" s="244"/>
      <c r="O6" s="244"/>
      <c r="P6" s="244"/>
      <c r="Q6" s="244"/>
      <c r="R6" s="244"/>
      <c r="S6" s="244"/>
      <c r="T6" s="244"/>
      <c r="U6" s="244"/>
      <c r="V6" s="244"/>
      <c r="W6" s="244"/>
      <c r="X6" s="244"/>
      <c r="AW6" s="739" t="s">
        <v>2447</v>
      </c>
      <c r="AY6" s="1298" t="s">
        <v>2448</v>
      </c>
    </row>
    <row r="7" spans="1:67" ht="21" customHeight="1" x14ac:dyDescent="0.4">
      <c r="B7" s="1701">
        <f>'Monthly Data Input'!J6</f>
        <v>0</v>
      </c>
      <c r="C7" s="1701"/>
      <c r="D7" s="1702" t="e">
        <f>IF('Monthly Data Input'!$BQ$6=4, 'Monthly Data Input'!$BR$51, IF(Language="English",'Language Look Ups'!O30,'Language Look Ups'!S30))</f>
        <v>#N/A</v>
      </c>
      <c r="E7" s="1702"/>
      <c r="F7" s="1702"/>
    </row>
    <row r="8" spans="1:67" ht="8.4499999999999993" customHeight="1" x14ac:dyDescent="0.25">
      <c r="B8" s="1059"/>
    </row>
    <row r="9" spans="1:67" ht="39.6" customHeight="1" thickBot="1" x14ac:dyDescent="0.5">
      <c r="B9" s="1699" t="str">
        <f>IF(Language="English", AW9, AY9)</f>
        <v>CAP mensuels (si les données sur les produits ou les visites sont saisies) ou UTILISATRICES (si les données sur les utilisatrices sont saisies)</v>
      </c>
      <c r="C9" s="1699"/>
      <c r="D9" s="1699"/>
      <c r="E9" s="1699"/>
      <c r="F9" s="1699"/>
      <c r="G9" s="1699"/>
      <c r="H9" s="1699"/>
      <c r="I9" s="1699"/>
      <c r="J9" s="1699"/>
      <c r="K9" s="1699"/>
      <c r="L9" s="1699"/>
      <c r="M9" s="1699"/>
      <c r="N9" s="1699"/>
      <c r="O9" s="1699"/>
      <c r="P9" s="1699"/>
      <c r="Q9" s="1699"/>
      <c r="R9" s="1699"/>
      <c r="S9" s="1699"/>
      <c r="T9" s="1699"/>
      <c r="U9" s="1699"/>
      <c r="V9" s="1699"/>
      <c r="W9" s="1699"/>
      <c r="X9" s="1699"/>
      <c r="Y9" s="1699"/>
      <c r="Z9" s="1699"/>
      <c r="AA9" s="1699"/>
      <c r="AB9" s="1291"/>
      <c r="AC9" s="1291"/>
      <c r="AD9" s="1291"/>
      <c r="AE9" s="1291"/>
      <c r="AF9" s="1291"/>
      <c r="AG9" s="1291"/>
      <c r="AH9" s="1291"/>
      <c r="AI9" s="1291"/>
      <c r="AJ9" s="1291"/>
      <c r="AK9" s="1291"/>
      <c r="AW9" s="739" t="s">
        <v>2078</v>
      </c>
      <c r="AY9" s="1298" t="s">
        <v>2449</v>
      </c>
    </row>
    <row r="10" spans="1:67" ht="13.15" customHeight="1" thickTop="1" thickBot="1" x14ac:dyDescent="0.4">
      <c r="B10" s="1229"/>
      <c r="C10" s="1229"/>
      <c r="D10" s="1229"/>
      <c r="E10" s="1229"/>
      <c r="F10" s="1229"/>
      <c r="G10" s="1229"/>
      <c r="H10" s="1229"/>
      <c r="I10" s="1229"/>
      <c r="J10" s="1229"/>
      <c r="K10" s="1229"/>
      <c r="L10" s="1229"/>
      <c r="M10" s="1229"/>
      <c r="N10" s="1229"/>
      <c r="O10" s="1229"/>
      <c r="P10" s="1229"/>
      <c r="Q10" s="1229"/>
      <c r="R10" s="1229"/>
      <c r="S10" s="1229"/>
      <c r="T10" s="1229"/>
      <c r="U10" s="1229"/>
      <c r="V10" s="1229"/>
      <c r="W10" s="1229"/>
      <c r="X10" s="1229"/>
      <c r="Y10" s="1229"/>
      <c r="Z10" s="1229"/>
      <c r="AA10" s="1229"/>
      <c r="AB10" s="1229"/>
      <c r="AC10" s="1229"/>
      <c r="AD10" s="1229"/>
      <c r="AE10" s="1229"/>
      <c r="AF10" s="1229"/>
      <c r="AG10" s="1229"/>
      <c r="AH10" s="1229"/>
      <c r="AI10" s="1229"/>
      <c r="AJ10" s="1229"/>
      <c r="AK10" s="1229"/>
    </row>
    <row r="11" spans="1:67" ht="15.75" x14ac:dyDescent="0.25">
      <c r="D11" s="1125">
        <f>'Monthly Data Input'!CD23</f>
        <v>2019</v>
      </c>
      <c r="E11" s="1125">
        <f>'Monthly Data Input'!CE23</f>
        <v>2019</v>
      </c>
      <c r="F11" s="1125">
        <f>'Monthly Data Input'!CF23</f>
        <v>2019</v>
      </c>
      <c r="G11" s="1125">
        <f>'Monthly Data Input'!CG23</f>
        <v>2019</v>
      </c>
      <c r="H11" s="1125">
        <f>'Monthly Data Input'!CH23</f>
        <v>2019</v>
      </c>
      <c r="I11" s="1125">
        <f>'Monthly Data Input'!CI23</f>
        <v>2019</v>
      </c>
      <c r="J11" s="1125">
        <f>'Monthly Data Input'!CJ23</f>
        <v>2019</v>
      </c>
      <c r="K11" s="1125">
        <f>'Monthly Data Input'!CK23</f>
        <v>2019</v>
      </c>
      <c r="L11" s="1125">
        <f>'Monthly Data Input'!CL23</f>
        <v>2019</v>
      </c>
      <c r="M11" s="1125">
        <f>'Monthly Data Input'!CM23</f>
        <v>2019</v>
      </c>
      <c r="N11" s="1125">
        <f>'Monthly Data Input'!CN23</f>
        <v>2019</v>
      </c>
      <c r="O11" s="1125">
        <f>'Monthly Data Input'!CO23</f>
        <v>2019</v>
      </c>
      <c r="P11" s="1125">
        <f>'Monthly Data Input'!CP23</f>
        <v>2020</v>
      </c>
      <c r="Q11" s="1125">
        <f>'Monthly Data Input'!CQ23</f>
        <v>2020</v>
      </c>
      <c r="R11" s="1125">
        <f>'Monthly Data Input'!CR23</f>
        <v>2020</v>
      </c>
      <c r="S11" s="1125">
        <f>'Monthly Data Input'!CS23</f>
        <v>2020</v>
      </c>
      <c r="T11" s="1125">
        <f>'Monthly Data Input'!CT23</f>
        <v>2020</v>
      </c>
      <c r="U11" s="1125">
        <f>'Monthly Data Input'!CU23</f>
        <v>2020</v>
      </c>
      <c r="V11" s="1125">
        <f>'Monthly Data Input'!CV23</f>
        <v>2020</v>
      </c>
      <c r="W11" s="1125">
        <f>'Monthly Data Input'!CW23</f>
        <v>2020</v>
      </c>
      <c r="X11" s="1125">
        <f>'Monthly Data Input'!CX23</f>
        <v>2020</v>
      </c>
      <c r="Y11" s="1125">
        <f>'Monthly Data Input'!CY23</f>
        <v>2020</v>
      </c>
      <c r="Z11" s="1125">
        <f>'Monthly Data Input'!CZ23</f>
        <v>2020</v>
      </c>
      <c r="AA11" s="1125">
        <f>'Monthly Data Input'!DA23</f>
        <v>2020</v>
      </c>
      <c r="AB11" s="1125">
        <f>'Monthly Data Input'!DB23</f>
        <v>2021</v>
      </c>
      <c r="AC11" s="1125">
        <f>'Monthly Data Input'!DC23</f>
        <v>2021</v>
      </c>
      <c r="AD11" s="1125">
        <f>'Monthly Data Input'!DD23</f>
        <v>2021</v>
      </c>
      <c r="AE11" s="1125">
        <f>'Monthly Data Input'!DE23</f>
        <v>2021</v>
      </c>
      <c r="AF11" s="1125">
        <f>'Monthly Data Input'!DF23</f>
        <v>2021</v>
      </c>
      <c r="AG11" s="1125">
        <f>'Monthly Data Input'!DG23</f>
        <v>2021</v>
      </c>
      <c r="AH11" s="1125">
        <f>'Monthly Data Input'!DH23</f>
        <v>2021</v>
      </c>
      <c r="AI11" s="1125">
        <f>'Monthly Data Input'!DI23</f>
        <v>2021</v>
      </c>
      <c r="AJ11" s="1125">
        <f>'Monthly Data Input'!DJ23</f>
        <v>2021</v>
      </c>
      <c r="AK11" s="1125">
        <f>'Monthly Data Input'!DK23</f>
        <v>2021</v>
      </c>
      <c r="AL11" s="1125">
        <f>'Monthly Data Input'!DL23</f>
        <v>2021</v>
      </c>
      <c r="AM11" s="1125">
        <f>'Monthly Data Input'!DM23</f>
        <v>2021</v>
      </c>
      <c r="AW11" s="475" t="s">
        <v>993</v>
      </c>
      <c r="AX11" s="478"/>
      <c r="AY11" s="482" t="s">
        <v>1082</v>
      </c>
    </row>
    <row r="12" spans="1:67" ht="15.75" thickBot="1" x14ac:dyDescent="0.3">
      <c r="D12" s="1166" t="str">
        <f>'Monthly Data Input'!CD24</f>
        <v>Jan</v>
      </c>
      <c r="E12" s="1166" t="str">
        <f>'Monthly Data Input'!CE24</f>
        <v>Feb</v>
      </c>
      <c r="F12" s="1166" t="str">
        <f>'Monthly Data Input'!CF24</f>
        <v>Mar</v>
      </c>
      <c r="G12" s="1166" t="str">
        <f>'Monthly Data Input'!CG24</f>
        <v>Apr</v>
      </c>
      <c r="H12" s="1166" t="str">
        <f>'Monthly Data Input'!CH24</f>
        <v>May</v>
      </c>
      <c r="I12" s="1166" t="str">
        <f>'Monthly Data Input'!CI24</f>
        <v>Jun</v>
      </c>
      <c r="J12" s="1166" t="str">
        <f>'Monthly Data Input'!CJ24</f>
        <v>Jul</v>
      </c>
      <c r="K12" s="1166" t="str">
        <f>'Monthly Data Input'!CK24</f>
        <v>Aug</v>
      </c>
      <c r="L12" s="1166" t="str">
        <f>'Monthly Data Input'!CL24</f>
        <v>Sep</v>
      </c>
      <c r="M12" s="1166" t="str">
        <f>'Monthly Data Input'!CM24</f>
        <v>Oct</v>
      </c>
      <c r="N12" s="1166" t="str">
        <f>'Monthly Data Input'!CN24</f>
        <v>Nov</v>
      </c>
      <c r="O12" s="1166" t="str">
        <f>'Monthly Data Input'!CO24</f>
        <v>Dec</v>
      </c>
      <c r="P12" s="1166" t="str">
        <f>'Monthly Data Input'!CP24</f>
        <v>Jan</v>
      </c>
      <c r="Q12" s="1166" t="str">
        <f>'Monthly Data Input'!CQ24</f>
        <v>Feb</v>
      </c>
      <c r="R12" s="1166" t="str">
        <f>'Monthly Data Input'!CR24</f>
        <v>Mar</v>
      </c>
      <c r="S12" s="1166" t="str">
        <f>'Monthly Data Input'!CS24</f>
        <v>Apr</v>
      </c>
      <c r="T12" s="1166" t="str">
        <f>'Monthly Data Input'!CT24</f>
        <v>May</v>
      </c>
      <c r="U12" s="1166" t="str">
        <f>'Monthly Data Input'!CU24</f>
        <v>Jun</v>
      </c>
      <c r="V12" s="1166" t="str">
        <f>'Monthly Data Input'!CV24</f>
        <v>Jul</v>
      </c>
      <c r="W12" s="1166" t="str">
        <f>'Monthly Data Input'!CW24</f>
        <v>Aug</v>
      </c>
      <c r="X12" s="1166" t="str">
        <f>'Monthly Data Input'!CX24</f>
        <v>Sep</v>
      </c>
      <c r="Y12" s="1166" t="str">
        <f>'Monthly Data Input'!CY24</f>
        <v>Oct</v>
      </c>
      <c r="Z12" s="1166" t="str">
        <f>'Monthly Data Input'!CZ24</f>
        <v>Nov</v>
      </c>
      <c r="AA12" s="1166" t="str">
        <f>'Monthly Data Input'!DA24</f>
        <v>Dec</v>
      </c>
      <c r="AB12" s="1166" t="str">
        <f>'Monthly Data Input'!DB24</f>
        <v>Jan</v>
      </c>
      <c r="AC12" s="1166" t="str">
        <f>'Monthly Data Input'!DC24</f>
        <v>Feb</v>
      </c>
      <c r="AD12" s="1166" t="str">
        <f>'Monthly Data Input'!DD24</f>
        <v>Mar</v>
      </c>
      <c r="AE12" s="1166" t="str">
        <f>'Monthly Data Input'!DE24</f>
        <v>Apr</v>
      </c>
      <c r="AF12" s="1166" t="str">
        <f>'Monthly Data Input'!DF24</f>
        <v>May</v>
      </c>
      <c r="AG12" s="1166" t="str">
        <f>'Monthly Data Input'!DG24</f>
        <v>Jun</v>
      </c>
      <c r="AH12" s="1166" t="str">
        <f>'Monthly Data Input'!DH24</f>
        <v>Jul</v>
      </c>
      <c r="AI12" s="1166" t="str">
        <f>'Monthly Data Input'!DI24</f>
        <v>Aug</v>
      </c>
      <c r="AJ12" s="1166" t="str">
        <f>'Monthly Data Input'!DJ24</f>
        <v>Sep</v>
      </c>
      <c r="AK12" s="1166" t="str">
        <f>'Monthly Data Input'!DK24</f>
        <v>Oct</v>
      </c>
      <c r="AL12" s="1166" t="str">
        <f>'Monthly Data Input'!DL24</f>
        <v>Nov</v>
      </c>
      <c r="AM12" s="1166" t="str">
        <f>'Monthly Data Input'!DM24</f>
        <v>Dec</v>
      </c>
    </row>
    <row r="13" spans="1:67" ht="19.5" hidden="1" outlineLevel="1" thickBot="1" x14ac:dyDescent="0.3">
      <c r="C13" s="401"/>
      <c r="D13" s="1126" t="str">
        <f>D12&amp;D11</f>
        <v>Jan2019</v>
      </c>
      <c r="E13" s="1126" t="str">
        <f t="shared" ref="E13:AM13" si="0">E12&amp;E11</f>
        <v>Feb2019</v>
      </c>
      <c r="F13" s="1126" t="str">
        <f t="shared" si="0"/>
        <v>Mar2019</v>
      </c>
      <c r="G13" s="1126" t="str">
        <f t="shared" si="0"/>
        <v>Apr2019</v>
      </c>
      <c r="H13" s="1126" t="str">
        <f t="shared" si="0"/>
        <v>May2019</v>
      </c>
      <c r="I13" s="1126" t="str">
        <f t="shared" si="0"/>
        <v>Jun2019</v>
      </c>
      <c r="J13" s="1126" t="str">
        <f t="shared" si="0"/>
        <v>Jul2019</v>
      </c>
      <c r="K13" s="1126" t="str">
        <f t="shared" si="0"/>
        <v>Aug2019</v>
      </c>
      <c r="L13" s="1126" t="str">
        <f t="shared" si="0"/>
        <v>Sep2019</v>
      </c>
      <c r="M13" s="1126" t="str">
        <f t="shared" si="0"/>
        <v>Oct2019</v>
      </c>
      <c r="N13" s="1126" t="str">
        <f t="shared" si="0"/>
        <v>Nov2019</v>
      </c>
      <c r="O13" s="1126" t="str">
        <f t="shared" si="0"/>
        <v>Dec2019</v>
      </c>
      <c r="P13" s="1126" t="str">
        <f t="shared" si="0"/>
        <v>Jan2020</v>
      </c>
      <c r="Q13" s="1126" t="str">
        <f t="shared" si="0"/>
        <v>Feb2020</v>
      </c>
      <c r="R13" s="1126" t="str">
        <f t="shared" si="0"/>
        <v>Mar2020</v>
      </c>
      <c r="S13" s="1126" t="str">
        <f t="shared" si="0"/>
        <v>Apr2020</v>
      </c>
      <c r="T13" s="1126" t="str">
        <f t="shared" si="0"/>
        <v>May2020</v>
      </c>
      <c r="U13" s="1126" t="str">
        <f t="shared" si="0"/>
        <v>Jun2020</v>
      </c>
      <c r="V13" s="1126" t="str">
        <f t="shared" si="0"/>
        <v>Jul2020</v>
      </c>
      <c r="W13" s="1126" t="str">
        <f t="shared" si="0"/>
        <v>Aug2020</v>
      </c>
      <c r="X13" s="1126" t="str">
        <f t="shared" si="0"/>
        <v>Sep2020</v>
      </c>
      <c r="Y13" s="1126" t="str">
        <f t="shared" si="0"/>
        <v>Oct2020</v>
      </c>
      <c r="Z13" s="1126" t="str">
        <f t="shared" si="0"/>
        <v>Nov2020</v>
      </c>
      <c r="AA13" s="1126" t="str">
        <f t="shared" si="0"/>
        <v>Dec2020</v>
      </c>
      <c r="AB13" s="1126" t="str">
        <f t="shared" si="0"/>
        <v>Jan2021</v>
      </c>
      <c r="AC13" s="1126" t="str">
        <f t="shared" si="0"/>
        <v>Feb2021</v>
      </c>
      <c r="AD13" s="1126" t="str">
        <f t="shared" si="0"/>
        <v>Mar2021</v>
      </c>
      <c r="AE13" s="1126" t="str">
        <f t="shared" si="0"/>
        <v>Apr2021</v>
      </c>
      <c r="AF13" s="1126" t="str">
        <f t="shared" si="0"/>
        <v>May2021</v>
      </c>
      <c r="AG13" s="1126" t="str">
        <f t="shared" si="0"/>
        <v>Jun2021</v>
      </c>
      <c r="AH13" s="1126" t="str">
        <f t="shared" si="0"/>
        <v>Jul2021</v>
      </c>
      <c r="AI13" s="1126" t="str">
        <f t="shared" si="0"/>
        <v>Aug2021</v>
      </c>
      <c r="AJ13" s="1126" t="str">
        <f t="shared" si="0"/>
        <v>Sep2021</v>
      </c>
      <c r="AK13" s="1126" t="str">
        <f t="shared" si="0"/>
        <v>Oct2021</v>
      </c>
      <c r="AL13" s="1126" t="str">
        <f t="shared" si="0"/>
        <v>Nov2021</v>
      </c>
      <c r="AM13" s="1126" t="str">
        <f t="shared" si="0"/>
        <v>Dec2021</v>
      </c>
    </row>
    <row r="14" spans="1:67" ht="18.75" hidden="1" outlineLevel="1" x14ac:dyDescent="0.25">
      <c r="B14" s="415" t="str">
        <f>IF(Language="English", 'Language Look Ups'!$O$5,IF(Language="Francais", 'Language Look Ups'!$S$5,  'Language Look Ups'!$Q$5))</f>
        <v>Méthodes à Long Terme et Permanentes</v>
      </c>
      <c r="C14" s="104"/>
      <c r="D14" s="158"/>
      <c r="E14" s="158"/>
      <c r="F14" s="158"/>
      <c r="G14" s="158"/>
      <c r="H14" s="158"/>
      <c r="I14" s="158"/>
      <c r="J14" s="158"/>
      <c r="K14" s="158"/>
      <c r="L14" s="158"/>
      <c r="M14" s="158"/>
      <c r="N14" s="158"/>
      <c r="O14" s="158"/>
      <c r="P14" s="158"/>
      <c r="Q14" s="158"/>
      <c r="R14" s="158"/>
      <c r="S14" s="158"/>
      <c r="T14" s="158"/>
      <c r="U14" s="158"/>
      <c r="V14" s="158"/>
      <c r="W14" s="158"/>
      <c r="X14" s="158"/>
      <c r="Y14" s="158"/>
      <c r="Z14" s="158"/>
      <c r="AA14" s="158"/>
      <c r="AB14" s="158"/>
      <c r="AC14" s="158"/>
      <c r="AD14" s="158"/>
      <c r="AE14" s="158"/>
      <c r="AF14" s="158"/>
      <c r="AG14" s="158"/>
      <c r="AH14" s="158"/>
      <c r="AI14" s="158"/>
      <c r="AJ14" s="158"/>
      <c r="AK14" s="158"/>
      <c r="AL14" s="158"/>
      <c r="AM14" s="158"/>
    </row>
    <row r="15" spans="1:67" hidden="1" outlineLevel="1" x14ac:dyDescent="0.25">
      <c r="B15" s="1480" t="str">
        <f>IF(Language="English",'Language Look Ups'!$O$6,IF(Language="Francais",'Language Look Ups'!$S$6,'Language Look Ups'!$Q$6))</f>
        <v>Stérilisation</v>
      </c>
      <c r="C15" s="363" t="str">
        <f>IF(Language="English", 'Language Look Ups'!$P$6,IF(Language="Francais", 'Language Look Ups'!$T$6, 'Language Look Ups'!$R$6))</f>
        <v>Ligature des trompes</v>
      </c>
      <c r="D15" s="664" t="e">
        <f>'Monthly Data Input'!CD27</f>
        <v>#N/A</v>
      </c>
      <c r="E15" s="664" t="e">
        <f>'Monthly Data Input'!CE27</f>
        <v>#N/A</v>
      </c>
      <c r="F15" s="664" t="e">
        <f>'Monthly Data Input'!CF27</f>
        <v>#N/A</v>
      </c>
      <c r="G15" s="664" t="e">
        <f>'Monthly Data Input'!CG27</f>
        <v>#N/A</v>
      </c>
      <c r="H15" s="664" t="e">
        <f>'Monthly Data Input'!CH27</f>
        <v>#N/A</v>
      </c>
      <c r="I15" s="664" t="e">
        <f>'Monthly Data Input'!CI27</f>
        <v>#N/A</v>
      </c>
      <c r="J15" s="664" t="e">
        <f>'Monthly Data Input'!CJ27</f>
        <v>#N/A</v>
      </c>
      <c r="K15" s="664" t="e">
        <f>'Monthly Data Input'!CK27</f>
        <v>#N/A</v>
      </c>
      <c r="L15" s="664" t="e">
        <f>'Monthly Data Input'!CL27</f>
        <v>#N/A</v>
      </c>
      <c r="M15" s="664" t="e">
        <f>'Monthly Data Input'!CM27</f>
        <v>#N/A</v>
      </c>
      <c r="N15" s="664" t="e">
        <f>'Monthly Data Input'!CN27</f>
        <v>#N/A</v>
      </c>
      <c r="O15" s="664" t="e">
        <f>'Monthly Data Input'!CO27</f>
        <v>#N/A</v>
      </c>
      <c r="P15" s="664" t="e">
        <f>'Monthly Data Input'!CP27</f>
        <v>#N/A</v>
      </c>
      <c r="Q15" s="664" t="e">
        <f>'Monthly Data Input'!CQ27</f>
        <v>#N/A</v>
      </c>
      <c r="R15" s="664" t="e">
        <f>'Monthly Data Input'!CR27</f>
        <v>#N/A</v>
      </c>
      <c r="S15" s="664" t="e">
        <f>'Monthly Data Input'!CS27</f>
        <v>#N/A</v>
      </c>
      <c r="T15" s="664" t="e">
        <f>'Monthly Data Input'!CT27</f>
        <v>#N/A</v>
      </c>
      <c r="U15" s="664" t="e">
        <f>'Monthly Data Input'!CU27</f>
        <v>#N/A</v>
      </c>
      <c r="V15" s="664" t="e">
        <f>'Monthly Data Input'!CV27</f>
        <v>#N/A</v>
      </c>
      <c r="W15" s="664" t="e">
        <f>'Monthly Data Input'!CW27</f>
        <v>#N/A</v>
      </c>
      <c r="X15" s="664" t="e">
        <f>'Monthly Data Input'!CX27</f>
        <v>#N/A</v>
      </c>
      <c r="Y15" s="664" t="e">
        <f>'Monthly Data Input'!CY27</f>
        <v>#N/A</v>
      </c>
      <c r="Z15" s="664" t="e">
        <f>'Monthly Data Input'!CZ27</f>
        <v>#N/A</v>
      </c>
      <c r="AA15" s="664" t="e">
        <f>'Monthly Data Input'!DA27</f>
        <v>#N/A</v>
      </c>
      <c r="AB15" s="664" t="e">
        <f>'Monthly Data Input'!DB27</f>
        <v>#N/A</v>
      </c>
      <c r="AC15" s="664" t="e">
        <f>'Monthly Data Input'!DC27</f>
        <v>#N/A</v>
      </c>
      <c r="AD15" s="664" t="e">
        <f>'Monthly Data Input'!DD27</f>
        <v>#N/A</v>
      </c>
      <c r="AE15" s="664" t="e">
        <f>'Monthly Data Input'!DE27</f>
        <v>#N/A</v>
      </c>
      <c r="AF15" s="664" t="e">
        <f>'Monthly Data Input'!DF27</f>
        <v>#N/A</v>
      </c>
      <c r="AG15" s="664" t="e">
        <f>'Monthly Data Input'!DG27</f>
        <v>#N/A</v>
      </c>
      <c r="AH15" s="664" t="e">
        <f>'Monthly Data Input'!DH27</f>
        <v>#N/A</v>
      </c>
      <c r="AI15" s="664" t="e">
        <f>'Monthly Data Input'!DI27</f>
        <v>#N/A</v>
      </c>
      <c r="AJ15" s="664" t="e">
        <f>'Monthly Data Input'!DJ27</f>
        <v>#N/A</v>
      </c>
      <c r="AK15" s="664" t="e">
        <f>'Monthly Data Input'!DK27</f>
        <v>#N/A</v>
      </c>
      <c r="AL15" s="664" t="e">
        <f>'Monthly Data Input'!DL27</f>
        <v>#N/A</v>
      </c>
      <c r="AM15" s="664" t="e">
        <f>'Monthly Data Input'!DM27</f>
        <v>#N/A</v>
      </c>
    </row>
    <row r="16" spans="1:67" hidden="1" outlineLevel="1" x14ac:dyDescent="0.25">
      <c r="B16" s="1481"/>
      <c r="C16" s="275" t="str">
        <f>IF(Language="English",'Language Look Ups'!$P$7,IF(Language="Francais",'Language Look Ups'!$T$7,'Language Look Ups'!$R$7))</f>
        <v>Vasectomie</v>
      </c>
      <c r="D16" s="667" t="e">
        <f>'Monthly Data Input'!CD28</f>
        <v>#N/A</v>
      </c>
      <c r="E16" s="667" t="e">
        <f>'Monthly Data Input'!CE28</f>
        <v>#N/A</v>
      </c>
      <c r="F16" s="667" t="e">
        <f>'Monthly Data Input'!CF28</f>
        <v>#N/A</v>
      </c>
      <c r="G16" s="667" t="e">
        <f>'Monthly Data Input'!CG28</f>
        <v>#N/A</v>
      </c>
      <c r="H16" s="667" t="e">
        <f>'Monthly Data Input'!CH28</f>
        <v>#N/A</v>
      </c>
      <c r="I16" s="667" t="e">
        <f>'Monthly Data Input'!CI28</f>
        <v>#N/A</v>
      </c>
      <c r="J16" s="667" t="e">
        <f>'Monthly Data Input'!CJ28</f>
        <v>#N/A</v>
      </c>
      <c r="K16" s="667" t="e">
        <f>'Monthly Data Input'!CK28</f>
        <v>#N/A</v>
      </c>
      <c r="L16" s="667" t="e">
        <f>'Monthly Data Input'!CL28</f>
        <v>#N/A</v>
      </c>
      <c r="M16" s="667" t="e">
        <f>'Monthly Data Input'!CM28</f>
        <v>#N/A</v>
      </c>
      <c r="N16" s="667" t="e">
        <f>'Monthly Data Input'!CN28</f>
        <v>#N/A</v>
      </c>
      <c r="O16" s="667" t="e">
        <f>'Monthly Data Input'!CO28</f>
        <v>#N/A</v>
      </c>
      <c r="P16" s="667" t="e">
        <f>'Monthly Data Input'!CP28</f>
        <v>#N/A</v>
      </c>
      <c r="Q16" s="667" t="e">
        <f>'Monthly Data Input'!CQ28</f>
        <v>#N/A</v>
      </c>
      <c r="R16" s="667" t="e">
        <f>'Monthly Data Input'!CR28</f>
        <v>#N/A</v>
      </c>
      <c r="S16" s="667" t="e">
        <f>'Monthly Data Input'!CS28</f>
        <v>#N/A</v>
      </c>
      <c r="T16" s="667" t="e">
        <f>'Monthly Data Input'!CT28</f>
        <v>#N/A</v>
      </c>
      <c r="U16" s="667" t="e">
        <f>'Monthly Data Input'!CU28</f>
        <v>#N/A</v>
      </c>
      <c r="V16" s="667" t="e">
        <f>'Monthly Data Input'!CV28</f>
        <v>#N/A</v>
      </c>
      <c r="W16" s="667" t="e">
        <f>'Monthly Data Input'!CW28</f>
        <v>#N/A</v>
      </c>
      <c r="X16" s="667" t="e">
        <f>'Monthly Data Input'!CX28</f>
        <v>#N/A</v>
      </c>
      <c r="Y16" s="667" t="e">
        <f>'Monthly Data Input'!CY28</f>
        <v>#N/A</v>
      </c>
      <c r="Z16" s="667" t="e">
        <f>'Monthly Data Input'!CZ28</f>
        <v>#N/A</v>
      </c>
      <c r="AA16" s="667" t="e">
        <f>'Monthly Data Input'!DA28</f>
        <v>#N/A</v>
      </c>
      <c r="AB16" s="667" t="e">
        <f>'Monthly Data Input'!DB28</f>
        <v>#N/A</v>
      </c>
      <c r="AC16" s="667" t="e">
        <f>'Monthly Data Input'!DC28</f>
        <v>#N/A</v>
      </c>
      <c r="AD16" s="667" t="e">
        <f>'Monthly Data Input'!DD28</f>
        <v>#N/A</v>
      </c>
      <c r="AE16" s="667" t="e">
        <f>'Monthly Data Input'!DE28</f>
        <v>#N/A</v>
      </c>
      <c r="AF16" s="667" t="e">
        <f>'Monthly Data Input'!DF28</f>
        <v>#N/A</v>
      </c>
      <c r="AG16" s="667" t="e">
        <f>'Monthly Data Input'!DG28</f>
        <v>#N/A</v>
      </c>
      <c r="AH16" s="667" t="e">
        <f>'Monthly Data Input'!DH28</f>
        <v>#N/A</v>
      </c>
      <c r="AI16" s="667" t="e">
        <f>'Monthly Data Input'!DI28</f>
        <v>#N/A</v>
      </c>
      <c r="AJ16" s="667" t="e">
        <f>'Monthly Data Input'!DJ28</f>
        <v>#N/A</v>
      </c>
      <c r="AK16" s="667" t="e">
        <f>'Monthly Data Input'!DK28</f>
        <v>#N/A</v>
      </c>
      <c r="AL16" s="667" t="e">
        <f>'Monthly Data Input'!DL28</f>
        <v>#N/A</v>
      </c>
      <c r="AM16" s="667" t="e">
        <f>'Monthly Data Input'!DM28</f>
        <v>#N/A</v>
      </c>
    </row>
    <row r="17" spans="2:39" hidden="1" outlineLevel="1" x14ac:dyDescent="0.25">
      <c r="B17" s="1480" t="str">
        <f>IF(Language="English", 'Language Look Ups'!$O$8,IF(Language="Francais", 'Language Look Ups'!$S$8, 'Language Look Ups'!$Q$8))</f>
        <v>DIU</v>
      </c>
      <c r="C17" s="363" t="str">
        <f>IF(Language="English", 'Language Look Ups'!$P$8,IF(Language="Francais", 'Language Look Ups'!$T$8, 'Language Look Ups'!$R$8))</f>
        <v>Copper- T 380-A DIU</v>
      </c>
      <c r="D17" s="664" t="e">
        <f>'Monthly Data Input'!CD29</f>
        <v>#N/A</v>
      </c>
      <c r="E17" s="664" t="e">
        <f>'Monthly Data Input'!CE29</f>
        <v>#N/A</v>
      </c>
      <c r="F17" s="664" t="e">
        <f>'Monthly Data Input'!CF29</f>
        <v>#N/A</v>
      </c>
      <c r="G17" s="664" t="e">
        <f>'Monthly Data Input'!CG29</f>
        <v>#N/A</v>
      </c>
      <c r="H17" s="664" t="e">
        <f>'Monthly Data Input'!CH29</f>
        <v>#N/A</v>
      </c>
      <c r="I17" s="664" t="e">
        <f>'Monthly Data Input'!CI29</f>
        <v>#N/A</v>
      </c>
      <c r="J17" s="664" t="e">
        <f>'Monthly Data Input'!CJ29</f>
        <v>#N/A</v>
      </c>
      <c r="K17" s="664" t="e">
        <f>'Monthly Data Input'!CK29</f>
        <v>#N/A</v>
      </c>
      <c r="L17" s="664" t="e">
        <f>'Monthly Data Input'!CL29</f>
        <v>#N/A</v>
      </c>
      <c r="M17" s="664" t="e">
        <f>'Monthly Data Input'!CM29</f>
        <v>#N/A</v>
      </c>
      <c r="N17" s="664" t="e">
        <f>'Monthly Data Input'!CN29</f>
        <v>#N/A</v>
      </c>
      <c r="O17" s="664" t="e">
        <f>'Monthly Data Input'!CO29</f>
        <v>#N/A</v>
      </c>
      <c r="P17" s="664" t="e">
        <f>'Monthly Data Input'!CP29</f>
        <v>#N/A</v>
      </c>
      <c r="Q17" s="664" t="e">
        <f>'Monthly Data Input'!CQ29</f>
        <v>#N/A</v>
      </c>
      <c r="R17" s="664" t="e">
        <f>'Monthly Data Input'!CR29</f>
        <v>#N/A</v>
      </c>
      <c r="S17" s="664" t="e">
        <f>'Monthly Data Input'!CS29</f>
        <v>#N/A</v>
      </c>
      <c r="T17" s="664" t="e">
        <f>'Monthly Data Input'!CT29</f>
        <v>#N/A</v>
      </c>
      <c r="U17" s="664" t="e">
        <f>'Monthly Data Input'!CU29</f>
        <v>#N/A</v>
      </c>
      <c r="V17" s="664" t="e">
        <f>'Monthly Data Input'!CV29</f>
        <v>#N/A</v>
      </c>
      <c r="W17" s="664" t="e">
        <f>'Monthly Data Input'!CW29</f>
        <v>#N/A</v>
      </c>
      <c r="X17" s="664" t="e">
        <f>'Monthly Data Input'!CX29</f>
        <v>#N/A</v>
      </c>
      <c r="Y17" s="664" t="e">
        <f>'Monthly Data Input'!CY29</f>
        <v>#N/A</v>
      </c>
      <c r="Z17" s="664" t="e">
        <f>'Monthly Data Input'!CZ29</f>
        <v>#N/A</v>
      </c>
      <c r="AA17" s="664" t="e">
        <f>'Monthly Data Input'!DA29</f>
        <v>#N/A</v>
      </c>
      <c r="AB17" s="664" t="e">
        <f>'Monthly Data Input'!DB29</f>
        <v>#N/A</v>
      </c>
      <c r="AC17" s="664" t="e">
        <f>'Monthly Data Input'!DC29</f>
        <v>#N/A</v>
      </c>
      <c r="AD17" s="664" t="e">
        <f>'Monthly Data Input'!DD29</f>
        <v>#N/A</v>
      </c>
      <c r="AE17" s="664" t="e">
        <f>'Monthly Data Input'!DE29</f>
        <v>#N/A</v>
      </c>
      <c r="AF17" s="664" t="e">
        <f>'Monthly Data Input'!DF29</f>
        <v>#N/A</v>
      </c>
      <c r="AG17" s="664" t="e">
        <f>'Monthly Data Input'!DG29</f>
        <v>#N/A</v>
      </c>
      <c r="AH17" s="664" t="e">
        <f>'Monthly Data Input'!DH29</f>
        <v>#N/A</v>
      </c>
      <c r="AI17" s="664" t="e">
        <f>'Monthly Data Input'!DI29</f>
        <v>#N/A</v>
      </c>
      <c r="AJ17" s="664" t="e">
        <f>'Monthly Data Input'!DJ29</f>
        <v>#N/A</v>
      </c>
      <c r="AK17" s="664" t="e">
        <f>'Monthly Data Input'!DK29</f>
        <v>#N/A</v>
      </c>
      <c r="AL17" s="664" t="e">
        <f>'Monthly Data Input'!DL29</f>
        <v>#N/A</v>
      </c>
      <c r="AM17" s="664" t="e">
        <f>'Monthly Data Input'!DM29</f>
        <v>#N/A</v>
      </c>
    </row>
    <row r="18" spans="2:39" hidden="1" outlineLevel="1" x14ac:dyDescent="0.25">
      <c r="B18" s="1481"/>
      <c r="C18" s="275" t="str">
        <f>IF(Language="English", 'Language Look Ups'!$P$9,IF(Language="Francais", 'Language Look Ups'!$T$9, 'Language Look Ups'!$R$9))</f>
        <v>DIU Hormonal (LNG-IUS)</v>
      </c>
      <c r="D18" s="667" t="e">
        <f>'Monthly Data Input'!CD30</f>
        <v>#N/A</v>
      </c>
      <c r="E18" s="667" t="e">
        <f>'Monthly Data Input'!CE30</f>
        <v>#N/A</v>
      </c>
      <c r="F18" s="667" t="e">
        <f>'Monthly Data Input'!CF30</f>
        <v>#N/A</v>
      </c>
      <c r="G18" s="667" t="e">
        <f>'Monthly Data Input'!CG30</f>
        <v>#N/A</v>
      </c>
      <c r="H18" s="667" t="e">
        <f>'Monthly Data Input'!CH30</f>
        <v>#N/A</v>
      </c>
      <c r="I18" s="667" t="e">
        <f>'Monthly Data Input'!CI30</f>
        <v>#N/A</v>
      </c>
      <c r="J18" s="667" t="e">
        <f>'Monthly Data Input'!CJ30</f>
        <v>#N/A</v>
      </c>
      <c r="K18" s="667" t="e">
        <f>'Monthly Data Input'!CK30</f>
        <v>#N/A</v>
      </c>
      <c r="L18" s="667" t="e">
        <f>'Monthly Data Input'!CL30</f>
        <v>#N/A</v>
      </c>
      <c r="M18" s="667" t="e">
        <f>'Monthly Data Input'!CM30</f>
        <v>#N/A</v>
      </c>
      <c r="N18" s="667" t="e">
        <f>'Monthly Data Input'!CN30</f>
        <v>#N/A</v>
      </c>
      <c r="O18" s="667" t="e">
        <f>'Monthly Data Input'!CO30</f>
        <v>#N/A</v>
      </c>
      <c r="P18" s="667" t="e">
        <f>'Monthly Data Input'!CP30</f>
        <v>#N/A</v>
      </c>
      <c r="Q18" s="667" t="e">
        <f>'Monthly Data Input'!CQ30</f>
        <v>#N/A</v>
      </c>
      <c r="R18" s="667" t="e">
        <f>'Monthly Data Input'!CR30</f>
        <v>#N/A</v>
      </c>
      <c r="S18" s="667" t="e">
        <f>'Monthly Data Input'!CS30</f>
        <v>#N/A</v>
      </c>
      <c r="T18" s="667" t="e">
        <f>'Monthly Data Input'!CT30</f>
        <v>#N/A</v>
      </c>
      <c r="U18" s="667" t="e">
        <f>'Monthly Data Input'!CU30</f>
        <v>#N/A</v>
      </c>
      <c r="V18" s="667" t="e">
        <f>'Monthly Data Input'!CV30</f>
        <v>#N/A</v>
      </c>
      <c r="W18" s="667" t="e">
        <f>'Monthly Data Input'!CW30</f>
        <v>#N/A</v>
      </c>
      <c r="X18" s="667" t="e">
        <f>'Monthly Data Input'!CX30</f>
        <v>#N/A</v>
      </c>
      <c r="Y18" s="667" t="e">
        <f>'Monthly Data Input'!CY30</f>
        <v>#N/A</v>
      </c>
      <c r="Z18" s="667" t="e">
        <f>'Monthly Data Input'!CZ30</f>
        <v>#N/A</v>
      </c>
      <c r="AA18" s="667" t="e">
        <f>'Monthly Data Input'!DA30</f>
        <v>#N/A</v>
      </c>
      <c r="AB18" s="667" t="e">
        <f>'Monthly Data Input'!DB30</f>
        <v>#N/A</v>
      </c>
      <c r="AC18" s="667" t="e">
        <f>'Monthly Data Input'!DC30</f>
        <v>#N/A</v>
      </c>
      <c r="AD18" s="667" t="e">
        <f>'Monthly Data Input'!DD30</f>
        <v>#N/A</v>
      </c>
      <c r="AE18" s="667" t="e">
        <f>'Monthly Data Input'!DE30</f>
        <v>#N/A</v>
      </c>
      <c r="AF18" s="667" t="e">
        <f>'Monthly Data Input'!DF30</f>
        <v>#N/A</v>
      </c>
      <c r="AG18" s="667" t="e">
        <f>'Monthly Data Input'!DG30</f>
        <v>#N/A</v>
      </c>
      <c r="AH18" s="667" t="e">
        <f>'Monthly Data Input'!DH30</f>
        <v>#N/A</v>
      </c>
      <c r="AI18" s="667" t="e">
        <f>'Monthly Data Input'!DI30</f>
        <v>#N/A</v>
      </c>
      <c r="AJ18" s="667" t="e">
        <f>'Monthly Data Input'!DJ30</f>
        <v>#N/A</v>
      </c>
      <c r="AK18" s="667" t="e">
        <f>'Monthly Data Input'!DK30</f>
        <v>#N/A</v>
      </c>
      <c r="AL18" s="667" t="e">
        <f>'Monthly Data Input'!DL30</f>
        <v>#N/A</v>
      </c>
      <c r="AM18" s="667" t="e">
        <f>'Monthly Data Input'!DM30</f>
        <v>#N/A</v>
      </c>
    </row>
    <row r="19" spans="2:39" hidden="1" outlineLevel="1" x14ac:dyDescent="0.25">
      <c r="B19" s="1480" t="str">
        <f>IF(Language="English", 'Language Look Ups'!$O$10,IF(Language="Francais", 'Language Look Ups'!$S$10, 'Language Look Ups'!$Q$10))</f>
        <v>Implant</v>
      </c>
      <c r="C19" s="363" t="str">
        <f>IF(Language="English", 'Language Look Ups'!$P$10,IF(Language="Francais", 'Language Look Ups'!$T$10, 'Language Look Ups'!$R$10))</f>
        <v>Implant de 3 ans (Implanon, Levoplant)</v>
      </c>
      <c r="D19" s="664" t="e">
        <f>'Monthly Data Input'!CD31</f>
        <v>#N/A</v>
      </c>
      <c r="E19" s="664" t="e">
        <f>'Monthly Data Input'!CE31</f>
        <v>#N/A</v>
      </c>
      <c r="F19" s="664" t="e">
        <f>'Monthly Data Input'!CF31</f>
        <v>#N/A</v>
      </c>
      <c r="G19" s="664" t="e">
        <f>'Monthly Data Input'!CG31</f>
        <v>#N/A</v>
      </c>
      <c r="H19" s="664" t="e">
        <f>'Monthly Data Input'!CH31</f>
        <v>#N/A</v>
      </c>
      <c r="I19" s="664" t="e">
        <f>'Monthly Data Input'!CI31</f>
        <v>#N/A</v>
      </c>
      <c r="J19" s="664" t="e">
        <f>'Monthly Data Input'!CJ31</f>
        <v>#N/A</v>
      </c>
      <c r="K19" s="664" t="e">
        <f>'Monthly Data Input'!CK31</f>
        <v>#N/A</v>
      </c>
      <c r="L19" s="664" t="e">
        <f>'Monthly Data Input'!CL31</f>
        <v>#N/A</v>
      </c>
      <c r="M19" s="664" t="e">
        <f>'Monthly Data Input'!CM31</f>
        <v>#N/A</v>
      </c>
      <c r="N19" s="664" t="e">
        <f>'Monthly Data Input'!CN31</f>
        <v>#N/A</v>
      </c>
      <c r="O19" s="664" t="e">
        <f>'Monthly Data Input'!CO31</f>
        <v>#N/A</v>
      </c>
      <c r="P19" s="664" t="e">
        <f>'Monthly Data Input'!CP31</f>
        <v>#N/A</v>
      </c>
      <c r="Q19" s="664" t="e">
        <f>'Monthly Data Input'!CQ31</f>
        <v>#N/A</v>
      </c>
      <c r="R19" s="664" t="e">
        <f>'Monthly Data Input'!CR31</f>
        <v>#N/A</v>
      </c>
      <c r="S19" s="664" t="e">
        <f>'Monthly Data Input'!CS31</f>
        <v>#N/A</v>
      </c>
      <c r="T19" s="664" t="e">
        <f>'Monthly Data Input'!CT31</f>
        <v>#N/A</v>
      </c>
      <c r="U19" s="664" t="e">
        <f>'Monthly Data Input'!CU31</f>
        <v>#N/A</v>
      </c>
      <c r="V19" s="664" t="e">
        <f>'Monthly Data Input'!CV31</f>
        <v>#N/A</v>
      </c>
      <c r="W19" s="664" t="e">
        <f>'Monthly Data Input'!CW31</f>
        <v>#N/A</v>
      </c>
      <c r="X19" s="664" t="e">
        <f>'Monthly Data Input'!CX31</f>
        <v>#N/A</v>
      </c>
      <c r="Y19" s="664" t="e">
        <f>'Monthly Data Input'!CY31</f>
        <v>#N/A</v>
      </c>
      <c r="Z19" s="664" t="e">
        <f>'Monthly Data Input'!CZ31</f>
        <v>#N/A</v>
      </c>
      <c r="AA19" s="664" t="e">
        <f>'Monthly Data Input'!DA31</f>
        <v>#N/A</v>
      </c>
      <c r="AB19" s="664" t="e">
        <f>'Monthly Data Input'!DB31</f>
        <v>#N/A</v>
      </c>
      <c r="AC19" s="664" t="e">
        <f>'Monthly Data Input'!DC31</f>
        <v>#N/A</v>
      </c>
      <c r="AD19" s="664" t="e">
        <f>'Monthly Data Input'!DD31</f>
        <v>#N/A</v>
      </c>
      <c r="AE19" s="664" t="e">
        <f>'Monthly Data Input'!DE31</f>
        <v>#N/A</v>
      </c>
      <c r="AF19" s="664" t="e">
        <f>'Monthly Data Input'!DF31</f>
        <v>#N/A</v>
      </c>
      <c r="AG19" s="664" t="e">
        <f>'Monthly Data Input'!DG31</f>
        <v>#N/A</v>
      </c>
      <c r="AH19" s="664" t="e">
        <f>'Monthly Data Input'!DH31</f>
        <v>#N/A</v>
      </c>
      <c r="AI19" s="664" t="e">
        <f>'Monthly Data Input'!DI31</f>
        <v>#N/A</v>
      </c>
      <c r="AJ19" s="664" t="e">
        <f>'Monthly Data Input'!DJ31</f>
        <v>#N/A</v>
      </c>
      <c r="AK19" s="664" t="e">
        <f>'Monthly Data Input'!DK31</f>
        <v>#N/A</v>
      </c>
      <c r="AL19" s="664" t="e">
        <f>'Monthly Data Input'!DL31</f>
        <v>#N/A</v>
      </c>
      <c r="AM19" s="664" t="e">
        <f>'Monthly Data Input'!DM31</f>
        <v>#N/A</v>
      </c>
    </row>
    <row r="20" spans="2:39" hidden="1" outlineLevel="1" x14ac:dyDescent="0.25">
      <c r="B20" s="1482"/>
      <c r="C20" s="277" t="str">
        <f>IF(Language="English", 'Language Look Ups'!$P$11,IF(Language="Francais", 'Language Look Ups'!$T$11, 'Language Look Ups'!$R$11))</f>
        <v>Implant de 4 ans (Sino-Implant)</v>
      </c>
      <c r="D20" s="670" t="e">
        <f>'Monthly Data Input'!CD32</f>
        <v>#N/A</v>
      </c>
      <c r="E20" s="670" t="e">
        <f>'Monthly Data Input'!CE32</f>
        <v>#N/A</v>
      </c>
      <c r="F20" s="670" t="e">
        <f>'Monthly Data Input'!CF32</f>
        <v>#N/A</v>
      </c>
      <c r="G20" s="670" t="e">
        <f>'Monthly Data Input'!CG32</f>
        <v>#N/A</v>
      </c>
      <c r="H20" s="670" t="e">
        <f>'Monthly Data Input'!CH32</f>
        <v>#N/A</v>
      </c>
      <c r="I20" s="670" t="e">
        <f>'Monthly Data Input'!CI32</f>
        <v>#N/A</v>
      </c>
      <c r="J20" s="670" t="e">
        <f>'Monthly Data Input'!CJ32</f>
        <v>#N/A</v>
      </c>
      <c r="K20" s="670" t="e">
        <f>'Monthly Data Input'!CK32</f>
        <v>#N/A</v>
      </c>
      <c r="L20" s="670" t="e">
        <f>'Monthly Data Input'!CL32</f>
        <v>#N/A</v>
      </c>
      <c r="M20" s="670" t="e">
        <f>'Monthly Data Input'!CM32</f>
        <v>#N/A</v>
      </c>
      <c r="N20" s="670" t="e">
        <f>'Monthly Data Input'!CN32</f>
        <v>#N/A</v>
      </c>
      <c r="O20" s="670" t="e">
        <f>'Monthly Data Input'!CO32</f>
        <v>#N/A</v>
      </c>
      <c r="P20" s="670" t="e">
        <f>'Monthly Data Input'!CP32</f>
        <v>#N/A</v>
      </c>
      <c r="Q20" s="670" t="e">
        <f>'Monthly Data Input'!CQ32</f>
        <v>#N/A</v>
      </c>
      <c r="R20" s="670" t="e">
        <f>'Monthly Data Input'!CR32</f>
        <v>#N/A</v>
      </c>
      <c r="S20" s="670" t="e">
        <f>'Monthly Data Input'!CS32</f>
        <v>#N/A</v>
      </c>
      <c r="T20" s="670" t="e">
        <f>'Monthly Data Input'!CT32</f>
        <v>#N/A</v>
      </c>
      <c r="U20" s="670" t="e">
        <f>'Monthly Data Input'!CU32</f>
        <v>#N/A</v>
      </c>
      <c r="V20" s="670" t="e">
        <f>'Monthly Data Input'!CV32</f>
        <v>#N/A</v>
      </c>
      <c r="W20" s="670" t="e">
        <f>'Monthly Data Input'!CW32</f>
        <v>#N/A</v>
      </c>
      <c r="X20" s="670" t="e">
        <f>'Monthly Data Input'!CX32</f>
        <v>#N/A</v>
      </c>
      <c r="Y20" s="670" t="e">
        <f>'Monthly Data Input'!CY32</f>
        <v>#N/A</v>
      </c>
      <c r="Z20" s="670" t="e">
        <f>'Monthly Data Input'!CZ32</f>
        <v>#N/A</v>
      </c>
      <c r="AA20" s="670" t="e">
        <f>'Monthly Data Input'!DA32</f>
        <v>#N/A</v>
      </c>
      <c r="AB20" s="670" t="e">
        <f>'Monthly Data Input'!DB32</f>
        <v>#N/A</v>
      </c>
      <c r="AC20" s="670" t="e">
        <f>'Monthly Data Input'!DC32</f>
        <v>#N/A</v>
      </c>
      <c r="AD20" s="670" t="e">
        <f>'Monthly Data Input'!DD32</f>
        <v>#N/A</v>
      </c>
      <c r="AE20" s="670" t="e">
        <f>'Monthly Data Input'!DE32</f>
        <v>#N/A</v>
      </c>
      <c r="AF20" s="670" t="e">
        <f>'Monthly Data Input'!DF32</f>
        <v>#N/A</v>
      </c>
      <c r="AG20" s="670" t="e">
        <f>'Monthly Data Input'!DG32</f>
        <v>#N/A</v>
      </c>
      <c r="AH20" s="670" t="e">
        <f>'Monthly Data Input'!DH32</f>
        <v>#N/A</v>
      </c>
      <c r="AI20" s="670" t="e">
        <f>'Monthly Data Input'!DI32</f>
        <v>#N/A</v>
      </c>
      <c r="AJ20" s="670" t="e">
        <f>'Monthly Data Input'!DJ32</f>
        <v>#N/A</v>
      </c>
      <c r="AK20" s="670" t="e">
        <f>'Monthly Data Input'!DK32</f>
        <v>#N/A</v>
      </c>
      <c r="AL20" s="670" t="e">
        <f>'Monthly Data Input'!DL32</f>
        <v>#N/A</v>
      </c>
      <c r="AM20" s="670" t="e">
        <f>'Monthly Data Input'!DM32</f>
        <v>#N/A</v>
      </c>
    </row>
    <row r="21" spans="2:39" hidden="1" outlineLevel="1" x14ac:dyDescent="0.25">
      <c r="B21" s="1481"/>
      <c r="C21" s="275" t="str">
        <f>IF(Language="English", 'Language Look Ups'!$P$12,IF(Language="Francais", 'Language Look Ups'!$T$12, 'Language Look Ups'!$R$12))</f>
        <v>Implant de 5 ans (Jadelle)</v>
      </c>
      <c r="D21" s="667" t="e">
        <f>'Monthly Data Input'!CD33</f>
        <v>#N/A</v>
      </c>
      <c r="E21" s="667" t="e">
        <f>'Monthly Data Input'!CE33</f>
        <v>#N/A</v>
      </c>
      <c r="F21" s="667" t="e">
        <f>'Monthly Data Input'!CF33</f>
        <v>#N/A</v>
      </c>
      <c r="G21" s="667" t="e">
        <f>'Monthly Data Input'!CG33</f>
        <v>#N/A</v>
      </c>
      <c r="H21" s="667" t="e">
        <f>'Monthly Data Input'!CH33</f>
        <v>#N/A</v>
      </c>
      <c r="I21" s="667" t="e">
        <f>'Monthly Data Input'!CI33</f>
        <v>#N/A</v>
      </c>
      <c r="J21" s="667" t="e">
        <f>'Monthly Data Input'!CJ33</f>
        <v>#N/A</v>
      </c>
      <c r="K21" s="667" t="e">
        <f>'Monthly Data Input'!CK33</f>
        <v>#N/A</v>
      </c>
      <c r="L21" s="667" t="e">
        <f>'Monthly Data Input'!CL33</f>
        <v>#N/A</v>
      </c>
      <c r="M21" s="667" t="e">
        <f>'Monthly Data Input'!CM33</f>
        <v>#N/A</v>
      </c>
      <c r="N21" s="667" t="e">
        <f>'Monthly Data Input'!CN33</f>
        <v>#N/A</v>
      </c>
      <c r="O21" s="667" t="e">
        <f>'Monthly Data Input'!CO33</f>
        <v>#N/A</v>
      </c>
      <c r="P21" s="667" t="e">
        <f>'Monthly Data Input'!CP33</f>
        <v>#N/A</v>
      </c>
      <c r="Q21" s="667" t="e">
        <f>'Monthly Data Input'!CQ33</f>
        <v>#N/A</v>
      </c>
      <c r="R21" s="667" t="e">
        <f>'Monthly Data Input'!CR33</f>
        <v>#N/A</v>
      </c>
      <c r="S21" s="667" t="e">
        <f>'Monthly Data Input'!CS33</f>
        <v>#N/A</v>
      </c>
      <c r="T21" s="667" t="e">
        <f>'Monthly Data Input'!CT33</f>
        <v>#N/A</v>
      </c>
      <c r="U21" s="667" t="e">
        <f>'Monthly Data Input'!CU33</f>
        <v>#N/A</v>
      </c>
      <c r="V21" s="667" t="e">
        <f>'Monthly Data Input'!CV33</f>
        <v>#N/A</v>
      </c>
      <c r="W21" s="667" t="e">
        <f>'Monthly Data Input'!CW33</f>
        <v>#N/A</v>
      </c>
      <c r="X21" s="667" t="e">
        <f>'Monthly Data Input'!CX33</f>
        <v>#N/A</v>
      </c>
      <c r="Y21" s="667" t="e">
        <f>'Monthly Data Input'!CY33</f>
        <v>#N/A</v>
      </c>
      <c r="Z21" s="667" t="e">
        <f>'Monthly Data Input'!CZ33</f>
        <v>#N/A</v>
      </c>
      <c r="AA21" s="667" t="e">
        <f>'Monthly Data Input'!DA33</f>
        <v>#N/A</v>
      </c>
      <c r="AB21" s="667" t="e">
        <f>'Monthly Data Input'!DB33</f>
        <v>#N/A</v>
      </c>
      <c r="AC21" s="667" t="e">
        <f>'Monthly Data Input'!DC33</f>
        <v>#N/A</v>
      </c>
      <c r="AD21" s="667" t="e">
        <f>'Monthly Data Input'!DD33</f>
        <v>#N/A</v>
      </c>
      <c r="AE21" s="667" t="e">
        <f>'Monthly Data Input'!DE33</f>
        <v>#N/A</v>
      </c>
      <c r="AF21" s="667" t="e">
        <f>'Monthly Data Input'!DF33</f>
        <v>#N/A</v>
      </c>
      <c r="AG21" s="667" t="e">
        <f>'Monthly Data Input'!DG33</f>
        <v>#N/A</v>
      </c>
      <c r="AH21" s="667" t="e">
        <f>'Monthly Data Input'!DH33</f>
        <v>#N/A</v>
      </c>
      <c r="AI21" s="667" t="e">
        <f>'Monthly Data Input'!DI33</f>
        <v>#N/A</v>
      </c>
      <c r="AJ21" s="667" t="e">
        <f>'Monthly Data Input'!DJ33</f>
        <v>#N/A</v>
      </c>
      <c r="AK21" s="667" t="e">
        <f>'Monthly Data Input'!DK33</f>
        <v>#N/A</v>
      </c>
      <c r="AL21" s="667" t="e">
        <f>'Monthly Data Input'!DL33</f>
        <v>#N/A</v>
      </c>
      <c r="AM21" s="667" t="e">
        <f>'Monthly Data Input'!DM33</f>
        <v>#N/A</v>
      </c>
    </row>
    <row r="22" spans="2:39" hidden="1" outlineLevel="1" x14ac:dyDescent="0.25">
      <c r="B22" s="150"/>
      <c r="C22" s="279"/>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row>
    <row r="23" spans="2:39" ht="19.5" hidden="1" outlineLevel="1" thickBot="1" x14ac:dyDescent="0.3">
      <c r="B23" s="364" t="str">
        <f>IF(Language="English", 'Language Look Ups'!$O$14,IF(Language="Francais", 'Language Look Ups'!$S$14, 'Language Look Ups'!$Q$14))</f>
        <v>Méthodes à Court Terme</v>
      </c>
      <c r="C23" s="104"/>
      <c r="D23" s="1128"/>
      <c r="E23" s="1128"/>
      <c r="F23" s="1128"/>
      <c r="G23" s="1128"/>
      <c r="H23" s="1128"/>
      <c r="I23" s="1128"/>
      <c r="J23" s="1128"/>
      <c r="K23" s="1128"/>
      <c r="L23" s="1128"/>
      <c r="M23" s="1128"/>
      <c r="N23" s="1128"/>
      <c r="O23" s="1128"/>
      <c r="P23" s="1128"/>
      <c r="Q23" s="1128"/>
      <c r="R23" s="1128"/>
      <c r="S23" s="1128"/>
      <c r="T23" s="1128"/>
      <c r="U23" s="1128"/>
      <c r="V23" s="1128"/>
      <c r="W23" s="1128"/>
      <c r="X23" s="1128"/>
      <c r="Y23" s="1128"/>
      <c r="Z23" s="1128"/>
      <c r="AA23" s="1128"/>
      <c r="AB23" s="1128"/>
      <c r="AC23" s="1128"/>
      <c r="AD23" s="1128"/>
      <c r="AE23" s="1128"/>
      <c r="AF23" s="1128"/>
      <c r="AG23" s="1128"/>
      <c r="AH23" s="1128"/>
      <c r="AI23" s="1128"/>
      <c r="AJ23" s="1128"/>
      <c r="AK23" s="1128"/>
      <c r="AL23" s="1128"/>
      <c r="AM23" s="1128"/>
    </row>
    <row r="24" spans="2:39" hidden="1" outlineLevel="1" x14ac:dyDescent="0.25">
      <c r="B24" s="1483" t="str">
        <f>IF(Language="English", 'Language Look Ups'!$O$15,IF(Language="Francais", 'Language Look Ups'!$S$15, 'Language Look Ups'!#REF!))</f>
        <v>Produits injectables</v>
      </c>
      <c r="C24" s="1130" t="str">
        <f>IF(Language="English", 'Language Look Ups'!$P$15,IF(Language="Francais", 'Language Look Ups'!$T$15, 'Language Look Ups'!$R$15))</f>
        <v>Depo Provera (DMPA)</v>
      </c>
      <c r="D24" s="664" t="e">
        <f>'Monthly Data Input'!CD36</f>
        <v>#N/A</v>
      </c>
      <c r="E24" s="664" t="e">
        <f>'Monthly Data Input'!CE36</f>
        <v>#N/A</v>
      </c>
      <c r="F24" s="664" t="e">
        <f>'Monthly Data Input'!CF36</f>
        <v>#N/A</v>
      </c>
      <c r="G24" s="664" t="e">
        <f>'Monthly Data Input'!CG36</f>
        <v>#N/A</v>
      </c>
      <c r="H24" s="664" t="e">
        <f>'Monthly Data Input'!CH36</f>
        <v>#N/A</v>
      </c>
      <c r="I24" s="664" t="e">
        <f>'Monthly Data Input'!CI36</f>
        <v>#N/A</v>
      </c>
      <c r="J24" s="664" t="e">
        <f>'Monthly Data Input'!CJ36</f>
        <v>#N/A</v>
      </c>
      <c r="K24" s="664" t="e">
        <f>'Monthly Data Input'!CK36</f>
        <v>#N/A</v>
      </c>
      <c r="L24" s="664" t="e">
        <f>'Monthly Data Input'!CL36</f>
        <v>#N/A</v>
      </c>
      <c r="M24" s="664" t="e">
        <f>'Monthly Data Input'!CM36</f>
        <v>#N/A</v>
      </c>
      <c r="N24" s="664" t="e">
        <f>'Monthly Data Input'!CN36</f>
        <v>#N/A</v>
      </c>
      <c r="O24" s="664" t="e">
        <f>'Monthly Data Input'!CO36</f>
        <v>#N/A</v>
      </c>
      <c r="P24" s="664" t="e">
        <f>'Monthly Data Input'!CP36</f>
        <v>#N/A</v>
      </c>
      <c r="Q24" s="664" t="e">
        <f>'Monthly Data Input'!CQ36</f>
        <v>#N/A</v>
      </c>
      <c r="R24" s="664" t="e">
        <f>'Monthly Data Input'!CR36</f>
        <v>#N/A</v>
      </c>
      <c r="S24" s="664" t="e">
        <f>'Monthly Data Input'!CS36</f>
        <v>#N/A</v>
      </c>
      <c r="T24" s="664" t="e">
        <f>'Monthly Data Input'!CT36</f>
        <v>#N/A</v>
      </c>
      <c r="U24" s="664" t="e">
        <f>'Monthly Data Input'!CU36</f>
        <v>#N/A</v>
      </c>
      <c r="V24" s="664" t="e">
        <f>'Monthly Data Input'!CV36</f>
        <v>#N/A</v>
      </c>
      <c r="W24" s="664" t="e">
        <f>'Monthly Data Input'!CW36</f>
        <v>#N/A</v>
      </c>
      <c r="X24" s="664" t="e">
        <f>'Monthly Data Input'!CX36</f>
        <v>#N/A</v>
      </c>
      <c r="Y24" s="664" t="e">
        <f>'Monthly Data Input'!CY36</f>
        <v>#N/A</v>
      </c>
      <c r="Z24" s="664" t="e">
        <f>'Monthly Data Input'!CZ36</f>
        <v>#N/A</v>
      </c>
      <c r="AA24" s="664" t="e">
        <f>'Monthly Data Input'!DA36</f>
        <v>#N/A</v>
      </c>
      <c r="AB24" s="664" t="e">
        <f>'Monthly Data Input'!DB36</f>
        <v>#N/A</v>
      </c>
      <c r="AC24" s="664" t="e">
        <f>'Monthly Data Input'!DC36</f>
        <v>#N/A</v>
      </c>
      <c r="AD24" s="664" t="e">
        <f>'Monthly Data Input'!DD36</f>
        <v>#N/A</v>
      </c>
      <c r="AE24" s="664" t="e">
        <f>'Monthly Data Input'!DE36</f>
        <v>#N/A</v>
      </c>
      <c r="AF24" s="664" t="e">
        <f>'Monthly Data Input'!DF36</f>
        <v>#N/A</v>
      </c>
      <c r="AG24" s="664" t="e">
        <f>'Monthly Data Input'!DG36</f>
        <v>#N/A</v>
      </c>
      <c r="AH24" s="664" t="e">
        <f>'Monthly Data Input'!DH36</f>
        <v>#N/A</v>
      </c>
      <c r="AI24" s="664" t="e">
        <f>'Monthly Data Input'!DI36</f>
        <v>#N/A</v>
      </c>
      <c r="AJ24" s="664" t="e">
        <f>'Monthly Data Input'!DJ36</f>
        <v>#N/A</v>
      </c>
      <c r="AK24" s="664" t="e">
        <f>'Monthly Data Input'!DK36</f>
        <v>#N/A</v>
      </c>
      <c r="AL24" s="664" t="e">
        <f>'Monthly Data Input'!DL36</f>
        <v>#N/A</v>
      </c>
      <c r="AM24" s="664" t="e">
        <f>'Monthly Data Input'!DM36</f>
        <v>#N/A</v>
      </c>
    </row>
    <row r="25" spans="2:39" hidden="1" outlineLevel="1" x14ac:dyDescent="0.25">
      <c r="B25" s="1482"/>
      <c r="C25" s="277" t="str">
        <f>IF(Language="English", 'Language Look Ups'!$P$16,IF(Language="Francais", 'Language Look Ups'!$T$16, 'Language Look Ups'!$R$16))</f>
        <v>Noristerat (NET-En)</v>
      </c>
      <c r="D25" s="670" t="e">
        <f>'Monthly Data Input'!CD37</f>
        <v>#N/A</v>
      </c>
      <c r="E25" s="670" t="e">
        <f>'Monthly Data Input'!CE37</f>
        <v>#N/A</v>
      </c>
      <c r="F25" s="670" t="e">
        <f>'Monthly Data Input'!CF37</f>
        <v>#N/A</v>
      </c>
      <c r="G25" s="670" t="e">
        <f>'Monthly Data Input'!CG37</f>
        <v>#N/A</v>
      </c>
      <c r="H25" s="670" t="e">
        <f>'Monthly Data Input'!CH37</f>
        <v>#N/A</v>
      </c>
      <c r="I25" s="670" t="e">
        <f>'Monthly Data Input'!CI37</f>
        <v>#N/A</v>
      </c>
      <c r="J25" s="670" t="e">
        <f>'Monthly Data Input'!CJ37</f>
        <v>#N/A</v>
      </c>
      <c r="K25" s="670" t="e">
        <f>'Monthly Data Input'!CK37</f>
        <v>#N/A</v>
      </c>
      <c r="L25" s="670" t="e">
        <f>'Monthly Data Input'!CL37</f>
        <v>#N/A</v>
      </c>
      <c r="M25" s="670" t="e">
        <f>'Monthly Data Input'!CM37</f>
        <v>#N/A</v>
      </c>
      <c r="N25" s="670" t="e">
        <f>'Monthly Data Input'!CN37</f>
        <v>#N/A</v>
      </c>
      <c r="O25" s="670" t="e">
        <f>'Monthly Data Input'!CO37</f>
        <v>#N/A</v>
      </c>
      <c r="P25" s="670" t="e">
        <f>'Monthly Data Input'!CP37</f>
        <v>#N/A</v>
      </c>
      <c r="Q25" s="670" t="e">
        <f>'Monthly Data Input'!CQ37</f>
        <v>#N/A</v>
      </c>
      <c r="R25" s="670" t="e">
        <f>'Monthly Data Input'!CR37</f>
        <v>#N/A</v>
      </c>
      <c r="S25" s="670" t="e">
        <f>'Monthly Data Input'!CS37</f>
        <v>#N/A</v>
      </c>
      <c r="T25" s="670" t="e">
        <f>'Monthly Data Input'!CT37</f>
        <v>#N/A</v>
      </c>
      <c r="U25" s="670" t="e">
        <f>'Monthly Data Input'!CU37</f>
        <v>#N/A</v>
      </c>
      <c r="V25" s="670" t="e">
        <f>'Monthly Data Input'!CV37</f>
        <v>#N/A</v>
      </c>
      <c r="W25" s="670" t="e">
        <f>'Monthly Data Input'!CW37</f>
        <v>#N/A</v>
      </c>
      <c r="X25" s="670" t="e">
        <f>'Monthly Data Input'!CX37</f>
        <v>#N/A</v>
      </c>
      <c r="Y25" s="670" t="e">
        <f>'Monthly Data Input'!CY37</f>
        <v>#N/A</v>
      </c>
      <c r="Z25" s="670" t="e">
        <f>'Monthly Data Input'!CZ37</f>
        <v>#N/A</v>
      </c>
      <c r="AA25" s="670" t="e">
        <f>'Monthly Data Input'!DA37</f>
        <v>#N/A</v>
      </c>
      <c r="AB25" s="670" t="e">
        <f>'Monthly Data Input'!DB37</f>
        <v>#N/A</v>
      </c>
      <c r="AC25" s="670" t="e">
        <f>'Monthly Data Input'!DC37</f>
        <v>#N/A</v>
      </c>
      <c r="AD25" s="670" t="e">
        <f>'Monthly Data Input'!DD37</f>
        <v>#N/A</v>
      </c>
      <c r="AE25" s="670" t="e">
        <f>'Monthly Data Input'!DE37</f>
        <v>#N/A</v>
      </c>
      <c r="AF25" s="670" t="e">
        <f>'Monthly Data Input'!DF37</f>
        <v>#N/A</v>
      </c>
      <c r="AG25" s="670" t="e">
        <f>'Monthly Data Input'!DG37</f>
        <v>#N/A</v>
      </c>
      <c r="AH25" s="670" t="e">
        <f>'Monthly Data Input'!DH37</f>
        <v>#N/A</v>
      </c>
      <c r="AI25" s="670" t="e">
        <f>'Monthly Data Input'!DI37</f>
        <v>#N/A</v>
      </c>
      <c r="AJ25" s="670" t="e">
        <f>'Monthly Data Input'!DJ37</f>
        <v>#N/A</v>
      </c>
      <c r="AK25" s="670" t="e">
        <f>'Monthly Data Input'!DK37</f>
        <v>#N/A</v>
      </c>
      <c r="AL25" s="670" t="e">
        <f>'Monthly Data Input'!DL37</f>
        <v>#N/A</v>
      </c>
      <c r="AM25" s="670" t="e">
        <f>'Monthly Data Input'!DM37</f>
        <v>#N/A</v>
      </c>
    </row>
    <row r="26" spans="2:39" hidden="1" outlineLevel="1" x14ac:dyDescent="0.25">
      <c r="B26" s="1482"/>
      <c r="C26" s="277" t="str">
        <f>IF(Language="English",'Language Look Ups'!$P$17,IF(Language="Francais",'Language Look Ups'!$T$17,'Language Look Ups'!$R$17))</f>
        <v>Lunelle</v>
      </c>
      <c r="D26" s="670" t="e">
        <f>'Monthly Data Input'!CD38</f>
        <v>#N/A</v>
      </c>
      <c r="E26" s="670" t="e">
        <f>'Monthly Data Input'!CE38</f>
        <v>#N/A</v>
      </c>
      <c r="F26" s="670" t="e">
        <f>'Monthly Data Input'!CF38</f>
        <v>#N/A</v>
      </c>
      <c r="G26" s="670" t="e">
        <f>'Monthly Data Input'!CG38</f>
        <v>#N/A</v>
      </c>
      <c r="H26" s="670" t="e">
        <f>'Monthly Data Input'!CH38</f>
        <v>#N/A</v>
      </c>
      <c r="I26" s="670" t="e">
        <f>'Monthly Data Input'!CI38</f>
        <v>#N/A</v>
      </c>
      <c r="J26" s="670" t="e">
        <f>'Monthly Data Input'!CJ38</f>
        <v>#N/A</v>
      </c>
      <c r="K26" s="670" t="e">
        <f>'Monthly Data Input'!CK38</f>
        <v>#N/A</v>
      </c>
      <c r="L26" s="670" t="e">
        <f>'Monthly Data Input'!CL38</f>
        <v>#N/A</v>
      </c>
      <c r="M26" s="670" t="e">
        <f>'Monthly Data Input'!CM38</f>
        <v>#N/A</v>
      </c>
      <c r="N26" s="670" t="e">
        <f>'Monthly Data Input'!CN38</f>
        <v>#N/A</v>
      </c>
      <c r="O26" s="670" t="e">
        <f>'Monthly Data Input'!CO38</f>
        <v>#N/A</v>
      </c>
      <c r="P26" s="670" t="e">
        <f>'Monthly Data Input'!CP38</f>
        <v>#N/A</v>
      </c>
      <c r="Q26" s="670" t="e">
        <f>'Monthly Data Input'!CQ38</f>
        <v>#N/A</v>
      </c>
      <c r="R26" s="670" t="e">
        <f>'Monthly Data Input'!CR38</f>
        <v>#N/A</v>
      </c>
      <c r="S26" s="670" t="e">
        <f>'Monthly Data Input'!CS38</f>
        <v>#N/A</v>
      </c>
      <c r="T26" s="670" t="e">
        <f>'Monthly Data Input'!CT38</f>
        <v>#N/A</v>
      </c>
      <c r="U26" s="670" t="e">
        <f>'Monthly Data Input'!CU38</f>
        <v>#N/A</v>
      </c>
      <c r="V26" s="670" t="e">
        <f>'Monthly Data Input'!CV38</f>
        <v>#N/A</v>
      </c>
      <c r="W26" s="670" t="e">
        <f>'Monthly Data Input'!CW38</f>
        <v>#N/A</v>
      </c>
      <c r="X26" s="670" t="e">
        <f>'Monthly Data Input'!CX38</f>
        <v>#N/A</v>
      </c>
      <c r="Y26" s="670" t="e">
        <f>'Monthly Data Input'!CY38</f>
        <v>#N/A</v>
      </c>
      <c r="Z26" s="670" t="e">
        <f>'Monthly Data Input'!CZ38</f>
        <v>#N/A</v>
      </c>
      <c r="AA26" s="670" t="e">
        <f>'Monthly Data Input'!DA38</f>
        <v>#N/A</v>
      </c>
      <c r="AB26" s="670" t="e">
        <f>'Monthly Data Input'!DB38</f>
        <v>#N/A</v>
      </c>
      <c r="AC26" s="670" t="e">
        <f>'Monthly Data Input'!DC38</f>
        <v>#N/A</v>
      </c>
      <c r="AD26" s="670" t="e">
        <f>'Monthly Data Input'!DD38</f>
        <v>#N/A</v>
      </c>
      <c r="AE26" s="670" t="e">
        <f>'Monthly Data Input'!DE38</f>
        <v>#N/A</v>
      </c>
      <c r="AF26" s="670" t="e">
        <f>'Monthly Data Input'!DF38</f>
        <v>#N/A</v>
      </c>
      <c r="AG26" s="670" t="e">
        <f>'Monthly Data Input'!DG38</f>
        <v>#N/A</v>
      </c>
      <c r="AH26" s="670" t="e">
        <f>'Monthly Data Input'!DH38</f>
        <v>#N/A</v>
      </c>
      <c r="AI26" s="670" t="e">
        <f>'Monthly Data Input'!DI38</f>
        <v>#N/A</v>
      </c>
      <c r="AJ26" s="670" t="e">
        <f>'Monthly Data Input'!DJ38</f>
        <v>#N/A</v>
      </c>
      <c r="AK26" s="670" t="e">
        <f>'Monthly Data Input'!DK38</f>
        <v>#N/A</v>
      </c>
      <c r="AL26" s="670" t="e">
        <f>'Monthly Data Input'!DL38</f>
        <v>#N/A</v>
      </c>
      <c r="AM26" s="670" t="e">
        <f>'Monthly Data Input'!DM38</f>
        <v>#N/A</v>
      </c>
    </row>
    <row r="27" spans="2:39" hidden="1" outlineLevel="1" x14ac:dyDescent="0.25">
      <c r="B27" s="1482"/>
      <c r="C27" s="277" t="str">
        <f>IF(Language="English", 'Language Look Ups'!$P$18,IF(Language="Francais", 'Language Look Ups'!$T$18, 'Language Look Ups'!$R$18))</f>
        <v>Sayana Press</v>
      </c>
      <c r="D27" s="670" t="e">
        <f>'Monthly Data Input'!CD39</f>
        <v>#N/A</v>
      </c>
      <c r="E27" s="670" t="e">
        <f>'Monthly Data Input'!CE39</f>
        <v>#N/A</v>
      </c>
      <c r="F27" s="670" t="e">
        <f>'Monthly Data Input'!CF39</f>
        <v>#N/A</v>
      </c>
      <c r="G27" s="670" t="e">
        <f>'Monthly Data Input'!CG39</f>
        <v>#N/A</v>
      </c>
      <c r="H27" s="670" t="e">
        <f>'Monthly Data Input'!CH39</f>
        <v>#N/A</v>
      </c>
      <c r="I27" s="670" t="e">
        <f>'Monthly Data Input'!CI39</f>
        <v>#N/A</v>
      </c>
      <c r="J27" s="670" t="e">
        <f>'Monthly Data Input'!CJ39</f>
        <v>#N/A</v>
      </c>
      <c r="K27" s="670" t="e">
        <f>'Monthly Data Input'!CK39</f>
        <v>#N/A</v>
      </c>
      <c r="L27" s="670" t="e">
        <f>'Monthly Data Input'!CL39</f>
        <v>#N/A</v>
      </c>
      <c r="M27" s="670" t="e">
        <f>'Monthly Data Input'!CM39</f>
        <v>#N/A</v>
      </c>
      <c r="N27" s="670" t="e">
        <f>'Monthly Data Input'!CN39</f>
        <v>#N/A</v>
      </c>
      <c r="O27" s="670" t="e">
        <f>'Monthly Data Input'!CO39</f>
        <v>#N/A</v>
      </c>
      <c r="P27" s="670" t="e">
        <f>'Monthly Data Input'!CP39</f>
        <v>#N/A</v>
      </c>
      <c r="Q27" s="670" t="e">
        <f>'Monthly Data Input'!CQ39</f>
        <v>#N/A</v>
      </c>
      <c r="R27" s="670" t="e">
        <f>'Monthly Data Input'!CR39</f>
        <v>#N/A</v>
      </c>
      <c r="S27" s="670" t="e">
        <f>'Monthly Data Input'!CS39</f>
        <v>#N/A</v>
      </c>
      <c r="T27" s="670" t="e">
        <f>'Monthly Data Input'!CT39</f>
        <v>#N/A</v>
      </c>
      <c r="U27" s="670" t="e">
        <f>'Monthly Data Input'!CU39</f>
        <v>#N/A</v>
      </c>
      <c r="V27" s="670" t="e">
        <f>'Monthly Data Input'!CV39</f>
        <v>#N/A</v>
      </c>
      <c r="W27" s="670" t="e">
        <f>'Monthly Data Input'!CW39</f>
        <v>#N/A</v>
      </c>
      <c r="X27" s="670" t="e">
        <f>'Monthly Data Input'!CX39</f>
        <v>#N/A</v>
      </c>
      <c r="Y27" s="670" t="e">
        <f>'Monthly Data Input'!CY39</f>
        <v>#N/A</v>
      </c>
      <c r="Z27" s="670" t="e">
        <f>'Monthly Data Input'!CZ39</f>
        <v>#N/A</v>
      </c>
      <c r="AA27" s="670" t="e">
        <f>'Monthly Data Input'!DA39</f>
        <v>#N/A</v>
      </c>
      <c r="AB27" s="670" t="e">
        <f>'Monthly Data Input'!DB39</f>
        <v>#N/A</v>
      </c>
      <c r="AC27" s="670" t="e">
        <f>'Monthly Data Input'!DC39</f>
        <v>#N/A</v>
      </c>
      <c r="AD27" s="670" t="e">
        <f>'Monthly Data Input'!DD39</f>
        <v>#N/A</v>
      </c>
      <c r="AE27" s="670" t="e">
        <f>'Monthly Data Input'!DE39</f>
        <v>#N/A</v>
      </c>
      <c r="AF27" s="670" t="e">
        <f>'Monthly Data Input'!DF39</f>
        <v>#N/A</v>
      </c>
      <c r="AG27" s="670" t="e">
        <f>'Monthly Data Input'!DG39</f>
        <v>#N/A</v>
      </c>
      <c r="AH27" s="670" t="e">
        <f>'Monthly Data Input'!DH39</f>
        <v>#N/A</v>
      </c>
      <c r="AI27" s="670" t="e">
        <f>'Monthly Data Input'!DI39</f>
        <v>#N/A</v>
      </c>
      <c r="AJ27" s="670" t="e">
        <f>'Monthly Data Input'!DJ39</f>
        <v>#N/A</v>
      </c>
      <c r="AK27" s="670" t="e">
        <f>'Monthly Data Input'!DK39</f>
        <v>#N/A</v>
      </c>
      <c r="AL27" s="670" t="e">
        <f>'Monthly Data Input'!DL39</f>
        <v>#N/A</v>
      </c>
      <c r="AM27" s="670" t="e">
        <f>'Monthly Data Input'!DM39</f>
        <v>#N/A</v>
      </c>
    </row>
    <row r="28" spans="2:39" hidden="1" outlineLevel="1" x14ac:dyDescent="0.25">
      <c r="B28" s="1481"/>
      <c r="C28" s="275" t="str">
        <f>IF(Language="English", 'Language Look Ups'!$P$19,IF(Language="Francais", 'Language Look Ups'!$T$19, 'Language Look Ups'!$R$19))</f>
        <v>Autre Injectable</v>
      </c>
      <c r="D28" s="667" t="e">
        <f>'Monthly Data Input'!CD40</f>
        <v>#N/A</v>
      </c>
      <c r="E28" s="667" t="e">
        <f>'Monthly Data Input'!CE40</f>
        <v>#N/A</v>
      </c>
      <c r="F28" s="667" t="e">
        <f>'Monthly Data Input'!CF40</f>
        <v>#N/A</v>
      </c>
      <c r="G28" s="667" t="e">
        <f>'Monthly Data Input'!CG40</f>
        <v>#N/A</v>
      </c>
      <c r="H28" s="667" t="e">
        <f>'Monthly Data Input'!CH40</f>
        <v>#N/A</v>
      </c>
      <c r="I28" s="667" t="e">
        <f>'Monthly Data Input'!CI40</f>
        <v>#N/A</v>
      </c>
      <c r="J28" s="667" t="e">
        <f>'Monthly Data Input'!CJ40</f>
        <v>#N/A</v>
      </c>
      <c r="K28" s="667" t="e">
        <f>'Monthly Data Input'!CK40</f>
        <v>#N/A</v>
      </c>
      <c r="L28" s="667" t="e">
        <f>'Monthly Data Input'!CL40</f>
        <v>#N/A</v>
      </c>
      <c r="M28" s="667" t="e">
        <f>'Monthly Data Input'!CM40</f>
        <v>#N/A</v>
      </c>
      <c r="N28" s="667" t="e">
        <f>'Monthly Data Input'!CN40</f>
        <v>#N/A</v>
      </c>
      <c r="O28" s="667" t="e">
        <f>'Monthly Data Input'!CO40</f>
        <v>#N/A</v>
      </c>
      <c r="P28" s="667" t="e">
        <f>'Monthly Data Input'!CP40</f>
        <v>#N/A</v>
      </c>
      <c r="Q28" s="667" t="e">
        <f>'Monthly Data Input'!CQ40</f>
        <v>#N/A</v>
      </c>
      <c r="R28" s="667" t="e">
        <f>'Monthly Data Input'!CR40</f>
        <v>#N/A</v>
      </c>
      <c r="S28" s="667" t="e">
        <f>'Monthly Data Input'!CS40</f>
        <v>#N/A</v>
      </c>
      <c r="T28" s="667" t="e">
        <f>'Monthly Data Input'!CT40</f>
        <v>#N/A</v>
      </c>
      <c r="U28" s="667" t="e">
        <f>'Monthly Data Input'!CU40</f>
        <v>#N/A</v>
      </c>
      <c r="V28" s="667" t="e">
        <f>'Monthly Data Input'!CV40</f>
        <v>#N/A</v>
      </c>
      <c r="W28" s="667" t="e">
        <f>'Monthly Data Input'!CW40</f>
        <v>#N/A</v>
      </c>
      <c r="X28" s="667" t="e">
        <f>'Monthly Data Input'!CX40</f>
        <v>#N/A</v>
      </c>
      <c r="Y28" s="667" t="e">
        <f>'Monthly Data Input'!CY40</f>
        <v>#N/A</v>
      </c>
      <c r="Z28" s="667" t="e">
        <f>'Monthly Data Input'!CZ40</f>
        <v>#N/A</v>
      </c>
      <c r="AA28" s="667" t="e">
        <f>'Monthly Data Input'!DA40</f>
        <v>#N/A</v>
      </c>
      <c r="AB28" s="667" t="e">
        <f>'Monthly Data Input'!DB40</f>
        <v>#N/A</v>
      </c>
      <c r="AC28" s="667" t="e">
        <f>'Monthly Data Input'!DC40</f>
        <v>#N/A</v>
      </c>
      <c r="AD28" s="667" t="e">
        <f>'Monthly Data Input'!DD40</f>
        <v>#N/A</v>
      </c>
      <c r="AE28" s="667" t="e">
        <f>'Monthly Data Input'!DE40</f>
        <v>#N/A</v>
      </c>
      <c r="AF28" s="667" t="e">
        <f>'Monthly Data Input'!DF40</f>
        <v>#N/A</v>
      </c>
      <c r="AG28" s="667" t="e">
        <f>'Monthly Data Input'!DG40</f>
        <v>#N/A</v>
      </c>
      <c r="AH28" s="667" t="e">
        <f>'Monthly Data Input'!DH40</f>
        <v>#N/A</v>
      </c>
      <c r="AI28" s="667" t="e">
        <f>'Monthly Data Input'!DI40</f>
        <v>#N/A</v>
      </c>
      <c r="AJ28" s="667" t="e">
        <f>'Monthly Data Input'!DJ40</f>
        <v>#N/A</v>
      </c>
      <c r="AK28" s="667" t="e">
        <f>'Monthly Data Input'!DK40</f>
        <v>#N/A</v>
      </c>
      <c r="AL28" s="667" t="e">
        <f>'Monthly Data Input'!DL40</f>
        <v>#N/A</v>
      </c>
      <c r="AM28" s="667" t="e">
        <f>'Monthly Data Input'!DM40</f>
        <v>#N/A</v>
      </c>
    </row>
    <row r="29" spans="2:39" hidden="1" outlineLevel="1" x14ac:dyDescent="0.25">
      <c r="B29" s="1480" t="str">
        <f>IF(Language="English", 'Language Look Ups'!$O$20,IF(Language="Francais", 'Language Look Ups'!$S$20, 'Language Look Ups'!#REF!))</f>
        <v>Pilule</v>
      </c>
      <c r="C29" s="363" t="str">
        <f>IF(Language="English", 'Language Look Ups'!$P$20,IF(Language="Francais", 'Language Look Ups'!$T$20, 'Language Look Ups'!$R$20))</f>
        <v>Oraux combinés (COC)</v>
      </c>
      <c r="D29" s="664" t="e">
        <f>'Monthly Data Input'!CD41</f>
        <v>#N/A</v>
      </c>
      <c r="E29" s="664" t="e">
        <f>'Monthly Data Input'!CE41</f>
        <v>#N/A</v>
      </c>
      <c r="F29" s="664" t="e">
        <f>'Monthly Data Input'!CF41</f>
        <v>#N/A</v>
      </c>
      <c r="G29" s="664" t="e">
        <f>'Monthly Data Input'!CG41</f>
        <v>#N/A</v>
      </c>
      <c r="H29" s="664" t="e">
        <f>'Monthly Data Input'!CH41</f>
        <v>#N/A</v>
      </c>
      <c r="I29" s="664" t="e">
        <f>'Monthly Data Input'!CI41</f>
        <v>#N/A</v>
      </c>
      <c r="J29" s="664" t="e">
        <f>'Monthly Data Input'!CJ41</f>
        <v>#N/A</v>
      </c>
      <c r="K29" s="664" t="e">
        <f>'Monthly Data Input'!CK41</f>
        <v>#N/A</v>
      </c>
      <c r="L29" s="664" t="e">
        <f>'Monthly Data Input'!CL41</f>
        <v>#N/A</v>
      </c>
      <c r="M29" s="664" t="e">
        <f>'Monthly Data Input'!CM41</f>
        <v>#N/A</v>
      </c>
      <c r="N29" s="664" t="e">
        <f>'Monthly Data Input'!CN41</f>
        <v>#N/A</v>
      </c>
      <c r="O29" s="664" t="e">
        <f>'Monthly Data Input'!CO41</f>
        <v>#N/A</v>
      </c>
      <c r="P29" s="664" t="e">
        <f>'Monthly Data Input'!CP41</f>
        <v>#N/A</v>
      </c>
      <c r="Q29" s="664" t="e">
        <f>'Monthly Data Input'!CQ41</f>
        <v>#N/A</v>
      </c>
      <c r="R29" s="664" t="e">
        <f>'Monthly Data Input'!CR41</f>
        <v>#N/A</v>
      </c>
      <c r="S29" s="664" t="e">
        <f>'Monthly Data Input'!CS41</f>
        <v>#N/A</v>
      </c>
      <c r="T29" s="664" t="e">
        <f>'Monthly Data Input'!CT41</f>
        <v>#N/A</v>
      </c>
      <c r="U29" s="664" t="e">
        <f>'Monthly Data Input'!CU41</f>
        <v>#N/A</v>
      </c>
      <c r="V29" s="664" t="e">
        <f>'Monthly Data Input'!CV41</f>
        <v>#N/A</v>
      </c>
      <c r="W29" s="664" t="e">
        <f>'Monthly Data Input'!CW41</f>
        <v>#N/A</v>
      </c>
      <c r="X29" s="664" t="e">
        <f>'Monthly Data Input'!CX41</f>
        <v>#N/A</v>
      </c>
      <c r="Y29" s="664" t="e">
        <f>'Monthly Data Input'!CY41</f>
        <v>#N/A</v>
      </c>
      <c r="Z29" s="664" t="e">
        <f>'Monthly Data Input'!CZ41</f>
        <v>#N/A</v>
      </c>
      <c r="AA29" s="664" t="e">
        <f>'Monthly Data Input'!DA41</f>
        <v>#N/A</v>
      </c>
      <c r="AB29" s="664" t="e">
        <f>'Monthly Data Input'!DB41</f>
        <v>#N/A</v>
      </c>
      <c r="AC29" s="664" t="e">
        <f>'Monthly Data Input'!DC41</f>
        <v>#N/A</v>
      </c>
      <c r="AD29" s="664" t="e">
        <f>'Monthly Data Input'!DD41</f>
        <v>#N/A</v>
      </c>
      <c r="AE29" s="664" t="e">
        <f>'Monthly Data Input'!DE41</f>
        <v>#N/A</v>
      </c>
      <c r="AF29" s="664" t="e">
        <f>'Monthly Data Input'!DF41</f>
        <v>#N/A</v>
      </c>
      <c r="AG29" s="664" t="e">
        <f>'Monthly Data Input'!DG41</f>
        <v>#N/A</v>
      </c>
      <c r="AH29" s="664" t="e">
        <f>'Monthly Data Input'!DH41</f>
        <v>#N/A</v>
      </c>
      <c r="AI29" s="664" t="e">
        <f>'Monthly Data Input'!DI41</f>
        <v>#N/A</v>
      </c>
      <c r="AJ29" s="664" t="e">
        <f>'Monthly Data Input'!DJ41</f>
        <v>#N/A</v>
      </c>
      <c r="AK29" s="664" t="e">
        <f>'Monthly Data Input'!DK41</f>
        <v>#N/A</v>
      </c>
      <c r="AL29" s="664" t="e">
        <f>'Monthly Data Input'!DL41</f>
        <v>#N/A</v>
      </c>
      <c r="AM29" s="664" t="e">
        <f>'Monthly Data Input'!DM41</f>
        <v>#N/A</v>
      </c>
    </row>
    <row r="30" spans="2:39" hidden="1" outlineLevel="1" x14ac:dyDescent="0.25">
      <c r="B30" s="1482"/>
      <c r="C30" s="277" t="str">
        <f>IF(Language="English", 'Language Look Ups'!$P$21,IF(Language="Francais", 'Language Look Ups'!$T$21, 'Language Look Ups'!$R$21))</f>
        <v>Progestatifs seul (POP)</v>
      </c>
      <c r="D30" s="670" t="e">
        <f>'Monthly Data Input'!CD42</f>
        <v>#N/A</v>
      </c>
      <c r="E30" s="670" t="e">
        <f>'Monthly Data Input'!CE42</f>
        <v>#N/A</v>
      </c>
      <c r="F30" s="670" t="e">
        <f>'Monthly Data Input'!CF42</f>
        <v>#N/A</v>
      </c>
      <c r="G30" s="670" t="e">
        <f>'Monthly Data Input'!CG42</f>
        <v>#N/A</v>
      </c>
      <c r="H30" s="670" t="e">
        <f>'Monthly Data Input'!CH42</f>
        <v>#N/A</v>
      </c>
      <c r="I30" s="670" t="e">
        <f>'Monthly Data Input'!CI42</f>
        <v>#N/A</v>
      </c>
      <c r="J30" s="670" t="e">
        <f>'Monthly Data Input'!CJ42</f>
        <v>#N/A</v>
      </c>
      <c r="K30" s="670" t="e">
        <f>'Monthly Data Input'!CK42</f>
        <v>#N/A</v>
      </c>
      <c r="L30" s="670" t="e">
        <f>'Monthly Data Input'!CL42</f>
        <v>#N/A</v>
      </c>
      <c r="M30" s="670" t="e">
        <f>'Monthly Data Input'!CM42</f>
        <v>#N/A</v>
      </c>
      <c r="N30" s="670" t="e">
        <f>'Monthly Data Input'!CN42</f>
        <v>#N/A</v>
      </c>
      <c r="O30" s="670" t="e">
        <f>'Monthly Data Input'!CO42</f>
        <v>#N/A</v>
      </c>
      <c r="P30" s="670" t="e">
        <f>'Monthly Data Input'!CP42</f>
        <v>#N/A</v>
      </c>
      <c r="Q30" s="670" t="e">
        <f>'Monthly Data Input'!CQ42</f>
        <v>#N/A</v>
      </c>
      <c r="R30" s="670" t="e">
        <f>'Monthly Data Input'!CR42</f>
        <v>#N/A</v>
      </c>
      <c r="S30" s="670" t="e">
        <f>'Monthly Data Input'!CS42</f>
        <v>#N/A</v>
      </c>
      <c r="T30" s="670" t="e">
        <f>'Monthly Data Input'!CT42</f>
        <v>#N/A</v>
      </c>
      <c r="U30" s="670" t="e">
        <f>'Monthly Data Input'!CU42</f>
        <v>#N/A</v>
      </c>
      <c r="V30" s="670" t="e">
        <f>'Monthly Data Input'!CV42</f>
        <v>#N/A</v>
      </c>
      <c r="W30" s="670" t="e">
        <f>'Monthly Data Input'!CW42</f>
        <v>#N/A</v>
      </c>
      <c r="X30" s="670" t="e">
        <f>'Monthly Data Input'!CX42</f>
        <v>#N/A</v>
      </c>
      <c r="Y30" s="670" t="e">
        <f>'Monthly Data Input'!CY42</f>
        <v>#N/A</v>
      </c>
      <c r="Z30" s="670" t="e">
        <f>'Monthly Data Input'!CZ42</f>
        <v>#N/A</v>
      </c>
      <c r="AA30" s="670" t="e">
        <f>'Monthly Data Input'!DA42</f>
        <v>#N/A</v>
      </c>
      <c r="AB30" s="670" t="e">
        <f>'Monthly Data Input'!DB42</f>
        <v>#N/A</v>
      </c>
      <c r="AC30" s="670" t="e">
        <f>'Monthly Data Input'!DC42</f>
        <v>#N/A</v>
      </c>
      <c r="AD30" s="670" t="e">
        <f>'Monthly Data Input'!DD42</f>
        <v>#N/A</v>
      </c>
      <c r="AE30" s="670" t="e">
        <f>'Monthly Data Input'!DE42</f>
        <v>#N/A</v>
      </c>
      <c r="AF30" s="670" t="e">
        <f>'Monthly Data Input'!DF42</f>
        <v>#N/A</v>
      </c>
      <c r="AG30" s="670" t="e">
        <f>'Monthly Data Input'!DG42</f>
        <v>#N/A</v>
      </c>
      <c r="AH30" s="670" t="e">
        <f>'Monthly Data Input'!DH42</f>
        <v>#N/A</v>
      </c>
      <c r="AI30" s="670" t="e">
        <f>'Monthly Data Input'!DI42</f>
        <v>#N/A</v>
      </c>
      <c r="AJ30" s="670" t="e">
        <f>'Monthly Data Input'!DJ42</f>
        <v>#N/A</v>
      </c>
      <c r="AK30" s="670" t="e">
        <f>'Monthly Data Input'!DK42</f>
        <v>#N/A</v>
      </c>
      <c r="AL30" s="670" t="e">
        <f>'Monthly Data Input'!DL42</f>
        <v>#N/A</v>
      </c>
      <c r="AM30" s="670" t="e">
        <f>'Monthly Data Input'!DM42</f>
        <v>#N/A</v>
      </c>
    </row>
    <row r="31" spans="2:39" hidden="1" outlineLevel="1" x14ac:dyDescent="0.25">
      <c r="B31" s="1481"/>
      <c r="C31" s="275" t="str">
        <f>IF(Language="English", 'Language Look Ups'!$P$22,IF(Language="Francais", 'Language Look Ups'!$T$22, 'Language Look Ups'!$R$22))</f>
        <v>Autre pilule</v>
      </c>
      <c r="D31" s="667" t="e">
        <f>'Monthly Data Input'!CD43</f>
        <v>#N/A</v>
      </c>
      <c r="E31" s="667" t="e">
        <f>'Monthly Data Input'!CE43</f>
        <v>#N/A</v>
      </c>
      <c r="F31" s="667" t="e">
        <f>'Monthly Data Input'!CF43</f>
        <v>#N/A</v>
      </c>
      <c r="G31" s="667" t="e">
        <f>'Monthly Data Input'!CG43</f>
        <v>#N/A</v>
      </c>
      <c r="H31" s="667" t="e">
        <f>'Monthly Data Input'!CH43</f>
        <v>#N/A</v>
      </c>
      <c r="I31" s="667" t="e">
        <f>'Monthly Data Input'!CI43</f>
        <v>#N/A</v>
      </c>
      <c r="J31" s="667" t="e">
        <f>'Monthly Data Input'!CJ43</f>
        <v>#N/A</v>
      </c>
      <c r="K31" s="667" t="e">
        <f>'Monthly Data Input'!CK43</f>
        <v>#N/A</v>
      </c>
      <c r="L31" s="667" t="e">
        <f>'Monthly Data Input'!CL43</f>
        <v>#N/A</v>
      </c>
      <c r="M31" s="667" t="e">
        <f>'Monthly Data Input'!CM43</f>
        <v>#N/A</v>
      </c>
      <c r="N31" s="667" t="e">
        <f>'Monthly Data Input'!CN43</f>
        <v>#N/A</v>
      </c>
      <c r="O31" s="667" t="e">
        <f>'Monthly Data Input'!CO43</f>
        <v>#N/A</v>
      </c>
      <c r="P31" s="667" t="e">
        <f>'Monthly Data Input'!CP43</f>
        <v>#N/A</v>
      </c>
      <c r="Q31" s="667" t="e">
        <f>'Monthly Data Input'!CQ43</f>
        <v>#N/A</v>
      </c>
      <c r="R31" s="667" t="e">
        <f>'Monthly Data Input'!CR43</f>
        <v>#N/A</v>
      </c>
      <c r="S31" s="667" t="e">
        <f>'Monthly Data Input'!CS43</f>
        <v>#N/A</v>
      </c>
      <c r="T31" s="667" t="e">
        <f>'Monthly Data Input'!CT43</f>
        <v>#N/A</v>
      </c>
      <c r="U31" s="667" t="e">
        <f>'Monthly Data Input'!CU43</f>
        <v>#N/A</v>
      </c>
      <c r="V31" s="667" t="e">
        <f>'Monthly Data Input'!CV43</f>
        <v>#N/A</v>
      </c>
      <c r="W31" s="667" t="e">
        <f>'Monthly Data Input'!CW43</f>
        <v>#N/A</v>
      </c>
      <c r="X31" s="667" t="e">
        <f>'Monthly Data Input'!CX43</f>
        <v>#N/A</v>
      </c>
      <c r="Y31" s="667" t="e">
        <f>'Monthly Data Input'!CY43</f>
        <v>#N/A</v>
      </c>
      <c r="Z31" s="667" t="e">
        <f>'Monthly Data Input'!CZ43</f>
        <v>#N/A</v>
      </c>
      <c r="AA31" s="667" t="e">
        <f>'Monthly Data Input'!DA43</f>
        <v>#N/A</v>
      </c>
      <c r="AB31" s="667" t="e">
        <f>'Monthly Data Input'!DB43</f>
        <v>#N/A</v>
      </c>
      <c r="AC31" s="667" t="e">
        <f>'Monthly Data Input'!DC43</f>
        <v>#N/A</v>
      </c>
      <c r="AD31" s="667" t="e">
        <f>'Monthly Data Input'!DD43</f>
        <v>#N/A</v>
      </c>
      <c r="AE31" s="667" t="e">
        <f>'Monthly Data Input'!DE43</f>
        <v>#N/A</v>
      </c>
      <c r="AF31" s="667" t="e">
        <f>'Monthly Data Input'!DF43</f>
        <v>#N/A</v>
      </c>
      <c r="AG31" s="667" t="e">
        <f>'Monthly Data Input'!DG43</f>
        <v>#N/A</v>
      </c>
      <c r="AH31" s="667" t="e">
        <f>'Monthly Data Input'!DH43</f>
        <v>#N/A</v>
      </c>
      <c r="AI31" s="667" t="e">
        <f>'Monthly Data Input'!DI43</f>
        <v>#N/A</v>
      </c>
      <c r="AJ31" s="667" t="e">
        <f>'Monthly Data Input'!DJ43</f>
        <v>#N/A</v>
      </c>
      <c r="AK31" s="667" t="e">
        <f>'Monthly Data Input'!DK43</f>
        <v>#N/A</v>
      </c>
      <c r="AL31" s="667" t="e">
        <f>'Monthly Data Input'!DL43</f>
        <v>#N/A</v>
      </c>
      <c r="AM31" s="667" t="e">
        <f>'Monthly Data Input'!DM43</f>
        <v>#N/A</v>
      </c>
    </row>
    <row r="32" spans="2:39" hidden="1" outlineLevel="1" x14ac:dyDescent="0.25">
      <c r="B32" s="1480" t="str">
        <f>IF(Language="English", 'Language Look Ups'!$O$23,IF(Language="Francais", 'Language Look Ups'!$S$23, 'Language Look Ups'!#REF!))</f>
        <v>Préservatifs</v>
      </c>
      <c r="C32" s="363" t="str">
        <f>IF(Language="English", 'Language Look Ups'!$P$23,IF(Language="Francais", 'Language Look Ups'!$T$23, 'Language Look Ups'!$R$23))</f>
        <v>Préservatifs masculin</v>
      </c>
      <c r="D32" s="664" t="e">
        <f>'Monthly Data Input'!CD44</f>
        <v>#N/A</v>
      </c>
      <c r="E32" s="664" t="e">
        <f>'Monthly Data Input'!CE44</f>
        <v>#N/A</v>
      </c>
      <c r="F32" s="664" t="e">
        <f>'Monthly Data Input'!CF44</f>
        <v>#N/A</v>
      </c>
      <c r="G32" s="664" t="e">
        <f>'Monthly Data Input'!CG44</f>
        <v>#N/A</v>
      </c>
      <c r="H32" s="664" t="e">
        <f>'Monthly Data Input'!CH44</f>
        <v>#N/A</v>
      </c>
      <c r="I32" s="664" t="e">
        <f>'Monthly Data Input'!CI44</f>
        <v>#N/A</v>
      </c>
      <c r="J32" s="664" t="e">
        <f>'Monthly Data Input'!CJ44</f>
        <v>#N/A</v>
      </c>
      <c r="K32" s="664" t="e">
        <f>'Monthly Data Input'!CK44</f>
        <v>#N/A</v>
      </c>
      <c r="L32" s="664" t="e">
        <f>'Monthly Data Input'!CL44</f>
        <v>#N/A</v>
      </c>
      <c r="M32" s="664" t="e">
        <f>'Monthly Data Input'!CM44</f>
        <v>#N/A</v>
      </c>
      <c r="N32" s="664" t="e">
        <f>'Monthly Data Input'!CN44</f>
        <v>#N/A</v>
      </c>
      <c r="O32" s="664" t="e">
        <f>'Monthly Data Input'!CO44</f>
        <v>#N/A</v>
      </c>
      <c r="P32" s="664" t="e">
        <f>'Monthly Data Input'!CP44</f>
        <v>#N/A</v>
      </c>
      <c r="Q32" s="664" t="e">
        <f>'Monthly Data Input'!CQ44</f>
        <v>#N/A</v>
      </c>
      <c r="R32" s="664" t="e">
        <f>'Monthly Data Input'!CR44</f>
        <v>#N/A</v>
      </c>
      <c r="S32" s="664" t="e">
        <f>'Monthly Data Input'!CS44</f>
        <v>#N/A</v>
      </c>
      <c r="T32" s="664" t="e">
        <f>'Monthly Data Input'!CT44</f>
        <v>#N/A</v>
      </c>
      <c r="U32" s="664" t="e">
        <f>'Monthly Data Input'!CU44</f>
        <v>#N/A</v>
      </c>
      <c r="V32" s="664" t="e">
        <f>'Monthly Data Input'!CV44</f>
        <v>#N/A</v>
      </c>
      <c r="W32" s="664" t="e">
        <f>'Monthly Data Input'!CW44</f>
        <v>#N/A</v>
      </c>
      <c r="X32" s="664" t="e">
        <f>'Monthly Data Input'!CX44</f>
        <v>#N/A</v>
      </c>
      <c r="Y32" s="664" t="e">
        <f>'Monthly Data Input'!CY44</f>
        <v>#N/A</v>
      </c>
      <c r="Z32" s="664" t="e">
        <f>'Monthly Data Input'!CZ44</f>
        <v>#N/A</v>
      </c>
      <c r="AA32" s="664" t="e">
        <f>'Monthly Data Input'!DA44</f>
        <v>#N/A</v>
      </c>
      <c r="AB32" s="664" t="e">
        <f>'Monthly Data Input'!DB44</f>
        <v>#N/A</v>
      </c>
      <c r="AC32" s="664" t="e">
        <f>'Monthly Data Input'!DC44</f>
        <v>#N/A</v>
      </c>
      <c r="AD32" s="664" t="e">
        <f>'Monthly Data Input'!DD44</f>
        <v>#N/A</v>
      </c>
      <c r="AE32" s="664" t="e">
        <f>'Monthly Data Input'!DE44</f>
        <v>#N/A</v>
      </c>
      <c r="AF32" s="664" t="e">
        <f>'Monthly Data Input'!DF44</f>
        <v>#N/A</v>
      </c>
      <c r="AG32" s="664" t="e">
        <f>'Monthly Data Input'!DG44</f>
        <v>#N/A</v>
      </c>
      <c r="AH32" s="664" t="e">
        <f>'Monthly Data Input'!DH44</f>
        <v>#N/A</v>
      </c>
      <c r="AI32" s="664" t="e">
        <f>'Monthly Data Input'!DI44</f>
        <v>#N/A</v>
      </c>
      <c r="AJ32" s="664" t="e">
        <f>'Monthly Data Input'!DJ44</f>
        <v>#N/A</v>
      </c>
      <c r="AK32" s="664" t="e">
        <f>'Monthly Data Input'!DK44</f>
        <v>#N/A</v>
      </c>
      <c r="AL32" s="664" t="e">
        <f>'Monthly Data Input'!DL44</f>
        <v>#N/A</v>
      </c>
      <c r="AM32" s="664" t="e">
        <f>'Monthly Data Input'!DM44</f>
        <v>#N/A</v>
      </c>
    </row>
    <row r="33" spans="2:51" hidden="1" outlineLevel="1" x14ac:dyDescent="0.25">
      <c r="B33" s="1481"/>
      <c r="C33" s="275" t="str">
        <f>IF(Language="English", 'Language Look Ups'!$P$24,IF(Language="Francais", 'Language Look Ups'!$T$24, 'Language Look Ups'!$R$24))</f>
        <v>Préservatifs feminin</v>
      </c>
      <c r="D33" s="667" t="e">
        <f>'Monthly Data Input'!CD45</f>
        <v>#N/A</v>
      </c>
      <c r="E33" s="667" t="e">
        <f>'Monthly Data Input'!CE45</f>
        <v>#N/A</v>
      </c>
      <c r="F33" s="667" t="e">
        <f>'Monthly Data Input'!CF45</f>
        <v>#N/A</v>
      </c>
      <c r="G33" s="667" t="e">
        <f>'Monthly Data Input'!CG45</f>
        <v>#N/A</v>
      </c>
      <c r="H33" s="667" t="e">
        <f>'Monthly Data Input'!CH45</f>
        <v>#N/A</v>
      </c>
      <c r="I33" s="667" t="e">
        <f>'Monthly Data Input'!CI45</f>
        <v>#N/A</v>
      </c>
      <c r="J33" s="667" t="e">
        <f>'Monthly Data Input'!CJ45</f>
        <v>#N/A</v>
      </c>
      <c r="K33" s="667" t="e">
        <f>'Monthly Data Input'!CK45</f>
        <v>#N/A</v>
      </c>
      <c r="L33" s="667" t="e">
        <f>'Monthly Data Input'!CL45</f>
        <v>#N/A</v>
      </c>
      <c r="M33" s="667" t="e">
        <f>'Monthly Data Input'!CM45</f>
        <v>#N/A</v>
      </c>
      <c r="N33" s="667" t="e">
        <f>'Monthly Data Input'!CN45</f>
        <v>#N/A</v>
      </c>
      <c r="O33" s="667" t="e">
        <f>'Monthly Data Input'!CO45</f>
        <v>#N/A</v>
      </c>
      <c r="P33" s="667" t="e">
        <f>'Monthly Data Input'!CP45</f>
        <v>#N/A</v>
      </c>
      <c r="Q33" s="667" t="e">
        <f>'Monthly Data Input'!CQ45</f>
        <v>#N/A</v>
      </c>
      <c r="R33" s="667" t="e">
        <f>'Monthly Data Input'!CR45</f>
        <v>#N/A</v>
      </c>
      <c r="S33" s="667" t="e">
        <f>'Monthly Data Input'!CS45</f>
        <v>#N/A</v>
      </c>
      <c r="T33" s="667" t="e">
        <f>'Monthly Data Input'!CT45</f>
        <v>#N/A</v>
      </c>
      <c r="U33" s="667" t="e">
        <f>'Monthly Data Input'!CU45</f>
        <v>#N/A</v>
      </c>
      <c r="V33" s="667" t="e">
        <f>'Monthly Data Input'!CV45</f>
        <v>#N/A</v>
      </c>
      <c r="W33" s="667" t="e">
        <f>'Monthly Data Input'!CW45</f>
        <v>#N/A</v>
      </c>
      <c r="X33" s="667" t="e">
        <f>'Monthly Data Input'!CX45</f>
        <v>#N/A</v>
      </c>
      <c r="Y33" s="667" t="e">
        <f>'Monthly Data Input'!CY45</f>
        <v>#N/A</v>
      </c>
      <c r="Z33" s="667" t="e">
        <f>'Monthly Data Input'!CZ45</f>
        <v>#N/A</v>
      </c>
      <c r="AA33" s="667" t="e">
        <f>'Monthly Data Input'!DA45</f>
        <v>#N/A</v>
      </c>
      <c r="AB33" s="667" t="e">
        <f>'Monthly Data Input'!DB45</f>
        <v>#N/A</v>
      </c>
      <c r="AC33" s="667" t="e">
        <f>'Monthly Data Input'!DC45</f>
        <v>#N/A</v>
      </c>
      <c r="AD33" s="667" t="e">
        <f>'Monthly Data Input'!DD45</f>
        <v>#N/A</v>
      </c>
      <c r="AE33" s="667" t="e">
        <f>'Monthly Data Input'!DE45</f>
        <v>#N/A</v>
      </c>
      <c r="AF33" s="667" t="e">
        <f>'Monthly Data Input'!DF45</f>
        <v>#N/A</v>
      </c>
      <c r="AG33" s="667" t="e">
        <f>'Monthly Data Input'!DG45</f>
        <v>#N/A</v>
      </c>
      <c r="AH33" s="667" t="e">
        <f>'Monthly Data Input'!DH45</f>
        <v>#N/A</v>
      </c>
      <c r="AI33" s="667" t="e">
        <f>'Monthly Data Input'!DI45</f>
        <v>#N/A</v>
      </c>
      <c r="AJ33" s="667" t="e">
        <f>'Monthly Data Input'!DJ45</f>
        <v>#N/A</v>
      </c>
      <c r="AK33" s="667" t="e">
        <f>'Monthly Data Input'!DK45</f>
        <v>#N/A</v>
      </c>
      <c r="AL33" s="667" t="e">
        <f>'Monthly Data Input'!DL45</f>
        <v>#N/A</v>
      </c>
      <c r="AM33" s="667" t="e">
        <f>'Monthly Data Input'!DM45</f>
        <v>#N/A</v>
      </c>
    </row>
    <row r="34" spans="2:51" hidden="1" outlineLevel="1" x14ac:dyDescent="0.25">
      <c r="B34" s="1480" t="str">
        <f>IF(Language="English", 'Language Look Ups'!$O$25,IF(Language="Francais", 'Language Look Ups'!$S$25, 'Language Look Ups'!#REF!))</f>
        <v>Autres Méthodes Modernes</v>
      </c>
      <c r="C34" s="363" t="str">
        <f>IF(Language="English", 'Language Look Ups'!$P$25,IF(Language="Francais", 'Language Look Ups'!$T$25, 'Language Look Ups'!$R$25))</f>
        <v>MAMA</v>
      </c>
      <c r="D34" s="664" t="e">
        <f>'Monthly Data Input'!CD46</f>
        <v>#N/A</v>
      </c>
      <c r="E34" s="664" t="e">
        <f>'Monthly Data Input'!CE46</f>
        <v>#N/A</v>
      </c>
      <c r="F34" s="664" t="e">
        <f>'Monthly Data Input'!CF46</f>
        <v>#N/A</v>
      </c>
      <c r="G34" s="664" t="e">
        <f>'Monthly Data Input'!CG46</f>
        <v>#N/A</v>
      </c>
      <c r="H34" s="664" t="e">
        <f>'Monthly Data Input'!CH46</f>
        <v>#N/A</v>
      </c>
      <c r="I34" s="664" t="e">
        <f>'Monthly Data Input'!CI46</f>
        <v>#N/A</v>
      </c>
      <c r="J34" s="664" t="e">
        <f>'Monthly Data Input'!CJ46</f>
        <v>#N/A</v>
      </c>
      <c r="K34" s="664" t="e">
        <f>'Monthly Data Input'!CK46</f>
        <v>#N/A</v>
      </c>
      <c r="L34" s="664" t="e">
        <f>'Monthly Data Input'!CL46</f>
        <v>#N/A</v>
      </c>
      <c r="M34" s="664" t="e">
        <f>'Monthly Data Input'!CM46</f>
        <v>#N/A</v>
      </c>
      <c r="N34" s="664" t="e">
        <f>'Monthly Data Input'!CN46</f>
        <v>#N/A</v>
      </c>
      <c r="O34" s="664" t="e">
        <f>'Monthly Data Input'!CO46</f>
        <v>#N/A</v>
      </c>
      <c r="P34" s="664" t="e">
        <f>'Monthly Data Input'!CP46</f>
        <v>#N/A</v>
      </c>
      <c r="Q34" s="664" t="e">
        <f>'Monthly Data Input'!CQ46</f>
        <v>#N/A</v>
      </c>
      <c r="R34" s="664" t="e">
        <f>'Monthly Data Input'!CR46</f>
        <v>#N/A</v>
      </c>
      <c r="S34" s="664" t="e">
        <f>'Monthly Data Input'!CS46</f>
        <v>#N/A</v>
      </c>
      <c r="T34" s="664" t="e">
        <f>'Monthly Data Input'!CT46</f>
        <v>#N/A</v>
      </c>
      <c r="U34" s="664" t="e">
        <f>'Monthly Data Input'!CU46</f>
        <v>#N/A</v>
      </c>
      <c r="V34" s="664" t="e">
        <f>'Monthly Data Input'!CV46</f>
        <v>#N/A</v>
      </c>
      <c r="W34" s="664" t="e">
        <f>'Monthly Data Input'!CW46</f>
        <v>#N/A</v>
      </c>
      <c r="X34" s="664" t="e">
        <f>'Monthly Data Input'!CX46</f>
        <v>#N/A</v>
      </c>
      <c r="Y34" s="664" t="e">
        <f>'Monthly Data Input'!CY46</f>
        <v>#N/A</v>
      </c>
      <c r="Z34" s="664" t="e">
        <f>'Monthly Data Input'!CZ46</f>
        <v>#N/A</v>
      </c>
      <c r="AA34" s="664" t="e">
        <f>'Monthly Data Input'!DA46</f>
        <v>#N/A</v>
      </c>
      <c r="AB34" s="664" t="e">
        <f>'Monthly Data Input'!DB46</f>
        <v>#N/A</v>
      </c>
      <c r="AC34" s="664" t="e">
        <f>'Monthly Data Input'!DC46</f>
        <v>#N/A</v>
      </c>
      <c r="AD34" s="664" t="e">
        <f>'Monthly Data Input'!DD46</f>
        <v>#N/A</v>
      </c>
      <c r="AE34" s="664" t="e">
        <f>'Monthly Data Input'!DE46</f>
        <v>#N/A</v>
      </c>
      <c r="AF34" s="664" t="e">
        <f>'Monthly Data Input'!DF46</f>
        <v>#N/A</v>
      </c>
      <c r="AG34" s="664" t="e">
        <f>'Monthly Data Input'!DG46</f>
        <v>#N/A</v>
      </c>
      <c r="AH34" s="664" t="e">
        <f>'Monthly Data Input'!DH46</f>
        <v>#N/A</v>
      </c>
      <c r="AI34" s="664" t="e">
        <f>'Monthly Data Input'!DI46</f>
        <v>#N/A</v>
      </c>
      <c r="AJ34" s="664" t="e">
        <f>'Monthly Data Input'!DJ46</f>
        <v>#N/A</v>
      </c>
      <c r="AK34" s="664" t="e">
        <f>'Monthly Data Input'!DK46</f>
        <v>#N/A</v>
      </c>
      <c r="AL34" s="664" t="e">
        <f>'Monthly Data Input'!DL46</f>
        <v>#N/A</v>
      </c>
      <c r="AM34" s="664" t="e">
        <f>'Monthly Data Input'!DM46</f>
        <v>#N/A</v>
      </c>
    </row>
    <row r="35" spans="2:51" hidden="1" outlineLevel="1" x14ac:dyDescent="0.25">
      <c r="B35" s="1482"/>
      <c r="C35" s="277" t="str">
        <f>IF(Language="English", 'Language Look Ups'!$P$26,IF(Language="Francais", 'Language Look Ups'!$T$26, 'Language Look Ups'!$R$26))</f>
        <v>MJF (Jours fixes)</v>
      </c>
      <c r="D35" s="670" t="e">
        <f>'Monthly Data Input'!CD47</f>
        <v>#N/A</v>
      </c>
      <c r="E35" s="670" t="e">
        <f>'Monthly Data Input'!CE47</f>
        <v>#N/A</v>
      </c>
      <c r="F35" s="670" t="e">
        <f>'Monthly Data Input'!CF47</f>
        <v>#N/A</v>
      </c>
      <c r="G35" s="670" t="e">
        <f>'Monthly Data Input'!CG47</f>
        <v>#N/A</v>
      </c>
      <c r="H35" s="670" t="e">
        <f>'Monthly Data Input'!CH47</f>
        <v>#N/A</v>
      </c>
      <c r="I35" s="670" t="e">
        <f>'Monthly Data Input'!CI47</f>
        <v>#N/A</v>
      </c>
      <c r="J35" s="670" t="e">
        <f>'Monthly Data Input'!CJ47</f>
        <v>#N/A</v>
      </c>
      <c r="K35" s="670" t="e">
        <f>'Monthly Data Input'!CK47</f>
        <v>#N/A</v>
      </c>
      <c r="L35" s="670" t="e">
        <f>'Monthly Data Input'!CL47</f>
        <v>#N/A</v>
      </c>
      <c r="M35" s="670" t="e">
        <f>'Monthly Data Input'!CM47</f>
        <v>#N/A</v>
      </c>
      <c r="N35" s="670" t="e">
        <f>'Monthly Data Input'!CN47</f>
        <v>#N/A</v>
      </c>
      <c r="O35" s="670" t="e">
        <f>'Monthly Data Input'!CO47</f>
        <v>#N/A</v>
      </c>
      <c r="P35" s="670" t="e">
        <f>'Monthly Data Input'!CP47</f>
        <v>#N/A</v>
      </c>
      <c r="Q35" s="670" t="e">
        <f>'Monthly Data Input'!CQ47</f>
        <v>#N/A</v>
      </c>
      <c r="R35" s="670" t="e">
        <f>'Monthly Data Input'!CR47</f>
        <v>#N/A</v>
      </c>
      <c r="S35" s="670" t="e">
        <f>'Monthly Data Input'!CS47</f>
        <v>#N/A</v>
      </c>
      <c r="T35" s="670" t="e">
        <f>'Monthly Data Input'!CT47</f>
        <v>#N/A</v>
      </c>
      <c r="U35" s="670" t="e">
        <f>'Monthly Data Input'!CU47</f>
        <v>#N/A</v>
      </c>
      <c r="V35" s="670" t="e">
        <f>'Monthly Data Input'!CV47</f>
        <v>#N/A</v>
      </c>
      <c r="W35" s="670" t="e">
        <f>'Monthly Data Input'!CW47</f>
        <v>#N/A</v>
      </c>
      <c r="X35" s="670" t="e">
        <f>'Monthly Data Input'!CX47</f>
        <v>#N/A</v>
      </c>
      <c r="Y35" s="670" t="e">
        <f>'Monthly Data Input'!CY47</f>
        <v>#N/A</v>
      </c>
      <c r="Z35" s="670" t="e">
        <f>'Monthly Data Input'!CZ47</f>
        <v>#N/A</v>
      </c>
      <c r="AA35" s="670" t="e">
        <f>'Monthly Data Input'!DA47</f>
        <v>#N/A</v>
      </c>
      <c r="AB35" s="670" t="e">
        <f>'Monthly Data Input'!DB47</f>
        <v>#N/A</v>
      </c>
      <c r="AC35" s="670" t="e">
        <f>'Monthly Data Input'!DC47</f>
        <v>#N/A</v>
      </c>
      <c r="AD35" s="670" t="e">
        <f>'Monthly Data Input'!DD47</f>
        <v>#N/A</v>
      </c>
      <c r="AE35" s="670" t="e">
        <f>'Monthly Data Input'!DE47</f>
        <v>#N/A</v>
      </c>
      <c r="AF35" s="670" t="e">
        <f>'Monthly Data Input'!DF47</f>
        <v>#N/A</v>
      </c>
      <c r="AG35" s="670" t="e">
        <f>'Monthly Data Input'!DG47</f>
        <v>#N/A</v>
      </c>
      <c r="AH35" s="670" t="e">
        <f>'Monthly Data Input'!DH47</f>
        <v>#N/A</v>
      </c>
      <c r="AI35" s="670" t="e">
        <f>'Monthly Data Input'!DI47</f>
        <v>#N/A</v>
      </c>
      <c r="AJ35" s="670" t="e">
        <f>'Monthly Data Input'!DJ47</f>
        <v>#N/A</v>
      </c>
      <c r="AK35" s="670" t="e">
        <f>'Monthly Data Input'!DK47</f>
        <v>#N/A</v>
      </c>
      <c r="AL35" s="670" t="e">
        <f>'Monthly Data Input'!DL47</f>
        <v>#N/A</v>
      </c>
      <c r="AM35" s="670" t="e">
        <f>'Monthly Data Input'!DM47</f>
        <v>#N/A</v>
      </c>
    </row>
    <row r="36" spans="2:51" hidden="1" outlineLevel="1" x14ac:dyDescent="0.25">
      <c r="B36" s="1482"/>
      <c r="C36" s="277" t="str">
        <f>IF(Language="English", 'Language Look Ups'!$P$27,IF(Language="Francais", 'Language Look Ups'!$T$27, 'Language Look Ups'!$R$27))</f>
        <v>Barrière vaginale</v>
      </c>
      <c r="D36" s="670" t="e">
        <f>'Monthly Data Input'!CD48</f>
        <v>#N/A</v>
      </c>
      <c r="E36" s="670" t="e">
        <f>'Monthly Data Input'!CE48</f>
        <v>#N/A</v>
      </c>
      <c r="F36" s="670" t="e">
        <f>'Monthly Data Input'!CF48</f>
        <v>#N/A</v>
      </c>
      <c r="G36" s="670" t="e">
        <f>'Monthly Data Input'!CG48</f>
        <v>#N/A</v>
      </c>
      <c r="H36" s="670" t="e">
        <f>'Monthly Data Input'!CH48</f>
        <v>#N/A</v>
      </c>
      <c r="I36" s="670" t="e">
        <f>'Monthly Data Input'!CI48</f>
        <v>#N/A</v>
      </c>
      <c r="J36" s="670" t="e">
        <f>'Monthly Data Input'!CJ48</f>
        <v>#N/A</v>
      </c>
      <c r="K36" s="670" t="e">
        <f>'Monthly Data Input'!CK48</f>
        <v>#N/A</v>
      </c>
      <c r="L36" s="670" t="e">
        <f>'Monthly Data Input'!CL48</f>
        <v>#N/A</v>
      </c>
      <c r="M36" s="670" t="e">
        <f>'Monthly Data Input'!CM48</f>
        <v>#N/A</v>
      </c>
      <c r="N36" s="670" t="e">
        <f>'Monthly Data Input'!CN48</f>
        <v>#N/A</v>
      </c>
      <c r="O36" s="670" t="e">
        <f>'Monthly Data Input'!CO48</f>
        <v>#N/A</v>
      </c>
      <c r="P36" s="670" t="e">
        <f>'Monthly Data Input'!CP48</f>
        <v>#N/A</v>
      </c>
      <c r="Q36" s="670" t="e">
        <f>'Monthly Data Input'!CQ48</f>
        <v>#N/A</v>
      </c>
      <c r="R36" s="670" t="e">
        <f>'Monthly Data Input'!CR48</f>
        <v>#N/A</v>
      </c>
      <c r="S36" s="670" t="e">
        <f>'Monthly Data Input'!CS48</f>
        <v>#N/A</v>
      </c>
      <c r="T36" s="670" t="e">
        <f>'Monthly Data Input'!CT48</f>
        <v>#N/A</v>
      </c>
      <c r="U36" s="670" t="e">
        <f>'Monthly Data Input'!CU48</f>
        <v>#N/A</v>
      </c>
      <c r="V36" s="670" t="e">
        <f>'Monthly Data Input'!CV48</f>
        <v>#N/A</v>
      </c>
      <c r="W36" s="670" t="e">
        <f>'Monthly Data Input'!CW48</f>
        <v>#N/A</v>
      </c>
      <c r="X36" s="670" t="e">
        <f>'Monthly Data Input'!CX48</f>
        <v>#N/A</v>
      </c>
      <c r="Y36" s="670" t="e">
        <f>'Monthly Data Input'!CY48</f>
        <v>#N/A</v>
      </c>
      <c r="Z36" s="670" t="e">
        <f>'Monthly Data Input'!CZ48</f>
        <v>#N/A</v>
      </c>
      <c r="AA36" s="670" t="e">
        <f>'Monthly Data Input'!DA48</f>
        <v>#N/A</v>
      </c>
      <c r="AB36" s="670" t="e">
        <f>'Monthly Data Input'!DB48</f>
        <v>#N/A</v>
      </c>
      <c r="AC36" s="670" t="e">
        <f>'Monthly Data Input'!DC48</f>
        <v>#N/A</v>
      </c>
      <c r="AD36" s="670" t="e">
        <f>'Monthly Data Input'!DD48</f>
        <v>#N/A</v>
      </c>
      <c r="AE36" s="670" t="e">
        <f>'Monthly Data Input'!DE48</f>
        <v>#N/A</v>
      </c>
      <c r="AF36" s="670" t="e">
        <f>'Monthly Data Input'!DF48</f>
        <v>#N/A</v>
      </c>
      <c r="AG36" s="670" t="e">
        <f>'Monthly Data Input'!DG48</f>
        <v>#N/A</v>
      </c>
      <c r="AH36" s="670" t="e">
        <f>'Monthly Data Input'!DH48</f>
        <v>#N/A</v>
      </c>
      <c r="AI36" s="670" t="e">
        <f>'Monthly Data Input'!DI48</f>
        <v>#N/A</v>
      </c>
      <c r="AJ36" s="670" t="e">
        <f>'Monthly Data Input'!DJ48</f>
        <v>#N/A</v>
      </c>
      <c r="AK36" s="670" t="e">
        <f>'Monthly Data Input'!DK48</f>
        <v>#N/A</v>
      </c>
      <c r="AL36" s="670" t="e">
        <f>'Monthly Data Input'!DL48</f>
        <v>#N/A</v>
      </c>
      <c r="AM36" s="670" t="e">
        <f>'Monthly Data Input'!DM48</f>
        <v>#N/A</v>
      </c>
    </row>
    <row r="37" spans="2:51" hidden="1" outlineLevel="1" x14ac:dyDescent="0.25">
      <c r="B37" s="1481"/>
      <c r="C37" s="275" t="str">
        <f>IF(Language="English", 'Language Look Ups'!$P$28,IF(Language="Francais", 'Language Look Ups'!$T$28, 'Language Look Ups'!$R$28))</f>
        <v>Spermicides</v>
      </c>
      <c r="D37" s="667" t="e">
        <f>'Monthly Data Input'!CD49</f>
        <v>#N/A</v>
      </c>
      <c r="E37" s="667" t="e">
        <f>'Monthly Data Input'!CE49</f>
        <v>#N/A</v>
      </c>
      <c r="F37" s="667" t="e">
        <f>'Monthly Data Input'!CF49</f>
        <v>#N/A</v>
      </c>
      <c r="G37" s="667" t="e">
        <f>'Monthly Data Input'!CG49</f>
        <v>#N/A</v>
      </c>
      <c r="H37" s="667" t="e">
        <f>'Monthly Data Input'!CH49</f>
        <v>#N/A</v>
      </c>
      <c r="I37" s="667" t="e">
        <f>'Monthly Data Input'!CI49</f>
        <v>#N/A</v>
      </c>
      <c r="J37" s="667" t="e">
        <f>'Monthly Data Input'!CJ49</f>
        <v>#N/A</v>
      </c>
      <c r="K37" s="667" t="e">
        <f>'Monthly Data Input'!CK49</f>
        <v>#N/A</v>
      </c>
      <c r="L37" s="667" t="e">
        <f>'Monthly Data Input'!CL49</f>
        <v>#N/A</v>
      </c>
      <c r="M37" s="667" t="e">
        <f>'Monthly Data Input'!CM49</f>
        <v>#N/A</v>
      </c>
      <c r="N37" s="667" t="e">
        <f>'Monthly Data Input'!CN49</f>
        <v>#N/A</v>
      </c>
      <c r="O37" s="667" t="e">
        <f>'Monthly Data Input'!CO49</f>
        <v>#N/A</v>
      </c>
      <c r="P37" s="667" t="e">
        <f>'Monthly Data Input'!CP49</f>
        <v>#N/A</v>
      </c>
      <c r="Q37" s="667" t="e">
        <f>'Monthly Data Input'!CQ49</f>
        <v>#N/A</v>
      </c>
      <c r="R37" s="667" t="e">
        <f>'Monthly Data Input'!CR49</f>
        <v>#N/A</v>
      </c>
      <c r="S37" s="667" t="e">
        <f>'Monthly Data Input'!CS49</f>
        <v>#N/A</v>
      </c>
      <c r="T37" s="667" t="e">
        <f>'Monthly Data Input'!CT49</f>
        <v>#N/A</v>
      </c>
      <c r="U37" s="667" t="e">
        <f>'Monthly Data Input'!CU49</f>
        <v>#N/A</v>
      </c>
      <c r="V37" s="667" t="e">
        <f>'Monthly Data Input'!CV49</f>
        <v>#N/A</v>
      </c>
      <c r="W37" s="667" t="e">
        <f>'Monthly Data Input'!CW49</f>
        <v>#N/A</v>
      </c>
      <c r="X37" s="667" t="e">
        <f>'Monthly Data Input'!CX49</f>
        <v>#N/A</v>
      </c>
      <c r="Y37" s="667" t="e">
        <f>'Monthly Data Input'!CY49</f>
        <v>#N/A</v>
      </c>
      <c r="Z37" s="667" t="e">
        <f>'Monthly Data Input'!CZ49</f>
        <v>#N/A</v>
      </c>
      <c r="AA37" s="667" t="e">
        <f>'Monthly Data Input'!DA49</f>
        <v>#N/A</v>
      </c>
      <c r="AB37" s="667" t="e">
        <f>'Monthly Data Input'!DB49</f>
        <v>#N/A</v>
      </c>
      <c r="AC37" s="667" t="e">
        <f>'Monthly Data Input'!DC49</f>
        <v>#N/A</v>
      </c>
      <c r="AD37" s="667" t="e">
        <f>'Monthly Data Input'!DD49</f>
        <v>#N/A</v>
      </c>
      <c r="AE37" s="667" t="e">
        <f>'Monthly Data Input'!DE49</f>
        <v>#N/A</v>
      </c>
      <c r="AF37" s="667" t="e">
        <f>'Monthly Data Input'!DF49</f>
        <v>#N/A</v>
      </c>
      <c r="AG37" s="667" t="e">
        <f>'Monthly Data Input'!DG49</f>
        <v>#N/A</v>
      </c>
      <c r="AH37" s="667" t="e">
        <f>'Monthly Data Input'!DH49</f>
        <v>#N/A</v>
      </c>
      <c r="AI37" s="667" t="e">
        <f>'Monthly Data Input'!DI49</f>
        <v>#N/A</v>
      </c>
      <c r="AJ37" s="667" t="e">
        <f>'Monthly Data Input'!DJ49</f>
        <v>#N/A</v>
      </c>
      <c r="AK37" s="667" t="e">
        <f>'Monthly Data Input'!DK49</f>
        <v>#N/A</v>
      </c>
      <c r="AL37" s="667" t="e">
        <f>'Monthly Data Input'!DL49</f>
        <v>#N/A</v>
      </c>
      <c r="AM37" s="667" t="e">
        <f>'Monthly Data Input'!DM49</f>
        <v>#N/A</v>
      </c>
    </row>
    <row r="38" spans="2:51" ht="15.75" hidden="1" outlineLevel="1" thickBot="1" x14ac:dyDescent="0.3">
      <c r="B38" s="1131" t="str">
        <f>IF(Language="English", 'Language Look Ups'!$O$29,IF(Language="Francais", 'Language Look Ups'!$S$29, 'Language Look Ups'!#REF!))</f>
        <v>Contraception d'urgence</v>
      </c>
      <c r="C38" s="397" t="str">
        <f>IF(Language="English", 'Language Look Ups'!$P$29,IF(Language="Francais", 'Language Look Ups'!$T$29, 'Language Look Ups'!$R$29))</f>
        <v>CU</v>
      </c>
      <c r="D38" s="664" t="e">
        <f>'Monthly Data Input'!CD50</f>
        <v>#N/A</v>
      </c>
      <c r="E38" s="664" t="e">
        <f>'Monthly Data Input'!CE50</f>
        <v>#N/A</v>
      </c>
      <c r="F38" s="664" t="e">
        <f>'Monthly Data Input'!CF50</f>
        <v>#N/A</v>
      </c>
      <c r="G38" s="664" t="e">
        <f>'Monthly Data Input'!CG50</f>
        <v>#N/A</v>
      </c>
      <c r="H38" s="664" t="e">
        <f>'Monthly Data Input'!CH50</f>
        <v>#N/A</v>
      </c>
      <c r="I38" s="664" t="e">
        <f>'Monthly Data Input'!CI50</f>
        <v>#N/A</v>
      </c>
      <c r="J38" s="664" t="e">
        <f>'Monthly Data Input'!CJ50</f>
        <v>#N/A</v>
      </c>
      <c r="K38" s="664" t="e">
        <f>'Monthly Data Input'!CK50</f>
        <v>#N/A</v>
      </c>
      <c r="L38" s="664" t="e">
        <f>'Monthly Data Input'!CL50</f>
        <v>#N/A</v>
      </c>
      <c r="M38" s="664" t="e">
        <f>'Monthly Data Input'!CM50</f>
        <v>#N/A</v>
      </c>
      <c r="N38" s="664" t="e">
        <f>'Monthly Data Input'!CN50</f>
        <v>#N/A</v>
      </c>
      <c r="O38" s="664" t="e">
        <f>'Monthly Data Input'!CO50</f>
        <v>#N/A</v>
      </c>
      <c r="P38" s="664" t="e">
        <f>'Monthly Data Input'!CP50</f>
        <v>#N/A</v>
      </c>
      <c r="Q38" s="664" t="e">
        <f>'Monthly Data Input'!CQ50</f>
        <v>#N/A</v>
      </c>
      <c r="R38" s="664" t="e">
        <f>'Monthly Data Input'!CR50</f>
        <v>#N/A</v>
      </c>
      <c r="S38" s="664" t="e">
        <f>'Monthly Data Input'!CS50</f>
        <v>#N/A</v>
      </c>
      <c r="T38" s="664" t="e">
        <f>'Monthly Data Input'!CT50</f>
        <v>#N/A</v>
      </c>
      <c r="U38" s="664" t="e">
        <f>'Monthly Data Input'!CU50</f>
        <v>#N/A</v>
      </c>
      <c r="V38" s="664" t="e">
        <f>'Monthly Data Input'!CV50</f>
        <v>#N/A</v>
      </c>
      <c r="W38" s="664" t="e">
        <f>'Monthly Data Input'!CW50</f>
        <v>#N/A</v>
      </c>
      <c r="X38" s="664" t="e">
        <f>'Monthly Data Input'!CX50</f>
        <v>#N/A</v>
      </c>
      <c r="Y38" s="664" t="e">
        <f>'Monthly Data Input'!CY50</f>
        <v>#N/A</v>
      </c>
      <c r="Z38" s="664" t="e">
        <f>'Monthly Data Input'!CZ50</f>
        <v>#N/A</v>
      </c>
      <c r="AA38" s="664" t="e">
        <f>'Monthly Data Input'!DA50</f>
        <v>#N/A</v>
      </c>
      <c r="AB38" s="664" t="e">
        <f>'Monthly Data Input'!DB50</f>
        <v>#N/A</v>
      </c>
      <c r="AC38" s="664" t="e">
        <f>'Monthly Data Input'!DC50</f>
        <v>#N/A</v>
      </c>
      <c r="AD38" s="664" t="e">
        <f>'Monthly Data Input'!DD50</f>
        <v>#N/A</v>
      </c>
      <c r="AE38" s="664" t="e">
        <f>'Monthly Data Input'!DE50</f>
        <v>#N/A</v>
      </c>
      <c r="AF38" s="664" t="e">
        <f>'Monthly Data Input'!DF50</f>
        <v>#N/A</v>
      </c>
      <c r="AG38" s="664" t="e">
        <f>'Monthly Data Input'!DG50</f>
        <v>#N/A</v>
      </c>
      <c r="AH38" s="664" t="e">
        <f>'Monthly Data Input'!DH50</f>
        <v>#N/A</v>
      </c>
      <c r="AI38" s="664" t="e">
        <f>'Monthly Data Input'!DI50</f>
        <v>#N/A</v>
      </c>
      <c r="AJ38" s="664" t="e">
        <f>'Monthly Data Input'!DJ50</f>
        <v>#N/A</v>
      </c>
      <c r="AK38" s="664" t="e">
        <f>'Monthly Data Input'!DK50</f>
        <v>#N/A</v>
      </c>
      <c r="AL38" s="664" t="e">
        <f>'Monthly Data Input'!DL50</f>
        <v>#N/A</v>
      </c>
      <c r="AM38" s="664" t="e">
        <f>'Monthly Data Input'!DM50</f>
        <v>#N/A</v>
      </c>
    </row>
    <row r="39" spans="2:51" ht="21.75" collapsed="1" thickBot="1" x14ac:dyDescent="0.3">
      <c r="B39" s="429" t="e">
        <f>'Monthly Data Input'!CB51</f>
        <v>#N/A</v>
      </c>
      <c r="C39" s="430"/>
      <c r="D39" s="1230" t="e">
        <f>SUM(D15:D21,D24:D38)</f>
        <v>#N/A</v>
      </c>
      <c r="E39" s="1230" t="e">
        <f t="shared" ref="E39:AM39" si="1">SUM(E15:E21,E24:E38)</f>
        <v>#N/A</v>
      </c>
      <c r="F39" s="1230" t="e">
        <f t="shared" si="1"/>
        <v>#N/A</v>
      </c>
      <c r="G39" s="1230" t="e">
        <f t="shared" si="1"/>
        <v>#N/A</v>
      </c>
      <c r="H39" s="1230" t="e">
        <f t="shared" si="1"/>
        <v>#N/A</v>
      </c>
      <c r="I39" s="1230" t="e">
        <f t="shared" si="1"/>
        <v>#N/A</v>
      </c>
      <c r="J39" s="1230" t="e">
        <f t="shared" si="1"/>
        <v>#N/A</v>
      </c>
      <c r="K39" s="1230" t="e">
        <f t="shared" si="1"/>
        <v>#N/A</v>
      </c>
      <c r="L39" s="1230" t="e">
        <f t="shared" si="1"/>
        <v>#N/A</v>
      </c>
      <c r="M39" s="1230" t="e">
        <f t="shared" si="1"/>
        <v>#N/A</v>
      </c>
      <c r="N39" s="1230" t="e">
        <f t="shared" si="1"/>
        <v>#N/A</v>
      </c>
      <c r="O39" s="1230" t="e">
        <f t="shared" si="1"/>
        <v>#N/A</v>
      </c>
      <c r="P39" s="1230" t="e">
        <f t="shared" si="1"/>
        <v>#N/A</v>
      </c>
      <c r="Q39" s="1230" t="e">
        <f t="shared" si="1"/>
        <v>#N/A</v>
      </c>
      <c r="R39" s="1230" t="e">
        <f t="shared" si="1"/>
        <v>#N/A</v>
      </c>
      <c r="S39" s="1230" t="e">
        <f t="shared" si="1"/>
        <v>#N/A</v>
      </c>
      <c r="T39" s="1230" t="e">
        <f t="shared" si="1"/>
        <v>#N/A</v>
      </c>
      <c r="U39" s="1230" t="e">
        <f t="shared" si="1"/>
        <v>#N/A</v>
      </c>
      <c r="V39" s="1230" t="e">
        <f t="shared" si="1"/>
        <v>#N/A</v>
      </c>
      <c r="W39" s="1230" t="e">
        <f t="shared" si="1"/>
        <v>#N/A</v>
      </c>
      <c r="X39" s="1230" t="e">
        <f t="shared" si="1"/>
        <v>#N/A</v>
      </c>
      <c r="Y39" s="1230" t="e">
        <f t="shared" si="1"/>
        <v>#N/A</v>
      </c>
      <c r="Z39" s="1230" t="e">
        <f t="shared" si="1"/>
        <v>#N/A</v>
      </c>
      <c r="AA39" s="1230" t="e">
        <f t="shared" si="1"/>
        <v>#N/A</v>
      </c>
      <c r="AB39" s="1230" t="e">
        <f t="shared" si="1"/>
        <v>#N/A</v>
      </c>
      <c r="AC39" s="1230" t="e">
        <f t="shared" si="1"/>
        <v>#N/A</v>
      </c>
      <c r="AD39" s="1230" t="e">
        <f t="shared" si="1"/>
        <v>#N/A</v>
      </c>
      <c r="AE39" s="1230" t="e">
        <f t="shared" si="1"/>
        <v>#N/A</v>
      </c>
      <c r="AF39" s="1230" t="e">
        <f t="shared" si="1"/>
        <v>#N/A</v>
      </c>
      <c r="AG39" s="1230" t="e">
        <f t="shared" si="1"/>
        <v>#N/A</v>
      </c>
      <c r="AH39" s="1230" t="e">
        <f t="shared" si="1"/>
        <v>#N/A</v>
      </c>
      <c r="AI39" s="1230" t="e">
        <f t="shared" si="1"/>
        <v>#N/A</v>
      </c>
      <c r="AJ39" s="1230" t="e">
        <f t="shared" si="1"/>
        <v>#N/A</v>
      </c>
      <c r="AK39" s="1230" t="e">
        <f t="shared" si="1"/>
        <v>#N/A</v>
      </c>
      <c r="AL39" s="1230" t="e">
        <f t="shared" si="1"/>
        <v>#N/A</v>
      </c>
      <c r="AM39" s="1230" t="e">
        <f t="shared" si="1"/>
        <v>#N/A</v>
      </c>
    </row>
    <row r="40" spans="2:51" ht="8.4499999999999993" customHeight="1" x14ac:dyDescent="0.25"/>
    <row r="41" spans="2:51" ht="39.6" customHeight="1" thickBot="1" x14ac:dyDescent="0.5">
      <c r="B41" s="1699" t="str">
        <f>IF(Language="English", AW41, AY41)</f>
        <v>CAP annuels (si les données sur les produits ou les visites sont saisies) ou UTILISATRICES (si les données sur les utilisatrices sont saisies)</v>
      </c>
      <c r="C41" s="1699"/>
      <c r="D41" s="1699"/>
      <c r="E41" s="1699"/>
      <c r="F41" s="1699"/>
      <c r="G41" s="1699"/>
      <c r="H41" s="1699"/>
      <c r="I41" s="1699"/>
      <c r="J41" s="1699"/>
      <c r="K41" s="1699"/>
      <c r="L41" s="1699"/>
      <c r="M41" s="1699"/>
      <c r="N41" s="1699"/>
      <c r="O41" s="1699"/>
      <c r="P41" s="1699"/>
      <c r="Q41" s="1699"/>
      <c r="R41" s="1699"/>
      <c r="S41" s="1699"/>
      <c r="T41" s="1699"/>
      <c r="U41" s="1699"/>
      <c r="V41" s="1699"/>
      <c r="W41" s="1699"/>
      <c r="X41" s="1699"/>
      <c r="Y41" s="1699"/>
      <c r="Z41" s="1699"/>
      <c r="AA41" s="1699"/>
      <c r="AB41" s="1291"/>
      <c r="AC41" s="1291"/>
      <c r="AD41" s="1291"/>
      <c r="AE41" s="1291"/>
      <c r="AF41" s="1291"/>
      <c r="AG41" s="1291"/>
      <c r="AH41" s="1291"/>
      <c r="AI41" s="1291"/>
      <c r="AJ41" s="1291"/>
      <c r="AK41" s="1291"/>
      <c r="AW41" s="739" t="s">
        <v>2079</v>
      </c>
      <c r="AY41" s="1298" t="s">
        <v>2450</v>
      </c>
    </row>
    <row r="42" spans="2:51" ht="13.15" customHeight="1" thickTop="1" thickBot="1" x14ac:dyDescent="0.4">
      <c r="B42" s="1229"/>
      <c r="C42" s="1229"/>
      <c r="D42" s="1229"/>
      <c r="E42" s="1229"/>
      <c r="F42" s="1229"/>
      <c r="G42" s="1229"/>
      <c r="H42" s="1229"/>
      <c r="I42" s="1229"/>
      <c r="J42" s="1229"/>
      <c r="K42" s="1229"/>
      <c r="L42" s="1229"/>
      <c r="M42" s="1229"/>
      <c r="N42" s="1229"/>
      <c r="O42" s="1229"/>
      <c r="P42" s="1229"/>
      <c r="Q42" s="1229"/>
      <c r="R42" s="1229"/>
      <c r="S42" s="1229"/>
      <c r="T42" s="1229"/>
      <c r="U42" s="1229"/>
      <c r="V42" s="1229"/>
      <c r="W42" s="1229"/>
      <c r="X42" s="1229"/>
      <c r="Y42" s="1229"/>
      <c r="Z42" s="1229"/>
      <c r="AA42" s="1229"/>
      <c r="AB42" s="1229"/>
      <c r="AC42" s="1229"/>
      <c r="AD42" s="1229"/>
      <c r="AE42" s="1229"/>
      <c r="AF42" s="1229"/>
      <c r="AG42" s="1229"/>
      <c r="AH42" s="1229"/>
      <c r="AI42" s="1229"/>
      <c r="AJ42" s="1229"/>
      <c r="AK42" s="1229"/>
    </row>
    <row r="43" spans="2:51" ht="15.75" thickBot="1" x14ac:dyDescent="0.3">
      <c r="D43" s="1231" t="e">
        <f ca="1">'Monthly Data Input'!CD77</f>
        <v>#N/A</v>
      </c>
      <c r="E43" s="1231" t="e">
        <f ca="1">'Monthly Data Input'!CE77</f>
        <v>#N/A</v>
      </c>
      <c r="F43" s="1231" t="e">
        <f ca="1">'Monthly Data Input'!CF77</f>
        <v>#N/A</v>
      </c>
      <c r="G43" s="1231" t="e">
        <f ca="1">'Monthly Data Input'!CG77</f>
        <v>#N/A</v>
      </c>
      <c r="H43" s="1231" t="e">
        <f ca="1">'Monthly Data Input'!CH77</f>
        <v>#N/A</v>
      </c>
      <c r="I43" s="1231" t="e">
        <f ca="1">'Monthly Data Input'!CI77</f>
        <v>#N/A</v>
      </c>
      <c r="J43" s="1231" t="e">
        <f ca="1">'Monthly Data Input'!CJ77</f>
        <v>#N/A</v>
      </c>
      <c r="K43" s="1231" t="e">
        <f ca="1">'Monthly Data Input'!CK77</f>
        <v>#N/A</v>
      </c>
      <c r="L43" s="1231" t="e">
        <f ca="1">'Monthly Data Input'!CL77</f>
        <v>#N/A</v>
      </c>
      <c r="M43" s="1231" t="e">
        <f ca="1">'Monthly Data Input'!CM77</f>
        <v>#N/A</v>
      </c>
      <c r="N43" s="1231" t="e">
        <f ca="1">'Monthly Data Input'!CN77</f>
        <v>#N/A</v>
      </c>
      <c r="O43" s="1231" t="e">
        <f ca="1">'Monthly Data Input'!CO77</f>
        <v>#N/A</v>
      </c>
      <c r="P43" s="1231" t="e">
        <f ca="1">'Monthly Data Input'!CP77</f>
        <v>#N/A</v>
      </c>
      <c r="Q43" s="1231" t="e">
        <f ca="1">'Monthly Data Input'!CQ77</f>
        <v>#N/A</v>
      </c>
      <c r="R43" s="1231" t="e">
        <f ca="1">'Monthly Data Input'!CR77</f>
        <v>#N/A</v>
      </c>
      <c r="S43" s="1232" t="e">
        <f ca="1">'Monthly Data Input'!CS77</f>
        <v>#N/A</v>
      </c>
    </row>
    <row r="44" spans="2:51" ht="19.5" hidden="1" thickBot="1" x14ac:dyDescent="0.3">
      <c r="C44" s="401"/>
      <c r="D44" s="1126"/>
      <c r="E44" s="1127"/>
      <c r="F44" s="1126"/>
      <c r="G44" s="1127"/>
      <c r="H44" s="1126"/>
      <c r="I44" s="1127"/>
      <c r="J44" s="1126"/>
      <c r="K44" s="1127"/>
      <c r="L44" s="159"/>
      <c r="M44" s="159"/>
      <c r="N44" s="159"/>
      <c r="O44" s="159"/>
      <c r="P44" s="158"/>
      <c r="Q44" s="159"/>
      <c r="R44" s="158"/>
      <c r="S44" s="159"/>
    </row>
    <row r="45" spans="2:51" ht="18.75" hidden="1" outlineLevel="1" x14ac:dyDescent="0.25">
      <c r="B45" s="415" t="str">
        <f>IF(Language="English", 'Language Look Ups'!$O$5,IF(Language="Francais", 'Language Look Ups'!$S$5,  'Language Look Ups'!$Q$5))</f>
        <v>Méthodes à Long Terme et Permanentes</v>
      </c>
      <c r="C45" s="104"/>
      <c r="D45" s="158"/>
      <c r="E45" s="159"/>
      <c r="F45" s="158"/>
      <c r="G45" s="159"/>
      <c r="H45" s="158"/>
      <c r="I45" s="159"/>
      <c r="J45" s="158"/>
      <c r="K45" s="159"/>
      <c r="L45" s="159"/>
      <c r="M45" s="159"/>
      <c r="N45" s="159"/>
      <c r="O45" s="159"/>
      <c r="P45" s="158"/>
      <c r="Q45" s="159"/>
      <c r="R45" s="158"/>
      <c r="S45" s="159"/>
    </row>
    <row r="46" spans="2:51" hidden="1" outlineLevel="1" x14ac:dyDescent="0.25">
      <c r="B46" s="1480" t="str">
        <f>IF(Language="English",'Language Look Ups'!$O$6,IF(Language="Francais",'Language Look Ups'!$S$6,'Language Look Ups'!$Q$6))</f>
        <v>Stérilisation</v>
      </c>
      <c r="C46" s="363" t="str">
        <f>IF(Language="English", 'Language Look Ups'!$P$6,IF(Language="Francais", 'Language Look Ups'!$T$6, 'Language Look Ups'!$R$6))</f>
        <v>Ligature des trompes</v>
      </c>
      <c r="D46" s="664" t="e">
        <f ca="1">'Monthly Data Input'!CD79</f>
        <v>#N/A</v>
      </c>
      <c r="E46" s="664" t="e">
        <f ca="1">'Monthly Data Input'!CE79</f>
        <v>#N/A</v>
      </c>
      <c r="F46" s="664" t="e">
        <f ca="1">'Monthly Data Input'!CF79</f>
        <v>#N/A</v>
      </c>
      <c r="G46" s="664" t="e">
        <f ca="1">'Monthly Data Input'!CG79</f>
        <v>#N/A</v>
      </c>
      <c r="H46" s="664" t="e">
        <f ca="1">'Monthly Data Input'!CH79</f>
        <v>#N/A</v>
      </c>
      <c r="I46" s="664" t="e">
        <f ca="1">'Monthly Data Input'!CI79</f>
        <v>#N/A</v>
      </c>
      <c r="J46" s="664" t="e">
        <f ca="1">'Monthly Data Input'!CJ79</f>
        <v>#N/A</v>
      </c>
      <c r="K46" s="664" t="e">
        <f ca="1">'Monthly Data Input'!CK79</f>
        <v>#N/A</v>
      </c>
      <c r="L46" s="664" t="e">
        <f ca="1">'Monthly Data Input'!CL79</f>
        <v>#N/A</v>
      </c>
      <c r="M46" s="664" t="e">
        <f ca="1">'Monthly Data Input'!CM79</f>
        <v>#N/A</v>
      </c>
      <c r="N46" s="664" t="e">
        <f ca="1">'Monthly Data Input'!CN79</f>
        <v>#N/A</v>
      </c>
      <c r="O46" s="664" t="e">
        <f ca="1">'Monthly Data Input'!CO79</f>
        <v>#N/A</v>
      </c>
      <c r="P46" s="664" t="e">
        <f ca="1">'Monthly Data Input'!CP79</f>
        <v>#N/A</v>
      </c>
      <c r="Q46" s="664" t="e">
        <f ca="1">'Monthly Data Input'!CQ79</f>
        <v>#N/A</v>
      </c>
      <c r="R46" s="664" t="e">
        <f ca="1">'Monthly Data Input'!CR79</f>
        <v>#N/A</v>
      </c>
      <c r="S46" s="664" t="e">
        <f ca="1">'Monthly Data Input'!CS79</f>
        <v>#N/A</v>
      </c>
    </row>
    <row r="47" spans="2:51" hidden="1" outlineLevel="1" x14ac:dyDescent="0.25">
      <c r="B47" s="1481"/>
      <c r="C47" s="275" t="str">
        <f>IF(Language="English",'Language Look Ups'!$P$7,IF(Language="Francais",'Language Look Ups'!$T$7,'Language Look Ups'!$R$7))</f>
        <v>Vasectomie</v>
      </c>
      <c r="D47" s="667" t="e">
        <f ca="1">'Monthly Data Input'!CD80</f>
        <v>#N/A</v>
      </c>
      <c r="E47" s="667" t="e">
        <f ca="1">'Monthly Data Input'!CE80</f>
        <v>#N/A</v>
      </c>
      <c r="F47" s="667" t="e">
        <f ca="1">'Monthly Data Input'!CF80</f>
        <v>#N/A</v>
      </c>
      <c r="G47" s="667" t="e">
        <f ca="1">'Monthly Data Input'!CG80</f>
        <v>#N/A</v>
      </c>
      <c r="H47" s="667" t="e">
        <f ca="1">'Monthly Data Input'!CH80</f>
        <v>#N/A</v>
      </c>
      <c r="I47" s="667" t="e">
        <f ca="1">'Monthly Data Input'!CI80</f>
        <v>#N/A</v>
      </c>
      <c r="J47" s="667" t="e">
        <f ca="1">'Monthly Data Input'!CJ80</f>
        <v>#N/A</v>
      </c>
      <c r="K47" s="1233" t="e">
        <f ca="1">'Monthly Data Input'!CK80</f>
        <v>#N/A</v>
      </c>
      <c r="L47" s="1233" t="e">
        <f ca="1">'Monthly Data Input'!CL80</f>
        <v>#N/A</v>
      </c>
      <c r="M47" s="1233" t="e">
        <f ca="1">'Monthly Data Input'!CM80</f>
        <v>#N/A</v>
      </c>
      <c r="N47" s="1233" t="e">
        <f ca="1">'Monthly Data Input'!CN80</f>
        <v>#N/A</v>
      </c>
      <c r="O47" s="1233" t="e">
        <f ca="1">'Monthly Data Input'!CO80</f>
        <v>#N/A</v>
      </c>
      <c r="P47" s="1234" t="e">
        <f ca="1">'Monthly Data Input'!CP80</f>
        <v>#N/A</v>
      </c>
      <c r="Q47" s="667" t="e">
        <f ca="1">'Monthly Data Input'!CQ80</f>
        <v>#N/A</v>
      </c>
      <c r="R47" s="667" t="e">
        <f ca="1">'Monthly Data Input'!CR80</f>
        <v>#N/A</v>
      </c>
      <c r="S47" s="667" t="e">
        <f ca="1">'Monthly Data Input'!CS80</f>
        <v>#N/A</v>
      </c>
    </row>
    <row r="48" spans="2:51" hidden="1" outlineLevel="1" x14ac:dyDescent="0.25">
      <c r="B48" s="1480" t="str">
        <f>IF(Language="English", 'Language Look Ups'!$O$8,IF(Language="Francais", 'Language Look Ups'!$S$8, 'Language Look Ups'!$Q$8))</f>
        <v>DIU</v>
      </c>
      <c r="C48" s="363" t="str">
        <f>IF(Language="English", 'Language Look Ups'!$P$8,IF(Language="Francais", 'Language Look Ups'!$T$8, 'Language Look Ups'!$R$8))</f>
        <v>Copper- T 380-A DIU</v>
      </c>
      <c r="D48" s="664" t="e">
        <f ca="1">'Monthly Data Input'!CD81</f>
        <v>#N/A</v>
      </c>
      <c r="E48" s="664" t="e">
        <f ca="1">'Monthly Data Input'!CE81</f>
        <v>#N/A</v>
      </c>
      <c r="F48" s="664" t="e">
        <f ca="1">'Monthly Data Input'!CF81</f>
        <v>#N/A</v>
      </c>
      <c r="G48" s="664" t="e">
        <f ca="1">'Monthly Data Input'!CG81</f>
        <v>#N/A</v>
      </c>
      <c r="H48" s="664" t="e">
        <f ca="1">'Monthly Data Input'!CH81</f>
        <v>#N/A</v>
      </c>
      <c r="I48" s="664" t="e">
        <f ca="1">'Monthly Data Input'!CI81</f>
        <v>#N/A</v>
      </c>
      <c r="J48" s="664" t="e">
        <f ca="1">'Monthly Data Input'!CJ81</f>
        <v>#N/A</v>
      </c>
      <c r="K48" s="1235" t="e">
        <f ca="1">'Monthly Data Input'!CK81</f>
        <v>#N/A</v>
      </c>
      <c r="L48" s="1235" t="e">
        <f ca="1">'Monthly Data Input'!CL81</f>
        <v>#N/A</v>
      </c>
      <c r="M48" s="1235" t="e">
        <f ca="1">'Monthly Data Input'!CM81</f>
        <v>#N/A</v>
      </c>
      <c r="N48" s="1235" t="e">
        <f ca="1">'Monthly Data Input'!CN81</f>
        <v>#N/A</v>
      </c>
      <c r="O48" s="1235" t="e">
        <f ca="1">'Monthly Data Input'!CO81</f>
        <v>#N/A</v>
      </c>
      <c r="P48" s="1236" t="e">
        <f ca="1">'Monthly Data Input'!CP81</f>
        <v>#N/A</v>
      </c>
      <c r="Q48" s="664" t="e">
        <f ca="1">'Monthly Data Input'!CQ81</f>
        <v>#N/A</v>
      </c>
      <c r="R48" s="664" t="e">
        <f ca="1">'Monthly Data Input'!CR81</f>
        <v>#N/A</v>
      </c>
      <c r="S48" s="664" t="e">
        <f ca="1">'Monthly Data Input'!CS81</f>
        <v>#N/A</v>
      </c>
    </row>
    <row r="49" spans="2:19" hidden="1" outlineLevel="1" x14ac:dyDescent="0.25">
      <c r="B49" s="1481"/>
      <c r="C49" s="275" t="str">
        <f>IF(Language="English", 'Language Look Ups'!$P$9,IF(Language="Francais", 'Language Look Ups'!$T$9, 'Language Look Ups'!$R$9))</f>
        <v>DIU Hormonal (LNG-IUS)</v>
      </c>
      <c r="D49" s="667" t="e">
        <f ca="1">'Monthly Data Input'!CD82</f>
        <v>#N/A</v>
      </c>
      <c r="E49" s="667" t="e">
        <f ca="1">'Monthly Data Input'!CE82</f>
        <v>#N/A</v>
      </c>
      <c r="F49" s="667" t="e">
        <f ca="1">'Monthly Data Input'!CF82</f>
        <v>#N/A</v>
      </c>
      <c r="G49" s="667" t="e">
        <f ca="1">'Monthly Data Input'!CG82</f>
        <v>#N/A</v>
      </c>
      <c r="H49" s="667" t="e">
        <f ca="1">'Monthly Data Input'!CH82</f>
        <v>#N/A</v>
      </c>
      <c r="I49" s="667" t="e">
        <f ca="1">'Monthly Data Input'!CI82</f>
        <v>#N/A</v>
      </c>
      <c r="J49" s="667" t="e">
        <f ca="1">'Monthly Data Input'!CJ82</f>
        <v>#N/A</v>
      </c>
      <c r="K49" s="1233" t="e">
        <f ca="1">'Monthly Data Input'!CK82</f>
        <v>#N/A</v>
      </c>
      <c r="L49" s="1233" t="e">
        <f ca="1">'Monthly Data Input'!CL82</f>
        <v>#N/A</v>
      </c>
      <c r="M49" s="1233" t="e">
        <f ca="1">'Monthly Data Input'!CM82</f>
        <v>#N/A</v>
      </c>
      <c r="N49" s="1233" t="e">
        <f ca="1">'Monthly Data Input'!CN82</f>
        <v>#N/A</v>
      </c>
      <c r="O49" s="1233" t="e">
        <f ca="1">'Monthly Data Input'!CO82</f>
        <v>#N/A</v>
      </c>
      <c r="P49" s="1234" t="e">
        <f ca="1">'Monthly Data Input'!CP82</f>
        <v>#N/A</v>
      </c>
      <c r="Q49" s="667" t="e">
        <f ca="1">'Monthly Data Input'!CQ82</f>
        <v>#N/A</v>
      </c>
      <c r="R49" s="667" t="e">
        <f ca="1">'Monthly Data Input'!CR82</f>
        <v>#N/A</v>
      </c>
      <c r="S49" s="667" t="e">
        <f ca="1">'Monthly Data Input'!CS82</f>
        <v>#N/A</v>
      </c>
    </row>
    <row r="50" spans="2:19" hidden="1" outlineLevel="1" x14ac:dyDescent="0.25">
      <c r="B50" s="1480" t="str">
        <f>IF(Language="English", 'Language Look Ups'!$O$10,IF(Language="Francais", 'Language Look Ups'!$S$10, 'Language Look Ups'!$Q$10))</f>
        <v>Implant</v>
      </c>
      <c r="C50" s="363" t="str">
        <f>IF(Language="English", 'Language Look Ups'!$P$10,IF(Language="Francais", 'Language Look Ups'!$T$10, 'Language Look Ups'!$R$10))</f>
        <v>Implant de 3 ans (Implanon, Levoplant)</v>
      </c>
      <c r="D50" s="664" t="e">
        <f ca="1">'Monthly Data Input'!CD83</f>
        <v>#N/A</v>
      </c>
      <c r="E50" s="664" t="e">
        <f ca="1">'Monthly Data Input'!CE83</f>
        <v>#N/A</v>
      </c>
      <c r="F50" s="664" t="e">
        <f ca="1">'Monthly Data Input'!CF83</f>
        <v>#N/A</v>
      </c>
      <c r="G50" s="664" t="e">
        <f ca="1">'Monthly Data Input'!CG83</f>
        <v>#N/A</v>
      </c>
      <c r="H50" s="664" t="e">
        <f ca="1">'Monthly Data Input'!CH83</f>
        <v>#N/A</v>
      </c>
      <c r="I50" s="664" t="e">
        <f ca="1">'Monthly Data Input'!CI83</f>
        <v>#N/A</v>
      </c>
      <c r="J50" s="664" t="e">
        <f ca="1">'Monthly Data Input'!CJ83</f>
        <v>#N/A</v>
      </c>
      <c r="K50" s="1235" t="e">
        <f ca="1">'Monthly Data Input'!CK83</f>
        <v>#N/A</v>
      </c>
      <c r="L50" s="1235" t="e">
        <f ca="1">'Monthly Data Input'!CL83</f>
        <v>#N/A</v>
      </c>
      <c r="M50" s="1235" t="e">
        <f ca="1">'Monthly Data Input'!CM83</f>
        <v>#N/A</v>
      </c>
      <c r="N50" s="1235" t="e">
        <f ca="1">'Monthly Data Input'!CN83</f>
        <v>#N/A</v>
      </c>
      <c r="O50" s="1235" t="e">
        <f ca="1">'Monthly Data Input'!CO83</f>
        <v>#N/A</v>
      </c>
      <c r="P50" s="1236" t="e">
        <f ca="1">'Monthly Data Input'!CP83</f>
        <v>#N/A</v>
      </c>
      <c r="Q50" s="664" t="e">
        <f ca="1">'Monthly Data Input'!CQ83</f>
        <v>#N/A</v>
      </c>
      <c r="R50" s="664" t="e">
        <f ca="1">'Monthly Data Input'!CR83</f>
        <v>#N/A</v>
      </c>
      <c r="S50" s="664" t="e">
        <f ca="1">'Monthly Data Input'!CS83</f>
        <v>#N/A</v>
      </c>
    </row>
    <row r="51" spans="2:19" hidden="1" outlineLevel="1" x14ac:dyDescent="0.25">
      <c r="B51" s="1482"/>
      <c r="C51" s="277" t="str">
        <f>IF(Language="English", 'Language Look Ups'!$P$11,IF(Language="Francais", 'Language Look Ups'!$T$11, 'Language Look Ups'!$R$11))</f>
        <v>Implant de 4 ans (Sino-Implant)</v>
      </c>
      <c r="D51" s="670" t="e">
        <f ca="1">'Monthly Data Input'!CD84</f>
        <v>#N/A</v>
      </c>
      <c r="E51" s="670" t="e">
        <f ca="1">'Monthly Data Input'!CE84</f>
        <v>#N/A</v>
      </c>
      <c r="F51" s="670" t="e">
        <f ca="1">'Monthly Data Input'!CF84</f>
        <v>#N/A</v>
      </c>
      <c r="G51" s="670" t="e">
        <f ca="1">'Monthly Data Input'!CG84</f>
        <v>#N/A</v>
      </c>
      <c r="H51" s="670" t="e">
        <f ca="1">'Monthly Data Input'!CH84</f>
        <v>#N/A</v>
      </c>
      <c r="I51" s="670" t="e">
        <f ca="1">'Monthly Data Input'!CI84</f>
        <v>#N/A</v>
      </c>
      <c r="J51" s="670" t="e">
        <f ca="1">'Monthly Data Input'!CJ84</f>
        <v>#N/A</v>
      </c>
      <c r="K51" s="1237" t="e">
        <f ca="1">'Monthly Data Input'!CK84</f>
        <v>#N/A</v>
      </c>
      <c r="L51" s="1237" t="e">
        <f ca="1">'Monthly Data Input'!CL84</f>
        <v>#N/A</v>
      </c>
      <c r="M51" s="1237" t="e">
        <f ca="1">'Monthly Data Input'!CM84</f>
        <v>#N/A</v>
      </c>
      <c r="N51" s="1237" t="e">
        <f ca="1">'Monthly Data Input'!CN84</f>
        <v>#N/A</v>
      </c>
      <c r="O51" s="1237" t="e">
        <f ca="1">'Monthly Data Input'!CO84</f>
        <v>#N/A</v>
      </c>
      <c r="P51" s="1238" t="e">
        <f ca="1">'Monthly Data Input'!CP84</f>
        <v>#N/A</v>
      </c>
      <c r="Q51" s="670" t="e">
        <f ca="1">'Monthly Data Input'!CQ84</f>
        <v>#N/A</v>
      </c>
      <c r="R51" s="670" t="e">
        <f ca="1">'Monthly Data Input'!CR84</f>
        <v>#N/A</v>
      </c>
      <c r="S51" s="670" t="e">
        <f ca="1">'Monthly Data Input'!CS84</f>
        <v>#N/A</v>
      </c>
    </row>
    <row r="52" spans="2:19" ht="15.75" hidden="1" outlineLevel="1" thickBot="1" x14ac:dyDescent="0.3">
      <c r="B52" s="1481"/>
      <c r="C52" s="275" t="str">
        <f>IF(Language="English", 'Language Look Ups'!$P$12,IF(Language="Francais", 'Language Look Ups'!$T$12, 'Language Look Ups'!$R$12))</f>
        <v>Implant de 5 ans (Jadelle)</v>
      </c>
      <c r="D52" s="667" t="e">
        <f ca="1">'Monthly Data Input'!CD85</f>
        <v>#N/A</v>
      </c>
      <c r="E52" s="667" t="e">
        <f ca="1">'Monthly Data Input'!CE85</f>
        <v>#N/A</v>
      </c>
      <c r="F52" s="667" t="e">
        <f ca="1">'Monthly Data Input'!CF85</f>
        <v>#N/A</v>
      </c>
      <c r="G52" s="667" t="e">
        <f ca="1">'Monthly Data Input'!CG85</f>
        <v>#N/A</v>
      </c>
      <c r="H52" s="667" t="e">
        <f ca="1">'Monthly Data Input'!CH85</f>
        <v>#N/A</v>
      </c>
      <c r="I52" s="667" t="e">
        <f ca="1">'Monthly Data Input'!CI85</f>
        <v>#N/A</v>
      </c>
      <c r="J52" s="667" t="e">
        <f ca="1">'Monthly Data Input'!CJ85</f>
        <v>#N/A</v>
      </c>
      <c r="K52" s="1233" t="e">
        <f ca="1">'Monthly Data Input'!CK85</f>
        <v>#N/A</v>
      </c>
      <c r="L52" s="1233" t="e">
        <f ca="1">'Monthly Data Input'!CL85</f>
        <v>#N/A</v>
      </c>
      <c r="M52" s="1233" t="e">
        <f ca="1">'Monthly Data Input'!CM85</f>
        <v>#N/A</v>
      </c>
      <c r="N52" s="1233" t="e">
        <f ca="1">'Monthly Data Input'!CN85</f>
        <v>#N/A</v>
      </c>
      <c r="O52" s="1233" t="e">
        <f ca="1">'Monthly Data Input'!CO85</f>
        <v>#N/A</v>
      </c>
      <c r="P52" s="1239" t="e">
        <f ca="1">'Monthly Data Input'!CP85</f>
        <v>#N/A</v>
      </c>
      <c r="Q52" s="848" t="e">
        <f ca="1">'Monthly Data Input'!CQ85</f>
        <v>#N/A</v>
      </c>
      <c r="R52" s="848" t="e">
        <f ca="1">'Monthly Data Input'!CR85</f>
        <v>#N/A</v>
      </c>
      <c r="S52" s="848" t="e">
        <f ca="1">'Monthly Data Input'!CS85</f>
        <v>#N/A</v>
      </c>
    </row>
    <row r="53" spans="2:19" hidden="1" outlineLevel="1" x14ac:dyDescent="0.25">
      <c r="B53" s="150"/>
      <c r="C53" s="279"/>
      <c r="D53" s="2"/>
      <c r="E53" s="2"/>
      <c r="F53" s="2"/>
      <c r="G53" s="2"/>
      <c r="H53" s="2"/>
      <c r="I53" s="2"/>
      <c r="J53" s="2"/>
      <c r="K53" s="2"/>
      <c r="L53" s="2"/>
      <c r="M53" s="2"/>
      <c r="N53" s="2"/>
      <c r="O53" s="2"/>
      <c r="P53" s="2"/>
      <c r="Q53" s="2"/>
      <c r="R53" s="2"/>
      <c r="S53" s="2"/>
    </row>
    <row r="54" spans="2:19" ht="19.5" hidden="1" outlineLevel="1" thickBot="1" x14ac:dyDescent="0.3">
      <c r="B54" s="364" t="str">
        <f>IF(Language="English", 'Language Look Ups'!$O$14,IF(Language="Francais", 'Language Look Ups'!$S$14, 'Language Look Ups'!$Q$14))</f>
        <v>Méthodes à Court Terme</v>
      </c>
      <c r="C54" s="104"/>
      <c r="D54" s="1128"/>
      <c r="E54" s="1129"/>
      <c r="F54" s="1128"/>
      <c r="G54" s="1129"/>
      <c r="H54" s="1128"/>
      <c r="I54" s="1129"/>
      <c r="J54" s="1128"/>
      <c r="K54" s="1129"/>
      <c r="L54" s="1129"/>
      <c r="M54" s="1129"/>
      <c r="N54" s="1129"/>
      <c r="O54" s="1129"/>
      <c r="P54" s="1128"/>
      <c r="Q54" s="1129"/>
      <c r="R54" s="1128"/>
      <c r="S54" s="1129"/>
    </row>
    <row r="55" spans="2:19" hidden="1" outlineLevel="1" x14ac:dyDescent="0.25">
      <c r="B55" s="1483" t="str">
        <f>IF(Language="English", 'Language Look Ups'!$O$15,IF(Language="Francais", 'Language Look Ups'!$S$15, 'Language Look Ups'!#REF!))</f>
        <v>Produits injectables</v>
      </c>
      <c r="C55" s="1130" t="str">
        <f>IF(Language="English", 'Language Look Ups'!$P$15,IF(Language="Francais", 'Language Look Ups'!$T$15, 'Language Look Ups'!$R$15))</f>
        <v>Depo Provera (DMPA)</v>
      </c>
      <c r="D55" s="664" t="e">
        <f ca="1">'Monthly Data Input'!CD88</f>
        <v>#N/A</v>
      </c>
      <c r="E55" s="664" t="e">
        <f ca="1">'Monthly Data Input'!CE88</f>
        <v>#N/A</v>
      </c>
      <c r="F55" s="664" t="e">
        <f ca="1">'Monthly Data Input'!CF88</f>
        <v>#N/A</v>
      </c>
      <c r="G55" s="664" t="e">
        <f ca="1">'Monthly Data Input'!CG88</f>
        <v>#N/A</v>
      </c>
      <c r="H55" s="664" t="e">
        <f ca="1">'Monthly Data Input'!CH88</f>
        <v>#N/A</v>
      </c>
      <c r="I55" s="664" t="e">
        <f ca="1">'Monthly Data Input'!CI88</f>
        <v>#N/A</v>
      </c>
      <c r="J55" s="664" t="e">
        <f ca="1">'Monthly Data Input'!CJ88</f>
        <v>#N/A</v>
      </c>
      <c r="K55" s="1235" t="e">
        <f ca="1">'Monthly Data Input'!CK88</f>
        <v>#N/A</v>
      </c>
      <c r="L55" s="1235" t="e">
        <f ca="1">'Monthly Data Input'!CL88</f>
        <v>#N/A</v>
      </c>
      <c r="M55" s="1235" t="e">
        <f ca="1">'Monthly Data Input'!CM88</f>
        <v>#N/A</v>
      </c>
      <c r="N55" s="1235" t="e">
        <f ca="1">'Monthly Data Input'!CN88</f>
        <v>#N/A</v>
      </c>
      <c r="O55" s="1235" t="e">
        <f ca="1">'Monthly Data Input'!CO88</f>
        <v>#N/A</v>
      </c>
      <c r="P55" s="1240" t="e">
        <f ca="1">'Monthly Data Input'!CP88</f>
        <v>#N/A</v>
      </c>
      <c r="Q55" s="844" t="e">
        <f ca="1">'Monthly Data Input'!CQ88</f>
        <v>#N/A</v>
      </c>
      <c r="R55" s="844" t="e">
        <f ca="1">'Monthly Data Input'!CR88</f>
        <v>#N/A</v>
      </c>
      <c r="S55" s="844" t="e">
        <f ca="1">'Monthly Data Input'!CS88</f>
        <v>#N/A</v>
      </c>
    </row>
    <row r="56" spans="2:19" hidden="1" outlineLevel="1" x14ac:dyDescent="0.25">
      <c r="B56" s="1482"/>
      <c r="C56" s="277" t="str">
        <f>IF(Language="English", 'Language Look Ups'!$P$16,IF(Language="Francais", 'Language Look Ups'!$T$16, 'Language Look Ups'!$R$16))</f>
        <v>Noristerat (NET-En)</v>
      </c>
      <c r="D56" s="670" t="e">
        <f ca="1">'Monthly Data Input'!CD89</f>
        <v>#N/A</v>
      </c>
      <c r="E56" s="670" t="e">
        <f ca="1">'Monthly Data Input'!CE89</f>
        <v>#N/A</v>
      </c>
      <c r="F56" s="670" t="e">
        <f ca="1">'Monthly Data Input'!CF89</f>
        <v>#N/A</v>
      </c>
      <c r="G56" s="670" t="e">
        <f ca="1">'Monthly Data Input'!CG89</f>
        <v>#N/A</v>
      </c>
      <c r="H56" s="670" t="e">
        <f ca="1">'Monthly Data Input'!CH89</f>
        <v>#N/A</v>
      </c>
      <c r="I56" s="670" t="e">
        <f ca="1">'Monthly Data Input'!CI89</f>
        <v>#N/A</v>
      </c>
      <c r="J56" s="670" t="e">
        <f ca="1">'Monthly Data Input'!CJ89</f>
        <v>#N/A</v>
      </c>
      <c r="K56" s="670" t="e">
        <f ca="1">'Monthly Data Input'!CK89</f>
        <v>#N/A</v>
      </c>
      <c r="L56" s="670" t="e">
        <f ca="1">'Monthly Data Input'!CL89</f>
        <v>#N/A</v>
      </c>
      <c r="M56" s="670" t="e">
        <f ca="1">'Monthly Data Input'!CM89</f>
        <v>#N/A</v>
      </c>
      <c r="N56" s="670" t="e">
        <f ca="1">'Monthly Data Input'!CN89</f>
        <v>#N/A</v>
      </c>
      <c r="O56" s="1237" t="e">
        <f ca="1">'Monthly Data Input'!CO89</f>
        <v>#N/A</v>
      </c>
      <c r="P56" s="1238" t="e">
        <f ca="1">'Monthly Data Input'!CP89</f>
        <v>#N/A</v>
      </c>
      <c r="Q56" s="670" t="e">
        <f ca="1">'Monthly Data Input'!CQ89</f>
        <v>#N/A</v>
      </c>
      <c r="R56" s="670" t="e">
        <f ca="1">'Monthly Data Input'!CR89</f>
        <v>#N/A</v>
      </c>
      <c r="S56" s="670" t="e">
        <f ca="1">'Monthly Data Input'!CS89</f>
        <v>#N/A</v>
      </c>
    </row>
    <row r="57" spans="2:19" hidden="1" outlineLevel="1" x14ac:dyDescent="0.25">
      <c r="B57" s="1482"/>
      <c r="C57" s="277" t="str">
        <f>IF(Language="English",'Language Look Ups'!$P$17,IF(Language="Francais",'Language Look Ups'!$T$17,'Language Look Ups'!$R$17))</f>
        <v>Lunelle</v>
      </c>
      <c r="D57" s="670" t="e">
        <f ca="1">'Monthly Data Input'!CD90</f>
        <v>#N/A</v>
      </c>
      <c r="E57" s="670" t="e">
        <f ca="1">'Monthly Data Input'!CE90</f>
        <v>#N/A</v>
      </c>
      <c r="F57" s="670" t="e">
        <f ca="1">'Monthly Data Input'!CF90</f>
        <v>#N/A</v>
      </c>
      <c r="G57" s="670" t="e">
        <f ca="1">'Monthly Data Input'!CG90</f>
        <v>#N/A</v>
      </c>
      <c r="H57" s="670" t="e">
        <f ca="1">'Monthly Data Input'!CH90</f>
        <v>#N/A</v>
      </c>
      <c r="I57" s="670" t="e">
        <f ca="1">'Monthly Data Input'!CI90</f>
        <v>#N/A</v>
      </c>
      <c r="J57" s="670" t="e">
        <f ca="1">'Monthly Data Input'!CJ90</f>
        <v>#N/A</v>
      </c>
      <c r="K57" s="670" t="e">
        <f ca="1">'Monthly Data Input'!CK90</f>
        <v>#N/A</v>
      </c>
      <c r="L57" s="670" t="e">
        <f ca="1">'Monthly Data Input'!CL90</f>
        <v>#N/A</v>
      </c>
      <c r="M57" s="670" t="e">
        <f ca="1">'Monthly Data Input'!CM90</f>
        <v>#N/A</v>
      </c>
      <c r="N57" s="670" t="e">
        <f ca="1">'Monthly Data Input'!CN90</f>
        <v>#N/A</v>
      </c>
      <c r="O57" s="1237" t="e">
        <f ca="1">'Monthly Data Input'!CO90</f>
        <v>#N/A</v>
      </c>
      <c r="P57" s="1238" t="e">
        <f ca="1">'Monthly Data Input'!CP90</f>
        <v>#N/A</v>
      </c>
      <c r="Q57" s="670" t="e">
        <f ca="1">'Monthly Data Input'!CQ90</f>
        <v>#N/A</v>
      </c>
      <c r="R57" s="670" t="e">
        <f ca="1">'Monthly Data Input'!CR90</f>
        <v>#N/A</v>
      </c>
      <c r="S57" s="670" t="e">
        <f ca="1">'Monthly Data Input'!CS90</f>
        <v>#N/A</v>
      </c>
    </row>
    <row r="58" spans="2:19" hidden="1" outlineLevel="1" x14ac:dyDescent="0.25">
      <c r="B58" s="1482"/>
      <c r="C58" s="277" t="str">
        <f>IF(Language="English", 'Language Look Ups'!$P$18,IF(Language="Francais", 'Language Look Ups'!$T$18, 'Language Look Ups'!$R$18))</f>
        <v>Sayana Press</v>
      </c>
      <c r="D58" s="670" t="e">
        <f ca="1">'Monthly Data Input'!CD91</f>
        <v>#N/A</v>
      </c>
      <c r="E58" s="670" t="e">
        <f ca="1">'Monthly Data Input'!CE91</f>
        <v>#N/A</v>
      </c>
      <c r="F58" s="670" t="e">
        <f ca="1">'Monthly Data Input'!CF91</f>
        <v>#N/A</v>
      </c>
      <c r="G58" s="670" t="e">
        <f ca="1">'Monthly Data Input'!CG91</f>
        <v>#N/A</v>
      </c>
      <c r="H58" s="670" t="e">
        <f ca="1">'Monthly Data Input'!CH91</f>
        <v>#N/A</v>
      </c>
      <c r="I58" s="670" t="e">
        <f ca="1">'Monthly Data Input'!CI91</f>
        <v>#N/A</v>
      </c>
      <c r="J58" s="670" t="e">
        <f ca="1">'Monthly Data Input'!CJ91</f>
        <v>#N/A</v>
      </c>
      <c r="K58" s="670" t="e">
        <f ca="1">'Monthly Data Input'!CK91</f>
        <v>#N/A</v>
      </c>
      <c r="L58" s="670" t="e">
        <f ca="1">'Monthly Data Input'!CL91</f>
        <v>#N/A</v>
      </c>
      <c r="M58" s="670" t="e">
        <f ca="1">'Monthly Data Input'!CM91</f>
        <v>#N/A</v>
      </c>
      <c r="N58" s="670" t="e">
        <f ca="1">'Monthly Data Input'!CN91</f>
        <v>#N/A</v>
      </c>
      <c r="O58" s="1237" t="e">
        <f ca="1">'Monthly Data Input'!CO91</f>
        <v>#N/A</v>
      </c>
      <c r="P58" s="1238" t="e">
        <f ca="1">'Monthly Data Input'!CP91</f>
        <v>#N/A</v>
      </c>
      <c r="Q58" s="670" t="e">
        <f ca="1">'Monthly Data Input'!CQ91</f>
        <v>#N/A</v>
      </c>
      <c r="R58" s="670" t="e">
        <f ca="1">'Monthly Data Input'!CR91</f>
        <v>#N/A</v>
      </c>
      <c r="S58" s="670" t="e">
        <f ca="1">'Monthly Data Input'!CS91</f>
        <v>#N/A</v>
      </c>
    </row>
    <row r="59" spans="2:19" hidden="1" outlineLevel="1" x14ac:dyDescent="0.25">
      <c r="B59" s="1481"/>
      <c r="C59" s="275" t="str">
        <f>IF(Language="English", 'Language Look Ups'!$P$19,IF(Language="Francais", 'Language Look Ups'!$T$19, 'Language Look Ups'!$R$19))</f>
        <v>Autre Injectable</v>
      </c>
      <c r="D59" s="667" t="e">
        <f ca="1">'Monthly Data Input'!CD92</f>
        <v>#N/A</v>
      </c>
      <c r="E59" s="667" t="e">
        <f ca="1">'Monthly Data Input'!CE92</f>
        <v>#N/A</v>
      </c>
      <c r="F59" s="667" t="e">
        <f ca="1">'Monthly Data Input'!CF92</f>
        <v>#N/A</v>
      </c>
      <c r="G59" s="667" t="e">
        <f ca="1">'Monthly Data Input'!CG92</f>
        <v>#N/A</v>
      </c>
      <c r="H59" s="667" t="e">
        <f ca="1">'Monthly Data Input'!CH92</f>
        <v>#N/A</v>
      </c>
      <c r="I59" s="667" t="e">
        <f ca="1">'Monthly Data Input'!CI92</f>
        <v>#N/A</v>
      </c>
      <c r="J59" s="667" t="e">
        <f ca="1">'Monthly Data Input'!CJ92</f>
        <v>#N/A</v>
      </c>
      <c r="K59" s="667" t="e">
        <f ca="1">'Monthly Data Input'!CK92</f>
        <v>#N/A</v>
      </c>
      <c r="L59" s="667" t="e">
        <f ca="1">'Monthly Data Input'!CL92</f>
        <v>#N/A</v>
      </c>
      <c r="M59" s="667" t="e">
        <f ca="1">'Monthly Data Input'!CM92</f>
        <v>#N/A</v>
      </c>
      <c r="N59" s="667" t="e">
        <f ca="1">'Monthly Data Input'!CN92</f>
        <v>#N/A</v>
      </c>
      <c r="O59" s="1233" t="e">
        <f ca="1">'Monthly Data Input'!CO92</f>
        <v>#N/A</v>
      </c>
      <c r="P59" s="1234" t="e">
        <f ca="1">'Monthly Data Input'!CP92</f>
        <v>#N/A</v>
      </c>
      <c r="Q59" s="667" t="e">
        <f ca="1">'Monthly Data Input'!CQ92</f>
        <v>#N/A</v>
      </c>
      <c r="R59" s="667" t="e">
        <f ca="1">'Monthly Data Input'!CR92</f>
        <v>#N/A</v>
      </c>
      <c r="S59" s="667" t="e">
        <f ca="1">'Monthly Data Input'!CS92</f>
        <v>#N/A</v>
      </c>
    </row>
    <row r="60" spans="2:19" hidden="1" outlineLevel="1" x14ac:dyDescent="0.25">
      <c r="B60" s="1480" t="str">
        <f>IF(Language="English", 'Language Look Ups'!$O$20,IF(Language="Francais", 'Language Look Ups'!$S$20, 'Language Look Ups'!#REF!))</f>
        <v>Pilule</v>
      </c>
      <c r="C60" s="363" t="str">
        <f>IF(Language="English", 'Language Look Ups'!$P$20,IF(Language="Francais", 'Language Look Ups'!$T$20, 'Language Look Ups'!$R$20))</f>
        <v>Oraux combinés (COC)</v>
      </c>
      <c r="D60" s="664" t="e">
        <f ca="1">'Monthly Data Input'!CD93</f>
        <v>#N/A</v>
      </c>
      <c r="E60" s="664" t="e">
        <f ca="1">'Monthly Data Input'!CE93</f>
        <v>#N/A</v>
      </c>
      <c r="F60" s="664" t="e">
        <f ca="1">'Monthly Data Input'!CF93</f>
        <v>#N/A</v>
      </c>
      <c r="G60" s="664" t="e">
        <f ca="1">'Monthly Data Input'!CG93</f>
        <v>#N/A</v>
      </c>
      <c r="H60" s="664" t="e">
        <f ca="1">'Monthly Data Input'!CH93</f>
        <v>#N/A</v>
      </c>
      <c r="I60" s="664" t="e">
        <f ca="1">'Monthly Data Input'!CI93</f>
        <v>#N/A</v>
      </c>
      <c r="J60" s="664" t="e">
        <f ca="1">'Monthly Data Input'!CJ93</f>
        <v>#N/A</v>
      </c>
      <c r="K60" s="664" t="e">
        <f ca="1">'Monthly Data Input'!CK93</f>
        <v>#N/A</v>
      </c>
      <c r="L60" s="664" t="e">
        <f ca="1">'Monthly Data Input'!CL93</f>
        <v>#N/A</v>
      </c>
      <c r="M60" s="664" t="e">
        <f ca="1">'Monthly Data Input'!CM93</f>
        <v>#N/A</v>
      </c>
      <c r="N60" s="664" t="e">
        <f ca="1">'Monthly Data Input'!CN93</f>
        <v>#N/A</v>
      </c>
      <c r="O60" s="1235" t="e">
        <f ca="1">'Monthly Data Input'!CO93</f>
        <v>#N/A</v>
      </c>
      <c r="P60" s="1236" t="e">
        <f ca="1">'Monthly Data Input'!CP93</f>
        <v>#N/A</v>
      </c>
      <c r="Q60" s="664" t="e">
        <f ca="1">'Monthly Data Input'!CQ93</f>
        <v>#N/A</v>
      </c>
      <c r="R60" s="664" t="e">
        <f ca="1">'Monthly Data Input'!CR93</f>
        <v>#N/A</v>
      </c>
      <c r="S60" s="664" t="e">
        <f ca="1">'Monthly Data Input'!CS93</f>
        <v>#N/A</v>
      </c>
    </row>
    <row r="61" spans="2:19" hidden="1" outlineLevel="1" x14ac:dyDescent="0.25">
      <c r="B61" s="1482"/>
      <c r="C61" s="277" t="str">
        <f>IF(Language="English", 'Language Look Ups'!$P$21,IF(Language="Francais", 'Language Look Ups'!$T$21, 'Language Look Ups'!$R$21))</f>
        <v>Progestatifs seul (POP)</v>
      </c>
      <c r="D61" s="670" t="e">
        <f ca="1">'Monthly Data Input'!CD94</f>
        <v>#N/A</v>
      </c>
      <c r="E61" s="670" t="e">
        <f ca="1">'Monthly Data Input'!CE94</f>
        <v>#N/A</v>
      </c>
      <c r="F61" s="670" t="e">
        <f ca="1">'Monthly Data Input'!CF94</f>
        <v>#N/A</v>
      </c>
      <c r="G61" s="670" t="e">
        <f ca="1">'Monthly Data Input'!CG94</f>
        <v>#N/A</v>
      </c>
      <c r="H61" s="670" t="e">
        <f ca="1">'Monthly Data Input'!CH94</f>
        <v>#N/A</v>
      </c>
      <c r="I61" s="670" t="e">
        <f ca="1">'Monthly Data Input'!CI94</f>
        <v>#N/A</v>
      </c>
      <c r="J61" s="670" t="e">
        <f ca="1">'Monthly Data Input'!CJ94</f>
        <v>#N/A</v>
      </c>
      <c r="K61" s="670" t="e">
        <f ca="1">'Monthly Data Input'!CK94</f>
        <v>#N/A</v>
      </c>
      <c r="L61" s="670" t="e">
        <f ca="1">'Monthly Data Input'!CL94</f>
        <v>#N/A</v>
      </c>
      <c r="M61" s="670" t="e">
        <f ca="1">'Monthly Data Input'!CM94</f>
        <v>#N/A</v>
      </c>
      <c r="N61" s="670" t="e">
        <f ca="1">'Monthly Data Input'!CN94</f>
        <v>#N/A</v>
      </c>
      <c r="O61" s="1237" t="e">
        <f ca="1">'Monthly Data Input'!CO94</f>
        <v>#N/A</v>
      </c>
      <c r="P61" s="1238" t="e">
        <f ca="1">'Monthly Data Input'!CP94</f>
        <v>#N/A</v>
      </c>
      <c r="Q61" s="670" t="e">
        <f ca="1">'Monthly Data Input'!CQ94</f>
        <v>#N/A</v>
      </c>
      <c r="R61" s="670" t="e">
        <f ca="1">'Monthly Data Input'!CR94</f>
        <v>#N/A</v>
      </c>
      <c r="S61" s="670" t="e">
        <f ca="1">'Monthly Data Input'!CS94</f>
        <v>#N/A</v>
      </c>
    </row>
    <row r="62" spans="2:19" hidden="1" outlineLevel="1" x14ac:dyDescent="0.25">
      <c r="B62" s="1481"/>
      <c r="C62" s="275" t="str">
        <f>IF(Language="English", 'Language Look Ups'!$P$22,IF(Language="Francais", 'Language Look Ups'!$T$22, 'Language Look Ups'!$R$22))</f>
        <v>Autre pilule</v>
      </c>
      <c r="D62" s="667" t="e">
        <f ca="1">'Monthly Data Input'!CD95</f>
        <v>#N/A</v>
      </c>
      <c r="E62" s="667" t="e">
        <f ca="1">'Monthly Data Input'!CE95</f>
        <v>#N/A</v>
      </c>
      <c r="F62" s="667" t="e">
        <f ca="1">'Monthly Data Input'!CF95</f>
        <v>#N/A</v>
      </c>
      <c r="G62" s="667" t="e">
        <f ca="1">'Monthly Data Input'!CG95</f>
        <v>#N/A</v>
      </c>
      <c r="H62" s="667" t="e">
        <f ca="1">'Monthly Data Input'!CH95</f>
        <v>#N/A</v>
      </c>
      <c r="I62" s="667" t="e">
        <f ca="1">'Monthly Data Input'!CI95</f>
        <v>#N/A</v>
      </c>
      <c r="J62" s="667" t="e">
        <f ca="1">'Monthly Data Input'!CJ95</f>
        <v>#N/A</v>
      </c>
      <c r="K62" s="667" t="e">
        <f ca="1">'Monthly Data Input'!CK95</f>
        <v>#N/A</v>
      </c>
      <c r="L62" s="667" t="e">
        <f ca="1">'Monthly Data Input'!CL95</f>
        <v>#N/A</v>
      </c>
      <c r="M62" s="667" t="e">
        <f ca="1">'Monthly Data Input'!CM95</f>
        <v>#N/A</v>
      </c>
      <c r="N62" s="667" t="e">
        <f ca="1">'Monthly Data Input'!CN95</f>
        <v>#N/A</v>
      </c>
      <c r="O62" s="1233" t="e">
        <f ca="1">'Monthly Data Input'!CO95</f>
        <v>#N/A</v>
      </c>
      <c r="P62" s="1234" t="e">
        <f ca="1">'Monthly Data Input'!CP95</f>
        <v>#N/A</v>
      </c>
      <c r="Q62" s="667" t="e">
        <f ca="1">'Monthly Data Input'!CQ95</f>
        <v>#N/A</v>
      </c>
      <c r="R62" s="667" t="e">
        <f ca="1">'Monthly Data Input'!CR95</f>
        <v>#N/A</v>
      </c>
      <c r="S62" s="667" t="e">
        <f ca="1">'Monthly Data Input'!CS95</f>
        <v>#N/A</v>
      </c>
    </row>
    <row r="63" spans="2:19" hidden="1" outlineLevel="1" x14ac:dyDescent="0.25">
      <c r="B63" s="1480" t="str">
        <f>IF(Language="English", 'Language Look Ups'!$O$23,IF(Language="Francais", 'Language Look Ups'!$S$23, 'Language Look Ups'!#REF!))</f>
        <v>Préservatifs</v>
      </c>
      <c r="C63" s="363" t="str">
        <f>IF(Language="English", 'Language Look Ups'!$P$23,IF(Language="Francais", 'Language Look Ups'!$T$23, 'Language Look Ups'!$R$23))</f>
        <v>Préservatifs masculin</v>
      </c>
      <c r="D63" s="664" t="e">
        <f ca="1">'Monthly Data Input'!CD96</f>
        <v>#N/A</v>
      </c>
      <c r="E63" s="664" t="e">
        <f ca="1">'Monthly Data Input'!CE96</f>
        <v>#N/A</v>
      </c>
      <c r="F63" s="664" t="e">
        <f ca="1">'Monthly Data Input'!CF96</f>
        <v>#N/A</v>
      </c>
      <c r="G63" s="664" t="e">
        <f ca="1">'Monthly Data Input'!CG96</f>
        <v>#N/A</v>
      </c>
      <c r="H63" s="664" t="e">
        <f ca="1">'Monthly Data Input'!CH96</f>
        <v>#N/A</v>
      </c>
      <c r="I63" s="664" t="e">
        <f ca="1">'Monthly Data Input'!CI96</f>
        <v>#N/A</v>
      </c>
      <c r="J63" s="664" t="e">
        <f ca="1">'Monthly Data Input'!CJ96</f>
        <v>#N/A</v>
      </c>
      <c r="K63" s="664" t="e">
        <f ca="1">'Monthly Data Input'!CK96</f>
        <v>#N/A</v>
      </c>
      <c r="L63" s="664" t="e">
        <f ca="1">'Monthly Data Input'!CL96</f>
        <v>#N/A</v>
      </c>
      <c r="M63" s="664" t="e">
        <f ca="1">'Monthly Data Input'!CM96</f>
        <v>#N/A</v>
      </c>
      <c r="N63" s="664" t="e">
        <f ca="1">'Monthly Data Input'!CN96</f>
        <v>#N/A</v>
      </c>
      <c r="O63" s="1235" t="e">
        <f ca="1">'Monthly Data Input'!CO96</f>
        <v>#N/A</v>
      </c>
      <c r="P63" s="1236" t="e">
        <f ca="1">'Monthly Data Input'!CP96</f>
        <v>#N/A</v>
      </c>
      <c r="Q63" s="664" t="e">
        <f ca="1">'Monthly Data Input'!CQ96</f>
        <v>#N/A</v>
      </c>
      <c r="R63" s="664" t="e">
        <f ca="1">'Monthly Data Input'!CR96</f>
        <v>#N/A</v>
      </c>
      <c r="S63" s="664" t="e">
        <f ca="1">'Monthly Data Input'!CS96</f>
        <v>#N/A</v>
      </c>
    </row>
    <row r="64" spans="2:19" hidden="1" outlineLevel="1" x14ac:dyDescent="0.25">
      <c r="B64" s="1481"/>
      <c r="C64" s="275" t="str">
        <f>IF(Language="English", 'Language Look Ups'!$P$24,IF(Language="Francais", 'Language Look Ups'!$T$24, 'Language Look Ups'!$R$24))</f>
        <v>Préservatifs feminin</v>
      </c>
      <c r="D64" s="667" t="e">
        <f ca="1">'Monthly Data Input'!CD97</f>
        <v>#N/A</v>
      </c>
      <c r="E64" s="667" t="e">
        <f ca="1">'Monthly Data Input'!CE97</f>
        <v>#N/A</v>
      </c>
      <c r="F64" s="667" t="e">
        <f ca="1">'Monthly Data Input'!CF97</f>
        <v>#N/A</v>
      </c>
      <c r="G64" s="667" t="e">
        <f ca="1">'Monthly Data Input'!CG97</f>
        <v>#N/A</v>
      </c>
      <c r="H64" s="667" t="e">
        <f ca="1">'Monthly Data Input'!CH97</f>
        <v>#N/A</v>
      </c>
      <c r="I64" s="667" t="e">
        <f ca="1">'Monthly Data Input'!CI97</f>
        <v>#N/A</v>
      </c>
      <c r="J64" s="667" t="e">
        <f ca="1">'Monthly Data Input'!CJ97</f>
        <v>#N/A</v>
      </c>
      <c r="K64" s="667" t="e">
        <f ca="1">'Monthly Data Input'!CK97</f>
        <v>#N/A</v>
      </c>
      <c r="L64" s="667" t="e">
        <f ca="1">'Monthly Data Input'!CL97</f>
        <v>#N/A</v>
      </c>
      <c r="M64" s="667" t="e">
        <f ca="1">'Monthly Data Input'!CM97</f>
        <v>#N/A</v>
      </c>
      <c r="N64" s="667" t="e">
        <f ca="1">'Monthly Data Input'!CN97</f>
        <v>#N/A</v>
      </c>
      <c r="O64" s="1233" t="e">
        <f ca="1">'Monthly Data Input'!CO97</f>
        <v>#N/A</v>
      </c>
      <c r="P64" s="1234" t="e">
        <f ca="1">'Monthly Data Input'!CP97</f>
        <v>#N/A</v>
      </c>
      <c r="Q64" s="667" t="e">
        <f ca="1">'Monthly Data Input'!CQ97</f>
        <v>#N/A</v>
      </c>
      <c r="R64" s="667" t="e">
        <f ca="1">'Monthly Data Input'!CR97</f>
        <v>#N/A</v>
      </c>
      <c r="S64" s="667" t="e">
        <f ca="1">'Monthly Data Input'!CS97</f>
        <v>#N/A</v>
      </c>
    </row>
    <row r="65" spans="2:51" hidden="1" outlineLevel="1" x14ac:dyDescent="0.25">
      <c r="B65" s="1480" t="str">
        <f>IF(Language="English", 'Language Look Ups'!$O$25,IF(Language="Francais", 'Language Look Ups'!$S$25, 'Language Look Ups'!#REF!))</f>
        <v>Autres Méthodes Modernes</v>
      </c>
      <c r="C65" s="363" t="str">
        <f>IF(Language="English", 'Language Look Ups'!$P$25,IF(Language="Francais", 'Language Look Ups'!$T$25, 'Language Look Ups'!$R$25))</f>
        <v>MAMA</v>
      </c>
      <c r="D65" s="664" t="e">
        <f ca="1">'Monthly Data Input'!CD98</f>
        <v>#N/A</v>
      </c>
      <c r="E65" s="664" t="e">
        <f ca="1">'Monthly Data Input'!CE98</f>
        <v>#N/A</v>
      </c>
      <c r="F65" s="664" t="e">
        <f ca="1">'Monthly Data Input'!CF98</f>
        <v>#N/A</v>
      </c>
      <c r="G65" s="664" t="e">
        <f ca="1">'Monthly Data Input'!CG98</f>
        <v>#N/A</v>
      </c>
      <c r="H65" s="664" t="e">
        <f ca="1">'Monthly Data Input'!CH98</f>
        <v>#N/A</v>
      </c>
      <c r="I65" s="664" t="e">
        <f ca="1">'Monthly Data Input'!CI98</f>
        <v>#N/A</v>
      </c>
      <c r="J65" s="664" t="e">
        <f ca="1">'Monthly Data Input'!CJ98</f>
        <v>#N/A</v>
      </c>
      <c r="K65" s="664" t="e">
        <f ca="1">'Monthly Data Input'!CK98</f>
        <v>#N/A</v>
      </c>
      <c r="L65" s="664" t="e">
        <f ca="1">'Monthly Data Input'!CL98</f>
        <v>#N/A</v>
      </c>
      <c r="M65" s="664" t="e">
        <f ca="1">'Monthly Data Input'!CM98</f>
        <v>#N/A</v>
      </c>
      <c r="N65" s="664" t="e">
        <f ca="1">'Monthly Data Input'!CN98</f>
        <v>#N/A</v>
      </c>
      <c r="O65" s="1235" t="e">
        <f ca="1">'Monthly Data Input'!CO98</f>
        <v>#N/A</v>
      </c>
      <c r="P65" s="1236" t="e">
        <f ca="1">'Monthly Data Input'!CP98</f>
        <v>#N/A</v>
      </c>
      <c r="Q65" s="664" t="e">
        <f ca="1">'Monthly Data Input'!CQ98</f>
        <v>#N/A</v>
      </c>
      <c r="R65" s="664" t="e">
        <f ca="1">'Monthly Data Input'!CR98</f>
        <v>#N/A</v>
      </c>
      <c r="S65" s="664" t="e">
        <f ca="1">'Monthly Data Input'!CS98</f>
        <v>#N/A</v>
      </c>
    </row>
    <row r="66" spans="2:51" hidden="1" outlineLevel="1" x14ac:dyDescent="0.25">
      <c r="B66" s="1482"/>
      <c r="C66" s="277" t="str">
        <f>IF(Language="English", 'Language Look Ups'!$P$26,IF(Language="Francais", 'Language Look Ups'!$T$26, 'Language Look Ups'!$R$26))</f>
        <v>MJF (Jours fixes)</v>
      </c>
      <c r="D66" s="670" t="e">
        <f ca="1">'Monthly Data Input'!CD99</f>
        <v>#N/A</v>
      </c>
      <c r="E66" s="670" t="e">
        <f ca="1">'Monthly Data Input'!CE99</f>
        <v>#N/A</v>
      </c>
      <c r="F66" s="670" t="e">
        <f ca="1">'Monthly Data Input'!CF99</f>
        <v>#N/A</v>
      </c>
      <c r="G66" s="670" t="e">
        <f ca="1">'Monthly Data Input'!CG99</f>
        <v>#N/A</v>
      </c>
      <c r="H66" s="670" t="e">
        <f ca="1">'Monthly Data Input'!CH99</f>
        <v>#N/A</v>
      </c>
      <c r="I66" s="670" t="e">
        <f ca="1">'Monthly Data Input'!CI99</f>
        <v>#N/A</v>
      </c>
      <c r="J66" s="670" t="e">
        <f ca="1">'Monthly Data Input'!CJ99</f>
        <v>#N/A</v>
      </c>
      <c r="K66" s="670" t="e">
        <f ca="1">'Monthly Data Input'!CK99</f>
        <v>#N/A</v>
      </c>
      <c r="L66" s="670" t="e">
        <f ca="1">'Monthly Data Input'!CL99</f>
        <v>#N/A</v>
      </c>
      <c r="M66" s="670" t="e">
        <f ca="1">'Monthly Data Input'!CM99</f>
        <v>#N/A</v>
      </c>
      <c r="N66" s="670" t="e">
        <f ca="1">'Monthly Data Input'!CN99</f>
        <v>#N/A</v>
      </c>
      <c r="O66" s="1237" t="e">
        <f ca="1">'Monthly Data Input'!CO99</f>
        <v>#N/A</v>
      </c>
      <c r="P66" s="1238" t="e">
        <f ca="1">'Monthly Data Input'!CP99</f>
        <v>#N/A</v>
      </c>
      <c r="Q66" s="670" t="e">
        <f ca="1">'Monthly Data Input'!CQ99</f>
        <v>#N/A</v>
      </c>
      <c r="R66" s="670" t="e">
        <f ca="1">'Monthly Data Input'!CR99</f>
        <v>#N/A</v>
      </c>
      <c r="S66" s="670" t="e">
        <f ca="1">'Monthly Data Input'!CS99</f>
        <v>#N/A</v>
      </c>
    </row>
    <row r="67" spans="2:51" hidden="1" outlineLevel="1" x14ac:dyDescent="0.25">
      <c r="B67" s="1482"/>
      <c r="C67" s="277" t="str">
        <f>IF(Language="English", 'Language Look Ups'!$P$27,IF(Language="Francais", 'Language Look Ups'!$T$27, 'Language Look Ups'!$R$27))</f>
        <v>Barrière vaginale</v>
      </c>
      <c r="D67" s="670" t="e">
        <f ca="1">'Monthly Data Input'!CD100</f>
        <v>#N/A</v>
      </c>
      <c r="E67" s="670" t="e">
        <f ca="1">'Monthly Data Input'!CE100</f>
        <v>#N/A</v>
      </c>
      <c r="F67" s="670" t="e">
        <f ca="1">'Monthly Data Input'!CF100</f>
        <v>#N/A</v>
      </c>
      <c r="G67" s="670" t="e">
        <f ca="1">'Monthly Data Input'!CG100</f>
        <v>#N/A</v>
      </c>
      <c r="H67" s="670" t="e">
        <f ca="1">'Monthly Data Input'!CH100</f>
        <v>#N/A</v>
      </c>
      <c r="I67" s="670" t="e">
        <f ca="1">'Monthly Data Input'!CI100</f>
        <v>#N/A</v>
      </c>
      <c r="J67" s="670" t="e">
        <f ca="1">'Monthly Data Input'!CJ100</f>
        <v>#N/A</v>
      </c>
      <c r="K67" s="670" t="e">
        <f ca="1">'Monthly Data Input'!CK100</f>
        <v>#N/A</v>
      </c>
      <c r="L67" s="670" t="e">
        <f ca="1">'Monthly Data Input'!CL100</f>
        <v>#N/A</v>
      </c>
      <c r="M67" s="670" t="e">
        <f ca="1">'Monthly Data Input'!CM100</f>
        <v>#N/A</v>
      </c>
      <c r="N67" s="670" t="e">
        <f ca="1">'Monthly Data Input'!CN100</f>
        <v>#N/A</v>
      </c>
      <c r="O67" s="1237" t="e">
        <f ca="1">'Monthly Data Input'!CO100</f>
        <v>#N/A</v>
      </c>
      <c r="P67" s="1238" t="e">
        <f ca="1">'Monthly Data Input'!CP100</f>
        <v>#N/A</v>
      </c>
      <c r="Q67" s="670" t="e">
        <f ca="1">'Monthly Data Input'!CQ100</f>
        <v>#N/A</v>
      </c>
      <c r="R67" s="670" t="e">
        <f ca="1">'Monthly Data Input'!CR100</f>
        <v>#N/A</v>
      </c>
      <c r="S67" s="670" t="e">
        <f ca="1">'Monthly Data Input'!CS100</f>
        <v>#N/A</v>
      </c>
    </row>
    <row r="68" spans="2:51" hidden="1" outlineLevel="1" x14ac:dyDescent="0.25">
      <c r="B68" s="1481"/>
      <c r="C68" s="275" t="str">
        <f>IF(Language="English", 'Language Look Ups'!$P$28,IF(Language="Francais", 'Language Look Ups'!$T$28, 'Language Look Ups'!$R$28))</f>
        <v>Spermicides</v>
      </c>
      <c r="D68" s="667" t="e">
        <f ca="1">'Monthly Data Input'!CD101</f>
        <v>#N/A</v>
      </c>
      <c r="E68" s="667" t="e">
        <f ca="1">'Monthly Data Input'!CE101</f>
        <v>#N/A</v>
      </c>
      <c r="F68" s="667" t="e">
        <f ca="1">'Monthly Data Input'!CF101</f>
        <v>#N/A</v>
      </c>
      <c r="G68" s="667" t="e">
        <f ca="1">'Monthly Data Input'!CG101</f>
        <v>#N/A</v>
      </c>
      <c r="H68" s="667" t="e">
        <f ca="1">'Monthly Data Input'!CH101</f>
        <v>#N/A</v>
      </c>
      <c r="I68" s="667" t="e">
        <f ca="1">'Monthly Data Input'!CI101</f>
        <v>#N/A</v>
      </c>
      <c r="J68" s="667" t="e">
        <f ca="1">'Monthly Data Input'!CJ101</f>
        <v>#N/A</v>
      </c>
      <c r="K68" s="667" t="e">
        <f ca="1">'Monthly Data Input'!CK101</f>
        <v>#N/A</v>
      </c>
      <c r="L68" s="667" t="e">
        <f ca="1">'Monthly Data Input'!CL101</f>
        <v>#N/A</v>
      </c>
      <c r="M68" s="667" t="e">
        <f ca="1">'Monthly Data Input'!CM101</f>
        <v>#N/A</v>
      </c>
      <c r="N68" s="667" t="e">
        <f ca="1">'Monthly Data Input'!CN101</f>
        <v>#N/A</v>
      </c>
      <c r="O68" s="1233" t="e">
        <f ca="1">'Monthly Data Input'!CO101</f>
        <v>#N/A</v>
      </c>
      <c r="P68" s="1234" t="e">
        <f ca="1">'Monthly Data Input'!CP101</f>
        <v>#N/A</v>
      </c>
      <c r="Q68" s="667" t="e">
        <f ca="1">'Monthly Data Input'!CQ101</f>
        <v>#N/A</v>
      </c>
      <c r="R68" s="667" t="e">
        <f ca="1">'Monthly Data Input'!CR101</f>
        <v>#N/A</v>
      </c>
      <c r="S68" s="667" t="e">
        <f ca="1">'Monthly Data Input'!CS101</f>
        <v>#N/A</v>
      </c>
    </row>
    <row r="69" spans="2:51" ht="15.75" hidden="1" outlineLevel="1" thickBot="1" x14ac:dyDescent="0.3">
      <c r="B69" s="1131" t="str">
        <f>IF(Language="English", 'Language Look Ups'!$O$29,IF(Language="Francais", 'Language Look Ups'!$S$29, 'Language Look Ups'!#REF!))</f>
        <v>Contraception d'urgence</v>
      </c>
      <c r="C69" s="397" t="str">
        <f>IF(Language="English", 'Language Look Ups'!$P$29,IF(Language="Francais", 'Language Look Ups'!$T$29, 'Language Look Ups'!$R$29))</f>
        <v>CU</v>
      </c>
      <c r="D69" s="664" t="e">
        <f ca="1">'Monthly Data Input'!CD102</f>
        <v>#N/A</v>
      </c>
      <c r="E69" s="664" t="e">
        <f ca="1">'Monthly Data Input'!CE102</f>
        <v>#N/A</v>
      </c>
      <c r="F69" s="664" t="e">
        <f ca="1">'Monthly Data Input'!CF102</f>
        <v>#N/A</v>
      </c>
      <c r="G69" s="664" t="e">
        <f ca="1">'Monthly Data Input'!CG102</f>
        <v>#N/A</v>
      </c>
      <c r="H69" s="664" t="e">
        <f ca="1">'Monthly Data Input'!CH102</f>
        <v>#N/A</v>
      </c>
      <c r="I69" s="664" t="e">
        <f ca="1">'Monthly Data Input'!CI102</f>
        <v>#N/A</v>
      </c>
      <c r="J69" s="664" t="e">
        <f ca="1">'Monthly Data Input'!CJ102</f>
        <v>#N/A</v>
      </c>
      <c r="K69" s="1235" t="e">
        <f ca="1">'Monthly Data Input'!CK102</f>
        <v>#N/A</v>
      </c>
      <c r="L69" s="1235" t="e">
        <f ca="1">'Monthly Data Input'!CL102</f>
        <v>#N/A</v>
      </c>
      <c r="M69" s="1235" t="e">
        <f ca="1">'Monthly Data Input'!CM102</f>
        <v>#N/A</v>
      </c>
      <c r="N69" s="1235" t="e">
        <f ca="1">'Monthly Data Input'!CN102</f>
        <v>#N/A</v>
      </c>
      <c r="O69" s="1235" t="e">
        <f ca="1">'Monthly Data Input'!CO102</f>
        <v>#N/A</v>
      </c>
      <c r="P69" s="1241" t="e">
        <f ca="1">'Monthly Data Input'!CP102</f>
        <v>#N/A</v>
      </c>
      <c r="Q69" s="1242" t="e">
        <f ca="1">'Monthly Data Input'!CQ102</f>
        <v>#N/A</v>
      </c>
      <c r="R69" s="1242" t="e">
        <f ca="1">'Monthly Data Input'!CR102</f>
        <v>#N/A</v>
      </c>
      <c r="S69" s="1242" t="e">
        <f ca="1">'Monthly Data Input'!CS102</f>
        <v>#N/A</v>
      </c>
    </row>
    <row r="70" spans="2:51" ht="21.75" collapsed="1" thickBot="1" x14ac:dyDescent="0.3">
      <c r="B70" s="429" t="e">
        <f>B39</f>
        <v>#N/A</v>
      </c>
      <c r="C70" s="430"/>
      <c r="D70" s="1230" t="e">
        <f ca="1">SUM(D46:D52,D55:D69)</f>
        <v>#N/A</v>
      </c>
      <c r="E70" s="1230" t="e">
        <f t="shared" ref="E70:S70" ca="1" si="2">SUM(E46:E52,E55:E69)</f>
        <v>#N/A</v>
      </c>
      <c r="F70" s="1230" t="e">
        <f t="shared" ca="1" si="2"/>
        <v>#N/A</v>
      </c>
      <c r="G70" s="1230" t="e">
        <f t="shared" ca="1" si="2"/>
        <v>#N/A</v>
      </c>
      <c r="H70" s="1230" t="e">
        <f t="shared" ca="1" si="2"/>
        <v>#N/A</v>
      </c>
      <c r="I70" s="1230" t="e">
        <f t="shared" ca="1" si="2"/>
        <v>#N/A</v>
      </c>
      <c r="J70" s="1230" t="e">
        <f t="shared" ca="1" si="2"/>
        <v>#N/A</v>
      </c>
      <c r="K70" s="1230" t="e">
        <f t="shared" ca="1" si="2"/>
        <v>#N/A</v>
      </c>
      <c r="L70" s="1230" t="e">
        <f t="shared" ca="1" si="2"/>
        <v>#N/A</v>
      </c>
      <c r="M70" s="1230" t="e">
        <f t="shared" ca="1" si="2"/>
        <v>#N/A</v>
      </c>
      <c r="N70" s="1230" t="e">
        <f t="shared" ca="1" si="2"/>
        <v>#N/A</v>
      </c>
      <c r="O70" s="1230" t="e">
        <f t="shared" ca="1" si="2"/>
        <v>#N/A</v>
      </c>
      <c r="P70" s="1230" t="e">
        <f t="shared" ca="1" si="2"/>
        <v>#N/A</v>
      </c>
      <c r="Q70" s="1230" t="e">
        <f t="shared" ca="1" si="2"/>
        <v>#N/A</v>
      </c>
      <c r="R70" s="1230" t="e">
        <f t="shared" ca="1" si="2"/>
        <v>#N/A</v>
      </c>
      <c r="S70" s="1230" t="e">
        <f t="shared" ca="1" si="2"/>
        <v>#N/A</v>
      </c>
    </row>
    <row r="71" spans="2:51" ht="6.6" customHeight="1" x14ac:dyDescent="0.25"/>
    <row r="74" spans="2:51" ht="15.75" hidden="1" outlineLevel="1" thickBot="1" x14ac:dyDescent="0.3">
      <c r="C74" s="921" t="s">
        <v>2080</v>
      </c>
      <c r="D74" t="str">
        <f>D13</f>
        <v>Jan2019</v>
      </c>
      <c r="E74" t="str">
        <f t="shared" ref="E74:AM74" si="3">E13</f>
        <v>Feb2019</v>
      </c>
      <c r="F74" t="str">
        <f t="shared" si="3"/>
        <v>Mar2019</v>
      </c>
      <c r="G74" t="str">
        <f t="shared" si="3"/>
        <v>Apr2019</v>
      </c>
      <c r="H74" t="str">
        <f t="shared" si="3"/>
        <v>May2019</v>
      </c>
      <c r="I74" t="str">
        <f t="shared" si="3"/>
        <v>Jun2019</v>
      </c>
      <c r="J74" t="str">
        <f t="shared" si="3"/>
        <v>Jul2019</v>
      </c>
      <c r="K74" t="str">
        <f t="shared" si="3"/>
        <v>Aug2019</v>
      </c>
      <c r="L74" t="str">
        <f t="shared" si="3"/>
        <v>Sep2019</v>
      </c>
      <c r="M74" t="str">
        <f t="shared" si="3"/>
        <v>Oct2019</v>
      </c>
      <c r="N74" t="str">
        <f t="shared" si="3"/>
        <v>Nov2019</v>
      </c>
      <c r="O74" t="str">
        <f t="shared" si="3"/>
        <v>Dec2019</v>
      </c>
      <c r="P74" t="str">
        <f t="shared" si="3"/>
        <v>Jan2020</v>
      </c>
      <c r="Q74" t="str">
        <f t="shared" si="3"/>
        <v>Feb2020</v>
      </c>
      <c r="R74" t="str">
        <f t="shared" si="3"/>
        <v>Mar2020</v>
      </c>
      <c r="S74" t="str">
        <f t="shared" si="3"/>
        <v>Apr2020</v>
      </c>
      <c r="T74" t="str">
        <f t="shared" si="3"/>
        <v>May2020</v>
      </c>
      <c r="U74" t="str">
        <f t="shared" si="3"/>
        <v>Jun2020</v>
      </c>
      <c r="V74" t="str">
        <f t="shared" si="3"/>
        <v>Jul2020</v>
      </c>
      <c r="W74" t="str">
        <f t="shared" si="3"/>
        <v>Aug2020</v>
      </c>
      <c r="X74" t="str">
        <f t="shared" si="3"/>
        <v>Sep2020</v>
      </c>
      <c r="Y74" t="str">
        <f t="shared" si="3"/>
        <v>Oct2020</v>
      </c>
      <c r="Z74" t="str">
        <f t="shared" si="3"/>
        <v>Nov2020</v>
      </c>
      <c r="AA74" t="str">
        <f t="shared" si="3"/>
        <v>Dec2020</v>
      </c>
      <c r="AB74" t="str">
        <f t="shared" si="3"/>
        <v>Jan2021</v>
      </c>
      <c r="AC74" t="str">
        <f t="shared" si="3"/>
        <v>Feb2021</v>
      </c>
      <c r="AD74" t="str">
        <f t="shared" si="3"/>
        <v>Mar2021</v>
      </c>
      <c r="AE74" t="str">
        <f t="shared" si="3"/>
        <v>Apr2021</v>
      </c>
      <c r="AF74" t="str">
        <f t="shared" si="3"/>
        <v>May2021</v>
      </c>
      <c r="AG74" t="str">
        <f t="shared" si="3"/>
        <v>Jun2021</v>
      </c>
      <c r="AH74" t="str">
        <f t="shared" si="3"/>
        <v>Jul2021</v>
      </c>
      <c r="AI74" t="str">
        <f t="shared" si="3"/>
        <v>Aug2021</v>
      </c>
      <c r="AJ74" t="str">
        <f t="shared" si="3"/>
        <v>Sep2021</v>
      </c>
      <c r="AK74" t="str">
        <f t="shared" si="3"/>
        <v>Oct2021</v>
      </c>
      <c r="AL74" t="str">
        <f t="shared" si="3"/>
        <v>Nov2021</v>
      </c>
      <c r="AM74" t="str">
        <f t="shared" si="3"/>
        <v>Dec2021</v>
      </c>
    </row>
    <row r="75" spans="2:51" hidden="1" outlineLevel="1" x14ac:dyDescent="0.25">
      <c r="B75" s="1706" t="s">
        <v>2080</v>
      </c>
      <c r="C75" s="1214" t="str">
        <f t="shared" ref="C75:C86" si="4">IF(Language="English", AW75, AY75)</f>
        <v>Stérilisation (F)</v>
      </c>
      <c r="D75" s="1135" t="e">
        <f>SUM(D15)</f>
        <v>#N/A</v>
      </c>
      <c r="E75" s="1135" t="e">
        <f t="shared" ref="E75:AM75" si="5">SUM(E15)</f>
        <v>#N/A</v>
      </c>
      <c r="F75" s="1135" t="e">
        <f t="shared" si="5"/>
        <v>#N/A</v>
      </c>
      <c r="G75" s="1135" t="e">
        <f t="shared" si="5"/>
        <v>#N/A</v>
      </c>
      <c r="H75" s="1135" t="e">
        <f t="shared" si="5"/>
        <v>#N/A</v>
      </c>
      <c r="I75" s="1135" t="e">
        <f t="shared" si="5"/>
        <v>#N/A</v>
      </c>
      <c r="J75" s="1135" t="e">
        <f t="shared" si="5"/>
        <v>#N/A</v>
      </c>
      <c r="K75" s="1135" t="e">
        <f t="shared" si="5"/>
        <v>#N/A</v>
      </c>
      <c r="L75" s="1135" t="e">
        <f t="shared" si="5"/>
        <v>#N/A</v>
      </c>
      <c r="M75" s="1135" t="e">
        <f t="shared" si="5"/>
        <v>#N/A</v>
      </c>
      <c r="N75" s="1135" t="e">
        <f t="shared" si="5"/>
        <v>#N/A</v>
      </c>
      <c r="O75" s="1135" t="e">
        <f t="shared" si="5"/>
        <v>#N/A</v>
      </c>
      <c r="P75" s="1135" t="e">
        <f t="shared" si="5"/>
        <v>#N/A</v>
      </c>
      <c r="Q75" s="1135" t="e">
        <f t="shared" si="5"/>
        <v>#N/A</v>
      </c>
      <c r="R75" s="1135" t="e">
        <f t="shared" si="5"/>
        <v>#N/A</v>
      </c>
      <c r="S75" s="1135" t="e">
        <f t="shared" si="5"/>
        <v>#N/A</v>
      </c>
      <c r="T75" s="1135" t="e">
        <f t="shared" si="5"/>
        <v>#N/A</v>
      </c>
      <c r="U75" s="1135" t="e">
        <f t="shared" si="5"/>
        <v>#N/A</v>
      </c>
      <c r="V75" s="1135" t="e">
        <f t="shared" si="5"/>
        <v>#N/A</v>
      </c>
      <c r="W75" s="1135" t="e">
        <f t="shared" si="5"/>
        <v>#N/A</v>
      </c>
      <c r="X75" s="1135" t="e">
        <f t="shared" si="5"/>
        <v>#N/A</v>
      </c>
      <c r="Y75" s="1135" t="e">
        <f t="shared" si="5"/>
        <v>#N/A</v>
      </c>
      <c r="Z75" s="1135" t="e">
        <f t="shared" si="5"/>
        <v>#N/A</v>
      </c>
      <c r="AA75" s="1243" t="e">
        <f t="shared" si="5"/>
        <v>#N/A</v>
      </c>
      <c r="AB75" s="1243" t="e">
        <f t="shared" si="5"/>
        <v>#N/A</v>
      </c>
      <c r="AC75" s="1243" t="e">
        <f t="shared" si="5"/>
        <v>#N/A</v>
      </c>
      <c r="AD75" s="1243" t="e">
        <f t="shared" si="5"/>
        <v>#N/A</v>
      </c>
      <c r="AE75" s="1243" t="e">
        <f t="shared" si="5"/>
        <v>#N/A</v>
      </c>
      <c r="AF75" s="1243" t="e">
        <f t="shared" si="5"/>
        <v>#N/A</v>
      </c>
      <c r="AG75" s="1243" t="e">
        <f t="shared" si="5"/>
        <v>#N/A</v>
      </c>
      <c r="AH75" s="1243" t="e">
        <f t="shared" si="5"/>
        <v>#N/A</v>
      </c>
      <c r="AI75" s="1243" t="e">
        <f t="shared" si="5"/>
        <v>#N/A</v>
      </c>
      <c r="AJ75" s="1243" t="e">
        <f t="shared" si="5"/>
        <v>#N/A</v>
      </c>
      <c r="AK75" s="1243" t="e">
        <f t="shared" si="5"/>
        <v>#N/A</v>
      </c>
      <c r="AL75" s="1243" t="e">
        <f t="shared" si="5"/>
        <v>#N/A</v>
      </c>
      <c r="AM75" s="1243" t="e">
        <f t="shared" si="5"/>
        <v>#N/A</v>
      </c>
      <c r="AW75" s="739" t="s">
        <v>1311</v>
      </c>
      <c r="AY75" s="1298" t="s">
        <v>2451</v>
      </c>
    </row>
    <row r="76" spans="2:51" hidden="1" outlineLevel="1" x14ac:dyDescent="0.25">
      <c r="B76" s="1707"/>
      <c r="C76" s="920" t="str">
        <f t="shared" si="4"/>
        <v>Stérilisation (M)</v>
      </c>
      <c r="D76" s="922" t="e">
        <f>D16</f>
        <v>#N/A</v>
      </c>
      <c r="E76" s="922" t="e">
        <f t="shared" ref="E76:AM76" si="6">E16</f>
        <v>#N/A</v>
      </c>
      <c r="F76" s="922" t="e">
        <f t="shared" si="6"/>
        <v>#N/A</v>
      </c>
      <c r="G76" s="922" t="e">
        <f t="shared" si="6"/>
        <v>#N/A</v>
      </c>
      <c r="H76" s="922" t="e">
        <f t="shared" si="6"/>
        <v>#N/A</v>
      </c>
      <c r="I76" s="922" t="e">
        <f t="shared" si="6"/>
        <v>#N/A</v>
      </c>
      <c r="J76" s="922" t="e">
        <f t="shared" si="6"/>
        <v>#N/A</v>
      </c>
      <c r="K76" s="922" t="e">
        <f t="shared" si="6"/>
        <v>#N/A</v>
      </c>
      <c r="L76" s="922" t="e">
        <f t="shared" si="6"/>
        <v>#N/A</v>
      </c>
      <c r="M76" s="922" t="e">
        <f t="shared" si="6"/>
        <v>#N/A</v>
      </c>
      <c r="N76" s="922" t="e">
        <f t="shared" si="6"/>
        <v>#N/A</v>
      </c>
      <c r="O76" s="922" t="e">
        <f t="shared" si="6"/>
        <v>#N/A</v>
      </c>
      <c r="P76" s="922" t="e">
        <f t="shared" si="6"/>
        <v>#N/A</v>
      </c>
      <c r="Q76" s="922" t="e">
        <f t="shared" si="6"/>
        <v>#N/A</v>
      </c>
      <c r="R76" s="922" t="e">
        <f t="shared" si="6"/>
        <v>#N/A</v>
      </c>
      <c r="S76" s="922" t="e">
        <f t="shared" si="6"/>
        <v>#N/A</v>
      </c>
      <c r="T76" s="922" t="e">
        <f t="shared" si="6"/>
        <v>#N/A</v>
      </c>
      <c r="U76" s="922" t="e">
        <f t="shared" si="6"/>
        <v>#N/A</v>
      </c>
      <c r="V76" s="922" t="e">
        <f t="shared" si="6"/>
        <v>#N/A</v>
      </c>
      <c r="W76" s="922" t="e">
        <f t="shared" si="6"/>
        <v>#N/A</v>
      </c>
      <c r="X76" s="922" t="e">
        <f t="shared" si="6"/>
        <v>#N/A</v>
      </c>
      <c r="Y76" s="922" t="e">
        <f t="shared" si="6"/>
        <v>#N/A</v>
      </c>
      <c r="Z76" s="922" t="e">
        <f t="shared" si="6"/>
        <v>#N/A</v>
      </c>
      <c r="AA76" s="923" t="e">
        <f t="shared" si="6"/>
        <v>#N/A</v>
      </c>
      <c r="AB76" s="923" t="e">
        <f t="shared" si="6"/>
        <v>#N/A</v>
      </c>
      <c r="AC76" s="923" t="e">
        <f t="shared" si="6"/>
        <v>#N/A</v>
      </c>
      <c r="AD76" s="923" t="e">
        <f t="shared" si="6"/>
        <v>#N/A</v>
      </c>
      <c r="AE76" s="923" t="e">
        <f t="shared" si="6"/>
        <v>#N/A</v>
      </c>
      <c r="AF76" s="923" t="e">
        <f t="shared" si="6"/>
        <v>#N/A</v>
      </c>
      <c r="AG76" s="923" t="e">
        <f t="shared" si="6"/>
        <v>#N/A</v>
      </c>
      <c r="AH76" s="923" t="e">
        <f t="shared" si="6"/>
        <v>#N/A</v>
      </c>
      <c r="AI76" s="923" t="e">
        <f t="shared" si="6"/>
        <v>#N/A</v>
      </c>
      <c r="AJ76" s="923" t="e">
        <f t="shared" si="6"/>
        <v>#N/A</v>
      </c>
      <c r="AK76" s="923" t="e">
        <f t="shared" si="6"/>
        <v>#N/A</v>
      </c>
      <c r="AL76" s="923" t="e">
        <f t="shared" si="6"/>
        <v>#N/A</v>
      </c>
      <c r="AM76" s="923" t="e">
        <f t="shared" si="6"/>
        <v>#N/A</v>
      </c>
      <c r="AW76" s="739" t="s">
        <v>1312</v>
      </c>
      <c r="AY76" s="1298" t="s">
        <v>2452</v>
      </c>
    </row>
    <row r="77" spans="2:51" hidden="1" outlineLevel="1" x14ac:dyDescent="0.25">
      <c r="B77" s="1707"/>
      <c r="C77" s="920" t="str">
        <f t="shared" si="4"/>
        <v>DIU</v>
      </c>
      <c r="D77" s="922" t="e">
        <f>SUM(D17:D18)</f>
        <v>#N/A</v>
      </c>
      <c r="E77" s="922" t="e">
        <f t="shared" ref="E77:AM77" si="7">SUM(E17:E18)</f>
        <v>#N/A</v>
      </c>
      <c r="F77" s="922" t="e">
        <f t="shared" si="7"/>
        <v>#N/A</v>
      </c>
      <c r="G77" s="922" t="e">
        <f t="shared" si="7"/>
        <v>#N/A</v>
      </c>
      <c r="H77" s="922" t="e">
        <f t="shared" si="7"/>
        <v>#N/A</v>
      </c>
      <c r="I77" s="922" t="e">
        <f t="shared" si="7"/>
        <v>#N/A</v>
      </c>
      <c r="J77" s="922" t="e">
        <f t="shared" si="7"/>
        <v>#N/A</v>
      </c>
      <c r="K77" s="922" t="e">
        <f t="shared" si="7"/>
        <v>#N/A</v>
      </c>
      <c r="L77" s="922" t="e">
        <f t="shared" si="7"/>
        <v>#N/A</v>
      </c>
      <c r="M77" s="922" t="e">
        <f t="shared" si="7"/>
        <v>#N/A</v>
      </c>
      <c r="N77" s="922" t="e">
        <f t="shared" si="7"/>
        <v>#N/A</v>
      </c>
      <c r="O77" s="922" t="e">
        <f t="shared" si="7"/>
        <v>#N/A</v>
      </c>
      <c r="P77" s="922" t="e">
        <f t="shared" si="7"/>
        <v>#N/A</v>
      </c>
      <c r="Q77" s="922" t="e">
        <f t="shared" si="7"/>
        <v>#N/A</v>
      </c>
      <c r="R77" s="922" t="e">
        <f t="shared" si="7"/>
        <v>#N/A</v>
      </c>
      <c r="S77" s="922" t="e">
        <f t="shared" si="7"/>
        <v>#N/A</v>
      </c>
      <c r="T77" s="922" t="e">
        <f t="shared" si="7"/>
        <v>#N/A</v>
      </c>
      <c r="U77" s="922" t="e">
        <f t="shared" si="7"/>
        <v>#N/A</v>
      </c>
      <c r="V77" s="922" t="e">
        <f t="shared" si="7"/>
        <v>#N/A</v>
      </c>
      <c r="W77" s="922" t="e">
        <f t="shared" si="7"/>
        <v>#N/A</v>
      </c>
      <c r="X77" s="922" t="e">
        <f t="shared" si="7"/>
        <v>#N/A</v>
      </c>
      <c r="Y77" s="922" t="e">
        <f t="shared" si="7"/>
        <v>#N/A</v>
      </c>
      <c r="Z77" s="922" t="e">
        <f t="shared" si="7"/>
        <v>#N/A</v>
      </c>
      <c r="AA77" s="923" t="e">
        <f t="shared" si="7"/>
        <v>#N/A</v>
      </c>
      <c r="AB77" s="923" t="e">
        <f t="shared" si="7"/>
        <v>#N/A</v>
      </c>
      <c r="AC77" s="923" t="e">
        <f t="shared" si="7"/>
        <v>#N/A</v>
      </c>
      <c r="AD77" s="923" t="e">
        <f t="shared" si="7"/>
        <v>#N/A</v>
      </c>
      <c r="AE77" s="923" t="e">
        <f t="shared" si="7"/>
        <v>#N/A</v>
      </c>
      <c r="AF77" s="923" t="e">
        <f t="shared" si="7"/>
        <v>#N/A</v>
      </c>
      <c r="AG77" s="923" t="e">
        <f t="shared" si="7"/>
        <v>#N/A</v>
      </c>
      <c r="AH77" s="923" t="e">
        <f t="shared" si="7"/>
        <v>#N/A</v>
      </c>
      <c r="AI77" s="923" t="e">
        <f t="shared" si="7"/>
        <v>#N/A</v>
      </c>
      <c r="AJ77" s="923" t="e">
        <f t="shared" si="7"/>
        <v>#N/A</v>
      </c>
      <c r="AK77" s="923" t="e">
        <f t="shared" si="7"/>
        <v>#N/A</v>
      </c>
      <c r="AL77" s="923" t="e">
        <f t="shared" si="7"/>
        <v>#N/A</v>
      </c>
      <c r="AM77" s="923" t="e">
        <f t="shared" si="7"/>
        <v>#N/A</v>
      </c>
      <c r="AW77" s="739" t="s">
        <v>5</v>
      </c>
      <c r="AY77" s="1298" t="s">
        <v>641</v>
      </c>
    </row>
    <row r="78" spans="2:51" hidden="1" outlineLevel="1" x14ac:dyDescent="0.25">
      <c r="B78" s="1707"/>
      <c r="C78" s="920" t="str">
        <f t="shared" si="4"/>
        <v>Implant</v>
      </c>
      <c r="D78" s="922" t="e">
        <f>SUM(D19:D21)</f>
        <v>#N/A</v>
      </c>
      <c r="E78" s="922" t="e">
        <f t="shared" ref="E78:AM78" si="8">SUM(E19:E21)</f>
        <v>#N/A</v>
      </c>
      <c r="F78" s="922" t="e">
        <f t="shared" si="8"/>
        <v>#N/A</v>
      </c>
      <c r="G78" s="922" t="e">
        <f t="shared" si="8"/>
        <v>#N/A</v>
      </c>
      <c r="H78" s="922" t="e">
        <f t="shared" si="8"/>
        <v>#N/A</v>
      </c>
      <c r="I78" s="922" t="e">
        <f t="shared" si="8"/>
        <v>#N/A</v>
      </c>
      <c r="J78" s="922" t="e">
        <f t="shared" si="8"/>
        <v>#N/A</v>
      </c>
      <c r="K78" s="922" t="e">
        <f t="shared" si="8"/>
        <v>#N/A</v>
      </c>
      <c r="L78" s="922" t="e">
        <f t="shared" si="8"/>
        <v>#N/A</v>
      </c>
      <c r="M78" s="922" t="e">
        <f t="shared" si="8"/>
        <v>#N/A</v>
      </c>
      <c r="N78" s="922" t="e">
        <f t="shared" si="8"/>
        <v>#N/A</v>
      </c>
      <c r="O78" s="922" t="e">
        <f t="shared" si="8"/>
        <v>#N/A</v>
      </c>
      <c r="P78" s="922" t="e">
        <f t="shared" si="8"/>
        <v>#N/A</v>
      </c>
      <c r="Q78" s="922" t="e">
        <f t="shared" si="8"/>
        <v>#N/A</v>
      </c>
      <c r="R78" s="922" t="e">
        <f t="shared" si="8"/>
        <v>#N/A</v>
      </c>
      <c r="S78" s="922" t="e">
        <f t="shared" si="8"/>
        <v>#N/A</v>
      </c>
      <c r="T78" s="922" t="e">
        <f t="shared" si="8"/>
        <v>#N/A</v>
      </c>
      <c r="U78" s="922" t="e">
        <f t="shared" si="8"/>
        <v>#N/A</v>
      </c>
      <c r="V78" s="922" t="e">
        <f t="shared" si="8"/>
        <v>#N/A</v>
      </c>
      <c r="W78" s="922" t="e">
        <f t="shared" si="8"/>
        <v>#N/A</v>
      </c>
      <c r="X78" s="922" t="e">
        <f t="shared" si="8"/>
        <v>#N/A</v>
      </c>
      <c r="Y78" s="922" t="e">
        <f t="shared" si="8"/>
        <v>#N/A</v>
      </c>
      <c r="Z78" s="922" t="e">
        <f t="shared" si="8"/>
        <v>#N/A</v>
      </c>
      <c r="AA78" s="923" t="e">
        <f t="shared" si="8"/>
        <v>#N/A</v>
      </c>
      <c r="AB78" s="923" t="e">
        <f t="shared" si="8"/>
        <v>#N/A</v>
      </c>
      <c r="AC78" s="923" t="e">
        <f t="shared" si="8"/>
        <v>#N/A</v>
      </c>
      <c r="AD78" s="923" t="e">
        <f t="shared" si="8"/>
        <v>#N/A</v>
      </c>
      <c r="AE78" s="923" t="e">
        <f t="shared" si="8"/>
        <v>#N/A</v>
      </c>
      <c r="AF78" s="923" t="e">
        <f t="shared" si="8"/>
        <v>#N/A</v>
      </c>
      <c r="AG78" s="923" t="e">
        <f t="shared" si="8"/>
        <v>#N/A</v>
      </c>
      <c r="AH78" s="923" t="e">
        <f t="shared" si="8"/>
        <v>#N/A</v>
      </c>
      <c r="AI78" s="923" t="e">
        <f t="shared" si="8"/>
        <v>#N/A</v>
      </c>
      <c r="AJ78" s="923" t="e">
        <f t="shared" si="8"/>
        <v>#N/A</v>
      </c>
      <c r="AK78" s="923" t="e">
        <f t="shared" si="8"/>
        <v>#N/A</v>
      </c>
      <c r="AL78" s="923" t="e">
        <f t="shared" si="8"/>
        <v>#N/A</v>
      </c>
      <c r="AM78" s="923" t="e">
        <f t="shared" si="8"/>
        <v>#N/A</v>
      </c>
      <c r="AW78" s="739" t="s">
        <v>3</v>
      </c>
      <c r="AY78" s="1298" t="s">
        <v>3</v>
      </c>
    </row>
    <row r="79" spans="2:51" hidden="1" outlineLevel="1" x14ac:dyDescent="0.25">
      <c r="B79" s="1707"/>
      <c r="C79" s="920" t="str">
        <f t="shared" si="4"/>
        <v>Produits injectables</v>
      </c>
      <c r="D79" s="922" t="e">
        <f>SUM(D24:D28)</f>
        <v>#N/A</v>
      </c>
      <c r="E79" s="922" t="e">
        <f t="shared" ref="E79:AM79" si="9">SUM(E24:E28)</f>
        <v>#N/A</v>
      </c>
      <c r="F79" s="922" t="e">
        <f t="shared" si="9"/>
        <v>#N/A</v>
      </c>
      <c r="G79" s="922" t="e">
        <f t="shared" si="9"/>
        <v>#N/A</v>
      </c>
      <c r="H79" s="922" t="e">
        <f t="shared" si="9"/>
        <v>#N/A</v>
      </c>
      <c r="I79" s="922" t="e">
        <f t="shared" si="9"/>
        <v>#N/A</v>
      </c>
      <c r="J79" s="922" t="e">
        <f t="shared" si="9"/>
        <v>#N/A</v>
      </c>
      <c r="K79" s="922" t="e">
        <f t="shared" si="9"/>
        <v>#N/A</v>
      </c>
      <c r="L79" s="922" t="e">
        <f t="shared" si="9"/>
        <v>#N/A</v>
      </c>
      <c r="M79" s="922" t="e">
        <f t="shared" si="9"/>
        <v>#N/A</v>
      </c>
      <c r="N79" s="922" t="e">
        <f t="shared" si="9"/>
        <v>#N/A</v>
      </c>
      <c r="O79" s="922" t="e">
        <f t="shared" si="9"/>
        <v>#N/A</v>
      </c>
      <c r="P79" s="922" t="e">
        <f t="shared" si="9"/>
        <v>#N/A</v>
      </c>
      <c r="Q79" s="922" t="e">
        <f t="shared" si="9"/>
        <v>#N/A</v>
      </c>
      <c r="R79" s="922" t="e">
        <f t="shared" si="9"/>
        <v>#N/A</v>
      </c>
      <c r="S79" s="922" t="e">
        <f t="shared" si="9"/>
        <v>#N/A</v>
      </c>
      <c r="T79" s="922" t="e">
        <f t="shared" si="9"/>
        <v>#N/A</v>
      </c>
      <c r="U79" s="922" t="e">
        <f t="shared" si="9"/>
        <v>#N/A</v>
      </c>
      <c r="V79" s="922" t="e">
        <f t="shared" si="9"/>
        <v>#N/A</v>
      </c>
      <c r="W79" s="922" t="e">
        <f t="shared" si="9"/>
        <v>#N/A</v>
      </c>
      <c r="X79" s="922" t="e">
        <f t="shared" si="9"/>
        <v>#N/A</v>
      </c>
      <c r="Y79" s="922" t="e">
        <f t="shared" si="9"/>
        <v>#N/A</v>
      </c>
      <c r="Z79" s="922" t="e">
        <f t="shared" si="9"/>
        <v>#N/A</v>
      </c>
      <c r="AA79" s="923" t="e">
        <f t="shared" si="9"/>
        <v>#N/A</v>
      </c>
      <c r="AB79" s="923" t="e">
        <f t="shared" si="9"/>
        <v>#N/A</v>
      </c>
      <c r="AC79" s="923" t="e">
        <f t="shared" si="9"/>
        <v>#N/A</v>
      </c>
      <c r="AD79" s="923" t="e">
        <f t="shared" si="9"/>
        <v>#N/A</v>
      </c>
      <c r="AE79" s="923" t="e">
        <f t="shared" si="9"/>
        <v>#N/A</v>
      </c>
      <c r="AF79" s="923" t="e">
        <f t="shared" si="9"/>
        <v>#N/A</v>
      </c>
      <c r="AG79" s="923" t="e">
        <f t="shared" si="9"/>
        <v>#N/A</v>
      </c>
      <c r="AH79" s="923" t="e">
        <f t="shared" si="9"/>
        <v>#N/A</v>
      </c>
      <c r="AI79" s="923" t="e">
        <f t="shared" si="9"/>
        <v>#N/A</v>
      </c>
      <c r="AJ79" s="923" t="e">
        <f t="shared" si="9"/>
        <v>#N/A</v>
      </c>
      <c r="AK79" s="923" t="e">
        <f t="shared" si="9"/>
        <v>#N/A</v>
      </c>
      <c r="AL79" s="923" t="e">
        <f t="shared" si="9"/>
        <v>#N/A</v>
      </c>
      <c r="AM79" s="923" t="e">
        <f t="shared" si="9"/>
        <v>#N/A</v>
      </c>
      <c r="AW79" s="739" t="s">
        <v>2</v>
      </c>
      <c r="AY79" s="1298" t="s">
        <v>781</v>
      </c>
    </row>
    <row r="80" spans="2:51" hidden="1" outlineLevel="1" x14ac:dyDescent="0.25">
      <c r="B80" s="1707"/>
      <c r="C80" s="920" t="str">
        <f t="shared" si="4"/>
        <v>Pilule</v>
      </c>
      <c r="D80" s="922" t="e">
        <f>SUM(D29:D31)</f>
        <v>#N/A</v>
      </c>
      <c r="E80" s="922" t="e">
        <f t="shared" ref="E80:AM80" si="10">SUM(E29:E31)</f>
        <v>#N/A</v>
      </c>
      <c r="F80" s="922" t="e">
        <f t="shared" si="10"/>
        <v>#N/A</v>
      </c>
      <c r="G80" s="922" t="e">
        <f t="shared" si="10"/>
        <v>#N/A</v>
      </c>
      <c r="H80" s="922" t="e">
        <f t="shared" si="10"/>
        <v>#N/A</v>
      </c>
      <c r="I80" s="922" t="e">
        <f t="shared" si="10"/>
        <v>#N/A</v>
      </c>
      <c r="J80" s="922" t="e">
        <f t="shared" si="10"/>
        <v>#N/A</v>
      </c>
      <c r="K80" s="922" t="e">
        <f t="shared" si="10"/>
        <v>#N/A</v>
      </c>
      <c r="L80" s="922" t="e">
        <f t="shared" si="10"/>
        <v>#N/A</v>
      </c>
      <c r="M80" s="922" t="e">
        <f t="shared" si="10"/>
        <v>#N/A</v>
      </c>
      <c r="N80" s="922" t="e">
        <f t="shared" si="10"/>
        <v>#N/A</v>
      </c>
      <c r="O80" s="922" t="e">
        <f t="shared" si="10"/>
        <v>#N/A</v>
      </c>
      <c r="P80" s="922" t="e">
        <f t="shared" si="10"/>
        <v>#N/A</v>
      </c>
      <c r="Q80" s="922" t="e">
        <f t="shared" si="10"/>
        <v>#N/A</v>
      </c>
      <c r="R80" s="922" t="e">
        <f t="shared" si="10"/>
        <v>#N/A</v>
      </c>
      <c r="S80" s="922" t="e">
        <f t="shared" si="10"/>
        <v>#N/A</v>
      </c>
      <c r="T80" s="922" t="e">
        <f t="shared" si="10"/>
        <v>#N/A</v>
      </c>
      <c r="U80" s="922" t="e">
        <f t="shared" si="10"/>
        <v>#N/A</v>
      </c>
      <c r="V80" s="922" t="e">
        <f t="shared" si="10"/>
        <v>#N/A</v>
      </c>
      <c r="W80" s="922" t="e">
        <f t="shared" si="10"/>
        <v>#N/A</v>
      </c>
      <c r="X80" s="922" t="e">
        <f t="shared" si="10"/>
        <v>#N/A</v>
      </c>
      <c r="Y80" s="922" t="e">
        <f t="shared" si="10"/>
        <v>#N/A</v>
      </c>
      <c r="Z80" s="922" t="e">
        <f t="shared" si="10"/>
        <v>#N/A</v>
      </c>
      <c r="AA80" s="923" t="e">
        <f t="shared" si="10"/>
        <v>#N/A</v>
      </c>
      <c r="AB80" s="923" t="e">
        <f t="shared" si="10"/>
        <v>#N/A</v>
      </c>
      <c r="AC80" s="923" t="e">
        <f t="shared" si="10"/>
        <v>#N/A</v>
      </c>
      <c r="AD80" s="923" t="e">
        <f t="shared" si="10"/>
        <v>#N/A</v>
      </c>
      <c r="AE80" s="923" t="e">
        <f t="shared" si="10"/>
        <v>#N/A</v>
      </c>
      <c r="AF80" s="923" t="e">
        <f t="shared" si="10"/>
        <v>#N/A</v>
      </c>
      <c r="AG80" s="923" t="e">
        <f t="shared" si="10"/>
        <v>#N/A</v>
      </c>
      <c r="AH80" s="923" t="e">
        <f t="shared" si="10"/>
        <v>#N/A</v>
      </c>
      <c r="AI80" s="923" t="e">
        <f t="shared" si="10"/>
        <v>#N/A</v>
      </c>
      <c r="AJ80" s="923" t="e">
        <f t="shared" si="10"/>
        <v>#N/A</v>
      </c>
      <c r="AK80" s="923" t="e">
        <f t="shared" si="10"/>
        <v>#N/A</v>
      </c>
      <c r="AL80" s="923" t="e">
        <f t="shared" si="10"/>
        <v>#N/A</v>
      </c>
      <c r="AM80" s="923" t="e">
        <f t="shared" si="10"/>
        <v>#N/A</v>
      </c>
      <c r="AW80" s="739" t="s">
        <v>4</v>
      </c>
      <c r="AY80" s="1298" t="s">
        <v>783</v>
      </c>
    </row>
    <row r="81" spans="2:51" hidden="1" outlineLevel="1" x14ac:dyDescent="0.25">
      <c r="B81" s="1707"/>
      <c r="C81" s="920" t="str">
        <f t="shared" si="4"/>
        <v>Préservatifs (M+F)</v>
      </c>
      <c r="D81" s="922" t="e">
        <f>D32</f>
        <v>#N/A</v>
      </c>
      <c r="E81" s="922" t="e">
        <f t="shared" ref="E81:AM81" si="11">E32</f>
        <v>#N/A</v>
      </c>
      <c r="F81" s="922" t="e">
        <f t="shared" si="11"/>
        <v>#N/A</v>
      </c>
      <c r="G81" s="922" t="e">
        <f t="shared" si="11"/>
        <v>#N/A</v>
      </c>
      <c r="H81" s="922" t="e">
        <f t="shared" si="11"/>
        <v>#N/A</v>
      </c>
      <c r="I81" s="922" t="e">
        <f t="shared" si="11"/>
        <v>#N/A</v>
      </c>
      <c r="J81" s="922" t="e">
        <f t="shared" si="11"/>
        <v>#N/A</v>
      </c>
      <c r="K81" s="922" t="e">
        <f t="shared" si="11"/>
        <v>#N/A</v>
      </c>
      <c r="L81" s="922" t="e">
        <f t="shared" si="11"/>
        <v>#N/A</v>
      </c>
      <c r="M81" s="922" t="e">
        <f t="shared" si="11"/>
        <v>#N/A</v>
      </c>
      <c r="N81" s="922" t="e">
        <f t="shared" si="11"/>
        <v>#N/A</v>
      </c>
      <c r="O81" s="922" t="e">
        <f t="shared" si="11"/>
        <v>#N/A</v>
      </c>
      <c r="P81" s="922" t="e">
        <f t="shared" si="11"/>
        <v>#N/A</v>
      </c>
      <c r="Q81" s="922" t="e">
        <f t="shared" si="11"/>
        <v>#N/A</v>
      </c>
      <c r="R81" s="922" t="e">
        <f t="shared" si="11"/>
        <v>#N/A</v>
      </c>
      <c r="S81" s="922" t="e">
        <f t="shared" si="11"/>
        <v>#N/A</v>
      </c>
      <c r="T81" s="922" t="e">
        <f t="shared" si="11"/>
        <v>#N/A</v>
      </c>
      <c r="U81" s="922" t="e">
        <f t="shared" si="11"/>
        <v>#N/A</v>
      </c>
      <c r="V81" s="922" t="e">
        <f t="shared" si="11"/>
        <v>#N/A</v>
      </c>
      <c r="W81" s="922" t="e">
        <f t="shared" si="11"/>
        <v>#N/A</v>
      </c>
      <c r="X81" s="922" t="e">
        <f t="shared" si="11"/>
        <v>#N/A</v>
      </c>
      <c r="Y81" s="922" t="e">
        <f t="shared" si="11"/>
        <v>#N/A</v>
      </c>
      <c r="Z81" s="922" t="e">
        <f t="shared" si="11"/>
        <v>#N/A</v>
      </c>
      <c r="AA81" s="923" t="e">
        <f t="shared" si="11"/>
        <v>#N/A</v>
      </c>
      <c r="AB81" s="923" t="e">
        <f t="shared" si="11"/>
        <v>#N/A</v>
      </c>
      <c r="AC81" s="923" t="e">
        <f t="shared" si="11"/>
        <v>#N/A</v>
      </c>
      <c r="AD81" s="923" t="e">
        <f t="shared" si="11"/>
        <v>#N/A</v>
      </c>
      <c r="AE81" s="923" t="e">
        <f t="shared" si="11"/>
        <v>#N/A</v>
      </c>
      <c r="AF81" s="923" t="e">
        <f t="shared" si="11"/>
        <v>#N/A</v>
      </c>
      <c r="AG81" s="923" t="e">
        <f t="shared" si="11"/>
        <v>#N/A</v>
      </c>
      <c r="AH81" s="923" t="e">
        <f t="shared" si="11"/>
        <v>#N/A</v>
      </c>
      <c r="AI81" s="923" t="e">
        <f t="shared" si="11"/>
        <v>#N/A</v>
      </c>
      <c r="AJ81" s="923" t="e">
        <f t="shared" si="11"/>
        <v>#N/A</v>
      </c>
      <c r="AK81" s="923" t="e">
        <f t="shared" si="11"/>
        <v>#N/A</v>
      </c>
      <c r="AL81" s="923" t="e">
        <f t="shared" si="11"/>
        <v>#N/A</v>
      </c>
      <c r="AM81" s="923" t="e">
        <f t="shared" si="11"/>
        <v>#N/A</v>
      </c>
      <c r="AW81" s="739" t="s">
        <v>2453</v>
      </c>
      <c r="AY81" s="1298" t="s">
        <v>2454</v>
      </c>
    </row>
    <row r="82" spans="2:51" ht="15.75" hidden="1" outlineLevel="1" thickBot="1" x14ac:dyDescent="0.3">
      <c r="B82" s="1707"/>
      <c r="C82" s="924" t="str">
        <f t="shared" si="4"/>
        <v>Autres Méthodes Modernes</v>
      </c>
      <c r="D82" s="1136" t="e">
        <f>SUM(D33:D38)</f>
        <v>#N/A</v>
      </c>
      <c r="E82" s="1136" t="e">
        <f t="shared" ref="E82:AM82" si="12">SUM(E33:E38)</f>
        <v>#N/A</v>
      </c>
      <c r="F82" s="1136" t="e">
        <f t="shared" si="12"/>
        <v>#N/A</v>
      </c>
      <c r="G82" s="1136" t="e">
        <f t="shared" si="12"/>
        <v>#N/A</v>
      </c>
      <c r="H82" s="1136" t="e">
        <f t="shared" si="12"/>
        <v>#N/A</v>
      </c>
      <c r="I82" s="1136" t="e">
        <f t="shared" si="12"/>
        <v>#N/A</v>
      </c>
      <c r="J82" s="1136" t="e">
        <f t="shared" si="12"/>
        <v>#N/A</v>
      </c>
      <c r="K82" s="1136" t="e">
        <f t="shared" si="12"/>
        <v>#N/A</v>
      </c>
      <c r="L82" s="1136" t="e">
        <f t="shared" si="12"/>
        <v>#N/A</v>
      </c>
      <c r="M82" s="1136" t="e">
        <f t="shared" si="12"/>
        <v>#N/A</v>
      </c>
      <c r="N82" s="1136" t="e">
        <f t="shared" si="12"/>
        <v>#N/A</v>
      </c>
      <c r="O82" s="1136" t="e">
        <f t="shared" si="12"/>
        <v>#N/A</v>
      </c>
      <c r="P82" s="1136" t="e">
        <f t="shared" si="12"/>
        <v>#N/A</v>
      </c>
      <c r="Q82" s="1136" t="e">
        <f t="shared" si="12"/>
        <v>#N/A</v>
      </c>
      <c r="R82" s="1136" t="e">
        <f t="shared" si="12"/>
        <v>#N/A</v>
      </c>
      <c r="S82" s="1136" t="e">
        <f t="shared" si="12"/>
        <v>#N/A</v>
      </c>
      <c r="T82" s="1136" t="e">
        <f t="shared" si="12"/>
        <v>#N/A</v>
      </c>
      <c r="U82" s="1136" t="e">
        <f t="shared" si="12"/>
        <v>#N/A</v>
      </c>
      <c r="V82" s="1136" t="e">
        <f t="shared" si="12"/>
        <v>#N/A</v>
      </c>
      <c r="W82" s="1136" t="e">
        <f t="shared" si="12"/>
        <v>#N/A</v>
      </c>
      <c r="X82" s="1136" t="e">
        <f t="shared" si="12"/>
        <v>#N/A</v>
      </c>
      <c r="Y82" s="1136" t="e">
        <f t="shared" si="12"/>
        <v>#N/A</v>
      </c>
      <c r="Z82" s="1136" t="e">
        <f t="shared" si="12"/>
        <v>#N/A</v>
      </c>
      <c r="AA82" s="1244" t="e">
        <f t="shared" si="12"/>
        <v>#N/A</v>
      </c>
      <c r="AB82" s="1244" t="e">
        <f t="shared" si="12"/>
        <v>#N/A</v>
      </c>
      <c r="AC82" s="1244" t="e">
        <f t="shared" si="12"/>
        <v>#N/A</v>
      </c>
      <c r="AD82" s="1244" t="e">
        <f t="shared" si="12"/>
        <v>#N/A</v>
      </c>
      <c r="AE82" s="1244" t="e">
        <f t="shared" si="12"/>
        <v>#N/A</v>
      </c>
      <c r="AF82" s="1244" t="e">
        <f t="shared" si="12"/>
        <v>#N/A</v>
      </c>
      <c r="AG82" s="1244" t="e">
        <f t="shared" si="12"/>
        <v>#N/A</v>
      </c>
      <c r="AH82" s="1244" t="e">
        <f t="shared" si="12"/>
        <v>#N/A</v>
      </c>
      <c r="AI82" s="1244" t="e">
        <f t="shared" si="12"/>
        <v>#N/A</v>
      </c>
      <c r="AJ82" s="1244" t="e">
        <f t="shared" si="12"/>
        <v>#N/A</v>
      </c>
      <c r="AK82" s="1244" t="e">
        <f t="shared" si="12"/>
        <v>#N/A</v>
      </c>
      <c r="AL82" s="1244" t="e">
        <f t="shared" si="12"/>
        <v>#N/A</v>
      </c>
      <c r="AM82" s="1244" t="e">
        <f t="shared" si="12"/>
        <v>#N/A</v>
      </c>
      <c r="AW82" s="739" t="s">
        <v>130</v>
      </c>
      <c r="AY82" s="1298" t="s">
        <v>918</v>
      </c>
    </row>
    <row r="83" spans="2:51" hidden="1" outlineLevel="1" x14ac:dyDescent="0.25">
      <c r="B83" s="1707"/>
      <c r="C83" s="1245" t="str">
        <f t="shared" si="4"/>
        <v>Méthodes permanentes</v>
      </c>
      <c r="D83" s="1246" t="e">
        <f>SUM(D75:D76)</f>
        <v>#N/A</v>
      </c>
      <c r="E83" s="1246" t="e">
        <f t="shared" ref="E83:AM83" si="13">SUM(E75:E76)</f>
        <v>#N/A</v>
      </c>
      <c r="F83" s="1246" t="e">
        <f t="shared" si="13"/>
        <v>#N/A</v>
      </c>
      <c r="G83" s="1246" t="e">
        <f t="shared" si="13"/>
        <v>#N/A</v>
      </c>
      <c r="H83" s="1246" t="e">
        <f t="shared" si="13"/>
        <v>#N/A</v>
      </c>
      <c r="I83" s="1246" t="e">
        <f t="shared" si="13"/>
        <v>#N/A</v>
      </c>
      <c r="J83" s="1246" t="e">
        <f t="shared" si="13"/>
        <v>#N/A</v>
      </c>
      <c r="K83" s="1246" t="e">
        <f t="shared" si="13"/>
        <v>#N/A</v>
      </c>
      <c r="L83" s="1246" t="e">
        <f t="shared" si="13"/>
        <v>#N/A</v>
      </c>
      <c r="M83" s="1246" t="e">
        <f t="shared" si="13"/>
        <v>#N/A</v>
      </c>
      <c r="N83" s="1246" t="e">
        <f t="shared" si="13"/>
        <v>#N/A</v>
      </c>
      <c r="O83" s="1246" t="e">
        <f t="shared" si="13"/>
        <v>#N/A</v>
      </c>
      <c r="P83" s="1246" t="e">
        <f t="shared" si="13"/>
        <v>#N/A</v>
      </c>
      <c r="Q83" s="1246" t="e">
        <f t="shared" si="13"/>
        <v>#N/A</v>
      </c>
      <c r="R83" s="1246" t="e">
        <f t="shared" si="13"/>
        <v>#N/A</v>
      </c>
      <c r="S83" s="1246" t="e">
        <f t="shared" si="13"/>
        <v>#N/A</v>
      </c>
      <c r="T83" s="1246" t="e">
        <f t="shared" si="13"/>
        <v>#N/A</v>
      </c>
      <c r="U83" s="1246" t="e">
        <f t="shared" si="13"/>
        <v>#N/A</v>
      </c>
      <c r="V83" s="1246" t="e">
        <f t="shared" si="13"/>
        <v>#N/A</v>
      </c>
      <c r="W83" s="1246" t="e">
        <f t="shared" si="13"/>
        <v>#N/A</v>
      </c>
      <c r="X83" s="1246" t="e">
        <f t="shared" si="13"/>
        <v>#N/A</v>
      </c>
      <c r="Y83" s="1246" t="e">
        <f t="shared" si="13"/>
        <v>#N/A</v>
      </c>
      <c r="Z83" s="1246" t="e">
        <f t="shared" si="13"/>
        <v>#N/A</v>
      </c>
      <c r="AA83" s="1247" t="e">
        <f t="shared" si="13"/>
        <v>#N/A</v>
      </c>
      <c r="AB83" s="1247" t="e">
        <f t="shared" si="13"/>
        <v>#N/A</v>
      </c>
      <c r="AC83" s="1247" t="e">
        <f t="shared" si="13"/>
        <v>#N/A</v>
      </c>
      <c r="AD83" s="1247" t="e">
        <f t="shared" si="13"/>
        <v>#N/A</v>
      </c>
      <c r="AE83" s="1247" t="e">
        <f t="shared" si="13"/>
        <v>#N/A</v>
      </c>
      <c r="AF83" s="1247" t="e">
        <f t="shared" si="13"/>
        <v>#N/A</v>
      </c>
      <c r="AG83" s="1247" t="e">
        <f t="shared" si="13"/>
        <v>#N/A</v>
      </c>
      <c r="AH83" s="1247" t="e">
        <f t="shared" si="13"/>
        <v>#N/A</v>
      </c>
      <c r="AI83" s="1247" t="e">
        <f t="shared" si="13"/>
        <v>#N/A</v>
      </c>
      <c r="AJ83" s="1247" t="e">
        <f t="shared" si="13"/>
        <v>#N/A</v>
      </c>
      <c r="AK83" s="1247" t="e">
        <f t="shared" si="13"/>
        <v>#N/A</v>
      </c>
      <c r="AL83" s="1247" t="e">
        <f t="shared" si="13"/>
        <v>#N/A</v>
      </c>
      <c r="AM83" s="1247" t="e">
        <f t="shared" si="13"/>
        <v>#N/A</v>
      </c>
      <c r="AW83" s="739" t="s">
        <v>2081</v>
      </c>
      <c r="AY83" s="1298" t="s">
        <v>2455</v>
      </c>
    </row>
    <row r="84" spans="2:51" hidden="1" outlineLevel="1" x14ac:dyDescent="0.25">
      <c r="B84" s="1707"/>
      <c r="C84" s="1248" t="str">
        <f t="shared" si="4"/>
        <v>Méthodes réversibles à longue durée d'action</v>
      </c>
      <c r="D84" s="1249" t="e">
        <f>SUM(D77:D78)</f>
        <v>#N/A</v>
      </c>
      <c r="E84" s="1249" t="e">
        <f t="shared" ref="E84:AM84" si="14">SUM(E77:E78)</f>
        <v>#N/A</v>
      </c>
      <c r="F84" s="1249" t="e">
        <f t="shared" si="14"/>
        <v>#N/A</v>
      </c>
      <c r="G84" s="1249" t="e">
        <f t="shared" si="14"/>
        <v>#N/A</v>
      </c>
      <c r="H84" s="1249" t="e">
        <f t="shared" si="14"/>
        <v>#N/A</v>
      </c>
      <c r="I84" s="1249" t="e">
        <f t="shared" si="14"/>
        <v>#N/A</v>
      </c>
      <c r="J84" s="1249" t="e">
        <f t="shared" si="14"/>
        <v>#N/A</v>
      </c>
      <c r="K84" s="1249" t="e">
        <f t="shared" si="14"/>
        <v>#N/A</v>
      </c>
      <c r="L84" s="1249" t="e">
        <f t="shared" si="14"/>
        <v>#N/A</v>
      </c>
      <c r="M84" s="1249" t="e">
        <f t="shared" si="14"/>
        <v>#N/A</v>
      </c>
      <c r="N84" s="1249" t="e">
        <f t="shared" si="14"/>
        <v>#N/A</v>
      </c>
      <c r="O84" s="1249" t="e">
        <f t="shared" si="14"/>
        <v>#N/A</v>
      </c>
      <c r="P84" s="1249" t="e">
        <f t="shared" si="14"/>
        <v>#N/A</v>
      </c>
      <c r="Q84" s="1249" t="e">
        <f t="shared" si="14"/>
        <v>#N/A</v>
      </c>
      <c r="R84" s="1249" t="e">
        <f t="shared" si="14"/>
        <v>#N/A</v>
      </c>
      <c r="S84" s="1249" t="e">
        <f t="shared" si="14"/>
        <v>#N/A</v>
      </c>
      <c r="T84" s="1249" t="e">
        <f t="shared" si="14"/>
        <v>#N/A</v>
      </c>
      <c r="U84" s="1249" t="e">
        <f t="shared" si="14"/>
        <v>#N/A</v>
      </c>
      <c r="V84" s="1249" t="e">
        <f t="shared" si="14"/>
        <v>#N/A</v>
      </c>
      <c r="W84" s="1249" t="e">
        <f t="shared" si="14"/>
        <v>#N/A</v>
      </c>
      <c r="X84" s="1249" t="e">
        <f t="shared" si="14"/>
        <v>#N/A</v>
      </c>
      <c r="Y84" s="1249" t="e">
        <f t="shared" si="14"/>
        <v>#N/A</v>
      </c>
      <c r="Z84" s="1249" t="e">
        <f t="shared" si="14"/>
        <v>#N/A</v>
      </c>
      <c r="AA84" s="1250" t="e">
        <f t="shared" si="14"/>
        <v>#N/A</v>
      </c>
      <c r="AB84" s="1250" t="e">
        <f t="shared" si="14"/>
        <v>#N/A</v>
      </c>
      <c r="AC84" s="1250" t="e">
        <f t="shared" si="14"/>
        <v>#N/A</v>
      </c>
      <c r="AD84" s="1250" t="e">
        <f t="shared" si="14"/>
        <v>#N/A</v>
      </c>
      <c r="AE84" s="1250" t="e">
        <f t="shared" si="14"/>
        <v>#N/A</v>
      </c>
      <c r="AF84" s="1250" t="e">
        <f t="shared" si="14"/>
        <v>#N/A</v>
      </c>
      <c r="AG84" s="1250" t="e">
        <f t="shared" si="14"/>
        <v>#N/A</v>
      </c>
      <c r="AH84" s="1250" t="e">
        <f t="shared" si="14"/>
        <v>#N/A</v>
      </c>
      <c r="AI84" s="1250" t="e">
        <f t="shared" si="14"/>
        <v>#N/A</v>
      </c>
      <c r="AJ84" s="1250" t="e">
        <f t="shared" si="14"/>
        <v>#N/A</v>
      </c>
      <c r="AK84" s="1250" t="e">
        <f t="shared" si="14"/>
        <v>#N/A</v>
      </c>
      <c r="AL84" s="1250" t="e">
        <f t="shared" si="14"/>
        <v>#N/A</v>
      </c>
      <c r="AM84" s="1250" t="e">
        <f t="shared" si="14"/>
        <v>#N/A</v>
      </c>
      <c r="AW84" s="739" t="s">
        <v>2082</v>
      </c>
      <c r="AY84" s="1298" t="s">
        <v>2456</v>
      </c>
    </row>
    <row r="85" spans="2:51" ht="15.75" hidden="1" outlineLevel="1" thickBot="1" x14ac:dyDescent="0.3">
      <c r="B85" s="1707"/>
      <c r="C85" s="1251" t="str">
        <f t="shared" si="4"/>
        <v>Méthodes à court terme</v>
      </c>
      <c r="D85" s="1252" t="e">
        <f>SUM(D79:D82)</f>
        <v>#N/A</v>
      </c>
      <c r="E85" s="1252" t="e">
        <f t="shared" ref="E85:AM85" si="15">SUM(E79:E82)</f>
        <v>#N/A</v>
      </c>
      <c r="F85" s="1252" t="e">
        <f t="shared" si="15"/>
        <v>#N/A</v>
      </c>
      <c r="G85" s="1252" t="e">
        <f t="shared" si="15"/>
        <v>#N/A</v>
      </c>
      <c r="H85" s="1252" t="e">
        <f t="shared" si="15"/>
        <v>#N/A</v>
      </c>
      <c r="I85" s="1252" t="e">
        <f t="shared" si="15"/>
        <v>#N/A</v>
      </c>
      <c r="J85" s="1252" t="e">
        <f t="shared" si="15"/>
        <v>#N/A</v>
      </c>
      <c r="K85" s="1252" t="e">
        <f t="shared" si="15"/>
        <v>#N/A</v>
      </c>
      <c r="L85" s="1252" t="e">
        <f t="shared" si="15"/>
        <v>#N/A</v>
      </c>
      <c r="M85" s="1252" t="e">
        <f t="shared" si="15"/>
        <v>#N/A</v>
      </c>
      <c r="N85" s="1252" t="e">
        <f t="shared" si="15"/>
        <v>#N/A</v>
      </c>
      <c r="O85" s="1252" t="e">
        <f t="shared" si="15"/>
        <v>#N/A</v>
      </c>
      <c r="P85" s="1252" t="e">
        <f t="shared" si="15"/>
        <v>#N/A</v>
      </c>
      <c r="Q85" s="1252" t="e">
        <f t="shared" si="15"/>
        <v>#N/A</v>
      </c>
      <c r="R85" s="1252" t="e">
        <f t="shared" si="15"/>
        <v>#N/A</v>
      </c>
      <c r="S85" s="1252" t="e">
        <f t="shared" si="15"/>
        <v>#N/A</v>
      </c>
      <c r="T85" s="1252" t="e">
        <f t="shared" si="15"/>
        <v>#N/A</v>
      </c>
      <c r="U85" s="1252" t="e">
        <f t="shared" si="15"/>
        <v>#N/A</v>
      </c>
      <c r="V85" s="1252" t="e">
        <f t="shared" si="15"/>
        <v>#N/A</v>
      </c>
      <c r="W85" s="1252" t="e">
        <f t="shared" si="15"/>
        <v>#N/A</v>
      </c>
      <c r="X85" s="1252" t="e">
        <f t="shared" si="15"/>
        <v>#N/A</v>
      </c>
      <c r="Y85" s="1252" t="e">
        <f t="shared" si="15"/>
        <v>#N/A</v>
      </c>
      <c r="Z85" s="1252" t="e">
        <f t="shared" si="15"/>
        <v>#N/A</v>
      </c>
      <c r="AA85" s="1253" t="e">
        <f t="shared" si="15"/>
        <v>#N/A</v>
      </c>
      <c r="AB85" s="1253" t="e">
        <f t="shared" si="15"/>
        <v>#N/A</v>
      </c>
      <c r="AC85" s="1253" t="e">
        <f t="shared" si="15"/>
        <v>#N/A</v>
      </c>
      <c r="AD85" s="1253" t="e">
        <f t="shared" si="15"/>
        <v>#N/A</v>
      </c>
      <c r="AE85" s="1253" t="e">
        <f t="shared" si="15"/>
        <v>#N/A</v>
      </c>
      <c r="AF85" s="1253" t="e">
        <f t="shared" si="15"/>
        <v>#N/A</v>
      </c>
      <c r="AG85" s="1253" t="e">
        <f t="shared" si="15"/>
        <v>#N/A</v>
      </c>
      <c r="AH85" s="1253" t="e">
        <f t="shared" si="15"/>
        <v>#N/A</v>
      </c>
      <c r="AI85" s="1253" t="e">
        <f t="shared" si="15"/>
        <v>#N/A</v>
      </c>
      <c r="AJ85" s="1253" t="e">
        <f t="shared" si="15"/>
        <v>#N/A</v>
      </c>
      <c r="AK85" s="1253" t="e">
        <f t="shared" si="15"/>
        <v>#N/A</v>
      </c>
      <c r="AL85" s="1253" t="e">
        <f t="shared" si="15"/>
        <v>#N/A</v>
      </c>
      <c r="AM85" s="1253" t="e">
        <f t="shared" si="15"/>
        <v>#N/A</v>
      </c>
      <c r="AW85" s="739" t="s">
        <v>2083</v>
      </c>
      <c r="AY85" s="1298" t="s">
        <v>2457</v>
      </c>
    </row>
    <row r="86" spans="2:51" ht="15.75" hidden="1" outlineLevel="1" thickBot="1" x14ac:dyDescent="0.3">
      <c r="B86" s="1708"/>
      <c r="C86" s="1254" t="str">
        <f t="shared" si="4"/>
        <v>Total</v>
      </c>
      <c r="D86" s="1255" t="e">
        <f>SUM(D75:D82)</f>
        <v>#N/A</v>
      </c>
      <c r="E86" s="1255" t="e">
        <f t="shared" ref="E86:AM86" si="16">SUM(E75:E82)</f>
        <v>#N/A</v>
      </c>
      <c r="F86" s="1255" t="e">
        <f t="shared" si="16"/>
        <v>#N/A</v>
      </c>
      <c r="G86" s="1255" t="e">
        <f t="shared" si="16"/>
        <v>#N/A</v>
      </c>
      <c r="H86" s="1255" t="e">
        <f t="shared" si="16"/>
        <v>#N/A</v>
      </c>
      <c r="I86" s="1255" t="e">
        <f t="shared" si="16"/>
        <v>#N/A</v>
      </c>
      <c r="J86" s="1255" t="e">
        <f t="shared" si="16"/>
        <v>#N/A</v>
      </c>
      <c r="K86" s="1255" t="e">
        <f t="shared" si="16"/>
        <v>#N/A</v>
      </c>
      <c r="L86" s="1255" t="e">
        <f t="shared" si="16"/>
        <v>#N/A</v>
      </c>
      <c r="M86" s="1255" t="e">
        <f t="shared" si="16"/>
        <v>#N/A</v>
      </c>
      <c r="N86" s="1255" t="e">
        <f t="shared" si="16"/>
        <v>#N/A</v>
      </c>
      <c r="O86" s="1255" t="e">
        <f t="shared" si="16"/>
        <v>#N/A</v>
      </c>
      <c r="P86" s="1255" t="e">
        <f t="shared" si="16"/>
        <v>#N/A</v>
      </c>
      <c r="Q86" s="1255" t="e">
        <f t="shared" si="16"/>
        <v>#N/A</v>
      </c>
      <c r="R86" s="1255" t="e">
        <f t="shared" si="16"/>
        <v>#N/A</v>
      </c>
      <c r="S86" s="1255" t="e">
        <f t="shared" si="16"/>
        <v>#N/A</v>
      </c>
      <c r="T86" s="1255" t="e">
        <f t="shared" si="16"/>
        <v>#N/A</v>
      </c>
      <c r="U86" s="1255" t="e">
        <f t="shared" si="16"/>
        <v>#N/A</v>
      </c>
      <c r="V86" s="1255" t="e">
        <f t="shared" si="16"/>
        <v>#N/A</v>
      </c>
      <c r="W86" s="1255" t="e">
        <f t="shared" si="16"/>
        <v>#N/A</v>
      </c>
      <c r="X86" s="1255" t="e">
        <f t="shared" si="16"/>
        <v>#N/A</v>
      </c>
      <c r="Y86" s="1255" t="e">
        <f t="shared" si="16"/>
        <v>#N/A</v>
      </c>
      <c r="Z86" s="1255" t="e">
        <f t="shared" si="16"/>
        <v>#N/A</v>
      </c>
      <c r="AA86" s="1256" t="e">
        <f t="shared" si="16"/>
        <v>#N/A</v>
      </c>
      <c r="AB86" s="1256" t="e">
        <f t="shared" si="16"/>
        <v>#N/A</v>
      </c>
      <c r="AC86" s="1256" t="e">
        <f t="shared" si="16"/>
        <v>#N/A</v>
      </c>
      <c r="AD86" s="1256" t="e">
        <f t="shared" si="16"/>
        <v>#N/A</v>
      </c>
      <c r="AE86" s="1256" t="e">
        <f t="shared" si="16"/>
        <v>#N/A</v>
      </c>
      <c r="AF86" s="1256" t="e">
        <f t="shared" si="16"/>
        <v>#N/A</v>
      </c>
      <c r="AG86" s="1256" t="e">
        <f t="shared" si="16"/>
        <v>#N/A</v>
      </c>
      <c r="AH86" s="1256" t="e">
        <f t="shared" si="16"/>
        <v>#N/A</v>
      </c>
      <c r="AI86" s="1256" t="e">
        <f t="shared" si="16"/>
        <v>#N/A</v>
      </c>
      <c r="AJ86" s="1256" t="e">
        <f t="shared" si="16"/>
        <v>#N/A</v>
      </c>
      <c r="AK86" s="1256" t="e">
        <f t="shared" si="16"/>
        <v>#N/A</v>
      </c>
      <c r="AL86" s="1256" t="e">
        <f t="shared" si="16"/>
        <v>#N/A</v>
      </c>
      <c r="AM86" s="1256" t="e">
        <f t="shared" si="16"/>
        <v>#N/A</v>
      </c>
      <c r="AW86" s="739" t="s">
        <v>313</v>
      </c>
      <c r="AY86" s="1298" t="s">
        <v>313</v>
      </c>
    </row>
    <row r="87" spans="2:51" hidden="1" outlineLevel="1" x14ac:dyDescent="0.25"/>
    <row r="88" spans="2:51" ht="15.75" hidden="1" outlineLevel="1" thickBot="1" x14ac:dyDescent="0.3">
      <c r="D88" t="e">
        <f ca="1">D43</f>
        <v>#N/A</v>
      </c>
      <c r="E88" t="e">
        <f t="shared" ref="E88:S88" ca="1" si="17">E43</f>
        <v>#N/A</v>
      </c>
      <c r="F88" t="e">
        <f t="shared" ca="1" si="17"/>
        <v>#N/A</v>
      </c>
      <c r="G88" t="e">
        <f t="shared" ca="1" si="17"/>
        <v>#N/A</v>
      </c>
      <c r="H88" t="e">
        <f t="shared" ca="1" si="17"/>
        <v>#N/A</v>
      </c>
      <c r="I88" t="e">
        <f t="shared" ca="1" si="17"/>
        <v>#N/A</v>
      </c>
      <c r="J88" t="e">
        <f t="shared" ca="1" si="17"/>
        <v>#N/A</v>
      </c>
      <c r="K88" t="e">
        <f t="shared" ca="1" si="17"/>
        <v>#N/A</v>
      </c>
      <c r="L88" t="e">
        <f t="shared" ca="1" si="17"/>
        <v>#N/A</v>
      </c>
      <c r="M88" t="e">
        <f t="shared" ca="1" si="17"/>
        <v>#N/A</v>
      </c>
      <c r="N88" t="e">
        <f t="shared" ca="1" si="17"/>
        <v>#N/A</v>
      </c>
      <c r="O88" t="e">
        <f t="shared" ca="1" si="17"/>
        <v>#N/A</v>
      </c>
      <c r="P88" t="e">
        <f t="shared" ca="1" si="17"/>
        <v>#N/A</v>
      </c>
      <c r="Q88" t="e">
        <f t="shared" ca="1" si="17"/>
        <v>#N/A</v>
      </c>
      <c r="R88" t="e">
        <f t="shared" ca="1" si="17"/>
        <v>#N/A</v>
      </c>
      <c r="S88" t="e">
        <f t="shared" ca="1" si="17"/>
        <v>#N/A</v>
      </c>
    </row>
    <row r="89" spans="2:51" hidden="1" outlineLevel="1" x14ac:dyDescent="0.25">
      <c r="B89" s="1706" t="s">
        <v>2084</v>
      </c>
      <c r="C89" s="1214" t="str">
        <f t="shared" ref="C89:C101" si="18">IF(Language="English", AW89, AY89)</f>
        <v>Stérilisation (F)</v>
      </c>
      <c r="D89" s="1135" t="e">
        <f ca="1">D46</f>
        <v>#N/A</v>
      </c>
      <c r="E89" s="1135" t="e">
        <f t="shared" ref="E89:S90" ca="1" si="19">E46</f>
        <v>#N/A</v>
      </c>
      <c r="F89" s="1135" t="e">
        <f t="shared" ca="1" si="19"/>
        <v>#N/A</v>
      </c>
      <c r="G89" s="1135" t="e">
        <f t="shared" ca="1" si="19"/>
        <v>#N/A</v>
      </c>
      <c r="H89" s="1135" t="e">
        <f t="shared" ca="1" si="19"/>
        <v>#N/A</v>
      </c>
      <c r="I89" s="1135" t="e">
        <f t="shared" ca="1" si="19"/>
        <v>#N/A</v>
      </c>
      <c r="J89" s="1135" t="e">
        <f t="shared" ca="1" si="19"/>
        <v>#N/A</v>
      </c>
      <c r="K89" s="1135" t="e">
        <f t="shared" ca="1" si="19"/>
        <v>#N/A</v>
      </c>
      <c r="L89" s="1135" t="e">
        <f t="shared" ca="1" si="19"/>
        <v>#N/A</v>
      </c>
      <c r="M89" s="1135" t="e">
        <f t="shared" ca="1" si="19"/>
        <v>#N/A</v>
      </c>
      <c r="N89" s="1135" t="e">
        <f t="shared" ca="1" si="19"/>
        <v>#N/A</v>
      </c>
      <c r="O89" s="1135" t="e">
        <f t="shared" ca="1" si="19"/>
        <v>#N/A</v>
      </c>
      <c r="P89" s="1135" t="e">
        <f t="shared" ca="1" si="19"/>
        <v>#N/A</v>
      </c>
      <c r="Q89" s="1135" t="e">
        <f t="shared" ca="1" si="19"/>
        <v>#N/A</v>
      </c>
      <c r="R89" s="1135" t="e">
        <f t="shared" ca="1" si="19"/>
        <v>#N/A</v>
      </c>
      <c r="S89" s="1243" t="e">
        <f t="shared" ca="1" si="19"/>
        <v>#N/A</v>
      </c>
      <c r="AW89" s="739" t="s">
        <v>1311</v>
      </c>
      <c r="AY89" s="1298" t="s">
        <v>2451</v>
      </c>
    </row>
    <row r="90" spans="2:51" hidden="1" outlineLevel="1" x14ac:dyDescent="0.25">
      <c r="B90" s="1707"/>
      <c r="C90" s="920" t="str">
        <f t="shared" si="18"/>
        <v>Stérilisation (M)</v>
      </c>
      <c r="D90" s="922" t="e">
        <f ca="1">D47</f>
        <v>#N/A</v>
      </c>
      <c r="E90" s="922" t="e">
        <f t="shared" ca="1" si="19"/>
        <v>#N/A</v>
      </c>
      <c r="F90" s="922" t="e">
        <f t="shared" ca="1" si="19"/>
        <v>#N/A</v>
      </c>
      <c r="G90" s="922" t="e">
        <f t="shared" ca="1" si="19"/>
        <v>#N/A</v>
      </c>
      <c r="H90" s="922" t="e">
        <f t="shared" ca="1" si="19"/>
        <v>#N/A</v>
      </c>
      <c r="I90" s="922" t="e">
        <f t="shared" ca="1" si="19"/>
        <v>#N/A</v>
      </c>
      <c r="J90" s="922" t="e">
        <f t="shared" ca="1" si="19"/>
        <v>#N/A</v>
      </c>
      <c r="K90" s="922" t="e">
        <f t="shared" ca="1" si="19"/>
        <v>#N/A</v>
      </c>
      <c r="L90" s="922" t="e">
        <f t="shared" ca="1" si="19"/>
        <v>#N/A</v>
      </c>
      <c r="M90" s="922" t="e">
        <f t="shared" ca="1" si="19"/>
        <v>#N/A</v>
      </c>
      <c r="N90" s="922" t="e">
        <f t="shared" ca="1" si="19"/>
        <v>#N/A</v>
      </c>
      <c r="O90" s="922" t="e">
        <f t="shared" ca="1" si="19"/>
        <v>#N/A</v>
      </c>
      <c r="P90" s="922" t="e">
        <f t="shared" ca="1" si="19"/>
        <v>#N/A</v>
      </c>
      <c r="Q90" s="922" t="e">
        <f t="shared" ca="1" si="19"/>
        <v>#N/A</v>
      </c>
      <c r="R90" s="922" t="e">
        <f t="shared" ca="1" si="19"/>
        <v>#N/A</v>
      </c>
      <c r="S90" s="923" t="e">
        <f t="shared" ca="1" si="19"/>
        <v>#N/A</v>
      </c>
      <c r="AW90" s="739" t="s">
        <v>1312</v>
      </c>
      <c r="AY90" s="1298" t="s">
        <v>2452</v>
      </c>
    </row>
    <row r="91" spans="2:51" hidden="1" outlineLevel="1" x14ac:dyDescent="0.25">
      <c r="B91" s="1707"/>
      <c r="C91" s="920" t="str">
        <f t="shared" si="18"/>
        <v>DIU</v>
      </c>
      <c r="D91" s="922" t="e">
        <f ca="1">SUM(D48:D49)</f>
        <v>#N/A</v>
      </c>
      <c r="E91" s="922" t="e">
        <f t="shared" ref="E91:S91" ca="1" si="20">SUM(E48:E49)</f>
        <v>#N/A</v>
      </c>
      <c r="F91" s="922" t="e">
        <f t="shared" ca="1" si="20"/>
        <v>#N/A</v>
      </c>
      <c r="G91" s="922" t="e">
        <f t="shared" ca="1" si="20"/>
        <v>#N/A</v>
      </c>
      <c r="H91" s="922" t="e">
        <f t="shared" ca="1" si="20"/>
        <v>#N/A</v>
      </c>
      <c r="I91" s="922" t="e">
        <f t="shared" ca="1" si="20"/>
        <v>#N/A</v>
      </c>
      <c r="J91" s="922" t="e">
        <f t="shared" ca="1" si="20"/>
        <v>#N/A</v>
      </c>
      <c r="K91" s="922" t="e">
        <f t="shared" ca="1" si="20"/>
        <v>#N/A</v>
      </c>
      <c r="L91" s="922" t="e">
        <f t="shared" ca="1" si="20"/>
        <v>#N/A</v>
      </c>
      <c r="M91" s="922" t="e">
        <f t="shared" ca="1" si="20"/>
        <v>#N/A</v>
      </c>
      <c r="N91" s="922" t="e">
        <f t="shared" ca="1" si="20"/>
        <v>#N/A</v>
      </c>
      <c r="O91" s="922" t="e">
        <f t="shared" ca="1" si="20"/>
        <v>#N/A</v>
      </c>
      <c r="P91" s="922" t="e">
        <f t="shared" ca="1" si="20"/>
        <v>#N/A</v>
      </c>
      <c r="Q91" s="922" t="e">
        <f t="shared" ca="1" si="20"/>
        <v>#N/A</v>
      </c>
      <c r="R91" s="922" t="e">
        <f t="shared" ca="1" si="20"/>
        <v>#N/A</v>
      </c>
      <c r="S91" s="923" t="e">
        <f t="shared" ca="1" si="20"/>
        <v>#N/A</v>
      </c>
      <c r="AW91" s="739" t="s">
        <v>5</v>
      </c>
      <c r="AY91" s="1298" t="s">
        <v>641</v>
      </c>
    </row>
    <row r="92" spans="2:51" hidden="1" outlineLevel="1" x14ac:dyDescent="0.25">
      <c r="B92" s="1707"/>
      <c r="C92" s="920" t="str">
        <f t="shared" si="18"/>
        <v>Implant</v>
      </c>
      <c r="D92" s="922" t="e">
        <f ca="1">SUM(D50:D52)</f>
        <v>#N/A</v>
      </c>
      <c r="E92" s="922" t="e">
        <f t="shared" ref="E92:S92" ca="1" si="21">SUM(E50:E52)</f>
        <v>#N/A</v>
      </c>
      <c r="F92" s="922" t="e">
        <f t="shared" ca="1" si="21"/>
        <v>#N/A</v>
      </c>
      <c r="G92" s="922" t="e">
        <f t="shared" ca="1" si="21"/>
        <v>#N/A</v>
      </c>
      <c r="H92" s="922" t="e">
        <f t="shared" ca="1" si="21"/>
        <v>#N/A</v>
      </c>
      <c r="I92" s="922" t="e">
        <f t="shared" ca="1" si="21"/>
        <v>#N/A</v>
      </c>
      <c r="J92" s="922" t="e">
        <f t="shared" ca="1" si="21"/>
        <v>#N/A</v>
      </c>
      <c r="K92" s="922" t="e">
        <f t="shared" ca="1" si="21"/>
        <v>#N/A</v>
      </c>
      <c r="L92" s="922" t="e">
        <f t="shared" ca="1" si="21"/>
        <v>#N/A</v>
      </c>
      <c r="M92" s="922" t="e">
        <f t="shared" ca="1" si="21"/>
        <v>#N/A</v>
      </c>
      <c r="N92" s="922" t="e">
        <f t="shared" ca="1" si="21"/>
        <v>#N/A</v>
      </c>
      <c r="O92" s="922" t="e">
        <f t="shared" ca="1" si="21"/>
        <v>#N/A</v>
      </c>
      <c r="P92" s="922" t="e">
        <f t="shared" ca="1" si="21"/>
        <v>#N/A</v>
      </c>
      <c r="Q92" s="922" t="e">
        <f t="shared" ca="1" si="21"/>
        <v>#N/A</v>
      </c>
      <c r="R92" s="922" t="e">
        <f t="shared" ca="1" si="21"/>
        <v>#N/A</v>
      </c>
      <c r="S92" s="923" t="e">
        <f t="shared" ca="1" si="21"/>
        <v>#N/A</v>
      </c>
      <c r="AW92" s="739" t="s">
        <v>3</v>
      </c>
      <c r="AY92" s="1298" t="s">
        <v>3</v>
      </c>
    </row>
    <row r="93" spans="2:51" hidden="1" outlineLevel="1" x14ac:dyDescent="0.25">
      <c r="B93" s="1707"/>
      <c r="C93" s="920" t="str">
        <f t="shared" si="18"/>
        <v>Produits injectables</v>
      </c>
      <c r="D93" s="922" t="e">
        <f ca="1">SUM(D55:D59)</f>
        <v>#N/A</v>
      </c>
      <c r="E93" s="922" t="e">
        <f t="shared" ref="E93:S93" ca="1" si="22">SUM(E55:E59)</f>
        <v>#N/A</v>
      </c>
      <c r="F93" s="922" t="e">
        <f t="shared" ca="1" si="22"/>
        <v>#N/A</v>
      </c>
      <c r="G93" s="922" t="e">
        <f t="shared" ca="1" si="22"/>
        <v>#N/A</v>
      </c>
      <c r="H93" s="922" t="e">
        <f t="shared" ca="1" si="22"/>
        <v>#N/A</v>
      </c>
      <c r="I93" s="922" t="e">
        <f t="shared" ca="1" si="22"/>
        <v>#N/A</v>
      </c>
      <c r="J93" s="922" t="e">
        <f t="shared" ca="1" si="22"/>
        <v>#N/A</v>
      </c>
      <c r="K93" s="922" t="e">
        <f t="shared" ca="1" si="22"/>
        <v>#N/A</v>
      </c>
      <c r="L93" s="922" t="e">
        <f t="shared" ca="1" si="22"/>
        <v>#N/A</v>
      </c>
      <c r="M93" s="922" t="e">
        <f t="shared" ca="1" si="22"/>
        <v>#N/A</v>
      </c>
      <c r="N93" s="922" t="e">
        <f t="shared" ca="1" si="22"/>
        <v>#N/A</v>
      </c>
      <c r="O93" s="922" t="e">
        <f t="shared" ca="1" si="22"/>
        <v>#N/A</v>
      </c>
      <c r="P93" s="922" t="e">
        <f t="shared" ca="1" si="22"/>
        <v>#N/A</v>
      </c>
      <c r="Q93" s="922" t="e">
        <f t="shared" ca="1" si="22"/>
        <v>#N/A</v>
      </c>
      <c r="R93" s="922" t="e">
        <f t="shared" ca="1" si="22"/>
        <v>#N/A</v>
      </c>
      <c r="S93" s="923" t="e">
        <f t="shared" ca="1" si="22"/>
        <v>#N/A</v>
      </c>
      <c r="AW93" s="739" t="s">
        <v>2</v>
      </c>
      <c r="AY93" s="1298" t="s">
        <v>781</v>
      </c>
    </row>
    <row r="94" spans="2:51" hidden="1" outlineLevel="1" x14ac:dyDescent="0.25">
      <c r="B94" s="1707"/>
      <c r="C94" s="920" t="str">
        <f t="shared" si="18"/>
        <v>Pilule</v>
      </c>
      <c r="D94" s="922" t="e">
        <f ca="1">SUM(D60:D62)</f>
        <v>#N/A</v>
      </c>
      <c r="E94" s="922" t="e">
        <f t="shared" ref="E94:S94" ca="1" si="23">SUM(E60:E62)</f>
        <v>#N/A</v>
      </c>
      <c r="F94" s="922" t="e">
        <f t="shared" ca="1" si="23"/>
        <v>#N/A</v>
      </c>
      <c r="G94" s="922" t="e">
        <f t="shared" ca="1" si="23"/>
        <v>#N/A</v>
      </c>
      <c r="H94" s="922" t="e">
        <f t="shared" ca="1" si="23"/>
        <v>#N/A</v>
      </c>
      <c r="I94" s="922" t="e">
        <f t="shared" ca="1" si="23"/>
        <v>#N/A</v>
      </c>
      <c r="J94" s="922" t="e">
        <f t="shared" ca="1" si="23"/>
        <v>#N/A</v>
      </c>
      <c r="K94" s="922" t="e">
        <f t="shared" ca="1" si="23"/>
        <v>#N/A</v>
      </c>
      <c r="L94" s="922" t="e">
        <f t="shared" ca="1" si="23"/>
        <v>#N/A</v>
      </c>
      <c r="M94" s="922" t="e">
        <f t="shared" ca="1" si="23"/>
        <v>#N/A</v>
      </c>
      <c r="N94" s="922" t="e">
        <f t="shared" ca="1" si="23"/>
        <v>#N/A</v>
      </c>
      <c r="O94" s="922" t="e">
        <f t="shared" ca="1" si="23"/>
        <v>#N/A</v>
      </c>
      <c r="P94" s="922" t="e">
        <f t="shared" ca="1" si="23"/>
        <v>#N/A</v>
      </c>
      <c r="Q94" s="922" t="e">
        <f t="shared" ca="1" si="23"/>
        <v>#N/A</v>
      </c>
      <c r="R94" s="922" t="e">
        <f t="shared" ca="1" si="23"/>
        <v>#N/A</v>
      </c>
      <c r="S94" s="923" t="e">
        <f t="shared" ca="1" si="23"/>
        <v>#N/A</v>
      </c>
      <c r="AW94" s="739" t="s">
        <v>4</v>
      </c>
      <c r="AY94" s="1298" t="s">
        <v>783</v>
      </c>
    </row>
    <row r="95" spans="2:51" hidden="1" outlineLevel="1" x14ac:dyDescent="0.25">
      <c r="B95" s="1707"/>
      <c r="C95" s="920" t="str">
        <f t="shared" si="18"/>
        <v>Préservatifs (M+F)</v>
      </c>
      <c r="D95" s="922" t="e">
        <f ca="1">D63</f>
        <v>#N/A</v>
      </c>
      <c r="E95" s="922" t="e">
        <f t="shared" ref="E95:S95" ca="1" si="24">E63</f>
        <v>#N/A</v>
      </c>
      <c r="F95" s="922" t="e">
        <f t="shared" ca="1" si="24"/>
        <v>#N/A</v>
      </c>
      <c r="G95" s="922" t="e">
        <f t="shared" ca="1" si="24"/>
        <v>#N/A</v>
      </c>
      <c r="H95" s="922" t="e">
        <f t="shared" ca="1" si="24"/>
        <v>#N/A</v>
      </c>
      <c r="I95" s="922" t="e">
        <f t="shared" ca="1" si="24"/>
        <v>#N/A</v>
      </c>
      <c r="J95" s="922" t="e">
        <f t="shared" ca="1" si="24"/>
        <v>#N/A</v>
      </c>
      <c r="K95" s="922" t="e">
        <f t="shared" ca="1" si="24"/>
        <v>#N/A</v>
      </c>
      <c r="L95" s="922" t="e">
        <f t="shared" ca="1" si="24"/>
        <v>#N/A</v>
      </c>
      <c r="M95" s="922" t="e">
        <f t="shared" ca="1" si="24"/>
        <v>#N/A</v>
      </c>
      <c r="N95" s="922" t="e">
        <f t="shared" ca="1" si="24"/>
        <v>#N/A</v>
      </c>
      <c r="O95" s="922" t="e">
        <f t="shared" ca="1" si="24"/>
        <v>#N/A</v>
      </c>
      <c r="P95" s="922" t="e">
        <f t="shared" ca="1" si="24"/>
        <v>#N/A</v>
      </c>
      <c r="Q95" s="922" t="e">
        <f t="shared" ca="1" si="24"/>
        <v>#N/A</v>
      </c>
      <c r="R95" s="922" t="e">
        <f t="shared" ca="1" si="24"/>
        <v>#N/A</v>
      </c>
      <c r="S95" s="923" t="e">
        <f t="shared" ca="1" si="24"/>
        <v>#N/A</v>
      </c>
      <c r="AW95" s="739" t="s">
        <v>2453</v>
      </c>
      <c r="AY95" s="1298" t="s">
        <v>2454</v>
      </c>
    </row>
    <row r="96" spans="2:51" ht="15.75" hidden="1" outlineLevel="1" thickBot="1" x14ac:dyDescent="0.3">
      <c r="B96" s="1707"/>
      <c r="C96" s="924" t="str">
        <f t="shared" si="18"/>
        <v>Autres Méthodes Modernes</v>
      </c>
      <c r="D96" s="1136" t="e">
        <f ca="1">SUM(D64:D69)</f>
        <v>#N/A</v>
      </c>
      <c r="E96" s="1136" t="e">
        <f t="shared" ref="E96:S96" ca="1" si="25">SUM(E64:E69)</f>
        <v>#N/A</v>
      </c>
      <c r="F96" s="1136" t="e">
        <f t="shared" ca="1" si="25"/>
        <v>#N/A</v>
      </c>
      <c r="G96" s="1136" t="e">
        <f t="shared" ca="1" si="25"/>
        <v>#N/A</v>
      </c>
      <c r="H96" s="1136" t="e">
        <f t="shared" ca="1" si="25"/>
        <v>#N/A</v>
      </c>
      <c r="I96" s="1136" t="e">
        <f t="shared" ca="1" si="25"/>
        <v>#N/A</v>
      </c>
      <c r="J96" s="1136" t="e">
        <f t="shared" ca="1" si="25"/>
        <v>#N/A</v>
      </c>
      <c r="K96" s="1136" t="e">
        <f t="shared" ca="1" si="25"/>
        <v>#N/A</v>
      </c>
      <c r="L96" s="1136" t="e">
        <f t="shared" ca="1" si="25"/>
        <v>#N/A</v>
      </c>
      <c r="M96" s="1136" t="e">
        <f t="shared" ca="1" si="25"/>
        <v>#N/A</v>
      </c>
      <c r="N96" s="1136" t="e">
        <f t="shared" ca="1" si="25"/>
        <v>#N/A</v>
      </c>
      <c r="O96" s="1136" t="e">
        <f t="shared" ca="1" si="25"/>
        <v>#N/A</v>
      </c>
      <c r="P96" s="1136" t="e">
        <f t="shared" ca="1" si="25"/>
        <v>#N/A</v>
      </c>
      <c r="Q96" s="1136" t="e">
        <f t="shared" ca="1" si="25"/>
        <v>#N/A</v>
      </c>
      <c r="R96" s="1136" t="e">
        <f t="shared" ca="1" si="25"/>
        <v>#N/A</v>
      </c>
      <c r="S96" s="1244" t="e">
        <f t="shared" ca="1" si="25"/>
        <v>#N/A</v>
      </c>
      <c r="AW96" s="739" t="s">
        <v>130</v>
      </c>
      <c r="AY96" s="1298" t="s">
        <v>918</v>
      </c>
    </row>
    <row r="97" spans="2:51" hidden="1" outlineLevel="1" x14ac:dyDescent="0.25">
      <c r="B97" s="1707"/>
      <c r="C97" s="1245" t="str">
        <f t="shared" si="18"/>
        <v>Méthodes permanentes</v>
      </c>
      <c r="D97" s="1246" t="e">
        <f ca="1">SUM(D89:D90)</f>
        <v>#N/A</v>
      </c>
      <c r="E97" s="1246" t="e">
        <f t="shared" ref="E97:S97" ca="1" si="26">SUM(E89:E90)</f>
        <v>#N/A</v>
      </c>
      <c r="F97" s="1246" t="e">
        <f t="shared" ca="1" si="26"/>
        <v>#N/A</v>
      </c>
      <c r="G97" s="1246" t="e">
        <f t="shared" ca="1" si="26"/>
        <v>#N/A</v>
      </c>
      <c r="H97" s="1246" t="e">
        <f t="shared" ca="1" si="26"/>
        <v>#N/A</v>
      </c>
      <c r="I97" s="1246" t="e">
        <f t="shared" ca="1" si="26"/>
        <v>#N/A</v>
      </c>
      <c r="J97" s="1246" t="e">
        <f t="shared" ca="1" si="26"/>
        <v>#N/A</v>
      </c>
      <c r="K97" s="1246" t="e">
        <f t="shared" ca="1" si="26"/>
        <v>#N/A</v>
      </c>
      <c r="L97" s="1246" t="e">
        <f t="shared" ca="1" si="26"/>
        <v>#N/A</v>
      </c>
      <c r="M97" s="1246" t="e">
        <f t="shared" ca="1" si="26"/>
        <v>#N/A</v>
      </c>
      <c r="N97" s="1246" t="e">
        <f t="shared" ca="1" si="26"/>
        <v>#N/A</v>
      </c>
      <c r="O97" s="1246" t="e">
        <f t="shared" ca="1" si="26"/>
        <v>#N/A</v>
      </c>
      <c r="P97" s="1246" t="e">
        <f t="shared" ca="1" si="26"/>
        <v>#N/A</v>
      </c>
      <c r="Q97" s="1246" t="e">
        <f t="shared" ca="1" si="26"/>
        <v>#N/A</v>
      </c>
      <c r="R97" s="1246" t="e">
        <f t="shared" ca="1" si="26"/>
        <v>#N/A</v>
      </c>
      <c r="S97" s="1247" t="e">
        <f t="shared" ca="1" si="26"/>
        <v>#N/A</v>
      </c>
      <c r="AW97" s="739" t="s">
        <v>2081</v>
      </c>
      <c r="AY97" s="1298" t="s">
        <v>2455</v>
      </c>
    </row>
    <row r="98" spans="2:51" hidden="1" outlineLevel="1" x14ac:dyDescent="0.25">
      <c r="B98" s="1707"/>
      <c r="C98" s="1248" t="str">
        <f t="shared" si="18"/>
        <v>Méthodes réversibles à longue durée d'action</v>
      </c>
      <c r="D98" s="1249" t="e">
        <f ca="1">SUM(D91:D92)</f>
        <v>#N/A</v>
      </c>
      <c r="E98" s="1249" t="e">
        <f t="shared" ref="E98:S98" ca="1" si="27">SUM(E91:E92)</f>
        <v>#N/A</v>
      </c>
      <c r="F98" s="1249" t="e">
        <f t="shared" ca="1" si="27"/>
        <v>#N/A</v>
      </c>
      <c r="G98" s="1249" t="e">
        <f t="shared" ca="1" si="27"/>
        <v>#N/A</v>
      </c>
      <c r="H98" s="1249" t="e">
        <f t="shared" ca="1" si="27"/>
        <v>#N/A</v>
      </c>
      <c r="I98" s="1249" t="e">
        <f t="shared" ca="1" si="27"/>
        <v>#N/A</v>
      </c>
      <c r="J98" s="1249" t="e">
        <f t="shared" ca="1" si="27"/>
        <v>#N/A</v>
      </c>
      <c r="K98" s="1249" t="e">
        <f t="shared" ca="1" si="27"/>
        <v>#N/A</v>
      </c>
      <c r="L98" s="1249" t="e">
        <f t="shared" ca="1" si="27"/>
        <v>#N/A</v>
      </c>
      <c r="M98" s="1249" t="e">
        <f t="shared" ca="1" si="27"/>
        <v>#N/A</v>
      </c>
      <c r="N98" s="1249" t="e">
        <f t="shared" ca="1" si="27"/>
        <v>#N/A</v>
      </c>
      <c r="O98" s="1249" t="e">
        <f t="shared" ca="1" si="27"/>
        <v>#N/A</v>
      </c>
      <c r="P98" s="1249" t="e">
        <f t="shared" ca="1" si="27"/>
        <v>#N/A</v>
      </c>
      <c r="Q98" s="1249" t="e">
        <f t="shared" ca="1" si="27"/>
        <v>#N/A</v>
      </c>
      <c r="R98" s="1249" t="e">
        <f t="shared" ca="1" si="27"/>
        <v>#N/A</v>
      </c>
      <c r="S98" s="1250" t="e">
        <f t="shared" ca="1" si="27"/>
        <v>#N/A</v>
      </c>
      <c r="AW98" s="739" t="s">
        <v>2082</v>
      </c>
      <c r="AY98" s="1298" t="s">
        <v>2456</v>
      </c>
    </row>
    <row r="99" spans="2:51" ht="15.75" hidden="1" outlineLevel="1" thickBot="1" x14ac:dyDescent="0.3">
      <c r="B99" s="1707"/>
      <c r="C99" s="1251" t="str">
        <f t="shared" si="18"/>
        <v>Méthodes à court terme</v>
      </c>
      <c r="D99" s="1252" t="e">
        <f ca="1">SUM(D93:D96)</f>
        <v>#N/A</v>
      </c>
      <c r="E99" s="1252" t="e">
        <f t="shared" ref="E99:S99" ca="1" si="28">SUM(E93:E96)</f>
        <v>#N/A</v>
      </c>
      <c r="F99" s="1252" t="e">
        <f t="shared" ca="1" si="28"/>
        <v>#N/A</v>
      </c>
      <c r="G99" s="1252" t="e">
        <f t="shared" ca="1" si="28"/>
        <v>#N/A</v>
      </c>
      <c r="H99" s="1252" t="e">
        <f t="shared" ca="1" si="28"/>
        <v>#N/A</v>
      </c>
      <c r="I99" s="1252" t="e">
        <f t="shared" ca="1" si="28"/>
        <v>#N/A</v>
      </c>
      <c r="J99" s="1252" t="e">
        <f t="shared" ca="1" si="28"/>
        <v>#N/A</v>
      </c>
      <c r="K99" s="1252" t="e">
        <f t="shared" ca="1" si="28"/>
        <v>#N/A</v>
      </c>
      <c r="L99" s="1252" t="e">
        <f t="shared" ca="1" si="28"/>
        <v>#N/A</v>
      </c>
      <c r="M99" s="1252" t="e">
        <f t="shared" ca="1" si="28"/>
        <v>#N/A</v>
      </c>
      <c r="N99" s="1252" t="e">
        <f t="shared" ca="1" si="28"/>
        <v>#N/A</v>
      </c>
      <c r="O99" s="1252" t="e">
        <f t="shared" ca="1" si="28"/>
        <v>#N/A</v>
      </c>
      <c r="P99" s="1252" t="e">
        <f t="shared" ca="1" si="28"/>
        <v>#N/A</v>
      </c>
      <c r="Q99" s="1252" t="e">
        <f t="shared" ca="1" si="28"/>
        <v>#N/A</v>
      </c>
      <c r="R99" s="1252" t="e">
        <f t="shared" ca="1" si="28"/>
        <v>#N/A</v>
      </c>
      <c r="S99" s="1253" t="e">
        <f t="shared" ca="1" si="28"/>
        <v>#N/A</v>
      </c>
      <c r="AW99" s="739" t="s">
        <v>2083</v>
      </c>
      <c r="AY99" s="1298" t="s">
        <v>2457</v>
      </c>
    </row>
    <row r="100" spans="2:51" ht="15.75" hidden="1" outlineLevel="1" thickBot="1" x14ac:dyDescent="0.3">
      <c r="B100" s="1708"/>
      <c r="C100" s="1254" t="str">
        <f t="shared" si="18"/>
        <v>Total</v>
      </c>
      <c r="D100" s="1255" t="e">
        <f ca="1">SUM(D89:D96)</f>
        <v>#N/A</v>
      </c>
      <c r="E100" s="1255" t="e">
        <f t="shared" ref="E100:S100" ca="1" si="29">SUM(E89:E96)</f>
        <v>#N/A</v>
      </c>
      <c r="F100" s="1255" t="e">
        <f t="shared" ca="1" si="29"/>
        <v>#N/A</v>
      </c>
      <c r="G100" s="1255" t="e">
        <f t="shared" ca="1" si="29"/>
        <v>#N/A</v>
      </c>
      <c r="H100" s="1255" t="e">
        <f t="shared" ca="1" si="29"/>
        <v>#N/A</v>
      </c>
      <c r="I100" s="1255" t="e">
        <f t="shared" ca="1" si="29"/>
        <v>#N/A</v>
      </c>
      <c r="J100" s="1255" t="e">
        <f t="shared" ca="1" si="29"/>
        <v>#N/A</v>
      </c>
      <c r="K100" s="1255" t="e">
        <f t="shared" ca="1" si="29"/>
        <v>#N/A</v>
      </c>
      <c r="L100" s="1255" t="e">
        <f t="shared" ca="1" si="29"/>
        <v>#N/A</v>
      </c>
      <c r="M100" s="1255" t="e">
        <f t="shared" ca="1" si="29"/>
        <v>#N/A</v>
      </c>
      <c r="N100" s="1255" t="e">
        <f t="shared" ca="1" si="29"/>
        <v>#N/A</v>
      </c>
      <c r="O100" s="1255" t="e">
        <f t="shared" ca="1" si="29"/>
        <v>#N/A</v>
      </c>
      <c r="P100" s="1255" t="e">
        <f t="shared" ca="1" si="29"/>
        <v>#N/A</v>
      </c>
      <c r="Q100" s="1255" t="e">
        <f t="shared" ca="1" si="29"/>
        <v>#N/A</v>
      </c>
      <c r="R100" s="1255" t="e">
        <f t="shared" ca="1" si="29"/>
        <v>#N/A</v>
      </c>
      <c r="S100" s="1256" t="e">
        <f t="shared" ca="1" si="29"/>
        <v>#N/A</v>
      </c>
      <c r="X100">
        <v>2020</v>
      </c>
      <c r="AW100" s="739" t="s">
        <v>313</v>
      </c>
      <c r="AY100" s="1298" t="s">
        <v>313</v>
      </c>
    </row>
    <row r="101" spans="2:51" hidden="1" outlineLevel="1" x14ac:dyDescent="0.25">
      <c r="B101" s="1257"/>
      <c r="C101" s="1258" t="str">
        <f t="shared" si="18"/>
        <v>Période de comparaison mensuelle</v>
      </c>
      <c r="D101" s="1259"/>
      <c r="E101" s="1259"/>
      <c r="F101" s="1259"/>
      <c r="G101" s="1259"/>
      <c r="H101" s="1259"/>
      <c r="I101" s="1259"/>
      <c r="J101" s="1259"/>
      <c r="K101" s="1259"/>
      <c r="L101" s="1259"/>
      <c r="M101" s="1259"/>
      <c r="N101" s="1259"/>
      <c r="O101" s="1259"/>
      <c r="P101" s="1259"/>
      <c r="Q101" s="1259"/>
      <c r="R101" s="1259">
        <v>1</v>
      </c>
      <c r="S101" s="1259">
        <v>1</v>
      </c>
      <c r="AW101" s="739" t="s">
        <v>2458</v>
      </c>
      <c r="AY101" s="1298" t="s">
        <v>2459</v>
      </c>
    </row>
    <row r="102" spans="2:51" hidden="1" outlineLevel="1" x14ac:dyDescent="0.25">
      <c r="B102" s="1257"/>
      <c r="C102" s="1258"/>
      <c r="D102" s="1259"/>
      <c r="E102" s="1259"/>
      <c r="F102" s="1259"/>
      <c r="G102" s="1259"/>
      <c r="H102" s="1259"/>
      <c r="I102" s="1259"/>
      <c r="J102" s="1259"/>
      <c r="K102" s="1259"/>
      <c r="L102" s="1259"/>
      <c r="M102" s="1259"/>
      <c r="N102" s="1259"/>
      <c r="O102" s="1259"/>
      <c r="P102" s="1259"/>
      <c r="Q102" s="1259"/>
      <c r="R102" s="1259"/>
      <c r="S102" s="1259"/>
    </row>
    <row r="103" spans="2:51" ht="15.75" hidden="1" outlineLevel="1" thickBot="1" x14ac:dyDescent="0.3">
      <c r="C103" s="921"/>
      <c r="L103" s="1260"/>
      <c r="M103" s="1260"/>
      <c r="N103" s="1260"/>
      <c r="O103" s="1260"/>
      <c r="P103" s="1260"/>
      <c r="Q103" s="1260"/>
      <c r="R103" s="1260"/>
      <c r="S103" s="1260"/>
      <c r="T103" s="1260"/>
      <c r="U103" s="1260"/>
      <c r="V103" s="1260"/>
      <c r="W103" s="1260"/>
      <c r="X103" s="1260"/>
      <c r="Y103" s="1260"/>
      <c r="Z103" s="1260"/>
      <c r="AA103" s="1260"/>
      <c r="AB103" s="1260"/>
      <c r="AC103" s="1260"/>
      <c r="AD103" s="1260"/>
      <c r="AE103" s="1260"/>
      <c r="AF103" s="1260"/>
      <c r="AG103" s="1260"/>
      <c r="AH103" s="1260"/>
      <c r="AI103" s="1260"/>
      <c r="AJ103" s="1260"/>
      <c r="AK103" s="1260"/>
      <c r="AL103" s="1260"/>
      <c r="AM103" s="1260"/>
      <c r="AN103" s="1260"/>
      <c r="AO103" s="1260"/>
      <c r="AP103" s="1260"/>
      <c r="AQ103" s="1260"/>
      <c r="AR103" s="1260"/>
      <c r="AS103" s="1260"/>
      <c r="AT103" s="1260"/>
      <c r="AU103" s="1260"/>
    </row>
    <row r="104" spans="2:51" hidden="1" outlineLevel="1" x14ac:dyDescent="0.25">
      <c r="C104" s="918"/>
      <c r="D104" s="1135"/>
      <c r="E104" s="1135"/>
      <c r="F104" s="1135"/>
      <c r="G104" s="1135"/>
      <c r="H104" s="1135"/>
      <c r="I104" s="1135"/>
      <c r="J104" s="1135"/>
      <c r="K104" s="92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row>
    <row r="105" spans="2:51" hidden="1" outlineLevel="1" x14ac:dyDescent="0.25">
      <c r="C105" s="921"/>
      <c r="D105" s="922"/>
      <c r="E105" s="922"/>
      <c r="F105" s="922"/>
      <c r="G105" s="922"/>
      <c r="H105" s="922"/>
      <c r="I105" s="922"/>
      <c r="J105" s="922"/>
      <c r="K105" s="92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row>
    <row r="106" spans="2:51" hidden="1" outlineLevel="1" x14ac:dyDescent="0.25">
      <c r="C106" s="921"/>
      <c r="D106" s="922"/>
      <c r="E106" s="922"/>
      <c r="F106" s="922"/>
      <c r="G106" s="922"/>
      <c r="H106" s="922"/>
      <c r="I106" s="922"/>
      <c r="J106" s="922"/>
      <c r="K106" s="92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row>
    <row r="107" spans="2:51" hidden="1" outlineLevel="1" x14ac:dyDescent="0.25">
      <c r="C107" s="921"/>
      <c r="D107" s="922"/>
      <c r="E107" s="922"/>
      <c r="F107" s="922"/>
      <c r="G107" s="922"/>
      <c r="H107" s="922"/>
      <c r="I107" s="922"/>
      <c r="J107" s="922"/>
      <c r="K107" s="92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row>
    <row r="108" spans="2:51" hidden="1" outlineLevel="1" x14ac:dyDescent="0.25">
      <c r="C108" s="921"/>
      <c r="D108" s="922"/>
      <c r="E108" s="922"/>
      <c r="F108" s="922"/>
      <c r="G108" s="922"/>
      <c r="H108" s="922"/>
      <c r="I108" s="922"/>
      <c r="J108" s="922"/>
      <c r="K108" s="92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row>
    <row r="109" spans="2:51" hidden="1" outlineLevel="1" x14ac:dyDescent="0.25">
      <c r="C109" s="921"/>
      <c r="D109" s="922"/>
      <c r="E109" s="922"/>
      <c r="F109" s="922"/>
      <c r="G109" s="922"/>
      <c r="H109" s="922"/>
      <c r="I109" s="922"/>
      <c r="J109" s="922"/>
      <c r="K109" s="92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row>
    <row r="110" spans="2:51" hidden="1" outlineLevel="1" x14ac:dyDescent="0.25">
      <c r="C110" s="921"/>
      <c r="D110" s="922"/>
      <c r="E110" s="922"/>
      <c r="F110" s="922"/>
      <c r="G110" s="922"/>
      <c r="H110" s="922"/>
      <c r="I110" s="922"/>
      <c r="J110" s="922"/>
      <c r="K110" s="922"/>
    </row>
    <row r="111" spans="2:51" ht="15.75" hidden="1" outlineLevel="1" thickBot="1" x14ac:dyDescent="0.3">
      <c r="C111" s="925"/>
      <c r="D111" s="1136"/>
      <c r="E111" s="1136"/>
      <c r="F111" s="1136"/>
      <c r="G111" s="1136"/>
      <c r="H111" s="1136"/>
      <c r="I111" s="1136"/>
      <c r="J111" s="1136"/>
      <c r="K111" s="922"/>
    </row>
    <row r="112" spans="2:51" hidden="1" outlineLevel="1" x14ac:dyDescent="0.25"/>
    <row r="113" spans="2:52" hidden="1" outlineLevel="1" x14ac:dyDescent="0.25"/>
    <row r="114" spans="2:52" hidden="1" outlineLevel="1" x14ac:dyDescent="0.25"/>
    <row r="115" spans="2:52" ht="9.6" customHeight="1" collapsed="1" thickBot="1" x14ac:dyDescent="0.3"/>
    <row r="116" spans="2:52" ht="21" x14ac:dyDescent="0.35">
      <c r="B116" s="1709" t="str">
        <f>IF(Language="English", $AX116, $AZ116)</f>
        <v>Les données annuelles</v>
      </c>
      <c r="C116" s="1710"/>
      <c r="D116" s="1710"/>
      <c r="E116" s="1710"/>
      <c r="F116" s="1710"/>
      <c r="G116" s="1710"/>
      <c r="H116" s="1710"/>
      <c r="I116" s="1703" t="str">
        <f>IF(Language="English", $AX117, $AZ117)</f>
        <v>Les données mensuelles</v>
      </c>
      <c r="J116" s="1704"/>
      <c r="K116" s="1704"/>
      <c r="L116" s="1704"/>
      <c r="M116" s="1704"/>
      <c r="N116" s="1704"/>
      <c r="O116" s="1704"/>
      <c r="P116" s="1704"/>
      <c r="Q116" s="1704"/>
      <c r="R116" s="1705"/>
      <c r="AW116" s="739" t="s">
        <v>2085</v>
      </c>
      <c r="AY116" s="1298" t="s">
        <v>2460</v>
      </c>
      <c r="AZ116" t="s">
        <v>2411</v>
      </c>
    </row>
    <row r="117" spans="2:52" x14ac:dyDescent="0.25">
      <c r="B117" s="1261"/>
      <c r="I117" s="142"/>
      <c r="R117" s="1262"/>
      <c r="AW117" s="739" t="s">
        <v>2461</v>
      </c>
      <c r="AY117" s="1298" t="s">
        <v>2462</v>
      </c>
      <c r="AZ117" t="s">
        <v>2410</v>
      </c>
    </row>
    <row r="118" spans="2:52" x14ac:dyDescent="0.25">
      <c r="B118" s="1261"/>
      <c r="I118" s="142"/>
      <c r="R118" s="1262"/>
      <c r="AV118" t="str">
        <f>IF(Language="English", AW118, AY118)</f>
        <v>Tendance des CAP totaux</v>
      </c>
      <c r="AW118" s="739" t="s">
        <v>2463</v>
      </c>
      <c r="AY118" s="1298" t="s">
        <v>2464</v>
      </c>
    </row>
    <row r="119" spans="2:52" x14ac:dyDescent="0.25">
      <c r="B119" s="1261"/>
      <c r="I119" s="142"/>
      <c r="R119" s="1262"/>
    </row>
    <row r="120" spans="2:52" x14ac:dyDescent="0.25">
      <c r="B120" s="1261"/>
      <c r="I120" s="142"/>
      <c r="R120" s="1262"/>
    </row>
    <row r="121" spans="2:52" x14ac:dyDescent="0.25">
      <c r="B121" s="1261"/>
      <c r="I121" s="142"/>
      <c r="R121" s="1262"/>
    </row>
    <row r="122" spans="2:52" x14ac:dyDescent="0.25">
      <c r="B122" s="1261"/>
      <c r="I122" s="142"/>
      <c r="R122" s="1262"/>
    </row>
    <row r="123" spans="2:52" x14ac:dyDescent="0.25">
      <c r="B123" s="1261"/>
      <c r="I123" s="142"/>
      <c r="R123" s="1262"/>
    </row>
    <row r="124" spans="2:52" x14ac:dyDescent="0.25">
      <c r="B124" s="1261"/>
      <c r="I124" s="142"/>
      <c r="R124" s="1262"/>
    </row>
    <row r="125" spans="2:52" x14ac:dyDescent="0.25">
      <c r="B125" s="1261"/>
      <c r="I125" s="142"/>
      <c r="R125" s="1262"/>
    </row>
    <row r="126" spans="2:52" x14ac:dyDescent="0.25">
      <c r="B126" s="1261"/>
      <c r="I126" s="142"/>
      <c r="R126" s="1262"/>
    </row>
    <row r="127" spans="2:52" x14ac:dyDescent="0.25">
      <c r="B127" s="1261"/>
      <c r="I127" s="142"/>
      <c r="R127" s="1262"/>
    </row>
    <row r="128" spans="2:52" x14ac:dyDescent="0.25">
      <c r="B128" s="1261"/>
      <c r="I128" s="142"/>
      <c r="R128" s="1262"/>
    </row>
    <row r="129" spans="2:51" x14ac:dyDescent="0.25">
      <c r="B129" s="1261"/>
      <c r="I129" s="142"/>
      <c r="R129" s="1262"/>
    </row>
    <row r="130" spans="2:51" x14ac:dyDescent="0.25">
      <c r="B130" s="1261"/>
      <c r="I130" s="142"/>
      <c r="R130" s="1262"/>
    </row>
    <row r="131" spans="2:51" x14ac:dyDescent="0.25">
      <c r="B131" s="1261"/>
      <c r="I131" s="142"/>
      <c r="R131" s="1262"/>
    </row>
    <row r="132" spans="2:51" x14ac:dyDescent="0.25">
      <c r="B132" s="1261"/>
      <c r="I132" s="142"/>
      <c r="R132" s="1262"/>
    </row>
    <row r="133" spans="2:51" x14ac:dyDescent="0.25">
      <c r="B133" s="1261"/>
      <c r="I133" s="142"/>
      <c r="R133" s="1262"/>
    </row>
    <row r="134" spans="2:51" x14ac:dyDescent="0.25">
      <c r="B134" s="1261"/>
      <c r="I134" s="142"/>
      <c r="R134" s="1262"/>
    </row>
    <row r="135" spans="2:51" x14ac:dyDescent="0.25">
      <c r="B135" s="1261"/>
      <c r="I135" s="142"/>
      <c r="R135" s="1262"/>
    </row>
    <row r="136" spans="2:51" x14ac:dyDescent="0.25">
      <c r="B136" s="1261"/>
      <c r="I136" s="142"/>
      <c r="R136" s="1262"/>
    </row>
    <row r="137" spans="2:51" ht="15.75" thickBot="1" x14ac:dyDescent="0.3">
      <c r="B137" s="1263"/>
      <c r="C137" s="1264"/>
      <c r="D137" s="1264"/>
      <c r="E137" s="1264"/>
      <c r="F137" s="1264"/>
      <c r="G137" s="1264"/>
      <c r="H137" s="1264"/>
      <c r="I137" s="1265"/>
      <c r="J137" s="1264"/>
      <c r="K137" s="1264"/>
      <c r="L137" s="1264"/>
      <c r="M137" s="1264"/>
      <c r="N137" s="1264"/>
      <c r="O137" s="1264"/>
      <c r="P137" s="1264"/>
      <c r="Q137" s="1264"/>
      <c r="R137" s="1266"/>
    </row>
    <row r="138" spans="2:51" x14ac:dyDescent="0.25">
      <c r="B138" s="1261"/>
      <c r="I138" s="142"/>
      <c r="R138" s="1262"/>
      <c r="AV138" t="str">
        <f>IF(Language="English", AW138, AY138)</f>
        <v>Tendance par type de méthode</v>
      </c>
      <c r="AW138" s="739" t="s">
        <v>2468</v>
      </c>
      <c r="AY138" s="1298" t="s">
        <v>2467</v>
      </c>
    </row>
    <row r="139" spans="2:51" x14ac:dyDescent="0.25">
      <c r="B139" s="1261"/>
      <c r="I139" s="142"/>
      <c r="R139" s="1262"/>
    </row>
    <row r="140" spans="2:51" x14ac:dyDescent="0.25">
      <c r="B140" s="1261"/>
      <c r="I140" s="142"/>
      <c r="R140" s="1262"/>
    </row>
    <row r="141" spans="2:51" x14ac:dyDescent="0.25">
      <c r="B141" s="1261"/>
      <c r="I141" s="142"/>
      <c r="R141" s="1262"/>
    </row>
    <row r="142" spans="2:51" x14ac:dyDescent="0.25">
      <c r="B142" s="1261"/>
      <c r="I142" s="142"/>
      <c r="R142" s="1262"/>
    </row>
    <row r="143" spans="2:51" x14ac:dyDescent="0.25">
      <c r="B143" s="1261"/>
      <c r="I143" s="142"/>
      <c r="R143" s="1262"/>
    </row>
    <row r="144" spans="2:51" x14ac:dyDescent="0.25">
      <c r="B144" s="1261"/>
      <c r="I144" s="142"/>
      <c r="R144" s="1262"/>
    </row>
    <row r="145" spans="2:51" x14ac:dyDescent="0.25">
      <c r="B145" s="1261"/>
      <c r="I145" s="142"/>
      <c r="R145" s="1262"/>
    </row>
    <row r="146" spans="2:51" x14ac:dyDescent="0.25">
      <c r="B146" s="1261"/>
      <c r="I146" s="142"/>
      <c r="R146" s="1262"/>
    </row>
    <row r="147" spans="2:51" x14ac:dyDescent="0.25">
      <c r="B147" s="1261"/>
      <c r="I147" s="142"/>
      <c r="R147" s="1262"/>
    </row>
    <row r="148" spans="2:51" x14ac:dyDescent="0.25">
      <c r="B148" s="1261"/>
      <c r="I148" s="142"/>
      <c r="R148" s="1262"/>
    </row>
    <row r="149" spans="2:51" x14ac:dyDescent="0.25">
      <c r="B149" s="1261"/>
      <c r="I149" s="142"/>
      <c r="R149" s="1262"/>
    </row>
    <row r="150" spans="2:51" x14ac:dyDescent="0.25">
      <c r="B150" s="1261"/>
      <c r="I150" s="142"/>
      <c r="R150" s="1262"/>
    </row>
    <row r="151" spans="2:51" x14ac:dyDescent="0.25">
      <c r="B151" s="1261"/>
      <c r="I151" s="142"/>
      <c r="R151" s="1262"/>
    </row>
    <row r="152" spans="2:51" x14ac:dyDescent="0.25">
      <c r="B152" s="1261"/>
      <c r="I152" s="142"/>
      <c r="R152" s="1262"/>
    </row>
    <row r="153" spans="2:51" x14ac:dyDescent="0.25">
      <c r="B153" s="1261"/>
      <c r="I153" s="142"/>
      <c r="R153" s="1262"/>
    </row>
    <row r="154" spans="2:51" x14ac:dyDescent="0.25">
      <c r="B154" s="1261"/>
      <c r="I154" s="142"/>
      <c r="R154" s="1262"/>
    </row>
    <row r="155" spans="2:51" x14ac:dyDescent="0.25">
      <c r="B155" s="1261"/>
      <c r="I155" s="142"/>
      <c r="R155" s="1262"/>
    </row>
    <row r="156" spans="2:51" x14ac:dyDescent="0.25">
      <c r="B156" s="1261"/>
      <c r="I156" s="142"/>
      <c r="R156" s="1262"/>
    </row>
    <row r="157" spans="2:51" x14ac:dyDescent="0.25">
      <c r="B157" s="1261"/>
      <c r="I157" s="142"/>
      <c r="R157" s="1262"/>
    </row>
    <row r="158" spans="2:51" ht="15.75" thickBot="1" x14ac:dyDescent="0.3">
      <c r="B158" s="1263"/>
      <c r="C158" s="1264"/>
      <c r="D158" s="1264"/>
      <c r="E158" s="1264"/>
      <c r="F158" s="1264"/>
      <c r="G158" s="1264"/>
      <c r="H158" s="1264"/>
      <c r="I158" s="135"/>
      <c r="J158" s="136"/>
      <c r="K158" s="136"/>
      <c r="L158" s="136"/>
      <c r="M158" s="136"/>
      <c r="N158" s="136"/>
      <c r="O158" s="136"/>
      <c r="P158" s="136"/>
      <c r="Q158" s="136"/>
      <c r="R158" s="1267"/>
    </row>
    <row r="159" spans="2:51" x14ac:dyDescent="0.25">
      <c r="B159" s="1268"/>
      <c r="C159" s="1269"/>
      <c r="D159" s="1269"/>
      <c r="E159" s="1269"/>
      <c r="F159" s="1269"/>
      <c r="G159" s="1269"/>
      <c r="H159" s="1269"/>
      <c r="I159" s="1270"/>
      <c r="J159" s="1271"/>
      <c r="K159" s="1271"/>
      <c r="L159" s="1271"/>
      <c r="M159" s="1271"/>
      <c r="N159" s="1271"/>
      <c r="O159" s="1271"/>
      <c r="P159" s="1271"/>
      <c r="Q159" s="1271"/>
      <c r="R159" s="1272"/>
      <c r="AV159" t="str">
        <f>IF(Language="English", AW159, AY159)</f>
        <v>Tendance par méthode</v>
      </c>
      <c r="AW159" s="739" t="s">
        <v>2470</v>
      </c>
      <c r="AY159" s="1298" t="s">
        <v>2469</v>
      </c>
    </row>
    <row r="160" spans="2:51" x14ac:dyDescent="0.25">
      <c r="B160" s="1261"/>
      <c r="I160" s="142"/>
      <c r="R160" s="1262"/>
    </row>
    <row r="161" spans="2:18" x14ac:dyDescent="0.25">
      <c r="B161" s="1261"/>
      <c r="I161" s="142"/>
      <c r="R161" s="1262"/>
    </row>
    <row r="162" spans="2:18" x14ac:dyDescent="0.25">
      <c r="B162" s="1261"/>
      <c r="I162" s="142"/>
      <c r="R162" s="1262"/>
    </row>
    <row r="163" spans="2:18" x14ac:dyDescent="0.25">
      <c r="B163" s="1261"/>
      <c r="I163" s="142"/>
      <c r="R163" s="1262"/>
    </row>
    <row r="164" spans="2:18" x14ac:dyDescent="0.25">
      <c r="B164" s="1261"/>
      <c r="I164" s="142"/>
      <c r="R164" s="1262"/>
    </row>
    <row r="165" spans="2:18" x14ac:dyDescent="0.25">
      <c r="B165" s="1261"/>
      <c r="I165" s="142"/>
      <c r="R165" s="1262"/>
    </row>
    <row r="166" spans="2:18" x14ac:dyDescent="0.25">
      <c r="B166" s="1261"/>
      <c r="I166" s="142"/>
      <c r="R166" s="1262"/>
    </row>
    <row r="167" spans="2:18" x14ac:dyDescent="0.25">
      <c r="B167" s="1261"/>
      <c r="I167" s="142"/>
      <c r="R167" s="1262"/>
    </row>
    <row r="168" spans="2:18" x14ac:dyDescent="0.25">
      <c r="B168" s="1261"/>
      <c r="I168" s="142"/>
      <c r="R168" s="1262"/>
    </row>
    <row r="169" spans="2:18" x14ac:dyDescent="0.25">
      <c r="B169" s="1261"/>
      <c r="I169" s="142"/>
      <c r="R169" s="1262"/>
    </row>
    <row r="170" spans="2:18" x14ac:dyDescent="0.25">
      <c r="B170" s="1261"/>
      <c r="I170" s="142"/>
      <c r="R170" s="1262"/>
    </row>
    <row r="171" spans="2:18" x14ac:dyDescent="0.25">
      <c r="B171" s="1261"/>
      <c r="I171" s="142"/>
      <c r="R171" s="1262"/>
    </row>
    <row r="172" spans="2:18" x14ac:dyDescent="0.25">
      <c r="B172" s="1261"/>
      <c r="I172" s="142"/>
      <c r="R172" s="1262"/>
    </row>
    <row r="173" spans="2:18" x14ac:dyDescent="0.25">
      <c r="B173" s="1261"/>
      <c r="I173" s="142"/>
      <c r="R173" s="1262"/>
    </row>
    <row r="174" spans="2:18" x14ac:dyDescent="0.25">
      <c r="B174" s="1261"/>
      <c r="I174" s="142"/>
      <c r="R174" s="1262"/>
    </row>
    <row r="175" spans="2:18" x14ac:dyDescent="0.25">
      <c r="B175" s="1261"/>
      <c r="I175" s="142"/>
      <c r="R175" s="1262"/>
    </row>
    <row r="176" spans="2:18" x14ac:dyDescent="0.25">
      <c r="B176" s="1261"/>
      <c r="I176" s="142"/>
      <c r="R176" s="1262"/>
    </row>
    <row r="177" spans="2:51" x14ac:dyDescent="0.25">
      <c r="B177" s="1261"/>
      <c r="I177" s="142"/>
      <c r="R177" s="1262"/>
    </row>
    <row r="178" spans="2:51" ht="15.75" thickBot="1" x14ac:dyDescent="0.3">
      <c r="B178" s="1263"/>
      <c r="C178" s="1264"/>
      <c r="D178" s="1264"/>
      <c r="E178" s="1264"/>
      <c r="F178" s="1264"/>
      <c r="G178" s="1264"/>
      <c r="H178" s="1264"/>
      <c r="I178" s="135"/>
      <c r="J178" s="136"/>
      <c r="K178" s="136"/>
      <c r="L178" s="136"/>
      <c r="M178" s="136"/>
      <c r="N178" s="136"/>
      <c r="O178" s="136"/>
      <c r="P178" s="136"/>
      <c r="Q178" s="136"/>
      <c r="R178" s="1267"/>
    </row>
    <row r="179" spans="2:51" x14ac:dyDescent="0.25">
      <c r="B179" s="1268"/>
      <c r="C179" s="1269"/>
      <c r="D179" s="1269"/>
      <c r="E179" s="1269"/>
      <c r="F179" s="1269"/>
      <c r="G179" s="1269"/>
      <c r="H179" s="1269"/>
      <c r="I179" s="1270"/>
      <c r="J179" s="1271"/>
      <c r="K179" s="1271"/>
      <c r="L179" s="1271"/>
      <c r="M179" s="1271"/>
      <c r="N179" s="1271"/>
      <c r="O179" s="1271"/>
      <c r="P179" s="1271"/>
      <c r="Q179" s="1271"/>
      <c r="R179" s="1272"/>
    </row>
    <row r="180" spans="2:51" x14ac:dyDescent="0.25">
      <c r="B180" s="1261"/>
      <c r="I180" s="142"/>
      <c r="R180" s="1262"/>
      <c r="AV180" t="str">
        <f>IF(Language="English", AW180, AY180)</f>
        <v>Tendance dans le mélange de méthodes pour les CAP</v>
      </c>
      <c r="AW180" s="739" t="s">
        <v>2471</v>
      </c>
      <c r="AY180" s="1298" t="s">
        <v>2491</v>
      </c>
    </row>
    <row r="181" spans="2:51" x14ac:dyDescent="0.25">
      <c r="B181" s="1261"/>
      <c r="I181" s="142"/>
      <c r="R181" s="1262"/>
    </row>
    <row r="182" spans="2:51" x14ac:dyDescent="0.25">
      <c r="B182" s="1261"/>
      <c r="I182" s="142"/>
      <c r="R182" s="1262"/>
    </row>
    <row r="183" spans="2:51" x14ac:dyDescent="0.25">
      <c r="B183" s="1261"/>
      <c r="I183" s="142"/>
      <c r="R183" s="1262"/>
    </row>
    <row r="184" spans="2:51" x14ac:dyDescent="0.25">
      <c r="B184" s="1261"/>
      <c r="I184" s="142"/>
      <c r="R184" s="1262"/>
    </row>
    <row r="185" spans="2:51" x14ac:dyDescent="0.25">
      <c r="B185" s="1261"/>
      <c r="I185" s="142"/>
      <c r="R185" s="1262"/>
    </row>
    <row r="186" spans="2:51" x14ac:dyDescent="0.25">
      <c r="B186" s="1261"/>
      <c r="I186" s="142"/>
      <c r="R186" s="1262"/>
    </row>
    <row r="187" spans="2:51" x14ac:dyDescent="0.25">
      <c r="B187" s="1261"/>
      <c r="I187" s="142"/>
      <c r="R187" s="1262"/>
    </row>
    <row r="188" spans="2:51" x14ac:dyDescent="0.25">
      <c r="B188" s="1261"/>
      <c r="I188" s="142"/>
      <c r="R188" s="1262"/>
    </row>
    <row r="189" spans="2:51" x14ac:dyDescent="0.25">
      <c r="B189" s="1261"/>
      <c r="I189" s="142"/>
      <c r="R189" s="1262"/>
    </row>
    <row r="190" spans="2:51" x14ac:dyDescent="0.25">
      <c r="B190" s="1261"/>
      <c r="I190" s="142"/>
      <c r="R190" s="1262"/>
    </row>
    <row r="191" spans="2:51" x14ac:dyDescent="0.25">
      <c r="B191" s="1261"/>
      <c r="I191" s="142"/>
      <c r="R191" s="1262"/>
    </row>
    <row r="192" spans="2:51" x14ac:dyDescent="0.25">
      <c r="B192" s="1261"/>
      <c r="I192" s="142"/>
      <c r="R192" s="1262"/>
    </row>
    <row r="193" spans="2:18" x14ac:dyDescent="0.25">
      <c r="B193" s="1261"/>
      <c r="I193" s="142"/>
      <c r="R193" s="1262"/>
    </row>
    <row r="194" spans="2:18" x14ac:dyDescent="0.25">
      <c r="B194" s="1261"/>
      <c r="I194" s="142"/>
      <c r="R194" s="1262"/>
    </row>
    <row r="195" spans="2:18" x14ac:dyDescent="0.25">
      <c r="B195" s="1261"/>
      <c r="I195" s="142"/>
      <c r="R195" s="1262"/>
    </row>
    <row r="196" spans="2:18" x14ac:dyDescent="0.25">
      <c r="B196" s="1261"/>
      <c r="I196" s="142"/>
      <c r="R196" s="1262"/>
    </row>
    <row r="197" spans="2:18" x14ac:dyDescent="0.25">
      <c r="B197" s="1261"/>
      <c r="I197" s="142"/>
      <c r="R197" s="1262"/>
    </row>
    <row r="198" spans="2:18" x14ac:dyDescent="0.25">
      <c r="B198" s="1261"/>
      <c r="I198" s="142"/>
      <c r="R198" s="1262"/>
    </row>
    <row r="199" spans="2:18" ht="15.75" thickBot="1" x14ac:dyDescent="0.3">
      <c r="B199" s="1263"/>
      <c r="C199" s="1264"/>
      <c r="D199" s="1264"/>
      <c r="E199" s="1264"/>
      <c r="F199" s="1264"/>
      <c r="G199" s="1264"/>
      <c r="H199" s="1264"/>
      <c r="I199" s="1265"/>
      <c r="J199" s="1264"/>
      <c r="K199" s="1264"/>
      <c r="L199" s="1264"/>
      <c r="M199" s="1264"/>
      <c r="N199" s="1264"/>
      <c r="O199" s="1264"/>
      <c r="P199" s="1264"/>
      <c r="Q199" s="1264"/>
      <c r="R199" s="1266"/>
    </row>
  </sheetData>
  <mergeCells count="25">
    <mergeCell ref="I116:R116"/>
    <mergeCell ref="B60:B62"/>
    <mergeCell ref="B63:B64"/>
    <mergeCell ref="B65:B68"/>
    <mergeCell ref="B75:B86"/>
    <mergeCell ref="B89:B100"/>
    <mergeCell ref="B116:H116"/>
    <mergeCell ref="B55:B59"/>
    <mergeCell ref="B15:B16"/>
    <mergeCell ref="B17:B18"/>
    <mergeCell ref="B19:B21"/>
    <mergeCell ref="B24:B28"/>
    <mergeCell ref="B29:B31"/>
    <mergeCell ref="B32:B33"/>
    <mergeCell ref="B34:B37"/>
    <mergeCell ref="B41:AA41"/>
    <mergeCell ref="B46:B47"/>
    <mergeCell ref="B48:B49"/>
    <mergeCell ref="B50:B52"/>
    <mergeCell ref="B9:AA9"/>
    <mergeCell ref="B1:V1"/>
    <mergeCell ref="B6:C6"/>
    <mergeCell ref="D6:F6"/>
    <mergeCell ref="B7:C7"/>
    <mergeCell ref="D7:F7"/>
  </mergeCells>
  <conditionalFormatting sqref="D46:S52 D55:S70">
    <cfRule type="containsErrors" dxfId="0" priority="1">
      <formula>ISERROR(D46)</formula>
    </cfRule>
  </conditionalFormatting>
  <pageMargins left="0.7" right="0.7" top="0.75" bottom="0.75" header="0.3" footer="0.3"/>
  <pageSetup orientation="portrait" r:id="rId1"/>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theme="7"/>
  </sheetPr>
  <dimension ref="A3:O293"/>
  <sheetViews>
    <sheetView topLeftCell="A11" zoomScale="70" zoomScaleNormal="70" workbookViewId="0">
      <selection activeCell="P101" sqref="P101"/>
    </sheetView>
  </sheetViews>
  <sheetFormatPr defaultRowHeight="15" x14ac:dyDescent="0.25"/>
  <cols>
    <col min="2" max="2" width="18" customWidth="1"/>
    <col min="3" max="3" width="27.85546875" customWidth="1"/>
    <col min="4" max="4" width="11.5703125" bestFit="1" customWidth="1"/>
    <col min="5" max="5" width="10.85546875" customWidth="1"/>
    <col min="7" max="7" width="20.85546875" customWidth="1"/>
    <col min="8" max="8" width="22.140625" customWidth="1"/>
    <col min="9" max="9" width="11.140625" customWidth="1"/>
    <col min="10" max="10" width="12.42578125" bestFit="1" customWidth="1"/>
    <col min="11" max="11" width="12.42578125" customWidth="1"/>
    <col min="12" max="12" width="11.28515625" customWidth="1"/>
    <col min="13" max="13" width="12.42578125" bestFit="1" customWidth="1"/>
    <col min="14" max="14" width="15.5703125" customWidth="1"/>
    <col min="15" max="15" width="20.140625" customWidth="1"/>
    <col min="16" max="24" width="13.5703125" bestFit="1" customWidth="1"/>
  </cols>
  <sheetData>
    <row r="3" spans="1:14" ht="21" x14ac:dyDescent="0.35">
      <c r="A3" s="1711" t="s">
        <v>729</v>
      </c>
      <c r="B3" s="1711"/>
      <c r="C3" s="1711"/>
      <c r="D3" s="1711"/>
      <c r="E3" s="1711"/>
      <c r="F3" s="1711"/>
      <c r="G3" s="287"/>
      <c r="H3" s="287"/>
      <c r="I3" s="287"/>
      <c r="J3" s="287"/>
      <c r="K3" s="287"/>
      <c r="L3" s="287"/>
      <c r="M3" s="287"/>
      <c r="N3" s="287"/>
    </row>
    <row r="6" spans="1:14" ht="30.75" thickBot="1" x14ac:dyDescent="0.3">
      <c r="D6" s="673" t="s">
        <v>1019</v>
      </c>
      <c r="E6" s="674" t="s">
        <v>284</v>
      </c>
    </row>
    <row r="7" spans="1:14" ht="18.75" x14ac:dyDescent="0.25">
      <c r="B7" s="415" t="str">
        <f>IF(Language="English", 'Language Look Ups'!$O$5,IF(Language="Francais", 'Language Look Ups'!$S$5,  'Language Look Ups'!$Q$5))</f>
        <v>Méthodes à Long Terme et Permanentes</v>
      </c>
      <c r="C7" s="401"/>
      <c r="D7" s="287"/>
      <c r="E7" s="287"/>
    </row>
    <row r="8" spans="1:14" x14ac:dyDescent="0.25">
      <c r="B8" s="1480" t="str">
        <f>IF(Language="English",'Language Look Ups'!$O$6,IF(Language="Francais",'Language Look Ups'!$S$6,'Language Look Ups'!$Q$6))</f>
        <v>Stérilisation</v>
      </c>
      <c r="C8" s="363" t="str">
        <f>IF(Language="English", 'Language Look Ups'!$P$6,IF(Language="Francais", 'Language Look Ups'!$T$6, 'Language Look Ups'!$R$6))</f>
        <v>Ligature des trompes</v>
      </c>
      <c r="D8" s="407">
        <f>IF(OR(Country_Selected="India", Country_Selected = "Bangladesh", Country_Selected="Nepal"), 13, 10)</f>
        <v>10</v>
      </c>
      <c r="E8" s="407">
        <f>IF(OR(Country_Selected="India", Country_Selected = "Bangladesh", Country_Selected="Nepal"), 13, 10)</f>
        <v>10</v>
      </c>
    </row>
    <row r="9" spans="1:14" x14ac:dyDescent="0.25">
      <c r="B9" s="1481"/>
      <c r="C9" s="275" t="str">
        <f>IF(Language="English",'Language Look Ups'!$P$7,IF(Language="Francais",'Language Look Ups'!$T$7,'Language Look Ups'!$R$7))</f>
        <v>Vasectomie</v>
      </c>
      <c r="D9" s="276">
        <f>IF(OR(Country_Selected="India", Country_Selected = "Bangladesh", Country_Selected="Nepal"), 13, 10)</f>
        <v>10</v>
      </c>
      <c r="E9" s="276">
        <f>IF(OR(Country_Selected="India", Country_Selected = "Bangladesh", Country_Selected="Nepal"), 13, 10)</f>
        <v>10</v>
      </c>
    </row>
    <row r="10" spans="1:14" x14ac:dyDescent="0.25">
      <c r="B10" s="1480" t="str">
        <f>IF(Language="English", 'Language Look Ups'!$O$8,IF(Language="Francais", 'Language Look Ups'!$S$8, 'Language Look Ups'!$Q$8))</f>
        <v>DIU</v>
      </c>
      <c r="C10" s="363" t="str">
        <f>IF(Language="English", 'Language Look Ups'!$P$8,IF(Language="Francais", 'Language Look Ups'!$T$8, 'Language Look Ups'!$R$8))</f>
        <v>Copper- T 380-A DIU</v>
      </c>
      <c r="D10" s="407">
        <v>4.5999999999999996</v>
      </c>
      <c r="E10" s="407">
        <v>4.5999999999999996</v>
      </c>
    </row>
    <row r="11" spans="1:14" x14ac:dyDescent="0.25">
      <c r="B11" s="1481"/>
      <c r="C11" s="275" t="str">
        <f>IF(Language="English", 'Language Look Ups'!$P$9,IF(Language="Francais", 'Language Look Ups'!$T$9, 'Language Look Ups'!$R$9))</f>
        <v>DIU Hormonal (LNG-IUS)</v>
      </c>
      <c r="D11" s="276">
        <v>4.8</v>
      </c>
      <c r="E11" s="276">
        <v>4.8</v>
      </c>
    </row>
    <row r="12" spans="1:14" x14ac:dyDescent="0.25">
      <c r="B12" s="1480" t="str">
        <f>IF(Language="English", 'Language Look Ups'!$O$10,IF(Language="Francais", 'Language Look Ups'!$S$10, 'Language Look Ups'!$Q$10))</f>
        <v>Implant</v>
      </c>
      <c r="C12" s="363" t="str">
        <f>IF(Language="English", 'Language Look Ups'!$P$10,IF(Language="Francais", 'Language Look Ups'!$T$10, 'Language Look Ups'!$R$10))</f>
        <v>Implant de 3 ans (Implanon, Levoplant)</v>
      </c>
      <c r="D12" s="407">
        <v>2.5</v>
      </c>
      <c r="E12" s="407">
        <v>2.5</v>
      </c>
    </row>
    <row r="13" spans="1:14" x14ac:dyDescent="0.25">
      <c r="B13" s="1482"/>
      <c r="C13" s="277" t="str">
        <f>IF(Language="English", 'Language Look Ups'!$P$11,IF(Language="Francais", 'Language Look Ups'!$T$11, 'Language Look Ups'!$R$11))</f>
        <v>Implant de 4 ans (Sino-Implant)</v>
      </c>
      <c r="D13" s="278">
        <v>3.2</v>
      </c>
      <c r="E13" s="278">
        <v>3.2</v>
      </c>
    </row>
    <row r="14" spans="1:14" x14ac:dyDescent="0.25">
      <c r="B14" s="1481"/>
      <c r="C14" s="275" t="str">
        <f>IF(Language="English", 'Language Look Ups'!$P$12,IF(Language="Francais", 'Language Look Ups'!$T$12, 'Language Look Ups'!$R$12))</f>
        <v>Implant de 5 ans (Jadelle)</v>
      </c>
      <c r="D14" s="276">
        <v>3.8</v>
      </c>
      <c r="E14" s="276">
        <v>3.8</v>
      </c>
    </row>
    <row r="15" spans="1:14" x14ac:dyDescent="0.25">
      <c r="B15" s="150"/>
      <c r="C15" s="279"/>
    </row>
    <row r="16" spans="1:14" ht="18.75" x14ac:dyDescent="0.25">
      <c r="B16" s="364" t="str">
        <f>IF(Language="English", 'Language Look Ups'!$O$14,IF(Language="Francais", 'Language Look Ups'!$S$14, 'Language Look Ups'!$Q$14))</f>
        <v>Méthodes à Court Terme</v>
      </c>
      <c r="C16" s="104"/>
      <c r="D16" s="51"/>
      <c r="E16" s="51"/>
    </row>
    <row r="17" spans="2:5" x14ac:dyDescent="0.25">
      <c r="B17" s="1491" t="str">
        <f>IF(Language="English", 'Language Look Ups'!$O$15,IF(Language="Francais", 'Language Look Ups'!$S$15, 'Language Look Ups'!V$15))</f>
        <v>Produits injectables</v>
      </c>
      <c r="C17" s="363" t="str">
        <f>IF(Language="English", 'Language Look Ups'!$P$15,IF(Language="Francais", 'Language Look Ups'!$T$15, 'Language Look Ups'!$R$15))</f>
        <v>Depo Provera (DMPA)</v>
      </c>
      <c r="D17" s="407">
        <v>4</v>
      </c>
      <c r="E17" s="407">
        <v>4</v>
      </c>
    </row>
    <row r="18" spans="2:5" x14ac:dyDescent="0.25">
      <c r="B18" s="1492"/>
      <c r="C18" s="277" t="str">
        <f>IF(Language="English", 'Language Look Ups'!$P$16,IF(Language="Francais", 'Language Look Ups'!$T$16, 'Language Look Ups'!$R$16))</f>
        <v>Noristerat (NET-En)</v>
      </c>
      <c r="D18" s="278">
        <v>6</v>
      </c>
      <c r="E18" s="278">
        <v>6</v>
      </c>
    </row>
    <row r="19" spans="2:5" x14ac:dyDescent="0.25">
      <c r="B19" s="1492"/>
      <c r="C19" s="277" t="str">
        <f>IF(Language="English",'Language Look Ups'!$P$17,IF(Language="Francais",'Language Look Ups'!$T$17,'Language Look Ups'!$R$17))</f>
        <v>Lunelle</v>
      </c>
      <c r="D19" s="278">
        <v>13</v>
      </c>
      <c r="E19" s="278">
        <v>13</v>
      </c>
    </row>
    <row r="20" spans="2:5" x14ac:dyDescent="0.25">
      <c r="B20" s="1492"/>
      <c r="C20" s="277" t="str">
        <f>IF(Language="English", 'Language Look Ups'!$P$18,IF(Language="Francais", 'Language Look Ups'!$T$18, 'Language Look Ups'!$R$18))</f>
        <v>Sayana Press</v>
      </c>
      <c r="D20" s="278">
        <v>4</v>
      </c>
      <c r="E20" s="278">
        <v>4</v>
      </c>
    </row>
    <row r="21" spans="2:5" x14ac:dyDescent="0.25">
      <c r="B21" s="1493"/>
      <c r="C21" s="275" t="str">
        <f>IF(Language="English", 'Language Look Ups'!$P$19,IF(Language="Francais", 'Language Look Ups'!$T$19, 'Language Look Ups'!$R$19))</f>
        <v>Autre Injectable</v>
      </c>
      <c r="D21" s="276">
        <v>4</v>
      </c>
      <c r="E21" s="276">
        <v>4</v>
      </c>
    </row>
    <row r="22" spans="2:5" x14ac:dyDescent="0.25">
      <c r="B22" s="1480" t="str">
        <f>IF(Language="English", 'Language Look Ups'!$O$20,IF(Language="Francais", 'Language Look Ups'!$S$20, 'Language Look Ups'!V$20))</f>
        <v>Pilule</v>
      </c>
      <c r="C22" s="363" t="str">
        <f>IF(Language="English", 'Language Look Ups'!$P$20,IF(Language="Francais", 'Language Look Ups'!$T$20, 'Language Look Ups'!$R$20))</f>
        <v>Oraux combinés (COC)</v>
      </c>
      <c r="D22" s="407">
        <v>15</v>
      </c>
      <c r="E22" s="407">
        <v>4</v>
      </c>
    </row>
    <row r="23" spans="2:5" x14ac:dyDescent="0.25">
      <c r="B23" s="1482"/>
      <c r="C23" s="277" t="str">
        <f>IF(Language="English", 'Language Look Ups'!$P$21,IF(Language="Francais", 'Language Look Ups'!$T$21, 'Language Look Ups'!$R$21))</f>
        <v>Progestatifs seul (POP)</v>
      </c>
      <c r="D23" s="278">
        <v>12</v>
      </c>
      <c r="E23" s="278">
        <v>4</v>
      </c>
    </row>
    <row r="24" spans="2:5" x14ac:dyDescent="0.25">
      <c r="B24" s="1481"/>
      <c r="C24" s="275" t="str">
        <f>IF(Language="English", 'Language Look Ups'!$P$22,IF(Language="Francais", 'Language Look Ups'!$T$22, 'Language Look Ups'!$R$22))</f>
        <v>Autre pilule</v>
      </c>
      <c r="D24" s="276">
        <v>15</v>
      </c>
      <c r="E24" s="276">
        <v>4</v>
      </c>
    </row>
    <row r="25" spans="2:5" x14ac:dyDescent="0.25">
      <c r="B25" s="1480" t="str">
        <f>IF(Language="English", 'Language Look Ups'!$O$23,IF(Language="Francais", 'Language Look Ups'!$S$23, 'Language Look Ups'!V$23))</f>
        <v>Préservatifs</v>
      </c>
      <c r="C25" s="363" t="str">
        <f>IF(Language="English", 'Language Look Ups'!$P$23,IF(Language="Francais", 'Language Look Ups'!$T$23, 'Language Look Ups'!$R$23))</f>
        <v>Préservatifs masculin</v>
      </c>
      <c r="D25" s="407">
        <v>120</v>
      </c>
      <c r="E25" s="407">
        <v>12</v>
      </c>
    </row>
    <row r="26" spans="2:5" x14ac:dyDescent="0.25">
      <c r="B26" s="1481"/>
      <c r="C26" s="275" t="str">
        <f>IF(Language="English", 'Language Look Ups'!$P$24,IF(Language="Francais", 'Language Look Ups'!$T$24, 'Language Look Ups'!$R$24))</f>
        <v>Préservatifs feminin</v>
      </c>
      <c r="D26" s="276">
        <v>120</v>
      </c>
      <c r="E26" s="276">
        <v>12</v>
      </c>
    </row>
    <row r="27" spans="2:5" x14ac:dyDescent="0.25">
      <c r="B27" s="1480" t="str">
        <f>IF(Language="English", 'Language Look Ups'!$O$25,IF(Language="Francais", 'Language Look Ups'!$S$25, 'Language Look Ups'!V$25))</f>
        <v>Autres Méthodes Modernes</v>
      </c>
      <c r="C27" s="363" t="str">
        <f>IF(Language="English", 'Language Look Ups'!$P$25,IF(Language="Francais", 'Language Look Ups'!$T$25, 'Language Look Ups'!$R$25))</f>
        <v>MAMA</v>
      </c>
      <c r="D27" s="407">
        <v>4</v>
      </c>
      <c r="E27" s="407">
        <v>4</v>
      </c>
    </row>
    <row r="28" spans="2:5" x14ac:dyDescent="0.25">
      <c r="B28" s="1482"/>
      <c r="C28" s="277" t="str">
        <f>IF(Language="English", 'Language Look Ups'!$P$26,IF(Language="Francais", 'Language Look Ups'!$T$26, 'Language Look Ups'!$R$26))</f>
        <v>MJF (Jours fixes)</v>
      </c>
      <c r="D28" s="278">
        <v>1.5</v>
      </c>
      <c r="E28" s="278">
        <v>1</v>
      </c>
    </row>
    <row r="29" spans="2:5" x14ac:dyDescent="0.25">
      <c r="B29" s="1482"/>
      <c r="C29" s="277" t="str">
        <f>IF(Language="English", 'Language Look Ups'!$P$27,IF(Language="Francais", 'Language Look Ups'!$T$27, 'Language Look Ups'!$R$27))</f>
        <v>Barrière vaginale</v>
      </c>
      <c r="D29" s="278">
        <v>1</v>
      </c>
      <c r="E29" s="278">
        <v>1</v>
      </c>
    </row>
    <row r="30" spans="2:5" x14ac:dyDescent="0.25">
      <c r="B30" s="1481"/>
      <c r="C30" s="275" t="str">
        <f>IF(Language="English", 'Language Look Ups'!$P$28,IF(Language="Francais", 'Language Look Ups'!$T$28, 'Language Look Ups'!$R$28))</f>
        <v>Spermicides</v>
      </c>
      <c r="D30" s="276">
        <v>120</v>
      </c>
      <c r="E30" s="276">
        <v>12</v>
      </c>
    </row>
    <row r="31" spans="2:5" ht="30" x14ac:dyDescent="0.25">
      <c r="B31" s="378" t="str">
        <f>IF(Language="English", 'Language Look Ups'!$O$29,IF(Language="Francais", 'Language Look Ups'!$S$29, 'Language Look Ups'!V$29))</f>
        <v>Contraception d'urgence</v>
      </c>
      <c r="C31" s="397" t="str">
        <f>IF(Language="English", 'Language Look Ups'!$P$29,IF(Language="Francais", 'Language Look Ups'!$T$29, 'Language Look Ups'!$R$29))</f>
        <v>CU</v>
      </c>
      <c r="D31" s="417">
        <v>20</v>
      </c>
      <c r="E31" s="417">
        <v>12</v>
      </c>
    </row>
    <row r="32" spans="2:5" x14ac:dyDescent="0.25">
      <c r="D32" s="152">
        <f>SUM(D17:D31, D8:D14)</f>
        <v>498.40000000000003</v>
      </c>
      <c r="E32" s="152">
        <f>SUM(E17:E31, E8:E14)</f>
        <v>135.89999999999998</v>
      </c>
    </row>
    <row r="33" spans="1:15" x14ac:dyDescent="0.25">
      <c r="B33" s="150" t="s">
        <v>940</v>
      </c>
    </row>
    <row r="34" spans="1:15" ht="18.75" x14ac:dyDescent="0.3">
      <c r="A34" s="1712" t="s">
        <v>730</v>
      </c>
      <c r="B34" s="1712"/>
      <c r="C34" s="1712"/>
      <c r="D34" s="1712"/>
      <c r="E34" s="1712"/>
      <c r="F34" s="1712"/>
      <c r="G34" s="1712"/>
      <c r="H34" s="1712"/>
      <c r="I34" s="1712"/>
      <c r="J34" s="1712"/>
      <c r="K34" s="1712"/>
      <c r="L34" s="1712"/>
      <c r="M34" s="1712"/>
      <c r="N34" s="1712"/>
    </row>
    <row r="36" spans="1:15" x14ac:dyDescent="0.25">
      <c r="D36" s="1" t="s">
        <v>285</v>
      </c>
      <c r="E36" s="1" t="s">
        <v>286</v>
      </c>
      <c r="F36" s="1" t="s">
        <v>287</v>
      </c>
      <c r="G36" s="1" t="s">
        <v>288</v>
      </c>
      <c r="H36" s="1" t="s">
        <v>289</v>
      </c>
      <c r="I36" s="1" t="s">
        <v>290</v>
      </c>
      <c r="J36" s="1" t="s">
        <v>291</v>
      </c>
      <c r="K36" s="1" t="s">
        <v>292</v>
      </c>
      <c r="L36" s="1" t="s">
        <v>293</v>
      </c>
      <c r="M36" s="1" t="s">
        <v>294</v>
      </c>
      <c r="N36" s="1" t="s">
        <v>295</v>
      </c>
    </row>
    <row r="37" spans="1:15" x14ac:dyDescent="0.25">
      <c r="B37" s="1713" t="s">
        <v>5</v>
      </c>
      <c r="C37" s="388" t="s">
        <v>2032</v>
      </c>
      <c r="D37" s="346">
        <v>1</v>
      </c>
      <c r="E37" s="346">
        <v>0.83978886799999997</v>
      </c>
      <c r="F37" s="346">
        <v>0.70524534299999997</v>
      </c>
      <c r="G37" s="346">
        <v>0.59225718800000005</v>
      </c>
      <c r="H37" s="346">
        <v>0.49737099400000001</v>
      </c>
      <c r="I37" s="346">
        <v>0.41768662400000001</v>
      </c>
      <c r="J37" s="346">
        <v>0.35076857700000003</v>
      </c>
      <c r="K37" s="346">
        <v>0.29457154600000002</v>
      </c>
      <c r="L37" s="346">
        <v>0.24737790500000001</v>
      </c>
      <c r="M37" s="346">
        <v>0.20774521100000001</v>
      </c>
      <c r="N37" s="346">
        <v>0.16735418915404954</v>
      </c>
    </row>
    <row r="38" spans="1:15" x14ac:dyDescent="0.25">
      <c r="B38" s="1713"/>
      <c r="C38" s="388" t="s">
        <v>2031</v>
      </c>
      <c r="D38" s="346">
        <v>1</v>
      </c>
      <c r="E38" s="346">
        <v>0.89093513267927982</v>
      </c>
      <c r="F38" s="346">
        <v>0.79376541064224604</v>
      </c>
      <c r="G38" s="346">
        <v>0.70719349144677257</v>
      </c>
      <c r="H38" s="346">
        <v>0.63006352713205349</v>
      </c>
      <c r="I38" s="346">
        <v>0.56134573214177108</v>
      </c>
      <c r="J38" s="346">
        <v>0.5001226343446763</v>
      </c>
      <c r="K38" s="346">
        <v>0.44557682558578521</v>
      </c>
      <c r="L38" s="346">
        <v>0</v>
      </c>
      <c r="M38" s="346" t="s">
        <v>296</v>
      </c>
      <c r="N38" s="346" t="s">
        <v>296</v>
      </c>
    </row>
    <row r="39" spans="1:15" x14ac:dyDescent="0.25">
      <c r="B39" s="1714" t="s">
        <v>3</v>
      </c>
      <c r="C39" s="389" t="s">
        <v>297</v>
      </c>
      <c r="D39" s="347">
        <v>1</v>
      </c>
      <c r="E39" s="347">
        <v>0.89093513267927982</v>
      </c>
      <c r="F39" s="347">
        <v>0.79376541064224604</v>
      </c>
      <c r="G39" s="347">
        <v>0.70719349144677257</v>
      </c>
      <c r="H39" s="347">
        <v>0.63006352713205349</v>
      </c>
      <c r="I39" s="347">
        <v>0.56134573214177108</v>
      </c>
      <c r="J39" s="347">
        <v>0</v>
      </c>
      <c r="K39" s="347" t="s">
        <v>296</v>
      </c>
      <c r="L39" s="347" t="s">
        <v>296</v>
      </c>
      <c r="M39" s="347" t="s">
        <v>296</v>
      </c>
      <c r="N39" s="347" t="s">
        <v>296</v>
      </c>
    </row>
    <row r="40" spans="1:15" x14ac:dyDescent="0.25">
      <c r="B40" s="1714"/>
      <c r="C40" s="389" t="s">
        <v>298</v>
      </c>
      <c r="D40" s="347">
        <v>1</v>
      </c>
      <c r="E40" s="347">
        <v>0.89093513267927982</v>
      </c>
      <c r="F40" s="347">
        <v>0.79376541064224604</v>
      </c>
      <c r="G40" s="347">
        <v>0.70719349144677257</v>
      </c>
      <c r="H40" s="347">
        <v>0.63006352713205349</v>
      </c>
      <c r="I40" s="347">
        <v>0</v>
      </c>
      <c r="J40" s="347" t="s">
        <v>296</v>
      </c>
      <c r="K40" s="347" t="s">
        <v>296</v>
      </c>
      <c r="L40" s="347" t="s">
        <v>296</v>
      </c>
      <c r="M40" s="347" t="s">
        <v>296</v>
      </c>
      <c r="N40" s="347" t="s">
        <v>296</v>
      </c>
    </row>
    <row r="41" spans="1:15" x14ac:dyDescent="0.25">
      <c r="B41" s="1714"/>
      <c r="C41" s="389" t="s">
        <v>1060</v>
      </c>
      <c r="D41" s="347">
        <v>1</v>
      </c>
      <c r="E41" s="347">
        <v>0.89093513267927982</v>
      </c>
      <c r="F41" s="347">
        <v>0.79376541064224604</v>
      </c>
      <c r="G41" s="347">
        <v>0.70719349144677257</v>
      </c>
      <c r="H41" s="347">
        <v>0</v>
      </c>
      <c r="I41" s="347" t="s">
        <v>296</v>
      </c>
      <c r="J41" s="347" t="s">
        <v>296</v>
      </c>
      <c r="K41" s="347" t="s">
        <v>296</v>
      </c>
      <c r="L41" s="347" t="s">
        <v>296</v>
      </c>
      <c r="M41" s="347" t="s">
        <v>296</v>
      </c>
      <c r="N41" s="347" t="s">
        <v>296</v>
      </c>
    </row>
    <row r="42" spans="1:15" x14ac:dyDescent="0.25">
      <c r="B42" s="390"/>
      <c r="C42" s="390" t="s">
        <v>299</v>
      </c>
      <c r="D42" s="348">
        <v>1</v>
      </c>
      <c r="E42" s="348">
        <v>0.54273299092385041</v>
      </c>
      <c r="F42" s="348">
        <v>0.29455909943714825</v>
      </c>
      <c r="G42" s="348">
        <v>0.15986694104135935</v>
      </c>
      <c r="H42" s="348">
        <v>8.6765063061223793E-2</v>
      </c>
      <c r="I42" s="348">
        <v>4.7090262182914476E-2</v>
      </c>
      <c r="J42" s="348">
        <v>2.5557438837921467E-2</v>
      </c>
      <c r="K42" s="348">
        <v>1.3870865220858486E-2</v>
      </c>
      <c r="L42" s="348">
        <v>7.5281761680181429E-3</v>
      </c>
      <c r="M42" s="348">
        <v>4.0857895678701383E-3</v>
      </c>
      <c r="N42" s="348">
        <v>2.2174927924556252E-3</v>
      </c>
    </row>
    <row r="45" spans="1:15" ht="15.75" thickBot="1" x14ac:dyDescent="0.3"/>
    <row r="46" spans="1:15" s="119" customFormat="1" ht="30" x14ac:dyDescent="0.25">
      <c r="B46" s="352"/>
      <c r="C46" s="352"/>
      <c r="D46" s="353" t="s">
        <v>300</v>
      </c>
      <c r="E46" s="353" t="s">
        <v>301</v>
      </c>
      <c r="F46" s="353" t="s">
        <v>302</v>
      </c>
      <c r="G46" s="353" t="s">
        <v>303</v>
      </c>
      <c r="H46" s="353" t="s">
        <v>304</v>
      </c>
      <c r="I46" s="353" t="s">
        <v>305</v>
      </c>
      <c r="J46" s="353" t="s">
        <v>306</v>
      </c>
      <c r="K46" s="353" t="s">
        <v>307</v>
      </c>
      <c r="L46" s="353" t="s">
        <v>308</v>
      </c>
      <c r="M46" s="391" t="s">
        <v>309</v>
      </c>
      <c r="N46" s="394" t="s">
        <v>731</v>
      </c>
      <c r="O46" s="1715" t="s">
        <v>732</v>
      </c>
    </row>
    <row r="47" spans="1:15" x14ac:dyDescent="0.25">
      <c r="B47" s="1713" t="s">
        <v>5</v>
      </c>
      <c r="C47" s="388" t="str">
        <f>C37</f>
        <v>IUD - Copper</v>
      </c>
      <c r="D47" s="351">
        <f>IFERROR(AVERAGE(D37:E37)*$N47,0)</f>
        <v>0.91989443399999993</v>
      </c>
      <c r="E47" s="351">
        <f t="shared" ref="E47:M47" si="0">IFERROR(AVERAGE(E37:F37)*$N47,0)</f>
        <v>0.77251710549999997</v>
      </c>
      <c r="F47" s="351">
        <f t="shared" si="0"/>
        <v>0.64875126550000006</v>
      </c>
      <c r="G47" s="351">
        <f t="shared" si="0"/>
        <v>0.544814091</v>
      </c>
      <c r="H47" s="351">
        <f t="shared" si="0"/>
        <v>0.45752880900000004</v>
      </c>
      <c r="I47" s="351">
        <f t="shared" si="0"/>
        <v>0.38422760050000004</v>
      </c>
      <c r="J47" s="351">
        <f t="shared" si="0"/>
        <v>0.32267006149999999</v>
      </c>
      <c r="K47" s="351">
        <f t="shared" si="0"/>
        <v>0.27097472550000001</v>
      </c>
      <c r="L47" s="351">
        <f t="shared" si="0"/>
        <v>0.227561558</v>
      </c>
      <c r="M47" s="392">
        <f t="shared" si="0"/>
        <v>0.18754970007702476</v>
      </c>
      <c r="N47" s="395">
        <v>1</v>
      </c>
      <c r="O47" s="1716"/>
    </row>
    <row r="48" spans="1:15" x14ac:dyDescent="0.25">
      <c r="B48" s="1713"/>
      <c r="C48" s="388" t="str">
        <f>C38</f>
        <v>IUD - Hormonal</v>
      </c>
      <c r="D48" s="351">
        <f t="shared" ref="D48:M48" si="1">IFERROR(AVERAGE(D38:E38)*$N48,0)</f>
        <v>0.94546756633963991</v>
      </c>
      <c r="E48" s="351">
        <f t="shared" si="1"/>
        <v>0.84235027166076293</v>
      </c>
      <c r="F48" s="351">
        <f t="shared" si="1"/>
        <v>0.7504794510445093</v>
      </c>
      <c r="G48" s="351">
        <f t="shared" si="1"/>
        <v>0.66862850928941309</v>
      </c>
      <c r="H48" s="351">
        <f t="shared" si="1"/>
        <v>0.59570462963691229</v>
      </c>
      <c r="I48" s="351">
        <f t="shared" si="1"/>
        <v>0.53073418324322374</v>
      </c>
      <c r="J48" s="351">
        <f t="shared" si="1"/>
        <v>0.47284972996523078</v>
      </c>
      <c r="K48" s="351">
        <f t="shared" si="1"/>
        <v>0.2227884127928926</v>
      </c>
      <c r="L48" s="351">
        <f t="shared" si="1"/>
        <v>0</v>
      </c>
      <c r="M48" s="392">
        <f t="shared" si="1"/>
        <v>0</v>
      </c>
      <c r="N48" s="395">
        <v>1</v>
      </c>
      <c r="O48" s="1716"/>
    </row>
    <row r="49" spans="1:15" x14ac:dyDescent="0.25">
      <c r="B49" s="1714" t="s">
        <v>3</v>
      </c>
      <c r="C49" s="389" t="str">
        <f>C39</f>
        <v>Implant - 5 yr</v>
      </c>
      <c r="D49" s="349">
        <f t="shared" ref="D49:M49" si="2">IFERROR(AVERAGE(D39:E39)*$N49,0)</f>
        <v>0.94546756633963991</v>
      </c>
      <c r="E49" s="349">
        <f t="shared" si="2"/>
        <v>0.84235027166076293</v>
      </c>
      <c r="F49" s="349">
        <f t="shared" si="2"/>
        <v>0.7504794510445093</v>
      </c>
      <c r="G49" s="349">
        <f t="shared" si="2"/>
        <v>0.66862850928941309</v>
      </c>
      <c r="H49" s="349">
        <f t="shared" si="2"/>
        <v>0.59570462963691229</v>
      </c>
      <c r="I49" s="349">
        <f t="shared" si="2"/>
        <v>0.28067286607088554</v>
      </c>
      <c r="J49" s="349">
        <f t="shared" si="2"/>
        <v>0</v>
      </c>
      <c r="K49" s="349">
        <f t="shared" si="2"/>
        <v>0</v>
      </c>
      <c r="L49" s="349">
        <f t="shared" si="2"/>
        <v>0</v>
      </c>
      <c r="M49" s="393">
        <f t="shared" si="2"/>
        <v>0</v>
      </c>
      <c r="N49" s="395">
        <v>1</v>
      </c>
      <c r="O49" s="1716"/>
    </row>
    <row r="50" spans="1:15" x14ac:dyDescent="0.25">
      <c r="B50" s="1714"/>
      <c r="C50" s="389" t="str">
        <f>C40</f>
        <v>Implant - 4 yr</v>
      </c>
      <c r="D50" s="349">
        <f t="shared" ref="D50:M50" si="3">IFERROR(AVERAGE(D40:E40)*$N50,0)</f>
        <v>0.94546756633963991</v>
      </c>
      <c r="E50" s="349">
        <f t="shared" si="3"/>
        <v>0.84235027166076293</v>
      </c>
      <c r="F50" s="349">
        <f t="shared" si="3"/>
        <v>0.7504794510445093</v>
      </c>
      <c r="G50" s="349">
        <f t="shared" si="3"/>
        <v>0.66862850928941309</v>
      </c>
      <c r="H50" s="349">
        <f t="shared" si="3"/>
        <v>0.31503176356602675</v>
      </c>
      <c r="I50" s="349">
        <f t="shared" si="3"/>
        <v>0</v>
      </c>
      <c r="J50" s="349">
        <f t="shared" si="3"/>
        <v>0</v>
      </c>
      <c r="K50" s="349">
        <f t="shared" si="3"/>
        <v>0</v>
      </c>
      <c r="L50" s="349">
        <f t="shared" si="3"/>
        <v>0</v>
      </c>
      <c r="M50" s="393">
        <f t="shared" si="3"/>
        <v>0</v>
      </c>
      <c r="N50" s="395">
        <v>1</v>
      </c>
      <c r="O50" s="1716"/>
    </row>
    <row r="51" spans="1:15" ht="15.75" thickBot="1" x14ac:dyDescent="0.3">
      <c r="B51" s="1714"/>
      <c r="C51" s="389" t="str">
        <f>C41</f>
        <v>Implant - 3 yr</v>
      </c>
      <c r="D51" s="349">
        <f t="shared" ref="D51:M51" si="4">IFERROR(AVERAGE(D41:E41)*$N51,0)</f>
        <v>0.94546756633963991</v>
      </c>
      <c r="E51" s="349">
        <f t="shared" si="4"/>
        <v>0.84235027166076293</v>
      </c>
      <c r="F51" s="349">
        <f t="shared" si="4"/>
        <v>0.7504794510445093</v>
      </c>
      <c r="G51" s="349">
        <f t="shared" si="4"/>
        <v>0.35359674572338629</v>
      </c>
      <c r="H51" s="349">
        <f t="shared" si="4"/>
        <v>0</v>
      </c>
      <c r="I51" s="349">
        <f t="shared" si="4"/>
        <v>0</v>
      </c>
      <c r="J51" s="349">
        <f t="shared" si="4"/>
        <v>0</v>
      </c>
      <c r="K51" s="349">
        <f t="shared" si="4"/>
        <v>0</v>
      </c>
      <c r="L51" s="349">
        <f t="shared" si="4"/>
        <v>0</v>
      </c>
      <c r="M51" s="393">
        <f t="shared" si="4"/>
        <v>0</v>
      </c>
      <c r="N51" s="396">
        <v>1</v>
      </c>
      <c r="O51" s="1717"/>
    </row>
    <row r="54" spans="1:15" ht="18.75" x14ac:dyDescent="0.3">
      <c r="A54" s="1712" t="s">
        <v>1164</v>
      </c>
      <c r="B54" s="1712"/>
      <c r="C54" s="1712"/>
      <c r="D54" s="1712"/>
      <c r="E54" s="1712"/>
      <c r="F54" s="1712"/>
      <c r="G54" s="1712"/>
      <c r="H54" s="1712"/>
      <c r="I54" s="1712"/>
      <c r="J54" s="1712"/>
      <c r="K54" s="1712"/>
      <c r="L54" s="1712"/>
      <c r="M54" s="1712"/>
      <c r="N54" s="1712"/>
    </row>
    <row r="55" spans="1:15" x14ac:dyDescent="0.25">
      <c r="A55" s="15" t="s">
        <v>735</v>
      </c>
    </row>
    <row r="56" spans="1:15" x14ac:dyDescent="0.25">
      <c r="B56" s="439" t="s">
        <v>810</v>
      </c>
      <c r="C56" s="440">
        <f>'3. ServiceStats Set Up'!$C$4</f>
        <v>0</v>
      </c>
    </row>
    <row r="57" spans="1:15" x14ac:dyDescent="0.25">
      <c r="B57" s="439" t="s">
        <v>121</v>
      </c>
      <c r="C57" s="440" t="str">
        <f>IFERROR(VLOOKUP(C56, $B$69:$C$290, 2, FALSE), "Global Average ex Bangladesh, India, and Nepal")</f>
        <v>Global Average ex Bangladesh, India, and Nepal</v>
      </c>
    </row>
    <row r="58" spans="1:15" ht="8.25" customHeight="1" x14ac:dyDescent="0.25"/>
    <row r="59" spans="1:15" ht="17.25" customHeight="1" x14ac:dyDescent="0.25">
      <c r="B59" s="1722" t="s">
        <v>806</v>
      </c>
      <c r="C59" s="1722"/>
      <c r="D59" s="442" t="str">
        <f>IFERROR(VLOOKUP($C$56, $B$69:$D$290, 3, FALSE), "No DHS")</f>
        <v>No DHS</v>
      </c>
    </row>
    <row r="60" spans="1:15" ht="33" customHeight="1" x14ac:dyDescent="0.25">
      <c r="B60" s="1722" t="s">
        <v>811</v>
      </c>
      <c r="C60" s="1722"/>
      <c r="D60" s="441">
        <f>IFERROR(49-D59, E293)</f>
        <v>16.474242424242426</v>
      </c>
    </row>
    <row r="62" spans="1:15" ht="45.75" customHeight="1" x14ac:dyDescent="0.25">
      <c r="B62" s="1723" t="s">
        <v>812</v>
      </c>
      <c r="C62" s="1723"/>
      <c r="D62" s="335"/>
      <c r="E62" s="1724" t="s">
        <v>939</v>
      </c>
      <c r="F62" s="1725"/>
    </row>
    <row r="64" spans="1:15" ht="29.25" customHeight="1" x14ac:dyDescent="0.25">
      <c r="B64" s="1596" t="s">
        <v>813</v>
      </c>
      <c r="C64" s="1596"/>
      <c r="D64" s="443">
        <f>IF(D62="", D60, D62)</f>
        <v>16.474242424242426</v>
      </c>
    </row>
    <row r="68" spans="2:5" ht="48" x14ac:dyDescent="0.25">
      <c r="B68" s="360" t="s">
        <v>10</v>
      </c>
      <c r="C68" s="360" t="s">
        <v>587</v>
      </c>
      <c r="D68" s="360" t="s">
        <v>588</v>
      </c>
      <c r="E68" s="360" t="s">
        <v>625</v>
      </c>
    </row>
    <row r="69" spans="2:5" x14ac:dyDescent="0.25">
      <c r="B69" s="359" t="s">
        <v>11</v>
      </c>
      <c r="C69" s="354" t="s">
        <v>591</v>
      </c>
      <c r="D69" s="361">
        <v>33.799999999999997</v>
      </c>
      <c r="E69" s="362">
        <v>15.200000000000003</v>
      </c>
    </row>
    <row r="70" spans="2:5" x14ac:dyDescent="0.25">
      <c r="B70" s="359" t="s">
        <v>131</v>
      </c>
      <c r="C70" s="354" t="s">
        <v>592</v>
      </c>
      <c r="D70" s="361">
        <v>32.1</v>
      </c>
      <c r="E70" s="362">
        <v>16.899999999999999</v>
      </c>
    </row>
    <row r="71" spans="2:5" x14ac:dyDescent="0.25">
      <c r="B71" s="359" t="s">
        <v>132</v>
      </c>
      <c r="C71" s="354" t="e">
        <v>#N/A</v>
      </c>
      <c r="D71" s="361" t="e">
        <v>#N/A</v>
      </c>
      <c r="E71" s="362">
        <v>16.474242424242426</v>
      </c>
    </row>
    <row r="72" spans="2:5" x14ac:dyDescent="0.25">
      <c r="B72" s="359" t="s">
        <v>133</v>
      </c>
      <c r="C72" s="354" t="e">
        <v>#N/A</v>
      </c>
      <c r="D72" s="361" t="e">
        <v>#N/A</v>
      </c>
      <c r="E72" s="362">
        <v>16.474242424242426</v>
      </c>
    </row>
    <row r="73" spans="2:5" x14ac:dyDescent="0.25">
      <c r="B73" s="359" t="s">
        <v>134</v>
      </c>
      <c r="C73" s="354" t="s">
        <v>593</v>
      </c>
      <c r="D73" s="361" t="s">
        <v>375</v>
      </c>
      <c r="E73" s="362">
        <v>16.474242424242426</v>
      </c>
    </row>
    <row r="74" spans="2:5" x14ac:dyDescent="0.25">
      <c r="B74" s="359" t="s">
        <v>135</v>
      </c>
      <c r="C74" s="354" t="e">
        <v>#N/A</v>
      </c>
      <c r="D74" s="361" t="e">
        <v>#N/A</v>
      </c>
      <c r="E74" s="362">
        <v>16.474242424242426</v>
      </c>
    </row>
    <row r="75" spans="2:5" x14ac:dyDescent="0.25">
      <c r="B75" s="359" t="s">
        <v>136</v>
      </c>
      <c r="C75" s="354" t="e">
        <v>#N/A</v>
      </c>
      <c r="D75" s="361" t="e">
        <v>#N/A</v>
      </c>
      <c r="E75" s="362">
        <v>16.474242424242426</v>
      </c>
    </row>
    <row r="76" spans="2:5" x14ac:dyDescent="0.25">
      <c r="B76" s="359" t="s">
        <v>137</v>
      </c>
      <c r="C76" s="354" t="e">
        <v>#N/A</v>
      </c>
      <c r="D76" s="361" t="e">
        <v>#N/A</v>
      </c>
      <c r="E76" s="362">
        <v>16.474242424242426</v>
      </c>
    </row>
    <row r="77" spans="2:5" x14ac:dyDescent="0.25">
      <c r="B77" s="359" t="s">
        <v>138</v>
      </c>
      <c r="C77" s="354" t="s">
        <v>594</v>
      </c>
      <c r="D77" s="361" t="s">
        <v>375</v>
      </c>
      <c r="E77" s="362">
        <v>16.474242424242426</v>
      </c>
    </row>
    <row r="78" spans="2:5" x14ac:dyDescent="0.25">
      <c r="B78" s="359" t="s">
        <v>139</v>
      </c>
      <c r="C78" s="354" t="e">
        <v>#N/A</v>
      </c>
      <c r="D78" s="361" t="e">
        <v>#N/A</v>
      </c>
      <c r="E78" s="362">
        <v>16.474242424242426</v>
      </c>
    </row>
    <row r="79" spans="2:5" x14ac:dyDescent="0.25">
      <c r="B79" s="359" t="s">
        <v>140</v>
      </c>
      <c r="C79" s="354" t="e">
        <v>#N/A</v>
      </c>
      <c r="D79" s="361" t="e">
        <v>#N/A</v>
      </c>
      <c r="E79" s="362">
        <v>16.474242424242426</v>
      </c>
    </row>
    <row r="80" spans="2:5" x14ac:dyDescent="0.25">
      <c r="B80" s="359" t="s">
        <v>141</v>
      </c>
      <c r="C80" s="354" t="e">
        <v>#N/A</v>
      </c>
      <c r="D80" s="361" t="e">
        <v>#N/A</v>
      </c>
      <c r="E80" s="362">
        <v>16.474242424242426</v>
      </c>
    </row>
    <row r="81" spans="2:5" x14ac:dyDescent="0.25">
      <c r="B81" s="359" t="s">
        <v>142</v>
      </c>
      <c r="C81" s="354" t="s">
        <v>595</v>
      </c>
      <c r="D81" s="361" t="s">
        <v>375</v>
      </c>
      <c r="E81" s="362">
        <v>16.474242424242426</v>
      </c>
    </row>
    <row r="82" spans="2:5" x14ac:dyDescent="0.25">
      <c r="B82" s="359" t="s">
        <v>143</v>
      </c>
      <c r="C82" s="354" t="e">
        <v>#N/A</v>
      </c>
      <c r="D82" s="361" t="e">
        <v>#N/A</v>
      </c>
      <c r="E82" s="362">
        <v>16.474242424242426</v>
      </c>
    </row>
    <row r="83" spans="2:5" x14ac:dyDescent="0.25">
      <c r="B83" s="359" t="s">
        <v>144</v>
      </c>
      <c r="C83" s="354" t="e">
        <v>#N/A</v>
      </c>
      <c r="D83" s="361" t="e">
        <v>#N/A</v>
      </c>
      <c r="E83" s="362">
        <v>16.474242424242426</v>
      </c>
    </row>
    <row r="84" spans="2:5" x14ac:dyDescent="0.25">
      <c r="B84" s="359" t="s">
        <v>12</v>
      </c>
      <c r="C84" s="354" t="s">
        <v>596</v>
      </c>
      <c r="D84" s="361">
        <v>28.3</v>
      </c>
      <c r="E84" s="362">
        <v>20.7</v>
      </c>
    </row>
    <row r="85" spans="2:5" x14ac:dyDescent="0.25">
      <c r="B85" s="359" t="s">
        <v>145</v>
      </c>
      <c r="C85" s="354" t="e">
        <v>#N/A</v>
      </c>
      <c r="D85" s="361" t="e">
        <v>#N/A</v>
      </c>
      <c r="E85" s="362">
        <v>16.474242424242426</v>
      </c>
    </row>
    <row r="86" spans="2:5" x14ac:dyDescent="0.25">
      <c r="B86" s="359" t="s">
        <v>146</v>
      </c>
      <c r="C86" s="354" t="e">
        <v>#N/A</v>
      </c>
      <c r="D86" s="361" t="e">
        <v>#N/A</v>
      </c>
      <c r="E86" s="362">
        <v>16.474242424242426</v>
      </c>
    </row>
    <row r="87" spans="2:5" x14ac:dyDescent="0.25">
      <c r="B87" s="359" t="s">
        <v>147</v>
      </c>
      <c r="C87" s="354" t="e">
        <v>#N/A</v>
      </c>
      <c r="D87" s="361" t="e">
        <v>#N/A</v>
      </c>
      <c r="E87" s="362">
        <v>16.474242424242426</v>
      </c>
    </row>
    <row r="88" spans="2:5" x14ac:dyDescent="0.25">
      <c r="B88" s="359" t="s">
        <v>148</v>
      </c>
      <c r="C88" s="354" t="e">
        <v>#N/A</v>
      </c>
      <c r="D88" s="361" t="e">
        <v>#N/A</v>
      </c>
      <c r="E88" s="362">
        <v>16.474242424242426</v>
      </c>
    </row>
    <row r="89" spans="2:5" x14ac:dyDescent="0.25">
      <c r="B89" s="359" t="s">
        <v>13</v>
      </c>
      <c r="C89" s="354" t="s">
        <v>597</v>
      </c>
      <c r="D89" s="361" t="s">
        <v>375</v>
      </c>
      <c r="E89" s="362">
        <v>16.474242424242426</v>
      </c>
    </row>
    <row r="90" spans="2:5" x14ac:dyDescent="0.25">
      <c r="B90" s="359" t="s">
        <v>149</v>
      </c>
      <c r="C90" s="354" t="e">
        <v>#N/A</v>
      </c>
      <c r="D90" s="361" t="e">
        <v>#N/A</v>
      </c>
      <c r="E90" s="362">
        <v>16.474242424242426</v>
      </c>
    </row>
    <row r="91" spans="2:5" x14ac:dyDescent="0.25">
      <c r="B91" s="359" t="s">
        <v>14</v>
      </c>
      <c r="C91" s="354" t="e">
        <v>#N/A</v>
      </c>
      <c r="D91" s="361" t="e">
        <v>#N/A</v>
      </c>
      <c r="E91" s="362">
        <v>16.474242424242426</v>
      </c>
    </row>
    <row r="92" spans="2:5" x14ac:dyDescent="0.25">
      <c r="B92" s="359" t="s">
        <v>15</v>
      </c>
      <c r="C92" s="354" t="s">
        <v>598</v>
      </c>
      <c r="D92" s="361">
        <v>32.299999999999997</v>
      </c>
      <c r="E92" s="362">
        <v>16.700000000000003</v>
      </c>
    </row>
    <row r="93" spans="2:5" ht="24.75" x14ac:dyDescent="0.25">
      <c r="B93" s="359" t="s">
        <v>150</v>
      </c>
      <c r="C93" s="354" t="e">
        <v>#N/A</v>
      </c>
      <c r="D93" s="361" t="e">
        <v>#N/A</v>
      </c>
      <c r="E93" s="362">
        <v>16.474242424242426</v>
      </c>
    </row>
    <row r="94" spans="2:5" x14ac:dyDescent="0.25">
      <c r="B94" s="359" t="s">
        <v>151</v>
      </c>
      <c r="C94" s="354" t="s">
        <v>599</v>
      </c>
      <c r="D94" s="361">
        <v>34.1</v>
      </c>
      <c r="E94" s="362">
        <v>14.899999999999999</v>
      </c>
    </row>
    <row r="95" spans="2:5" x14ac:dyDescent="0.25">
      <c r="B95" s="359" t="s">
        <v>152</v>
      </c>
      <c r="C95" s="354" t="s">
        <v>600</v>
      </c>
      <c r="D95" s="361">
        <v>28.9</v>
      </c>
      <c r="E95" s="362">
        <v>20.100000000000001</v>
      </c>
    </row>
    <row r="96" spans="2:5" x14ac:dyDescent="0.25">
      <c r="B96" s="359" t="s">
        <v>153</v>
      </c>
      <c r="C96" s="354" t="e">
        <v>#N/A</v>
      </c>
      <c r="D96" s="361" t="e">
        <v>#N/A</v>
      </c>
      <c r="E96" s="362">
        <v>16.474242424242426</v>
      </c>
    </row>
    <row r="97" spans="2:5" x14ac:dyDescent="0.25">
      <c r="B97" s="359" t="s">
        <v>154</v>
      </c>
      <c r="C97" s="354" t="e">
        <v>#N/A</v>
      </c>
      <c r="D97" s="361" t="e">
        <v>#N/A</v>
      </c>
      <c r="E97" s="362">
        <v>16.474242424242426</v>
      </c>
    </row>
    <row r="98" spans="2:5" x14ac:dyDescent="0.25">
      <c r="B98" s="359" t="s">
        <v>155</v>
      </c>
      <c r="C98" s="354" t="e">
        <v>#N/A</v>
      </c>
      <c r="D98" s="361" t="e">
        <v>#N/A</v>
      </c>
      <c r="E98" s="362">
        <v>16.474242424242426</v>
      </c>
    </row>
    <row r="99" spans="2:5" x14ac:dyDescent="0.25">
      <c r="B99" s="359" t="s">
        <v>16</v>
      </c>
      <c r="C99" s="354" t="s">
        <v>594</v>
      </c>
      <c r="D99" s="361">
        <v>35.5</v>
      </c>
      <c r="E99" s="362">
        <v>13.5</v>
      </c>
    </row>
    <row r="100" spans="2:5" x14ac:dyDescent="0.25">
      <c r="B100" s="359" t="s">
        <v>17</v>
      </c>
      <c r="C100" s="354" t="s">
        <v>594</v>
      </c>
      <c r="D100" s="361">
        <v>36.1</v>
      </c>
      <c r="E100" s="362">
        <v>12.899999999999999</v>
      </c>
    </row>
    <row r="101" spans="2:5" x14ac:dyDescent="0.25">
      <c r="B101" s="359" t="s">
        <v>156</v>
      </c>
      <c r="C101" s="354" t="e">
        <v>#N/A</v>
      </c>
      <c r="D101" s="361" t="e">
        <v>#N/A</v>
      </c>
      <c r="E101" s="362">
        <v>16.474242424242426</v>
      </c>
    </row>
    <row r="102" spans="2:5" x14ac:dyDescent="0.25">
      <c r="B102" s="359" t="s">
        <v>18</v>
      </c>
      <c r="C102" s="354" t="s">
        <v>596</v>
      </c>
      <c r="D102" s="361">
        <v>31.9</v>
      </c>
      <c r="E102" s="362">
        <v>17.100000000000001</v>
      </c>
    </row>
    <row r="103" spans="2:5" x14ac:dyDescent="0.25">
      <c r="B103" s="359" t="s">
        <v>19</v>
      </c>
      <c r="C103" s="354" t="s">
        <v>601</v>
      </c>
      <c r="D103" s="361">
        <v>33</v>
      </c>
      <c r="E103" s="362">
        <v>16</v>
      </c>
    </row>
    <row r="104" spans="2:5" x14ac:dyDescent="0.25">
      <c r="B104" s="359" t="s">
        <v>157</v>
      </c>
      <c r="C104" s="354" t="e">
        <v>#N/A</v>
      </c>
      <c r="D104" s="361" t="e">
        <v>#N/A</v>
      </c>
      <c r="E104" s="362">
        <v>16.474242424242426</v>
      </c>
    </row>
    <row r="105" spans="2:5" x14ac:dyDescent="0.25">
      <c r="B105" s="359" t="s">
        <v>2012</v>
      </c>
      <c r="C105" s="354" t="s">
        <v>602</v>
      </c>
      <c r="D105" s="361">
        <v>34.1</v>
      </c>
      <c r="E105" s="362">
        <v>14.899999999999999</v>
      </c>
    </row>
    <row r="106" spans="2:5" x14ac:dyDescent="0.25">
      <c r="B106" s="359" t="s">
        <v>158</v>
      </c>
      <c r="C106" s="354" t="e">
        <v>#N/A</v>
      </c>
      <c r="D106" s="361" t="e">
        <v>#N/A</v>
      </c>
      <c r="E106" s="362">
        <v>16.474242424242426</v>
      </c>
    </row>
    <row r="107" spans="2:5" x14ac:dyDescent="0.25">
      <c r="B107" s="359" t="s">
        <v>20</v>
      </c>
      <c r="C107" s="354" t="s">
        <v>603</v>
      </c>
      <c r="D107" s="361" t="s">
        <v>375</v>
      </c>
      <c r="E107" s="362">
        <v>16.474242424242426</v>
      </c>
    </row>
    <row r="108" spans="2:5" x14ac:dyDescent="0.25">
      <c r="B108" s="359" t="s">
        <v>159</v>
      </c>
      <c r="C108" s="354" t="e">
        <v>#N/A</v>
      </c>
      <c r="D108" s="361" t="e">
        <v>#N/A</v>
      </c>
      <c r="E108" s="362">
        <v>16.474242424242426</v>
      </c>
    </row>
    <row r="109" spans="2:5" x14ac:dyDescent="0.25">
      <c r="B109" s="359" t="s">
        <v>160</v>
      </c>
      <c r="C109" s="354" t="e">
        <v>#N/A</v>
      </c>
      <c r="D109" s="361" t="e">
        <v>#N/A</v>
      </c>
      <c r="E109" s="362">
        <v>16.474242424242426</v>
      </c>
    </row>
    <row r="110" spans="2:5" ht="24.75" x14ac:dyDescent="0.25">
      <c r="B110" s="359" t="s">
        <v>161</v>
      </c>
      <c r="C110" s="354" t="e">
        <v>#N/A</v>
      </c>
      <c r="D110" s="361" t="e">
        <v>#N/A</v>
      </c>
      <c r="E110" s="362">
        <v>16.474242424242426</v>
      </c>
    </row>
    <row r="111" spans="2:5" x14ac:dyDescent="0.25">
      <c r="B111" s="359" t="s">
        <v>162</v>
      </c>
      <c r="C111" s="354" t="e">
        <v>#N/A</v>
      </c>
      <c r="D111" s="361" t="e">
        <v>#N/A</v>
      </c>
      <c r="E111" s="362">
        <v>16.474242424242426</v>
      </c>
    </row>
    <row r="112" spans="2:5" x14ac:dyDescent="0.25">
      <c r="B112" s="359" t="s">
        <v>163</v>
      </c>
      <c r="C112" s="354" t="s">
        <v>591</v>
      </c>
      <c r="D112" s="361">
        <v>29.2</v>
      </c>
      <c r="E112" s="362">
        <v>19.8</v>
      </c>
    </row>
    <row r="113" spans="2:5" x14ac:dyDescent="0.25">
      <c r="B113" s="359" t="s">
        <v>21</v>
      </c>
      <c r="C113" s="354" t="s">
        <v>604</v>
      </c>
      <c r="D113" s="361">
        <v>34.200000000000003</v>
      </c>
      <c r="E113" s="362">
        <v>14.799999999999997</v>
      </c>
    </row>
    <row r="114" spans="2:5" x14ac:dyDescent="0.25">
      <c r="B114" s="359" t="s">
        <v>22</v>
      </c>
      <c r="C114" s="354" t="s">
        <v>597</v>
      </c>
      <c r="D114" s="361" t="s">
        <v>375</v>
      </c>
      <c r="E114" s="362">
        <v>16.474242424242426</v>
      </c>
    </row>
    <row r="115" spans="2:5" x14ac:dyDescent="0.25">
      <c r="B115" s="359" t="s">
        <v>164</v>
      </c>
      <c r="C115" s="354" t="e">
        <v>#N/A</v>
      </c>
      <c r="D115" s="361" t="e">
        <v>#N/A</v>
      </c>
      <c r="E115" s="362">
        <v>16.474242424242426</v>
      </c>
    </row>
    <row r="116" spans="2:5" x14ac:dyDescent="0.25">
      <c r="B116" s="359" t="s">
        <v>165</v>
      </c>
      <c r="C116" s="354" t="e">
        <v>#N/A</v>
      </c>
      <c r="D116" s="361" t="e">
        <v>#N/A</v>
      </c>
      <c r="E116" s="362">
        <v>16.474242424242426</v>
      </c>
    </row>
    <row r="117" spans="2:5" x14ac:dyDescent="0.25">
      <c r="B117" s="359" t="s">
        <v>2014</v>
      </c>
      <c r="C117" s="354" t="s">
        <v>597</v>
      </c>
      <c r="D117" s="361" t="s">
        <v>375</v>
      </c>
      <c r="E117" s="362">
        <v>16.474242424242426</v>
      </c>
    </row>
    <row r="118" spans="2:5" x14ac:dyDescent="0.25">
      <c r="B118" s="359" t="s">
        <v>166</v>
      </c>
      <c r="C118" s="354" t="e">
        <v>#N/A</v>
      </c>
      <c r="D118" s="361" t="e">
        <v>#N/A</v>
      </c>
      <c r="E118" s="362">
        <v>16.474242424242426</v>
      </c>
    </row>
    <row r="119" spans="2:5" x14ac:dyDescent="0.25">
      <c r="B119" s="359" t="s">
        <v>167</v>
      </c>
      <c r="C119" s="354" t="e">
        <v>#N/A</v>
      </c>
      <c r="D119" s="361" t="e">
        <v>#N/A</v>
      </c>
      <c r="E119" s="362">
        <v>16.474242424242426</v>
      </c>
    </row>
    <row r="120" spans="2:5" x14ac:dyDescent="0.25">
      <c r="B120" s="359" t="s">
        <v>168</v>
      </c>
      <c r="C120" s="354" t="e">
        <v>#N/A</v>
      </c>
      <c r="D120" s="361" t="e">
        <v>#N/A</v>
      </c>
      <c r="E120" s="362">
        <v>16.474242424242426</v>
      </c>
    </row>
    <row r="121" spans="2:5" x14ac:dyDescent="0.25">
      <c r="B121" s="359" t="s">
        <v>169</v>
      </c>
      <c r="C121" s="354" t="e">
        <v>#N/A</v>
      </c>
      <c r="D121" s="361" t="e">
        <v>#N/A</v>
      </c>
      <c r="E121" s="362">
        <v>16.474242424242426</v>
      </c>
    </row>
    <row r="122" spans="2:5" x14ac:dyDescent="0.25">
      <c r="B122" s="359" t="s">
        <v>170</v>
      </c>
      <c r="C122" s="354" t="e">
        <v>#N/A</v>
      </c>
      <c r="D122" s="361" t="e">
        <v>#N/A</v>
      </c>
      <c r="E122" s="362">
        <v>16.474242424242426</v>
      </c>
    </row>
    <row r="123" spans="2:5" x14ac:dyDescent="0.25">
      <c r="B123" s="359" t="s">
        <v>24</v>
      </c>
      <c r="C123" s="354" t="e">
        <v>#N/A</v>
      </c>
      <c r="D123" s="361" t="e">
        <v>#N/A</v>
      </c>
      <c r="E123" s="362">
        <v>16.474242424242426</v>
      </c>
    </row>
    <row r="124" spans="2:5" x14ac:dyDescent="0.25">
      <c r="B124" s="359" t="s">
        <v>171</v>
      </c>
      <c r="C124" s="354" t="e">
        <v>#N/A</v>
      </c>
      <c r="D124" s="361" t="e">
        <v>#N/A</v>
      </c>
      <c r="E124" s="362">
        <v>16.474242424242426</v>
      </c>
    </row>
    <row r="125" spans="2:5" x14ac:dyDescent="0.25">
      <c r="B125" s="359" t="s">
        <v>172</v>
      </c>
      <c r="C125" s="354" t="s">
        <v>605</v>
      </c>
      <c r="D125" s="361">
        <v>28.5</v>
      </c>
      <c r="E125" s="362">
        <v>20.5</v>
      </c>
    </row>
    <row r="126" spans="2:5" x14ac:dyDescent="0.25">
      <c r="B126" s="359" t="s">
        <v>25</v>
      </c>
      <c r="C126" s="354" t="e">
        <v>#N/A</v>
      </c>
      <c r="D126" s="361" t="e">
        <v>#N/A</v>
      </c>
      <c r="E126" s="362">
        <v>16.474242424242426</v>
      </c>
    </row>
    <row r="127" spans="2:5" x14ac:dyDescent="0.25">
      <c r="B127" s="359" t="s">
        <v>26</v>
      </c>
      <c r="C127" s="354" t="s">
        <v>606</v>
      </c>
      <c r="D127" s="361">
        <v>31.1</v>
      </c>
      <c r="E127" s="362">
        <v>17.899999999999999</v>
      </c>
    </row>
    <row r="128" spans="2:5" x14ac:dyDescent="0.25">
      <c r="B128" s="359" t="s">
        <v>173</v>
      </c>
      <c r="C128" s="354" t="s">
        <v>607</v>
      </c>
      <c r="D128" s="361">
        <v>31</v>
      </c>
      <c r="E128" s="362">
        <v>18</v>
      </c>
    </row>
    <row r="129" spans="2:5" x14ac:dyDescent="0.25">
      <c r="B129" s="359" t="s">
        <v>27</v>
      </c>
      <c r="C129" s="354" t="s">
        <v>596</v>
      </c>
      <c r="D129" s="361">
        <v>33.4</v>
      </c>
      <c r="E129" s="362">
        <v>15.600000000000001</v>
      </c>
    </row>
    <row r="130" spans="2:5" x14ac:dyDescent="0.25">
      <c r="B130" s="359" t="s">
        <v>174</v>
      </c>
      <c r="C130" s="354" t="s">
        <v>608</v>
      </c>
      <c r="D130" s="361">
        <v>27.9</v>
      </c>
      <c r="E130" s="362">
        <v>21.1</v>
      </c>
    </row>
    <row r="131" spans="2:5" x14ac:dyDescent="0.25">
      <c r="B131" s="359" t="s">
        <v>175</v>
      </c>
      <c r="C131" s="354" t="e">
        <v>#N/A</v>
      </c>
      <c r="D131" s="361" t="e">
        <v>#N/A</v>
      </c>
      <c r="E131" s="362">
        <v>16.474242424242426</v>
      </c>
    </row>
    <row r="132" spans="2:5" x14ac:dyDescent="0.25">
      <c r="B132" s="359" t="s">
        <v>28</v>
      </c>
      <c r="C132" s="354" t="s">
        <v>609</v>
      </c>
      <c r="D132" s="361" t="s">
        <v>375</v>
      </c>
      <c r="E132" s="362">
        <v>16.474242424242426</v>
      </c>
    </row>
    <row r="133" spans="2:5" x14ac:dyDescent="0.25">
      <c r="B133" s="359" t="s">
        <v>176</v>
      </c>
      <c r="C133" s="354" t="e">
        <v>#N/A</v>
      </c>
      <c r="D133" s="361" t="e">
        <v>#N/A</v>
      </c>
      <c r="E133" s="362">
        <v>16.474242424242426</v>
      </c>
    </row>
    <row r="134" spans="2:5" x14ac:dyDescent="0.25">
      <c r="B134" s="359" t="s">
        <v>29</v>
      </c>
      <c r="C134" s="354" t="s">
        <v>610</v>
      </c>
      <c r="D134" s="361">
        <v>33</v>
      </c>
      <c r="E134" s="362">
        <v>16</v>
      </c>
    </row>
    <row r="135" spans="2:5" x14ac:dyDescent="0.25">
      <c r="B135" s="359" t="s">
        <v>177</v>
      </c>
      <c r="C135" s="354" t="e">
        <v>#N/A</v>
      </c>
      <c r="D135" s="361" t="e">
        <v>#N/A</v>
      </c>
      <c r="E135" s="362">
        <v>16.474242424242426</v>
      </c>
    </row>
    <row r="136" spans="2:5" ht="24.75" x14ac:dyDescent="0.25">
      <c r="B136" s="359" t="s">
        <v>178</v>
      </c>
      <c r="C136" s="354" t="e">
        <v>#N/A</v>
      </c>
      <c r="D136" s="361" t="e">
        <v>#N/A</v>
      </c>
      <c r="E136" s="362">
        <v>16.474242424242426</v>
      </c>
    </row>
    <row r="137" spans="2:5" x14ac:dyDescent="0.25">
      <c r="B137" s="359" t="s">
        <v>179</v>
      </c>
      <c r="C137" s="354" t="e">
        <v>#N/A</v>
      </c>
      <c r="D137" s="361" t="e">
        <v>#N/A</v>
      </c>
      <c r="E137" s="362">
        <v>16.474242424242426</v>
      </c>
    </row>
    <row r="138" spans="2:5" x14ac:dyDescent="0.25">
      <c r="B138" s="359" t="s">
        <v>180</v>
      </c>
      <c r="C138" s="354" t="e">
        <v>#N/A</v>
      </c>
      <c r="D138" s="361" t="e">
        <v>#N/A</v>
      </c>
      <c r="E138" s="362">
        <v>16.474242424242426</v>
      </c>
    </row>
    <row r="139" spans="2:5" x14ac:dyDescent="0.25">
      <c r="B139" s="359" t="s">
        <v>181</v>
      </c>
      <c r="C139" s="354" t="e">
        <v>#N/A</v>
      </c>
      <c r="D139" s="361" t="e">
        <v>#N/A</v>
      </c>
      <c r="E139" s="362">
        <v>16.474242424242426</v>
      </c>
    </row>
    <row r="140" spans="2:5" x14ac:dyDescent="0.25">
      <c r="B140" s="359" t="s">
        <v>182</v>
      </c>
      <c r="C140" s="354" t="e">
        <v>#N/A</v>
      </c>
      <c r="D140" s="361" t="e">
        <v>#N/A</v>
      </c>
      <c r="E140" s="362">
        <v>16.474242424242426</v>
      </c>
    </row>
    <row r="141" spans="2:5" x14ac:dyDescent="0.25">
      <c r="B141" s="359" t="s">
        <v>183</v>
      </c>
      <c r="C141" s="354" t="e">
        <v>#N/A</v>
      </c>
      <c r="D141" s="361" t="e">
        <v>#N/A</v>
      </c>
      <c r="E141" s="362">
        <v>16.474242424242426</v>
      </c>
    </row>
    <row r="142" spans="2:5" x14ac:dyDescent="0.25">
      <c r="B142" s="359" t="s">
        <v>184</v>
      </c>
      <c r="C142" s="354" t="s">
        <v>604</v>
      </c>
      <c r="D142" s="361">
        <v>36.700000000000003</v>
      </c>
      <c r="E142" s="362">
        <v>12.299999999999997</v>
      </c>
    </row>
    <row r="143" spans="2:5" x14ac:dyDescent="0.25">
      <c r="B143" s="359" t="s">
        <v>30</v>
      </c>
      <c r="C143" s="354" t="s">
        <v>605</v>
      </c>
      <c r="D143" s="361">
        <v>30</v>
      </c>
      <c r="E143" s="362">
        <v>19</v>
      </c>
    </row>
    <row r="144" spans="2:5" x14ac:dyDescent="0.25">
      <c r="B144" s="359" t="s">
        <v>185</v>
      </c>
      <c r="C144" s="354" t="e">
        <v>#N/A</v>
      </c>
      <c r="D144" s="361" t="e">
        <v>#N/A</v>
      </c>
      <c r="E144" s="362">
        <v>16.474242424242426</v>
      </c>
    </row>
    <row r="145" spans="2:5" x14ac:dyDescent="0.25">
      <c r="B145" s="359" t="s">
        <v>186</v>
      </c>
      <c r="C145" s="354" t="e">
        <v>#N/A</v>
      </c>
      <c r="D145" s="361" t="e">
        <v>#N/A</v>
      </c>
      <c r="E145" s="362">
        <v>16.474242424242426</v>
      </c>
    </row>
    <row r="146" spans="2:5" x14ac:dyDescent="0.25">
      <c r="B146" s="359" t="s">
        <v>31</v>
      </c>
      <c r="C146" s="354" t="s">
        <v>596</v>
      </c>
      <c r="D146" s="361">
        <v>35.700000000000003</v>
      </c>
      <c r="E146" s="362">
        <v>13.299999999999997</v>
      </c>
    </row>
    <row r="147" spans="2:5" x14ac:dyDescent="0.25">
      <c r="B147" s="359" t="s">
        <v>187</v>
      </c>
      <c r="C147" s="354" t="e">
        <v>#N/A</v>
      </c>
      <c r="D147" s="361" t="e">
        <v>#N/A</v>
      </c>
      <c r="E147" s="362">
        <v>16.474242424242426</v>
      </c>
    </row>
    <row r="148" spans="2:5" x14ac:dyDescent="0.25">
      <c r="B148" s="359" t="s">
        <v>188</v>
      </c>
      <c r="C148" s="354" t="e">
        <v>#N/A</v>
      </c>
      <c r="D148" s="361" t="e">
        <v>#N/A</v>
      </c>
      <c r="E148" s="362">
        <v>16.474242424242426</v>
      </c>
    </row>
    <row r="149" spans="2:5" x14ac:dyDescent="0.25">
      <c r="B149" s="359" t="s">
        <v>189</v>
      </c>
      <c r="C149" s="354" t="e">
        <v>#N/A</v>
      </c>
      <c r="D149" s="361" t="e">
        <v>#N/A</v>
      </c>
      <c r="E149" s="362">
        <v>16.474242424242426</v>
      </c>
    </row>
    <row r="150" spans="2:5" x14ac:dyDescent="0.25">
      <c r="B150" s="359" t="s">
        <v>190</v>
      </c>
      <c r="C150" s="354" t="e">
        <v>#N/A</v>
      </c>
      <c r="D150" s="361" t="e">
        <v>#N/A</v>
      </c>
      <c r="E150" s="362">
        <v>16.474242424242426</v>
      </c>
    </row>
    <row r="151" spans="2:5" x14ac:dyDescent="0.25">
      <c r="B151" s="359" t="s">
        <v>191</v>
      </c>
      <c r="C151" s="354" t="e">
        <v>#N/A</v>
      </c>
      <c r="D151" s="361" t="e">
        <v>#N/A</v>
      </c>
      <c r="E151" s="362">
        <v>16.474242424242426</v>
      </c>
    </row>
    <row r="152" spans="2:5" x14ac:dyDescent="0.25">
      <c r="B152" s="359" t="s">
        <v>192</v>
      </c>
      <c r="C152" s="354" t="e">
        <v>#N/A</v>
      </c>
      <c r="D152" s="361" t="e">
        <v>#N/A</v>
      </c>
      <c r="E152" s="362">
        <v>16.474242424242426</v>
      </c>
    </row>
    <row r="153" spans="2:5" x14ac:dyDescent="0.25">
      <c r="B153" s="359" t="s">
        <v>193</v>
      </c>
      <c r="C153" s="354" t="s">
        <v>603</v>
      </c>
      <c r="D153" s="361">
        <v>29.5</v>
      </c>
      <c r="E153" s="362">
        <v>19.5</v>
      </c>
    </row>
    <row r="154" spans="2:5" x14ac:dyDescent="0.25">
      <c r="B154" s="359" t="s">
        <v>32</v>
      </c>
      <c r="C154" s="354" t="s">
        <v>604</v>
      </c>
      <c r="D154" s="361" t="s">
        <v>375</v>
      </c>
      <c r="E154" s="362">
        <v>16.474242424242426</v>
      </c>
    </row>
    <row r="155" spans="2:5" x14ac:dyDescent="0.25">
      <c r="B155" s="359" t="s">
        <v>33</v>
      </c>
      <c r="C155" s="354" t="e">
        <v>#N/A</v>
      </c>
      <c r="D155" s="361" t="e">
        <v>#N/A</v>
      </c>
      <c r="E155" s="362">
        <v>16.474242424242426</v>
      </c>
    </row>
    <row r="156" spans="2:5" x14ac:dyDescent="0.25">
      <c r="B156" s="359" t="s">
        <v>194</v>
      </c>
      <c r="C156" s="354" t="s">
        <v>611</v>
      </c>
      <c r="D156" s="361">
        <v>32</v>
      </c>
      <c r="E156" s="362">
        <v>17</v>
      </c>
    </row>
    <row r="157" spans="2:5" x14ac:dyDescent="0.25">
      <c r="B157" s="359" t="s">
        <v>34</v>
      </c>
      <c r="C157" s="354" t="s">
        <v>604</v>
      </c>
      <c r="D157" s="361">
        <v>33.799999999999997</v>
      </c>
      <c r="E157" s="362">
        <v>15.200000000000003</v>
      </c>
    </row>
    <row r="158" spans="2:5" x14ac:dyDescent="0.25">
      <c r="B158" s="359" t="s">
        <v>35</v>
      </c>
      <c r="C158" s="354" t="s">
        <v>597</v>
      </c>
      <c r="D158" s="361">
        <v>29.6</v>
      </c>
      <c r="E158" s="362">
        <v>19.399999999999999</v>
      </c>
    </row>
    <row r="159" spans="2:5" x14ac:dyDescent="0.25">
      <c r="B159" s="359" t="s">
        <v>195</v>
      </c>
      <c r="C159" s="354" t="e">
        <v>#N/A</v>
      </c>
      <c r="D159" s="361" t="e">
        <v>#N/A</v>
      </c>
      <c r="E159" s="362">
        <v>16.474242424242426</v>
      </c>
    </row>
    <row r="160" spans="2:5" x14ac:dyDescent="0.25">
      <c r="B160" s="359" t="s">
        <v>196</v>
      </c>
      <c r="C160" s="354" t="e">
        <v>#N/A</v>
      </c>
      <c r="D160" s="361" t="e">
        <v>#N/A</v>
      </c>
      <c r="E160" s="362">
        <v>16.474242424242426</v>
      </c>
    </row>
    <row r="161" spans="2:5" x14ac:dyDescent="0.25">
      <c r="B161" s="359" t="s">
        <v>36</v>
      </c>
      <c r="C161" s="354" t="s">
        <v>612</v>
      </c>
      <c r="D161" s="361">
        <v>25.5</v>
      </c>
      <c r="E161" s="362">
        <v>23.5</v>
      </c>
    </row>
    <row r="162" spans="2:5" x14ac:dyDescent="0.25">
      <c r="B162" s="359" t="s">
        <v>37</v>
      </c>
      <c r="C162" s="354" t="s">
        <v>604</v>
      </c>
      <c r="D162" s="361">
        <v>33.799999999999997</v>
      </c>
      <c r="E162" s="362">
        <v>15.200000000000003</v>
      </c>
    </row>
    <row r="163" spans="2:5" ht="24.75" x14ac:dyDescent="0.25">
      <c r="B163" s="359" t="s">
        <v>197</v>
      </c>
      <c r="C163" s="354" t="e">
        <v>#N/A</v>
      </c>
      <c r="D163" s="361" t="e">
        <v>#N/A</v>
      </c>
      <c r="E163" s="362">
        <v>16.474242424242426</v>
      </c>
    </row>
    <row r="164" spans="2:5" x14ac:dyDescent="0.25">
      <c r="B164" s="359" t="s">
        <v>38</v>
      </c>
      <c r="C164" s="354" t="e">
        <v>#N/A</v>
      </c>
      <c r="D164" s="361" t="e">
        <v>#N/A</v>
      </c>
      <c r="E164" s="362">
        <v>16.474242424242426</v>
      </c>
    </row>
    <row r="165" spans="2:5" x14ac:dyDescent="0.25">
      <c r="B165" s="359" t="s">
        <v>198</v>
      </c>
      <c r="C165" s="354" t="e">
        <v>#N/A</v>
      </c>
      <c r="D165" s="361" t="e">
        <v>#N/A</v>
      </c>
      <c r="E165" s="362">
        <v>16.474242424242426</v>
      </c>
    </row>
    <row r="166" spans="2:5" x14ac:dyDescent="0.25">
      <c r="B166" s="359" t="s">
        <v>199</v>
      </c>
      <c r="C166" s="354" t="e">
        <v>#N/A</v>
      </c>
      <c r="D166" s="361" t="e">
        <v>#N/A</v>
      </c>
      <c r="E166" s="362">
        <v>16.474242424242426</v>
      </c>
    </row>
    <row r="167" spans="2:5" x14ac:dyDescent="0.25">
      <c r="B167" s="359" t="s">
        <v>200</v>
      </c>
      <c r="C167" s="354" t="e">
        <v>#N/A</v>
      </c>
      <c r="D167" s="361" t="e">
        <v>#N/A</v>
      </c>
      <c r="E167" s="362">
        <v>16.474242424242426</v>
      </c>
    </row>
    <row r="168" spans="2:5" x14ac:dyDescent="0.25">
      <c r="B168" s="359" t="s">
        <v>201</v>
      </c>
      <c r="C168" s="354" t="e">
        <v>#N/A</v>
      </c>
      <c r="D168" s="361" t="e">
        <v>#N/A</v>
      </c>
      <c r="E168" s="362">
        <v>16.474242424242426</v>
      </c>
    </row>
    <row r="169" spans="2:5" x14ac:dyDescent="0.25">
      <c r="B169" s="359" t="s">
        <v>202</v>
      </c>
      <c r="C169" s="354" t="e">
        <v>#N/A</v>
      </c>
      <c r="D169" s="361" t="e">
        <v>#N/A</v>
      </c>
      <c r="E169" s="362">
        <v>16.474242424242426</v>
      </c>
    </row>
    <row r="170" spans="2:5" x14ac:dyDescent="0.25">
      <c r="B170" s="359" t="s">
        <v>203</v>
      </c>
      <c r="C170" s="354" t="s">
        <v>604</v>
      </c>
      <c r="D170" s="361">
        <v>36</v>
      </c>
      <c r="E170" s="362">
        <v>13</v>
      </c>
    </row>
    <row r="171" spans="2:5" x14ac:dyDescent="0.25">
      <c r="B171" s="359" t="s">
        <v>204</v>
      </c>
      <c r="C171" s="354" t="s">
        <v>613</v>
      </c>
      <c r="D171" s="361">
        <v>32.4</v>
      </c>
      <c r="E171" s="362">
        <v>16.600000000000001</v>
      </c>
    </row>
    <row r="172" spans="2:5" x14ac:dyDescent="0.25">
      <c r="B172" s="359" t="s">
        <v>39</v>
      </c>
      <c r="C172" s="354" t="s">
        <v>596</v>
      </c>
      <c r="D172" s="361">
        <v>33.200000000000003</v>
      </c>
      <c r="E172" s="362">
        <v>15.799999999999997</v>
      </c>
    </row>
    <row r="173" spans="2:5" x14ac:dyDescent="0.25">
      <c r="B173" s="359" t="s">
        <v>205</v>
      </c>
      <c r="C173" s="354" t="e">
        <v>#N/A</v>
      </c>
      <c r="D173" s="361" t="e">
        <v>#N/A</v>
      </c>
      <c r="E173" s="362">
        <v>16.474242424242426</v>
      </c>
    </row>
    <row r="174" spans="2:5" x14ac:dyDescent="0.25">
      <c r="B174" s="359" t="s">
        <v>206</v>
      </c>
      <c r="C174" s="354" t="e">
        <v>#N/A</v>
      </c>
      <c r="D174" s="361" t="e">
        <v>#N/A</v>
      </c>
      <c r="E174" s="362">
        <v>16.474242424242426</v>
      </c>
    </row>
    <row r="175" spans="2:5" x14ac:dyDescent="0.25">
      <c r="B175" s="359" t="s">
        <v>40</v>
      </c>
      <c r="C175" s="354" t="s">
        <v>604</v>
      </c>
      <c r="D175" s="361">
        <v>32.299999999999997</v>
      </c>
      <c r="E175" s="362">
        <v>16.700000000000003</v>
      </c>
    </row>
    <row r="176" spans="2:5" x14ac:dyDescent="0.25">
      <c r="B176" s="359" t="s">
        <v>41</v>
      </c>
      <c r="C176" s="354" t="e">
        <v>#N/A</v>
      </c>
      <c r="D176" s="361" t="e">
        <v>#N/A</v>
      </c>
      <c r="E176" s="362">
        <v>16.474242424242426</v>
      </c>
    </row>
    <row r="177" spans="2:5" x14ac:dyDescent="0.25">
      <c r="B177" s="359" t="s">
        <v>207</v>
      </c>
      <c r="C177" s="354" t="e">
        <v>#N/A</v>
      </c>
      <c r="D177" s="361" t="e">
        <v>#N/A</v>
      </c>
      <c r="E177" s="362">
        <v>16.474242424242426</v>
      </c>
    </row>
    <row r="178" spans="2:5" x14ac:dyDescent="0.25">
      <c r="B178" s="359" t="s">
        <v>208</v>
      </c>
      <c r="C178" s="354" t="e">
        <v>#N/A</v>
      </c>
      <c r="D178" s="361" t="e">
        <v>#N/A</v>
      </c>
      <c r="E178" s="362">
        <v>16.474242424242426</v>
      </c>
    </row>
    <row r="179" spans="2:5" x14ac:dyDescent="0.25">
      <c r="B179" s="359" t="s">
        <v>42</v>
      </c>
      <c r="C179" s="354" t="s">
        <v>596</v>
      </c>
      <c r="D179" s="361">
        <v>33.4</v>
      </c>
      <c r="E179" s="362">
        <v>15.600000000000001</v>
      </c>
    </row>
    <row r="180" spans="2:5" x14ac:dyDescent="0.25">
      <c r="B180" s="359" t="s">
        <v>43</v>
      </c>
      <c r="C180" s="354" t="s">
        <v>605</v>
      </c>
      <c r="D180" s="361" t="s">
        <v>375</v>
      </c>
      <c r="E180" s="362">
        <v>16.474242424242426</v>
      </c>
    </row>
    <row r="181" spans="2:5" x14ac:dyDescent="0.25">
      <c r="B181" s="359" t="s">
        <v>209</v>
      </c>
      <c r="C181" s="354" t="e">
        <v>#N/A</v>
      </c>
      <c r="D181" s="361" t="e">
        <v>#N/A</v>
      </c>
      <c r="E181" s="362">
        <v>16.474242424242426</v>
      </c>
    </row>
    <row r="182" spans="2:5" x14ac:dyDescent="0.25">
      <c r="B182" s="359" t="s">
        <v>210</v>
      </c>
      <c r="C182" s="354" t="e">
        <v>#N/A</v>
      </c>
      <c r="D182" s="361" t="e">
        <v>#N/A</v>
      </c>
      <c r="E182" s="362">
        <v>16.474242424242426</v>
      </c>
    </row>
    <row r="183" spans="2:5" x14ac:dyDescent="0.25">
      <c r="B183" s="359" t="s">
        <v>211</v>
      </c>
      <c r="C183" s="354" t="e">
        <v>#N/A</v>
      </c>
      <c r="D183" s="361" t="e">
        <v>#N/A</v>
      </c>
      <c r="E183" s="362">
        <v>16.474242424242426</v>
      </c>
    </row>
    <row r="184" spans="2:5" x14ac:dyDescent="0.25">
      <c r="B184" s="359" t="s">
        <v>212</v>
      </c>
      <c r="C184" s="354" t="e">
        <v>#N/A</v>
      </c>
      <c r="D184" s="361" t="e">
        <v>#N/A</v>
      </c>
      <c r="E184" s="362">
        <v>16.474242424242426</v>
      </c>
    </row>
    <row r="185" spans="2:5" x14ac:dyDescent="0.25">
      <c r="B185" s="359" t="s">
        <v>44</v>
      </c>
      <c r="C185" s="354" t="s">
        <v>592</v>
      </c>
      <c r="D185" s="361">
        <v>33.700000000000003</v>
      </c>
      <c r="E185" s="362">
        <v>15.299999999999997</v>
      </c>
    </row>
    <row r="186" spans="2:5" x14ac:dyDescent="0.25">
      <c r="B186" s="359" t="s">
        <v>45</v>
      </c>
      <c r="C186" s="354" t="s">
        <v>593</v>
      </c>
      <c r="D186" s="361">
        <v>33.200000000000003</v>
      </c>
      <c r="E186" s="362">
        <v>15.799999999999997</v>
      </c>
    </row>
    <row r="187" spans="2:5" x14ac:dyDescent="0.25">
      <c r="B187" s="359" t="s">
        <v>213</v>
      </c>
      <c r="C187" s="354" t="e">
        <v>#N/A</v>
      </c>
      <c r="D187" s="361" t="e">
        <v>#N/A</v>
      </c>
      <c r="E187" s="362">
        <v>16.474242424242426</v>
      </c>
    </row>
    <row r="188" spans="2:5" x14ac:dyDescent="0.25">
      <c r="B188" s="359" t="s">
        <v>214</v>
      </c>
      <c r="C188" s="354" t="s">
        <v>611</v>
      </c>
      <c r="D188" s="361">
        <v>33</v>
      </c>
      <c r="E188" s="362">
        <v>16</v>
      </c>
    </row>
    <row r="189" spans="2:5" x14ac:dyDescent="0.25">
      <c r="B189" s="359" t="s">
        <v>46</v>
      </c>
      <c r="C189" s="354" t="s">
        <v>614</v>
      </c>
      <c r="D189" s="361" t="s">
        <v>375</v>
      </c>
      <c r="E189" s="362">
        <v>16.474242424242426</v>
      </c>
    </row>
    <row r="190" spans="2:5" x14ac:dyDescent="0.25">
      <c r="B190" s="359" t="s">
        <v>215</v>
      </c>
      <c r="C190" s="354" t="e">
        <v>#N/A</v>
      </c>
      <c r="D190" s="361" t="e">
        <v>#N/A</v>
      </c>
      <c r="E190" s="362">
        <v>16.474242424242426</v>
      </c>
    </row>
    <row r="191" spans="2:5" x14ac:dyDescent="0.25">
      <c r="B191" s="359" t="s">
        <v>216</v>
      </c>
      <c r="C191" s="354" t="e">
        <v>#N/A</v>
      </c>
      <c r="D191" s="361" t="e">
        <v>#N/A</v>
      </c>
      <c r="E191" s="362">
        <v>16.474242424242426</v>
      </c>
    </row>
    <row r="192" spans="2:5" x14ac:dyDescent="0.25">
      <c r="B192" s="359" t="s">
        <v>217</v>
      </c>
      <c r="C192" s="354" t="e">
        <v>#N/A</v>
      </c>
      <c r="D192" s="361" t="e">
        <v>#N/A</v>
      </c>
      <c r="E192" s="362">
        <v>16.474242424242426</v>
      </c>
    </row>
    <row r="193" spans="2:5" x14ac:dyDescent="0.25">
      <c r="B193" s="359" t="s">
        <v>47</v>
      </c>
      <c r="C193" s="354" t="s">
        <v>615</v>
      </c>
      <c r="D193" s="361" t="s">
        <v>375</v>
      </c>
      <c r="E193" s="362">
        <v>16.474242424242426</v>
      </c>
    </row>
    <row r="194" spans="2:5" x14ac:dyDescent="0.25">
      <c r="B194" s="359" t="s">
        <v>218</v>
      </c>
      <c r="C194" s="354" t="e">
        <v>#N/A</v>
      </c>
      <c r="D194" s="361" t="e">
        <v>#N/A</v>
      </c>
      <c r="E194" s="362">
        <v>16.474242424242426</v>
      </c>
    </row>
    <row r="195" spans="2:5" x14ac:dyDescent="0.25">
      <c r="B195" s="359" t="s">
        <v>219</v>
      </c>
      <c r="C195" s="354" t="e">
        <v>#N/A</v>
      </c>
      <c r="D195" s="361" t="e">
        <v>#N/A</v>
      </c>
      <c r="E195" s="362">
        <v>16.474242424242426</v>
      </c>
    </row>
    <row r="196" spans="2:5" x14ac:dyDescent="0.25">
      <c r="B196" s="359" t="s">
        <v>220</v>
      </c>
      <c r="C196" s="354" t="s">
        <v>607</v>
      </c>
      <c r="D196" s="361">
        <v>30.7</v>
      </c>
      <c r="E196" s="362">
        <v>18.3</v>
      </c>
    </row>
    <row r="197" spans="2:5" x14ac:dyDescent="0.25">
      <c r="B197" s="359" t="s">
        <v>2506</v>
      </c>
      <c r="C197" s="354" t="e">
        <v>#N/A</v>
      </c>
      <c r="D197" s="361" t="e">
        <v>#N/A</v>
      </c>
      <c r="E197" s="362">
        <v>16.474242424242426</v>
      </c>
    </row>
    <row r="198" spans="2:5" x14ac:dyDescent="0.25">
      <c r="B198" s="359" t="s">
        <v>48</v>
      </c>
      <c r="C198" s="354" t="e">
        <v>#N/A</v>
      </c>
      <c r="D198" s="361" t="e">
        <v>#N/A</v>
      </c>
      <c r="E198" s="362">
        <v>16.474242424242426</v>
      </c>
    </row>
    <row r="199" spans="2:5" x14ac:dyDescent="0.25">
      <c r="B199" s="359" t="s">
        <v>221</v>
      </c>
      <c r="C199" s="354" t="e">
        <v>#N/A</v>
      </c>
      <c r="D199" s="361" t="e">
        <v>#N/A</v>
      </c>
      <c r="E199" s="362">
        <v>16.474242424242426</v>
      </c>
    </row>
    <row r="200" spans="2:5" x14ac:dyDescent="0.25">
      <c r="B200" s="359" t="s">
        <v>222</v>
      </c>
      <c r="C200" s="354" t="e">
        <v>#N/A</v>
      </c>
      <c r="D200" s="361" t="e">
        <v>#N/A</v>
      </c>
      <c r="E200" s="362">
        <v>16.474242424242426</v>
      </c>
    </row>
    <row r="201" spans="2:5" x14ac:dyDescent="0.25">
      <c r="B201" s="359" t="s">
        <v>223</v>
      </c>
      <c r="C201" s="354" t="s">
        <v>616</v>
      </c>
      <c r="D201" s="361">
        <v>33.299999999999997</v>
      </c>
      <c r="E201" s="362">
        <v>15.700000000000003</v>
      </c>
    </row>
    <row r="202" spans="2:5" x14ac:dyDescent="0.25">
      <c r="B202" s="359" t="s">
        <v>49</v>
      </c>
      <c r="C202" s="354" t="s">
        <v>601</v>
      </c>
      <c r="D202" s="361">
        <v>34.299999999999997</v>
      </c>
      <c r="E202" s="362">
        <v>14.700000000000003</v>
      </c>
    </row>
    <row r="203" spans="2:5" x14ac:dyDescent="0.25">
      <c r="B203" s="359" t="s">
        <v>50</v>
      </c>
      <c r="C203" s="354" t="s">
        <v>593</v>
      </c>
      <c r="D203" s="361">
        <v>33.1</v>
      </c>
      <c r="E203" s="362">
        <v>15.899999999999999</v>
      </c>
    </row>
    <row r="204" spans="2:5" x14ac:dyDescent="0.25">
      <c r="B204" s="359" t="s">
        <v>224</v>
      </c>
      <c r="C204" s="354" t="s">
        <v>605</v>
      </c>
      <c r="D204" s="361">
        <v>33.1</v>
      </c>
      <c r="E204" s="362">
        <v>15.899999999999999</v>
      </c>
    </row>
    <row r="205" spans="2:5" x14ac:dyDescent="0.25">
      <c r="B205" s="359" t="s">
        <v>225</v>
      </c>
      <c r="C205" s="354" t="e">
        <v>#N/A</v>
      </c>
      <c r="D205" s="361" t="e">
        <v>#N/A</v>
      </c>
      <c r="E205" s="362">
        <v>16.474242424242426</v>
      </c>
    </row>
    <row r="206" spans="2:5" x14ac:dyDescent="0.25">
      <c r="B206" s="359" t="s">
        <v>51</v>
      </c>
      <c r="C206" s="354" t="s">
        <v>601</v>
      </c>
      <c r="D206" s="361">
        <v>27</v>
      </c>
      <c r="E206" s="362">
        <v>22</v>
      </c>
    </row>
    <row r="207" spans="2:5" x14ac:dyDescent="0.25">
      <c r="B207" s="359" t="s">
        <v>226</v>
      </c>
      <c r="C207" s="354" t="e">
        <v>#N/A</v>
      </c>
      <c r="D207" s="361" t="e">
        <v>#N/A</v>
      </c>
      <c r="E207" s="362">
        <v>16.474242424242426</v>
      </c>
    </row>
    <row r="208" spans="2:5" x14ac:dyDescent="0.25">
      <c r="B208" s="359" t="s">
        <v>227</v>
      </c>
      <c r="C208" s="354" t="e">
        <v>#N/A</v>
      </c>
      <c r="D208" s="361" t="e">
        <v>#N/A</v>
      </c>
      <c r="E208" s="362">
        <v>16.474242424242426</v>
      </c>
    </row>
    <row r="209" spans="2:5" x14ac:dyDescent="0.25">
      <c r="B209" s="359" t="s">
        <v>228</v>
      </c>
      <c r="C209" s="354" t="e">
        <v>#N/A</v>
      </c>
      <c r="D209" s="361" t="e">
        <v>#N/A</v>
      </c>
      <c r="E209" s="362">
        <v>16.474242424242426</v>
      </c>
    </row>
    <row r="210" spans="2:5" x14ac:dyDescent="0.25">
      <c r="B210" s="359" t="s">
        <v>229</v>
      </c>
      <c r="C210" s="354" t="e">
        <v>#N/A</v>
      </c>
      <c r="D210" s="361" t="e">
        <v>#N/A</v>
      </c>
      <c r="E210" s="362">
        <v>16.474242424242426</v>
      </c>
    </row>
    <row r="211" spans="2:5" x14ac:dyDescent="0.25">
      <c r="B211" s="359" t="s">
        <v>52</v>
      </c>
      <c r="C211" s="354" t="s">
        <v>617</v>
      </c>
      <c r="D211" s="361">
        <v>29.7</v>
      </c>
      <c r="E211" s="362">
        <v>19.3</v>
      </c>
    </row>
    <row r="212" spans="2:5" x14ac:dyDescent="0.25">
      <c r="B212" s="359" t="s">
        <v>53</v>
      </c>
      <c r="C212" s="354" t="s">
        <v>604</v>
      </c>
      <c r="D212" s="361" t="s">
        <v>375</v>
      </c>
      <c r="E212" s="362">
        <v>16.474242424242426</v>
      </c>
    </row>
    <row r="213" spans="2:5" x14ac:dyDescent="0.25">
      <c r="B213" s="359" t="s">
        <v>54</v>
      </c>
      <c r="C213" s="354" t="s">
        <v>605</v>
      </c>
      <c r="D213" s="361">
        <v>34.299999999999997</v>
      </c>
      <c r="E213" s="362">
        <v>14.700000000000003</v>
      </c>
    </row>
    <row r="214" spans="2:5" x14ac:dyDescent="0.25">
      <c r="B214" s="359" t="s">
        <v>230</v>
      </c>
      <c r="C214" s="354" t="e">
        <v>#N/A</v>
      </c>
      <c r="D214" s="361" t="e">
        <v>#N/A</v>
      </c>
      <c r="E214" s="362">
        <v>16.474242424242426</v>
      </c>
    </row>
    <row r="215" spans="2:5" x14ac:dyDescent="0.25">
      <c r="B215" s="359" t="s">
        <v>231</v>
      </c>
      <c r="C215" s="354" t="e">
        <v>#N/A</v>
      </c>
      <c r="D215" s="361" t="e">
        <v>#N/A</v>
      </c>
      <c r="E215" s="362">
        <v>16.474242424242426</v>
      </c>
    </row>
    <row r="216" spans="2:5" x14ac:dyDescent="0.25">
      <c r="B216" s="359" t="s">
        <v>55</v>
      </c>
      <c r="C216" s="354" t="s">
        <v>614</v>
      </c>
      <c r="D216" s="361">
        <v>31.5</v>
      </c>
      <c r="E216" s="362">
        <v>17.5</v>
      </c>
    </row>
    <row r="217" spans="2:5" x14ac:dyDescent="0.25">
      <c r="B217" s="359" t="s">
        <v>232</v>
      </c>
      <c r="C217" s="354" t="e">
        <v>#N/A</v>
      </c>
      <c r="D217" s="361" t="e">
        <v>#N/A</v>
      </c>
      <c r="E217" s="362">
        <v>16.474242424242426</v>
      </c>
    </row>
    <row r="218" spans="2:5" x14ac:dyDescent="0.25">
      <c r="B218" s="359" t="s">
        <v>233</v>
      </c>
      <c r="C218" s="354" t="e">
        <v>#N/A</v>
      </c>
      <c r="D218" s="361" t="e">
        <v>#N/A</v>
      </c>
      <c r="E218" s="362">
        <v>16.474242424242426</v>
      </c>
    </row>
    <row r="219" spans="2:5" x14ac:dyDescent="0.25">
      <c r="B219" s="359" t="s">
        <v>56</v>
      </c>
      <c r="C219" s="354" t="e">
        <v>#N/A</v>
      </c>
      <c r="D219" s="361" t="e">
        <v>#N/A</v>
      </c>
      <c r="E219" s="362">
        <v>16.474242424242426</v>
      </c>
    </row>
    <row r="220" spans="2:5" x14ac:dyDescent="0.25">
      <c r="B220" s="359" t="s">
        <v>234</v>
      </c>
      <c r="C220" s="354" t="s">
        <v>618</v>
      </c>
      <c r="D220" s="361">
        <v>32.299999999999997</v>
      </c>
      <c r="E220" s="362">
        <v>16.700000000000003</v>
      </c>
    </row>
    <row r="221" spans="2:5" x14ac:dyDescent="0.25">
      <c r="B221" s="359" t="s">
        <v>235</v>
      </c>
      <c r="C221" s="354" t="s">
        <v>604</v>
      </c>
      <c r="D221" s="361">
        <v>31.4</v>
      </c>
      <c r="E221" s="362">
        <v>17.600000000000001</v>
      </c>
    </row>
    <row r="222" spans="2:5" x14ac:dyDescent="0.25">
      <c r="B222" s="359" t="s">
        <v>57</v>
      </c>
      <c r="C222" s="354" t="s">
        <v>605</v>
      </c>
      <c r="D222" s="361">
        <v>31.4</v>
      </c>
      <c r="E222" s="362">
        <v>17.600000000000001</v>
      </c>
    </row>
    <row r="223" spans="2:5" x14ac:dyDescent="0.25">
      <c r="B223" s="359" t="s">
        <v>236</v>
      </c>
      <c r="C223" s="354" t="e">
        <v>#N/A</v>
      </c>
      <c r="D223" s="361" t="e">
        <v>#N/A</v>
      </c>
      <c r="E223" s="362">
        <v>16.474242424242426</v>
      </c>
    </row>
    <row r="224" spans="2:5" x14ac:dyDescent="0.25">
      <c r="B224" s="359" t="s">
        <v>237</v>
      </c>
      <c r="C224" s="354" t="e">
        <v>#N/A</v>
      </c>
      <c r="D224" s="361" t="e">
        <v>#N/A</v>
      </c>
      <c r="E224" s="362">
        <v>16.474242424242426</v>
      </c>
    </row>
    <row r="225" spans="2:5" x14ac:dyDescent="0.25">
      <c r="B225" s="359" t="s">
        <v>238</v>
      </c>
      <c r="C225" s="354" t="e">
        <v>#N/A</v>
      </c>
      <c r="D225" s="361" t="e">
        <v>#N/A</v>
      </c>
      <c r="E225" s="362">
        <v>16.474242424242426</v>
      </c>
    </row>
    <row r="226" spans="2:5" x14ac:dyDescent="0.25">
      <c r="B226" s="359" t="s">
        <v>239</v>
      </c>
      <c r="C226" s="354" t="e">
        <v>#N/A</v>
      </c>
      <c r="D226" s="361" t="e">
        <v>#N/A</v>
      </c>
      <c r="E226" s="362">
        <v>16.474242424242426</v>
      </c>
    </row>
    <row r="227" spans="2:5" x14ac:dyDescent="0.25">
      <c r="B227" s="359" t="s">
        <v>240</v>
      </c>
      <c r="C227" s="354" t="e">
        <v>#N/A</v>
      </c>
      <c r="D227" s="361" t="e">
        <v>#N/A</v>
      </c>
      <c r="E227" s="362">
        <v>16.474242424242426</v>
      </c>
    </row>
    <row r="228" spans="2:5" x14ac:dyDescent="0.25">
      <c r="B228" s="359" t="s">
        <v>589</v>
      </c>
      <c r="C228" s="354" t="s">
        <v>619</v>
      </c>
      <c r="D228" s="361">
        <v>30.8</v>
      </c>
      <c r="E228" s="362">
        <v>18.2</v>
      </c>
    </row>
    <row r="229" spans="2:5" x14ac:dyDescent="0.25">
      <c r="B229" s="359" t="s">
        <v>242</v>
      </c>
      <c r="C229" s="354" t="e">
        <v>#N/A</v>
      </c>
      <c r="D229" s="361" t="e">
        <v>#N/A</v>
      </c>
      <c r="E229" s="362">
        <v>16.474242424242426</v>
      </c>
    </row>
    <row r="230" spans="2:5" x14ac:dyDescent="0.25">
      <c r="B230" s="359" t="s">
        <v>243</v>
      </c>
      <c r="C230" s="354" t="e">
        <v>#N/A</v>
      </c>
      <c r="D230" s="361" t="e">
        <v>#N/A</v>
      </c>
      <c r="E230" s="362">
        <v>16.474242424242426</v>
      </c>
    </row>
    <row r="231" spans="2:5" x14ac:dyDescent="0.25">
      <c r="B231" s="359" t="s">
        <v>244</v>
      </c>
      <c r="C231" s="354" t="e">
        <v>#N/A</v>
      </c>
      <c r="D231" s="361" t="e">
        <v>#N/A</v>
      </c>
      <c r="E231" s="362">
        <v>16.474242424242426</v>
      </c>
    </row>
    <row r="232" spans="2:5" x14ac:dyDescent="0.25">
      <c r="B232" s="359" t="s">
        <v>58</v>
      </c>
      <c r="C232" s="354" t="s">
        <v>603</v>
      </c>
      <c r="D232" s="361">
        <v>34.4</v>
      </c>
      <c r="E232" s="362">
        <v>14.600000000000001</v>
      </c>
    </row>
    <row r="233" spans="2:5" x14ac:dyDescent="0.25">
      <c r="B233" s="359" t="s">
        <v>245</v>
      </c>
      <c r="C233" s="354" t="e">
        <v>#N/A</v>
      </c>
      <c r="D233" s="361" t="e">
        <v>#N/A</v>
      </c>
      <c r="E233" s="362">
        <v>16.474242424242426</v>
      </c>
    </row>
    <row r="234" spans="2:5" x14ac:dyDescent="0.25">
      <c r="B234" s="359" t="s">
        <v>246</v>
      </c>
      <c r="C234" s="354" t="e">
        <v>#N/A</v>
      </c>
      <c r="D234" s="361" t="e">
        <v>#N/A</v>
      </c>
      <c r="E234" s="362">
        <v>16.474242424242426</v>
      </c>
    </row>
    <row r="235" spans="2:5" ht="24.75" x14ac:dyDescent="0.25">
      <c r="B235" s="359" t="s">
        <v>247</v>
      </c>
      <c r="C235" s="354" t="e">
        <v>#N/A</v>
      </c>
      <c r="D235" s="361" t="e">
        <v>#N/A</v>
      </c>
      <c r="E235" s="362">
        <v>16.474242424242426</v>
      </c>
    </row>
    <row r="236" spans="2:5" ht="24.75" x14ac:dyDescent="0.25">
      <c r="B236" s="359" t="s">
        <v>248</v>
      </c>
      <c r="C236" s="354" t="e">
        <v>#N/A</v>
      </c>
      <c r="D236" s="361" t="e">
        <v>#N/A</v>
      </c>
      <c r="E236" s="362">
        <v>16.474242424242426</v>
      </c>
    </row>
    <row r="237" spans="2:5" x14ac:dyDescent="0.25">
      <c r="B237" s="359" t="s">
        <v>249</v>
      </c>
      <c r="C237" s="354" t="e">
        <v>#N/A</v>
      </c>
      <c r="D237" s="361" t="e">
        <v>#N/A</v>
      </c>
      <c r="E237" s="362">
        <v>16.474242424242426</v>
      </c>
    </row>
    <row r="238" spans="2:5" x14ac:dyDescent="0.25">
      <c r="B238" s="359" t="s">
        <v>250</v>
      </c>
      <c r="C238" s="354" t="e">
        <v>#N/A</v>
      </c>
      <c r="D238" s="361" t="e">
        <v>#N/A</v>
      </c>
      <c r="E238" s="362">
        <v>16.474242424242426</v>
      </c>
    </row>
    <row r="239" spans="2:5" ht="24.75" x14ac:dyDescent="0.25">
      <c r="B239" s="359" t="s">
        <v>59</v>
      </c>
      <c r="C239" s="354" t="s">
        <v>592</v>
      </c>
      <c r="D239" s="361" t="s">
        <v>375</v>
      </c>
      <c r="E239" s="362">
        <v>16.474242424242426</v>
      </c>
    </row>
    <row r="240" spans="2:5" x14ac:dyDescent="0.25">
      <c r="B240" s="359" t="s">
        <v>251</v>
      </c>
      <c r="C240" s="354" t="e">
        <v>#N/A</v>
      </c>
      <c r="D240" s="361" t="e">
        <v>#N/A</v>
      </c>
      <c r="E240" s="362">
        <v>16.474242424242426</v>
      </c>
    </row>
    <row r="241" spans="2:5" x14ac:dyDescent="0.25">
      <c r="B241" s="359" t="s">
        <v>60</v>
      </c>
      <c r="C241" s="354" t="s">
        <v>610</v>
      </c>
      <c r="D241" s="361">
        <v>33.799999999999997</v>
      </c>
      <c r="E241" s="362">
        <v>15.200000000000003</v>
      </c>
    </row>
    <row r="242" spans="2:5" x14ac:dyDescent="0.25">
      <c r="B242" s="359" t="s">
        <v>252</v>
      </c>
      <c r="C242" s="354" t="e">
        <v>#N/A</v>
      </c>
      <c r="D242" s="361" t="e">
        <v>#N/A</v>
      </c>
      <c r="E242" s="362">
        <v>16.474242424242426</v>
      </c>
    </row>
    <row r="243" spans="2:5" x14ac:dyDescent="0.25">
      <c r="B243" s="359" t="s">
        <v>253</v>
      </c>
      <c r="C243" s="354" t="e">
        <v>#N/A</v>
      </c>
      <c r="D243" s="361" t="e">
        <v>#N/A</v>
      </c>
      <c r="E243" s="362">
        <v>16.474242424242426</v>
      </c>
    </row>
    <row r="244" spans="2:5" x14ac:dyDescent="0.25">
      <c r="B244" s="359" t="s">
        <v>61</v>
      </c>
      <c r="C244" s="354" t="s">
        <v>605</v>
      </c>
      <c r="D244" s="361">
        <v>36.200000000000003</v>
      </c>
      <c r="E244" s="362">
        <v>12.799999999999997</v>
      </c>
    </row>
    <row r="245" spans="2:5" x14ac:dyDescent="0.25">
      <c r="B245" s="359" t="s">
        <v>254</v>
      </c>
      <c r="C245" s="354" t="e">
        <v>#N/A</v>
      </c>
      <c r="D245" s="361" t="e">
        <v>#N/A</v>
      </c>
      <c r="E245" s="362">
        <v>16.474242424242426</v>
      </c>
    </row>
    <row r="246" spans="2:5" x14ac:dyDescent="0.25">
      <c r="B246" s="359" t="s">
        <v>255</v>
      </c>
      <c r="C246" s="354" t="e">
        <v>#N/A</v>
      </c>
      <c r="D246" s="361" t="e">
        <v>#N/A</v>
      </c>
      <c r="E246" s="362">
        <v>16.474242424242426</v>
      </c>
    </row>
    <row r="247" spans="2:5" x14ac:dyDescent="0.25">
      <c r="B247" s="359" t="s">
        <v>256</v>
      </c>
      <c r="C247" s="354" t="e">
        <v>#N/A</v>
      </c>
      <c r="D247" s="361" t="e">
        <v>#N/A</v>
      </c>
      <c r="E247" s="362">
        <v>16.474242424242426</v>
      </c>
    </row>
    <row r="248" spans="2:5" x14ac:dyDescent="0.25">
      <c r="B248" s="359" t="s">
        <v>62</v>
      </c>
      <c r="C248" s="354" t="e">
        <v>#N/A</v>
      </c>
      <c r="D248" s="361" t="e">
        <v>#N/A</v>
      </c>
      <c r="E248" s="362">
        <v>16.474242424242426</v>
      </c>
    </row>
    <row r="249" spans="2:5" x14ac:dyDescent="0.25">
      <c r="B249" s="359" t="s">
        <v>63</v>
      </c>
      <c r="C249" s="354" t="e">
        <v>#N/A</v>
      </c>
      <c r="D249" s="361" t="e">
        <v>#N/A</v>
      </c>
      <c r="E249" s="362">
        <v>16.474242424242426</v>
      </c>
    </row>
    <row r="250" spans="2:5" x14ac:dyDescent="0.25">
      <c r="B250" s="359" t="s">
        <v>64</v>
      </c>
      <c r="C250" s="354" t="s">
        <v>620</v>
      </c>
      <c r="D250" s="361">
        <v>32.6</v>
      </c>
      <c r="E250" s="362">
        <v>16.399999999999999</v>
      </c>
    </row>
    <row r="251" spans="2:5" x14ac:dyDescent="0.25">
      <c r="B251" s="359" t="s">
        <v>65</v>
      </c>
      <c r="C251" s="354" t="e">
        <v>#N/A</v>
      </c>
      <c r="D251" s="361" t="e">
        <v>#N/A</v>
      </c>
      <c r="E251" s="362">
        <v>16.474242424242426</v>
      </c>
    </row>
    <row r="252" spans="2:5" x14ac:dyDescent="0.25">
      <c r="B252" s="359" t="s">
        <v>257</v>
      </c>
      <c r="C252" s="354" t="e">
        <v>#N/A</v>
      </c>
      <c r="D252" s="361" t="e">
        <v>#N/A</v>
      </c>
      <c r="E252" s="362">
        <v>16.474242424242426</v>
      </c>
    </row>
    <row r="253" spans="2:5" x14ac:dyDescent="0.25">
      <c r="B253" s="359" t="s">
        <v>66</v>
      </c>
      <c r="C253" s="354" t="s">
        <v>607</v>
      </c>
      <c r="D253" s="361">
        <v>30</v>
      </c>
      <c r="E253" s="362">
        <v>19</v>
      </c>
    </row>
    <row r="254" spans="2:5" x14ac:dyDescent="0.25">
      <c r="B254" s="359" t="s">
        <v>67</v>
      </c>
      <c r="C254" s="354" t="e">
        <v>#N/A</v>
      </c>
      <c r="D254" s="361" t="e">
        <v>#N/A</v>
      </c>
      <c r="E254" s="362">
        <v>16.474242424242426</v>
      </c>
    </row>
    <row r="255" spans="2:5" x14ac:dyDescent="0.25">
      <c r="B255" s="359" t="s">
        <v>68</v>
      </c>
      <c r="C255" s="354" t="e">
        <v>#N/A</v>
      </c>
      <c r="D255" s="361" t="e">
        <v>#N/A</v>
      </c>
      <c r="E255" s="362">
        <v>16.474242424242426</v>
      </c>
    </row>
    <row r="256" spans="2:5" x14ac:dyDescent="0.25">
      <c r="B256" s="359" t="s">
        <v>258</v>
      </c>
      <c r="C256" s="354" t="e">
        <v>#N/A</v>
      </c>
      <c r="D256" s="361" t="e">
        <v>#N/A</v>
      </c>
      <c r="E256" s="362">
        <v>16.474242424242426</v>
      </c>
    </row>
    <row r="257" spans="2:5" x14ac:dyDescent="0.25">
      <c r="B257" s="359" t="s">
        <v>259</v>
      </c>
      <c r="C257" s="354" t="s">
        <v>621</v>
      </c>
      <c r="D257" s="361">
        <v>33.299999999999997</v>
      </c>
      <c r="E257" s="362">
        <v>15.700000000000003</v>
      </c>
    </row>
    <row r="258" spans="2:5" x14ac:dyDescent="0.25">
      <c r="B258" s="359" t="s">
        <v>260</v>
      </c>
      <c r="C258" s="354" t="e">
        <v>#N/A</v>
      </c>
      <c r="D258" s="361" t="e">
        <v>#N/A</v>
      </c>
      <c r="E258" s="362">
        <v>16.474242424242426</v>
      </c>
    </row>
    <row r="259" spans="2:5" x14ac:dyDescent="0.25">
      <c r="B259" s="359" t="s">
        <v>261</v>
      </c>
      <c r="C259" s="354" t="e">
        <v>#N/A</v>
      </c>
      <c r="D259" s="361" t="e">
        <v>#N/A</v>
      </c>
      <c r="E259" s="362">
        <v>16.474242424242426</v>
      </c>
    </row>
    <row r="260" spans="2:5" x14ac:dyDescent="0.25">
      <c r="B260" s="359" t="s">
        <v>1234</v>
      </c>
      <c r="C260" s="354" t="e">
        <v>#N/A</v>
      </c>
      <c r="D260" s="361" t="e">
        <v>#N/A</v>
      </c>
      <c r="E260" s="362">
        <v>16.474242424242426</v>
      </c>
    </row>
    <row r="261" spans="2:5" x14ac:dyDescent="0.25">
      <c r="B261" s="359" t="s">
        <v>69</v>
      </c>
      <c r="C261" s="354" t="s">
        <v>604</v>
      </c>
      <c r="D261" s="361">
        <v>31.9</v>
      </c>
      <c r="E261" s="362">
        <v>17.100000000000001</v>
      </c>
    </row>
    <row r="262" spans="2:5" x14ac:dyDescent="0.25">
      <c r="B262" s="359" t="s">
        <v>70</v>
      </c>
      <c r="C262" s="354" t="s">
        <v>593</v>
      </c>
      <c r="D262" s="361">
        <v>34.799999999999997</v>
      </c>
      <c r="E262" s="362">
        <v>14.200000000000003</v>
      </c>
    </row>
    <row r="263" spans="2:5" x14ac:dyDescent="0.25">
      <c r="B263" s="359" t="s">
        <v>262</v>
      </c>
      <c r="C263" s="354" t="s">
        <v>607</v>
      </c>
      <c r="D263" s="361">
        <v>29</v>
      </c>
      <c r="E263" s="362">
        <v>20</v>
      </c>
    </row>
    <row r="264" spans="2:5" ht="36.75" x14ac:dyDescent="0.25">
      <c r="B264" s="359" t="s">
        <v>263</v>
      </c>
      <c r="C264" s="354" t="e">
        <v>#N/A</v>
      </c>
      <c r="D264" s="361" t="e">
        <v>#N/A</v>
      </c>
      <c r="E264" s="362">
        <v>16.474242424242426</v>
      </c>
    </row>
    <row r="265" spans="2:5" x14ac:dyDescent="0.25">
      <c r="B265" s="359" t="s">
        <v>71</v>
      </c>
      <c r="C265" s="354" t="s">
        <v>622</v>
      </c>
      <c r="D265" s="361">
        <v>34.1</v>
      </c>
      <c r="E265" s="362">
        <v>14.899999999999999</v>
      </c>
    </row>
    <row r="266" spans="2:5" x14ac:dyDescent="0.25">
      <c r="B266" s="359" t="s">
        <v>72</v>
      </c>
      <c r="C266" s="354" t="s">
        <v>606</v>
      </c>
      <c r="D266" s="361" t="s">
        <v>375</v>
      </c>
      <c r="E266" s="362">
        <v>16.474242424242426</v>
      </c>
    </row>
    <row r="267" spans="2:5" x14ac:dyDescent="0.25">
      <c r="B267" s="359" t="s">
        <v>264</v>
      </c>
      <c r="C267" s="354" t="e">
        <v>#N/A</v>
      </c>
      <c r="D267" s="361" t="e">
        <v>#N/A</v>
      </c>
      <c r="E267" s="362">
        <v>16.474242424242426</v>
      </c>
    </row>
    <row r="268" spans="2:5" x14ac:dyDescent="0.25">
      <c r="B268" s="359" t="s">
        <v>265</v>
      </c>
      <c r="C268" s="354" t="e">
        <v>#N/A</v>
      </c>
      <c r="D268" s="361" t="e">
        <v>#N/A</v>
      </c>
      <c r="E268" s="362">
        <v>16.474242424242426</v>
      </c>
    </row>
    <row r="269" spans="2:5" x14ac:dyDescent="0.25">
      <c r="B269" s="359" t="s">
        <v>266</v>
      </c>
      <c r="C269" s="354" t="s">
        <v>607</v>
      </c>
      <c r="D269" s="361">
        <v>32.200000000000003</v>
      </c>
      <c r="E269" s="362">
        <v>16.799999999999997</v>
      </c>
    </row>
    <row r="270" spans="2:5" x14ac:dyDescent="0.25">
      <c r="B270" s="359" t="s">
        <v>267</v>
      </c>
      <c r="C270" s="354" t="s">
        <v>599</v>
      </c>
      <c r="D270" s="361">
        <v>33.1</v>
      </c>
      <c r="E270" s="362">
        <v>15.899999999999999</v>
      </c>
    </row>
    <row r="271" spans="2:5" x14ac:dyDescent="0.25">
      <c r="B271" s="359" t="s">
        <v>268</v>
      </c>
      <c r="C271" s="354" t="s">
        <v>620</v>
      </c>
      <c r="D271" s="361">
        <v>31.7</v>
      </c>
      <c r="E271" s="362">
        <v>17.3</v>
      </c>
    </row>
    <row r="272" spans="2:5" x14ac:dyDescent="0.25">
      <c r="B272" s="359" t="s">
        <v>269</v>
      </c>
      <c r="C272" s="354" t="s">
        <v>623</v>
      </c>
      <c r="D272" s="361">
        <v>31.8</v>
      </c>
      <c r="E272" s="362">
        <v>17.2</v>
      </c>
    </row>
    <row r="273" spans="2:5" ht="24.75" x14ac:dyDescent="0.25">
      <c r="B273" s="359" t="s">
        <v>270</v>
      </c>
      <c r="C273" s="354" t="e">
        <v>#N/A</v>
      </c>
      <c r="D273" s="361" t="e">
        <v>#N/A</v>
      </c>
      <c r="E273" s="362">
        <v>16.474242424242426</v>
      </c>
    </row>
    <row r="274" spans="2:5" x14ac:dyDescent="0.25">
      <c r="B274" s="359" t="s">
        <v>271</v>
      </c>
      <c r="C274" s="354" t="e">
        <v>#N/A</v>
      </c>
      <c r="D274" s="361" t="e">
        <v>#N/A</v>
      </c>
      <c r="E274" s="362">
        <v>16.474242424242426</v>
      </c>
    </row>
    <row r="275" spans="2:5" x14ac:dyDescent="0.25">
      <c r="B275" s="359" t="s">
        <v>73</v>
      </c>
      <c r="C275" s="354" t="s">
        <v>601</v>
      </c>
      <c r="D275" s="361">
        <v>33.4</v>
      </c>
      <c r="E275" s="362">
        <v>15.600000000000001</v>
      </c>
    </row>
    <row r="276" spans="2:5" x14ac:dyDescent="0.25">
      <c r="B276" s="359" t="s">
        <v>272</v>
      </c>
      <c r="C276" s="354" t="s">
        <v>624</v>
      </c>
      <c r="D276" s="361">
        <v>28.3</v>
      </c>
      <c r="E276" s="362">
        <v>20.7</v>
      </c>
    </row>
    <row r="277" spans="2:5" x14ac:dyDescent="0.25">
      <c r="B277" s="359" t="s">
        <v>273</v>
      </c>
      <c r="C277" s="354" t="e">
        <v>#N/A</v>
      </c>
      <c r="D277" s="361" t="e">
        <v>#N/A</v>
      </c>
      <c r="E277" s="362">
        <v>16.474242424242426</v>
      </c>
    </row>
    <row r="278" spans="2:5" x14ac:dyDescent="0.25">
      <c r="B278" s="359" t="s">
        <v>274</v>
      </c>
      <c r="C278" s="354" t="e">
        <v>#N/A</v>
      </c>
      <c r="D278" s="361" t="e">
        <v>#N/A</v>
      </c>
      <c r="E278" s="362">
        <v>16.474242424242426</v>
      </c>
    </row>
    <row r="279" spans="2:5" ht="24.75" x14ac:dyDescent="0.25">
      <c r="B279" s="359" t="s">
        <v>275</v>
      </c>
      <c r="C279" s="354" t="e">
        <v>#N/A</v>
      </c>
      <c r="D279" s="361" t="e">
        <v>#N/A</v>
      </c>
      <c r="E279" s="362">
        <v>16.474242424242426</v>
      </c>
    </row>
    <row r="280" spans="2:5" ht="24.75" x14ac:dyDescent="0.25">
      <c r="B280" s="359" t="s">
        <v>276</v>
      </c>
      <c r="C280" s="354" t="e">
        <v>#N/A</v>
      </c>
      <c r="D280" s="361" t="e">
        <v>#N/A</v>
      </c>
      <c r="E280" s="362">
        <v>16.474242424242426</v>
      </c>
    </row>
    <row r="281" spans="2:5" x14ac:dyDescent="0.25">
      <c r="B281" s="359" t="s">
        <v>277</v>
      </c>
      <c r="C281" s="354" t="e">
        <v>#N/A</v>
      </c>
      <c r="D281" s="361" t="e">
        <v>#N/A</v>
      </c>
      <c r="E281" s="362">
        <v>16.474242424242426</v>
      </c>
    </row>
    <row r="282" spans="2:5" x14ac:dyDescent="0.25">
      <c r="B282" s="359" t="s">
        <v>74</v>
      </c>
      <c r="C282" s="354" t="s">
        <v>600</v>
      </c>
      <c r="D282" s="361" t="s">
        <v>375</v>
      </c>
      <c r="E282" s="362">
        <v>16.474242424242426</v>
      </c>
    </row>
    <row r="283" spans="2:5" x14ac:dyDescent="0.25">
      <c r="B283" s="359" t="s">
        <v>278</v>
      </c>
      <c r="C283" s="354" t="e">
        <v>#N/A</v>
      </c>
      <c r="D283" s="361" t="e">
        <v>#N/A</v>
      </c>
      <c r="E283" s="362">
        <v>16.474242424242426</v>
      </c>
    </row>
    <row r="284" spans="2:5" x14ac:dyDescent="0.25">
      <c r="B284" s="359" t="s">
        <v>590</v>
      </c>
      <c r="C284" s="354" t="e">
        <v>#N/A</v>
      </c>
      <c r="D284" s="361" t="e">
        <v>#N/A</v>
      </c>
      <c r="E284" s="362">
        <v>16.474242424242426</v>
      </c>
    </row>
    <row r="285" spans="2:5" x14ac:dyDescent="0.25">
      <c r="B285" s="359" t="s">
        <v>75</v>
      </c>
      <c r="C285" s="354" t="s">
        <v>609</v>
      </c>
      <c r="D285" s="361">
        <v>32.4</v>
      </c>
      <c r="E285" s="362">
        <v>16.600000000000001</v>
      </c>
    </row>
    <row r="286" spans="2:5" ht="24.75" x14ac:dyDescent="0.25">
      <c r="B286" s="359" t="s">
        <v>280</v>
      </c>
      <c r="C286" s="354" t="e">
        <v>#N/A</v>
      </c>
      <c r="D286" s="361" t="e">
        <v>#N/A</v>
      </c>
      <c r="E286" s="362">
        <v>16.474242424242426</v>
      </c>
    </row>
    <row r="287" spans="2:5" x14ac:dyDescent="0.25">
      <c r="B287" s="359" t="s">
        <v>76</v>
      </c>
      <c r="C287" s="354" t="e">
        <v>#N/A</v>
      </c>
      <c r="D287" s="361" t="e">
        <v>#N/A</v>
      </c>
      <c r="E287" s="362">
        <v>16.474242424242426</v>
      </c>
    </row>
    <row r="288" spans="2:5" x14ac:dyDescent="0.25">
      <c r="B288" s="359" t="s">
        <v>77</v>
      </c>
      <c r="C288" s="354" t="s">
        <v>605</v>
      </c>
      <c r="D288" s="361">
        <v>33.200000000000003</v>
      </c>
      <c r="E288" s="362">
        <v>15.799999999999997</v>
      </c>
    </row>
    <row r="289" spans="2:5" x14ac:dyDescent="0.25">
      <c r="B289" s="359" t="s">
        <v>78</v>
      </c>
      <c r="C289" s="354" t="s">
        <v>606</v>
      </c>
      <c r="D289" s="361">
        <v>33.4</v>
      </c>
      <c r="E289" s="362">
        <v>15.600000000000001</v>
      </c>
    </row>
    <row r="290" spans="2:5" x14ac:dyDescent="0.25">
      <c r="B290" s="359" t="s">
        <v>79</v>
      </c>
      <c r="C290" s="354" t="s">
        <v>591</v>
      </c>
      <c r="D290" s="361">
        <v>32.799999999999997</v>
      </c>
      <c r="E290" s="362">
        <v>16.200000000000003</v>
      </c>
    </row>
    <row r="291" spans="2:5" ht="15.75" thickBot="1" x14ac:dyDescent="0.3">
      <c r="B291" s="292"/>
      <c r="C291" s="292"/>
      <c r="D291" s="292"/>
      <c r="E291" s="292"/>
    </row>
    <row r="292" spans="2:5" x14ac:dyDescent="0.25">
      <c r="B292" s="1718" t="s">
        <v>733</v>
      </c>
      <c r="C292" s="1719"/>
      <c r="D292" s="355"/>
      <c r="E292" s="356">
        <v>16.717391304347824</v>
      </c>
    </row>
    <row r="293" spans="2:5" ht="15.75" thickBot="1" x14ac:dyDescent="0.3">
      <c r="B293" s="1720" t="s">
        <v>734</v>
      </c>
      <c r="C293" s="1721"/>
      <c r="D293" s="357"/>
      <c r="E293" s="358">
        <v>16.474242424242426</v>
      </c>
    </row>
  </sheetData>
  <mergeCells count="22">
    <mergeCell ref="O46:O51"/>
    <mergeCell ref="A54:N54"/>
    <mergeCell ref="B292:C292"/>
    <mergeCell ref="B293:C293"/>
    <mergeCell ref="B59:C59"/>
    <mergeCell ref="B60:C60"/>
    <mergeCell ref="B62:C62"/>
    <mergeCell ref="B64:C64"/>
    <mergeCell ref="B49:B51"/>
    <mergeCell ref="E62:F62"/>
    <mergeCell ref="A3:F3"/>
    <mergeCell ref="A34:N34"/>
    <mergeCell ref="B37:B38"/>
    <mergeCell ref="B39:B41"/>
    <mergeCell ref="B47:B48"/>
    <mergeCell ref="B8:B9"/>
    <mergeCell ref="B10:B11"/>
    <mergeCell ref="B12:B14"/>
    <mergeCell ref="B17:B21"/>
    <mergeCell ref="B22:B24"/>
    <mergeCell ref="B25:B26"/>
    <mergeCell ref="B27:B30"/>
  </mergeCell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filterMode="1">
    <tabColor theme="7"/>
  </sheetPr>
  <dimension ref="A1:AC458"/>
  <sheetViews>
    <sheetView zoomScale="60" zoomScaleNormal="60" workbookViewId="0">
      <pane xSplit="6" ySplit="2" topLeftCell="G239" activePane="bottomRight" state="frozen"/>
      <selection activeCell="P101" sqref="P101"/>
      <selection pane="topRight" activeCell="P101" sqref="P101"/>
      <selection pane="bottomLeft" activeCell="P101" sqref="P101"/>
      <selection pane="bottomRight" activeCell="L468" sqref="L468"/>
    </sheetView>
  </sheetViews>
  <sheetFormatPr defaultRowHeight="15" x14ac:dyDescent="0.25"/>
  <cols>
    <col min="2" max="2" width="13.7109375" customWidth="1"/>
    <col min="3" max="3" width="11.7109375" bestFit="1" customWidth="1"/>
    <col min="4" max="4" width="12.28515625" customWidth="1"/>
    <col min="5" max="5" width="15.7109375" customWidth="1"/>
    <col min="6" max="6" width="31.42578125" customWidth="1"/>
    <col min="7" max="7" width="23.140625" customWidth="1"/>
    <col min="8" max="14" width="12.140625" customWidth="1"/>
    <col min="15" max="16" width="12.140625" style="817" customWidth="1"/>
    <col min="17" max="17" width="16.42578125" customWidth="1"/>
    <col min="19" max="19" width="20.42578125" bestFit="1" customWidth="1"/>
  </cols>
  <sheetData>
    <row r="1" spans="1:27" x14ac:dyDescent="0.25">
      <c r="G1" s="1467" t="s">
        <v>982</v>
      </c>
      <c r="H1" s="1467"/>
      <c r="I1" s="1467"/>
      <c r="J1" s="1467"/>
      <c r="K1" s="1467"/>
      <c r="L1" s="1467"/>
      <c r="M1" s="1467"/>
      <c r="N1" s="1467"/>
    </row>
    <row r="2" spans="1:27" s="119" customFormat="1" ht="94.5" x14ac:dyDescent="0.25">
      <c r="A2" s="119" t="s">
        <v>10</v>
      </c>
      <c r="B2" s="119" t="s">
        <v>10</v>
      </c>
      <c r="C2" s="119" t="s">
        <v>121</v>
      </c>
      <c r="D2" s="119" t="s">
        <v>122</v>
      </c>
      <c r="E2" s="119" t="s">
        <v>875</v>
      </c>
      <c r="F2" s="119" t="s">
        <v>876</v>
      </c>
      <c r="G2" s="503" t="s">
        <v>976</v>
      </c>
      <c r="H2" s="503" t="s">
        <v>925</v>
      </c>
      <c r="I2" s="504" t="s">
        <v>923</v>
      </c>
      <c r="J2" s="452" t="s">
        <v>814</v>
      </c>
      <c r="K2" s="379" t="s">
        <v>924</v>
      </c>
      <c r="L2" s="452" t="s">
        <v>736</v>
      </c>
      <c r="M2" s="380" t="s">
        <v>752</v>
      </c>
      <c r="N2" s="499" t="s">
        <v>93</v>
      </c>
      <c r="O2" s="816" t="s">
        <v>873</v>
      </c>
      <c r="P2" s="816" t="s">
        <v>980</v>
      </c>
      <c r="Q2" s="119" t="s">
        <v>917</v>
      </c>
      <c r="R2" s="119" t="s">
        <v>877</v>
      </c>
      <c r="S2" s="503" t="s">
        <v>925</v>
      </c>
      <c r="T2" s="504" t="s">
        <v>923</v>
      </c>
      <c r="U2" s="452" t="s">
        <v>814</v>
      </c>
      <c r="V2" s="379" t="s">
        <v>924</v>
      </c>
      <c r="W2" s="452" t="s">
        <v>736</v>
      </c>
      <c r="X2" s="380" t="s">
        <v>752</v>
      </c>
      <c r="Y2" s="499" t="s">
        <v>93</v>
      </c>
      <c r="Z2" s="499" t="s">
        <v>873</v>
      </c>
      <c r="AA2" s="500" t="s">
        <v>874</v>
      </c>
    </row>
    <row r="3" spans="1:27" hidden="1" x14ac:dyDescent="0.25">
      <c r="A3" t="s">
        <v>878</v>
      </c>
      <c r="B3" t="s">
        <v>11</v>
      </c>
      <c r="C3" t="s">
        <v>591</v>
      </c>
      <c r="D3" t="s">
        <v>879</v>
      </c>
      <c r="E3" t="s">
        <v>128</v>
      </c>
      <c r="F3" t="str">
        <f>B3&amp;":"&amp;E3</f>
        <v>Afghanistan:Female Sterilization</v>
      </c>
      <c r="G3" s="611">
        <f t="shared" ref="G3:G34" si="0">SUM(H3:I3)</f>
        <v>0.69791666666666663</v>
      </c>
      <c r="H3" s="23">
        <v>0.69791666666666663</v>
      </c>
      <c r="I3" s="23">
        <v>0</v>
      </c>
      <c r="J3" s="23">
        <v>0</v>
      </c>
      <c r="K3" s="23">
        <v>0.24999999999999997</v>
      </c>
      <c r="L3" s="23">
        <v>0</v>
      </c>
      <c r="M3" s="23">
        <v>0</v>
      </c>
      <c r="N3" s="23">
        <v>3.1249999999999997E-2</v>
      </c>
      <c r="O3" s="818">
        <v>2.0833333333333332E-2</v>
      </c>
      <c r="P3" s="818">
        <v>0.03</v>
      </c>
      <c r="Q3" s="23">
        <f t="shared" ref="Q3:Q74" si="1">IFERROR(SUM(H3:N3), "Sample Too Small")</f>
        <v>0.97916666666666663</v>
      </c>
      <c r="R3">
        <v>443</v>
      </c>
    </row>
    <row r="4" spans="1:27" hidden="1" x14ac:dyDescent="0.25">
      <c r="A4" t="s">
        <v>878</v>
      </c>
      <c r="B4" t="s">
        <v>11</v>
      </c>
      <c r="C4" t="s">
        <v>591</v>
      </c>
      <c r="D4" t="s">
        <v>879</v>
      </c>
      <c r="E4" t="s">
        <v>3</v>
      </c>
      <c r="F4" t="str">
        <f t="shared" ref="F4:F75" si="2">B4&amp;":"&amp;E4</f>
        <v>Afghanistan:Implant</v>
      </c>
      <c r="G4" s="611" t="e">
        <f t="shared" si="0"/>
        <v>#N/A</v>
      </c>
      <c r="H4" t="e">
        <f>NA()</f>
        <v>#N/A</v>
      </c>
      <c r="I4" t="e">
        <f>NA()</f>
        <v>#N/A</v>
      </c>
      <c r="J4" t="e">
        <f>NA()</f>
        <v>#N/A</v>
      </c>
      <c r="K4" t="e">
        <f>NA()</f>
        <v>#N/A</v>
      </c>
      <c r="L4" t="e">
        <f>NA()</f>
        <v>#N/A</v>
      </c>
      <c r="M4" t="e">
        <f>NA()</f>
        <v>#N/A</v>
      </c>
      <c r="N4" t="e">
        <f>NA()</f>
        <v>#N/A</v>
      </c>
      <c r="O4" s="818" t="e">
        <f>NA()</f>
        <v>#N/A</v>
      </c>
      <c r="P4" s="818" t="e">
        <f>NA()</f>
        <v>#N/A</v>
      </c>
      <c r="Q4" s="23" t="str">
        <f t="shared" si="1"/>
        <v>Sample Too Small</v>
      </c>
      <c r="R4" s="10">
        <v>24</v>
      </c>
    </row>
    <row r="5" spans="1:27" hidden="1" x14ac:dyDescent="0.25">
      <c r="A5" t="s">
        <v>878</v>
      </c>
      <c r="B5" t="s">
        <v>11</v>
      </c>
      <c r="C5" t="s">
        <v>591</v>
      </c>
      <c r="D5" t="s">
        <v>879</v>
      </c>
      <c r="E5" t="s">
        <v>2</v>
      </c>
      <c r="F5" t="str">
        <f t="shared" si="2"/>
        <v>Afghanistan:Injectable</v>
      </c>
      <c r="G5" s="611">
        <f t="shared" si="0"/>
        <v>0.6262626262626263</v>
      </c>
      <c r="H5" s="23">
        <v>0.6262626262626263</v>
      </c>
      <c r="I5" s="23">
        <v>0</v>
      </c>
      <c r="J5" s="23">
        <v>1.0101010101010102E-2</v>
      </c>
      <c r="K5" s="23">
        <v>0.15151515151515152</v>
      </c>
      <c r="L5" s="23">
        <v>0.20202020202020204</v>
      </c>
      <c r="M5" s="23">
        <v>1.0101010101010102E-2</v>
      </c>
      <c r="N5" s="23">
        <v>0</v>
      </c>
      <c r="O5" s="818">
        <v>0</v>
      </c>
      <c r="P5" s="818">
        <v>0.01</v>
      </c>
      <c r="Q5" s="23">
        <f t="shared" si="1"/>
        <v>0.99999999999999989</v>
      </c>
      <c r="R5" s="2">
        <v>1466</v>
      </c>
    </row>
    <row r="6" spans="1:27" hidden="1" x14ac:dyDescent="0.25">
      <c r="A6" t="s">
        <v>878</v>
      </c>
      <c r="B6" t="s">
        <v>11</v>
      </c>
      <c r="C6" t="s">
        <v>591</v>
      </c>
      <c r="D6" t="s">
        <v>879</v>
      </c>
      <c r="E6" t="s">
        <v>5</v>
      </c>
      <c r="F6" t="str">
        <f t="shared" si="2"/>
        <v>Afghanistan:IUD</v>
      </c>
      <c r="G6" s="611">
        <f t="shared" si="0"/>
        <v>0.60204081632653061</v>
      </c>
      <c r="H6" s="23">
        <v>0.60204081632653061</v>
      </c>
      <c r="I6" s="23">
        <v>0</v>
      </c>
      <c r="J6" s="23">
        <v>1.0204081632653062E-2</v>
      </c>
      <c r="K6" s="23">
        <v>0.36734693877551022</v>
      </c>
      <c r="L6" s="23">
        <v>1.0204081632653062E-2</v>
      </c>
      <c r="M6" s="23">
        <v>0</v>
      </c>
      <c r="N6" s="23">
        <v>1.0204081632653062E-2</v>
      </c>
      <c r="O6" s="818">
        <v>0</v>
      </c>
      <c r="P6" s="818">
        <v>0.02</v>
      </c>
      <c r="Q6" s="23">
        <f t="shared" si="1"/>
        <v>1</v>
      </c>
      <c r="R6">
        <v>360</v>
      </c>
    </row>
    <row r="7" spans="1:27" hidden="1" x14ac:dyDescent="0.25">
      <c r="A7" t="s">
        <v>878</v>
      </c>
      <c r="B7" t="s">
        <v>11</v>
      </c>
      <c r="C7" t="s">
        <v>591</v>
      </c>
      <c r="D7" t="s">
        <v>879</v>
      </c>
      <c r="E7" t="s">
        <v>103</v>
      </c>
      <c r="F7" t="str">
        <f t="shared" si="2"/>
        <v>Afghanistan:Male Condom</v>
      </c>
      <c r="G7" s="611">
        <f t="shared" si="0"/>
        <v>0.31632653061224492</v>
      </c>
      <c r="H7" s="23">
        <v>0.31632653061224492</v>
      </c>
      <c r="I7" s="23">
        <v>0</v>
      </c>
      <c r="J7" s="23">
        <v>1.0204081632653062E-2</v>
      </c>
      <c r="K7" s="23">
        <v>5.1020408163265307E-2</v>
      </c>
      <c r="L7" s="23">
        <v>0.51020408163265307</v>
      </c>
      <c r="M7" s="23">
        <v>0.10204081632653061</v>
      </c>
      <c r="N7" s="23">
        <v>1.0204081632653062E-2</v>
      </c>
      <c r="O7" s="818">
        <v>0</v>
      </c>
      <c r="P7" s="818">
        <v>0.02</v>
      </c>
      <c r="Q7" s="23">
        <f t="shared" si="1"/>
        <v>1</v>
      </c>
      <c r="R7">
        <v>767</v>
      </c>
    </row>
    <row r="8" spans="1:27" hidden="1" x14ac:dyDescent="0.25">
      <c r="A8" t="s">
        <v>878</v>
      </c>
      <c r="B8" t="s">
        <v>11</v>
      </c>
      <c r="C8" t="s">
        <v>591</v>
      </c>
      <c r="D8" t="s">
        <v>879</v>
      </c>
      <c r="E8" t="s">
        <v>129</v>
      </c>
      <c r="F8" t="str">
        <f t="shared" si="2"/>
        <v>Afghanistan:Male Sterilization</v>
      </c>
      <c r="G8" s="611" t="e">
        <f t="shared" si="0"/>
        <v>#N/A</v>
      </c>
      <c r="H8" t="e">
        <f>NA()</f>
        <v>#N/A</v>
      </c>
      <c r="I8" t="e">
        <f>NA()</f>
        <v>#N/A</v>
      </c>
      <c r="J8" t="e">
        <f>NA()</f>
        <v>#N/A</v>
      </c>
      <c r="K8" t="e">
        <f>NA()</f>
        <v>#N/A</v>
      </c>
      <c r="L8" t="e">
        <f>NA()</f>
        <v>#N/A</v>
      </c>
      <c r="M8" t="e">
        <f>NA()</f>
        <v>#N/A</v>
      </c>
      <c r="N8" t="e">
        <f>NA()</f>
        <v>#N/A</v>
      </c>
      <c r="O8" s="818" t="e">
        <f>NA()</f>
        <v>#N/A</v>
      </c>
      <c r="P8" s="818" t="e">
        <f>NA()</f>
        <v>#N/A</v>
      </c>
      <c r="Q8" s="23" t="str">
        <f t="shared" si="1"/>
        <v>Sample Too Small</v>
      </c>
      <c r="R8" s="10">
        <v>6</v>
      </c>
    </row>
    <row r="9" spans="1:27" hidden="1" x14ac:dyDescent="0.25">
      <c r="A9" s="119" t="s">
        <v>878</v>
      </c>
      <c r="B9" t="s">
        <v>11</v>
      </c>
      <c r="C9" t="s">
        <v>591</v>
      </c>
      <c r="D9" t="s">
        <v>879</v>
      </c>
      <c r="E9" t="s">
        <v>110</v>
      </c>
      <c r="F9" t="str">
        <f t="shared" si="2"/>
        <v>Afghanistan:OC Pills</v>
      </c>
      <c r="G9" s="611">
        <f t="shared" si="0"/>
        <v>0.36</v>
      </c>
      <c r="H9" s="502">
        <v>0.36</v>
      </c>
      <c r="I9" s="502">
        <v>0</v>
      </c>
      <c r="J9" s="502">
        <v>0.01</v>
      </c>
      <c r="K9" s="502">
        <v>0.14000000000000001</v>
      </c>
      <c r="L9" s="502">
        <v>0.45</v>
      </c>
      <c r="M9" s="502">
        <v>0.03</v>
      </c>
      <c r="N9" s="502">
        <v>0.01</v>
      </c>
      <c r="O9" s="818">
        <v>0</v>
      </c>
      <c r="P9" s="818">
        <v>0</v>
      </c>
      <c r="Q9" s="23">
        <f t="shared" si="1"/>
        <v>1</v>
      </c>
      <c r="R9" s="501">
        <v>1661</v>
      </c>
    </row>
    <row r="10" spans="1:27" hidden="1" x14ac:dyDescent="0.25">
      <c r="A10" t="s">
        <v>878</v>
      </c>
      <c r="B10" t="s">
        <v>11</v>
      </c>
      <c r="C10" t="s">
        <v>591</v>
      </c>
      <c r="D10" t="s">
        <v>879</v>
      </c>
      <c r="E10" t="s">
        <v>130</v>
      </c>
      <c r="F10" t="str">
        <f t="shared" si="2"/>
        <v>Afghanistan:Other Modern Methods</v>
      </c>
      <c r="G10" s="611" t="e">
        <f t="shared" si="0"/>
        <v>#N/A</v>
      </c>
      <c r="H10" t="e">
        <f>NA()</f>
        <v>#N/A</v>
      </c>
      <c r="I10" t="e">
        <f>NA()</f>
        <v>#N/A</v>
      </c>
      <c r="J10" t="e">
        <f>NA()</f>
        <v>#N/A</v>
      </c>
      <c r="K10" t="e">
        <f>NA()</f>
        <v>#N/A</v>
      </c>
      <c r="L10" t="e">
        <f>NA()</f>
        <v>#N/A</v>
      </c>
      <c r="M10" t="e">
        <f>NA()</f>
        <v>#N/A</v>
      </c>
      <c r="N10" t="e">
        <f>NA()</f>
        <v>#N/A</v>
      </c>
      <c r="O10" s="818" t="e">
        <f>NA()</f>
        <v>#N/A</v>
      </c>
      <c r="P10" s="818" t="e">
        <f>NA()</f>
        <v>#N/A</v>
      </c>
      <c r="Q10" s="23" t="str">
        <f>IFERROR(SUM(H10:N10), "Sample Too Small")</f>
        <v>Sample Too Small</v>
      </c>
      <c r="R10" s="10">
        <v>9</v>
      </c>
    </row>
    <row r="11" spans="1:27" hidden="1" x14ac:dyDescent="0.25">
      <c r="A11" t="s">
        <v>2086</v>
      </c>
      <c r="B11" t="s">
        <v>131</v>
      </c>
      <c r="C11" t="s">
        <v>1034</v>
      </c>
      <c r="D11" t="s">
        <v>282</v>
      </c>
      <c r="E11" t="s">
        <v>2087</v>
      </c>
      <c r="F11" t="str">
        <f t="shared" si="2"/>
        <v>Albania:Female sterilization</v>
      </c>
      <c r="G11" s="817">
        <v>0.93299999999999994</v>
      </c>
      <c r="H11" s="23">
        <v>0.93299999999999994</v>
      </c>
      <c r="I11" s="23">
        <v>0</v>
      </c>
      <c r="J11" t="e">
        <f>NA()</f>
        <v>#N/A</v>
      </c>
      <c r="K11" s="23">
        <v>4.4000000000000004E-2</v>
      </c>
      <c r="L11" s="23">
        <v>0</v>
      </c>
      <c r="M11" s="23">
        <v>0</v>
      </c>
      <c r="N11" s="23">
        <v>2.3E-2</v>
      </c>
      <c r="O11" s="818"/>
      <c r="P11" s="818">
        <v>0</v>
      </c>
      <c r="Q11" s="23" t="str">
        <f t="shared" si="1"/>
        <v>Sample Too Small</v>
      </c>
      <c r="R11" s="27"/>
    </row>
    <row r="12" spans="1:27" hidden="1" x14ac:dyDescent="0.25">
      <c r="A12" t="s">
        <v>2086</v>
      </c>
      <c r="B12" t="s">
        <v>131</v>
      </c>
      <c r="C12" t="s">
        <v>1034</v>
      </c>
      <c r="D12" t="s">
        <v>282</v>
      </c>
      <c r="E12" t="s">
        <v>2088</v>
      </c>
      <c r="F12" t="str">
        <f t="shared" si="2"/>
        <v>Albania:Male sterilization</v>
      </c>
      <c r="G12" s="817" t="e">
        <v>#N/A</v>
      </c>
      <c r="H12" s="23" t="e">
        <v>#N/A</v>
      </c>
      <c r="I12" s="23" t="e">
        <v>#N/A</v>
      </c>
      <c r="J12" t="e">
        <f>NA()</f>
        <v>#N/A</v>
      </c>
      <c r="K12" s="23" t="e">
        <v>#N/A</v>
      </c>
      <c r="L12" s="23" t="e">
        <v>#N/A</v>
      </c>
      <c r="M12" s="23" t="e">
        <v>#N/A</v>
      </c>
      <c r="N12" s="23" t="e">
        <v>#N/A</v>
      </c>
      <c r="O12" s="818"/>
      <c r="P12" s="818" t="e">
        <f>NA()</f>
        <v>#N/A</v>
      </c>
      <c r="Q12" s="23" t="str">
        <f t="shared" si="1"/>
        <v>Sample Too Small</v>
      </c>
      <c r="R12" s="27"/>
    </row>
    <row r="13" spans="1:27" hidden="1" x14ac:dyDescent="0.25">
      <c r="A13" t="s">
        <v>2086</v>
      </c>
      <c r="B13" t="s">
        <v>131</v>
      </c>
      <c r="C13" t="s">
        <v>1034</v>
      </c>
      <c r="D13" t="s">
        <v>282</v>
      </c>
      <c r="E13" t="s">
        <v>2089</v>
      </c>
      <c r="F13" t="str">
        <f t="shared" si="2"/>
        <v>Albania:Implants</v>
      </c>
      <c r="G13" s="817" t="e">
        <v>#N/A</v>
      </c>
      <c r="H13" s="23" t="e">
        <v>#N/A</v>
      </c>
      <c r="I13" s="23" t="e">
        <v>#N/A</v>
      </c>
      <c r="J13" t="e">
        <f>NA()</f>
        <v>#N/A</v>
      </c>
      <c r="K13" s="23" t="e">
        <v>#N/A</v>
      </c>
      <c r="L13" s="23" t="e">
        <v>#N/A</v>
      </c>
      <c r="M13" s="23" t="e">
        <v>#N/A</v>
      </c>
      <c r="N13" s="23" t="e">
        <v>#N/A</v>
      </c>
      <c r="O13" s="818"/>
      <c r="P13" s="818" t="e">
        <f>NA()</f>
        <v>#N/A</v>
      </c>
      <c r="Q13" s="23" t="str">
        <f t="shared" si="1"/>
        <v>Sample Too Small</v>
      </c>
      <c r="R13" s="27"/>
    </row>
    <row r="14" spans="1:27" hidden="1" x14ac:dyDescent="0.25">
      <c r="A14" t="s">
        <v>2086</v>
      </c>
      <c r="B14" t="s">
        <v>131</v>
      </c>
      <c r="C14" t="s">
        <v>1034</v>
      </c>
      <c r="D14" t="s">
        <v>282</v>
      </c>
      <c r="E14" t="s">
        <v>2</v>
      </c>
      <c r="F14" t="str">
        <f t="shared" si="2"/>
        <v>Albania:Injectable</v>
      </c>
      <c r="G14" s="817" t="e">
        <v>#N/A</v>
      </c>
      <c r="H14" s="23" t="e">
        <v>#N/A</v>
      </c>
      <c r="I14" s="23" t="e">
        <v>#N/A</v>
      </c>
      <c r="J14" t="e">
        <f>NA()</f>
        <v>#N/A</v>
      </c>
      <c r="K14" s="23" t="e">
        <v>#N/A</v>
      </c>
      <c r="L14" s="23" t="e">
        <v>#N/A</v>
      </c>
      <c r="M14" s="23" t="e">
        <v>#N/A</v>
      </c>
      <c r="N14" s="23" t="e">
        <v>#N/A</v>
      </c>
      <c r="O14" s="818"/>
      <c r="P14" s="818" t="e">
        <f>NA()</f>
        <v>#N/A</v>
      </c>
      <c r="Q14" s="23" t="str">
        <f t="shared" si="1"/>
        <v>Sample Too Small</v>
      </c>
      <c r="R14" s="27"/>
    </row>
    <row r="15" spans="1:27" hidden="1" x14ac:dyDescent="0.25">
      <c r="A15" t="s">
        <v>2086</v>
      </c>
      <c r="B15" t="s">
        <v>131</v>
      </c>
      <c r="C15" t="s">
        <v>1034</v>
      </c>
      <c r="D15" t="s">
        <v>282</v>
      </c>
      <c r="E15" t="s">
        <v>5</v>
      </c>
      <c r="F15" t="str">
        <f t="shared" si="2"/>
        <v>Albania:IUD</v>
      </c>
      <c r="G15" s="817">
        <v>0.71099999999999997</v>
      </c>
      <c r="H15" s="23">
        <v>0.71099999999999997</v>
      </c>
      <c r="I15" s="23">
        <v>0</v>
      </c>
      <c r="J15" t="e">
        <f>NA()</f>
        <v>#N/A</v>
      </c>
      <c r="K15" s="23">
        <v>0.26400000000000001</v>
      </c>
      <c r="L15" s="23">
        <v>0</v>
      </c>
      <c r="M15" s="23">
        <v>0</v>
      </c>
      <c r="N15" s="23">
        <v>2.5000000000000001E-2</v>
      </c>
      <c r="O15" s="818"/>
      <c r="P15" s="818">
        <v>0</v>
      </c>
      <c r="Q15" s="23" t="str">
        <f t="shared" si="1"/>
        <v>Sample Too Small</v>
      </c>
      <c r="R15" s="27"/>
    </row>
    <row r="16" spans="1:27" hidden="1" x14ac:dyDescent="0.25">
      <c r="A16" t="s">
        <v>2086</v>
      </c>
      <c r="B16" t="s">
        <v>131</v>
      </c>
      <c r="C16" t="s">
        <v>1034</v>
      </c>
      <c r="D16" t="s">
        <v>282</v>
      </c>
      <c r="E16" t="s">
        <v>110</v>
      </c>
      <c r="F16" t="str">
        <f t="shared" si="2"/>
        <v>Albania:OC Pills</v>
      </c>
      <c r="G16" s="817">
        <v>0.25674325674325671</v>
      </c>
      <c r="H16" s="23">
        <v>0.25674325674325671</v>
      </c>
      <c r="I16" s="23">
        <v>0</v>
      </c>
      <c r="J16" t="e">
        <f>NA()</f>
        <v>#N/A</v>
      </c>
      <c r="K16" s="23">
        <v>1.0989010989010988E-2</v>
      </c>
      <c r="L16" s="23">
        <v>0.70829170829170829</v>
      </c>
      <c r="M16" s="23">
        <v>0</v>
      </c>
      <c r="N16" s="23">
        <v>2.3976023976023973E-2</v>
      </c>
      <c r="O16" s="818"/>
      <c r="P16" s="818">
        <v>-1.0000000000001119E-3</v>
      </c>
      <c r="Q16" s="23" t="str">
        <f t="shared" si="1"/>
        <v>Sample Too Small</v>
      </c>
      <c r="R16" s="27"/>
    </row>
    <row r="17" spans="1:18" hidden="1" x14ac:dyDescent="0.25">
      <c r="A17" t="s">
        <v>2086</v>
      </c>
      <c r="B17" t="s">
        <v>131</v>
      </c>
      <c r="C17" t="s">
        <v>1034</v>
      </c>
      <c r="D17" t="s">
        <v>282</v>
      </c>
      <c r="E17" t="s">
        <v>103</v>
      </c>
      <c r="F17" t="str">
        <f t="shared" si="2"/>
        <v>Albania:Male Condom</v>
      </c>
      <c r="G17" s="817">
        <v>5.6565656565656562E-2</v>
      </c>
      <c r="H17" s="23">
        <v>5.6565656565656562E-2</v>
      </c>
      <c r="I17" s="23">
        <v>0</v>
      </c>
      <c r="J17" t="e">
        <f>NA()</f>
        <v>#N/A</v>
      </c>
      <c r="K17" s="23">
        <v>1.5151515151515152E-2</v>
      </c>
      <c r="L17" s="23">
        <v>0.91919191919191923</v>
      </c>
      <c r="M17" s="23">
        <v>0</v>
      </c>
      <c r="N17" s="23">
        <v>9.0909090909090905E-3</v>
      </c>
      <c r="O17" s="818"/>
      <c r="P17" s="818">
        <v>1.0000000000000009E-2</v>
      </c>
      <c r="Q17" s="23" t="str">
        <f t="shared" si="1"/>
        <v>Sample Too Small</v>
      </c>
      <c r="R17" s="27"/>
    </row>
    <row r="18" spans="1:18" hidden="1" x14ac:dyDescent="0.25">
      <c r="A18" t="s">
        <v>2086</v>
      </c>
      <c r="B18" t="s">
        <v>131</v>
      </c>
      <c r="C18" t="s">
        <v>1034</v>
      </c>
      <c r="D18" t="s">
        <v>282</v>
      </c>
      <c r="E18" t="s">
        <v>130</v>
      </c>
      <c r="F18" t="str">
        <f t="shared" si="2"/>
        <v>Albania:Other Modern Methods</v>
      </c>
      <c r="G18" s="817" t="e">
        <v>#N/A</v>
      </c>
      <c r="H18" s="23" t="e">
        <v>#N/A</v>
      </c>
      <c r="I18" s="23" t="e">
        <v>#N/A</v>
      </c>
      <c r="J18" t="e">
        <f>NA()</f>
        <v>#N/A</v>
      </c>
      <c r="K18" s="23" t="e">
        <v>#N/A</v>
      </c>
      <c r="L18" s="23" t="e">
        <v>#N/A</v>
      </c>
      <c r="M18" s="23" t="e">
        <v>#N/A</v>
      </c>
      <c r="N18" s="23" t="e">
        <v>#N/A</v>
      </c>
      <c r="O18" s="818"/>
      <c r="P18" s="818" t="e">
        <f>NA()</f>
        <v>#N/A</v>
      </c>
      <c r="Q18" s="23" t="str">
        <f t="shared" si="1"/>
        <v>Sample Too Small</v>
      </c>
      <c r="R18" s="27"/>
    </row>
    <row r="19" spans="1:18" hidden="1" x14ac:dyDescent="0.25">
      <c r="A19" t="s">
        <v>2090</v>
      </c>
      <c r="B19" t="s">
        <v>134</v>
      </c>
      <c r="C19" t="s">
        <v>593</v>
      </c>
      <c r="D19" t="s">
        <v>282</v>
      </c>
      <c r="E19" t="s">
        <v>2087</v>
      </c>
      <c r="F19" t="str">
        <f t="shared" si="2"/>
        <v>Angola:Female sterilization</v>
      </c>
      <c r="G19" s="817" t="e">
        <v>#N/A</v>
      </c>
      <c r="H19" s="23" t="e">
        <v>#N/A</v>
      </c>
      <c r="I19" s="23" t="e">
        <v>#N/A</v>
      </c>
      <c r="J19" t="e">
        <f>NA()</f>
        <v>#N/A</v>
      </c>
      <c r="K19" s="23" t="e">
        <v>#N/A</v>
      </c>
      <c r="L19" s="23" t="e">
        <v>#N/A</v>
      </c>
      <c r="M19" s="23" t="e">
        <v>#N/A</v>
      </c>
      <c r="N19" s="23" t="e">
        <v>#N/A</v>
      </c>
      <c r="O19" s="818"/>
      <c r="P19" s="818" t="e">
        <f>NA()</f>
        <v>#N/A</v>
      </c>
      <c r="Q19" s="23" t="str">
        <f t="shared" ref="Q19:Q26" si="3">IFERROR(SUM(H19:N19), "Sample Too Small")</f>
        <v>Sample Too Small</v>
      </c>
      <c r="R19" s="27"/>
    </row>
    <row r="20" spans="1:18" hidden="1" x14ac:dyDescent="0.25">
      <c r="A20" t="s">
        <v>2090</v>
      </c>
      <c r="B20" t="s">
        <v>134</v>
      </c>
      <c r="C20" t="s">
        <v>593</v>
      </c>
      <c r="D20" t="s">
        <v>282</v>
      </c>
      <c r="E20" t="s">
        <v>2088</v>
      </c>
      <c r="F20" t="str">
        <f t="shared" si="2"/>
        <v>Angola:Male sterilization</v>
      </c>
      <c r="G20" s="817" t="e">
        <v>#N/A</v>
      </c>
      <c r="H20" s="23" t="e">
        <v>#N/A</v>
      </c>
      <c r="I20" s="23" t="e">
        <v>#N/A</v>
      </c>
      <c r="J20" t="e">
        <f>NA()</f>
        <v>#N/A</v>
      </c>
      <c r="K20" s="23" t="e">
        <v>#N/A</v>
      </c>
      <c r="L20" s="23" t="e">
        <v>#N/A</v>
      </c>
      <c r="M20" s="23" t="e">
        <v>#N/A</v>
      </c>
      <c r="N20" s="23" t="e">
        <v>#N/A</v>
      </c>
      <c r="O20" s="818"/>
      <c r="P20" s="818" t="e">
        <f>NA()</f>
        <v>#N/A</v>
      </c>
      <c r="Q20" s="23" t="str">
        <f t="shared" si="3"/>
        <v>Sample Too Small</v>
      </c>
      <c r="R20" s="27"/>
    </row>
    <row r="21" spans="1:18" hidden="1" x14ac:dyDescent="0.25">
      <c r="A21" t="s">
        <v>2090</v>
      </c>
      <c r="B21" t="s">
        <v>134</v>
      </c>
      <c r="C21" t="s">
        <v>593</v>
      </c>
      <c r="D21" t="s">
        <v>282</v>
      </c>
      <c r="E21" t="s">
        <v>2089</v>
      </c>
      <c r="F21" t="str">
        <f t="shared" si="2"/>
        <v>Angola:Implants</v>
      </c>
      <c r="G21" s="817">
        <v>0.90200000000000002</v>
      </c>
      <c r="H21" s="23">
        <v>0.90200000000000002</v>
      </c>
      <c r="I21" s="23">
        <v>0</v>
      </c>
      <c r="J21" t="e">
        <f>NA()</f>
        <v>#N/A</v>
      </c>
      <c r="K21" s="23">
        <v>9.8000000000000018E-2</v>
      </c>
      <c r="L21" s="23">
        <v>0</v>
      </c>
      <c r="M21" s="23">
        <v>0</v>
      </c>
      <c r="N21" s="23">
        <v>0</v>
      </c>
      <c r="O21" s="818"/>
      <c r="P21" s="818">
        <v>0</v>
      </c>
      <c r="Q21" s="23" t="str">
        <f t="shared" si="3"/>
        <v>Sample Too Small</v>
      </c>
      <c r="R21" s="27"/>
    </row>
    <row r="22" spans="1:18" hidden="1" x14ac:dyDescent="0.25">
      <c r="A22" t="s">
        <v>2090</v>
      </c>
      <c r="B22" t="s">
        <v>134</v>
      </c>
      <c r="C22" t="s">
        <v>593</v>
      </c>
      <c r="D22" t="s">
        <v>282</v>
      </c>
      <c r="E22" t="s">
        <v>2</v>
      </c>
      <c r="F22" t="str">
        <f t="shared" si="2"/>
        <v>Angola:Injectable</v>
      </c>
      <c r="G22" s="817">
        <v>0.87100000000000011</v>
      </c>
      <c r="H22" s="23">
        <v>0.87100000000000011</v>
      </c>
      <c r="I22" s="23">
        <v>0</v>
      </c>
      <c r="J22" t="e">
        <f>NA()</f>
        <v>#N/A</v>
      </c>
      <c r="K22" s="23">
        <v>7.400000000000001E-2</v>
      </c>
      <c r="L22" s="23">
        <v>4.3000000000000003E-2</v>
      </c>
      <c r="M22" s="23">
        <v>6.000000000000001E-3</v>
      </c>
      <c r="N22" s="23">
        <v>6.000000000000001E-3</v>
      </c>
      <c r="O22" s="818"/>
      <c r="P22" s="818">
        <v>0</v>
      </c>
      <c r="Q22" s="23" t="str">
        <f t="shared" si="3"/>
        <v>Sample Too Small</v>
      </c>
      <c r="R22" s="27"/>
    </row>
    <row r="23" spans="1:18" hidden="1" x14ac:dyDescent="0.25">
      <c r="A23" t="s">
        <v>2090</v>
      </c>
      <c r="B23" t="s">
        <v>134</v>
      </c>
      <c r="C23" t="s">
        <v>593</v>
      </c>
      <c r="D23" t="s">
        <v>282</v>
      </c>
      <c r="E23" t="s">
        <v>5</v>
      </c>
      <c r="F23" t="str">
        <f t="shared" si="2"/>
        <v>Angola:IUD</v>
      </c>
      <c r="G23" s="817" t="e">
        <v>#N/A</v>
      </c>
      <c r="H23" s="23" t="e">
        <v>#N/A</v>
      </c>
      <c r="I23" s="23" t="e">
        <v>#N/A</v>
      </c>
      <c r="J23" t="e">
        <f>NA()</f>
        <v>#N/A</v>
      </c>
      <c r="K23" s="23" t="e">
        <v>#N/A</v>
      </c>
      <c r="L23" s="23" t="e">
        <v>#N/A</v>
      </c>
      <c r="M23" s="23" t="e">
        <v>#N/A</v>
      </c>
      <c r="N23" s="23" t="e">
        <v>#N/A</v>
      </c>
      <c r="O23" s="818"/>
      <c r="P23" s="818" t="e">
        <f>NA()</f>
        <v>#N/A</v>
      </c>
      <c r="Q23" s="23" t="str">
        <f t="shared" si="3"/>
        <v>Sample Too Small</v>
      </c>
      <c r="R23" s="27"/>
    </row>
    <row r="24" spans="1:18" hidden="1" x14ac:dyDescent="0.25">
      <c r="A24" t="s">
        <v>2090</v>
      </c>
      <c r="B24" t="s">
        <v>134</v>
      </c>
      <c r="C24" t="s">
        <v>593</v>
      </c>
      <c r="D24" t="s">
        <v>282</v>
      </c>
      <c r="E24" t="s">
        <v>110</v>
      </c>
      <c r="F24" t="str">
        <f t="shared" si="2"/>
        <v>Angola:OC Pills</v>
      </c>
      <c r="G24" s="817">
        <v>0.43456543456543451</v>
      </c>
      <c r="H24" s="23">
        <v>0.43456543456543451</v>
      </c>
      <c r="I24" s="23">
        <v>0</v>
      </c>
      <c r="J24" t="e">
        <f>NA()</f>
        <v>#N/A</v>
      </c>
      <c r="K24" s="23">
        <v>1.5984015984015981E-2</v>
      </c>
      <c r="L24" s="23">
        <v>0.51648351648351642</v>
      </c>
      <c r="M24" s="23">
        <v>2.9970029970029968E-2</v>
      </c>
      <c r="N24" s="23">
        <v>2.9970029970029966E-3</v>
      </c>
      <c r="O24" s="818"/>
      <c r="P24" s="818">
        <v>-1.0000000000001119E-3</v>
      </c>
      <c r="Q24" s="23" t="str">
        <f t="shared" si="3"/>
        <v>Sample Too Small</v>
      </c>
      <c r="R24" s="27"/>
    </row>
    <row r="25" spans="1:18" hidden="1" x14ac:dyDescent="0.25">
      <c r="A25" t="s">
        <v>2090</v>
      </c>
      <c r="B25" t="s">
        <v>134</v>
      </c>
      <c r="C25" t="s">
        <v>593</v>
      </c>
      <c r="D25" t="s">
        <v>282</v>
      </c>
      <c r="E25" t="s">
        <v>103</v>
      </c>
      <c r="F25" t="str">
        <f t="shared" si="2"/>
        <v>Angola:Male Condom</v>
      </c>
      <c r="G25" s="817">
        <v>0.16083916083916083</v>
      </c>
      <c r="H25" s="23">
        <v>0.15684315684315683</v>
      </c>
      <c r="I25" s="23">
        <v>3.996003996003996E-3</v>
      </c>
      <c r="J25" t="e">
        <f>NA()</f>
        <v>#N/A</v>
      </c>
      <c r="K25" s="23">
        <v>1.898101898101898E-2</v>
      </c>
      <c r="L25" s="23">
        <v>0.79820179820179815</v>
      </c>
      <c r="M25" s="23">
        <v>1.798201798201798E-2</v>
      </c>
      <c r="N25" s="23">
        <v>3.996003996003996E-3</v>
      </c>
      <c r="O25" s="818"/>
      <c r="P25" s="818">
        <v>-1.0000000000001119E-3</v>
      </c>
      <c r="Q25" s="23" t="str">
        <f t="shared" si="3"/>
        <v>Sample Too Small</v>
      </c>
      <c r="R25" s="27"/>
    </row>
    <row r="26" spans="1:18" hidden="1" x14ac:dyDescent="0.25">
      <c r="A26" t="s">
        <v>2090</v>
      </c>
      <c r="B26" t="s">
        <v>134</v>
      </c>
      <c r="C26" t="s">
        <v>593</v>
      </c>
      <c r="D26" t="s">
        <v>282</v>
      </c>
      <c r="E26" t="s">
        <v>130</v>
      </c>
      <c r="F26" t="str">
        <f t="shared" si="2"/>
        <v>Angola:Other Modern Methods</v>
      </c>
      <c r="G26" s="817" t="e">
        <v>#N/A</v>
      </c>
      <c r="H26" s="23" t="e">
        <v>#N/A</v>
      </c>
      <c r="I26" s="23" t="e">
        <v>#N/A</v>
      </c>
      <c r="J26" t="e">
        <f>NA()</f>
        <v>#N/A</v>
      </c>
      <c r="K26" s="23" t="e">
        <v>#N/A</v>
      </c>
      <c r="L26" s="23" t="e">
        <v>#N/A</v>
      </c>
      <c r="M26" s="23" t="e">
        <v>#N/A</v>
      </c>
      <c r="N26" s="23" t="e">
        <v>#N/A</v>
      </c>
      <c r="O26" s="818"/>
      <c r="P26" s="818" t="e">
        <f>NA()</f>
        <v>#N/A</v>
      </c>
      <c r="Q26" s="23" t="str">
        <f t="shared" si="3"/>
        <v>Sample Too Small</v>
      </c>
      <c r="R26" s="27"/>
    </row>
    <row r="27" spans="1:18" hidden="1" x14ac:dyDescent="0.25">
      <c r="A27" t="s">
        <v>880</v>
      </c>
      <c r="B27" t="s">
        <v>12</v>
      </c>
      <c r="C27" t="s">
        <v>596</v>
      </c>
      <c r="D27" t="s">
        <v>879</v>
      </c>
      <c r="E27" t="s">
        <v>128</v>
      </c>
      <c r="F27" t="str">
        <f t="shared" si="2"/>
        <v>Bangladesh:Female Sterilization</v>
      </c>
      <c r="G27" s="611">
        <f t="shared" si="0"/>
        <v>0.69</v>
      </c>
      <c r="H27" s="23">
        <v>0.37</v>
      </c>
      <c r="I27" s="23">
        <v>0.32</v>
      </c>
      <c r="J27" s="23">
        <v>0.02</v>
      </c>
      <c r="K27" s="23">
        <v>0.28999999999999998</v>
      </c>
      <c r="L27" s="23">
        <v>0</v>
      </c>
      <c r="M27" s="23">
        <v>0</v>
      </c>
      <c r="N27" s="23">
        <v>0</v>
      </c>
      <c r="O27" s="818">
        <v>0</v>
      </c>
      <c r="P27" s="818">
        <v>0.01</v>
      </c>
      <c r="Q27" s="23">
        <f t="shared" si="1"/>
        <v>1</v>
      </c>
      <c r="R27">
        <v>816</v>
      </c>
    </row>
    <row r="28" spans="1:18" hidden="1" x14ac:dyDescent="0.25">
      <c r="A28" t="s">
        <v>880</v>
      </c>
      <c r="B28" t="s">
        <v>12</v>
      </c>
      <c r="C28" t="s">
        <v>596</v>
      </c>
      <c r="D28" t="s">
        <v>879</v>
      </c>
      <c r="E28" t="s">
        <v>3</v>
      </c>
      <c r="F28" t="str">
        <f t="shared" si="2"/>
        <v>Bangladesh:Implant</v>
      </c>
      <c r="G28" s="611">
        <f t="shared" si="0"/>
        <v>0.92999999999999994</v>
      </c>
      <c r="H28" s="23">
        <v>0.43</v>
      </c>
      <c r="I28" s="23">
        <v>0.5</v>
      </c>
      <c r="J28" s="23">
        <v>0.05</v>
      </c>
      <c r="K28" s="23">
        <v>0.02</v>
      </c>
      <c r="L28" s="23">
        <v>0</v>
      </c>
      <c r="M28" s="23">
        <v>0</v>
      </c>
      <c r="N28" s="23">
        <v>0</v>
      </c>
      <c r="O28" s="818">
        <v>0</v>
      </c>
      <c r="P28" s="818">
        <v>0</v>
      </c>
      <c r="Q28" s="23">
        <f t="shared" si="1"/>
        <v>1</v>
      </c>
      <c r="R28">
        <v>274</v>
      </c>
    </row>
    <row r="29" spans="1:18" hidden="1" x14ac:dyDescent="0.25">
      <c r="A29" t="s">
        <v>880</v>
      </c>
      <c r="B29" t="s">
        <v>12</v>
      </c>
      <c r="C29" t="s">
        <v>596</v>
      </c>
      <c r="D29" t="s">
        <v>879</v>
      </c>
      <c r="E29" t="s">
        <v>2</v>
      </c>
      <c r="F29" t="str">
        <f t="shared" si="2"/>
        <v>Bangladesh:Injectable</v>
      </c>
      <c r="G29" s="611">
        <f t="shared" si="0"/>
        <v>0.61</v>
      </c>
      <c r="H29" s="23">
        <v>0.16</v>
      </c>
      <c r="I29" s="23">
        <v>0.45</v>
      </c>
      <c r="J29" s="23">
        <v>0.1</v>
      </c>
      <c r="K29" s="23">
        <v>0.28999999999999998</v>
      </c>
      <c r="L29" s="23">
        <v>0</v>
      </c>
      <c r="M29" s="23">
        <v>0</v>
      </c>
      <c r="N29" s="23">
        <v>0</v>
      </c>
      <c r="O29" s="818">
        <v>0</v>
      </c>
      <c r="P29" s="818">
        <v>0</v>
      </c>
      <c r="Q29" s="23">
        <f t="shared" si="1"/>
        <v>1</v>
      </c>
      <c r="R29" s="2">
        <v>2118</v>
      </c>
    </row>
    <row r="30" spans="1:18" hidden="1" x14ac:dyDescent="0.25">
      <c r="A30" t="s">
        <v>880</v>
      </c>
      <c r="B30" t="s">
        <v>12</v>
      </c>
      <c r="C30" t="s">
        <v>596</v>
      </c>
      <c r="D30" t="s">
        <v>879</v>
      </c>
      <c r="E30" t="s">
        <v>5</v>
      </c>
      <c r="F30" t="str">
        <f t="shared" si="2"/>
        <v>Bangladesh:IUD</v>
      </c>
      <c r="G30" s="611">
        <f t="shared" si="0"/>
        <v>0.92</v>
      </c>
      <c r="H30" s="23">
        <v>0.56000000000000005</v>
      </c>
      <c r="I30" s="23">
        <v>0.36</v>
      </c>
      <c r="J30" s="23">
        <v>0.01</v>
      </c>
      <c r="K30" s="23">
        <v>7.0000000000000007E-2</v>
      </c>
      <c r="L30" s="23">
        <v>0</v>
      </c>
      <c r="M30" s="23">
        <v>0</v>
      </c>
      <c r="N30" s="23">
        <v>0</v>
      </c>
      <c r="O30" s="818">
        <v>0</v>
      </c>
      <c r="P30" s="818">
        <v>0</v>
      </c>
      <c r="Q30" s="23">
        <f t="shared" si="1"/>
        <v>1</v>
      </c>
      <c r="R30">
        <v>97</v>
      </c>
    </row>
    <row r="31" spans="1:18" hidden="1" x14ac:dyDescent="0.25">
      <c r="A31" t="s">
        <v>880</v>
      </c>
      <c r="B31" t="s">
        <v>12</v>
      </c>
      <c r="C31" t="s">
        <v>596</v>
      </c>
      <c r="D31" t="s">
        <v>879</v>
      </c>
      <c r="E31" t="s">
        <v>103</v>
      </c>
      <c r="F31" t="str">
        <f t="shared" si="2"/>
        <v>Bangladesh:Male Condom</v>
      </c>
      <c r="G31" s="611">
        <f t="shared" si="0"/>
        <v>0.15000000000000002</v>
      </c>
      <c r="H31" s="23">
        <v>0.05</v>
      </c>
      <c r="I31" s="23">
        <v>0.1</v>
      </c>
      <c r="J31" s="23">
        <v>0.02</v>
      </c>
      <c r="K31" s="23">
        <v>0.76</v>
      </c>
      <c r="L31" s="23">
        <v>0</v>
      </c>
      <c r="M31" s="23">
        <v>7.0000000000000007E-2</v>
      </c>
      <c r="N31" s="23">
        <v>0</v>
      </c>
      <c r="O31" s="818">
        <v>0</v>
      </c>
      <c r="P31" s="818">
        <v>0</v>
      </c>
      <c r="Q31" s="23">
        <f t="shared" si="1"/>
        <v>1</v>
      </c>
      <c r="R31" s="2">
        <v>1109</v>
      </c>
    </row>
    <row r="32" spans="1:18" hidden="1" x14ac:dyDescent="0.25">
      <c r="A32" t="s">
        <v>880</v>
      </c>
      <c r="B32" t="s">
        <v>12</v>
      </c>
      <c r="C32" t="s">
        <v>596</v>
      </c>
      <c r="D32" t="s">
        <v>879</v>
      </c>
      <c r="E32" t="s">
        <v>129</v>
      </c>
      <c r="F32" t="str">
        <f t="shared" si="2"/>
        <v>Bangladesh:Male Sterilization</v>
      </c>
      <c r="G32" s="611">
        <f t="shared" si="0"/>
        <v>0.84</v>
      </c>
      <c r="H32" s="23">
        <v>0.42</v>
      </c>
      <c r="I32" s="23">
        <v>0.42</v>
      </c>
      <c r="J32" s="23">
        <v>0.03</v>
      </c>
      <c r="K32" s="23">
        <v>7.0000000000000007E-2</v>
      </c>
      <c r="L32" s="23">
        <v>0</v>
      </c>
      <c r="M32" s="23">
        <v>0</v>
      </c>
      <c r="N32" s="23">
        <v>0</v>
      </c>
      <c r="O32" s="818">
        <v>0.05</v>
      </c>
      <c r="P32" s="818">
        <v>0</v>
      </c>
      <c r="Q32" s="23">
        <f t="shared" si="1"/>
        <v>0.94</v>
      </c>
      <c r="R32">
        <v>212</v>
      </c>
    </row>
    <row r="33" spans="1:19" hidden="1" x14ac:dyDescent="0.25">
      <c r="A33" s="119" t="s">
        <v>880</v>
      </c>
      <c r="B33" t="s">
        <v>12</v>
      </c>
      <c r="C33" t="s">
        <v>596</v>
      </c>
      <c r="D33" t="s">
        <v>879</v>
      </c>
      <c r="E33" t="s">
        <v>110</v>
      </c>
      <c r="F33" t="str">
        <f t="shared" si="2"/>
        <v>Bangladesh:OC Pills</v>
      </c>
      <c r="G33" s="611">
        <f t="shared" si="0"/>
        <v>0.42</v>
      </c>
      <c r="H33" s="502">
        <v>0.06</v>
      </c>
      <c r="I33" s="502">
        <v>0.36</v>
      </c>
      <c r="J33" s="502">
        <v>0.03</v>
      </c>
      <c r="K33" s="502">
        <v>0.49</v>
      </c>
      <c r="L33" s="502">
        <v>0</v>
      </c>
      <c r="M33" s="502">
        <v>0.05</v>
      </c>
      <c r="N33" s="502">
        <v>0</v>
      </c>
      <c r="O33" s="818">
        <v>0</v>
      </c>
      <c r="P33" s="818">
        <v>0</v>
      </c>
      <c r="Q33" s="23">
        <f t="shared" si="1"/>
        <v>0.99</v>
      </c>
      <c r="R33" s="501">
        <v>4504</v>
      </c>
    </row>
    <row r="34" spans="1:19" hidden="1" x14ac:dyDescent="0.25">
      <c r="A34" t="s">
        <v>880</v>
      </c>
      <c r="B34" t="s">
        <v>12</v>
      </c>
      <c r="C34" t="s">
        <v>596</v>
      </c>
      <c r="D34" t="s">
        <v>879</v>
      </c>
      <c r="E34" t="s">
        <v>130</v>
      </c>
      <c r="F34" t="str">
        <f t="shared" si="2"/>
        <v>Bangladesh:Other Modern Methods</v>
      </c>
      <c r="G34" s="611" t="e">
        <f t="shared" si="0"/>
        <v>#N/A</v>
      </c>
      <c r="H34" t="e">
        <f>NA()</f>
        <v>#N/A</v>
      </c>
      <c r="I34" t="e">
        <f>NA()</f>
        <v>#N/A</v>
      </c>
      <c r="J34" t="e">
        <f>NA()</f>
        <v>#N/A</v>
      </c>
      <c r="K34" t="e">
        <f>NA()</f>
        <v>#N/A</v>
      </c>
      <c r="L34" t="e">
        <f>NA()</f>
        <v>#N/A</v>
      </c>
      <c r="M34" t="e">
        <f>NA()</f>
        <v>#N/A</v>
      </c>
      <c r="N34" t="e">
        <f>NA()</f>
        <v>#N/A</v>
      </c>
      <c r="O34" s="818" t="e">
        <f>NA()</f>
        <v>#N/A</v>
      </c>
      <c r="P34" s="818" t="e">
        <f>NA()</f>
        <v>#N/A</v>
      </c>
      <c r="Q34" s="23" t="str">
        <f t="shared" si="1"/>
        <v>Sample Too Small</v>
      </c>
      <c r="R34" s="10">
        <v>0</v>
      </c>
    </row>
    <row r="35" spans="1:19" hidden="1" x14ac:dyDescent="0.25">
      <c r="A35" t="s">
        <v>1154</v>
      </c>
      <c r="B35" t="s">
        <v>13</v>
      </c>
      <c r="C35" t="s">
        <v>1034</v>
      </c>
      <c r="D35" t="s">
        <v>282</v>
      </c>
      <c r="E35" t="s">
        <v>108</v>
      </c>
      <c r="F35" t="str">
        <f t="shared" ref="F35:F43" si="4">B35&amp;":"&amp;E35</f>
        <v>Benin:EC</v>
      </c>
      <c r="G35" s="611" t="e">
        <f t="shared" ref="G35:G43" si="5">SUM(H35:I35)</f>
        <v>#N/A</v>
      </c>
      <c r="H35" s="815" t="e">
        <f>NA()</f>
        <v>#N/A</v>
      </c>
      <c r="I35" s="815" t="e">
        <f>NA()</f>
        <v>#N/A</v>
      </c>
      <c r="J35" s="815" t="e">
        <f>NA()</f>
        <v>#N/A</v>
      </c>
      <c r="K35" s="815" t="e">
        <f>NA()</f>
        <v>#N/A</v>
      </c>
      <c r="L35" s="815" t="e">
        <f>NA()</f>
        <v>#N/A</v>
      </c>
      <c r="M35" s="815" t="e">
        <f>NA()</f>
        <v>#N/A</v>
      </c>
      <c r="N35" s="815" t="e">
        <f>NA()</f>
        <v>#N/A</v>
      </c>
      <c r="O35" s="819" t="e">
        <f>NA()</f>
        <v>#N/A</v>
      </c>
      <c r="P35" s="819" t="e">
        <f>NA()</f>
        <v>#N/A</v>
      </c>
      <c r="Q35" s="23" t="str">
        <f t="shared" si="1"/>
        <v>Sample Too Small</v>
      </c>
      <c r="R35">
        <v>13</v>
      </c>
      <c r="S35" t="str">
        <f t="shared" ref="S35:S43" si="6">IF(R35&lt;25, "Sample too small", "")</f>
        <v>Sample too small</v>
      </c>
    </row>
    <row r="36" spans="1:19" hidden="1" x14ac:dyDescent="0.25">
      <c r="A36" t="s">
        <v>1154</v>
      </c>
      <c r="B36" t="s">
        <v>13</v>
      </c>
      <c r="C36" t="s">
        <v>1034</v>
      </c>
      <c r="D36" t="s">
        <v>282</v>
      </c>
      <c r="E36" t="s">
        <v>128</v>
      </c>
      <c r="F36" t="str">
        <f t="shared" si="4"/>
        <v>Benin:Female Sterilization</v>
      </c>
      <c r="G36" s="611" t="e">
        <f t="shared" si="5"/>
        <v>#N/A</v>
      </c>
      <c r="H36" s="815" t="e">
        <f>NA()</f>
        <v>#N/A</v>
      </c>
      <c r="I36" s="815" t="e">
        <f>NA()</f>
        <v>#N/A</v>
      </c>
      <c r="J36" s="815" t="e">
        <f>NA()</f>
        <v>#N/A</v>
      </c>
      <c r="K36" s="815" t="e">
        <f>NA()</f>
        <v>#N/A</v>
      </c>
      <c r="L36" s="815" t="e">
        <f>NA()</f>
        <v>#N/A</v>
      </c>
      <c r="M36" s="815" t="e">
        <f>NA()</f>
        <v>#N/A</v>
      </c>
      <c r="N36" s="815" t="e">
        <f>NA()</f>
        <v>#N/A</v>
      </c>
      <c r="O36" s="819" t="e">
        <f>NA()</f>
        <v>#N/A</v>
      </c>
      <c r="P36" s="819" t="e">
        <f>NA()</f>
        <v>#N/A</v>
      </c>
      <c r="Q36" s="23" t="str">
        <f t="shared" si="1"/>
        <v>Sample Too Small</v>
      </c>
      <c r="R36">
        <v>20</v>
      </c>
      <c r="S36" t="str">
        <f t="shared" si="6"/>
        <v>Sample too small</v>
      </c>
    </row>
    <row r="37" spans="1:19" hidden="1" x14ac:dyDescent="0.25">
      <c r="A37" t="s">
        <v>1154</v>
      </c>
      <c r="B37" t="s">
        <v>13</v>
      </c>
      <c r="C37" t="s">
        <v>1034</v>
      </c>
      <c r="D37" t="s">
        <v>282</v>
      </c>
      <c r="E37" t="s">
        <v>3</v>
      </c>
      <c r="F37" t="str">
        <f t="shared" si="4"/>
        <v>Benin:Implant</v>
      </c>
      <c r="G37" s="611">
        <f t="shared" si="5"/>
        <v>0.91</v>
      </c>
      <c r="H37" s="815">
        <v>0.89800000000000002</v>
      </c>
      <c r="I37" s="815">
        <v>1.2E-2</v>
      </c>
      <c r="J37" s="815">
        <v>2.5999999999999999E-2</v>
      </c>
      <c r="K37" s="815">
        <v>6.3E-2</v>
      </c>
      <c r="L37" s="815">
        <v>0</v>
      </c>
      <c r="M37" s="815">
        <v>0</v>
      </c>
      <c r="N37" s="815">
        <v>0</v>
      </c>
      <c r="O37" s="819">
        <v>0</v>
      </c>
      <c r="P37" s="819">
        <v>0</v>
      </c>
      <c r="Q37" s="23">
        <f t="shared" si="1"/>
        <v>0.99900000000000011</v>
      </c>
      <c r="R37">
        <v>724</v>
      </c>
      <c r="S37" t="str">
        <f t="shared" si="6"/>
        <v/>
      </c>
    </row>
    <row r="38" spans="1:19" hidden="1" x14ac:dyDescent="0.25">
      <c r="A38" t="s">
        <v>1154</v>
      </c>
      <c r="B38" t="s">
        <v>13</v>
      </c>
      <c r="C38" t="s">
        <v>1034</v>
      </c>
      <c r="D38" t="s">
        <v>282</v>
      </c>
      <c r="E38" t="s">
        <v>2</v>
      </c>
      <c r="F38" t="str">
        <f t="shared" si="4"/>
        <v>Benin:Injectable</v>
      </c>
      <c r="G38" s="611">
        <f t="shared" si="5"/>
        <v>0.80900000000000005</v>
      </c>
      <c r="H38" s="815">
        <v>0.78500000000000003</v>
      </c>
      <c r="I38" s="815">
        <v>2.4E-2</v>
      </c>
      <c r="J38" s="815">
        <v>3.4000000000000002E-2</v>
      </c>
      <c r="K38" s="815">
        <v>0.158</v>
      </c>
      <c r="L38" s="815">
        <v>0</v>
      </c>
      <c r="M38" s="815">
        <v>0</v>
      </c>
      <c r="N38" s="815">
        <v>0</v>
      </c>
      <c r="O38" s="819">
        <v>0</v>
      </c>
      <c r="P38" s="819">
        <v>0</v>
      </c>
      <c r="Q38" s="23">
        <f t="shared" si="1"/>
        <v>1.0010000000000001</v>
      </c>
      <c r="R38">
        <v>296</v>
      </c>
      <c r="S38" t="str">
        <f t="shared" si="6"/>
        <v/>
      </c>
    </row>
    <row r="39" spans="1:19" hidden="1" x14ac:dyDescent="0.25">
      <c r="A39" t="s">
        <v>1154</v>
      </c>
      <c r="B39" t="s">
        <v>13</v>
      </c>
      <c r="C39" t="s">
        <v>1034</v>
      </c>
      <c r="D39" t="s">
        <v>282</v>
      </c>
      <c r="E39" t="s">
        <v>5</v>
      </c>
      <c r="F39" t="str">
        <f t="shared" si="4"/>
        <v>Benin:IUD</v>
      </c>
      <c r="G39" s="611">
        <f t="shared" si="5"/>
        <v>0.63900000000000001</v>
      </c>
      <c r="H39" s="815">
        <v>0.63400000000000001</v>
      </c>
      <c r="I39" s="815">
        <v>5.0000000000000001E-3</v>
      </c>
      <c r="J39" s="815">
        <v>7.2999999999999995E-2</v>
      </c>
      <c r="K39" s="815">
        <v>0.28899999999999998</v>
      </c>
      <c r="L39" s="815">
        <v>0</v>
      </c>
      <c r="M39" s="815">
        <v>0</v>
      </c>
      <c r="N39" s="815">
        <v>0</v>
      </c>
      <c r="O39" s="819">
        <v>0</v>
      </c>
      <c r="P39" s="819">
        <v>0</v>
      </c>
      <c r="Q39" s="23">
        <f t="shared" si="1"/>
        <v>1.0009999999999999</v>
      </c>
      <c r="R39">
        <v>202</v>
      </c>
      <c r="S39" t="str">
        <f t="shared" si="6"/>
        <v/>
      </c>
    </row>
    <row r="40" spans="1:19" hidden="1" x14ac:dyDescent="0.25">
      <c r="A40" t="s">
        <v>1154</v>
      </c>
      <c r="B40" t="s">
        <v>13</v>
      </c>
      <c r="C40" t="s">
        <v>1034</v>
      </c>
      <c r="D40" t="s">
        <v>282</v>
      </c>
      <c r="E40" t="s">
        <v>103</v>
      </c>
      <c r="F40" t="str">
        <f t="shared" si="4"/>
        <v>Benin:Male Condom</v>
      </c>
      <c r="G40" s="611">
        <f t="shared" si="5"/>
        <v>7.6999999999999999E-2</v>
      </c>
      <c r="H40" s="815">
        <v>6.0999999999999999E-2</v>
      </c>
      <c r="I40" s="815">
        <v>1.6E-2</v>
      </c>
      <c r="J40" s="815">
        <v>5.0000000000000001E-3</v>
      </c>
      <c r="K40" s="815">
        <v>8.9999999999999993E-3</v>
      </c>
      <c r="L40" s="815">
        <v>0.498</v>
      </c>
      <c r="M40" s="815">
        <v>0.33500000000000002</v>
      </c>
      <c r="N40" s="815">
        <v>7.6999999999999999E-2</v>
      </c>
      <c r="O40" s="819">
        <v>0</v>
      </c>
      <c r="P40" s="819">
        <v>0</v>
      </c>
      <c r="Q40" s="23">
        <f t="shared" si="1"/>
        <v>1.0009999999999999</v>
      </c>
      <c r="R40">
        <v>343</v>
      </c>
      <c r="S40" t="str">
        <f t="shared" si="6"/>
        <v/>
      </c>
    </row>
    <row r="41" spans="1:19" hidden="1" x14ac:dyDescent="0.25">
      <c r="A41" t="s">
        <v>1154</v>
      </c>
      <c r="B41" t="s">
        <v>13</v>
      </c>
      <c r="C41" t="s">
        <v>1034</v>
      </c>
      <c r="D41" t="s">
        <v>282</v>
      </c>
      <c r="E41" t="s">
        <v>110</v>
      </c>
      <c r="F41" t="str">
        <f t="shared" si="4"/>
        <v>Benin:OC Pills</v>
      </c>
      <c r="G41" s="611">
        <f t="shared" si="5"/>
        <v>0.313</v>
      </c>
      <c r="H41" s="815">
        <v>0.31</v>
      </c>
      <c r="I41" s="815">
        <v>3.0000000000000001E-3</v>
      </c>
      <c r="J41" s="815">
        <v>0</v>
      </c>
      <c r="K41" s="815">
        <v>0.05</v>
      </c>
      <c r="L41" s="815">
        <v>0.63700000000000001</v>
      </c>
      <c r="M41" s="815">
        <v>0</v>
      </c>
      <c r="N41" s="815">
        <v>0</v>
      </c>
      <c r="O41" s="819">
        <v>0</v>
      </c>
      <c r="P41" s="819">
        <v>0</v>
      </c>
      <c r="Q41" s="23">
        <f t="shared" si="1"/>
        <v>1</v>
      </c>
      <c r="R41">
        <v>207</v>
      </c>
      <c r="S41" t="str">
        <f t="shared" si="6"/>
        <v/>
      </c>
    </row>
    <row r="42" spans="1:19" hidden="1" x14ac:dyDescent="0.25">
      <c r="A42" t="s">
        <v>1154</v>
      </c>
      <c r="B42" t="s">
        <v>13</v>
      </c>
      <c r="C42" t="s">
        <v>1034</v>
      </c>
      <c r="D42" t="s">
        <v>282</v>
      </c>
      <c r="E42" t="s">
        <v>1153</v>
      </c>
      <c r="F42" t="str">
        <f t="shared" si="4"/>
        <v>Benin:Other Modern Method</v>
      </c>
      <c r="G42" s="611" t="e">
        <f t="shared" si="5"/>
        <v>#N/A</v>
      </c>
      <c r="H42" s="815" t="e">
        <f>NA()</f>
        <v>#N/A</v>
      </c>
      <c r="I42" s="815" t="e">
        <f>NA()</f>
        <v>#N/A</v>
      </c>
      <c r="J42" s="815" t="e">
        <f>NA()</f>
        <v>#N/A</v>
      </c>
      <c r="K42" s="815" t="e">
        <f>NA()</f>
        <v>#N/A</v>
      </c>
      <c r="L42" s="815" t="e">
        <f>NA()</f>
        <v>#N/A</v>
      </c>
      <c r="M42" s="815" t="e">
        <f>NA()</f>
        <v>#N/A</v>
      </c>
      <c r="N42" s="815" t="e">
        <f>NA()</f>
        <v>#N/A</v>
      </c>
      <c r="O42" s="819" t="e">
        <f>NA()</f>
        <v>#N/A</v>
      </c>
      <c r="P42" s="819" t="e">
        <f>NA()</f>
        <v>#N/A</v>
      </c>
      <c r="Q42" s="23" t="str">
        <f t="shared" si="1"/>
        <v>Sample Too Small</v>
      </c>
      <c r="R42">
        <v>2</v>
      </c>
      <c r="S42" t="str">
        <f t="shared" si="6"/>
        <v>Sample too small</v>
      </c>
    </row>
    <row r="43" spans="1:19" hidden="1" x14ac:dyDescent="0.25">
      <c r="A43" t="s">
        <v>1154</v>
      </c>
      <c r="B43" t="s">
        <v>13</v>
      </c>
      <c r="C43" t="s">
        <v>1034</v>
      </c>
      <c r="D43" t="s">
        <v>282</v>
      </c>
      <c r="E43" t="s">
        <v>967</v>
      </c>
      <c r="F43" t="str">
        <f t="shared" si="4"/>
        <v>Benin:standard days method (sdm)</v>
      </c>
      <c r="G43" s="611">
        <f t="shared" si="5"/>
        <v>0.186</v>
      </c>
      <c r="H43" s="815">
        <v>0.16300000000000001</v>
      </c>
      <c r="I43" s="815">
        <v>2.3E-2</v>
      </c>
      <c r="J43" s="815">
        <v>3.2000000000000001E-2</v>
      </c>
      <c r="K43" s="815">
        <v>0.107</v>
      </c>
      <c r="L43" s="815">
        <v>4.2000000000000003E-2</v>
      </c>
      <c r="M43" s="815">
        <v>0.254</v>
      </c>
      <c r="N43" s="815">
        <v>0.378</v>
      </c>
      <c r="O43" s="819">
        <v>0</v>
      </c>
      <c r="P43" s="819">
        <v>0</v>
      </c>
      <c r="Q43" s="23">
        <f t="shared" si="1"/>
        <v>0.999</v>
      </c>
      <c r="R43">
        <v>57</v>
      </c>
      <c r="S43" t="str">
        <f t="shared" si="6"/>
        <v/>
      </c>
    </row>
    <row r="44" spans="1:19" hidden="1" x14ac:dyDescent="0.25">
      <c r="A44" t="s">
        <v>881</v>
      </c>
      <c r="B44" t="s">
        <v>15</v>
      </c>
      <c r="C44" t="s">
        <v>598</v>
      </c>
      <c r="D44" t="s">
        <v>282</v>
      </c>
      <c r="E44" t="s">
        <v>128</v>
      </c>
      <c r="F44" t="str">
        <f t="shared" si="2"/>
        <v>Bolivia:Female Sterilization</v>
      </c>
      <c r="G44" s="611">
        <f t="shared" ref="G44:G75" si="7">SUM(H44:I44)</f>
        <v>0.69</v>
      </c>
      <c r="H44" s="23">
        <v>0.69</v>
      </c>
      <c r="I44" s="23">
        <v>0</v>
      </c>
      <c r="J44" s="23">
        <v>7.0000000000000007E-2</v>
      </c>
      <c r="K44" s="23">
        <v>0.24</v>
      </c>
      <c r="L44" s="23">
        <v>0</v>
      </c>
      <c r="M44" s="23">
        <v>0</v>
      </c>
      <c r="N44" s="23">
        <v>0</v>
      </c>
      <c r="O44" s="818">
        <v>0</v>
      </c>
      <c r="P44" s="818">
        <v>0</v>
      </c>
      <c r="Q44" s="23">
        <f t="shared" si="1"/>
        <v>1</v>
      </c>
      <c r="R44">
        <v>810</v>
      </c>
    </row>
    <row r="45" spans="1:19" hidden="1" x14ac:dyDescent="0.25">
      <c r="A45" t="s">
        <v>881</v>
      </c>
      <c r="B45" t="s">
        <v>15</v>
      </c>
      <c r="C45" t="s">
        <v>598</v>
      </c>
      <c r="D45" t="s">
        <v>282</v>
      </c>
      <c r="E45" t="s">
        <v>3</v>
      </c>
      <c r="F45" t="str">
        <f t="shared" si="2"/>
        <v>Bolivia:Implant</v>
      </c>
      <c r="G45" s="611" t="e">
        <f t="shared" si="7"/>
        <v>#N/A</v>
      </c>
      <c r="H45" t="e">
        <f>NA()</f>
        <v>#N/A</v>
      </c>
      <c r="I45" t="e">
        <f>NA()</f>
        <v>#N/A</v>
      </c>
      <c r="J45" t="e">
        <f>NA()</f>
        <v>#N/A</v>
      </c>
      <c r="K45" t="e">
        <f>NA()</f>
        <v>#N/A</v>
      </c>
      <c r="L45" t="e">
        <f>NA()</f>
        <v>#N/A</v>
      </c>
      <c r="M45" t="e">
        <f>NA()</f>
        <v>#N/A</v>
      </c>
      <c r="N45" t="e">
        <f>NA()</f>
        <v>#N/A</v>
      </c>
      <c r="O45" s="818" t="e">
        <f>NA()</f>
        <v>#N/A</v>
      </c>
      <c r="P45" s="818" t="e">
        <f>NA()</f>
        <v>#N/A</v>
      </c>
      <c r="Q45" s="23" t="str">
        <f t="shared" si="1"/>
        <v>Sample Too Small</v>
      </c>
      <c r="R45" s="10">
        <v>0</v>
      </c>
    </row>
    <row r="46" spans="1:19" hidden="1" x14ac:dyDescent="0.25">
      <c r="A46" t="s">
        <v>881</v>
      </c>
      <c r="B46" t="s">
        <v>15</v>
      </c>
      <c r="C46" t="s">
        <v>598</v>
      </c>
      <c r="D46" t="s">
        <v>282</v>
      </c>
      <c r="E46" t="s">
        <v>2</v>
      </c>
      <c r="F46" t="str">
        <f t="shared" si="2"/>
        <v>Bolivia:Injectable</v>
      </c>
      <c r="G46" s="611">
        <f t="shared" si="7"/>
        <v>0.66</v>
      </c>
      <c r="H46" s="23">
        <v>0.65</v>
      </c>
      <c r="I46" s="23">
        <v>0.01</v>
      </c>
      <c r="J46" s="23">
        <v>0.04</v>
      </c>
      <c r="K46" s="23">
        <v>0.03</v>
      </c>
      <c r="L46" s="23">
        <v>0.26</v>
      </c>
      <c r="M46" s="23">
        <v>0.01</v>
      </c>
      <c r="N46" s="23">
        <v>0.01</v>
      </c>
      <c r="O46" s="818">
        <v>0</v>
      </c>
      <c r="P46" s="818">
        <v>0</v>
      </c>
      <c r="Q46" s="23">
        <f t="shared" si="1"/>
        <v>1.01</v>
      </c>
      <c r="R46" s="2">
        <v>1359</v>
      </c>
    </row>
    <row r="47" spans="1:19" hidden="1" x14ac:dyDescent="0.25">
      <c r="A47" t="s">
        <v>881</v>
      </c>
      <c r="B47" t="s">
        <v>15</v>
      </c>
      <c r="C47" t="s">
        <v>598</v>
      </c>
      <c r="D47" t="s">
        <v>282</v>
      </c>
      <c r="E47" t="s">
        <v>5</v>
      </c>
      <c r="F47" t="str">
        <f t="shared" si="2"/>
        <v>Bolivia:IUD</v>
      </c>
      <c r="G47" s="611">
        <f t="shared" si="7"/>
        <v>0.51</v>
      </c>
      <c r="H47" s="23">
        <v>0.5</v>
      </c>
      <c r="I47" s="23">
        <v>0.01</v>
      </c>
      <c r="J47" s="23">
        <v>0.18</v>
      </c>
      <c r="K47" s="23">
        <v>0.3</v>
      </c>
      <c r="L47" s="23">
        <v>0.01</v>
      </c>
      <c r="M47" s="23">
        <v>0</v>
      </c>
      <c r="N47" s="23">
        <v>0</v>
      </c>
      <c r="O47" s="818">
        <v>0</v>
      </c>
      <c r="P47" s="818">
        <v>0.01</v>
      </c>
      <c r="Q47" s="23">
        <f t="shared" si="1"/>
        <v>1</v>
      </c>
      <c r="R47">
        <v>962</v>
      </c>
    </row>
    <row r="48" spans="1:19" hidden="1" x14ac:dyDescent="0.25">
      <c r="A48" t="s">
        <v>881</v>
      </c>
      <c r="B48" t="s">
        <v>15</v>
      </c>
      <c r="C48" t="s">
        <v>598</v>
      </c>
      <c r="D48" t="s">
        <v>282</v>
      </c>
      <c r="E48" t="s">
        <v>103</v>
      </c>
      <c r="F48" t="str">
        <f t="shared" si="2"/>
        <v>Bolivia:Male Condom</v>
      </c>
      <c r="G48" s="611">
        <f t="shared" si="7"/>
        <v>0.04</v>
      </c>
      <c r="H48" s="23">
        <v>0.04</v>
      </c>
      <c r="I48" s="23">
        <v>0</v>
      </c>
      <c r="J48" s="23">
        <v>0.02</v>
      </c>
      <c r="K48" s="23">
        <v>0.01</v>
      </c>
      <c r="L48" s="23">
        <v>0.8</v>
      </c>
      <c r="M48" s="23">
        <v>0.02</v>
      </c>
      <c r="N48" s="23">
        <v>0.03</v>
      </c>
      <c r="O48" s="818">
        <v>0.08</v>
      </c>
      <c r="P48" s="818">
        <v>0</v>
      </c>
      <c r="Q48" s="23">
        <f t="shared" si="1"/>
        <v>0.92</v>
      </c>
      <c r="R48">
        <v>649</v>
      </c>
    </row>
    <row r="49" spans="1:18" hidden="1" x14ac:dyDescent="0.25">
      <c r="A49" t="s">
        <v>881</v>
      </c>
      <c r="B49" t="s">
        <v>15</v>
      </c>
      <c r="C49" t="s">
        <v>598</v>
      </c>
      <c r="D49" t="s">
        <v>282</v>
      </c>
      <c r="E49" t="s">
        <v>129</v>
      </c>
      <c r="F49" t="str">
        <f t="shared" si="2"/>
        <v>Bolivia:Male Sterilization</v>
      </c>
      <c r="G49" s="611" t="e">
        <f t="shared" si="7"/>
        <v>#N/A</v>
      </c>
      <c r="H49" t="e">
        <f>NA()</f>
        <v>#N/A</v>
      </c>
      <c r="I49" t="e">
        <f>NA()</f>
        <v>#N/A</v>
      </c>
      <c r="J49" t="e">
        <f>NA()</f>
        <v>#N/A</v>
      </c>
      <c r="K49" t="e">
        <f>NA()</f>
        <v>#N/A</v>
      </c>
      <c r="L49" t="e">
        <f>NA()</f>
        <v>#N/A</v>
      </c>
      <c r="M49" t="e">
        <f>NA()</f>
        <v>#N/A</v>
      </c>
      <c r="N49" t="e">
        <f>NA()</f>
        <v>#N/A</v>
      </c>
      <c r="O49" s="818" t="e">
        <f>NA()</f>
        <v>#N/A</v>
      </c>
      <c r="P49" s="818" t="e">
        <f>NA()</f>
        <v>#N/A</v>
      </c>
      <c r="Q49" s="23" t="str">
        <f t="shared" si="1"/>
        <v>Sample Too Small</v>
      </c>
      <c r="R49" s="10">
        <v>10</v>
      </c>
    </row>
    <row r="50" spans="1:18" hidden="1" x14ac:dyDescent="0.25">
      <c r="A50" s="119" t="s">
        <v>881</v>
      </c>
      <c r="B50" t="s">
        <v>15</v>
      </c>
      <c r="C50" t="s">
        <v>598</v>
      </c>
      <c r="D50" t="s">
        <v>282</v>
      </c>
      <c r="E50" t="s">
        <v>110</v>
      </c>
      <c r="F50" t="str">
        <f t="shared" si="2"/>
        <v>Bolivia:OC Pills</v>
      </c>
      <c r="G50" s="611">
        <f t="shared" si="7"/>
        <v>0.27</v>
      </c>
      <c r="H50" s="502">
        <v>0.26</v>
      </c>
      <c r="I50" s="502">
        <v>0.01</v>
      </c>
      <c r="J50" s="502">
        <v>0.04</v>
      </c>
      <c r="K50" s="502">
        <v>0.02</v>
      </c>
      <c r="L50" s="502">
        <v>0.65</v>
      </c>
      <c r="M50" s="502">
        <v>0.01</v>
      </c>
      <c r="N50" s="502">
        <v>0.01</v>
      </c>
      <c r="O50" s="818">
        <v>0</v>
      </c>
      <c r="P50" s="818">
        <v>0</v>
      </c>
      <c r="Q50" s="23">
        <f t="shared" si="1"/>
        <v>1</v>
      </c>
      <c r="R50" s="119">
        <v>459</v>
      </c>
    </row>
    <row r="51" spans="1:18" hidden="1" x14ac:dyDescent="0.25">
      <c r="A51" t="s">
        <v>881</v>
      </c>
      <c r="B51" t="s">
        <v>15</v>
      </c>
      <c r="C51" t="s">
        <v>598</v>
      </c>
      <c r="D51" t="s">
        <v>282</v>
      </c>
      <c r="E51" t="s">
        <v>130</v>
      </c>
      <c r="F51" t="str">
        <f t="shared" si="2"/>
        <v>Bolivia:Other Modern Methods</v>
      </c>
      <c r="G51" s="611" t="e">
        <f t="shared" si="7"/>
        <v>#N/A</v>
      </c>
      <c r="H51" t="e">
        <f>NA()</f>
        <v>#N/A</v>
      </c>
      <c r="I51" t="e">
        <f>NA()</f>
        <v>#N/A</v>
      </c>
      <c r="J51" t="e">
        <f>NA()</f>
        <v>#N/A</v>
      </c>
      <c r="K51" t="e">
        <f>NA()</f>
        <v>#N/A</v>
      </c>
      <c r="L51" t="e">
        <f>NA()</f>
        <v>#N/A</v>
      </c>
      <c r="M51" t="e">
        <f>NA()</f>
        <v>#N/A</v>
      </c>
      <c r="N51" t="e">
        <f>NA()</f>
        <v>#N/A</v>
      </c>
      <c r="O51" s="818" t="e">
        <f>NA()</f>
        <v>#N/A</v>
      </c>
      <c r="P51" s="818" t="e">
        <f>NA()</f>
        <v>#N/A</v>
      </c>
      <c r="Q51" s="23" t="str">
        <f t="shared" si="1"/>
        <v>Sample Too Small</v>
      </c>
      <c r="R51" s="10">
        <v>9</v>
      </c>
    </row>
    <row r="52" spans="1:18" hidden="1" x14ac:dyDescent="0.25">
      <c r="A52" t="s">
        <v>882</v>
      </c>
      <c r="B52" t="s">
        <v>16</v>
      </c>
      <c r="C52" t="s">
        <v>594</v>
      </c>
      <c r="D52" t="s">
        <v>282</v>
      </c>
      <c r="E52" t="s">
        <v>128</v>
      </c>
      <c r="F52" t="str">
        <f t="shared" si="2"/>
        <v>Burkina Faso:Female Sterilization</v>
      </c>
      <c r="G52" s="611">
        <f t="shared" si="7"/>
        <v>0.94</v>
      </c>
      <c r="H52" s="23">
        <v>0.94</v>
      </c>
      <c r="I52" s="23">
        <v>0</v>
      </c>
      <c r="J52" s="23">
        <v>0</v>
      </c>
      <c r="K52" s="23">
        <v>0.06</v>
      </c>
      <c r="L52" s="23">
        <v>0</v>
      </c>
      <c r="M52" s="23">
        <v>0</v>
      </c>
      <c r="N52" s="23">
        <v>0</v>
      </c>
      <c r="O52" s="818">
        <v>0</v>
      </c>
      <c r="P52" s="818">
        <v>0</v>
      </c>
      <c r="Q52" s="23">
        <f t="shared" si="1"/>
        <v>1</v>
      </c>
      <c r="R52">
        <v>25</v>
      </c>
    </row>
    <row r="53" spans="1:18" hidden="1" x14ac:dyDescent="0.25">
      <c r="A53" t="s">
        <v>882</v>
      </c>
      <c r="B53" t="s">
        <v>16</v>
      </c>
      <c r="C53" t="s">
        <v>594</v>
      </c>
      <c r="D53" t="s">
        <v>282</v>
      </c>
      <c r="E53" t="s">
        <v>3</v>
      </c>
      <c r="F53" t="str">
        <f t="shared" si="2"/>
        <v>Burkina Faso:Implant</v>
      </c>
      <c r="G53" s="611">
        <f t="shared" si="7"/>
        <v>0.97872340425531912</v>
      </c>
      <c r="H53" s="23">
        <v>0.97872340425531912</v>
      </c>
      <c r="I53" s="23">
        <v>0</v>
      </c>
      <c r="J53" s="23">
        <v>0</v>
      </c>
      <c r="K53" s="23">
        <v>1.0638297872340425E-2</v>
      </c>
      <c r="L53" s="23">
        <v>0</v>
      </c>
      <c r="M53" s="23">
        <v>1.0638297872340425E-2</v>
      </c>
      <c r="N53" s="23">
        <v>0</v>
      </c>
      <c r="O53" s="818">
        <v>0</v>
      </c>
      <c r="P53" s="818">
        <v>0.06</v>
      </c>
      <c r="Q53" s="23">
        <f t="shared" si="1"/>
        <v>0.99999999999999989</v>
      </c>
      <c r="R53">
        <v>543</v>
      </c>
    </row>
    <row r="54" spans="1:18" hidden="1" x14ac:dyDescent="0.25">
      <c r="A54" t="s">
        <v>882</v>
      </c>
      <c r="B54" t="s">
        <v>16</v>
      </c>
      <c r="C54" t="s">
        <v>594</v>
      </c>
      <c r="D54" t="s">
        <v>282</v>
      </c>
      <c r="E54" t="s">
        <v>2</v>
      </c>
      <c r="F54" t="str">
        <f t="shared" si="2"/>
        <v>Burkina Faso:Injectable</v>
      </c>
      <c r="G54" s="611">
        <f t="shared" si="7"/>
        <v>0.97959183673469385</v>
      </c>
      <c r="H54" s="23">
        <v>0.97959183673469385</v>
      </c>
      <c r="I54" s="23">
        <v>0</v>
      </c>
      <c r="J54" s="23">
        <v>0</v>
      </c>
      <c r="K54" s="23">
        <v>0</v>
      </c>
      <c r="L54" s="23">
        <v>0</v>
      </c>
      <c r="M54" s="23">
        <v>2.0408163265306124E-2</v>
      </c>
      <c r="N54" s="23">
        <v>0</v>
      </c>
      <c r="O54" s="818">
        <v>0</v>
      </c>
      <c r="P54" s="818">
        <v>0.01</v>
      </c>
      <c r="Q54" s="23">
        <f t="shared" si="1"/>
        <v>1</v>
      </c>
      <c r="R54">
        <v>867</v>
      </c>
    </row>
    <row r="55" spans="1:18" hidden="1" x14ac:dyDescent="0.25">
      <c r="A55" t="s">
        <v>882</v>
      </c>
      <c r="B55" t="s">
        <v>16</v>
      </c>
      <c r="C55" t="s">
        <v>594</v>
      </c>
      <c r="D55" t="s">
        <v>282</v>
      </c>
      <c r="E55" t="s">
        <v>5</v>
      </c>
      <c r="F55" t="str">
        <f t="shared" si="2"/>
        <v>Burkina Faso:IUD</v>
      </c>
      <c r="G55" s="611">
        <f t="shared" si="7"/>
        <v>1</v>
      </c>
      <c r="H55" s="23">
        <v>0.97938144329896903</v>
      </c>
      <c r="I55" s="23">
        <v>2.0618556701030927E-2</v>
      </c>
      <c r="J55" s="23">
        <v>0</v>
      </c>
      <c r="K55" s="23">
        <v>0</v>
      </c>
      <c r="L55" s="23">
        <v>0</v>
      </c>
      <c r="M55" s="23">
        <v>0</v>
      </c>
      <c r="N55" s="23">
        <v>0</v>
      </c>
      <c r="O55" s="818">
        <v>0</v>
      </c>
      <c r="P55" s="818">
        <v>0.03</v>
      </c>
      <c r="Q55" s="23">
        <f t="shared" si="1"/>
        <v>1</v>
      </c>
      <c r="R55">
        <v>33</v>
      </c>
    </row>
    <row r="56" spans="1:18" hidden="1" x14ac:dyDescent="0.25">
      <c r="A56" t="s">
        <v>882</v>
      </c>
      <c r="B56" t="s">
        <v>16</v>
      </c>
      <c r="C56" t="s">
        <v>594</v>
      </c>
      <c r="D56" t="s">
        <v>282</v>
      </c>
      <c r="E56" t="s">
        <v>103</v>
      </c>
      <c r="F56" t="str">
        <f t="shared" si="2"/>
        <v>Burkina Faso:Male Condom</v>
      </c>
      <c r="G56" s="611">
        <f t="shared" si="7"/>
        <v>8.0808080808080815E-2</v>
      </c>
      <c r="H56" s="23">
        <v>8.0808080808080815E-2</v>
      </c>
      <c r="I56" s="23">
        <v>0</v>
      </c>
      <c r="J56" s="23">
        <v>0</v>
      </c>
      <c r="K56" s="23">
        <v>2.0202020202020204E-2</v>
      </c>
      <c r="L56" s="23">
        <v>0.38383838383838387</v>
      </c>
      <c r="M56" s="23">
        <v>0.50505050505050508</v>
      </c>
      <c r="N56" s="23">
        <v>1.0101010101010102E-2</v>
      </c>
      <c r="O56" s="818">
        <v>0</v>
      </c>
      <c r="P56" s="818">
        <v>0.01</v>
      </c>
      <c r="Q56" s="23">
        <f t="shared" si="1"/>
        <v>1</v>
      </c>
      <c r="R56">
        <v>526</v>
      </c>
    </row>
    <row r="57" spans="1:18" hidden="1" x14ac:dyDescent="0.25">
      <c r="A57" t="s">
        <v>882</v>
      </c>
      <c r="B57" t="s">
        <v>16</v>
      </c>
      <c r="C57" t="s">
        <v>594</v>
      </c>
      <c r="D57" t="s">
        <v>282</v>
      </c>
      <c r="E57" t="s">
        <v>129</v>
      </c>
      <c r="F57" t="str">
        <f t="shared" si="2"/>
        <v>Burkina Faso:Male Sterilization</v>
      </c>
      <c r="G57" s="611" t="e">
        <f t="shared" si="7"/>
        <v>#N/A</v>
      </c>
      <c r="H57" t="e">
        <f>NA()</f>
        <v>#N/A</v>
      </c>
      <c r="I57" t="e">
        <f>NA()</f>
        <v>#N/A</v>
      </c>
      <c r="J57" t="e">
        <f>NA()</f>
        <v>#N/A</v>
      </c>
      <c r="K57" t="e">
        <f>NA()</f>
        <v>#N/A</v>
      </c>
      <c r="L57" t="e">
        <f>NA()</f>
        <v>#N/A</v>
      </c>
      <c r="M57" t="e">
        <f>NA()</f>
        <v>#N/A</v>
      </c>
      <c r="N57" t="e">
        <f>NA()</f>
        <v>#N/A</v>
      </c>
      <c r="O57" s="818" t="e">
        <f>NA()</f>
        <v>#N/A</v>
      </c>
      <c r="P57" s="818" t="e">
        <f>NA()</f>
        <v>#N/A</v>
      </c>
      <c r="Q57" s="23" t="str">
        <f t="shared" si="1"/>
        <v>Sample Too Small</v>
      </c>
      <c r="R57" s="10">
        <v>0</v>
      </c>
    </row>
    <row r="58" spans="1:18" hidden="1" x14ac:dyDescent="0.25">
      <c r="A58" s="119" t="s">
        <v>882</v>
      </c>
      <c r="B58" t="s">
        <v>16</v>
      </c>
      <c r="C58" t="s">
        <v>594</v>
      </c>
      <c r="D58" t="s">
        <v>282</v>
      </c>
      <c r="E58" t="s">
        <v>110</v>
      </c>
      <c r="F58" t="str">
        <f t="shared" si="2"/>
        <v>Burkina Faso:OC Pills</v>
      </c>
      <c r="G58" s="611">
        <f t="shared" si="7"/>
        <v>0.83</v>
      </c>
      <c r="H58" s="502">
        <v>0.83</v>
      </c>
      <c r="I58" s="502">
        <v>0</v>
      </c>
      <c r="J58" s="502">
        <v>0</v>
      </c>
      <c r="K58" s="502">
        <v>0.02</v>
      </c>
      <c r="L58" s="502">
        <v>0.09</v>
      </c>
      <c r="M58" s="502">
        <v>0.05</v>
      </c>
      <c r="N58" s="502">
        <v>0.01</v>
      </c>
      <c r="O58" s="818">
        <v>0</v>
      </c>
      <c r="P58" s="818">
        <v>0.01</v>
      </c>
      <c r="Q58" s="23">
        <f t="shared" si="1"/>
        <v>1</v>
      </c>
      <c r="R58" s="119">
        <v>505</v>
      </c>
    </row>
    <row r="59" spans="1:18" hidden="1" x14ac:dyDescent="0.25">
      <c r="A59" t="s">
        <v>882</v>
      </c>
      <c r="B59" t="s">
        <v>16</v>
      </c>
      <c r="C59" t="s">
        <v>594</v>
      </c>
      <c r="D59" t="s">
        <v>282</v>
      </c>
      <c r="E59" t="s">
        <v>130</v>
      </c>
      <c r="F59" t="str">
        <f t="shared" si="2"/>
        <v>Burkina Faso:Other Modern Methods</v>
      </c>
      <c r="G59" s="611" t="e">
        <f t="shared" si="7"/>
        <v>#N/A</v>
      </c>
      <c r="H59" t="e">
        <f>NA()</f>
        <v>#N/A</v>
      </c>
      <c r="I59" t="e">
        <f>NA()</f>
        <v>#N/A</v>
      </c>
      <c r="J59" t="e">
        <f>NA()</f>
        <v>#N/A</v>
      </c>
      <c r="K59" t="e">
        <f>NA()</f>
        <v>#N/A</v>
      </c>
      <c r="L59" t="e">
        <f>NA()</f>
        <v>#N/A</v>
      </c>
      <c r="M59" t="e">
        <f>NA()</f>
        <v>#N/A</v>
      </c>
      <c r="N59" t="e">
        <f>NA()</f>
        <v>#N/A</v>
      </c>
      <c r="O59" s="818" t="e">
        <f>NA()</f>
        <v>#N/A</v>
      </c>
      <c r="P59" s="818" t="e">
        <f>NA()</f>
        <v>#N/A</v>
      </c>
      <c r="Q59" s="23" t="str">
        <f t="shared" si="1"/>
        <v>Sample Too Small</v>
      </c>
      <c r="R59" s="10">
        <v>9</v>
      </c>
    </row>
    <row r="60" spans="1:18" hidden="1" x14ac:dyDescent="0.25">
      <c r="A60" t="s">
        <v>966</v>
      </c>
      <c r="B60" t="s">
        <v>17</v>
      </c>
      <c r="C60" t="s">
        <v>714</v>
      </c>
      <c r="D60" t="s">
        <v>282</v>
      </c>
      <c r="E60" t="s">
        <v>128</v>
      </c>
      <c r="F60" t="str">
        <f t="shared" si="2"/>
        <v>Burundi:Female Sterilization</v>
      </c>
      <c r="G60" s="611">
        <f t="shared" si="7"/>
        <v>0.85499999999999998</v>
      </c>
      <c r="H60" s="610">
        <v>0.85499999999999998</v>
      </c>
      <c r="I60" s="610">
        <v>0</v>
      </c>
      <c r="J60" s="610">
        <v>7.6999999999999999E-2</v>
      </c>
      <c r="K60" s="610">
        <v>5.1999999999999998E-2</v>
      </c>
      <c r="L60" s="610">
        <v>0</v>
      </c>
      <c r="M60" s="610">
        <v>0</v>
      </c>
      <c r="N60" s="610">
        <v>1.6E-2</v>
      </c>
      <c r="O60" s="818"/>
      <c r="P60" s="818"/>
      <c r="Q60" s="23">
        <f t="shared" si="1"/>
        <v>1</v>
      </c>
      <c r="R60">
        <v>60</v>
      </c>
    </row>
    <row r="61" spans="1:18" hidden="1" x14ac:dyDescent="0.25">
      <c r="A61" t="s">
        <v>966</v>
      </c>
      <c r="B61" t="s">
        <v>17</v>
      </c>
      <c r="C61" t="s">
        <v>714</v>
      </c>
      <c r="D61" t="s">
        <v>282</v>
      </c>
      <c r="E61" t="s">
        <v>3</v>
      </c>
      <c r="F61" t="str">
        <f t="shared" si="2"/>
        <v>Burundi:Implant</v>
      </c>
      <c r="G61" s="611">
        <f t="shared" si="7"/>
        <v>0.88700000000000001</v>
      </c>
      <c r="H61" s="610">
        <v>0.88200000000000001</v>
      </c>
      <c r="I61" s="610">
        <v>5.0000000000000001E-3</v>
      </c>
      <c r="J61" s="610">
        <v>6.2E-2</v>
      </c>
      <c r="K61" s="610">
        <v>3.7999999999999999E-2</v>
      </c>
      <c r="L61" s="610">
        <v>0</v>
      </c>
      <c r="M61" s="610">
        <v>2E-3</v>
      </c>
      <c r="N61" s="610">
        <v>1.2E-2</v>
      </c>
      <c r="O61" s="818"/>
      <c r="P61" s="818"/>
      <c r="Q61" s="23">
        <f t="shared" si="1"/>
        <v>1.0010000000000001</v>
      </c>
      <c r="R61">
        <v>627</v>
      </c>
    </row>
    <row r="62" spans="1:18" hidden="1" x14ac:dyDescent="0.25">
      <c r="A62" t="s">
        <v>966</v>
      </c>
      <c r="B62" t="s">
        <v>17</v>
      </c>
      <c r="C62" t="s">
        <v>714</v>
      </c>
      <c r="D62" t="s">
        <v>282</v>
      </c>
      <c r="E62" t="s">
        <v>2</v>
      </c>
      <c r="F62" t="str">
        <f t="shared" si="2"/>
        <v>Burundi:Injectable</v>
      </c>
      <c r="G62" s="611">
        <f t="shared" si="7"/>
        <v>0.84699999999999998</v>
      </c>
      <c r="H62" s="610">
        <v>0.84599999999999997</v>
      </c>
      <c r="I62" s="610">
        <v>1E-3</v>
      </c>
      <c r="J62" s="610">
        <v>9.0999999999999998E-2</v>
      </c>
      <c r="K62" s="610">
        <v>4.8000000000000001E-2</v>
      </c>
      <c r="L62" s="610">
        <v>2E-3</v>
      </c>
      <c r="M62" s="610">
        <v>0</v>
      </c>
      <c r="N62" s="610">
        <v>1.2E-2</v>
      </c>
      <c r="O62" s="818"/>
      <c r="P62" s="818"/>
      <c r="Q62" s="23">
        <f t="shared" si="1"/>
        <v>1</v>
      </c>
      <c r="R62" s="2">
        <v>1147</v>
      </c>
    </row>
    <row r="63" spans="1:18" hidden="1" x14ac:dyDescent="0.25">
      <c r="A63" t="s">
        <v>966</v>
      </c>
      <c r="B63" t="s">
        <v>17</v>
      </c>
      <c r="C63" t="s">
        <v>714</v>
      </c>
      <c r="D63" t="s">
        <v>282</v>
      </c>
      <c r="E63" t="s">
        <v>5</v>
      </c>
      <c r="F63" t="str">
        <f t="shared" si="2"/>
        <v>Burundi:IUD</v>
      </c>
      <c r="G63" s="611">
        <f t="shared" si="7"/>
        <v>0.84099999999999997</v>
      </c>
      <c r="H63" s="610">
        <v>0.83</v>
      </c>
      <c r="I63" s="610">
        <v>1.0999999999999999E-2</v>
      </c>
      <c r="J63" s="610">
        <v>8.1000000000000003E-2</v>
      </c>
      <c r="K63" s="610">
        <v>6.7000000000000004E-2</v>
      </c>
      <c r="L63" s="610">
        <v>0</v>
      </c>
      <c r="M63" s="610">
        <v>0</v>
      </c>
      <c r="N63" s="610">
        <v>1.0999999999999999E-2</v>
      </c>
      <c r="O63" s="818"/>
      <c r="P63" s="818"/>
      <c r="Q63" s="23">
        <f t="shared" si="1"/>
        <v>0.99999999999999989</v>
      </c>
      <c r="R63">
        <v>97</v>
      </c>
    </row>
    <row r="64" spans="1:18" hidden="1" x14ac:dyDescent="0.25">
      <c r="A64" t="s">
        <v>966</v>
      </c>
      <c r="B64" t="s">
        <v>17</v>
      </c>
      <c r="C64" t="s">
        <v>714</v>
      </c>
      <c r="D64" t="s">
        <v>282</v>
      </c>
      <c r="E64" t="s">
        <v>103</v>
      </c>
      <c r="F64" t="str">
        <f t="shared" si="2"/>
        <v>Burundi:Male Condom</v>
      </c>
      <c r="G64" s="611">
        <f t="shared" si="7"/>
        <v>0.36099999999999999</v>
      </c>
      <c r="H64" s="610">
        <v>0.36099999999999999</v>
      </c>
      <c r="I64" s="610">
        <v>0</v>
      </c>
      <c r="J64" s="610">
        <v>1.9E-2</v>
      </c>
      <c r="K64" s="610">
        <v>1.7999999999999999E-2</v>
      </c>
      <c r="L64" s="610">
        <v>0.23400000000000001</v>
      </c>
      <c r="M64" s="610">
        <v>0.28499999999999998</v>
      </c>
      <c r="N64" s="610">
        <v>8.3000000000000004E-2</v>
      </c>
      <c r="O64" s="818"/>
      <c r="P64" s="818"/>
      <c r="Q64" s="23">
        <f t="shared" si="1"/>
        <v>1</v>
      </c>
      <c r="R64">
        <v>244</v>
      </c>
    </row>
    <row r="65" spans="1:18" hidden="1" x14ac:dyDescent="0.25">
      <c r="A65" t="s">
        <v>966</v>
      </c>
      <c r="B65" t="s">
        <v>17</v>
      </c>
      <c r="C65" t="s">
        <v>714</v>
      </c>
      <c r="D65" t="s">
        <v>282</v>
      </c>
      <c r="E65" t="s">
        <v>129</v>
      </c>
      <c r="F65" t="str">
        <f t="shared" si="2"/>
        <v>Burundi:Male Sterilization</v>
      </c>
      <c r="G65" s="611" t="e">
        <f t="shared" si="7"/>
        <v>#N/A</v>
      </c>
      <c r="H65" s="610" t="e">
        <f>NA()</f>
        <v>#N/A</v>
      </c>
      <c r="I65" s="610" t="e">
        <f>NA()</f>
        <v>#N/A</v>
      </c>
      <c r="J65" s="610" t="e">
        <f>NA()</f>
        <v>#N/A</v>
      </c>
      <c r="K65" s="610" t="e">
        <f>NA()</f>
        <v>#N/A</v>
      </c>
      <c r="L65" s="610" t="e">
        <f>NA()</f>
        <v>#N/A</v>
      </c>
      <c r="M65" s="610" t="e">
        <f>NA()</f>
        <v>#N/A</v>
      </c>
      <c r="N65" s="610" t="e">
        <f>NA()</f>
        <v>#N/A</v>
      </c>
      <c r="O65" s="820" t="e">
        <f>NA()</f>
        <v>#N/A</v>
      </c>
      <c r="P65" s="820" t="e">
        <f>NA()</f>
        <v>#N/A</v>
      </c>
      <c r="Q65" s="23" t="str">
        <f t="shared" si="1"/>
        <v>Sample Too Small</v>
      </c>
      <c r="R65">
        <v>12</v>
      </c>
    </row>
    <row r="66" spans="1:18" hidden="1" x14ac:dyDescent="0.25">
      <c r="A66" t="s">
        <v>966</v>
      </c>
      <c r="B66" t="s">
        <v>17</v>
      </c>
      <c r="C66" t="s">
        <v>714</v>
      </c>
      <c r="D66" t="s">
        <v>282</v>
      </c>
      <c r="E66" t="s">
        <v>110</v>
      </c>
      <c r="F66" t="str">
        <f t="shared" si="2"/>
        <v>Burundi:OC Pills</v>
      </c>
      <c r="G66" s="611">
        <f t="shared" si="7"/>
        <v>0.86099999999999999</v>
      </c>
      <c r="H66" s="610">
        <v>0.84899999999999998</v>
      </c>
      <c r="I66" s="610">
        <v>1.2E-2</v>
      </c>
      <c r="J66" s="610">
        <v>4.2999999999999997E-2</v>
      </c>
      <c r="K66" s="610">
        <v>5.7000000000000002E-2</v>
      </c>
      <c r="L66" s="610">
        <v>1.4999999999999999E-2</v>
      </c>
      <c r="M66" s="610">
        <v>0</v>
      </c>
      <c r="N66" s="610">
        <v>2.3E-2</v>
      </c>
      <c r="O66" s="818"/>
      <c r="P66" s="818"/>
      <c r="Q66" s="23">
        <f t="shared" si="1"/>
        <v>0.99900000000000011</v>
      </c>
      <c r="R66">
        <v>182</v>
      </c>
    </row>
    <row r="67" spans="1:18" hidden="1" x14ac:dyDescent="0.25">
      <c r="A67" t="s">
        <v>966</v>
      </c>
      <c r="B67" t="s">
        <v>17</v>
      </c>
      <c r="C67" t="s">
        <v>714</v>
      </c>
      <c r="D67" t="s">
        <v>282</v>
      </c>
      <c r="E67" t="s">
        <v>967</v>
      </c>
      <c r="F67" t="str">
        <f t="shared" si="2"/>
        <v>Burundi:standard days method (sdm)</v>
      </c>
      <c r="G67" s="611">
        <f t="shared" si="7"/>
        <v>0.23799999999999999</v>
      </c>
      <c r="H67" s="610">
        <v>0.23799999999999999</v>
      </c>
      <c r="I67" s="610">
        <v>0</v>
      </c>
      <c r="J67" s="610">
        <v>7.0000000000000007E-2</v>
      </c>
      <c r="K67" s="610">
        <v>4.4999999999999998E-2</v>
      </c>
      <c r="L67" s="610">
        <v>0</v>
      </c>
      <c r="M67" s="610">
        <v>0.34499999999999997</v>
      </c>
      <c r="N67" s="610">
        <v>0.30199999999999999</v>
      </c>
      <c r="O67" s="818"/>
      <c r="P67" s="818"/>
      <c r="Q67" s="23">
        <f t="shared" si="1"/>
        <v>1</v>
      </c>
      <c r="R67">
        <v>47</v>
      </c>
    </row>
    <row r="68" spans="1:18" hidden="1" x14ac:dyDescent="0.25">
      <c r="A68" t="s">
        <v>883</v>
      </c>
      <c r="B68" t="s">
        <v>18</v>
      </c>
      <c r="C68" t="s">
        <v>596</v>
      </c>
      <c r="D68" t="s">
        <v>282</v>
      </c>
      <c r="E68" t="s">
        <v>128</v>
      </c>
      <c r="F68" t="str">
        <f t="shared" si="2"/>
        <v>Cambodia:Female Sterilization</v>
      </c>
      <c r="G68" s="611">
        <f t="shared" si="7"/>
        <v>0.76</v>
      </c>
      <c r="H68" s="23">
        <v>0.76</v>
      </c>
      <c r="I68" s="23">
        <v>0</v>
      </c>
      <c r="J68" s="23">
        <v>0</v>
      </c>
      <c r="K68" s="23">
        <v>0.22</v>
      </c>
      <c r="L68" s="23">
        <v>0</v>
      </c>
      <c r="M68" s="23">
        <v>0</v>
      </c>
      <c r="N68" s="23">
        <v>0.02</v>
      </c>
      <c r="O68" s="818">
        <v>0</v>
      </c>
      <c r="P68" s="818">
        <v>0.01</v>
      </c>
      <c r="Q68" s="23">
        <f t="shared" si="1"/>
        <v>1</v>
      </c>
      <c r="R68">
        <v>397</v>
      </c>
    </row>
    <row r="69" spans="1:18" hidden="1" x14ac:dyDescent="0.25">
      <c r="A69" t="s">
        <v>883</v>
      </c>
      <c r="B69" t="s">
        <v>18</v>
      </c>
      <c r="C69" t="s">
        <v>596</v>
      </c>
      <c r="D69" t="s">
        <v>282</v>
      </c>
      <c r="E69" t="s">
        <v>3</v>
      </c>
      <c r="F69" t="str">
        <f t="shared" si="2"/>
        <v>Cambodia:Implant</v>
      </c>
      <c r="G69" s="611">
        <f t="shared" si="7"/>
        <v>0.48484848484848486</v>
      </c>
      <c r="H69" s="23">
        <v>0.48484848484848486</v>
      </c>
      <c r="I69" s="23">
        <v>0</v>
      </c>
      <c r="J69" s="23">
        <v>0</v>
      </c>
      <c r="K69" s="23">
        <v>0.48484848484848486</v>
      </c>
      <c r="L69" s="23">
        <v>0</v>
      </c>
      <c r="M69" s="23">
        <v>2.0202020202020204E-2</v>
      </c>
      <c r="N69" s="23">
        <v>1.0101010101010102E-2</v>
      </c>
      <c r="O69" s="818">
        <v>0</v>
      </c>
      <c r="P69" s="818">
        <v>0.01</v>
      </c>
      <c r="Q69" s="23">
        <f t="shared" si="1"/>
        <v>1</v>
      </c>
      <c r="R69">
        <v>279</v>
      </c>
    </row>
    <row r="70" spans="1:18" hidden="1" x14ac:dyDescent="0.25">
      <c r="A70" t="s">
        <v>883</v>
      </c>
      <c r="B70" t="s">
        <v>18</v>
      </c>
      <c r="C70" t="s">
        <v>596</v>
      </c>
      <c r="D70" t="s">
        <v>282</v>
      </c>
      <c r="E70" t="s">
        <v>2</v>
      </c>
      <c r="F70" t="str">
        <f t="shared" si="2"/>
        <v>Cambodia:Injectable</v>
      </c>
      <c r="G70" s="611">
        <f t="shared" si="7"/>
        <v>0.65</v>
      </c>
      <c r="H70" s="23">
        <v>0.65</v>
      </c>
      <c r="I70" s="23">
        <v>0</v>
      </c>
      <c r="J70" s="23">
        <v>0</v>
      </c>
      <c r="K70" s="23">
        <v>0.32</v>
      </c>
      <c r="L70" s="23">
        <v>0</v>
      </c>
      <c r="M70" s="23">
        <v>0.02</v>
      </c>
      <c r="N70" s="23">
        <v>0</v>
      </c>
      <c r="O70" s="818">
        <v>0</v>
      </c>
      <c r="P70" s="818">
        <v>0</v>
      </c>
      <c r="Q70" s="23">
        <f t="shared" si="1"/>
        <v>0.99</v>
      </c>
      <c r="R70" s="2">
        <v>1042</v>
      </c>
    </row>
    <row r="71" spans="1:18" hidden="1" x14ac:dyDescent="0.25">
      <c r="A71" t="s">
        <v>883</v>
      </c>
      <c r="B71" t="s">
        <v>18</v>
      </c>
      <c r="C71" t="s">
        <v>596</v>
      </c>
      <c r="D71" t="s">
        <v>282</v>
      </c>
      <c r="E71" t="s">
        <v>5</v>
      </c>
      <c r="F71" t="str">
        <f t="shared" si="2"/>
        <v>Cambodia:IUD</v>
      </c>
      <c r="G71" s="611">
        <f t="shared" si="7"/>
        <v>0.5955056179775281</v>
      </c>
      <c r="H71" s="23">
        <v>0.5955056179775281</v>
      </c>
      <c r="I71" s="23">
        <v>0</v>
      </c>
      <c r="J71" s="23">
        <v>0</v>
      </c>
      <c r="K71" s="23">
        <v>0.3932584269662921</v>
      </c>
      <c r="L71" s="23">
        <v>0</v>
      </c>
      <c r="M71" s="23">
        <v>1.1235955056179775E-2</v>
      </c>
      <c r="N71" s="23">
        <v>0</v>
      </c>
      <c r="O71" s="818">
        <v>0</v>
      </c>
      <c r="P71" s="818">
        <v>0.12</v>
      </c>
      <c r="Q71" s="23">
        <f t="shared" si="1"/>
        <v>1</v>
      </c>
      <c r="R71">
        <v>520</v>
      </c>
    </row>
    <row r="72" spans="1:18" hidden="1" x14ac:dyDescent="0.25">
      <c r="A72" t="s">
        <v>883</v>
      </c>
      <c r="B72" t="s">
        <v>18</v>
      </c>
      <c r="C72" t="s">
        <v>596</v>
      </c>
      <c r="D72" t="s">
        <v>282</v>
      </c>
      <c r="E72" t="s">
        <v>103</v>
      </c>
      <c r="F72" t="str">
        <f t="shared" si="2"/>
        <v>Cambodia:Male Condom</v>
      </c>
      <c r="G72" s="611">
        <f t="shared" si="7"/>
        <v>0.17</v>
      </c>
      <c r="H72" s="23">
        <v>0.17</v>
      </c>
      <c r="I72" s="23">
        <v>0</v>
      </c>
      <c r="J72" s="23">
        <v>0</v>
      </c>
      <c r="K72" s="23">
        <v>0.65</v>
      </c>
      <c r="L72" s="23">
        <v>0</v>
      </c>
      <c r="M72" s="23">
        <v>0.18</v>
      </c>
      <c r="N72" s="23">
        <v>0</v>
      </c>
      <c r="O72" s="818">
        <v>0</v>
      </c>
      <c r="P72" s="818">
        <v>0</v>
      </c>
      <c r="Q72" s="23">
        <f t="shared" si="1"/>
        <v>1</v>
      </c>
      <c r="R72">
        <v>290</v>
      </c>
    </row>
    <row r="73" spans="1:18" hidden="1" x14ac:dyDescent="0.25">
      <c r="A73" t="s">
        <v>883</v>
      </c>
      <c r="B73" t="s">
        <v>18</v>
      </c>
      <c r="C73" t="s">
        <v>596</v>
      </c>
      <c r="D73" t="s">
        <v>282</v>
      </c>
      <c r="E73" t="s">
        <v>129</v>
      </c>
      <c r="F73" t="str">
        <f t="shared" si="2"/>
        <v>Cambodia:Male Sterilization</v>
      </c>
      <c r="G73" s="611" t="e">
        <f t="shared" si="7"/>
        <v>#N/A</v>
      </c>
      <c r="H73" t="e">
        <f>NA()</f>
        <v>#N/A</v>
      </c>
      <c r="I73" t="e">
        <f>NA()</f>
        <v>#N/A</v>
      </c>
      <c r="J73" t="e">
        <f>NA()</f>
        <v>#N/A</v>
      </c>
      <c r="K73" t="e">
        <f>NA()</f>
        <v>#N/A</v>
      </c>
      <c r="L73" t="e">
        <f>NA()</f>
        <v>#N/A</v>
      </c>
      <c r="M73" t="e">
        <f>NA()</f>
        <v>#N/A</v>
      </c>
      <c r="N73" t="e">
        <f>NA()</f>
        <v>#N/A</v>
      </c>
      <c r="O73" s="818" t="e">
        <f>NA()</f>
        <v>#N/A</v>
      </c>
      <c r="P73" s="818" t="e">
        <f>NA()</f>
        <v>#N/A</v>
      </c>
      <c r="Q73" s="23" t="str">
        <f t="shared" si="1"/>
        <v>Sample Too Small</v>
      </c>
      <c r="R73" s="10">
        <v>10</v>
      </c>
    </row>
    <row r="74" spans="1:18" hidden="1" x14ac:dyDescent="0.25">
      <c r="A74" s="119" t="s">
        <v>883</v>
      </c>
      <c r="B74" t="s">
        <v>18</v>
      </c>
      <c r="C74" t="s">
        <v>596</v>
      </c>
      <c r="D74" t="s">
        <v>282</v>
      </c>
      <c r="E74" t="s">
        <v>110</v>
      </c>
      <c r="F74" t="str">
        <f t="shared" si="2"/>
        <v>Cambodia:OC Pills</v>
      </c>
      <c r="G74" s="611">
        <f t="shared" si="7"/>
        <v>0.35</v>
      </c>
      <c r="H74" s="502">
        <v>0.35</v>
      </c>
      <c r="I74" s="502">
        <v>0</v>
      </c>
      <c r="J74" s="502">
        <v>0</v>
      </c>
      <c r="K74" s="502">
        <v>0.42</v>
      </c>
      <c r="L74" s="502">
        <v>0</v>
      </c>
      <c r="M74" s="502">
        <v>0.23</v>
      </c>
      <c r="N74" s="502">
        <v>0</v>
      </c>
      <c r="O74" s="818">
        <v>0</v>
      </c>
      <c r="P74" s="818">
        <v>0</v>
      </c>
      <c r="Q74" s="23">
        <f t="shared" si="1"/>
        <v>1</v>
      </c>
      <c r="R74" s="501">
        <v>2024</v>
      </c>
    </row>
    <row r="75" spans="1:18" hidden="1" x14ac:dyDescent="0.25">
      <c r="A75" t="s">
        <v>883</v>
      </c>
      <c r="B75" t="s">
        <v>18</v>
      </c>
      <c r="C75" t="s">
        <v>596</v>
      </c>
      <c r="D75" t="s">
        <v>282</v>
      </c>
      <c r="E75" t="s">
        <v>130</v>
      </c>
      <c r="F75" t="str">
        <f t="shared" si="2"/>
        <v>Cambodia:Other Modern Methods</v>
      </c>
      <c r="G75" s="611" t="e">
        <f t="shared" si="7"/>
        <v>#N/A</v>
      </c>
      <c r="H75" t="e">
        <f>NA()</f>
        <v>#N/A</v>
      </c>
      <c r="I75" t="e">
        <f>NA()</f>
        <v>#N/A</v>
      </c>
      <c r="J75" t="e">
        <f>NA()</f>
        <v>#N/A</v>
      </c>
      <c r="K75" t="e">
        <f>NA()</f>
        <v>#N/A</v>
      </c>
      <c r="L75" t="e">
        <f>NA()</f>
        <v>#N/A</v>
      </c>
      <c r="M75" t="e">
        <f>NA()</f>
        <v>#N/A</v>
      </c>
      <c r="N75" t="e">
        <f>NA()</f>
        <v>#N/A</v>
      </c>
      <c r="O75" s="818" t="e">
        <f>NA()</f>
        <v>#N/A</v>
      </c>
      <c r="P75" s="818" t="e">
        <f>NA()</f>
        <v>#N/A</v>
      </c>
      <c r="Q75" s="23" t="str">
        <f t="shared" ref="Q75:Q146" si="8">IFERROR(SUM(H75:N75), "Sample Too Small")</f>
        <v>Sample Too Small</v>
      </c>
      <c r="R75" s="10">
        <v>4</v>
      </c>
    </row>
    <row r="76" spans="1:18" hidden="1" x14ac:dyDescent="0.25">
      <c r="A76" t="s">
        <v>2091</v>
      </c>
      <c r="B76" t="s">
        <v>2012</v>
      </c>
      <c r="C76" s="1292" t="s">
        <v>602</v>
      </c>
      <c r="D76" t="s">
        <v>282</v>
      </c>
      <c r="E76" s="1292" t="s">
        <v>2087</v>
      </c>
      <c r="F76" t="str">
        <f t="shared" ref="F76:F83" si="9">B76&amp;":"&amp;E76</f>
        <v>Central African Rep.:Female sterilization</v>
      </c>
      <c r="G76" s="611">
        <f t="shared" ref="G76:G83" si="10">SUM(H76:I76)</f>
        <v>0.7195121951219513</v>
      </c>
      <c r="H76" s="822">
        <v>0.7195121951219513</v>
      </c>
      <c r="I76" s="822">
        <v>0</v>
      </c>
      <c r="J76" t="e">
        <f>NA()</f>
        <v>#N/A</v>
      </c>
      <c r="K76" s="822">
        <v>0.28048780487804875</v>
      </c>
      <c r="L76" s="822">
        <v>0</v>
      </c>
      <c r="M76" s="822">
        <v>0</v>
      </c>
      <c r="N76" s="822">
        <v>0</v>
      </c>
      <c r="O76" s="1293"/>
      <c r="P76" s="1293">
        <v>9.7999999999999976E-2</v>
      </c>
      <c r="Q76" s="822">
        <v>1</v>
      </c>
      <c r="R76" s="10"/>
    </row>
    <row r="77" spans="1:18" hidden="1" x14ac:dyDescent="0.25">
      <c r="A77" t="s">
        <v>2091</v>
      </c>
      <c r="B77" t="s">
        <v>2012</v>
      </c>
      <c r="C77" s="1292" t="s">
        <v>602</v>
      </c>
      <c r="D77" t="s">
        <v>282</v>
      </c>
      <c r="E77" s="1292" t="s">
        <v>2088</v>
      </c>
      <c r="F77" t="str">
        <f t="shared" si="9"/>
        <v>Central African Rep.:Male sterilization</v>
      </c>
      <c r="G77" s="611" t="e">
        <f t="shared" si="10"/>
        <v>#N/A</v>
      </c>
      <c r="H77" s="822" t="e">
        <v>#N/A</v>
      </c>
      <c r="I77" s="822" t="e">
        <v>#N/A</v>
      </c>
      <c r="J77" t="e">
        <f>NA()</f>
        <v>#N/A</v>
      </c>
      <c r="K77" s="822" t="e">
        <v>#N/A</v>
      </c>
      <c r="L77" s="822" t="e">
        <v>#N/A</v>
      </c>
      <c r="M77" s="822" t="e">
        <v>#N/A</v>
      </c>
      <c r="N77" s="822" t="e">
        <v>#N/A</v>
      </c>
      <c r="O77" s="1293"/>
      <c r="P77" s="1293" t="e">
        <v>#N/A</v>
      </c>
      <c r="Q77" s="822" t="e">
        <v>#N/A</v>
      </c>
      <c r="R77" s="10"/>
    </row>
    <row r="78" spans="1:18" hidden="1" x14ac:dyDescent="0.25">
      <c r="A78" t="s">
        <v>2091</v>
      </c>
      <c r="B78" t="s">
        <v>2012</v>
      </c>
      <c r="C78" s="1292" t="s">
        <v>602</v>
      </c>
      <c r="D78" t="s">
        <v>282</v>
      </c>
      <c r="E78" s="1292" t="s">
        <v>2089</v>
      </c>
      <c r="F78" t="str">
        <f t="shared" si="9"/>
        <v>Central African Rep.:Implants</v>
      </c>
      <c r="G78" s="611" t="e">
        <f t="shared" si="10"/>
        <v>#N/A</v>
      </c>
      <c r="H78" s="822" t="e">
        <v>#N/A</v>
      </c>
      <c r="I78" s="822" t="e">
        <v>#N/A</v>
      </c>
      <c r="J78" t="e">
        <f>NA()</f>
        <v>#N/A</v>
      </c>
      <c r="K78" s="822" t="e">
        <v>#N/A</v>
      </c>
      <c r="L78" s="822" t="e">
        <v>#N/A</v>
      </c>
      <c r="M78" s="822" t="e">
        <v>#N/A</v>
      </c>
      <c r="N78" s="822" t="e">
        <v>#N/A</v>
      </c>
      <c r="O78" s="1293"/>
      <c r="P78" s="1293" t="e">
        <v>#N/A</v>
      </c>
      <c r="Q78" s="822" t="e">
        <v>#N/A</v>
      </c>
      <c r="R78" s="10"/>
    </row>
    <row r="79" spans="1:18" hidden="1" x14ac:dyDescent="0.25">
      <c r="A79" t="s">
        <v>2091</v>
      </c>
      <c r="B79" t="s">
        <v>2012</v>
      </c>
      <c r="C79" s="1292" t="s">
        <v>602</v>
      </c>
      <c r="D79" t="s">
        <v>282</v>
      </c>
      <c r="E79" s="1292" t="s">
        <v>2</v>
      </c>
      <c r="F79" t="str">
        <f t="shared" si="9"/>
        <v>Central African Rep.:Injectable</v>
      </c>
      <c r="G79" s="611">
        <f t="shared" si="10"/>
        <v>0.78421578421578431</v>
      </c>
      <c r="H79" s="822">
        <v>0.78421578421578431</v>
      </c>
      <c r="I79" s="822">
        <v>0</v>
      </c>
      <c r="J79" t="e">
        <f>NA()</f>
        <v>#N/A</v>
      </c>
      <c r="K79" s="822">
        <v>0.14385614385614387</v>
      </c>
      <c r="L79" s="822">
        <v>3.5964035964035967E-2</v>
      </c>
      <c r="M79" s="822">
        <v>0</v>
      </c>
      <c r="N79" s="822">
        <v>3.5964035964035967E-2</v>
      </c>
      <c r="O79" s="1293"/>
      <c r="P79" s="1293">
        <v>-9.9999999999988987E-4</v>
      </c>
      <c r="Q79" s="822">
        <v>1</v>
      </c>
      <c r="R79" s="10"/>
    </row>
    <row r="80" spans="1:18" hidden="1" x14ac:dyDescent="0.25">
      <c r="A80" t="s">
        <v>2091</v>
      </c>
      <c r="B80" t="s">
        <v>2012</v>
      </c>
      <c r="C80" s="1292" t="s">
        <v>602</v>
      </c>
      <c r="D80" t="s">
        <v>282</v>
      </c>
      <c r="E80" s="1292" t="s">
        <v>5</v>
      </c>
      <c r="F80" t="str">
        <f t="shared" si="9"/>
        <v>Central African Rep.:IUD</v>
      </c>
      <c r="G80" s="611" t="e">
        <f t="shared" si="10"/>
        <v>#N/A</v>
      </c>
      <c r="H80" s="822" t="e">
        <v>#N/A</v>
      </c>
      <c r="I80" s="822" t="e">
        <v>#N/A</v>
      </c>
      <c r="J80" t="e">
        <f>NA()</f>
        <v>#N/A</v>
      </c>
      <c r="K80" s="822" t="e">
        <v>#N/A</v>
      </c>
      <c r="L80" s="822" t="e">
        <v>#N/A</v>
      </c>
      <c r="M80" s="822" t="e">
        <v>#N/A</v>
      </c>
      <c r="N80" s="822" t="e">
        <v>#N/A</v>
      </c>
      <c r="O80" s="1293"/>
      <c r="P80" s="1293" t="e">
        <v>#N/A</v>
      </c>
      <c r="Q80" s="822" t="e">
        <v>#N/A</v>
      </c>
      <c r="R80" s="10"/>
    </row>
    <row r="81" spans="1:18" hidden="1" x14ac:dyDescent="0.25">
      <c r="A81" t="s">
        <v>2091</v>
      </c>
      <c r="B81" t="s">
        <v>2012</v>
      </c>
      <c r="C81" s="1292" t="s">
        <v>602</v>
      </c>
      <c r="D81" t="s">
        <v>282</v>
      </c>
      <c r="E81" s="1292" t="s">
        <v>110</v>
      </c>
      <c r="F81" t="str">
        <f t="shared" si="9"/>
        <v>Central African Rep.:OC Pills</v>
      </c>
      <c r="G81" s="611">
        <f t="shared" si="10"/>
        <v>0.63288521199586345</v>
      </c>
      <c r="H81" s="822">
        <v>0.61633919338159249</v>
      </c>
      <c r="I81" s="822">
        <v>1.6546018614270939E-2</v>
      </c>
      <c r="J81" t="e">
        <f>NA()</f>
        <v>#N/A</v>
      </c>
      <c r="K81" s="822">
        <v>0.27404343329886244</v>
      </c>
      <c r="L81" s="822">
        <v>4.4467425025853144E-2</v>
      </c>
      <c r="M81" s="822">
        <v>4.8603929679420885E-2</v>
      </c>
      <c r="N81" s="822">
        <v>0</v>
      </c>
      <c r="O81" s="1293"/>
      <c r="P81" s="1293">
        <v>3.2999999999999807E-2</v>
      </c>
      <c r="Q81" s="822">
        <v>0.99999999999999978</v>
      </c>
      <c r="R81" s="10"/>
    </row>
    <row r="82" spans="1:18" hidden="1" x14ac:dyDescent="0.25">
      <c r="A82" t="s">
        <v>2091</v>
      </c>
      <c r="B82" t="s">
        <v>2012</v>
      </c>
      <c r="C82" s="1292" t="s">
        <v>602</v>
      </c>
      <c r="D82" t="s">
        <v>282</v>
      </c>
      <c r="E82" s="1292" t="s">
        <v>103</v>
      </c>
      <c r="F82" t="str">
        <f t="shared" si="9"/>
        <v>Central African Rep.:Male Condom</v>
      </c>
      <c r="G82" s="611">
        <f t="shared" si="10"/>
        <v>0.27848101265822789</v>
      </c>
      <c r="H82" s="822">
        <v>0.25210970464135024</v>
      </c>
      <c r="I82" s="822">
        <v>2.6371308016877638E-2</v>
      </c>
      <c r="J82" t="e">
        <f>NA()</f>
        <v>#N/A</v>
      </c>
      <c r="K82" s="822">
        <v>1.7932489451476793E-2</v>
      </c>
      <c r="L82" s="822">
        <v>0.33333333333333337</v>
      </c>
      <c r="M82" s="822">
        <v>0.31645569620253167</v>
      </c>
      <c r="N82" s="822">
        <v>5.3797468354430375E-2</v>
      </c>
      <c r="O82" s="1293"/>
      <c r="P82" s="1293">
        <v>5.2000000000000046E-2</v>
      </c>
      <c r="Q82" s="822">
        <v>1</v>
      </c>
      <c r="R82" s="10"/>
    </row>
    <row r="83" spans="1:18" hidden="1" x14ac:dyDescent="0.25">
      <c r="A83" t="s">
        <v>2091</v>
      </c>
      <c r="B83" t="s">
        <v>2012</v>
      </c>
      <c r="C83" s="1292" t="s">
        <v>602</v>
      </c>
      <c r="D83" t="s">
        <v>282</v>
      </c>
      <c r="E83" s="1292" t="s">
        <v>130</v>
      </c>
      <c r="F83" t="str">
        <f t="shared" si="9"/>
        <v>Central African Rep.:Other Modern Methods</v>
      </c>
      <c r="G83" s="611" t="e">
        <f t="shared" si="10"/>
        <v>#N/A</v>
      </c>
      <c r="H83" s="822" t="e">
        <v>#N/A</v>
      </c>
      <c r="I83" s="822" t="e">
        <v>#N/A</v>
      </c>
      <c r="J83" t="e">
        <f>NA()</f>
        <v>#N/A</v>
      </c>
      <c r="K83" s="822" t="e">
        <v>#N/A</v>
      </c>
      <c r="L83" s="822" t="e">
        <v>#N/A</v>
      </c>
      <c r="M83" s="822" t="e">
        <v>#N/A</v>
      </c>
      <c r="N83" s="822" t="e">
        <v>#N/A</v>
      </c>
      <c r="O83" s="1293"/>
      <c r="P83" s="1293" t="e">
        <v>#N/A</v>
      </c>
      <c r="Q83" s="822" t="e">
        <v>#N/A</v>
      </c>
      <c r="R83" s="10"/>
    </row>
    <row r="84" spans="1:18" hidden="1" x14ac:dyDescent="0.25">
      <c r="A84" s="119"/>
      <c r="B84" t="s">
        <v>19</v>
      </c>
      <c r="C84" t="s">
        <v>1146</v>
      </c>
      <c r="D84" t="s">
        <v>282</v>
      </c>
      <c r="E84" t="s">
        <v>110</v>
      </c>
      <c r="F84" t="str">
        <f t="shared" ref="F84:F148" si="11">B84&amp;":"&amp;E84</f>
        <v>Cameroon:OC Pills</v>
      </c>
      <c r="G84" s="611">
        <f t="shared" ref="G84:G116" si="12">SUM(H84:I84)</f>
        <v>0.252</v>
      </c>
      <c r="H84" s="502">
        <v>0.252</v>
      </c>
      <c r="I84" s="502">
        <v>0</v>
      </c>
      <c r="J84" s="502">
        <v>0</v>
      </c>
      <c r="K84" s="502">
        <v>0.191</v>
      </c>
      <c r="L84" s="502">
        <v>0.23699999999999999</v>
      </c>
      <c r="M84" s="502">
        <v>0.32</v>
      </c>
      <c r="N84" s="502">
        <v>0</v>
      </c>
      <c r="O84" s="818"/>
      <c r="P84" s="818"/>
      <c r="Q84" s="23">
        <f t="shared" si="8"/>
        <v>1</v>
      </c>
      <c r="R84" s="501">
        <v>141</v>
      </c>
    </row>
    <row r="85" spans="1:18" hidden="1" x14ac:dyDescent="0.25">
      <c r="A85" s="119"/>
      <c r="B85" t="s">
        <v>19</v>
      </c>
      <c r="C85" t="s">
        <v>1146</v>
      </c>
      <c r="D85" t="s">
        <v>282</v>
      </c>
      <c r="E85" t="s">
        <v>5</v>
      </c>
      <c r="F85" t="str">
        <f t="shared" si="11"/>
        <v>Cameroon:IUD</v>
      </c>
      <c r="G85" s="611">
        <f t="shared" si="12"/>
        <v>0.65100000000000002</v>
      </c>
      <c r="H85" s="502">
        <v>0.65100000000000002</v>
      </c>
      <c r="I85" s="502">
        <v>0</v>
      </c>
      <c r="J85" s="502">
        <v>0</v>
      </c>
      <c r="K85" s="502">
        <v>0.32900000000000001</v>
      </c>
      <c r="L85" s="502">
        <v>1.0999999999999999E-2</v>
      </c>
      <c r="M85" s="502">
        <v>0</v>
      </c>
      <c r="N85" s="502">
        <v>8.9999999999999993E-3</v>
      </c>
      <c r="O85" s="818"/>
      <c r="P85" s="818"/>
      <c r="Q85" s="23">
        <f t="shared" si="8"/>
        <v>1</v>
      </c>
      <c r="R85" s="501">
        <v>90</v>
      </c>
    </row>
    <row r="86" spans="1:18" hidden="1" x14ac:dyDescent="0.25">
      <c r="A86" s="119"/>
      <c r="B86" t="s">
        <v>19</v>
      </c>
      <c r="C86" t="s">
        <v>1146</v>
      </c>
      <c r="D86" t="s">
        <v>282</v>
      </c>
      <c r="E86" t="s">
        <v>2</v>
      </c>
      <c r="F86" t="str">
        <f t="shared" si="11"/>
        <v>Cameroon:Injectable</v>
      </c>
      <c r="G86" s="611">
        <f t="shared" si="12"/>
        <v>0.625</v>
      </c>
      <c r="H86" s="502">
        <v>0.623</v>
      </c>
      <c r="I86" s="502">
        <v>2E-3</v>
      </c>
      <c r="J86" s="502">
        <v>0</v>
      </c>
      <c r="K86" s="502">
        <v>0.27300000000000002</v>
      </c>
      <c r="L86" s="502">
        <v>5.1999999999999998E-2</v>
      </c>
      <c r="M86" s="502">
        <v>4.8000000000000001E-2</v>
      </c>
      <c r="N86" s="502">
        <v>2E-3</v>
      </c>
      <c r="O86" s="818"/>
      <c r="P86" s="818"/>
      <c r="Q86" s="23">
        <f t="shared" si="8"/>
        <v>1</v>
      </c>
      <c r="R86" s="501">
        <v>443</v>
      </c>
    </row>
    <row r="87" spans="1:18" hidden="1" x14ac:dyDescent="0.25">
      <c r="A87" s="119"/>
      <c r="B87" t="s">
        <v>19</v>
      </c>
      <c r="C87" t="s">
        <v>1146</v>
      </c>
      <c r="D87" t="s">
        <v>282</v>
      </c>
      <c r="E87" t="s">
        <v>103</v>
      </c>
      <c r="F87" t="str">
        <f t="shared" si="11"/>
        <v>Cameroon:Male Condom</v>
      </c>
      <c r="G87" s="611">
        <f t="shared" si="12"/>
        <v>0.113</v>
      </c>
      <c r="H87" s="502">
        <v>0.112</v>
      </c>
      <c r="I87" s="502">
        <v>1E-3</v>
      </c>
      <c r="J87" s="502">
        <v>0</v>
      </c>
      <c r="K87" s="502">
        <v>3.9E-2</v>
      </c>
      <c r="L87" s="502">
        <v>0.189</v>
      </c>
      <c r="M87" s="502">
        <v>0.65</v>
      </c>
      <c r="N87" s="502">
        <v>8.0000000000000002E-3</v>
      </c>
      <c r="O87" s="818"/>
      <c r="P87" s="818"/>
      <c r="Q87" s="23">
        <f t="shared" si="8"/>
        <v>0.999</v>
      </c>
      <c r="R87" s="501">
        <v>1115</v>
      </c>
    </row>
    <row r="88" spans="1:18" hidden="1" x14ac:dyDescent="0.25">
      <c r="A88" s="119"/>
      <c r="B88" t="s">
        <v>19</v>
      </c>
      <c r="C88" t="s">
        <v>1146</v>
      </c>
      <c r="D88" t="s">
        <v>282</v>
      </c>
      <c r="E88" t="s">
        <v>128</v>
      </c>
      <c r="F88" t="str">
        <f t="shared" si="11"/>
        <v>Cameroon:Female Sterilization</v>
      </c>
      <c r="G88" s="611">
        <f t="shared" si="12"/>
        <v>0.58299999999999996</v>
      </c>
      <c r="H88" s="502">
        <v>0.58299999999999996</v>
      </c>
      <c r="I88" s="502">
        <v>0</v>
      </c>
      <c r="J88" s="502">
        <v>0</v>
      </c>
      <c r="K88" s="502">
        <v>0.41699999999999998</v>
      </c>
      <c r="L88" s="502">
        <v>0</v>
      </c>
      <c r="M88" s="502">
        <v>0</v>
      </c>
      <c r="N88" s="502">
        <v>0</v>
      </c>
      <c r="O88" s="818"/>
      <c r="P88" s="818"/>
      <c r="Q88" s="23">
        <f t="shared" si="8"/>
        <v>1</v>
      </c>
      <c r="R88" s="501">
        <v>24</v>
      </c>
    </row>
    <row r="89" spans="1:18" hidden="1" x14ac:dyDescent="0.25">
      <c r="A89" s="119"/>
      <c r="B89" t="s">
        <v>19</v>
      </c>
      <c r="C89" t="s">
        <v>1146</v>
      </c>
      <c r="D89" t="s">
        <v>282</v>
      </c>
      <c r="E89" t="s">
        <v>129</v>
      </c>
      <c r="F89" t="str">
        <f t="shared" si="11"/>
        <v>Cameroon:Male Sterilization</v>
      </c>
      <c r="G89" s="611" t="e">
        <f t="shared" si="12"/>
        <v>#N/A</v>
      </c>
      <c r="H89" s="502" t="e">
        <v>#N/A</v>
      </c>
      <c r="I89" s="502" t="e">
        <v>#N/A</v>
      </c>
      <c r="J89" s="502" t="e">
        <v>#N/A</v>
      </c>
      <c r="K89" s="502" t="e">
        <v>#N/A</v>
      </c>
      <c r="L89" s="502" t="e">
        <v>#N/A</v>
      </c>
      <c r="M89" s="502" t="e">
        <v>#N/A</v>
      </c>
      <c r="N89" s="502" t="e">
        <v>#N/A</v>
      </c>
      <c r="O89" s="818"/>
      <c r="P89" s="818"/>
      <c r="Q89" s="23" t="str">
        <f t="shared" si="8"/>
        <v>Sample Too Small</v>
      </c>
      <c r="R89" s="501">
        <v>1</v>
      </c>
    </row>
    <row r="90" spans="1:18" hidden="1" x14ac:dyDescent="0.25">
      <c r="A90" s="119"/>
      <c r="B90" t="s">
        <v>19</v>
      </c>
      <c r="C90" t="s">
        <v>1146</v>
      </c>
      <c r="D90" t="s">
        <v>282</v>
      </c>
      <c r="E90" t="s">
        <v>3</v>
      </c>
      <c r="F90" t="str">
        <f t="shared" si="11"/>
        <v>Cameroon:Implant</v>
      </c>
      <c r="G90" s="611">
        <f t="shared" si="12"/>
        <v>0.77900000000000003</v>
      </c>
      <c r="H90" s="502">
        <v>0.77500000000000002</v>
      </c>
      <c r="I90" s="502">
        <v>4.0000000000000001E-3</v>
      </c>
      <c r="J90" s="502">
        <v>0</v>
      </c>
      <c r="K90" s="502">
        <v>0.214</v>
      </c>
      <c r="L90" s="502">
        <v>0</v>
      </c>
      <c r="M90" s="502">
        <v>8.0000000000000002E-3</v>
      </c>
      <c r="N90" s="502">
        <v>0</v>
      </c>
      <c r="O90" s="818"/>
      <c r="P90" s="818"/>
      <c r="Q90" s="23">
        <f t="shared" si="8"/>
        <v>1.0009999999999999</v>
      </c>
      <c r="R90" s="501">
        <v>315</v>
      </c>
    </row>
    <row r="91" spans="1:18" hidden="1" x14ac:dyDescent="0.25">
      <c r="A91" s="119"/>
      <c r="B91" t="s">
        <v>19</v>
      </c>
      <c r="C91" t="s">
        <v>1146</v>
      </c>
      <c r="D91" t="s">
        <v>282</v>
      </c>
      <c r="E91" t="s">
        <v>108</v>
      </c>
      <c r="F91" t="str">
        <f t="shared" si="11"/>
        <v>Cameroon:EC</v>
      </c>
      <c r="G91" s="611">
        <f t="shared" si="12"/>
        <v>0.13400000000000001</v>
      </c>
      <c r="H91" s="502">
        <v>0.13400000000000001</v>
      </c>
      <c r="I91" s="502">
        <v>0</v>
      </c>
      <c r="J91" s="502">
        <v>0</v>
      </c>
      <c r="K91" s="502">
        <v>8.8999999999999996E-2</v>
      </c>
      <c r="L91" s="502">
        <v>0.60799999999999998</v>
      </c>
      <c r="M91" s="502">
        <v>0.17</v>
      </c>
      <c r="N91" s="502">
        <v>0</v>
      </c>
      <c r="O91" s="818"/>
      <c r="P91" s="818"/>
      <c r="Q91" s="23">
        <f t="shared" si="8"/>
        <v>1.0009999999999999</v>
      </c>
      <c r="R91" s="501">
        <v>44</v>
      </c>
    </row>
    <row r="92" spans="1:18" hidden="1" x14ac:dyDescent="0.25">
      <c r="A92" s="119"/>
      <c r="B92" t="s">
        <v>19</v>
      </c>
      <c r="C92" t="s">
        <v>1146</v>
      </c>
      <c r="D92" t="s">
        <v>282</v>
      </c>
      <c r="E92" t="s">
        <v>1309</v>
      </c>
      <c r="F92" t="str">
        <f t="shared" si="11"/>
        <v>Cameroon:SDM</v>
      </c>
      <c r="G92" s="611">
        <f t="shared" si="12"/>
        <v>0.17699999999999999</v>
      </c>
      <c r="H92" s="502">
        <v>0.152</v>
      </c>
      <c r="I92" s="502">
        <v>2.5000000000000001E-2</v>
      </c>
      <c r="J92" s="502">
        <v>0</v>
      </c>
      <c r="K92" s="502">
        <v>8.8999999999999996E-2</v>
      </c>
      <c r="L92" s="502">
        <v>0</v>
      </c>
      <c r="M92" s="502">
        <v>0.35599999999999998</v>
      </c>
      <c r="N92" s="502">
        <v>0.379</v>
      </c>
      <c r="O92" s="818"/>
      <c r="P92" s="818"/>
      <c r="Q92" s="23">
        <f t="shared" si="8"/>
        <v>1.0009999999999999</v>
      </c>
      <c r="R92" s="501">
        <v>42</v>
      </c>
    </row>
    <row r="93" spans="1:18" hidden="1" x14ac:dyDescent="0.25">
      <c r="A93" t="s">
        <v>884</v>
      </c>
      <c r="B93" t="s">
        <v>20</v>
      </c>
      <c r="C93" t="s">
        <v>603</v>
      </c>
      <c r="D93" t="s">
        <v>282</v>
      </c>
      <c r="E93" t="s">
        <v>128</v>
      </c>
      <c r="F93" t="str">
        <f t="shared" si="11"/>
        <v>Chad:Female Sterilization</v>
      </c>
      <c r="G93" s="611" t="e">
        <f t="shared" si="12"/>
        <v>#N/A</v>
      </c>
      <c r="H93" t="e">
        <f>NA()</f>
        <v>#N/A</v>
      </c>
      <c r="I93" t="e">
        <f>NA()</f>
        <v>#N/A</v>
      </c>
      <c r="J93" t="e">
        <f>NA()</f>
        <v>#N/A</v>
      </c>
      <c r="K93" t="e">
        <f>NA()</f>
        <v>#N/A</v>
      </c>
      <c r="L93" t="e">
        <f>NA()</f>
        <v>#N/A</v>
      </c>
      <c r="M93" t="e">
        <f>NA()</f>
        <v>#N/A</v>
      </c>
      <c r="N93" t="e">
        <f>NA()</f>
        <v>#N/A</v>
      </c>
      <c r="O93" s="818" t="e">
        <f>NA()</f>
        <v>#N/A</v>
      </c>
      <c r="P93" s="818" t="e">
        <f>NA()</f>
        <v>#N/A</v>
      </c>
      <c r="Q93" s="23" t="str">
        <f t="shared" si="8"/>
        <v>Sample Too Small</v>
      </c>
      <c r="R93" s="10">
        <v>18</v>
      </c>
    </row>
    <row r="94" spans="1:18" hidden="1" x14ac:dyDescent="0.25">
      <c r="A94" t="s">
        <v>884</v>
      </c>
      <c r="B94" t="s">
        <v>20</v>
      </c>
      <c r="C94" t="s">
        <v>603</v>
      </c>
      <c r="D94" t="s">
        <v>282</v>
      </c>
      <c r="E94" t="s">
        <v>3</v>
      </c>
      <c r="F94" t="str">
        <f t="shared" si="11"/>
        <v>Chad:Implant</v>
      </c>
      <c r="G94" s="611">
        <f t="shared" si="12"/>
        <v>0.90909090909090917</v>
      </c>
      <c r="H94" s="23">
        <v>0.90909090909090917</v>
      </c>
      <c r="I94" s="23">
        <v>0</v>
      </c>
      <c r="J94" s="23">
        <v>0</v>
      </c>
      <c r="K94" s="23">
        <v>6.0606060606060608E-2</v>
      </c>
      <c r="L94" s="23">
        <v>3.0303030303030304E-2</v>
      </c>
      <c r="M94" s="23">
        <v>0</v>
      </c>
      <c r="N94" s="23">
        <v>0</v>
      </c>
      <c r="O94" s="818">
        <v>0</v>
      </c>
      <c r="P94" s="818">
        <v>0.02</v>
      </c>
      <c r="Q94" s="23">
        <f t="shared" si="8"/>
        <v>1</v>
      </c>
      <c r="R94">
        <v>110</v>
      </c>
    </row>
    <row r="95" spans="1:18" hidden="1" x14ac:dyDescent="0.25">
      <c r="A95" t="s">
        <v>884</v>
      </c>
      <c r="B95" t="s">
        <v>20</v>
      </c>
      <c r="C95" t="s">
        <v>603</v>
      </c>
      <c r="D95" t="s">
        <v>282</v>
      </c>
      <c r="E95" t="s">
        <v>2</v>
      </c>
      <c r="F95" t="str">
        <f t="shared" si="11"/>
        <v>Chad:Injectable</v>
      </c>
      <c r="G95" s="611">
        <f t="shared" si="12"/>
        <v>0.85416666666666663</v>
      </c>
      <c r="H95" s="23">
        <v>0.85416666666666663</v>
      </c>
      <c r="I95" s="23">
        <v>0</v>
      </c>
      <c r="J95" s="23">
        <v>0</v>
      </c>
      <c r="K95" s="23">
        <v>0.14583333333333334</v>
      </c>
      <c r="L95" s="23">
        <v>0</v>
      </c>
      <c r="M95" s="23">
        <v>0</v>
      </c>
      <c r="N95" s="23">
        <v>0</v>
      </c>
      <c r="O95" s="818">
        <v>0</v>
      </c>
      <c r="P95" s="818">
        <v>0.03</v>
      </c>
      <c r="Q95" s="23">
        <f t="shared" si="8"/>
        <v>1</v>
      </c>
      <c r="R95">
        <v>256</v>
      </c>
    </row>
    <row r="96" spans="1:18" hidden="1" x14ac:dyDescent="0.25">
      <c r="A96" t="s">
        <v>884</v>
      </c>
      <c r="B96" t="s">
        <v>20</v>
      </c>
      <c r="C96" t="s">
        <v>603</v>
      </c>
      <c r="D96" t="s">
        <v>282</v>
      </c>
      <c r="E96" t="s">
        <v>5</v>
      </c>
      <c r="F96" t="str">
        <f t="shared" si="11"/>
        <v>Chad:IUD</v>
      </c>
      <c r="G96" s="611" t="e">
        <f t="shared" si="12"/>
        <v>#N/A</v>
      </c>
      <c r="H96" s="23" t="e">
        <f>NA()</f>
        <v>#N/A</v>
      </c>
      <c r="I96" s="23" t="e">
        <f>NA()</f>
        <v>#N/A</v>
      </c>
      <c r="J96" s="23" t="e">
        <f>NA()</f>
        <v>#N/A</v>
      </c>
      <c r="K96" s="23" t="e">
        <f>NA()</f>
        <v>#N/A</v>
      </c>
      <c r="L96" s="23" t="e">
        <f>NA()</f>
        <v>#N/A</v>
      </c>
      <c r="M96" s="23" t="e">
        <f>NA()</f>
        <v>#N/A</v>
      </c>
      <c r="N96" s="23" t="e">
        <f>NA()</f>
        <v>#N/A</v>
      </c>
      <c r="O96" s="818" t="e">
        <f>NA()</f>
        <v>#N/A</v>
      </c>
      <c r="P96" s="818" t="e">
        <f>NA()</f>
        <v>#N/A</v>
      </c>
      <c r="Q96" s="23" t="str">
        <f t="shared" si="8"/>
        <v>Sample Too Small</v>
      </c>
      <c r="R96" s="10">
        <v>8</v>
      </c>
    </row>
    <row r="97" spans="1:18" hidden="1" x14ac:dyDescent="0.25">
      <c r="A97" t="s">
        <v>884</v>
      </c>
      <c r="B97" t="s">
        <v>20</v>
      </c>
      <c r="C97" t="s">
        <v>603</v>
      </c>
      <c r="D97" t="s">
        <v>282</v>
      </c>
      <c r="E97" t="s">
        <v>103</v>
      </c>
      <c r="F97" t="str">
        <f t="shared" si="11"/>
        <v>Chad:Male Condom</v>
      </c>
      <c r="G97" s="611">
        <f t="shared" si="12"/>
        <v>7.2164948453608255E-2</v>
      </c>
      <c r="H97" s="23">
        <v>7.2164948453608255E-2</v>
      </c>
      <c r="I97" s="23">
        <v>0</v>
      </c>
      <c r="J97" s="23">
        <v>0</v>
      </c>
      <c r="K97" s="23">
        <v>0.14432989690721651</v>
      </c>
      <c r="L97" s="23">
        <v>5.1546391752577324E-2</v>
      </c>
      <c r="M97" s="23">
        <v>0.62886597938144329</v>
      </c>
      <c r="N97" s="23">
        <v>2.0618556701030927E-2</v>
      </c>
      <c r="O97" s="818">
        <v>8.247422680412371E-2</v>
      </c>
      <c r="P97" s="818">
        <v>0.03</v>
      </c>
      <c r="Q97" s="23">
        <f t="shared" si="8"/>
        <v>0.91752577319587625</v>
      </c>
      <c r="R97">
        <v>82</v>
      </c>
    </row>
    <row r="98" spans="1:18" hidden="1" x14ac:dyDescent="0.25">
      <c r="A98" t="s">
        <v>884</v>
      </c>
      <c r="B98" t="s">
        <v>20</v>
      </c>
      <c r="C98" t="s">
        <v>603</v>
      </c>
      <c r="D98" t="s">
        <v>282</v>
      </c>
      <c r="E98" t="s">
        <v>129</v>
      </c>
      <c r="F98" t="str">
        <f t="shared" si="11"/>
        <v>Chad:Male Sterilization</v>
      </c>
      <c r="G98" s="611" t="e">
        <f t="shared" si="12"/>
        <v>#N/A</v>
      </c>
      <c r="H98" t="e">
        <f>NA()</f>
        <v>#N/A</v>
      </c>
      <c r="I98" t="e">
        <f>NA()</f>
        <v>#N/A</v>
      </c>
      <c r="J98" t="e">
        <f>NA()</f>
        <v>#N/A</v>
      </c>
      <c r="K98" t="e">
        <f>NA()</f>
        <v>#N/A</v>
      </c>
      <c r="L98" t="e">
        <f>NA()</f>
        <v>#N/A</v>
      </c>
      <c r="M98" t="e">
        <f>NA()</f>
        <v>#N/A</v>
      </c>
      <c r="N98" t="e">
        <f>NA()</f>
        <v>#N/A</v>
      </c>
      <c r="O98" s="818" t="e">
        <f>NA()</f>
        <v>#N/A</v>
      </c>
      <c r="P98" s="818" t="e">
        <f>NA()</f>
        <v>#N/A</v>
      </c>
      <c r="Q98" s="23" t="str">
        <f t="shared" si="8"/>
        <v>Sample Too Small</v>
      </c>
      <c r="R98" s="10">
        <v>0</v>
      </c>
    </row>
    <row r="99" spans="1:18" hidden="1" x14ac:dyDescent="0.25">
      <c r="A99" s="119" t="s">
        <v>884</v>
      </c>
      <c r="B99" t="s">
        <v>20</v>
      </c>
      <c r="C99" t="s">
        <v>603</v>
      </c>
      <c r="D99" t="s">
        <v>282</v>
      </c>
      <c r="E99" t="s">
        <v>110</v>
      </c>
      <c r="F99" t="str">
        <f t="shared" si="11"/>
        <v>Chad:OC Pills</v>
      </c>
      <c r="G99" s="611">
        <f t="shared" si="12"/>
        <v>0.83673469387755095</v>
      </c>
      <c r="H99" s="502">
        <v>0.83673469387755095</v>
      </c>
      <c r="I99" s="502">
        <v>0</v>
      </c>
      <c r="J99" s="502">
        <v>0</v>
      </c>
      <c r="K99" s="502">
        <v>9.1836734693877556E-2</v>
      </c>
      <c r="L99" s="502">
        <v>5.1020408163265307E-2</v>
      </c>
      <c r="M99" s="502">
        <v>2.0408163265306124E-2</v>
      </c>
      <c r="N99" s="502">
        <v>0</v>
      </c>
      <c r="O99" s="818">
        <v>0</v>
      </c>
      <c r="P99" s="818">
        <v>0.02</v>
      </c>
      <c r="Q99" s="23">
        <f t="shared" si="8"/>
        <v>1</v>
      </c>
      <c r="R99" s="119">
        <v>54</v>
      </c>
    </row>
    <row r="100" spans="1:18" hidden="1" x14ac:dyDescent="0.25">
      <c r="A100" t="s">
        <v>884</v>
      </c>
      <c r="B100" t="s">
        <v>20</v>
      </c>
      <c r="C100" t="s">
        <v>603</v>
      </c>
      <c r="D100" t="s">
        <v>282</v>
      </c>
      <c r="E100" t="s">
        <v>130</v>
      </c>
      <c r="F100" t="str">
        <f t="shared" si="11"/>
        <v>Chad:Other Modern Methods</v>
      </c>
      <c r="G100" s="611" t="e">
        <f t="shared" si="12"/>
        <v>#N/A</v>
      </c>
      <c r="H100" t="e">
        <f>NA()</f>
        <v>#N/A</v>
      </c>
      <c r="I100" t="e">
        <f>NA()</f>
        <v>#N/A</v>
      </c>
      <c r="J100" t="e">
        <f>NA()</f>
        <v>#N/A</v>
      </c>
      <c r="K100" t="e">
        <f>NA()</f>
        <v>#N/A</v>
      </c>
      <c r="L100" t="e">
        <f>NA()</f>
        <v>#N/A</v>
      </c>
      <c r="M100" t="e">
        <f>NA()</f>
        <v>#N/A</v>
      </c>
      <c r="N100" t="e">
        <f>NA()</f>
        <v>#N/A</v>
      </c>
      <c r="O100" s="818" t="e">
        <f>NA()</f>
        <v>#N/A</v>
      </c>
      <c r="P100" s="818" t="e">
        <f>NA()</f>
        <v>#N/A</v>
      </c>
      <c r="Q100" s="23" t="str">
        <f t="shared" si="8"/>
        <v>Sample Too Small</v>
      </c>
      <c r="R100" s="10">
        <v>2</v>
      </c>
    </row>
    <row r="101" spans="1:18" hidden="1" x14ac:dyDescent="0.25">
      <c r="A101" t="s">
        <v>885</v>
      </c>
      <c r="B101" t="s">
        <v>21</v>
      </c>
      <c r="C101" t="s">
        <v>604</v>
      </c>
      <c r="D101" t="s">
        <v>282</v>
      </c>
      <c r="E101" t="s">
        <v>128</v>
      </c>
      <c r="F101" t="str">
        <f t="shared" si="11"/>
        <v>Comoros:Female Sterilization</v>
      </c>
      <c r="G101" s="611">
        <f t="shared" si="12"/>
        <v>0.94</v>
      </c>
      <c r="H101" s="23">
        <v>0.94</v>
      </c>
      <c r="I101" s="23">
        <v>0</v>
      </c>
      <c r="J101" s="23">
        <v>0</v>
      </c>
      <c r="K101" s="23">
        <v>0.06</v>
      </c>
      <c r="L101" s="23">
        <v>0</v>
      </c>
      <c r="M101" s="23">
        <v>0</v>
      </c>
      <c r="N101" s="23">
        <v>0</v>
      </c>
      <c r="O101" s="818">
        <v>0</v>
      </c>
      <c r="P101" s="818">
        <v>0</v>
      </c>
      <c r="Q101" s="23">
        <f t="shared" si="8"/>
        <v>1</v>
      </c>
      <c r="R101">
        <v>32</v>
      </c>
    </row>
    <row r="102" spans="1:18" hidden="1" x14ac:dyDescent="0.25">
      <c r="A102" t="s">
        <v>885</v>
      </c>
      <c r="B102" t="s">
        <v>21</v>
      </c>
      <c r="C102" t="s">
        <v>604</v>
      </c>
      <c r="D102" t="s">
        <v>282</v>
      </c>
      <c r="E102" t="s">
        <v>3</v>
      </c>
      <c r="F102" t="str">
        <f t="shared" si="11"/>
        <v>Comoros:Implant</v>
      </c>
      <c r="G102" s="611">
        <f t="shared" si="12"/>
        <v>0.94680851063829796</v>
      </c>
      <c r="H102" s="23">
        <v>0.63829787234042556</v>
      </c>
      <c r="I102" s="23">
        <v>0.30851063829787234</v>
      </c>
      <c r="J102" s="23">
        <v>0</v>
      </c>
      <c r="K102" s="23">
        <v>2.1276595744680854E-2</v>
      </c>
      <c r="L102" s="23">
        <v>0</v>
      </c>
      <c r="M102" s="23">
        <v>3.1914893617021274E-2</v>
      </c>
      <c r="N102" s="23">
        <v>0</v>
      </c>
      <c r="O102" s="818">
        <v>0</v>
      </c>
      <c r="P102" s="818">
        <v>0.06</v>
      </c>
      <c r="Q102" s="23">
        <f t="shared" si="8"/>
        <v>1.0000000000000002</v>
      </c>
      <c r="R102">
        <v>56</v>
      </c>
    </row>
    <row r="103" spans="1:18" hidden="1" x14ac:dyDescent="0.25">
      <c r="A103" t="s">
        <v>885</v>
      </c>
      <c r="B103" t="s">
        <v>21</v>
      </c>
      <c r="C103" t="s">
        <v>604</v>
      </c>
      <c r="D103" t="s">
        <v>282</v>
      </c>
      <c r="E103" t="s">
        <v>2</v>
      </c>
      <c r="F103" t="str">
        <f t="shared" si="11"/>
        <v>Comoros:Injectable</v>
      </c>
      <c r="G103" s="611">
        <f t="shared" si="12"/>
        <v>0.96969696969696972</v>
      </c>
      <c r="H103" s="23">
        <v>0.69696969696969691</v>
      </c>
      <c r="I103" s="23">
        <v>0.27272727272727276</v>
      </c>
      <c r="J103" s="23">
        <v>0</v>
      </c>
      <c r="K103" s="23">
        <v>3.0303030303030304E-2</v>
      </c>
      <c r="L103" s="23">
        <v>0</v>
      </c>
      <c r="M103" s="23">
        <v>0</v>
      </c>
      <c r="N103" s="23">
        <v>0</v>
      </c>
      <c r="O103" s="818">
        <v>0</v>
      </c>
      <c r="P103" s="818">
        <v>0.01</v>
      </c>
      <c r="Q103" s="23">
        <f t="shared" si="8"/>
        <v>1</v>
      </c>
      <c r="R103">
        <v>193</v>
      </c>
    </row>
    <row r="104" spans="1:18" hidden="1" x14ac:dyDescent="0.25">
      <c r="A104" t="s">
        <v>885</v>
      </c>
      <c r="B104" t="s">
        <v>21</v>
      </c>
      <c r="C104" t="s">
        <v>604</v>
      </c>
      <c r="D104" t="s">
        <v>282</v>
      </c>
      <c r="E104" t="s">
        <v>5</v>
      </c>
      <c r="F104" t="str">
        <f t="shared" si="11"/>
        <v>Comoros:IUD</v>
      </c>
      <c r="G104" s="611" t="e">
        <f t="shared" si="12"/>
        <v>#N/A</v>
      </c>
      <c r="H104" s="23" t="e">
        <f>NA()</f>
        <v>#N/A</v>
      </c>
      <c r="I104" s="23" t="e">
        <f>NA()</f>
        <v>#N/A</v>
      </c>
      <c r="J104" s="23" t="e">
        <f>NA()</f>
        <v>#N/A</v>
      </c>
      <c r="K104" s="23" t="e">
        <f>NA()</f>
        <v>#N/A</v>
      </c>
      <c r="L104" s="23" t="e">
        <f>NA()</f>
        <v>#N/A</v>
      </c>
      <c r="M104" s="23" t="e">
        <f>NA()</f>
        <v>#N/A</v>
      </c>
      <c r="N104" s="23" t="e">
        <f>NA()</f>
        <v>#N/A</v>
      </c>
      <c r="O104" s="818" t="e">
        <f>NA()</f>
        <v>#N/A</v>
      </c>
      <c r="P104" s="818" t="e">
        <f>NA()</f>
        <v>#N/A</v>
      </c>
      <c r="Q104" s="23" t="str">
        <f t="shared" si="8"/>
        <v>Sample Too Small</v>
      </c>
      <c r="R104" s="10">
        <v>4</v>
      </c>
    </row>
    <row r="105" spans="1:18" hidden="1" x14ac:dyDescent="0.25">
      <c r="A105" t="s">
        <v>885</v>
      </c>
      <c r="B105" t="s">
        <v>21</v>
      </c>
      <c r="C105" t="s">
        <v>604</v>
      </c>
      <c r="D105" t="s">
        <v>282</v>
      </c>
      <c r="E105" t="s">
        <v>103</v>
      </c>
      <c r="F105" t="str">
        <f t="shared" si="11"/>
        <v>Comoros:Male Condom</v>
      </c>
      <c r="G105" s="611">
        <f t="shared" si="12"/>
        <v>0.60204081632653061</v>
      </c>
      <c r="H105" s="23">
        <v>0.10204081632653061</v>
      </c>
      <c r="I105" s="23">
        <v>0.5</v>
      </c>
      <c r="J105" s="23">
        <v>0</v>
      </c>
      <c r="K105" s="23">
        <v>1.0204081632653062E-2</v>
      </c>
      <c r="L105" s="23">
        <v>0</v>
      </c>
      <c r="M105" s="23">
        <v>0.10204081632653061</v>
      </c>
      <c r="N105" s="23">
        <v>0.28571428571428575</v>
      </c>
      <c r="O105" s="818">
        <v>0</v>
      </c>
      <c r="P105" s="818">
        <v>0.01</v>
      </c>
      <c r="Q105" s="23">
        <f t="shared" si="8"/>
        <v>1</v>
      </c>
      <c r="R105">
        <v>115</v>
      </c>
    </row>
    <row r="106" spans="1:18" hidden="1" x14ac:dyDescent="0.25">
      <c r="A106" t="s">
        <v>885</v>
      </c>
      <c r="B106" t="s">
        <v>21</v>
      </c>
      <c r="C106" t="s">
        <v>604</v>
      </c>
      <c r="D106" t="s">
        <v>282</v>
      </c>
      <c r="E106" t="s">
        <v>129</v>
      </c>
      <c r="F106" t="str">
        <f t="shared" si="11"/>
        <v>Comoros:Male Sterilization</v>
      </c>
      <c r="G106" s="611" t="e">
        <f t="shared" si="12"/>
        <v>#N/A</v>
      </c>
      <c r="H106" t="e">
        <f>NA()</f>
        <v>#N/A</v>
      </c>
      <c r="I106" t="e">
        <f>NA()</f>
        <v>#N/A</v>
      </c>
      <c r="J106" t="e">
        <f>NA()</f>
        <v>#N/A</v>
      </c>
      <c r="K106" t="e">
        <f>NA()</f>
        <v>#N/A</v>
      </c>
      <c r="L106" t="e">
        <f>NA()</f>
        <v>#N/A</v>
      </c>
      <c r="M106" t="e">
        <f>NA()</f>
        <v>#N/A</v>
      </c>
      <c r="N106" t="e">
        <f>NA()</f>
        <v>#N/A</v>
      </c>
      <c r="O106" s="818" t="e">
        <f>NA()</f>
        <v>#N/A</v>
      </c>
      <c r="P106" s="818" t="e">
        <f>NA()</f>
        <v>#N/A</v>
      </c>
      <c r="Q106" s="23" t="str">
        <f t="shared" si="8"/>
        <v>Sample Too Small</v>
      </c>
      <c r="R106" s="10">
        <v>0</v>
      </c>
    </row>
    <row r="107" spans="1:18" hidden="1" x14ac:dyDescent="0.25">
      <c r="A107" s="119" t="s">
        <v>885</v>
      </c>
      <c r="B107" t="s">
        <v>21</v>
      </c>
      <c r="C107" t="s">
        <v>604</v>
      </c>
      <c r="D107" t="s">
        <v>282</v>
      </c>
      <c r="E107" t="s">
        <v>110</v>
      </c>
      <c r="F107" t="str">
        <f t="shared" si="11"/>
        <v>Comoros:OC Pills</v>
      </c>
      <c r="G107" s="611">
        <f t="shared" si="12"/>
        <v>0.95959595959595967</v>
      </c>
      <c r="H107" s="502">
        <v>0.76767676767676774</v>
      </c>
      <c r="I107" s="502">
        <v>0.19191919191919193</v>
      </c>
      <c r="J107" s="502">
        <v>0</v>
      </c>
      <c r="K107" s="502">
        <v>2.0202020202020204E-2</v>
      </c>
      <c r="L107" s="502">
        <v>2.0202020202020204E-2</v>
      </c>
      <c r="M107" s="502">
        <v>0</v>
      </c>
      <c r="N107" s="502">
        <v>0</v>
      </c>
      <c r="O107" s="818">
        <v>0</v>
      </c>
      <c r="P107" s="818">
        <v>0.02</v>
      </c>
      <c r="Q107" s="23">
        <f t="shared" si="8"/>
        <v>1</v>
      </c>
      <c r="R107" s="119">
        <v>105</v>
      </c>
    </row>
    <row r="108" spans="1:18" hidden="1" x14ac:dyDescent="0.25">
      <c r="A108" t="s">
        <v>885</v>
      </c>
      <c r="B108" t="s">
        <v>21</v>
      </c>
      <c r="C108" t="s">
        <v>604</v>
      </c>
      <c r="D108" t="s">
        <v>282</v>
      </c>
      <c r="E108" t="s">
        <v>130</v>
      </c>
      <c r="F108" t="str">
        <f t="shared" si="11"/>
        <v>Comoros:Other Modern Methods</v>
      </c>
      <c r="G108" s="611" t="e">
        <f t="shared" si="12"/>
        <v>#N/A</v>
      </c>
      <c r="H108" t="e">
        <f>NA()</f>
        <v>#N/A</v>
      </c>
      <c r="I108" t="e">
        <f>NA()</f>
        <v>#N/A</v>
      </c>
      <c r="J108" t="e">
        <f>NA()</f>
        <v>#N/A</v>
      </c>
      <c r="K108" t="e">
        <f>NA()</f>
        <v>#N/A</v>
      </c>
      <c r="L108" t="e">
        <f>NA()</f>
        <v>#N/A</v>
      </c>
      <c r="M108" t="e">
        <f>NA()</f>
        <v>#N/A</v>
      </c>
      <c r="N108" t="e">
        <f>NA()</f>
        <v>#N/A</v>
      </c>
      <c r="O108" s="818" t="e">
        <f>NA()</f>
        <v>#N/A</v>
      </c>
      <c r="P108" s="818" t="e">
        <f>NA()</f>
        <v>#N/A</v>
      </c>
      <c r="Q108" s="23" t="str">
        <f t="shared" si="8"/>
        <v>Sample Too Small</v>
      </c>
      <c r="R108" s="10">
        <v>2</v>
      </c>
    </row>
    <row r="109" spans="1:18" hidden="1" x14ac:dyDescent="0.25">
      <c r="A109" t="s">
        <v>886</v>
      </c>
      <c r="B109" t="s">
        <v>22</v>
      </c>
      <c r="C109" t="s">
        <v>597</v>
      </c>
      <c r="D109" t="s">
        <v>282</v>
      </c>
      <c r="E109" t="s">
        <v>128</v>
      </c>
      <c r="F109" t="str">
        <f t="shared" si="11"/>
        <v>Congo:Female Sterilization</v>
      </c>
      <c r="G109" s="611" t="e">
        <f t="shared" si="12"/>
        <v>#N/A</v>
      </c>
      <c r="H109" t="e">
        <f>NA()</f>
        <v>#N/A</v>
      </c>
      <c r="I109" t="e">
        <f>NA()</f>
        <v>#N/A</v>
      </c>
      <c r="J109" t="e">
        <f>NA()</f>
        <v>#N/A</v>
      </c>
      <c r="K109" t="e">
        <f>NA()</f>
        <v>#N/A</v>
      </c>
      <c r="L109" t="e">
        <f>NA()</f>
        <v>#N/A</v>
      </c>
      <c r="M109" t="e">
        <f>NA()</f>
        <v>#N/A</v>
      </c>
      <c r="N109" t="e">
        <f>NA()</f>
        <v>#N/A</v>
      </c>
      <c r="O109" s="818" t="e">
        <f>NA()</f>
        <v>#N/A</v>
      </c>
      <c r="P109" s="818" t="e">
        <f>NA()</f>
        <v>#N/A</v>
      </c>
      <c r="Q109" s="23" t="str">
        <f t="shared" si="8"/>
        <v>Sample Too Small</v>
      </c>
      <c r="R109" s="10">
        <v>14</v>
      </c>
    </row>
    <row r="110" spans="1:18" hidden="1" x14ac:dyDescent="0.25">
      <c r="A110" t="s">
        <v>886</v>
      </c>
      <c r="B110" t="s">
        <v>22</v>
      </c>
      <c r="C110" t="s">
        <v>597</v>
      </c>
      <c r="D110" t="s">
        <v>282</v>
      </c>
      <c r="E110" t="s">
        <v>3</v>
      </c>
      <c r="F110" t="str">
        <f t="shared" si="11"/>
        <v>Congo:Implant</v>
      </c>
      <c r="G110" s="611" t="e">
        <f t="shared" si="12"/>
        <v>#N/A</v>
      </c>
      <c r="H110" t="e">
        <f>NA()</f>
        <v>#N/A</v>
      </c>
      <c r="I110" t="e">
        <f>NA()</f>
        <v>#N/A</v>
      </c>
      <c r="J110" t="e">
        <f>NA()</f>
        <v>#N/A</v>
      </c>
      <c r="K110" t="e">
        <f>NA()</f>
        <v>#N/A</v>
      </c>
      <c r="L110" t="e">
        <f>NA()</f>
        <v>#N/A</v>
      </c>
      <c r="M110" t="e">
        <f>NA()</f>
        <v>#N/A</v>
      </c>
      <c r="N110" t="e">
        <f>NA()</f>
        <v>#N/A</v>
      </c>
      <c r="O110" s="818" t="e">
        <f>NA()</f>
        <v>#N/A</v>
      </c>
      <c r="P110" s="818" t="e">
        <f>NA()</f>
        <v>#N/A</v>
      </c>
      <c r="Q110" s="23" t="str">
        <f t="shared" si="8"/>
        <v>Sample Too Small</v>
      </c>
      <c r="R110" s="10">
        <v>6</v>
      </c>
    </row>
    <row r="111" spans="1:18" hidden="1" x14ac:dyDescent="0.25">
      <c r="A111" t="s">
        <v>886</v>
      </c>
      <c r="B111" t="s">
        <v>22</v>
      </c>
      <c r="C111" t="s">
        <v>597</v>
      </c>
      <c r="D111" t="s">
        <v>282</v>
      </c>
      <c r="E111" t="s">
        <v>2</v>
      </c>
      <c r="F111" t="str">
        <f t="shared" si="11"/>
        <v>Congo:Injectable</v>
      </c>
      <c r="G111" s="611">
        <f t="shared" si="12"/>
        <v>0.78</v>
      </c>
      <c r="H111" s="23">
        <v>0.78</v>
      </c>
      <c r="I111" s="23">
        <v>0</v>
      </c>
      <c r="J111" s="23">
        <v>0</v>
      </c>
      <c r="K111" s="23">
        <v>0.22</v>
      </c>
      <c r="L111" s="23">
        <v>0</v>
      </c>
      <c r="M111" s="23">
        <v>0</v>
      </c>
      <c r="N111" s="23">
        <v>0</v>
      </c>
      <c r="O111" s="818">
        <v>0</v>
      </c>
      <c r="P111" s="818">
        <v>0</v>
      </c>
      <c r="Q111" s="23">
        <f t="shared" si="8"/>
        <v>1</v>
      </c>
      <c r="R111">
        <v>126</v>
      </c>
    </row>
    <row r="112" spans="1:18" hidden="1" x14ac:dyDescent="0.25">
      <c r="A112" t="s">
        <v>886</v>
      </c>
      <c r="B112" t="s">
        <v>22</v>
      </c>
      <c r="C112" t="s">
        <v>597</v>
      </c>
      <c r="D112" t="s">
        <v>282</v>
      </c>
      <c r="E112" t="s">
        <v>5</v>
      </c>
      <c r="F112" t="str">
        <f t="shared" si="11"/>
        <v>Congo:IUD</v>
      </c>
      <c r="G112" s="611" t="e">
        <f t="shared" si="12"/>
        <v>#N/A</v>
      </c>
      <c r="H112" s="23" t="e">
        <f>NA()</f>
        <v>#N/A</v>
      </c>
      <c r="I112" s="23" t="e">
        <f>NA()</f>
        <v>#N/A</v>
      </c>
      <c r="J112" s="23" t="e">
        <f>NA()</f>
        <v>#N/A</v>
      </c>
      <c r="K112" s="23" t="e">
        <f>NA()</f>
        <v>#N/A</v>
      </c>
      <c r="L112" s="23" t="e">
        <f>NA()</f>
        <v>#N/A</v>
      </c>
      <c r="M112" s="23" t="e">
        <f>NA()</f>
        <v>#N/A</v>
      </c>
      <c r="N112" s="23" t="e">
        <f>NA()</f>
        <v>#N/A</v>
      </c>
      <c r="O112" s="818" t="e">
        <f>NA()</f>
        <v>#N/A</v>
      </c>
      <c r="P112" s="818" t="e">
        <f>NA()</f>
        <v>#N/A</v>
      </c>
      <c r="Q112" s="23" t="str">
        <f t="shared" si="8"/>
        <v>Sample Too Small</v>
      </c>
      <c r="R112" s="10">
        <v>2</v>
      </c>
    </row>
    <row r="113" spans="1:18" hidden="1" x14ac:dyDescent="0.25">
      <c r="A113" t="s">
        <v>886</v>
      </c>
      <c r="B113" t="s">
        <v>22</v>
      </c>
      <c r="C113" t="s">
        <v>597</v>
      </c>
      <c r="D113" t="s">
        <v>282</v>
      </c>
      <c r="E113" t="s">
        <v>103</v>
      </c>
      <c r="F113" t="str">
        <f t="shared" si="11"/>
        <v>Congo:Male Condom</v>
      </c>
      <c r="G113" s="611">
        <f t="shared" si="12"/>
        <v>8.0808080808080815E-2</v>
      </c>
      <c r="H113" s="23">
        <v>8.0808080808080815E-2</v>
      </c>
      <c r="I113" s="23">
        <v>0</v>
      </c>
      <c r="J113" s="23">
        <v>0</v>
      </c>
      <c r="K113" s="23">
        <v>1.0101010101010102E-2</v>
      </c>
      <c r="L113" s="23">
        <v>0.29292929292929293</v>
      </c>
      <c r="M113" s="23">
        <v>0.59595959595959591</v>
      </c>
      <c r="N113" s="23">
        <v>2.0202020202020204E-2</v>
      </c>
      <c r="O113" s="818">
        <v>0</v>
      </c>
      <c r="P113" s="818">
        <v>0.01</v>
      </c>
      <c r="Q113" s="23">
        <f t="shared" si="8"/>
        <v>1</v>
      </c>
      <c r="R113" s="2">
        <v>1479</v>
      </c>
    </row>
    <row r="114" spans="1:18" hidden="1" x14ac:dyDescent="0.25">
      <c r="A114" t="s">
        <v>886</v>
      </c>
      <c r="B114" t="s">
        <v>22</v>
      </c>
      <c r="C114" t="s">
        <v>597</v>
      </c>
      <c r="D114" t="s">
        <v>282</v>
      </c>
      <c r="E114" t="s">
        <v>129</v>
      </c>
      <c r="F114" t="str">
        <f t="shared" si="11"/>
        <v>Congo:Male Sterilization</v>
      </c>
      <c r="G114" s="611" t="e">
        <f t="shared" si="12"/>
        <v>#N/A</v>
      </c>
      <c r="H114" t="e">
        <f>NA()</f>
        <v>#N/A</v>
      </c>
      <c r="I114" t="e">
        <f>NA()</f>
        <v>#N/A</v>
      </c>
      <c r="J114" t="e">
        <f>NA()</f>
        <v>#N/A</v>
      </c>
      <c r="K114" t="e">
        <f>NA()</f>
        <v>#N/A</v>
      </c>
      <c r="L114" t="e">
        <f>NA()</f>
        <v>#N/A</v>
      </c>
      <c r="M114" t="e">
        <f>NA()</f>
        <v>#N/A</v>
      </c>
      <c r="N114" t="e">
        <f>NA()</f>
        <v>#N/A</v>
      </c>
      <c r="O114" s="818" t="e">
        <f>NA()</f>
        <v>#N/A</v>
      </c>
      <c r="P114" s="818" t="e">
        <f>NA()</f>
        <v>#N/A</v>
      </c>
      <c r="Q114" s="23" t="str">
        <f t="shared" si="8"/>
        <v>Sample Too Small</v>
      </c>
      <c r="R114" s="10">
        <v>0</v>
      </c>
    </row>
    <row r="115" spans="1:18" hidden="1" x14ac:dyDescent="0.25">
      <c r="A115" s="119" t="s">
        <v>886</v>
      </c>
      <c r="B115" t="s">
        <v>22</v>
      </c>
      <c r="C115" t="s">
        <v>597</v>
      </c>
      <c r="D115" t="s">
        <v>282</v>
      </c>
      <c r="E115" t="s">
        <v>110</v>
      </c>
      <c r="F115" t="str">
        <f t="shared" si="11"/>
        <v>Congo:OC Pills</v>
      </c>
      <c r="G115" s="611">
        <f t="shared" si="12"/>
        <v>0.45454545454545459</v>
      </c>
      <c r="H115" s="502">
        <v>0.45454545454545459</v>
      </c>
      <c r="I115" s="502">
        <v>0</v>
      </c>
      <c r="J115" s="502">
        <v>0</v>
      </c>
      <c r="K115" s="502">
        <v>7.0707070707070718E-2</v>
      </c>
      <c r="L115" s="502">
        <v>0.24242424242424243</v>
      </c>
      <c r="M115" s="502">
        <v>0.23232323232323235</v>
      </c>
      <c r="N115" s="502">
        <v>0</v>
      </c>
      <c r="O115" s="818">
        <v>0</v>
      </c>
      <c r="P115" s="818">
        <v>0.01</v>
      </c>
      <c r="Q115" s="23">
        <f t="shared" si="8"/>
        <v>1</v>
      </c>
      <c r="R115" s="119">
        <v>185</v>
      </c>
    </row>
    <row r="116" spans="1:18" hidden="1" x14ac:dyDescent="0.25">
      <c r="A116" t="s">
        <v>886</v>
      </c>
      <c r="B116" t="s">
        <v>22</v>
      </c>
      <c r="C116" t="s">
        <v>597</v>
      </c>
      <c r="D116" t="s">
        <v>282</v>
      </c>
      <c r="E116" t="s">
        <v>130</v>
      </c>
      <c r="F116" t="str">
        <f t="shared" si="11"/>
        <v>Congo:Other Modern Methods</v>
      </c>
      <c r="G116" s="611" t="e">
        <f t="shared" si="12"/>
        <v>#N/A</v>
      </c>
      <c r="H116" t="e">
        <f>NA()</f>
        <v>#N/A</v>
      </c>
      <c r="I116" t="e">
        <f>NA()</f>
        <v>#N/A</v>
      </c>
      <c r="J116" t="e">
        <f>NA()</f>
        <v>#N/A</v>
      </c>
      <c r="K116" t="e">
        <f>NA()</f>
        <v>#N/A</v>
      </c>
      <c r="L116" t="e">
        <f>NA()</f>
        <v>#N/A</v>
      </c>
      <c r="M116" t="e">
        <f>NA()</f>
        <v>#N/A</v>
      </c>
      <c r="N116" t="e">
        <f>NA()</f>
        <v>#N/A</v>
      </c>
      <c r="O116" s="818" t="e">
        <f>NA()</f>
        <v>#N/A</v>
      </c>
      <c r="P116" s="818" t="e">
        <f>NA()</f>
        <v>#N/A</v>
      </c>
      <c r="Q116" s="23" t="str">
        <f t="shared" si="8"/>
        <v>Sample Too Small</v>
      </c>
      <c r="R116">
        <v>160</v>
      </c>
    </row>
    <row r="117" spans="1:18" hidden="1" x14ac:dyDescent="0.25">
      <c r="A117" t="s">
        <v>887</v>
      </c>
      <c r="B117" t="s">
        <v>2014</v>
      </c>
      <c r="C117" t="s">
        <v>597</v>
      </c>
      <c r="D117" t="s">
        <v>282</v>
      </c>
      <c r="E117" t="s">
        <v>128</v>
      </c>
      <c r="F117" t="str">
        <f t="shared" si="11"/>
        <v>Cote d'Ivoire:Female Sterilization</v>
      </c>
      <c r="G117" s="611" t="e">
        <f t="shared" ref="G117:G148" si="13">SUM(H117:I117)</f>
        <v>#N/A</v>
      </c>
      <c r="H117" t="e">
        <f>NA()</f>
        <v>#N/A</v>
      </c>
      <c r="I117" t="e">
        <f>NA()</f>
        <v>#N/A</v>
      </c>
      <c r="J117" t="e">
        <f>NA()</f>
        <v>#N/A</v>
      </c>
      <c r="K117" t="e">
        <f>NA()</f>
        <v>#N/A</v>
      </c>
      <c r="L117" t="e">
        <f>NA()</f>
        <v>#N/A</v>
      </c>
      <c r="M117" t="e">
        <f>NA()</f>
        <v>#N/A</v>
      </c>
      <c r="N117" t="e">
        <f>NA()</f>
        <v>#N/A</v>
      </c>
      <c r="O117" s="818" t="e">
        <f>NA()</f>
        <v>#N/A</v>
      </c>
      <c r="P117" s="818" t="e">
        <f>NA()</f>
        <v>#N/A</v>
      </c>
      <c r="Q117" s="23" t="str">
        <f t="shared" si="8"/>
        <v>Sample Too Small</v>
      </c>
      <c r="R117" s="10">
        <v>4</v>
      </c>
    </row>
    <row r="118" spans="1:18" hidden="1" x14ac:dyDescent="0.25">
      <c r="A118" t="s">
        <v>887</v>
      </c>
      <c r="B118" t="s">
        <v>2014</v>
      </c>
      <c r="C118" t="s">
        <v>597</v>
      </c>
      <c r="D118" t="s">
        <v>282</v>
      </c>
      <c r="E118" t="s">
        <v>3</v>
      </c>
      <c r="F118" t="str">
        <f t="shared" si="11"/>
        <v>Cote d'Ivoire:Implant</v>
      </c>
      <c r="G118" s="611" t="e">
        <f t="shared" si="13"/>
        <v>#N/A</v>
      </c>
      <c r="H118" t="e">
        <f>NA()</f>
        <v>#N/A</v>
      </c>
      <c r="I118" t="e">
        <f>NA()</f>
        <v>#N/A</v>
      </c>
      <c r="J118" t="e">
        <f>NA()</f>
        <v>#N/A</v>
      </c>
      <c r="K118" t="e">
        <f>NA()</f>
        <v>#N/A</v>
      </c>
      <c r="L118" t="e">
        <f>NA()</f>
        <v>#N/A</v>
      </c>
      <c r="M118" t="e">
        <f>NA()</f>
        <v>#N/A</v>
      </c>
      <c r="N118" t="e">
        <f>NA()</f>
        <v>#N/A</v>
      </c>
      <c r="O118" s="818" t="e">
        <f>NA()</f>
        <v>#N/A</v>
      </c>
      <c r="P118" s="818" t="e">
        <f>NA()</f>
        <v>#N/A</v>
      </c>
      <c r="Q118" s="23" t="str">
        <f t="shared" si="8"/>
        <v>Sample Too Small</v>
      </c>
      <c r="R118" s="10">
        <v>12</v>
      </c>
    </row>
    <row r="119" spans="1:18" hidden="1" x14ac:dyDescent="0.25">
      <c r="A119" t="s">
        <v>887</v>
      </c>
      <c r="B119" t="s">
        <v>2014</v>
      </c>
      <c r="C119" t="s">
        <v>597</v>
      </c>
      <c r="D119" t="s">
        <v>282</v>
      </c>
      <c r="E119" t="s">
        <v>2</v>
      </c>
      <c r="F119" t="str">
        <f t="shared" si="11"/>
        <v>Cote d'Ivoire:Injectable</v>
      </c>
      <c r="G119" s="611">
        <f t="shared" si="13"/>
        <v>0.89795918367346939</v>
      </c>
      <c r="H119" s="23">
        <v>0.87755102040816324</v>
      </c>
      <c r="I119" s="23">
        <v>2.0408163265306124E-2</v>
      </c>
      <c r="J119" s="23">
        <v>0</v>
      </c>
      <c r="K119" s="23">
        <v>8.1632653061224497E-2</v>
      </c>
      <c r="L119" s="23">
        <v>1.0204081632653062E-2</v>
      </c>
      <c r="M119" s="23">
        <v>1.0204081632653062E-2</v>
      </c>
      <c r="N119" s="23">
        <v>0</v>
      </c>
      <c r="O119" s="818">
        <v>0</v>
      </c>
      <c r="P119" s="818">
        <v>0.01</v>
      </c>
      <c r="Q119" s="23">
        <f t="shared" si="8"/>
        <v>1</v>
      </c>
      <c r="R119">
        <v>193</v>
      </c>
    </row>
    <row r="120" spans="1:18" hidden="1" x14ac:dyDescent="0.25">
      <c r="A120" t="s">
        <v>887</v>
      </c>
      <c r="B120" t="s">
        <v>2014</v>
      </c>
      <c r="C120" t="s">
        <v>597</v>
      </c>
      <c r="D120" t="s">
        <v>282</v>
      </c>
      <c r="E120" t="s">
        <v>5</v>
      </c>
      <c r="F120" t="str">
        <f t="shared" si="11"/>
        <v>Cote d'Ivoire:IUD</v>
      </c>
      <c r="G120" s="611" t="e">
        <f t="shared" si="13"/>
        <v>#N/A</v>
      </c>
      <c r="H120" t="e">
        <f>NA()</f>
        <v>#N/A</v>
      </c>
      <c r="I120" t="e">
        <f>NA()</f>
        <v>#N/A</v>
      </c>
      <c r="J120" t="e">
        <f>NA()</f>
        <v>#N/A</v>
      </c>
      <c r="K120" t="e">
        <f>NA()</f>
        <v>#N/A</v>
      </c>
      <c r="L120" t="e">
        <f>NA()</f>
        <v>#N/A</v>
      </c>
      <c r="M120" t="e">
        <f>NA()</f>
        <v>#N/A</v>
      </c>
      <c r="N120" t="e">
        <f>NA()</f>
        <v>#N/A</v>
      </c>
      <c r="O120" s="818" t="e">
        <f>NA()</f>
        <v>#N/A</v>
      </c>
      <c r="P120" s="818" t="e">
        <f>NA()</f>
        <v>#N/A</v>
      </c>
      <c r="Q120" s="23" t="str">
        <f t="shared" si="8"/>
        <v>Sample Too Small</v>
      </c>
      <c r="R120" s="10">
        <v>11</v>
      </c>
    </row>
    <row r="121" spans="1:18" hidden="1" x14ac:dyDescent="0.25">
      <c r="A121" t="s">
        <v>887</v>
      </c>
      <c r="B121" t="s">
        <v>2014</v>
      </c>
      <c r="C121" t="s">
        <v>597</v>
      </c>
      <c r="D121" t="s">
        <v>282</v>
      </c>
      <c r="E121" t="s">
        <v>103</v>
      </c>
      <c r="F121" t="str">
        <f t="shared" si="11"/>
        <v>Cote d'Ivoire:Male Condom</v>
      </c>
      <c r="G121" s="611">
        <f t="shared" si="13"/>
        <v>4.1666666666666671E-2</v>
      </c>
      <c r="H121" s="23">
        <v>3.125E-2</v>
      </c>
      <c r="I121" s="23">
        <v>1.0416666666666668E-2</v>
      </c>
      <c r="J121" s="23">
        <v>0</v>
      </c>
      <c r="K121" s="23">
        <v>1.0416666666666668E-2</v>
      </c>
      <c r="L121" s="23">
        <v>0.45833333333333337</v>
      </c>
      <c r="M121" s="23">
        <v>0.39583333333333337</v>
      </c>
      <c r="N121" s="23">
        <v>9.375E-2</v>
      </c>
      <c r="O121" s="818">
        <v>0</v>
      </c>
      <c r="P121" s="818">
        <v>0.04</v>
      </c>
      <c r="Q121" s="23">
        <f t="shared" si="8"/>
        <v>1</v>
      </c>
      <c r="R121">
        <v>478</v>
      </c>
    </row>
    <row r="122" spans="1:18" hidden="1" x14ac:dyDescent="0.25">
      <c r="A122" t="s">
        <v>887</v>
      </c>
      <c r="B122" t="s">
        <v>2014</v>
      </c>
      <c r="C122" t="s">
        <v>597</v>
      </c>
      <c r="D122" t="s">
        <v>282</v>
      </c>
      <c r="E122" t="s">
        <v>129</v>
      </c>
      <c r="F122" t="str">
        <f t="shared" si="11"/>
        <v>Cote d'Ivoire:Male Sterilization</v>
      </c>
      <c r="G122" s="611" t="e">
        <f t="shared" si="13"/>
        <v>#N/A</v>
      </c>
      <c r="H122" t="e">
        <f>NA()</f>
        <v>#N/A</v>
      </c>
      <c r="I122" t="e">
        <f>NA()</f>
        <v>#N/A</v>
      </c>
      <c r="J122" t="e">
        <f>NA()</f>
        <v>#N/A</v>
      </c>
      <c r="K122" t="e">
        <f>NA()</f>
        <v>#N/A</v>
      </c>
      <c r="L122" t="e">
        <f>NA()</f>
        <v>#N/A</v>
      </c>
      <c r="M122" t="e">
        <f>NA()</f>
        <v>#N/A</v>
      </c>
      <c r="N122" t="e">
        <f>NA()</f>
        <v>#N/A</v>
      </c>
      <c r="O122" s="818" t="e">
        <f>NA()</f>
        <v>#N/A</v>
      </c>
      <c r="P122" s="818" t="e">
        <f>NA()</f>
        <v>#N/A</v>
      </c>
      <c r="Q122" s="23" t="str">
        <f t="shared" si="8"/>
        <v>Sample Too Small</v>
      </c>
      <c r="R122" s="10">
        <v>0</v>
      </c>
    </row>
    <row r="123" spans="1:18" hidden="1" x14ac:dyDescent="0.25">
      <c r="A123" s="119" t="s">
        <v>887</v>
      </c>
      <c r="B123" t="s">
        <v>2014</v>
      </c>
      <c r="C123" t="s">
        <v>597</v>
      </c>
      <c r="D123" t="s">
        <v>282</v>
      </c>
      <c r="E123" t="s">
        <v>110</v>
      </c>
      <c r="F123" t="str">
        <f t="shared" si="11"/>
        <v>Cote d'Ivoire:OC Pills</v>
      </c>
      <c r="G123" s="611">
        <f t="shared" si="13"/>
        <v>0.23711340206185566</v>
      </c>
      <c r="H123" s="502">
        <v>0.22680412371134021</v>
      </c>
      <c r="I123" s="502">
        <v>1.0309278350515464E-2</v>
      </c>
      <c r="J123" s="502">
        <v>0</v>
      </c>
      <c r="K123" s="502">
        <v>3.0927835051546393E-2</v>
      </c>
      <c r="L123" s="502">
        <v>0.58762886597938135</v>
      </c>
      <c r="M123" s="502">
        <v>1.0309278350515464E-2</v>
      </c>
      <c r="N123" s="502">
        <v>0.13402061855670103</v>
      </c>
      <c r="O123" s="818">
        <v>0</v>
      </c>
      <c r="P123" s="818">
        <v>0.04</v>
      </c>
      <c r="Q123" s="23">
        <f t="shared" si="8"/>
        <v>0.99999999999999978</v>
      </c>
      <c r="R123" s="119">
        <v>597</v>
      </c>
    </row>
    <row r="124" spans="1:18" hidden="1" x14ac:dyDescent="0.25">
      <c r="A124" t="s">
        <v>887</v>
      </c>
      <c r="B124" t="s">
        <v>2014</v>
      </c>
      <c r="C124" t="s">
        <v>597</v>
      </c>
      <c r="D124" t="s">
        <v>282</v>
      </c>
      <c r="E124" t="s">
        <v>130</v>
      </c>
      <c r="F124" t="str">
        <f t="shared" si="11"/>
        <v>Cote d'Ivoire:Other Modern Methods</v>
      </c>
      <c r="G124" s="611" t="e">
        <f t="shared" si="13"/>
        <v>#N/A</v>
      </c>
      <c r="H124" t="e">
        <f>NA()</f>
        <v>#N/A</v>
      </c>
      <c r="I124" t="e">
        <f>NA()</f>
        <v>#N/A</v>
      </c>
      <c r="J124" t="e">
        <f>NA()</f>
        <v>#N/A</v>
      </c>
      <c r="K124" t="e">
        <f>NA()</f>
        <v>#N/A</v>
      </c>
      <c r="L124" t="e">
        <f>NA()</f>
        <v>#N/A</v>
      </c>
      <c r="M124" t="e">
        <f>NA()</f>
        <v>#N/A</v>
      </c>
      <c r="N124" t="e">
        <f>NA()</f>
        <v>#N/A</v>
      </c>
      <c r="O124" s="818" t="e">
        <f>NA()</f>
        <v>#N/A</v>
      </c>
      <c r="P124" s="818" t="e">
        <f>NA()</f>
        <v>#N/A</v>
      </c>
      <c r="Q124" s="23" t="str">
        <f t="shared" si="8"/>
        <v>Sample Too Small</v>
      </c>
      <c r="R124">
        <v>30</v>
      </c>
    </row>
    <row r="125" spans="1:18" hidden="1" x14ac:dyDescent="0.25">
      <c r="A125" t="s">
        <v>888</v>
      </c>
      <c r="B125" t="s">
        <v>26</v>
      </c>
      <c r="C125" t="s">
        <v>606</v>
      </c>
      <c r="D125" t="s">
        <v>282</v>
      </c>
      <c r="E125" t="s">
        <v>128</v>
      </c>
      <c r="F125" t="str">
        <f t="shared" si="11"/>
        <v>DR Congo:Female Sterilization</v>
      </c>
      <c r="G125" s="611">
        <f t="shared" si="13"/>
        <v>0.92</v>
      </c>
      <c r="H125" s="23">
        <v>0.92</v>
      </c>
      <c r="I125" s="23">
        <v>0</v>
      </c>
      <c r="J125" s="23">
        <v>0</v>
      </c>
      <c r="K125" s="23">
        <v>0.08</v>
      </c>
      <c r="L125" s="23">
        <v>0</v>
      </c>
      <c r="M125" s="23">
        <v>0</v>
      </c>
      <c r="N125" s="23">
        <v>0</v>
      </c>
      <c r="O125" s="818">
        <v>0</v>
      </c>
      <c r="P125" s="818">
        <v>0</v>
      </c>
      <c r="Q125" s="23">
        <f t="shared" si="8"/>
        <v>1</v>
      </c>
      <c r="R125">
        <v>105</v>
      </c>
    </row>
    <row r="126" spans="1:18" hidden="1" x14ac:dyDescent="0.25">
      <c r="A126" t="s">
        <v>888</v>
      </c>
      <c r="B126" t="s">
        <v>26</v>
      </c>
      <c r="C126" t="s">
        <v>606</v>
      </c>
      <c r="D126" t="s">
        <v>282</v>
      </c>
      <c r="E126" t="s">
        <v>3</v>
      </c>
      <c r="F126" t="str">
        <f t="shared" si="11"/>
        <v>DR Congo:Implant</v>
      </c>
      <c r="G126" s="611">
        <f t="shared" si="13"/>
        <v>0.8</v>
      </c>
      <c r="H126" s="23">
        <v>0.79</v>
      </c>
      <c r="I126" s="23">
        <v>0.01</v>
      </c>
      <c r="J126" s="23">
        <v>0.04</v>
      </c>
      <c r="K126" s="23">
        <v>0.14000000000000001</v>
      </c>
      <c r="L126" s="23">
        <v>0.01</v>
      </c>
      <c r="M126" s="23">
        <v>0.01</v>
      </c>
      <c r="N126" s="23">
        <v>0</v>
      </c>
      <c r="O126" s="818">
        <v>0</v>
      </c>
      <c r="P126" s="818">
        <v>0</v>
      </c>
      <c r="Q126" s="23">
        <f t="shared" si="8"/>
        <v>1</v>
      </c>
      <c r="R126">
        <v>70</v>
      </c>
    </row>
    <row r="127" spans="1:18" hidden="1" x14ac:dyDescent="0.25">
      <c r="A127" t="s">
        <v>888</v>
      </c>
      <c r="B127" t="s">
        <v>26</v>
      </c>
      <c r="C127" t="s">
        <v>606</v>
      </c>
      <c r="D127" t="s">
        <v>282</v>
      </c>
      <c r="E127" t="s">
        <v>2</v>
      </c>
      <c r="F127" t="str">
        <f t="shared" si="11"/>
        <v>DR Congo:Injectable</v>
      </c>
      <c r="G127" s="611">
        <f t="shared" si="13"/>
        <v>0.65306122448979587</v>
      </c>
      <c r="H127" s="23">
        <v>0.65306122448979587</v>
      </c>
      <c r="I127" s="23">
        <v>0</v>
      </c>
      <c r="J127" s="23">
        <v>1.020408163265306E-2</v>
      </c>
      <c r="K127" s="23">
        <v>0.2857142857142857</v>
      </c>
      <c r="L127" s="23">
        <v>5.1020408163265307E-2</v>
      </c>
      <c r="M127" s="23">
        <v>0</v>
      </c>
      <c r="N127" s="23">
        <v>0</v>
      </c>
      <c r="O127" s="818">
        <v>0</v>
      </c>
      <c r="P127" s="818">
        <v>0.02</v>
      </c>
      <c r="Q127" s="23">
        <f t="shared" si="8"/>
        <v>1</v>
      </c>
      <c r="R127">
        <v>137</v>
      </c>
    </row>
    <row r="128" spans="1:18" hidden="1" x14ac:dyDescent="0.25">
      <c r="A128" t="s">
        <v>888</v>
      </c>
      <c r="B128" t="s">
        <v>26</v>
      </c>
      <c r="C128" t="s">
        <v>606</v>
      </c>
      <c r="D128" t="s">
        <v>282</v>
      </c>
      <c r="E128" t="s">
        <v>5</v>
      </c>
      <c r="F128" t="str">
        <f t="shared" si="11"/>
        <v>DR Congo:IUD</v>
      </c>
      <c r="G128" s="611" t="e">
        <f t="shared" si="13"/>
        <v>#N/A</v>
      </c>
      <c r="H128" t="e">
        <f>NA()</f>
        <v>#N/A</v>
      </c>
      <c r="I128" t="e">
        <f>NA()</f>
        <v>#N/A</v>
      </c>
      <c r="J128" t="e">
        <f>NA()</f>
        <v>#N/A</v>
      </c>
      <c r="K128" t="e">
        <f>NA()</f>
        <v>#N/A</v>
      </c>
      <c r="L128" t="e">
        <f>NA()</f>
        <v>#N/A</v>
      </c>
      <c r="M128" t="e">
        <f>NA()</f>
        <v>#N/A</v>
      </c>
      <c r="N128" t="e">
        <f>NA()</f>
        <v>#N/A</v>
      </c>
      <c r="O128" s="818" t="e">
        <f>NA()</f>
        <v>#N/A</v>
      </c>
      <c r="P128" s="818" t="e">
        <f>NA()</f>
        <v>#N/A</v>
      </c>
      <c r="Q128" s="23" t="str">
        <f t="shared" si="8"/>
        <v>Sample Too Small</v>
      </c>
      <c r="R128" s="10">
        <v>18</v>
      </c>
    </row>
    <row r="129" spans="1:26" hidden="1" x14ac:dyDescent="0.25">
      <c r="A129" t="s">
        <v>888</v>
      </c>
      <c r="B129" t="s">
        <v>26</v>
      </c>
      <c r="C129" t="s">
        <v>606</v>
      </c>
      <c r="D129" t="s">
        <v>282</v>
      </c>
      <c r="E129" t="s">
        <v>103</v>
      </c>
      <c r="F129" t="str">
        <f t="shared" si="11"/>
        <v>DR Congo:Male Condom</v>
      </c>
      <c r="G129" s="611">
        <f t="shared" si="13"/>
        <v>0.12499999999999999</v>
      </c>
      <c r="H129" s="23">
        <v>0.12499999999999999</v>
      </c>
      <c r="I129" s="23">
        <v>0</v>
      </c>
      <c r="J129" s="23">
        <v>3.1249999999999997E-2</v>
      </c>
      <c r="K129" s="23">
        <v>5.2083333333333329E-2</v>
      </c>
      <c r="L129" s="23">
        <v>0.63541666666666663</v>
      </c>
      <c r="M129" s="23">
        <v>0.15624999999999997</v>
      </c>
      <c r="N129" s="23">
        <v>0</v>
      </c>
      <c r="O129" s="818">
        <v>0</v>
      </c>
      <c r="P129" s="818">
        <v>0.02</v>
      </c>
      <c r="Q129" s="23">
        <f t="shared" si="8"/>
        <v>1</v>
      </c>
      <c r="R129">
        <v>751</v>
      </c>
    </row>
    <row r="130" spans="1:26" hidden="1" x14ac:dyDescent="0.25">
      <c r="A130" t="s">
        <v>888</v>
      </c>
      <c r="B130" t="s">
        <v>26</v>
      </c>
      <c r="C130" t="s">
        <v>606</v>
      </c>
      <c r="D130" t="s">
        <v>282</v>
      </c>
      <c r="E130" t="s">
        <v>129</v>
      </c>
      <c r="F130" t="str">
        <f t="shared" si="11"/>
        <v>DR Congo:Male Sterilization</v>
      </c>
      <c r="G130" s="611" t="e">
        <f t="shared" si="13"/>
        <v>#N/A</v>
      </c>
      <c r="H130" t="e">
        <f>NA()</f>
        <v>#N/A</v>
      </c>
      <c r="I130" t="e">
        <f>NA()</f>
        <v>#N/A</v>
      </c>
      <c r="J130" t="e">
        <f>NA()</f>
        <v>#N/A</v>
      </c>
      <c r="K130" t="e">
        <f>NA()</f>
        <v>#N/A</v>
      </c>
      <c r="L130" t="e">
        <f>NA()</f>
        <v>#N/A</v>
      </c>
      <c r="M130" t="e">
        <f>NA()</f>
        <v>#N/A</v>
      </c>
      <c r="N130" t="e">
        <f>NA()</f>
        <v>#N/A</v>
      </c>
      <c r="O130" s="818" t="e">
        <f>NA()</f>
        <v>#N/A</v>
      </c>
      <c r="P130" s="818" t="e">
        <f>NA()</f>
        <v>#N/A</v>
      </c>
      <c r="Q130" s="23" t="str">
        <f t="shared" si="8"/>
        <v>Sample Too Small</v>
      </c>
      <c r="R130" s="10">
        <v>1</v>
      </c>
    </row>
    <row r="131" spans="1:26" hidden="1" x14ac:dyDescent="0.25">
      <c r="A131" s="119" t="s">
        <v>888</v>
      </c>
      <c r="B131" t="s">
        <v>26</v>
      </c>
      <c r="C131" t="s">
        <v>606</v>
      </c>
      <c r="D131" t="s">
        <v>282</v>
      </c>
      <c r="E131" t="s">
        <v>110</v>
      </c>
      <c r="F131" t="str">
        <f t="shared" si="11"/>
        <v>DR Congo:OC Pills</v>
      </c>
      <c r="G131" s="611">
        <f t="shared" si="13"/>
        <v>0.20202020202020204</v>
      </c>
      <c r="H131" s="502">
        <v>0.20202020202020204</v>
      </c>
      <c r="I131" s="502">
        <v>0</v>
      </c>
      <c r="J131" s="502">
        <v>0</v>
      </c>
      <c r="K131" s="502">
        <v>7.0707070707070718E-2</v>
      </c>
      <c r="L131" s="502">
        <v>0.70707070707070707</v>
      </c>
      <c r="M131" s="502">
        <v>2.0202020202020204E-2</v>
      </c>
      <c r="N131" s="502">
        <v>0</v>
      </c>
      <c r="O131" s="818">
        <v>0</v>
      </c>
      <c r="P131" s="818">
        <v>0.01</v>
      </c>
      <c r="Q131" s="23">
        <f t="shared" si="8"/>
        <v>1</v>
      </c>
      <c r="R131" s="119">
        <v>115</v>
      </c>
    </row>
    <row r="132" spans="1:26" hidden="1" x14ac:dyDescent="0.25">
      <c r="A132" t="s">
        <v>888</v>
      </c>
      <c r="B132" t="s">
        <v>26</v>
      </c>
      <c r="C132" t="s">
        <v>606</v>
      </c>
      <c r="D132" t="s">
        <v>282</v>
      </c>
      <c r="E132" t="s">
        <v>130</v>
      </c>
      <c r="F132" t="str">
        <f t="shared" si="11"/>
        <v>DR Congo:Other Modern Methods</v>
      </c>
      <c r="G132" s="611" t="e">
        <f t="shared" si="13"/>
        <v>#N/A</v>
      </c>
      <c r="H132" t="e">
        <f>NA()</f>
        <v>#N/A</v>
      </c>
      <c r="I132" t="e">
        <f>NA()</f>
        <v>#N/A</v>
      </c>
      <c r="J132" t="e">
        <f>NA()</f>
        <v>#N/A</v>
      </c>
      <c r="K132" t="e">
        <f>NA()</f>
        <v>#N/A</v>
      </c>
      <c r="L132" t="e">
        <f>NA()</f>
        <v>#N/A</v>
      </c>
      <c r="M132" t="e">
        <f>NA()</f>
        <v>#N/A</v>
      </c>
      <c r="N132" t="e">
        <f>NA()</f>
        <v>#N/A</v>
      </c>
      <c r="O132" s="818" t="e">
        <f>NA()</f>
        <v>#N/A</v>
      </c>
      <c r="P132" s="818" t="e">
        <f>NA()</f>
        <v>#N/A</v>
      </c>
      <c r="Q132" s="23" t="str">
        <f t="shared" si="8"/>
        <v>Sample Too Small</v>
      </c>
      <c r="R132">
        <v>68</v>
      </c>
    </row>
    <row r="133" spans="1:26" hidden="1" x14ac:dyDescent="0.25">
      <c r="A133" t="s">
        <v>889</v>
      </c>
      <c r="B133" t="s">
        <v>27</v>
      </c>
      <c r="C133" t="s">
        <v>596</v>
      </c>
      <c r="D133" t="s">
        <v>879</v>
      </c>
      <c r="E133" t="s">
        <v>128</v>
      </c>
      <c r="F133" t="str">
        <f t="shared" si="11"/>
        <v>Egypt:Female Sterilization</v>
      </c>
      <c r="G133" s="611">
        <f t="shared" si="13"/>
        <v>0.21</v>
      </c>
      <c r="H133" s="23">
        <v>0.21</v>
      </c>
      <c r="I133" s="23">
        <v>0</v>
      </c>
      <c r="J133" s="23">
        <v>0</v>
      </c>
      <c r="K133" s="23">
        <v>0.79</v>
      </c>
      <c r="L133" s="23">
        <v>0</v>
      </c>
      <c r="M133" s="23">
        <v>0</v>
      </c>
      <c r="N133" s="23">
        <v>0</v>
      </c>
      <c r="O133" s="818">
        <v>0</v>
      </c>
      <c r="P133" s="818">
        <v>0</v>
      </c>
      <c r="Q133" s="23">
        <f t="shared" si="8"/>
        <v>1</v>
      </c>
      <c r="R133">
        <v>217</v>
      </c>
    </row>
    <row r="134" spans="1:26" hidden="1" x14ac:dyDescent="0.25">
      <c r="A134" t="s">
        <v>889</v>
      </c>
      <c r="B134" t="s">
        <v>27</v>
      </c>
      <c r="C134" t="s">
        <v>596</v>
      </c>
      <c r="D134" t="s">
        <v>879</v>
      </c>
      <c r="E134" t="s">
        <v>3</v>
      </c>
      <c r="F134" t="str">
        <f t="shared" si="11"/>
        <v>Egypt:Implant</v>
      </c>
      <c r="G134" s="611">
        <f t="shared" si="13"/>
        <v>0.68</v>
      </c>
      <c r="H134" s="23">
        <v>0.66</v>
      </c>
      <c r="I134" s="23">
        <v>0.02</v>
      </c>
      <c r="J134" s="23">
        <v>0</v>
      </c>
      <c r="K134" s="23">
        <v>0.32</v>
      </c>
      <c r="L134" s="23">
        <v>0</v>
      </c>
      <c r="M134" s="23">
        <v>0</v>
      </c>
      <c r="N134" s="23">
        <v>0</v>
      </c>
      <c r="O134" s="818">
        <v>0</v>
      </c>
      <c r="P134" s="818">
        <v>0</v>
      </c>
      <c r="Q134" s="23">
        <f t="shared" si="8"/>
        <v>1</v>
      </c>
      <c r="R134">
        <v>132</v>
      </c>
      <c r="S134" s="23">
        <f t="shared" ref="S134:Y134" si="14">H134/SUM($H134:$N134)</f>
        <v>0.66</v>
      </c>
      <c r="T134" s="23">
        <f t="shared" si="14"/>
        <v>0.02</v>
      </c>
      <c r="U134" s="23">
        <f t="shared" si="14"/>
        <v>0</v>
      </c>
      <c r="V134" s="23">
        <f t="shared" si="14"/>
        <v>0.32</v>
      </c>
      <c r="W134" s="23">
        <f t="shared" si="14"/>
        <v>0</v>
      </c>
      <c r="X134" s="23">
        <f t="shared" si="14"/>
        <v>0</v>
      </c>
      <c r="Y134" s="23">
        <f t="shared" si="14"/>
        <v>0</v>
      </c>
      <c r="Z134" s="23">
        <f>O134/SUM($H134:$O134)</f>
        <v>0</v>
      </c>
    </row>
    <row r="135" spans="1:26" hidden="1" x14ac:dyDescent="0.25">
      <c r="A135" t="s">
        <v>889</v>
      </c>
      <c r="B135" t="s">
        <v>27</v>
      </c>
      <c r="C135" t="s">
        <v>596</v>
      </c>
      <c r="D135" t="s">
        <v>879</v>
      </c>
      <c r="E135" t="s">
        <v>2</v>
      </c>
      <c r="F135" t="str">
        <f t="shared" si="11"/>
        <v>Egypt:Injectable</v>
      </c>
      <c r="G135" s="611" t="e">
        <f t="shared" si="13"/>
        <v>#N/A</v>
      </c>
      <c r="H135" t="e">
        <f>NA()</f>
        <v>#N/A</v>
      </c>
      <c r="I135" t="e">
        <f>NA()</f>
        <v>#N/A</v>
      </c>
      <c r="J135" t="e">
        <f>NA()</f>
        <v>#N/A</v>
      </c>
      <c r="K135" t="e">
        <f>NA()</f>
        <v>#N/A</v>
      </c>
      <c r="L135" t="e">
        <f>NA()</f>
        <v>#N/A</v>
      </c>
      <c r="M135" t="e">
        <f>NA()</f>
        <v>#N/A</v>
      </c>
      <c r="N135" t="e">
        <f>NA()</f>
        <v>#N/A</v>
      </c>
      <c r="O135" s="818" t="e">
        <f>NA()</f>
        <v>#N/A</v>
      </c>
      <c r="P135" s="818" t="e">
        <f>NA()</f>
        <v>#N/A</v>
      </c>
      <c r="Q135" s="23" t="str">
        <f t="shared" si="8"/>
        <v>Sample Too Small</v>
      </c>
      <c r="R135" s="10">
        <v>0</v>
      </c>
      <c r="S135" s="23" t="e">
        <f t="shared" ref="S135:S148" si="15">H135/SUM($H135:$N135)</f>
        <v>#N/A</v>
      </c>
      <c r="T135" s="23" t="e">
        <f t="shared" ref="T135:T148" si="16">I135/SUM($H135:$N135)</f>
        <v>#N/A</v>
      </c>
      <c r="U135" s="23" t="e">
        <f t="shared" ref="U135:U148" si="17">J135/SUM($H135:$N135)</f>
        <v>#N/A</v>
      </c>
      <c r="V135" s="23" t="e">
        <f t="shared" ref="V135:V148" si="18">K135/SUM($H135:$N135)</f>
        <v>#N/A</v>
      </c>
      <c r="W135" s="23" t="e">
        <f t="shared" ref="W135:W148" si="19">L135/SUM($H135:$N135)</f>
        <v>#N/A</v>
      </c>
      <c r="X135" s="23" t="e">
        <f t="shared" ref="X135:X148" si="20">M135/SUM($H135:$N135)</f>
        <v>#N/A</v>
      </c>
      <c r="Y135" s="23" t="e">
        <f t="shared" ref="Y135:Y148" si="21">N135/SUM($H135:$N135)</f>
        <v>#N/A</v>
      </c>
      <c r="Z135" s="23" t="e">
        <f t="shared" ref="Z135:Z190" si="22">O135/SUM($H135:$O135)</f>
        <v>#N/A</v>
      </c>
    </row>
    <row r="136" spans="1:26" hidden="1" x14ac:dyDescent="0.25">
      <c r="A136" t="s">
        <v>889</v>
      </c>
      <c r="B136" t="s">
        <v>27</v>
      </c>
      <c r="C136" t="s">
        <v>596</v>
      </c>
      <c r="D136" t="s">
        <v>879</v>
      </c>
      <c r="E136" t="s">
        <v>5</v>
      </c>
      <c r="F136" t="str">
        <f t="shared" si="11"/>
        <v>Egypt:IUD</v>
      </c>
      <c r="G136" s="611">
        <f t="shared" si="13"/>
        <v>0.63</v>
      </c>
      <c r="H136" s="23">
        <v>0.6</v>
      </c>
      <c r="I136" s="23">
        <v>0.03</v>
      </c>
      <c r="J136" s="23">
        <v>0.01</v>
      </c>
      <c r="K136" s="23">
        <v>0.36</v>
      </c>
      <c r="L136" s="23">
        <v>0</v>
      </c>
      <c r="M136" s="23">
        <v>0</v>
      </c>
      <c r="N136" s="23">
        <v>0</v>
      </c>
      <c r="O136" s="818">
        <v>0</v>
      </c>
      <c r="P136" s="818">
        <v>0</v>
      </c>
      <c r="Q136" s="23">
        <f t="shared" si="8"/>
        <v>1</v>
      </c>
      <c r="R136" s="2">
        <v>5779</v>
      </c>
      <c r="S136" s="23">
        <f t="shared" si="15"/>
        <v>0.6</v>
      </c>
      <c r="T136" s="23">
        <f t="shared" si="16"/>
        <v>0.03</v>
      </c>
      <c r="U136" s="23">
        <f t="shared" si="17"/>
        <v>0.01</v>
      </c>
      <c r="V136" s="23">
        <f t="shared" si="18"/>
        <v>0.36</v>
      </c>
      <c r="W136" s="23">
        <f t="shared" si="19"/>
        <v>0</v>
      </c>
      <c r="X136" s="23">
        <f t="shared" si="20"/>
        <v>0</v>
      </c>
      <c r="Y136" s="23">
        <f t="shared" si="21"/>
        <v>0</v>
      </c>
      <c r="Z136" s="23">
        <f t="shared" si="22"/>
        <v>0</v>
      </c>
    </row>
    <row r="137" spans="1:26" hidden="1" x14ac:dyDescent="0.25">
      <c r="A137" t="s">
        <v>889</v>
      </c>
      <c r="B137" t="s">
        <v>27</v>
      </c>
      <c r="C137" t="s">
        <v>596</v>
      </c>
      <c r="D137" t="s">
        <v>879</v>
      </c>
      <c r="E137" t="s">
        <v>103</v>
      </c>
      <c r="F137" t="str">
        <f t="shared" si="11"/>
        <v>Egypt:Male Condom</v>
      </c>
      <c r="G137" s="611">
        <f t="shared" si="13"/>
        <v>0.23</v>
      </c>
      <c r="H137" s="23">
        <v>0.23</v>
      </c>
      <c r="I137" s="23">
        <v>0</v>
      </c>
      <c r="J137" s="23">
        <v>0</v>
      </c>
      <c r="K137" s="23">
        <v>0.01</v>
      </c>
      <c r="L137" s="23">
        <v>0.74</v>
      </c>
      <c r="M137" s="23">
        <v>0</v>
      </c>
      <c r="N137" s="23">
        <v>0</v>
      </c>
      <c r="O137" s="818">
        <v>0.01</v>
      </c>
      <c r="P137" s="818">
        <v>0</v>
      </c>
      <c r="Q137" s="23">
        <f t="shared" si="8"/>
        <v>0.98</v>
      </c>
      <c r="R137">
        <v>123</v>
      </c>
      <c r="S137" s="23">
        <f t="shared" si="15"/>
        <v>0.23469387755102042</v>
      </c>
      <c r="T137" s="23">
        <f t="shared" si="16"/>
        <v>0</v>
      </c>
      <c r="U137" s="23">
        <f t="shared" si="17"/>
        <v>0</v>
      </c>
      <c r="V137" s="23">
        <f t="shared" si="18"/>
        <v>1.0204081632653062E-2</v>
      </c>
      <c r="W137" s="23">
        <f t="shared" si="19"/>
        <v>0.75510204081632648</v>
      </c>
      <c r="X137" s="23">
        <f t="shared" si="20"/>
        <v>0</v>
      </c>
      <c r="Y137" s="23">
        <f t="shared" si="21"/>
        <v>0</v>
      </c>
      <c r="Z137" s="23">
        <f t="shared" si="22"/>
        <v>1.0101010101010102E-2</v>
      </c>
    </row>
    <row r="138" spans="1:26" hidden="1" x14ac:dyDescent="0.25">
      <c r="A138" t="s">
        <v>889</v>
      </c>
      <c r="B138" t="s">
        <v>27</v>
      </c>
      <c r="C138" t="s">
        <v>596</v>
      </c>
      <c r="D138" t="s">
        <v>879</v>
      </c>
      <c r="E138" t="s">
        <v>129</v>
      </c>
      <c r="F138" t="str">
        <f t="shared" si="11"/>
        <v>Egypt:Male Sterilization</v>
      </c>
      <c r="G138" s="611" t="e">
        <f t="shared" si="13"/>
        <v>#N/A</v>
      </c>
      <c r="H138" t="e">
        <f>NA()</f>
        <v>#N/A</v>
      </c>
      <c r="I138" t="e">
        <f>NA()</f>
        <v>#N/A</v>
      </c>
      <c r="J138" t="e">
        <f>NA()</f>
        <v>#N/A</v>
      </c>
      <c r="K138" t="e">
        <f>NA()</f>
        <v>#N/A</v>
      </c>
      <c r="L138" t="e">
        <f>NA()</f>
        <v>#N/A</v>
      </c>
      <c r="M138" t="e">
        <f>NA()</f>
        <v>#N/A</v>
      </c>
      <c r="N138" t="e">
        <f>NA()</f>
        <v>#N/A</v>
      </c>
      <c r="O138" s="818" t="e">
        <f>NA()</f>
        <v>#N/A</v>
      </c>
      <c r="P138" s="818" t="e">
        <f>NA()</f>
        <v>#N/A</v>
      </c>
      <c r="Q138" s="23" t="str">
        <f t="shared" si="8"/>
        <v>Sample Too Small</v>
      </c>
      <c r="R138" s="10">
        <v>0</v>
      </c>
      <c r="S138" s="23" t="e">
        <f t="shared" si="15"/>
        <v>#N/A</v>
      </c>
      <c r="T138" s="23" t="e">
        <f t="shared" si="16"/>
        <v>#N/A</v>
      </c>
      <c r="U138" s="23" t="e">
        <f t="shared" si="17"/>
        <v>#N/A</v>
      </c>
      <c r="V138" s="23" t="e">
        <f t="shared" si="18"/>
        <v>#N/A</v>
      </c>
      <c r="W138" s="23" t="e">
        <f t="shared" si="19"/>
        <v>#N/A</v>
      </c>
      <c r="X138" s="23" t="e">
        <f t="shared" si="20"/>
        <v>#N/A</v>
      </c>
      <c r="Y138" s="23" t="e">
        <f t="shared" si="21"/>
        <v>#N/A</v>
      </c>
      <c r="Z138" s="23" t="e">
        <f t="shared" si="22"/>
        <v>#N/A</v>
      </c>
    </row>
    <row r="139" spans="1:26" hidden="1" x14ac:dyDescent="0.25">
      <c r="A139" s="119" t="s">
        <v>889</v>
      </c>
      <c r="B139" t="s">
        <v>27</v>
      </c>
      <c r="C139" t="s">
        <v>596</v>
      </c>
      <c r="D139" t="s">
        <v>879</v>
      </c>
      <c r="E139" t="s">
        <v>110</v>
      </c>
      <c r="F139" t="str">
        <f t="shared" si="11"/>
        <v>Egypt:OC Pills</v>
      </c>
      <c r="G139" s="611">
        <f t="shared" si="13"/>
        <v>0.34</v>
      </c>
      <c r="H139" s="502">
        <v>0.34</v>
      </c>
      <c r="I139" s="502">
        <v>0</v>
      </c>
      <c r="J139" s="502">
        <v>0</v>
      </c>
      <c r="K139" s="502">
        <v>0.02</v>
      </c>
      <c r="L139" s="502">
        <v>0.63</v>
      </c>
      <c r="M139" s="502">
        <v>0</v>
      </c>
      <c r="N139" s="502">
        <v>0</v>
      </c>
      <c r="O139" s="818">
        <v>0</v>
      </c>
      <c r="P139" s="818">
        <v>0</v>
      </c>
      <c r="Q139" s="23">
        <f t="shared" si="8"/>
        <v>0.99</v>
      </c>
      <c r="R139" s="501">
        <v>3457</v>
      </c>
      <c r="S139" s="23">
        <f t="shared" si="15"/>
        <v>0.34343434343434348</v>
      </c>
      <c r="T139" s="23">
        <f t="shared" si="16"/>
        <v>0</v>
      </c>
      <c r="U139" s="23">
        <f t="shared" si="17"/>
        <v>0</v>
      </c>
      <c r="V139" s="23">
        <f t="shared" si="18"/>
        <v>2.0202020202020204E-2</v>
      </c>
      <c r="W139" s="23">
        <f t="shared" si="19"/>
        <v>0.63636363636363635</v>
      </c>
      <c r="X139" s="23">
        <f t="shared" si="20"/>
        <v>0</v>
      </c>
      <c r="Y139" s="23">
        <f t="shared" si="21"/>
        <v>0</v>
      </c>
      <c r="Z139" s="23">
        <f t="shared" si="22"/>
        <v>0</v>
      </c>
    </row>
    <row r="140" spans="1:26" hidden="1" x14ac:dyDescent="0.25">
      <c r="A140" t="s">
        <v>889</v>
      </c>
      <c r="B140" t="s">
        <v>27</v>
      </c>
      <c r="C140" t="s">
        <v>596</v>
      </c>
      <c r="D140" t="s">
        <v>879</v>
      </c>
      <c r="E140" t="s">
        <v>130</v>
      </c>
      <c r="F140" t="str">
        <f t="shared" si="11"/>
        <v>Egypt:Other Modern Methods</v>
      </c>
      <c r="G140" s="611" t="e">
        <f t="shared" si="13"/>
        <v>#N/A</v>
      </c>
      <c r="H140" t="e">
        <f>NA()</f>
        <v>#N/A</v>
      </c>
      <c r="I140" t="e">
        <f>NA()</f>
        <v>#N/A</v>
      </c>
      <c r="J140" t="e">
        <f>NA()</f>
        <v>#N/A</v>
      </c>
      <c r="K140" t="e">
        <f>NA()</f>
        <v>#N/A</v>
      </c>
      <c r="L140" t="e">
        <f>NA()</f>
        <v>#N/A</v>
      </c>
      <c r="M140" t="e">
        <f>NA()</f>
        <v>#N/A</v>
      </c>
      <c r="N140" t="e">
        <f>NA()</f>
        <v>#N/A</v>
      </c>
      <c r="O140" s="818" t="e">
        <f>NA()</f>
        <v>#N/A</v>
      </c>
      <c r="P140" s="818" t="e">
        <f>NA()</f>
        <v>#N/A</v>
      </c>
      <c r="Q140" s="23" t="str">
        <f t="shared" si="8"/>
        <v>Sample Too Small</v>
      </c>
      <c r="R140" s="10">
        <v>19</v>
      </c>
      <c r="S140" s="23" t="e">
        <f t="shared" si="15"/>
        <v>#N/A</v>
      </c>
      <c r="T140" s="23" t="e">
        <f t="shared" si="16"/>
        <v>#N/A</v>
      </c>
      <c r="U140" s="23" t="e">
        <f t="shared" si="17"/>
        <v>#N/A</v>
      </c>
      <c r="V140" s="23" t="e">
        <f t="shared" si="18"/>
        <v>#N/A</v>
      </c>
      <c r="W140" s="23" t="e">
        <f t="shared" si="19"/>
        <v>#N/A</v>
      </c>
      <c r="X140" s="23" t="e">
        <f t="shared" si="20"/>
        <v>#N/A</v>
      </c>
      <c r="Y140" s="23" t="e">
        <f t="shared" si="21"/>
        <v>#N/A</v>
      </c>
      <c r="Z140" s="23" t="e">
        <f t="shared" si="22"/>
        <v>#N/A</v>
      </c>
    </row>
    <row r="141" spans="1:26" hidden="1" x14ac:dyDescent="0.25">
      <c r="A141" t="s">
        <v>890</v>
      </c>
      <c r="B141" t="s">
        <v>29</v>
      </c>
      <c r="C141" t="s">
        <v>610</v>
      </c>
      <c r="D141" t="s">
        <v>282</v>
      </c>
      <c r="E141" t="s">
        <v>128</v>
      </c>
      <c r="F141" t="str">
        <f t="shared" si="11"/>
        <v>Ethiopia:Female Sterilization</v>
      </c>
      <c r="G141" s="611">
        <f t="shared" si="13"/>
        <v>0.84</v>
      </c>
      <c r="H141" s="23">
        <v>0.84</v>
      </c>
      <c r="I141" s="23">
        <v>0</v>
      </c>
      <c r="J141" s="23">
        <v>0.05</v>
      </c>
      <c r="K141" s="23">
        <v>0.1</v>
      </c>
      <c r="L141" s="23">
        <v>0</v>
      </c>
      <c r="M141" s="23">
        <v>0</v>
      </c>
      <c r="N141" s="23">
        <v>0</v>
      </c>
      <c r="O141" s="818">
        <v>0</v>
      </c>
      <c r="P141" s="818">
        <v>0</v>
      </c>
      <c r="Q141" s="23">
        <f t="shared" si="8"/>
        <v>0.99</v>
      </c>
      <c r="R141">
        <v>30</v>
      </c>
      <c r="S141" s="23">
        <f t="shared" si="15"/>
        <v>0.84848484848484851</v>
      </c>
      <c r="T141" s="23">
        <f t="shared" si="16"/>
        <v>0</v>
      </c>
      <c r="U141" s="23">
        <f t="shared" si="17"/>
        <v>5.0505050505050511E-2</v>
      </c>
      <c r="V141" s="23">
        <f t="shared" si="18"/>
        <v>0.10101010101010102</v>
      </c>
      <c r="W141" s="23">
        <f t="shared" si="19"/>
        <v>0</v>
      </c>
      <c r="X141" s="23">
        <f t="shared" si="20"/>
        <v>0</v>
      </c>
      <c r="Y141" s="23">
        <f t="shared" si="21"/>
        <v>0</v>
      </c>
      <c r="Z141" s="23">
        <f t="shared" si="22"/>
        <v>0</v>
      </c>
    </row>
    <row r="142" spans="1:26" hidden="1" x14ac:dyDescent="0.25">
      <c r="A142" t="s">
        <v>890</v>
      </c>
      <c r="B142" t="s">
        <v>29</v>
      </c>
      <c r="C142" t="s">
        <v>610</v>
      </c>
      <c r="D142" t="s">
        <v>282</v>
      </c>
      <c r="E142" t="s">
        <v>3</v>
      </c>
      <c r="F142" t="str">
        <f t="shared" si="11"/>
        <v>Ethiopia:Implant</v>
      </c>
      <c r="G142" s="611">
        <f t="shared" si="13"/>
        <v>0.95</v>
      </c>
      <c r="H142" s="23">
        <v>0.95</v>
      </c>
      <c r="I142" s="23">
        <v>0</v>
      </c>
      <c r="J142" s="23">
        <v>0.02</v>
      </c>
      <c r="K142" s="23">
        <v>0.03</v>
      </c>
      <c r="L142" s="23">
        <v>0</v>
      </c>
      <c r="M142" s="23">
        <v>0</v>
      </c>
      <c r="N142" s="23">
        <v>0</v>
      </c>
      <c r="O142" s="818">
        <v>0</v>
      </c>
      <c r="P142" s="818">
        <v>0</v>
      </c>
      <c r="Q142" s="23">
        <f t="shared" si="8"/>
        <v>1</v>
      </c>
      <c r="R142">
        <v>779</v>
      </c>
      <c r="S142" s="23">
        <f t="shared" si="15"/>
        <v>0.95</v>
      </c>
      <c r="T142" s="23">
        <f t="shared" si="16"/>
        <v>0</v>
      </c>
      <c r="U142" s="23">
        <f t="shared" si="17"/>
        <v>0.02</v>
      </c>
      <c r="V142" s="23">
        <f t="shared" si="18"/>
        <v>0.03</v>
      </c>
      <c r="W142" s="23">
        <f t="shared" si="19"/>
        <v>0</v>
      </c>
      <c r="X142" s="23">
        <f t="shared" si="20"/>
        <v>0</v>
      </c>
      <c r="Y142" s="23">
        <f t="shared" si="21"/>
        <v>0</v>
      </c>
      <c r="Z142" s="23">
        <f t="shared" si="22"/>
        <v>0</v>
      </c>
    </row>
    <row r="143" spans="1:26" hidden="1" x14ac:dyDescent="0.25">
      <c r="A143" t="s">
        <v>890</v>
      </c>
      <c r="B143" t="s">
        <v>29</v>
      </c>
      <c r="C143" t="s">
        <v>610</v>
      </c>
      <c r="D143" t="s">
        <v>282</v>
      </c>
      <c r="E143" t="s">
        <v>2</v>
      </c>
      <c r="F143" t="str">
        <f t="shared" si="11"/>
        <v>Ethiopia:Injectable</v>
      </c>
      <c r="G143" s="611">
        <f t="shared" si="13"/>
        <v>0.81</v>
      </c>
      <c r="H143" s="23">
        <v>0.81</v>
      </c>
      <c r="I143" s="23">
        <v>0</v>
      </c>
      <c r="J143" s="23">
        <v>0.01</v>
      </c>
      <c r="K143" s="23">
        <v>0.15</v>
      </c>
      <c r="L143" s="23">
        <v>0.02</v>
      </c>
      <c r="M143" s="23">
        <v>0</v>
      </c>
      <c r="N143" s="23">
        <v>0</v>
      </c>
      <c r="O143" s="818">
        <v>0</v>
      </c>
      <c r="P143" s="818">
        <v>0</v>
      </c>
      <c r="Q143" s="23">
        <f t="shared" si="8"/>
        <v>0.9900000000000001</v>
      </c>
      <c r="R143" s="2">
        <v>1886</v>
      </c>
      <c r="S143" s="23">
        <f t="shared" si="15"/>
        <v>0.81818181818181812</v>
      </c>
      <c r="T143" s="23">
        <f t="shared" si="16"/>
        <v>0</v>
      </c>
      <c r="U143" s="23">
        <f t="shared" si="17"/>
        <v>1.01010101010101E-2</v>
      </c>
      <c r="V143" s="23">
        <f t="shared" si="18"/>
        <v>0.15151515151515149</v>
      </c>
      <c r="W143" s="23">
        <f t="shared" si="19"/>
        <v>2.02020202020202E-2</v>
      </c>
      <c r="X143" s="23">
        <f t="shared" si="20"/>
        <v>0</v>
      </c>
      <c r="Y143" s="23">
        <f t="shared" si="21"/>
        <v>0</v>
      </c>
      <c r="Z143" s="23">
        <f t="shared" si="22"/>
        <v>0</v>
      </c>
    </row>
    <row r="144" spans="1:26" hidden="1" x14ac:dyDescent="0.25">
      <c r="A144" t="s">
        <v>890</v>
      </c>
      <c r="B144" t="s">
        <v>29</v>
      </c>
      <c r="C144" t="s">
        <v>610</v>
      </c>
      <c r="D144" t="s">
        <v>282</v>
      </c>
      <c r="E144" t="s">
        <v>5</v>
      </c>
      <c r="F144" t="str">
        <f t="shared" si="11"/>
        <v>Ethiopia:IUD</v>
      </c>
      <c r="G144" s="611">
        <f t="shared" si="13"/>
        <v>0.92</v>
      </c>
      <c r="H144" s="23">
        <v>0.92</v>
      </c>
      <c r="I144" s="23">
        <v>0</v>
      </c>
      <c r="J144" s="23">
        <v>0.03</v>
      </c>
      <c r="K144" s="23">
        <v>0.04</v>
      </c>
      <c r="L144" s="23">
        <v>0</v>
      </c>
      <c r="M144" s="23">
        <v>0</v>
      </c>
      <c r="N144" s="23">
        <v>0</v>
      </c>
      <c r="O144" s="818">
        <v>0</v>
      </c>
      <c r="P144" s="818">
        <v>0</v>
      </c>
      <c r="Q144" s="23">
        <f t="shared" si="8"/>
        <v>0.9900000000000001</v>
      </c>
      <c r="R144">
        <v>195</v>
      </c>
      <c r="S144" s="23">
        <f t="shared" si="15"/>
        <v>0.92929292929292928</v>
      </c>
      <c r="T144" s="23">
        <f t="shared" si="16"/>
        <v>0</v>
      </c>
      <c r="U144" s="23">
        <f t="shared" si="17"/>
        <v>3.03030303030303E-2</v>
      </c>
      <c r="V144" s="23">
        <f t="shared" si="18"/>
        <v>4.0404040404040401E-2</v>
      </c>
      <c r="W144" s="23">
        <f t="shared" si="19"/>
        <v>0</v>
      </c>
      <c r="X144" s="23">
        <f t="shared" si="20"/>
        <v>0</v>
      </c>
      <c r="Y144" s="23">
        <f t="shared" si="21"/>
        <v>0</v>
      </c>
      <c r="Z144" s="23">
        <f t="shared" si="22"/>
        <v>0</v>
      </c>
    </row>
    <row r="145" spans="1:26" hidden="1" x14ac:dyDescent="0.25">
      <c r="A145" t="s">
        <v>890</v>
      </c>
      <c r="B145" t="s">
        <v>29</v>
      </c>
      <c r="C145" t="s">
        <v>610</v>
      </c>
      <c r="D145" t="s">
        <v>282</v>
      </c>
      <c r="E145" t="s">
        <v>103</v>
      </c>
      <c r="F145" t="str">
        <f t="shared" si="11"/>
        <v>Ethiopia:Male Condom</v>
      </c>
      <c r="G145" s="611">
        <f t="shared" si="13"/>
        <v>0.24</v>
      </c>
      <c r="H145" s="23">
        <v>0.24</v>
      </c>
      <c r="I145" s="23">
        <v>0</v>
      </c>
      <c r="J145" s="23">
        <v>0</v>
      </c>
      <c r="K145" s="23">
        <v>7.0000000000000007E-2</v>
      </c>
      <c r="L145" s="23">
        <v>0.43</v>
      </c>
      <c r="M145" s="23">
        <v>0.04</v>
      </c>
      <c r="N145" s="23">
        <v>0.1</v>
      </c>
      <c r="O145" s="818">
        <v>0.11</v>
      </c>
      <c r="P145" s="818">
        <v>0</v>
      </c>
      <c r="Q145" s="23">
        <f t="shared" si="8"/>
        <v>0.88</v>
      </c>
      <c r="R145">
        <v>48</v>
      </c>
      <c r="S145" s="23">
        <f t="shared" si="15"/>
        <v>0.27272727272727271</v>
      </c>
      <c r="T145" s="23">
        <f t="shared" si="16"/>
        <v>0</v>
      </c>
      <c r="U145" s="23">
        <f t="shared" si="17"/>
        <v>0</v>
      </c>
      <c r="V145" s="23">
        <f t="shared" si="18"/>
        <v>7.9545454545454558E-2</v>
      </c>
      <c r="W145" s="23">
        <f t="shared" si="19"/>
        <v>0.48863636363636365</v>
      </c>
      <c r="X145" s="23">
        <f t="shared" si="20"/>
        <v>4.5454545454545456E-2</v>
      </c>
      <c r="Y145" s="23">
        <f t="shared" si="21"/>
        <v>0.11363636363636365</v>
      </c>
      <c r="Z145" s="23">
        <f t="shared" si="22"/>
        <v>0.11111111111111112</v>
      </c>
    </row>
    <row r="146" spans="1:26" hidden="1" x14ac:dyDescent="0.25">
      <c r="A146" t="s">
        <v>890</v>
      </c>
      <c r="B146" t="s">
        <v>29</v>
      </c>
      <c r="C146" t="s">
        <v>610</v>
      </c>
      <c r="D146" t="s">
        <v>282</v>
      </c>
      <c r="E146" t="s">
        <v>129</v>
      </c>
      <c r="F146" t="str">
        <f t="shared" si="11"/>
        <v>Ethiopia:Male Sterilization</v>
      </c>
      <c r="G146" s="611" t="e">
        <f t="shared" si="13"/>
        <v>#N/A</v>
      </c>
      <c r="H146" t="e">
        <f>NA()</f>
        <v>#N/A</v>
      </c>
      <c r="I146" t="e">
        <f>NA()</f>
        <v>#N/A</v>
      </c>
      <c r="J146" t="e">
        <f>NA()</f>
        <v>#N/A</v>
      </c>
      <c r="K146" t="e">
        <f>NA()</f>
        <v>#N/A</v>
      </c>
      <c r="L146" t="e">
        <f>NA()</f>
        <v>#N/A</v>
      </c>
      <c r="M146" t="e">
        <f>NA()</f>
        <v>#N/A</v>
      </c>
      <c r="N146" t="e">
        <f>NA()</f>
        <v>#N/A</v>
      </c>
      <c r="O146" s="818" t="e">
        <f>NA()</f>
        <v>#N/A</v>
      </c>
      <c r="P146" s="818" t="e">
        <f>NA()</f>
        <v>#N/A</v>
      </c>
      <c r="Q146" s="23" t="str">
        <f t="shared" si="8"/>
        <v>Sample Too Small</v>
      </c>
      <c r="R146" s="10">
        <v>0</v>
      </c>
      <c r="S146" s="23" t="e">
        <f t="shared" si="15"/>
        <v>#N/A</v>
      </c>
      <c r="T146" s="23" t="e">
        <f t="shared" si="16"/>
        <v>#N/A</v>
      </c>
      <c r="U146" s="23" t="e">
        <f t="shared" si="17"/>
        <v>#N/A</v>
      </c>
      <c r="V146" s="23" t="e">
        <f t="shared" si="18"/>
        <v>#N/A</v>
      </c>
      <c r="W146" s="23" t="e">
        <f t="shared" si="19"/>
        <v>#N/A</v>
      </c>
      <c r="X146" s="23" t="e">
        <f t="shared" si="20"/>
        <v>#N/A</v>
      </c>
      <c r="Y146" s="23" t="e">
        <f t="shared" si="21"/>
        <v>#N/A</v>
      </c>
      <c r="Z146" s="23" t="e">
        <f t="shared" si="22"/>
        <v>#N/A</v>
      </c>
    </row>
    <row r="147" spans="1:26" hidden="1" x14ac:dyDescent="0.25">
      <c r="A147" s="119" t="s">
        <v>890</v>
      </c>
      <c r="B147" t="s">
        <v>29</v>
      </c>
      <c r="C147" t="s">
        <v>610</v>
      </c>
      <c r="D147" t="s">
        <v>282</v>
      </c>
      <c r="E147" t="s">
        <v>110</v>
      </c>
      <c r="F147" t="str">
        <f t="shared" si="11"/>
        <v>Ethiopia:OC Pills</v>
      </c>
      <c r="G147" s="611">
        <f t="shared" si="13"/>
        <v>0.53</v>
      </c>
      <c r="H147" s="502">
        <v>0.53</v>
      </c>
      <c r="I147" s="502">
        <v>0</v>
      </c>
      <c r="J147" s="502">
        <v>0.01</v>
      </c>
      <c r="K147" s="502">
        <v>0.23</v>
      </c>
      <c r="L147" s="502">
        <v>0.24</v>
      </c>
      <c r="M147" s="502">
        <v>0</v>
      </c>
      <c r="N147" s="502">
        <v>0</v>
      </c>
      <c r="O147" s="818">
        <v>0</v>
      </c>
      <c r="P147" s="818">
        <v>0</v>
      </c>
      <c r="Q147" s="23">
        <f t="shared" ref="Q147:Q210" si="23">IFERROR(SUM(H147:N147), "Sample Too Small")</f>
        <v>1.01</v>
      </c>
      <c r="R147" s="119">
        <v>243</v>
      </c>
      <c r="S147" s="23">
        <f t="shared" si="15"/>
        <v>0.52475247524752477</v>
      </c>
      <c r="T147" s="23">
        <f t="shared" si="16"/>
        <v>0</v>
      </c>
      <c r="U147" s="23">
        <f t="shared" si="17"/>
        <v>9.9009900990099011E-3</v>
      </c>
      <c r="V147" s="23">
        <f t="shared" si="18"/>
        <v>0.22772277227722773</v>
      </c>
      <c r="W147" s="23">
        <f t="shared" si="19"/>
        <v>0.23762376237623761</v>
      </c>
      <c r="X147" s="23">
        <f t="shared" si="20"/>
        <v>0</v>
      </c>
      <c r="Y147" s="23">
        <f t="shared" si="21"/>
        <v>0</v>
      </c>
      <c r="Z147" s="23">
        <f t="shared" si="22"/>
        <v>0</v>
      </c>
    </row>
    <row r="148" spans="1:26" hidden="1" x14ac:dyDescent="0.25">
      <c r="A148" t="s">
        <v>890</v>
      </c>
      <c r="B148" t="s">
        <v>29</v>
      </c>
      <c r="C148" t="s">
        <v>610</v>
      </c>
      <c r="D148" t="s">
        <v>282</v>
      </c>
      <c r="E148" t="s">
        <v>130</v>
      </c>
      <c r="F148" t="str">
        <f t="shared" si="11"/>
        <v>Ethiopia:Other Modern Methods</v>
      </c>
      <c r="G148" s="611" t="e">
        <f t="shared" si="13"/>
        <v>#N/A</v>
      </c>
      <c r="H148" t="e">
        <f>NA()</f>
        <v>#N/A</v>
      </c>
      <c r="I148" t="e">
        <f>NA()</f>
        <v>#N/A</v>
      </c>
      <c r="J148" t="e">
        <f>NA()</f>
        <v>#N/A</v>
      </c>
      <c r="K148" t="e">
        <f>NA()</f>
        <v>#N/A</v>
      </c>
      <c r="L148" t="e">
        <f>NA()</f>
        <v>#N/A</v>
      </c>
      <c r="M148" t="e">
        <f>NA()</f>
        <v>#N/A</v>
      </c>
      <c r="N148" t="e">
        <f>NA()</f>
        <v>#N/A</v>
      </c>
      <c r="O148" s="818" t="e">
        <f>NA()</f>
        <v>#N/A</v>
      </c>
      <c r="P148" s="818" t="e">
        <f>NA()</f>
        <v>#N/A</v>
      </c>
      <c r="Q148" s="23" t="str">
        <f t="shared" si="23"/>
        <v>Sample Too Small</v>
      </c>
      <c r="R148" s="10">
        <v>9</v>
      </c>
      <c r="S148" s="23" t="e">
        <f t="shared" si="15"/>
        <v>#N/A</v>
      </c>
      <c r="T148" s="23" t="e">
        <f t="shared" si="16"/>
        <v>#N/A</v>
      </c>
      <c r="U148" s="23" t="e">
        <f t="shared" si="17"/>
        <v>#N/A</v>
      </c>
      <c r="V148" s="23" t="e">
        <f t="shared" si="18"/>
        <v>#N/A</v>
      </c>
      <c r="W148" s="23" t="e">
        <f t="shared" si="19"/>
        <v>#N/A</v>
      </c>
      <c r="X148" s="23" t="e">
        <f t="shared" si="20"/>
        <v>#N/A</v>
      </c>
      <c r="Y148" s="23" t="e">
        <f t="shared" si="21"/>
        <v>#N/A</v>
      </c>
      <c r="Z148" s="23" t="e">
        <f t="shared" si="22"/>
        <v>#N/A</v>
      </c>
    </row>
    <row r="149" spans="1:26" hidden="1" x14ac:dyDescent="0.25">
      <c r="A149" t="s">
        <v>2492</v>
      </c>
      <c r="B149" t="s">
        <v>30</v>
      </c>
      <c r="C149" t="s">
        <v>2015</v>
      </c>
      <c r="D149" t="s">
        <v>282</v>
      </c>
      <c r="E149" t="s">
        <v>128</v>
      </c>
      <c r="F149" t="str">
        <f t="shared" ref="F149:F214" si="24">B149&amp;":"&amp;E149</f>
        <v>Gambia:Female Sterilization</v>
      </c>
      <c r="G149" s="611">
        <v>0.996</v>
      </c>
      <c r="H149" s="23"/>
      <c r="I149" s="23"/>
      <c r="J149" s="23"/>
      <c r="K149" s="23">
        <v>4.0000000000000001E-3</v>
      </c>
      <c r="L149" s="23">
        <v>0</v>
      </c>
      <c r="M149" s="23">
        <v>0</v>
      </c>
      <c r="N149" s="23">
        <v>0</v>
      </c>
      <c r="O149" s="818">
        <v>0</v>
      </c>
      <c r="P149" s="818"/>
      <c r="Q149" s="23"/>
      <c r="S149" s="23"/>
      <c r="T149" s="23"/>
      <c r="U149" s="23"/>
      <c r="V149" s="23"/>
      <c r="W149" s="23"/>
      <c r="X149" s="23"/>
      <c r="Y149" s="23"/>
      <c r="Z149" s="23"/>
    </row>
    <row r="150" spans="1:26" hidden="1" x14ac:dyDescent="0.25">
      <c r="A150" t="s">
        <v>2492</v>
      </c>
      <c r="B150" t="s">
        <v>30</v>
      </c>
      <c r="C150" t="s">
        <v>2015</v>
      </c>
      <c r="D150" t="s">
        <v>282</v>
      </c>
      <c r="E150" t="s">
        <v>3</v>
      </c>
      <c r="F150" t="str">
        <f t="shared" si="24"/>
        <v>Gambia:Implant</v>
      </c>
      <c r="G150" s="611">
        <v>0.92200000000000004</v>
      </c>
      <c r="K150" s="610">
        <v>7.0999999999999994E-2</v>
      </c>
      <c r="L150">
        <v>0</v>
      </c>
      <c r="M150">
        <v>0</v>
      </c>
      <c r="N150">
        <v>6.9999999999999993E-3</v>
      </c>
      <c r="O150" s="818">
        <v>0</v>
      </c>
      <c r="P150" s="818" t="e">
        <f>NA()</f>
        <v>#N/A</v>
      </c>
      <c r="Q150" s="23"/>
      <c r="R150" s="10"/>
      <c r="S150" s="23"/>
      <c r="T150" s="23"/>
      <c r="U150" s="23"/>
      <c r="V150" s="23"/>
      <c r="W150" s="23"/>
      <c r="X150" s="23"/>
      <c r="Y150" s="23"/>
      <c r="Z150" s="23"/>
    </row>
    <row r="151" spans="1:26" hidden="1" x14ac:dyDescent="0.25">
      <c r="A151" t="s">
        <v>2492</v>
      </c>
      <c r="B151" t="s">
        <v>30</v>
      </c>
      <c r="C151" t="s">
        <v>2015</v>
      </c>
      <c r="D151" t="s">
        <v>282</v>
      </c>
      <c r="E151" t="s">
        <v>2</v>
      </c>
      <c r="F151" t="str">
        <f t="shared" si="24"/>
        <v>Gambia:Injectable</v>
      </c>
      <c r="G151" s="611">
        <v>0.73599999999999999</v>
      </c>
      <c r="H151" s="23"/>
      <c r="I151" s="23"/>
      <c r="J151" s="23"/>
      <c r="K151" s="23">
        <v>6.2E-2</v>
      </c>
      <c r="L151" s="23">
        <v>0.20100000000000001</v>
      </c>
      <c r="M151" s="23">
        <v>1E-3</v>
      </c>
      <c r="N151" s="23">
        <v>0</v>
      </c>
      <c r="O151" s="818">
        <v>0</v>
      </c>
      <c r="P151" s="818"/>
      <c r="Q151" s="23"/>
      <c r="S151" s="23"/>
      <c r="T151" s="23"/>
      <c r="U151" s="23"/>
      <c r="V151" s="23"/>
      <c r="W151" s="23"/>
      <c r="X151" s="23"/>
      <c r="Y151" s="23"/>
      <c r="Z151" s="23"/>
    </row>
    <row r="152" spans="1:26" hidden="1" x14ac:dyDescent="0.25">
      <c r="A152" t="s">
        <v>2492</v>
      </c>
      <c r="B152" t="s">
        <v>30</v>
      </c>
      <c r="C152" t="s">
        <v>2015</v>
      </c>
      <c r="D152" t="s">
        <v>282</v>
      </c>
      <c r="E152" t="s">
        <v>5</v>
      </c>
      <c r="F152" t="str">
        <f t="shared" si="24"/>
        <v>Gambia:IUD</v>
      </c>
      <c r="G152" s="611">
        <v>0.51100000000000001</v>
      </c>
      <c r="H152" s="23">
        <v>0</v>
      </c>
      <c r="I152" s="23">
        <v>0</v>
      </c>
      <c r="J152" s="23">
        <v>0</v>
      </c>
      <c r="K152" s="23">
        <v>0.48899999999999999</v>
      </c>
      <c r="L152" s="23">
        <v>0</v>
      </c>
      <c r="M152" s="23">
        <v>0</v>
      </c>
      <c r="N152" s="23">
        <v>0</v>
      </c>
      <c r="O152" s="818">
        <v>0</v>
      </c>
      <c r="P152" s="818"/>
      <c r="Q152" s="23"/>
      <c r="S152" s="23"/>
      <c r="T152" s="23"/>
      <c r="U152" s="23"/>
      <c r="V152" s="23"/>
      <c r="W152" s="23"/>
      <c r="X152" s="23"/>
      <c r="Y152" s="23"/>
      <c r="Z152" s="23"/>
    </row>
    <row r="153" spans="1:26" hidden="1" x14ac:dyDescent="0.25">
      <c r="A153" t="s">
        <v>2492</v>
      </c>
      <c r="B153" t="s">
        <v>30</v>
      </c>
      <c r="C153" t="s">
        <v>2015</v>
      </c>
      <c r="D153" t="s">
        <v>282</v>
      </c>
      <c r="E153" t="s">
        <v>103</v>
      </c>
      <c r="F153" t="str">
        <f t="shared" si="24"/>
        <v>Gambia:Male Condom</v>
      </c>
      <c r="G153" s="611">
        <v>8.1000000000000003E-2</v>
      </c>
      <c r="H153" s="23"/>
      <c r="I153" s="23"/>
      <c r="J153" s="23"/>
      <c r="K153" s="23">
        <v>1.0999999999999899E-2</v>
      </c>
      <c r="L153" s="23">
        <v>0.76500000000000001</v>
      </c>
      <c r="M153" s="23">
        <v>8.199999999999999E-2</v>
      </c>
      <c r="N153" s="23">
        <v>6.2E-2</v>
      </c>
      <c r="O153" s="818">
        <v>0</v>
      </c>
      <c r="P153" s="818"/>
      <c r="Q153" s="23"/>
      <c r="S153" s="23"/>
      <c r="T153" s="23"/>
      <c r="U153" s="23"/>
      <c r="V153" s="23"/>
      <c r="W153" s="23"/>
      <c r="X153" s="23"/>
      <c r="Y153" s="23"/>
      <c r="Z153" s="23"/>
    </row>
    <row r="154" spans="1:26" hidden="1" x14ac:dyDescent="0.25">
      <c r="A154" t="s">
        <v>2492</v>
      </c>
      <c r="B154" t="s">
        <v>30</v>
      </c>
      <c r="C154" t="s">
        <v>2015</v>
      </c>
      <c r="D154" t="s">
        <v>282</v>
      </c>
      <c r="E154" t="s">
        <v>129</v>
      </c>
      <c r="F154" t="str">
        <f t="shared" si="24"/>
        <v>Gambia:Male Sterilization</v>
      </c>
      <c r="G154" s="611" t="e">
        <f t="shared" ref="G154:G164" si="25">SUM(H154:I154)</f>
        <v>#N/A</v>
      </c>
      <c r="H154" t="e">
        <f>NA()</f>
        <v>#N/A</v>
      </c>
      <c r="I154" t="e">
        <f>NA()</f>
        <v>#N/A</v>
      </c>
      <c r="J154" t="e">
        <f>NA()</f>
        <v>#N/A</v>
      </c>
      <c r="K154" t="e">
        <f>NA()</f>
        <v>#N/A</v>
      </c>
      <c r="L154" t="e">
        <f>NA()</f>
        <v>#N/A</v>
      </c>
      <c r="M154" t="e">
        <f>NA()</f>
        <v>#N/A</v>
      </c>
      <c r="N154" t="e">
        <f>NA()</f>
        <v>#N/A</v>
      </c>
      <c r="O154" s="818" t="e">
        <f>NA()</f>
        <v>#N/A</v>
      </c>
      <c r="P154" s="818" t="e">
        <f>NA()</f>
        <v>#N/A</v>
      </c>
      <c r="Q154" s="23"/>
      <c r="R154" s="10"/>
      <c r="S154" s="23"/>
      <c r="T154" s="23"/>
      <c r="U154" s="23"/>
      <c r="V154" s="23"/>
      <c r="W154" s="23"/>
      <c r="X154" s="23"/>
      <c r="Y154" s="23"/>
      <c r="Z154" s="23"/>
    </row>
    <row r="155" spans="1:26" hidden="1" x14ac:dyDescent="0.25">
      <c r="A155" t="s">
        <v>2492</v>
      </c>
      <c r="B155" t="s">
        <v>30</v>
      </c>
      <c r="C155" t="s">
        <v>2015</v>
      </c>
      <c r="D155" t="s">
        <v>282</v>
      </c>
      <c r="E155" t="s">
        <v>110</v>
      </c>
      <c r="F155" t="str">
        <f t="shared" si="24"/>
        <v>Gambia:OC Pills</v>
      </c>
      <c r="G155" s="611">
        <v>0.56899999999999995</v>
      </c>
      <c r="H155" s="502"/>
      <c r="I155" s="502"/>
      <c r="J155" s="502"/>
      <c r="K155" s="502">
        <v>6.5000000000000002E-2</v>
      </c>
      <c r="L155" s="502">
        <v>0.35299999999999998</v>
      </c>
      <c r="M155" s="502">
        <v>1.3999999999999999E-2</v>
      </c>
      <c r="N155" s="502">
        <v>0</v>
      </c>
      <c r="O155" s="818">
        <v>0</v>
      </c>
      <c r="P155" s="818"/>
      <c r="Q155" s="23"/>
      <c r="R155" s="119"/>
      <c r="S155" s="23"/>
      <c r="T155" s="23"/>
      <c r="U155" s="23"/>
      <c r="V155" s="23"/>
      <c r="W155" s="23"/>
      <c r="X155" s="23"/>
      <c r="Y155" s="23"/>
      <c r="Z155" s="23"/>
    </row>
    <row r="156" spans="1:26" hidden="1" x14ac:dyDescent="0.25">
      <c r="A156" t="s">
        <v>2492</v>
      </c>
      <c r="B156" t="s">
        <v>30</v>
      </c>
      <c r="C156" t="s">
        <v>2015</v>
      </c>
      <c r="D156" t="s">
        <v>282</v>
      </c>
      <c r="E156" t="s">
        <v>130</v>
      </c>
      <c r="F156" t="str">
        <f t="shared" si="24"/>
        <v>Gambia:Other Modern Methods</v>
      </c>
      <c r="G156" s="611" t="e">
        <f t="shared" si="25"/>
        <v>#N/A</v>
      </c>
      <c r="H156" t="e">
        <f>NA()</f>
        <v>#N/A</v>
      </c>
      <c r="I156" t="e">
        <f>NA()</f>
        <v>#N/A</v>
      </c>
      <c r="J156" t="e">
        <f>NA()</f>
        <v>#N/A</v>
      </c>
      <c r="K156" t="e">
        <f>NA()</f>
        <v>#N/A</v>
      </c>
      <c r="L156" t="e">
        <f>NA()</f>
        <v>#N/A</v>
      </c>
      <c r="M156" t="e">
        <f>NA()</f>
        <v>#N/A</v>
      </c>
      <c r="N156" t="e">
        <f>NA()</f>
        <v>#N/A</v>
      </c>
      <c r="O156" s="818" t="e">
        <f>NA()</f>
        <v>#N/A</v>
      </c>
      <c r="P156" s="818" t="e">
        <f>NA()</f>
        <v>#N/A</v>
      </c>
      <c r="Q156" s="23"/>
      <c r="R156" s="10"/>
      <c r="S156" s="23"/>
      <c r="T156" s="23"/>
      <c r="U156" s="23"/>
      <c r="V156" s="23"/>
      <c r="W156" s="23"/>
      <c r="X156" s="23"/>
      <c r="Y156" s="23"/>
      <c r="Z156" s="23"/>
    </row>
    <row r="157" spans="1:26" hidden="1" x14ac:dyDescent="0.25">
      <c r="A157" t="s">
        <v>891</v>
      </c>
      <c r="B157" t="s">
        <v>31</v>
      </c>
      <c r="C157" t="s">
        <v>596</v>
      </c>
      <c r="D157" t="s">
        <v>282</v>
      </c>
      <c r="E157" t="s">
        <v>128</v>
      </c>
      <c r="F157" t="str">
        <f t="shared" si="24"/>
        <v>Ghana:Female Sterilization</v>
      </c>
      <c r="G157" s="611">
        <f t="shared" si="25"/>
        <v>0.92</v>
      </c>
      <c r="H157" s="23">
        <v>0.92</v>
      </c>
      <c r="I157" s="23">
        <v>0</v>
      </c>
      <c r="J157" s="23">
        <v>0</v>
      </c>
      <c r="K157" s="23">
        <v>0.08</v>
      </c>
      <c r="L157" s="23">
        <v>0</v>
      </c>
      <c r="M157" s="23">
        <v>0</v>
      </c>
      <c r="N157" s="23">
        <v>0</v>
      </c>
      <c r="O157" s="818">
        <v>0</v>
      </c>
      <c r="P157" s="818">
        <v>0</v>
      </c>
      <c r="Q157" s="23">
        <f t="shared" si="23"/>
        <v>1</v>
      </c>
      <c r="R157">
        <v>101</v>
      </c>
      <c r="S157" s="23">
        <f t="shared" ref="S157:S190" si="26">H157/SUM($H157:$O157)</f>
        <v>0.92</v>
      </c>
      <c r="T157" s="23">
        <f t="shared" ref="T157:T190" si="27">I157/SUM($H157:$O157)</f>
        <v>0</v>
      </c>
      <c r="U157" s="23">
        <f t="shared" ref="U157:U190" si="28">J157/SUM($H157:$O157)</f>
        <v>0</v>
      </c>
      <c r="V157" s="23">
        <f t="shared" ref="V157:V190" si="29">K157/SUM($H157:$O157)</f>
        <v>0.08</v>
      </c>
      <c r="W157" s="23">
        <f t="shared" ref="W157:W190" si="30">L157/SUM($H157:$O157)</f>
        <v>0</v>
      </c>
      <c r="X157" s="23">
        <f t="shared" ref="X157:X190" si="31">M157/SUM($H157:$O157)</f>
        <v>0</v>
      </c>
      <c r="Y157" s="23">
        <f t="shared" ref="Y157:Y190" si="32">N157/SUM($H157:$O157)</f>
        <v>0</v>
      </c>
      <c r="Z157" s="23">
        <f t="shared" si="22"/>
        <v>0</v>
      </c>
    </row>
    <row r="158" spans="1:26" hidden="1" x14ac:dyDescent="0.25">
      <c r="A158" t="s">
        <v>891</v>
      </c>
      <c r="B158" t="s">
        <v>31</v>
      </c>
      <c r="C158" t="s">
        <v>596</v>
      </c>
      <c r="D158" t="s">
        <v>282</v>
      </c>
      <c r="E158" t="s">
        <v>3</v>
      </c>
      <c r="F158" t="str">
        <f t="shared" si="24"/>
        <v>Ghana:Implant</v>
      </c>
      <c r="G158" s="611">
        <f t="shared" si="25"/>
        <v>0.96875</v>
      </c>
      <c r="H158" s="23">
        <v>0.94791666666666663</v>
      </c>
      <c r="I158" s="23">
        <v>2.0833333333333332E-2</v>
      </c>
      <c r="J158" s="23">
        <v>0</v>
      </c>
      <c r="K158" s="23">
        <v>3.1249999999999997E-2</v>
      </c>
      <c r="L158" s="23">
        <v>0</v>
      </c>
      <c r="M158" s="23">
        <v>0</v>
      </c>
      <c r="N158" s="23">
        <v>0</v>
      </c>
      <c r="O158" s="818">
        <v>0</v>
      </c>
      <c r="P158" s="818">
        <v>0.03</v>
      </c>
      <c r="Q158" s="23">
        <f t="shared" si="23"/>
        <v>1</v>
      </c>
      <c r="R158">
        <v>359</v>
      </c>
      <c r="S158" s="23">
        <f t="shared" si="26"/>
        <v>0.94791666666666663</v>
      </c>
      <c r="T158" s="23">
        <f t="shared" si="27"/>
        <v>2.0833333333333332E-2</v>
      </c>
      <c r="U158" s="23">
        <f t="shared" si="28"/>
        <v>0</v>
      </c>
      <c r="V158" s="23">
        <f t="shared" si="29"/>
        <v>3.1249999999999997E-2</v>
      </c>
      <c r="W158" s="23">
        <f t="shared" si="30"/>
        <v>0</v>
      </c>
      <c r="X158" s="23">
        <f t="shared" si="31"/>
        <v>0</v>
      </c>
      <c r="Y158" s="23">
        <f t="shared" si="32"/>
        <v>0</v>
      </c>
      <c r="Z158" s="23">
        <f t="shared" si="22"/>
        <v>0</v>
      </c>
    </row>
    <row r="159" spans="1:26" hidden="1" x14ac:dyDescent="0.25">
      <c r="A159" t="s">
        <v>891</v>
      </c>
      <c r="B159" t="s">
        <v>31</v>
      </c>
      <c r="C159" t="s">
        <v>596</v>
      </c>
      <c r="D159" t="s">
        <v>282</v>
      </c>
      <c r="E159" t="s">
        <v>2</v>
      </c>
      <c r="F159" t="str">
        <f t="shared" si="24"/>
        <v>Ghana:Injectable</v>
      </c>
      <c r="G159" s="611">
        <f t="shared" si="25"/>
        <v>0.9</v>
      </c>
      <c r="H159" s="23">
        <v>0.88</v>
      </c>
      <c r="I159" s="23">
        <v>0.02</v>
      </c>
      <c r="J159" s="23">
        <v>0</v>
      </c>
      <c r="K159" s="23">
        <v>0.08</v>
      </c>
      <c r="L159" s="23">
        <v>0.01</v>
      </c>
      <c r="M159" s="23">
        <v>0.01</v>
      </c>
      <c r="N159" s="23">
        <v>0</v>
      </c>
      <c r="O159" s="818">
        <v>0</v>
      </c>
      <c r="P159" s="818">
        <v>0</v>
      </c>
      <c r="Q159" s="23">
        <f t="shared" si="23"/>
        <v>1</v>
      </c>
      <c r="R159">
        <v>635</v>
      </c>
      <c r="S159" s="23">
        <f t="shared" si="26"/>
        <v>0.88</v>
      </c>
      <c r="T159" s="23">
        <f t="shared" si="27"/>
        <v>0.02</v>
      </c>
      <c r="U159" s="23">
        <f t="shared" si="28"/>
        <v>0</v>
      </c>
      <c r="V159" s="23">
        <f t="shared" si="29"/>
        <v>0.08</v>
      </c>
      <c r="W159" s="23">
        <f t="shared" si="30"/>
        <v>0.01</v>
      </c>
      <c r="X159" s="23">
        <f t="shared" si="31"/>
        <v>0.01</v>
      </c>
      <c r="Y159" s="23">
        <f t="shared" si="32"/>
        <v>0</v>
      </c>
      <c r="Z159" s="23">
        <f t="shared" si="22"/>
        <v>0</v>
      </c>
    </row>
    <row r="160" spans="1:26" hidden="1" x14ac:dyDescent="0.25">
      <c r="A160" t="s">
        <v>891</v>
      </c>
      <c r="B160" t="s">
        <v>31</v>
      </c>
      <c r="C160" t="s">
        <v>596</v>
      </c>
      <c r="D160" t="s">
        <v>282</v>
      </c>
      <c r="E160" t="s">
        <v>5</v>
      </c>
      <c r="F160" t="str">
        <f t="shared" si="24"/>
        <v>Ghana:IUD</v>
      </c>
      <c r="G160" s="611">
        <f t="shared" si="25"/>
        <v>0.93333333333333335</v>
      </c>
      <c r="H160" s="23">
        <v>0.93333333333333335</v>
      </c>
      <c r="I160" s="23">
        <v>0</v>
      </c>
      <c r="J160" s="23">
        <v>0</v>
      </c>
      <c r="K160" s="23">
        <v>6.6666666666666666E-2</v>
      </c>
      <c r="L160" s="23">
        <v>0</v>
      </c>
      <c r="M160" s="23">
        <v>0</v>
      </c>
      <c r="N160" s="23">
        <v>0</v>
      </c>
      <c r="O160" s="818">
        <v>0</v>
      </c>
      <c r="P160" s="818">
        <v>0.09</v>
      </c>
      <c r="Q160" s="23">
        <f t="shared" si="23"/>
        <v>1</v>
      </c>
      <c r="R160">
        <v>38</v>
      </c>
      <c r="S160" s="23">
        <f t="shared" si="26"/>
        <v>0.93333333333333335</v>
      </c>
      <c r="T160" s="23">
        <f t="shared" si="27"/>
        <v>0</v>
      </c>
      <c r="U160" s="23">
        <f t="shared" si="28"/>
        <v>0</v>
      </c>
      <c r="V160" s="23">
        <f t="shared" si="29"/>
        <v>6.6666666666666666E-2</v>
      </c>
      <c r="W160" s="23">
        <f t="shared" si="30"/>
        <v>0</v>
      </c>
      <c r="X160" s="23">
        <f t="shared" si="31"/>
        <v>0</v>
      </c>
      <c r="Y160" s="23">
        <f t="shared" si="32"/>
        <v>0</v>
      </c>
      <c r="Z160" s="23">
        <f t="shared" si="22"/>
        <v>0</v>
      </c>
    </row>
    <row r="161" spans="1:26" hidden="1" x14ac:dyDescent="0.25">
      <c r="A161" t="s">
        <v>891</v>
      </c>
      <c r="B161" t="s">
        <v>31</v>
      </c>
      <c r="C161" t="s">
        <v>596</v>
      </c>
      <c r="D161" t="s">
        <v>282</v>
      </c>
      <c r="E161" t="s">
        <v>103</v>
      </c>
      <c r="F161" t="str">
        <f t="shared" si="24"/>
        <v>Ghana:Male Condom</v>
      </c>
      <c r="G161" s="611">
        <f t="shared" si="25"/>
        <v>0.03</v>
      </c>
      <c r="H161" s="23">
        <v>0.03</v>
      </c>
      <c r="I161" s="23">
        <v>0</v>
      </c>
      <c r="J161" s="23">
        <v>0</v>
      </c>
      <c r="K161" s="23">
        <v>0</v>
      </c>
      <c r="L161" s="23">
        <v>0.89</v>
      </c>
      <c r="M161" s="23">
        <v>0.06</v>
      </c>
      <c r="N161" s="23">
        <v>0.02</v>
      </c>
      <c r="O161" s="818">
        <v>0</v>
      </c>
      <c r="P161" s="818">
        <v>0</v>
      </c>
      <c r="Q161" s="23">
        <f t="shared" si="23"/>
        <v>1</v>
      </c>
      <c r="R161">
        <v>207</v>
      </c>
      <c r="S161" s="23">
        <f t="shared" si="26"/>
        <v>0.03</v>
      </c>
      <c r="T161" s="23">
        <f t="shared" si="27"/>
        <v>0</v>
      </c>
      <c r="U161" s="23">
        <f t="shared" si="28"/>
        <v>0</v>
      </c>
      <c r="V161" s="23">
        <f t="shared" si="29"/>
        <v>0</v>
      </c>
      <c r="W161" s="23">
        <f t="shared" si="30"/>
        <v>0.89</v>
      </c>
      <c r="X161" s="23">
        <f t="shared" si="31"/>
        <v>0.06</v>
      </c>
      <c r="Y161" s="23">
        <f t="shared" si="32"/>
        <v>0.02</v>
      </c>
      <c r="Z161" s="23">
        <f t="shared" si="22"/>
        <v>0</v>
      </c>
    </row>
    <row r="162" spans="1:26" hidden="1" x14ac:dyDescent="0.25">
      <c r="A162" t="s">
        <v>891</v>
      </c>
      <c r="B162" t="s">
        <v>31</v>
      </c>
      <c r="C162" t="s">
        <v>596</v>
      </c>
      <c r="D162" t="s">
        <v>282</v>
      </c>
      <c r="E162" t="s">
        <v>129</v>
      </c>
      <c r="F162" t="str">
        <f t="shared" si="24"/>
        <v>Ghana:Male Sterilization</v>
      </c>
      <c r="G162" s="611" t="e">
        <f t="shared" si="25"/>
        <v>#N/A</v>
      </c>
      <c r="H162" t="e">
        <f>NA()</f>
        <v>#N/A</v>
      </c>
      <c r="I162" t="e">
        <f>NA()</f>
        <v>#N/A</v>
      </c>
      <c r="J162" t="e">
        <f>NA()</f>
        <v>#N/A</v>
      </c>
      <c r="K162" t="e">
        <f>NA()</f>
        <v>#N/A</v>
      </c>
      <c r="L162" t="e">
        <f>NA()</f>
        <v>#N/A</v>
      </c>
      <c r="M162" t="e">
        <f>NA()</f>
        <v>#N/A</v>
      </c>
      <c r="N162" t="e">
        <f>NA()</f>
        <v>#N/A</v>
      </c>
      <c r="O162" s="818" t="e">
        <f>NA()</f>
        <v>#N/A</v>
      </c>
      <c r="P162" s="818" t="e">
        <f>NA()</f>
        <v>#N/A</v>
      </c>
      <c r="Q162" s="23" t="str">
        <f t="shared" si="23"/>
        <v>Sample Too Small</v>
      </c>
      <c r="R162" s="10">
        <v>0</v>
      </c>
      <c r="S162" s="23" t="e">
        <f t="shared" si="26"/>
        <v>#N/A</v>
      </c>
      <c r="T162" s="23" t="e">
        <f t="shared" si="27"/>
        <v>#N/A</v>
      </c>
      <c r="U162" s="23" t="e">
        <f t="shared" si="28"/>
        <v>#N/A</v>
      </c>
      <c r="V162" s="23" t="e">
        <f t="shared" si="29"/>
        <v>#N/A</v>
      </c>
      <c r="W162" s="23" t="e">
        <f t="shared" si="30"/>
        <v>#N/A</v>
      </c>
      <c r="X162" s="23" t="e">
        <f t="shared" si="31"/>
        <v>#N/A</v>
      </c>
      <c r="Y162" s="23" t="e">
        <f t="shared" si="32"/>
        <v>#N/A</v>
      </c>
      <c r="Z162" s="23" t="e">
        <f t="shared" si="22"/>
        <v>#N/A</v>
      </c>
    </row>
    <row r="163" spans="1:26" hidden="1" x14ac:dyDescent="0.25">
      <c r="A163" s="119" t="s">
        <v>891</v>
      </c>
      <c r="B163" t="s">
        <v>31</v>
      </c>
      <c r="C163" t="s">
        <v>596</v>
      </c>
      <c r="D163" t="s">
        <v>282</v>
      </c>
      <c r="E163" t="s">
        <v>110</v>
      </c>
      <c r="F163" t="str">
        <f t="shared" si="24"/>
        <v>Ghana:OC Pills</v>
      </c>
      <c r="G163" s="611">
        <f t="shared" si="25"/>
        <v>0.15000000000000002</v>
      </c>
      <c r="H163" s="502">
        <v>0.14000000000000001</v>
      </c>
      <c r="I163" s="502">
        <v>0.01</v>
      </c>
      <c r="J163" s="502">
        <v>0</v>
      </c>
      <c r="K163" s="502">
        <v>0.01</v>
      </c>
      <c r="L163" s="502">
        <v>0.81</v>
      </c>
      <c r="M163" s="502">
        <v>0.03</v>
      </c>
      <c r="N163" s="502">
        <v>0</v>
      </c>
      <c r="O163" s="818">
        <v>0</v>
      </c>
      <c r="P163" s="818">
        <v>0</v>
      </c>
      <c r="Q163" s="23">
        <f t="shared" si="23"/>
        <v>1</v>
      </c>
      <c r="R163" s="119">
        <v>351</v>
      </c>
      <c r="S163" s="23">
        <f t="shared" si="26"/>
        <v>0.14000000000000001</v>
      </c>
      <c r="T163" s="23">
        <f t="shared" si="27"/>
        <v>0.01</v>
      </c>
      <c r="U163" s="23">
        <f t="shared" si="28"/>
        <v>0</v>
      </c>
      <c r="V163" s="23">
        <f t="shared" si="29"/>
        <v>0.01</v>
      </c>
      <c r="W163" s="23">
        <f t="shared" si="30"/>
        <v>0.81</v>
      </c>
      <c r="X163" s="23">
        <f t="shared" si="31"/>
        <v>0.03</v>
      </c>
      <c r="Y163" s="23">
        <f t="shared" si="32"/>
        <v>0</v>
      </c>
      <c r="Z163" s="23">
        <f t="shared" si="22"/>
        <v>0</v>
      </c>
    </row>
    <row r="164" spans="1:26" hidden="1" x14ac:dyDescent="0.25">
      <c r="A164" t="s">
        <v>891</v>
      </c>
      <c r="B164" t="s">
        <v>31</v>
      </c>
      <c r="C164" t="s">
        <v>596</v>
      </c>
      <c r="D164" t="s">
        <v>282</v>
      </c>
      <c r="E164" t="s">
        <v>130</v>
      </c>
      <c r="F164" t="str">
        <f t="shared" si="24"/>
        <v>Ghana:Other Modern Methods</v>
      </c>
      <c r="G164" s="611" t="e">
        <f t="shared" si="25"/>
        <v>#N/A</v>
      </c>
      <c r="H164" t="e">
        <f>NA()</f>
        <v>#N/A</v>
      </c>
      <c r="I164" t="e">
        <f>NA()</f>
        <v>#N/A</v>
      </c>
      <c r="J164" t="e">
        <f>NA()</f>
        <v>#N/A</v>
      </c>
      <c r="K164" t="e">
        <f>NA()</f>
        <v>#N/A</v>
      </c>
      <c r="L164" t="e">
        <f>NA()</f>
        <v>#N/A</v>
      </c>
      <c r="M164" t="e">
        <f>NA()</f>
        <v>#N/A</v>
      </c>
      <c r="N164" t="e">
        <f>NA()</f>
        <v>#N/A</v>
      </c>
      <c r="O164" s="818" t="e">
        <f>NA()</f>
        <v>#N/A</v>
      </c>
      <c r="P164" s="818" t="e">
        <f>NA()</f>
        <v>#N/A</v>
      </c>
      <c r="Q164" s="23" t="str">
        <f t="shared" si="23"/>
        <v>Sample Too Small</v>
      </c>
      <c r="R164">
        <v>39</v>
      </c>
      <c r="S164" s="23" t="e">
        <f t="shared" si="26"/>
        <v>#N/A</v>
      </c>
      <c r="T164" s="23" t="e">
        <f t="shared" si="27"/>
        <v>#N/A</v>
      </c>
      <c r="U164" s="23" t="e">
        <f t="shared" si="28"/>
        <v>#N/A</v>
      </c>
      <c r="V164" s="23" t="e">
        <f t="shared" si="29"/>
        <v>#N/A</v>
      </c>
      <c r="W164" s="23" t="e">
        <f t="shared" si="30"/>
        <v>#N/A</v>
      </c>
      <c r="X164" s="23" t="e">
        <f t="shared" si="31"/>
        <v>#N/A</v>
      </c>
      <c r="Y164" s="23" t="e">
        <f t="shared" si="32"/>
        <v>#N/A</v>
      </c>
      <c r="Z164" s="23" t="e">
        <f t="shared" si="22"/>
        <v>#N/A</v>
      </c>
    </row>
    <row r="165" spans="1:26" hidden="1" x14ac:dyDescent="0.25">
      <c r="A165" t="s">
        <v>1155</v>
      </c>
      <c r="B165" t="s">
        <v>32</v>
      </c>
      <c r="C165" t="s">
        <v>1146</v>
      </c>
      <c r="D165" t="s">
        <v>282</v>
      </c>
      <c r="E165" t="s">
        <v>108</v>
      </c>
      <c r="F165" t="str">
        <f t="shared" si="24"/>
        <v>Guinea:EC</v>
      </c>
      <c r="G165" s="611" t="e">
        <f t="shared" ref="G165:G212" si="33">SUM(H165:I165)</f>
        <v>#N/A</v>
      </c>
      <c r="H165" s="815" t="e">
        <f>NA()</f>
        <v>#N/A</v>
      </c>
      <c r="I165" s="815" t="e">
        <f>NA()</f>
        <v>#N/A</v>
      </c>
      <c r="J165" s="815" t="e">
        <f>NA()</f>
        <v>#N/A</v>
      </c>
      <c r="K165" s="815" t="e">
        <f>NA()</f>
        <v>#N/A</v>
      </c>
      <c r="L165" s="815" t="e">
        <f>NA()</f>
        <v>#N/A</v>
      </c>
      <c r="M165" s="815" t="e">
        <f>NA()</f>
        <v>#N/A</v>
      </c>
      <c r="N165" s="815" t="e">
        <f>NA()</f>
        <v>#N/A</v>
      </c>
      <c r="O165" s="819" t="e">
        <f>NA()</f>
        <v>#N/A</v>
      </c>
      <c r="P165" s="819" t="e">
        <f>NA()</f>
        <v>#N/A</v>
      </c>
      <c r="Q165" s="23" t="str">
        <f t="shared" si="23"/>
        <v>Sample Too Small</v>
      </c>
      <c r="R165">
        <v>3</v>
      </c>
      <c r="S165" t="str">
        <f t="shared" ref="S165:S174" si="34">IF(R165&lt;25, "Sample too small", "")</f>
        <v>Sample too small</v>
      </c>
    </row>
    <row r="166" spans="1:26" hidden="1" x14ac:dyDescent="0.25">
      <c r="A166" t="s">
        <v>1155</v>
      </c>
      <c r="B166" t="s">
        <v>32</v>
      </c>
      <c r="C166" t="s">
        <v>1146</v>
      </c>
      <c r="D166" t="s">
        <v>282</v>
      </c>
      <c r="E166" t="s">
        <v>128</v>
      </c>
      <c r="F166" t="str">
        <f t="shared" si="24"/>
        <v>Guinea:Female Sterilization</v>
      </c>
      <c r="G166" s="611" t="e">
        <f t="shared" si="33"/>
        <v>#N/A</v>
      </c>
      <c r="H166" s="815" t="e">
        <f>NA()</f>
        <v>#N/A</v>
      </c>
      <c r="I166" s="815" t="e">
        <f>NA()</f>
        <v>#N/A</v>
      </c>
      <c r="J166" s="815" t="e">
        <f>NA()</f>
        <v>#N/A</v>
      </c>
      <c r="K166" s="815" t="e">
        <f>NA()</f>
        <v>#N/A</v>
      </c>
      <c r="L166" s="815" t="e">
        <f>NA()</f>
        <v>#N/A</v>
      </c>
      <c r="M166" s="815" t="e">
        <f>NA()</f>
        <v>#N/A</v>
      </c>
      <c r="N166" s="815" t="e">
        <f>NA()</f>
        <v>#N/A</v>
      </c>
      <c r="O166" s="819" t="e">
        <f>NA()</f>
        <v>#N/A</v>
      </c>
      <c r="P166" s="819" t="e">
        <f>NA()</f>
        <v>#N/A</v>
      </c>
      <c r="Q166" s="23" t="str">
        <f t="shared" si="23"/>
        <v>Sample Too Small</v>
      </c>
      <c r="R166">
        <v>12</v>
      </c>
      <c r="S166" t="str">
        <f t="shared" si="34"/>
        <v>Sample too small</v>
      </c>
    </row>
    <row r="167" spans="1:26" hidden="1" x14ac:dyDescent="0.25">
      <c r="A167" t="s">
        <v>1155</v>
      </c>
      <c r="B167" t="s">
        <v>32</v>
      </c>
      <c r="C167" t="s">
        <v>1146</v>
      </c>
      <c r="D167" t="s">
        <v>282</v>
      </c>
      <c r="E167" t="s">
        <v>3</v>
      </c>
      <c r="F167" t="str">
        <f t="shared" si="24"/>
        <v>Guinea:Implant</v>
      </c>
      <c r="G167" s="611">
        <f t="shared" si="33"/>
        <v>0.91600000000000004</v>
      </c>
      <c r="H167" s="610">
        <v>0.91600000000000004</v>
      </c>
      <c r="I167" s="23">
        <v>0</v>
      </c>
      <c r="J167" s="23">
        <v>0</v>
      </c>
      <c r="K167" s="610">
        <v>8.4000000000000005E-2</v>
      </c>
      <c r="L167" s="610">
        <v>0</v>
      </c>
      <c r="M167" s="610">
        <v>0</v>
      </c>
      <c r="N167" s="610">
        <v>0</v>
      </c>
      <c r="O167" s="819"/>
      <c r="P167" s="819"/>
      <c r="Q167" s="23">
        <f t="shared" si="23"/>
        <v>1</v>
      </c>
      <c r="R167">
        <v>225</v>
      </c>
      <c r="S167" t="str">
        <f t="shared" si="34"/>
        <v/>
      </c>
    </row>
    <row r="168" spans="1:26" hidden="1" x14ac:dyDescent="0.25">
      <c r="A168" t="s">
        <v>1155</v>
      </c>
      <c r="B168" t="s">
        <v>32</v>
      </c>
      <c r="C168" t="s">
        <v>1146</v>
      </c>
      <c r="D168" t="s">
        <v>282</v>
      </c>
      <c r="E168" t="s">
        <v>2</v>
      </c>
      <c r="F168" t="str">
        <f t="shared" si="24"/>
        <v>Guinea:Injectable</v>
      </c>
      <c r="G168" s="611">
        <f t="shared" si="33"/>
        <v>0.82899999999999996</v>
      </c>
      <c r="H168" s="610">
        <v>0.82899999999999996</v>
      </c>
      <c r="I168" s="23">
        <v>0</v>
      </c>
      <c r="J168" s="23">
        <v>0</v>
      </c>
      <c r="K168" s="610">
        <v>0.10299999999999999</v>
      </c>
      <c r="L168" s="610">
        <v>6.8000000000000005E-2</v>
      </c>
      <c r="M168" s="610">
        <v>0</v>
      </c>
      <c r="N168" s="610">
        <v>0</v>
      </c>
      <c r="O168" s="819"/>
      <c r="P168" s="819"/>
      <c r="Q168" s="23">
        <f t="shared" si="23"/>
        <v>1</v>
      </c>
      <c r="R168">
        <v>205</v>
      </c>
      <c r="S168" t="str">
        <f t="shared" si="34"/>
        <v/>
      </c>
    </row>
    <row r="169" spans="1:26" hidden="1" x14ac:dyDescent="0.25">
      <c r="A169" t="s">
        <v>1155</v>
      </c>
      <c r="B169" t="s">
        <v>32</v>
      </c>
      <c r="C169" t="s">
        <v>1146</v>
      </c>
      <c r="D169" t="s">
        <v>282</v>
      </c>
      <c r="E169" t="s">
        <v>5</v>
      </c>
      <c r="F169" t="str">
        <f t="shared" si="24"/>
        <v>Guinea:IUD</v>
      </c>
      <c r="G169" s="611">
        <f t="shared" si="33"/>
        <v>0.82199999999999995</v>
      </c>
      <c r="H169" s="610">
        <v>0.82199999999999995</v>
      </c>
      <c r="I169" s="23">
        <v>0</v>
      </c>
      <c r="J169" s="23">
        <v>0</v>
      </c>
      <c r="K169" s="610">
        <v>0.17799999999999999</v>
      </c>
      <c r="L169" s="610">
        <v>0</v>
      </c>
      <c r="M169" s="610">
        <v>0</v>
      </c>
      <c r="N169" s="610">
        <v>0</v>
      </c>
      <c r="O169" s="819"/>
      <c r="P169" s="819"/>
      <c r="Q169" s="23">
        <f t="shared" si="23"/>
        <v>1</v>
      </c>
      <c r="R169">
        <v>52</v>
      </c>
      <c r="S169" t="str">
        <f t="shared" si="34"/>
        <v/>
      </c>
    </row>
    <row r="170" spans="1:26" hidden="1" x14ac:dyDescent="0.25">
      <c r="A170" t="s">
        <v>1155</v>
      </c>
      <c r="B170" t="s">
        <v>32</v>
      </c>
      <c r="C170" t="s">
        <v>1146</v>
      </c>
      <c r="D170" t="s">
        <v>282</v>
      </c>
      <c r="E170" t="s">
        <v>103</v>
      </c>
      <c r="F170" t="str">
        <f t="shared" si="24"/>
        <v>Guinea:Male Condom</v>
      </c>
      <c r="G170" s="611">
        <f t="shared" si="33"/>
        <v>0.161</v>
      </c>
      <c r="H170" s="610">
        <v>0.161</v>
      </c>
      <c r="I170" s="23">
        <v>0</v>
      </c>
      <c r="J170" s="23">
        <v>0</v>
      </c>
      <c r="K170" s="610">
        <v>3.0000000000000001E-3</v>
      </c>
      <c r="L170" s="610">
        <v>0.53300000000000003</v>
      </c>
      <c r="M170" s="610">
        <v>0.29899999999999999</v>
      </c>
      <c r="N170" s="610">
        <v>4.0000000000000001E-3</v>
      </c>
      <c r="O170" s="819"/>
      <c r="P170" s="819"/>
      <c r="Q170" s="23">
        <f t="shared" si="23"/>
        <v>1</v>
      </c>
      <c r="R170">
        <v>143</v>
      </c>
      <c r="S170" t="str">
        <f t="shared" si="34"/>
        <v/>
      </c>
    </row>
    <row r="171" spans="1:26" hidden="1" x14ac:dyDescent="0.25">
      <c r="A171" t="s">
        <v>1155</v>
      </c>
      <c r="B171" t="s">
        <v>32</v>
      </c>
      <c r="C171" t="s">
        <v>1146</v>
      </c>
      <c r="D171" t="s">
        <v>282</v>
      </c>
      <c r="E171" t="s">
        <v>129</v>
      </c>
      <c r="F171" t="str">
        <f t="shared" si="24"/>
        <v>Guinea:Male Sterilization</v>
      </c>
      <c r="G171" s="611" t="e">
        <f t="shared" si="33"/>
        <v>#N/A</v>
      </c>
      <c r="H171" s="815" t="e">
        <f>NA()</f>
        <v>#N/A</v>
      </c>
      <c r="I171" s="815" t="e">
        <f>NA()</f>
        <v>#N/A</v>
      </c>
      <c r="J171" s="815" t="e">
        <f>NA()</f>
        <v>#N/A</v>
      </c>
      <c r="K171" s="815" t="e">
        <f>NA()</f>
        <v>#N/A</v>
      </c>
      <c r="L171" s="815" t="e">
        <f>NA()</f>
        <v>#N/A</v>
      </c>
      <c r="M171" s="815" t="e">
        <f>NA()</f>
        <v>#N/A</v>
      </c>
      <c r="N171" s="815" t="e">
        <f>NA()</f>
        <v>#N/A</v>
      </c>
      <c r="O171" s="819" t="e">
        <f>NA()</f>
        <v>#N/A</v>
      </c>
      <c r="P171" s="819" t="e">
        <f>NA()</f>
        <v>#N/A</v>
      </c>
      <c r="Q171" s="23" t="str">
        <f t="shared" si="23"/>
        <v>Sample Too Small</v>
      </c>
      <c r="R171">
        <v>4</v>
      </c>
      <c r="S171" t="str">
        <f t="shared" si="34"/>
        <v>Sample too small</v>
      </c>
    </row>
    <row r="172" spans="1:26" hidden="1" x14ac:dyDescent="0.25">
      <c r="A172" t="s">
        <v>1155</v>
      </c>
      <c r="B172" t="s">
        <v>32</v>
      </c>
      <c r="C172" t="s">
        <v>1146</v>
      </c>
      <c r="D172" t="s">
        <v>282</v>
      </c>
      <c r="E172" t="s">
        <v>110</v>
      </c>
      <c r="F172" t="str">
        <f t="shared" si="24"/>
        <v>Guinea:OC Pills</v>
      </c>
      <c r="G172" s="611">
        <f t="shared" si="33"/>
        <v>0.43</v>
      </c>
      <c r="H172" s="610">
        <v>0.43</v>
      </c>
      <c r="I172" s="23">
        <v>0</v>
      </c>
      <c r="J172" s="23">
        <v>0</v>
      </c>
      <c r="K172" s="610">
        <v>6.9000000000000006E-2</v>
      </c>
      <c r="L172" s="610">
        <v>0.39600000000000002</v>
      </c>
      <c r="M172" s="610">
        <v>0.105</v>
      </c>
      <c r="N172" s="610">
        <v>0</v>
      </c>
      <c r="O172" s="819"/>
      <c r="P172" s="819"/>
      <c r="Q172" s="23">
        <f t="shared" si="23"/>
        <v>1</v>
      </c>
      <c r="R172">
        <v>183</v>
      </c>
      <c r="S172" t="str">
        <f t="shared" si="34"/>
        <v/>
      </c>
    </row>
    <row r="173" spans="1:26" hidden="1" x14ac:dyDescent="0.25">
      <c r="A173" t="s">
        <v>1155</v>
      </c>
      <c r="B173" t="s">
        <v>32</v>
      </c>
      <c r="C173" t="s">
        <v>1146</v>
      </c>
      <c r="D173" t="s">
        <v>282</v>
      </c>
      <c r="E173" t="s">
        <v>1153</v>
      </c>
      <c r="F173" t="str">
        <f t="shared" si="24"/>
        <v>Guinea:Other Modern Method</v>
      </c>
      <c r="G173" s="611" t="e">
        <f t="shared" si="33"/>
        <v>#N/A</v>
      </c>
      <c r="H173" s="815" t="e">
        <f>NA()</f>
        <v>#N/A</v>
      </c>
      <c r="I173" s="815" t="e">
        <f>NA()</f>
        <v>#N/A</v>
      </c>
      <c r="J173" s="815" t="e">
        <f>NA()</f>
        <v>#N/A</v>
      </c>
      <c r="K173" s="815" t="e">
        <f>NA()</f>
        <v>#N/A</v>
      </c>
      <c r="L173" s="815" t="e">
        <f>NA()</f>
        <v>#N/A</v>
      </c>
      <c r="M173" s="815" t="e">
        <f>NA()</f>
        <v>#N/A</v>
      </c>
      <c r="N173" s="815" t="e">
        <f>NA()</f>
        <v>#N/A</v>
      </c>
      <c r="O173" s="819" t="e">
        <f>NA()</f>
        <v>#N/A</v>
      </c>
      <c r="P173" s="819" t="e">
        <f>NA()</f>
        <v>#N/A</v>
      </c>
      <c r="Q173" s="23" t="str">
        <f t="shared" si="23"/>
        <v>Sample Too Small</v>
      </c>
      <c r="R173">
        <v>1</v>
      </c>
      <c r="S173" t="str">
        <f t="shared" si="34"/>
        <v>Sample too small</v>
      </c>
    </row>
    <row r="174" spans="1:26" hidden="1" x14ac:dyDescent="0.25">
      <c r="A174" t="s">
        <v>1155</v>
      </c>
      <c r="B174" t="s">
        <v>32</v>
      </c>
      <c r="C174" t="s">
        <v>1146</v>
      </c>
      <c r="D174" t="s">
        <v>282</v>
      </c>
      <c r="E174" t="s">
        <v>967</v>
      </c>
      <c r="F174" t="str">
        <f t="shared" si="24"/>
        <v>Guinea:standard days method (sdm)</v>
      </c>
      <c r="G174" s="611">
        <f t="shared" si="33"/>
        <v>0.46</v>
      </c>
      <c r="H174" s="610">
        <v>0.46</v>
      </c>
      <c r="I174" s="23">
        <v>0</v>
      </c>
      <c r="J174" s="23">
        <v>0</v>
      </c>
      <c r="K174" s="610">
        <v>0.14699999999999999</v>
      </c>
      <c r="L174" s="610">
        <v>3.5000000000000003E-2</v>
      </c>
      <c r="M174" s="610">
        <v>0.318</v>
      </c>
      <c r="N174" s="610">
        <v>0.04</v>
      </c>
      <c r="O174" s="819"/>
      <c r="P174" s="819"/>
      <c r="Q174" s="23">
        <f t="shared" si="23"/>
        <v>1</v>
      </c>
      <c r="R174">
        <v>33</v>
      </c>
      <c r="S174" t="str">
        <f t="shared" si="34"/>
        <v/>
      </c>
    </row>
    <row r="175" spans="1:26" hidden="1" x14ac:dyDescent="0.25">
      <c r="A175" t="s">
        <v>968</v>
      </c>
      <c r="B175" t="s">
        <v>34</v>
      </c>
      <c r="C175" t="s">
        <v>969</v>
      </c>
      <c r="D175" t="s">
        <v>282</v>
      </c>
      <c r="E175" t="s">
        <v>128</v>
      </c>
      <c r="F175" t="str">
        <f t="shared" si="24"/>
        <v>Haiti:Female Sterilization</v>
      </c>
      <c r="G175" s="611">
        <f t="shared" si="33"/>
        <v>0.78800000000000003</v>
      </c>
      <c r="H175" s="610">
        <v>0.78800000000000003</v>
      </c>
      <c r="I175" s="610"/>
      <c r="J175" s="610">
        <v>8.0000000000000002E-3</v>
      </c>
      <c r="K175" s="610">
        <v>0.16300000000000001</v>
      </c>
      <c r="L175" s="610">
        <v>0</v>
      </c>
      <c r="M175" s="610">
        <v>0</v>
      </c>
      <c r="N175" s="610">
        <v>4.1000000000000002E-2</v>
      </c>
      <c r="O175" s="818"/>
      <c r="P175" s="818"/>
      <c r="Q175" s="23">
        <f t="shared" si="23"/>
        <v>1</v>
      </c>
      <c r="R175">
        <v>125</v>
      </c>
      <c r="S175" s="23">
        <f t="shared" si="26"/>
        <v>0.78800000000000003</v>
      </c>
      <c r="T175" s="23">
        <f t="shared" si="27"/>
        <v>0</v>
      </c>
      <c r="U175" s="23">
        <f t="shared" si="28"/>
        <v>8.0000000000000002E-3</v>
      </c>
      <c r="V175" s="23">
        <f t="shared" si="29"/>
        <v>0.16300000000000001</v>
      </c>
      <c r="W175" s="23">
        <f t="shared" si="30"/>
        <v>0</v>
      </c>
      <c r="X175" s="23">
        <f t="shared" si="31"/>
        <v>0</v>
      </c>
      <c r="Y175" s="23">
        <f t="shared" si="32"/>
        <v>4.1000000000000002E-2</v>
      </c>
      <c r="Z175" s="23">
        <f t="shared" si="22"/>
        <v>0</v>
      </c>
    </row>
    <row r="176" spans="1:26" hidden="1" x14ac:dyDescent="0.25">
      <c r="A176" t="s">
        <v>968</v>
      </c>
      <c r="B176" t="s">
        <v>34</v>
      </c>
      <c r="C176" t="s">
        <v>969</v>
      </c>
      <c r="D176" t="s">
        <v>282</v>
      </c>
      <c r="E176" t="s">
        <v>3</v>
      </c>
      <c r="F176" t="str">
        <f t="shared" si="24"/>
        <v>Haiti:Implant</v>
      </c>
      <c r="G176" s="611">
        <f t="shared" si="33"/>
        <v>0.88100000000000001</v>
      </c>
      <c r="H176" s="610">
        <v>0.88100000000000001</v>
      </c>
      <c r="I176" s="610"/>
      <c r="J176" s="610">
        <v>4.0000000000000001E-3</v>
      </c>
      <c r="K176" s="610">
        <v>0.115</v>
      </c>
      <c r="L176" s="610">
        <v>0</v>
      </c>
      <c r="M176" s="610">
        <v>0</v>
      </c>
      <c r="N176" s="610">
        <v>0</v>
      </c>
      <c r="O176" s="818"/>
      <c r="P176" s="818"/>
      <c r="Q176" s="23">
        <f t="shared" si="23"/>
        <v>1</v>
      </c>
      <c r="R176">
        <v>197</v>
      </c>
      <c r="S176" s="23">
        <f t="shared" si="26"/>
        <v>0.88100000000000001</v>
      </c>
      <c r="T176" s="23">
        <f t="shared" si="27"/>
        <v>0</v>
      </c>
      <c r="U176" s="23">
        <f t="shared" si="28"/>
        <v>4.0000000000000001E-3</v>
      </c>
      <c r="V176" s="23">
        <f t="shared" si="29"/>
        <v>0.115</v>
      </c>
      <c r="W176" s="23">
        <f t="shared" si="30"/>
        <v>0</v>
      </c>
      <c r="X176" s="23">
        <f t="shared" si="31"/>
        <v>0</v>
      </c>
      <c r="Y176" s="23">
        <f t="shared" si="32"/>
        <v>0</v>
      </c>
      <c r="Z176" s="23">
        <f t="shared" si="22"/>
        <v>0</v>
      </c>
    </row>
    <row r="177" spans="1:26" hidden="1" x14ac:dyDescent="0.25">
      <c r="A177" t="s">
        <v>968</v>
      </c>
      <c r="B177" t="s">
        <v>34</v>
      </c>
      <c r="C177" t="s">
        <v>969</v>
      </c>
      <c r="D177" t="s">
        <v>282</v>
      </c>
      <c r="E177" t="s">
        <v>2</v>
      </c>
      <c r="F177" t="str">
        <f t="shared" si="24"/>
        <v>Haiti:Injectable</v>
      </c>
      <c r="G177" s="611">
        <f t="shared" si="33"/>
        <v>0.61399999999999999</v>
      </c>
      <c r="H177" s="610">
        <v>0.61399999999999999</v>
      </c>
      <c r="I177" s="610"/>
      <c r="J177" s="610">
        <v>0.23400000000000001</v>
      </c>
      <c r="K177" s="610">
        <v>0.107</v>
      </c>
      <c r="L177" s="610">
        <v>4.4999999999999998E-2</v>
      </c>
      <c r="M177" s="610">
        <v>0</v>
      </c>
      <c r="N177" s="610">
        <v>0</v>
      </c>
      <c r="O177" s="818"/>
      <c r="P177" s="818"/>
      <c r="Q177" s="23">
        <f t="shared" si="23"/>
        <v>1</v>
      </c>
      <c r="R177" s="2">
        <v>1786</v>
      </c>
      <c r="S177" s="23">
        <f t="shared" si="26"/>
        <v>0.61399999999999999</v>
      </c>
      <c r="T177" s="23">
        <f t="shared" si="27"/>
        <v>0</v>
      </c>
      <c r="U177" s="23">
        <f t="shared" si="28"/>
        <v>0.23400000000000001</v>
      </c>
      <c r="V177" s="23">
        <f t="shared" si="29"/>
        <v>0.107</v>
      </c>
      <c r="W177" s="23">
        <f t="shared" si="30"/>
        <v>4.4999999999999998E-2</v>
      </c>
      <c r="X177" s="23">
        <f t="shared" si="31"/>
        <v>0</v>
      </c>
      <c r="Y177" s="23">
        <f t="shared" si="32"/>
        <v>0</v>
      </c>
      <c r="Z177" s="23">
        <f t="shared" si="22"/>
        <v>0</v>
      </c>
    </row>
    <row r="178" spans="1:26" hidden="1" x14ac:dyDescent="0.25">
      <c r="A178" t="s">
        <v>968</v>
      </c>
      <c r="B178" t="s">
        <v>34</v>
      </c>
      <c r="C178" t="s">
        <v>969</v>
      </c>
      <c r="D178" t="s">
        <v>282</v>
      </c>
      <c r="E178" t="s">
        <v>5</v>
      </c>
      <c r="F178" t="str">
        <f t="shared" si="24"/>
        <v>Haiti:IUD</v>
      </c>
      <c r="G178" s="611" t="e">
        <f t="shared" si="33"/>
        <v>#N/A</v>
      </c>
      <c r="H178" s="610" t="e">
        <f>NA()</f>
        <v>#N/A</v>
      </c>
      <c r="I178" s="610" t="e">
        <f>NA()</f>
        <v>#N/A</v>
      </c>
      <c r="J178" s="610" t="e">
        <f>NA()</f>
        <v>#N/A</v>
      </c>
      <c r="K178" s="610" t="e">
        <f>NA()</f>
        <v>#N/A</v>
      </c>
      <c r="L178" s="610" t="e">
        <f>NA()</f>
        <v>#N/A</v>
      </c>
      <c r="M178" s="610" t="e">
        <f>NA()</f>
        <v>#N/A</v>
      </c>
      <c r="N178" s="610" t="e">
        <f>NA()</f>
        <v>#N/A</v>
      </c>
      <c r="O178" s="818"/>
      <c r="P178" s="818"/>
      <c r="Q178" s="23" t="str">
        <f t="shared" si="23"/>
        <v>Sample Too Small</v>
      </c>
      <c r="R178">
        <v>10</v>
      </c>
      <c r="S178" s="23" t="e">
        <f t="shared" si="26"/>
        <v>#N/A</v>
      </c>
      <c r="T178" s="23" t="e">
        <f t="shared" si="27"/>
        <v>#N/A</v>
      </c>
      <c r="U178" s="23" t="e">
        <f t="shared" si="28"/>
        <v>#N/A</v>
      </c>
      <c r="V178" s="23" t="e">
        <f t="shared" si="29"/>
        <v>#N/A</v>
      </c>
      <c r="W178" s="23" t="e">
        <f t="shared" si="30"/>
        <v>#N/A</v>
      </c>
      <c r="X178" s="23" t="e">
        <f t="shared" si="31"/>
        <v>#N/A</v>
      </c>
      <c r="Y178" s="23" t="e">
        <f t="shared" si="32"/>
        <v>#N/A</v>
      </c>
      <c r="Z178" s="23" t="e">
        <f t="shared" si="22"/>
        <v>#N/A</v>
      </c>
    </row>
    <row r="179" spans="1:26" hidden="1" x14ac:dyDescent="0.25">
      <c r="A179" t="s">
        <v>968</v>
      </c>
      <c r="B179" t="s">
        <v>34</v>
      </c>
      <c r="C179" t="s">
        <v>969</v>
      </c>
      <c r="D179" t="s">
        <v>282</v>
      </c>
      <c r="E179" t="s">
        <v>103</v>
      </c>
      <c r="F179" t="str">
        <f t="shared" si="24"/>
        <v>Haiti:Male Condom</v>
      </c>
      <c r="G179" s="611">
        <f t="shared" si="33"/>
        <v>0.222</v>
      </c>
      <c r="H179" s="610">
        <v>0.222</v>
      </c>
      <c r="I179" s="610"/>
      <c r="J179" s="610">
        <v>5.2999999999999999E-2</v>
      </c>
      <c r="K179" s="610">
        <v>1.2999999999999999E-2</v>
      </c>
      <c r="L179" s="610">
        <v>0.23300000000000001</v>
      </c>
      <c r="M179" s="610">
        <v>0.47399999999999998</v>
      </c>
      <c r="N179" s="610">
        <v>6.0000000000000001E-3</v>
      </c>
      <c r="O179" s="818"/>
      <c r="P179" s="818"/>
      <c r="Q179" s="23">
        <f t="shared" si="23"/>
        <v>1.0009999999999999</v>
      </c>
      <c r="R179">
        <v>830</v>
      </c>
      <c r="S179" s="23">
        <f t="shared" si="26"/>
        <v>0.22177822177822182</v>
      </c>
      <c r="T179" s="23">
        <f t="shared" si="27"/>
        <v>0</v>
      </c>
      <c r="U179" s="23">
        <f t="shared" si="28"/>
        <v>5.2947052947052951E-2</v>
      </c>
      <c r="V179" s="23">
        <f t="shared" si="29"/>
        <v>1.2987012987012988E-2</v>
      </c>
      <c r="W179" s="23">
        <f t="shared" si="30"/>
        <v>0.2327672327672328</v>
      </c>
      <c r="X179" s="23">
        <f t="shared" si="31"/>
        <v>0.47352647352647353</v>
      </c>
      <c r="Y179" s="23">
        <f t="shared" si="32"/>
        <v>5.9940059940059949E-3</v>
      </c>
      <c r="Z179" s="23">
        <f t="shared" si="22"/>
        <v>0</v>
      </c>
    </row>
    <row r="180" spans="1:26" hidden="1" x14ac:dyDescent="0.25">
      <c r="A180" t="s">
        <v>968</v>
      </c>
      <c r="B180" t="s">
        <v>34</v>
      </c>
      <c r="C180" t="s">
        <v>969</v>
      </c>
      <c r="D180" t="s">
        <v>282</v>
      </c>
      <c r="E180" t="s">
        <v>129</v>
      </c>
      <c r="F180" t="str">
        <f t="shared" si="24"/>
        <v>Haiti:Male Sterilization</v>
      </c>
      <c r="G180" s="611" t="e">
        <f t="shared" si="33"/>
        <v>#N/A</v>
      </c>
      <c r="H180" s="610" t="e">
        <f>NA()</f>
        <v>#N/A</v>
      </c>
      <c r="I180" s="610" t="e">
        <f>NA()</f>
        <v>#N/A</v>
      </c>
      <c r="J180" s="610" t="e">
        <f>NA()</f>
        <v>#N/A</v>
      </c>
      <c r="K180" s="610" t="e">
        <f>NA()</f>
        <v>#N/A</v>
      </c>
      <c r="L180" s="610" t="e">
        <f>NA()</f>
        <v>#N/A</v>
      </c>
      <c r="M180" s="610" t="e">
        <f>NA()</f>
        <v>#N/A</v>
      </c>
      <c r="N180" s="610" t="e">
        <f>NA()</f>
        <v>#N/A</v>
      </c>
      <c r="O180" s="818"/>
      <c r="P180" s="818"/>
      <c r="Q180" s="23" t="str">
        <f t="shared" si="23"/>
        <v>Sample Too Small</v>
      </c>
      <c r="R180">
        <v>9</v>
      </c>
      <c r="S180" s="23" t="e">
        <f t="shared" si="26"/>
        <v>#N/A</v>
      </c>
      <c r="T180" s="23" t="e">
        <f t="shared" si="27"/>
        <v>#N/A</v>
      </c>
      <c r="U180" s="23" t="e">
        <f t="shared" si="28"/>
        <v>#N/A</v>
      </c>
      <c r="V180" s="23" t="e">
        <f t="shared" si="29"/>
        <v>#N/A</v>
      </c>
      <c r="W180" s="23" t="e">
        <f t="shared" si="30"/>
        <v>#N/A</v>
      </c>
      <c r="X180" s="23" t="e">
        <f t="shared" si="31"/>
        <v>#N/A</v>
      </c>
      <c r="Y180" s="23" t="e">
        <f t="shared" si="32"/>
        <v>#N/A</v>
      </c>
      <c r="Z180" s="23" t="e">
        <f t="shared" si="22"/>
        <v>#N/A</v>
      </c>
    </row>
    <row r="181" spans="1:26" hidden="1" x14ac:dyDescent="0.25">
      <c r="A181" t="s">
        <v>968</v>
      </c>
      <c r="B181" t="s">
        <v>34</v>
      </c>
      <c r="C181" t="s">
        <v>969</v>
      </c>
      <c r="D181" t="s">
        <v>282</v>
      </c>
      <c r="E181" t="s">
        <v>110</v>
      </c>
      <c r="F181" t="str">
        <f t="shared" si="24"/>
        <v>Haiti:OC Pills</v>
      </c>
      <c r="G181" s="611">
        <f t="shared" si="33"/>
        <v>0.44600000000000001</v>
      </c>
      <c r="H181" s="610">
        <v>0.44600000000000001</v>
      </c>
      <c r="I181" s="610"/>
      <c r="J181" s="610">
        <v>0.124</v>
      </c>
      <c r="K181" s="610">
        <v>4.5999999999999999E-2</v>
      </c>
      <c r="L181" s="610">
        <v>0.33600000000000002</v>
      </c>
      <c r="M181" s="610">
        <v>4.8000000000000001E-2</v>
      </c>
      <c r="N181" s="610">
        <v>0</v>
      </c>
      <c r="O181" s="818"/>
      <c r="P181" s="818"/>
      <c r="Q181" s="23">
        <f t="shared" si="23"/>
        <v>1.0000000000000002</v>
      </c>
      <c r="R181">
        <v>193</v>
      </c>
      <c r="S181" s="23">
        <f t="shared" si="26"/>
        <v>0.4459999999999999</v>
      </c>
      <c r="T181" s="23">
        <f t="shared" si="27"/>
        <v>0</v>
      </c>
      <c r="U181" s="23">
        <f t="shared" si="28"/>
        <v>0.12399999999999997</v>
      </c>
      <c r="V181" s="23">
        <f t="shared" si="29"/>
        <v>4.5999999999999992E-2</v>
      </c>
      <c r="W181" s="23">
        <f t="shared" si="30"/>
        <v>0.33599999999999997</v>
      </c>
      <c r="X181" s="23">
        <f t="shared" si="31"/>
        <v>4.7999999999999987E-2</v>
      </c>
      <c r="Y181" s="23">
        <f t="shared" si="32"/>
        <v>0</v>
      </c>
      <c r="Z181" s="23">
        <f t="shared" si="22"/>
        <v>0</v>
      </c>
    </row>
    <row r="182" spans="1:26" hidden="1" x14ac:dyDescent="0.25">
      <c r="A182" t="s">
        <v>968</v>
      </c>
      <c r="B182" t="s">
        <v>34</v>
      </c>
      <c r="C182" t="s">
        <v>969</v>
      </c>
      <c r="D182" t="s">
        <v>282</v>
      </c>
      <c r="E182" t="s">
        <v>130</v>
      </c>
      <c r="F182" t="str">
        <f t="shared" si="24"/>
        <v>Haiti:Other Modern Methods</v>
      </c>
      <c r="G182" s="611" t="e">
        <f t="shared" si="33"/>
        <v>#N/A</v>
      </c>
      <c r="H182" s="610" t="e">
        <f>NA()</f>
        <v>#N/A</v>
      </c>
      <c r="I182" s="610" t="e">
        <f>NA()</f>
        <v>#N/A</v>
      </c>
      <c r="J182" s="610" t="e">
        <f>NA()</f>
        <v>#N/A</v>
      </c>
      <c r="K182" s="610" t="e">
        <f>NA()</f>
        <v>#N/A</v>
      </c>
      <c r="L182" s="610" t="e">
        <f>NA()</f>
        <v>#N/A</v>
      </c>
      <c r="M182" s="610" t="e">
        <f>NA()</f>
        <v>#N/A</v>
      </c>
      <c r="N182" s="610" t="e">
        <f>NA()</f>
        <v>#N/A</v>
      </c>
      <c r="O182" s="818"/>
      <c r="P182" s="818"/>
      <c r="Q182" s="23" t="str">
        <f t="shared" si="23"/>
        <v>Sample Too Small</v>
      </c>
      <c r="R182">
        <v>1</v>
      </c>
      <c r="S182" s="23" t="e">
        <f t="shared" si="26"/>
        <v>#N/A</v>
      </c>
      <c r="T182" s="23" t="e">
        <f t="shared" si="27"/>
        <v>#N/A</v>
      </c>
      <c r="U182" s="23" t="e">
        <f t="shared" si="28"/>
        <v>#N/A</v>
      </c>
      <c r="V182" s="23" t="e">
        <f t="shared" si="29"/>
        <v>#N/A</v>
      </c>
      <c r="W182" s="23" t="e">
        <f t="shared" si="30"/>
        <v>#N/A</v>
      </c>
      <c r="X182" s="23" t="e">
        <f t="shared" si="31"/>
        <v>#N/A</v>
      </c>
      <c r="Y182" s="23" t="e">
        <f t="shared" si="32"/>
        <v>#N/A</v>
      </c>
      <c r="Z182" s="23" t="e">
        <f t="shared" si="22"/>
        <v>#N/A</v>
      </c>
    </row>
    <row r="183" spans="1:26" hidden="1" x14ac:dyDescent="0.25">
      <c r="A183" t="s">
        <v>892</v>
      </c>
      <c r="B183" t="s">
        <v>35</v>
      </c>
      <c r="C183" t="s">
        <v>597</v>
      </c>
      <c r="D183" t="s">
        <v>282</v>
      </c>
      <c r="E183" t="s">
        <v>128</v>
      </c>
      <c r="F183" t="str">
        <f t="shared" si="24"/>
        <v>Honduras:Female Sterilization</v>
      </c>
      <c r="G183" s="611">
        <f t="shared" si="33"/>
        <v>0.57731958762886604</v>
      </c>
      <c r="H183" s="23">
        <v>0.57731958762886604</v>
      </c>
      <c r="I183" s="23">
        <v>0</v>
      </c>
      <c r="J183" s="23">
        <v>0</v>
      </c>
      <c r="K183" s="23">
        <v>0.41237113402061853</v>
      </c>
      <c r="L183" s="23">
        <v>0</v>
      </c>
      <c r="M183" s="23">
        <v>0</v>
      </c>
      <c r="N183" s="23">
        <v>1.0309278350515464E-2</v>
      </c>
      <c r="O183" s="818">
        <v>0</v>
      </c>
      <c r="P183" s="818">
        <v>0.02</v>
      </c>
      <c r="Q183" s="23">
        <f t="shared" si="23"/>
        <v>1</v>
      </c>
      <c r="R183" s="2">
        <v>3466</v>
      </c>
      <c r="S183" s="23">
        <f t="shared" si="26"/>
        <v>0.57731958762886604</v>
      </c>
      <c r="T183" s="23">
        <f t="shared" si="27"/>
        <v>0</v>
      </c>
      <c r="U183" s="23">
        <f t="shared" si="28"/>
        <v>0</v>
      </c>
      <c r="V183" s="23">
        <f t="shared" si="29"/>
        <v>0.41237113402061853</v>
      </c>
      <c r="W183" s="23">
        <f t="shared" si="30"/>
        <v>0</v>
      </c>
      <c r="X183" s="23">
        <f t="shared" si="31"/>
        <v>0</v>
      </c>
      <c r="Y183" s="23">
        <f t="shared" si="32"/>
        <v>1.0309278350515464E-2</v>
      </c>
      <c r="Z183" s="23">
        <f t="shared" si="22"/>
        <v>0</v>
      </c>
    </row>
    <row r="184" spans="1:26" hidden="1" x14ac:dyDescent="0.25">
      <c r="A184" t="s">
        <v>892</v>
      </c>
      <c r="B184" t="s">
        <v>35</v>
      </c>
      <c r="C184" t="s">
        <v>597</v>
      </c>
      <c r="D184" t="s">
        <v>282</v>
      </c>
      <c r="E184" t="s">
        <v>3</v>
      </c>
      <c r="F184" t="str">
        <f t="shared" si="24"/>
        <v>Honduras:Implant</v>
      </c>
      <c r="G184" s="611" t="e">
        <f t="shared" si="33"/>
        <v>#N/A</v>
      </c>
      <c r="H184" t="e">
        <f>NA()</f>
        <v>#N/A</v>
      </c>
      <c r="I184" t="e">
        <f>NA()</f>
        <v>#N/A</v>
      </c>
      <c r="J184" t="e">
        <f>NA()</f>
        <v>#N/A</v>
      </c>
      <c r="K184" t="e">
        <f>NA()</f>
        <v>#N/A</v>
      </c>
      <c r="L184" t="e">
        <f>NA()</f>
        <v>#N/A</v>
      </c>
      <c r="M184" t="e">
        <f>NA()</f>
        <v>#N/A</v>
      </c>
      <c r="N184" t="e">
        <f>NA()</f>
        <v>#N/A</v>
      </c>
      <c r="O184" s="818" t="e">
        <f>NA()</f>
        <v>#N/A</v>
      </c>
      <c r="P184" s="818" t="e">
        <f>NA()</f>
        <v>#N/A</v>
      </c>
      <c r="Q184" s="23" t="str">
        <f t="shared" si="23"/>
        <v>Sample Too Small</v>
      </c>
      <c r="R184" s="10">
        <v>1</v>
      </c>
      <c r="S184" s="23" t="e">
        <f t="shared" si="26"/>
        <v>#N/A</v>
      </c>
      <c r="T184" s="23" t="e">
        <f t="shared" si="27"/>
        <v>#N/A</v>
      </c>
      <c r="U184" s="23" t="e">
        <f t="shared" si="28"/>
        <v>#N/A</v>
      </c>
      <c r="V184" s="23" t="e">
        <f t="shared" si="29"/>
        <v>#N/A</v>
      </c>
      <c r="W184" s="23" t="e">
        <f t="shared" si="30"/>
        <v>#N/A</v>
      </c>
      <c r="X184" s="23" t="e">
        <f t="shared" si="31"/>
        <v>#N/A</v>
      </c>
      <c r="Y184" s="23" t="e">
        <f t="shared" si="32"/>
        <v>#N/A</v>
      </c>
      <c r="Z184" s="23" t="e">
        <f t="shared" si="22"/>
        <v>#N/A</v>
      </c>
    </row>
    <row r="185" spans="1:26" hidden="1" x14ac:dyDescent="0.25">
      <c r="A185" t="s">
        <v>892</v>
      </c>
      <c r="B185" t="s">
        <v>35</v>
      </c>
      <c r="C185" t="s">
        <v>597</v>
      </c>
      <c r="D185" t="s">
        <v>282</v>
      </c>
      <c r="E185" t="s">
        <v>2</v>
      </c>
      <c r="F185" t="str">
        <f t="shared" si="24"/>
        <v>Honduras:Injectable</v>
      </c>
      <c r="G185" s="611">
        <f t="shared" si="33"/>
        <v>0.68</v>
      </c>
      <c r="H185" s="23">
        <v>0.68</v>
      </c>
      <c r="I185" s="23">
        <v>0</v>
      </c>
      <c r="J185" s="23">
        <v>0</v>
      </c>
      <c r="K185" s="23">
        <v>0.09</v>
      </c>
      <c r="L185" s="23">
        <v>0.2</v>
      </c>
      <c r="M185" s="23">
        <v>0.01</v>
      </c>
      <c r="N185" s="23">
        <v>0.01</v>
      </c>
      <c r="O185" s="818">
        <v>0</v>
      </c>
      <c r="P185" s="818">
        <v>0</v>
      </c>
      <c r="Q185" s="23">
        <f t="shared" si="23"/>
        <v>0.99</v>
      </c>
      <c r="R185" s="2">
        <v>2787</v>
      </c>
      <c r="S185" s="23">
        <f t="shared" si="26"/>
        <v>0.68686868686868696</v>
      </c>
      <c r="T185" s="23">
        <f t="shared" si="27"/>
        <v>0</v>
      </c>
      <c r="U185" s="23">
        <f t="shared" si="28"/>
        <v>0</v>
      </c>
      <c r="V185" s="23">
        <f t="shared" si="29"/>
        <v>9.0909090909090912E-2</v>
      </c>
      <c r="W185" s="23">
        <f t="shared" si="30"/>
        <v>0.20202020202020204</v>
      </c>
      <c r="X185" s="23">
        <f t="shared" si="31"/>
        <v>1.0101010101010102E-2</v>
      </c>
      <c r="Y185" s="23">
        <f t="shared" si="32"/>
        <v>1.0101010101010102E-2</v>
      </c>
      <c r="Z185" s="23">
        <f t="shared" si="22"/>
        <v>0</v>
      </c>
    </row>
    <row r="186" spans="1:26" hidden="1" x14ac:dyDescent="0.25">
      <c r="A186" t="s">
        <v>892</v>
      </c>
      <c r="B186" t="s">
        <v>35</v>
      </c>
      <c r="C186" t="s">
        <v>597</v>
      </c>
      <c r="D186" t="s">
        <v>282</v>
      </c>
      <c r="E186" t="s">
        <v>5</v>
      </c>
      <c r="F186" t="str">
        <f t="shared" si="24"/>
        <v>Honduras:IUD</v>
      </c>
      <c r="G186" s="611">
        <f t="shared" si="33"/>
        <v>0.647887323943662</v>
      </c>
      <c r="H186" s="23">
        <v>0.647887323943662</v>
      </c>
      <c r="I186" s="23">
        <v>0</v>
      </c>
      <c r="J186" s="23">
        <v>0</v>
      </c>
      <c r="K186" s="23">
        <v>0.35211267605633806</v>
      </c>
      <c r="L186" s="23">
        <v>0</v>
      </c>
      <c r="M186" s="23">
        <v>0</v>
      </c>
      <c r="N186" s="23">
        <v>0</v>
      </c>
      <c r="O186" s="818">
        <v>0</v>
      </c>
      <c r="P186" s="818">
        <v>0.28000000000000003</v>
      </c>
      <c r="Q186" s="23">
        <f t="shared" si="23"/>
        <v>1</v>
      </c>
      <c r="R186">
        <v>901</v>
      </c>
      <c r="S186" s="23">
        <f t="shared" si="26"/>
        <v>0.647887323943662</v>
      </c>
      <c r="T186" s="23">
        <f t="shared" si="27"/>
        <v>0</v>
      </c>
      <c r="U186" s="23">
        <f t="shared" si="28"/>
        <v>0</v>
      </c>
      <c r="V186" s="23">
        <f t="shared" si="29"/>
        <v>0.35211267605633806</v>
      </c>
      <c r="W186" s="23">
        <f t="shared" si="30"/>
        <v>0</v>
      </c>
      <c r="X186" s="23">
        <f t="shared" si="31"/>
        <v>0</v>
      </c>
      <c r="Y186" s="23">
        <f t="shared" si="32"/>
        <v>0</v>
      </c>
      <c r="Z186" s="23">
        <f t="shared" si="22"/>
        <v>0</v>
      </c>
    </row>
    <row r="187" spans="1:26" hidden="1" x14ac:dyDescent="0.25">
      <c r="A187" t="s">
        <v>892</v>
      </c>
      <c r="B187" t="s">
        <v>35</v>
      </c>
      <c r="C187" t="s">
        <v>597</v>
      </c>
      <c r="D187" t="s">
        <v>282</v>
      </c>
      <c r="E187" t="s">
        <v>103</v>
      </c>
      <c r="F187" t="str">
        <f t="shared" si="24"/>
        <v>Honduras:Male Condom</v>
      </c>
      <c r="G187" s="611">
        <f t="shared" si="33"/>
        <v>0.28282828282828282</v>
      </c>
      <c r="H187" s="23">
        <v>0.28282828282828282</v>
      </c>
      <c r="I187" s="23">
        <v>0</v>
      </c>
      <c r="J187" s="23">
        <v>1.01010101010101E-2</v>
      </c>
      <c r="K187" s="23">
        <v>1.01010101010101E-2</v>
      </c>
      <c r="L187" s="23">
        <v>0.54545454545454541</v>
      </c>
      <c r="M187" s="23">
        <v>0.1111111111111111</v>
      </c>
      <c r="N187" s="23">
        <v>4.0404040404040401E-2</v>
      </c>
      <c r="O187" s="818">
        <v>0</v>
      </c>
      <c r="P187" s="818">
        <v>0.01</v>
      </c>
      <c r="Q187" s="23">
        <f t="shared" si="23"/>
        <v>1</v>
      </c>
      <c r="R187">
        <v>798</v>
      </c>
      <c r="S187" s="23">
        <f t="shared" si="26"/>
        <v>0.28282828282828282</v>
      </c>
      <c r="T187" s="23">
        <f t="shared" si="27"/>
        <v>0</v>
      </c>
      <c r="U187" s="23">
        <f t="shared" si="28"/>
        <v>1.01010101010101E-2</v>
      </c>
      <c r="V187" s="23">
        <f t="shared" si="29"/>
        <v>1.01010101010101E-2</v>
      </c>
      <c r="W187" s="23">
        <f t="shared" si="30"/>
        <v>0.54545454545454541</v>
      </c>
      <c r="X187" s="23">
        <f t="shared" si="31"/>
        <v>0.1111111111111111</v>
      </c>
      <c r="Y187" s="23">
        <f t="shared" si="32"/>
        <v>4.0404040404040401E-2</v>
      </c>
      <c r="Z187" s="23">
        <f t="shared" si="22"/>
        <v>0</v>
      </c>
    </row>
    <row r="188" spans="1:26" hidden="1" x14ac:dyDescent="0.25">
      <c r="A188" t="s">
        <v>892</v>
      </c>
      <c r="B188" t="s">
        <v>35</v>
      </c>
      <c r="C188" t="s">
        <v>597</v>
      </c>
      <c r="D188" t="s">
        <v>282</v>
      </c>
      <c r="E188" t="s">
        <v>129</v>
      </c>
      <c r="F188" t="str">
        <f t="shared" si="24"/>
        <v>Honduras:Male Sterilization</v>
      </c>
      <c r="G188" s="611">
        <f t="shared" si="33"/>
        <v>7.2916666666666671E-2</v>
      </c>
      <c r="H188" s="23">
        <v>7.2916666666666671E-2</v>
      </c>
      <c r="I188" s="23">
        <v>0</v>
      </c>
      <c r="J188" s="23">
        <v>0</v>
      </c>
      <c r="K188" s="23">
        <v>0.65625</v>
      </c>
      <c r="L188" s="23">
        <v>0</v>
      </c>
      <c r="M188" s="23">
        <v>0</v>
      </c>
      <c r="N188" s="23">
        <v>0.19791666666666669</v>
      </c>
      <c r="O188" s="818">
        <v>7.2916666666666671E-2</v>
      </c>
      <c r="P188" s="818">
        <v>0.04</v>
      </c>
      <c r="Q188" s="23">
        <f t="shared" si="23"/>
        <v>0.92708333333333326</v>
      </c>
      <c r="R188">
        <v>28</v>
      </c>
      <c r="S188" s="23">
        <f t="shared" si="26"/>
        <v>7.2916666666666685E-2</v>
      </c>
      <c r="T188" s="23">
        <f t="shared" si="27"/>
        <v>0</v>
      </c>
      <c r="U188" s="23">
        <f t="shared" si="28"/>
        <v>0</v>
      </c>
      <c r="V188" s="23">
        <f t="shared" si="29"/>
        <v>0.65625000000000011</v>
      </c>
      <c r="W188" s="23">
        <f t="shared" si="30"/>
        <v>0</v>
      </c>
      <c r="X188" s="23">
        <f t="shared" si="31"/>
        <v>0</v>
      </c>
      <c r="Y188" s="23">
        <f t="shared" si="32"/>
        <v>0.19791666666666671</v>
      </c>
      <c r="Z188" s="23">
        <f t="shared" si="22"/>
        <v>7.2916666666666685E-2</v>
      </c>
    </row>
    <row r="189" spans="1:26" hidden="1" x14ac:dyDescent="0.25">
      <c r="A189" s="119" t="s">
        <v>892</v>
      </c>
      <c r="B189" t="s">
        <v>35</v>
      </c>
      <c r="C189" t="s">
        <v>597</v>
      </c>
      <c r="D189" t="s">
        <v>282</v>
      </c>
      <c r="E189" t="s">
        <v>110</v>
      </c>
      <c r="F189" t="str">
        <f t="shared" si="24"/>
        <v>Honduras:OC Pills</v>
      </c>
      <c r="G189" s="611">
        <f t="shared" si="33"/>
        <v>0.3</v>
      </c>
      <c r="H189" s="502">
        <v>0.3</v>
      </c>
      <c r="I189" s="502">
        <v>0</v>
      </c>
      <c r="J189" s="502">
        <v>0</v>
      </c>
      <c r="K189" s="502">
        <v>0.13</v>
      </c>
      <c r="L189" s="502">
        <v>0.49</v>
      </c>
      <c r="M189" s="502">
        <v>0.05</v>
      </c>
      <c r="N189" s="502">
        <v>0.02</v>
      </c>
      <c r="O189" s="818">
        <v>0</v>
      </c>
      <c r="P189" s="818">
        <v>0</v>
      </c>
      <c r="Q189" s="23">
        <f t="shared" si="23"/>
        <v>0.99</v>
      </c>
      <c r="R189" s="501">
        <v>1548</v>
      </c>
      <c r="S189" s="23">
        <f t="shared" si="26"/>
        <v>0.30303030303030304</v>
      </c>
      <c r="T189" s="23">
        <f t="shared" si="27"/>
        <v>0</v>
      </c>
      <c r="U189" s="23">
        <f t="shared" si="28"/>
        <v>0</v>
      </c>
      <c r="V189" s="23">
        <f t="shared" si="29"/>
        <v>0.13131313131313133</v>
      </c>
      <c r="W189" s="23">
        <f t="shared" si="30"/>
        <v>0.49494949494949497</v>
      </c>
      <c r="X189" s="23">
        <f t="shared" si="31"/>
        <v>5.0505050505050511E-2</v>
      </c>
      <c r="Y189" s="23">
        <f t="shared" si="32"/>
        <v>2.0202020202020204E-2</v>
      </c>
      <c r="Z189" s="23">
        <f t="shared" si="22"/>
        <v>0</v>
      </c>
    </row>
    <row r="190" spans="1:26" hidden="1" x14ac:dyDescent="0.25">
      <c r="A190" t="s">
        <v>892</v>
      </c>
      <c r="B190" t="s">
        <v>35</v>
      </c>
      <c r="C190" t="s">
        <v>597</v>
      </c>
      <c r="D190" t="s">
        <v>282</v>
      </c>
      <c r="E190" t="s">
        <v>130</v>
      </c>
      <c r="F190" t="str">
        <f t="shared" si="24"/>
        <v>Honduras:Other Modern Methods</v>
      </c>
      <c r="G190" s="611" t="e">
        <f t="shared" si="33"/>
        <v>#N/A</v>
      </c>
      <c r="H190" t="e">
        <f>NA()</f>
        <v>#N/A</v>
      </c>
      <c r="I190" t="e">
        <f>NA()</f>
        <v>#N/A</v>
      </c>
      <c r="J190" t="e">
        <f>NA()</f>
        <v>#N/A</v>
      </c>
      <c r="K190" t="e">
        <f>NA()</f>
        <v>#N/A</v>
      </c>
      <c r="L190" t="e">
        <f>NA()</f>
        <v>#N/A</v>
      </c>
      <c r="M190" t="e">
        <f>NA()</f>
        <v>#N/A</v>
      </c>
      <c r="N190" t="e">
        <f>NA()</f>
        <v>#N/A</v>
      </c>
      <c r="O190" s="818" t="e">
        <f>NA()</f>
        <v>#N/A</v>
      </c>
      <c r="P190" s="818" t="e">
        <f>NA()</f>
        <v>#N/A</v>
      </c>
      <c r="Q190" s="23" t="str">
        <f t="shared" si="23"/>
        <v>Sample Too Small</v>
      </c>
      <c r="R190" s="10">
        <v>1</v>
      </c>
      <c r="S190" s="23" t="e">
        <f t="shared" si="26"/>
        <v>#N/A</v>
      </c>
      <c r="T190" s="23" t="e">
        <f t="shared" si="27"/>
        <v>#N/A</v>
      </c>
      <c r="U190" s="23" t="e">
        <f t="shared" si="28"/>
        <v>#N/A</v>
      </c>
      <c r="V190" s="23" t="e">
        <f t="shared" si="29"/>
        <v>#N/A</v>
      </c>
      <c r="W190" s="23" t="e">
        <f t="shared" si="30"/>
        <v>#N/A</v>
      </c>
      <c r="X190" s="23" t="e">
        <f t="shared" si="31"/>
        <v>#N/A</v>
      </c>
      <c r="Y190" s="23" t="e">
        <f t="shared" si="32"/>
        <v>#N/A</v>
      </c>
      <c r="Z190" s="23" t="e">
        <f t="shared" si="22"/>
        <v>#N/A</v>
      </c>
    </row>
    <row r="191" spans="1:26" hidden="1" x14ac:dyDescent="0.25">
      <c r="A191" t="s">
        <v>2494</v>
      </c>
      <c r="B191" t="s">
        <v>36</v>
      </c>
      <c r="C191" t="s">
        <v>2493</v>
      </c>
      <c r="D191" t="s">
        <v>282</v>
      </c>
      <c r="E191" t="s">
        <v>128</v>
      </c>
      <c r="F191" t="str">
        <f t="shared" si="24"/>
        <v>India:Female Sterilization</v>
      </c>
      <c r="G191" s="611">
        <v>0.80900000000000005</v>
      </c>
      <c r="H191" s="23"/>
      <c r="I191" s="23"/>
      <c r="J191" s="23"/>
      <c r="K191" s="23">
        <v>0.187</v>
      </c>
      <c r="L191" s="23">
        <v>0</v>
      </c>
      <c r="M191" s="23">
        <v>0</v>
      </c>
      <c r="N191" s="23">
        <v>2E-3</v>
      </c>
      <c r="O191" s="818">
        <v>2.0000000000000018E-3</v>
      </c>
      <c r="P191" s="818"/>
      <c r="Q191" s="23">
        <f t="shared" si="23"/>
        <v>0.189</v>
      </c>
      <c r="R191" s="2"/>
      <c r="S191" s="23"/>
      <c r="T191" s="23"/>
      <c r="U191" s="23"/>
      <c r="V191" s="23"/>
      <c r="W191" s="23"/>
      <c r="X191" s="23"/>
      <c r="Y191" s="23"/>
      <c r="Z191" s="23"/>
    </row>
    <row r="192" spans="1:26" hidden="1" x14ac:dyDescent="0.25">
      <c r="A192" t="s">
        <v>2494</v>
      </c>
      <c r="B192" t="s">
        <v>36</v>
      </c>
      <c r="C192" t="s">
        <v>2493</v>
      </c>
      <c r="D192" t="s">
        <v>282</v>
      </c>
      <c r="E192" t="s">
        <v>3</v>
      </c>
      <c r="F192" t="str">
        <f t="shared" si="24"/>
        <v>India:Implant</v>
      </c>
      <c r="G192" s="611" t="e">
        <f t="shared" si="33"/>
        <v>#N/A</v>
      </c>
      <c r="H192" t="e">
        <f>NA()</f>
        <v>#N/A</v>
      </c>
      <c r="I192" t="e">
        <f>NA()</f>
        <v>#N/A</v>
      </c>
      <c r="J192" t="e">
        <f>NA()</f>
        <v>#N/A</v>
      </c>
      <c r="K192" t="e">
        <f>NA()</f>
        <v>#N/A</v>
      </c>
      <c r="L192" t="e">
        <f>NA()</f>
        <v>#N/A</v>
      </c>
      <c r="M192" t="e">
        <f>NA()</f>
        <v>#N/A</v>
      </c>
      <c r="N192" t="e">
        <f>NA()</f>
        <v>#N/A</v>
      </c>
      <c r="O192" s="818" t="e">
        <f>NA()</f>
        <v>#N/A</v>
      </c>
      <c r="P192" s="818"/>
      <c r="Q192" s="23" t="str">
        <f t="shared" si="23"/>
        <v>Sample Too Small</v>
      </c>
      <c r="R192" s="10"/>
      <c r="S192" s="23"/>
      <c r="T192" s="23"/>
      <c r="U192" s="23"/>
      <c r="V192" s="23"/>
      <c r="W192" s="23"/>
      <c r="X192" s="23"/>
      <c r="Y192" s="23"/>
      <c r="Z192" s="23"/>
    </row>
    <row r="193" spans="1:26" hidden="1" x14ac:dyDescent="0.25">
      <c r="A193" t="s">
        <v>2494</v>
      </c>
      <c r="B193" t="s">
        <v>36</v>
      </c>
      <c r="C193" t="s">
        <v>2493</v>
      </c>
      <c r="D193" t="s">
        <v>282</v>
      </c>
      <c r="E193" t="s">
        <v>2</v>
      </c>
      <c r="F193" t="str">
        <f t="shared" si="24"/>
        <v>India:Injectable</v>
      </c>
      <c r="G193" s="611">
        <v>0.65400000000000003</v>
      </c>
      <c r="H193" s="23"/>
      <c r="I193" s="23"/>
      <c r="J193" s="23"/>
      <c r="K193" s="23">
        <v>0.28599999999999998</v>
      </c>
      <c r="L193" s="23">
        <v>1.7000000000000001E-2</v>
      </c>
      <c r="M193" s="23">
        <v>0.02</v>
      </c>
      <c r="N193" s="23">
        <v>2.3E-2</v>
      </c>
      <c r="O193" s="818">
        <v>0</v>
      </c>
      <c r="P193" s="818"/>
      <c r="Q193" s="23">
        <f t="shared" si="23"/>
        <v>0.34600000000000003</v>
      </c>
      <c r="R193" s="2"/>
      <c r="S193" s="23"/>
      <c r="T193" s="23"/>
      <c r="U193" s="23"/>
      <c r="V193" s="23"/>
      <c r="W193" s="23"/>
      <c r="X193" s="23"/>
      <c r="Y193" s="23"/>
      <c r="Z193" s="23"/>
    </row>
    <row r="194" spans="1:26" hidden="1" x14ac:dyDescent="0.25">
      <c r="A194" t="s">
        <v>2494</v>
      </c>
      <c r="B194" t="s">
        <v>36</v>
      </c>
      <c r="C194" t="s">
        <v>2493</v>
      </c>
      <c r="D194" t="s">
        <v>282</v>
      </c>
      <c r="E194" t="s">
        <v>5</v>
      </c>
      <c r="F194" t="str">
        <f t="shared" si="24"/>
        <v>India:IUD</v>
      </c>
      <c r="G194" s="611">
        <v>0.75800000000000001</v>
      </c>
      <c r="H194" s="23"/>
      <c r="I194" s="23"/>
      <c r="J194" s="23"/>
      <c r="K194" s="23">
        <v>0.23299999999999998</v>
      </c>
      <c r="L194" s="23">
        <v>4.0000000000000001E-3</v>
      </c>
      <c r="M194" s="23">
        <v>3.0000000000000001E-3</v>
      </c>
      <c r="N194" s="23">
        <v>2E-3</v>
      </c>
      <c r="O194" s="818">
        <v>0</v>
      </c>
      <c r="P194" s="818"/>
      <c r="Q194" s="23">
        <f t="shared" si="23"/>
        <v>0.24199999999999999</v>
      </c>
      <c r="R194" s="2"/>
      <c r="S194" s="23"/>
      <c r="T194" s="23"/>
      <c r="U194" s="23"/>
      <c r="V194" s="23"/>
      <c r="W194" s="23"/>
      <c r="X194" s="23"/>
      <c r="Y194" s="23"/>
      <c r="Z194" s="23"/>
    </row>
    <row r="195" spans="1:26" hidden="1" x14ac:dyDescent="0.25">
      <c r="A195" t="s">
        <v>2494</v>
      </c>
      <c r="B195" t="s">
        <v>36</v>
      </c>
      <c r="C195" t="s">
        <v>2493</v>
      </c>
      <c r="D195" t="s">
        <v>282</v>
      </c>
      <c r="E195" t="s">
        <v>103</v>
      </c>
      <c r="F195" t="str">
        <f t="shared" si="24"/>
        <v>India:Male Condom</v>
      </c>
      <c r="G195" s="611">
        <v>0.26300000000000001</v>
      </c>
      <c r="H195" s="23"/>
      <c r="I195" s="23"/>
      <c r="J195" s="23"/>
      <c r="K195" s="23">
        <v>0.13</v>
      </c>
      <c r="L195" s="23">
        <v>0.26700000000000002</v>
      </c>
      <c r="M195" s="23">
        <v>7.5999999999999998E-2</v>
      </c>
      <c r="N195" s="23">
        <v>0.26300000000000001</v>
      </c>
      <c r="O195" s="818">
        <v>1.0000000000000009E-3</v>
      </c>
      <c r="P195" s="818"/>
      <c r="Q195" s="23">
        <f t="shared" si="23"/>
        <v>0.73599999999999999</v>
      </c>
      <c r="R195" s="2"/>
      <c r="S195" s="23"/>
      <c r="T195" s="23"/>
      <c r="U195" s="23"/>
      <c r="V195" s="23"/>
      <c r="W195" s="23"/>
      <c r="X195" s="23"/>
      <c r="Y195" s="23"/>
      <c r="Z195" s="23"/>
    </row>
    <row r="196" spans="1:26" hidden="1" x14ac:dyDescent="0.25">
      <c r="A196" t="s">
        <v>2494</v>
      </c>
      <c r="B196" t="s">
        <v>36</v>
      </c>
      <c r="C196" t="s">
        <v>2493</v>
      </c>
      <c r="D196" t="s">
        <v>282</v>
      </c>
      <c r="E196" t="s">
        <v>129</v>
      </c>
      <c r="F196" t="str">
        <f t="shared" si="24"/>
        <v>India:Male Sterilization</v>
      </c>
      <c r="G196" s="611">
        <v>0.91200000000000003</v>
      </c>
      <c r="H196" s="23"/>
      <c r="I196" s="23"/>
      <c r="J196" s="23"/>
      <c r="K196" s="23">
        <v>8.4000000000000005E-2</v>
      </c>
      <c r="L196" s="23">
        <v>0</v>
      </c>
      <c r="M196" s="23">
        <v>0</v>
      </c>
      <c r="N196" s="23">
        <v>3.0000000000000001E-3</v>
      </c>
      <c r="O196" s="818">
        <v>1.0000000000000009E-3</v>
      </c>
      <c r="P196" s="818"/>
      <c r="Q196" s="23">
        <f t="shared" si="23"/>
        <v>8.7000000000000008E-2</v>
      </c>
      <c r="R196" s="2"/>
      <c r="S196" s="23"/>
      <c r="T196" s="23"/>
      <c r="U196" s="23"/>
      <c r="V196" s="23"/>
      <c r="W196" s="23"/>
      <c r="X196" s="23"/>
      <c r="Y196" s="23"/>
      <c r="Z196" s="23"/>
    </row>
    <row r="197" spans="1:26" hidden="1" x14ac:dyDescent="0.25">
      <c r="A197" t="s">
        <v>2494</v>
      </c>
      <c r="B197" t="s">
        <v>36</v>
      </c>
      <c r="C197" t="s">
        <v>2493</v>
      </c>
      <c r="D197" t="s">
        <v>282</v>
      </c>
      <c r="E197" t="s">
        <v>110</v>
      </c>
      <c r="F197" t="str">
        <f t="shared" si="24"/>
        <v>India:OC Pills</v>
      </c>
      <c r="G197" s="611">
        <v>0.41</v>
      </c>
      <c r="H197" s="23"/>
      <c r="I197" s="23"/>
      <c r="J197" s="23"/>
      <c r="K197" s="23">
        <v>0.13600000000000001</v>
      </c>
      <c r="L197" s="23">
        <v>0.316</v>
      </c>
      <c r="M197" s="23">
        <v>6.0999999999999999E-2</v>
      </c>
      <c r="N197" s="23">
        <v>7.5999999999999998E-2</v>
      </c>
      <c r="O197" s="818">
        <v>1.0000000000000009E-3</v>
      </c>
      <c r="P197" s="818"/>
      <c r="Q197" s="23">
        <f t="shared" si="23"/>
        <v>0.58899999999999997</v>
      </c>
      <c r="R197" s="2"/>
      <c r="S197" s="23"/>
      <c r="T197" s="23"/>
      <c r="U197" s="23"/>
      <c r="V197" s="23"/>
      <c r="W197" s="23"/>
      <c r="X197" s="23"/>
      <c r="Y197" s="23"/>
      <c r="Z197" s="23"/>
    </row>
    <row r="198" spans="1:26" hidden="1" x14ac:dyDescent="0.25">
      <c r="A198" t="s">
        <v>2494</v>
      </c>
      <c r="B198" t="s">
        <v>36</v>
      </c>
      <c r="C198" t="s">
        <v>2493</v>
      </c>
      <c r="D198" t="s">
        <v>282</v>
      </c>
      <c r="E198" t="s">
        <v>130</v>
      </c>
      <c r="F198" t="str">
        <f t="shared" si="24"/>
        <v>India:Other Modern Methods</v>
      </c>
      <c r="G198" s="611">
        <v>0.26400000000000001</v>
      </c>
      <c r="K198">
        <v>0.19700000000000001</v>
      </c>
      <c r="L198">
        <v>0.40799999999999997</v>
      </c>
      <c r="M198">
        <v>0.05</v>
      </c>
      <c r="N198">
        <v>8.1000000000000003E-2</v>
      </c>
      <c r="O198" s="818">
        <v>0</v>
      </c>
      <c r="P198" s="818"/>
      <c r="Q198" s="23">
        <f t="shared" si="23"/>
        <v>0.73599999999999999</v>
      </c>
      <c r="S198" s="23"/>
      <c r="T198" s="23"/>
      <c r="U198" s="23"/>
      <c r="V198" s="23"/>
      <c r="W198" s="23"/>
      <c r="X198" s="23"/>
      <c r="Y198" s="23"/>
      <c r="Z198" s="23"/>
    </row>
    <row r="199" spans="1:26" hidden="1" x14ac:dyDescent="0.25">
      <c r="A199" t="s">
        <v>1156</v>
      </c>
      <c r="B199" t="s">
        <v>37</v>
      </c>
      <c r="C199" t="s">
        <v>969</v>
      </c>
      <c r="D199" t="s">
        <v>282</v>
      </c>
      <c r="E199" t="s">
        <v>128</v>
      </c>
      <c r="F199" t="str">
        <f t="shared" si="24"/>
        <v>Indonesia:Female Sterilization</v>
      </c>
      <c r="G199" s="611">
        <f t="shared" si="33"/>
        <v>0.55200000000000005</v>
      </c>
      <c r="H199" s="610">
        <v>0.55200000000000005</v>
      </c>
      <c r="I199" s="610">
        <v>0</v>
      </c>
      <c r="J199" s="23">
        <v>0</v>
      </c>
      <c r="K199" s="610">
        <v>0.441</v>
      </c>
      <c r="L199" s="610">
        <v>0</v>
      </c>
      <c r="M199" s="610">
        <v>0</v>
      </c>
      <c r="N199" s="610">
        <v>7.0000000000000001E-3</v>
      </c>
      <c r="O199" s="818">
        <v>0</v>
      </c>
      <c r="P199" s="818">
        <v>0</v>
      </c>
      <c r="Q199" s="23">
        <f t="shared" si="23"/>
        <v>1</v>
      </c>
      <c r="R199" s="2">
        <v>1315</v>
      </c>
      <c r="S199" t="str">
        <f t="shared" ref="S199:S206" si="35">IF(R199&lt;25, "Sample too small", "")</f>
        <v/>
      </c>
    </row>
    <row r="200" spans="1:26" hidden="1" x14ac:dyDescent="0.25">
      <c r="A200" t="s">
        <v>1156</v>
      </c>
      <c r="B200" t="s">
        <v>37</v>
      </c>
      <c r="C200" t="s">
        <v>969</v>
      </c>
      <c r="D200" t="s">
        <v>282</v>
      </c>
      <c r="E200" t="s">
        <v>3</v>
      </c>
      <c r="F200" t="str">
        <f t="shared" si="24"/>
        <v>Indonesia:Implant</v>
      </c>
      <c r="G200" s="611">
        <f t="shared" si="33"/>
        <v>0.747</v>
      </c>
      <c r="H200" s="610">
        <v>0.67400000000000004</v>
      </c>
      <c r="I200" s="610">
        <v>7.2999999999999995E-2</v>
      </c>
      <c r="J200" s="23">
        <v>0</v>
      </c>
      <c r="K200" s="610">
        <v>0.247</v>
      </c>
      <c r="L200" s="610">
        <v>0</v>
      </c>
      <c r="M200" s="610">
        <v>0</v>
      </c>
      <c r="N200" s="610">
        <v>5.0000000000000001E-3</v>
      </c>
      <c r="O200" s="818">
        <v>0</v>
      </c>
      <c r="P200" s="818">
        <v>0</v>
      </c>
      <c r="Q200" s="23">
        <f t="shared" si="23"/>
        <v>0.999</v>
      </c>
      <c r="R200" s="2">
        <v>1748</v>
      </c>
      <c r="S200" t="str">
        <f t="shared" si="35"/>
        <v/>
      </c>
    </row>
    <row r="201" spans="1:26" hidden="1" x14ac:dyDescent="0.25">
      <c r="A201" t="s">
        <v>1156</v>
      </c>
      <c r="B201" t="s">
        <v>37</v>
      </c>
      <c r="C201" t="s">
        <v>969</v>
      </c>
      <c r="D201" t="s">
        <v>282</v>
      </c>
      <c r="E201" t="s">
        <v>2</v>
      </c>
      <c r="F201" t="str">
        <f t="shared" si="24"/>
        <v>Indonesia:Injectable</v>
      </c>
      <c r="G201" s="611">
        <f t="shared" si="33"/>
        <v>0.32599999999999996</v>
      </c>
      <c r="H201" s="610">
        <v>0.29199999999999998</v>
      </c>
      <c r="I201" s="610">
        <v>3.4000000000000002E-2</v>
      </c>
      <c r="J201" s="23">
        <v>0</v>
      </c>
      <c r="K201" s="610">
        <v>0.67200000000000004</v>
      </c>
      <c r="L201" s="610">
        <v>1E-3</v>
      </c>
      <c r="M201" s="610">
        <v>0</v>
      </c>
      <c r="N201" s="610">
        <v>1E-3</v>
      </c>
      <c r="O201" s="818">
        <v>0</v>
      </c>
      <c r="P201" s="818">
        <v>0</v>
      </c>
      <c r="Q201" s="23">
        <f t="shared" si="23"/>
        <v>1</v>
      </c>
      <c r="R201" s="2">
        <v>7842</v>
      </c>
      <c r="S201" t="str">
        <f t="shared" si="35"/>
        <v/>
      </c>
    </row>
    <row r="202" spans="1:26" hidden="1" x14ac:dyDescent="0.25">
      <c r="A202" t="s">
        <v>1156</v>
      </c>
      <c r="B202" t="s">
        <v>37</v>
      </c>
      <c r="C202" t="s">
        <v>969</v>
      </c>
      <c r="D202" t="s">
        <v>282</v>
      </c>
      <c r="E202" t="s">
        <v>5</v>
      </c>
      <c r="F202" t="str">
        <f t="shared" si="24"/>
        <v>Indonesia:IUD</v>
      </c>
      <c r="G202" s="611">
        <f t="shared" si="33"/>
        <v>0.47700000000000004</v>
      </c>
      <c r="H202" s="610">
        <v>0.46400000000000002</v>
      </c>
      <c r="I202" s="610">
        <v>1.2999999999999999E-2</v>
      </c>
      <c r="J202" s="23">
        <v>0</v>
      </c>
      <c r="K202" s="610">
        <v>0.52100000000000002</v>
      </c>
      <c r="L202" s="610">
        <v>0</v>
      </c>
      <c r="M202" s="610">
        <v>0</v>
      </c>
      <c r="N202" s="610">
        <v>2E-3</v>
      </c>
      <c r="O202" s="818">
        <v>0</v>
      </c>
      <c r="P202" s="818">
        <v>0</v>
      </c>
      <c r="Q202" s="23">
        <f t="shared" si="23"/>
        <v>1</v>
      </c>
      <c r="R202" s="2">
        <v>1454</v>
      </c>
      <c r="S202" t="str">
        <f t="shared" si="35"/>
        <v/>
      </c>
    </row>
    <row r="203" spans="1:26" hidden="1" x14ac:dyDescent="0.25">
      <c r="A203" t="s">
        <v>1156</v>
      </c>
      <c r="B203" t="s">
        <v>37</v>
      </c>
      <c r="C203" t="s">
        <v>969</v>
      </c>
      <c r="D203" t="s">
        <v>282</v>
      </c>
      <c r="E203" t="s">
        <v>104</v>
      </c>
      <c r="F203" t="str">
        <f t="shared" si="24"/>
        <v>Indonesia:LAM</v>
      </c>
      <c r="G203" s="611">
        <f t="shared" si="33"/>
        <v>0.16599999999999998</v>
      </c>
      <c r="H203" s="610">
        <v>7.3999999999999996E-2</v>
      </c>
      <c r="I203" s="610">
        <v>9.1999999999999998E-2</v>
      </c>
      <c r="J203" s="23">
        <v>0</v>
      </c>
      <c r="K203" s="610">
        <v>0.10100000000000001</v>
      </c>
      <c r="L203" s="610">
        <v>0</v>
      </c>
      <c r="M203" s="610">
        <v>0</v>
      </c>
      <c r="N203" s="610">
        <v>0.73299999999999998</v>
      </c>
      <c r="O203" s="818">
        <v>0</v>
      </c>
      <c r="P203" s="818">
        <v>0</v>
      </c>
      <c r="Q203" s="23">
        <f t="shared" si="23"/>
        <v>1</v>
      </c>
      <c r="R203">
        <v>42</v>
      </c>
      <c r="S203" t="str">
        <f t="shared" si="35"/>
        <v/>
      </c>
    </row>
    <row r="204" spans="1:26" hidden="1" x14ac:dyDescent="0.25">
      <c r="A204" t="s">
        <v>1156</v>
      </c>
      <c r="B204" t="s">
        <v>37</v>
      </c>
      <c r="C204" t="s">
        <v>969</v>
      </c>
      <c r="D204" t="s">
        <v>282</v>
      </c>
      <c r="E204" t="s">
        <v>103</v>
      </c>
      <c r="F204" t="str">
        <f t="shared" si="24"/>
        <v>Indonesia:Male Condom</v>
      </c>
      <c r="G204" s="611">
        <f t="shared" si="33"/>
        <v>3.7999999999999999E-2</v>
      </c>
      <c r="H204" s="610">
        <v>2.3E-2</v>
      </c>
      <c r="I204" s="610">
        <v>1.4999999999999999E-2</v>
      </c>
      <c r="J204" s="23">
        <v>0</v>
      </c>
      <c r="K204" s="610">
        <v>2.5000000000000001E-2</v>
      </c>
      <c r="L204" s="610">
        <v>0.73299999999999998</v>
      </c>
      <c r="M204" s="610">
        <v>0.2</v>
      </c>
      <c r="N204" s="610">
        <v>4.0000000000000001E-3</v>
      </c>
      <c r="O204" s="818">
        <v>0</v>
      </c>
      <c r="P204" s="818">
        <v>0</v>
      </c>
      <c r="Q204" s="23">
        <f t="shared" si="23"/>
        <v>1</v>
      </c>
      <c r="R204">
        <v>799</v>
      </c>
      <c r="S204" t="str">
        <f t="shared" si="35"/>
        <v/>
      </c>
    </row>
    <row r="205" spans="1:26" hidden="1" x14ac:dyDescent="0.25">
      <c r="A205" t="s">
        <v>1156</v>
      </c>
      <c r="B205" t="s">
        <v>37</v>
      </c>
      <c r="C205" t="s">
        <v>969</v>
      </c>
      <c r="D205" t="s">
        <v>282</v>
      </c>
      <c r="E205" t="s">
        <v>129</v>
      </c>
      <c r="F205" t="str">
        <f t="shared" si="24"/>
        <v>Indonesia:Male Sterilization</v>
      </c>
      <c r="G205" s="611">
        <f t="shared" si="33"/>
        <v>0.80300000000000005</v>
      </c>
      <c r="H205" s="610">
        <v>0.80300000000000005</v>
      </c>
      <c r="I205" s="610">
        <v>0</v>
      </c>
      <c r="J205" s="23">
        <v>0</v>
      </c>
      <c r="K205" s="610">
        <v>0.13900000000000001</v>
      </c>
      <c r="L205" s="610">
        <v>0</v>
      </c>
      <c r="M205" s="610">
        <v>0</v>
      </c>
      <c r="N205" s="610">
        <v>5.8000000000000003E-2</v>
      </c>
      <c r="O205" s="818">
        <v>0</v>
      </c>
      <c r="P205" s="818">
        <v>0</v>
      </c>
      <c r="Q205" s="23">
        <f t="shared" si="23"/>
        <v>1</v>
      </c>
      <c r="R205">
        <v>49</v>
      </c>
      <c r="S205" t="str">
        <f t="shared" si="35"/>
        <v/>
      </c>
    </row>
    <row r="206" spans="1:26" hidden="1" x14ac:dyDescent="0.25">
      <c r="A206" t="s">
        <v>1156</v>
      </c>
      <c r="B206" t="s">
        <v>37</v>
      </c>
      <c r="C206" t="s">
        <v>969</v>
      </c>
      <c r="D206" t="s">
        <v>282</v>
      </c>
      <c r="E206" t="s">
        <v>110</v>
      </c>
      <c r="F206" t="str">
        <f t="shared" si="24"/>
        <v>Indonesia:OC Pills</v>
      </c>
      <c r="G206" s="611">
        <f t="shared" si="33"/>
        <v>0.19500000000000001</v>
      </c>
      <c r="H206" s="610">
        <v>0.14799999999999999</v>
      </c>
      <c r="I206" s="610">
        <v>4.7E-2</v>
      </c>
      <c r="J206" s="23">
        <v>0</v>
      </c>
      <c r="K206" s="610">
        <v>0.155</v>
      </c>
      <c r="L206" s="610">
        <v>0.52100000000000002</v>
      </c>
      <c r="M206" s="610">
        <v>0.125</v>
      </c>
      <c r="N206" s="610">
        <v>4.0000000000000001E-3</v>
      </c>
      <c r="O206" s="818">
        <v>0</v>
      </c>
      <c r="P206" s="818">
        <v>0</v>
      </c>
      <c r="Q206" s="23">
        <f t="shared" si="23"/>
        <v>1</v>
      </c>
      <c r="R206" s="2">
        <v>3974</v>
      </c>
      <c r="S206" t="str">
        <f t="shared" si="35"/>
        <v/>
      </c>
    </row>
    <row r="207" spans="1:26" hidden="1" x14ac:dyDescent="0.25">
      <c r="A207" t="s">
        <v>893</v>
      </c>
      <c r="B207" t="s">
        <v>39</v>
      </c>
      <c r="C207" t="s">
        <v>596</v>
      </c>
      <c r="D207" t="s">
        <v>282</v>
      </c>
      <c r="E207" t="s">
        <v>128</v>
      </c>
      <c r="F207" t="str">
        <f t="shared" si="24"/>
        <v>Kenya:Female Sterilization</v>
      </c>
      <c r="G207" s="611">
        <f t="shared" si="33"/>
        <v>0.78350515463917525</v>
      </c>
      <c r="H207" s="23">
        <v>0.77319587628865982</v>
      </c>
      <c r="I207" s="23">
        <v>1.0309278350515464E-2</v>
      </c>
      <c r="J207" s="23">
        <v>0.1134020618556701</v>
      </c>
      <c r="K207" s="23">
        <v>0.10309278350515465</v>
      </c>
      <c r="L207" s="23">
        <v>0</v>
      </c>
      <c r="M207" s="23">
        <v>0</v>
      </c>
      <c r="N207" s="23">
        <v>0</v>
      </c>
      <c r="O207" s="818">
        <v>0</v>
      </c>
      <c r="P207" s="818">
        <v>0.03</v>
      </c>
      <c r="Q207" s="23">
        <f t="shared" si="23"/>
        <v>1</v>
      </c>
      <c r="R207">
        <v>652</v>
      </c>
      <c r="S207" s="23">
        <f t="shared" ref="S207:S219" si="36">H207/SUM($H207:$O207)</f>
        <v>0.77319587628865982</v>
      </c>
      <c r="T207" s="23">
        <f t="shared" ref="T207:T219" si="37">I207/SUM($H207:$O207)</f>
        <v>1.0309278350515464E-2</v>
      </c>
      <c r="U207" s="23">
        <f t="shared" ref="U207:U219" si="38">J207/SUM($H207:$O207)</f>
        <v>0.1134020618556701</v>
      </c>
      <c r="V207" s="23">
        <f t="shared" ref="V207:V219" si="39">K207/SUM($H207:$O207)</f>
        <v>0.10309278350515465</v>
      </c>
      <c r="W207" s="23">
        <f t="shared" ref="W207:W219" si="40">L207/SUM($H207:$O207)</f>
        <v>0</v>
      </c>
      <c r="X207" s="23">
        <f t="shared" ref="X207:X219" si="41">M207/SUM($H207:$O207)</f>
        <v>0</v>
      </c>
      <c r="Y207" s="23">
        <f t="shared" ref="Y207:Y219" si="42">N207/SUM($H207:$O207)</f>
        <v>0</v>
      </c>
      <c r="Z207" s="23">
        <f t="shared" ref="Z207:Z219" si="43">O207/SUM($H207:$O207)</f>
        <v>0</v>
      </c>
    </row>
    <row r="208" spans="1:26" hidden="1" x14ac:dyDescent="0.25">
      <c r="A208" t="s">
        <v>893</v>
      </c>
      <c r="B208" t="s">
        <v>39</v>
      </c>
      <c r="C208" t="s">
        <v>596</v>
      </c>
      <c r="D208" t="s">
        <v>282</v>
      </c>
      <c r="E208" t="s">
        <v>3</v>
      </c>
      <c r="F208" t="str">
        <f t="shared" si="24"/>
        <v>Kenya:Implant</v>
      </c>
      <c r="G208" s="611">
        <f t="shared" si="33"/>
        <v>0.78</v>
      </c>
      <c r="H208" s="23">
        <v>0.78</v>
      </c>
      <c r="I208" s="23">
        <v>0</v>
      </c>
      <c r="J208" s="23">
        <v>0.02</v>
      </c>
      <c r="K208" s="23">
        <v>0.19</v>
      </c>
      <c r="L208" s="23">
        <v>0</v>
      </c>
      <c r="M208" s="23">
        <v>0</v>
      </c>
      <c r="N208" s="23">
        <v>0</v>
      </c>
      <c r="O208" s="818">
        <v>0</v>
      </c>
      <c r="P208" s="818">
        <v>0</v>
      </c>
      <c r="Q208" s="23">
        <f t="shared" si="23"/>
        <v>0.99</v>
      </c>
      <c r="R208" s="2">
        <v>1969</v>
      </c>
      <c r="S208" s="23">
        <f t="shared" si="36"/>
        <v>0.78787878787878796</v>
      </c>
      <c r="T208" s="23">
        <f t="shared" si="37"/>
        <v>0</v>
      </c>
      <c r="U208" s="23">
        <f t="shared" si="38"/>
        <v>2.0202020202020204E-2</v>
      </c>
      <c r="V208" s="23">
        <f t="shared" si="39"/>
        <v>0.19191919191919193</v>
      </c>
      <c r="W208" s="23">
        <f t="shared" si="40"/>
        <v>0</v>
      </c>
      <c r="X208" s="23">
        <f t="shared" si="41"/>
        <v>0</v>
      </c>
      <c r="Y208" s="23">
        <f t="shared" si="42"/>
        <v>0</v>
      </c>
      <c r="Z208" s="23">
        <f t="shared" si="43"/>
        <v>0</v>
      </c>
    </row>
    <row r="209" spans="1:26" hidden="1" x14ac:dyDescent="0.25">
      <c r="A209" t="s">
        <v>893</v>
      </c>
      <c r="B209" t="s">
        <v>39</v>
      </c>
      <c r="C209" t="s">
        <v>596</v>
      </c>
      <c r="D209" t="s">
        <v>282</v>
      </c>
      <c r="E209" t="s">
        <v>2</v>
      </c>
      <c r="F209" t="str">
        <f t="shared" si="24"/>
        <v>Kenya:Injectable</v>
      </c>
      <c r="G209" s="611">
        <f t="shared" si="33"/>
        <v>0.63</v>
      </c>
      <c r="H209" s="23">
        <v>0.63</v>
      </c>
      <c r="I209" s="23">
        <v>0</v>
      </c>
      <c r="J209" s="23">
        <v>0.02</v>
      </c>
      <c r="K209" s="23">
        <v>0.3</v>
      </c>
      <c r="L209" s="23">
        <v>0.05</v>
      </c>
      <c r="M209" s="23">
        <v>0</v>
      </c>
      <c r="N209" s="23">
        <v>0</v>
      </c>
      <c r="O209" s="818">
        <v>0</v>
      </c>
      <c r="P209" s="818">
        <v>0</v>
      </c>
      <c r="Q209" s="23">
        <f t="shared" si="23"/>
        <v>1</v>
      </c>
      <c r="R209" s="2">
        <v>5516</v>
      </c>
      <c r="S209" s="23">
        <f t="shared" si="36"/>
        <v>0.63</v>
      </c>
      <c r="T209" s="23">
        <f t="shared" si="37"/>
        <v>0</v>
      </c>
      <c r="U209" s="23">
        <f t="shared" si="38"/>
        <v>0.02</v>
      </c>
      <c r="V209" s="23">
        <f t="shared" si="39"/>
        <v>0.3</v>
      </c>
      <c r="W209" s="23">
        <f t="shared" si="40"/>
        <v>0.05</v>
      </c>
      <c r="X209" s="23">
        <f t="shared" si="41"/>
        <v>0</v>
      </c>
      <c r="Y209" s="23">
        <f t="shared" si="42"/>
        <v>0</v>
      </c>
      <c r="Z209" s="23">
        <f t="shared" si="43"/>
        <v>0</v>
      </c>
    </row>
    <row r="210" spans="1:26" hidden="1" x14ac:dyDescent="0.25">
      <c r="A210" t="s">
        <v>893</v>
      </c>
      <c r="B210" t="s">
        <v>39</v>
      </c>
      <c r="C210" t="s">
        <v>596</v>
      </c>
      <c r="D210" t="s">
        <v>282</v>
      </c>
      <c r="E210" t="s">
        <v>5</v>
      </c>
      <c r="F210" t="str">
        <f t="shared" si="24"/>
        <v>Kenya:IUD</v>
      </c>
      <c r="G210" s="611">
        <f t="shared" si="33"/>
        <v>0.65</v>
      </c>
      <c r="H210" s="23">
        <v>0.64</v>
      </c>
      <c r="I210" s="23">
        <v>0.01</v>
      </c>
      <c r="J210" s="23">
        <v>0.05</v>
      </c>
      <c r="K210" s="23">
        <v>0.3</v>
      </c>
      <c r="L210" s="23">
        <v>0</v>
      </c>
      <c r="M210" s="23">
        <v>0</v>
      </c>
      <c r="N210" s="23">
        <v>0</v>
      </c>
      <c r="O210" s="818">
        <v>0</v>
      </c>
      <c r="P210" s="818">
        <v>0</v>
      </c>
      <c r="Q210" s="23">
        <f t="shared" si="23"/>
        <v>1</v>
      </c>
      <c r="R210">
        <v>614</v>
      </c>
      <c r="S210" s="23">
        <f t="shared" si="36"/>
        <v>0.64</v>
      </c>
      <c r="T210" s="23">
        <f t="shared" si="37"/>
        <v>0.01</v>
      </c>
      <c r="U210" s="23">
        <f t="shared" si="38"/>
        <v>0.05</v>
      </c>
      <c r="V210" s="23">
        <f t="shared" si="39"/>
        <v>0.3</v>
      </c>
      <c r="W210" s="23">
        <f t="shared" si="40"/>
        <v>0</v>
      </c>
      <c r="X210" s="23">
        <f t="shared" si="41"/>
        <v>0</v>
      </c>
      <c r="Y210" s="23">
        <f t="shared" si="42"/>
        <v>0</v>
      </c>
      <c r="Z210" s="23">
        <f t="shared" si="43"/>
        <v>0</v>
      </c>
    </row>
    <row r="211" spans="1:26" hidden="1" x14ac:dyDescent="0.25">
      <c r="A211" t="s">
        <v>893</v>
      </c>
      <c r="B211" t="s">
        <v>39</v>
      </c>
      <c r="C211" t="s">
        <v>596</v>
      </c>
      <c r="D211" t="s">
        <v>282</v>
      </c>
      <c r="E211" t="s">
        <v>103</v>
      </c>
      <c r="F211" t="str">
        <f t="shared" si="24"/>
        <v>Kenya:Male Condom</v>
      </c>
      <c r="G211" s="611">
        <f t="shared" si="33"/>
        <v>0.26262626262626265</v>
      </c>
      <c r="H211" s="23">
        <v>0.24242424242424243</v>
      </c>
      <c r="I211" s="23">
        <v>2.0202020202020204E-2</v>
      </c>
      <c r="J211" s="23">
        <v>1.0101010101010102E-2</v>
      </c>
      <c r="K211" s="23">
        <v>2.0202020202020204E-2</v>
      </c>
      <c r="L211" s="23">
        <v>0.16161616161616163</v>
      </c>
      <c r="M211" s="23">
        <v>0.47474747474747475</v>
      </c>
      <c r="N211" s="23">
        <v>7.0707070707070718E-2</v>
      </c>
      <c r="O211" s="818">
        <v>0</v>
      </c>
      <c r="P211" s="818">
        <v>0.01</v>
      </c>
      <c r="Q211" s="23">
        <f t="shared" ref="Q211:Q274" si="44">IFERROR(SUM(H211:N211), "Sample Too Small")</f>
        <v>1</v>
      </c>
      <c r="R211">
        <v>786</v>
      </c>
      <c r="S211" s="23">
        <f t="shared" si="36"/>
        <v>0.24242424242424243</v>
      </c>
      <c r="T211" s="23">
        <f t="shared" si="37"/>
        <v>2.0202020202020204E-2</v>
      </c>
      <c r="U211" s="23">
        <f t="shared" si="38"/>
        <v>1.0101010101010102E-2</v>
      </c>
      <c r="V211" s="23">
        <f t="shared" si="39"/>
        <v>2.0202020202020204E-2</v>
      </c>
      <c r="W211" s="23">
        <f t="shared" si="40"/>
        <v>0.16161616161616163</v>
      </c>
      <c r="X211" s="23">
        <f t="shared" si="41"/>
        <v>0.47474747474747475</v>
      </c>
      <c r="Y211" s="23">
        <f t="shared" si="42"/>
        <v>7.0707070707070718E-2</v>
      </c>
      <c r="Z211" s="23">
        <f t="shared" si="43"/>
        <v>0</v>
      </c>
    </row>
    <row r="212" spans="1:26" hidden="1" x14ac:dyDescent="0.25">
      <c r="A212" t="s">
        <v>893</v>
      </c>
      <c r="B212" t="s">
        <v>39</v>
      </c>
      <c r="C212" t="s">
        <v>596</v>
      </c>
      <c r="D212" t="s">
        <v>282</v>
      </c>
      <c r="E212" t="s">
        <v>129</v>
      </c>
      <c r="F212" t="str">
        <f t="shared" si="24"/>
        <v>Kenya:Male Sterilization</v>
      </c>
      <c r="G212" s="611" t="e">
        <f t="shared" si="33"/>
        <v>#N/A</v>
      </c>
      <c r="H212" t="e">
        <f>NA()</f>
        <v>#N/A</v>
      </c>
      <c r="I212" t="e">
        <f>NA()</f>
        <v>#N/A</v>
      </c>
      <c r="J212" t="e">
        <f>NA()</f>
        <v>#N/A</v>
      </c>
      <c r="K212" t="e">
        <f>NA()</f>
        <v>#N/A</v>
      </c>
      <c r="L212" t="e">
        <f>NA()</f>
        <v>#N/A</v>
      </c>
      <c r="M212" t="e">
        <f>NA()</f>
        <v>#N/A</v>
      </c>
      <c r="N212" t="e">
        <f>NA()</f>
        <v>#N/A</v>
      </c>
      <c r="O212" s="818" t="e">
        <f>NA()</f>
        <v>#N/A</v>
      </c>
      <c r="P212" s="818" t="e">
        <f>NA()</f>
        <v>#N/A</v>
      </c>
      <c r="Q212" s="23" t="str">
        <f t="shared" si="44"/>
        <v>Sample Too Small</v>
      </c>
      <c r="R212" s="10">
        <v>3</v>
      </c>
      <c r="S212" s="23" t="e">
        <f t="shared" si="36"/>
        <v>#N/A</v>
      </c>
      <c r="T212" s="23" t="e">
        <f t="shared" si="37"/>
        <v>#N/A</v>
      </c>
      <c r="U212" s="23" t="e">
        <f t="shared" si="38"/>
        <v>#N/A</v>
      </c>
      <c r="V212" s="23" t="e">
        <f t="shared" si="39"/>
        <v>#N/A</v>
      </c>
      <c r="W212" s="23" t="e">
        <f t="shared" si="40"/>
        <v>#N/A</v>
      </c>
      <c r="X212" s="23" t="e">
        <f t="shared" si="41"/>
        <v>#N/A</v>
      </c>
      <c r="Y212" s="23" t="e">
        <f t="shared" si="42"/>
        <v>#N/A</v>
      </c>
      <c r="Z212" s="23" t="e">
        <f t="shared" si="43"/>
        <v>#N/A</v>
      </c>
    </row>
    <row r="213" spans="1:26" hidden="1" x14ac:dyDescent="0.25">
      <c r="A213" s="119" t="s">
        <v>893</v>
      </c>
      <c r="B213" t="s">
        <v>39</v>
      </c>
      <c r="C213" t="s">
        <v>596</v>
      </c>
      <c r="D213" t="s">
        <v>282</v>
      </c>
      <c r="E213" t="s">
        <v>110</v>
      </c>
      <c r="F213" t="str">
        <f t="shared" si="24"/>
        <v>Kenya:OC Pills</v>
      </c>
      <c r="G213" s="611">
        <f t="shared" ref="G213:G254" si="45">SUM(H213:I213)</f>
        <v>0.41000000000000003</v>
      </c>
      <c r="H213" s="502">
        <v>0.4</v>
      </c>
      <c r="I213" s="502">
        <v>0.01</v>
      </c>
      <c r="J213" s="502">
        <v>0.01</v>
      </c>
      <c r="K213" s="502">
        <v>0.11</v>
      </c>
      <c r="L213" s="502">
        <v>0.45</v>
      </c>
      <c r="M213" s="502">
        <v>0.02</v>
      </c>
      <c r="N213" s="502">
        <v>0</v>
      </c>
      <c r="O213" s="818">
        <v>0</v>
      </c>
      <c r="P213" s="818">
        <v>0</v>
      </c>
      <c r="Q213" s="23">
        <f t="shared" si="44"/>
        <v>1</v>
      </c>
      <c r="R213" s="501">
        <v>1439</v>
      </c>
      <c r="S213" s="23">
        <f t="shared" si="36"/>
        <v>0.4</v>
      </c>
      <c r="T213" s="23">
        <f t="shared" si="37"/>
        <v>0.01</v>
      </c>
      <c r="U213" s="23">
        <f t="shared" si="38"/>
        <v>0.01</v>
      </c>
      <c r="V213" s="23">
        <f t="shared" si="39"/>
        <v>0.11</v>
      </c>
      <c r="W213" s="23">
        <f t="shared" si="40"/>
        <v>0.45</v>
      </c>
      <c r="X213" s="23">
        <f t="shared" si="41"/>
        <v>0.02</v>
      </c>
      <c r="Y213" s="23">
        <f t="shared" si="42"/>
        <v>0</v>
      </c>
      <c r="Z213" s="23">
        <f t="shared" si="43"/>
        <v>0</v>
      </c>
    </row>
    <row r="214" spans="1:26" hidden="1" x14ac:dyDescent="0.25">
      <c r="A214" t="s">
        <v>893</v>
      </c>
      <c r="B214" t="s">
        <v>39</v>
      </c>
      <c r="C214" t="s">
        <v>596</v>
      </c>
      <c r="D214" t="s">
        <v>282</v>
      </c>
      <c r="E214" t="s">
        <v>130</v>
      </c>
      <c r="F214" t="str">
        <f t="shared" si="24"/>
        <v>Kenya:Other Modern Methods</v>
      </c>
      <c r="G214" s="611" t="e">
        <f t="shared" si="45"/>
        <v>#N/A</v>
      </c>
      <c r="H214" t="e">
        <f>NA()</f>
        <v>#N/A</v>
      </c>
      <c r="I214" t="e">
        <f>NA()</f>
        <v>#N/A</v>
      </c>
      <c r="J214" t="e">
        <f>NA()</f>
        <v>#N/A</v>
      </c>
      <c r="K214" t="e">
        <f>NA()</f>
        <v>#N/A</v>
      </c>
      <c r="L214" t="e">
        <f>NA()</f>
        <v>#N/A</v>
      </c>
      <c r="M214" t="e">
        <f>NA()</f>
        <v>#N/A</v>
      </c>
      <c r="N214" t="e">
        <f>NA()</f>
        <v>#N/A</v>
      </c>
      <c r="O214" s="818" t="e">
        <f>NA()</f>
        <v>#N/A</v>
      </c>
      <c r="P214" s="818" t="e">
        <f>NA()</f>
        <v>#N/A</v>
      </c>
      <c r="Q214" s="23" t="str">
        <f t="shared" si="44"/>
        <v>Sample Too Small</v>
      </c>
      <c r="R214">
        <v>26</v>
      </c>
      <c r="S214" s="23" t="e">
        <f t="shared" si="36"/>
        <v>#N/A</v>
      </c>
      <c r="T214" s="23" t="e">
        <f t="shared" si="37"/>
        <v>#N/A</v>
      </c>
      <c r="U214" s="23" t="e">
        <f t="shared" si="38"/>
        <v>#N/A</v>
      </c>
      <c r="V214" s="23" t="e">
        <f t="shared" si="39"/>
        <v>#N/A</v>
      </c>
      <c r="W214" s="23" t="e">
        <f t="shared" si="40"/>
        <v>#N/A</v>
      </c>
      <c r="X214" s="23" t="e">
        <f t="shared" si="41"/>
        <v>#N/A</v>
      </c>
      <c r="Y214" s="23" t="e">
        <f t="shared" si="42"/>
        <v>#N/A</v>
      </c>
      <c r="Z214" s="23" t="e">
        <f t="shared" si="43"/>
        <v>#N/A</v>
      </c>
    </row>
    <row r="215" spans="1:26" hidden="1" x14ac:dyDescent="0.25">
      <c r="A215" t="s">
        <v>894</v>
      </c>
      <c r="B215" t="s">
        <v>2018</v>
      </c>
      <c r="C215" t="s">
        <v>604</v>
      </c>
      <c r="D215" t="s">
        <v>282</v>
      </c>
      <c r="E215" t="s">
        <v>128</v>
      </c>
      <c r="F215" t="str">
        <f t="shared" ref="F215:F278" si="46">B215&amp;":"&amp;E215</f>
        <v>Kyrgyz Rep.:Female Sterilization</v>
      </c>
      <c r="G215" s="611">
        <f t="shared" si="45"/>
        <v>0.978494623655914</v>
      </c>
      <c r="H215" s="23">
        <v>0.978494623655914</v>
      </c>
      <c r="I215" s="23">
        <v>0</v>
      </c>
      <c r="J215" s="23">
        <v>0</v>
      </c>
      <c r="K215" s="23">
        <v>2.150537634408602E-2</v>
      </c>
      <c r="L215" s="23">
        <v>0</v>
      </c>
      <c r="M215" s="23">
        <v>0</v>
      </c>
      <c r="N215" s="23">
        <v>0</v>
      </c>
      <c r="O215" s="818">
        <v>0</v>
      </c>
      <c r="P215" s="818">
        <v>0.08</v>
      </c>
      <c r="Q215" s="23">
        <f t="shared" si="44"/>
        <v>1</v>
      </c>
      <c r="R215">
        <v>103</v>
      </c>
      <c r="S215" s="23">
        <f t="shared" si="36"/>
        <v>0.978494623655914</v>
      </c>
      <c r="T215" s="23">
        <f t="shared" si="37"/>
        <v>0</v>
      </c>
      <c r="U215" s="23">
        <f t="shared" si="38"/>
        <v>0</v>
      </c>
      <c r="V215" s="23">
        <f t="shared" si="39"/>
        <v>2.150537634408602E-2</v>
      </c>
      <c r="W215" s="23">
        <f t="shared" si="40"/>
        <v>0</v>
      </c>
      <c r="X215" s="23">
        <f t="shared" si="41"/>
        <v>0</v>
      </c>
      <c r="Y215" s="23">
        <f t="shared" si="42"/>
        <v>0</v>
      </c>
      <c r="Z215" s="23">
        <f t="shared" si="43"/>
        <v>0</v>
      </c>
    </row>
    <row r="216" spans="1:26" hidden="1" x14ac:dyDescent="0.25">
      <c r="A216" t="s">
        <v>894</v>
      </c>
      <c r="B216" t="s">
        <v>2018</v>
      </c>
      <c r="C216" t="s">
        <v>604</v>
      </c>
      <c r="D216" t="s">
        <v>282</v>
      </c>
      <c r="E216" t="s">
        <v>3</v>
      </c>
      <c r="F216" t="str">
        <f t="shared" si="46"/>
        <v>Kyrgyz Rep.:Implant</v>
      </c>
      <c r="G216" s="611" t="e">
        <f t="shared" si="45"/>
        <v>#N/A</v>
      </c>
      <c r="H216" t="e">
        <f>NA()</f>
        <v>#N/A</v>
      </c>
      <c r="I216" t="e">
        <f>NA()</f>
        <v>#N/A</v>
      </c>
      <c r="J216" t="e">
        <f>NA()</f>
        <v>#N/A</v>
      </c>
      <c r="K216" t="e">
        <f>NA()</f>
        <v>#N/A</v>
      </c>
      <c r="L216" t="e">
        <f>NA()</f>
        <v>#N/A</v>
      </c>
      <c r="M216" t="e">
        <f>NA()</f>
        <v>#N/A</v>
      </c>
      <c r="N216" t="e">
        <f>NA()</f>
        <v>#N/A</v>
      </c>
      <c r="O216" s="818" t="e">
        <f>NA()</f>
        <v>#N/A</v>
      </c>
      <c r="P216" s="818" t="e">
        <f>NA()</f>
        <v>#N/A</v>
      </c>
      <c r="Q216" s="23" t="str">
        <f t="shared" si="44"/>
        <v>Sample Too Small</v>
      </c>
      <c r="R216" s="10">
        <v>0</v>
      </c>
      <c r="S216" s="23" t="e">
        <f t="shared" si="36"/>
        <v>#N/A</v>
      </c>
      <c r="T216" s="23" t="e">
        <f t="shared" si="37"/>
        <v>#N/A</v>
      </c>
      <c r="U216" s="23" t="e">
        <f t="shared" si="38"/>
        <v>#N/A</v>
      </c>
      <c r="V216" s="23" t="e">
        <f t="shared" si="39"/>
        <v>#N/A</v>
      </c>
      <c r="W216" s="23" t="e">
        <f t="shared" si="40"/>
        <v>#N/A</v>
      </c>
      <c r="X216" s="23" t="e">
        <f t="shared" si="41"/>
        <v>#N/A</v>
      </c>
      <c r="Y216" s="23" t="e">
        <f t="shared" si="42"/>
        <v>#N/A</v>
      </c>
      <c r="Z216" s="23" t="e">
        <f t="shared" si="43"/>
        <v>#N/A</v>
      </c>
    </row>
    <row r="217" spans="1:26" hidden="1" x14ac:dyDescent="0.25">
      <c r="A217" t="s">
        <v>894</v>
      </c>
      <c r="B217" t="s">
        <v>2018</v>
      </c>
      <c r="C217" t="s">
        <v>604</v>
      </c>
      <c r="D217" t="s">
        <v>282</v>
      </c>
      <c r="E217" t="s">
        <v>2</v>
      </c>
      <c r="F217" t="str">
        <f t="shared" si="46"/>
        <v>Kyrgyz Rep.:Injectable</v>
      </c>
      <c r="G217" s="611" t="e">
        <f t="shared" si="45"/>
        <v>#N/A</v>
      </c>
      <c r="H217" t="e">
        <f>NA()</f>
        <v>#N/A</v>
      </c>
      <c r="I217" t="e">
        <f>NA()</f>
        <v>#N/A</v>
      </c>
      <c r="J217" t="e">
        <f>NA()</f>
        <v>#N/A</v>
      </c>
      <c r="K217" t="e">
        <f>NA()</f>
        <v>#N/A</v>
      </c>
      <c r="L217" t="e">
        <f>NA()</f>
        <v>#N/A</v>
      </c>
      <c r="M217" t="e">
        <f>NA()</f>
        <v>#N/A</v>
      </c>
      <c r="N217" t="e">
        <f>NA()</f>
        <v>#N/A</v>
      </c>
      <c r="O217" s="818" t="e">
        <f>NA()</f>
        <v>#N/A</v>
      </c>
      <c r="P217" s="818" t="e">
        <f>NA()</f>
        <v>#N/A</v>
      </c>
      <c r="Q217" s="23" t="str">
        <f t="shared" si="44"/>
        <v>Sample Too Small</v>
      </c>
      <c r="R217" s="10">
        <v>23</v>
      </c>
      <c r="S217" s="23" t="e">
        <f t="shared" si="36"/>
        <v>#N/A</v>
      </c>
      <c r="T217" s="23" t="e">
        <f t="shared" si="37"/>
        <v>#N/A</v>
      </c>
      <c r="U217" s="23" t="e">
        <f t="shared" si="38"/>
        <v>#N/A</v>
      </c>
      <c r="V217" s="23" t="e">
        <f t="shared" si="39"/>
        <v>#N/A</v>
      </c>
      <c r="W217" s="23" t="e">
        <f t="shared" si="40"/>
        <v>#N/A</v>
      </c>
      <c r="X217" s="23" t="e">
        <f t="shared" si="41"/>
        <v>#N/A</v>
      </c>
      <c r="Y217" s="23" t="e">
        <f t="shared" si="42"/>
        <v>#N/A</v>
      </c>
      <c r="Z217" s="23" t="e">
        <f t="shared" si="43"/>
        <v>#N/A</v>
      </c>
    </row>
    <row r="218" spans="1:26" hidden="1" x14ac:dyDescent="0.25">
      <c r="A218" t="s">
        <v>894</v>
      </c>
      <c r="B218" t="s">
        <v>2018</v>
      </c>
      <c r="C218" t="s">
        <v>604</v>
      </c>
      <c r="D218" t="s">
        <v>282</v>
      </c>
      <c r="E218" t="s">
        <v>5</v>
      </c>
      <c r="F218" t="str">
        <f t="shared" si="46"/>
        <v>Kyrgyz Rep.:IUD</v>
      </c>
      <c r="G218" s="611">
        <f t="shared" si="45"/>
        <v>0.92</v>
      </c>
      <c r="H218" s="23">
        <v>0.92</v>
      </c>
      <c r="I218" s="23">
        <v>0</v>
      </c>
      <c r="J218" s="23">
        <v>0</v>
      </c>
      <c r="K218" s="23">
        <v>0.05</v>
      </c>
      <c r="L218" s="23">
        <v>0.03</v>
      </c>
      <c r="M218" s="23">
        <v>0</v>
      </c>
      <c r="N218" s="23">
        <v>0</v>
      </c>
      <c r="O218" s="818">
        <v>0</v>
      </c>
      <c r="P218" s="818">
        <v>0</v>
      </c>
      <c r="Q218" s="23">
        <f t="shared" si="44"/>
        <v>1</v>
      </c>
      <c r="R218" s="2">
        <v>1383</v>
      </c>
      <c r="S218" s="23">
        <f t="shared" si="36"/>
        <v>0.92</v>
      </c>
      <c r="T218" s="23">
        <f t="shared" si="37"/>
        <v>0</v>
      </c>
      <c r="U218" s="23">
        <f t="shared" si="38"/>
        <v>0</v>
      </c>
      <c r="V218" s="23">
        <f t="shared" si="39"/>
        <v>0.05</v>
      </c>
      <c r="W218" s="23">
        <f t="shared" si="40"/>
        <v>0.03</v>
      </c>
      <c r="X218" s="23">
        <f t="shared" si="41"/>
        <v>0</v>
      </c>
      <c r="Y218" s="23">
        <f t="shared" si="42"/>
        <v>0</v>
      </c>
      <c r="Z218" s="23">
        <f t="shared" si="43"/>
        <v>0</v>
      </c>
    </row>
    <row r="219" spans="1:26" hidden="1" x14ac:dyDescent="0.25">
      <c r="A219" t="s">
        <v>894</v>
      </c>
      <c r="B219" t="s">
        <v>2018</v>
      </c>
      <c r="C219" t="s">
        <v>604</v>
      </c>
      <c r="D219" t="s">
        <v>282</v>
      </c>
      <c r="E219" t="s">
        <v>103</v>
      </c>
      <c r="F219" t="str">
        <f t="shared" si="46"/>
        <v>Kyrgyz Rep.:Male Condom</v>
      </c>
      <c r="G219" s="611">
        <f t="shared" si="45"/>
        <v>0.12121212121212122</v>
      </c>
      <c r="H219" s="23">
        <v>0.12121212121212122</v>
      </c>
      <c r="I219" s="23">
        <v>0</v>
      </c>
      <c r="J219" s="23">
        <v>0</v>
      </c>
      <c r="K219" s="23">
        <v>0</v>
      </c>
      <c r="L219" s="23">
        <v>0.81818181818181823</v>
      </c>
      <c r="M219" s="23">
        <v>6.0606060606060608E-2</v>
      </c>
      <c r="N219" s="23">
        <v>0</v>
      </c>
      <c r="O219" s="818">
        <v>0</v>
      </c>
      <c r="P219" s="818">
        <v>0.01</v>
      </c>
      <c r="Q219" s="23">
        <f t="shared" si="44"/>
        <v>1</v>
      </c>
      <c r="R219">
        <v>414</v>
      </c>
      <c r="S219" s="23">
        <f t="shared" si="36"/>
        <v>0.12121212121212122</v>
      </c>
      <c r="T219" s="23">
        <f t="shared" si="37"/>
        <v>0</v>
      </c>
      <c r="U219" s="23">
        <f t="shared" si="38"/>
        <v>0</v>
      </c>
      <c r="V219" s="23">
        <f t="shared" si="39"/>
        <v>0</v>
      </c>
      <c r="W219" s="23">
        <f t="shared" si="40"/>
        <v>0.81818181818181823</v>
      </c>
      <c r="X219" s="23">
        <f t="shared" si="41"/>
        <v>6.0606060606060608E-2</v>
      </c>
      <c r="Y219" s="23">
        <f t="shared" si="42"/>
        <v>0</v>
      </c>
      <c r="Z219" s="23">
        <f t="shared" si="43"/>
        <v>0</v>
      </c>
    </row>
    <row r="220" spans="1:26" hidden="1" x14ac:dyDescent="0.25">
      <c r="A220" t="s">
        <v>894</v>
      </c>
      <c r="B220" t="s">
        <v>2018</v>
      </c>
      <c r="C220" t="s">
        <v>604</v>
      </c>
      <c r="D220" t="s">
        <v>282</v>
      </c>
      <c r="E220" t="s">
        <v>129</v>
      </c>
      <c r="F220" t="str">
        <f t="shared" si="46"/>
        <v>Kyrgyz Rep.:Male Sterilization</v>
      </c>
      <c r="G220" s="611" t="e">
        <f t="shared" si="45"/>
        <v>#N/A</v>
      </c>
      <c r="H220" t="e">
        <f>NA()</f>
        <v>#N/A</v>
      </c>
      <c r="I220" t="e">
        <f>NA()</f>
        <v>#N/A</v>
      </c>
      <c r="J220" t="e">
        <f>NA()</f>
        <v>#N/A</v>
      </c>
      <c r="K220" t="e">
        <f>NA()</f>
        <v>#N/A</v>
      </c>
      <c r="L220" t="e">
        <f>NA()</f>
        <v>#N/A</v>
      </c>
      <c r="M220" t="e">
        <f>NA()</f>
        <v>#N/A</v>
      </c>
      <c r="N220" t="e">
        <f>NA()</f>
        <v>#N/A</v>
      </c>
      <c r="O220" s="818" t="e">
        <f>NA()</f>
        <v>#N/A</v>
      </c>
      <c r="P220" s="818" t="e">
        <f>NA()</f>
        <v>#N/A</v>
      </c>
      <c r="Q220" s="23" t="str">
        <f t="shared" si="44"/>
        <v>Sample Too Small</v>
      </c>
      <c r="R220" s="10">
        <v>0</v>
      </c>
    </row>
    <row r="221" spans="1:26" hidden="1" x14ac:dyDescent="0.25">
      <c r="A221" s="119" t="s">
        <v>894</v>
      </c>
      <c r="B221" t="s">
        <v>2018</v>
      </c>
      <c r="C221" t="s">
        <v>604</v>
      </c>
      <c r="D221" t="s">
        <v>282</v>
      </c>
      <c r="E221" t="s">
        <v>110</v>
      </c>
      <c r="F221" t="str">
        <f t="shared" si="46"/>
        <v>Kyrgyz Rep.:OC Pills</v>
      </c>
      <c r="G221" s="611">
        <f t="shared" si="45"/>
        <v>0.41</v>
      </c>
      <c r="H221" s="502">
        <v>0.41</v>
      </c>
      <c r="I221" s="502">
        <v>0</v>
      </c>
      <c r="J221" s="502">
        <v>0</v>
      </c>
      <c r="K221" s="502">
        <v>0.03</v>
      </c>
      <c r="L221" s="502">
        <v>0.53</v>
      </c>
      <c r="M221" s="502">
        <v>0.02</v>
      </c>
      <c r="N221" s="502">
        <v>0</v>
      </c>
      <c r="O221" s="818">
        <v>0</v>
      </c>
      <c r="P221" s="818">
        <v>0</v>
      </c>
      <c r="Q221" s="23">
        <f t="shared" si="44"/>
        <v>0.99</v>
      </c>
      <c r="R221" s="119">
        <v>108</v>
      </c>
    </row>
    <row r="222" spans="1:26" hidden="1" x14ac:dyDescent="0.25">
      <c r="A222" t="s">
        <v>894</v>
      </c>
      <c r="B222" t="s">
        <v>2018</v>
      </c>
      <c r="C222" t="s">
        <v>604</v>
      </c>
      <c r="D222" t="s">
        <v>282</v>
      </c>
      <c r="E222" t="s">
        <v>130</v>
      </c>
      <c r="F222" t="str">
        <f t="shared" si="46"/>
        <v>Kyrgyz Rep.:Other Modern Methods</v>
      </c>
      <c r="G222" s="611" t="e">
        <f t="shared" si="45"/>
        <v>#N/A</v>
      </c>
      <c r="H222" t="e">
        <f>NA()</f>
        <v>#N/A</v>
      </c>
      <c r="I222" t="e">
        <f>NA()</f>
        <v>#N/A</v>
      </c>
      <c r="J222" t="e">
        <f>NA()</f>
        <v>#N/A</v>
      </c>
      <c r="K222" t="e">
        <f>NA()</f>
        <v>#N/A</v>
      </c>
      <c r="L222" t="e">
        <f>NA()</f>
        <v>#N/A</v>
      </c>
      <c r="M222" t="e">
        <f>NA()</f>
        <v>#N/A</v>
      </c>
      <c r="N222" t="e">
        <f>NA()</f>
        <v>#N/A</v>
      </c>
      <c r="O222" s="818" t="e">
        <f>NA()</f>
        <v>#N/A</v>
      </c>
      <c r="P222" s="818" t="e">
        <f>NA()</f>
        <v>#N/A</v>
      </c>
      <c r="Q222" s="23" t="str">
        <f t="shared" si="44"/>
        <v>Sample Too Small</v>
      </c>
      <c r="R222" s="10">
        <v>3</v>
      </c>
    </row>
    <row r="223" spans="1:26" hidden="1" x14ac:dyDescent="0.25">
      <c r="A223" t="s">
        <v>895</v>
      </c>
      <c r="B223" t="s">
        <v>42</v>
      </c>
      <c r="C223" t="s">
        <v>596</v>
      </c>
      <c r="D223" t="s">
        <v>282</v>
      </c>
      <c r="E223" t="s">
        <v>128</v>
      </c>
      <c r="F223" t="str">
        <f t="shared" si="46"/>
        <v>Lesotho:Female Sterilization</v>
      </c>
      <c r="G223" s="611">
        <f t="shared" si="45"/>
        <v>0.5</v>
      </c>
      <c r="H223" s="23">
        <v>0.5</v>
      </c>
      <c r="I223" s="23">
        <v>0</v>
      </c>
      <c r="J223" s="23">
        <v>0.41</v>
      </c>
      <c r="K223" s="23">
        <v>0.03</v>
      </c>
      <c r="L223" s="23">
        <v>0</v>
      </c>
      <c r="M223" s="23">
        <v>0</v>
      </c>
      <c r="N223" s="23">
        <v>0.06</v>
      </c>
      <c r="O223" s="818">
        <v>0</v>
      </c>
      <c r="P223" s="818">
        <v>0</v>
      </c>
      <c r="Q223" s="23">
        <f t="shared" si="44"/>
        <v>1</v>
      </c>
      <c r="R223">
        <v>72</v>
      </c>
    </row>
    <row r="224" spans="1:26" hidden="1" x14ac:dyDescent="0.25">
      <c r="A224" t="s">
        <v>895</v>
      </c>
      <c r="B224" t="s">
        <v>42</v>
      </c>
      <c r="C224" t="s">
        <v>596</v>
      </c>
      <c r="D224" t="s">
        <v>282</v>
      </c>
      <c r="E224" t="s">
        <v>3</v>
      </c>
      <c r="F224" t="str">
        <f t="shared" si="46"/>
        <v>Lesotho:Implant</v>
      </c>
      <c r="G224" s="611">
        <f t="shared" si="45"/>
        <v>0.72</v>
      </c>
      <c r="H224" s="23">
        <v>0.72</v>
      </c>
      <c r="I224" s="23">
        <v>0</v>
      </c>
      <c r="J224" s="23">
        <v>0.06</v>
      </c>
      <c r="K224" s="23">
        <v>0.19</v>
      </c>
      <c r="L224" s="23">
        <v>0</v>
      </c>
      <c r="M224" s="23">
        <v>0</v>
      </c>
      <c r="N224" s="23">
        <v>0.03</v>
      </c>
      <c r="O224" s="818">
        <v>0</v>
      </c>
      <c r="P224" s="818">
        <v>0</v>
      </c>
      <c r="Q224" s="23">
        <f t="shared" si="44"/>
        <v>1</v>
      </c>
      <c r="R224">
        <v>77</v>
      </c>
    </row>
    <row r="225" spans="1:18" hidden="1" x14ac:dyDescent="0.25">
      <c r="A225" t="s">
        <v>895</v>
      </c>
      <c r="B225" t="s">
        <v>42</v>
      </c>
      <c r="C225" t="s">
        <v>596</v>
      </c>
      <c r="D225" t="s">
        <v>282</v>
      </c>
      <c r="E225" t="s">
        <v>2</v>
      </c>
      <c r="F225" t="str">
        <f t="shared" si="46"/>
        <v>Lesotho:Injectable</v>
      </c>
      <c r="G225" s="611">
        <f t="shared" si="45"/>
        <v>0.7</v>
      </c>
      <c r="H225" s="23">
        <v>0.7</v>
      </c>
      <c r="I225" s="23">
        <v>0</v>
      </c>
      <c r="J225" s="23">
        <v>0.1</v>
      </c>
      <c r="K225" s="23">
        <v>0.15</v>
      </c>
      <c r="L225" s="23">
        <v>0.01</v>
      </c>
      <c r="M225" s="23">
        <v>0</v>
      </c>
      <c r="N225" s="23">
        <v>0.04</v>
      </c>
      <c r="O225" s="818">
        <v>0</v>
      </c>
      <c r="P225" s="818">
        <v>0</v>
      </c>
      <c r="Q225" s="23">
        <f t="shared" si="44"/>
        <v>1</v>
      </c>
      <c r="R225" s="2">
        <v>1160</v>
      </c>
    </row>
    <row r="226" spans="1:18" hidden="1" x14ac:dyDescent="0.25">
      <c r="A226" t="s">
        <v>895</v>
      </c>
      <c r="B226" t="s">
        <v>42</v>
      </c>
      <c r="C226" t="s">
        <v>596</v>
      </c>
      <c r="D226" t="s">
        <v>282</v>
      </c>
      <c r="E226" t="s">
        <v>5</v>
      </c>
      <c r="F226" t="str">
        <f t="shared" si="46"/>
        <v>Lesotho:IUD</v>
      </c>
      <c r="G226" s="611">
        <f t="shared" si="45"/>
        <v>0.38</v>
      </c>
      <c r="H226" s="23">
        <v>0.38</v>
      </c>
      <c r="I226" s="23">
        <v>0</v>
      </c>
      <c r="J226" s="23">
        <v>0.05</v>
      </c>
      <c r="K226" s="23">
        <v>0.53</v>
      </c>
      <c r="L226" s="23">
        <v>0</v>
      </c>
      <c r="M226" s="23">
        <v>0</v>
      </c>
      <c r="N226" s="23">
        <v>0.04</v>
      </c>
      <c r="O226" s="818">
        <v>0</v>
      </c>
      <c r="P226" s="818">
        <v>0</v>
      </c>
      <c r="Q226" s="23">
        <f t="shared" si="44"/>
        <v>1</v>
      </c>
      <c r="R226">
        <v>60</v>
      </c>
    </row>
    <row r="227" spans="1:18" hidden="1" x14ac:dyDescent="0.25">
      <c r="A227" t="s">
        <v>895</v>
      </c>
      <c r="B227" t="s">
        <v>42</v>
      </c>
      <c r="C227" t="s">
        <v>596</v>
      </c>
      <c r="D227" t="s">
        <v>282</v>
      </c>
      <c r="E227" t="s">
        <v>103</v>
      </c>
      <c r="F227" t="str">
        <f t="shared" si="46"/>
        <v>Lesotho:Male Condom</v>
      </c>
      <c r="G227" s="611">
        <f t="shared" si="45"/>
        <v>0.41</v>
      </c>
      <c r="H227" s="23">
        <v>0.41</v>
      </c>
      <c r="I227" s="23">
        <v>0</v>
      </c>
      <c r="J227" s="23">
        <v>0.03</v>
      </c>
      <c r="K227" s="23">
        <v>0.05</v>
      </c>
      <c r="L227" s="23">
        <v>0.03</v>
      </c>
      <c r="M227" s="23">
        <v>0.42</v>
      </c>
      <c r="N227" s="23">
        <v>0.05</v>
      </c>
      <c r="O227" s="818">
        <v>0</v>
      </c>
      <c r="P227" s="818">
        <v>0</v>
      </c>
      <c r="Q227" s="23">
        <f t="shared" si="44"/>
        <v>0.99</v>
      </c>
      <c r="R227" s="2">
        <v>1199</v>
      </c>
    </row>
    <row r="228" spans="1:18" hidden="1" x14ac:dyDescent="0.25">
      <c r="A228" t="s">
        <v>895</v>
      </c>
      <c r="B228" t="s">
        <v>42</v>
      </c>
      <c r="C228" t="s">
        <v>596</v>
      </c>
      <c r="D228" t="s">
        <v>282</v>
      </c>
      <c r="E228" t="s">
        <v>129</v>
      </c>
      <c r="F228" t="str">
        <f t="shared" si="46"/>
        <v>Lesotho:Male Sterilization</v>
      </c>
      <c r="G228" s="611" t="e">
        <f t="shared" si="45"/>
        <v>#N/A</v>
      </c>
      <c r="H228" t="e">
        <f>NA()</f>
        <v>#N/A</v>
      </c>
      <c r="I228" t="e">
        <f>NA()</f>
        <v>#N/A</v>
      </c>
      <c r="J228" t="e">
        <f>NA()</f>
        <v>#N/A</v>
      </c>
      <c r="K228" t="e">
        <f>NA()</f>
        <v>#N/A</v>
      </c>
      <c r="L228" t="e">
        <f>NA()</f>
        <v>#N/A</v>
      </c>
      <c r="M228" t="e">
        <f>NA()</f>
        <v>#N/A</v>
      </c>
      <c r="N228" t="e">
        <f>NA()</f>
        <v>#N/A</v>
      </c>
      <c r="O228" s="818" t="e">
        <f>NA()</f>
        <v>#N/A</v>
      </c>
      <c r="P228" s="818" t="e">
        <f>NA()</f>
        <v>#N/A</v>
      </c>
      <c r="Q228" s="23" t="str">
        <f t="shared" si="44"/>
        <v>Sample Too Small</v>
      </c>
      <c r="R228" s="10">
        <v>1</v>
      </c>
    </row>
    <row r="229" spans="1:18" hidden="1" x14ac:dyDescent="0.25">
      <c r="A229" s="119" t="s">
        <v>895</v>
      </c>
      <c r="B229" t="s">
        <v>42</v>
      </c>
      <c r="C229" t="s">
        <v>596</v>
      </c>
      <c r="D229" t="s">
        <v>282</v>
      </c>
      <c r="E229" t="s">
        <v>110</v>
      </c>
      <c r="F229" t="str">
        <f t="shared" si="46"/>
        <v>Lesotho:OC Pills</v>
      </c>
      <c r="G229" s="611">
        <f t="shared" si="45"/>
        <v>0.57999999999999996</v>
      </c>
      <c r="H229" s="502">
        <v>0.57999999999999996</v>
      </c>
      <c r="I229" s="502">
        <v>0</v>
      </c>
      <c r="J229" s="502">
        <v>0.04</v>
      </c>
      <c r="K229" s="502">
        <v>0.2</v>
      </c>
      <c r="L229" s="502">
        <v>0.15</v>
      </c>
      <c r="M229" s="502">
        <v>0.02</v>
      </c>
      <c r="N229" s="502">
        <v>0.01</v>
      </c>
      <c r="O229" s="818">
        <v>0</v>
      </c>
      <c r="P229" s="818">
        <v>0</v>
      </c>
      <c r="Q229" s="23">
        <f t="shared" si="44"/>
        <v>1</v>
      </c>
      <c r="R229" s="119">
        <v>612</v>
      </c>
    </row>
    <row r="230" spans="1:18" hidden="1" x14ac:dyDescent="0.25">
      <c r="A230" t="s">
        <v>895</v>
      </c>
      <c r="B230" t="s">
        <v>42</v>
      </c>
      <c r="C230" t="s">
        <v>596</v>
      </c>
      <c r="D230" t="s">
        <v>282</v>
      </c>
      <c r="E230" t="s">
        <v>130</v>
      </c>
      <c r="F230" t="str">
        <f t="shared" si="46"/>
        <v>Lesotho:Other Modern Methods</v>
      </c>
      <c r="G230" s="611" t="e">
        <f t="shared" si="45"/>
        <v>#N/A</v>
      </c>
      <c r="H230" t="e">
        <f>NA()</f>
        <v>#N/A</v>
      </c>
      <c r="I230" t="e">
        <f>NA()</f>
        <v>#N/A</v>
      </c>
      <c r="J230" t="e">
        <f>NA()</f>
        <v>#N/A</v>
      </c>
      <c r="K230" t="e">
        <f>NA()</f>
        <v>#N/A</v>
      </c>
      <c r="L230" t="e">
        <f>NA()</f>
        <v>#N/A</v>
      </c>
      <c r="M230" t="e">
        <f>NA()</f>
        <v>#N/A</v>
      </c>
      <c r="N230" t="e">
        <f>NA()</f>
        <v>#N/A</v>
      </c>
      <c r="O230" s="818" t="e">
        <f>NA()</f>
        <v>#N/A</v>
      </c>
      <c r="P230" s="818" t="e">
        <f>NA()</f>
        <v>#N/A</v>
      </c>
      <c r="Q230" s="23" t="str">
        <f t="shared" si="44"/>
        <v>Sample Too Small</v>
      </c>
      <c r="R230" s="10">
        <v>13</v>
      </c>
    </row>
    <row r="231" spans="1:18" hidden="1" x14ac:dyDescent="0.25">
      <c r="A231" t="s">
        <v>896</v>
      </c>
      <c r="B231" t="s">
        <v>43</v>
      </c>
      <c r="C231" s="1292" t="s">
        <v>2015</v>
      </c>
      <c r="D231" t="s">
        <v>282</v>
      </c>
      <c r="E231" s="1292" t="s">
        <v>2087</v>
      </c>
      <c r="F231" t="str">
        <f t="shared" si="46"/>
        <v>Liberia:Female sterilization</v>
      </c>
      <c r="G231" s="611" t="e">
        <f t="shared" si="45"/>
        <v>#N/A</v>
      </c>
      <c r="H231" s="23" t="e">
        <v>#N/A</v>
      </c>
      <c r="I231" s="23" t="e">
        <v>#N/A</v>
      </c>
      <c r="J231" t="e">
        <f>NA()</f>
        <v>#N/A</v>
      </c>
      <c r="K231" s="23" t="e">
        <v>#N/A</v>
      </c>
      <c r="L231" s="23" t="e">
        <v>#N/A</v>
      </c>
      <c r="M231" s="23" t="e">
        <v>#N/A</v>
      </c>
      <c r="N231" s="23" t="e">
        <v>#N/A</v>
      </c>
      <c r="O231" s="818"/>
      <c r="P231" s="818" t="e">
        <f>NA()</f>
        <v>#N/A</v>
      </c>
      <c r="Q231" s="23" t="e">
        <v>#N/A</v>
      </c>
      <c r="R231" s="10"/>
    </row>
    <row r="232" spans="1:18" hidden="1" x14ac:dyDescent="0.25">
      <c r="A232" t="s">
        <v>896</v>
      </c>
      <c r="B232" t="s">
        <v>43</v>
      </c>
      <c r="C232" s="1292" t="s">
        <v>2015</v>
      </c>
      <c r="D232" t="s">
        <v>282</v>
      </c>
      <c r="E232" s="1292" t="s">
        <v>2088</v>
      </c>
      <c r="F232" t="str">
        <f t="shared" si="46"/>
        <v>Liberia:Male sterilization</v>
      </c>
      <c r="G232" s="611" t="e">
        <f t="shared" si="45"/>
        <v>#N/A</v>
      </c>
      <c r="H232" s="23" t="e">
        <v>#N/A</v>
      </c>
      <c r="I232" s="23" t="e">
        <v>#N/A</v>
      </c>
      <c r="J232" t="e">
        <f>NA()</f>
        <v>#N/A</v>
      </c>
      <c r="K232" s="23" t="e">
        <v>#N/A</v>
      </c>
      <c r="L232" s="23" t="e">
        <v>#N/A</v>
      </c>
      <c r="M232" s="23" t="e">
        <v>#N/A</v>
      </c>
      <c r="N232" s="23" t="e">
        <v>#N/A</v>
      </c>
      <c r="O232" s="818"/>
      <c r="P232" s="818" t="e">
        <f>NA()</f>
        <v>#N/A</v>
      </c>
      <c r="Q232" s="23" t="e">
        <v>#N/A</v>
      </c>
    </row>
    <row r="233" spans="1:18" hidden="1" x14ac:dyDescent="0.25">
      <c r="A233" t="s">
        <v>896</v>
      </c>
      <c r="B233" t="s">
        <v>43</v>
      </c>
      <c r="C233" s="1292" t="s">
        <v>2015</v>
      </c>
      <c r="D233" t="s">
        <v>282</v>
      </c>
      <c r="E233" s="1292" t="s">
        <v>2089</v>
      </c>
      <c r="F233" t="str">
        <f t="shared" si="46"/>
        <v>Liberia:Implants</v>
      </c>
      <c r="G233" s="611">
        <f t="shared" si="45"/>
        <v>0.81735620585267388</v>
      </c>
      <c r="H233" s="23">
        <v>0.81029263370332982</v>
      </c>
      <c r="I233" s="23">
        <v>7.0635721493440959E-3</v>
      </c>
      <c r="J233" t="e">
        <f>NA()</f>
        <v>#N/A</v>
      </c>
      <c r="K233" s="23">
        <v>0.14530776992936428</v>
      </c>
      <c r="L233" s="23">
        <v>3.0272452068617556E-3</v>
      </c>
      <c r="M233" s="23">
        <v>2.4217961654894045E-2</v>
      </c>
      <c r="N233" s="23">
        <v>1.0090817356205851E-2</v>
      </c>
      <c r="O233" s="818"/>
      <c r="P233" s="818">
        <v>8.999999999999897E-3</v>
      </c>
      <c r="Q233" s="23">
        <v>0.99999999999999978</v>
      </c>
      <c r="R233" s="2"/>
    </row>
    <row r="234" spans="1:18" hidden="1" x14ac:dyDescent="0.25">
      <c r="A234" t="s">
        <v>896</v>
      </c>
      <c r="B234" t="s">
        <v>43</v>
      </c>
      <c r="C234" s="1292" t="s">
        <v>2015</v>
      </c>
      <c r="D234" t="s">
        <v>282</v>
      </c>
      <c r="E234" s="1292" t="s">
        <v>2</v>
      </c>
      <c r="F234" t="str">
        <f t="shared" si="46"/>
        <v>Liberia:Injectable</v>
      </c>
      <c r="G234" s="611">
        <f t="shared" si="45"/>
        <v>0.57420675537359256</v>
      </c>
      <c r="H234" s="23">
        <v>0.55783009211873069</v>
      </c>
      <c r="I234" s="23">
        <v>1.6376663254861822E-2</v>
      </c>
      <c r="J234" t="e">
        <f>NA()</f>
        <v>#N/A</v>
      </c>
      <c r="K234" s="23">
        <v>0.1555783009211873</v>
      </c>
      <c r="L234" s="23">
        <v>0.23029682702149437</v>
      </c>
      <c r="M234" s="23">
        <v>3.5823950870010238E-2</v>
      </c>
      <c r="N234" s="23">
        <v>4.0941658137154556E-3</v>
      </c>
      <c r="O234" s="818"/>
      <c r="P234" s="818">
        <v>2.300000000000002E-2</v>
      </c>
      <c r="Q234" s="23">
        <v>0.99999999999999989</v>
      </c>
      <c r="R234" s="10"/>
    </row>
    <row r="235" spans="1:18" hidden="1" x14ac:dyDescent="0.25">
      <c r="A235" t="s">
        <v>896</v>
      </c>
      <c r="B235" t="s">
        <v>43</v>
      </c>
      <c r="C235" s="1292" t="s">
        <v>2015</v>
      </c>
      <c r="D235" t="s">
        <v>282</v>
      </c>
      <c r="E235" s="1292" t="s">
        <v>5</v>
      </c>
      <c r="F235" t="str">
        <f t="shared" si="46"/>
        <v>Liberia:IUD</v>
      </c>
      <c r="G235" s="611" t="e">
        <f t="shared" si="45"/>
        <v>#N/A</v>
      </c>
      <c r="H235" s="23" t="e">
        <v>#N/A</v>
      </c>
      <c r="I235" s="23" t="e">
        <v>#N/A</v>
      </c>
      <c r="J235" t="e">
        <f>NA()</f>
        <v>#N/A</v>
      </c>
      <c r="K235" s="23" t="e">
        <v>#N/A</v>
      </c>
      <c r="L235" s="23" t="e">
        <v>#N/A</v>
      </c>
      <c r="M235" s="23" t="e">
        <v>#N/A</v>
      </c>
      <c r="N235" s="23" t="e">
        <v>#N/A</v>
      </c>
      <c r="O235" s="818"/>
      <c r="P235" s="818" t="e">
        <f>NA()</f>
        <v>#N/A</v>
      </c>
      <c r="Q235" s="23" t="e">
        <v>#N/A</v>
      </c>
    </row>
    <row r="236" spans="1:18" hidden="1" x14ac:dyDescent="0.25">
      <c r="A236" t="s">
        <v>896</v>
      </c>
      <c r="B236" t="s">
        <v>43</v>
      </c>
      <c r="C236" s="1292" t="s">
        <v>2015</v>
      </c>
      <c r="D236" t="s">
        <v>282</v>
      </c>
      <c r="E236" s="1292" t="s">
        <v>110</v>
      </c>
      <c r="F236" t="str">
        <f t="shared" si="46"/>
        <v>Liberia:OC Pills</v>
      </c>
      <c r="G236" s="611">
        <f t="shared" si="45"/>
        <v>0.46311475409836061</v>
      </c>
      <c r="H236" s="23">
        <v>0.43545081967213112</v>
      </c>
      <c r="I236" s="23">
        <v>2.7663934426229511E-2</v>
      </c>
      <c r="J236" t="e">
        <f>NA()</f>
        <v>#N/A</v>
      </c>
      <c r="K236" s="23">
        <v>5.0204918032786892E-2</v>
      </c>
      <c r="L236" s="23">
        <v>0.36987704918032793</v>
      </c>
      <c r="M236" s="23">
        <v>0.11270491803278689</v>
      </c>
      <c r="N236" s="23">
        <v>4.0983606557377051E-3</v>
      </c>
      <c r="O236" s="818"/>
      <c r="P236" s="818">
        <v>2.4000000000000021E-2</v>
      </c>
      <c r="Q236" s="23">
        <v>1</v>
      </c>
      <c r="R236" s="10"/>
    </row>
    <row r="237" spans="1:18" hidden="1" x14ac:dyDescent="0.25">
      <c r="A237" s="119" t="s">
        <v>896</v>
      </c>
      <c r="B237" t="s">
        <v>43</v>
      </c>
      <c r="C237" s="1292" t="s">
        <v>2015</v>
      </c>
      <c r="D237" t="s">
        <v>282</v>
      </c>
      <c r="E237" s="1292" t="s">
        <v>103</v>
      </c>
      <c r="F237" t="str">
        <f t="shared" si="46"/>
        <v>Liberia:Male Condom</v>
      </c>
      <c r="G237" s="611">
        <f t="shared" si="45"/>
        <v>0.1068931068931069</v>
      </c>
      <c r="H237" s="502">
        <v>0.1028971028971029</v>
      </c>
      <c r="I237" s="502">
        <v>3.996003996003996E-3</v>
      </c>
      <c r="J237" t="e">
        <f>NA()</f>
        <v>#N/A</v>
      </c>
      <c r="K237" s="502">
        <v>3.3966033966033961E-2</v>
      </c>
      <c r="L237" s="502">
        <v>0.67632367632367629</v>
      </c>
      <c r="M237" s="502">
        <v>0.17782217782217782</v>
      </c>
      <c r="N237" s="502">
        <v>4.995004995004995E-3</v>
      </c>
      <c r="O237" s="818"/>
      <c r="P237" s="818">
        <v>-1.0000000000001119E-3</v>
      </c>
      <c r="Q237" s="23">
        <v>1</v>
      </c>
      <c r="R237" s="119"/>
    </row>
    <row r="238" spans="1:18" hidden="1" x14ac:dyDescent="0.25">
      <c r="A238" t="s">
        <v>896</v>
      </c>
      <c r="B238" t="s">
        <v>43</v>
      </c>
      <c r="C238" s="1292" t="s">
        <v>2015</v>
      </c>
      <c r="D238" t="s">
        <v>282</v>
      </c>
      <c r="E238" s="1292" t="s">
        <v>130</v>
      </c>
      <c r="F238" t="str">
        <f t="shared" si="46"/>
        <v>Liberia:Other Modern Methods</v>
      </c>
      <c r="G238" s="611" t="e">
        <f t="shared" si="45"/>
        <v>#N/A</v>
      </c>
      <c r="H238" s="23" t="e">
        <v>#N/A</v>
      </c>
      <c r="I238" s="23" t="e">
        <v>#N/A</v>
      </c>
      <c r="J238" t="e">
        <f>NA()</f>
        <v>#N/A</v>
      </c>
      <c r="K238" s="23" t="e">
        <v>#N/A</v>
      </c>
      <c r="L238" s="23" t="e">
        <v>#N/A</v>
      </c>
      <c r="M238" s="23" t="e">
        <v>#N/A</v>
      </c>
      <c r="N238" s="23" t="e">
        <v>#N/A</v>
      </c>
      <c r="O238" s="818"/>
      <c r="P238" s="818" t="e">
        <f>NA()</f>
        <v>#N/A</v>
      </c>
      <c r="Q238" s="23" t="e">
        <v>#N/A</v>
      </c>
      <c r="R238" s="10"/>
    </row>
    <row r="239" spans="1:18" hidden="1" x14ac:dyDescent="0.25">
      <c r="A239" t="s">
        <v>2497</v>
      </c>
      <c r="B239" t="s">
        <v>44</v>
      </c>
      <c r="C239" t="s">
        <v>2496</v>
      </c>
      <c r="D239" t="s">
        <v>282</v>
      </c>
      <c r="E239" t="s">
        <v>128</v>
      </c>
      <c r="F239" t="str">
        <f t="shared" si="46"/>
        <v>Madagascar:Female Sterilization</v>
      </c>
      <c r="G239" s="611">
        <v>0.755</v>
      </c>
      <c r="K239">
        <v>0.245</v>
      </c>
      <c r="L239">
        <v>0</v>
      </c>
      <c r="M239">
        <v>0</v>
      </c>
      <c r="N239">
        <v>0</v>
      </c>
      <c r="O239" s="818">
        <v>0</v>
      </c>
      <c r="P239" s="818"/>
      <c r="Q239" s="23">
        <f t="shared" si="44"/>
        <v>0.245</v>
      </c>
    </row>
    <row r="240" spans="1:18" hidden="1" x14ac:dyDescent="0.25">
      <c r="A240" t="s">
        <v>2497</v>
      </c>
      <c r="B240" t="s">
        <v>44</v>
      </c>
      <c r="C240" t="s">
        <v>2496</v>
      </c>
      <c r="D240" t="s">
        <v>282</v>
      </c>
      <c r="E240" t="s">
        <v>3</v>
      </c>
      <c r="F240" t="str">
        <f t="shared" si="46"/>
        <v>Madagascar:Implant</v>
      </c>
      <c r="G240" s="611">
        <v>0.78200000000000003</v>
      </c>
      <c r="H240" s="23"/>
      <c r="I240" s="23"/>
      <c r="J240" s="23"/>
      <c r="K240" s="23">
        <v>0.21299999999999999</v>
      </c>
      <c r="L240" s="23">
        <v>0</v>
      </c>
      <c r="M240" s="23">
        <v>0</v>
      </c>
      <c r="N240" s="23">
        <v>5.0000000000000001E-3</v>
      </c>
      <c r="O240" s="818">
        <v>0</v>
      </c>
      <c r="P240" s="818"/>
      <c r="Q240" s="23">
        <f t="shared" si="44"/>
        <v>0.218</v>
      </c>
    </row>
    <row r="241" spans="1:19" hidden="1" x14ac:dyDescent="0.25">
      <c r="A241" t="s">
        <v>2497</v>
      </c>
      <c r="B241" t="s">
        <v>44</v>
      </c>
      <c r="C241" t="s">
        <v>2496</v>
      </c>
      <c r="D241" t="s">
        <v>282</v>
      </c>
      <c r="E241" t="s">
        <v>2</v>
      </c>
      <c r="F241" t="str">
        <f t="shared" si="46"/>
        <v>Madagascar:Injectable</v>
      </c>
      <c r="G241" s="611">
        <v>0.87400000000000011</v>
      </c>
      <c r="H241" s="23"/>
      <c r="I241" s="23"/>
      <c r="J241" s="23"/>
      <c r="K241" s="23">
        <v>0.11299999999999999</v>
      </c>
      <c r="L241" s="23">
        <v>6.9999999999999993E-3</v>
      </c>
      <c r="M241" s="23">
        <v>1E-3</v>
      </c>
      <c r="N241" s="23">
        <v>5.0000000000000001E-3</v>
      </c>
      <c r="O241" s="818">
        <v>0</v>
      </c>
      <c r="P241" s="818"/>
      <c r="Q241" s="23">
        <f t="shared" si="44"/>
        <v>0.126</v>
      </c>
      <c r="R241" s="2"/>
    </row>
    <row r="242" spans="1:19" hidden="1" x14ac:dyDescent="0.25">
      <c r="A242" t="s">
        <v>2497</v>
      </c>
      <c r="B242" t="s">
        <v>44</v>
      </c>
      <c r="C242" t="s">
        <v>2496</v>
      </c>
      <c r="D242" t="s">
        <v>282</v>
      </c>
      <c r="E242" t="s">
        <v>5</v>
      </c>
      <c r="F242" t="str">
        <f t="shared" si="46"/>
        <v>Madagascar:IUD</v>
      </c>
      <c r="G242" s="611">
        <v>0.58299999999999996</v>
      </c>
      <c r="K242">
        <v>0.41700000000000004</v>
      </c>
      <c r="L242">
        <v>0</v>
      </c>
      <c r="M242">
        <v>0</v>
      </c>
      <c r="N242">
        <v>0</v>
      </c>
      <c r="O242" s="818">
        <v>0</v>
      </c>
      <c r="P242" s="818"/>
      <c r="Q242" s="23">
        <f t="shared" si="44"/>
        <v>0.41700000000000004</v>
      </c>
    </row>
    <row r="243" spans="1:19" hidden="1" x14ac:dyDescent="0.25">
      <c r="A243" t="s">
        <v>2497</v>
      </c>
      <c r="B243" t="s">
        <v>44</v>
      </c>
      <c r="C243" t="s">
        <v>2496</v>
      </c>
      <c r="D243" t="s">
        <v>282</v>
      </c>
      <c r="E243" t="s">
        <v>103</v>
      </c>
      <c r="F243" t="str">
        <f t="shared" si="46"/>
        <v>Madagascar:Male Condom</v>
      </c>
      <c r="G243" s="611">
        <v>0.13400000000000001</v>
      </c>
      <c r="H243" s="23"/>
      <c r="I243" s="23"/>
      <c r="J243" s="23"/>
      <c r="K243" s="23">
        <v>3.4999999999999976E-2</v>
      </c>
      <c r="L243" s="23">
        <v>0.28300000000000003</v>
      </c>
      <c r="M243" s="23">
        <v>0.52800000000000002</v>
      </c>
      <c r="N243" s="23">
        <v>0.02</v>
      </c>
      <c r="O243" s="818">
        <v>0</v>
      </c>
      <c r="P243" s="818"/>
      <c r="Q243" s="23">
        <f t="shared" si="44"/>
        <v>0.8660000000000001</v>
      </c>
    </row>
    <row r="244" spans="1:19" hidden="1" x14ac:dyDescent="0.25">
      <c r="A244" t="s">
        <v>2497</v>
      </c>
      <c r="B244" t="s">
        <v>44</v>
      </c>
      <c r="C244" t="s">
        <v>2496</v>
      </c>
      <c r="D244" t="s">
        <v>282</v>
      </c>
      <c r="E244" t="s">
        <v>129</v>
      </c>
      <c r="F244" t="str">
        <f t="shared" si="46"/>
        <v>Madagascar:Male Sterilization</v>
      </c>
      <c r="G244" s="611" t="e">
        <f t="shared" si="45"/>
        <v>#N/A</v>
      </c>
      <c r="H244" t="e">
        <f>NA()</f>
        <v>#N/A</v>
      </c>
      <c r="I244" t="e">
        <f>NA()</f>
        <v>#N/A</v>
      </c>
      <c r="J244" t="e">
        <f>NA()</f>
        <v>#N/A</v>
      </c>
      <c r="K244" t="e">
        <f>NA()</f>
        <v>#N/A</v>
      </c>
      <c r="L244" t="e">
        <f>NA()</f>
        <v>#N/A</v>
      </c>
      <c r="M244" t="e">
        <f>NA()</f>
        <v>#N/A</v>
      </c>
      <c r="N244" t="e">
        <f>NA()</f>
        <v>#N/A</v>
      </c>
      <c r="O244" s="818" t="e">
        <f>NA()</f>
        <v>#N/A</v>
      </c>
      <c r="P244" s="818"/>
      <c r="Q244" s="23" t="str">
        <f t="shared" si="44"/>
        <v>Sample Too Small</v>
      </c>
      <c r="R244" s="10"/>
    </row>
    <row r="245" spans="1:19" hidden="1" x14ac:dyDescent="0.25">
      <c r="A245" t="s">
        <v>2497</v>
      </c>
      <c r="B245" t="s">
        <v>44</v>
      </c>
      <c r="C245" t="s">
        <v>2496</v>
      </c>
      <c r="D245" t="s">
        <v>282</v>
      </c>
      <c r="E245" t="s">
        <v>110</v>
      </c>
      <c r="F245" t="str">
        <f t="shared" si="46"/>
        <v>Madagascar:OC Pills</v>
      </c>
      <c r="G245" s="611">
        <v>0.61799999999999999</v>
      </c>
      <c r="H245" s="502"/>
      <c r="I245" s="502"/>
      <c r="J245" s="502"/>
      <c r="K245" s="502">
        <v>0.124</v>
      </c>
      <c r="L245" s="502">
        <v>0.19600000000000001</v>
      </c>
      <c r="M245" s="502">
        <v>5.2999999999999999E-2</v>
      </c>
      <c r="N245" s="502">
        <v>9.0000000000000011E-3</v>
      </c>
      <c r="O245" s="818">
        <v>0</v>
      </c>
      <c r="P245" s="818"/>
      <c r="Q245" s="23">
        <f t="shared" si="44"/>
        <v>0.38200000000000001</v>
      </c>
      <c r="R245" s="119"/>
    </row>
    <row r="246" spans="1:19" hidden="1" x14ac:dyDescent="0.25">
      <c r="A246" t="s">
        <v>2497</v>
      </c>
      <c r="B246" t="s">
        <v>44</v>
      </c>
      <c r="C246" t="s">
        <v>2496</v>
      </c>
      <c r="D246" t="s">
        <v>282</v>
      </c>
      <c r="E246" t="s">
        <v>130</v>
      </c>
      <c r="F246" t="str">
        <f t="shared" si="46"/>
        <v>Madagascar:Other Modern Methods</v>
      </c>
      <c r="G246" s="611" t="e">
        <f t="shared" si="45"/>
        <v>#N/A</v>
      </c>
      <c r="H246" t="e">
        <f>NA()</f>
        <v>#N/A</v>
      </c>
      <c r="I246" t="e">
        <f>NA()</f>
        <v>#N/A</v>
      </c>
      <c r="J246" t="e">
        <f>NA()</f>
        <v>#N/A</v>
      </c>
      <c r="K246" t="e">
        <f>NA()</f>
        <v>#N/A</v>
      </c>
      <c r="L246" t="e">
        <f>NA()</f>
        <v>#N/A</v>
      </c>
      <c r="M246" t="e">
        <f>NA()</f>
        <v>#N/A</v>
      </c>
      <c r="N246" t="e">
        <f>NA()</f>
        <v>#N/A</v>
      </c>
      <c r="O246" s="818" t="e">
        <f>NA()</f>
        <v>#N/A</v>
      </c>
      <c r="P246" s="818"/>
      <c r="Q246" s="23" t="str">
        <f t="shared" si="44"/>
        <v>Sample Too Small</v>
      </c>
      <c r="R246" s="10"/>
    </row>
    <row r="247" spans="1:19" hidden="1" x14ac:dyDescent="0.25">
      <c r="A247" t="s">
        <v>897</v>
      </c>
      <c r="B247" t="s">
        <v>45</v>
      </c>
      <c r="C247" t="s">
        <v>593</v>
      </c>
      <c r="D247" t="s">
        <v>282</v>
      </c>
      <c r="E247" t="s">
        <v>128</v>
      </c>
      <c r="F247" t="str">
        <f t="shared" si="46"/>
        <v>Malawi:Female Sterilization</v>
      </c>
      <c r="G247" s="611">
        <f t="shared" si="45"/>
        <v>0.68</v>
      </c>
      <c r="H247" s="23">
        <v>0.68</v>
      </c>
      <c r="I247" s="23">
        <v>0</v>
      </c>
      <c r="J247" s="23">
        <v>0.28999999999999998</v>
      </c>
      <c r="K247" s="23">
        <v>0.03</v>
      </c>
      <c r="L247" s="23">
        <v>0</v>
      </c>
      <c r="M247" s="23">
        <v>0</v>
      </c>
      <c r="N247" s="23">
        <v>0</v>
      </c>
      <c r="O247" s="818">
        <v>0</v>
      </c>
      <c r="P247" s="818">
        <v>0</v>
      </c>
      <c r="Q247" s="23">
        <f t="shared" si="44"/>
        <v>1</v>
      </c>
      <c r="R247" s="2">
        <v>1893</v>
      </c>
    </row>
    <row r="248" spans="1:19" hidden="1" x14ac:dyDescent="0.25">
      <c r="A248" t="s">
        <v>897</v>
      </c>
      <c r="B248" t="s">
        <v>45</v>
      </c>
      <c r="C248" t="s">
        <v>593</v>
      </c>
      <c r="D248" t="s">
        <v>282</v>
      </c>
      <c r="E248" t="s">
        <v>3</v>
      </c>
      <c r="F248" t="str">
        <f t="shared" si="46"/>
        <v>Malawi:Implant</v>
      </c>
      <c r="G248" s="611">
        <f t="shared" si="45"/>
        <v>0.81</v>
      </c>
      <c r="H248" s="23">
        <v>0.77</v>
      </c>
      <c r="I248" s="23">
        <v>0.04</v>
      </c>
      <c r="J248" s="23">
        <v>0.13</v>
      </c>
      <c r="K248" s="23">
        <v>0.06</v>
      </c>
      <c r="L248" s="23">
        <v>0</v>
      </c>
      <c r="M248" s="23">
        <v>0</v>
      </c>
      <c r="N248" s="23">
        <v>0</v>
      </c>
      <c r="O248" s="818">
        <v>0</v>
      </c>
      <c r="P248" s="818">
        <v>0</v>
      </c>
      <c r="Q248" s="23">
        <f t="shared" si="44"/>
        <v>1</v>
      </c>
      <c r="R248" s="2">
        <v>2315</v>
      </c>
    </row>
    <row r="249" spans="1:19" hidden="1" x14ac:dyDescent="0.25">
      <c r="A249" t="s">
        <v>897</v>
      </c>
      <c r="B249" t="s">
        <v>45</v>
      </c>
      <c r="C249" t="s">
        <v>593</v>
      </c>
      <c r="D249" t="s">
        <v>282</v>
      </c>
      <c r="E249" t="s">
        <v>2</v>
      </c>
      <c r="F249" t="str">
        <f t="shared" si="46"/>
        <v>Malawi:Injectable</v>
      </c>
      <c r="G249" s="611">
        <f t="shared" si="45"/>
        <v>0.87</v>
      </c>
      <c r="H249" s="23">
        <v>0.77</v>
      </c>
      <c r="I249" s="23">
        <v>0.1</v>
      </c>
      <c r="J249" s="23">
        <v>0.06</v>
      </c>
      <c r="K249" s="23">
        <v>7.0000000000000007E-2</v>
      </c>
      <c r="L249" s="23">
        <v>0</v>
      </c>
      <c r="M249" s="23">
        <v>0</v>
      </c>
      <c r="N249" s="23">
        <v>0</v>
      </c>
      <c r="O249" s="818">
        <v>0</v>
      </c>
      <c r="P249" s="818">
        <v>0</v>
      </c>
      <c r="Q249" s="23">
        <f t="shared" si="44"/>
        <v>1</v>
      </c>
      <c r="R249" s="2">
        <v>5425</v>
      </c>
    </row>
    <row r="250" spans="1:19" hidden="1" x14ac:dyDescent="0.25">
      <c r="A250" t="s">
        <v>897</v>
      </c>
      <c r="B250" t="s">
        <v>45</v>
      </c>
      <c r="C250" t="s">
        <v>593</v>
      </c>
      <c r="D250" t="s">
        <v>282</v>
      </c>
      <c r="E250" t="s">
        <v>5</v>
      </c>
      <c r="F250" t="str">
        <f t="shared" si="46"/>
        <v>Malawi:IUD</v>
      </c>
      <c r="G250" s="611">
        <f t="shared" si="45"/>
        <v>0.71000000000000008</v>
      </c>
      <c r="H250" s="23">
        <v>0.68</v>
      </c>
      <c r="I250" s="23">
        <v>0.03</v>
      </c>
      <c r="J250" s="23">
        <v>0.24</v>
      </c>
      <c r="K250" s="23">
        <v>0.06</v>
      </c>
      <c r="L250" s="23">
        <v>0</v>
      </c>
      <c r="M250" s="23">
        <v>0</v>
      </c>
      <c r="N250" s="23">
        <v>0</v>
      </c>
      <c r="O250" s="818">
        <v>0</v>
      </c>
      <c r="P250" s="818">
        <v>0</v>
      </c>
      <c r="Q250" s="23">
        <f t="shared" si="44"/>
        <v>1.01</v>
      </c>
      <c r="R250">
        <v>190</v>
      </c>
    </row>
    <row r="251" spans="1:19" hidden="1" x14ac:dyDescent="0.25">
      <c r="A251" t="s">
        <v>897</v>
      </c>
      <c r="B251" t="s">
        <v>45</v>
      </c>
      <c r="C251" t="s">
        <v>593</v>
      </c>
      <c r="D251" t="s">
        <v>282</v>
      </c>
      <c r="E251" t="s">
        <v>103</v>
      </c>
      <c r="F251" t="str">
        <f t="shared" si="46"/>
        <v>Malawi:Male Condom</v>
      </c>
      <c r="G251" s="611">
        <f t="shared" si="45"/>
        <v>0.52</v>
      </c>
      <c r="H251" s="23">
        <v>0.44</v>
      </c>
      <c r="I251" s="23">
        <v>0.08</v>
      </c>
      <c r="J251" s="23">
        <v>7.0000000000000007E-2</v>
      </c>
      <c r="K251" s="23">
        <v>0.05</v>
      </c>
      <c r="L251" s="23">
        <v>0.01</v>
      </c>
      <c r="M251" s="23">
        <v>0.35</v>
      </c>
      <c r="N251" s="23">
        <v>0</v>
      </c>
      <c r="O251" s="818">
        <v>0</v>
      </c>
      <c r="P251" s="818">
        <v>0</v>
      </c>
      <c r="Q251" s="23">
        <f t="shared" si="44"/>
        <v>1</v>
      </c>
      <c r="R251">
        <v>678</v>
      </c>
    </row>
    <row r="252" spans="1:19" hidden="1" x14ac:dyDescent="0.25">
      <c r="A252" t="s">
        <v>897</v>
      </c>
      <c r="B252" t="s">
        <v>45</v>
      </c>
      <c r="C252" t="s">
        <v>593</v>
      </c>
      <c r="D252" t="s">
        <v>282</v>
      </c>
      <c r="E252" t="s">
        <v>129</v>
      </c>
      <c r="F252" t="str">
        <f t="shared" si="46"/>
        <v>Malawi:Male Sterilization</v>
      </c>
      <c r="G252" s="611" t="e">
        <f t="shared" si="45"/>
        <v>#N/A</v>
      </c>
      <c r="H252" t="e">
        <f>NA()</f>
        <v>#N/A</v>
      </c>
      <c r="I252" t="e">
        <f>NA()</f>
        <v>#N/A</v>
      </c>
      <c r="J252" t="e">
        <f>NA()</f>
        <v>#N/A</v>
      </c>
      <c r="K252" t="e">
        <f>NA()</f>
        <v>#N/A</v>
      </c>
      <c r="L252" t="e">
        <f>NA()</f>
        <v>#N/A</v>
      </c>
      <c r="M252" t="e">
        <f>NA()</f>
        <v>#N/A</v>
      </c>
      <c r="N252" t="e">
        <f>NA()</f>
        <v>#N/A</v>
      </c>
      <c r="O252" s="818" t="e">
        <f>NA()</f>
        <v>#N/A</v>
      </c>
      <c r="P252" s="818" t="e">
        <f>NA()</f>
        <v>#N/A</v>
      </c>
      <c r="Q252" s="23" t="str">
        <f t="shared" si="44"/>
        <v>Sample Too Small</v>
      </c>
      <c r="R252" s="10">
        <v>20</v>
      </c>
    </row>
    <row r="253" spans="1:19" hidden="1" x14ac:dyDescent="0.25">
      <c r="A253" s="119" t="s">
        <v>897</v>
      </c>
      <c r="B253" t="s">
        <v>45</v>
      </c>
      <c r="C253" t="s">
        <v>593</v>
      </c>
      <c r="D253" t="s">
        <v>282</v>
      </c>
      <c r="E253" t="s">
        <v>110</v>
      </c>
      <c r="F253" t="str">
        <f t="shared" si="46"/>
        <v>Malawi:OC Pills</v>
      </c>
      <c r="G253" s="611">
        <f t="shared" si="45"/>
        <v>0.81</v>
      </c>
      <c r="H253" s="502">
        <v>0.63</v>
      </c>
      <c r="I253" s="502">
        <v>0.18</v>
      </c>
      <c r="J253" s="502">
        <v>0.05</v>
      </c>
      <c r="K253" s="502">
        <v>0.12</v>
      </c>
      <c r="L253" s="502">
        <v>0.01</v>
      </c>
      <c r="M253" s="502">
        <v>0.01</v>
      </c>
      <c r="N253" s="502">
        <v>0</v>
      </c>
      <c r="O253" s="818">
        <v>0</v>
      </c>
      <c r="P253" s="818">
        <v>0</v>
      </c>
      <c r="Q253" s="23">
        <f t="shared" si="44"/>
        <v>1</v>
      </c>
      <c r="R253" s="119">
        <v>421</v>
      </c>
    </row>
    <row r="254" spans="1:19" hidden="1" x14ac:dyDescent="0.25">
      <c r="A254" t="s">
        <v>897</v>
      </c>
      <c r="B254" t="s">
        <v>45</v>
      </c>
      <c r="C254" t="s">
        <v>593</v>
      </c>
      <c r="D254" t="s">
        <v>282</v>
      </c>
      <c r="E254" t="s">
        <v>130</v>
      </c>
      <c r="F254" t="str">
        <f t="shared" si="46"/>
        <v>Malawi:Other Modern Methods</v>
      </c>
      <c r="G254" s="611" t="e">
        <f t="shared" si="45"/>
        <v>#N/A</v>
      </c>
      <c r="H254" t="e">
        <f>NA()</f>
        <v>#N/A</v>
      </c>
      <c r="I254" t="e">
        <f>NA()</f>
        <v>#N/A</v>
      </c>
      <c r="J254" t="e">
        <f>NA()</f>
        <v>#N/A</v>
      </c>
      <c r="K254" t="e">
        <f>NA()</f>
        <v>#N/A</v>
      </c>
      <c r="L254" t="e">
        <f>NA()</f>
        <v>#N/A</v>
      </c>
      <c r="M254" t="e">
        <f>NA()</f>
        <v>#N/A</v>
      </c>
      <c r="N254" t="e">
        <f>NA()</f>
        <v>#N/A</v>
      </c>
      <c r="O254" s="818" t="e">
        <f>NA()</f>
        <v>#N/A</v>
      </c>
      <c r="P254" s="818" t="e">
        <f>NA()</f>
        <v>#N/A</v>
      </c>
      <c r="Q254" s="23" t="str">
        <f t="shared" si="44"/>
        <v>Sample Too Small</v>
      </c>
      <c r="R254" s="10">
        <v>15</v>
      </c>
    </row>
    <row r="255" spans="1:19" hidden="1" x14ac:dyDescent="0.25">
      <c r="A255" t="s">
        <v>1157</v>
      </c>
      <c r="B255" t="s">
        <v>46</v>
      </c>
      <c r="C255" t="s">
        <v>1146</v>
      </c>
      <c r="D255" t="s">
        <v>282</v>
      </c>
      <c r="E255" t="s">
        <v>1020</v>
      </c>
      <c r="F255" t="str">
        <f t="shared" si="46"/>
        <v>Mali:Female Condom</v>
      </c>
      <c r="G255" s="611" t="e">
        <f t="shared" ref="G255:G263" si="47">SUM(H255:I255)</f>
        <v>#N/A</v>
      </c>
      <c r="H255" s="815" t="e">
        <f>NA()</f>
        <v>#N/A</v>
      </c>
      <c r="I255" s="815" t="e">
        <f>NA()</f>
        <v>#N/A</v>
      </c>
      <c r="J255" s="815" t="e">
        <f>NA()</f>
        <v>#N/A</v>
      </c>
      <c r="K255" s="815" t="e">
        <f>NA()</f>
        <v>#N/A</v>
      </c>
      <c r="L255" s="815" t="e">
        <f>NA()</f>
        <v>#N/A</v>
      </c>
      <c r="M255" s="815" t="e">
        <f>NA()</f>
        <v>#N/A</v>
      </c>
      <c r="N255" s="815" t="e">
        <f>NA()</f>
        <v>#N/A</v>
      </c>
      <c r="O255" s="821" t="e">
        <f>NA()</f>
        <v>#N/A</v>
      </c>
      <c r="P255" s="821" t="e">
        <f>NA()</f>
        <v>#N/A</v>
      </c>
      <c r="Q255" s="23" t="str">
        <f t="shared" si="44"/>
        <v>Sample Too Small</v>
      </c>
      <c r="R255">
        <v>1</v>
      </c>
      <c r="S255" t="str">
        <f t="shared" ref="S255:S262" si="48">IF(R255&lt;25, "Sample too small", "")</f>
        <v>Sample too small</v>
      </c>
    </row>
    <row r="256" spans="1:19" hidden="1" x14ac:dyDescent="0.25">
      <c r="A256" t="s">
        <v>1157</v>
      </c>
      <c r="B256" t="s">
        <v>46</v>
      </c>
      <c r="C256" t="s">
        <v>1146</v>
      </c>
      <c r="D256" t="s">
        <v>282</v>
      </c>
      <c r="E256" t="s">
        <v>128</v>
      </c>
      <c r="F256" t="str">
        <f t="shared" si="46"/>
        <v>Mali:Female Sterilization</v>
      </c>
      <c r="G256" s="611">
        <f t="shared" si="47"/>
        <v>1</v>
      </c>
      <c r="H256" s="610">
        <v>0.752</v>
      </c>
      <c r="I256" s="610">
        <v>0.248</v>
      </c>
      <c r="J256" s="23">
        <v>0</v>
      </c>
      <c r="K256" s="610">
        <v>0</v>
      </c>
      <c r="L256" s="610">
        <v>0</v>
      </c>
      <c r="M256" s="610">
        <v>0</v>
      </c>
      <c r="N256" s="610">
        <v>0</v>
      </c>
      <c r="O256" s="820">
        <v>0</v>
      </c>
      <c r="P256" s="820">
        <v>0</v>
      </c>
      <c r="Q256" s="23">
        <f t="shared" si="44"/>
        <v>1</v>
      </c>
      <c r="R256">
        <v>26</v>
      </c>
      <c r="S256" t="str">
        <f t="shared" si="48"/>
        <v/>
      </c>
    </row>
    <row r="257" spans="1:19" hidden="1" x14ac:dyDescent="0.25">
      <c r="A257" t="s">
        <v>1157</v>
      </c>
      <c r="B257" t="s">
        <v>46</v>
      </c>
      <c r="C257" t="s">
        <v>1146</v>
      </c>
      <c r="D257" t="s">
        <v>282</v>
      </c>
      <c r="E257" t="s">
        <v>3</v>
      </c>
      <c r="F257" t="str">
        <f t="shared" si="46"/>
        <v>Mali:Implant</v>
      </c>
      <c r="G257" s="611">
        <f t="shared" si="47"/>
        <v>0.91199999999999992</v>
      </c>
      <c r="H257" s="610">
        <v>0.17899999999999999</v>
      </c>
      <c r="I257" s="610">
        <v>0.73299999999999998</v>
      </c>
      <c r="J257" s="23">
        <v>0</v>
      </c>
      <c r="K257" s="610">
        <v>7.5999999999999998E-2</v>
      </c>
      <c r="L257" s="610">
        <v>4.0000000000000001E-3</v>
      </c>
      <c r="M257" s="610">
        <v>5.0000000000000001E-3</v>
      </c>
      <c r="N257" s="610">
        <v>2E-3</v>
      </c>
      <c r="O257" s="820">
        <v>0</v>
      </c>
      <c r="P257" s="820">
        <v>0</v>
      </c>
      <c r="Q257" s="23">
        <f t="shared" si="44"/>
        <v>0.99899999999999989</v>
      </c>
      <c r="R257">
        <v>626</v>
      </c>
      <c r="S257" t="str">
        <f t="shared" si="48"/>
        <v/>
      </c>
    </row>
    <row r="258" spans="1:19" hidden="1" x14ac:dyDescent="0.25">
      <c r="A258" t="s">
        <v>1157</v>
      </c>
      <c r="B258" t="s">
        <v>46</v>
      </c>
      <c r="C258" t="s">
        <v>1146</v>
      </c>
      <c r="D258" t="s">
        <v>282</v>
      </c>
      <c r="E258" t="s">
        <v>2</v>
      </c>
      <c r="F258" t="str">
        <f t="shared" si="46"/>
        <v>Mali:Injectable</v>
      </c>
      <c r="G258" s="611">
        <f t="shared" si="47"/>
        <v>0.72299999999999998</v>
      </c>
      <c r="H258" s="610">
        <v>0.13700000000000001</v>
      </c>
      <c r="I258" s="610">
        <v>0.58599999999999997</v>
      </c>
      <c r="J258" s="23">
        <v>0</v>
      </c>
      <c r="K258" s="610">
        <v>0.19600000000000001</v>
      </c>
      <c r="L258" s="610">
        <v>4.8000000000000001E-2</v>
      </c>
      <c r="M258" s="610">
        <v>2.7E-2</v>
      </c>
      <c r="N258" s="610">
        <v>6.0000000000000001E-3</v>
      </c>
      <c r="O258" s="820">
        <v>0</v>
      </c>
      <c r="P258" s="820">
        <v>0</v>
      </c>
      <c r="Q258" s="23">
        <f t="shared" si="44"/>
        <v>1</v>
      </c>
      <c r="R258">
        <v>476</v>
      </c>
      <c r="S258" t="str">
        <f t="shared" si="48"/>
        <v/>
      </c>
    </row>
    <row r="259" spans="1:19" hidden="1" x14ac:dyDescent="0.25">
      <c r="A259" t="s">
        <v>1157</v>
      </c>
      <c r="B259" t="s">
        <v>46</v>
      </c>
      <c r="C259" t="s">
        <v>1146</v>
      </c>
      <c r="D259" t="s">
        <v>282</v>
      </c>
      <c r="E259" t="s">
        <v>5</v>
      </c>
      <c r="F259" t="str">
        <f t="shared" si="46"/>
        <v>Mali:IUD</v>
      </c>
      <c r="G259" s="611">
        <f t="shared" si="47"/>
        <v>0.92100000000000004</v>
      </c>
      <c r="H259" s="610">
        <v>0.29499999999999998</v>
      </c>
      <c r="I259" s="610">
        <v>0.626</v>
      </c>
      <c r="J259" s="23">
        <v>0</v>
      </c>
      <c r="K259" s="610">
        <v>0.08</v>
      </c>
      <c r="L259" s="610">
        <v>0</v>
      </c>
      <c r="M259" s="610">
        <v>0</v>
      </c>
      <c r="N259" s="610">
        <v>0</v>
      </c>
      <c r="O259" s="820">
        <v>0</v>
      </c>
      <c r="P259" s="820">
        <v>0</v>
      </c>
      <c r="Q259" s="23">
        <f t="shared" si="44"/>
        <v>1.0010000000000001</v>
      </c>
      <c r="R259">
        <v>91</v>
      </c>
      <c r="S259" t="str">
        <f t="shared" si="48"/>
        <v/>
      </c>
    </row>
    <row r="260" spans="1:19" hidden="1" x14ac:dyDescent="0.25">
      <c r="A260" t="s">
        <v>1157</v>
      </c>
      <c r="B260" t="s">
        <v>46</v>
      </c>
      <c r="C260" t="s">
        <v>1146</v>
      </c>
      <c r="D260" t="s">
        <v>282</v>
      </c>
      <c r="E260" t="s">
        <v>103</v>
      </c>
      <c r="F260" t="str">
        <f t="shared" si="46"/>
        <v>Mali:Male Condom</v>
      </c>
      <c r="G260" s="611" t="e">
        <f t="shared" si="47"/>
        <v>#N/A</v>
      </c>
      <c r="H260" s="815" t="e">
        <f>NA()</f>
        <v>#N/A</v>
      </c>
      <c r="I260" s="815" t="e">
        <f>NA()</f>
        <v>#N/A</v>
      </c>
      <c r="J260" s="815" t="e">
        <f>NA()</f>
        <v>#N/A</v>
      </c>
      <c r="K260" s="815" t="e">
        <f>NA()</f>
        <v>#N/A</v>
      </c>
      <c r="L260" s="815" t="e">
        <f>NA()</f>
        <v>#N/A</v>
      </c>
      <c r="M260" s="815" t="e">
        <f>NA()</f>
        <v>#N/A</v>
      </c>
      <c r="N260" s="815" t="e">
        <f>NA()</f>
        <v>#N/A</v>
      </c>
      <c r="O260" s="821" t="e">
        <f>NA()</f>
        <v>#N/A</v>
      </c>
      <c r="P260" s="821" t="e">
        <f>NA()</f>
        <v>#N/A</v>
      </c>
      <c r="Q260" s="23" t="str">
        <f t="shared" si="44"/>
        <v>Sample Too Small</v>
      </c>
      <c r="R260">
        <v>16</v>
      </c>
      <c r="S260" t="str">
        <f t="shared" si="48"/>
        <v>Sample too small</v>
      </c>
    </row>
    <row r="261" spans="1:19" hidden="1" x14ac:dyDescent="0.25">
      <c r="A261" t="s">
        <v>1157</v>
      </c>
      <c r="B261" t="s">
        <v>46</v>
      </c>
      <c r="C261" t="s">
        <v>1146</v>
      </c>
      <c r="D261" t="s">
        <v>282</v>
      </c>
      <c r="E261" t="s">
        <v>110</v>
      </c>
      <c r="F261" t="str">
        <f t="shared" si="46"/>
        <v>Mali:OC Pills</v>
      </c>
      <c r="G261" s="611">
        <f t="shared" si="47"/>
        <v>0.36199999999999999</v>
      </c>
      <c r="H261" s="610">
        <v>6.5000000000000002E-2</v>
      </c>
      <c r="I261" s="610">
        <v>0.29699999999999999</v>
      </c>
      <c r="J261" s="23">
        <v>0</v>
      </c>
      <c r="K261" s="610">
        <v>5.1999999999999998E-2</v>
      </c>
      <c r="L261" s="610">
        <v>0.49099999999999999</v>
      </c>
      <c r="M261" s="610">
        <v>0.09</v>
      </c>
      <c r="N261" s="610">
        <v>5.0000000000000001E-3</v>
      </c>
      <c r="O261" s="820">
        <v>0</v>
      </c>
      <c r="P261" s="820">
        <v>0</v>
      </c>
      <c r="Q261" s="23">
        <f t="shared" si="44"/>
        <v>1</v>
      </c>
      <c r="R261">
        <v>205</v>
      </c>
      <c r="S261" t="str">
        <f t="shared" si="48"/>
        <v/>
      </c>
    </row>
    <row r="262" spans="1:19" hidden="1" x14ac:dyDescent="0.25">
      <c r="A262" t="s">
        <v>1157</v>
      </c>
      <c r="B262" t="s">
        <v>46</v>
      </c>
      <c r="C262" t="s">
        <v>1146</v>
      </c>
      <c r="D262" t="s">
        <v>282</v>
      </c>
      <c r="E262" t="s">
        <v>967</v>
      </c>
      <c r="F262" t="str">
        <f t="shared" si="46"/>
        <v>Mali:standard days method (sdm)</v>
      </c>
      <c r="G262" s="611" t="e">
        <f t="shared" si="47"/>
        <v>#N/A</v>
      </c>
      <c r="H262" s="815" t="e">
        <f>NA()</f>
        <v>#N/A</v>
      </c>
      <c r="I262" s="815" t="e">
        <f>NA()</f>
        <v>#N/A</v>
      </c>
      <c r="J262" s="815" t="e">
        <f>NA()</f>
        <v>#N/A</v>
      </c>
      <c r="K262" s="815" t="e">
        <f>NA()</f>
        <v>#N/A</v>
      </c>
      <c r="L262" s="815" t="e">
        <f>NA()</f>
        <v>#N/A</v>
      </c>
      <c r="M262" s="815" t="e">
        <f>NA()</f>
        <v>#N/A</v>
      </c>
      <c r="N262" s="815" t="e">
        <f>NA()</f>
        <v>#N/A</v>
      </c>
      <c r="O262" s="821" t="e">
        <f>NA()</f>
        <v>#N/A</v>
      </c>
      <c r="P262" s="821" t="e">
        <f>NA()</f>
        <v>#N/A</v>
      </c>
      <c r="Q262" s="23" t="str">
        <f t="shared" si="44"/>
        <v>Sample Too Small</v>
      </c>
      <c r="R262">
        <v>6</v>
      </c>
      <c r="S262" t="str">
        <f t="shared" si="48"/>
        <v>Sample too small</v>
      </c>
    </row>
    <row r="263" spans="1:19" hidden="1" x14ac:dyDescent="0.25">
      <c r="A263" t="s">
        <v>898</v>
      </c>
      <c r="B263" t="s">
        <v>49</v>
      </c>
      <c r="C263" t="s">
        <v>601</v>
      </c>
      <c r="D263" t="s">
        <v>282</v>
      </c>
      <c r="E263" t="s">
        <v>128</v>
      </c>
      <c r="F263" t="str">
        <f t="shared" si="46"/>
        <v>Mozambique:Female Sterilization</v>
      </c>
      <c r="G263" s="611">
        <f t="shared" si="47"/>
        <v>0.93</v>
      </c>
      <c r="H263" s="23">
        <v>0.91</v>
      </c>
      <c r="I263" s="23">
        <v>0.02</v>
      </c>
      <c r="J263" s="23">
        <v>0</v>
      </c>
      <c r="K263" s="23">
        <v>7.0000000000000007E-2</v>
      </c>
      <c r="L263" s="23">
        <v>0</v>
      </c>
      <c r="M263" s="23">
        <v>0</v>
      </c>
      <c r="N263" s="23">
        <v>0</v>
      </c>
      <c r="O263" s="818">
        <v>0</v>
      </c>
      <c r="P263" s="818">
        <v>0</v>
      </c>
      <c r="Q263" s="23">
        <f t="shared" si="44"/>
        <v>1</v>
      </c>
      <c r="R263">
        <v>34</v>
      </c>
    </row>
    <row r="264" spans="1:19" hidden="1" x14ac:dyDescent="0.25">
      <c r="A264" t="s">
        <v>898</v>
      </c>
      <c r="B264" t="s">
        <v>49</v>
      </c>
      <c r="C264" t="s">
        <v>601</v>
      </c>
      <c r="D264" t="s">
        <v>282</v>
      </c>
      <c r="E264" t="s">
        <v>3</v>
      </c>
      <c r="F264" t="str">
        <f t="shared" si="46"/>
        <v>Mozambique:Implant</v>
      </c>
      <c r="G264" s="611" t="e">
        <f t="shared" ref="G264:G302" si="49">SUM(H264:I264)</f>
        <v>#N/A</v>
      </c>
      <c r="H264" t="e">
        <f>NA()</f>
        <v>#N/A</v>
      </c>
      <c r="I264" t="e">
        <f>NA()</f>
        <v>#N/A</v>
      </c>
      <c r="J264" t="e">
        <f>NA()</f>
        <v>#N/A</v>
      </c>
      <c r="K264" t="e">
        <f>NA()</f>
        <v>#N/A</v>
      </c>
      <c r="L264" t="e">
        <f>NA()</f>
        <v>#N/A</v>
      </c>
      <c r="M264" t="e">
        <f>NA()</f>
        <v>#N/A</v>
      </c>
      <c r="N264" t="e">
        <f>NA()</f>
        <v>#N/A</v>
      </c>
      <c r="O264" s="818" t="e">
        <f>NA()</f>
        <v>#N/A</v>
      </c>
      <c r="P264" s="818" t="e">
        <f>NA()</f>
        <v>#N/A</v>
      </c>
      <c r="Q264" s="23" t="str">
        <f t="shared" si="44"/>
        <v>Sample Too Small</v>
      </c>
      <c r="R264" s="10">
        <v>2</v>
      </c>
    </row>
    <row r="265" spans="1:19" hidden="1" x14ac:dyDescent="0.25">
      <c r="A265" t="s">
        <v>898</v>
      </c>
      <c r="B265" t="s">
        <v>49</v>
      </c>
      <c r="C265" t="s">
        <v>601</v>
      </c>
      <c r="D265" t="s">
        <v>282</v>
      </c>
      <c r="E265" t="s">
        <v>2</v>
      </c>
      <c r="F265" t="str">
        <f t="shared" si="46"/>
        <v>Mozambique:Injectable</v>
      </c>
      <c r="G265" s="611">
        <f t="shared" si="49"/>
        <v>0.95</v>
      </c>
      <c r="H265" s="23">
        <v>0.94</v>
      </c>
      <c r="I265" s="23">
        <v>0.01</v>
      </c>
      <c r="J265" s="23">
        <v>0</v>
      </c>
      <c r="K265" s="23">
        <v>0.03</v>
      </c>
      <c r="L265" s="23">
        <v>0</v>
      </c>
      <c r="M265" s="23">
        <v>0.01</v>
      </c>
      <c r="N265" s="23">
        <v>0</v>
      </c>
      <c r="O265" s="818">
        <v>0</v>
      </c>
      <c r="P265" s="818">
        <v>0</v>
      </c>
      <c r="Q265" s="23">
        <f t="shared" si="44"/>
        <v>0.99</v>
      </c>
      <c r="R265">
        <v>638</v>
      </c>
    </row>
    <row r="266" spans="1:19" hidden="1" x14ac:dyDescent="0.25">
      <c r="A266" t="s">
        <v>898</v>
      </c>
      <c r="B266" t="s">
        <v>49</v>
      </c>
      <c r="C266" t="s">
        <v>601</v>
      </c>
      <c r="D266" t="s">
        <v>282</v>
      </c>
      <c r="E266" t="s">
        <v>5</v>
      </c>
      <c r="F266" t="str">
        <f t="shared" si="46"/>
        <v>Mozambique:IUD</v>
      </c>
      <c r="G266" s="611">
        <f t="shared" si="49"/>
        <v>0.85</v>
      </c>
      <c r="H266" s="23">
        <v>0.85</v>
      </c>
      <c r="I266" s="23">
        <v>0</v>
      </c>
      <c r="J266" s="23">
        <v>0</v>
      </c>
      <c r="K266" s="23">
        <v>0.12</v>
      </c>
      <c r="L266" s="23">
        <v>0</v>
      </c>
      <c r="M266" s="23">
        <v>0</v>
      </c>
      <c r="N266" s="23">
        <v>0.03</v>
      </c>
      <c r="O266" s="818">
        <v>0</v>
      </c>
      <c r="P266" s="818">
        <v>0</v>
      </c>
      <c r="Q266" s="23">
        <f t="shared" si="44"/>
        <v>1</v>
      </c>
      <c r="R266">
        <v>25</v>
      </c>
    </row>
    <row r="267" spans="1:19" hidden="1" x14ac:dyDescent="0.25">
      <c r="A267" t="s">
        <v>898</v>
      </c>
      <c r="B267" t="s">
        <v>49</v>
      </c>
      <c r="C267" t="s">
        <v>601</v>
      </c>
      <c r="D267" t="s">
        <v>282</v>
      </c>
      <c r="E267" t="s">
        <v>103</v>
      </c>
      <c r="F267" t="str">
        <f t="shared" si="46"/>
        <v>Mozambique:Male Condom</v>
      </c>
      <c r="G267" s="611">
        <f t="shared" si="49"/>
        <v>0.35</v>
      </c>
      <c r="H267" s="23">
        <v>0.35</v>
      </c>
      <c r="I267" s="23">
        <v>0</v>
      </c>
      <c r="J267" s="23">
        <v>0.01</v>
      </c>
      <c r="K267" s="23">
        <v>0.01</v>
      </c>
      <c r="L267" s="23">
        <v>0.17</v>
      </c>
      <c r="M267" s="23">
        <v>0.45</v>
      </c>
      <c r="N267" s="23">
        <v>0.02</v>
      </c>
      <c r="O267" s="818">
        <v>0</v>
      </c>
      <c r="P267" s="818">
        <v>0</v>
      </c>
      <c r="Q267" s="23">
        <f t="shared" si="44"/>
        <v>1.01</v>
      </c>
      <c r="R267">
        <v>573</v>
      </c>
    </row>
    <row r="268" spans="1:19" hidden="1" x14ac:dyDescent="0.25">
      <c r="A268" t="s">
        <v>898</v>
      </c>
      <c r="B268" t="s">
        <v>49</v>
      </c>
      <c r="C268" t="s">
        <v>601</v>
      </c>
      <c r="D268" t="s">
        <v>282</v>
      </c>
      <c r="E268" t="s">
        <v>129</v>
      </c>
      <c r="F268" t="str">
        <f t="shared" si="46"/>
        <v>Mozambique:Male Sterilization</v>
      </c>
      <c r="G268" s="611" t="e">
        <f t="shared" si="49"/>
        <v>#N/A</v>
      </c>
      <c r="H268" t="e">
        <f>NA()</f>
        <v>#N/A</v>
      </c>
      <c r="I268" t="e">
        <f>NA()</f>
        <v>#N/A</v>
      </c>
      <c r="J268" t="e">
        <f>NA()</f>
        <v>#N/A</v>
      </c>
      <c r="K268" t="e">
        <f>NA()</f>
        <v>#N/A</v>
      </c>
      <c r="L268" t="e">
        <f>NA()</f>
        <v>#N/A</v>
      </c>
      <c r="M268" t="e">
        <f>NA()</f>
        <v>#N/A</v>
      </c>
      <c r="N268" t="e">
        <f>NA()</f>
        <v>#N/A</v>
      </c>
      <c r="O268" s="818" t="e">
        <f>NA()</f>
        <v>#N/A</v>
      </c>
      <c r="P268" s="818" t="e">
        <f>NA()</f>
        <v>#N/A</v>
      </c>
      <c r="Q268" s="23" t="str">
        <f t="shared" si="44"/>
        <v>Sample Too Small</v>
      </c>
      <c r="R268" s="10">
        <v>0</v>
      </c>
    </row>
    <row r="269" spans="1:19" hidden="1" x14ac:dyDescent="0.25">
      <c r="A269" s="119" t="s">
        <v>898</v>
      </c>
      <c r="B269" t="s">
        <v>49</v>
      </c>
      <c r="C269" t="s">
        <v>601</v>
      </c>
      <c r="D269" t="s">
        <v>282</v>
      </c>
      <c r="E269" t="s">
        <v>110</v>
      </c>
      <c r="F269" t="str">
        <f t="shared" si="46"/>
        <v>Mozambique:OC Pills</v>
      </c>
      <c r="G269" s="611">
        <f t="shared" si="49"/>
        <v>0.86</v>
      </c>
      <c r="H269" s="502">
        <v>0.85</v>
      </c>
      <c r="I269" s="502">
        <v>0.01</v>
      </c>
      <c r="J269" s="502">
        <v>0</v>
      </c>
      <c r="K269" s="502">
        <v>0.02</v>
      </c>
      <c r="L269" s="502">
        <v>0.08</v>
      </c>
      <c r="M269" s="502">
        <v>0.04</v>
      </c>
      <c r="N269" s="502">
        <v>0</v>
      </c>
      <c r="O269" s="818">
        <v>0</v>
      </c>
      <c r="P269" s="818">
        <v>0</v>
      </c>
      <c r="Q269" s="23">
        <f t="shared" si="44"/>
        <v>1</v>
      </c>
      <c r="R269" s="119">
        <v>767</v>
      </c>
    </row>
    <row r="270" spans="1:19" hidden="1" x14ac:dyDescent="0.25">
      <c r="A270" t="s">
        <v>898</v>
      </c>
      <c r="B270" t="s">
        <v>49</v>
      </c>
      <c r="C270" t="s">
        <v>601</v>
      </c>
      <c r="D270" t="s">
        <v>282</v>
      </c>
      <c r="E270" t="s">
        <v>130</v>
      </c>
      <c r="F270" t="str">
        <f t="shared" si="46"/>
        <v>Mozambique:Other Modern Methods</v>
      </c>
      <c r="G270" s="611" t="e">
        <f t="shared" si="49"/>
        <v>#N/A</v>
      </c>
      <c r="H270" t="e">
        <f>NA()</f>
        <v>#N/A</v>
      </c>
      <c r="I270" t="e">
        <f>NA()</f>
        <v>#N/A</v>
      </c>
      <c r="J270" t="e">
        <f>NA()</f>
        <v>#N/A</v>
      </c>
      <c r="K270" t="e">
        <f>NA()</f>
        <v>#N/A</v>
      </c>
      <c r="L270" t="e">
        <f>NA()</f>
        <v>#N/A</v>
      </c>
      <c r="M270" t="e">
        <f>NA()</f>
        <v>#N/A</v>
      </c>
      <c r="N270" t="e">
        <f>NA()</f>
        <v>#N/A</v>
      </c>
      <c r="O270" s="818" t="e">
        <f>NA()</f>
        <v>#N/A</v>
      </c>
      <c r="P270" s="818" t="e">
        <f>NA()</f>
        <v>#N/A</v>
      </c>
      <c r="Q270" s="23" t="str">
        <f t="shared" si="44"/>
        <v>Sample Too Small</v>
      </c>
      <c r="R270" s="10">
        <v>15</v>
      </c>
    </row>
    <row r="271" spans="1:19" hidden="1" x14ac:dyDescent="0.25">
      <c r="A271" t="s">
        <v>899</v>
      </c>
      <c r="B271" t="s">
        <v>50</v>
      </c>
      <c r="C271" t="s">
        <v>610</v>
      </c>
      <c r="D271" t="s">
        <v>282</v>
      </c>
      <c r="E271" t="s">
        <v>128</v>
      </c>
      <c r="F271" t="str">
        <f t="shared" si="46"/>
        <v>Myanmar:Female Sterilization</v>
      </c>
      <c r="G271" s="611">
        <f t="shared" si="49"/>
        <v>0.76</v>
      </c>
      <c r="H271" s="23">
        <v>0.76</v>
      </c>
      <c r="I271" s="23">
        <v>0</v>
      </c>
      <c r="J271" s="23">
        <v>0</v>
      </c>
      <c r="K271" s="23">
        <v>0.23</v>
      </c>
      <c r="L271" s="23">
        <v>0</v>
      </c>
      <c r="M271" s="23">
        <v>0</v>
      </c>
      <c r="N271" s="23">
        <v>0</v>
      </c>
      <c r="O271" s="818">
        <v>0</v>
      </c>
      <c r="P271" s="818">
        <v>0</v>
      </c>
      <c r="Q271" s="23">
        <f t="shared" si="44"/>
        <v>0.99</v>
      </c>
      <c r="R271">
        <v>423</v>
      </c>
    </row>
    <row r="272" spans="1:19" hidden="1" x14ac:dyDescent="0.25">
      <c r="A272" t="s">
        <v>899</v>
      </c>
      <c r="B272" t="s">
        <v>50</v>
      </c>
      <c r="C272" t="s">
        <v>610</v>
      </c>
      <c r="D272" t="s">
        <v>282</v>
      </c>
      <c r="E272" t="s">
        <v>3</v>
      </c>
      <c r="F272" t="str">
        <f t="shared" si="46"/>
        <v>Myanmar:Implant</v>
      </c>
      <c r="G272" s="611">
        <f t="shared" si="49"/>
        <v>0.32</v>
      </c>
      <c r="H272" s="23">
        <v>0.3</v>
      </c>
      <c r="I272" s="23">
        <v>0.02</v>
      </c>
      <c r="J272" s="23">
        <v>0.47</v>
      </c>
      <c r="K272" s="23">
        <v>0.2</v>
      </c>
      <c r="L272" s="23">
        <v>0</v>
      </c>
      <c r="M272" s="23">
        <v>0</v>
      </c>
      <c r="N272" s="23">
        <v>0</v>
      </c>
      <c r="O272" s="818">
        <v>0</v>
      </c>
      <c r="P272" s="818">
        <v>0</v>
      </c>
      <c r="Q272" s="23">
        <f t="shared" si="44"/>
        <v>0.99</v>
      </c>
      <c r="R272">
        <v>89</v>
      </c>
    </row>
    <row r="273" spans="1:18" hidden="1" x14ac:dyDescent="0.25">
      <c r="A273" t="s">
        <v>899</v>
      </c>
      <c r="B273" t="s">
        <v>50</v>
      </c>
      <c r="C273" t="s">
        <v>610</v>
      </c>
      <c r="D273" t="s">
        <v>282</v>
      </c>
      <c r="E273" t="s">
        <v>2</v>
      </c>
      <c r="F273" t="str">
        <f t="shared" si="46"/>
        <v>Myanmar:Injectable</v>
      </c>
      <c r="G273" s="611">
        <f t="shared" si="49"/>
        <v>0.74</v>
      </c>
      <c r="H273" s="23">
        <v>0.61</v>
      </c>
      <c r="I273" s="23">
        <v>0.13</v>
      </c>
      <c r="J273" s="23">
        <v>0.01</v>
      </c>
      <c r="K273" s="23">
        <v>0.18</v>
      </c>
      <c r="L273" s="23">
        <v>0.01</v>
      </c>
      <c r="M273" s="23">
        <v>0.03</v>
      </c>
      <c r="N273" s="23">
        <v>0.03</v>
      </c>
      <c r="O273" s="818">
        <v>0</v>
      </c>
      <c r="P273" s="818">
        <v>0</v>
      </c>
      <c r="Q273" s="23">
        <f t="shared" si="44"/>
        <v>1</v>
      </c>
      <c r="R273" s="2">
        <v>1938</v>
      </c>
    </row>
    <row r="274" spans="1:18" hidden="1" x14ac:dyDescent="0.25">
      <c r="A274" t="s">
        <v>899</v>
      </c>
      <c r="B274" t="s">
        <v>50</v>
      </c>
      <c r="C274" t="s">
        <v>610</v>
      </c>
      <c r="D274" t="s">
        <v>282</v>
      </c>
      <c r="E274" t="s">
        <v>5</v>
      </c>
      <c r="F274" t="str">
        <f t="shared" si="46"/>
        <v>Myanmar:IUD</v>
      </c>
      <c r="G274" s="611">
        <f t="shared" si="49"/>
        <v>0.44</v>
      </c>
      <c r="H274" s="23">
        <v>0.38</v>
      </c>
      <c r="I274" s="23">
        <v>0.06</v>
      </c>
      <c r="J274" s="23">
        <v>0.23</v>
      </c>
      <c r="K274" s="23">
        <v>0.33</v>
      </c>
      <c r="L274" s="23">
        <v>0</v>
      </c>
      <c r="M274" s="23">
        <v>0</v>
      </c>
      <c r="N274" s="23">
        <v>0</v>
      </c>
      <c r="O274" s="818">
        <v>0</v>
      </c>
      <c r="P274" s="818">
        <v>0</v>
      </c>
      <c r="Q274" s="23">
        <f t="shared" si="44"/>
        <v>1</v>
      </c>
      <c r="R274">
        <v>201</v>
      </c>
    </row>
    <row r="275" spans="1:18" hidden="1" x14ac:dyDescent="0.25">
      <c r="A275" t="s">
        <v>899</v>
      </c>
      <c r="B275" t="s">
        <v>50</v>
      </c>
      <c r="C275" t="s">
        <v>610</v>
      </c>
      <c r="D275" t="s">
        <v>282</v>
      </c>
      <c r="E275" t="s">
        <v>103</v>
      </c>
      <c r="F275" t="str">
        <f t="shared" si="46"/>
        <v>Myanmar:Male Condom</v>
      </c>
      <c r="G275" s="611">
        <f t="shared" si="49"/>
        <v>0.1</v>
      </c>
      <c r="H275" s="23">
        <v>0.1</v>
      </c>
      <c r="I275" s="23">
        <v>0</v>
      </c>
      <c r="J275" s="23">
        <v>7.0000000000000007E-2</v>
      </c>
      <c r="K275" s="23">
        <v>0.09</v>
      </c>
      <c r="L275" s="23">
        <v>0.37</v>
      </c>
      <c r="M275" s="23">
        <v>0.37</v>
      </c>
      <c r="N275" s="23">
        <v>0</v>
      </c>
      <c r="O275" s="818">
        <v>0</v>
      </c>
      <c r="P275" s="818">
        <v>0</v>
      </c>
      <c r="Q275" s="23">
        <f t="shared" ref="Q275:Q338" si="50">IFERROR(SUM(H275:N275), "Sample Too Small")</f>
        <v>1</v>
      </c>
      <c r="R275">
        <v>82</v>
      </c>
    </row>
    <row r="276" spans="1:18" hidden="1" x14ac:dyDescent="0.25">
      <c r="A276" t="s">
        <v>899</v>
      </c>
      <c r="B276" t="s">
        <v>50</v>
      </c>
      <c r="C276" t="s">
        <v>610</v>
      </c>
      <c r="D276" t="s">
        <v>282</v>
      </c>
      <c r="E276" t="s">
        <v>129</v>
      </c>
      <c r="F276" t="str">
        <f t="shared" si="46"/>
        <v>Myanmar:Male Sterilization</v>
      </c>
      <c r="G276" s="611">
        <f t="shared" si="49"/>
        <v>0.57999999999999996</v>
      </c>
      <c r="H276" s="23">
        <v>0.57999999999999996</v>
      </c>
      <c r="I276" s="23">
        <v>0</v>
      </c>
      <c r="J276" s="23">
        <v>0</v>
      </c>
      <c r="K276" s="23">
        <v>0.34</v>
      </c>
      <c r="L276" s="23">
        <v>0</v>
      </c>
      <c r="M276" s="23">
        <v>0</v>
      </c>
      <c r="N276" s="23">
        <v>0.01</v>
      </c>
      <c r="O276" s="818">
        <v>7.0000000000000007E-2</v>
      </c>
      <c r="P276" s="818">
        <v>0</v>
      </c>
      <c r="Q276" s="23">
        <f t="shared" si="50"/>
        <v>0.92999999999999994</v>
      </c>
      <c r="R276">
        <v>33</v>
      </c>
    </row>
    <row r="277" spans="1:18" hidden="1" x14ac:dyDescent="0.25">
      <c r="A277" s="119" t="s">
        <v>899</v>
      </c>
      <c r="B277" t="s">
        <v>50</v>
      </c>
      <c r="C277" t="s">
        <v>610</v>
      </c>
      <c r="D277" t="s">
        <v>282</v>
      </c>
      <c r="E277" t="s">
        <v>110</v>
      </c>
      <c r="F277" t="str">
        <f t="shared" si="46"/>
        <v>Myanmar:OC Pills</v>
      </c>
      <c r="G277" s="611">
        <f t="shared" si="49"/>
        <v>0.13999999999999999</v>
      </c>
      <c r="H277" s="502">
        <v>0.12</v>
      </c>
      <c r="I277" s="502">
        <v>0.02</v>
      </c>
      <c r="J277" s="502">
        <v>0</v>
      </c>
      <c r="K277" s="502">
        <v>0.03</v>
      </c>
      <c r="L277" s="502">
        <v>0.44</v>
      </c>
      <c r="M277" s="502">
        <v>0.38</v>
      </c>
      <c r="N277" s="502">
        <v>0</v>
      </c>
      <c r="O277" s="818">
        <v>0</v>
      </c>
      <c r="P277" s="818">
        <v>0</v>
      </c>
      <c r="Q277" s="23">
        <f t="shared" si="50"/>
        <v>0.99</v>
      </c>
      <c r="R277" s="501">
        <v>1008</v>
      </c>
    </row>
    <row r="278" spans="1:18" hidden="1" x14ac:dyDescent="0.25">
      <c r="A278" t="s">
        <v>899</v>
      </c>
      <c r="B278" t="s">
        <v>50</v>
      </c>
      <c r="C278" t="s">
        <v>610</v>
      </c>
      <c r="D278" t="s">
        <v>282</v>
      </c>
      <c r="E278" t="s">
        <v>130</v>
      </c>
      <c r="F278" t="str">
        <f t="shared" si="46"/>
        <v>Myanmar:Other Modern Methods</v>
      </c>
      <c r="G278" s="611" t="e">
        <f t="shared" si="49"/>
        <v>#N/A</v>
      </c>
      <c r="H278" t="e">
        <f>NA()</f>
        <v>#N/A</v>
      </c>
      <c r="I278" t="e">
        <f>NA()</f>
        <v>#N/A</v>
      </c>
      <c r="J278" t="e">
        <f>NA()</f>
        <v>#N/A</v>
      </c>
      <c r="K278" t="e">
        <f>NA()</f>
        <v>#N/A</v>
      </c>
      <c r="L278" t="e">
        <f>NA()</f>
        <v>#N/A</v>
      </c>
      <c r="M278" t="e">
        <f>NA()</f>
        <v>#N/A</v>
      </c>
      <c r="N278" t="e">
        <f>NA()</f>
        <v>#N/A</v>
      </c>
      <c r="O278" s="818" t="e">
        <f>NA()</f>
        <v>#N/A</v>
      </c>
      <c r="P278" s="818" t="e">
        <f>NA()</f>
        <v>#N/A</v>
      </c>
      <c r="Q278" s="23" t="str">
        <f t="shared" si="50"/>
        <v>Sample Too Small</v>
      </c>
      <c r="R278" s="10">
        <v>5</v>
      </c>
    </row>
    <row r="279" spans="1:18" hidden="1" x14ac:dyDescent="0.25">
      <c r="A279" t="s">
        <v>900</v>
      </c>
      <c r="B279" t="s">
        <v>51</v>
      </c>
      <c r="C279" t="s">
        <v>610</v>
      </c>
      <c r="D279" t="s">
        <v>282</v>
      </c>
      <c r="E279" t="s">
        <v>128</v>
      </c>
      <c r="F279" t="str">
        <f t="shared" ref="F279:F354" si="51">B279&amp;":"&amp;E279</f>
        <v>Nepal:Female Sterilization</v>
      </c>
      <c r="G279" s="611">
        <f t="shared" si="49"/>
        <v>0.73</v>
      </c>
      <c r="H279" s="23">
        <v>0.61</v>
      </c>
      <c r="I279" s="23">
        <v>0.12</v>
      </c>
      <c r="J279" s="23">
        <v>0.08</v>
      </c>
      <c r="K279" s="23">
        <v>0.08</v>
      </c>
      <c r="L279" s="23">
        <v>0</v>
      </c>
      <c r="M279" s="23">
        <v>0</v>
      </c>
      <c r="N279" s="23">
        <v>0.1</v>
      </c>
      <c r="O279" s="818">
        <v>0</v>
      </c>
      <c r="P279" s="818">
        <v>0</v>
      </c>
      <c r="Q279" s="23">
        <f t="shared" si="50"/>
        <v>0.98999999999999988</v>
      </c>
      <c r="R279" s="2">
        <v>1410</v>
      </c>
    </row>
    <row r="280" spans="1:18" hidden="1" x14ac:dyDescent="0.25">
      <c r="A280" t="s">
        <v>900</v>
      </c>
      <c r="B280" t="s">
        <v>51</v>
      </c>
      <c r="C280" t="s">
        <v>610</v>
      </c>
      <c r="D280" t="s">
        <v>282</v>
      </c>
      <c r="E280" t="s">
        <v>3</v>
      </c>
      <c r="F280" t="str">
        <f t="shared" si="51"/>
        <v>Nepal:Implant</v>
      </c>
      <c r="G280" s="611">
        <f t="shared" si="49"/>
        <v>0.84</v>
      </c>
      <c r="H280" s="23">
        <v>0.72</v>
      </c>
      <c r="I280" s="23">
        <v>0.12</v>
      </c>
      <c r="J280" s="23">
        <v>0.13</v>
      </c>
      <c r="K280" s="23">
        <v>0.03</v>
      </c>
      <c r="L280" s="23">
        <v>0</v>
      </c>
      <c r="M280" s="23">
        <v>0</v>
      </c>
      <c r="N280" s="23">
        <v>0</v>
      </c>
      <c r="O280" s="818">
        <v>0</v>
      </c>
      <c r="P280" s="818">
        <v>0</v>
      </c>
      <c r="Q280" s="23">
        <f t="shared" si="50"/>
        <v>1</v>
      </c>
      <c r="R280">
        <v>343</v>
      </c>
    </row>
    <row r="281" spans="1:18" hidden="1" x14ac:dyDescent="0.25">
      <c r="A281" t="s">
        <v>900</v>
      </c>
      <c r="B281" t="s">
        <v>51</v>
      </c>
      <c r="C281" t="s">
        <v>610</v>
      </c>
      <c r="D281" t="s">
        <v>282</v>
      </c>
      <c r="E281" t="s">
        <v>2</v>
      </c>
      <c r="F281" t="str">
        <f t="shared" si="51"/>
        <v>Nepal:Injectable</v>
      </c>
      <c r="G281" s="611">
        <f t="shared" si="49"/>
        <v>0.74</v>
      </c>
      <c r="H281" s="23">
        <v>0.66</v>
      </c>
      <c r="I281" s="23">
        <v>0.08</v>
      </c>
      <c r="J281" s="23">
        <v>0.01</v>
      </c>
      <c r="K281" s="23">
        <v>0.14000000000000001</v>
      </c>
      <c r="L281" s="23">
        <v>0.11</v>
      </c>
      <c r="M281" s="23">
        <v>0</v>
      </c>
      <c r="N281" s="23">
        <v>0</v>
      </c>
      <c r="O281" s="818">
        <v>0</v>
      </c>
      <c r="P281" s="818">
        <v>0</v>
      </c>
      <c r="Q281" s="23">
        <f t="shared" si="50"/>
        <v>1</v>
      </c>
      <c r="R281">
        <v>925</v>
      </c>
    </row>
    <row r="282" spans="1:18" hidden="1" x14ac:dyDescent="0.25">
      <c r="A282" t="s">
        <v>900</v>
      </c>
      <c r="B282" t="s">
        <v>51</v>
      </c>
      <c r="C282" t="s">
        <v>610</v>
      </c>
      <c r="D282" t="s">
        <v>282</v>
      </c>
      <c r="E282" t="s">
        <v>5</v>
      </c>
      <c r="F282" t="str">
        <f t="shared" si="51"/>
        <v>Nepal:IUD</v>
      </c>
      <c r="G282" s="611">
        <f t="shared" si="49"/>
        <v>0.71</v>
      </c>
      <c r="H282" s="23">
        <v>0.64</v>
      </c>
      <c r="I282" s="23">
        <v>7.0000000000000007E-2</v>
      </c>
      <c r="J282" s="23">
        <v>0.16</v>
      </c>
      <c r="K282" s="23">
        <v>0.1</v>
      </c>
      <c r="L282" s="23">
        <v>0</v>
      </c>
      <c r="M282" s="23">
        <v>0</v>
      </c>
      <c r="N282" s="23">
        <v>0.03</v>
      </c>
      <c r="O282" s="818">
        <v>0</v>
      </c>
      <c r="P282" s="818">
        <v>0</v>
      </c>
      <c r="Q282" s="23">
        <f t="shared" si="50"/>
        <v>1</v>
      </c>
      <c r="R282">
        <v>141</v>
      </c>
    </row>
    <row r="283" spans="1:18" hidden="1" x14ac:dyDescent="0.25">
      <c r="A283" t="s">
        <v>900</v>
      </c>
      <c r="B283" t="s">
        <v>51</v>
      </c>
      <c r="C283" t="s">
        <v>610</v>
      </c>
      <c r="D283" t="s">
        <v>282</v>
      </c>
      <c r="E283" t="s">
        <v>103</v>
      </c>
      <c r="F283" t="str">
        <f t="shared" si="51"/>
        <v>Nepal:Male Condom</v>
      </c>
      <c r="G283" s="611">
        <f t="shared" si="49"/>
        <v>0.38</v>
      </c>
      <c r="H283" s="23">
        <v>0.24</v>
      </c>
      <c r="I283" s="23">
        <v>0.14000000000000001</v>
      </c>
      <c r="J283" s="23">
        <v>0.01</v>
      </c>
      <c r="K283" s="23">
        <v>0.16</v>
      </c>
      <c r="L283" s="23">
        <v>0.4</v>
      </c>
      <c r="M283" s="23">
        <v>0.04</v>
      </c>
      <c r="N283" s="23">
        <v>0</v>
      </c>
      <c r="O283" s="818">
        <v>0</v>
      </c>
      <c r="P283" s="818">
        <v>0</v>
      </c>
      <c r="Q283" s="23">
        <f t="shared" si="50"/>
        <v>0.9900000000000001</v>
      </c>
      <c r="R283">
        <v>440</v>
      </c>
    </row>
    <row r="284" spans="1:18" hidden="1" x14ac:dyDescent="0.25">
      <c r="A284" t="s">
        <v>900</v>
      </c>
      <c r="B284" t="s">
        <v>51</v>
      </c>
      <c r="C284" t="s">
        <v>610</v>
      </c>
      <c r="D284" t="s">
        <v>282</v>
      </c>
      <c r="E284" t="s">
        <v>129</v>
      </c>
      <c r="F284" t="str">
        <f t="shared" si="51"/>
        <v>Nepal:Male Sterilization</v>
      </c>
      <c r="G284" s="611">
        <f t="shared" si="49"/>
        <v>0.77999999999999992</v>
      </c>
      <c r="H284" s="23">
        <v>0.56999999999999995</v>
      </c>
      <c r="I284" s="23">
        <v>0.21</v>
      </c>
      <c r="J284" s="23">
        <v>0.1</v>
      </c>
      <c r="K284" s="23">
        <v>0.04</v>
      </c>
      <c r="L284" s="23">
        <v>0</v>
      </c>
      <c r="M284" s="23">
        <v>0</v>
      </c>
      <c r="N284" s="23">
        <v>0.02</v>
      </c>
      <c r="O284" s="818">
        <v>0.04</v>
      </c>
      <c r="P284" s="818">
        <v>0</v>
      </c>
      <c r="Q284" s="23">
        <f t="shared" si="50"/>
        <v>0.94</v>
      </c>
      <c r="R284">
        <v>580</v>
      </c>
    </row>
    <row r="285" spans="1:18" hidden="1" x14ac:dyDescent="0.25">
      <c r="A285" s="119" t="s">
        <v>900</v>
      </c>
      <c r="B285" t="s">
        <v>51</v>
      </c>
      <c r="C285" t="s">
        <v>610</v>
      </c>
      <c r="D285" t="s">
        <v>282</v>
      </c>
      <c r="E285" t="s">
        <v>110</v>
      </c>
      <c r="F285" t="str">
        <f t="shared" si="51"/>
        <v>Nepal:OC Pills</v>
      </c>
      <c r="G285" s="611">
        <f t="shared" si="49"/>
        <v>0.56000000000000005</v>
      </c>
      <c r="H285" s="502">
        <v>0.37</v>
      </c>
      <c r="I285" s="502">
        <v>0.19</v>
      </c>
      <c r="J285" s="502">
        <v>0.01</v>
      </c>
      <c r="K285" s="502">
        <v>0.18</v>
      </c>
      <c r="L285" s="502">
        <v>0.22</v>
      </c>
      <c r="M285" s="502">
        <v>0.02</v>
      </c>
      <c r="N285" s="502">
        <v>0.01</v>
      </c>
      <c r="O285" s="818">
        <v>0</v>
      </c>
      <c r="P285" s="818">
        <v>0</v>
      </c>
      <c r="Q285" s="23">
        <f t="shared" si="50"/>
        <v>1</v>
      </c>
      <c r="R285" s="119">
        <v>462</v>
      </c>
    </row>
    <row r="286" spans="1:18" hidden="1" x14ac:dyDescent="0.25">
      <c r="A286" t="s">
        <v>900</v>
      </c>
      <c r="B286" t="s">
        <v>51</v>
      </c>
      <c r="C286" t="s">
        <v>610</v>
      </c>
      <c r="D286" t="s">
        <v>282</v>
      </c>
      <c r="E286" t="s">
        <v>130</v>
      </c>
      <c r="F286" t="str">
        <f t="shared" si="51"/>
        <v>Nepal:Other Modern Methods</v>
      </c>
      <c r="G286" s="611" t="e">
        <f t="shared" si="49"/>
        <v>#N/A</v>
      </c>
      <c r="H286" t="e">
        <f>NA()</f>
        <v>#N/A</v>
      </c>
      <c r="I286" t="e">
        <f>NA()</f>
        <v>#N/A</v>
      </c>
      <c r="J286" t="e">
        <f>NA()</f>
        <v>#N/A</v>
      </c>
      <c r="K286" t="e">
        <f>NA()</f>
        <v>#N/A</v>
      </c>
      <c r="L286" t="e">
        <f>NA()</f>
        <v>#N/A</v>
      </c>
      <c r="M286" t="e">
        <f>NA()</f>
        <v>#N/A</v>
      </c>
      <c r="N286" t="e">
        <f>NA()</f>
        <v>#N/A</v>
      </c>
      <c r="O286" s="818" t="e">
        <f>NA()</f>
        <v>#N/A</v>
      </c>
      <c r="P286" s="818" t="e">
        <f>NA()</f>
        <v>#N/A</v>
      </c>
      <c r="Q286" s="23" t="str">
        <f t="shared" si="50"/>
        <v>Sample Too Small</v>
      </c>
      <c r="R286" s="10">
        <v>4</v>
      </c>
    </row>
    <row r="287" spans="1:18" hidden="1" x14ac:dyDescent="0.25">
      <c r="A287" t="s">
        <v>901</v>
      </c>
      <c r="B287" t="s">
        <v>52</v>
      </c>
      <c r="C287" t="s">
        <v>617</v>
      </c>
      <c r="D287" t="s">
        <v>282</v>
      </c>
      <c r="E287" t="s">
        <v>128</v>
      </c>
      <c r="F287" t="str">
        <f t="shared" si="51"/>
        <v>Nicaragua:Female Sterilization</v>
      </c>
      <c r="G287" s="611">
        <f t="shared" si="49"/>
        <v>0.67</v>
      </c>
      <c r="H287" s="23">
        <v>0.67</v>
      </c>
      <c r="I287" s="23">
        <v>0</v>
      </c>
      <c r="J287" s="23">
        <v>0</v>
      </c>
      <c r="K287" s="23">
        <v>0.31</v>
      </c>
      <c r="L287" s="23">
        <v>0</v>
      </c>
      <c r="M287" s="23">
        <v>0</v>
      </c>
      <c r="N287" s="23">
        <v>0.02</v>
      </c>
      <c r="O287" s="818">
        <v>0</v>
      </c>
      <c r="P287" s="818">
        <v>0</v>
      </c>
      <c r="Q287" s="23">
        <f t="shared" si="50"/>
        <v>1</v>
      </c>
      <c r="R287" s="2">
        <v>2319</v>
      </c>
    </row>
    <row r="288" spans="1:18" hidden="1" x14ac:dyDescent="0.25">
      <c r="A288" t="s">
        <v>901</v>
      </c>
      <c r="B288" t="s">
        <v>52</v>
      </c>
      <c r="C288" t="s">
        <v>617</v>
      </c>
      <c r="D288" t="s">
        <v>282</v>
      </c>
      <c r="E288" t="s">
        <v>3</v>
      </c>
      <c r="F288" t="str">
        <f t="shared" si="51"/>
        <v>Nicaragua:Implant</v>
      </c>
      <c r="G288" s="611" t="e">
        <f t="shared" si="49"/>
        <v>#N/A</v>
      </c>
      <c r="H288" t="e">
        <f>NA()</f>
        <v>#N/A</v>
      </c>
      <c r="I288" t="e">
        <f>NA()</f>
        <v>#N/A</v>
      </c>
      <c r="J288" t="e">
        <f>NA()</f>
        <v>#N/A</v>
      </c>
      <c r="K288" t="e">
        <f>NA()</f>
        <v>#N/A</v>
      </c>
      <c r="L288" t="e">
        <f>NA()</f>
        <v>#N/A</v>
      </c>
      <c r="M288" t="e">
        <f>NA()</f>
        <v>#N/A</v>
      </c>
      <c r="N288" t="e">
        <f>NA()</f>
        <v>#N/A</v>
      </c>
      <c r="O288" s="818" t="e">
        <f>NA()</f>
        <v>#N/A</v>
      </c>
      <c r="P288" s="818" t="e">
        <f>NA()</f>
        <v>#N/A</v>
      </c>
      <c r="Q288" s="23" t="str">
        <f t="shared" si="50"/>
        <v>Sample Too Small</v>
      </c>
      <c r="R288" s="10">
        <v>0</v>
      </c>
    </row>
    <row r="289" spans="1:19" hidden="1" x14ac:dyDescent="0.25">
      <c r="A289" t="s">
        <v>901</v>
      </c>
      <c r="B289" t="s">
        <v>52</v>
      </c>
      <c r="C289" t="s">
        <v>617</v>
      </c>
      <c r="D289" t="s">
        <v>282</v>
      </c>
      <c r="E289" t="s">
        <v>2</v>
      </c>
      <c r="F289" t="str">
        <f t="shared" si="51"/>
        <v>Nicaragua:Injectable</v>
      </c>
      <c r="G289" s="611">
        <f t="shared" si="49"/>
        <v>0.74</v>
      </c>
      <c r="H289" s="23">
        <v>0.73</v>
      </c>
      <c r="I289" s="23">
        <v>0.01</v>
      </c>
      <c r="J289" s="23">
        <v>0</v>
      </c>
      <c r="K289" s="23">
        <v>0.1</v>
      </c>
      <c r="L289" s="23">
        <v>0.14000000000000001</v>
      </c>
      <c r="M289" s="23">
        <v>0</v>
      </c>
      <c r="N289" s="23">
        <v>0.01</v>
      </c>
      <c r="O289" s="818">
        <v>0</v>
      </c>
      <c r="P289" s="818">
        <v>0</v>
      </c>
      <c r="Q289" s="23">
        <f t="shared" si="50"/>
        <v>0.99</v>
      </c>
      <c r="R289" s="2">
        <v>1351</v>
      </c>
    </row>
    <row r="290" spans="1:19" hidden="1" x14ac:dyDescent="0.25">
      <c r="A290" t="s">
        <v>901</v>
      </c>
      <c r="B290" t="s">
        <v>52</v>
      </c>
      <c r="C290" t="s">
        <v>617</v>
      </c>
      <c r="D290" t="s">
        <v>282</v>
      </c>
      <c r="E290" t="s">
        <v>5</v>
      </c>
      <c r="F290" t="str">
        <f t="shared" si="51"/>
        <v>Nicaragua:IUD</v>
      </c>
      <c r="G290" s="611">
        <f t="shared" si="49"/>
        <v>0.61</v>
      </c>
      <c r="H290" s="23">
        <v>0.6</v>
      </c>
      <c r="I290" s="23">
        <v>0.01</v>
      </c>
      <c r="J290" s="23">
        <v>0</v>
      </c>
      <c r="K290" s="23">
        <v>0.37</v>
      </c>
      <c r="L290" s="23">
        <v>0.01</v>
      </c>
      <c r="M290" s="23">
        <v>0</v>
      </c>
      <c r="N290" s="23">
        <v>0.01</v>
      </c>
      <c r="O290" s="818">
        <v>0</v>
      </c>
      <c r="P290" s="818">
        <v>0.01</v>
      </c>
      <c r="Q290" s="23">
        <f t="shared" si="50"/>
        <v>1</v>
      </c>
      <c r="R290">
        <v>420</v>
      </c>
    </row>
    <row r="291" spans="1:19" hidden="1" x14ac:dyDescent="0.25">
      <c r="A291" t="s">
        <v>901</v>
      </c>
      <c r="B291" t="s">
        <v>52</v>
      </c>
      <c r="C291" t="s">
        <v>617</v>
      </c>
      <c r="D291" t="s">
        <v>282</v>
      </c>
      <c r="E291" t="s">
        <v>103</v>
      </c>
      <c r="F291" t="str">
        <f t="shared" si="51"/>
        <v>Nicaragua:Male Condom</v>
      </c>
      <c r="G291" s="611">
        <f t="shared" si="49"/>
        <v>0.35714285714285715</v>
      </c>
      <c r="H291" s="23">
        <v>0.33673469387755101</v>
      </c>
      <c r="I291" s="23">
        <v>2.0408163265306121E-2</v>
      </c>
      <c r="J291" s="23">
        <v>0</v>
      </c>
      <c r="K291" s="23">
        <v>4.0816326530612242E-2</v>
      </c>
      <c r="L291" s="23">
        <v>0.48979591836734687</v>
      </c>
      <c r="M291" s="23">
        <v>3.0612244897959179E-2</v>
      </c>
      <c r="N291" s="23">
        <v>4.0816326530612242E-2</v>
      </c>
      <c r="O291" s="818">
        <v>4.0816326530612242E-2</v>
      </c>
      <c r="P291" s="818">
        <v>0.02</v>
      </c>
      <c r="Q291" s="23">
        <f t="shared" si="50"/>
        <v>0.95918367346938782</v>
      </c>
      <c r="R291">
        <v>251</v>
      </c>
    </row>
    <row r="292" spans="1:19" hidden="1" x14ac:dyDescent="0.25">
      <c r="A292" t="s">
        <v>901</v>
      </c>
      <c r="B292" t="s">
        <v>52</v>
      </c>
      <c r="C292" t="s">
        <v>617</v>
      </c>
      <c r="D292" t="s">
        <v>282</v>
      </c>
      <c r="E292" t="s">
        <v>129</v>
      </c>
      <c r="F292" t="str">
        <f t="shared" si="51"/>
        <v>Nicaragua:Male Sterilization</v>
      </c>
      <c r="G292" s="611">
        <f t="shared" si="49"/>
        <v>0.13131313131313133</v>
      </c>
      <c r="H292" s="23">
        <v>0.13131313131313133</v>
      </c>
      <c r="I292" s="23">
        <v>0</v>
      </c>
      <c r="J292" s="23">
        <v>0</v>
      </c>
      <c r="K292" s="23">
        <v>0.83838383838383834</v>
      </c>
      <c r="L292" s="23">
        <v>0</v>
      </c>
      <c r="M292" s="23">
        <v>0</v>
      </c>
      <c r="N292" s="23">
        <v>0</v>
      </c>
      <c r="O292" s="818">
        <v>3.0303030303030304E-2</v>
      </c>
      <c r="P292" s="818">
        <v>0.01</v>
      </c>
      <c r="Q292" s="23">
        <f t="shared" si="50"/>
        <v>0.96969696969696972</v>
      </c>
      <c r="R292">
        <v>29</v>
      </c>
    </row>
    <row r="293" spans="1:19" hidden="1" x14ac:dyDescent="0.25">
      <c r="A293" s="119" t="s">
        <v>901</v>
      </c>
      <c r="B293" t="s">
        <v>52</v>
      </c>
      <c r="C293" t="s">
        <v>617</v>
      </c>
      <c r="D293" t="s">
        <v>282</v>
      </c>
      <c r="E293" t="s">
        <v>110</v>
      </c>
      <c r="F293" t="str">
        <f t="shared" si="51"/>
        <v>Nicaragua:OC Pills</v>
      </c>
      <c r="G293" s="611">
        <f t="shared" si="49"/>
        <v>0.59</v>
      </c>
      <c r="H293" s="502">
        <v>0.57999999999999996</v>
      </c>
      <c r="I293" s="502">
        <v>0.01</v>
      </c>
      <c r="J293" s="502">
        <v>0</v>
      </c>
      <c r="K293" s="502">
        <v>7.0000000000000007E-2</v>
      </c>
      <c r="L293" s="502">
        <v>0.31</v>
      </c>
      <c r="M293" s="502">
        <v>0.01</v>
      </c>
      <c r="N293" s="502">
        <v>0.02</v>
      </c>
      <c r="O293" s="818">
        <v>0</v>
      </c>
      <c r="P293" s="818">
        <v>0.01</v>
      </c>
      <c r="Q293" s="23">
        <f t="shared" si="50"/>
        <v>1</v>
      </c>
      <c r="R293" s="501">
        <v>1250</v>
      </c>
    </row>
    <row r="294" spans="1:19" hidden="1" x14ac:dyDescent="0.25">
      <c r="A294" t="s">
        <v>901</v>
      </c>
      <c r="B294" t="s">
        <v>52</v>
      </c>
      <c r="C294" t="s">
        <v>617</v>
      </c>
      <c r="D294" t="s">
        <v>282</v>
      </c>
      <c r="E294" t="s">
        <v>130</v>
      </c>
      <c r="F294" t="str">
        <f t="shared" si="51"/>
        <v>Nicaragua:Other Modern Methods</v>
      </c>
      <c r="G294" s="611" t="e">
        <f t="shared" si="49"/>
        <v>#N/A</v>
      </c>
      <c r="H294" t="e">
        <f>NA()</f>
        <v>#N/A</v>
      </c>
      <c r="I294" t="e">
        <f>NA()</f>
        <v>#N/A</v>
      </c>
      <c r="J294" t="e">
        <f>NA()</f>
        <v>#N/A</v>
      </c>
      <c r="K294" t="e">
        <f>NA()</f>
        <v>#N/A</v>
      </c>
      <c r="L294" t="e">
        <f>NA()</f>
        <v>#N/A</v>
      </c>
      <c r="M294" t="e">
        <f>NA()</f>
        <v>#N/A</v>
      </c>
      <c r="N294" t="e">
        <f>NA()</f>
        <v>#N/A</v>
      </c>
      <c r="O294" s="818" t="e">
        <f>NA()</f>
        <v>#N/A</v>
      </c>
      <c r="P294" s="818" t="e">
        <f>NA()</f>
        <v>#N/A</v>
      </c>
      <c r="Q294" s="23" t="str">
        <f t="shared" si="50"/>
        <v>Sample Too Small</v>
      </c>
      <c r="R294" s="10">
        <v>1</v>
      </c>
    </row>
    <row r="295" spans="1:19" hidden="1" x14ac:dyDescent="0.25">
      <c r="A295" t="s">
        <v>902</v>
      </c>
      <c r="B295" t="s">
        <v>53</v>
      </c>
      <c r="C295" t="s">
        <v>604</v>
      </c>
      <c r="D295" t="s">
        <v>282</v>
      </c>
      <c r="E295" t="s">
        <v>128</v>
      </c>
      <c r="F295" t="str">
        <f t="shared" si="51"/>
        <v>Niger:Female Sterilization</v>
      </c>
      <c r="G295" s="611" t="e">
        <f t="shared" si="49"/>
        <v>#N/A</v>
      </c>
      <c r="H295" t="e">
        <f>NA()</f>
        <v>#N/A</v>
      </c>
      <c r="I295" t="e">
        <f>NA()</f>
        <v>#N/A</v>
      </c>
      <c r="J295" t="e">
        <f>NA()</f>
        <v>#N/A</v>
      </c>
      <c r="K295" t="e">
        <f>NA()</f>
        <v>#N/A</v>
      </c>
      <c r="L295" t="e">
        <f>NA()</f>
        <v>#N/A</v>
      </c>
      <c r="M295" t="e">
        <f>NA()</f>
        <v>#N/A</v>
      </c>
      <c r="N295" t="e">
        <f>NA()</f>
        <v>#N/A</v>
      </c>
      <c r="O295" s="818" t="e">
        <f>NA()</f>
        <v>#N/A</v>
      </c>
      <c r="P295" s="818" t="e">
        <f>NA()</f>
        <v>#N/A</v>
      </c>
      <c r="Q295" s="23" t="str">
        <f t="shared" si="50"/>
        <v>Sample Too Small</v>
      </c>
      <c r="R295" s="10">
        <v>18</v>
      </c>
    </row>
    <row r="296" spans="1:19" hidden="1" x14ac:dyDescent="0.25">
      <c r="A296" t="s">
        <v>902</v>
      </c>
      <c r="B296" t="s">
        <v>53</v>
      </c>
      <c r="C296" t="s">
        <v>604</v>
      </c>
      <c r="D296" t="s">
        <v>282</v>
      </c>
      <c r="E296" t="s">
        <v>3</v>
      </c>
      <c r="F296" t="str">
        <f t="shared" si="51"/>
        <v>Niger:Implant</v>
      </c>
      <c r="G296" s="611">
        <f t="shared" si="49"/>
        <v>0.98</v>
      </c>
      <c r="H296" s="23">
        <v>0.12</v>
      </c>
      <c r="I296" s="23">
        <v>0.86</v>
      </c>
      <c r="J296" s="23">
        <v>0</v>
      </c>
      <c r="K296" s="23">
        <v>0.02</v>
      </c>
      <c r="L296" s="23">
        <v>0</v>
      </c>
      <c r="M296" s="23">
        <v>0</v>
      </c>
      <c r="N296" s="23">
        <v>0</v>
      </c>
      <c r="O296" s="818">
        <v>0</v>
      </c>
      <c r="P296" s="818">
        <v>0</v>
      </c>
      <c r="Q296" s="23">
        <f t="shared" si="50"/>
        <v>1</v>
      </c>
      <c r="R296">
        <v>42</v>
      </c>
    </row>
    <row r="297" spans="1:19" hidden="1" x14ac:dyDescent="0.25">
      <c r="A297" t="s">
        <v>902</v>
      </c>
      <c r="B297" t="s">
        <v>53</v>
      </c>
      <c r="C297" t="s">
        <v>604</v>
      </c>
      <c r="D297" t="s">
        <v>282</v>
      </c>
      <c r="E297" t="s">
        <v>2</v>
      </c>
      <c r="F297" t="str">
        <f t="shared" si="51"/>
        <v>Niger:Injectable</v>
      </c>
      <c r="G297" s="611">
        <f t="shared" si="49"/>
        <v>0.94000000000000006</v>
      </c>
      <c r="H297" s="23">
        <v>0.03</v>
      </c>
      <c r="I297" s="23">
        <v>0.91</v>
      </c>
      <c r="J297" s="23">
        <v>0</v>
      </c>
      <c r="K297" s="23">
        <v>0.03</v>
      </c>
      <c r="L297" s="23">
        <v>0</v>
      </c>
      <c r="M297" s="23">
        <v>0.01</v>
      </c>
      <c r="N297" s="23">
        <v>0.02</v>
      </c>
      <c r="O297" s="818">
        <v>0</v>
      </c>
      <c r="P297" s="818">
        <v>0.01</v>
      </c>
      <c r="Q297" s="23">
        <f t="shared" si="50"/>
        <v>1</v>
      </c>
      <c r="R297">
        <v>230</v>
      </c>
    </row>
    <row r="298" spans="1:19" hidden="1" x14ac:dyDescent="0.25">
      <c r="A298" t="s">
        <v>902</v>
      </c>
      <c r="B298" t="s">
        <v>53</v>
      </c>
      <c r="C298" t="s">
        <v>604</v>
      </c>
      <c r="D298" t="s">
        <v>282</v>
      </c>
      <c r="E298" t="s">
        <v>5</v>
      </c>
      <c r="F298" t="str">
        <f t="shared" si="51"/>
        <v>Niger:IUD</v>
      </c>
      <c r="G298" s="611" t="e">
        <f t="shared" si="49"/>
        <v>#N/A</v>
      </c>
      <c r="H298" t="e">
        <f>NA()</f>
        <v>#N/A</v>
      </c>
      <c r="I298" t="e">
        <f>NA()</f>
        <v>#N/A</v>
      </c>
      <c r="J298" t="e">
        <f>NA()</f>
        <v>#N/A</v>
      </c>
      <c r="K298" t="e">
        <f>NA()</f>
        <v>#N/A</v>
      </c>
      <c r="L298" t="e">
        <f>NA()</f>
        <v>#N/A</v>
      </c>
      <c r="M298" t="e">
        <f>NA()</f>
        <v>#N/A</v>
      </c>
      <c r="N298" t="e">
        <f>NA()</f>
        <v>#N/A</v>
      </c>
      <c r="O298" s="818" t="e">
        <f>NA()</f>
        <v>#N/A</v>
      </c>
      <c r="P298" s="818" t="e">
        <f>NA()</f>
        <v>#N/A</v>
      </c>
      <c r="Q298" s="23" t="str">
        <f t="shared" si="50"/>
        <v>Sample Too Small</v>
      </c>
      <c r="R298" s="10">
        <v>11</v>
      </c>
    </row>
    <row r="299" spans="1:19" hidden="1" x14ac:dyDescent="0.25">
      <c r="A299" t="s">
        <v>902</v>
      </c>
      <c r="B299" t="s">
        <v>53</v>
      </c>
      <c r="C299" t="s">
        <v>604</v>
      </c>
      <c r="D299" t="s">
        <v>282</v>
      </c>
      <c r="E299" t="s">
        <v>103</v>
      </c>
      <c r="F299" t="str">
        <f t="shared" si="51"/>
        <v>Niger:Male Condom</v>
      </c>
      <c r="G299" s="611" t="e">
        <f t="shared" si="49"/>
        <v>#N/A</v>
      </c>
      <c r="H299" t="e">
        <f>NA()</f>
        <v>#N/A</v>
      </c>
      <c r="I299" t="e">
        <f>NA()</f>
        <v>#N/A</v>
      </c>
      <c r="J299" t="e">
        <f>NA()</f>
        <v>#N/A</v>
      </c>
      <c r="K299" t="e">
        <f>NA()</f>
        <v>#N/A</v>
      </c>
      <c r="L299" t="e">
        <f>NA()</f>
        <v>#N/A</v>
      </c>
      <c r="M299" t="e">
        <f>NA()</f>
        <v>#N/A</v>
      </c>
      <c r="N299" t="e">
        <f>NA()</f>
        <v>#N/A</v>
      </c>
      <c r="O299" s="818" t="e">
        <f>NA()</f>
        <v>#N/A</v>
      </c>
      <c r="P299" s="818" t="e">
        <f>NA()</f>
        <v>#N/A</v>
      </c>
      <c r="Q299" s="23" t="str">
        <f t="shared" si="50"/>
        <v>Sample Too Small</v>
      </c>
      <c r="R299" s="10">
        <v>14</v>
      </c>
    </row>
    <row r="300" spans="1:19" hidden="1" x14ac:dyDescent="0.25">
      <c r="A300" t="s">
        <v>902</v>
      </c>
      <c r="B300" t="s">
        <v>53</v>
      </c>
      <c r="C300" t="s">
        <v>604</v>
      </c>
      <c r="D300" t="s">
        <v>282</v>
      </c>
      <c r="E300" t="s">
        <v>129</v>
      </c>
      <c r="F300" t="str">
        <f t="shared" si="51"/>
        <v>Niger:Male Sterilization</v>
      </c>
      <c r="G300" s="611" t="e">
        <f t="shared" si="49"/>
        <v>#N/A</v>
      </c>
      <c r="H300" t="e">
        <f>NA()</f>
        <v>#N/A</v>
      </c>
      <c r="I300" t="e">
        <f>NA()</f>
        <v>#N/A</v>
      </c>
      <c r="J300" t="e">
        <f>NA()</f>
        <v>#N/A</v>
      </c>
      <c r="K300" t="e">
        <f>NA()</f>
        <v>#N/A</v>
      </c>
      <c r="L300" t="e">
        <f>NA()</f>
        <v>#N/A</v>
      </c>
      <c r="M300" t="e">
        <f>NA()</f>
        <v>#N/A</v>
      </c>
      <c r="N300" t="e">
        <f>NA()</f>
        <v>#N/A</v>
      </c>
      <c r="O300" s="818" t="e">
        <f>NA()</f>
        <v>#N/A</v>
      </c>
      <c r="P300" s="818" t="e">
        <f>NA()</f>
        <v>#N/A</v>
      </c>
      <c r="Q300" s="23" t="str">
        <f t="shared" si="50"/>
        <v>Sample Too Small</v>
      </c>
      <c r="R300" s="10">
        <v>0</v>
      </c>
    </row>
    <row r="301" spans="1:19" hidden="1" x14ac:dyDescent="0.25">
      <c r="A301" s="119" t="s">
        <v>902</v>
      </c>
      <c r="B301" t="s">
        <v>53</v>
      </c>
      <c r="C301" t="s">
        <v>604</v>
      </c>
      <c r="D301" t="s">
        <v>282</v>
      </c>
      <c r="E301" t="s">
        <v>110</v>
      </c>
      <c r="F301" t="str">
        <f t="shared" si="51"/>
        <v>Niger:OC Pills</v>
      </c>
      <c r="G301" s="611">
        <f t="shared" si="49"/>
        <v>0.82828282828282829</v>
      </c>
      <c r="H301" s="502">
        <v>9.0909090909090912E-2</v>
      </c>
      <c r="I301" s="502">
        <v>0.73737373737373735</v>
      </c>
      <c r="J301" s="502">
        <v>0</v>
      </c>
      <c r="K301" s="502">
        <v>2.0202020202020204E-2</v>
      </c>
      <c r="L301" s="502">
        <v>5.0505050505050511E-2</v>
      </c>
      <c r="M301" s="502">
        <v>0.10101010101010102</v>
      </c>
      <c r="N301" s="502">
        <v>0</v>
      </c>
      <c r="O301" s="818">
        <v>0</v>
      </c>
      <c r="P301" s="818">
        <v>0.01</v>
      </c>
      <c r="Q301" s="23">
        <f t="shared" si="50"/>
        <v>1</v>
      </c>
      <c r="R301" s="119">
        <v>683</v>
      </c>
    </row>
    <row r="302" spans="1:19" hidden="1" x14ac:dyDescent="0.25">
      <c r="A302" t="s">
        <v>902</v>
      </c>
      <c r="B302" t="s">
        <v>53</v>
      </c>
      <c r="C302" t="s">
        <v>604</v>
      </c>
      <c r="D302" t="s">
        <v>282</v>
      </c>
      <c r="E302" t="s">
        <v>130</v>
      </c>
      <c r="F302" t="str">
        <f t="shared" si="51"/>
        <v>Niger:Other Modern Methods</v>
      </c>
      <c r="G302" s="611" t="e">
        <f t="shared" si="49"/>
        <v>#N/A</v>
      </c>
      <c r="H302" t="e">
        <f>NA()</f>
        <v>#N/A</v>
      </c>
      <c r="I302" t="e">
        <f>NA()</f>
        <v>#N/A</v>
      </c>
      <c r="J302" t="e">
        <f>NA()</f>
        <v>#N/A</v>
      </c>
      <c r="K302" t="e">
        <f>NA()</f>
        <v>#N/A</v>
      </c>
      <c r="L302" t="e">
        <f>NA()</f>
        <v>#N/A</v>
      </c>
      <c r="M302" t="e">
        <f>NA()</f>
        <v>#N/A</v>
      </c>
      <c r="N302" t="e">
        <f>NA()</f>
        <v>#N/A</v>
      </c>
      <c r="O302" s="818" t="e">
        <f>NA()</f>
        <v>#N/A</v>
      </c>
      <c r="P302" s="818" t="e">
        <f>NA()</f>
        <v>#N/A</v>
      </c>
      <c r="Q302" s="23" t="str">
        <f t="shared" si="50"/>
        <v>Sample Too Small</v>
      </c>
      <c r="R302" s="10">
        <v>4</v>
      </c>
    </row>
    <row r="303" spans="1:19" hidden="1" x14ac:dyDescent="0.25">
      <c r="A303" t="s">
        <v>1158</v>
      </c>
      <c r="B303" t="s">
        <v>54</v>
      </c>
      <c r="C303" t="s">
        <v>1146</v>
      </c>
      <c r="D303" t="s">
        <v>282</v>
      </c>
      <c r="E303" t="s">
        <v>108</v>
      </c>
      <c r="F303" t="str">
        <f t="shared" si="51"/>
        <v>Nigeria:EC</v>
      </c>
      <c r="G303" s="611">
        <f t="shared" ref="G303:G312" si="52">SUM(H303:I303)</f>
        <v>0</v>
      </c>
      <c r="H303" s="610">
        <v>0</v>
      </c>
      <c r="I303" s="610">
        <v>0</v>
      </c>
      <c r="J303" s="610">
        <v>0</v>
      </c>
      <c r="K303" s="610">
        <v>0.60499999999999998</v>
      </c>
      <c r="L303" s="610">
        <v>0.19700000000000001</v>
      </c>
      <c r="M303" s="610">
        <v>0.19800000000000001</v>
      </c>
      <c r="N303" s="610">
        <v>0</v>
      </c>
      <c r="O303" s="821">
        <v>0</v>
      </c>
      <c r="P303" s="821">
        <v>0</v>
      </c>
      <c r="Q303" s="23">
        <f t="shared" si="50"/>
        <v>1</v>
      </c>
      <c r="R303">
        <v>76</v>
      </c>
      <c r="S303" t="str">
        <f t="shared" ref="S303:S330" si="53">IF(R303&lt;25, "Sample too small", "")</f>
        <v/>
      </c>
    </row>
    <row r="304" spans="1:19" hidden="1" x14ac:dyDescent="0.25">
      <c r="A304" t="s">
        <v>1158</v>
      </c>
      <c r="B304" t="s">
        <v>54</v>
      </c>
      <c r="C304" t="s">
        <v>1146</v>
      </c>
      <c r="D304" t="s">
        <v>282</v>
      </c>
      <c r="E304" t="s">
        <v>1020</v>
      </c>
      <c r="F304" t="str">
        <f t="shared" si="51"/>
        <v>Nigeria:Female Condom</v>
      </c>
      <c r="G304" s="611" t="e">
        <f t="shared" si="52"/>
        <v>#N/A</v>
      </c>
      <c r="H304" s="815" t="e">
        <f>NA()</f>
        <v>#N/A</v>
      </c>
      <c r="I304" s="815" t="e">
        <f>NA()</f>
        <v>#N/A</v>
      </c>
      <c r="J304" s="815" t="e">
        <f>NA()</f>
        <v>#N/A</v>
      </c>
      <c r="K304" s="815" t="e">
        <f>NA()</f>
        <v>#N/A</v>
      </c>
      <c r="L304" s="815" t="e">
        <f>NA()</f>
        <v>#N/A</v>
      </c>
      <c r="M304" s="815" t="e">
        <f>NA()</f>
        <v>#N/A</v>
      </c>
      <c r="N304" s="815" t="e">
        <f>NA()</f>
        <v>#N/A</v>
      </c>
      <c r="O304" s="821" t="e">
        <f>NA()</f>
        <v>#N/A</v>
      </c>
      <c r="P304" s="821" t="e">
        <f>NA()</f>
        <v>#N/A</v>
      </c>
      <c r="Q304" s="23" t="str">
        <f t="shared" si="50"/>
        <v>Sample Too Small</v>
      </c>
      <c r="R304">
        <v>5</v>
      </c>
      <c r="S304" t="str">
        <f t="shared" si="53"/>
        <v>Sample too small</v>
      </c>
    </row>
    <row r="305" spans="1:29" hidden="1" x14ac:dyDescent="0.25">
      <c r="A305" t="s">
        <v>1158</v>
      </c>
      <c r="B305" t="s">
        <v>54</v>
      </c>
      <c r="C305" t="s">
        <v>1146</v>
      </c>
      <c r="D305" t="s">
        <v>282</v>
      </c>
      <c r="E305" t="s">
        <v>128</v>
      </c>
      <c r="F305" t="str">
        <f t="shared" si="51"/>
        <v>Nigeria:Female Sterilization</v>
      </c>
      <c r="G305" s="611">
        <f t="shared" si="52"/>
        <v>0.745</v>
      </c>
      <c r="H305" s="610">
        <v>0.745</v>
      </c>
      <c r="I305" s="610">
        <v>0</v>
      </c>
      <c r="J305" s="610">
        <v>0</v>
      </c>
      <c r="K305" s="610">
        <v>0.255</v>
      </c>
      <c r="L305" s="610">
        <v>0</v>
      </c>
      <c r="M305" s="610">
        <v>0</v>
      </c>
      <c r="N305" s="610">
        <v>0</v>
      </c>
      <c r="O305" s="821">
        <v>0</v>
      </c>
      <c r="P305" s="821">
        <v>0</v>
      </c>
      <c r="Q305" s="23">
        <f t="shared" si="50"/>
        <v>1</v>
      </c>
      <c r="R305">
        <v>73</v>
      </c>
      <c r="S305" t="str">
        <f t="shared" si="53"/>
        <v/>
      </c>
    </row>
    <row r="306" spans="1:29" hidden="1" x14ac:dyDescent="0.25">
      <c r="A306" t="s">
        <v>1158</v>
      </c>
      <c r="B306" t="s">
        <v>54</v>
      </c>
      <c r="C306" t="s">
        <v>1146</v>
      </c>
      <c r="D306" t="s">
        <v>282</v>
      </c>
      <c r="E306" t="s">
        <v>3</v>
      </c>
      <c r="F306" t="str">
        <f t="shared" si="51"/>
        <v>Nigeria:Implant</v>
      </c>
      <c r="G306" s="611">
        <f t="shared" si="52"/>
        <v>0.92800000000000005</v>
      </c>
      <c r="H306" s="610">
        <v>0.89900000000000002</v>
      </c>
      <c r="I306" s="610">
        <v>2.9000000000000001E-2</v>
      </c>
      <c r="J306" s="610">
        <v>3.0000000000000001E-3</v>
      </c>
      <c r="K306" s="610">
        <v>6.9000000000000006E-2</v>
      </c>
      <c r="L306" s="610">
        <v>0</v>
      </c>
      <c r="M306" s="610">
        <v>0</v>
      </c>
      <c r="N306" s="610">
        <v>0</v>
      </c>
      <c r="O306" s="821">
        <v>0</v>
      </c>
      <c r="P306" s="821">
        <v>0</v>
      </c>
      <c r="Q306" s="23">
        <f t="shared" si="50"/>
        <v>1</v>
      </c>
      <c r="R306" s="2">
        <v>1030</v>
      </c>
      <c r="S306" t="str">
        <f t="shared" si="53"/>
        <v/>
      </c>
    </row>
    <row r="307" spans="1:29" hidden="1" x14ac:dyDescent="0.25">
      <c r="A307" t="s">
        <v>1158</v>
      </c>
      <c r="B307" t="s">
        <v>54</v>
      </c>
      <c r="C307" t="s">
        <v>1146</v>
      </c>
      <c r="D307" t="s">
        <v>282</v>
      </c>
      <c r="E307" t="s">
        <v>2</v>
      </c>
      <c r="F307" t="str">
        <f t="shared" si="51"/>
        <v>Nigeria:Injectable</v>
      </c>
      <c r="G307" s="611">
        <f t="shared" si="52"/>
        <v>0.74399999999999999</v>
      </c>
      <c r="H307" s="610">
        <v>0.73799999999999999</v>
      </c>
      <c r="I307" s="610">
        <v>6.0000000000000001E-3</v>
      </c>
      <c r="J307" s="610">
        <v>0</v>
      </c>
      <c r="K307" s="610">
        <v>0.19400000000000001</v>
      </c>
      <c r="L307" s="610">
        <v>3.7999999999999999E-2</v>
      </c>
      <c r="M307" s="610">
        <v>0.02</v>
      </c>
      <c r="N307" s="610">
        <v>4.0000000000000001E-3</v>
      </c>
      <c r="O307" s="821">
        <v>0</v>
      </c>
      <c r="P307" s="821">
        <v>0</v>
      </c>
      <c r="Q307" s="23">
        <f t="shared" si="50"/>
        <v>1</v>
      </c>
      <c r="R307" s="2">
        <v>1028</v>
      </c>
      <c r="S307" t="str">
        <f t="shared" si="53"/>
        <v/>
      </c>
    </row>
    <row r="308" spans="1:29" hidden="1" x14ac:dyDescent="0.25">
      <c r="A308" t="s">
        <v>1158</v>
      </c>
      <c r="B308" t="s">
        <v>54</v>
      </c>
      <c r="C308" t="s">
        <v>1146</v>
      </c>
      <c r="D308" t="s">
        <v>282</v>
      </c>
      <c r="E308" t="s">
        <v>5</v>
      </c>
      <c r="F308" t="str">
        <f t="shared" si="51"/>
        <v>Nigeria:IUD</v>
      </c>
      <c r="G308" s="611">
        <f t="shared" si="52"/>
        <v>0.79100000000000004</v>
      </c>
      <c r="H308" s="610">
        <v>0.78600000000000003</v>
      </c>
      <c r="I308" s="610">
        <v>5.0000000000000001E-3</v>
      </c>
      <c r="J308" s="610">
        <v>4.0000000000000001E-3</v>
      </c>
      <c r="K308" s="610">
        <v>0.20100000000000001</v>
      </c>
      <c r="L308" s="610">
        <v>0</v>
      </c>
      <c r="M308" s="610">
        <v>4.0000000000000001E-3</v>
      </c>
      <c r="N308" s="610">
        <v>0</v>
      </c>
      <c r="O308" s="821">
        <v>0</v>
      </c>
      <c r="P308" s="821">
        <v>0</v>
      </c>
      <c r="Q308" s="23">
        <f t="shared" si="50"/>
        <v>1</v>
      </c>
      <c r="R308">
        <v>233</v>
      </c>
      <c r="S308" t="str">
        <f t="shared" si="53"/>
        <v/>
      </c>
    </row>
    <row r="309" spans="1:29" hidden="1" x14ac:dyDescent="0.25">
      <c r="A309" t="s">
        <v>1158</v>
      </c>
      <c r="B309" t="s">
        <v>54</v>
      </c>
      <c r="C309" t="s">
        <v>1146</v>
      </c>
      <c r="D309" t="s">
        <v>282</v>
      </c>
      <c r="E309" t="s">
        <v>103</v>
      </c>
      <c r="F309" t="str">
        <f t="shared" si="51"/>
        <v>Nigeria:Male Condom</v>
      </c>
      <c r="G309" s="611">
        <f t="shared" si="52"/>
        <v>5.3999999999999999E-2</v>
      </c>
      <c r="H309" s="610">
        <v>4.7E-2</v>
      </c>
      <c r="I309" s="610">
        <v>7.0000000000000001E-3</v>
      </c>
      <c r="J309" s="610">
        <v>2E-3</v>
      </c>
      <c r="K309" s="610">
        <v>0.52400000000000002</v>
      </c>
      <c r="L309" s="610">
        <v>0.28999999999999998</v>
      </c>
      <c r="M309" s="610">
        <v>0.107</v>
      </c>
      <c r="N309" s="610">
        <v>2.1999999999999999E-2</v>
      </c>
      <c r="O309" s="821">
        <v>0</v>
      </c>
      <c r="P309" s="821">
        <v>0</v>
      </c>
      <c r="Q309" s="23">
        <f t="shared" si="50"/>
        <v>0.99900000000000011</v>
      </c>
      <c r="R309">
        <v>994</v>
      </c>
      <c r="S309" t="str">
        <f t="shared" si="53"/>
        <v/>
      </c>
    </row>
    <row r="310" spans="1:29" hidden="1" x14ac:dyDescent="0.25">
      <c r="A310" t="s">
        <v>1158</v>
      </c>
      <c r="B310" t="s">
        <v>54</v>
      </c>
      <c r="C310" t="s">
        <v>1146</v>
      </c>
      <c r="D310" t="s">
        <v>282</v>
      </c>
      <c r="E310" t="s">
        <v>110</v>
      </c>
      <c r="F310" t="str">
        <f t="shared" si="51"/>
        <v>Nigeria:OC Pills</v>
      </c>
      <c r="G310" s="611">
        <f t="shared" si="52"/>
        <v>0.314</v>
      </c>
      <c r="H310" s="610">
        <v>0.308</v>
      </c>
      <c r="I310" s="610">
        <v>6.0000000000000001E-3</v>
      </c>
      <c r="J310" s="610">
        <v>0</v>
      </c>
      <c r="K310" s="610">
        <v>0.38400000000000001</v>
      </c>
      <c r="L310" s="610">
        <v>0.28100000000000003</v>
      </c>
      <c r="M310" s="610">
        <v>0.02</v>
      </c>
      <c r="N310" s="610">
        <v>0</v>
      </c>
      <c r="O310" s="821">
        <v>0</v>
      </c>
      <c r="P310" s="821">
        <v>0</v>
      </c>
      <c r="Q310" s="23">
        <f t="shared" si="50"/>
        <v>0.999</v>
      </c>
      <c r="R310">
        <v>454</v>
      </c>
      <c r="S310" t="str">
        <f t="shared" si="53"/>
        <v/>
      </c>
    </row>
    <row r="311" spans="1:29" hidden="1" x14ac:dyDescent="0.25">
      <c r="A311" t="s">
        <v>1158</v>
      </c>
      <c r="B311" t="s">
        <v>54</v>
      </c>
      <c r="C311" t="s">
        <v>1146</v>
      </c>
      <c r="D311" t="s">
        <v>282</v>
      </c>
      <c r="E311" t="s">
        <v>1153</v>
      </c>
      <c r="F311" t="str">
        <f t="shared" si="51"/>
        <v>Nigeria:Other Modern Method</v>
      </c>
      <c r="G311" s="611">
        <f t="shared" si="52"/>
        <v>6.5000000000000002E-2</v>
      </c>
      <c r="H311" s="610">
        <v>6.5000000000000002E-2</v>
      </c>
      <c r="I311" s="610">
        <v>0</v>
      </c>
      <c r="J311" s="610">
        <v>0</v>
      </c>
      <c r="K311" s="610">
        <v>0.53300000000000003</v>
      </c>
      <c r="L311" s="610">
        <v>5.5E-2</v>
      </c>
      <c r="M311" s="610">
        <v>0.14399999999999999</v>
      </c>
      <c r="N311" s="610">
        <v>0.20200000000000001</v>
      </c>
      <c r="O311" s="821">
        <v>0</v>
      </c>
      <c r="P311" s="821">
        <v>0</v>
      </c>
      <c r="Q311" s="23">
        <f t="shared" si="50"/>
        <v>0.99900000000000011</v>
      </c>
      <c r="R311">
        <v>26</v>
      </c>
      <c r="S311" t="str">
        <f t="shared" si="53"/>
        <v/>
      </c>
    </row>
    <row r="312" spans="1:29" hidden="1" x14ac:dyDescent="0.25">
      <c r="A312" t="s">
        <v>1158</v>
      </c>
      <c r="B312" t="s">
        <v>54</v>
      </c>
      <c r="C312" t="s">
        <v>1146</v>
      </c>
      <c r="D312" t="s">
        <v>282</v>
      </c>
      <c r="E312" t="s">
        <v>967</v>
      </c>
      <c r="F312" t="str">
        <f t="shared" si="51"/>
        <v>Nigeria:standard days method (sdm)</v>
      </c>
      <c r="G312" s="611" t="e">
        <f t="shared" si="52"/>
        <v>#N/A</v>
      </c>
      <c r="H312" s="815" t="e">
        <f>NA()</f>
        <v>#N/A</v>
      </c>
      <c r="I312" s="815" t="e">
        <f>NA()</f>
        <v>#N/A</v>
      </c>
      <c r="J312" s="815" t="e">
        <f>NA()</f>
        <v>#N/A</v>
      </c>
      <c r="K312" s="815" t="e">
        <f>NA()</f>
        <v>#N/A</v>
      </c>
      <c r="L312" s="815" t="e">
        <f>NA()</f>
        <v>#N/A</v>
      </c>
      <c r="M312" s="815" t="e">
        <f>NA()</f>
        <v>#N/A</v>
      </c>
      <c r="N312" s="815" t="e">
        <f>NA()</f>
        <v>#N/A</v>
      </c>
      <c r="O312" s="821" t="e">
        <f>NA()</f>
        <v>#N/A</v>
      </c>
      <c r="P312" s="821" t="e">
        <f>NA()</f>
        <v>#N/A</v>
      </c>
      <c r="Q312" s="23" t="str">
        <f t="shared" si="50"/>
        <v>Sample Too Small</v>
      </c>
      <c r="R312">
        <v>10</v>
      </c>
      <c r="S312" t="str">
        <f t="shared" si="53"/>
        <v>Sample too small</v>
      </c>
    </row>
    <row r="313" spans="1:29" hidden="1" x14ac:dyDescent="0.25">
      <c r="A313" t="s">
        <v>1160</v>
      </c>
      <c r="B313" t="s">
        <v>56</v>
      </c>
      <c r="C313" t="s">
        <v>1148</v>
      </c>
      <c r="D313" t="s">
        <v>282</v>
      </c>
      <c r="E313" t="s">
        <v>128</v>
      </c>
      <c r="F313" t="str">
        <f t="shared" ref="F313:F320" si="54">B313&amp;":"&amp;E313</f>
        <v>Papua New Guinea:Female Sterilization</v>
      </c>
      <c r="G313" s="611">
        <f t="shared" ref="G313:G320" si="55">SUM(H313:I313)</f>
        <v>0.96696696696696693</v>
      </c>
      <c r="H313" s="610">
        <v>0.96596596596596596</v>
      </c>
      <c r="I313" s="610">
        <v>1.001001001001001E-3</v>
      </c>
      <c r="J313" s="610">
        <v>0</v>
      </c>
      <c r="K313" s="610">
        <v>2.5025025025025027E-2</v>
      </c>
      <c r="L313" s="610">
        <v>0</v>
      </c>
      <c r="M313" s="610">
        <v>0</v>
      </c>
      <c r="N313" s="610">
        <v>8.0080080080080079E-3</v>
      </c>
      <c r="O313" s="821">
        <v>0</v>
      </c>
      <c r="P313" s="821">
        <v>0</v>
      </c>
      <c r="Q313" s="23">
        <f t="shared" si="50"/>
        <v>1</v>
      </c>
      <c r="R313">
        <v>992</v>
      </c>
      <c r="S313" t="str">
        <f t="shared" si="53"/>
        <v/>
      </c>
      <c r="U313" s="822"/>
      <c r="V313" s="822"/>
      <c r="W313" s="822"/>
      <c r="X313" s="822"/>
      <c r="Y313" s="822"/>
      <c r="Z313" s="822"/>
      <c r="AA313" s="822"/>
      <c r="AC313" s="710"/>
    </row>
    <row r="314" spans="1:29" hidden="1" x14ac:dyDescent="0.25">
      <c r="A314" t="s">
        <v>1160</v>
      </c>
      <c r="B314" t="s">
        <v>56</v>
      </c>
      <c r="C314" t="s">
        <v>1148</v>
      </c>
      <c r="D314" t="s">
        <v>282</v>
      </c>
      <c r="E314" t="s">
        <v>3</v>
      </c>
      <c r="F314" t="str">
        <f t="shared" si="54"/>
        <v>Papua New Guinea:Implant</v>
      </c>
      <c r="G314" s="611">
        <f t="shared" si="55"/>
        <v>0.92992992992992984</v>
      </c>
      <c r="H314" s="610">
        <v>0.84484484484484479</v>
      </c>
      <c r="I314" s="610">
        <v>8.5085085085085096E-2</v>
      </c>
      <c r="J314" s="610">
        <v>0</v>
      </c>
      <c r="K314" s="610">
        <v>5.7057057057057062E-2</v>
      </c>
      <c r="L314" s="610">
        <v>0</v>
      </c>
      <c r="M314" s="610">
        <v>0</v>
      </c>
      <c r="N314" s="610">
        <v>1.3013013013013013E-2</v>
      </c>
      <c r="O314" s="821">
        <v>0</v>
      </c>
      <c r="P314" s="821">
        <v>0</v>
      </c>
      <c r="Q314" s="23">
        <f t="shared" si="50"/>
        <v>1</v>
      </c>
      <c r="R314" s="2">
        <v>1020</v>
      </c>
      <c r="S314" t="str">
        <f t="shared" si="53"/>
        <v/>
      </c>
      <c r="U314" s="822"/>
      <c r="V314" s="822"/>
      <c r="W314" s="822"/>
      <c r="X314" s="822"/>
      <c r="Y314" s="822"/>
      <c r="Z314" s="822"/>
      <c r="AA314" s="822"/>
      <c r="AC314" s="710"/>
    </row>
    <row r="315" spans="1:29" hidden="1" x14ac:dyDescent="0.25">
      <c r="A315" t="s">
        <v>1160</v>
      </c>
      <c r="B315" t="s">
        <v>56</v>
      </c>
      <c r="C315" t="s">
        <v>1148</v>
      </c>
      <c r="D315" t="s">
        <v>282</v>
      </c>
      <c r="E315" t="s">
        <v>2</v>
      </c>
      <c r="F315" t="str">
        <f t="shared" si="54"/>
        <v>Papua New Guinea:Injectable</v>
      </c>
      <c r="G315" s="611">
        <f t="shared" si="55"/>
        <v>0.9270729270729271</v>
      </c>
      <c r="H315" s="610">
        <v>0.91208791208791207</v>
      </c>
      <c r="I315" s="610">
        <v>1.4985014985014982E-2</v>
      </c>
      <c r="J315" s="610">
        <v>0</v>
      </c>
      <c r="K315" s="610">
        <v>6.4935064935064929E-2</v>
      </c>
      <c r="L315" s="610">
        <v>1.998001998001998E-3</v>
      </c>
      <c r="M315" s="610">
        <v>2.9970029970029966E-3</v>
      </c>
      <c r="N315" s="610">
        <v>2.9970029970029966E-3</v>
      </c>
      <c r="O315" s="821">
        <v>0</v>
      </c>
      <c r="P315" s="821">
        <v>0</v>
      </c>
      <c r="Q315" s="23">
        <f t="shared" si="50"/>
        <v>1</v>
      </c>
      <c r="R315" s="2">
        <v>1016</v>
      </c>
      <c r="S315" t="str">
        <f t="shared" si="53"/>
        <v/>
      </c>
      <c r="U315" s="822"/>
      <c r="V315" s="822"/>
      <c r="W315" s="822"/>
      <c r="X315" s="822"/>
      <c r="Y315" s="822"/>
      <c r="Z315" s="822"/>
      <c r="AA315" s="822"/>
      <c r="AC315" s="710"/>
    </row>
    <row r="316" spans="1:29" hidden="1" x14ac:dyDescent="0.25">
      <c r="A316" t="s">
        <v>1160</v>
      </c>
      <c r="B316" t="s">
        <v>56</v>
      </c>
      <c r="C316" t="s">
        <v>1148</v>
      </c>
      <c r="D316" t="s">
        <v>282</v>
      </c>
      <c r="E316" t="s">
        <v>5</v>
      </c>
      <c r="F316" t="str">
        <f t="shared" si="54"/>
        <v>Papua New Guinea:IUD</v>
      </c>
      <c r="G316" s="611">
        <f t="shared" si="55"/>
        <v>0.93100000000000005</v>
      </c>
      <c r="H316" s="610">
        <v>0.92100000000000004</v>
      </c>
      <c r="I316" s="610">
        <v>0.01</v>
      </c>
      <c r="J316" s="610">
        <v>0</v>
      </c>
      <c r="K316" s="610">
        <v>4.2000000000000003E-2</v>
      </c>
      <c r="L316" s="610">
        <v>0</v>
      </c>
      <c r="M316" s="610">
        <v>0</v>
      </c>
      <c r="N316" s="610">
        <v>2.7E-2</v>
      </c>
      <c r="O316" s="821">
        <v>0</v>
      </c>
      <c r="P316" s="821">
        <v>0</v>
      </c>
      <c r="Q316" s="23">
        <f t="shared" si="50"/>
        <v>1</v>
      </c>
      <c r="R316">
        <v>53</v>
      </c>
      <c r="S316" t="str">
        <f t="shared" si="53"/>
        <v/>
      </c>
      <c r="U316" s="822"/>
      <c r="V316" s="822"/>
      <c r="W316" s="822"/>
      <c r="X316" s="822"/>
      <c r="Y316" s="822"/>
      <c r="Z316" s="822"/>
      <c r="AA316" s="822"/>
      <c r="AC316" s="710"/>
    </row>
    <row r="317" spans="1:29" hidden="1" x14ac:dyDescent="0.25">
      <c r="A317" t="s">
        <v>1160</v>
      </c>
      <c r="B317" t="s">
        <v>56</v>
      </c>
      <c r="C317" t="s">
        <v>1148</v>
      </c>
      <c r="D317" t="s">
        <v>282</v>
      </c>
      <c r="E317" t="s">
        <v>103</v>
      </c>
      <c r="F317" t="str">
        <f t="shared" si="54"/>
        <v>Papua New Guinea:Male Condom</v>
      </c>
      <c r="G317" s="611">
        <f t="shared" si="55"/>
        <v>0.65300000000000002</v>
      </c>
      <c r="H317" s="610">
        <v>0.58299999999999996</v>
      </c>
      <c r="I317" s="610">
        <v>7.0000000000000007E-2</v>
      </c>
      <c r="J317" s="610">
        <v>0</v>
      </c>
      <c r="K317" s="610">
        <v>2.1999999999999999E-2</v>
      </c>
      <c r="L317" s="610">
        <v>0.02</v>
      </c>
      <c r="M317" s="610">
        <v>0.27600000000000002</v>
      </c>
      <c r="N317" s="610">
        <v>2.9000000000000001E-2</v>
      </c>
      <c r="O317" s="821">
        <v>0</v>
      </c>
      <c r="P317" s="821">
        <v>0</v>
      </c>
      <c r="Q317" s="23">
        <f t="shared" si="50"/>
        <v>1</v>
      </c>
      <c r="R317">
        <v>98</v>
      </c>
      <c r="S317" t="str">
        <f t="shared" si="53"/>
        <v/>
      </c>
      <c r="U317" s="822"/>
      <c r="V317" s="822"/>
      <c r="W317" s="822"/>
      <c r="X317" s="822"/>
      <c r="Y317" s="822"/>
      <c r="Z317" s="822"/>
      <c r="AA317" s="822"/>
      <c r="AC317" s="710"/>
    </row>
    <row r="318" spans="1:29" hidden="1" x14ac:dyDescent="0.25">
      <c r="A318" t="s">
        <v>1160</v>
      </c>
      <c r="B318" t="s">
        <v>56</v>
      </c>
      <c r="C318" t="s">
        <v>1148</v>
      </c>
      <c r="D318" t="s">
        <v>282</v>
      </c>
      <c r="E318" t="s">
        <v>129</v>
      </c>
      <c r="F318" t="str">
        <f t="shared" si="54"/>
        <v>Papua New Guinea:Male Sterilization</v>
      </c>
      <c r="G318" s="611">
        <f t="shared" si="55"/>
        <v>0.95700000000000007</v>
      </c>
      <c r="H318" s="610">
        <v>0.93300000000000005</v>
      </c>
      <c r="I318" s="610">
        <v>2.4E-2</v>
      </c>
      <c r="J318" s="610">
        <v>0</v>
      </c>
      <c r="K318" s="610">
        <v>1.0999999999999999E-2</v>
      </c>
      <c r="L318" s="610">
        <v>0</v>
      </c>
      <c r="M318" s="610">
        <v>0</v>
      </c>
      <c r="N318" s="610">
        <v>3.2000000000000001E-2</v>
      </c>
      <c r="O318" s="821">
        <v>0</v>
      </c>
      <c r="P318" s="821">
        <v>0</v>
      </c>
      <c r="Q318" s="23">
        <f t="shared" si="50"/>
        <v>1</v>
      </c>
      <c r="R318">
        <v>60</v>
      </c>
      <c r="S318" t="str">
        <f t="shared" si="53"/>
        <v/>
      </c>
      <c r="U318" s="822"/>
      <c r="V318" s="822"/>
      <c r="W318" s="822"/>
      <c r="X318" s="822"/>
      <c r="Y318" s="822"/>
      <c r="Z318" s="822"/>
      <c r="AA318" s="822"/>
      <c r="AC318" s="710"/>
    </row>
    <row r="319" spans="1:29" hidden="1" x14ac:dyDescent="0.25">
      <c r="A319" t="s">
        <v>1160</v>
      </c>
      <c r="B319" t="s">
        <v>56</v>
      </c>
      <c r="C319" t="s">
        <v>1148</v>
      </c>
      <c r="D319" t="s">
        <v>282</v>
      </c>
      <c r="E319" t="s">
        <v>110</v>
      </c>
      <c r="F319" t="str">
        <f t="shared" si="54"/>
        <v>Papua New Guinea:OC Pills</v>
      </c>
      <c r="G319" s="611">
        <f t="shared" si="55"/>
        <v>0.91508491508491518</v>
      </c>
      <c r="H319" s="610">
        <v>0.85014985014985023</v>
      </c>
      <c r="I319" s="610">
        <v>6.4935064935064943E-2</v>
      </c>
      <c r="J319" s="610">
        <v>0</v>
      </c>
      <c r="K319" s="610">
        <v>4.4955044955044959E-2</v>
      </c>
      <c r="L319" s="610">
        <v>1.5984015984015987E-2</v>
      </c>
      <c r="M319" s="610">
        <v>7.9920079920079937E-3</v>
      </c>
      <c r="N319" s="610">
        <v>1.5984015984015987E-2</v>
      </c>
      <c r="O319" s="821">
        <v>0</v>
      </c>
      <c r="P319" s="821">
        <v>0</v>
      </c>
      <c r="Q319" s="23">
        <f t="shared" si="50"/>
        <v>1</v>
      </c>
      <c r="R319">
        <v>225</v>
      </c>
      <c r="S319" t="str">
        <f t="shared" si="53"/>
        <v/>
      </c>
      <c r="U319" s="822"/>
      <c r="V319" s="822"/>
      <c r="W319" s="822"/>
      <c r="X319" s="822"/>
      <c r="Y319" s="822"/>
      <c r="Z319" s="822"/>
      <c r="AA319" s="822"/>
      <c r="AC319" s="710"/>
    </row>
    <row r="320" spans="1:29" hidden="1" x14ac:dyDescent="0.25">
      <c r="A320" t="s">
        <v>1160</v>
      </c>
      <c r="B320" t="s">
        <v>56</v>
      </c>
      <c r="C320" t="s">
        <v>1148</v>
      </c>
      <c r="D320" t="s">
        <v>282</v>
      </c>
      <c r="E320" t="s">
        <v>1153</v>
      </c>
      <c r="F320" t="str">
        <f t="shared" si="54"/>
        <v>Papua New Guinea:Other Modern Method</v>
      </c>
      <c r="G320" s="611" t="e">
        <f t="shared" si="55"/>
        <v>#N/A</v>
      </c>
      <c r="H320" s="815" t="e">
        <f>NA()</f>
        <v>#N/A</v>
      </c>
      <c r="I320" s="815" t="e">
        <f>NA()</f>
        <v>#N/A</v>
      </c>
      <c r="J320" s="815" t="e">
        <f>NA()</f>
        <v>#N/A</v>
      </c>
      <c r="K320" s="815" t="e">
        <f>NA()</f>
        <v>#N/A</v>
      </c>
      <c r="L320" s="815" t="e">
        <f>NA()</f>
        <v>#N/A</v>
      </c>
      <c r="M320" s="815" t="e">
        <f>NA()</f>
        <v>#N/A</v>
      </c>
      <c r="N320" s="815" t="e">
        <f>NA()</f>
        <v>#N/A</v>
      </c>
      <c r="O320" s="821" t="e">
        <f>NA()</f>
        <v>#N/A</v>
      </c>
      <c r="P320" s="821" t="e">
        <f>NA()</f>
        <v>#N/A</v>
      </c>
      <c r="Q320" s="23" t="str">
        <f t="shared" si="50"/>
        <v>Sample Too Small</v>
      </c>
      <c r="R320">
        <v>7</v>
      </c>
      <c r="S320" t="str">
        <f t="shared" si="53"/>
        <v>Sample too small</v>
      </c>
      <c r="AC320" s="710"/>
    </row>
    <row r="321" spans="1:29" hidden="1" x14ac:dyDescent="0.25">
      <c r="A321" t="s">
        <v>1159</v>
      </c>
      <c r="B321" t="s">
        <v>55</v>
      </c>
      <c r="C321" t="s">
        <v>1034</v>
      </c>
      <c r="D321" t="s">
        <v>879</v>
      </c>
      <c r="E321" t="s">
        <v>108</v>
      </c>
      <c r="F321" t="str">
        <f t="shared" ref="F321:F330" si="56">B321&amp;":"&amp;E321</f>
        <v>Pakistan:EC</v>
      </c>
      <c r="G321" s="611" t="e">
        <f t="shared" ref="G321:G330" si="57">SUM(H321:I321)</f>
        <v>#N/A</v>
      </c>
      <c r="H321" s="815" t="e">
        <f>NA()</f>
        <v>#N/A</v>
      </c>
      <c r="I321" s="815" t="e">
        <f>NA()</f>
        <v>#N/A</v>
      </c>
      <c r="J321" s="815" t="e">
        <f>NA()</f>
        <v>#N/A</v>
      </c>
      <c r="K321" s="815" t="e">
        <f>NA()</f>
        <v>#N/A</v>
      </c>
      <c r="L321" s="815" t="e">
        <f>NA()</f>
        <v>#N/A</v>
      </c>
      <c r="M321" s="815" t="e">
        <f>NA()</f>
        <v>#N/A</v>
      </c>
      <c r="N321" s="815" t="e">
        <f>NA()</f>
        <v>#N/A</v>
      </c>
      <c r="O321" s="821" t="e">
        <f>NA()</f>
        <v>#N/A</v>
      </c>
      <c r="P321" s="821" t="e">
        <f>NA()</f>
        <v>#N/A</v>
      </c>
      <c r="Q321" s="23" t="str">
        <f t="shared" si="50"/>
        <v>Sample Too Small</v>
      </c>
      <c r="R321">
        <v>1</v>
      </c>
      <c r="S321" t="str">
        <f t="shared" si="53"/>
        <v>Sample too small</v>
      </c>
    </row>
    <row r="322" spans="1:29" hidden="1" x14ac:dyDescent="0.25">
      <c r="A322" t="s">
        <v>1159</v>
      </c>
      <c r="B322" t="s">
        <v>55</v>
      </c>
      <c r="C322" t="s">
        <v>1034</v>
      </c>
      <c r="D322" t="s">
        <v>879</v>
      </c>
      <c r="E322" t="s">
        <v>128</v>
      </c>
      <c r="F322" t="str">
        <f t="shared" si="56"/>
        <v>Pakistan:Female Sterilization</v>
      </c>
      <c r="G322" s="611">
        <f t="shared" si="57"/>
        <v>0.57572718154463387</v>
      </c>
      <c r="H322" s="610">
        <v>0.57572718154463387</v>
      </c>
      <c r="I322" s="610">
        <v>0</v>
      </c>
      <c r="J322" s="23">
        <v>0</v>
      </c>
      <c r="K322" s="610">
        <v>0.42427281845536613</v>
      </c>
      <c r="L322" s="610">
        <v>0</v>
      </c>
      <c r="M322" s="610">
        <v>0</v>
      </c>
      <c r="N322" s="610">
        <v>0</v>
      </c>
      <c r="O322" s="821">
        <v>0</v>
      </c>
      <c r="P322" s="821">
        <v>0</v>
      </c>
      <c r="Q322" s="23">
        <f t="shared" si="50"/>
        <v>1</v>
      </c>
      <c r="R322">
        <v>983</v>
      </c>
      <c r="S322" t="str">
        <f t="shared" si="53"/>
        <v/>
      </c>
      <c r="U322" s="822"/>
      <c r="V322" s="822"/>
      <c r="W322" s="822"/>
      <c r="X322" s="822"/>
      <c r="Y322" s="822"/>
      <c r="Z322" s="822"/>
      <c r="AA322" s="822"/>
      <c r="AC322" s="710"/>
    </row>
    <row r="323" spans="1:29" hidden="1" x14ac:dyDescent="0.25">
      <c r="A323" t="s">
        <v>1159</v>
      </c>
      <c r="B323" t="s">
        <v>55</v>
      </c>
      <c r="C323" t="s">
        <v>1034</v>
      </c>
      <c r="D323" t="s">
        <v>879</v>
      </c>
      <c r="E323" t="s">
        <v>3</v>
      </c>
      <c r="F323" t="str">
        <f t="shared" si="56"/>
        <v>Pakistan:Implant</v>
      </c>
      <c r="G323" s="611">
        <f t="shared" si="57"/>
        <v>0.85799999999999998</v>
      </c>
      <c r="H323" s="610">
        <v>0.76600000000000001</v>
      </c>
      <c r="I323" s="610">
        <v>9.1999999999999998E-2</v>
      </c>
      <c r="J323" s="23">
        <v>0</v>
      </c>
      <c r="K323" s="610">
        <v>0.14199999999999999</v>
      </c>
      <c r="L323" s="610">
        <v>0</v>
      </c>
      <c r="M323" s="610">
        <v>0</v>
      </c>
      <c r="N323" s="610">
        <v>0</v>
      </c>
      <c r="O323" s="821">
        <v>0</v>
      </c>
      <c r="P323" s="821">
        <v>0</v>
      </c>
      <c r="Q323" s="23">
        <f t="shared" si="50"/>
        <v>1</v>
      </c>
      <c r="R323">
        <v>59</v>
      </c>
      <c r="S323" t="str">
        <f t="shared" si="53"/>
        <v/>
      </c>
      <c r="U323" s="822"/>
      <c r="V323" s="822"/>
      <c r="W323" s="822"/>
      <c r="X323" s="822"/>
      <c r="Y323" s="822"/>
      <c r="Z323" s="822"/>
      <c r="AA323" s="822"/>
      <c r="AC323" s="710"/>
    </row>
    <row r="324" spans="1:29" hidden="1" x14ac:dyDescent="0.25">
      <c r="A324" t="s">
        <v>1159</v>
      </c>
      <c r="B324" t="s">
        <v>55</v>
      </c>
      <c r="C324" t="s">
        <v>1034</v>
      </c>
      <c r="D324" t="s">
        <v>879</v>
      </c>
      <c r="E324" t="s">
        <v>2</v>
      </c>
      <c r="F324" t="str">
        <f t="shared" si="56"/>
        <v>Pakistan:Injectable</v>
      </c>
      <c r="G324" s="611">
        <f t="shared" si="57"/>
        <v>0.623</v>
      </c>
      <c r="H324" s="610">
        <v>0.40899999999999997</v>
      </c>
      <c r="I324" s="610">
        <v>0.214</v>
      </c>
      <c r="J324" s="23">
        <v>0</v>
      </c>
      <c r="K324" s="610">
        <v>0.28299999999999997</v>
      </c>
      <c r="L324" s="610">
        <v>0.06</v>
      </c>
      <c r="M324" s="610">
        <v>3.4000000000000002E-2</v>
      </c>
      <c r="N324" s="610">
        <v>0</v>
      </c>
      <c r="O324" s="821">
        <v>0</v>
      </c>
      <c r="P324" s="821">
        <v>0</v>
      </c>
      <c r="Q324" s="23">
        <f t="shared" si="50"/>
        <v>1</v>
      </c>
      <c r="R324">
        <v>428</v>
      </c>
      <c r="S324" t="str">
        <f t="shared" si="53"/>
        <v/>
      </c>
      <c r="U324" s="822"/>
      <c r="V324" s="822"/>
      <c r="W324" s="822"/>
      <c r="X324" s="822"/>
      <c r="Y324" s="822"/>
      <c r="Z324" s="822"/>
      <c r="AA324" s="822"/>
      <c r="AC324" s="710"/>
    </row>
    <row r="325" spans="1:29" hidden="1" x14ac:dyDescent="0.25">
      <c r="A325" t="s">
        <v>1159</v>
      </c>
      <c r="B325" t="s">
        <v>55</v>
      </c>
      <c r="C325" t="s">
        <v>1034</v>
      </c>
      <c r="D325" t="s">
        <v>879</v>
      </c>
      <c r="E325" t="s">
        <v>5</v>
      </c>
      <c r="F325" t="str">
        <f t="shared" si="56"/>
        <v>Pakistan:IUD</v>
      </c>
      <c r="G325" s="611">
        <f t="shared" si="57"/>
        <v>0.64335664335664344</v>
      </c>
      <c r="H325" s="610">
        <v>0.59540459540459545</v>
      </c>
      <c r="I325" s="610">
        <v>4.7952047952047959E-2</v>
      </c>
      <c r="J325" s="23">
        <v>0</v>
      </c>
      <c r="K325" s="610">
        <v>0.30569430569430572</v>
      </c>
      <c r="L325" s="610">
        <v>1.9980019980019984E-3</v>
      </c>
      <c r="M325" s="610">
        <v>4.8951048951048959E-2</v>
      </c>
      <c r="N325" s="610">
        <v>0</v>
      </c>
      <c r="O325" s="821">
        <v>0</v>
      </c>
      <c r="P325" s="821">
        <v>0</v>
      </c>
      <c r="Q325" s="23">
        <f t="shared" si="50"/>
        <v>1</v>
      </c>
      <c r="R325">
        <v>320</v>
      </c>
      <c r="S325" t="str">
        <f t="shared" si="53"/>
        <v/>
      </c>
      <c r="U325" s="822"/>
      <c r="V325" s="822"/>
      <c r="W325" s="822"/>
      <c r="X325" s="822"/>
      <c r="Y325" s="822"/>
      <c r="Z325" s="822"/>
      <c r="AA325" s="822"/>
      <c r="AC325" s="710"/>
    </row>
    <row r="326" spans="1:29" hidden="1" x14ac:dyDescent="0.25">
      <c r="A326" t="s">
        <v>1159</v>
      </c>
      <c r="B326" t="s">
        <v>55</v>
      </c>
      <c r="C326" t="s">
        <v>1034</v>
      </c>
      <c r="D326" t="s">
        <v>879</v>
      </c>
      <c r="E326" t="s">
        <v>103</v>
      </c>
      <c r="F326" t="str">
        <f t="shared" si="56"/>
        <v>Pakistan:Male Condom</v>
      </c>
      <c r="G326" s="611">
        <f t="shared" si="57"/>
        <v>0.19519519519519518</v>
      </c>
      <c r="H326" s="610">
        <v>3.6036036036036036E-2</v>
      </c>
      <c r="I326" s="610">
        <v>0.15915915915915915</v>
      </c>
      <c r="J326" s="23">
        <v>0</v>
      </c>
      <c r="K326" s="610">
        <v>2.002002002002002E-2</v>
      </c>
      <c r="L326" s="610">
        <v>0.47147147147147145</v>
      </c>
      <c r="M326" s="610">
        <v>0.30630630630630629</v>
      </c>
      <c r="N326" s="610">
        <v>7.0070070070070069E-3</v>
      </c>
      <c r="O326" s="821">
        <v>0</v>
      </c>
      <c r="P326" s="821">
        <v>0</v>
      </c>
      <c r="Q326" s="23">
        <f t="shared" si="50"/>
        <v>0.99999999999999989</v>
      </c>
      <c r="R326" s="2">
        <v>1324</v>
      </c>
      <c r="S326" t="str">
        <f t="shared" si="53"/>
        <v/>
      </c>
      <c r="U326" s="822"/>
      <c r="V326" s="822"/>
      <c r="W326" s="822"/>
      <c r="X326" s="822"/>
      <c r="Y326" s="822"/>
      <c r="Z326" s="822"/>
      <c r="AA326" s="822"/>
      <c r="AC326" s="710"/>
    </row>
    <row r="327" spans="1:29" hidden="1" x14ac:dyDescent="0.25">
      <c r="A327" t="s">
        <v>1159</v>
      </c>
      <c r="B327" t="s">
        <v>55</v>
      </c>
      <c r="C327" t="s">
        <v>1034</v>
      </c>
      <c r="D327" t="s">
        <v>879</v>
      </c>
      <c r="E327" t="s">
        <v>129</v>
      </c>
      <c r="F327" t="str">
        <f t="shared" si="56"/>
        <v>Pakistan:Male Sterilization</v>
      </c>
      <c r="G327" s="611" t="e">
        <f t="shared" si="57"/>
        <v>#N/A</v>
      </c>
      <c r="H327" s="815" t="e">
        <f>NA()</f>
        <v>#N/A</v>
      </c>
      <c r="I327" s="815" t="e">
        <f>NA()</f>
        <v>#N/A</v>
      </c>
      <c r="J327" s="815" t="e">
        <f>NA()</f>
        <v>#N/A</v>
      </c>
      <c r="K327" s="815" t="e">
        <f>NA()</f>
        <v>#N/A</v>
      </c>
      <c r="L327" s="815" t="e">
        <f>NA()</f>
        <v>#N/A</v>
      </c>
      <c r="M327" s="815" t="e">
        <f>NA()</f>
        <v>#N/A</v>
      </c>
      <c r="N327" s="815" t="e">
        <f>NA()</f>
        <v>#N/A</v>
      </c>
      <c r="O327" s="821" t="e">
        <f>NA()</f>
        <v>#N/A</v>
      </c>
      <c r="P327" s="821" t="e">
        <f>NA()</f>
        <v>#N/A</v>
      </c>
      <c r="Q327" s="23" t="str">
        <f t="shared" si="50"/>
        <v>Sample Too Small</v>
      </c>
      <c r="R327">
        <v>12</v>
      </c>
      <c r="S327" t="str">
        <f t="shared" si="53"/>
        <v>Sample too small</v>
      </c>
      <c r="U327" s="822"/>
      <c r="V327" s="822"/>
      <c r="W327" s="822"/>
      <c r="X327" s="822"/>
      <c r="Y327" s="822"/>
      <c r="Z327" s="822"/>
      <c r="AA327" s="822"/>
      <c r="AC327" s="710"/>
    </row>
    <row r="328" spans="1:29" hidden="1" x14ac:dyDescent="0.25">
      <c r="A328" t="s">
        <v>1159</v>
      </c>
      <c r="B328" t="s">
        <v>55</v>
      </c>
      <c r="C328" t="s">
        <v>1034</v>
      </c>
      <c r="D328" t="s">
        <v>879</v>
      </c>
      <c r="E328" t="s">
        <v>110</v>
      </c>
      <c r="F328" t="str">
        <f t="shared" si="56"/>
        <v>Pakistan:OC Pills</v>
      </c>
      <c r="G328" s="611">
        <f t="shared" si="57"/>
        <v>0.38</v>
      </c>
      <c r="H328" s="610">
        <v>0.105</v>
      </c>
      <c r="I328" s="610">
        <v>0.27500000000000002</v>
      </c>
      <c r="J328" s="23">
        <v>0</v>
      </c>
      <c r="K328" s="610">
        <v>0.11899999999999999</v>
      </c>
      <c r="L328" s="610">
        <v>0.36299999999999999</v>
      </c>
      <c r="M328" s="610">
        <v>0.13700000000000001</v>
      </c>
      <c r="N328" s="610">
        <v>1E-3</v>
      </c>
      <c r="O328" s="821">
        <v>0</v>
      </c>
      <c r="P328" s="821">
        <v>0</v>
      </c>
      <c r="Q328" s="23">
        <f t="shared" si="50"/>
        <v>1</v>
      </c>
      <c r="R328">
        <v>292</v>
      </c>
      <c r="S328" t="str">
        <f t="shared" si="53"/>
        <v/>
      </c>
      <c r="U328" s="822"/>
      <c r="V328" s="822"/>
      <c r="W328" s="822"/>
      <c r="X328" s="822"/>
      <c r="Y328" s="822"/>
      <c r="Z328" s="822"/>
      <c r="AA328" s="822"/>
      <c r="AC328" s="710"/>
    </row>
    <row r="329" spans="1:29" hidden="1" x14ac:dyDescent="0.25">
      <c r="A329" t="s">
        <v>1159</v>
      </c>
      <c r="B329" t="s">
        <v>55</v>
      </c>
      <c r="C329" t="s">
        <v>1034</v>
      </c>
      <c r="D329" t="s">
        <v>879</v>
      </c>
      <c r="E329" t="s">
        <v>1153</v>
      </c>
      <c r="F329" t="str">
        <f t="shared" si="56"/>
        <v>Pakistan:Other Modern Method</v>
      </c>
      <c r="G329" s="611" t="e">
        <f t="shared" si="57"/>
        <v>#N/A</v>
      </c>
      <c r="H329" s="815" t="e">
        <f>NA()</f>
        <v>#N/A</v>
      </c>
      <c r="I329" s="815" t="e">
        <f>NA()</f>
        <v>#N/A</v>
      </c>
      <c r="J329" s="815" t="e">
        <f>NA()</f>
        <v>#N/A</v>
      </c>
      <c r="K329" s="815" t="e">
        <f>NA()</f>
        <v>#N/A</v>
      </c>
      <c r="L329" s="815" t="e">
        <f>NA()</f>
        <v>#N/A</v>
      </c>
      <c r="M329" s="815" t="e">
        <f>NA()</f>
        <v>#N/A</v>
      </c>
      <c r="N329" s="815" t="e">
        <f>NA()</f>
        <v>#N/A</v>
      </c>
      <c r="O329" s="821" t="e">
        <f>NA()</f>
        <v>#N/A</v>
      </c>
      <c r="P329" s="821" t="e">
        <f>NA()</f>
        <v>#N/A</v>
      </c>
      <c r="Q329" s="23" t="str">
        <f t="shared" si="50"/>
        <v>Sample Too Small</v>
      </c>
      <c r="R329">
        <v>1</v>
      </c>
      <c r="S329" t="str">
        <f t="shared" si="53"/>
        <v>Sample too small</v>
      </c>
      <c r="AC329" s="710"/>
    </row>
    <row r="330" spans="1:29" hidden="1" x14ac:dyDescent="0.25">
      <c r="A330" t="s">
        <v>1159</v>
      </c>
      <c r="B330" t="s">
        <v>55</v>
      </c>
      <c r="C330" t="s">
        <v>1034</v>
      </c>
      <c r="D330" t="s">
        <v>879</v>
      </c>
      <c r="E330" t="s">
        <v>967</v>
      </c>
      <c r="F330" t="str">
        <f t="shared" si="56"/>
        <v>Pakistan:standard days method (sdm)</v>
      </c>
      <c r="G330" s="611" t="e">
        <f t="shared" si="57"/>
        <v>#N/A</v>
      </c>
      <c r="H330" s="815" t="e">
        <f>NA()</f>
        <v>#N/A</v>
      </c>
      <c r="I330" s="815" t="e">
        <f>NA()</f>
        <v>#N/A</v>
      </c>
      <c r="J330" s="815" t="e">
        <f>NA()</f>
        <v>#N/A</v>
      </c>
      <c r="K330" s="815" t="e">
        <f>NA()</f>
        <v>#N/A</v>
      </c>
      <c r="L330" s="815" t="e">
        <f>NA()</f>
        <v>#N/A</v>
      </c>
      <c r="M330" s="815" t="e">
        <f>NA()</f>
        <v>#N/A</v>
      </c>
      <c r="N330" s="815" t="e">
        <f>NA()</f>
        <v>#N/A</v>
      </c>
      <c r="O330" s="821" t="e">
        <f>NA()</f>
        <v>#N/A</v>
      </c>
      <c r="P330" s="821" t="e">
        <f>NA()</f>
        <v>#N/A</v>
      </c>
      <c r="Q330" s="23" t="str">
        <f t="shared" si="50"/>
        <v>Sample Too Small</v>
      </c>
      <c r="R330">
        <v>2</v>
      </c>
      <c r="S330" t="str">
        <f t="shared" si="53"/>
        <v>Sample too small</v>
      </c>
      <c r="AC330" s="710"/>
    </row>
    <row r="331" spans="1:29" hidden="1" x14ac:dyDescent="0.25">
      <c r="A331" t="s">
        <v>970</v>
      </c>
      <c r="B331" t="s">
        <v>57</v>
      </c>
      <c r="C331" t="s">
        <v>969</v>
      </c>
      <c r="D331" t="s">
        <v>282</v>
      </c>
      <c r="E331" t="s">
        <v>128</v>
      </c>
      <c r="F331" t="str">
        <f t="shared" si="51"/>
        <v>Philippines:Female Sterilization</v>
      </c>
      <c r="G331" s="611">
        <f t="shared" ref="G331:G362" si="58">SUM(H331:I331)</f>
        <v>0.76900000000000002</v>
      </c>
      <c r="H331" s="610">
        <v>0.76600000000000001</v>
      </c>
      <c r="I331" s="610">
        <v>3.0000000000000001E-3</v>
      </c>
      <c r="J331" s="610">
        <v>4.0000000000000001E-3</v>
      </c>
      <c r="K331" s="610">
        <v>0.22700000000000001</v>
      </c>
      <c r="L331" s="610">
        <v>0</v>
      </c>
      <c r="M331" s="610">
        <v>0</v>
      </c>
      <c r="N331" s="610">
        <v>0</v>
      </c>
      <c r="O331" s="818"/>
      <c r="P331" s="818"/>
      <c r="Q331" s="23">
        <f t="shared" si="50"/>
        <v>1</v>
      </c>
      <c r="R331" s="2">
        <v>1119</v>
      </c>
    </row>
    <row r="332" spans="1:29" hidden="1" x14ac:dyDescent="0.25">
      <c r="A332" t="s">
        <v>970</v>
      </c>
      <c r="B332" t="s">
        <v>57</v>
      </c>
      <c r="C332" t="s">
        <v>969</v>
      </c>
      <c r="D332" t="s">
        <v>282</v>
      </c>
      <c r="E332" t="s">
        <v>3</v>
      </c>
      <c r="F332" t="str">
        <f t="shared" si="51"/>
        <v>Philippines:Implant</v>
      </c>
      <c r="G332" s="611">
        <f t="shared" si="58"/>
        <v>0.751</v>
      </c>
      <c r="H332" s="610">
        <v>0.72099999999999997</v>
      </c>
      <c r="I332" s="610">
        <v>0.03</v>
      </c>
      <c r="J332" s="610">
        <v>2E-3</v>
      </c>
      <c r="K332" s="610">
        <v>0.23</v>
      </c>
      <c r="L332" s="610">
        <v>0</v>
      </c>
      <c r="M332" s="610">
        <v>0</v>
      </c>
      <c r="N332" s="610">
        <v>1.7000000000000001E-2</v>
      </c>
      <c r="O332" s="818"/>
      <c r="P332" s="818"/>
      <c r="Q332" s="23">
        <f t="shared" si="50"/>
        <v>1</v>
      </c>
      <c r="R332">
        <v>186</v>
      </c>
    </row>
    <row r="333" spans="1:29" hidden="1" x14ac:dyDescent="0.25">
      <c r="A333" t="s">
        <v>970</v>
      </c>
      <c r="B333" t="s">
        <v>57</v>
      </c>
      <c r="C333" t="s">
        <v>969</v>
      </c>
      <c r="D333" t="s">
        <v>282</v>
      </c>
      <c r="E333" t="s">
        <v>2</v>
      </c>
      <c r="F333" t="str">
        <f t="shared" si="51"/>
        <v>Philippines:Injectable</v>
      </c>
      <c r="G333" s="611">
        <f t="shared" si="58"/>
        <v>0.92700000000000005</v>
      </c>
      <c r="H333" s="610">
        <v>0.88900000000000001</v>
      </c>
      <c r="I333" s="610">
        <v>3.7999999999999999E-2</v>
      </c>
      <c r="J333" s="610">
        <v>1E-3</v>
      </c>
      <c r="K333" s="610">
        <v>5.1999999999999998E-2</v>
      </c>
      <c r="L333" s="610">
        <v>8.9999999999999993E-3</v>
      </c>
      <c r="M333" s="610">
        <v>8.9999999999999993E-3</v>
      </c>
      <c r="N333" s="610">
        <v>1E-3</v>
      </c>
      <c r="O333" s="818"/>
      <c r="P333" s="818"/>
      <c r="Q333" s="23">
        <f t="shared" si="50"/>
        <v>0.99900000000000011</v>
      </c>
      <c r="R333">
        <v>904</v>
      </c>
    </row>
    <row r="334" spans="1:29" hidden="1" x14ac:dyDescent="0.25">
      <c r="A334" t="s">
        <v>970</v>
      </c>
      <c r="B334" t="s">
        <v>57</v>
      </c>
      <c r="C334" t="s">
        <v>969</v>
      </c>
      <c r="D334" t="s">
        <v>282</v>
      </c>
      <c r="E334" t="s">
        <v>5</v>
      </c>
      <c r="F334" t="str">
        <f t="shared" si="51"/>
        <v>Philippines:IUD</v>
      </c>
      <c r="G334" s="611">
        <f t="shared" si="58"/>
        <v>0.89300000000000002</v>
      </c>
      <c r="H334" s="610">
        <v>0.88400000000000001</v>
      </c>
      <c r="I334" s="610">
        <v>8.9999999999999993E-3</v>
      </c>
      <c r="J334" s="610">
        <v>3.0000000000000001E-3</v>
      </c>
      <c r="K334" s="610">
        <v>0.10100000000000001</v>
      </c>
      <c r="L334" s="610">
        <v>1E-3</v>
      </c>
      <c r="M334" s="610">
        <v>0</v>
      </c>
      <c r="N334" s="610">
        <v>2E-3</v>
      </c>
      <c r="O334" s="818"/>
      <c r="P334" s="818"/>
      <c r="Q334" s="23">
        <f t="shared" si="50"/>
        <v>1</v>
      </c>
      <c r="R334">
        <v>604</v>
      </c>
    </row>
    <row r="335" spans="1:29" hidden="1" x14ac:dyDescent="0.25">
      <c r="A335" t="s">
        <v>970</v>
      </c>
      <c r="B335" t="s">
        <v>57</v>
      </c>
      <c r="C335" t="s">
        <v>969</v>
      </c>
      <c r="D335" t="s">
        <v>282</v>
      </c>
      <c r="E335" t="s">
        <v>103</v>
      </c>
      <c r="F335" t="str">
        <f t="shared" si="51"/>
        <v>Philippines:Male Condom</v>
      </c>
      <c r="G335" s="611">
        <f t="shared" si="58"/>
        <v>0.29499999999999998</v>
      </c>
      <c r="H335" s="610">
        <v>0.28499999999999998</v>
      </c>
      <c r="I335" s="610">
        <v>0.01</v>
      </c>
      <c r="J335" s="610">
        <v>2E-3</v>
      </c>
      <c r="K335" s="610">
        <v>3.0000000000000001E-3</v>
      </c>
      <c r="L335" s="610">
        <v>0.56399999999999995</v>
      </c>
      <c r="M335" s="610">
        <v>0.13600000000000001</v>
      </c>
      <c r="N335" s="610">
        <v>0</v>
      </c>
      <c r="O335" s="818"/>
      <c r="P335" s="818"/>
      <c r="Q335" s="23">
        <f t="shared" si="50"/>
        <v>0.99999999999999989</v>
      </c>
      <c r="R335">
        <v>266</v>
      </c>
    </row>
    <row r="336" spans="1:29" hidden="1" x14ac:dyDescent="0.25">
      <c r="A336" t="s">
        <v>970</v>
      </c>
      <c r="B336" t="s">
        <v>57</v>
      </c>
      <c r="C336" t="s">
        <v>969</v>
      </c>
      <c r="D336" t="s">
        <v>282</v>
      </c>
      <c r="E336" t="s">
        <v>129</v>
      </c>
      <c r="F336" t="str">
        <f t="shared" si="51"/>
        <v>Philippines:Male Sterilization</v>
      </c>
      <c r="G336" s="611" t="e">
        <f t="shared" si="58"/>
        <v>#N/A</v>
      </c>
      <c r="H336" s="610" t="e">
        <f>NA()</f>
        <v>#N/A</v>
      </c>
      <c r="I336" s="610" t="e">
        <f>NA()</f>
        <v>#N/A</v>
      </c>
      <c r="J336" s="610" t="e">
        <f>NA()</f>
        <v>#N/A</v>
      </c>
      <c r="K336" s="610" t="e">
        <f>NA()</f>
        <v>#N/A</v>
      </c>
      <c r="L336" s="610" t="e">
        <f>NA()</f>
        <v>#N/A</v>
      </c>
      <c r="M336" s="610" t="e">
        <f>NA()</f>
        <v>#N/A</v>
      </c>
      <c r="N336" s="610" t="e">
        <f>NA()</f>
        <v>#N/A</v>
      </c>
      <c r="O336" s="818"/>
      <c r="P336" s="818"/>
      <c r="Q336" s="23" t="str">
        <f t="shared" si="50"/>
        <v>Sample Too Small</v>
      </c>
      <c r="R336">
        <v>12</v>
      </c>
    </row>
    <row r="337" spans="1:18" hidden="1" x14ac:dyDescent="0.25">
      <c r="A337" t="s">
        <v>970</v>
      </c>
      <c r="B337" t="s">
        <v>57</v>
      </c>
      <c r="C337" t="s">
        <v>969</v>
      </c>
      <c r="D337" t="s">
        <v>282</v>
      </c>
      <c r="E337" t="s">
        <v>110</v>
      </c>
      <c r="F337" t="str">
        <f t="shared" si="51"/>
        <v>Philippines:OC Pills</v>
      </c>
      <c r="G337" s="611">
        <f t="shared" si="58"/>
        <v>0.34200000000000003</v>
      </c>
      <c r="H337" s="610">
        <v>0.314</v>
      </c>
      <c r="I337" s="610">
        <v>2.8000000000000001E-2</v>
      </c>
      <c r="J337" s="610">
        <v>3.0000000000000001E-3</v>
      </c>
      <c r="K337" s="610">
        <v>8.0000000000000002E-3</v>
      </c>
      <c r="L337" s="610">
        <v>0.53200000000000003</v>
      </c>
      <c r="M337" s="610">
        <v>0.11600000000000001</v>
      </c>
      <c r="N337" s="610">
        <v>0</v>
      </c>
      <c r="O337" s="818"/>
      <c r="P337" s="818"/>
      <c r="Q337" s="23">
        <f t="shared" si="50"/>
        <v>1.0010000000000001</v>
      </c>
      <c r="R337" s="2">
        <v>3314</v>
      </c>
    </row>
    <row r="338" spans="1:18" hidden="1" x14ac:dyDescent="0.25">
      <c r="A338" t="s">
        <v>970</v>
      </c>
      <c r="B338" t="s">
        <v>57</v>
      </c>
      <c r="C338" t="s">
        <v>969</v>
      </c>
      <c r="D338" t="s">
        <v>282</v>
      </c>
      <c r="E338" t="s">
        <v>130</v>
      </c>
      <c r="F338" t="str">
        <f t="shared" si="51"/>
        <v>Philippines:Other Modern Methods</v>
      </c>
      <c r="G338" s="611" t="e">
        <f t="shared" si="58"/>
        <v>#N/A</v>
      </c>
      <c r="H338" s="610" t="e">
        <f>NA()</f>
        <v>#N/A</v>
      </c>
      <c r="I338" s="610" t="e">
        <f>NA()</f>
        <v>#N/A</v>
      </c>
      <c r="J338" s="610" t="e">
        <f>NA()</f>
        <v>#N/A</v>
      </c>
      <c r="K338" s="610" t="e">
        <f>NA()</f>
        <v>#N/A</v>
      </c>
      <c r="L338" s="610" t="e">
        <f>NA()</f>
        <v>#N/A</v>
      </c>
      <c r="M338" s="610" t="e">
        <f>NA()</f>
        <v>#N/A</v>
      </c>
      <c r="N338" s="610" t="e">
        <f>NA()</f>
        <v>#N/A</v>
      </c>
      <c r="O338" s="818"/>
      <c r="P338" s="818"/>
      <c r="Q338" s="23" t="str">
        <f t="shared" si="50"/>
        <v>Sample Too Small</v>
      </c>
      <c r="R338">
        <v>1</v>
      </c>
    </row>
    <row r="339" spans="1:18" hidden="1" x14ac:dyDescent="0.25">
      <c r="A339" t="s">
        <v>2495</v>
      </c>
      <c r="B339" t="s">
        <v>58</v>
      </c>
      <c r="C339" t="s">
        <v>2015</v>
      </c>
      <c r="D339" t="s">
        <v>282</v>
      </c>
      <c r="E339" t="s">
        <v>128</v>
      </c>
      <c r="F339" t="str">
        <f t="shared" si="51"/>
        <v>Rwanda:Female Sterilization</v>
      </c>
      <c r="G339" s="611">
        <v>0.96099999999999997</v>
      </c>
      <c r="H339" s="23"/>
      <c r="I339" s="23"/>
      <c r="J339" s="23"/>
      <c r="K339" s="23">
        <v>3.9E-2</v>
      </c>
      <c r="L339" s="23">
        <v>0</v>
      </c>
      <c r="M339" s="23">
        <v>0</v>
      </c>
      <c r="N339" s="23">
        <v>0</v>
      </c>
      <c r="O339" s="818">
        <v>0</v>
      </c>
      <c r="P339" s="818"/>
      <c r="Q339" s="23">
        <f>IFERROR(SUM(G339:N339), "Sample Too Small")</f>
        <v>1</v>
      </c>
    </row>
    <row r="340" spans="1:18" hidden="1" x14ac:dyDescent="0.25">
      <c r="A340" t="s">
        <v>2495</v>
      </c>
      <c r="B340" t="s">
        <v>58</v>
      </c>
      <c r="C340" t="s">
        <v>2015</v>
      </c>
      <c r="D340" t="s">
        <v>282</v>
      </c>
      <c r="E340" t="s">
        <v>3</v>
      </c>
      <c r="F340" t="str">
        <f t="shared" si="51"/>
        <v>Rwanda:Implant</v>
      </c>
      <c r="G340" s="611">
        <v>0.99</v>
      </c>
      <c r="H340" s="23"/>
      <c r="I340" s="23"/>
      <c r="J340" s="23"/>
      <c r="K340" s="23">
        <v>6.9999999999999993E-3</v>
      </c>
      <c r="L340" s="23">
        <v>0</v>
      </c>
      <c r="M340" s="23">
        <v>0</v>
      </c>
      <c r="N340" s="23">
        <v>1E-3</v>
      </c>
      <c r="O340" s="818">
        <v>2.0000000000000018E-3</v>
      </c>
      <c r="P340" s="818"/>
      <c r="Q340" s="23">
        <f t="shared" ref="Q340:Q346" si="59">IFERROR(SUM(G340:N340), "Sample Too Small")</f>
        <v>0.998</v>
      </c>
    </row>
    <row r="341" spans="1:18" hidden="1" x14ac:dyDescent="0.25">
      <c r="A341" t="s">
        <v>2495</v>
      </c>
      <c r="B341" t="s">
        <v>58</v>
      </c>
      <c r="C341" t="s">
        <v>2015</v>
      </c>
      <c r="D341" t="s">
        <v>282</v>
      </c>
      <c r="E341" t="s">
        <v>2</v>
      </c>
      <c r="F341" t="str">
        <f t="shared" si="51"/>
        <v>Rwanda:Injectable</v>
      </c>
      <c r="G341" s="611">
        <v>0.51500000000000001</v>
      </c>
      <c r="H341" s="23"/>
      <c r="I341" s="23"/>
      <c r="J341" s="23"/>
      <c r="K341" s="23">
        <v>9.4E-2</v>
      </c>
      <c r="L341" s="23">
        <v>9.0000000000000011E-3</v>
      </c>
      <c r="M341" s="23">
        <v>0</v>
      </c>
      <c r="N341" s="23">
        <v>0.379</v>
      </c>
      <c r="O341" s="818">
        <v>3.0000000000000027E-3</v>
      </c>
      <c r="P341" s="818"/>
      <c r="Q341" s="23">
        <f t="shared" si="59"/>
        <v>0.997</v>
      </c>
      <c r="R341" s="2"/>
    </row>
    <row r="342" spans="1:18" hidden="1" x14ac:dyDescent="0.25">
      <c r="A342" t="s">
        <v>2495</v>
      </c>
      <c r="B342" t="s">
        <v>58</v>
      </c>
      <c r="C342" t="s">
        <v>2015</v>
      </c>
      <c r="D342" t="s">
        <v>282</v>
      </c>
      <c r="E342" t="s">
        <v>5</v>
      </c>
      <c r="F342" t="str">
        <f t="shared" si="51"/>
        <v>Rwanda:IUD</v>
      </c>
      <c r="G342" s="611">
        <v>0.77300000000000002</v>
      </c>
      <c r="H342" s="23"/>
      <c r="I342" s="23"/>
      <c r="J342" s="23"/>
      <c r="K342" s="23">
        <v>0.218</v>
      </c>
      <c r="L342" s="23">
        <v>0</v>
      </c>
      <c r="M342" s="23">
        <v>0</v>
      </c>
      <c r="N342" s="23">
        <v>0</v>
      </c>
      <c r="O342" s="818">
        <v>9.000000000000008E-3</v>
      </c>
      <c r="P342" s="818"/>
      <c r="Q342" s="23">
        <f t="shared" si="59"/>
        <v>0.99099999999999999</v>
      </c>
    </row>
    <row r="343" spans="1:18" hidden="1" x14ac:dyDescent="0.25">
      <c r="A343" t="s">
        <v>2495</v>
      </c>
      <c r="B343" t="s">
        <v>58</v>
      </c>
      <c r="C343" t="s">
        <v>2015</v>
      </c>
      <c r="D343" t="s">
        <v>282</v>
      </c>
      <c r="E343" t="s">
        <v>103</v>
      </c>
      <c r="F343" t="str">
        <f t="shared" si="51"/>
        <v>Rwanda:Male Condom</v>
      </c>
      <c r="G343" s="611">
        <v>0.45</v>
      </c>
      <c r="H343" s="23"/>
      <c r="I343" s="23"/>
      <c r="J343" s="23"/>
      <c r="K343" s="23">
        <v>7.9999999999999932E-3</v>
      </c>
      <c r="L343" s="23">
        <v>9.8000000000000004E-2</v>
      </c>
      <c r="M343" s="23">
        <v>0.29799999999999999</v>
      </c>
      <c r="N343" s="23">
        <v>0.13800000000000001</v>
      </c>
      <c r="O343" s="818">
        <v>7.9999999999998961E-3</v>
      </c>
      <c r="P343" s="818"/>
      <c r="Q343" s="23">
        <f t="shared" si="59"/>
        <v>0.9920000000000001</v>
      </c>
    </row>
    <row r="344" spans="1:18" hidden="1" x14ac:dyDescent="0.25">
      <c r="A344" t="s">
        <v>2495</v>
      </c>
      <c r="B344" t="s">
        <v>58</v>
      </c>
      <c r="C344" t="s">
        <v>2015</v>
      </c>
      <c r="D344" t="s">
        <v>282</v>
      </c>
      <c r="E344" t="s">
        <v>129</v>
      </c>
      <c r="F344" t="str">
        <f t="shared" si="51"/>
        <v>Rwanda:Male Sterilization</v>
      </c>
      <c r="G344" s="611" t="e">
        <f t="shared" si="58"/>
        <v>#N/A</v>
      </c>
      <c r="H344" t="e">
        <f>NA()</f>
        <v>#N/A</v>
      </c>
      <c r="I344" t="e">
        <f>NA()</f>
        <v>#N/A</v>
      </c>
      <c r="J344" t="e">
        <f>NA()</f>
        <v>#N/A</v>
      </c>
      <c r="K344" t="e">
        <f>NA()</f>
        <v>#N/A</v>
      </c>
      <c r="L344" t="e">
        <f>NA()</f>
        <v>#N/A</v>
      </c>
      <c r="M344" t="e">
        <f>NA()</f>
        <v>#N/A</v>
      </c>
      <c r="N344" t="e">
        <f>NA()</f>
        <v>#N/A</v>
      </c>
      <c r="O344" s="818" t="e">
        <f>NA()</f>
        <v>#N/A</v>
      </c>
      <c r="P344" s="818"/>
      <c r="Q344" s="23" t="str">
        <f t="shared" si="59"/>
        <v>Sample Too Small</v>
      </c>
      <c r="R344" s="10"/>
    </row>
    <row r="345" spans="1:18" hidden="1" x14ac:dyDescent="0.25">
      <c r="A345" t="s">
        <v>2495</v>
      </c>
      <c r="B345" t="s">
        <v>58</v>
      </c>
      <c r="C345" t="s">
        <v>2015</v>
      </c>
      <c r="D345" t="s">
        <v>282</v>
      </c>
      <c r="E345" t="s">
        <v>110</v>
      </c>
      <c r="F345" t="str">
        <f t="shared" si="51"/>
        <v>Rwanda:OC Pills</v>
      </c>
      <c r="G345" s="611">
        <v>0.59699999999999998</v>
      </c>
      <c r="H345" s="502"/>
      <c r="I345" s="502"/>
      <c r="J345" s="502"/>
      <c r="K345" s="502">
        <v>3.3000000000000002E-2</v>
      </c>
      <c r="L345" s="502">
        <v>9.8000000000000004E-2</v>
      </c>
      <c r="M345" s="502">
        <v>3.0000000000000001E-3</v>
      </c>
      <c r="N345" s="502">
        <v>0.26700000000000002</v>
      </c>
      <c r="O345" s="818">
        <v>2.0000000000000018E-3</v>
      </c>
      <c r="P345" s="818"/>
      <c r="Q345" s="23">
        <f t="shared" si="59"/>
        <v>0.998</v>
      </c>
      <c r="R345" s="119"/>
    </row>
    <row r="346" spans="1:18" hidden="1" x14ac:dyDescent="0.25">
      <c r="A346" t="s">
        <v>2495</v>
      </c>
      <c r="B346" t="s">
        <v>58</v>
      </c>
      <c r="C346" t="s">
        <v>2015</v>
      </c>
      <c r="D346" t="s">
        <v>282</v>
      </c>
      <c r="E346" t="s">
        <v>130</v>
      </c>
      <c r="F346" t="str">
        <f t="shared" si="51"/>
        <v>Rwanda:Other Modern Methods</v>
      </c>
      <c r="G346" s="611" t="e">
        <f t="shared" si="58"/>
        <v>#N/A</v>
      </c>
      <c r="H346" t="e">
        <f>NA()</f>
        <v>#N/A</v>
      </c>
      <c r="I346" t="e">
        <f>NA()</f>
        <v>#N/A</v>
      </c>
      <c r="J346" t="e">
        <f>NA()</f>
        <v>#N/A</v>
      </c>
      <c r="K346" t="e">
        <f>NA()</f>
        <v>#N/A</v>
      </c>
      <c r="L346" t="e">
        <f>NA()</f>
        <v>#N/A</v>
      </c>
      <c r="M346" t="e">
        <f>NA()</f>
        <v>#N/A</v>
      </c>
      <c r="N346" t="e">
        <f>NA()</f>
        <v>#N/A</v>
      </c>
      <c r="O346" s="818" t="e">
        <f>NA()</f>
        <v>#N/A</v>
      </c>
      <c r="P346" s="818"/>
      <c r="Q346" s="23" t="str">
        <f t="shared" si="59"/>
        <v>Sample Too Small</v>
      </c>
      <c r="R346" s="10"/>
    </row>
    <row r="347" spans="1:18" hidden="1" x14ac:dyDescent="0.25">
      <c r="A347" t="s">
        <v>903</v>
      </c>
      <c r="B347" t="s">
        <v>59</v>
      </c>
      <c r="C347" t="s">
        <v>592</v>
      </c>
      <c r="D347" t="s">
        <v>282</v>
      </c>
      <c r="E347" t="s">
        <v>128</v>
      </c>
      <c r="F347" t="str">
        <f t="shared" si="51"/>
        <v>Sao Tome and Principe:Female Sterilization</v>
      </c>
      <c r="G347" s="611" t="e">
        <f t="shared" si="58"/>
        <v>#N/A</v>
      </c>
      <c r="H347" t="e">
        <f>NA()</f>
        <v>#N/A</v>
      </c>
      <c r="I347" t="e">
        <f>NA()</f>
        <v>#N/A</v>
      </c>
      <c r="J347" t="e">
        <f>NA()</f>
        <v>#N/A</v>
      </c>
      <c r="K347" t="e">
        <f>NA()</f>
        <v>#N/A</v>
      </c>
      <c r="L347" t="e">
        <f>NA()</f>
        <v>#N/A</v>
      </c>
      <c r="M347" t="e">
        <f>NA()</f>
        <v>#N/A</v>
      </c>
      <c r="N347" t="e">
        <f>NA()</f>
        <v>#N/A</v>
      </c>
      <c r="O347" s="818" t="e">
        <f>NA()</f>
        <v>#N/A</v>
      </c>
      <c r="P347" s="818" t="e">
        <f>NA()</f>
        <v>#N/A</v>
      </c>
      <c r="Q347" s="23" t="str">
        <f t="shared" ref="Q347:Q396" si="60">IFERROR(SUM(H347:N347), "Sample Too Small")</f>
        <v>Sample Too Small</v>
      </c>
      <c r="R347" s="10">
        <v>23</v>
      </c>
    </row>
    <row r="348" spans="1:18" hidden="1" x14ac:dyDescent="0.25">
      <c r="A348" t="s">
        <v>903</v>
      </c>
      <c r="B348" t="s">
        <v>59</v>
      </c>
      <c r="C348" t="s">
        <v>592</v>
      </c>
      <c r="D348" t="s">
        <v>282</v>
      </c>
      <c r="E348" t="s">
        <v>3</v>
      </c>
      <c r="F348" t="str">
        <f t="shared" si="51"/>
        <v>Sao Tome and Principe:Implant</v>
      </c>
      <c r="G348" s="611" t="e">
        <f t="shared" si="58"/>
        <v>#N/A</v>
      </c>
      <c r="H348" t="e">
        <f>NA()</f>
        <v>#N/A</v>
      </c>
      <c r="I348" t="e">
        <f>NA()</f>
        <v>#N/A</v>
      </c>
      <c r="J348" t="e">
        <f>NA()</f>
        <v>#N/A</v>
      </c>
      <c r="K348" t="e">
        <f>NA()</f>
        <v>#N/A</v>
      </c>
      <c r="L348" t="e">
        <f>NA()</f>
        <v>#N/A</v>
      </c>
      <c r="M348" t="e">
        <f>NA()</f>
        <v>#N/A</v>
      </c>
      <c r="N348" t="e">
        <f>NA()</f>
        <v>#N/A</v>
      </c>
      <c r="O348" s="818" t="e">
        <f>NA()</f>
        <v>#N/A</v>
      </c>
      <c r="P348" s="818" t="e">
        <f>NA()</f>
        <v>#N/A</v>
      </c>
      <c r="Q348" s="23" t="str">
        <f t="shared" si="60"/>
        <v>Sample Too Small</v>
      </c>
      <c r="R348" s="10">
        <v>0</v>
      </c>
    </row>
    <row r="349" spans="1:18" hidden="1" x14ac:dyDescent="0.25">
      <c r="A349" t="s">
        <v>903</v>
      </c>
      <c r="B349" t="s">
        <v>59</v>
      </c>
      <c r="C349" t="s">
        <v>592</v>
      </c>
      <c r="D349" t="s">
        <v>282</v>
      </c>
      <c r="E349" t="s">
        <v>2</v>
      </c>
      <c r="F349" t="str">
        <f t="shared" si="51"/>
        <v>Sao Tome and Principe:Injectable</v>
      </c>
      <c r="G349" s="611">
        <f t="shared" si="58"/>
        <v>0.98</v>
      </c>
      <c r="H349" s="23">
        <v>0.77</v>
      </c>
      <c r="I349" s="23">
        <v>0.21</v>
      </c>
      <c r="J349" s="23">
        <v>0</v>
      </c>
      <c r="K349" s="23">
        <v>0.02</v>
      </c>
      <c r="L349" s="23">
        <v>0</v>
      </c>
      <c r="M349" s="23">
        <v>0</v>
      </c>
      <c r="N349" s="23">
        <v>0</v>
      </c>
      <c r="O349" s="818">
        <v>0</v>
      </c>
      <c r="P349" s="818">
        <v>0</v>
      </c>
      <c r="Q349" s="23">
        <f t="shared" si="60"/>
        <v>1</v>
      </c>
      <c r="R349">
        <v>262</v>
      </c>
    </row>
    <row r="350" spans="1:18" hidden="1" x14ac:dyDescent="0.25">
      <c r="A350" t="s">
        <v>903</v>
      </c>
      <c r="B350" t="s">
        <v>59</v>
      </c>
      <c r="C350" t="s">
        <v>592</v>
      </c>
      <c r="D350" t="s">
        <v>282</v>
      </c>
      <c r="E350" t="s">
        <v>5</v>
      </c>
      <c r="F350" t="str">
        <f t="shared" si="51"/>
        <v>Sao Tome and Principe:IUD</v>
      </c>
      <c r="G350" s="611" t="e">
        <f t="shared" si="58"/>
        <v>#N/A</v>
      </c>
      <c r="H350" s="23" t="e">
        <f>NA()</f>
        <v>#N/A</v>
      </c>
      <c r="I350" s="23" t="e">
        <f>NA()</f>
        <v>#N/A</v>
      </c>
      <c r="J350" s="23" t="e">
        <f>NA()</f>
        <v>#N/A</v>
      </c>
      <c r="K350" s="23" t="e">
        <f>NA()</f>
        <v>#N/A</v>
      </c>
      <c r="L350" s="23" t="e">
        <f>NA()</f>
        <v>#N/A</v>
      </c>
      <c r="M350" s="23" t="e">
        <f>NA()</f>
        <v>#N/A</v>
      </c>
      <c r="N350" s="23" t="e">
        <f>NA()</f>
        <v>#N/A</v>
      </c>
      <c r="O350" s="818" t="e">
        <f>NA()</f>
        <v>#N/A</v>
      </c>
      <c r="P350" s="818" t="e">
        <f>NA()</f>
        <v>#N/A</v>
      </c>
      <c r="Q350" s="23" t="str">
        <f t="shared" si="60"/>
        <v>Sample Too Small</v>
      </c>
      <c r="R350" s="10">
        <v>5</v>
      </c>
    </row>
    <row r="351" spans="1:18" hidden="1" x14ac:dyDescent="0.25">
      <c r="A351" t="s">
        <v>903</v>
      </c>
      <c r="B351" t="s">
        <v>59</v>
      </c>
      <c r="C351" t="s">
        <v>592</v>
      </c>
      <c r="D351" t="s">
        <v>282</v>
      </c>
      <c r="E351" t="s">
        <v>103</v>
      </c>
      <c r="F351" t="str">
        <f t="shared" si="51"/>
        <v>Sao Tome and Principe:Male Condom</v>
      </c>
      <c r="G351" s="611">
        <f t="shared" si="58"/>
        <v>0.54999999999999982</v>
      </c>
      <c r="H351" s="23">
        <v>0.23999999999999994</v>
      </c>
      <c r="I351" s="23">
        <v>0.30999999999999994</v>
      </c>
      <c r="J351" s="23">
        <v>2.9999999999999992E-2</v>
      </c>
      <c r="K351" s="23">
        <v>9.9999999999999985E-3</v>
      </c>
      <c r="L351" s="23">
        <v>0</v>
      </c>
      <c r="M351" s="23">
        <v>0.33999999999999997</v>
      </c>
      <c r="N351" s="23">
        <v>6.9999999999999993E-2</v>
      </c>
      <c r="O351" s="818">
        <v>0</v>
      </c>
      <c r="P351" s="818">
        <v>0.01</v>
      </c>
      <c r="Q351" s="23">
        <f t="shared" si="60"/>
        <v>0.99999999999999978</v>
      </c>
      <c r="R351">
        <v>164</v>
      </c>
    </row>
    <row r="352" spans="1:18" hidden="1" x14ac:dyDescent="0.25">
      <c r="A352" t="s">
        <v>903</v>
      </c>
      <c r="B352" t="s">
        <v>59</v>
      </c>
      <c r="C352" t="s">
        <v>592</v>
      </c>
      <c r="D352" t="s">
        <v>282</v>
      </c>
      <c r="E352" t="s">
        <v>129</v>
      </c>
      <c r="F352" t="str">
        <f t="shared" si="51"/>
        <v>Sao Tome and Principe:Male Sterilization</v>
      </c>
      <c r="G352" s="611" t="e">
        <f t="shared" si="58"/>
        <v>#N/A</v>
      </c>
      <c r="H352" t="e">
        <f>NA()</f>
        <v>#N/A</v>
      </c>
      <c r="I352" t="e">
        <f>NA()</f>
        <v>#N/A</v>
      </c>
      <c r="J352" t="e">
        <f>NA()</f>
        <v>#N/A</v>
      </c>
      <c r="K352" t="e">
        <f>NA()</f>
        <v>#N/A</v>
      </c>
      <c r="L352" t="e">
        <f>NA()</f>
        <v>#N/A</v>
      </c>
      <c r="M352" t="e">
        <f>NA()</f>
        <v>#N/A</v>
      </c>
      <c r="N352" t="e">
        <f>NA()</f>
        <v>#N/A</v>
      </c>
      <c r="O352" s="818" t="e">
        <f>NA()</f>
        <v>#N/A</v>
      </c>
      <c r="P352" s="818" t="e">
        <f>NA()</f>
        <v>#N/A</v>
      </c>
      <c r="Q352" s="23" t="str">
        <f t="shared" si="60"/>
        <v>Sample Too Small</v>
      </c>
      <c r="R352" s="10">
        <v>0</v>
      </c>
    </row>
    <row r="353" spans="1:18" hidden="1" x14ac:dyDescent="0.25">
      <c r="A353" s="119" t="s">
        <v>903</v>
      </c>
      <c r="B353" t="s">
        <v>59</v>
      </c>
      <c r="C353" t="s">
        <v>592</v>
      </c>
      <c r="D353" t="s">
        <v>282</v>
      </c>
      <c r="E353" t="s">
        <v>110</v>
      </c>
      <c r="F353" t="str">
        <f t="shared" si="51"/>
        <v>Sao Tome and Principe:OC Pills</v>
      </c>
      <c r="G353" s="611">
        <f t="shared" si="58"/>
        <v>1</v>
      </c>
      <c r="H353" s="502">
        <v>0.69</v>
      </c>
      <c r="I353" s="502">
        <v>0.31</v>
      </c>
      <c r="J353" s="502">
        <v>0</v>
      </c>
      <c r="K353" s="502">
        <v>0</v>
      </c>
      <c r="L353" s="502">
        <v>0</v>
      </c>
      <c r="M353" s="502">
        <v>0</v>
      </c>
      <c r="N353" s="502">
        <v>0</v>
      </c>
      <c r="O353" s="818">
        <v>0</v>
      </c>
      <c r="P353" s="818">
        <v>0</v>
      </c>
      <c r="Q353" s="23">
        <f t="shared" si="60"/>
        <v>1</v>
      </c>
      <c r="R353" s="119">
        <v>295</v>
      </c>
    </row>
    <row r="354" spans="1:18" hidden="1" x14ac:dyDescent="0.25">
      <c r="A354" t="s">
        <v>903</v>
      </c>
      <c r="B354" t="s">
        <v>59</v>
      </c>
      <c r="C354" t="s">
        <v>592</v>
      </c>
      <c r="D354" t="s">
        <v>282</v>
      </c>
      <c r="E354" t="s">
        <v>130</v>
      </c>
      <c r="F354" t="str">
        <f t="shared" si="51"/>
        <v>Sao Tome and Principe:Other Modern Methods</v>
      </c>
      <c r="G354" s="611" t="e">
        <f t="shared" si="58"/>
        <v>#N/A</v>
      </c>
      <c r="H354" t="e">
        <f>NA()</f>
        <v>#N/A</v>
      </c>
      <c r="I354" t="e">
        <f>NA()</f>
        <v>#N/A</v>
      </c>
      <c r="J354" t="e">
        <f>NA()</f>
        <v>#N/A</v>
      </c>
      <c r="K354" t="e">
        <f>NA()</f>
        <v>#N/A</v>
      </c>
      <c r="L354" t="e">
        <f>NA()</f>
        <v>#N/A</v>
      </c>
      <c r="M354" t="e">
        <f>NA()</f>
        <v>#N/A</v>
      </c>
      <c r="N354" t="e">
        <f>NA()</f>
        <v>#N/A</v>
      </c>
      <c r="O354" s="818" t="e">
        <f>NA()</f>
        <v>#N/A</v>
      </c>
      <c r="P354" s="818" t="e">
        <f>NA()</f>
        <v>#N/A</v>
      </c>
      <c r="Q354" s="23" t="str">
        <f t="shared" si="60"/>
        <v>Sample Too Small</v>
      </c>
      <c r="R354" s="10">
        <v>1</v>
      </c>
    </row>
    <row r="355" spans="1:18" hidden="1" x14ac:dyDescent="0.25">
      <c r="A355" t="s">
        <v>971</v>
      </c>
      <c r="B355" t="s">
        <v>60</v>
      </c>
      <c r="C355" t="s">
        <v>1151</v>
      </c>
      <c r="D355" t="s">
        <v>282</v>
      </c>
      <c r="E355" t="s">
        <v>110</v>
      </c>
      <c r="F355" t="str">
        <f t="shared" ref="F355:F418" si="61">B355&amp;":"&amp;E355</f>
        <v>Senegal:OC Pills</v>
      </c>
      <c r="G355" s="611">
        <f t="shared" si="58"/>
        <v>0.82199999999999995</v>
      </c>
      <c r="H355" s="610">
        <v>0.82199999999999995</v>
      </c>
      <c r="I355" s="610">
        <v>0</v>
      </c>
      <c r="J355" s="610">
        <v>0</v>
      </c>
      <c r="K355" s="610">
        <v>5.8000000000000003E-2</v>
      </c>
      <c r="L355" s="610">
        <v>0.12</v>
      </c>
      <c r="M355" s="610">
        <v>0</v>
      </c>
      <c r="N355" s="610">
        <v>0</v>
      </c>
      <c r="O355" s="1092"/>
      <c r="P355" s="1092"/>
      <c r="Q355" s="23">
        <f t="shared" si="60"/>
        <v>1</v>
      </c>
      <c r="R355">
        <v>205</v>
      </c>
    </row>
    <row r="356" spans="1:18" hidden="1" x14ac:dyDescent="0.25">
      <c r="A356" t="s">
        <v>971</v>
      </c>
      <c r="B356" t="s">
        <v>60</v>
      </c>
      <c r="C356" t="s">
        <v>1151</v>
      </c>
      <c r="D356" t="s">
        <v>282</v>
      </c>
      <c r="E356" t="s">
        <v>5</v>
      </c>
      <c r="F356" t="str">
        <f t="shared" si="61"/>
        <v>Senegal:IUD</v>
      </c>
      <c r="G356" s="611">
        <f t="shared" si="58"/>
        <v>0.89900000000000002</v>
      </c>
      <c r="H356" s="610">
        <v>0.81</v>
      </c>
      <c r="I356" s="610">
        <v>8.8999999999999996E-2</v>
      </c>
      <c r="J356" s="610">
        <v>0</v>
      </c>
      <c r="K356" s="610">
        <v>0.10100000000000001</v>
      </c>
      <c r="L356" s="610">
        <v>0</v>
      </c>
      <c r="M356" s="610">
        <v>0</v>
      </c>
      <c r="N356" s="610">
        <v>0</v>
      </c>
      <c r="O356" s="1092"/>
      <c r="P356" s="1092"/>
      <c r="Q356" s="23">
        <f t="shared" si="60"/>
        <v>1</v>
      </c>
      <c r="R356" s="2">
        <v>98</v>
      </c>
    </row>
    <row r="357" spans="1:18" hidden="1" x14ac:dyDescent="0.25">
      <c r="A357" t="s">
        <v>971</v>
      </c>
      <c r="B357" t="s">
        <v>60</v>
      </c>
      <c r="C357" t="s">
        <v>1151</v>
      </c>
      <c r="D357" t="s">
        <v>282</v>
      </c>
      <c r="E357" t="s">
        <v>2</v>
      </c>
      <c r="F357" t="str">
        <f t="shared" si="61"/>
        <v>Senegal:Injectable</v>
      </c>
      <c r="G357" s="611">
        <f t="shared" si="58"/>
        <v>0.94399999999999995</v>
      </c>
      <c r="H357" s="610">
        <v>0.94099999999999995</v>
      </c>
      <c r="I357" s="610">
        <v>3.0000000000000001E-3</v>
      </c>
      <c r="J357" s="610">
        <v>0</v>
      </c>
      <c r="K357" s="610">
        <v>4.4999999999999998E-2</v>
      </c>
      <c r="L357" s="610">
        <v>0.01</v>
      </c>
      <c r="M357" s="610">
        <v>2E-3</v>
      </c>
      <c r="N357" s="610">
        <v>0</v>
      </c>
      <c r="O357" s="1092"/>
      <c r="P357" s="1092"/>
      <c r="Q357" s="23">
        <f t="shared" si="60"/>
        <v>1.0009999999999999</v>
      </c>
      <c r="R357" s="2">
        <v>502</v>
      </c>
    </row>
    <row r="358" spans="1:18" hidden="1" x14ac:dyDescent="0.25">
      <c r="A358" t="s">
        <v>971</v>
      </c>
      <c r="B358" t="s">
        <v>60</v>
      </c>
      <c r="C358" t="s">
        <v>1151</v>
      </c>
      <c r="D358" t="s">
        <v>282</v>
      </c>
      <c r="E358" t="s">
        <v>103</v>
      </c>
      <c r="F358" t="str">
        <f t="shared" si="61"/>
        <v>Senegal:Male Condom</v>
      </c>
      <c r="G358" s="611">
        <f t="shared" si="58"/>
        <v>2.3E-2</v>
      </c>
      <c r="H358" s="610">
        <v>2.3E-2</v>
      </c>
      <c r="I358" s="610">
        <v>0</v>
      </c>
      <c r="J358" s="610">
        <v>0</v>
      </c>
      <c r="K358" s="610">
        <v>0</v>
      </c>
      <c r="L358" s="610">
        <v>0.66200000000000003</v>
      </c>
      <c r="M358" s="610">
        <v>0.215</v>
      </c>
      <c r="N358" s="610">
        <v>0.10100000000000001</v>
      </c>
      <c r="O358" s="1092"/>
      <c r="P358" s="1092"/>
      <c r="Q358" s="23">
        <f t="shared" si="60"/>
        <v>1.0010000000000001</v>
      </c>
      <c r="R358">
        <v>50</v>
      </c>
    </row>
    <row r="359" spans="1:18" hidden="1" x14ac:dyDescent="0.25">
      <c r="A359" t="s">
        <v>971</v>
      </c>
      <c r="B359" t="s">
        <v>60</v>
      </c>
      <c r="C359" t="s">
        <v>1151</v>
      </c>
      <c r="D359" t="s">
        <v>282</v>
      </c>
      <c r="E359" t="s">
        <v>128</v>
      </c>
      <c r="F359" t="str">
        <f t="shared" si="61"/>
        <v>Senegal:Female Sterilization</v>
      </c>
      <c r="G359" s="611">
        <f t="shared" si="58"/>
        <v>0.93600000000000005</v>
      </c>
      <c r="H359" s="610">
        <v>0.93600000000000005</v>
      </c>
      <c r="I359" s="610">
        <v>0</v>
      </c>
      <c r="J359" s="610">
        <v>0</v>
      </c>
      <c r="K359" s="610">
        <v>4.7E-2</v>
      </c>
      <c r="L359" s="610">
        <v>0</v>
      </c>
      <c r="M359" s="610">
        <v>0</v>
      </c>
      <c r="N359" s="610">
        <v>1.6E-2</v>
      </c>
      <c r="O359" s="1092"/>
      <c r="P359" s="1092"/>
      <c r="Q359" s="23">
        <f t="shared" si="60"/>
        <v>0.99900000000000011</v>
      </c>
      <c r="R359">
        <v>28</v>
      </c>
    </row>
    <row r="360" spans="1:18" hidden="1" x14ac:dyDescent="0.25">
      <c r="A360" t="s">
        <v>971</v>
      </c>
      <c r="B360" t="s">
        <v>60</v>
      </c>
      <c r="C360" t="s">
        <v>1151</v>
      </c>
      <c r="D360" t="s">
        <v>282</v>
      </c>
      <c r="E360" t="s">
        <v>129</v>
      </c>
      <c r="F360" t="str">
        <f t="shared" si="61"/>
        <v>Senegal:Male Sterilization</v>
      </c>
      <c r="G360" s="611" t="e">
        <f t="shared" si="58"/>
        <v>#N/A</v>
      </c>
      <c r="H360" s="610" t="e">
        <v>#N/A</v>
      </c>
      <c r="I360" s="610" t="e">
        <v>#N/A</v>
      </c>
      <c r="J360" s="610" t="e">
        <f>NA()</f>
        <v>#N/A</v>
      </c>
      <c r="K360" s="610" t="e">
        <v>#N/A</v>
      </c>
      <c r="L360" s="610" t="e">
        <v>#N/A</v>
      </c>
      <c r="M360" s="610" t="e">
        <v>#N/A</v>
      </c>
      <c r="N360" s="610" t="e">
        <v>#N/A</v>
      </c>
      <c r="O360" s="1092"/>
      <c r="P360" s="1092"/>
      <c r="Q360" s="23" t="str">
        <f t="shared" si="60"/>
        <v>Sample Too Small</v>
      </c>
      <c r="R360">
        <v>1</v>
      </c>
    </row>
    <row r="361" spans="1:18" hidden="1" x14ac:dyDescent="0.25">
      <c r="A361" t="s">
        <v>971</v>
      </c>
      <c r="B361" t="s">
        <v>60</v>
      </c>
      <c r="C361" t="s">
        <v>1151</v>
      </c>
      <c r="D361" t="s">
        <v>282</v>
      </c>
      <c r="E361" t="s">
        <v>3</v>
      </c>
      <c r="F361" t="str">
        <f t="shared" si="61"/>
        <v>Senegal:Implant</v>
      </c>
      <c r="G361" s="611">
        <f t="shared" si="58"/>
        <v>0.96</v>
      </c>
      <c r="H361" s="610">
        <v>0.94</v>
      </c>
      <c r="I361" s="610">
        <v>0.02</v>
      </c>
      <c r="J361" s="610">
        <v>0</v>
      </c>
      <c r="K361" s="610">
        <v>0.04</v>
      </c>
      <c r="L361" s="610">
        <v>0</v>
      </c>
      <c r="M361" s="610">
        <v>0</v>
      </c>
      <c r="N361" s="610">
        <v>0</v>
      </c>
      <c r="O361" s="1092"/>
      <c r="P361" s="1092"/>
      <c r="Q361" s="23">
        <f t="shared" si="60"/>
        <v>1</v>
      </c>
      <c r="R361">
        <v>634</v>
      </c>
    </row>
    <row r="362" spans="1:18" hidden="1" x14ac:dyDescent="0.25">
      <c r="A362" t="s">
        <v>971</v>
      </c>
      <c r="B362" t="s">
        <v>60</v>
      </c>
      <c r="C362" t="s">
        <v>1151</v>
      </c>
      <c r="D362" t="s">
        <v>282</v>
      </c>
      <c r="E362" t="s">
        <v>130</v>
      </c>
      <c r="F362" t="str">
        <f t="shared" si="61"/>
        <v>Senegal:Other Modern Methods</v>
      </c>
      <c r="G362" s="611" t="e">
        <f t="shared" si="58"/>
        <v>#N/A</v>
      </c>
      <c r="H362" s="610" t="e">
        <v>#N/A</v>
      </c>
      <c r="I362" s="610" t="e">
        <v>#N/A</v>
      </c>
      <c r="J362" s="610" t="e">
        <f>NA()</f>
        <v>#N/A</v>
      </c>
      <c r="K362" s="610" t="e">
        <v>#N/A</v>
      </c>
      <c r="L362" s="610" t="e">
        <v>#N/A</v>
      </c>
      <c r="M362" s="610" t="e">
        <v>#N/A</v>
      </c>
      <c r="N362" s="610" t="e">
        <v>#N/A</v>
      </c>
      <c r="O362" s="1092"/>
      <c r="P362" s="1092"/>
      <c r="Q362" s="23" t="str">
        <f t="shared" si="60"/>
        <v>Sample Too Small</v>
      </c>
      <c r="R362">
        <v>7</v>
      </c>
    </row>
    <row r="363" spans="1:18" x14ac:dyDescent="0.25">
      <c r="A363" t="s">
        <v>904</v>
      </c>
      <c r="B363" t="s">
        <v>61</v>
      </c>
      <c r="C363" t="s">
        <v>1151</v>
      </c>
      <c r="D363" t="s">
        <v>282</v>
      </c>
      <c r="E363" t="s">
        <v>110</v>
      </c>
      <c r="F363" t="str">
        <f t="shared" si="61"/>
        <v>Sierra Leone:OC Pills</v>
      </c>
      <c r="G363" s="611">
        <f t="shared" ref="G363:G394" si="62">SUM(H363:I363)</f>
        <v>0.57100000000000006</v>
      </c>
      <c r="H363" s="1093">
        <v>0.54900000000000004</v>
      </c>
      <c r="I363" s="1093">
        <v>2.1999999999999999E-2</v>
      </c>
      <c r="J363" s="1093">
        <v>0</v>
      </c>
      <c r="K363" s="1093">
        <v>4.7E-2</v>
      </c>
      <c r="L363" s="1093">
        <v>0.36399999999999999</v>
      </c>
      <c r="M363" s="1093">
        <v>1.6E-2</v>
      </c>
      <c r="N363" s="1093">
        <v>2E-3</v>
      </c>
      <c r="O363" s="1092"/>
      <c r="P363" s="1092"/>
      <c r="Q363" s="23">
        <f t="shared" si="60"/>
        <v>1</v>
      </c>
      <c r="R363">
        <v>679</v>
      </c>
    </row>
    <row r="364" spans="1:18" x14ac:dyDescent="0.25">
      <c r="A364" t="s">
        <v>904</v>
      </c>
      <c r="B364" t="s">
        <v>61</v>
      </c>
      <c r="C364" t="s">
        <v>1151</v>
      </c>
      <c r="D364" t="s">
        <v>282</v>
      </c>
      <c r="E364" t="s">
        <v>5</v>
      </c>
      <c r="F364" t="str">
        <f t="shared" si="61"/>
        <v>Sierra Leone:IUD</v>
      </c>
      <c r="G364" s="611">
        <f t="shared" si="62"/>
        <v>0.85899999999999999</v>
      </c>
      <c r="H364" s="1093">
        <v>0.83799999999999997</v>
      </c>
      <c r="I364" s="1093">
        <v>2.1000000000000001E-2</v>
      </c>
      <c r="J364" s="1093">
        <v>0</v>
      </c>
      <c r="K364" s="1093">
        <v>0.14099999999999999</v>
      </c>
      <c r="L364" s="1093">
        <v>0</v>
      </c>
      <c r="M364" s="1093">
        <v>0</v>
      </c>
      <c r="N364" s="1093">
        <v>0</v>
      </c>
      <c r="O364" s="1092"/>
      <c r="P364" s="1092"/>
      <c r="Q364" s="23">
        <f t="shared" si="60"/>
        <v>1</v>
      </c>
      <c r="R364">
        <v>74</v>
      </c>
    </row>
    <row r="365" spans="1:18" x14ac:dyDescent="0.25">
      <c r="A365" t="s">
        <v>904</v>
      </c>
      <c r="B365" t="s">
        <v>61</v>
      </c>
      <c r="C365" t="s">
        <v>1151</v>
      </c>
      <c r="D365" t="s">
        <v>282</v>
      </c>
      <c r="E365" t="s">
        <v>2</v>
      </c>
      <c r="F365" t="str">
        <f t="shared" si="61"/>
        <v>Sierra Leone:Injectable</v>
      </c>
      <c r="G365" s="611">
        <f t="shared" si="62"/>
        <v>0.81900000000000006</v>
      </c>
      <c r="H365" s="1093">
        <v>0.78400000000000003</v>
      </c>
      <c r="I365" s="1093">
        <v>3.5000000000000003E-2</v>
      </c>
      <c r="J365" s="1093">
        <v>0</v>
      </c>
      <c r="K365" s="1093">
        <v>6.7000000000000004E-2</v>
      </c>
      <c r="L365" s="1093">
        <v>9.9000000000000005E-2</v>
      </c>
      <c r="M365" s="1093">
        <v>1.2999999999999999E-2</v>
      </c>
      <c r="N365" s="1093">
        <v>2E-3</v>
      </c>
      <c r="O365" s="1092"/>
      <c r="P365" s="1092"/>
      <c r="Q365" s="23">
        <f t="shared" si="60"/>
        <v>1</v>
      </c>
      <c r="R365" s="2">
        <v>1465</v>
      </c>
    </row>
    <row r="366" spans="1:18" x14ac:dyDescent="0.25">
      <c r="A366" t="s">
        <v>904</v>
      </c>
      <c r="B366" t="s">
        <v>61</v>
      </c>
      <c r="C366" t="s">
        <v>1151</v>
      </c>
      <c r="D366" t="s">
        <v>282</v>
      </c>
      <c r="E366" t="s">
        <v>103</v>
      </c>
      <c r="F366" t="str">
        <f t="shared" si="61"/>
        <v>Sierra Leone:Male Condom</v>
      </c>
      <c r="G366" s="611">
        <f t="shared" si="62"/>
        <v>0.315</v>
      </c>
      <c r="H366" s="1093">
        <v>0.30099999999999999</v>
      </c>
      <c r="I366" s="1093">
        <v>1.4E-2</v>
      </c>
      <c r="J366" s="1093">
        <v>0</v>
      </c>
      <c r="K366" s="1093">
        <v>6.5000000000000002E-2</v>
      </c>
      <c r="L366" s="1093">
        <v>0.57899999999999996</v>
      </c>
      <c r="M366" s="1093">
        <v>0.04</v>
      </c>
      <c r="N366" s="1093">
        <v>0</v>
      </c>
      <c r="O366" s="1092"/>
      <c r="P366" s="1092"/>
      <c r="Q366" s="23">
        <f t="shared" si="60"/>
        <v>0.999</v>
      </c>
      <c r="R366">
        <v>47</v>
      </c>
    </row>
    <row r="367" spans="1:18" x14ac:dyDescent="0.25">
      <c r="A367" t="s">
        <v>904</v>
      </c>
      <c r="B367" t="s">
        <v>61</v>
      </c>
      <c r="C367" t="s">
        <v>1151</v>
      </c>
      <c r="D367" t="s">
        <v>282</v>
      </c>
      <c r="E367" t="s">
        <v>128</v>
      </c>
      <c r="F367" t="str">
        <f t="shared" si="61"/>
        <v>Sierra Leone:Female Sterilization</v>
      </c>
      <c r="G367" s="611">
        <f t="shared" si="62"/>
        <v>0.88100000000000001</v>
      </c>
      <c r="H367" s="1093">
        <v>0.88100000000000001</v>
      </c>
      <c r="I367" s="1093">
        <v>0</v>
      </c>
      <c r="J367" s="1093">
        <v>0</v>
      </c>
      <c r="K367" s="1093">
        <v>0.11899999999999999</v>
      </c>
      <c r="L367" s="1093">
        <v>0</v>
      </c>
      <c r="M367" s="1093">
        <v>0</v>
      </c>
      <c r="N367" s="1093">
        <v>0</v>
      </c>
      <c r="O367" s="1092"/>
      <c r="P367" s="1092"/>
      <c r="Q367" s="23">
        <f t="shared" si="60"/>
        <v>1</v>
      </c>
      <c r="R367">
        <v>31</v>
      </c>
    </row>
    <row r="368" spans="1:18" x14ac:dyDescent="0.25">
      <c r="A368" t="s">
        <v>904</v>
      </c>
      <c r="B368" t="s">
        <v>61</v>
      </c>
      <c r="C368" t="s">
        <v>1151</v>
      </c>
      <c r="D368" t="s">
        <v>282</v>
      </c>
      <c r="E368" t="s">
        <v>129</v>
      </c>
      <c r="F368" t="str">
        <f t="shared" si="61"/>
        <v>Sierra Leone:Male Sterilization</v>
      </c>
      <c r="G368" s="611" t="e">
        <f t="shared" si="62"/>
        <v>#N/A</v>
      </c>
      <c r="H368" t="e">
        <v>#N/A</v>
      </c>
      <c r="I368" t="e">
        <v>#N/A</v>
      </c>
      <c r="J368" t="e">
        <f>NA()</f>
        <v>#N/A</v>
      </c>
      <c r="K368" t="e">
        <v>#N/A</v>
      </c>
      <c r="L368" t="e">
        <v>#N/A</v>
      </c>
      <c r="M368" t="e">
        <v>#N/A</v>
      </c>
      <c r="N368" t="e">
        <v>#N/A</v>
      </c>
      <c r="O368" s="1092"/>
      <c r="P368" s="1092"/>
      <c r="Q368" s="23" t="str">
        <f t="shared" si="60"/>
        <v>Sample Too Small</v>
      </c>
      <c r="R368" s="10">
        <v>2</v>
      </c>
    </row>
    <row r="369" spans="1:18" x14ac:dyDescent="0.25">
      <c r="A369" s="119" t="s">
        <v>904</v>
      </c>
      <c r="B369" t="s">
        <v>61</v>
      </c>
      <c r="C369" t="s">
        <v>1151</v>
      </c>
      <c r="D369" t="s">
        <v>282</v>
      </c>
      <c r="E369" t="s">
        <v>3</v>
      </c>
      <c r="F369" t="str">
        <f t="shared" si="61"/>
        <v>Sierra Leone:Implant</v>
      </c>
      <c r="G369" s="611">
        <f t="shared" si="62"/>
        <v>0.93100000000000005</v>
      </c>
      <c r="H369" s="1094">
        <v>0.878</v>
      </c>
      <c r="I369" s="1094">
        <v>5.2999999999999999E-2</v>
      </c>
      <c r="J369" s="1094">
        <v>0</v>
      </c>
      <c r="K369" s="1094">
        <v>5.2999999999999999E-2</v>
      </c>
      <c r="L369" s="1094">
        <v>5.0000000000000001E-3</v>
      </c>
      <c r="M369" s="1094">
        <v>6.0000000000000001E-3</v>
      </c>
      <c r="N369" s="1094">
        <v>5.0000000000000001E-3</v>
      </c>
      <c r="O369" s="1092"/>
      <c r="P369" s="1092"/>
      <c r="Q369" s="23">
        <f t="shared" si="60"/>
        <v>1</v>
      </c>
      <c r="R369" s="119">
        <v>1314</v>
      </c>
    </row>
    <row r="370" spans="1:18" x14ac:dyDescent="0.25">
      <c r="A370" t="s">
        <v>904</v>
      </c>
      <c r="B370" t="s">
        <v>61</v>
      </c>
      <c r="C370" t="s">
        <v>1151</v>
      </c>
      <c r="D370" t="s">
        <v>282</v>
      </c>
      <c r="E370" t="s">
        <v>130</v>
      </c>
      <c r="F370" t="str">
        <f t="shared" si="61"/>
        <v>Sierra Leone:Other Modern Methods</v>
      </c>
      <c r="G370" s="611" t="e">
        <f t="shared" si="62"/>
        <v>#N/A</v>
      </c>
      <c r="H370" t="e">
        <v>#N/A</v>
      </c>
      <c r="I370" t="e">
        <v>#N/A</v>
      </c>
      <c r="J370" t="e">
        <f>NA()</f>
        <v>#N/A</v>
      </c>
      <c r="K370" t="e">
        <v>#N/A</v>
      </c>
      <c r="L370" t="e">
        <v>#N/A</v>
      </c>
      <c r="M370" t="e">
        <v>#N/A</v>
      </c>
      <c r="N370" t="e">
        <v>#N/A</v>
      </c>
      <c r="O370" s="1092"/>
      <c r="P370" s="1092"/>
      <c r="Q370" s="23" t="str">
        <f t="shared" si="60"/>
        <v>Sample Too Small</v>
      </c>
      <c r="R370" s="10">
        <v>1</v>
      </c>
    </row>
    <row r="371" spans="1:18" hidden="1" x14ac:dyDescent="0.25">
      <c r="A371" t="s">
        <v>972</v>
      </c>
      <c r="B371" t="s">
        <v>64</v>
      </c>
      <c r="C371" t="s">
        <v>610</v>
      </c>
      <c r="D371" t="s">
        <v>282</v>
      </c>
      <c r="E371" t="s">
        <v>128</v>
      </c>
      <c r="F371" t="str">
        <f t="shared" si="61"/>
        <v>South Africa:Female Sterilization</v>
      </c>
      <c r="G371" s="611">
        <f t="shared" si="62"/>
        <v>0.72</v>
      </c>
      <c r="H371" s="610">
        <v>0.72</v>
      </c>
      <c r="I371" s="610">
        <v>0</v>
      </c>
      <c r="J371" s="610" t="e">
        <f>NA()</f>
        <v>#N/A</v>
      </c>
      <c r="K371" s="610">
        <v>0.28000000000000003</v>
      </c>
      <c r="L371" s="610">
        <v>0</v>
      </c>
      <c r="M371" s="610">
        <v>0</v>
      </c>
      <c r="N371" s="610">
        <v>0</v>
      </c>
      <c r="O371" s="818"/>
      <c r="P371" s="818"/>
      <c r="Q371" s="23" t="str">
        <f t="shared" si="60"/>
        <v>Sample Too Small</v>
      </c>
      <c r="R371">
        <v>302</v>
      </c>
    </row>
    <row r="372" spans="1:18" hidden="1" x14ac:dyDescent="0.25">
      <c r="A372" t="s">
        <v>972</v>
      </c>
      <c r="B372" t="s">
        <v>64</v>
      </c>
      <c r="C372" t="s">
        <v>610</v>
      </c>
      <c r="D372" t="s">
        <v>282</v>
      </c>
      <c r="E372" t="s">
        <v>3</v>
      </c>
      <c r="F372" t="str">
        <f t="shared" si="61"/>
        <v>South Africa:Implant</v>
      </c>
      <c r="G372" s="611">
        <f t="shared" si="62"/>
        <v>0.94200000000000006</v>
      </c>
      <c r="H372" s="610">
        <v>0.92300000000000004</v>
      </c>
      <c r="I372" s="610">
        <v>1.9E-2</v>
      </c>
      <c r="J372" s="610" t="e">
        <f>NA()</f>
        <v>#N/A</v>
      </c>
      <c r="K372" s="610">
        <v>4.4999999999999998E-2</v>
      </c>
      <c r="L372" s="610">
        <v>8.0000000000000002E-3</v>
      </c>
      <c r="M372" s="610">
        <v>5.0000000000000001E-3</v>
      </c>
      <c r="N372" s="610">
        <v>0</v>
      </c>
      <c r="O372" s="818"/>
      <c r="P372" s="818"/>
      <c r="Q372" s="23" t="str">
        <f t="shared" si="60"/>
        <v>Sample Too Small</v>
      </c>
      <c r="R372">
        <v>277</v>
      </c>
    </row>
    <row r="373" spans="1:18" hidden="1" x14ac:dyDescent="0.25">
      <c r="A373" t="s">
        <v>972</v>
      </c>
      <c r="B373" t="s">
        <v>64</v>
      </c>
      <c r="C373" t="s">
        <v>610</v>
      </c>
      <c r="D373" t="s">
        <v>282</v>
      </c>
      <c r="E373" t="s">
        <v>2</v>
      </c>
      <c r="F373" t="str">
        <f t="shared" si="61"/>
        <v>South Africa:Injectable</v>
      </c>
      <c r="G373" s="611">
        <f t="shared" si="62"/>
        <v>0.94200000000000006</v>
      </c>
      <c r="H373" s="610">
        <v>0.91300000000000003</v>
      </c>
      <c r="I373" s="610">
        <v>2.9000000000000001E-2</v>
      </c>
      <c r="J373" s="610" t="e">
        <f>NA()</f>
        <v>#N/A</v>
      </c>
      <c r="K373" s="610">
        <v>0.04</v>
      </c>
      <c r="L373" s="610">
        <v>1.0999999999999999E-2</v>
      </c>
      <c r="M373" s="610">
        <v>7.0000000000000001E-3</v>
      </c>
      <c r="N373" s="610">
        <v>1E-3</v>
      </c>
      <c r="O373" s="818"/>
      <c r="P373" s="818"/>
      <c r="Q373" s="23" t="str">
        <f t="shared" si="60"/>
        <v>Sample Too Small</v>
      </c>
      <c r="R373" s="2">
        <v>1391</v>
      </c>
    </row>
    <row r="374" spans="1:18" hidden="1" x14ac:dyDescent="0.25">
      <c r="A374" t="s">
        <v>972</v>
      </c>
      <c r="B374" t="s">
        <v>64</v>
      </c>
      <c r="C374" t="s">
        <v>610</v>
      </c>
      <c r="D374" t="s">
        <v>282</v>
      </c>
      <c r="E374" t="s">
        <v>5</v>
      </c>
      <c r="F374" t="str">
        <f t="shared" si="61"/>
        <v>South Africa:IUD</v>
      </c>
      <c r="G374" s="611">
        <f t="shared" si="62"/>
        <v>0.65300000000000002</v>
      </c>
      <c r="H374" s="610">
        <v>0.65300000000000002</v>
      </c>
      <c r="I374" s="610">
        <v>0</v>
      </c>
      <c r="J374" s="610" t="e">
        <f>NA()</f>
        <v>#N/A</v>
      </c>
      <c r="K374" s="610">
        <v>0.33800000000000002</v>
      </c>
      <c r="L374" s="610">
        <v>8.9999999999999993E-3</v>
      </c>
      <c r="M374" s="610">
        <v>0</v>
      </c>
      <c r="N374" s="610">
        <v>0</v>
      </c>
      <c r="O374" s="818"/>
      <c r="P374" s="818"/>
      <c r="Q374" s="23" t="str">
        <f t="shared" si="60"/>
        <v>Sample Too Small</v>
      </c>
      <c r="R374">
        <v>58</v>
      </c>
    </row>
    <row r="375" spans="1:18" hidden="1" x14ac:dyDescent="0.25">
      <c r="A375" t="s">
        <v>972</v>
      </c>
      <c r="B375" t="s">
        <v>64</v>
      </c>
      <c r="C375" t="s">
        <v>610</v>
      </c>
      <c r="D375" t="s">
        <v>282</v>
      </c>
      <c r="E375" t="s">
        <v>103</v>
      </c>
      <c r="F375" t="str">
        <f t="shared" si="61"/>
        <v>South Africa:Male Condom</v>
      </c>
      <c r="G375" s="611">
        <f t="shared" si="62"/>
        <v>0.56200000000000006</v>
      </c>
      <c r="H375" s="610">
        <v>0.55000000000000004</v>
      </c>
      <c r="I375" s="610">
        <v>1.2E-2</v>
      </c>
      <c r="J375" s="610" t="e">
        <f>NA()</f>
        <v>#N/A</v>
      </c>
      <c r="K375" s="610">
        <v>8.0000000000000002E-3</v>
      </c>
      <c r="L375" s="610">
        <v>0.123</v>
      </c>
      <c r="M375" s="610">
        <v>0.28899999999999998</v>
      </c>
      <c r="N375" s="610">
        <v>1.7999999999999999E-2</v>
      </c>
      <c r="O375" s="818"/>
      <c r="P375" s="818"/>
      <c r="Q375" s="23" t="str">
        <f t="shared" si="60"/>
        <v>Sample Too Small</v>
      </c>
      <c r="R375">
        <v>946</v>
      </c>
    </row>
    <row r="376" spans="1:18" hidden="1" x14ac:dyDescent="0.25">
      <c r="A376" t="s">
        <v>972</v>
      </c>
      <c r="B376" t="s">
        <v>64</v>
      </c>
      <c r="C376" t="s">
        <v>610</v>
      </c>
      <c r="D376" t="s">
        <v>282</v>
      </c>
      <c r="E376" t="s">
        <v>129</v>
      </c>
      <c r="F376" t="str">
        <f t="shared" si="61"/>
        <v>South Africa:Male Sterilization</v>
      </c>
      <c r="G376" s="611" t="e">
        <f t="shared" si="62"/>
        <v>#N/A</v>
      </c>
      <c r="H376" s="610" t="e">
        <f>NA()</f>
        <v>#N/A</v>
      </c>
      <c r="I376" s="610" t="e">
        <f>NA()</f>
        <v>#N/A</v>
      </c>
      <c r="J376" s="610" t="e">
        <f>NA()</f>
        <v>#N/A</v>
      </c>
      <c r="K376" s="610" t="e">
        <f>NA()</f>
        <v>#N/A</v>
      </c>
      <c r="L376" s="610" t="e">
        <f>NA()</f>
        <v>#N/A</v>
      </c>
      <c r="M376" s="610" t="e">
        <f>NA()</f>
        <v>#N/A</v>
      </c>
      <c r="N376" s="610" t="e">
        <f>NA()</f>
        <v>#N/A</v>
      </c>
      <c r="O376" s="818"/>
      <c r="P376" s="818"/>
      <c r="Q376" s="23" t="str">
        <f t="shared" si="60"/>
        <v>Sample Too Small</v>
      </c>
      <c r="R376">
        <v>15</v>
      </c>
    </row>
    <row r="377" spans="1:18" hidden="1" x14ac:dyDescent="0.25">
      <c r="A377" t="s">
        <v>972</v>
      </c>
      <c r="B377" t="s">
        <v>64</v>
      </c>
      <c r="C377" t="s">
        <v>610</v>
      </c>
      <c r="D377" t="s">
        <v>282</v>
      </c>
      <c r="E377" t="s">
        <v>110</v>
      </c>
      <c r="F377" t="str">
        <f t="shared" si="61"/>
        <v>South Africa:OC Pills</v>
      </c>
      <c r="G377" s="611">
        <f t="shared" si="62"/>
        <v>0.77100000000000002</v>
      </c>
      <c r="H377" s="610">
        <v>0.75</v>
      </c>
      <c r="I377" s="610">
        <v>2.1000000000000001E-2</v>
      </c>
      <c r="J377" s="610" t="e">
        <f>NA()</f>
        <v>#N/A</v>
      </c>
      <c r="K377" s="610">
        <v>0.06</v>
      </c>
      <c r="L377" s="610">
        <v>0.15</v>
      </c>
      <c r="M377" s="610">
        <v>1.0999999999999999E-2</v>
      </c>
      <c r="N377" s="610">
        <v>8.0000000000000002E-3</v>
      </c>
      <c r="O377" s="818"/>
      <c r="P377" s="818"/>
      <c r="Q377" s="23" t="str">
        <f t="shared" si="60"/>
        <v>Sample Too Small</v>
      </c>
      <c r="R377">
        <v>369</v>
      </c>
    </row>
    <row r="378" spans="1:18" hidden="1" x14ac:dyDescent="0.25">
      <c r="A378" t="s">
        <v>972</v>
      </c>
      <c r="B378" t="s">
        <v>64</v>
      </c>
      <c r="C378" t="s">
        <v>610</v>
      </c>
      <c r="D378" t="s">
        <v>282</v>
      </c>
      <c r="E378" t="s">
        <v>130</v>
      </c>
      <c r="F378" t="str">
        <f t="shared" si="61"/>
        <v>South Africa:Other Modern Methods</v>
      </c>
      <c r="G378" s="611" t="e">
        <f t="shared" si="62"/>
        <v>#N/A</v>
      </c>
      <c r="H378" s="610" t="e">
        <f>NA()</f>
        <v>#N/A</v>
      </c>
      <c r="I378" s="610" t="e">
        <f>NA()</f>
        <v>#N/A</v>
      </c>
      <c r="J378" s="610" t="e">
        <f>NA()</f>
        <v>#N/A</v>
      </c>
      <c r="K378" s="610" t="e">
        <f>NA()</f>
        <v>#N/A</v>
      </c>
      <c r="L378" s="610" t="e">
        <f>NA()</f>
        <v>#N/A</v>
      </c>
      <c r="M378" s="610" t="e">
        <f>NA()</f>
        <v>#N/A</v>
      </c>
      <c r="N378" s="610" t="e">
        <f>NA()</f>
        <v>#N/A</v>
      </c>
      <c r="O378" s="818"/>
      <c r="P378" s="818"/>
      <c r="Q378" s="23" t="str">
        <f t="shared" si="60"/>
        <v>Sample Too Small</v>
      </c>
      <c r="R378">
        <v>3</v>
      </c>
    </row>
    <row r="379" spans="1:18" hidden="1" x14ac:dyDescent="0.25">
      <c r="A379" t="s">
        <v>973</v>
      </c>
      <c r="B379" t="s">
        <v>69</v>
      </c>
      <c r="C379" t="s">
        <v>969</v>
      </c>
      <c r="D379" t="s">
        <v>282</v>
      </c>
      <c r="E379" t="s">
        <v>128</v>
      </c>
      <c r="F379" t="str">
        <f t="shared" si="61"/>
        <v>Tajikistan:Female Sterilization</v>
      </c>
      <c r="G379" s="611">
        <f t="shared" si="62"/>
        <v>1</v>
      </c>
      <c r="H379" s="610">
        <v>0.95099999999999996</v>
      </c>
      <c r="I379" s="610">
        <v>4.9000000000000002E-2</v>
      </c>
      <c r="J379" s="610" t="e">
        <f>NA()</f>
        <v>#N/A</v>
      </c>
      <c r="K379" s="610">
        <v>0</v>
      </c>
      <c r="L379" s="610">
        <v>0</v>
      </c>
      <c r="M379" s="610">
        <v>0</v>
      </c>
      <c r="N379" s="610">
        <v>0</v>
      </c>
      <c r="O379" s="818"/>
      <c r="P379" s="818"/>
      <c r="Q379" s="23" t="str">
        <f t="shared" si="60"/>
        <v>Sample Too Small</v>
      </c>
      <c r="R379">
        <v>56</v>
      </c>
    </row>
    <row r="380" spans="1:18" hidden="1" x14ac:dyDescent="0.25">
      <c r="A380" t="s">
        <v>973</v>
      </c>
      <c r="B380" t="s">
        <v>69</v>
      </c>
      <c r="C380" t="s">
        <v>969</v>
      </c>
      <c r="D380" t="s">
        <v>282</v>
      </c>
      <c r="E380" t="s">
        <v>3</v>
      </c>
      <c r="F380" t="str">
        <f t="shared" si="61"/>
        <v>Tajikistan:Implant</v>
      </c>
      <c r="G380" s="611" t="e">
        <f t="shared" si="62"/>
        <v>#N/A</v>
      </c>
      <c r="H380" s="610" t="e">
        <f>NA()</f>
        <v>#N/A</v>
      </c>
      <c r="I380" s="610" t="e">
        <f>NA()</f>
        <v>#N/A</v>
      </c>
      <c r="J380" s="610" t="e">
        <f>NA()</f>
        <v>#N/A</v>
      </c>
      <c r="K380" s="610" t="e">
        <f>NA()</f>
        <v>#N/A</v>
      </c>
      <c r="L380" s="610" t="e">
        <f>NA()</f>
        <v>#N/A</v>
      </c>
      <c r="M380" s="610" t="e">
        <f>NA()</f>
        <v>#N/A</v>
      </c>
      <c r="N380" s="610" t="e">
        <f>NA()</f>
        <v>#N/A</v>
      </c>
      <c r="O380" s="818"/>
      <c r="P380" s="818"/>
      <c r="Q380" s="23" t="str">
        <f t="shared" si="60"/>
        <v>Sample Too Small</v>
      </c>
      <c r="R380">
        <v>9</v>
      </c>
    </row>
    <row r="381" spans="1:18" hidden="1" x14ac:dyDescent="0.25">
      <c r="A381" t="s">
        <v>973</v>
      </c>
      <c r="B381" t="s">
        <v>69</v>
      </c>
      <c r="C381" t="s">
        <v>969</v>
      </c>
      <c r="D381" t="s">
        <v>282</v>
      </c>
      <c r="E381" t="s">
        <v>2</v>
      </c>
      <c r="F381" t="str">
        <f t="shared" si="61"/>
        <v>Tajikistan:Injectable</v>
      </c>
      <c r="G381" s="611">
        <f t="shared" si="62"/>
        <v>0.998</v>
      </c>
      <c r="H381" s="610">
        <v>0.998</v>
      </c>
      <c r="I381" s="610">
        <v>0</v>
      </c>
      <c r="J381" s="610" t="e">
        <f>NA()</f>
        <v>#N/A</v>
      </c>
      <c r="K381" s="610">
        <v>2E-3</v>
      </c>
      <c r="L381" s="610">
        <v>0</v>
      </c>
      <c r="M381" s="610">
        <v>0</v>
      </c>
      <c r="N381" s="610">
        <v>0</v>
      </c>
      <c r="O381" s="818"/>
      <c r="P381" s="818"/>
      <c r="Q381" s="23" t="str">
        <f t="shared" si="60"/>
        <v>Sample Too Small</v>
      </c>
      <c r="R381">
        <v>94</v>
      </c>
    </row>
    <row r="382" spans="1:18" hidden="1" x14ac:dyDescent="0.25">
      <c r="A382" t="s">
        <v>973</v>
      </c>
      <c r="B382" t="s">
        <v>69</v>
      </c>
      <c r="C382" t="s">
        <v>969</v>
      </c>
      <c r="D382" t="s">
        <v>282</v>
      </c>
      <c r="E382" t="s">
        <v>5</v>
      </c>
      <c r="F382" t="str">
        <f t="shared" si="61"/>
        <v>Tajikistan:IUD</v>
      </c>
      <c r="G382" s="611">
        <f t="shared" si="62"/>
        <v>0.98599999999999999</v>
      </c>
      <c r="H382" s="610">
        <v>0.98199999999999998</v>
      </c>
      <c r="I382" s="610">
        <v>4.0000000000000001E-3</v>
      </c>
      <c r="J382" s="610" t="e">
        <f>NA()</f>
        <v>#N/A</v>
      </c>
      <c r="K382" s="610">
        <v>6.0000000000000001E-3</v>
      </c>
      <c r="L382" s="610">
        <v>6.0000000000000001E-3</v>
      </c>
      <c r="M382" s="610">
        <v>0</v>
      </c>
      <c r="N382" s="610">
        <v>1E-3</v>
      </c>
      <c r="O382" s="818"/>
      <c r="P382" s="818"/>
      <c r="Q382" s="23" t="str">
        <f t="shared" si="60"/>
        <v>Sample Too Small</v>
      </c>
      <c r="R382" s="2">
        <v>1426</v>
      </c>
    </row>
    <row r="383" spans="1:18" hidden="1" x14ac:dyDescent="0.25">
      <c r="A383" t="s">
        <v>973</v>
      </c>
      <c r="B383" t="s">
        <v>69</v>
      </c>
      <c r="C383" t="s">
        <v>969</v>
      </c>
      <c r="D383" t="s">
        <v>282</v>
      </c>
      <c r="E383" t="s">
        <v>103</v>
      </c>
      <c r="F383" t="str">
        <f t="shared" si="61"/>
        <v>Tajikistan:Male Condom</v>
      </c>
      <c r="G383" s="611">
        <f t="shared" si="62"/>
        <v>0.41200000000000003</v>
      </c>
      <c r="H383" s="610">
        <v>0.39300000000000002</v>
      </c>
      <c r="I383" s="610">
        <v>1.9E-2</v>
      </c>
      <c r="J383" s="610" t="e">
        <f>NA()</f>
        <v>#N/A</v>
      </c>
      <c r="K383" s="610">
        <v>0</v>
      </c>
      <c r="L383" s="610">
        <v>0.56000000000000005</v>
      </c>
      <c r="M383" s="610">
        <v>4.0000000000000001E-3</v>
      </c>
      <c r="N383" s="610">
        <v>7.0000000000000001E-3</v>
      </c>
      <c r="O383" s="818"/>
      <c r="P383" s="818"/>
      <c r="Q383" s="23" t="str">
        <f t="shared" si="60"/>
        <v>Sample Too Small</v>
      </c>
      <c r="R383">
        <v>308</v>
      </c>
    </row>
    <row r="384" spans="1:18" hidden="1" x14ac:dyDescent="0.25">
      <c r="A384" t="s">
        <v>973</v>
      </c>
      <c r="B384" t="s">
        <v>69</v>
      </c>
      <c r="C384" t="s">
        <v>969</v>
      </c>
      <c r="D384" t="s">
        <v>282</v>
      </c>
      <c r="E384" t="s">
        <v>110</v>
      </c>
      <c r="F384" t="str">
        <f t="shared" si="61"/>
        <v>Tajikistan:OC Pills</v>
      </c>
      <c r="G384" s="611">
        <f t="shared" si="62"/>
        <v>0.76900000000000002</v>
      </c>
      <c r="H384" s="610">
        <v>0.76900000000000002</v>
      </c>
      <c r="I384" s="610">
        <v>0</v>
      </c>
      <c r="J384" s="610" t="e">
        <f>NA()</f>
        <v>#N/A</v>
      </c>
      <c r="K384" s="610">
        <v>0</v>
      </c>
      <c r="L384" s="610">
        <v>0.23100000000000001</v>
      </c>
      <c r="M384" s="610">
        <v>0</v>
      </c>
      <c r="N384" s="610">
        <v>0</v>
      </c>
      <c r="O384" s="818"/>
      <c r="P384" s="818"/>
      <c r="Q384" s="23" t="str">
        <f t="shared" si="60"/>
        <v>Sample Too Small</v>
      </c>
      <c r="R384">
        <v>151</v>
      </c>
    </row>
    <row r="385" spans="1:18" hidden="1" x14ac:dyDescent="0.25">
      <c r="A385" t="s">
        <v>905</v>
      </c>
      <c r="B385" t="s">
        <v>70</v>
      </c>
      <c r="C385" t="s">
        <v>593</v>
      </c>
      <c r="D385" t="s">
        <v>282</v>
      </c>
      <c r="E385" t="s">
        <v>128</v>
      </c>
      <c r="F385" t="str">
        <f t="shared" si="61"/>
        <v>Tanzania:Female Sterilization</v>
      </c>
      <c r="G385" s="611">
        <f t="shared" si="62"/>
        <v>0.67749999999999999</v>
      </c>
      <c r="H385" s="23">
        <v>0.1845</v>
      </c>
      <c r="I385" s="23">
        <v>0.49299999999999999</v>
      </c>
      <c r="J385" s="23">
        <v>0.26319999999999999</v>
      </c>
      <c r="K385" s="23">
        <v>3.8600000000000002E-2</v>
      </c>
      <c r="L385" s="23">
        <v>0</v>
      </c>
      <c r="M385" s="23">
        <v>0</v>
      </c>
      <c r="N385" s="23">
        <v>2.0799999999999999E-2</v>
      </c>
      <c r="O385" s="818">
        <v>0</v>
      </c>
      <c r="P385" s="818">
        <v>0</v>
      </c>
      <c r="Q385" s="23">
        <f t="shared" si="60"/>
        <v>1.0001</v>
      </c>
      <c r="R385">
        <v>297</v>
      </c>
    </row>
    <row r="386" spans="1:18" hidden="1" x14ac:dyDescent="0.25">
      <c r="A386" t="s">
        <v>905</v>
      </c>
      <c r="B386" t="s">
        <v>70</v>
      </c>
      <c r="C386" t="s">
        <v>593</v>
      </c>
      <c r="D386" t="s">
        <v>282</v>
      </c>
      <c r="E386" t="s">
        <v>3</v>
      </c>
      <c r="F386" t="str">
        <f t="shared" si="61"/>
        <v>Tanzania:Implant</v>
      </c>
      <c r="G386" s="611">
        <f t="shared" si="62"/>
        <v>0.8871</v>
      </c>
      <c r="H386" s="23">
        <v>3.4799999999999998E-2</v>
      </c>
      <c r="I386" s="23">
        <v>0.85229999999999995</v>
      </c>
      <c r="J386" s="23">
        <v>7.85E-2</v>
      </c>
      <c r="K386" s="23">
        <v>2.47E-2</v>
      </c>
      <c r="L386" s="23">
        <v>4.1000000000000003E-3</v>
      </c>
      <c r="M386" s="23">
        <v>0</v>
      </c>
      <c r="N386" s="23">
        <v>5.5999999999999999E-3</v>
      </c>
      <c r="O386" s="818">
        <v>0</v>
      </c>
      <c r="P386" s="818">
        <v>0</v>
      </c>
      <c r="Q386" s="23">
        <f t="shared" si="60"/>
        <v>1</v>
      </c>
      <c r="R386">
        <v>696</v>
      </c>
    </row>
    <row r="387" spans="1:18" hidden="1" x14ac:dyDescent="0.25">
      <c r="A387" t="s">
        <v>905</v>
      </c>
      <c r="B387" t="s">
        <v>70</v>
      </c>
      <c r="C387" t="s">
        <v>593</v>
      </c>
      <c r="D387" t="s">
        <v>282</v>
      </c>
      <c r="E387" t="s">
        <v>2</v>
      </c>
      <c r="F387" t="str">
        <f t="shared" si="61"/>
        <v>Tanzania:Injectable</v>
      </c>
      <c r="G387" s="611">
        <f t="shared" si="62"/>
        <v>0.66669999999999996</v>
      </c>
      <c r="H387" s="23">
        <v>9.1999999999999998E-3</v>
      </c>
      <c r="I387" s="23">
        <v>0.65749999999999997</v>
      </c>
      <c r="J387" s="23">
        <v>6.3899999999999998E-2</v>
      </c>
      <c r="K387" s="23">
        <v>7.0999999999999994E-2</v>
      </c>
      <c r="L387" s="23">
        <v>0.1888</v>
      </c>
      <c r="M387" s="23">
        <v>6.3E-3</v>
      </c>
      <c r="N387" s="23">
        <v>3.3999999999999998E-3</v>
      </c>
      <c r="O387" s="818">
        <v>0</v>
      </c>
      <c r="P387" s="818">
        <v>0</v>
      </c>
      <c r="Q387" s="23">
        <f t="shared" si="60"/>
        <v>1.0000999999999998</v>
      </c>
      <c r="R387" s="2">
        <v>1237</v>
      </c>
    </row>
    <row r="388" spans="1:18" hidden="1" x14ac:dyDescent="0.25">
      <c r="A388" t="s">
        <v>905</v>
      </c>
      <c r="B388" t="s">
        <v>70</v>
      </c>
      <c r="C388" t="s">
        <v>593</v>
      </c>
      <c r="D388" t="s">
        <v>282</v>
      </c>
      <c r="E388" t="s">
        <v>5</v>
      </c>
      <c r="F388" t="str">
        <f t="shared" si="61"/>
        <v>Tanzania:IUD</v>
      </c>
      <c r="G388" s="611">
        <f t="shared" si="62"/>
        <v>0.6734</v>
      </c>
      <c r="H388" s="23">
        <v>2.4799999999999999E-2</v>
      </c>
      <c r="I388" s="23">
        <v>0.64859999999999995</v>
      </c>
      <c r="J388" s="23">
        <v>0.20280000000000001</v>
      </c>
      <c r="K388" s="23">
        <v>0.1128</v>
      </c>
      <c r="L388" s="23">
        <v>0</v>
      </c>
      <c r="M388" s="23">
        <v>0</v>
      </c>
      <c r="N388" s="23">
        <v>1.11E-2</v>
      </c>
      <c r="O388" s="818">
        <v>0</v>
      </c>
      <c r="P388" s="818">
        <v>0</v>
      </c>
      <c r="Q388" s="23">
        <f t="shared" si="60"/>
        <v>1.0001</v>
      </c>
      <c r="R388">
        <v>78</v>
      </c>
    </row>
    <row r="389" spans="1:18" hidden="1" x14ac:dyDescent="0.25">
      <c r="A389" t="s">
        <v>905</v>
      </c>
      <c r="B389" t="s">
        <v>70</v>
      </c>
      <c r="C389" t="s">
        <v>593</v>
      </c>
      <c r="D389" t="s">
        <v>282</v>
      </c>
      <c r="E389" t="s">
        <v>103</v>
      </c>
      <c r="F389" t="str">
        <f t="shared" si="61"/>
        <v>Tanzania:Male Condom</v>
      </c>
      <c r="G389" s="611">
        <f t="shared" si="62"/>
        <v>9.3900000000000011E-2</v>
      </c>
      <c r="H389" s="23">
        <v>1.8200000000000001E-2</v>
      </c>
      <c r="I389" s="23">
        <v>7.5700000000000003E-2</v>
      </c>
      <c r="J389" s="23">
        <v>2.7799999999999998E-2</v>
      </c>
      <c r="K389" s="23">
        <v>6.7000000000000002E-3</v>
      </c>
      <c r="L389" s="23">
        <v>0.56089999999999995</v>
      </c>
      <c r="M389" s="23">
        <v>0.30170000000000002</v>
      </c>
      <c r="N389" s="23">
        <v>8.8999999999999999E-3</v>
      </c>
      <c r="O389" s="818">
        <v>0</v>
      </c>
      <c r="P389" s="818">
        <v>0</v>
      </c>
      <c r="Q389" s="23">
        <f t="shared" si="60"/>
        <v>0.99990000000000012</v>
      </c>
      <c r="R389">
        <v>395</v>
      </c>
    </row>
    <row r="390" spans="1:18" hidden="1" x14ac:dyDescent="0.25">
      <c r="A390" t="s">
        <v>905</v>
      </c>
      <c r="B390" t="s">
        <v>70</v>
      </c>
      <c r="C390" t="s">
        <v>593</v>
      </c>
      <c r="D390" t="s">
        <v>282</v>
      </c>
      <c r="E390" t="s">
        <v>129</v>
      </c>
      <c r="F390" t="str">
        <f t="shared" si="61"/>
        <v>Tanzania:Male Sterilization</v>
      </c>
      <c r="G390" s="611" t="e">
        <f t="shared" si="62"/>
        <v>#N/A</v>
      </c>
      <c r="H390" t="e">
        <f>NA()</f>
        <v>#N/A</v>
      </c>
      <c r="I390" t="e">
        <f>NA()</f>
        <v>#N/A</v>
      </c>
      <c r="J390" t="e">
        <f>NA()</f>
        <v>#N/A</v>
      </c>
      <c r="K390" t="e">
        <f>NA()</f>
        <v>#N/A</v>
      </c>
      <c r="L390" t="e">
        <f>NA()</f>
        <v>#N/A</v>
      </c>
      <c r="M390" t="e">
        <f>NA()</f>
        <v>#N/A</v>
      </c>
      <c r="N390" t="e">
        <f>NA()</f>
        <v>#N/A</v>
      </c>
      <c r="O390" s="818" t="e">
        <f>NA()</f>
        <v>#N/A</v>
      </c>
      <c r="P390" s="818" t="e">
        <f>NA()</f>
        <v>#N/A</v>
      </c>
      <c r="Q390" s="23" t="str">
        <f t="shared" si="60"/>
        <v>Sample Too Small</v>
      </c>
      <c r="R390" s="10">
        <v>3</v>
      </c>
    </row>
    <row r="391" spans="1:18" hidden="1" x14ac:dyDescent="0.25">
      <c r="A391" s="119" t="s">
        <v>905</v>
      </c>
      <c r="B391" t="s">
        <v>70</v>
      </c>
      <c r="C391" t="s">
        <v>593</v>
      </c>
      <c r="D391" t="s">
        <v>282</v>
      </c>
      <c r="E391" t="s">
        <v>110</v>
      </c>
      <c r="F391" t="str">
        <f t="shared" si="61"/>
        <v>Tanzania:OC Pills</v>
      </c>
      <c r="G391" s="611">
        <f t="shared" si="62"/>
        <v>0.53</v>
      </c>
      <c r="H391" s="502">
        <v>1.5299999999999999E-2</v>
      </c>
      <c r="I391" s="502">
        <v>0.51470000000000005</v>
      </c>
      <c r="J391" s="502">
        <v>4.7600000000000003E-2</v>
      </c>
      <c r="K391" s="502">
        <v>1.12E-2</v>
      </c>
      <c r="L391" s="502">
        <v>0.39100000000000001</v>
      </c>
      <c r="M391" s="502">
        <v>1.83E-2</v>
      </c>
      <c r="N391" s="502">
        <v>1.9E-3</v>
      </c>
      <c r="O391" s="818">
        <v>0</v>
      </c>
      <c r="P391" s="818">
        <v>0</v>
      </c>
      <c r="Q391" s="23">
        <f t="shared" si="60"/>
        <v>1</v>
      </c>
      <c r="R391" s="119">
        <v>486</v>
      </c>
    </row>
    <row r="392" spans="1:18" hidden="1" x14ac:dyDescent="0.25">
      <c r="A392" t="s">
        <v>905</v>
      </c>
      <c r="B392" t="s">
        <v>70</v>
      </c>
      <c r="C392" t="s">
        <v>593</v>
      </c>
      <c r="D392" t="s">
        <v>282</v>
      </c>
      <c r="E392" t="s">
        <v>130</v>
      </c>
      <c r="F392" t="str">
        <f t="shared" si="61"/>
        <v>Tanzania:Other Modern Methods</v>
      </c>
      <c r="G392" s="611" t="e">
        <f t="shared" si="62"/>
        <v>#N/A</v>
      </c>
      <c r="H392" t="e">
        <f>NA()</f>
        <v>#N/A</v>
      </c>
      <c r="I392" t="e">
        <f>NA()</f>
        <v>#N/A</v>
      </c>
      <c r="J392" t="e">
        <f>NA()</f>
        <v>#N/A</v>
      </c>
      <c r="K392" t="e">
        <f>NA()</f>
        <v>#N/A</v>
      </c>
      <c r="L392" t="e">
        <f>NA()</f>
        <v>#N/A</v>
      </c>
      <c r="M392" t="e">
        <f>NA()</f>
        <v>#N/A</v>
      </c>
      <c r="N392" t="e">
        <f>NA()</f>
        <v>#N/A</v>
      </c>
      <c r="O392" s="818" t="e">
        <f>NA()</f>
        <v>#N/A</v>
      </c>
      <c r="P392" s="818" t="e">
        <f>NA()</f>
        <v>#N/A</v>
      </c>
      <c r="Q392" s="23" t="str">
        <f t="shared" si="60"/>
        <v>Sample Too Small</v>
      </c>
      <c r="R392" s="10">
        <v>6</v>
      </c>
    </row>
    <row r="393" spans="1:18" hidden="1" x14ac:dyDescent="0.25">
      <c r="A393" t="s">
        <v>974</v>
      </c>
      <c r="B393" t="s">
        <v>71</v>
      </c>
      <c r="C393" t="s">
        <v>610</v>
      </c>
      <c r="D393" t="s">
        <v>282</v>
      </c>
      <c r="E393" t="s">
        <v>128</v>
      </c>
      <c r="F393" t="str">
        <f t="shared" si="61"/>
        <v>Timor-Leste:Female Sterilization</v>
      </c>
      <c r="G393" s="611">
        <f t="shared" si="62"/>
        <v>0.95499999999999996</v>
      </c>
      <c r="H393" s="610">
        <v>0.94599999999999995</v>
      </c>
      <c r="I393" s="610">
        <v>8.9999999999999993E-3</v>
      </c>
      <c r="J393" s="610">
        <v>0</v>
      </c>
      <c r="K393" s="610">
        <v>4.4999999999999998E-2</v>
      </c>
      <c r="L393" s="610">
        <v>0</v>
      </c>
      <c r="M393" s="610">
        <v>0</v>
      </c>
      <c r="N393" s="610">
        <v>0</v>
      </c>
      <c r="O393" s="818"/>
      <c r="P393" s="818"/>
      <c r="Q393" s="23">
        <f t="shared" si="60"/>
        <v>1</v>
      </c>
      <c r="R393">
        <v>96</v>
      </c>
    </row>
    <row r="394" spans="1:18" hidden="1" x14ac:dyDescent="0.25">
      <c r="A394" t="s">
        <v>974</v>
      </c>
      <c r="B394" t="s">
        <v>71</v>
      </c>
      <c r="C394" t="s">
        <v>610</v>
      </c>
      <c r="D394" t="s">
        <v>282</v>
      </c>
      <c r="E394" t="s">
        <v>3</v>
      </c>
      <c r="F394" t="str">
        <f t="shared" si="61"/>
        <v>Timor-Leste:Implant</v>
      </c>
      <c r="G394" s="611">
        <f t="shared" si="62"/>
        <v>0.874</v>
      </c>
      <c r="H394" s="610">
        <v>0.47499999999999998</v>
      </c>
      <c r="I394" s="610">
        <v>0.39900000000000002</v>
      </c>
      <c r="J394" s="610">
        <v>0.112</v>
      </c>
      <c r="K394" s="610">
        <v>1.4E-2</v>
      </c>
      <c r="L394" s="610">
        <v>0</v>
      </c>
      <c r="M394" s="610">
        <v>0</v>
      </c>
      <c r="N394" s="610">
        <v>0</v>
      </c>
      <c r="O394" s="818"/>
      <c r="P394" s="818"/>
      <c r="Q394" s="23">
        <f t="shared" si="60"/>
        <v>1</v>
      </c>
      <c r="R394">
        <v>421</v>
      </c>
    </row>
    <row r="395" spans="1:18" hidden="1" x14ac:dyDescent="0.25">
      <c r="A395" t="s">
        <v>974</v>
      </c>
      <c r="B395" t="s">
        <v>71</v>
      </c>
      <c r="C395" t="s">
        <v>610</v>
      </c>
      <c r="D395" t="s">
        <v>282</v>
      </c>
      <c r="E395" t="s">
        <v>2</v>
      </c>
      <c r="F395" t="str">
        <f t="shared" si="61"/>
        <v>Timor-Leste:Injectable</v>
      </c>
      <c r="G395" s="611">
        <f t="shared" ref="G395:G426" si="63">SUM(H395:I395)</f>
        <v>0.96300000000000008</v>
      </c>
      <c r="H395" s="610">
        <v>0.40899999999999997</v>
      </c>
      <c r="I395" s="610">
        <v>0.55400000000000005</v>
      </c>
      <c r="J395" s="610">
        <v>1.0999999999999999E-2</v>
      </c>
      <c r="K395" s="610">
        <v>1.7999999999999999E-2</v>
      </c>
      <c r="L395" s="610">
        <v>1E-3</v>
      </c>
      <c r="M395" s="610">
        <v>8.0000000000000002E-3</v>
      </c>
      <c r="N395" s="610">
        <v>0</v>
      </c>
      <c r="O395" s="818"/>
      <c r="P395" s="818"/>
      <c r="Q395" s="23">
        <f t="shared" si="60"/>
        <v>1.0010000000000001</v>
      </c>
      <c r="R395">
        <v>994</v>
      </c>
    </row>
    <row r="396" spans="1:18" hidden="1" x14ac:dyDescent="0.25">
      <c r="A396" t="s">
        <v>974</v>
      </c>
      <c r="B396" t="s">
        <v>71</v>
      </c>
      <c r="C396" t="s">
        <v>610</v>
      </c>
      <c r="D396" t="s">
        <v>282</v>
      </c>
      <c r="E396" t="s">
        <v>5</v>
      </c>
      <c r="F396" t="str">
        <f t="shared" si="61"/>
        <v>Timor-Leste:IUD</v>
      </c>
      <c r="G396" s="611">
        <f t="shared" si="63"/>
        <v>0.90900000000000003</v>
      </c>
      <c r="H396" s="610">
        <v>0.61099999999999999</v>
      </c>
      <c r="I396" s="610">
        <v>0.29799999999999999</v>
      </c>
      <c r="J396" s="610">
        <v>7.2999999999999995E-2</v>
      </c>
      <c r="K396" s="610">
        <v>1.7999999999999999E-2</v>
      </c>
      <c r="L396" s="610">
        <v>0</v>
      </c>
      <c r="M396" s="610">
        <v>0</v>
      </c>
      <c r="N396" s="610">
        <v>0</v>
      </c>
      <c r="O396" s="818"/>
      <c r="P396" s="818"/>
      <c r="Q396" s="23">
        <f t="shared" si="60"/>
        <v>1</v>
      </c>
      <c r="R396">
        <v>137</v>
      </c>
    </row>
    <row r="397" spans="1:18" hidden="1" x14ac:dyDescent="0.25">
      <c r="A397" t="s">
        <v>974</v>
      </c>
      <c r="B397" t="s">
        <v>71</v>
      </c>
      <c r="C397" t="s">
        <v>610</v>
      </c>
      <c r="D397" t="s">
        <v>282</v>
      </c>
      <c r="E397" t="s">
        <v>103</v>
      </c>
      <c r="F397" t="str">
        <f t="shared" si="61"/>
        <v>Timor-Leste:Male Condom</v>
      </c>
      <c r="G397" s="611" t="e">
        <f t="shared" si="63"/>
        <v>#N/A</v>
      </c>
      <c r="H397" s="610" t="e">
        <f>NA()</f>
        <v>#N/A</v>
      </c>
      <c r="I397" s="610" t="e">
        <f>NA()</f>
        <v>#N/A</v>
      </c>
      <c r="J397" s="610" t="e">
        <f>NA()</f>
        <v>#N/A</v>
      </c>
      <c r="K397" s="610" t="e">
        <f>NA()</f>
        <v>#N/A</v>
      </c>
      <c r="L397" s="610" t="e">
        <f>NA()</f>
        <v>#N/A</v>
      </c>
      <c r="M397" s="610" t="e">
        <f>NA()</f>
        <v>#N/A</v>
      </c>
      <c r="N397" s="610" t="e">
        <f>NA()</f>
        <v>#N/A</v>
      </c>
      <c r="O397" s="818"/>
      <c r="P397" s="818"/>
      <c r="Q397" s="23"/>
      <c r="R397">
        <v>4</v>
      </c>
    </row>
    <row r="398" spans="1:18" hidden="1" x14ac:dyDescent="0.25">
      <c r="A398" t="s">
        <v>974</v>
      </c>
      <c r="B398" t="s">
        <v>71</v>
      </c>
      <c r="C398" t="s">
        <v>610</v>
      </c>
      <c r="D398" t="s">
        <v>282</v>
      </c>
      <c r="E398" t="s">
        <v>110</v>
      </c>
      <c r="F398" t="str">
        <f t="shared" si="61"/>
        <v>Timor-Leste:OC Pills</v>
      </c>
      <c r="G398" s="611">
        <f t="shared" si="63"/>
        <v>0.876</v>
      </c>
      <c r="H398" s="610">
        <v>0.41099999999999998</v>
      </c>
      <c r="I398" s="610">
        <v>0.46500000000000002</v>
      </c>
      <c r="J398" s="610">
        <v>1.4E-2</v>
      </c>
      <c r="K398" s="610">
        <v>8.2000000000000003E-2</v>
      </c>
      <c r="L398" s="610">
        <v>1.4999999999999999E-2</v>
      </c>
      <c r="M398" s="610">
        <v>1.2999999999999999E-2</v>
      </c>
      <c r="N398" s="610">
        <v>0</v>
      </c>
      <c r="O398" s="818"/>
      <c r="P398" s="818"/>
      <c r="Q398" s="23">
        <f>IFERROR(SUM(H398:P398), "Sample Too Small")</f>
        <v>1</v>
      </c>
      <c r="R398">
        <v>184</v>
      </c>
    </row>
    <row r="399" spans="1:18" hidden="1" x14ac:dyDescent="0.25">
      <c r="A399" t="s">
        <v>974</v>
      </c>
      <c r="B399" t="s">
        <v>71</v>
      </c>
      <c r="C399" t="s">
        <v>610</v>
      </c>
      <c r="D399" t="s">
        <v>282</v>
      </c>
      <c r="E399" t="s">
        <v>967</v>
      </c>
      <c r="F399" t="str">
        <f t="shared" si="61"/>
        <v>Timor-Leste:standard days method (sdm)</v>
      </c>
      <c r="G399" s="611" t="e">
        <f t="shared" si="63"/>
        <v>#N/A</v>
      </c>
      <c r="H399" s="610" t="e">
        <f>NA()</f>
        <v>#N/A</v>
      </c>
      <c r="I399" s="610" t="e">
        <f>NA()</f>
        <v>#N/A</v>
      </c>
      <c r="J399" s="610" t="e">
        <f>NA()</f>
        <v>#N/A</v>
      </c>
      <c r="K399" s="610" t="e">
        <f>NA()</f>
        <v>#N/A</v>
      </c>
      <c r="L399" s="610" t="e">
        <f>NA()</f>
        <v>#N/A</v>
      </c>
      <c r="M399" s="610" t="e">
        <f>NA()</f>
        <v>#N/A</v>
      </c>
      <c r="N399" s="610" t="e">
        <f>NA()</f>
        <v>#N/A</v>
      </c>
      <c r="O399" s="818"/>
      <c r="P399" s="818"/>
      <c r="Q399" s="23"/>
      <c r="R399">
        <v>15</v>
      </c>
    </row>
    <row r="400" spans="1:18" hidden="1" x14ac:dyDescent="0.25">
      <c r="A400" t="s">
        <v>906</v>
      </c>
      <c r="B400" t="s">
        <v>72</v>
      </c>
      <c r="C400" t="s">
        <v>606</v>
      </c>
      <c r="D400" t="s">
        <v>282</v>
      </c>
      <c r="E400" t="s">
        <v>128</v>
      </c>
      <c r="F400" t="str">
        <f t="shared" si="61"/>
        <v>Togo:Female Sterilization</v>
      </c>
      <c r="G400" s="611" t="e">
        <f t="shared" si="63"/>
        <v>#N/A</v>
      </c>
      <c r="H400" t="e">
        <f>NA()</f>
        <v>#N/A</v>
      </c>
      <c r="I400" t="e">
        <f>NA()</f>
        <v>#N/A</v>
      </c>
      <c r="J400" t="e">
        <f>NA()</f>
        <v>#N/A</v>
      </c>
      <c r="K400" t="e">
        <f>NA()</f>
        <v>#N/A</v>
      </c>
      <c r="L400" t="e">
        <f>NA()</f>
        <v>#N/A</v>
      </c>
      <c r="M400" t="e">
        <f>NA()</f>
        <v>#N/A</v>
      </c>
      <c r="N400" t="e">
        <f>NA()</f>
        <v>#N/A</v>
      </c>
      <c r="O400" s="818" t="e">
        <f>NA()</f>
        <v>#N/A</v>
      </c>
      <c r="P400" s="818" t="e">
        <f>NA()</f>
        <v>#N/A</v>
      </c>
      <c r="Q400" t="str">
        <f t="shared" ref="Q400:Q430" si="64">IFERROR(SUM(H400:P400), "Sample Too Small")</f>
        <v>Sample Too Small</v>
      </c>
      <c r="R400" s="10">
        <v>14</v>
      </c>
    </row>
    <row r="401" spans="1:18" hidden="1" x14ac:dyDescent="0.25">
      <c r="A401" t="s">
        <v>906</v>
      </c>
      <c r="B401" t="s">
        <v>72</v>
      </c>
      <c r="C401" t="s">
        <v>606</v>
      </c>
      <c r="D401" t="s">
        <v>282</v>
      </c>
      <c r="E401" t="s">
        <v>3</v>
      </c>
      <c r="F401" t="str">
        <f t="shared" si="61"/>
        <v>Togo:Implant</v>
      </c>
      <c r="G401" s="611">
        <f t="shared" si="63"/>
        <v>0.9494949494949495</v>
      </c>
      <c r="H401" s="23">
        <v>0.90909090909090906</v>
      </c>
      <c r="I401" s="23">
        <v>4.0404040404040401E-2</v>
      </c>
      <c r="J401" s="23">
        <v>0</v>
      </c>
      <c r="K401" s="23">
        <v>5.0505050505050504E-2</v>
      </c>
      <c r="L401" s="23">
        <v>0</v>
      </c>
      <c r="M401" s="23">
        <v>0</v>
      </c>
      <c r="N401" s="23">
        <v>0</v>
      </c>
      <c r="O401" s="818">
        <v>0</v>
      </c>
      <c r="P401" s="818">
        <v>0.01</v>
      </c>
      <c r="Q401" s="23">
        <f t="shared" si="64"/>
        <v>1.01</v>
      </c>
      <c r="R401">
        <v>382</v>
      </c>
    </row>
    <row r="402" spans="1:18" hidden="1" x14ac:dyDescent="0.25">
      <c r="A402" t="s">
        <v>906</v>
      </c>
      <c r="B402" t="s">
        <v>72</v>
      </c>
      <c r="C402" t="s">
        <v>606</v>
      </c>
      <c r="D402" t="s">
        <v>282</v>
      </c>
      <c r="E402" t="s">
        <v>2</v>
      </c>
      <c r="F402" t="str">
        <f t="shared" si="61"/>
        <v>Togo:Injectable</v>
      </c>
      <c r="G402" s="611">
        <f t="shared" si="63"/>
        <v>0.83838383838383823</v>
      </c>
      <c r="H402" s="23">
        <v>0.77777777777777768</v>
      </c>
      <c r="I402" s="23">
        <v>6.0606060606060601E-2</v>
      </c>
      <c r="J402" s="23">
        <v>0</v>
      </c>
      <c r="K402" s="23">
        <v>0.14141414141414141</v>
      </c>
      <c r="L402" s="23">
        <v>1.01010101010101E-2</v>
      </c>
      <c r="M402" s="23">
        <v>1.01010101010101E-2</v>
      </c>
      <c r="N402" s="23">
        <v>0</v>
      </c>
      <c r="O402" s="818">
        <v>0</v>
      </c>
      <c r="P402" s="818">
        <v>0.01</v>
      </c>
      <c r="Q402" s="23">
        <f t="shared" si="64"/>
        <v>1.0099999999999998</v>
      </c>
      <c r="R402">
        <v>486</v>
      </c>
    </row>
    <row r="403" spans="1:18" hidden="1" x14ac:dyDescent="0.25">
      <c r="A403" t="s">
        <v>906</v>
      </c>
      <c r="B403" t="s">
        <v>72</v>
      </c>
      <c r="C403" t="s">
        <v>606</v>
      </c>
      <c r="D403" t="s">
        <v>282</v>
      </c>
      <c r="E403" t="s">
        <v>5</v>
      </c>
      <c r="F403" t="str">
        <f t="shared" si="61"/>
        <v>Togo:IUD</v>
      </c>
      <c r="G403" s="611">
        <f t="shared" si="63"/>
        <v>0.83</v>
      </c>
      <c r="H403" s="23">
        <v>0.83</v>
      </c>
      <c r="I403" s="23">
        <v>0</v>
      </c>
      <c r="J403" s="23">
        <v>0</v>
      </c>
      <c r="K403" s="23">
        <v>0.17</v>
      </c>
      <c r="L403" s="23">
        <v>0</v>
      </c>
      <c r="M403" s="23">
        <v>0</v>
      </c>
      <c r="N403" s="23">
        <v>0</v>
      </c>
      <c r="O403" s="818">
        <v>0</v>
      </c>
      <c r="P403" s="818">
        <v>0</v>
      </c>
      <c r="Q403" s="23">
        <f t="shared" si="64"/>
        <v>1</v>
      </c>
      <c r="R403">
        <v>54</v>
      </c>
    </row>
    <row r="404" spans="1:18" hidden="1" x14ac:dyDescent="0.25">
      <c r="A404" t="s">
        <v>906</v>
      </c>
      <c r="B404" t="s">
        <v>72</v>
      </c>
      <c r="C404" t="s">
        <v>606</v>
      </c>
      <c r="D404" t="s">
        <v>282</v>
      </c>
      <c r="E404" t="s">
        <v>103</v>
      </c>
      <c r="F404" t="str">
        <f t="shared" si="61"/>
        <v>Togo:Male Condom</v>
      </c>
      <c r="G404" s="611">
        <f t="shared" si="63"/>
        <v>0.04</v>
      </c>
      <c r="H404" s="23">
        <v>0.04</v>
      </c>
      <c r="I404" s="23">
        <v>0</v>
      </c>
      <c r="J404" s="23">
        <v>0</v>
      </c>
      <c r="K404" s="23">
        <v>0.03</v>
      </c>
      <c r="L404" s="23">
        <v>0.26</v>
      </c>
      <c r="M404" s="23">
        <v>0.67</v>
      </c>
      <c r="N404" s="23">
        <v>0.01</v>
      </c>
      <c r="O404" s="818">
        <v>0</v>
      </c>
      <c r="P404" s="818">
        <v>0</v>
      </c>
      <c r="Q404" s="23">
        <f t="shared" si="64"/>
        <v>1.01</v>
      </c>
      <c r="R404">
        <v>488</v>
      </c>
    </row>
    <row r="405" spans="1:18" hidden="1" x14ac:dyDescent="0.25">
      <c r="A405" t="s">
        <v>906</v>
      </c>
      <c r="B405" t="s">
        <v>72</v>
      </c>
      <c r="C405" t="s">
        <v>606</v>
      </c>
      <c r="D405" t="s">
        <v>282</v>
      </c>
      <c r="E405" t="s">
        <v>129</v>
      </c>
      <c r="F405" t="str">
        <f t="shared" si="61"/>
        <v>Togo:Male Sterilization</v>
      </c>
      <c r="G405" s="611" t="e">
        <f t="shared" si="63"/>
        <v>#N/A</v>
      </c>
      <c r="H405" t="e">
        <f>NA()</f>
        <v>#N/A</v>
      </c>
      <c r="I405" t="e">
        <f>NA()</f>
        <v>#N/A</v>
      </c>
      <c r="J405" t="e">
        <f>NA()</f>
        <v>#N/A</v>
      </c>
      <c r="K405" t="e">
        <f>NA()</f>
        <v>#N/A</v>
      </c>
      <c r="L405" t="e">
        <f>NA()</f>
        <v>#N/A</v>
      </c>
      <c r="M405" t="e">
        <f>NA()</f>
        <v>#N/A</v>
      </c>
      <c r="N405" t="e">
        <f>NA()</f>
        <v>#N/A</v>
      </c>
      <c r="O405" s="818" t="e">
        <f>NA()</f>
        <v>#N/A</v>
      </c>
      <c r="P405" s="818" t="e">
        <f>NA()</f>
        <v>#N/A</v>
      </c>
      <c r="Q405" t="str">
        <f t="shared" si="64"/>
        <v>Sample Too Small</v>
      </c>
      <c r="R405" s="10">
        <v>0</v>
      </c>
    </row>
    <row r="406" spans="1:18" hidden="1" x14ac:dyDescent="0.25">
      <c r="A406" s="119" t="s">
        <v>906</v>
      </c>
      <c r="B406" t="s">
        <v>72</v>
      </c>
      <c r="C406" t="s">
        <v>606</v>
      </c>
      <c r="D406" t="s">
        <v>282</v>
      </c>
      <c r="E406" t="s">
        <v>110</v>
      </c>
      <c r="F406" t="str">
        <f t="shared" si="61"/>
        <v>Togo:OC Pills</v>
      </c>
      <c r="G406" s="611">
        <f t="shared" si="63"/>
        <v>0.26262626262626265</v>
      </c>
      <c r="H406" s="502">
        <v>0.24242424242424243</v>
      </c>
      <c r="I406" s="502">
        <v>2.0202020202020204E-2</v>
      </c>
      <c r="J406" s="502">
        <v>0</v>
      </c>
      <c r="K406" s="502">
        <v>4.0404040404040407E-2</v>
      </c>
      <c r="L406" s="502">
        <v>0.40404040404040409</v>
      </c>
      <c r="M406" s="502">
        <v>0.28282828282828287</v>
      </c>
      <c r="N406" s="502">
        <v>1.0101010101010102E-2</v>
      </c>
      <c r="O406" s="818">
        <v>0</v>
      </c>
      <c r="P406" s="818">
        <v>0.01</v>
      </c>
      <c r="Q406" s="23">
        <f t="shared" si="64"/>
        <v>1.0100000000000002</v>
      </c>
      <c r="R406" s="119">
        <v>158</v>
      </c>
    </row>
    <row r="407" spans="1:18" hidden="1" x14ac:dyDescent="0.25">
      <c r="A407" t="s">
        <v>906</v>
      </c>
      <c r="B407" t="s">
        <v>72</v>
      </c>
      <c r="C407" t="s">
        <v>606</v>
      </c>
      <c r="D407" t="s">
        <v>282</v>
      </c>
      <c r="E407" t="s">
        <v>130</v>
      </c>
      <c r="F407" t="str">
        <f t="shared" si="61"/>
        <v>Togo:Other Modern Methods</v>
      </c>
      <c r="G407" s="611" t="e">
        <f t="shared" si="63"/>
        <v>#N/A</v>
      </c>
      <c r="H407" t="e">
        <f>NA()</f>
        <v>#N/A</v>
      </c>
      <c r="I407" t="e">
        <f>NA()</f>
        <v>#N/A</v>
      </c>
      <c r="J407" t="e">
        <f>NA()</f>
        <v>#N/A</v>
      </c>
      <c r="K407" t="e">
        <f>NA()</f>
        <v>#N/A</v>
      </c>
      <c r="L407" t="e">
        <f>NA()</f>
        <v>#N/A</v>
      </c>
      <c r="M407" t="e">
        <f>NA()</f>
        <v>#N/A</v>
      </c>
      <c r="N407" t="e">
        <f>NA()</f>
        <v>#N/A</v>
      </c>
      <c r="O407" s="818" t="e">
        <f>NA()</f>
        <v>#N/A</v>
      </c>
      <c r="P407" s="818" t="e">
        <f>NA()</f>
        <v>#N/A</v>
      </c>
      <c r="Q407" t="str">
        <f t="shared" si="64"/>
        <v>Sample Too Small</v>
      </c>
      <c r="R407" s="10">
        <v>8</v>
      </c>
    </row>
    <row r="408" spans="1:18" hidden="1" x14ac:dyDescent="0.25">
      <c r="A408" t="s">
        <v>975</v>
      </c>
      <c r="B408" t="s">
        <v>73</v>
      </c>
      <c r="C408" t="s">
        <v>610</v>
      </c>
      <c r="D408" t="s">
        <v>282</v>
      </c>
      <c r="E408" t="s">
        <v>128</v>
      </c>
      <c r="F408" t="str">
        <f t="shared" si="61"/>
        <v>Uganda:Female Sterilization</v>
      </c>
      <c r="G408" s="611">
        <f t="shared" si="63"/>
        <v>0.85599999999999998</v>
      </c>
      <c r="H408" s="235">
        <v>0.85</v>
      </c>
      <c r="I408" s="235">
        <v>6.0000000000000001E-3</v>
      </c>
      <c r="J408" s="610" t="e">
        <f>NA()</f>
        <v>#N/A</v>
      </c>
      <c r="K408" s="235">
        <v>0.14399999999999999</v>
      </c>
      <c r="L408" s="235">
        <v>0</v>
      </c>
      <c r="M408" s="235">
        <v>0</v>
      </c>
      <c r="N408" s="235">
        <v>0</v>
      </c>
      <c r="O408" s="818"/>
      <c r="P408" s="818"/>
      <c r="Q408" s="23" t="str">
        <f t="shared" si="64"/>
        <v>Sample Too Small</v>
      </c>
      <c r="R408">
        <v>355</v>
      </c>
    </row>
    <row r="409" spans="1:18" hidden="1" x14ac:dyDescent="0.25">
      <c r="A409" t="s">
        <v>975</v>
      </c>
      <c r="B409" t="s">
        <v>73</v>
      </c>
      <c r="C409" t="s">
        <v>610</v>
      </c>
      <c r="D409" t="s">
        <v>282</v>
      </c>
      <c r="E409" t="s">
        <v>3</v>
      </c>
      <c r="F409" t="str">
        <f t="shared" si="61"/>
        <v>Uganda:Implant</v>
      </c>
      <c r="G409" s="611">
        <f t="shared" si="63"/>
        <v>0.82600000000000007</v>
      </c>
      <c r="H409" s="235">
        <v>0.77800000000000002</v>
      </c>
      <c r="I409" s="235">
        <v>4.8000000000000001E-2</v>
      </c>
      <c r="J409" s="610" t="e">
        <f>NA()</f>
        <v>#N/A</v>
      </c>
      <c r="K409" s="235">
        <v>0.16900000000000001</v>
      </c>
      <c r="L409" s="235">
        <v>3.0000000000000001E-3</v>
      </c>
      <c r="M409" s="235">
        <v>0</v>
      </c>
      <c r="N409" s="235">
        <v>1E-3</v>
      </c>
      <c r="O409" s="818"/>
      <c r="P409" s="818"/>
      <c r="Q409" s="23" t="str">
        <f t="shared" si="64"/>
        <v>Sample Too Small</v>
      </c>
      <c r="R409">
        <v>888</v>
      </c>
    </row>
    <row r="410" spans="1:18" hidden="1" x14ac:dyDescent="0.25">
      <c r="A410" t="s">
        <v>975</v>
      </c>
      <c r="B410" t="s">
        <v>73</v>
      </c>
      <c r="C410" t="s">
        <v>610</v>
      </c>
      <c r="D410" t="s">
        <v>282</v>
      </c>
      <c r="E410" t="s">
        <v>2</v>
      </c>
      <c r="F410" t="str">
        <f t="shared" si="61"/>
        <v>Uganda:Injectable</v>
      </c>
      <c r="G410" s="611">
        <f t="shared" si="63"/>
        <v>0.54100000000000004</v>
      </c>
      <c r="H410" s="235">
        <v>0.52100000000000002</v>
      </c>
      <c r="I410" s="235">
        <v>0.02</v>
      </c>
      <c r="J410" s="610" t="e">
        <f>NA()</f>
        <v>#N/A</v>
      </c>
      <c r="K410" s="235">
        <v>0.42</v>
      </c>
      <c r="L410" s="235">
        <v>3.5999999999999997E-2</v>
      </c>
      <c r="M410" s="235">
        <v>1E-3</v>
      </c>
      <c r="N410" s="235">
        <v>2E-3</v>
      </c>
      <c r="O410" s="818"/>
      <c r="P410" s="818"/>
      <c r="Q410" s="23" t="str">
        <f t="shared" si="64"/>
        <v>Sample Too Small</v>
      </c>
      <c r="R410" s="2">
        <v>2506</v>
      </c>
    </row>
    <row r="411" spans="1:18" hidden="1" x14ac:dyDescent="0.25">
      <c r="A411" t="s">
        <v>975</v>
      </c>
      <c r="B411" t="s">
        <v>73</v>
      </c>
      <c r="C411" t="s">
        <v>610</v>
      </c>
      <c r="D411" t="s">
        <v>282</v>
      </c>
      <c r="E411" t="s">
        <v>5</v>
      </c>
      <c r="F411" t="str">
        <f t="shared" si="61"/>
        <v>Uganda:IUD</v>
      </c>
      <c r="G411" s="611">
        <f t="shared" si="63"/>
        <v>0.70400000000000007</v>
      </c>
      <c r="H411" s="235">
        <v>0.66700000000000004</v>
      </c>
      <c r="I411" s="235">
        <v>3.6999999999999998E-2</v>
      </c>
      <c r="J411" s="610" t="e">
        <f>NA()</f>
        <v>#N/A</v>
      </c>
      <c r="K411" s="235">
        <v>0.29199999999999998</v>
      </c>
      <c r="L411" s="235">
        <v>5.0000000000000001E-3</v>
      </c>
      <c r="M411" s="235">
        <v>0</v>
      </c>
      <c r="N411" s="235">
        <v>0</v>
      </c>
      <c r="O411" s="818"/>
      <c r="P411" s="818"/>
      <c r="Q411" s="23" t="str">
        <f t="shared" si="64"/>
        <v>Sample Too Small</v>
      </c>
      <c r="R411">
        <v>197</v>
      </c>
    </row>
    <row r="412" spans="1:18" hidden="1" x14ac:dyDescent="0.25">
      <c r="A412" t="s">
        <v>975</v>
      </c>
      <c r="B412" t="s">
        <v>73</v>
      </c>
      <c r="C412" t="s">
        <v>610</v>
      </c>
      <c r="D412" t="s">
        <v>282</v>
      </c>
      <c r="E412" t="s">
        <v>103</v>
      </c>
      <c r="F412" t="str">
        <f t="shared" si="61"/>
        <v>Uganda:Male Condom</v>
      </c>
      <c r="G412" s="611">
        <f t="shared" si="63"/>
        <v>0.42500000000000004</v>
      </c>
      <c r="H412" s="235">
        <v>0.39600000000000002</v>
      </c>
      <c r="I412" s="235">
        <v>2.9000000000000001E-2</v>
      </c>
      <c r="J412" s="610" t="e">
        <f>NA()</f>
        <v>#N/A</v>
      </c>
      <c r="K412" s="235">
        <v>0.17499999999999999</v>
      </c>
      <c r="L412" s="235">
        <v>0.22800000000000001</v>
      </c>
      <c r="M412" s="235">
        <v>0.123</v>
      </c>
      <c r="N412" s="235">
        <v>0.05</v>
      </c>
      <c r="O412" s="818"/>
      <c r="P412" s="818"/>
      <c r="Q412" s="23" t="str">
        <f t="shared" si="64"/>
        <v>Sample Too Small</v>
      </c>
      <c r="R412">
        <v>534</v>
      </c>
    </row>
    <row r="413" spans="1:18" hidden="1" x14ac:dyDescent="0.25">
      <c r="A413" t="s">
        <v>975</v>
      </c>
      <c r="B413" t="s">
        <v>73</v>
      </c>
      <c r="C413" t="s">
        <v>610</v>
      </c>
      <c r="D413" t="s">
        <v>282</v>
      </c>
      <c r="E413" t="s">
        <v>129</v>
      </c>
      <c r="F413" t="str">
        <f t="shared" si="61"/>
        <v>Uganda:Male Sterilization</v>
      </c>
      <c r="G413" s="611" t="e">
        <f t="shared" si="63"/>
        <v>#N/A</v>
      </c>
      <c r="H413" s="235" t="e">
        <f>NA()</f>
        <v>#N/A</v>
      </c>
      <c r="I413" s="235" t="e">
        <f>NA()</f>
        <v>#N/A</v>
      </c>
      <c r="J413" s="235" t="e">
        <f>NA()</f>
        <v>#N/A</v>
      </c>
      <c r="K413" s="235" t="e">
        <f>NA()</f>
        <v>#N/A</v>
      </c>
      <c r="L413" s="235" t="e">
        <f>NA()</f>
        <v>#N/A</v>
      </c>
      <c r="M413" s="235" t="e">
        <f>NA()</f>
        <v>#N/A</v>
      </c>
      <c r="N413" s="235" t="e">
        <f>NA()</f>
        <v>#N/A</v>
      </c>
      <c r="O413" s="818"/>
      <c r="P413" s="818"/>
      <c r="Q413" s="23" t="str">
        <f t="shared" si="64"/>
        <v>Sample Too Small</v>
      </c>
      <c r="R413">
        <v>8</v>
      </c>
    </row>
    <row r="414" spans="1:18" hidden="1" x14ac:dyDescent="0.25">
      <c r="A414" t="s">
        <v>975</v>
      </c>
      <c r="B414" t="s">
        <v>73</v>
      </c>
      <c r="C414" t="s">
        <v>610</v>
      </c>
      <c r="D414" t="s">
        <v>282</v>
      </c>
      <c r="E414" t="s">
        <v>110</v>
      </c>
      <c r="F414" t="str">
        <f t="shared" si="61"/>
        <v>Uganda:OC Pills</v>
      </c>
      <c r="G414" s="611">
        <f t="shared" si="63"/>
        <v>0.23700000000000002</v>
      </c>
      <c r="H414" s="235">
        <v>0.22800000000000001</v>
      </c>
      <c r="I414" s="235">
        <v>8.9999999999999993E-3</v>
      </c>
      <c r="J414" s="610" t="e">
        <f>NA()</f>
        <v>#N/A</v>
      </c>
      <c r="K414" s="235">
        <v>0.51300000000000001</v>
      </c>
      <c r="L414" s="235">
        <v>0.247</v>
      </c>
      <c r="M414" s="235">
        <v>3.0000000000000001E-3</v>
      </c>
      <c r="N414" s="235">
        <v>0</v>
      </c>
      <c r="O414" s="818"/>
      <c r="P414" s="818"/>
      <c r="Q414" s="23" t="str">
        <f t="shared" si="64"/>
        <v>Sample Too Small</v>
      </c>
      <c r="R414">
        <v>256</v>
      </c>
    </row>
    <row r="415" spans="1:18" hidden="1" x14ac:dyDescent="0.25">
      <c r="A415" t="s">
        <v>975</v>
      </c>
      <c r="B415" t="s">
        <v>73</v>
      </c>
      <c r="C415" t="s">
        <v>610</v>
      </c>
      <c r="D415" t="s">
        <v>282</v>
      </c>
      <c r="E415" t="s">
        <v>967</v>
      </c>
      <c r="F415" t="str">
        <f t="shared" si="61"/>
        <v>Uganda:standard days method (sdm)</v>
      </c>
      <c r="G415" s="611">
        <f t="shared" si="63"/>
        <v>0.22800000000000001</v>
      </c>
      <c r="H415" s="235">
        <v>0.16</v>
      </c>
      <c r="I415" s="235">
        <v>6.8000000000000005E-2</v>
      </c>
      <c r="J415" s="610" t="e">
        <f>NA()</f>
        <v>#N/A</v>
      </c>
      <c r="K415" s="235">
        <v>0.27800000000000002</v>
      </c>
      <c r="L415" s="235">
        <v>3.7999999999999999E-2</v>
      </c>
      <c r="M415" s="235">
        <v>0.186</v>
      </c>
      <c r="N415" s="235">
        <v>0.27</v>
      </c>
      <c r="O415" s="818"/>
      <c r="P415" s="818"/>
      <c r="Q415" s="23" t="str">
        <f t="shared" si="64"/>
        <v>Sample Too Small</v>
      </c>
      <c r="R415">
        <v>48</v>
      </c>
    </row>
    <row r="416" spans="1:18" hidden="1" x14ac:dyDescent="0.25">
      <c r="A416" t="s">
        <v>907</v>
      </c>
      <c r="B416" t="s">
        <v>75</v>
      </c>
      <c r="C416" t="s">
        <v>609</v>
      </c>
      <c r="D416" t="s">
        <v>282</v>
      </c>
      <c r="E416" t="s">
        <v>128</v>
      </c>
      <c r="F416" t="str">
        <f t="shared" si="61"/>
        <v>Viet Nam:Female Sterilization</v>
      </c>
      <c r="G416" s="611">
        <f t="shared" si="63"/>
        <v>1</v>
      </c>
      <c r="H416" s="23">
        <v>0.89</v>
      </c>
      <c r="I416" s="23">
        <v>0.11</v>
      </c>
      <c r="J416" s="23">
        <v>0</v>
      </c>
      <c r="K416" s="23">
        <v>0</v>
      </c>
      <c r="L416" s="23">
        <v>0</v>
      </c>
      <c r="M416" s="23">
        <v>0</v>
      </c>
      <c r="N416" s="23">
        <v>0</v>
      </c>
      <c r="O416" s="818">
        <v>0</v>
      </c>
      <c r="P416" s="818">
        <v>0</v>
      </c>
      <c r="Q416" s="23">
        <f t="shared" si="64"/>
        <v>1</v>
      </c>
      <c r="R416">
        <v>332</v>
      </c>
    </row>
    <row r="417" spans="1:29" hidden="1" x14ac:dyDescent="0.25">
      <c r="A417" t="s">
        <v>907</v>
      </c>
      <c r="B417" t="s">
        <v>75</v>
      </c>
      <c r="C417" t="s">
        <v>609</v>
      </c>
      <c r="D417" t="s">
        <v>282</v>
      </c>
      <c r="E417" t="s">
        <v>3</v>
      </c>
      <c r="F417" t="str">
        <f t="shared" si="61"/>
        <v>Viet Nam:Implant</v>
      </c>
      <c r="G417" s="611" t="e">
        <f t="shared" si="63"/>
        <v>#N/A</v>
      </c>
      <c r="H417" t="e">
        <f>NA()</f>
        <v>#N/A</v>
      </c>
      <c r="I417" t="e">
        <f>NA()</f>
        <v>#N/A</v>
      </c>
      <c r="J417" t="e">
        <f>NA()</f>
        <v>#N/A</v>
      </c>
      <c r="K417" t="e">
        <f>NA()</f>
        <v>#N/A</v>
      </c>
      <c r="L417" t="e">
        <f>NA()</f>
        <v>#N/A</v>
      </c>
      <c r="M417" t="e">
        <f>NA()</f>
        <v>#N/A</v>
      </c>
      <c r="N417" t="e">
        <f>NA()</f>
        <v>#N/A</v>
      </c>
      <c r="O417" s="818" t="e">
        <f>NA()</f>
        <v>#N/A</v>
      </c>
      <c r="P417" s="818" t="e">
        <f>NA()</f>
        <v>#N/A</v>
      </c>
      <c r="Q417" t="str">
        <f t="shared" si="64"/>
        <v>Sample Too Small</v>
      </c>
      <c r="R417" s="10">
        <v>0</v>
      </c>
    </row>
    <row r="418" spans="1:29" hidden="1" x14ac:dyDescent="0.25">
      <c r="A418" t="s">
        <v>907</v>
      </c>
      <c r="B418" t="s">
        <v>75</v>
      </c>
      <c r="C418" t="s">
        <v>609</v>
      </c>
      <c r="D418" t="s">
        <v>282</v>
      </c>
      <c r="E418" t="s">
        <v>2</v>
      </c>
      <c r="F418" t="str">
        <f t="shared" si="61"/>
        <v>Viet Nam:Injectable</v>
      </c>
      <c r="G418" s="611" t="e">
        <f t="shared" si="63"/>
        <v>#N/A</v>
      </c>
      <c r="H418" t="e">
        <f>NA()</f>
        <v>#N/A</v>
      </c>
      <c r="I418" t="e">
        <f>NA()</f>
        <v>#N/A</v>
      </c>
      <c r="J418" t="e">
        <f>NA()</f>
        <v>#N/A</v>
      </c>
      <c r="K418" t="e">
        <f>NA()</f>
        <v>#N/A</v>
      </c>
      <c r="L418" t="e">
        <f>NA()</f>
        <v>#N/A</v>
      </c>
      <c r="M418" t="e">
        <f>NA()</f>
        <v>#N/A</v>
      </c>
      <c r="N418" t="e">
        <f>NA()</f>
        <v>#N/A</v>
      </c>
      <c r="O418" s="818" t="e">
        <f>NA()</f>
        <v>#N/A</v>
      </c>
      <c r="P418" s="818" t="e">
        <f>NA()</f>
        <v>#N/A</v>
      </c>
      <c r="Q418" t="str">
        <f t="shared" si="64"/>
        <v>Sample Too Small</v>
      </c>
      <c r="R418" s="10">
        <v>22</v>
      </c>
    </row>
    <row r="419" spans="1:29" hidden="1" x14ac:dyDescent="0.25">
      <c r="A419" t="s">
        <v>907</v>
      </c>
      <c r="B419" t="s">
        <v>75</v>
      </c>
      <c r="C419" t="s">
        <v>609</v>
      </c>
      <c r="D419" t="s">
        <v>282</v>
      </c>
      <c r="E419" t="s">
        <v>5</v>
      </c>
      <c r="F419" t="str">
        <f t="shared" ref="F419:F458" si="65">B419&amp;":"&amp;E419</f>
        <v>Viet Nam:IUD</v>
      </c>
      <c r="G419" s="611">
        <f t="shared" si="63"/>
        <v>0.92</v>
      </c>
      <c r="H419" s="23">
        <v>0.81</v>
      </c>
      <c r="I419" s="23">
        <v>0.11</v>
      </c>
      <c r="J419" s="23">
        <v>0</v>
      </c>
      <c r="K419" s="23">
        <v>0.06</v>
      </c>
      <c r="L419" s="23">
        <v>0</v>
      </c>
      <c r="M419" s="23">
        <v>0</v>
      </c>
      <c r="N419" s="23">
        <v>0.01</v>
      </c>
      <c r="O419" s="818">
        <v>0</v>
      </c>
      <c r="P419" s="818">
        <v>0</v>
      </c>
      <c r="Q419" s="23">
        <f t="shared" si="64"/>
        <v>0.99</v>
      </c>
      <c r="R419" s="2">
        <v>1982</v>
      </c>
    </row>
    <row r="420" spans="1:29" hidden="1" x14ac:dyDescent="0.25">
      <c r="A420" t="s">
        <v>907</v>
      </c>
      <c r="B420" t="s">
        <v>75</v>
      </c>
      <c r="C420" t="s">
        <v>609</v>
      </c>
      <c r="D420" t="s">
        <v>282</v>
      </c>
      <c r="E420" t="s">
        <v>103</v>
      </c>
      <c r="F420" t="str">
        <f t="shared" si="65"/>
        <v>Viet Nam:Male Condom</v>
      </c>
      <c r="G420" s="611">
        <f t="shared" si="63"/>
        <v>0.38</v>
      </c>
      <c r="H420" s="23">
        <v>0.2</v>
      </c>
      <c r="I420" s="23">
        <v>0.18</v>
      </c>
      <c r="J420" s="23">
        <v>0</v>
      </c>
      <c r="K420" s="23">
        <v>0.04</v>
      </c>
      <c r="L420" s="23">
        <v>0.53</v>
      </c>
      <c r="M420" s="23">
        <v>0.01</v>
      </c>
      <c r="N420" s="23">
        <v>0.03</v>
      </c>
      <c r="O420" s="818">
        <v>0</v>
      </c>
      <c r="P420" s="818">
        <v>0</v>
      </c>
      <c r="Q420" s="23">
        <f t="shared" si="64"/>
        <v>0.99</v>
      </c>
      <c r="R420">
        <v>327</v>
      </c>
    </row>
    <row r="421" spans="1:29" hidden="1" x14ac:dyDescent="0.25">
      <c r="A421" t="s">
        <v>907</v>
      </c>
      <c r="B421" t="s">
        <v>75</v>
      </c>
      <c r="C421" t="s">
        <v>609</v>
      </c>
      <c r="D421" t="s">
        <v>282</v>
      </c>
      <c r="E421" t="s">
        <v>129</v>
      </c>
      <c r="F421" t="str">
        <f t="shared" si="65"/>
        <v>Viet Nam:Male Sterilization</v>
      </c>
      <c r="G421" s="611">
        <f t="shared" si="63"/>
        <v>1</v>
      </c>
      <c r="H421" s="23">
        <v>0.62</v>
      </c>
      <c r="I421" s="23">
        <v>0.38</v>
      </c>
      <c r="J421" s="23">
        <v>0</v>
      </c>
      <c r="K421" s="23">
        <v>0</v>
      </c>
      <c r="L421" s="23">
        <v>0</v>
      </c>
      <c r="M421" s="23">
        <v>0</v>
      </c>
      <c r="N421" s="23">
        <v>0</v>
      </c>
      <c r="O421" s="818">
        <v>0</v>
      </c>
      <c r="P421" s="818">
        <v>0</v>
      </c>
      <c r="Q421" s="23">
        <f t="shared" si="64"/>
        <v>1</v>
      </c>
      <c r="R421">
        <v>28</v>
      </c>
    </row>
    <row r="422" spans="1:29" hidden="1" x14ac:dyDescent="0.25">
      <c r="A422" s="119" t="s">
        <v>907</v>
      </c>
      <c r="B422" t="s">
        <v>75</v>
      </c>
      <c r="C422" t="s">
        <v>609</v>
      </c>
      <c r="D422" t="s">
        <v>282</v>
      </c>
      <c r="E422" t="s">
        <v>110</v>
      </c>
      <c r="F422" t="str">
        <f t="shared" si="65"/>
        <v>Viet Nam:OC Pills</v>
      </c>
      <c r="G422" s="611">
        <f t="shared" si="63"/>
        <v>0.63</v>
      </c>
      <c r="H422" s="502">
        <v>0.3</v>
      </c>
      <c r="I422" s="502">
        <v>0.33</v>
      </c>
      <c r="J422" s="502">
        <v>0</v>
      </c>
      <c r="K422" s="502">
        <v>0.03</v>
      </c>
      <c r="L422" s="502">
        <v>0.3</v>
      </c>
      <c r="M422" s="502">
        <v>0</v>
      </c>
      <c r="N422" s="502">
        <v>0.04</v>
      </c>
      <c r="O422" s="818">
        <v>0</v>
      </c>
      <c r="P422" s="818">
        <v>0</v>
      </c>
      <c r="Q422" s="23">
        <f t="shared" si="64"/>
        <v>1</v>
      </c>
      <c r="R422" s="119">
        <v>350</v>
      </c>
    </row>
    <row r="423" spans="1:29" hidden="1" x14ac:dyDescent="0.25">
      <c r="A423" t="s">
        <v>907</v>
      </c>
      <c r="B423" t="s">
        <v>75</v>
      </c>
      <c r="C423" t="s">
        <v>609</v>
      </c>
      <c r="D423" t="s">
        <v>282</v>
      </c>
      <c r="E423" t="s">
        <v>130</v>
      </c>
      <c r="F423" t="str">
        <f t="shared" si="65"/>
        <v>Viet Nam:Other Modern Methods</v>
      </c>
      <c r="G423" s="611" t="e">
        <f t="shared" si="63"/>
        <v>#N/A</v>
      </c>
      <c r="H423" t="e">
        <f>NA()</f>
        <v>#N/A</v>
      </c>
      <c r="I423" t="e">
        <f>NA()</f>
        <v>#N/A</v>
      </c>
      <c r="J423" t="e">
        <f>NA()</f>
        <v>#N/A</v>
      </c>
      <c r="K423" t="e">
        <f>NA()</f>
        <v>#N/A</v>
      </c>
      <c r="L423" t="e">
        <f>NA()</f>
        <v>#N/A</v>
      </c>
      <c r="M423" t="e">
        <f>NA()</f>
        <v>#N/A</v>
      </c>
      <c r="N423" t="e">
        <f>NA()</f>
        <v>#N/A</v>
      </c>
      <c r="O423" s="818" t="e">
        <f>NA()</f>
        <v>#N/A</v>
      </c>
      <c r="P423" s="818" t="e">
        <f>NA()</f>
        <v>#N/A</v>
      </c>
      <c r="Q423" t="str">
        <f t="shared" si="64"/>
        <v>Sample Too Small</v>
      </c>
      <c r="R423" s="10">
        <v>0</v>
      </c>
    </row>
    <row r="424" spans="1:29" hidden="1" x14ac:dyDescent="0.25">
      <c r="A424" t="s">
        <v>908</v>
      </c>
      <c r="B424" t="s">
        <v>77</v>
      </c>
      <c r="C424" t="s">
        <v>605</v>
      </c>
      <c r="D424" t="s">
        <v>879</v>
      </c>
      <c r="E424" t="s">
        <v>128</v>
      </c>
      <c r="F424" t="str">
        <f t="shared" si="65"/>
        <v>Yemen:Female Sterilization</v>
      </c>
      <c r="G424" s="611">
        <f t="shared" si="63"/>
        <v>0.65957446808510645</v>
      </c>
      <c r="H424" s="23">
        <v>0.65957446808510645</v>
      </c>
      <c r="I424" s="23">
        <v>0</v>
      </c>
      <c r="J424" s="23">
        <v>0</v>
      </c>
      <c r="K424" s="23">
        <v>0.32978723404255322</v>
      </c>
      <c r="L424" s="23">
        <v>0</v>
      </c>
      <c r="M424" s="23">
        <v>0</v>
      </c>
      <c r="N424" s="23">
        <v>1.0638297872340427E-2</v>
      </c>
      <c r="O424" s="818">
        <v>0</v>
      </c>
      <c r="P424" s="818">
        <v>0.06</v>
      </c>
      <c r="Q424" s="23">
        <f t="shared" si="64"/>
        <v>1.0600000000000003</v>
      </c>
      <c r="R424">
        <v>336</v>
      </c>
    </row>
    <row r="425" spans="1:29" hidden="1" x14ac:dyDescent="0.25">
      <c r="A425" t="s">
        <v>908</v>
      </c>
      <c r="B425" t="s">
        <v>77</v>
      </c>
      <c r="C425" t="s">
        <v>605</v>
      </c>
      <c r="D425" t="s">
        <v>879</v>
      </c>
      <c r="E425" t="s">
        <v>3</v>
      </c>
      <c r="F425" t="str">
        <f t="shared" si="65"/>
        <v>Yemen:Implant</v>
      </c>
      <c r="G425" s="611">
        <f t="shared" si="63"/>
        <v>0.81</v>
      </c>
      <c r="H425" s="23">
        <v>0.81</v>
      </c>
      <c r="I425" s="23">
        <v>0</v>
      </c>
      <c r="J425" s="23">
        <v>0.04</v>
      </c>
      <c r="K425" s="23">
        <v>0.15</v>
      </c>
      <c r="L425" s="23">
        <v>0</v>
      </c>
      <c r="M425" s="23">
        <v>0</v>
      </c>
      <c r="N425" s="23">
        <v>0</v>
      </c>
      <c r="O425" s="818">
        <v>0</v>
      </c>
      <c r="P425" s="818">
        <v>0</v>
      </c>
      <c r="Q425" s="23">
        <f t="shared" si="64"/>
        <v>1</v>
      </c>
      <c r="R425">
        <v>97</v>
      </c>
    </row>
    <row r="426" spans="1:29" hidden="1" x14ac:dyDescent="0.25">
      <c r="A426" t="s">
        <v>908</v>
      </c>
      <c r="B426" t="s">
        <v>77</v>
      </c>
      <c r="C426" t="s">
        <v>605</v>
      </c>
      <c r="D426" t="s">
        <v>879</v>
      </c>
      <c r="E426" t="s">
        <v>2</v>
      </c>
      <c r="F426" t="str">
        <f t="shared" si="65"/>
        <v>Yemen:Injectable</v>
      </c>
      <c r="G426" s="611">
        <f t="shared" si="63"/>
        <v>0.56999999999999995</v>
      </c>
      <c r="H426" s="23">
        <v>0.56999999999999995</v>
      </c>
      <c r="I426" s="23">
        <v>0</v>
      </c>
      <c r="J426" s="23">
        <v>0.01</v>
      </c>
      <c r="K426" s="23">
        <v>0.15</v>
      </c>
      <c r="L426" s="23">
        <v>0.27</v>
      </c>
      <c r="M426" s="23">
        <v>0</v>
      </c>
      <c r="N426" s="23">
        <v>0</v>
      </c>
      <c r="O426" s="818">
        <v>0</v>
      </c>
      <c r="P426" s="818">
        <v>0</v>
      </c>
      <c r="Q426" s="23">
        <f t="shared" si="64"/>
        <v>1</v>
      </c>
      <c r="R426">
        <v>675</v>
      </c>
    </row>
    <row r="427" spans="1:29" hidden="1" x14ac:dyDescent="0.25">
      <c r="A427" t="s">
        <v>908</v>
      </c>
      <c r="B427" t="s">
        <v>77</v>
      </c>
      <c r="C427" t="s">
        <v>605</v>
      </c>
      <c r="D427" t="s">
        <v>879</v>
      </c>
      <c r="E427" t="s">
        <v>5</v>
      </c>
      <c r="F427" t="str">
        <f t="shared" si="65"/>
        <v>Yemen:IUD</v>
      </c>
      <c r="G427" s="611">
        <f>SUM(H427:I427)</f>
        <v>0.54</v>
      </c>
      <c r="H427" s="23">
        <v>0.54</v>
      </c>
      <c r="I427" s="23">
        <v>0</v>
      </c>
      <c r="J427" s="23">
        <v>0.03</v>
      </c>
      <c r="K427" s="23">
        <v>0.43</v>
      </c>
      <c r="L427" s="23">
        <v>0.01</v>
      </c>
      <c r="M427" s="23">
        <v>0</v>
      </c>
      <c r="N427" s="23">
        <v>0</v>
      </c>
      <c r="O427" s="818">
        <v>0</v>
      </c>
      <c r="P427" s="818">
        <v>0</v>
      </c>
      <c r="Q427" s="23">
        <f t="shared" si="64"/>
        <v>1.01</v>
      </c>
      <c r="R427">
        <v>839</v>
      </c>
    </row>
    <row r="428" spans="1:29" hidden="1" x14ac:dyDescent="0.25">
      <c r="A428" t="s">
        <v>908</v>
      </c>
      <c r="B428" t="s">
        <v>77</v>
      </c>
      <c r="C428" t="s">
        <v>605</v>
      </c>
      <c r="D428" t="s">
        <v>879</v>
      </c>
      <c r="E428" t="s">
        <v>103</v>
      </c>
      <c r="F428" t="str">
        <f t="shared" si="65"/>
        <v>Yemen:Male Condom</v>
      </c>
      <c r="G428" s="611">
        <f>SUM(H428:I428)</f>
        <v>0.3</v>
      </c>
      <c r="H428" s="23">
        <v>0.3</v>
      </c>
      <c r="I428" s="23">
        <v>0</v>
      </c>
      <c r="J428" s="23">
        <v>0</v>
      </c>
      <c r="K428" s="23">
        <v>0.02</v>
      </c>
      <c r="L428" s="23">
        <v>0.66</v>
      </c>
      <c r="M428" s="23">
        <v>0</v>
      </c>
      <c r="N428" s="23">
        <v>0.02</v>
      </c>
      <c r="O428" s="818">
        <v>0</v>
      </c>
      <c r="P428" s="818">
        <v>0</v>
      </c>
      <c r="Q428" s="23">
        <f t="shared" si="64"/>
        <v>1</v>
      </c>
      <c r="R428">
        <v>84</v>
      </c>
    </row>
    <row r="429" spans="1:29" hidden="1" x14ac:dyDescent="0.25">
      <c r="A429" t="s">
        <v>908</v>
      </c>
      <c r="B429" t="s">
        <v>77</v>
      </c>
      <c r="C429" t="s">
        <v>605</v>
      </c>
      <c r="D429" t="s">
        <v>879</v>
      </c>
      <c r="E429" t="s">
        <v>129</v>
      </c>
      <c r="F429" t="str">
        <f t="shared" si="65"/>
        <v>Yemen:Male Sterilization</v>
      </c>
      <c r="G429" s="611" t="e">
        <f>SUM(H429:I429)</f>
        <v>#N/A</v>
      </c>
      <c r="H429" t="e">
        <f>NA()</f>
        <v>#N/A</v>
      </c>
      <c r="I429" t="e">
        <f>NA()</f>
        <v>#N/A</v>
      </c>
      <c r="J429" t="e">
        <f>NA()</f>
        <v>#N/A</v>
      </c>
      <c r="K429" t="e">
        <f>NA()</f>
        <v>#N/A</v>
      </c>
      <c r="L429" t="e">
        <f>NA()</f>
        <v>#N/A</v>
      </c>
      <c r="M429" t="e">
        <f>NA()</f>
        <v>#N/A</v>
      </c>
      <c r="N429" t="e">
        <f>NA()</f>
        <v>#N/A</v>
      </c>
      <c r="O429" s="818" t="e">
        <f>NA()</f>
        <v>#N/A</v>
      </c>
      <c r="P429" s="818" t="e">
        <f>NA()</f>
        <v>#N/A</v>
      </c>
      <c r="Q429" t="str">
        <f t="shared" si="64"/>
        <v>Sample Too Small</v>
      </c>
      <c r="R429" s="10">
        <v>6</v>
      </c>
    </row>
    <row r="430" spans="1:29" hidden="1" x14ac:dyDescent="0.25">
      <c r="A430" s="119" t="s">
        <v>908</v>
      </c>
      <c r="B430" t="s">
        <v>77</v>
      </c>
      <c r="C430" t="s">
        <v>605</v>
      </c>
      <c r="D430" t="s">
        <v>879</v>
      </c>
      <c r="E430" t="s">
        <v>110</v>
      </c>
      <c r="F430" t="str">
        <f t="shared" si="65"/>
        <v>Yemen:OC Pills</v>
      </c>
      <c r="G430" s="611">
        <f>SUM(H430:I430)</f>
        <v>0.49</v>
      </c>
      <c r="H430" s="502">
        <v>0.49</v>
      </c>
      <c r="I430" s="502">
        <v>0</v>
      </c>
      <c r="J430" s="502">
        <v>0</v>
      </c>
      <c r="K430" s="502">
        <v>0.09</v>
      </c>
      <c r="L430" s="502">
        <v>0.4</v>
      </c>
      <c r="M430" s="502">
        <v>0</v>
      </c>
      <c r="N430" s="502">
        <v>0.01</v>
      </c>
      <c r="O430" s="818">
        <v>0</v>
      </c>
      <c r="P430" s="818">
        <v>0</v>
      </c>
      <c r="Q430" s="23">
        <f t="shared" si="64"/>
        <v>0.99</v>
      </c>
      <c r="R430" s="501">
        <v>1754</v>
      </c>
    </row>
    <row r="431" spans="1:29" hidden="1" x14ac:dyDescent="0.25">
      <c r="A431" t="s">
        <v>908</v>
      </c>
      <c r="B431" t="s">
        <v>77</v>
      </c>
      <c r="C431" t="s">
        <v>605</v>
      </c>
      <c r="D431" t="s">
        <v>879</v>
      </c>
      <c r="E431" t="s">
        <v>130</v>
      </c>
      <c r="F431" t="str">
        <f t="shared" si="65"/>
        <v>Yemen:Other Modern Methods</v>
      </c>
      <c r="G431" s="611" t="e">
        <f>SUM(H431:I431)</f>
        <v>#N/A</v>
      </c>
      <c r="H431" t="e">
        <f>NA()</f>
        <v>#N/A</v>
      </c>
      <c r="I431" t="e">
        <f>NA()</f>
        <v>#N/A</v>
      </c>
      <c r="J431" t="e">
        <f>NA()</f>
        <v>#N/A</v>
      </c>
      <c r="K431" t="e">
        <f>NA()</f>
        <v>#N/A</v>
      </c>
      <c r="L431" t="e">
        <f>NA()</f>
        <v>#N/A</v>
      </c>
      <c r="M431" t="e">
        <f>NA()</f>
        <v>#N/A</v>
      </c>
      <c r="N431" t="e">
        <f>NA()</f>
        <v>#N/A</v>
      </c>
      <c r="O431" s="818" t="e">
        <f>NA()</f>
        <v>#N/A</v>
      </c>
      <c r="P431" s="818" t="e">
        <f>NA()</f>
        <v>#N/A</v>
      </c>
      <c r="Q431" s="23" t="str">
        <f t="shared" ref="Q431:Q443" si="66">IFERROR(SUM(H431:P431), "Sample Too Small")</f>
        <v>Sample Too Small</v>
      </c>
      <c r="R431" s="10">
        <v>9</v>
      </c>
    </row>
    <row r="432" spans="1:29" ht="14.25" hidden="1" customHeight="1" x14ac:dyDescent="0.25">
      <c r="A432" t="s">
        <v>1161</v>
      </c>
      <c r="B432" t="s">
        <v>78</v>
      </c>
      <c r="C432" t="s">
        <v>1146</v>
      </c>
      <c r="D432" t="s">
        <v>282</v>
      </c>
      <c r="E432" t="s">
        <v>108</v>
      </c>
      <c r="F432" t="str">
        <f t="shared" ref="F432:F442" si="67">B432&amp;":"&amp;E432</f>
        <v>Zambia:EC</v>
      </c>
      <c r="G432" s="611" t="e">
        <f t="shared" ref="G432:G442" si="68">SUM(H432:I432)</f>
        <v>#N/A</v>
      </c>
      <c r="H432" s="815" t="e">
        <f>NA()</f>
        <v>#N/A</v>
      </c>
      <c r="I432" s="815" t="e">
        <f>NA()</f>
        <v>#N/A</v>
      </c>
      <c r="J432" s="815" t="e">
        <f>NA()</f>
        <v>#N/A</v>
      </c>
      <c r="K432" s="815" t="e">
        <f>NA()</f>
        <v>#N/A</v>
      </c>
      <c r="L432" s="815" t="e">
        <f>NA()</f>
        <v>#N/A</v>
      </c>
      <c r="M432" s="815" t="e">
        <f>NA()</f>
        <v>#N/A</v>
      </c>
      <c r="N432" s="815" t="e">
        <f>NA()</f>
        <v>#N/A</v>
      </c>
      <c r="O432" s="815" t="e">
        <f>NA()</f>
        <v>#N/A</v>
      </c>
      <c r="P432" s="815" t="e">
        <f>NA()</f>
        <v>#N/A</v>
      </c>
      <c r="Q432" s="23" t="str">
        <f t="shared" si="66"/>
        <v>Sample Too Small</v>
      </c>
      <c r="R432">
        <v>5</v>
      </c>
      <c r="S432" t="str">
        <f t="shared" ref="S432:S442" si="69">IF(R432&lt;25, "Sample too small", "")</f>
        <v>Sample too small</v>
      </c>
      <c r="AC432" s="710">
        <f t="shared" ref="AC432:AC440" si="70">SUM(U432:AA432)</f>
        <v>0</v>
      </c>
    </row>
    <row r="433" spans="1:29" hidden="1" x14ac:dyDescent="0.25">
      <c r="A433" t="s">
        <v>1161</v>
      </c>
      <c r="B433" t="s">
        <v>78</v>
      </c>
      <c r="C433" t="s">
        <v>1146</v>
      </c>
      <c r="D433" t="s">
        <v>282</v>
      </c>
      <c r="E433" t="s">
        <v>1020</v>
      </c>
      <c r="F433" t="str">
        <f t="shared" si="67"/>
        <v>Zambia:Female Condom</v>
      </c>
      <c r="G433" s="611" t="e">
        <f t="shared" si="68"/>
        <v>#N/A</v>
      </c>
      <c r="H433" s="815" t="e">
        <f>NA()</f>
        <v>#N/A</v>
      </c>
      <c r="I433" s="815" t="e">
        <f>NA()</f>
        <v>#N/A</v>
      </c>
      <c r="J433" s="815" t="e">
        <f>NA()</f>
        <v>#N/A</v>
      </c>
      <c r="K433" s="815" t="e">
        <f>NA()</f>
        <v>#N/A</v>
      </c>
      <c r="L433" s="815" t="e">
        <f>NA()</f>
        <v>#N/A</v>
      </c>
      <c r="M433" s="815" t="e">
        <f>NA()</f>
        <v>#N/A</v>
      </c>
      <c r="N433" s="815" t="e">
        <f>NA()</f>
        <v>#N/A</v>
      </c>
      <c r="O433" s="815" t="e">
        <f>NA()</f>
        <v>#N/A</v>
      </c>
      <c r="P433" s="815" t="e">
        <f>NA()</f>
        <v>#N/A</v>
      </c>
      <c r="Q433" s="23" t="str">
        <f t="shared" si="66"/>
        <v>Sample Too Small</v>
      </c>
      <c r="R433">
        <v>1</v>
      </c>
      <c r="S433" t="str">
        <f t="shared" si="69"/>
        <v>Sample too small</v>
      </c>
      <c r="AC433" s="710">
        <f t="shared" si="70"/>
        <v>0</v>
      </c>
    </row>
    <row r="434" spans="1:29" hidden="1" x14ac:dyDescent="0.25">
      <c r="A434" t="s">
        <v>1161</v>
      </c>
      <c r="B434" t="s">
        <v>78</v>
      </c>
      <c r="C434" t="s">
        <v>1146</v>
      </c>
      <c r="D434" t="s">
        <v>282</v>
      </c>
      <c r="E434" t="s">
        <v>128</v>
      </c>
      <c r="F434" t="str">
        <f t="shared" si="67"/>
        <v>Zambia:Female Sterilization</v>
      </c>
      <c r="G434" s="611">
        <f t="shared" si="68"/>
        <v>0.64300000000000002</v>
      </c>
      <c r="H434" s="610">
        <v>0.63600000000000001</v>
      </c>
      <c r="I434" s="610">
        <v>7.0000000000000001E-3</v>
      </c>
      <c r="J434" s="23">
        <v>0</v>
      </c>
      <c r="K434" s="610">
        <v>0.34799999999999998</v>
      </c>
      <c r="L434" s="610">
        <v>0</v>
      </c>
      <c r="M434" s="610">
        <v>0</v>
      </c>
      <c r="N434" s="610">
        <v>8.9999999999999993E-3</v>
      </c>
      <c r="O434" s="815">
        <v>0</v>
      </c>
      <c r="P434" s="815">
        <v>0</v>
      </c>
      <c r="Q434" s="23">
        <f t="shared" si="66"/>
        <v>1</v>
      </c>
      <c r="R434">
        <v>137</v>
      </c>
      <c r="S434" t="str">
        <f t="shared" si="69"/>
        <v/>
      </c>
      <c r="U434" s="822">
        <f t="shared" ref="U434:AA438" si="71">H434/SUM($H434:$N434)</f>
        <v>0.63600000000000001</v>
      </c>
      <c r="V434" s="822">
        <f t="shared" si="71"/>
        <v>7.0000000000000001E-3</v>
      </c>
      <c r="W434" s="822">
        <f t="shared" si="71"/>
        <v>0</v>
      </c>
      <c r="X434" s="822">
        <f t="shared" si="71"/>
        <v>0.34799999999999998</v>
      </c>
      <c r="Y434" s="822">
        <f t="shared" si="71"/>
        <v>0</v>
      </c>
      <c r="Z434" s="822">
        <f t="shared" si="71"/>
        <v>0</v>
      </c>
      <c r="AA434" s="822">
        <f t="shared" si="71"/>
        <v>8.9999999999999993E-3</v>
      </c>
      <c r="AC434" s="710">
        <f t="shared" si="70"/>
        <v>1</v>
      </c>
    </row>
    <row r="435" spans="1:29" hidden="1" x14ac:dyDescent="0.25">
      <c r="A435" t="s">
        <v>1161</v>
      </c>
      <c r="B435" t="s">
        <v>78</v>
      </c>
      <c r="C435" t="s">
        <v>1146</v>
      </c>
      <c r="D435" t="s">
        <v>282</v>
      </c>
      <c r="E435" t="s">
        <v>3</v>
      </c>
      <c r="F435" t="str">
        <f t="shared" si="67"/>
        <v>Zambia:Implant</v>
      </c>
      <c r="G435" s="611">
        <f t="shared" si="68"/>
        <v>0.95699999999999996</v>
      </c>
      <c r="H435" s="610">
        <v>0.95599999999999996</v>
      </c>
      <c r="I435" s="610">
        <v>1E-3</v>
      </c>
      <c r="J435" s="23">
        <v>0</v>
      </c>
      <c r="K435" s="610">
        <v>4.2999999999999997E-2</v>
      </c>
      <c r="L435" s="610">
        <v>0</v>
      </c>
      <c r="M435" s="610">
        <v>0</v>
      </c>
      <c r="N435" s="610">
        <v>0</v>
      </c>
      <c r="O435" s="815">
        <v>0</v>
      </c>
      <c r="P435" s="815">
        <v>0</v>
      </c>
      <c r="Q435" s="23">
        <f t="shared" si="66"/>
        <v>1</v>
      </c>
      <c r="R435">
        <v>810</v>
      </c>
      <c r="S435" t="str">
        <f t="shared" si="69"/>
        <v/>
      </c>
      <c r="U435" s="822">
        <f t="shared" si="71"/>
        <v>0.95599999999999996</v>
      </c>
      <c r="V435" s="822">
        <f t="shared" si="71"/>
        <v>1E-3</v>
      </c>
      <c r="W435" s="822">
        <f t="shared" si="71"/>
        <v>0</v>
      </c>
      <c r="X435" s="822">
        <f t="shared" si="71"/>
        <v>4.2999999999999997E-2</v>
      </c>
      <c r="Y435" s="822">
        <f t="shared" si="71"/>
        <v>0</v>
      </c>
      <c r="Z435" s="822">
        <f t="shared" si="71"/>
        <v>0</v>
      </c>
      <c r="AA435" s="822">
        <f t="shared" si="71"/>
        <v>0</v>
      </c>
      <c r="AC435" s="710">
        <f t="shared" si="70"/>
        <v>1</v>
      </c>
    </row>
    <row r="436" spans="1:29" hidden="1" x14ac:dyDescent="0.25">
      <c r="A436" t="s">
        <v>1161</v>
      </c>
      <c r="B436" t="s">
        <v>78</v>
      </c>
      <c r="C436" t="s">
        <v>1146</v>
      </c>
      <c r="D436" t="s">
        <v>282</v>
      </c>
      <c r="E436" t="s">
        <v>2</v>
      </c>
      <c r="F436" t="str">
        <f t="shared" si="67"/>
        <v>Zambia:Injectable</v>
      </c>
      <c r="G436" s="611">
        <f t="shared" si="68"/>
        <v>0.95795795795795791</v>
      </c>
      <c r="H436" s="610">
        <v>0.93893893893893887</v>
      </c>
      <c r="I436" s="610">
        <v>1.9019019019019017E-2</v>
      </c>
      <c r="J436" s="23">
        <v>0</v>
      </c>
      <c r="K436" s="610">
        <v>4.2042042042042045E-2</v>
      </c>
      <c r="L436" s="610">
        <v>0</v>
      </c>
      <c r="M436" s="610">
        <v>0</v>
      </c>
      <c r="N436" s="610">
        <v>0</v>
      </c>
      <c r="O436" s="815">
        <v>0</v>
      </c>
      <c r="P436" s="815">
        <v>0</v>
      </c>
      <c r="Q436" s="23">
        <f t="shared" si="66"/>
        <v>1</v>
      </c>
      <c r="R436" s="2">
        <v>2488</v>
      </c>
      <c r="S436" t="str">
        <f t="shared" si="69"/>
        <v/>
      </c>
      <c r="U436" s="822">
        <f t="shared" si="71"/>
        <v>0.93893893893893887</v>
      </c>
      <c r="V436" s="822">
        <f t="shared" si="71"/>
        <v>1.9019019019019017E-2</v>
      </c>
      <c r="W436" s="822">
        <f t="shared" si="71"/>
        <v>0</v>
      </c>
      <c r="X436" s="822">
        <f t="shared" si="71"/>
        <v>4.2042042042042045E-2</v>
      </c>
      <c r="Y436" s="822">
        <f t="shared" si="71"/>
        <v>0</v>
      </c>
      <c r="Z436" s="822">
        <f t="shared" si="71"/>
        <v>0</v>
      </c>
      <c r="AA436" s="822">
        <f t="shared" si="71"/>
        <v>0</v>
      </c>
      <c r="AC436" s="710">
        <f t="shared" si="70"/>
        <v>1</v>
      </c>
    </row>
    <row r="437" spans="1:29" hidden="1" x14ac:dyDescent="0.25">
      <c r="A437" t="s">
        <v>1161</v>
      </c>
      <c r="B437" t="s">
        <v>78</v>
      </c>
      <c r="C437" t="s">
        <v>1146</v>
      </c>
      <c r="D437" t="s">
        <v>282</v>
      </c>
      <c r="E437" t="s">
        <v>5</v>
      </c>
      <c r="F437" t="str">
        <f t="shared" si="67"/>
        <v>Zambia:IUD</v>
      </c>
      <c r="G437" s="611">
        <f t="shared" si="68"/>
        <v>0.96299999999999997</v>
      </c>
      <c r="H437" s="610">
        <v>0.96299999999999997</v>
      </c>
      <c r="I437" s="610">
        <v>0</v>
      </c>
      <c r="J437" s="23">
        <v>0</v>
      </c>
      <c r="K437" s="610">
        <v>3.6999999999999998E-2</v>
      </c>
      <c r="L437" s="610">
        <v>0</v>
      </c>
      <c r="M437" s="610">
        <v>0</v>
      </c>
      <c r="N437" s="610">
        <v>0</v>
      </c>
      <c r="O437" s="815">
        <v>0</v>
      </c>
      <c r="P437" s="815">
        <v>0</v>
      </c>
      <c r="Q437" s="23">
        <f t="shared" si="66"/>
        <v>1</v>
      </c>
      <c r="R437">
        <v>51</v>
      </c>
      <c r="S437" t="str">
        <f t="shared" si="69"/>
        <v/>
      </c>
      <c r="U437" s="822">
        <f t="shared" si="71"/>
        <v>0.96299999999999997</v>
      </c>
      <c r="V437" s="822">
        <f t="shared" si="71"/>
        <v>0</v>
      </c>
      <c r="W437" s="822">
        <f t="shared" si="71"/>
        <v>0</v>
      </c>
      <c r="X437" s="822">
        <f t="shared" si="71"/>
        <v>3.6999999999999998E-2</v>
      </c>
      <c r="Y437" s="822">
        <f t="shared" si="71"/>
        <v>0</v>
      </c>
      <c r="Z437" s="822">
        <f t="shared" si="71"/>
        <v>0</v>
      </c>
      <c r="AA437" s="822">
        <f t="shared" si="71"/>
        <v>0</v>
      </c>
      <c r="AC437" s="710">
        <f t="shared" si="70"/>
        <v>1</v>
      </c>
    </row>
    <row r="438" spans="1:29" hidden="1" x14ac:dyDescent="0.25">
      <c r="A438" t="s">
        <v>1161</v>
      </c>
      <c r="B438" t="s">
        <v>78</v>
      </c>
      <c r="C438" t="s">
        <v>1146</v>
      </c>
      <c r="D438" t="s">
        <v>282</v>
      </c>
      <c r="E438" t="s">
        <v>103</v>
      </c>
      <c r="F438" t="str">
        <f t="shared" si="67"/>
        <v>Zambia:Male Condom</v>
      </c>
      <c r="G438" s="611">
        <f t="shared" si="68"/>
        <v>0.73473473473473472</v>
      </c>
      <c r="H438" s="610">
        <v>0.71671671671671666</v>
      </c>
      <c r="I438" s="610">
        <v>1.8018018018018018E-2</v>
      </c>
      <c r="J438" s="23">
        <v>0</v>
      </c>
      <c r="K438" s="610">
        <v>7.0070070070070069E-3</v>
      </c>
      <c r="L438" s="610">
        <v>0.15115115115115116</v>
      </c>
      <c r="M438" s="610">
        <v>0.10010010010010011</v>
      </c>
      <c r="N438" s="610">
        <v>7.0070070070070069E-3</v>
      </c>
      <c r="O438" s="815">
        <v>0</v>
      </c>
      <c r="P438" s="815">
        <v>0</v>
      </c>
      <c r="Q438" s="23">
        <f t="shared" si="66"/>
        <v>0.99999999999999989</v>
      </c>
      <c r="R438">
        <v>379</v>
      </c>
      <c r="S438" t="str">
        <f t="shared" si="69"/>
        <v/>
      </c>
      <c r="U438" s="822">
        <f t="shared" si="71"/>
        <v>0.71671671671671677</v>
      </c>
      <c r="V438" s="822">
        <f t="shared" si="71"/>
        <v>1.8018018018018021E-2</v>
      </c>
      <c r="W438" s="822">
        <f t="shared" si="71"/>
        <v>0</v>
      </c>
      <c r="X438" s="822">
        <f t="shared" si="71"/>
        <v>7.0070070070070078E-3</v>
      </c>
      <c r="Y438" s="822">
        <f t="shared" si="71"/>
        <v>0.15115115115115119</v>
      </c>
      <c r="Z438" s="822">
        <f t="shared" si="71"/>
        <v>0.10010010010010012</v>
      </c>
      <c r="AA438" s="822">
        <f t="shared" si="71"/>
        <v>7.0070070070070078E-3</v>
      </c>
      <c r="AC438" s="710">
        <f t="shared" si="70"/>
        <v>1</v>
      </c>
    </row>
    <row r="439" spans="1:29" hidden="1" x14ac:dyDescent="0.25">
      <c r="A439" t="s">
        <v>1161</v>
      </c>
      <c r="B439" t="s">
        <v>78</v>
      </c>
      <c r="C439" t="s">
        <v>1146</v>
      </c>
      <c r="D439" t="s">
        <v>282</v>
      </c>
      <c r="E439" t="s">
        <v>129</v>
      </c>
      <c r="F439" t="str">
        <f t="shared" si="67"/>
        <v>Zambia:Male Sterilization</v>
      </c>
      <c r="G439" s="611" t="e">
        <f t="shared" si="68"/>
        <v>#N/A</v>
      </c>
      <c r="H439" s="815" t="e">
        <f>NA()</f>
        <v>#N/A</v>
      </c>
      <c r="I439" s="815" t="e">
        <f>NA()</f>
        <v>#N/A</v>
      </c>
      <c r="J439" s="815" t="e">
        <f>NA()</f>
        <v>#N/A</v>
      </c>
      <c r="K439" s="815" t="e">
        <f>NA()</f>
        <v>#N/A</v>
      </c>
      <c r="L439" s="815" t="e">
        <f>NA()</f>
        <v>#N/A</v>
      </c>
      <c r="M439" s="815" t="e">
        <f>NA()</f>
        <v>#N/A</v>
      </c>
      <c r="N439" s="815" t="e">
        <f>NA()</f>
        <v>#N/A</v>
      </c>
      <c r="O439" s="815" t="e">
        <f>NA()</f>
        <v>#N/A</v>
      </c>
      <c r="P439" s="815" t="e">
        <f>NA()</f>
        <v>#N/A</v>
      </c>
      <c r="Q439" s="23" t="str">
        <f t="shared" si="66"/>
        <v>Sample Too Small</v>
      </c>
      <c r="R439">
        <v>2</v>
      </c>
      <c r="S439" t="str">
        <f t="shared" si="69"/>
        <v>Sample too small</v>
      </c>
      <c r="AC439" s="710">
        <f t="shared" si="70"/>
        <v>0</v>
      </c>
    </row>
    <row r="440" spans="1:29" hidden="1" x14ac:dyDescent="0.25">
      <c r="A440" t="s">
        <v>1161</v>
      </c>
      <c r="B440" t="s">
        <v>78</v>
      </c>
      <c r="C440" t="s">
        <v>1146</v>
      </c>
      <c r="D440" t="s">
        <v>282</v>
      </c>
      <c r="E440" t="s">
        <v>110</v>
      </c>
      <c r="F440" t="str">
        <f t="shared" si="67"/>
        <v>Zambia:OC Pills</v>
      </c>
      <c r="G440" s="611">
        <f t="shared" si="68"/>
        <v>0.71399999999999997</v>
      </c>
      <c r="H440" s="610">
        <v>0.70499999999999996</v>
      </c>
      <c r="I440" s="610">
        <v>8.9999999999999993E-3</v>
      </c>
      <c r="J440" s="23">
        <v>0</v>
      </c>
      <c r="K440" s="610">
        <v>5.7000000000000002E-2</v>
      </c>
      <c r="L440" s="610">
        <v>0.17199999999999999</v>
      </c>
      <c r="M440" s="610">
        <v>5.5E-2</v>
      </c>
      <c r="N440" s="610">
        <v>2E-3</v>
      </c>
      <c r="O440" s="815">
        <v>0</v>
      </c>
      <c r="P440" s="815">
        <v>0</v>
      </c>
      <c r="Q440" s="23">
        <f t="shared" si="66"/>
        <v>1</v>
      </c>
      <c r="R440">
        <v>669</v>
      </c>
      <c r="S440" t="str">
        <f t="shared" si="69"/>
        <v/>
      </c>
      <c r="U440" s="822">
        <f t="shared" ref="U440:AA440" si="72">H440/SUM($H440:$N440)</f>
        <v>0.70499999999999996</v>
      </c>
      <c r="V440" s="822">
        <f t="shared" si="72"/>
        <v>8.9999999999999993E-3</v>
      </c>
      <c r="W440" s="822">
        <f t="shared" si="72"/>
        <v>0</v>
      </c>
      <c r="X440" s="822">
        <f t="shared" si="72"/>
        <v>5.7000000000000002E-2</v>
      </c>
      <c r="Y440" s="822">
        <f t="shared" si="72"/>
        <v>0.17199999999999999</v>
      </c>
      <c r="Z440" s="822">
        <f t="shared" si="72"/>
        <v>5.5E-2</v>
      </c>
      <c r="AA440" s="822">
        <f t="shared" si="72"/>
        <v>2E-3</v>
      </c>
      <c r="AC440" s="710">
        <f t="shared" si="70"/>
        <v>1</v>
      </c>
    </row>
    <row r="441" spans="1:29" hidden="1" x14ac:dyDescent="0.25">
      <c r="A441" t="s">
        <v>1161</v>
      </c>
      <c r="B441" t="s">
        <v>78</v>
      </c>
      <c r="C441" t="s">
        <v>1146</v>
      </c>
      <c r="D441" t="s">
        <v>282</v>
      </c>
      <c r="E441" t="s">
        <v>1153</v>
      </c>
      <c r="F441" t="str">
        <f t="shared" si="67"/>
        <v>Zambia:Other Modern Method</v>
      </c>
      <c r="G441" s="611" t="e">
        <f t="shared" si="68"/>
        <v>#N/A</v>
      </c>
      <c r="H441" s="815" t="e">
        <f>NA()</f>
        <v>#N/A</v>
      </c>
      <c r="I441" s="815" t="e">
        <f>NA()</f>
        <v>#N/A</v>
      </c>
      <c r="J441" s="815" t="e">
        <f>NA()</f>
        <v>#N/A</v>
      </c>
      <c r="K441" s="815" t="e">
        <f>NA()</f>
        <v>#N/A</v>
      </c>
      <c r="L441" s="815" t="e">
        <f>NA()</f>
        <v>#N/A</v>
      </c>
      <c r="M441" s="815" t="e">
        <f>NA()</f>
        <v>#N/A</v>
      </c>
      <c r="N441" s="815" t="e">
        <f>NA()</f>
        <v>#N/A</v>
      </c>
      <c r="O441" s="815" t="e">
        <f>NA()</f>
        <v>#N/A</v>
      </c>
      <c r="P441" s="815" t="e">
        <f>NA()</f>
        <v>#N/A</v>
      </c>
      <c r="Q441" s="23" t="str">
        <f t="shared" si="66"/>
        <v>Sample Too Small</v>
      </c>
      <c r="R441">
        <v>3</v>
      </c>
      <c r="S441" t="str">
        <f t="shared" si="69"/>
        <v>Sample too small</v>
      </c>
    </row>
    <row r="442" spans="1:29" hidden="1" x14ac:dyDescent="0.25">
      <c r="A442" t="s">
        <v>1161</v>
      </c>
      <c r="B442" t="s">
        <v>78</v>
      </c>
      <c r="C442" t="s">
        <v>1146</v>
      </c>
      <c r="D442" t="s">
        <v>282</v>
      </c>
      <c r="E442" t="s">
        <v>967</v>
      </c>
      <c r="F442" t="str">
        <f t="shared" si="67"/>
        <v>Zambia:standard days method (sdm)</v>
      </c>
      <c r="G442" s="611" t="e">
        <f t="shared" si="68"/>
        <v>#N/A</v>
      </c>
      <c r="H442" s="815" t="e">
        <f>NA()</f>
        <v>#N/A</v>
      </c>
      <c r="I442" s="815" t="e">
        <f>NA()</f>
        <v>#N/A</v>
      </c>
      <c r="J442" s="815" t="e">
        <f>NA()</f>
        <v>#N/A</v>
      </c>
      <c r="K442" s="815" t="e">
        <f>NA()</f>
        <v>#N/A</v>
      </c>
      <c r="L442" s="815" t="e">
        <f>NA()</f>
        <v>#N/A</v>
      </c>
      <c r="M442" s="815" t="e">
        <f>NA()</f>
        <v>#N/A</v>
      </c>
      <c r="N442" s="815" t="e">
        <f>NA()</f>
        <v>#N/A</v>
      </c>
      <c r="O442" s="815" t="e">
        <f>NA()</f>
        <v>#N/A</v>
      </c>
      <c r="P442" s="815" t="e">
        <f>NA()</f>
        <v>#N/A</v>
      </c>
      <c r="Q442" s="23" t="str">
        <f t="shared" si="66"/>
        <v>Sample Too Small</v>
      </c>
      <c r="R442">
        <v>22</v>
      </c>
      <c r="S442" t="str">
        <f t="shared" si="69"/>
        <v>Sample too small</v>
      </c>
    </row>
    <row r="443" spans="1:29" hidden="1" x14ac:dyDescent="0.25">
      <c r="A443" t="s">
        <v>909</v>
      </c>
      <c r="B443" t="s">
        <v>79</v>
      </c>
      <c r="C443" t="s">
        <v>591</v>
      </c>
      <c r="D443" t="s">
        <v>282</v>
      </c>
      <c r="E443" t="s">
        <v>128</v>
      </c>
      <c r="F443" t="str">
        <f t="shared" si="65"/>
        <v>Zimbabwe:Female Sterilization</v>
      </c>
      <c r="G443" s="611">
        <f t="shared" ref="G443:G450" si="73">SUM(H443:I443)</f>
        <v>0.63636363636363635</v>
      </c>
      <c r="H443" s="23">
        <v>0.63636363636363635</v>
      </c>
      <c r="I443" s="23">
        <v>0</v>
      </c>
      <c r="J443" s="23">
        <v>0</v>
      </c>
      <c r="K443" s="23">
        <v>0.35353535353535354</v>
      </c>
      <c r="L443" s="23">
        <v>0</v>
      </c>
      <c r="M443" s="23">
        <v>0</v>
      </c>
      <c r="N443" s="23">
        <v>1.0101010101010102E-2</v>
      </c>
      <c r="O443" s="818">
        <v>0</v>
      </c>
      <c r="P443" s="818">
        <v>0.01</v>
      </c>
      <c r="Q443" s="23">
        <f t="shared" si="66"/>
        <v>1.0099999999999998</v>
      </c>
      <c r="R443">
        <v>70</v>
      </c>
    </row>
    <row r="444" spans="1:29" hidden="1" x14ac:dyDescent="0.25">
      <c r="A444" t="s">
        <v>909</v>
      </c>
      <c r="B444" t="s">
        <v>79</v>
      </c>
      <c r="C444" t="s">
        <v>591</v>
      </c>
      <c r="D444" t="s">
        <v>282</v>
      </c>
      <c r="E444" t="s">
        <v>3</v>
      </c>
      <c r="F444" t="str">
        <f t="shared" si="65"/>
        <v>Zimbabwe:Implant</v>
      </c>
      <c r="G444" s="611">
        <f t="shared" si="73"/>
        <v>0.82000000000000006</v>
      </c>
      <c r="H444" s="23">
        <v>0.81</v>
      </c>
      <c r="I444" s="23">
        <v>0.01</v>
      </c>
      <c r="J444" s="23">
        <v>0</v>
      </c>
      <c r="K444" s="23">
        <v>0.17</v>
      </c>
      <c r="L444" s="23">
        <v>0</v>
      </c>
      <c r="M444" s="23">
        <v>0</v>
      </c>
      <c r="N444" s="23">
        <v>0</v>
      </c>
      <c r="O444" s="818">
        <v>0</v>
      </c>
      <c r="P444" s="818">
        <v>0</v>
      </c>
      <c r="Q444" s="23">
        <f t="shared" ref="Q444:Q450" si="74">IFERROR(SUM(H444:P444), "Sample Too Small")</f>
        <v>0.9900000000000001</v>
      </c>
      <c r="R444">
        <v>840</v>
      </c>
    </row>
    <row r="445" spans="1:29" hidden="1" x14ac:dyDescent="0.25">
      <c r="A445" t="s">
        <v>909</v>
      </c>
      <c r="B445" t="s">
        <v>79</v>
      </c>
      <c r="C445" t="s">
        <v>591</v>
      </c>
      <c r="D445" t="s">
        <v>282</v>
      </c>
      <c r="E445" t="s">
        <v>2</v>
      </c>
      <c r="F445" t="str">
        <f t="shared" si="65"/>
        <v>Zimbabwe:Injectable</v>
      </c>
      <c r="G445" s="611">
        <f t="shared" si="73"/>
        <v>0.88</v>
      </c>
      <c r="H445" s="23">
        <v>0.86</v>
      </c>
      <c r="I445" s="23">
        <v>0.02</v>
      </c>
      <c r="J445" s="23">
        <v>0</v>
      </c>
      <c r="K445" s="23">
        <v>0.1</v>
      </c>
      <c r="L445" s="23">
        <v>0.01</v>
      </c>
      <c r="M445" s="23">
        <v>0</v>
      </c>
      <c r="N445" s="23">
        <v>0</v>
      </c>
      <c r="O445" s="818">
        <v>0</v>
      </c>
      <c r="P445" s="818">
        <v>0</v>
      </c>
      <c r="Q445" s="23">
        <f t="shared" si="74"/>
        <v>0.99</v>
      </c>
      <c r="R445">
        <v>753</v>
      </c>
    </row>
    <row r="446" spans="1:29" hidden="1" x14ac:dyDescent="0.25">
      <c r="A446" t="s">
        <v>909</v>
      </c>
      <c r="B446" t="s">
        <v>79</v>
      </c>
      <c r="C446" t="s">
        <v>591</v>
      </c>
      <c r="D446" t="s">
        <v>282</v>
      </c>
      <c r="E446" t="s">
        <v>5</v>
      </c>
      <c r="F446" t="str">
        <f t="shared" si="65"/>
        <v>Zimbabwe:IUD</v>
      </c>
      <c r="G446" s="611">
        <f t="shared" si="73"/>
        <v>0.74</v>
      </c>
      <c r="H446" s="23">
        <v>0.62</v>
      </c>
      <c r="I446" s="23">
        <v>0.12</v>
      </c>
      <c r="J446" s="23">
        <v>0</v>
      </c>
      <c r="K446" s="23">
        <v>0.27</v>
      </c>
      <c r="L446" s="23">
        <v>0</v>
      </c>
      <c r="M446" s="23">
        <v>0</v>
      </c>
      <c r="N446" s="23">
        <v>0</v>
      </c>
      <c r="O446" s="818">
        <v>0</v>
      </c>
      <c r="P446" s="818">
        <v>0</v>
      </c>
      <c r="Q446" s="23">
        <f t="shared" si="74"/>
        <v>1.01</v>
      </c>
      <c r="R446">
        <v>46</v>
      </c>
    </row>
    <row r="447" spans="1:29" hidden="1" x14ac:dyDescent="0.25">
      <c r="A447" t="s">
        <v>909</v>
      </c>
      <c r="B447" t="s">
        <v>79</v>
      </c>
      <c r="C447" t="s">
        <v>591</v>
      </c>
      <c r="D447" t="s">
        <v>282</v>
      </c>
      <c r="E447" t="s">
        <v>103</v>
      </c>
      <c r="F447" t="str">
        <f t="shared" si="65"/>
        <v>Zimbabwe:Male Condom</v>
      </c>
      <c r="G447" s="611">
        <f t="shared" si="73"/>
        <v>0.52</v>
      </c>
      <c r="H447" s="23">
        <v>0.48</v>
      </c>
      <c r="I447" s="23">
        <v>0.04</v>
      </c>
      <c r="J447" s="23">
        <v>0</v>
      </c>
      <c r="K447" s="23">
        <v>0.03</v>
      </c>
      <c r="L447" s="23">
        <v>0.11</v>
      </c>
      <c r="M447" s="23">
        <v>0.34</v>
      </c>
      <c r="N447" s="23">
        <v>0</v>
      </c>
      <c r="O447" s="818">
        <v>0</v>
      </c>
      <c r="P447" s="818">
        <v>0</v>
      </c>
      <c r="Q447" s="23">
        <f t="shared" si="74"/>
        <v>1</v>
      </c>
      <c r="R447">
        <v>468</v>
      </c>
    </row>
    <row r="448" spans="1:29" hidden="1" x14ac:dyDescent="0.25">
      <c r="A448" t="s">
        <v>909</v>
      </c>
      <c r="B448" t="s">
        <v>79</v>
      </c>
      <c r="C448" t="s">
        <v>591</v>
      </c>
      <c r="D448" t="s">
        <v>282</v>
      </c>
      <c r="E448" t="s">
        <v>129</v>
      </c>
      <c r="F448" t="str">
        <f t="shared" si="65"/>
        <v>Zimbabwe:Male Sterilization</v>
      </c>
      <c r="G448" s="611" t="e">
        <f t="shared" si="73"/>
        <v>#N/A</v>
      </c>
      <c r="H448" t="e">
        <f>NA()</f>
        <v>#N/A</v>
      </c>
      <c r="I448" t="e">
        <f>NA()</f>
        <v>#N/A</v>
      </c>
      <c r="J448" t="e">
        <f>NA()</f>
        <v>#N/A</v>
      </c>
      <c r="K448" t="e">
        <f>NA()</f>
        <v>#N/A</v>
      </c>
      <c r="L448" t="e">
        <f>NA()</f>
        <v>#N/A</v>
      </c>
      <c r="M448" t="e">
        <f>NA()</f>
        <v>#N/A</v>
      </c>
      <c r="N448" t="e">
        <f>NA()</f>
        <v>#N/A</v>
      </c>
      <c r="O448" s="818" t="e">
        <f>NA()</f>
        <v>#N/A</v>
      </c>
      <c r="P448" s="818" t="e">
        <f>NA()</f>
        <v>#N/A</v>
      </c>
      <c r="Q448" t="str">
        <f t="shared" si="74"/>
        <v>Sample Too Small</v>
      </c>
      <c r="R448" s="10">
        <v>3</v>
      </c>
    </row>
    <row r="449" spans="1:18" hidden="1" x14ac:dyDescent="0.25">
      <c r="A449" s="119" t="s">
        <v>909</v>
      </c>
      <c r="B449" t="s">
        <v>79</v>
      </c>
      <c r="C449" t="s">
        <v>591</v>
      </c>
      <c r="D449" t="s">
        <v>282</v>
      </c>
      <c r="E449" t="s">
        <v>110</v>
      </c>
      <c r="F449" t="str">
        <f t="shared" si="65"/>
        <v>Zimbabwe:OC Pills</v>
      </c>
      <c r="G449" s="611">
        <f t="shared" si="73"/>
        <v>0.7</v>
      </c>
      <c r="H449" s="502">
        <v>0.62</v>
      </c>
      <c r="I449" s="502">
        <v>0.08</v>
      </c>
      <c r="J449" s="502">
        <v>0</v>
      </c>
      <c r="K449" s="502">
        <v>0.06</v>
      </c>
      <c r="L449" s="502">
        <v>0.22</v>
      </c>
      <c r="M449" s="502">
        <v>0.03</v>
      </c>
      <c r="N449" s="502">
        <v>0</v>
      </c>
      <c r="O449" s="818">
        <v>0</v>
      </c>
      <c r="P449" s="818">
        <v>0</v>
      </c>
      <c r="Q449" s="23">
        <f t="shared" si="74"/>
        <v>1.01</v>
      </c>
      <c r="R449" s="501">
        <v>2588</v>
      </c>
    </row>
    <row r="450" spans="1:18" hidden="1" x14ac:dyDescent="0.25">
      <c r="A450" t="s">
        <v>909</v>
      </c>
      <c r="B450" t="s">
        <v>79</v>
      </c>
      <c r="C450" t="s">
        <v>591</v>
      </c>
      <c r="D450" t="s">
        <v>282</v>
      </c>
      <c r="E450" t="s">
        <v>130</v>
      </c>
      <c r="F450" t="str">
        <f t="shared" si="65"/>
        <v>Zimbabwe:Other Modern Methods</v>
      </c>
      <c r="G450" s="611" t="e">
        <f t="shared" si="73"/>
        <v>#N/A</v>
      </c>
      <c r="H450" t="e">
        <f>NA()</f>
        <v>#N/A</v>
      </c>
      <c r="I450" t="e">
        <f>NA()</f>
        <v>#N/A</v>
      </c>
      <c r="J450" t="e">
        <f>NA()</f>
        <v>#N/A</v>
      </c>
      <c r="K450" t="e">
        <f>NA()</f>
        <v>#N/A</v>
      </c>
      <c r="L450" t="e">
        <f>NA()</f>
        <v>#N/A</v>
      </c>
      <c r="M450" t="e">
        <f>NA()</f>
        <v>#N/A</v>
      </c>
      <c r="N450" t="e">
        <f>NA()</f>
        <v>#N/A</v>
      </c>
      <c r="O450" s="818" t="e">
        <f>NA()</f>
        <v>#N/A</v>
      </c>
      <c r="P450" s="818" t="e">
        <f>NA()</f>
        <v>#N/A</v>
      </c>
      <c r="Q450" t="str">
        <f t="shared" si="74"/>
        <v>Sample Too Small</v>
      </c>
      <c r="R450" s="10">
        <v>18</v>
      </c>
    </row>
    <row r="451" spans="1:18" hidden="1" x14ac:dyDescent="0.25">
      <c r="B451" t="s">
        <v>47</v>
      </c>
      <c r="C451" t="s">
        <v>2493</v>
      </c>
      <c r="D451" t="s">
        <v>879</v>
      </c>
      <c r="E451" t="s">
        <v>128</v>
      </c>
      <c r="F451" t="str">
        <f t="shared" si="65"/>
        <v>Mauritania:Female Sterilization</v>
      </c>
      <c r="G451" s="611" t="e">
        <f t="shared" ref="G451" si="75">SUM(H451:I451)</f>
        <v>#N/A</v>
      </c>
      <c r="H451" t="e">
        <f>NA()</f>
        <v>#N/A</v>
      </c>
      <c r="I451" t="e">
        <f>NA()</f>
        <v>#N/A</v>
      </c>
      <c r="J451" t="e">
        <f>NA()</f>
        <v>#N/A</v>
      </c>
      <c r="K451" t="e">
        <f>NA()</f>
        <v>#N/A</v>
      </c>
      <c r="L451" t="e">
        <f>NA()</f>
        <v>#N/A</v>
      </c>
      <c r="M451" t="e">
        <f>NA()</f>
        <v>#N/A</v>
      </c>
      <c r="N451" t="e">
        <f>NA()</f>
        <v>#N/A</v>
      </c>
      <c r="O451" s="818">
        <v>0</v>
      </c>
      <c r="P451" s="818"/>
      <c r="Q451" s="23" t="str">
        <f t="shared" ref="Q451:Q458" si="76">IFERROR(SUM(H451:N451), "Sample Too Small")</f>
        <v>Sample Too Small</v>
      </c>
    </row>
    <row r="452" spans="1:18" hidden="1" x14ac:dyDescent="0.25">
      <c r="B452" t="s">
        <v>47</v>
      </c>
      <c r="C452" t="s">
        <v>2493</v>
      </c>
      <c r="D452" t="s">
        <v>879</v>
      </c>
      <c r="E452" t="s">
        <v>3</v>
      </c>
      <c r="F452" t="str">
        <f t="shared" si="65"/>
        <v>Mauritania:Implant</v>
      </c>
      <c r="G452" s="611">
        <v>0.88300000000000001</v>
      </c>
      <c r="H452" s="23"/>
      <c r="I452" s="23"/>
      <c r="J452" s="23"/>
      <c r="K452" s="23">
        <v>0.10299999999999999</v>
      </c>
      <c r="L452" s="23">
        <v>1.3999999999999999E-2</v>
      </c>
      <c r="M452" s="23">
        <v>0</v>
      </c>
      <c r="N452" s="23">
        <v>0</v>
      </c>
      <c r="O452" s="818">
        <v>0</v>
      </c>
      <c r="P452" s="818"/>
      <c r="Q452" s="23">
        <f t="shared" si="76"/>
        <v>0.11699999999999999</v>
      </c>
    </row>
    <row r="453" spans="1:18" hidden="1" x14ac:dyDescent="0.25">
      <c r="B453" t="s">
        <v>47</v>
      </c>
      <c r="C453" t="s">
        <v>2493</v>
      </c>
      <c r="D453" t="s">
        <v>879</v>
      </c>
      <c r="E453" t="s">
        <v>2</v>
      </c>
      <c r="F453" t="str">
        <f t="shared" si="65"/>
        <v>Mauritania:Injectable</v>
      </c>
      <c r="G453" s="611">
        <v>0.94700000000000006</v>
      </c>
      <c r="H453" s="23"/>
      <c r="I453" s="23"/>
      <c r="J453" s="23"/>
      <c r="K453" s="23">
        <v>1.4999999999999993E-2</v>
      </c>
      <c r="L453" s="23">
        <v>3.6000000000000004E-2</v>
      </c>
      <c r="M453" s="23">
        <v>2E-3</v>
      </c>
      <c r="N453" s="23">
        <v>0</v>
      </c>
      <c r="O453" s="818">
        <v>0</v>
      </c>
      <c r="P453" s="818"/>
      <c r="Q453" s="23">
        <f t="shared" si="76"/>
        <v>5.2999999999999999E-2</v>
      </c>
      <c r="R453" s="2"/>
    </row>
    <row r="454" spans="1:18" hidden="1" x14ac:dyDescent="0.25">
      <c r="B454" t="s">
        <v>47</v>
      </c>
      <c r="C454" t="s">
        <v>2493</v>
      </c>
      <c r="D454" t="s">
        <v>879</v>
      </c>
      <c r="E454" t="s">
        <v>5</v>
      </c>
      <c r="F454" t="str">
        <f t="shared" si="65"/>
        <v>Mauritania:IUD</v>
      </c>
      <c r="G454" s="611" t="e">
        <f t="shared" ref="G454" si="77">SUM(H454:I454)</f>
        <v>#N/A</v>
      </c>
      <c r="H454" t="e">
        <f>NA()</f>
        <v>#N/A</v>
      </c>
      <c r="I454" t="e">
        <f>NA()</f>
        <v>#N/A</v>
      </c>
      <c r="J454" t="e">
        <f>NA()</f>
        <v>#N/A</v>
      </c>
      <c r="K454" t="e">
        <f>NA()</f>
        <v>#N/A</v>
      </c>
      <c r="L454" t="e">
        <f>NA()</f>
        <v>#N/A</v>
      </c>
      <c r="M454" t="e">
        <f>NA()</f>
        <v>#N/A</v>
      </c>
      <c r="N454" t="e">
        <f>NA()</f>
        <v>#N/A</v>
      </c>
      <c r="O454" s="818">
        <v>0</v>
      </c>
      <c r="P454" s="818"/>
      <c r="Q454" s="23" t="str">
        <f t="shared" si="76"/>
        <v>Sample Too Small</v>
      </c>
    </row>
    <row r="455" spans="1:18" hidden="1" x14ac:dyDescent="0.25">
      <c r="B455" t="s">
        <v>47</v>
      </c>
      <c r="C455" t="s">
        <v>2493</v>
      </c>
      <c r="D455" t="s">
        <v>879</v>
      </c>
      <c r="E455" t="s">
        <v>103</v>
      </c>
      <c r="F455" t="str">
        <f t="shared" si="65"/>
        <v>Mauritania:Male Condom</v>
      </c>
      <c r="G455" s="611">
        <v>0.37799999999999995</v>
      </c>
      <c r="H455" s="23"/>
      <c r="I455" s="23"/>
      <c r="J455" s="23"/>
      <c r="K455" s="23">
        <v>3.3000000000000029E-2</v>
      </c>
      <c r="L455" s="23">
        <v>0.58899999999999997</v>
      </c>
      <c r="M455" s="23">
        <v>0</v>
      </c>
      <c r="N455" s="23">
        <v>0</v>
      </c>
      <c r="O455" s="818">
        <v>0</v>
      </c>
      <c r="P455" s="818"/>
      <c r="Q455" s="23">
        <f t="shared" si="76"/>
        <v>0.622</v>
      </c>
    </row>
    <row r="456" spans="1:18" hidden="1" x14ac:dyDescent="0.25">
      <c r="B456" t="s">
        <v>47</v>
      </c>
      <c r="C456" t="s">
        <v>2493</v>
      </c>
      <c r="D456" t="s">
        <v>879</v>
      </c>
      <c r="E456" t="s">
        <v>129</v>
      </c>
      <c r="F456" t="str">
        <f t="shared" si="65"/>
        <v>Mauritania:Male Sterilization</v>
      </c>
      <c r="G456" s="611" t="e">
        <f t="shared" ref="G456" si="78">SUM(H456:I456)</f>
        <v>#N/A</v>
      </c>
      <c r="H456" t="e">
        <f>NA()</f>
        <v>#N/A</v>
      </c>
      <c r="I456" t="e">
        <f>NA()</f>
        <v>#N/A</v>
      </c>
      <c r="J456" t="e">
        <f>NA()</f>
        <v>#N/A</v>
      </c>
      <c r="K456" t="e">
        <f>NA()</f>
        <v>#N/A</v>
      </c>
      <c r="L456" t="e">
        <f>NA()</f>
        <v>#N/A</v>
      </c>
      <c r="M456" t="e">
        <f>NA()</f>
        <v>#N/A</v>
      </c>
      <c r="N456" t="e">
        <f>NA()</f>
        <v>#N/A</v>
      </c>
      <c r="O456" s="818" t="e">
        <f>NA()</f>
        <v>#N/A</v>
      </c>
      <c r="P456" s="818"/>
      <c r="Q456" s="23" t="str">
        <f t="shared" si="76"/>
        <v>Sample Too Small</v>
      </c>
      <c r="R456" s="10"/>
    </row>
    <row r="457" spans="1:18" hidden="1" x14ac:dyDescent="0.25">
      <c r="B457" t="s">
        <v>47</v>
      </c>
      <c r="C457" t="s">
        <v>2493</v>
      </c>
      <c r="D457" t="s">
        <v>879</v>
      </c>
      <c r="E457" t="s">
        <v>110</v>
      </c>
      <c r="F457" t="str">
        <f t="shared" si="65"/>
        <v>Mauritania:OC Pills</v>
      </c>
      <c r="G457" s="611">
        <v>0.80599999999999994</v>
      </c>
      <c r="H457" s="502"/>
      <c r="I457" s="502"/>
      <c r="J457" s="502"/>
      <c r="K457" s="502">
        <v>1.3999999999999985E-2</v>
      </c>
      <c r="L457" s="502">
        <v>0.17499999999999999</v>
      </c>
      <c r="M457" s="502">
        <v>3.0000000000000001E-3</v>
      </c>
      <c r="N457" s="502">
        <v>2E-3</v>
      </c>
      <c r="O457" s="818">
        <v>1.1102230246251565E-16</v>
      </c>
      <c r="P457" s="818"/>
      <c r="Q457" s="23">
        <f t="shared" si="76"/>
        <v>0.19399999999999998</v>
      </c>
      <c r="R457" s="119"/>
    </row>
    <row r="458" spans="1:18" hidden="1" x14ac:dyDescent="0.25">
      <c r="B458" t="s">
        <v>47</v>
      </c>
      <c r="C458" t="s">
        <v>2493</v>
      </c>
      <c r="D458" t="s">
        <v>879</v>
      </c>
      <c r="E458" t="s">
        <v>130</v>
      </c>
      <c r="F458" t="str">
        <f t="shared" si="65"/>
        <v>Mauritania:Other Modern Methods</v>
      </c>
      <c r="G458" s="611" t="e">
        <f t="shared" ref="G458" si="79">SUM(H458:I458)</f>
        <v>#N/A</v>
      </c>
      <c r="H458" t="e">
        <f>NA()</f>
        <v>#N/A</v>
      </c>
      <c r="I458" t="e">
        <f>NA()</f>
        <v>#N/A</v>
      </c>
      <c r="J458" t="e">
        <f>NA()</f>
        <v>#N/A</v>
      </c>
      <c r="K458" t="e">
        <f>NA()</f>
        <v>#N/A</v>
      </c>
      <c r="L458" t="e">
        <f>NA()</f>
        <v>#N/A</v>
      </c>
      <c r="M458" t="e">
        <f>NA()</f>
        <v>#N/A</v>
      </c>
      <c r="N458" t="e">
        <f>NA()</f>
        <v>#N/A</v>
      </c>
      <c r="O458" s="818" t="e">
        <f>NA()</f>
        <v>#N/A</v>
      </c>
      <c r="P458" s="818"/>
      <c r="Q458" s="23" t="str">
        <f t="shared" si="76"/>
        <v>Sample Too Small</v>
      </c>
      <c r="R458" s="10"/>
    </row>
  </sheetData>
  <autoFilter ref="A2:R458" xr:uid="{00000000-0009-0000-0000-000006000000}">
    <filterColumn colId="1">
      <filters>
        <filter val="Sierra Leone"/>
      </filters>
    </filterColumn>
    <sortState xmlns:xlrd2="http://schemas.microsoft.com/office/spreadsheetml/2017/richdata2" ref="A3:R450">
      <sortCondition ref="B2:B450"/>
    </sortState>
  </autoFilter>
  <mergeCells count="1">
    <mergeCell ref="G1:N1"/>
  </mergeCells>
  <phoneticPr fontId="96" type="noConversion"/>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AFBB70-57A0-462C-93A1-1870AAD47475}">
  <sheetPr codeName="Sheet30">
    <tabColor theme="7"/>
  </sheetPr>
  <dimension ref="A1:H319"/>
  <sheetViews>
    <sheetView showGridLines="0" zoomScale="80" zoomScaleNormal="80" workbookViewId="0">
      <pane xSplit="2" ySplit="1" topLeftCell="C45" activePane="bottomRight" state="frozen"/>
      <selection activeCell="P101" sqref="P101"/>
      <selection pane="topRight" activeCell="P101" sqref="P101"/>
      <selection pane="bottomLeft" activeCell="P101" sqref="P101"/>
      <selection pane="bottomRight" activeCell="D238" sqref="D238"/>
    </sheetView>
  </sheetViews>
  <sheetFormatPr defaultRowHeight="15" x14ac:dyDescent="0.25"/>
  <cols>
    <col min="3" max="3" width="27.7109375" bestFit="1" customWidth="1"/>
    <col min="4" max="4" width="22.42578125" customWidth="1"/>
    <col min="5" max="5" width="28.42578125" customWidth="1"/>
    <col min="6" max="8" width="22.42578125" customWidth="1"/>
  </cols>
  <sheetData>
    <row r="1" spans="1:8" ht="15.75" x14ac:dyDescent="0.25">
      <c r="A1" t="s">
        <v>2114</v>
      </c>
      <c r="C1" s="684" t="s">
        <v>10</v>
      </c>
      <c r="D1" s="684" t="s">
        <v>317</v>
      </c>
      <c r="E1" s="684" t="s">
        <v>1051</v>
      </c>
      <c r="F1" s="684" t="s">
        <v>587</v>
      </c>
      <c r="G1" s="684" t="s">
        <v>792</v>
      </c>
      <c r="H1" s="684" t="s">
        <v>793</v>
      </c>
    </row>
    <row r="2" spans="1:8" ht="15.75" x14ac:dyDescent="0.25">
      <c r="C2" s="685" t="s">
        <v>11</v>
      </c>
      <c r="D2" s="685">
        <v>2015</v>
      </c>
      <c r="E2" s="685" t="str">
        <f>C2&amp;D2</f>
        <v>Afghanistan2015</v>
      </c>
      <c r="F2" s="685" t="s">
        <v>591</v>
      </c>
      <c r="G2" s="492">
        <v>0.19800000000000001</v>
      </c>
      <c r="H2" s="492" t="e">
        <f>(NA())/100</f>
        <v>#N/A</v>
      </c>
    </row>
    <row r="3" spans="1:8" ht="15.75" x14ac:dyDescent="0.25">
      <c r="C3" s="685" t="s">
        <v>131</v>
      </c>
      <c r="D3" s="685">
        <v>2017</v>
      </c>
      <c r="E3" s="685" t="str">
        <f t="shared" ref="E3:E66" si="0">C3&amp;D3</f>
        <v>Albania2017</v>
      </c>
      <c r="F3" s="685" t="s">
        <v>1034</v>
      </c>
      <c r="G3" s="492">
        <v>3.7000000000000005E-2</v>
      </c>
      <c r="H3" s="492">
        <v>2.7999999999999997E-2</v>
      </c>
    </row>
    <row r="4" spans="1:8" ht="15.75" x14ac:dyDescent="0.25">
      <c r="C4" s="685" t="s">
        <v>131</v>
      </c>
      <c r="D4" s="685">
        <v>2008</v>
      </c>
      <c r="E4" s="685" t="str">
        <f t="shared" si="0"/>
        <v>Albania2008</v>
      </c>
      <c r="F4" s="685" t="s">
        <v>592</v>
      </c>
      <c r="G4" s="492">
        <v>0.106</v>
      </c>
      <c r="H4" s="492">
        <v>7.9000000000000001E-2</v>
      </c>
    </row>
    <row r="5" spans="1:8" ht="15.75" x14ac:dyDescent="0.25">
      <c r="C5" s="685" t="s">
        <v>134</v>
      </c>
      <c r="D5" s="685">
        <v>2015</v>
      </c>
      <c r="E5" s="685" t="str">
        <f t="shared" si="0"/>
        <v>Angola2015</v>
      </c>
      <c r="F5" s="685" t="s">
        <v>593</v>
      </c>
      <c r="G5" s="492">
        <v>0.125</v>
      </c>
      <c r="H5" s="492">
        <v>0.125</v>
      </c>
    </row>
    <row r="6" spans="1:8" ht="15.75" x14ac:dyDescent="0.25">
      <c r="C6" s="685" t="s">
        <v>138</v>
      </c>
      <c r="D6" s="685">
        <v>2015</v>
      </c>
      <c r="E6" s="685" t="str">
        <f t="shared" si="0"/>
        <v>Armenia2015</v>
      </c>
      <c r="F6" s="685" t="s">
        <v>593</v>
      </c>
      <c r="G6" s="492">
        <v>0.28000000000000003</v>
      </c>
      <c r="H6" s="492">
        <v>0.18100000000000002</v>
      </c>
    </row>
    <row r="7" spans="1:8" ht="15.75" x14ac:dyDescent="0.25">
      <c r="C7" s="685" t="s">
        <v>138</v>
      </c>
      <c r="D7" s="685">
        <v>2010</v>
      </c>
      <c r="E7" s="685" t="str">
        <f t="shared" si="0"/>
        <v>Armenia2010</v>
      </c>
      <c r="F7" s="685" t="s">
        <v>594</v>
      </c>
      <c r="G7" s="492">
        <v>0.27200000000000002</v>
      </c>
      <c r="H7" s="492">
        <v>0.16899999999999998</v>
      </c>
    </row>
    <row r="8" spans="1:8" ht="15.75" x14ac:dyDescent="0.25">
      <c r="C8" s="685" t="s">
        <v>138</v>
      </c>
      <c r="D8" s="685">
        <v>2005</v>
      </c>
      <c r="E8" s="685" t="str">
        <f t="shared" si="0"/>
        <v>Armenia2005</v>
      </c>
      <c r="F8" s="685" t="s">
        <v>619</v>
      </c>
      <c r="G8" s="492">
        <v>0.19500000000000001</v>
      </c>
      <c r="H8" s="492">
        <v>0.12300000000000001</v>
      </c>
    </row>
    <row r="9" spans="1:8" ht="15.75" x14ac:dyDescent="0.25">
      <c r="C9" s="685" t="s">
        <v>138</v>
      </c>
      <c r="D9" s="685">
        <v>2000</v>
      </c>
      <c r="E9" s="685" t="str">
        <f t="shared" si="0"/>
        <v>Armenia2000</v>
      </c>
      <c r="F9" s="685" t="s">
        <v>623</v>
      </c>
      <c r="G9" s="492">
        <v>0.223</v>
      </c>
      <c r="H9" s="492">
        <v>0.14400000000000002</v>
      </c>
    </row>
    <row r="10" spans="1:8" ht="15.75" x14ac:dyDescent="0.25">
      <c r="C10" s="685" t="s">
        <v>142</v>
      </c>
      <c r="D10" s="685">
        <v>2006</v>
      </c>
      <c r="E10" s="685" t="str">
        <f t="shared" si="0"/>
        <v>Azerbaijan2006</v>
      </c>
      <c r="F10" s="685" t="s">
        <v>595</v>
      </c>
      <c r="G10" s="492">
        <v>0.14300000000000002</v>
      </c>
      <c r="H10" s="492">
        <v>0.09</v>
      </c>
    </row>
    <row r="11" spans="1:8" ht="15.75" x14ac:dyDescent="0.25">
      <c r="C11" s="685" t="s">
        <v>12</v>
      </c>
      <c r="D11" s="685">
        <v>2017</v>
      </c>
      <c r="E11" s="685" t="str">
        <f t="shared" si="0"/>
        <v>Bangladesh2017</v>
      </c>
      <c r="F11" s="685" t="s">
        <v>1034</v>
      </c>
      <c r="G11" s="492">
        <v>0.51900000000000002</v>
      </c>
      <c r="H11" s="492" t="e">
        <f t="shared" ref="H11:H18" si="1">(NA())/100</f>
        <v>#N/A</v>
      </c>
    </row>
    <row r="12" spans="1:8" ht="15.75" x14ac:dyDescent="0.25">
      <c r="C12" s="685" t="s">
        <v>12</v>
      </c>
      <c r="D12" s="685">
        <v>2014</v>
      </c>
      <c r="E12" s="685" t="str">
        <f t="shared" si="0"/>
        <v>Bangladesh2014</v>
      </c>
      <c r="F12" s="685" t="s">
        <v>596</v>
      </c>
      <c r="G12" s="492">
        <v>0.54100000000000004</v>
      </c>
      <c r="H12" s="492" t="e">
        <f t="shared" si="1"/>
        <v>#N/A</v>
      </c>
    </row>
    <row r="13" spans="1:8" ht="15.75" x14ac:dyDescent="0.25">
      <c r="C13" s="685" t="s">
        <v>12</v>
      </c>
      <c r="D13" s="685">
        <v>2011</v>
      </c>
      <c r="E13" s="685" t="str">
        <f t="shared" si="0"/>
        <v>Bangladesh2011</v>
      </c>
      <c r="F13" s="685" t="s">
        <v>601</v>
      </c>
      <c r="G13" s="492">
        <v>0.52100000000000002</v>
      </c>
      <c r="H13" s="492" t="e">
        <f t="shared" si="1"/>
        <v>#N/A</v>
      </c>
    </row>
    <row r="14" spans="1:8" ht="15.75" x14ac:dyDescent="0.25">
      <c r="C14" s="685" t="s">
        <v>12</v>
      </c>
      <c r="D14" s="685">
        <v>2007</v>
      </c>
      <c r="E14" s="685" t="str">
        <f t="shared" si="0"/>
        <v>Bangladesh2007</v>
      </c>
      <c r="F14" s="685" t="s">
        <v>624</v>
      </c>
      <c r="G14" s="492">
        <v>0.47499999999999998</v>
      </c>
      <c r="H14" s="492" t="e">
        <f t="shared" si="1"/>
        <v>#N/A</v>
      </c>
    </row>
    <row r="15" spans="1:8" ht="15.75" x14ac:dyDescent="0.25">
      <c r="C15" s="685" t="s">
        <v>12</v>
      </c>
      <c r="D15" s="685">
        <v>2004</v>
      </c>
      <c r="E15" s="685" t="str">
        <f t="shared" si="0"/>
        <v>Bangladesh2004</v>
      </c>
      <c r="F15" s="685" t="s">
        <v>1035</v>
      </c>
      <c r="G15" s="492">
        <v>0.47600000000000003</v>
      </c>
      <c r="H15" s="492" t="e">
        <f t="shared" si="1"/>
        <v>#N/A</v>
      </c>
    </row>
    <row r="16" spans="1:8" ht="15.75" x14ac:dyDescent="0.25">
      <c r="C16" s="685" t="s">
        <v>12</v>
      </c>
      <c r="D16" s="685">
        <v>1999</v>
      </c>
      <c r="E16" s="685" t="str">
        <f t="shared" si="0"/>
        <v>Bangladesh1999</v>
      </c>
      <c r="F16" s="685" t="s">
        <v>2092</v>
      </c>
      <c r="G16" s="492">
        <v>0.44</v>
      </c>
      <c r="H16" s="492" t="e">
        <f t="shared" si="1"/>
        <v>#N/A</v>
      </c>
    </row>
    <row r="17" spans="3:8" ht="15.75" x14ac:dyDescent="0.25">
      <c r="C17" s="685" t="s">
        <v>12</v>
      </c>
      <c r="D17" s="685">
        <v>1996</v>
      </c>
      <c r="E17" s="685" t="str">
        <f t="shared" si="0"/>
        <v>Bangladesh1996</v>
      </c>
      <c r="F17" s="685" t="s">
        <v>2093</v>
      </c>
      <c r="G17" s="492">
        <v>0.42100000000000004</v>
      </c>
      <c r="H17" s="492" t="e">
        <f t="shared" si="1"/>
        <v>#N/A</v>
      </c>
    </row>
    <row r="18" spans="3:8" ht="15.75" x14ac:dyDescent="0.25">
      <c r="C18" s="685" t="s">
        <v>12</v>
      </c>
      <c r="D18" s="685">
        <v>1993</v>
      </c>
      <c r="E18" s="685" t="str">
        <f t="shared" si="0"/>
        <v>Bangladesh1993</v>
      </c>
      <c r="F18" s="685" t="s">
        <v>2094</v>
      </c>
      <c r="G18" s="492">
        <v>0.36599999999999999</v>
      </c>
      <c r="H18" s="492" t="e">
        <f t="shared" si="1"/>
        <v>#N/A</v>
      </c>
    </row>
    <row r="19" spans="3:8" ht="15.75" x14ac:dyDescent="0.25">
      <c r="C19" s="685" t="s">
        <v>13</v>
      </c>
      <c r="D19" s="685">
        <v>2017</v>
      </c>
      <c r="E19" s="685" t="str">
        <f t="shared" si="0"/>
        <v>Benin2017</v>
      </c>
      <c r="F19" s="685" t="s">
        <v>1034</v>
      </c>
      <c r="G19" s="492">
        <v>0.124</v>
      </c>
      <c r="H19" s="492">
        <v>0.11699999999999999</v>
      </c>
    </row>
    <row r="20" spans="3:8" ht="15.75" x14ac:dyDescent="0.25">
      <c r="C20" s="685" t="s">
        <v>13</v>
      </c>
      <c r="D20" s="685">
        <v>2011</v>
      </c>
      <c r="E20" s="685" t="str">
        <f t="shared" si="0"/>
        <v>Benin2011</v>
      </c>
      <c r="F20" s="685" t="s">
        <v>597</v>
      </c>
      <c r="G20" s="492">
        <v>7.9000000000000001E-2</v>
      </c>
      <c r="H20" s="492">
        <v>0.09</v>
      </c>
    </row>
    <row r="21" spans="3:8" ht="15.75" x14ac:dyDescent="0.25">
      <c r="C21" s="685" t="s">
        <v>13</v>
      </c>
      <c r="D21" s="685">
        <v>2006</v>
      </c>
      <c r="E21" s="685" t="str">
        <f t="shared" si="0"/>
        <v>Benin2006</v>
      </c>
      <c r="F21" s="685" t="s">
        <v>595</v>
      </c>
      <c r="G21" s="492">
        <v>6.0999999999999999E-2</v>
      </c>
      <c r="H21" s="492">
        <v>6.9000000000000006E-2</v>
      </c>
    </row>
    <row r="22" spans="3:8" ht="15.75" x14ac:dyDescent="0.25">
      <c r="C22" s="685" t="s">
        <v>13</v>
      </c>
      <c r="D22" s="685">
        <v>2001</v>
      </c>
      <c r="E22" s="685" t="str">
        <f t="shared" si="0"/>
        <v>Benin2001</v>
      </c>
      <c r="F22" s="685" t="s">
        <v>617</v>
      </c>
      <c r="G22" s="492">
        <v>7.2000000000000008E-2</v>
      </c>
      <c r="H22" s="492">
        <v>7.0000000000000007E-2</v>
      </c>
    </row>
    <row r="23" spans="3:8" ht="15.75" x14ac:dyDescent="0.25">
      <c r="C23" s="685" t="s">
        <v>13</v>
      </c>
      <c r="D23" s="685">
        <v>1996</v>
      </c>
      <c r="E23" s="685" t="str">
        <f t="shared" si="0"/>
        <v>Benin1996</v>
      </c>
      <c r="F23" s="685" t="s">
        <v>600</v>
      </c>
      <c r="G23" s="492">
        <v>3.4000000000000002E-2</v>
      </c>
      <c r="H23" s="492">
        <v>3.4000000000000002E-2</v>
      </c>
    </row>
    <row r="24" spans="3:8" ht="15.75" x14ac:dyDescent="0.25">
      <c r="C24" s="685" t="s">
        <v>15</v>
      </c>
      <c r="D24" s="685">
        <v>2008</v>
      </c>
      <c r="E24" s="685" t="str">
        <f t="shared" si="0"/>
        <v>Bolivia2008</v>
      </c>
      <c r="F24" s="685" t="s">
        <v>598</v>
      </c>
      <c r="G24" s="492">
        <v>0.34600000000000003</v>
      </c>
      <c r="H24" s="492">
        <v>0.24</v>
      </c>
    </row>
    <row r="25" spans="3:8" ht="15.75" x14ac:dyDescent="0.25">
      <c r="C25" s="685" t="s">
        <v>15</v>
      </c>
      <c r="D25" s="685">
        <v>2003</v>
      </c>
      <c r="E25" s="685" t="str">
        <f t="shared" si="0"/>
        <v>Bolivia2003</v>
      </c>
      <c r="F25" s="685" t="s">
        <v>1036</v>
      </c>
      <c r="G25" s="492">
        <v>0.34899999999999998</v>
      </c>
      <c r="H25" s="492">
        <v>0.23699999999999999</v>
      </c>
    </row>
    <row r="26" spans="3:8" ht="15.75" x14ac:dyDescent="0.25">
      <c r="C26" s="685" t="s">
        <v>15</v>
      </c>
      <c r="D26" s="685">
        <v>1998</v>
      </c>
      <c r="E26" s="685" t="str">
        <f t="shared" si="0"/>
        <v>Bolivia1998</v>
      </c>
      <c r="F26" s="685" t="s">
        <v>620</v>
      </c>
      <c r="G26" s="492">
        <v>0.252</v>
      </c>
      <c r="H26" s="492">
        <v>0.16500000000000001</v>
      </c>
    </row>
    <row r="27" spans="3:8" ht="15.75" x14ac:dyDescent="0.25">
      <c r="C27" s="685" t="s">
        <v>15</v>
      </c>
      <c r="D27" s="685">
        <v>1994</v>
      </c>
      <c r="E27" s="685" t="str">
        <f t="shared" si="0"/>
        <v>Bolivia1994</v>
      </c>
      <c r="F27" s="685" t="s">
        <v>1202</v>
      </c>
      <c r="G27" s="492">
        <v>0.17800000000000002</v>
      </c>
      <c r="H27" s="492">
        <v>0.11900000000000001</v>
      </c>
    </row>
    <row r="28" spans="3:8" ht="15.75" x14ac:dyDescent="0.25">
      <c r="C28" s="685" t="s">
        <v>15</v>
      </c>
      <c r="D28" s="685">
        <v>1989</v>
      </c>
      <c r="E28" s="685" t="str">
        <f t="shared" si="0"/>
        <v>Bolivia1989</v>
      </c>
      <c r="F28" s="685" t="s">
        <v>2095</v>
      </c>
      <c r="G28" s="492">
        <v>0.122</v>
      </c>
      <c r="H28" s="492">
        <v>0.08</v>
      </c>
    </row>
    <row r="29" spans="3:8" ht="15.75" x14ac:dyDescent="0.25">
      <c r="C29" s="685" t="s">
        <v>151</v>
      </c>
      <c r="D29" s="685">
        <v>1988</v>
      </c>
      <c r="E29" s="685" t="str">
        <f t="shared" si="0"/>
        <v>Botswana1988</v>
      </c>
      <c r="F29" s="685" t="s">
        <v>599</v>
      </c>
      <c r="G29" s="492">
        <v>0.317</v>
      </c>
      <c r="H29" s="492">
        <v>0.28899999999999998</v>
      </c>
    </row>
    <row r="30" spans="3:8" ht="15.75" x14ac:dyDescent="0.25">
      <c r="C30" s="685" t="s">
        <v>152</v>
      </c>
      <c r="D30" s="685">
        <v>1996</v>
      </c>
      <c r="E30" s="685" t="str">
        <f t="shared" si="0"/>
        <v>Brazil1996</v>
      </c>
      <c r="F30" s="685" t="s">
        <v>600</v>
      </c>
      <c r="G30" s="1091">
        <v>0.70299999999999996</v>
      </c>
      <c r="H30" s="1091">
        <v>0.51</v>
      </c>
    </row>
    <row r="31" spans="3:8" ht="15.75" x14ac:dyDescent="0.25">
      <c r="C31" s="685" t="s">
        <v>152</v>
      </c>
      <c r="D31" s="685">
        <v>1986</v>
      </c>
      <c r="E31" s="685" t="str">
        <f t="shared" si="0"/>
        <v>Brazil1986</v>
      </c>
      <c r="F31" s="685" t="s">
        <v>2096</v>
      </c>
      <c r="G31" s="492">
        <v>0.56499999999999995</v>
      </c>
      <c r="H31" s="492">
        <v>0.373</v>
      </c>
    </row>
    <row r="32" spans="3:8" ht="15.75" x14ac:dyDescent="0.25">
      <c r="C32" s="685" t="s">
        <v>16</v>
      </c>
      <c r="D32" s="685">
        <v>2010</v>
      </c>
      <c r="E32" s="685" t="str">
        <f t="shared" si="0"/>
        <v>Burkina Faso2010</v>
      </c>
      <c r="F32" s="685" t="s">
        <v>594</v>
      </c>
      <c r="G32" s="492">
        <v>0.15</v>
      </c>
      <c r="H32" s="492">
        <v>0.14300000000000002</v>
      </c>
    </row>
    <row r="33" spans="3:8" ht="15.75" x14ac:dyDescent="0.25">
      <c r="C33" s="685" t="s">
        <v>16</v>
      </c>
      <c r="D33" s="685">
        <v>2003</v>
      </c>
      <c r="E33" s="685" t="str">
        <f t="shared" si="0"/>
        <v>Burkina Faso2003</v>
      </c>
      <c r="F33" s="685" t="s">
        <v>1036</v>
      </c>
      <c r="G33" s="492">
        <v>8.8000000000000009E-2</v>
      </c>
      <c r="H33" s="492">
        <v>9.8000000000000004E-2</v>
      </c>
    </row>
    <row r="34" spans="3:8" ht="15.75" x14ac:dyDescent="0.25">
      <c r="C34" s="685" t="s">
        <v>16</v>
      </c>
      <c r="D34" s="685">
        <v>1998</v>
      </c>
      <c r="E34" s="685" t="str">
        <f t="shared" si="0"/>
        <v>Burkina Faso1998</v>
      </c>
      <c r="F34" s="685" t="s">
        <v>2097</v>
      </c>
      <c r="G34" s="492">
        <v>4.8000000000000001E-2</v>
      </c>
      <c r="H34" s="492">
        <v>5.7999999999999996E-2</v>
      </c>
    </row>
    <row r="35" spans="3:8" ht="15.75" x14ac:dyDescent="0.25">
      <c r="C35" s="685" t="s">
        <v>16</v>
      </c>
      <c r="D35" s="685">
        <v>1993</v>
      </c>
      <c r="E35" s="685" t="str">
        <f t="shared" si="0"/>
        <v>Burkina Faso1993</v>
      </c>
      <c r="F35" s="685" t="s">
        <v>2098</v>
      </c>
      <c r="G35" s="492">
        <v>4.2000000000000003E-2</v>
      </c>
      <c r="H35" s="492">
        <v>0.04</v>
      </c>
    </row>
    <row r="36" spans="3:8" ht="15.75" x14ac:dyDescent="0.25">
      <c r="C36" s="685" t="s">
        <v>17</v>
      </c>
      <c r="D36" s="685">
        <v>2016</v>
      </c>
      <c r="E36" s="685" t="str">
        <f t="shared" si="0"/>
        <v>Burundi2016</v>
      </c>
      <c r="F36" s="685" t="s">
        <v>714</v>
      </c>
      <c r="G36" s="492">
        <v>0.22899999999999998</v>
      </c>
      <c r="H36" s="492">
        <v>0.14599999999999999</v>
      </c>
    </row>
    <row r="37" spans="3:8" ht="15.75" x14ac:dyDescent="0.25">
      <c r="C37" s="685" t="s">
        <v>17</v>
      </c>
      <c r="D37" s="685">
        <v>2010</v>
      </c>
      <c r="E37" s="685" t="str">
        <f t="shared" si="0"/>
        <v>Burundi2010</v>
      </c>
      <c r="F37" s="685" t="s">
        <v>594</v>
      </c>
      <c r="G37" s="492">
        <v>0.17699999999999999</v>
      </c>
      <c r="H37" s="492">
        <v>0.11</v>
      </c>
    </row>
    <row r="38" spans="3:8" ht="15.75" x14ac:dyDescent="0.25">
      <c r="C38" s="685" t="s">
        <v>17</v>
      </c>
      <c r="D38" s="685">
        <v>1987</v>
      </c>
      <c r="E38" s="685" t="str">
        <f t="shared" si="0"/>
        <v>Burundi1987</v>
      </c>
      <c r="F38" s="685" t="s">
        <v>607</v>
      </c>
      <c r="G38" s="492">
        <v>1.2E-2</v>
      </c>
      <c r="H38" s="492">
        <v>0.01</v>
      </c>
    </row>
    <row r="39" spans="3:8" ht="15.75" x14ac:dyDescent="0.25">
      <c r="C39" s="685" t="s">
        <v>18</v>
      </c>
      <c r="D39" s="685">
        <v>2014</v>
      </c>
      <c r="E39" s="685" t="str">
        <f t="shared" si="0"/>
        <v>Cambodia2014</v>
      </c>
      <c r="F39" s="685" t="s">
        <v>596</v>
      </c>
      <c r="G39" s="492">
        <v>0.38799999999999996</v>
      </c>
      <c r="H39" s="492">
        <v>0.26600000000000001</v>
      </c>
    </row>
    <row r="40" spans="3:8" ht="15.75" x14ac:dyDescent="0.25">
      <c r="C40" s="685" t="s">
        <v>18</v>
      </c>
      <c r="D40" s="685">
        <v>2010</v>
      </c>
      <c r="E40" s="685" t="str">
        <f t="shared" si="0"/>
        <v>Cambodia2010</v>
      </c>
      <c r="F40" s="685" t="s">
        <v>594</v>
      </c>
      <c r="G40" s="492">
        <v>0.34899999999999998</v>
      </c>
      <c r="H40" s="492">
        <v>0.217</v>
      </c>
    </row>
    <row r="41" spans="3:8" ht="15.75" x14ac:dyDescent="0.25">
      <c r="C41" s="685" t="s">
        <v>18</v>
      </c>
      <c r="D41" s="685">
        <v>2005</v>
      </c>
      <c r="E41" s="685" t="str">
        <f t="shared" si="0"/>
        <v>Cambodia2005</v>
      </c>
      <c r="F41" s="685" t="s">
        <v>619</v>
      </c>
      <c r="G41" s="492">
        <v>0.27200000000000002</v>
      </c>
      <c r="H41" s="492">
        <v>0.16399999999999998</v>
      </c>
    </row>
    <row r="42" spans="3:8" ht="15.75" x14ac:dyDescent="0.25">
      <c r="C42" s="685" t="s">
        <v>18</v>
      </c>
      <c r="D42" s="685">
        <v>2000</v>
      </c>
      <c r="E42" s="685" t="str">
        <f t="shared" si="0"/>
        <v>Cambodia2000</v>
      </c>
      <c r="F42" s="685" t="s">
        <v>623</v>
      </c>
      <c r="G42" s="492">
        <v>0.188</v>
      </c>
      <c r="H42" s="492">
        <v>0.11199999999999999</v>
      </c>
    </row>
    <row r="43" spans="3:8" ht="15.75" x14ac:dyDescent="0.25">
      <c r="C43" s="685" t="s">
        <v>19</v>
      </c>
      <c r="D43" s="685">
        <v>2018</v>
      </c>
      <c r="E43" s="685" t="str">
        <f t="shared" si="0"/>
        <v>Cameroon2018</v>
      </c>
      <c r="F43" s="685" t="s">
        <v>1146</v>
      </c>
      <c r="G43" s="492">
        <v>0.154</v>
      </c>
      <c r="H43" s="492">
        <v>0.16399999999999998</v>
      </c>
    </row>
    <row r="44" spans="3:8" ht="15.75" x14ac:dyDescent="0.25">
      <c r="C44" s="685" t="s">
        <v>19</v>
      </c>
      <c r="D44" s="685">
        <v>2011</v>
      </c>
      <c r="E44" s="685" t="str">
        <f t="shared" si="0"/>
        <v>Cameroon2011</v>
      </c>
      <c r="F44" s="685" t="s">
        <v>601</v>
      </c>
      <c r="G44" s="492">
        <v>0.14400000000000002</v>
      </c>
      <c r="H44" s="492">
        <v>0.161</v>
      </c>
    </row>
    <row r="45" spans="3:8" ht="15.75" x14ac:dyDescent="0.25">
      <c r="C45" s="685" t="s">
        <v>19</v>
      </c>
      <c r="D45" s="685">
        <v>2004</v>
      </c>
      <c r="E45" s="685" t="str">
        <f t="shared" si="0"/>
        <v>Cameroon2004</v>
      </c>
      <c r="F45" s="685" t="s">
        <v>1035</v>
      </c>
      <c r="G45" s="492">
        <v>0.125</v>
      </c>
      <c r="H45" s="492">
        <v>0.13500000000000001</v>
      </c>
    </row>
    <row r="46" spans="3:8" ht="15.75" x14ac:dyDescent="0.25">
      <c r="C46" s="685" t="s">
        <v>19</v>
      </c>
      <c r="D46" s="685">
        <v>1998</v>
      </c>
      <c r="E46" s="685" t="str">
        <f t="shared" si="0"/>
        <v>Cameroon1998</v>
      </c>
      <c r="F46" s="685" t="s">
        <v>620</v>
      </c>
      <c r="G46" s="492">
        <v>7.0999999999999994E-2</v>
      </c>
      <c r="H46" s="492">
        <v>0.08</v>
      </c>
    </row>
    <row r="47" spans="3:8" ht="15.75" x14ac:dyDescent="0.25">
      <c r="C47" s="685" t="s">
        <v>19</v>
      </c>
      <c r="D47" s="685">
        <v>1991</v>
      </c>
      <c r="E47" s="685" t="str">
        <f t="shared" si="0"/>
        <v>Cameroon1991</v>
      </c>
      <c r="F47" s="685" t="s">
        <v>2099</v>
      </c>
      <c r="G47" s="492">
        <v>4.2999999999999997E-2</v>
      </c>
      <c r="H47" s="492">
        <v>4.2000000000000003E-2</v>
      </c>
    </row>
    <row r="48" spans="3:8" ht="15.75" x14ac:dyDescent="0.25">
      <c r="C48" s="685" t="s">
        <v>2012</v>
      </c>
      <c r="D48" s="685">
        <v>1994</v>
      </c>
      <c r="E48" s="685" t="str">
        <f t="shared" si="0"/>
        <v>Central African Rep.1994</v>
      </c>
      <c r="F48" s="685" t="s">
        <v>602</v>
      </c>
      <c r="G48" s="492">
        <v>3.2000000000000001E-2</v>
      </c>
      <c r="H48" s="492">
        <v>3.5000000000000003E-2</v>
      </c>
    </row>
    <row r="49" spans="3:8" ht="15.75" x14ac:dyDescent="0.25">
      <c r="C49" s="685" t="s">
        <v>20</v>
      </c>
      <c r="D49" s="685">
        <v>2014</v>
      </c>
      <c r="E49" s="685" t="str">
        <f t="shared" si="0"/>
        <v>Chad2014</v>
      </c>
      <c r="F49" s="685" t="s">
        <v>603</v>
      </c>
      <c r="G49" s="492">
        <v>0.05</v>
      </c>
      <c r="H49" s="492">
        <v>4.8000000000000001E-2</v>
      </c>
    </row>
    <row r="50" spans="3:8" ht="15.75" x14ac:dyDescent="0.25">
      <c r="C50" s="685" t="s">
        <v>20</v>
      </c>
      <c r="D50" s="685">
        <v>2004</v>
      </c>
      <c r="E50" s="685" t="str">
        <f t="shared" si="0"/>
        <v>Chad2004</v>
      </c>
      <c r="F50" s="685" t="s">
        <v>1035</v>
      </c>
      <c r="G50" s="492">
        <v>9.9000000000000005E-2</v>
      </c>
      <c r="H50" s="492">
        <v>0.08</v>
      </c>
    </row>
    <row r="51" spans="3:8" ht="15.75" x14ac:dyDescent="0.25">
      <c r="C51" s="685" t="s">
        <v>20</v>
      </c>
      <c r="D51" s="685">
        <v>1996</v>
      </c>
      <c r="E51" s="685" t="str">
        <f t="shared" si="0"/>
        <v>Chad1996</v>
      </c>
      <c r="F51" s="685" t="s">
        <v>2093</v>
      </c>
      <c r="G51" s="492">
        <v>1.2E-2</v>
      </c>
      <c r="H51" s="492">
        <v>1.2E-2</v>
      </c>
    </row>
    <row r="52" spans="3:8" ht="15.75" x14ac:dyDescent="0.25">
      <c r="C52" s="685" t="s">
        <v>163</v>
      </c>
      <c r="D52" s="685">
        <v>2015</v>
      </c>
      <c r="E52" s="685" t="str">
        <f t="shared" si="0"/>
        <v>Colombia2015</v>
      </c>
      <c r="F52" s="685" t="s">
        <v>591</v>
      </c>
      <c r="G52" s="492">
        <v>0.75900000000000001</v>
      </c>
      <c r="H52" s="492">
        <v>0.61399999999999999</v>
      </c>
    </row>
    <row r="53" spans="3:8" ht="15.75" x14ac:dyDescent="0.25">
      <c r="C53" s="685" t="s">
        <v>163</v>
      </c>
      <c r="D53" s="685">
        <v>2010</v>
      </c>
      <c r="E53" s="685" t="str">
        <f t="shared" si="0"/>
        <v>Colombia2010</v>
      </c>
      <c r="F53" s="685" t="s">
        <v>594</v>
      </c>
      <c r="G53" s="492">
        <v>0.72900000000000009</v>
      </c>
      <c r="H53" s="492">
        <v>0.56899999999999995</v>
      </c>
    </row>
    <row r="54" spans="3:8" ht="15.75" x14ac:dyDescent="0.25">
      <c r="C54" s="685" t="s">
        <v>163</v>
      </c>
      <c r="D54" s="685">
        <v>2005</v>
      </c>
      <c r="E54" s="685" t="str">
        <f t="shared" si="0"/>
        <v>Colombia2005</v>
      </c>
      <c r="F54" s="685" t="s">
        <v>619</v>
      </c>
      <c r="G54" s="492">
        <v>0.68200000000000005</v>
      </c>
      <c r="H54" s="492">
        <v>0.49399999999999999</v>
      </c>
    </row>
    <row r="55" spans="3:8" ht="15.75" x14ac:dyDescent="0.25">
      <c r="C55" s="685" t="s">
        <v>163</v>
      </c>
      <c r="D55" s="685">
        <v>2000</v>
      </c>
      <c r="E55" s="685" t="str">
        <f t="shared" si="0"/>
        <v>Colombia2000</v>
      </c>
      <c r="F55" s="685" t="s">
        <v>623</v>
      </c>
      <c r="G55" s="492">
        <v>0.64</v>
      </c>
      <c r="H55" s="492">
        <v>0.43799999999999994</v>
      </c>
    </row>
    <row r="56" spans="3:8" ht="15.75" x14ac:dyDescent="0.25">
      <c r="C56" s="685" t="s">
        <v>163</v>
      </c>
      <c r="D56" s="685">
        <v>1995</v>
      </c>
      <c r="E56" s="685" t="str">
        <f t="shared" si="0"/>
        <v>Colombia1995</v>
      </c>
      <c r="F56" s="685" t="s">
        <v>2100</v>
      </c>
      <c r="G56" s="492">
        <v>0.59299999999999997</v>
      </c>
      <c r="H56" s="492">
        <v>0.39500000000000002</v>
      </c>
    </row>
    <row r="57" spans="3:8" ht="15.75" x14ac:dyDescent="0.25">
      <c r="C57" s="685" t="s">
        <v>163</v>
      </c>
      <c r="D57" s="685">
        <v>1990</v>
      </c>
      <c r="E57" s="685" t="str">
        <f t="shared" si="0"/>
        <v>Colombia1990</v>
      </c>
      <c r="F57" s="685" t="s">
        <v>618</v>
      </c>
      <c r="G57" s="492">
        <v>0.54600000000000004</v>
      </c>
      <c r="H57" s="492">
        <v>0.33</v>
      </c>
    </row>
    <row r="58" spans="3:8" ht="15.75" x14ac:dyDescent="0.25">
      <c r="C58" s="685" t="s">
        <v>163</v>
      </c>
      <c r="D58" s="685">
        <v>1986</v>
      </c>
      <c r="E58" s="685" t="str">
        <f t="shared" si="0"/>
        <v>Colombia1986</v>
      </c>
      <c r="F58" s="685" t="s">
        <v>2096</v>
      </c>
      <c r="G58" s="492">
        <v>0.52400000000000002</v>
      </c>
      <c r="H58" s="492">
        <v>0.31900000000000001</v>
      </c>
    </row>
    <row r="59" spans="3:8" ht="15.75" x14ac:dyDescent="0.25">
      <c r="C59" s="685" t="s">
        <v>21</v>
      </c>
      <c r="D59" s="685">
        <v>2012</v>
      </c>
      <c r="E59" s="685" t="str">
        <f t="shared" si="0"/>
        <v>Comoros2012</v>
      </c>
      <c r="F59" s="685" t="s">
        <v>604</v>
      </c>
      <c r="G59" s="492">
        <v>0.14199999999999999</v>
      </c>
      <c r="H59" s="492">
        <v>9.9000000000000005E-2</v>
      </c>
    </row>
    <row r="60" spans="3:8" ht="15.75" x14ac:dyDescent="0.25">
      <c r="C60" s="685" t="s">
        <v>21</v>
      </c>
      <c r="D60" s="685">
        <v>1996</v>
      </c>
      <c r="E60" s="685" t="str">
        <f t="shared" si="0"/>
        <v>Comoros1996</v>
      </c>
      <c r="F60" s="685" t="s">
        <v>600</v>
      </c>
      <c r="G60" s="492">
        <v>0.114</v>
      </c>
      <c r="H60" s="492">
        <v>7.8E-2</v>
      </c>
    </row>
    <row r="61" spans="3:8" ht="15.75" x14ac:dyDescent="0.25">
      <c r="C61" s="685" t="s">
        <v>22</v>
      </c>
      <c r="D61" s="685">
        <v>2011</v>
      </c>
      <c r="E61" s="685" t="str">
        <f t="shared" si="0"/>
        <v>Congo2011</v>
      </c>
      <c r="F61" s="685" t="s">
        <v>597</v>
      </c>
      <c r="G61" s="492">
        <v>0.2</v>
      </c>
      <c r="H61" s="492">
        <v>0.223</v>
      </c>
    </row>
    <row r="62" spans="3:8" ht="15.75" x14ac:dyDescent="0.25">
      <c r="C62" s="685" t="s">
        <v>22</v>
      </c>
      <c r="D62" s="685">
        <v>2005</v>
      </c>
      <c r="E62" s="685" t="str">
        <f t="shared" si="0"/>
        <v>Congo2005</v>
      </c>
      <c r="F62" s="685" t="s">
        <v>619</v>
      </c>
      <c r="G62" s="492">
        <v>0.127</v>
      </c>
      <c r="H62" s="492">
        <v>0.13500000000000001</v>
      </c>
    </row>
    <row r="63" spans="3:8" ht="15.75" x14ac:dyDescent="0.25">
      <c r="C63" s="685" t="s">
        <v>2101</v>
      </c>
      <c r="D63" s="685">
        <v>2013</v>
      </c>
      <c r="E63" s="685" t="str">
        <f t="shared" si="0"/>
        <v>Congo Democratic Republic2013</v>
      </c>
      <c r="F63" s="685" t="s">
        <v>606</v>
      </c>
      <c r="G63" s="492">
        <v>7.8E-2</v>
      </c>
      <c r="H63" s="492">
        <v>8.1000000000000003E-2</v>
      </c>
    </row>
    <row r="64" spans="3:8" ht="15.75" x14ac:dyDescent="0.25">
      <c r="C64" s="685" t="s">
        <v>2101</v>
      </c>
      <c r="D64" s="685">
        <v>2007</v>
      </c>
      <c r="E64" s="685" t="str">
        <f t="shared" si="0"/>
        <v>Congo Democratic Republic2007</v>
      </c>
      <c r="F64" s="685" t="s">
        <v>624</v>
      </c>
      <c r="G64" s="492">
        <v>5.7999999999999996E-2</v>
      </c>
      <c r="H64" s="492">
        <v>6.7000000000000004E-2</v>
      </c>
    </row>
    <row r="65" spans="3:8" ht="15.75" x14ac:dyDescent="0.25">
      <c r="C65" s="685" t="s">
        <v>2014</v>
      </c>
      <c r="D65" s="685">
        <v>2011</v>
      </c>
      <c r="E65" s="685" t="str">
        <f t="shared" si="0"/>
        <v>Cote d'Ivoire2011</v>
      </c>
      <c r="F65" s="685" t="s">
        <v>597</v>
      </c>
      <c r="G65" s="492">
        <v>0.125</v>
      </c>
      <c r="H65" s="492">
        <v>0.13900000000000001</v>
      </c>
    </row>
    <row r="66" spans="3:8" ht="15.75" x14ac:dyDescent="0.25">
      <c r="C66" s="685" t="s">
        <v>2014</v>
      </c>
      <c r="D66" s="685">
        <v>1998</v>
      </c>
      <c r="E66" s="685" t="str">
        <f t="shared" si="0"/>
        <v>Cote d'Ivoire1998</v>
      </c>
      <c r="F66" s="685" t="s">
        <v>2097</v>
      </c>
      <c r="G66" s="492">
        <v>7.2999999999999995E-2</v>
      </c>
      <c r="H66" s="492">
        <v>9.8000000000000004E-2</v>
      </c>
    </row>
    <row r="67" spans="3:8" ht="15.75" x14ac:dyDescent="0.25">
      <c r="C67" s="685" t="s">
        <v>2014</v>
      </c>
      <c r="D67" s="685">
        <v>1994</v>
      </c>
      <c r="E67" s="685" t="str">
        <f t="shared" ref="E67:E131" si="2">C67&amp;D67</f>
        <v>Cote d'Ivoire1994</v>
      </c>
      <c r="F67" s="685" t="s">
        <v>1202</v>
      </c>
      <c r="G67" s="492">
        <v>4.2999999999999997E-2</v>
      </c>
      <c r="H67" s="492">
        <v>5.7000000000000002E-2</v>
      </c>
    </row>
    <row r="68" spans="3:8" ht="15.75" x14ac:dyDescent="0.25">
      <c r="C68" s="685" t="s">
        <v>172</v>
      </c>
      <c r="D68" s="685">
        <v>2013</v>
      </c>
      <c r="E68" s="685" t="str">
        <f t="shared" si="2"/>
        <v>Dominican Republic2013</v>
      </c>
      <c r="F68" s="685" t="s">
        <v>605</v>
      </c>
      <c r="G68" s="492">
        <v>0.68599999999999994</v>
      </c>
      <c r="H68" s="492">
        <v>0.52600000000000002</v>
      </c>
    </row>
    <row r="69" spans="3:8" ht="15.75" x14ac:dyDescent="0.25">
      <c r="C69" s="685" t="s">
        <v>172</v>
      </c>
      <c r="D69" s="685">
        <v>2007</v>
      </c>
      <c r="E69" s="685" t="str">
        <f t="shared" si="2"/>
        <v>Dominican Republic2007</v>
      </c>
      <c r="F69" s="685" t="s">
        <v>624</v>
      </c>
      <c r="G69" s="492">
        <v>0.7</v>
      </c>
      <c r="H69" s="492">
        <v>0.51900000000000002</v>
      </c>
    </row>
    <row r="70" spans="3:8" ht="15.75" x14ac:dyDescent="0.25">
      <c r="C70" s="685" t="s">
        <v>172</v>
      </c>
      <c r="D70" s="685">
        <v>2002</v>
      </c>
      <c r="E70" s="685" t="str">
        <f t="shared" si="2"/>
        <v>Dominican Republic2002</v>
      </c>
      <c r="F70" s="685" t="s">
        <v>609</v>
      </c>
      <c r="G70" s="492">
        <v>0.65799999999999992</v>
      </c>
      <c r="H70" s="492">
        <v>0.48200000000000004</v>
      </c>
    </row>
    <row r="71" spans="3:8" ht="15.75" x14ac:dyDescent="0.25">
      <c r="C71" s="685" t="s">
        <v>172</v>
      </c>
      <c r="D71" s="685">
        <v>1999</v>
      </c>
      <c r="E71" s="685" t="str">
        <f t="shared" si="2"/>
        <v>Dominican Republic1999</v>
      </c>
      <c r="F71" s="685" t="s">
        <v>613</v>
      </c>
      <c r="G71" s="492">
        <v>0.6409999999999999</v>
      </c>
      <c r="H71" s="492">
        <v>0.45600000000000002</v>
      </c>
    </row>
    <row r="72" spans="3:8" ht="15.75" x14ac:dyDescent="0.25">
      <c r="C72" s="685" t="s">
        <v>172</v>
      </c>
      <c r="D72" s="685">
        <v>1996</v>
      </c>
      <c r="E72" s="685" t="str">
        <f t="shared" si="2"/>
        <v>Dominican Republic1996</v>
      </c>
      <c r="F72" s="685" t="s">
        <v>600</v>
      </c>
      <c r="G72" s="492">
        <v>0.59200000000000008</v>
      </c>
      <c r="H72" s="492">
        <v>0.41299999999999998</v>
      </c>
    </row>
    <row r="73" spans="3:8" ht="15.75" x14ac:dyDescent="0.25">
      <c r="C73" s="685" t="s">
        <v>172</v>
      </c>
      <c r="D73" s="685">
        <v>1991</v>
      </c>
      <c r="E73" s="685" t="str">
        <f t="shared" si="2"/>
        <v>Dominican Republic1991</v>
      </c>
      <c r="F73" s="685" t="s">
        <v>2099</v>
      </c>
      <c r="G73" s="492">
        <v>0.51700000000000002</v>
      </c>
      <c r="H73" s="492">
        <v>0.33899999999999997</v>
      </c>
    </row>
    <row r="74" spans="3:8" ht="15.75" x14ac:dyDescent="0.25">
      <c r="C74" s="685" t="s">
        <v>172</v>
      </c>
      <c r="D74" s="685">
        <v>1986</v>
      </c>
      <c r="E74" s="685" t="str">
        <f t="shared" si="2"/>
        <v>Dominican Republic1986</v>
      </c>
      <c r="F74" s="685" t="s">
        <v>2096</v>
      </c>
      <c r="G74" s="492">
        <v>0.46500000000000002</v>
      </c>
      <c r="H74" s="492">
        <v>0.29100000000000004</v>
      </c>
    </row>
    <row r="75" spans="3:8" ht="15.75" x14ac:dyDescent="0.25">
      <c r="C75" s="685" t="s">
        <v>173</v>
      </c>
      <c r="D75" s="685">
        <v>1987</v>
      </c>
      <c r="E75" s="685" t="str">
        <f t="shared" si="2"/>
        <v>Ecuador1987</v>
      </c>
      <c r="F75" s="685" t="s">
        <v>607</v>
      </c>
      <c r="G75" s="492">
        <v>0.35799999999999998</v>
      </c>
      <c r="H75" s="492">
        <v>0.23499999999999999</v>
      </c>
    </row>
    <row r="76" spans="3:8" ht="15.75" x14ac:dyDescent="0.25">
      <c r="C76" s="685" t="s">
        <v>27</v>
      </c>
      <c r="D76" s="685">
        <v>2014</v>
      </c>
      <c r="E76" s="685" t="str">
        <f t="shared" si="2"/>
        <v>Egypt2014</v>
      </c>
      <c r="F76" s="685" t="s">
        <v>596</v>
      </c>
      <c r="G76" s="492">
        <v>0.56899999999999995</v>
      </c>
      <c r="H76" s="492" t="e">
        <f t="shared" ref="H76:H83" si="3">(NA())/100</f>
        <v>#N/A</v>
      </c>
    </row>
    <row r="77" spans="3:8" ht="15.75" x14ac:dyDescent="0.25">
      <c r="C77" s="685" t="s">
        <v>27</v>
      </c>
      <c r="D77" s="685">
        <v>2008</v>
      </c>
      <c r="E77" s="685" t="str">
        <f t="shared" si="2"/>
        <v>Egypt2008</v>
      </c>
      <c r="F77" s="685" t="s">
        <v>598</v>
      </c>
      <c r="G77" s="492">
        <v>0.57600000000000007</v>
      </c>
      <c r="H77" s="492" t="e">
        <f t="shared" si="3"/>
        <v>#N/A</v>
      </c>
    </row>
    <row r="78" spans="3:8" ht="15.75" x14ac:dyDescent="0.25">
      <c r="C78" s="685" t="s">
        <v>27</v>
      </c>
      <c r="D78" s="685">
        <v>2005</v>
      </c>
      <c r="E78" s="685" t="str">
        <f t="shared" si="2"/>
        <v>Egypt2005</v>
      </c>
      <c r="F78" s="685" t="s">
        <v>619</v>
      </c>
      <c r="G78" s="492">
        <v>0.56499999999999995</v>
      </c>
      <c r="H78" s="492" t="e">
        <f t="shared" si="3"/>
        <v>#N/A</v>
      </c>
    </row>
    <row r="79" spans="3:8" ht="15.75" x14ac:dyDescent="0.25">
      <c r="C79" s="685" t="s">
        <v>27</v>
      </c>
      <c r="D79" s="685">
        <v>2003</v>
      </c>
      <c r="E79" s="685" t="str">
        <f t="shared" si="2"/>
        <v>Egypt2003</v>
      </c>
      <c r="F79" s="685" t="s">
        <v>1036</v>
      </c>
      <c r="G79" s="492">
        <v>0.56600000000000006</v>
      </c>
      <c r="H79" s="492" t="e">
        <f t="shared" si="3"/>
        <v>#N/A</v>
      </c>
    </row>
    <row r="80" spans="3:8" ht="15.75" x14ac:dyDescent="0.25">
      <c r="C80" s="685" t="s">
        <v>27</v>
      </c>
      <c r="D80" s="685">
        <v>2000</v>
      </c>
      <c r="E80" s="685" t="str">
        <f t="shared" si="2"/>
        <v>Egypt2000</v>
      </c>
      <c r="F80" s="685" t="s">
        <v>623</v>
      </c>
      <c r="G80" s="492">
        <v>0.53900000000000003</v>
      </c>
      <c r="H80" s="492" t="e">
        <f t="shared" si="3"/>
        <v>#N/A</v>
      </c>
    </row>
    <row r="81" spans="3:8" ht="15.75" x14ac:dyDescent="0.25">
      <c r="C81" s="685" t="s">
        <v>27</v>
      </c>
      <c r="D81" s="685">
        <v>1995</v>
      </c>
      <c r="E81" s="685" t="str">
        <f t="shared" si="2"/>
        <v>Egypt1995</v>
      </c>
      <c r="F81" s="685" t="s">
        <v>2100</v>
      </c>
      <c r="G81" s="492">
        <v>0.45500000000000002</v>
      </c>
      <c r="H81" s="492" t="e">
        <f t="shared" si="3"/>
        <v>#N/A</v>
      </c>
    </row>
    <row r="82" spans="3:8" ht="15.75" x14ac:dyDescent="0.25">
      <c r="C82" s="685" t="s">
        <v>27</v>
      </c>
      <c r="D82" s="685">
        <v>1992</v>
      </c>
      <c r="E82" s="685" t="str">
        <f t="shared" si="2"/>
        <v>Egypt1992</v>
      </c>
      <c r="F82" s="685" t="s">
        <v>2102</v>
      </c>
      <c r="G82" s="492">
        <v>0.44799999999999995</v>
      </c>
      <c r="H82" s="492" t="e">
        <f t="shared" si="3"/>
        <v>#N/A</v>
      </c>
    </row>
    <row r="83" spans="3:8" ht="15.75" x14ac:dyDescent="0.25">
      <c r="C83" s="685" t="s">
        <v>27</v>
      </c>
      <c r="D83" s="685">
        <v>1988</v>
      </c>
      <c r="E83" s="685" t="str">
        <f t="shared" si="2"/>
        <v>Egypt1988</v>
      </c>
      <c r="F83" s="685" t="s">
        <v>599</v>
      </c>
      <c r="G83" s="492">
        <v>0.35499999999999998</v>
      </c>
      <c r="H83" s="492" t="e">
        <f t="shared" si="3"/>
        <v>#N/A</v>
      </c>
    </row>
    <row r="84" spans="3:8" ht="15.75" x14ac:dyDescent="0.25">
      <c r="C84" s="685" t="s">
        <v>174</v>
      </c>
      <c r="D84" s="685">
        <v>1985</v>
      </c>
      <c r="E84" s="685" t="str">
        <f t="shared" si="2"/>
        <v>El Salvador1985</v>
      </c>
      <c r="F84" s="685" t="s">
        <v>608</v>
      </c>
      <c r="G84" s="492">
        <v>0.44500000000000001</v>
      </c>
      <c r="H84" s="492">
        <v>0.30599999999999999</v>
      </c>
    </row>
    <row r="85" spans="3:8" ht="15.75" x14ac:dyDescent="0.25">
      <c r="C85" s="685" t="s">
        <v>28</v>
      </c>
      <c r="D85" s="685">
        <v>2002</v>
      </c>
      <c r="E85" s="685" t="str">
        <f t="shared" si="2"/>
        <v>Eritrea2002</v>
      </c>
      <c r="F85" s="685" t="s">
        <v>609</v>
      </c>
      <c r="G85" s="492">
        <v>7.2999999999999995E-2</v>
      </c>
      <c r="H85" s="492">
        <v>5.2000000000000005E-2</v>
      </c>
    </row>
    <row r="86" spans="3:8" ht="15.75" x14ac:dyDescent="0.25">
      <c r="C86" s="685" t="s">
        <v>28</v>
      </c>
      <c r="D86" s="685">
        <v>1995</v>
      </c>
      <c r="E86" s="685" t="str">
        <f t="shared" si="2"/>
        <v>Eritrea1995</v>
      </c>
      <c r="F86" s="685" t="s">
        <v>2100</v>
      </c>
      <c r="G86" s="492">
        <v>0.04</v>
      </c>
      <c r="H86" s="492">
        <v>3.1E-2</v>
      </c>
    </row>
    <row r="87" spans="3:8" ht="15.75" x14ac:dyDescent="0.25">
      <c r="C87" s="685" t="s">
        <v>1037</v>
      </c>
      <c r="D87" s="685">
        <v>2006</v>
      </c>
      <c r="E87" s="685" t="str">
        <f t="shared" si="2"/>
        <v>Eswatini2006</v>
      </c>
      <c r="F87" s="685" t="s">
        <v>621</v>
      </c>
      <c r="G87" s="492">
        <v>0.47700000000000004</v>
      </c>
      <c r="H87" s="492">
        <v>0.36299999999999999</v>
      </c>
    </row>
    <row r="88" spans="3:8" ht="15.75" x14ac:dyDescent="0.25">
      <c r="C88" s="685" t="s">
        <v>29</v>
      </c>
      <c r="D88" s="685">
        <v>2019</v>
      </c>
      <c r="E88" s="685" t="str">
        <f t="shared" si="2"/>
        <v>Ethiopia2019</v>
      </c>
      <c r="F88" s="685" t="s">
        <v>1151</v>
      </c>
      <c r="G88" s="492">
        <v>0.40500000000000003</v>
      </c>
      <c r="H88" s="492">
        <v>0.28100000000000003</v>
      </c>
    </row>
    <row r="89" spans="3:8" ht="15.75" x14ac:dyDescent="0.25">
      <c r="C89" s="685" t="s">
        <v>29</v>
      </c>
      <c r="D89" s="685">
        <v>2016</v>
      </c>
      <c r="E89" s="685" t="str">
        <f t="shared" si="2"/>
        <v>Ethiopia2016</v>
      </c>
      <c r="F89" s="685" t="s">
        <v>610</v>
      </c>
      <c r="G89" s="492">
        <v>0.35299999999999998</v>
      </c>
      <c r="H89" s="492">
        <v>0.249</v>
      </c>
    </row>
    <row r="90" spans="3:8" ht="15.75" x14ac:dyDescent="0.25">
      <c r="C90" s="685" t="s">
        <v>29</v>
      </c>
      <c r="D90" s="685">
        <v>2011</v>
      </c>
      <c r="E90" s="685" t="str">
        <f t="shared" si="2"/>
        <v>Ethiopia2011</v>
      </c>
      <c r="F90" s="685" t="s">
        <v>601</v>
      </c>
      <c r="G90" s="492">
        <v>0.27300000000000002</v>
      </c>
      <c r="H90" s="492">
        <v>0.187</v>
      </c>
    </row>
    <row r="91" spans="3:8" ht="15.75" x14ac:dyDescent="0.25">
      <c r="C91" s="685" t="s">
        <v>29</v>
      </c>
      <c r="D91" s="685">
        <v>2005</v>
      </c>
      <c r="E91" s="685" t="str">
        <f t="shared" si="2"/>
        <v>Ethiopia2005</v>
      </c>
      <c r="F91" s="685" t="s">
        <v>619</v>
      </c>
      <c r="G91" s="492">
        <v>0.13900000000000001</v>
      </c>
      <c r="H91" s="492">
        <v>9.6999999999999989E-2</v>
      </c>
    </row>
    <row r="92" spans="3:8" ht="15.75" x14ac:dyDescent="0.25">
      <c r="C92" s="685" t="s">
        <v>29</v>
      </c>
      <c r="D92" s="685">
        <v>2000</v>
      </c>
      <c r="E92" s="685" t="str">
        <f t="shared" si="2"/>
        <v>Ethiopia2000</v>
      </c>
      <c r="F92" s="685" t="s">
        <v>623</v>
      </c>
      <c r="G92" s="492">
        <v>6.3E-2</v>
      </c>
      <c r="H92" s="492">
        <v>4.7E-2</v>
      </c>
    </row>
    <row r="93" spans="3:8" ht="15.75" x14ac:dyDescent="0.25">
      <c r="C93" s="685" t="s">
        <v>184</v>
      </c>
      <c r="D93" s="685">
        <v>2012</v>
      </c>
      <c r="E93" s="685" t="str">
        <f t="shared" si="2"/>
        <v>Gabon2012</v>
      </c>
      <c r="F93" s="685" t="s">
        <v>604</v>
      </c>
      <c r="G93" s="492">
        <v>0.19399999999999998</v>
      </c>
      <c r="H93" s="492">
        <v>0.24</v>
      </c>
    </row>
    <row r="94" spans="3:8" ht="15.75" x14ac:dyDescent="0.25">
      <c r="C94" s="685" t="s">
        <v>184</v>
      </c>
      <c r="D94" s="685">
        <v>2000</v>
      </c>
      <c r="E94" s="685" t="str">
        <f t="shared" si="2"/>
        <v>Gabon2000</v>
      </c>
      <c r="F94" s="685" t="s">
        <v>623</v>
      </c>
      <c r="G94" s="492">
        <v>0.11800000000000001</v>
      </c>
      <c r="H94" s="492">
        <v>0.14300000000000002</v>
      </c>
    </row>
    <row r="95" spans="3:8" ht="15.75" x14ac:dyDescent="0.25">
      <c r="C95" s="685" t="s">
        <v>30</v>
      </c>
      <c r="D95" s="685">
        <v>2019</v>
      </c>
      <c r="E95" s="685" t="str">
        <f t="shared" si="2"/>
        <v>Gambia2019</v>
      </c>
      <c r="F95" s="685" t="s">
        <v>2015</v>
      </c>
      <c r="G95" s="492">
        <v>0.17100000000000001</v>
      </c>
      <c r="H95" s="492">
        <v>0.122</v>
      </c>
    </row>
    <row r="96" spans="3:8" ht="15.75" x14ac:dyDescent="0.25">
      <c r="C96" s="685" t="s">
        <v>30</v>
      </c>
      <c r="D96" s="685">
        <v>2013</v>
      </c>
      <c r="E96" s="685" t="str">
        <f t="shared" si="2"/>
        <v>Gambia2013</v>
      </c>
      <c r="F96" s="685" t="s">
        <v>605</v>
      </c>
      <c r="G96" s="492">
        <v>8.1000000000000003E-2</v>
      </c>
      <c r="H96" s="492">
        <v>6.5000000000000002E-2</v>
      </c>
    </row>
    <row r="97" spans="3:8" ht="15.75" x14ac:dyDescent="0.25">
      <c r="C97" s="685" t="s">
        <v>31</v>
      </c>
      <c r="D97" s="685">
        <v>2014</v>
      </c>
      <c r="E97" s="685" t="str">
        <f t="shared" si="2"/>
        <v>Ghana2014</v>
      </c>
      <c r="F97" s="685" t="s">
        <v>596</v>
      </c>
      <c r="G97" s="492">
        <v>0.222</v>
      </c>
      <c r="H97" s="492">
        <v>0.182</v>
      </c>
    </row>
    <row r="98" spans="3:8" ht="15.75" x14ac:dyDescent="0.25">
      <c r="C98" s="685" t="s">
        <v>31</v>
      </c>
      <c r="D98" s="685">
        <v>2008</v>
      </c>
      <c r="E98" s="685" t="str">
        <f t="shared" si="2"/>
        <v>Ghana2008</v>
      </c>
      <c r="F98" s="685" t="s">
        <v>598</v>
      </c>
      <c r="G98" s="492">
        <v>0.16600000000000001</v>
      </c>
      <c r="H98" s="492">
        <v>0.13500000000000001</v>
      </c>
    </row>
    <row r="99" spans="3:8" ht="15.75" x14ac:dyDescent="0.25">
      <c r="C99" s="685" t="s">
        <v>31</v>
      </c>
      <c r="D99" s="685">
        <v>2003</v>
      </c>
      <c r="E99" s="685" t="str">
        <f t="shared" si="2"/>
        <v>Ghana2003</v>
      </c>
      <c r="F99" s="685" t="s">
        <v>1036</v>
      </c>
      <c r="G99" s="492">
        <v>0.187</v>
      </c>
      <c r="H99" s="492">
        <v>0.153</v>
      </c>
    </row>
    <row r="100" spans="3:8" ht="15.75" x14ac:dyDescent="0.25">
      <c r="C100" s="685" t="s">
        <v>31</v>
      </c>
      <c r="D100" s="685">
        <v>1998</v>
      </c>
      <c r="E100" s="685" t="str">
        <f t="shared" si="2"/>
        <v>Ghana1998</v>
      </c>
      <c r="F100" s="685" t="s">
        <v>620</v>
      </c>
      <c r="G100" s="492">
        <v>0.13300000000000001</v>
      </c>
      <c r="H100" s="492">
        <v>0.107</v>
      </c>
    </row>
    <row r="101" spans="3:8" ht="15.75" x14ac:dyDescent="0.25">
      <c r="C101" s="685" t="s">
        <v>31</v>
      </c>
      <c r="D101" s="685">
        <v>1993</v>
      </c>
      <c r="E101" s="685" t="str">
        <f t="shared" si="2"/>
        <v>Ghana1993</v>
      </c>
      <c r="F101" s="685" t="s">
        <v>2098</v>
      </c>
      <c r="G101" s="492">
        <v>0.10099999999999999</v>
      </c>
      <c r="H101" s="492">
        <v>9.3000000000000013E-2</v>
      </c>
    </row>
    <row r="102" spans="3:8" ht="15.75" x14ac:dyDescent="0.25">
      <c r="C102" s="685" t="s">
        <v>31</v>
      </c>
      <c r="D102" s="685">
        <v>1988</v>
      </c>
      <c r="E102" s="685" t="str">
        <f t="shared" si="2"/>
        <v>Ghana1988</v>
      </c>
      <c r="F102" s="685" t="s">
        <v>599</v>
      </c>
      <c r="G102" s="492">
        <v>5.2000000000000005E-2</v>
      </c>
      <c r="H102" s="492">
        <v>4.7E-2</v>
      </c>
    </row>
    <row r="103" spans="3:8" ht="15.75" x14ac:dyDescent="0.25">
      <c r="C103" s="685" t="s">
        <v>193</v>
      </c>
      <c r="D103" s="685">
        <v>2014</v>
      </c>
      <c r="E103" s="685" t="str">
        <f t="shared" si="2"/>
        <v>Guatemala2014</v>
      </c>
      <c r="F103" s="685" t="s">
        <v>603</v>
      </c>
      <c r="G103" s="492">
        <v>0.48899999999999999</v>
      </c>
      <c r="H103" s="492">
        <v>0.32200000000000001</v>
      </c>
    </row>
    <row r="104" spans="3:8" ht="15.75" x14ac:dyDescent="0.25">
      <c r="C104" s="685" t="s">
        <v>193</v>
      </c>
      <c r="D104" s="685">
        <v>1998</v>
      </c>
      <c r="E104" s="685" t="str">
        <f t="shared" si="2"/>
        <v>Guatemala1998</v>
      </c>
      <c r="F104" s="685" t="s">
        <v>2097</v>
      </c>
      <c r="G104" s="492">
        <v>0.309</v>
      </c>
      <c r="H104" s="492">
        <v>0.217</v>
      </c>
    </row>
    <row r="105" spans="3:8" ht="15.75" x14ac:dyDescent="0.25">
      <c r="C105" s="685" t="s">
        <v>193</v>
      </c>
      <c r="D105" s="685">
        <v>1995</v>
      </c>
      <c r="E105" s="685" t="str">
        <f t="shared" si="2"/>
        <v>Guatemala1995</v>
      </c>
      <c r="F105" s="685" t="s">
        <v>2100</v>
      </c>
      <c r="G105" s="492">
        <v>0.26899999999999996</v>
      </c>
      <c r="H105" s="492">
        <v>0.184</v>
      </c>
    </row>
    <row r="106" spans="3:8" ht="15.75" x14ac:dyDescent="0.25">
      <c r="C106" s="685" t="s">
        <v>193</v>
      </c>
      <c r="D106" s="685">
        <v>1987</v>
      </c>
      <c r="E106" s="685" t="str">
        <f t="shared" si="2"/>
        <v>Guatemala1987</v>
      </c>
      <c r="F106" s="685" t="s">
        <v>607</v>
      </c>
      <c r="G106" s="492">
        <v>0.19</v>
      </c>
      <c r="H106" s="492">
        <v>0.13400000000000001</v>
      </c>
    </row>
    <row r="107" spans="3:8" ht="15.75" x14ac:dyDescent="0.25">
      <c r="C107" s="685" t="s">
        <v>32</v>
      </c>
      <c r="D107" s="685">
        <v>2018</v>
      </c>
      <c r="E107" s="685" t="str">
        <f t="shared" si="2"/>
        <v>Guinea2018</v>
      </c>
      <c r="F107" s="685" t="s">
        <v>1146</v>
      </c>
      <c r="G107" s="492">
        <v>0.106</v>
      </c>
      <c r="H107" s="492">
        <v>0.114</v>
      </c>
    </row>
    <row r="108" spans="3:8" ht="15.75" x14ac:dyDescent="0.25">
      <c r="C108" s="685" t="s">
        <v>32</v>
      </c>
      <c r="D108" s="685">
        <v>2012</v>
      </c>
      <c r="E108" s="685" t="str">
        <f t="shared" si="2"/>
        <v>Guinea2012</v>
      </c>
      <c r="F108" s="685" t="s">
        <v>604</v>
      </c>
      <c r="G108" s="492">
        <v>4.5999999999999999E-2</v>
      </c>
      <c r="H108" s="492">
        <v>7.0000000000000007E-2</v>
      </c>
    </row>
    <row r="109" spans="3:8" ht="15.75" x14ac:dyDescent="0.25">
      <c r="C109" s="685" t="s">
        <v>32</v>
      </c>
      <c r="D109" s="685">
        <v>2005</v>
      </c>
      <c r="E109" s="685" t="str">
        <f t="shared" si="2"/>
        <v>Guinea2005</v>
      </c>
      <c r="F109" s="685" t="s">
        <v>619</v>
      </c>
      <c r="G109" s="492">
        <v>5.7000000000000002E-2</v>
      </c>
      <c r="H109" s="492">
        <v>6.8000000000000005E-2</v>
      </c>
    </row>
    <row r="110" spans="3:8" ht="15.75" x14ac:dyDescent="0.25">
      <c r="C110" s="685" t="s">
        <v>32</v>
      </c>
      <c r="D110" s="685">
        <v>1999</v>
      </c>
      <c r="E110" s="685" t="str">
        <f t="shared" si="2"/>
        <v>Guinea1999</v>
      </c>
      <c r="F110" s="685" t="s">
        <v>613</v>
      </c>
      <c r="G110" s="492">
        <v>4.2000000000000003E-2</v>
      </c>
      <c r="H110" s="492">
        <v>4.9000000000000002E-2</v>
      </c>
    </row>
    <row r="111" spans="3:8" ht="15.75" x14ac:dyDescent="0.25">
      <c r="C111" s="685" t="s">
        <v>194</v>
      </c>
      <c r="D111" s="685">
        <v>2009</v>
      </c>
      <c r="E111" s="685" t="str">
        <f t="shared" si="2"/>
        <v>Guyana2009</v>
      </c>
      <c r="F111" s="685" t="s">
        <v>611</v>
      </c>
      <c r="G111" s="709">
        <v>0.4</v>
      </c>
      <c r="H111" s="709">
        <v>0.32500000000000001</v>
      </c>
    </row>
    <row r="112" spans="3:8" ht="15.75" x14ac:dyDescent="0.25">
      <c r="C112" s="685" t="s">
        <v>34</v>
      </c>
      <c r="D112" s="685">
        <v>2016</v>
      </c>
      <c r="E112" s="685" t="str">
        <f t="shared" si="2"/>
        <v>Haiti2016</v>
      </c>
      <c r="F112" s="685" t="s">
        <v>714</v>
      </c>
      <c r="G112" s="709">
        <v>0.318</v>
      </c>
      <c r="H112" s="709">
        <v>0.223</v>
      </c>
    </row>
    <row r="113" spans="3:8" ht="15.75" x14ac:dyDescent="0.25">
      <c r="C113" s="685" t="s">
        <v>34</v>
      </c>
      <c r="D113" s="685">
        <v>2012</v>
      </c>
      <c r="E113" s="685" t="str">
        <f t="shared" si="2"/>
        <v>Haiti2012</v>
      </c>
      <c r="F113" s="685" t="s">
        <v>604</v>
      </c>
      <c r="G113" s="709">
        <v>0.313</v>
      </c>
      <c r="H113" s="709">
        <v>0.21600000000000003</v>
      </c>
    </row>
    <row r="114" spans="3:8" ht="15.75" x14ac:dyDescent="0.25">
      <c r="C114" s="685" t="s">
        <v>34</v>
      </c>
      <c r="D114" s="685">
        <v>2005</v>
      </c>
      <c r="E114" s="685" t="str">
        <f t="shared" si="2"/>
        <v>Haiti2005</v>
      </c>
      <c r="F114" s="685" t="s">
        <v>612</v>
      </c>
      <c r="G114" s="709">
        <v>0.248</v>
      </c>
      <c r="H114" s="709">
        <v>0.17899999999999999</v>
      </c>
    </row>
    <row r="115" spans="3:8" ht="15.75" x14ac:dyDescent="0.25">
      <c r="C115" s="685" t="s">
        <v>34</v>
      </c>
      <c r="D115" s="685">
        <v>2000</v>
      </c>
      <c r="E115" s="685" t="str">
        <f t="shared" si="2"/>
        <v>Haiti2000</v>
      </c>
      <c r="F115" s="685" t="s">
        <v>623</v>
      </c>
      <c r="G115" s="709">
        <v>0.22800000000000001</v>
      </c>
      <c r="H115" s="709">
        <v>0.158</v>
      </c>
    </row>
    <row r="116" spans="3:8" ht="15.75" x14ac:dyDescent="0.25">
      <c r="C116" s="685" t="s">
        <v>34</v>
      </c>
      <c r="D116" s="685">
        <v>1994</v>
      </c>
      <c r="E116" s="685" t="str">
        <f t="shared" si="2"/>
        <v>Haiti1994</v>
      </c>
      <c r="F116" s="685" t="s">
        <v>602</v>
      </c>
      <c r="G116" s="709">
        <v>0.13200000000000001</v>
      </c>
      <c r="H116" s="709">
        <v>8.900000000000001E-2</v>
      </c>
    </row>
    <row r="117" spans="3:8" ht="15.75" x14ac:dyDescent="0.25">
      <c r="C117" s="685" t="s">
        <v>35</v>
      </c>
      <c r="D117" s="685">
        <v>2011</v>
      </c>
      <c r="E117" s="685" t="str">
        <f t="shared" si="2"/>
        <v>Honduras2011</v>
      </c>
      <c r="F117" s="685" t="s">
        <v>597</v>
      </c>
      <c r="G117" s="709">
        <v>0.63800000000000001</v>
      </c>
      <c r="H117" s="709">
        <v>0.42899999999999999</v>
      </c>
    </row>
    <row r="118" spans="3:8" ht="15.75" x14ac:dyDescent="0.25">
      <c r="C118" s="685" t="s">
        <v>35</v>
      </c>
      <c r="D118" s="685">
        <v>2005</v>
      </c>
      <c r="E118" s="685" t="str">
        <f t="shared" si="2"/>
        <v>Honduras2005</v>
      </c>
      <c r="F118" s="685" t="s">
        <v>612</v>
      </c>
      <c r="G118" s="709">
        <v>0.56399999999999995</v>
      </c>
      <c r="H118" s="709">
        <v>0.377</v>
      </c>
    </row>
    <row r="119" spans="3:8" ht="15.75" x14ac:dyDescent="0.25">
      <c r="C119" s="685" t="s">
        <v>36</v>
      </c>
      <c r="D119" s="685">
        <v>2020</v>
      </c>
      <c r="E119" s="685" t="str">
        <f t="shared" si="2"/>
        <v>India2020</v>
      </c>
      <c r="F119" s="685" t="s">
        <v>2493</v>
      </c>
      <c r="G119" s="709">
        <v>0.56399999999999995</v>
      </c>
      <c r="H119" s="709">
        <v>0.42699999999999999</v>
      </c>
    </row>
    <row r="120" spans="3:8" ht="15.75" x14ac:dyDescent="0.25">
      <c r="C120" s="685" t="s">
        <v>36</v>
      </c>
      <c r="D120" s="685">
        <v>2015</v>
      </c>
      <c r="E120" s="685" t="str">
        <f t="shared" si="2"/>
        <v>India2015</v>
      </c>
      <c r="F120" s="685" t="s">
        <v>593</v>
      </c>
      <c r="G120" s="709">
        <v>0.47799999999999998</v>
      </c>
      <c r="H120" s="709">
        <v>0.36499999999999999</v>
      </c>
    </row>
    <row r="121" spans="3:8" ht="15.75" x14ac:dyDescent="0.25">
      <c r="C121" s="685" t="s">
        <v>36</v>
      </c>
      <c r="D121" s="685">
        <v>2005</v>
      </c>
      <c r="E121" s="685" t="str">
        <f t="shared" si="2"/>
        <v>India2005</v>
      </c>
      <c r="F121" s="685" t="s">
        <v>612</v>
      </c>
      <c r="G121" s="709">
        <v>0.48499999999999999</v>
      </c>
      <c r="H121" s="709">
        <v>0.38</v>
      </c>
    </row>
    <row r="122" spans="3:8" ht="15.75" x14ac:dyDescent="0.25">
      <c r="C122" s="685" t="s">
        <v>36</v>
      </c>
      <c r="D122" s="685">
        <v>1998</v>
      </c>
      <c r="E122" s="685" t="str">
        <f t="shared" si="2"/>
        <v>India1998</v>
      </c>
      <c r="F122" s="685" t="s">
        <v>2097</v>
      </c>
      <c r="G122" s="709">
        <v>0.42799999999999999</v>
      </c>
      <c r="H122" s="709" t="e">
        <f>(NA())/100</f>
        <v>#N/A</v>
      </c>
    </row>
    <row r="123" spans="3:8" ht="15.75" x14ac:dyDescent="0.25">
      <c r="C123" s="685" t="s">
        <v>36</v>
      </c>
      <c r="D123" s="685">
        <v>1992</v>
      </c>
      <c r="E123" s="685" t="str">
        <f t="shared" si="2"/>
        <v>India1992</v>
      </c>
      <c r="F123" s="685" t="s">
        <v>2103</v>
      </c>
      <c r="G123" s="709">
        <v>0.36499999999999999</v>
      </c>
      <c r="H123" s="709" t="e">
        <f>(NA())/100</f>
        <v>#N/A</v>
      </c>
    </row>
    <row r="124" spans="3:8" ht="15.75" x14ac:dyDescent="0.25">
      <c r="C124" s="685" t="s">
        <v>37</v>
      </c>
      <c r="D124" s="685">
        <v>2017</v>
      </c>
      <c r="E124" s="685" t="str">
        <f t="shared" si="2"/>
        <v>Indonesia2017</v>
      </c>
      <c r="F124" s="685" t="s">
        <v>969</v>
      </c>
      <c r="G124" s="709">
        <v>0.57200000000000006</v>
      </c>
      <c r="H124" s="709">
        <v>0.41399999999999998</v>
      </c>
    </row>
    <row r="125" spans="3:8" ht="15.75" x14ac:dyDescent="0.25">
      <c r="C125" s="685" t="s">
        <v>37</v>
      </c>
      <c r="D125" s="685">
        <v>2012</v>
      </c>
      <c r="E125" s="685" t="str">
        <f t="shared" si="2"/>
        <v>Indonesia2012</v>
      </c>
      <c r="F125" s="685" t="s">
        <v>604</v>
      </c>
      <c r="G125" s="709">
        <v>0.57899999999999996</v>
      </c>
      <c r="H125" s="709">
        <v>0.42700000000000005</v>
      </c>
    </row>
    <row r="126" spans="3:8" ht="15.75" x14ac:dyDescent="0.25">
      <c r="C126" s="685" t="s">
        <v>37</v>
      </c>
      <c r="D126" s="685">
        <v>2007</v>
      </c>
      <c r="E126" s="685" t="str">
        <f t="shared" si="2"/>
        <v>Indonesia2007</v>
      </c>
      <c r="F126" s="685" t="s">
        <v>624</v>
      </c>
      <c r="G126" s="709">
        <v>0.57399999999999995</v>
      </c>
      <c r="H126" s="709" t="e">
        <f t="shared" ref="H126:H138" si="4">(NA())/100</f>
        <v>#N/A</v>
      </c>
    </row>
    <row r="127" spans="3:8" ht="15.75" x14ac:dyDescent="0.25">
      <c r="C127" s="685" t="s">
        <v>37</v>
      </c>
      <c r="D127" s="685">
        <v>2002</v>
      </c>
      <c r="E127" s="685" t="str">
        <f t="shared" si="2"/>
        <v>Indonesia2002</v>
      </c>
      <c r="F127" s="685" t="s">
        <v>1038</v>
      </c>
      <c r="G127" s="709">
        <v>0.56700000000000006</v>
      </c>
      <c r="H127" s="709" t="e">
        <f t="shared" si="4"/>
        <v>#N/A</v>
      </c>
    </row>
    <row r="128" spans="3:8" ht="15.75" x14ac:dyDescent="0.25">
      <c r="C128" s="685" t="s">
        <v>37</v>
      </c>
      <c r="D128" s="685">
        <v>1997</v>
      </c>
      <c r="E128" s="685" t="str">
        <f t="shared" si="2"/>
        <v>Indonesia1997</v>
      </c>
      <c r="F128" s="685" t="s">
        <v>2104</v>
      </c>
      <c r="G128" s="709">
        <v>0.54700000000000004</v>
      </c>
      <c r="H128" s="709" t="e">
        <f t="shared" si="4"/>
        <v>#N/A</v>
      </c>
    </row>
    <row r="129" spans="3:8" ht="15.75" x14ac:dyDescent="0.25">
      <c r="C129" s="685" t="s">
        <v>37</v>
      </c>
      <c r="D129" s="685">
        <v>1994</v>
      </c>
      <c r="E129" s="685" t="str">
        <f t="shared" si="2"/>
        <v>Indonesia1994</v>
      </c>
      <c r="F129" s="685" t="s">
        <v>1202</v>
      </c>
      <c r="G129" s="709">
        <v>0.52100000000000002</v>
      </c>
      <c r="H129" s="709" t="e">
        <f t="shared" si="4"/>
        <v>#N/A</v>
      </c>
    </row>
    <row r="130" spans="3:8" ht="15.75" x14ac:dyDescent="0.25">
      <c r="C130" s="685" t="s">
        <v>37</v>
      </c>
      <c r="D130" s="685">
        <v>1991</v>
      </c>
      <c r="E130" s="685" t="str">
        <f t="shared" si="2"/>
        <v>Indonesia1991</v>
      </c>
      <c r="F130" s="685" t="s">
        <v>2099</v>
      </c>
      <c r="G130" s="709">
        <v>0.47100000000000003</v>
      </c>
      <c r="H130" s="709" t="e">
        <f t="shared" si="4"/>
        <v>#N/A</v>
      </c>
    </row>
    <row r="131" spans="3:8" ht="15.75" x14ac:dyDescent="0.25">
      <c r="C131" s="685" t="s">
        <v>37</v>
      </c>
      <c r="D131" s="685">
        <v>1987</v>
      </c>
      <c r="E131" s="685" t="str">
        <f t="shared" si="2"/>
        <v>Indonesia1987</v>
      </c>
      <c r="F131" s="685" t="s">
        <v>607</v>
      </c>
      <c r="G131" s="709">
        <v>0.439</v>
      </c>
      <c r="H131" s="709" t="e">
        <f t="shared" si="4"/>
        <v>#N/A</v>
      </c>
    </row>
    <row r="132" spans="3:8" ht="15.75" x14ac:dyDescent="0.25">
      <c r="C132" s="685" t="s">
        <v>203</v>
      </c>
      <c r="D132" s="685">
        <v>2017</v>
      </c>
      <c r="E132" s="685" t="str">
        <f t="shared" ref="E132:E197" si="5">C132&amp;D132</f>
        <v>Jordan2017</v>
      </c>
      <c r="F132" s="685" t="s">
        <v>1034</v>
      </c>
      <c r="G132" s="709">
        <v>0.374</v>
      </c>
      <c r="H132" s="709" t="e">
        <f t="shared" si="4"/>
        <v>#N/A</v>
      </c>
    </row>
    <row r="133" spans="3:8" ht="15.75" x14ac:dyDescent="0.25">
      <c r="C133" s="685" t="s">
        <v>203</v>
      </c>
      <c r="D133" s="685">
        <v>2012</v>
      </c>
      <c r="E133" s="685" t="str">
        <f t="shared" si="5"/>
        <v>Jordan2012</v>
      </c>
      <c r="F133" s="685" t="s">
        <v>604</v>
      </c>
      <c r="G133" s="709">
        <v>0.42299999999999999</v>
      </c>
      <c r="H133" s="709" t="e">
        <f t="shared" si="4"/>
        <v>#N/A</v>
      </c>
    </row>
    <row r="134" spans="3:8" ht="15.75" x14ac:dyDescent="0.25">
      <c r="C134" s="685" t="s">
        <v>203</v>
      </c>
      <c r="D134" s="685">
        <v>2009</v>
      </c>
      <c r="E134" s="685" t="str">
        <f t="shared" si="5"/>
        <v>Jordan2009</v>
      </c>
      <c r="F134" s="685" t="s">
        <v>611</v>
      </c>
      <c r="G134" s="709">
        <v>0.42</v>
      </c>
      <c r="H134" s="709" t="e">
        <f t="shared" si="4"/>
        <v>#N/A</v>
      </c>
    </row>
    <row r="135" spans="3:8" ht="15.75" x14ac:dyDescent="0.25">
      <c r="C135" s="685" t="s">
        <v>203</v>
      </c>
      <c r="D135" s="685">
        <v>2007</v>
      </c>
      <c r="E135" s="685" t="str">
        <f t="shared" si="5"/>
        <v>Jordan2007</v>
      </c>
      <c r="F135" s="685" t="s">
        <v>624</v>
      </c>
      <c r="G135" s="709">
        <v>0.41899999999999998</v>
      </c>
      <c r="H135" s="709" t="e">
        <f t="shared" si="4"/>
        <v>#N/A</v>
      </c>
    </row>
    <row r="136" spans="3:8" ht="15.75" x14ac:dyDescent="0.25">
      <c r="C136" s="685" t="s">
        <v>203</v>
      </c>
      <c r="D136" s="685">
        <v>2002</v>
      </c>
      <c r="E136" s="685" t="str">
        <f t="shared" si="5"/>
        <v>Jordan2002</v>
      </c>
      <c r="F136" s="685" t="s">
        <v>609</v>
      </c>
      <c r="G136" s="709">
        <v>0.41200000000000003</v>
      </c>
      <c r="H136" s="709" t="e">
        <f t="shared" si="4"/>
        <v>#N/A</v>
      </c>
    </row>
    <row r="137" spans="3:8" ht="15.75" x14ac:dyDescent="0.25">
      <c r="C137" s="685" t="s">
        <v>203</v>
      </c>
      <c r="D137" s="685">
        <v>1997</v>
      </c>
      <c r="E137" s="685" t="str">
        <f t="shared" si="5"/>
        <v>Jordan1997</v>
      </c>
      <c r="F137" s="685" t="s">
        <v>2104</v>
      </c>
      <c r="G137" s="709">
        <v>0.377</v>
      </c>
      <c r="H137" s="709" t="e">
        <f t="shared" si="4"/>
        <v>#N/A</v>
      </c>
    </row>
    <row r="138" spans="3:8" ht="15.75" x14ac:dyDescent="0.25">
      <c r="C138" s="685" t="s">
        <v>203</v>
      </c>
      <c r="D138" s="685">
        <v>1990</v>
      </c>
      <c r="E138" s="685" t="str">
        <f t="shared" si="5"/>
        <v>Jordan1990</v>
      </c>
      <c r="F138" s="685" t="s">
        <v>618</v>
      </c>
      <c r="G138" s="709">
        <v>0.26899999999999996</v>
      </c>
      <c r="H138" s="709" t="e">
        <f t="shared" si="4"/>
        <v>#N/A</v>
      </c>
    </row>
    <row r="139" spans="3:8" ht="15.75" x14ac:dyDescent="0.25">
      <c r="C139" s="685" t="s">
        <v>204</v>
      </c>
      <c r="D139" s="685">
        <v>1999</v>
      </c>
      <c r="E139" s="685" t="str">
        <f t="shared" si="5"/>
        <v>Kazakhstan1999</v>
      </c>
      <c r="F139" s="685" t="s">
        <v>613</v>
      </c>
      <c r="G139" s="709">
        <v>0.52800000000000002</v>
      </c>
      <c r="H139" s="709">
        <v>0.38700000000000001</v>
      </c>
    </row>
    <row r="140" spans="3:8" ht="15.75" x14ac:dyDescent="0.25">
      <c r="C140" s="685" t="s">
        <v>204</v>
      </c>
      <c r="D140" s="685">
        <v>1995</v>
      </c>
      <c r="E140" s="685" t="str">
        <f t="shared" si="5"/>
        <v>Kazakhstan1995</v>
      </c>
      <c r="F140" s="685" t="s">
        <v>2100</v>
      </c>
      <c r="G140" s="709">
        <v>0.46100000000000002</v>
      </c>
      <c r="H140" s="709">
        <v>0.33600000000000002</v>
      </c>
    </row>
    <row r="141" spans="3:8" ht="15.75" x14ac:dyDescent="0.25">
      <c r="C141" s="685" t="s">
        <v>39</v>
      </c>
      <c r="D141" s="685">
        <v>2014</v>
      </c>
      <c r="E141" s="685" t="str">
        <f t="shared" si="5"/>
        <v>Kenya2014</v>
      </c>
      <c r="F141" s="685" t="s">
        <v>596</v>
      </c>
      <c r="G141" s="709">
        <v>0.53200000000000003</v>
      </c>
      <c r="H141" s="709">
        <v>0.39100000000000001</v>
      </c>
    </row>
    <row r="142" spans="3:8" ht="15.75" x14ac:dyDescent="0.25">
      <c r="C142" s="685" t="s">
        <v>39</v>
      </c>
      <c r="D142" s="685">
        <v>2008</v>
      </c>
      <c r="E142" s="685" t="str">
        <f t="shared" si="5"/>
        <v>Kenya2008</v>
      </c>
      <c r="F142" s="685" t="s">
        <v>592</v>
      </c>
      <c r="G142" s="709">
        <v>0.39399999999999996</v>
      </c>
      <c r="H142" s="709">
        <v>0.28000000000000003</v>
      </c>
    </row>
    <row r="143" spans="3:8" ht="15.75" x14ac:dyDescent="0.25">
      <c r="C143" s="685" t="s">
        <v>39</v>
      </c>
      <c r="D143" s="685">
        <v>2003</v>
      </c>
      <c r="E143" s="685" t="str">
        <f t="shared" si="5"/>
        <v>Kenya2003</v>
      </c>
      <c r="F143" s="685" t="s">
        <v>1036</v>
      </c>
      <c r="G143" s="709">
        <v>0.315</v>
      </c>
      <c r="H143" s="709">
        <v>0.22699999999999998</v>
      </c>
    </row>
    <row r="144" spans="3:8" ht="15.75" x14ac:dyDescent="0.25">
      <c r="C144" s="685" t="s">
        <v>39</v>
      </c>
      <c r="D144" s="685">
        <v>1998</v>
      </c>
      <c r="E144" s="685" t="str">
        <f t="shared" si="5"/>
        <v>Kenya1998</v>
      </c>
      <c r="F144" s="685" t="s">
        <v>620</v>
      </c>
      <c r="G144" s="709">
        <v>0.315</v>
      </c>
      <c r="H144" s="709">
        <v>0.23600000000000002</v>
      </c>
    </row>
    <row r="145" spans="3:8" ht="15.75" x14ac:dyDescent="0.25">
      <c r="C145" s="685" t="s">
        <v>39</v>
      </c>
      <c r="D145" s="685">
        <v>1993</v>
      </c>
      <c r="E145" s="685" t="str">
        <f t="shared" si="5"/>
        <v>Kenya1993</v>
      </c>
      <c r="F145" s="685" t="s">
        <v>2098</v>
      </c>
      <c r="G145" s="709">
        <v>0.27300000000000002</v>
      </c>
      <c r="H145" s="709">
        <v>0.20699999999999999</v>
      </c>
    </row>
    <row r="146" spans="3:8" ht="15.75" x14ac:dyDescent="0.25">
      <c r="C146" s="685" t="s">
        <v>39</v>
      </c>
      <c r="D146" s="685">
        <v>1989</v>
      </c>
      <c r="E146" s="685" t="str">
        <f t="shared" si="5"/>
        <v>Kenya1989</v>
      </c>
      <c r="F146" s="685" t="s">
        <v>2095</v>
      </c>
      <c r="G146" s="1061">
        <v>0.17899999999999999</v>
      </c>
      <c r="H146" s="1061">
        <v>0.14699999999999999</v>
      </c>
    </row>
    <row r="147" spans="3:8" ht="15.75" x14ac:dyDescent="0.25">
      <c r="C147" s="685" t="s">
        <v>2018</v>
      </c>
      <c r="D147" s="685">
        <v>2012</v>
      </c>
      <c r="E147" s="685" t="str">
        <f t="shared" si="5"/>
        <v>Kyrgyz Rep.2012</v>
      </c>
      <c r="F147" s="685" t="s">
        <v>604</v>
      </c>
      <c r="G147" s="709">
        <v>0.33700000000000002</v>
      </c>
      <c r="H147" s="709">
        <v>0.22699999999999998</v>
      </c>
    </row>
    <row r="148" spans="3:8" ht="15.75" x14ac:dyDescent="0.25">
      <c r="C148" s="685" t="s">
        <v>2018</v>
      </c>
      <c r="D148" s="685">
        <v>1997</v>
      </c>
      <c r="E148" s="685" t="str">
        <f t="shared" si="5"/>
        <v>Kyrgyz Rep.1997</v>
      </c>
      <c r="F148" s="685" t="s">
        <v>2104</v>
      </c>
      <c r="G148" s="709">
        <v>0.48899999999999999</v>
      </c>
      <c r="H148" s="709">
        <v>0.35299999999999998</v>
      </c>
    </row>
    <row r="149" spans="3:8" ht="15.75" x14ac:dyDescent="0.25">
      <c r="C149" s="685" t="s">
        <v>42</v>
      </c>
      <c r="D149" s="685">
        <v>2014</v>
      </c>
      <c r="E149" s="685" t="str">
        <f t="shared" si="5"/>
        <v>Lesotho2014</v>
      </c>
      <c r="F149" s="685" t="s">
        <v>596</v>
      </c>
      <c r="G149" s="709">
        <v>0.59799999999999998</v>
      </c>
      <c r="H149" s="709">
        <v>0.48499999999999999</v>
      </c>
    </row>
    <row r="150" spans="3:8" ht="15.75" x14ac:dyDescent="0.25">
      <c r="C150" s="685" t="s">
        <v>42</v>
      </c>
      <c r="D150" s="685">
        <v>2009</v>
      </c>
      <c r="E150" s="685" t="str">
        <f t="shared" si="5"/>
        <v>Lesotho2009</v>
      </c>
      <c r="F150" s="685" t="s">
        <v>611</v>
      </c>
      <c r="G150" s="709">
        <v>0.45600000000000002</v>
      </c>
      <c r="H150" s="709">
        <v>0.34899999999999998</v>
      </c>
    </row>
    <row r="151" spans="3:8" ht="15.75" x14ac:dyDescent="0.25">
      <c r="C151" s="685" t="s">
        <v>42</v>
      </c>
      <c r="D151" s="685">
        <v>2004</v>
      </c>
      <c r="E151" s="685" t="str">
        <f t="shared" si="5"/>
        <v>Lesotho2004</v>
      </c>
      <c r="F151" s="685" t="s">
        <v>1035</v>
      </c>
      <c r="G151" s="709">
        <v>0.35200000000000004</v>
      </c>
      <c r="H151" s="709">
        <v>0.27600000000000002</v>
      </c>
    </row>
    <row r="152" spans="3:8" ht="15.75" x14ac:dyDescent="0.25">
      <c r="C152" s="685" t="s">
        <v>43</v>
      </c>
      <c r="D152" s="685">
        <v>2019</v>
      </c>
      <c r="E152" s="685" t="str">
        <f t="shared" si="5"/>
        <v>Liberia2019</v>
      </c>
      <c r="F152" s="685" t="s">
        <v>2015</v>
      </c>
      <c r="G152" s="709">
        <v>0.23899999999999999</v>
      </c>
      <c r="H152" s="709">
        <v>0.253</v>
      </c>
    </row>
    <row r="153" spans="3:8" ht="15.75" x14ac:dyDescent="0.25">
      <c r="C153" s="685" t="s">
        <v>43</v>
      </c>
      <c r="D153" s="685">
        <v>2016</v>
      </c>
      <c r="E153" s="685" t="str">
        <f t="shared" si="5"/>
        <v>Liberia2016</v>
      </c>
      <c r="F153" s="685" t="s">
        <v>1039</v>
      </c>
      <c r="G153" s="709" t="s">
        <v>375</v>
      </c>
      <c r="H153" s="709">
        <v>0.307</v>
      </c>
    </row>
    <row r="154" spans="3:8" ht="15.75" x14ac:dyDescent="0.25">
      <c r="C154" s="685" t="s">
        <v>43</v>
      </c>
      <c r="D154" s="685">
        <v>2013</v>
      </c>
      <c r="E154" s="685" t="str">
        <f t="shared" si="5"/>
        <v>Liberia2013</v>
      </c>
      <c r="F154" s="685" t="s">
        <v>605</v>
      </c>
      <c r="G154" s="709">
        <v>0.191</v>
      </c>
      <c r="H154" s="709">
        <v>0.20499999999999999</v>
      </c>
    </row>
    <row r="155" spans="3:8" ht="15.75" x14ac:dyDescent="0.25">
      <c r="C155" s="685" t="s">
        <v>43</v>
      </c>
      <c r="D155" s="685">
        <v>2007</v>
      </c>
      <c r="E155" s="685" t="str">
        <f t="shared" si="5"/>
        <v>Liberia2007</v>
      </c>
      <c r="F155" s="685" t="s">
        <v>624</v>
      </c>
      <c r="G155" s="709">
        <v>0.10300000000000001</v>
      </c>
      <c r="H155" s="709">
        <v>0.11699999999999999</v>
      </c>
    </row>
    <row r="156" spans="3:8" ht="15.75" x14ac:dyDescent="0.25">
      <c r="C156" s="685" t="s">
        <v>43</v>
      </c>
      <c r="D156" s="685">
        <v>1986</v>
      </c>
      <c r="E156" s="685" t="str">
        <f t="shared" si="5"/>
        <v>Liberia1986</v>
      </c>
      <c r="F156" s="685" t="s">
        <v>2096</v>
      </c>
      <c r="G156" s="1061">
        <v>5.5E-2</v>
      </c>
      <c r="H156" s="1061">
        <v>7.0000000000000007E-2</v>
      </c>
    </row>
    <row r="157" spans="3:8" ht="15.75" x14ac:dyDescent="0.25">
      <c r="C157" s="685" t="s">
        <v>44</v>
      </c>
      <c r="D157" s="685">
        <v>2021</v>
      </c>
      <c r="E157" s="685" t="str">
        <f t="shared" si="5"/>
        <v>Madagascar2021</v>
      </c>
      <c r="F157" s="685" t="s">
        <v>2496</v>
      </c>
      <c r="G157" s="1061">
        <v>0.42699999999999999</v>
      </c>
      <c r="H157" s="1061">
        <v>0.34100000000000003</v>
      </c>
    </row>
    <row r="158" spans="3:8" ht="15.75" x14ac:dyDescent="0.25">
      <c r="C158" s="685" t="s">
        <v>44</v>
      </c>
      <c r="D158" s="685">
        <v>2008</v>
      </c>
      <c r="E158" s="685" t="str">
        <f t="shared" si="5"/>
        <v>Madagascar2008</v>
      </c>
      <c r="F158" s="685" t="s">
        <v>592</v>
      </c>
      <c r="G158" s="1061">
        <v>0.29199999999999998</v>
      </c>
      <c r="H158" s="1061">
        <v>0.23</v>
      </c>
    </row>
    <row r="159" spans="3:8" ht="15.75" x14ac:dyDescent="0.25">
      <c r="C159" s="685" t="s">
        <v>44</v>
      </c>
      <c r="D159" s="685">
        <v>2003</v>
      </c>
      <c r="E159" s="685" t="str">
        <f t="shared" si="5"/>
        <v>Madagascar2003</v>
      </c>
      <c r="F159" s="685" t="s">
        <v>616</v>
      </c>
      <c r="G159" s="709">
        <v>0.183</v>
      </c>
      <c r="H159" s="709">
        <v>0.14000000000000001</v>
      </c>
    </row>
    <row r="160" spans="3:8" ht="15.75" x14ac:dyDescent="0.25">
      <c r="C160" s="685" t="s">
        <v>44</v>
      </c>
      <c r="D160" s="685">
        <v>1997</v>
      </c>
      <c r="E160" s="685" t="str">
        <f t="shared" si="5"/>
        <v>Madagascar1997</v>
      </c>
      <c r="F160" s="685" t="s">
        <v>2104</v>
      </c>
      <c r="G160" s="709">
        <v>9.6999999999999989E-2</v>
      </c>
      <c r="H160" s="709">
        <v>7.2999999999999995E-2</v>
      </c>
    </row>
    <row r="161" spans="3:8" ht="15.75" x14ac:dyDescent="0.25">
      <c r="C161" s="685" t="s">
        <v>44</v>
      </c>
      <c r="D161" s="685">
        <v>1992</v>
      </c>
      <c r="E161" s="685" t="str">
        <f t="shared" si="5"/>
        <v>Madagascar1992</v>
      </c>
      <c r="F161" s="685" t="s">
        <v>2102</v>
      </c>
      <c r="G161" s="709">
        <v>5.0999999999999997E-2</v>
      </c>
      <c r="H161" s="709">
        <v>3.5000000000000003E-2</v>
      </c>
    </row>
    <row r="162" spans="3:8" ht="15.75" x14ac:dyDescent="0.25">
      <c r="C162" s="685" t="s">
        <v>45</v>
      </c>
      <c r="D162" s="685">
        <v>2015</v>
      </c>
      <c r="E162" s="685" t="str">
        <f t="shared" si="5"/>
        <v>Malawi2015</v>
      </c>
      <c r="F162" s="685" t="s">
        <v>593</v>
      </c>
      <c r="G162" s="709">
        <v>0.58099999999999996</v>
      </c>
      <c r="H162" s="709">
        <v>0.45200000000000001</v>
      </c>
    </row>
    <row r="163" spans="3:8" ht="15.75" x14ac:dyDescent="0.25">
      <c r="C163" s="685" t="s">
        <v>45</v>
      </c>
      <c r="D163" s="685">
        <v>2010</v>
      </c>
      <c r="E163" s="685" t="str">
        <f t="shared" si="5"/>
        <v>Malawi2010</v>
      </c>
      <c r="F163" s="685" t="s">
        <v>594</v>
      </c>
      <c r="G163" s="709">
        <v>0.42200000000000004</v>
      </c>
      <c r="H163" s="709">
        <v>0.32600000000000001</v>
      </c>
    </row>
    <row r="164" spans="3:8" ht="15.75" x14ac:dyDescent="0.25">
      <c r="C164" s="685" t="s">
        <v>45</v>
      </c>
      <c r="D164" s="685">
        <v>2004</v>
      </c>
      <c r="E164" s="685" t="str">
        <f t="shared" si="5"/>
        <v>Malawi2004</v>
      </c>
      <c r="F164" s="685" t="s">
        <v>1035</v>
      </c>
      <c r="G164" s="709">
        <v>0.28100000000000003</v>
      </c>
      <c r="H164" s="709">
        <v>0.22399999999999998</v>
      </c>
    </row>
    <row r="165" spans="3:8" ht="15.75" x14ac:dyDescent="0.25">
      <c r="C165" s="685" t="s">
        <v>45</v>
      </c>
      <c r="D165" s="685">
        <v>2000</v>
      </c>
      <c r="E165" s="685" t="str">
        <f t="shared" si="5"/>
        <v>Malawi2000</v>
      </c>
      <c r="F165" s="685" t="s">
        <v>623</v>
      </c>
      <c r="G165" s="709">
        <v>0.26100000000000001</v>
      </c>
      <c r="H165" s="709">
        <v>0.215</v>
      </c>
    </row>
    <row r="166" spans="3:8" ht="15.75" x14ac:dyDescent="0.25">
      <c r="C166" s="685" t="s">
        <v>45</v>
      </c>
      <c r="D166" s="685">
        <v>1992</v>
      </c>
      <c r="E166" s="685" t="str">
        <f t="shared" si="5"/>
        <v>Malawi1992</v>
      </c>
      <c r="F166" s="685" t="s">
        <v>2102</v>
      </c>
      <c r="G166" s="1061">
        <v>7.400000000000001E-2</v>
      </c>
      <c r="H166" s="1061">
        <v>6.3E-2</v>
      </c>
    </row>
    <row r="167" spans="3:8" ht="15.75" x14ac:dyDescent="0.25">
      <c r="C167" s="685" t="s">
        <v>214</v>
      </c>
      <c r="D167" s="685">
        <v>2016</v>
      </c>
      <c r="E167" s="685" t="str">
        <f t="shared" si="5"/>
        <v>Maldives2016</v>
      </c>
      <c r="F167" s="685" t="s">
        <v>714</v>
      </c>
      <c r="G167" s="709">
        <v>0.14899999999999999</v>
      </c>
      <c r="H167" s="709">
        <v>0.106</v>
      </c>
    </row>
    <row r="168" spans="3:8" ht="15.75" x14ac:dyDescent="0.25">
      <c r="C168" s="685" t="s">
        <v>214</v>
      </c>
      <c r="D168" s="685">
        <v>2009</v>
      </c>
      <c r="E168" s="685" t="str">
        <f t="shared" si="5"/>
        <v>Maldives2009</v>
      </c>
      <c r="F168" s="685" t="s">
        <v>611</v>
      </c>
      <c r="G168" s="709">
        <v>0.27</v>
      </c>
      <c r="H168" s="709" t="e">
        <f>(NA())/100</f>
        <v>#N/A</v>
      </c>
    </row>
    <row r="169" spans="3:8" ht="15.75" x14ac:dyDescent="0.25">
      <c r="C169" s="685" t="s">
        <v>46</v>
      </c>
      <c r="D169" s="685">
        <v>2018</v>
      </c>
      <c r="E169" s="685" t="str">
        <f t="shared" si="5"/>
        <v>Mali2018</v>
      </c>
      <c r="F169" s="685" t="s">
        <v>1146</v>
      </c>
      <c r="G169" s="709">
        <v>0.16399999999999998</v>
      </c>
      <c r="H169" s="709">
        <v>0.154</v>
      </c>
    </row>
    <row r="170" spans="3:8" ht="15.75" x14ac:dyDescent="0.25">
      <c r="C170" s="685" t="s">
        <v>46</v>
      </c>
      <c r="D170" s="685">
        <v>2012</v>
      </c>
      <c r="E170" s="685" t="str">
        <f t="shared" si="5"/>
        <v>Mali2012</v>
      </c>
      <c r="F170" s="685" t="s">
        <v>614</v>
      </c>
      <c r="G170" s="709">
        <v>9.9000000000000005E-2</v>
      </c>
      <c r="H170" s="709">
        <v>9.6000000000000002E-2</v>
      </c>
    </row>
    <row r="171" spans="3:8" ht="15.75" x14ac:dyDescent="0.25">
      <c r="C171" s="685" t="s">
        <v>46</v>
      </c>
      <c r="D171" s="685">
        <v>2006</v>
      </c>
      <c r="E171" s="685" t="str">
        <f t="shared" si="5"/>
        <v>Mali2006</v>
      </c>
      <c r="F171" s="685" t="s">
        <v>595</v>
      </c>
      <c r="G171" s="709">
        <v>6.9000000000000006E-2</v>
      </c>
      <c r="H171" s="709">
        <v>6.2E-2</v>
      </c>
    </row>
    <row r="172" spans="3:8" ht="15.75" x14ac:dyDescent="0.25">
      <c r="C172" s="685" t="s">
        <v>46</v>
      </c>
      <c r="D172" s="685">
        <v>2001</v>
      </c>
      <c r="E172" s="685" t="str">
        <f t="shared" si="5"/>
        <v>Mali2001</v>
      </c>
      <c r="F172" s="685" t="s">
        <v>617</v>
      </c>
      <c r="G172" s="709">
        <v>5.7000000000000002E-2</v>
      </c>
      <c r="H172" s="709">
        <v>5.7999999999999996E-2</v>
      </c>
    </row>
    <row r="173" spans="3:8" ht="15.75" x14ac:dyDescent="0.25">
      <c r="C173" s="685" t="s">
        <v>46</v>
      </c>
      <c r="D173" s="685">
        <v>1995</v>
      </c>
      <c r="E173" s="685" t="str">
        <f t="shared" si="5"/>
        <v>Mali1995</v>
      </c>
      <c r="F173" s="685" t="s">
        <v>2105</v>
      </c>
      <c r="G173" s="709">
        <v>4.4999999999999998E-2</v>
      </c>
      <c r="H173" s="709">
        <v>0.05</v>
      </c>
    </row>
    <row r="174" spans="3:8" ht="15.75" x14ac:dyDescent="0.25">
      <c r="C174" s="685" t="s">
        <v>46</v>
      </c>
      <c r="D174" s="685">
        <v>1987</v>
      </c>
      <c r="E174" s="685" t="str">
        <f t="shared" si="5"/>
        <v>Mali1987</v>
      </c>
      <c r="F174" s="685" t="s">
        <v>607</v>
      </c>
      <c r="G174" s="709">
        <v>1.3000000000000001E-2</v>
      </c>
      <c r="H174" s="709">
        <v>1.2E-2</v>
      </c>
    </row>
    <row r="175" spans="3:8" ht="15.75" x14ac:dyDescent="0.25">
      <c r="C175" s="685" t="s">
        <v>47</v>
      </c>
      <c r="D175" s="685">
        <v>2020</v>
      </c>
      <c r="E175" s="685" t="str">
        <f t="shared" si="5"/>
        <v>Mauritania2020</v>
      </c>
      <c r="F175" s="685" t="s">
        <v>2493</v>
      </c>
      <c r="G175" s="709">
        <v>0.128</v>
      </c>
      <c r="H175" s="709"/>
    </row>
    <row r="176" spans="3:8" ht="15.75" x14ac:dyDescent="0.25">
      <c r="C176" s="685" t="s">
        <v>47</v>
      </c>
      <c r="D176" s="685">
        <v>2000</v>
      </c>
      <c r="E176" s="685" t="str">
        <f t="shared" si="5"/>
        <v>Mauritania2000</v>
      </c>
      <c r="F176" s="685" t="s">
        <v>615</v>
      </c>
      <c r="G176" s="709">
        <v>5.0999999999999997E-2</v>
      </c>
      <c r="H176" s="709">
        <v>3.1E-2</v>
      </c>
    </row>
    <row r="177" spans="3:8" ht="15.75" x14ac:dyDescent="0.25">
      <c r="C177" s="685" t="s">
        <v>220</v>
      </c>
      <c r="D177" s="685">
        <v>1987</v>
      </c>
      <c r="E177" s="685" t="str">
        <f t="shared" si="5"/>
        <v>Mexico1987</v>
      </c>
      <c r="F177" s="685" t="s">
        <v>607</v>
      </c>
      <c r="G177" s="709">
        <v>0.44600000000000001</v>
      </c>
      <c r="H177" s="709">
        <v>0.28899999999999998</v>
      </c>
    </row>
    <row r="178" spans="3:8" ht="15.75" x14ac:dyDescent="0.25">
      <c r="C178" s="685" t="s">
        <v>589</v>
      </c>
      <c r="D178" s="685">
        <v>2005</v>
      </c>
      <c r="E178" s="685" t="str">
        <f t="shared" si="5"/>
        <v>Moldova2005</v>
      </c>
      <c r="F178" s="685" t="s">
        <v>619</v>
      </c>
      <c r="G178" s="709">
        <v>0.43799999999999994</v>
      </c>
      <c r="H178" s="709">
        <v>0.32799999999999996</v>
      </c>
    </row>
    <row r="179" spans="3:8" ht="15.75" x14ac:dyDescent="0.25">
      <c r="C179" s="685" t="s">
        <v>223</v>
      </c>
      <c r="D179" s="685">
        <v>2003</v>
      </c>
      <c r="E179" s="685" t="str">
        <f t="shared" si="5"/>
        <v>Morocco2003</v>
      </c>
      <c r="F179" s="685" t="s">
        <v>616</v>
      </c>
      <c r="G179" s="709">
        <v>0.54799999999999993</v>
      </c>
      <c r="H179" s="709">
        <v>0.28999999999999998</v>
      </c>
    </row>
    <row r="180" spans="3:8" ht="15.75" x14ac:dyDescent="0.25">
      <c r="C180" s="685" t="s">
        <v>223</v>
      </c>
      <c r="D180" s="685">
        <v>1992</v>
      </c>
      <c r="E180" s="685" t="str">
        <f t="shared" si="5"/>
        <v>Morocco1992</v>
      </c>
      <c r="F180" s="685" t="s">
        <v>2102</v>
      </c>
      <c r="G180" s="709">
        <v>0.35499999999999998</v>
      </c>
      <c r="H180" s="709">
        <v>0.19699999999999998</v>
      </c>
    </row>
    <row r="181" spans="3:8" ht="15.75" x14ac:dyDescent="0.25">
      <c r="C181" s="685" t="s">
        <v>223</v>
      </c>
      <c r="D181" s="685">
        <v>1987</v>
      </c>
      <c r="E181" s="685" t="str">
        <f t="shared" si="5"/>
        <v>Morocco1987</v>
      </c>
      <c r="F181" s="685" t="s">
        <v>607</v>
      </c>
      <c r="G181" s="709">
        <v>0.28899999999999998</v>
      </c>
      <c r="H181" s="709" t="e">
        <f>(NA())/100</f>
        <v>#N/A</v>
      </c>
    </row>
    <row r="182" spans="3:8" ht="15.75" x14ac:dyDescent="0.25">
      <c r="C182" s="685" t="s">
        <v>49</v>
      </c>
      <c r="D182" s="685">
        <v>2015</v>
      </c>
      <c r="E182" s="685" t="str">
        <f t="shared" si="5"/>
        <v>Mozambique2015</v>
      </c>
      <c r="F182" s="685" t="s">
        <v>1040</v>
      </c>
      <c r="G182" s="709">
        <v>0.253</v>
      </c>
      <c r="H182" s="709">
        <v>0.25700000000000001</v>
      </c>
    </row>
    <row r="183" spans="3:8" ht="15.75" x14ac:dyDescent="0.25">
      <c r="C183" s="685" t="s">
        <v>49</v>
      </c>
      <c r="D183" s="685">
        <v>2011</v>
      </c>
      <c r="E183" s="685" t="str">
        <f t="shared" si="5"/>
        <v>Mozambique2011</v>
      </c>
      <c r="F183" s="685" t="s">
        <v>601</v>
      </c>
      <c r="G183" s="709">
        <v>0.113</v>
      </c>
      <c r="H183" s="709">
        <v>0.121</v>
      </c>
    </row>
    <row r="184" spans="3:8" ht="15.75" x14ac:dyDescent="0.25">
      <c r="C184" s="685" t="s">
        <v>49</v>
      </c>
      <c r="D184" s="685">
        <v>2009</v>
      </c>
      <c r="E184" s="685" t="str">
        <f t="shared" si="5"/>
        <v>Mozambique2009</v>
      </c>
      <c r="F184" s="685" t="s">
        <v>1150</v>
      </c>
      <c r="G184" s="709">
        <v>0.10400000000000001</v>
      </c>
      <c r="H184" s="709">
        <v>0.115</v>
      </c>
    </row>
    <row r="185" spans="3:8" ht="15.75" x14ac:dyDescent="0.25">
      <c r="C185" s="685" t="s">
        <v>49</v>
      </c>
      <c r="D185" s="685">
        <v>2003</v>
      </c>
      <c r="E185" s="685" t="str">
        <f t="shared" si="5"/>
        <v>Mozambique2003</v>
      </c>
      <c r="F185" s="685" t="s">
        <v>1036</v>
      </c>
      <c r="G185" s="709">
        <v>0.11699999999999999</v>
      </c>
      <c r="H185" s="709">
        <v>0.14199999999999999</v>
      </c>
    </row>
    <row r="186" spans="3:8" ht="15.75" x14ac:dyDescent="0.25">
      <c r="C186" s="685" t="s">
        <v>49</v>
      </c>
      <c r="D186" s="685">
        <v>1997</v>
      </c>
      <c r="E186" s="685" t="str">
        <f t="shared" si="5"/>
        <v>Mozambique1997</v>
      </c>
      <c r="F186" s="685" t="s">
        <v>2104</v>
      </c>
      <c r="G186" s="709">
        <v>5.0999999999999997E-2</v>
      </c>
      <c r="H186" s="709">
        <v>5.4000000000000006E-2</v>
      </c>
    </row>
    <row r="187" spans="3:8" ht="15.75" x14ac:dyDescent="0.25">
      <c r="C187" s="685" t="s">
        <v>50</v>
      </c>
      <c r="D187" s="685">
        <v>2015</v>
      </c>
      <c r="E187" s="685" t="str">
        <f t="shared" si="5"/>
        <v>Myanmar2015</v>
      </c>
      <c r="F187" s="685" t="s">
        <v>593</v>
      </c>
      <c r="G187" s="709">
        <v>0.51300000000000001</v>
      </c>
      <c r="H187" s="709">
        <v>0.311</v>
      </c>
    </row>
    <row r="188" spans="3:8" ht="15.75" x14ac:dyDescent="0.25">
      <c r="C188" s="685" t="s">
        <v>224</v>
      </c>
      <c r="D188" s="685">
        <v>2013</v>
      </c>
      <c r="E188" s="685" t="str">
        <f t="shared" si="5"/>
        <v>Namibia2013</v>
      </c>
      <c r="F188" s="685" t="s">
        <v>605</v>
      </c>
      <c r="G188" s="709">
        <v>0.55299999999999994</v>
      </c>
      <c r="H188" s="709">
        <v>0.49700000000000005</v>
      </c>
    </row>
    <row r="189" spans="3:8" ht="15.75" x14ac:dyDescent="0.25">
      <c r="C189" s="685" t="s">
        <v>224</v>
      </c>
      <c r="D189" s="685">
        <v>2006</v>
      </c>
      <c r="E189" s="685" t="str">
        <f t="shared" si="5"/>
        <v>Namibia2006</v>
      </c>
      <c r="F189" s="685" t="s">
        <v>621</v>
      </c>
      <c r="G189" s="709">
        <v>0.53400000000000003</v>
      </c>
      <c r="H189" s="709">
        <v>0.45700000000000002</v>
      </c>
    </row>
    <row r="190" spans="3:8" ht="15.75" x14ac:dyDescent="0.25">
      <c r="C190" s="685" t="s">
        <v>224</v>
      </c>
      <c r="D190" s="685">
        <v>2000</v>
      </c>
      <c r="E190" s="685" t="str">
        <f t="shared" si="5"/>
        <v>Namibia2000</v>
      </c>
      <c r="F190" s="685" t="s">
        <v>623</v>
      </c>
      <c r="G190" s="709">
        <v>0.42599999999999999</v>
      </c>
      <c r="H190" s="709">
        <v>0.371</v>
      </c>
    </row>
    <row r="191" spans="3:8" ht="15.75" x14ac:dyDescent="0.25">
      <c r="C191" s="685" t="s">
        <v>224</v>
      </c>
      <c r="D191" s="685">
        <v>1992</v>
      </c>
      <c r="E191" s="685" t="str">
        <f t="shared" si="5"/>
        <v>Namibia1992</v>
      </c>
      <c r="F191" s="685" t="s">
        <v>2102</v>
      </c>
      <c r="G191" s="709">
        <v>0.26</v>
      </c>
      <c r="H191" s="709">
        <v>0.214</v>
      </c>
    </row>
    <row r="192" spans="3:8" ht="15.75" x14ac:dyDescent="0.25">
      <c r="C192" s="685" t="s">
        <v>51</v>
      </c>
      <c r="D192" s="685">
        <v>2016</v>
      </c>
      <c r="E192" s="685" t="str">
        <f t="shared" si="5"/>
        <v>Nepal2016</v>
      </c>
      <c r="F192" s="685" t="s">
        <v>610</v>
      </c>
      <c r="G192" s="709">
        <v>0.42799999999999999</v>
      </c>
      <c r="H192" s="709">
        <v>0.33200000000000002</v>
      </c>
    </row>
    <row r="193" spans="3:8" ht="15.75" x14ac:dyDescent="0.25">
      <c r="C193" s="685" t="s">
        <v>51</v>
      </c>
      <c r="D193" s="685">
        <v>2011</v>
      </c>
      <c r="E193" s="685" t="str">
        <f t="shared" si="5"/>
        <v>Nepal2011</v>
      </c>
      <c r="F193" s="685" t="s">
        <v>601</v>
      </c>
      <c r="G193" s="709">
        <v>0.43200000000000005</v>
      </c>
      <c r="H193" s="709">
        <v>0.33200000000000002</v>
      </c>
    </row>
    <row r="194" spans="3:8" ht="15.75" x14ac:dyDescent="0.25">
      <c r="C194" s="685" t="s">
        <v>51</v>
      </c>
      <c r="D194" s="685">
        <v>2006</v>
      </c>
      <c r="E194" s="685" t="str">
        <f t="shared" si="5"/>
        <v>Nepal2006</v>
      </c>
      <c r="F194" s="685" t="s">
        <v>595</v>
      </c>
      <c r="G194" s="709">
        <v>0.442</v>
      </c>
      <c r="H194" s="709">
        <v>0.34399999999999997</v>
      </c>
    </row>
    <row r="195" spans="3:8" ht="15.75" x14ac:dyDescent="0.25">
      <c r="C195" s="685" t="s">
        <v>51</v>
      </c>
      <c r="D195" s="685">
        <v>2001</v>
      </c>
      <c r="E195" s="685" t="str">
        <f t="shared" si="5"/>
        <v>Nepal2001</v>
      </c>
      <c r="F195" s="685" t="s">
        <v>617</v>
      </c>
      <c r="G195" s="709">
        <v>0.35399999999999998</v>
      </c>
      <c r="H195" s="709" t="e">
        <f>(NA())/100</f>
        <v>#N/A</v>
      </c>
    </row>
    <row r="196" spans="3:8" ht="15.75" x14ac:dyDescent="0.25">
      <c r="C196" s="685" t="s">
        <v>51</v>
      </c>
      <c r="D196" s="685">
        <v>1996</v>
      </c>
      <c r="E196" s="685" t="str">
        <f t="shared" si="5"/>
        <v>Nepal1996</v>
      </c>
      <c r="F196" s="685" t="s">
        <v>600</v>
      </c>
      <c r="G196" s="709">
        <v>0.26</v>
      </c>
      <c r="H196" s="709" t="e">
        <f>(NA())/100</f>
        <v>#N/A</v>
      </c>
    </row>
    <row r="197" spans="3:8" ht="15.75" x14ac:dyDescent="0.25">
      <c r="C197" s="685" t="s">
        <v>52</v>
      </c>
      <c r="D197" s="685">
        <v>2001</v>
      </c>
      <c r="E197" s="685" t="str">
        <f t="shared" si="5"/>
        <v>Nicaragua2001</v>
      </c>
      <c r="F197" s="685" t="s">
        <v>617</v>
      </c>
      <c r="G197" s="709">
        <v>0.66099999999999992</v>
      </c>
      <c r="H197" s="709">
        <v>0.439</v>
      </c>
    </row>
    <row r="198" spans="3:8" ht="15.75" x14ac:dyDescent="0.25">
      <c r="C198" s="685" t="s">
        <v>52</v>
      </c>
      <c r="D198" s="685">
        <v>1998</v>
      </c>
      <c r="E198" s="685" t="str">
        <f t="shared" ref="E198:E261" si="6">C198&amp;D198</f>
        <v>Nicaragua1998</v>
      </c>
      <c r="F198" s="685" t="s">
        <v>620</v>
      </c>
      <c r="G198" s="709">
        <v>0.57399999999999995</v>
      </c>
      <c r="H198" s="709">
        <v>0.39</v>
      </c>
    </row>
    <row r="199" spans="3:8" ht="15.75" x14ac:dyDescent="0.25">
      <c r="C199" s="685" t="s">
        <v>53</v>
      </c>
      <c r="D199" s="685">
        <v>2012</v>
      </c>
      <c r="E199" s="685" t="str">
        <f t="shared" si="6"/>
        <v>Niger2012</v>
      </c>
      <c r="F199" s="685" t="s">
        <v>604</v>
      </c>
      <c r="G199" s="709">
        <v>0.122</v>
      </c>
      <c r="H199" s="709">
        <v>0.11</v>
      </c>
    </row>
    <row r="200" spans="3:8" ht="15.75" x14ac:dyDescent="0.25">
      <c r="C200" s="685" t="s">
        <v>53</v>
      </c>
      <c r="D200" s="685">
        <v>2006</v>
      </c>
      <c r="E200" s="685" t="str">
        <f t="shared" si="6"/>
        <v>Niger2006</v>
      </c>
      <c r="F200" s="685" t="s">
        <v>595</v>
      </c>
      <c r="G200" s="709">
        <v>0.05</v>
      </c>
      <c r="H200" s="709">
        <v>4.4999999999999998E-2</v>
      </c>
    </row>
    <row r="201" spans="3:8" ht="15.75" x14ac:dyDescent="0.25">
      <c r="C201" s="685" t="s">
        <v>53</v>
      </c>
      <c r="D201" s="685">
        <v>1998</v>
      </c>
      <c r="E201" s="685" t="str">
        <f t="shared" si="6"/>
        <v>Niger1998</v>
      </c>
      <c r="F201" s="685" t="s">
        <v>620</v>
      </c>
      <c r="G201" s="709">
        <v>4.5999999999999999E-2</v>
      </c>
      <c r="H201" s="709">
        <v>4.4000000000000004E-2</v>
      </c>
    </row>
    <row r="202" spans="3:8" ht="15.75" x14ac:dyDescent="0.25">
      <c r="C202" s="685" t="s">
        <v>53</v>
      </c>
      <c r="D202" s="685">
        <v>1992</v>
      </c>
      <c r="E202" s="685" t="str">
        <f t="shared" si="6"/>
        <v>Niger1992</v>
      </c>
      <c r="F202" s="685" t="s">
        <v>2102</v>
      </c>
      <c r="G202" s="709">
        <v>2.3E-2</v>
      </c>
      <c r="H202" s="709">
        <v>2.3E-2</v>
      </c>
    </row>
    <row r="203" spans="3:8" ht="15.75" x14ac:dyDescent="0.25">
      <c r="C203" s="685" t="s">
        <v>54</v>
      </c>
      <c r="D203" s="685">
        <v>2018</v>
      </c>
      <c r="E203" s="685" t="str">
        <f t="shared" si="6"/>
        <v>Nigeria2018</v>
      </c>
      <c r="F203" s="685" t="s">
        <v>1146</v>
      </c>
      <c r="G203" s="709">
        <v>0.12</v>
      </c>
      <c r="H203" s="709">
        <v>0.105</v>
      </c>
    </row>
    <row r="204" spans="3:8" ht="15.75" x14ac:dyDescent="0.25">
      <c r="C204" s="685" t="s">
        <v>54</v>
      </c>
      <c r="D204" s="685">
        <v>2013</v>
      </c>
      <c r="E204" s="685" t="str">
        <f t="shared" si="6"/>
        <v>Nigeria2013</v>
      </c>
      <c r="F204" s="685" t="s">
        <v>605</v>
      </c>
      <c r="G204" s="709">
        <v>9.8000000000000004E-2</v>
      </c>
      <c r="H204" s="709">
        <v>0.111</v>
      </c>
    </row>
    <row r="205" spans="3:8" ht="15.75" x14ac:dyDescent="0.25">
      <c r="C205" s="685" t="s">
        <v>54</v>
      </c>
      <c r="D205" s="685">
        <v>2008</v>
      </c>
      <c r="E205" s="685" t="str">
        <f t="shared" si="6"/>
        <v>Nigeria2008</v>
      </c>
      <c r="F205" s="685" t="s">
        <v>598</v>
      </c>
      <c r="G205" s="709">
        <v>9.6999999999999989E-2</v>
      </c>
      <c r="H205" s="709">
        <v>0.105</v>
      </c>
    </row>
    <row r="206" spans="3:8" ht="15.75" x14ac:dyDescent="0.25">
      <c r="C206" s="685" t="s">
        <v>54</v>
      </c>
      <c r="D206" s="685">
        <v>2003</v>
      </c>
      <c r="E206" s="685" t="str">
        <f t="shared" si="6"/>
        <v>Nigeria2003</v>
      </c>
      <c r="F206" s="685" t="s">
        <v>1036</v>
      </c>
      <c r="G206" s="709">
        <v>8.199999999999999E-2</v>
      </c>
      <c r="H206" s="709">
        <v>8.900000000000001E-2</v>
      </c>
    </row>
    <row r="207" spans="3:8" ht="15.75" x14ac:dyDescent="0.25">
      <c r="C207" s="685" t="s">
        <v>54</v>
      </c>
      <c r="D207" s="685">
        <v>1990</v>
      </c>
      <c r="E207" s="685" t="str">
        <f t="shared" si="6"/>
        <v>Nigeria1990</v>
      </c>
      <c r="F207" s="685" t="s">
        <v>618</v>
      </c>
      <c r="G207" s="709">
        <v>3.5000000000000003E-2</v>
      </c>
      <c r="H207" s="709">
        <v>3.7999999999999999E-2</v>
      </c>
    </row>
    <row r="208" spans="3:8" ht="15.75" x14ac:dyDescent="0.25">
      <c r="C208" s="685" t="s">
        <v>55</v>
      </c>
      <c r="D208" s="685">
        <v>2017</v>
      </c>
      <c r="E208" s="685" t="str">
        <f t="shared" si="6"/>
        <v>Pakistan2017</v>
      </c>
      <c r="F208" s="685" t="s">
        <v>1034</v>
      </c>
      <c r="G208" s="709">
        <v>0.25</v>
      </c>
      <c r="H208" s="709" t="e">
        <f>(NA())/100</f>
        <v>#N/A</v>
      </c>
    </row>
    <row r="209" spans="3:8" ht="15.75" x14ac:dyDescent="0.25">
      <c r="C209" s="685" t="s">
        <v>55</v>
      </c>
      <c r="D209" s="685">
        <v>2012</v>
      </c>
      <c r="E209" s="685" t="str">
        <f t="shared" si="6"/>
        <v>Pakistan2012</v>
      </c>
      <c r="F209" s="685" t="s">
        <v>614</v>
      </c>
      <c r="G209" s="709">
        <v>0.26100000000000001</v>
      </c>
      <c r="H209" s="709" t="e">
        <f>(NA())/100</f>
        <v>#N/A</v>
      </c>
    </row>
    <row r="210" spans="3:8" ht="15.75" x14ac:dyDescent="0.25">
      <c r="C210" s="685" t="s">
        <v>55</v>
      </c>
      <c r="D210" s="685">
        <v>2006</v>
      </c>
      <c r="E210" s="685" t="str">
        <f t="shared" si="6"/>
        <v>Pakistan2006</v>
      </c>
      <c r="F210" s="685" t="s">
        <v>621</v>
      </c>
      <c r="G210" s="709">
        <v>0.217</v>
      </c>
      <c r="H210" s="709" t="e">
        <f>(NA())/100</f>
        <v>#N/A</v>
      </c>
    </row>
    <row r="211" spans="3:8" ht="15.75" x14ac:dyDescent="0.25">
      <c r="C211" s="685" t="s">
        <v>55</v>
      </c>
      <c r="D211" s="685">
        <v>1990</v>
      </c>
      <c r="E211" s="685" t="str">
        <f t="shared" si="6"/>
        <v>Pakistan1990</v>
      </c>
      <c r="F211" s="685" t="s">
        <v>2106</v>
      </c>
      <c r="G211" s="709">
        <v>0.09</v>
      </c>
      <c r="H211" s="709" t="e">
        <f>(NA())/100</f>
        <v>#N/A</v>
      </c>
    </row>
    <row r="212" spans="3:8" ht="15.75" x14ac:dyDescent="0.25">
      <c r="C212" s="685" t="s">
        <v>56</v>
      </c>
      <c r="D212" s="685">
        <v>2016</v>
      </c>
      <c r="E212" s="685" t="str">
        <f t="shared" si="6"/>
        <v>Papua New Guinea2016</v>
      </c>
      <c r="F212" s="685" t="s">
        <v>1148</v>
      </c>
      <c r="G212" s="709">
        <v>0.30499999999999999</v>
      </c>
      <c r="H212" s="709">
        <v>0.223</v>
      </c>
    </row>
    <row r="213" spans="3:8" ht="15.75" x14ac:dyDescent="0.25">
      <c r="C213" s="685" t="s">
        <v>234</v>
      </c>
      <c r="D213" s="685">
        <v>1990</v>
      </c>
      <c r="E213" s="685" t="str">
        <f t="shared" si="6"/>
        <v>Paraguay1990</v>
      </c>
      <c r="F213" s="685" t="s">
        <v>618</v>
      </c>
      <c r="G213" s="709">
        <v>0.35200000000000004</v>
      </c>
      <c r="H213" s="709">
        <v>0.23600000000000002</v>
      </c>
    </row>
    <row r="214" spans="3:8" ht="15.75" x14ac:dyDescent="0.25">
      <c r="C214" s="685" t="s">
        <v>235</v>
      </c>
      <c r="D214" s="685">
        <v>2012</v>
      </c>
      <c r="E214" s="685" t="str">
        <f t="shared" si="6"/>
        <v>Peru2012</v>
      </c>
      <c r="F214" s="685" t="s">
        <v>604</v>
      </c>
      <c r="G214" s="709">
        <v>0.51800000000000002</v>
      </c>
      <c r="H214" s="709">
        <v>0.36099999999999999</v>
      </c>
    </row>
    <row r="215" spans="3:8" ht="15.75" x14ac:dyDescent="0.25">
      <c r="C215" s="685" t="s">
        <v>235</v>
      </c>
      <c r="D215" s="685">
        <v>2011</v>
      </c>
      <c r="E215" s="685" t="str">
        <f t="shared" si="6"/>
        <v>Peru2011</v>
      </c>
      <c r="F215" s="685" t="s">
        <v>601</v>
      </c>
      <c r="G215" s="709">
        <v>0.51100000000000001</v>
      </c>
      <c r="H215" s="709">
        <v>0.35299999999999998</v>
      </c>
    </row>
    <row r="216" spans="3:8" ht="15.75" x14ac:dyDescent="0.25">
      <c r="C216" s="685" t="s">
        <v>235</v>
      </c>
      <c r="D216" s="685">
        <v>2010</v>
      </c>
      <c r="E216" s="685" t="str">
        <f t="shared" si="6"/>
        <v>Peru2010</v>
      </c>
      <c r="F216" s="685" t="s">
        <v>594</v>
      </c>
      <c r="G216" s="709">
        <v>0.505</v>
      </c>
      <c r="H216" s="709">
        <v>0.34700000000000003</v>
      </c>
    </row>
    <row r="217" spans="3:8" ht="15.75" x14ac:dyDescent="0.25">
      <c r="C217" s="685" t="s">
        <v>235</v>
      </c>
      <c r="D217" s="685">
        <v>2009</v>
      </c>
      <c r="E217" s="685" t="str">
        <f t="shared" si="6"/>
        <v>Peru2009</v>
      </c>
      <c r="F217" s="685" t="s">
        <v>611</v>
      </c>
      <c r="G217" s="709">
        <v>0.5</v>
      </c>
      <c r="H217" s="709">
        <v>0.34200000000000003</v>
      </c>
    </row>
    <row r="218" spans="3:8" ht="15.75" x14ac:dyDescent="0.25">
      <c r="C218" s="685" t="s">
        <v>235</v>
      </c>
      <c r="D218" s="685">
        <v>2007</v>
      </c>
      <c r="E218" s="685" t="str">
        <f t="shared" si="6"/>
        <v>Peru2007</v>
      </c>
      <c r="F218" s="685" t="s">
        <v>1042</v>
      </c>
      <c r="G218" s="709">
        <v>0.48799999999999999</v>
      </c>
      <c r="H218" s="709">
        <v>0.33</v>
      </c>
    </row>
    <row r="219" spans="3:8" ht="15.75" x14ac:dyDescent="0.25">
      <c r="C219" s="685" t="s">
        <v>235</v>
      </c>
      <c r="D219" s="685">
        <v>2004</v>
      </c>
      <c r="E219" s="685" t="str">
        <f t="shared" si="6"/>
        <v>Peru2004</v>
      </c>
      <c r="F219" s="685" t="s">
        <v>1041</v>
      </c>
      <c r="G219" s="709">
        <v>0.47600000000000003</v>
      </c>
      <c r="H219" s="709">
        <v>0.309</v>
      </c>
    </row>
    <row r="220" spans="3:8" ht="15.75" x14ac:dyDescent="0.25">
      <c r="C220" s="685" t="s">
        <v>235</v>
      </c>
      <c r="D220" s="685">
        <v>2000</v>
      </c>
      <c r="E220" s="685" t="str">
        <f t="shared" si="6"/>
        <v>Peru2000</v>
      </c>
      <c r="F220" s="685" t="s">
        <v>623</v>
      </c>
      <c r="G220" s="709">
        <v>0.504</v>
      </c>
      <c r="H220" s="709">
        <v>0.32</v>
      </c>
    </row>
    <row r="221" spans="3:8" ht="15.75" x14ac:dyDescent="0.25">
      <c r="C221" s="685" t="s">
        <v>235</v>
      </c>
      <c r="D221" s="685">
        <v>1996</v>
      </c>
      <c r="E221" s="685" t="str">
        <f t="shared" si="6"/>
        <v>Peru1996</v>
      </c>
      <c r="F221" s="685" t="s">
        <v>600</v>
      </c>
      <c r="G221" s="709">
        <v>0.41299999999999998</v>
      </c>
      <c r="H221" s="709">
        <v>0.26400000000000001</v>
      </c>
    </row>
    <row r="222" spans="3:8" ht="15.75" x14ac:dyDescent="0.25">
      <c r="C222" s="685" t="s">
        <v>235</v>
      </c>
      <c r="D222" s="685">
        <v>1991</v>
      </c>
      <c r="E222" s="685" t="str">
        <f t="shared" si="6"/>
        <v>Peru1991</v>
      </c>
      <c r="F222" s="685" t="s">
        <v>2107</v>
      </c>
      <c r="G222" s="709">
        <v>0.32799999999999996</v>
      </c>
      <c r="H222" s="709">
        <v>0.19899999999999998</v>
      </c>
    </row>
    <row r="223" spans="3:8" ht="15.75" x14ac:dyDescent="0.25">
      <c r="C223" s="685" t="s">
        <v>235</v>
      </c>
      <c r="D223" s="685">
        <v>1986</v>
      </c>
      <c r="E223" s="685" t="str">
        <f t="shared" si="6"/>
        <v>Peru1986</v>
      </c>
      <c r="F223" s="685" t="s">
        <v>2096</v>
      </c>
      <c r="G223" s="709">
        <v>0.23</v>
      </c>
      <c r="H223" s="709">
        <v>0.14099999999999999</v>
      </c>
    </row>
    <row r="224" spans="3:8" ht="15.75" x14ac:dyDescent="0.25">
      <c r="C224" s="685" t="s">
        <v>57</v>
      </c>
      <c r="D224" s="685">
        <v>2017</v>
      </c>
      <c r="E224" s="685" t="str">
        <f t="shared" si="6"/>
        <v>Philippines2017</v>
      </c>
      <c r="F224" s="685" t="s">
        <v>969</v>
      </c>
      <c r="G224" s="709">
        <v>0.40399999999999997</v>
      </c>
      <c r="H224" s="709">
        <v>0.249</v>
      </c>
    </row>
    <row r="225" spans="3:8" ht="15.75" x14ac:dyDescent="0.25">
      <c r="C225" s="685" t="s">
        <v>57</v>
      </c>
      <c r="D225" s="685">
        <v>2013</v>
      </c>
      <c r="E225" s="685" t="str">
        <f t="shared" si="6"/>
        <v>Philippines2013</v>
      </c>
      <c r="F225" s="685" t="s">
        <v>605</v>
      </c>
      <c r="G225" s="709">
        <v>0.376</v>
      </c>
      <c r="H225" s="709">
        <v>0.23499999999999999</v>
      </c>
    </row>
    <row r="226" spans="3:8" ht="15.75" x14ac:dyDescent="0.25">
      <c r="C226" s="685" t="s">
        <v>57</v>
      </c>
      <c r="D226" s="685">
        <v>2008</v>
      </c>
      <c r="E226" s="685" t="str">
        <f t="shared" si="6"/>
        <v>Philippines2008</v>
      </c>
      <c r="F226" s="685" t="s">
        <v>598</v>
      </c>
      <c r="G226" s="709">
        <v>0.34</v>
      </c>
      <c r="H226" s="709">
        <v>0.218</v>
      </c>
    </row>
    <row r="227" spans="3:8" ht="15.75" x14ac:dyDescent="0.25">
      <c r="C227" s="685" t="s">
        <v>57</v>
      </c>
      <c r="D227" s="685">
        <v>2003</v>
      </c>
      <c r="E227" s="685" t="str">
        <f t="shared" si="6"/>
        <v>Philippines2003</v>
      </c>
      <c r="F227" s="685" t="s">
        <v>1036</v>
      </c>
      <c r="G227" s="709">
        <v>0.33399999999999996</v>
      </c>
      <c r="H227" s="709">
        <v>0.21600000000000003</v>
      </c>
    </row>
    <row r="228" spans="3:8" ht="15.75" x14ac:dyDescent="0.25">
      <c r="C228" s="685" t="s">
        <v>57</v>
      </c>
      <c r="D228" s="685">
        <v>1998</v>
      </c>
      <c r="E228" s="685" t="str">
        <f t="shared" si="6"/>
        <v>Philippines1998</v>
      </c>
      <c r="F228" s="685" t="s">
        <v>620</v>
      </c>
      <c r="G228" s="709">
        <v>0.28199999999999997</v>
      </c>
      <c r="H228" s="709">
        <v>0.17199999999999999</v>
      </c>
    </row>
    <row r="229" spans="3:8" ht="15.75" x14ac:dyDescent="0.25">
      <c r="C229" s="685" t="s">
        <v>57</v>
      </c>
      <c r="D229" s="685">
        <v>1993</v>
      </c>
      <c r="E229" s="685" t="str">
        <f t="shared" si="6"/>
        <v>Philippines1993</v>
      </c>
      <c r="F229" s="685" t="s">
        <v>2098</v>
      </c>
      <c r="G229" s="709">
        <v>0.249</v>
      </c>
      <c r="H229" s="709">
        <v>0.151</v>
      </c>
    </row>
    <row r="230" spans="3:8" ht="15.75" x14ac:dyDescent="0.25">
      <c r="C230" s="685" t="s">
        <v>58</v>
      </c>
      <c r="D230" s="685">
        <v>2019</v>
      </c>
      <c r="E230" s="685" t="str">
        <f t="shared" si="6"/>
        <v>Rwanda2019</v>
      </c>
      <c r="F230" s="685" t="s">
        <v>2015</v>
      </c>
      <c r="G230" s="709">
        <v>0.58399999999999996</v>
      </c>
      <c r="H230" s="709">
        <v>0.35100000000000003</v>
      </c>
    </row>
    <row r="231" spans="3:8" ht="15.75" x14ac:dyDescent="0.25">
      <c r="C231" s="685" t="s">
        <v>58</v>
      </c>
      <c r="D231" s="685">
        <v>2014</v>
      </c>
      <c r="E231" s="685" t="str">
        <f t="shared" si="6"/>
        <v>Rwanda2014</v>
      </c>
      <c r="F231" s="685" t="s">
        <v>603</v>
      </c>
      <c r="G231" s="709">
        <v>0.47499999999999998</v>
      </c>
      <c r="H231" s="709">
        <v>0.27800000000000002</v>
      </c>
    </row>
    <row r="232" spans="3:8" ht="15.75" x14ac:dyDescent="0.25">
      <c r="C232" s="685" t="s">
        <v>58</v>
      </c>
      <c r="D232" s="685">
        <v>2010</v>
      </c>
      <c r="E232" s="685" t="str">
        <f t="shared" si="6"/>
        <v>Rwanda2010</v>
      </c>
      <c r="F232" s="685" t="s">
        <v>594</v>
      </c>
      <c r="G232" s="709">
        <v>0.45100000000000001</v>
      </c>
      <c r="H232" s="709">
        <v>0.252</v>
      </c>
    </row>
    <row r="233" spans="3:8" ht="15.75" x14ac:dyDescent="0.25">
      <c r="C233" s="685" t="s">
        <v>58</v>
      </c>
      <c r="D233" s="685">
        <v>2007</v>
      </c>
      <c r="E233" s="685" t="str">
        <f t="shared" si="6"/>
        <v>Rwanda2007</v>
      </c>
      <c r="F233" s="685" t="s">
        <v>1042</v>
      </c>
      <c r="G233" s="709">
        <v>0.27399999999999997</v>
      </c>
      <c r="H233" s="709">
        <v>0.16300000000000001</v>
      </c>
    </row>
    <row r="234" spans="3:8" ht="15.75" x14ac:dyDescent="0.25">
      <c r="C234" s="685" t="s">
        <v>58</v>
      </c>
      <c r="D234" s="685">
        <v>2005</v>
      </c>
      <c r="E234" s="685" t="str">
        <f t="shared" si="6"/>
        <v>Rwanda2005</v>
      </c>
      <c r="F234" s="685" t="s">
        <v>619</v>
      </c>
      <c r="G234" s="709">
        <v>0.10300000000000001</v>
      </c>
      <c r="H234" s="709">
        <v>5.5999999999999994E-2</v>
      </c>
    </row>
    <row r="235" spans="3:8" ht="15.75" x14ac:dyDescent="0.25">
      <c r="C235" s="685" t="s">
        <v>58</v>
      </c>
      <c r="D235" s="685">
        <v>2000</v>
      </c>
      <c r="E235" s="685" t="str">
        <f t="shared" si="6"/>
        <v>Rwanda2000</v>
      </c>
      <c r="F235" s="685" t="s">
        <v>623</v>
      </c>
      <c r="G235" s="709">
        <v>5.7000000000000002E-2</v>
      </c>
      <c r="H235" s="709">
        <v>3.4000000000000002E-2</v>
      </c>
    </row>
    <row r="236" spans="3:8" ht="15.75" x14ac:dyDescent="0.25">
      <c r="C236" s="685" t="s">
        <v>58</v>
      </c>
      <c r="D236" s="685">
        <v>1992</v>
      </c>
      <c r="E236" s="685" t="str">
        <f t="shared" si="6"/>
        <v>Rwanda1992</v>
      </c>
      <c r="F236" s="685" t="s">
        <v>2102</v>
      </c>
      <c r="G236" s="709">
        <v>0.129</v>
      </c>
      <c r="H236" s="709">
        <v>8.5999999999999993E-2</v>
      </c>
    </row>
    <row r="237" spans="3:8" ht="15.75" x14ac:dyDescent="0.25">
      <c r="C237" s="685" t="s">
        <v>59</v>
      </c>
      <c r="D237" s="685">
        <v>2008</v>
      </c>
      <c r="E237" s="685" t="str">
        <f t="shared" si="6"/>
        <v>Sao Tome and Principe2008</v>
      </c>
      <c r="F237" s="685" t="s">
        <v>592</v>
      </c>
      <c r="G237" s="709">
        <v>0.33700000000000002</v>
      </c>
      <c r="H237" s="709">
        <v>0.27399999999999997</v>
      </c>
    </row>
    <row r="238" spans="3:8" ht="15.75" x14ac:dyDescent="0.25">
      <c r="C238" s="685" t="s">
        <v>60</v>
      </c>
      <c r="D238" s="685">
        <v>2019</v>
      </c>
      <c r="E238" s="685" t="str">
        <f t="shared" si="6"/>
        <v>Senegal2019</v>
      </c>
      <c r="F238" s="685" t="s">
        <v>1151</v>
      </c>
      <c r="G238" s="709">
        <v>0.255</v>
      </c>
      <c r="H238" s="709">
        <v>0.17899999999999999</v>
      </c>
    </row>
    <row r="239" spans="3:8" ht="15.75" x14ac:dyDescent="0.25">
      <c r="C239" s="685" t="s">
        <v>60</v>
      </c>
      <c r="D239" s="685">
        <v>2018</v>
      </c>
      <c r="E239" s="685" t="str">
        <f t="shared" si="6"/>
        <v>Senegal2018</v>
      </c>
      <c r="F239" s="685" t="s">
        <v>1146</v>
      </c>
      <c r="G239" s="709">
        <v>0.254</v>
      </c>
      <c r="H239" s="709">
        <v>0.182</v>
      </c>
    </row>
    <row r="240" spans="3:8" ht="15.75" x14ac:dyDescent="0.25">
      <c r="C240" s="685" t="s">
        <v>60</v>
      </c>
      <c r="D240" s="685">
        <v>2017</v>
      </c>
      <c r="E240" s="685" t="str">
        <f t="shared" si="6"/>
        <v>Senegal2017</v>
      </c>
      <c r="F240" s="685" t="s">
        <v>969</v>
      </c>
      <c r="G240" s="709">
        <v>0.26300000000000001</v>
      </c>
      <c r="H240" s="709">
        <v>0.18899999999999997</v>
      </c>
    </row>
    <row r="241" spans="3:8" ht="15.75" x14ac:dyDescent="0.25">
      <c r="C241" s="685" t="s">
        <v>60</v>
      </c>
      <c r="D241" s="685">
        <v>2016</v>
      </c>
      <c r="E241" s="685" t="str">
        <f t="shared" si="6"/>
        <v>Senegal2016</v>
      </c>
      <c r="F241" s="685" t="s">
        <v>610</v>
      </c>
      <c r="G241" s="709">
        <v>0.23100000000000001</v>
      </c>
      <c r="H241" s="709">
        <v>0.16600000000000001</v>
      </c>
    </row>
    <row r="242" spans="3:8" ht="15.75" x14ac:dyDescent="0.25">
      <c r="C242" s="685" t="s">
        <v>60</v>
      </c>
      <c r="D242" s="685">
        <v>2015</v>
      </c>
      <c r="E242" s="685" t="str">
        <f t="shared" si="6"/>
        <v>Senegal2015</v>
      </c>
      <c r="F242" s="685" t="s">
        <v>591</v>
      </c>
      <c r="G242" s="709">
        <v>0.21199999999999999</v>
      </c>
      <c r="H242" s="709">
        <v>0.153</v>
      </c>
    </row>
    <row r="243" spans="3:8" ht="15.75" x14ac:dyDescent="0.25">
      <c r="C243" s="685" t="s">
        <v>60</v>
      </c>
      <c r="D243" s="685">
        <v>2014</v>
      </c>
      <c r="E243" s="685" t="str">
        <f t="shared" si="6"/>
        <v>Senegal2014</v>
      </c>
      <c r="F243" s="685" t="s">
        <v>596</v>
      </c>
      <c r="G243" s="709">
        <v>0.20300000000000001</v>
      </c>
      <c r="H243" s="709">
        <v>0.14699999999999999</v>
      </c>
    </row>
    <row r="244" spans="3:8" ht="15.75" x14ac:dyDescent="0.25">
      <c r="C244" s="685" t="s">
        <v>60</v>
      </c>
      <c r="D244" s="685">
        <v>2012</v>
      </c>
      <c r="E244" s="685" t="str">
        <f t="shared" si="6"/>
        <v>Senegal2012</v>
      </c>
      <c r="F244" s="685" t="s">
        <v>614</v>
      </c>
      <c r="G244" s="709">
        <v>0.161</v>
      </c>
      <c r="H244" s="709">
        <v>0.114</v>
      </c>
    </row>
    <row r="245" spans="3:8" ht="15.75" x14ac:dyDescent="0.25">
      <c r="C245" s="685" t="s">
        <v>60</v>
      </c>
      <c r="D245" s="685">
        <v>2010</v>
      </c>
      <c r="E245" s="685" t="str">
        <f t="shared" si="6"/>
        <v>Senegal2010</v>
      </c>
      <c r="F245" s="685" t="s">
        <v>1043</v>
      </c>
      <c r="G245" s="709">
        <v>0.121</v>
      </c>
      <c r="H245" s="709">
        <v>8.900000000000001E-2</v>
      </c>
    </row>
    <row r="246" spans="3:8" ht="15.75" x14ac:dyDescent="0.25">
      <c r="C246" s="685" t="s">
        <v>60</v>
      </c>
      <c r="D246" s="685">
        <v>2005</v>
      </c>
      <c r="E246" s="685" t="str">
        <f t="shared" si="6"/>
        <v>Senegal2005</v>
      </c>
      <c r="F246" s="685" t="s">
        <v>619</v>
      </c>
      <c r="G246" s="709">
        <v>0.10300000000000001</v>
      </c>
      <c r="H246" s="709">
        <v>7.5999999999999998E-2</v>
      </c>
    </row>
    <row r="247" spans="3:8" ht="15.75" x14ac:dyDescent="0.25">
      <c r="C247" s="685" t="s">
        <v>60</v>
      </c>
      <c r="D247" s="685">
        <v>1997</v>
      </c>
      <c r="E247" s="685" t="str">
        <f t="shared" si="6"/>
        <v>Senegal1997</v>
      </c>
      <c r="F247" s="685" t="s">
        <v>2104</v>
      </c>
      <c r="G247" s="709">
        <v>8.1000000000000003E-2</v>
      </c>
      <c r="H247" s="709">
        <v>7.0000000000000007E-2</v>
      </c>
    </row>
    <row r="248" spans="3:8" ht="15.75" x14ac:dyDescent="0.25">
      <c r="C248" s="685" t="s">
        <v>60</v>
      </c>
      <c r="D248" s="685">
        <v>1992</v>
      </c>
      <c r="E248" s="685" t="str">
        <f t="shared" si="6"/>
        <v>Senegal1992</v>
      </c>
      <c r="F248" s="685" t="s">
        <v>2103</v>
      </c>
      <c r="G248" s="709">
        <v>4.8000000000000001E-2</v>
      </c>
      <c r="H248" s="709">
        <v>4.4999999999999998E-2</v>
      </c>
    </row>
    <row r="249" spans="3:8" ht="15.75" x14ac:dyDescent="0.25">
      <c r="C249" s="685" t="s">
        <v>60</v>
      </c>
      <c r="D249" s="685">
        <v>1986</v>
      </c>
      <c r="E249" s="685" t="str">
        <f t="shared" si="6"/>
        <v>Senegal1986</v>
      </c>
      <c r="F249" s="685" t="s">
        <v>2096</v>
      </c>
      <c r="G249" s="709">
        <v>2.4E-2</v>
      </c>
      <c r="H249" s="709">
        <v>2.7000000000000003E-2</v>
      </c>
    </row>
    <row r="250" spans="3:8" ht="15.75" x14ac:dyDescent="0.25">
      <c r="C250" s="685" t="s">
        <v>61</v>
      </c>
      <c r="D250" s="685">
        <v>2019</v>
      </c>
      <c r="E250" s="685" t="str">
        <f t="shared" si="6"/>
        <v>Sierra Leone2019</v>
      </c>
      <c r="F250" s="685" t="s">
        <v>1151</v>
      </c>
      <c r="G250" s="709">
        <v>0.20899999999999999</v>
      </c>
      <c r="H250" s="709">
        <v>0.23899999999999999</v>
      </c>
    </row>
    <row r="251" spans="3:8" ht="15.75" x14ac:dyDescent="0.25">
      <c r="C251" s="685" t="s">
        <v>61</v>
      </c>
      <c r="D251" s="685">
        <v>2013</v>
      </c>
      <c r="E251" s="685" t="str">
        <f t="shared" si="6"/>
        <v>Sierra Leone2013</v>
      </c>
      <c r="F251" s="685" t="s">
        <v>605</v>
      </c>
      <c r="G251" s="709">
        <v>0.156</v>
      </c>
      <c r="H251" s="709">
        <v>0.20899999999999999</v>
      </c>
    </row>
    <row r="252" spans="3:8" ht="15.75" x14ac:dyDescent="0.25">
      <c r="C252" s="685" t="s">
        <v>61</v>
      </c>
      <c r="D252" s="685">
        <v>2008</v>
      </c>
      <c r="E252" s="685" t="str">
        <f t="shared" si="6"/>
        <v>Sierra Leone2008</v>
      </c>
      <c r="F252" s="685" t="s">
        <v>598</v>
      </c>
      <c r="G252" s="709">
        <v>6.7000000000000004E-2</v>
      </c>
      <c r="H252" s="709">
        <v>8.199999999999999E-2</v>
      </c>
    </row>
    <row r="253" spans="3:8" ht="15.75" x14ac:dyDescent="0.25">
      <c r="C253" s="685" t="s">
        <v>64</v>
      </c>
      <c r="D253" s="685">
        <v>2016</v>
      </c>
      <c r="E253" s="685" t="str">
        <f t="shared" si="6"/>
        <v>South Africa2016</v>
      </c>
      <c r="F253" s="685" t="s">
        <v>610</v>
      </c>
      <c r="G253" s="709">
        <v>0.54</v>
      </c>
      <c r="H253" s="709">
        <v>0.47899999999999998</v>
      </c>
    </row>
    <row r="254" spans="3:8" ht="15.75" x14ac:dyDescent="0.25">
      <c r="C254" s="685" t="s">
        <v>64</v>
      </c>
      <c r="D254" s="685">
        <v>1998</v>
      </c>
      <c r="E254" s="685" t="str">
        <f t="shared" si="6"/>
        <v>South Africa1998</v>
      </c>
      <c r="F254" s="685" t="s">
        <v>620</v>
      </c>
      <c r="G254" s="709">
        <v>0.55100000000000005</v>
      </c>
      <c r="H254" s="709">
        <v>0.49299999999999999</v>
      </c>
    </row>
    <row r="255" spans="3:8" ht="15.75" x14ac:dyDescent="0.25">
      <c r="C255" s="685" t="s">
        <v>66</v>
      </c>
      <c r="D255" s="685">
        <v>1987</v>
      </c>
      <c r="E255" s="685" t="str">
        <f t="shared" si="6"/>
        <v>Sri Lanka1987</v>
      </c>
      <c r="F255" s="685" t="s">
        <v>607</v>
      </c>
      <c r="G255" s="709">
        <v>0.40600000000000003</v>
      </c>
      <c r="H255" s="709" t="e">
        <f>(NA())/100</f>
        <v>#N/A</v>
      </c>
    </row>
    <row r="256" spans="3:8" ht="15.75" x14ac:dyDescent="0.25">
      <c r="C256" s="685" t="s">
        <v>68</v>
      </c>
      <c r="D256" s="685">
        <v>1989</v>
      </c>
      <c r="E256" s="685" t="str">
        <f t="shared" si="6"/>
        <v>Sudan1989</v>
      </c>
      <c r="F256" s="685" t="s">
        <v>2108</v>
      </c>
      <c r="G256" s="709">
        <v>5.5E-2</v>
      </c>
      <c r="H256" s="709" t="e">
        <f>(NA())/100</f>
        <v>#N/A</v>
      </c>
    </row>
    <row r="257" spans="3:8" ht="15.75" x14ac:dyDescent="0.25">
      <c r="C257" s="685" t="s">
        <v>69</v>
      </c>
      <c r="D257" s="685">
        <v>2017</v>
      </c>
      <c r="E257" s="685" t="str">
        <f t="shared" si="6"/>
        <v>Tajikistan2017</v>
      </c>
      <c r="F257" s="685" t="s">
        <v>969</v>
      </c>
      <c r="G257" s="709">
        <v>0.27100000000000002</v>
      </c>
      <c r="H257" s="709">
        <v>0.19699999999999998</v>
      </c>
    </row>
    <row r="258" spans="3:8" ht="15.75" x14ac:dyDescent="0.25">
      <c r="C258" s="685" t="s">
        <v>69</v>
      </c>
      <c r="D258" s="685">
        <v>2012</v>
      </c>
      <c r="E258" s="685" t="str">
        <f t="shared" si="6"/>
        <v>Tajikistan2012</v>
      </c>
      <c r="F258" s="685" t="s">
        <v>604</v>
      </c>
      <c r="G258" s="709">
        <v>0.25800000000000001</v>
      </c>
      <c r="H258" s="709">
        <v>0.17499999999999999</v>
      </c>
    </row>
    <row r="259" spans="3:8" ht="15.75" x14ac:dyDescent="0.25">
      <c r="C259" s="685" t="s">
        <v>70</v>
      </c>
      <c r="D259" s="685">
        <v>2015</v>
      </c>
      <c r="E259" s="685" t="str">
        <f t="shared" si="6"/>
        <v>Tanzania2015</v>
      </c>
      <c r="F259" s="685" t="s">
        <v>593</v>
      </c>
      <c r="G259" s="709">
        <v>0.32</v>
      </c>
      <c r="H259" s="709">
        <v>0.27100000000000002</v>
      </c>
    </row>
    <row r="260" spans="3:8" ht="15.75" x14ac:dyDescent="0.25">
      <c r="C260" s="685" t="s">
        <v>70</v>
      </c>
      <c r="D260" s="685">
        <v>2010</v>
      </c>
      <c r="E260" s="685" t="str">
        <f t="shared" si="6"/>
        <v>Tanzania2010</v>
      </c>
      <c r="F260" s="685" t="s">
        <v>594</v>
      </c>
      <c r="G260" s="709">
        <v>0.27399999999999997</v>
      </c>
      <c r="H260" s="709">
        <v>0.23600000000000002</v>
      </c>
    </row>
    <row r="261" spans="3:8" ht="15.75" x14ac:dyDescent="0.25">
      <c r="C261" s="685" t="s">
        <v>70</v>
      </c>
      <c r="D261" s="685">
        <v>2004</v>
      </c>
      <c r="E261" s="685" t="str">
        <f t="shared" si="6"/>
        <v>Tanzania2004</v>
      </c>
      <c r="F261" s="685" t="s">
        <v>1044</v>
      </c>
      <c r="G261" s="709">
        <v>0.2</v>
      </c>
      <c r="H261" s="709">
        <v>0.17600000000000002</v>
      </c>
    </row>
    <row r="262" spans="3:8" ht="15.75" x14ac:dyDescent="0.25">
      <c r="C262" s="685" t="s">
        <v>70</v>
      </c>
      <c r="D262" s="685">
        <v>1999</v>
      </c>
      <c r="E262" s="685" t="str">
        <f t="shared" ref="E262:E303" si="7">C262&amp;D262</f>
        <v>Tanzania1999</v>
      </c>
      <c r="F262" s="685" t="s">
        <v>613</v>
      </c>
      <c r="G262" s="709">
        <v>0.16899999999999998</v>
      </c>
      <c r="H262" s="709">
        <v>0.156</v>
      </c>
    </row>
    <row r="263" spans="3:8" ht="15.75" x14ac:dyDescent="0.25">
      <c r="C263" s="685" t="s">
        <v>70</v>
      </c>
      <c r="D263" s="685">
        <v>1996</v>
      </c>
      <c r="E263" s="685" t="str">
        <f t="shared" si="7"/>
        <v>Tanzania1996</v>
      </c>
      <c r="F263" s="685" t="s">
        <v>600</v>
      </c>
      <c r="G263" s="709">
        <v>0.13300000000000001</v>
      </c>
      <c r="H263" s="709">
        <v>0.11699999999999999</v>
      </c>
    </row>
    <row r="264" spans="3:8" ht="15.75" x14ac:dyDescent="0.25">
      <c r="C264" s="685" t="s">
        <v>70</v>
      </c>
      <c r="D264" s="685">
        <v>1991</v>
      </c>
      <c r="E264" s="685" t="str">
        <f t="shared" si="7"/>
        <v>Tanzania1991</v>
      </c>
      <c r="F264" s="685" t="s">
        <v>2107</v>
      </c>
      <c r="G264" s="709">
        <v>6.6000000000000003E-2</v>
      </c>
      <c r="H264" s="709">
        <v>5.9000000000000004E-2</v>
      </c>
    </row>
    <row r="265" spans="3:8" ht="15.75" x14ac:dyDescent="0.25">
      <c r="C265" s="685" t="s">
        <v>262</v>
      </c>
      <c r="D265" s="685">
        <v>1987</v>
      </c>
      <c r="E265" s="685" t="str">
        <f t="shared" si="7"/>
        <v>Thailand1987</v>
      </c>
      <c r="F265" s="685" t="s">
        <v>607</v>
      </c>
      <c r="G265" s="709">
        <v>0.63600000000000001</v>
      </c>
      <c r="H265" s="709" t="e">
        <f>(NA())/100</f>
        <v>#N/A</v>
      </c>
    </row>
    <row r="266" spans="3:8" ht="15.75" x14ac:dyDescent="0.25">
      <c r="C266" s="685" t="s">
        <v>71</v>
      </c>
      <c r="D266" s="685">
        <v>2016</v>
      </c>
      <c r="E266" s="685" t="str">
        <f t="shared" si="7"/>
        <v>Timor-Leste2016</v>
      </c>
      <c r="F266" s="685" t="s">
        <v>610</v>
      </c>
      <c r="G266" s="709">
        <v>0.24100000000000002</v>
      </c>
      <c r="H266" s="709">
        <v>0.14800000000000002</v>
      </c>
    </row>
    <row r="267" spans="3:8" ht="15.75" x14ac:dyDescent="0.25">
      <c r="C267" s="685" t="s">
        <v>71</v>
      </c>
      <c r="D267" s="685">
        <v>2009</v>
      </c>
      <c r="E267" s="685" t="str">
        <f t="shared" si="7"/>
        <v>Timor-Leste2009</v>
      </c>
      <c r="F267" s="685" t="s">
        <v>622</v>
      </c>
      <c r="G267" s="709">
        <v>0.21100000000000002</v>
      </c>
      <c r="H267" s="709">
        <v>0.128</v>
      </c>
    </row>
    <row r="268" spans="3:8" ht="15.75" x14ac:dyDescent="0.25">
      <c r="C268" s="685" t="s">
        <v>72</v>
      </c>
      <c r="D268" s="685">
        <v>2013</v>
      </c>
      <c r="E268" s="685" t="str">
        <f t="shared" si="7"/>
        <v>Togo2013</v>
      </c>
      <c r="F268" s="685" t="s">
        <v>606</v>
      </c>
      <c r="G268" s="709">
        <v>0.17300000000000001</v>
      </c>
      <c r="H268" s="709">
        <v>0.16699999999999998</v>
      </c>
    </row>
    <row r="269" spans="3:8" ht="15.75" x14ac:dyDescent="0.25">
      <c r="C269" s="685" t="s">
        <v>72</v>
      </c>
      <c r="D269" s="685">
        <v>1998</v>
      </c>
      <c r="E269" s="685" t="str">
        <f t="shared" si="7"/>
        <v>Togo1998</v>
      </c>
      <c r="F269" s="685" t="s">
        <v>620</v>
      </c>
      <c r="G269" s="709">
        <v>7.0000000000000007E-2</v>
      </c>
      <c r="H269" s="709">
        <v>7.9000000000000001E-2</v>
      </c>
    </row>
    <row r="270" spans="3:8" ht="15.75" x14ac:dyDescent="0.25">
      <c r="C270" s="685" t="s">
        <v>72</v>
      </c>
      <c r="D270" s="685">
        <v>1988</v>
      </c>
      <c r="E270" s="685" t="str">
        <f t="shared" si="7"/>
        <v>Togo1988</v>
      </c>
      <c r="F270" s="685" t="s">
        <v>599</v>
      </c>
      <c r="G270" s="709">
        <v>3.1E-2</v>
      </c>
      <c r="H270" s="709">
        <v>3.4000000000000002E-2</v>
      </c>
    </row>
    <row r="271" spans="3:8" ht="15.75" x14ac:dyDescent="0.25">
      <c r="C271" s="685" t="s">
        <v>266</v>
      </c>
      <c r="D271" s="685">
        <v>1987</v>
      </c>
      <c r="E271" s="685" t="str">
        <f t="shared" si="7"/>
        <v>Trinidad and Tobago1987</v>
      </c>
      <c r="F271" s="685" t="s">
        <v>607</v>
      </c>
      <c r="G271" s="709">
        <v>0.44400000000000001</v>
      </c>
      <c r="H271" s="709">
        <v>0.315</v>
      </c>
    </row>
    <row r="272" spans="3:8" ht="15.75" x14ac:dyDescent="0.25">
      <c r="C272" s="685" t="s">
        <v>267</v>
      </c>
      <c r="D272" s="685">
        <v>1988</v>
      </c>
      <c r="E272" s="685" t="str">
        <f t="shared" si="7"/>
        <v>Tunisia1988</v>
      </c>
      <c r="F272" s="685" t="s">
        <v>599</v>
      </c>
      <c r="G272" s="709">
        <v>0.40399999999999997</v>
      </c>
      <c r="H272" s="709" t="e">
        <f>(NA())/100</f>
        <v>#N/A</v>
      </c>
    </row>
    <row r="273" spans="3:8" ht="15.75" x14ac:dyDescent="0.25">
      <c r="C273" s="685" t="s">
        <v>268</v>
      </c>
      <c r="D273" s="685">
        <v>2013</v>
      </c>
      <c r="E273" s="685" t="str">
        <f t="shared" si="7"/>
        <v>Turkey2013</v>
      </c>
      <c r="F273" s="685" t="s">
        <v>605</v>
      </c>
      <c r="G273" s="709">
        <v>0.47399999999999998</v>
      </c>
      <c r="H273" s="709">
        <v>0.33200000000000002</v>
      </c>
    </row>
    <row r="274" spans="3:8" ht="15.75" x14ac:dyDescent="0.25">
      <c r="C274" s="685" t="s">
        <v>268</v>
      </c>
      <c r="D274" s="685">
        <v>2008</v>
      </c>
      <c r="E274" s="685" t="str">
        <f t="shared" si="7"/>
        <v>Turkey2008</v>
      </c>
      <c r="F274" s="685" t="s">
        <v>598</v>
      </c>
      <c r="G274" s="709">
        <v>0.46</v>
      </c>
      <c r="H274" s="709" t="e">
        <f>(NA())/100</f>
        <v>#N/A</v>
      </c>
    </row>
    <row r="275" spans="3:8" ht="15.75" x14ac:dyDescent="0.25">
      <c r="C275" s="685" t="s">
        <v>268</v>
      </c>
      <c r="D275" s="685">
        <v>2003</v>
      </c>
      <c r="E275" s="685" t="str">
        <f t="shared" si="7"/>
        <v>Turkey2003</v>
      </c>
      <c r="F275" s="685" t="s">
        <v>1036</v>
      </c>
      <c r="G275" s="709">
        <v>0.42499999999999999</v>
      </c>
      <c r="H275" s="709" t="e">
        <f>(NA())/100</f>
        <v>#N/A</v>
      </c>
    </row>
    <row r="276" spans="3:8" ht="15.75" x14ac:dyDescent="0.25">
      <c r="C276" s="685" t="s">
        <v>268</v>
      </c>
      <c r="D276" s="685">
        <v>1998</v>
      </c>
      <c r="E276" s="685" t="str">
        <f t="shared" si="7"/>
        <v>Turkey1998</v>
      </c>
      <c r="F276" s="685" t="s">
        <v>620</v>
      </c>
      <c r="G276" s="709">
        <v>0.377</v>
      </c>
      <c r="H276" s="709">
        <v>0.26100000000000001</v>
      </c>
    </row>
    <row r="277" spans="3:8" ht="15.75" x14ac:dyDescent="0.25">
      <c r="C277" s="685" t="s">
        <v>268</v>
      </c>
      <c r="D277" s="685">
        <v>1993</v>
      </c>
      <c r="E277" s="685" t="str">
        <f t="shared" si="7"/>
        <v>Turkey1993</v>
      </c>
      <c r="F277" s="685" t="s">
        <v>2098</v>
      </c>
      <c r="G277" s="709">
        <v>0.34499999999999997</v>
      </c>
      <c r="H277" s="709" t="e">
        <f>(NA())/100</f>
        <v>#N/A</v>
      </c>
    </row>
    <row r="278" spans="3:8" ht="15.75" x14ac:dyDescent="0.25">
      <c r="C278" s="685" t="s">
        <v>269</v>
      </c>
      <c r="D278" s="685">
        <v>2000</v>
      </c>
      <c r="E278" s="685" t="str">
        <f t="shared" si="7"/>
        <v>Turkmenistan2000</v>
      </c>
      <c r="F278" s="685" t="s">
        <v>623</v>
      </c>
      <c r="G278" s="709">
        <v>0.53100000000000003</v>
      </c>
      <c r="H278" s="709">
        <v>0.33799999999999997</v>
      </c>
    </row>
    <row r="279" spans="3:8" ht="15.75" x14ac:dyDescent="0.25">
      <c r="C279" s="685" t="s">
        <v>73</v>
      </c>
      <c r="D279" s="685">
        <v>2016</v>
      </c>
      <c r="E279" s="685" t="str">
        <f t="shared" si="7"/>
        <v>Uganda2016</v>
      </c>
      <c r="F279" s="685" t="s">
        <v>610</v>
      </c>
      <c r="G279" s="709">
        <v>0.34799999999999998</v>
      </c>
      <c r="H279" s="709">
        <v>0.27300000000000002</v>
      </c>
    </row>
    <row r="280" spans="3:8" ht="15.75" x14ac:dyDescent="0.25">
      <c r="C280" s="685" t="s">
        <v>73</v>
      </c>
      <c r="D280" s="685">
        <v>2011</v>
      </c>
      <c r="E280" s="685" t="str">
        <f t="shared" si="7"/>
        <v>Uganda2011</v>
      </c>
      <c r="F280" s="685" t="s">
        <v>601</v>
      </c>
      <c r="G280" s="709">
        <v>0.26</v>
      </c>
      <c r="H280" s="709">
        <v>0.20699999999999999</v>
      </c>
    </row>
    <row r="281" spans="3:8" ht="15.75" x14ac:dyDescent="0.25">
      <c r="C281" s="685" t="s">
        <v>73</v>
      </c>
      <c r="D281" s="685">
        <v>2006</v>
      </c>
      <c r="E281" s="685" t="str">
        <f t="shared" si="7"/>
        <v>Uganda2006</v>
      </c>
      <c r="F281" s="685" t="s">
        <v>595</v>
      </c>
      <c r="G281" s="709">
        <v>0.17899999999999999</v>
      </c>
      <c r="H281" s="709">
        <v>0.154</v>
      </c>
    </row>
    <row r="282" spans="3:8" ht="15.75" x14ac:dyDescent="0.25">
      <c r="C282" s="685" t="s">
        <v>73</v>
      </c>
      <c r="D282" s="685">
        <v>2000</v>
      </c>
      <c r="E282" s="685" t="str">
        <f t="shared" si="7"/>
        <v>Uganda2000</v>
      </c>
      <c r="F282" s="685" t="s">
        <v>615</v>
      </c>
      <c r="G282" s="709">
        <v>0.182</v>
      </c>
      <c r="H282" s="709">
        <v>0.16500000000000001</v>
      </c>
    </row>
    <row r="283" spans="3:8" ht="15.75" x14ac:dyDescent="0.25">
      <c r="C283" s="685" t="s">
        <v>73</v>
      </c>
      <c r="D283" s="685">
        <v>1995</v>
      </c>
      <c r="E283" s="685" t="str">
        <f t="shared" si="7"/>
        <v>Uganda1995</v>
      </c>
      <c r="F283" s="685" t="s">
        <v>2100</v>
      </c>
      <c r="G283" s="709">
        <v>7.8E-2</v>
      </c>
      <c r="H283" s="709">
        <v>7.400000000000001E-2</v>
      </c>
    </row>
    <row r="284" spans="3:8" ht="15.75" x14ac:dyDescent="0.25">
      <c r="C284" s="685" t="s">
        <v>73</v>
      </c>
      <c r="D284" s="685">
        <v>1988</v>
      </c>
      <c r="E284" s="685" t="str">
        <f t="shared" si="7"/>
        <v>Uganda1988</v>
      </c>
      <c r="F284" s="685" t="s">
        <v>2109</v>
      </c>
      <c r="G284" s="709">
        <v>2.5000000000000001E-2</v>
      </c>
      <c r="H284" s="709">
        <v>2.7000000000000003E-2</v>
      </c>
    </row>
    <row r="285" spans="3:8" ht="15.75" x14ac:dyDescent="0.25">
      <c r="C285" s="685" t="s">
        <v>272</v>
      </c>
      <c r="D285" s="685">
        <v>2007</v>
      </c>
      <c r="E285" s="685" t="str">
        <f t="shared" si="7"/>
        <v>Ukraine2007</v>
      </c>
      <c r="F285" s="685" t="s">
        <v>624</v>
      </c>
      <c r="G285" s="709">
        <v>0.47499999999999998</v>
      </c>
      <c r="H285" s="709">
        <v>0.38299999999999995</v>
      </c>
    </row>
    <row r="286" spans="3:8" ht="15.75" x14ac:dyDescent="0.25">
      <c r="C286" s="685" t="s">
        <v>74</v>
      </c>
      <c r="D286" s="685">
        <v>1996</v>
      </c>
      <c r="E286" s="685" t="str">
        <f t="shared" si="7"/>
        <v>Uzbekistan1996</v>
      </c>
      <c r="F286" s="685" t="s">
        <v>600</v>
      </c>
      <c r="G286" s="709">
        <v>0.51300000000000001</v>
      </c>
      <c r="H286" s="709">
        <v>0.36599999999999999</v>
      </c>
    </row>
    <row r="287" spans="3:8" ht="15.75" x14ac:dyDescent="0.25">
      <c r="C287" s="685" t="s">
        <v>2110</v>
      </c>
      <c r="D287" s="685">
        <v>2002</v>
      </c>
      <c r="E287" s="685" t="str">
        <f t="shared" si="7"/>
        <v>Vietnam2002</v>
      </c>
      <c r="F287" s="685" t="s">
        <v>609</v>
      </c>
      <c r="G287" s="709">
        <v>0.56700000000000006</v>
      </c>
      <c r="H287" s="709" t="e">
        <f>(NA())/100</f>
        <v>#N/A</v>
      </c>
    </row>
    <row r="288" spans="3:8" ht="15.75" x14ac:dyDescent="0.25">
      <c r="C288" s="685" t="s">
        <v>2110</v>
      </c>
      <c r="D288" s="685">
        <v>1997</v>
      </c>
      <c r="E288" s="685" t="str">
        <f t="shared" si="7"/>
        <v>Vietnam1997</v>
      </c>
      <c r="F288" s="685" t="s">
        <v>2104</v>
      </c>
      <c r="G288" s="709">
        <v>0.55799999999999994</v>
      </c>
      <c r="H288" s="709" t="e">
        <f>(NA())/100</f>
        <v>#N/A</v>
      </c>
    </row>
    <row r="289" spans="3:8" ht="15.75" x14ac:dyDescent="0.25">
      <c r="C289" s="685" t="s">
        <v>77</v>
      </c>
      <c r="D289" s="685">
        <v>2013</v>
      </c>
      <c r="E289" s="685" t="str">
        <f t="shared" si="7"/>
        <v>Yemen2013</v>
      </c>
      <c r="F289" s="685" t="s">
        <v>605</v>
      </c>
      <c r="G289" s="709">
        <v>0.29199999999999998</v>
      </c>
      <c r="H289" s="709">
        <v>0.29199999999999998</v>
      </c>
    </row>
    <row r="290" spans="3:8" ht="15.75" x14ac:dyDescent="0.25">
      <c r="C290" s="685" t="s">
        <v>77</v>
      </c>
      <c r="D290" s="685">
        <v>1997</v>
      </c>
      <c r="E290" s="685" t="str">
        <f t="shared" si="7"/>
        <v>Yemen1997</v>
      </c>
      <c r="F290" s="685" t="s">
        <v>2104</v>
      </c>
      <c r="G290" s="709">
        <v>9.8000000000000004E-2</v>
      </c>
      <c r="H290" s="709" t="e">
        <f>(NA())/100</f>
        <v>#N/A</v>
      </c>
    </row>
    <row r="291" spans="3:8" ht="15.75" x14ac:dyDescent="0.25">
      <c r="C291" s="685" t="s">
        <v>77</v>
      </c>
      <c r="D291" s="685">
        <v>1991</v>
      </c>
      <c r="E291" s="685" t="str">
        <f t="shared" si="7"/>
        <v>Yemen1991</v>
      </c>
      <c r="F291" s="685" t="s">
        <v>2107</v>
      </c>
      <c r="G291" s="709">
        <v>6.0999999999999999E-2</v>
      </c>
      <c r="H291" s="709" t="e">
        <f>(NA())/100</f>
        <v>#N/A</v>
      </c>
    </row>
    <row r="292" spans="3:8" ht="15.75" x14ac:dyDescent="0.25">
      <c r="C292" s="685" t="s">
        <v>78</v>
      </c>
      <c r="D292" s="685">
        <v>2018</v>
      </c>
      <c r="E292" s="685" t="str">
        <f t="shared" si="7"/>
        <v>Zambia2018</v>
      </c>
      <c r="F292" s="685" t="s">
        <v>1146</v>
      </c>
      <c r="G292" s="709">
        <v>0.47499999999999998</v>
      </c>
      <c r="H292" s="709">
        <v>0.34100000000000003</v>
      </c>
    </row>
    <row r="293" spans="3:8" ht="15.75" x14ac:dyDescent="0.25">
      <c r="C293" s="685" t="s">
        <v>78</v>
      </c>
      <c r="D293" s="685">
        <v>2013</v>
      </c>
      <c r="E293" s="685" t="str">
        <f t="shared" si="7"/>
        <v>Zambia2013</v>
      </c>
      <c r="F293" s="685" t="s">
        <v>606</v>
      </c>
      <c r="G293" s="709">
        <v>0.44799999999999995</v>
      </c>
      <c r="H293" s="709">
        <v>0.32500000000000001</v>
      </c>
    </row>
    <row r="294" spans="3:8" ht="15.75" x14ac:dyDescent="0.25">
      <c r="C294" s="685" t="s">
        <v>78</v>
      </c>
      <c r="D294" s="685">
        <v>2007</v>
      </c>
      <c r="E294" s="685" t="str">
        <f t="shared" si="7"/>
        <v>Zambia2007</v>
      </c>
      <c r="F294" s="685" t="s">
        <v>624</v>
      </c>
      <c r="G294" s="709">
        <v>0.32700000000000001</v>
      </c>
      <c r="H294" s="709">
        <v>0.24600000000000002</v>
      </c>
    </row>
    <row r="295" spans="3:8" ht="15.75" x14ac:dyDescent="0.25">
      <c r="C295" s="685" t="s">
        <v>78</v>
      </c>
      <c r="D295" s="685">
        <v>2001</v>
      </c>
      <c r="E295" s="685" t="str">
        <f t="shared" si="7"/>
        <v>Zambia2001</v>
      </c>
      <c r="F295" s="685" t="s">
        <v>1045</v>
      </c>
      <c r="G295" s="709">
        <v>0.253</v>
      </c>
      <c r="H295" s="709">
        <v>0.188</v>
      </c>
    </row>
    <row r="296" spans="3:8" ht="15.75" x14ac:dyDescent="0.25">
      <c r="C296" s="685" t="s">
        <v>78</v>
      </c>
      <c r="D296" s="685">
        <v>1996</v>
      </c>
      <c r="E296" s="685" t="str">
        <f t="shared" si="7"/>
        <v>Zambia1996</v>
      </c>
      <c r="F296" s="685" t="s">
        <v>600</v>
      </c>
      <c r="G296" s="709">
        <v>0.14400000000000002</v>
      </c>
      <c r="H296" s="709">
        <v>0.11199999999999999</v>
      </c>
    </row>
    <row r="297" spans="3:8" ht="15.75" x14ac:dyDescent="0.25">
      <c r="C297" s="685" t="s">
        <v>78</v>
      </c>
      <c r="D297" s="685">
        <v>1992</v>
      </c>
      <c r="E297" s="685" t="str">
        <f t="shared" si="7"/>
        <v>Zambia1992</v>
      </c>
      <c r="F297" s="685" t="s">
        <v>2102</v>
      </c>
      <c r="G297" s="709">
        <v>8.900000000000001E-2</v>
      </c>
      <c r="H297" s="709">
        <v>7.0000000000000007E-2</v>
      </c>
    </row>
    <row r="298" spans="3:8" ht="15.75" x14ac:dyDescent="0.25">
      <c r="C298" s="685" t="s">
        <v>79</v>
      </c>
      <c r="D298" s="685">
        <v>2015</v>
      </c>
      <c r="E298" s="685" t="str">
        <f t="shared" si="7"/>
        <v>Zimbabwe2015</v>
      </c>
      <c r="F298" s="685" t="s">
        <v>591</v>
      </c>
      <c r="G298" s="709">
        <v>0.65799999999999992</v>
      </c>
      <c r="H298" s="709">
        <v>0.47899999999999998</v>
      </c>
    </row>
    <row r="299" spans="3:8" ht="15.75" x14ac:dyDescent="0.25">
      <c r="C299" s="685" t="s">
        <v>79</v>
      </c>
      <c r="D299" s="685">
        <v>2010</v>
      </c>
      <c r="E299" s="685" t="str">
        <f t="shared" si="7"/>
        <v>Zimbabwe2010</v>
      </c>
      <c r="F299" s="685" t="s">
        <v>1043</v>
      </c>
      <c r="G299" s="709">
        <v>0.57299999999999995</v>
      </c>
      <c r="H299" s="709">
        <v>0.40500000000000003</v>
      </c>
    </row>
    <row r="300" spans="3:8" ht="15.75" x14ac:dyDescent="0.25">
      <c r="C300" s="685" t="s">
        <v>79</v>
      </c>
      <c r="D300" s="685">
        <v>2005</v>
      </c>
      <c r="E300" s="685" t="str">
        <f t="shared" si="7"/>
        <v>Zimbabwe2005</v>
      </c>
      <c r="F300" s="685" t="s">
        <v>612</v>
      </c>
      <c r="G300" s="709">
        <v>0.58399999999999996</v>
      </c>
      <c r="H300" s="709">
        <v>0.39100000000000001</v>
      </c>
    </row>
    <row r="301" spans="3:8" ht="15.75" x14ac:dyDescent="0.25">
      <c r="C301" s="685" t="s">
        <v>79</v>
      </c>
      <c r="D301" s="685">
        <v>1999</v>
      </c>
      <c r="E301" s="685" t="str">
        <f t="shared" si="7"/>
        <v>Zimbabwe1999</v>
      </c>
      <c r="F301" s="685" t="s">
        <v>613</v>
      </c>
      <c r="G301" s="709">
        <v>0.504</v>
      </c>
      <c r="H301" s="709">
        <v>0.35600000000000004</v>
      </c>
    </row>
    <row r="302" spans="3:8" ht="15.75" x14ac:dyDescent="0.25">
      <c r="C302" s="685" t="s">
        <v>79</v>
      </c>
      <c r="D302" s="685">
        <v>1994</v>
      </c>
      <c r="E302" s="685" t="str">
        <f t="shared" si="7"/>
        <v>Zimbabwe1994</v>
      </c>
      <c r="F302" s="685" t="s">
        <v>1202</v>
      </c>
      <c r="G302" s="709">
        <v>0.42200000000000004</v>
      </c>
      <c r="H302" s="709">
        <v>0.311</v>
      </c>
    </row>
    <row r="303" spans="3:8" ht="15.75" x14ac:dyDescent="0.25">
      <c r="C303" s="685" t="s">
        <v>79</v>
      </c>
      <c r="D303" s="685">
        <v>1988</v>
      </c>
      <c r="E303" s="685" t="str">
        <f t="shared" si="7"/>
        <v>Zimbabwe1988</v>
      </c>
      <c r="F303" s="685" t="s">
        <v>599</v>
      </c>
      <c r="G303" s="709">
        <v>0.36099999999999999</v>
      </c>
      <c r="H303" s="709">
        <v>0.27200000000000002</v>
      </c>
    </row>
    <row r="304" spans="3:8" ht="15.75" x14ac:dyDescent="0.25">
      <c r="C304" s="685"/>
      <c r="D304" s="685"/>
      <c r="E304" s="685"/>
      <c r="F304" s="685"/>
      <c r="G304" s="709"/>
      <c r="H304" s="709"/>
    </row>
    <row r="305" spans="3:8" ht="15.75" x14ac:dyDescent="0.25">
      <c r="C305" s="685"/>
      <c r="D305" s="685"/>
      <c r="E305" s="685"/>
      <c r="F305" s="685"/>
      <c r="G305" s="709"/>
      <c r="H305" s="709"/>
    </row>
    <row r="306" spans="3:8" ht="15.75" x14ac:dyDescent="0.25">
      <c r="C306" s="685"/>
      <c r="D306" s="685"/>
      <c r="E306" s="685"/>
      <c r="F306" s="685"/>
      <c r="G306" s="709"/>
      <c r="H306" s="709"/>
    </row>
    <row r="307" spans="3:8" ht="15.75" x14ac:dyDescent="0.25">
      <c r="C307" s="685"/>
      <c r="D307" s="685"/>
      <c r="E307" s="685"/>
      <c r="F307" s="685"/>
      <c r="G307" s="709"/>
      <c r="H307" s="709"/>
    </row>
    <row r="308" spans="3:8" ht="15.75" x14ac:dyDescent="0.25">
      <c r="C308" s="685"/>
      <c r="D308" s="685"/>
      <c r="E308" s="685"/>
      <c r="F308" s="685"/>
      <c r="G308" s="709"/>
      <c r="H308" s="709"/>
    </row>
    <row r="309" spans="3:8" ht="15.75" x14ac:dyDescent="0.25">
      <c r="C309" s="685"/>
      <c r="D309" s="685"/>
      <c r="E309" s="685"/>
      <c r="F309" s="685"/>
      <c r="G309" s="709"/>
      <c r="H309" s="709"/>
    </row>
    <row r="310" spans="3:8" ht="15.75" x14ac:dyDescent="0.25">
      <c r="C310" s="685"/>
      <c r="D310" s="685"/>
      <c r="E310" s="685"/>
      <c r="F310" s="685"/>
      <c r="G310" s="709"/>
      <c r="H310" s="709"/>
    </row>
    <row r="311" spans="3:8" ht="15.75" x14ac:dyDescent="0.25">
      <c r="C311" s="685"/>
      <c r="D311" s="685"/>
      <c r="E311" s="685"/>
      <c r="F311" s="685"/>
      <c r="G311" s="709"/>
      <c r="H311" s="709"/>
    </row>
    <row r="312" spans="3:8" ht="15.75" x14ac:dyDescent="0.25">
      <c r="C312" s="685"/>
      <c r="D312" s="685"/>
      <c r="E312" s="685"/>
      <c r="F312" s="685"/>
      <c r="G312" s="709"/>
      <c r="H312" s="709"/>
    </row>
    <row r="313" spans="3:8" ht="15.75" x14ac:dyDescent="0.25">
      <c r="C313" s="685"/>
      <c r="D313" s="685"/>
      <c r="E313" s="685"/>
      <c r="F313" s="685"/>
      <c r="G313" s="709"/>
      <c r="H313" s="709"/>
    </row>
    <row r="314" spans="3:8" ht="15.75" x14ac:dyDescent="0.25">
      <c r="C314" s="685"/>
      <c r="D314" s="685"/>
      <c r="E314" s="685"/>
      <c r="F314" s="685"/>
      <c r="G314" s="709"/>
      <c r="H314" s="709"/>
    </row>
    <row r="315" spans="3:8" ht="15.75" x14ac:dyDescent="0.25">
      <c r="C315" s="685"/>
      <c r="D315" s="685"/>
      <c r="E315" s="685"/>
      <c r="F315" s="685"/>
      <c r="G315" s="709"/>
      <c r="H315" s="709"/>
    </row>
    <row r="316" spans="3:8" ht="15.75" x14ac:dyDescent="0.25">
      <c r="C316" s="685"/>
      <c r="D316" s="685"/>
      <c r="E316" s="685"/>
      <c r="F316" s="685"/>
      <c r="G316" s="709"/>
      <c r="H316" s="709"/>
    </row>
    <row r="317" spans="3:8" ht="15.75" x14ac:dyDescent="0.25">
      <c r="C317" s="685"/>
      <c r="D317" s="685"/>
      <c r="E317" s="685"/>
      <c r="F317" s="685"/>
      <c r="G317" s="709"/>
      <c r="H317" s="709"/>
    </row>
    <row r="318" spans="3:8" ht="15.75" x14ac:dyDescent="0.25">
      <c r="C318" s="685"/>
      <c r="D318" s="685"/>
      <c r="E318" s="685"/>
      <c r="F318" s="685"/>
      <c r="G318" s="709"/>
      <c r="H318" s="709"/>
    </row>
    <row r="319" spans="3:8" ht="15.75" x14ac:dyDescent="0.25">
      <c r="C319" s="685"/>
      <c r="D319" s="685"/>
      <c r="E319" s="685"/>
      <c r="F319" s="685"/>
      <c r="G319" s="709"/>
      <c r="H319" s="709"/>
    </row>
  </sheetData>
  <autoFilter ref="C1:H290" xr:uid="{FF3E8A1C-2961-425B-871E-E4493BC7614F}">
    <sortState xmlns:xlrd2="http://schemas.microsoft.com/office/spreadsheetml/2017/richdata2" ref="C2:H290">
      <sortCondition ref="E1:E290"/>
    </sortState>
  </autoFilter>
  <phoneticPr fontId="96"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3BF067-5533-4D14-8D5F-8CEBBE4A33BB}">
  <sheetPr codeName="Sheet31">
    <tabColor theme="7"/>
  </sheetPr>
  <dimension ref="B1:H41"/>
  <sheetViews>
    <sheetView topLeftCell="A4" workbookViewId="0">
      <selection activeCell="P101" sqref="P101"/>
    </sheetView>
  </sheetViews>
  <sheetFormatPr defaultRowHeight="15" x14ac:dyDescent="0.25"/>
  <cols>
    <col min="2" max="8" width="21.140625" customWidth="1"/>
  </cols>
  <sheetData>
    <row r="1" spans="2:8" ht="15.75" x14ac:dyDescent="0.25">
      <c r="B1" s="684" t="s">
        <v>10</v>
      </c>
      <c r="C1" s="684" t="s">
        <v>317</v>
      </c>
      <c r="D1" s="684" t="s">
        <v>1051</v>
      </c>
      <c r="E1" s="684" t="s">
        <v>587</v>
      </c>
      <c r="F1" s="684" t="s">
        <v>792</v>
      </c>
      <c r="G1" s="684" t="s">
        <v>793</v>
      </c>
      <c r="H1" t="s">
        <v>1149</v>
      </c>
    </row>
    <row r="2" spans="2:8" x14ac:dyDescent="0.25">
      <c r="B2" t="s">
        <v>16</v>
      </c>
      <c r="C2" s="258">
        <v>2018</v>
      </c>
      <c r="D2" s="258" t="str">
        <f>B2&amp;C2</f>
        <v>Burkina Faso2018</v>
      </c>
      <c r="E2" t="s">
        <v>1165</v>
      </c>
      <c r="F2" s="23">
        <v>0.307</v>
      </c>
      <c r="G2" s="23">
        <v>0.27300000000000002</v>
      </c>
    </row>
    <row r="3" spans="2:8" x14ac:dyDescent="0.25">
      <c r="B3" t="s">
        <v>16</v>
      </c>
      <c r="C3" s="258">
        <v>2017</v>
      </c>
      <c r="D3" s="258" t="str">
        <f t="shared" ref="D3:D41" si="0">B3&amp;C3</f>
        <v>Burkina Faso2017</v>
      </c>
      <c r="E3" t="s">
        <v>1166</v>
      </c>
      <c r="F3" s="831">
        <v>0.30099999999999999</v>
      </c>
      <c r="G3" s="23">
        <v>0.26400000000000001</v>
      </c>
    </row>
    <row r="4" spans="2:8" x14ac:dyDescent="0.25">
      <c r="B4" t="s">
        <v>16</v>
      </c>
      <c r="C4" s="258">
        <v>2016</v>
      </c>
      <c r="D4" s="258" t="str">
        <f t="shared" si="0"/>
        <v>Burkina Faso2016</v>
      </c>
      <c r="E4" t="s">
        <v>1167</v>
      </c>
      <c r="F4" s="831">
        <v>0.24600000000000002</v>
      </c>
      <c r="G4" s="23">
        <v>0.22</v>
      </c>
    </row>
    <row r="5" spans="2:8" x14ac:dyDescent="0.25">
      <c r="B5" t="s">
        <v>16</v>
      </c>
      <c r="C5" s="258">
        <v>2016</v>
      </c>
      <c r="D5" s="258" t="str">
        <f t="shared" si="0"/>
        <v>Burkina Faso2016</v>
      </c>
      <c r="E5" t="s">
        <v>1168</v>
      </c>
      <c r="F5" s="831">
        <v>0.24199999999999999</v>
      </c>
      <c r="G5" s="23">
        <v>0.215</v>
      </c>
    </row>
    <row r="6" spans="2:8" x14ac:dyDescent="0.25">
      <c r="B6" t="s">
        <v>16</v>
      </c>
      <c r="C6" s="258">
        <v>2015</v>
      </c>
      <c r="D6" s="258" t="str">
        <f t="shared" si="0"/>
        <v>Burkina Faso2015</v>
      </c>
      <c r="E6" t="s">
        <v>1169</v>
      </c>
      <c r="F6" s="831">
        <v>0.20100000000000001</v>
      </c>
      <c r="G6" s="23">
        <v>0.18600000000000003</v>
      </c>
    </row>
    <row r="7" spans="2:8" x14ac:dyDescent="0.25">
      <c r="B7" t="s">
        <v>16</v>
      </c>
      <c r="C7" s="258">
        <v>2014</v>
      </c>
      <c r="D7" s="258" t="str">
        <f t="shared" si="0"/>
        <v>Burkina Faso2014</v>
      </c>
      <c r="E7" t="s">
        <v>1170</v>
      </c>
      <c r="F7" s="23">
        <v>0.18</v>
      </c>
      <c r="G7" s="23">
        <v>0.157</v>
      </c>
    </row>
    <row r="8" spans="2:8" x14ac:dyDescent="0.25">
      <c r="B8" t="s">
        <v>2014</v>
      </c>
      <c r="C8" s="258">
        <v>2018</v>
      </c>
      <c r="D8" s="258" t="str">
        <f t="shared" si="0"/>
        <v>Cote d'Ivoire2018</v>
      </c>
      <c r="E8" t="s">
        <v>1171</v>
      </c>
      <c r="F8" s="23">
        <v>0.19600000000000001</v>
      </c>
      <c r="G8" s="23">
        <v>0.20899999999999999</v>
      </c>
    </row>
    <row r="9" spans="2:8" x14ac:dyDescent="0.25">
      <c r="B9" t="s">
        <v>2014</v>
      </c>
      <c r="C9" s="258">
        <v>2017</v>
      </c>
      <c r="D9" s="258" t="str">
        <f t="shared" si="0"/>
        <v>Cote d'Ivoire2017</v>
      </c>
      <c r="E9" t="s">
        <v>1172</v>
      </c>
      <c r="F9" s="831">
        <v>0.18899999999999997</v>
      </c>
      <c r="G9" s="23">
        <v>0.218</v>
      </c>
    </row>
    <row r="10" spans="2:8" x14ac:dyDescent="0.25">
      <c r="B10" t="s">
        <v>29</v>
      </c>
      <c r="C10" s="258">
        <v>2018</v>
      </c>
      <c r="D10" s="258" t="str">
        <f t="shared" si="0"/>
        <v>Ethiopia2018</v>
      </c>
      <c r="E10" t="s">
        <v>1173</v>
      </c>
      <c r="F10" s="831">
        <v>0.37799999999999995</v>
      </c>
      <c r="G10" s="23">
        <v>0.26400000000000001</v>
      </c>
    </row>
    <row r="11" spans="2:8" x14ac:dyDescent="0.25">
      <c r="B11" t="s">
        <v>29</v>
      </c>
      <c r="C11" s="258">
        <v>2017</v>
      </c>
      <c r="D11" s="258" t="str">
        <f t="shared" si="0"/>
        <v>Ethiopia2017</v>
      </c>
      <c r="E11" t="s">
        <v>1174</v>
      </c>
      <c r="F11" s="831">
        <v>0.35200000000000004</v>
      </c>
      <c r="G11" s="23">
        <v>0.255</v>
      </c>
    </row>
    <row r="12" spans="2:8" x14ac:dyDescent="0.25">
      <c r="B12" t="s">
        <v>29</v>
      </c>
      <c r="C12" s="258">
        <v>2016</v>
      </c>
      <c r="D12" s="258" t="str">
        <f t="shared" si="0"/>
        <v>Ethiopia2016</v>
      </c>
      <c r="E12" t="s">
        <v>1175</v>
      </c>
      <c r="F12" s="831">
        <v>0.373</v>
      </c>
      <c r="G12" s="23">
        <v>0.26500000000000001</v>
      </c>
    </row>
    <row r="13" spans="2:8" x14ac:dyDescent="0.25">
      <c r="B13" t="s">
        <v>29</v>
      </c>
      <c r="C13" s="258">
        <v>2015</v>
      </c>
      <c r="D13" s="258" t="str">
        <f t="shared" si="0"/>
        <v>Ethiopia2015</v>
      </c>
      <c r="E13" t="s">
        <v>1176</v>
      </c>
      <c r="F13" s="831">
        <v>0.35799999999999998</v>
      </c>
      <c r="G13" s="23">
        <v>0.25600000000000001</v>
      </c>
    </row>
    <row r="14" spans="2:8" x14ac:dyDescent="0.25">
      <c r="B14" t="s">
        <v>29</v>
      </c>
      <c r="C14" s="258">
        <v>2014</v>
      </c>
      <c r="D14" s="258" t="str">
        <f t="shared" si="0"/>
        <v>Ethiopia2014</v>
      </c>
      <c r="E14" t="s">
        <v>1177</v>
      </c>
      <c r="F14" s="23">
        <v>0.34200000000000003</v>
      </c>
      <c r="G14" s="23">
        <v>0.23800000000000002</v>
      </c>
    </row>
    <row r="15" spans="2:8" x14ac:dyDescent="0.25">
      <c r="B15" t="s">
        <v>29</v>
      </c>
      <c r="C15" s="258">
        <v>2014</v>
      </c>
      <c r="D15" s="258" t="str">
        <f t="shared" si="0"/>
        <v>Ethiopia2014</v>
      </c>
      <c r="E15" t="s">
        <v>1170</v>
      </c>
      <c r="F15" s="831">
        <v>0.33799999999999997</v>
      </c>
      <c r="G15" s="23">
        <v>0.23300000000000001</v>
      </c>
    </row>
    <row r="16" spans="2:8" x14ac:dyDescent="0.25">
      <c r="B16" t="s">
        <v>31</v>
      </c>
      <c r="C16" s="258">
        <v>2017</v>
      </c>
      <c r="D16" s="258" t="str">
        <f t="shared" si="0"/>
        <v>Ghana2017</v>
      </c>
      <c r="E16" t="s">
        <v>1178</v>
      </c>
      <c r="F16" s="831">
        <v>0.27399999999999997</v>
      </c>
      <c r="G16" s="23">
        <v>0.21299999999999999</v>
      </c>
    </row>
    <row r="17" spans="2:7" x14ac:dyDescent="0.25">
      <c r="B17" t="s">
        <v>31</v>
      </c>
      <c r="C17" s="258">
        <v>2016</v>
      </c>
      <c r="D17" s="258" t="str">
        <f t="shared" si="0"/>
        <v>Ghana2016</v>
      </c>
      <c r="E17" t="s">
        <v>1179</v>
      </c>
      <c r="F17" s="831">
        <v>0.25800000000000001</v>
      </c>
      <c r="G17" s="23">
        <v>0.21600000000000003</v>
      </c>
    </row>
    <row r="18" spans="2:7" x14ac:dyDescent="0.25">
      <c r="B18" t="s">
        <v>31</v>
      </c>
      <c r="C18" s="258">
        <v>2015</v>
      </c>
      <c r="D18" s="258" t="str">
        <f t="shared" si="0"/>
        <v>Ghana2015</v>
      </c>
      <c r="E18" t="s">
        <v>1180</v>
      </c>
      <c r="F18" s="831">
        <v>0.29199999999999998</v>
      </c>
      <c r="G18" s="23">
        <v>0.23600000000000002</v>
      </c>
    </row>
    <row r="19" spans="2:7" x14ac:dyDescent="0.25">
      <c r="B19" t="s">
        <v>31</v>
      </c>
      <c r="C19" s="258">
        <v>2014</v>
      </c>
      <c r="D19" s="258" t="str">
        <f t="shared" si="0"/>
        <v>Ghana2014</v>
      </c>
      <c r="E19" t="s">
        <v>1181</v>
      </c>
      <c r="F19" s="831">
        <v>0.214</v>
      </c>
      <c r="G19" s="23">
        <v>0.18100000000000002</v>
      </c>
    </row>
    <row r="20" spans="2:7" x14ac:dyDescent="0.25">
      <c r="B20" t="s">
        <v>31</v>
      </c>
      <c r="C20" s="258">
        <v>2014</v>
      </c>
      <c r="D20" s="258" t="str">
        <f t="shared" si="0"/>
        <v>Ghana2014</v>
      </c>
      <c r="E20" t="s">
        <v>1177</v>
      </c>
      <c r="F20" s="23">
        <v>0.17800000000000002</v>
      </c>
      <c r="G20" s="23">
        <v>0.14499999999999999</v>
      </c>
    </row>
    <row r="21" spans="2:7" x14ac:dyDescent="0.25">
      <c r="B21" t="s">
        <v>31</v>
      </c>
      <c r="C21" s="258">
        <v>2013</v>
      </c>
      <c r="D21" s="258" t="str">
        <f t="shared" si="0"/>
        <v>Ghana2013</v>
      </c>
      <c r="E21" t="s">
        <v>1182</v>
      </c>
      <c r="F21" s="831">
        <v>0.184</v>
      </c>
      <c r="G21" s="23">
        <v>0.13699999999999998</v>
      </c>
    </row>
    <row r="22" spans="2:7" x14ac:dyDescent="0.25">
      <c r="B22" t="s">
        <v>37</v>
      </c>
      <c r="C22" s="258">
        <v>2016</v>
      </c>
      <c r="D22" s="258" t="str">
        <f t="shared" si="0"/>
        <v>Indonesia2016</v>
      </c>
      <c r="E22" t="s">
        <v>1183</v>
      </c>
      <c r="F22" s="831">
        <v>0.58700000000000008</v>
      </c>
      <c r="G22" s="23">
        <v>0.44799999999999995</v>
      </c>
    </row>
    <row r="23" spans="2:7" x14ac:dyDescent="0.25">
      <c r="B23" t="s">
        <v>37</v>
      </c>
      <c r="C23" s="258">
        <v>2015</v>
      </c>
      <c r="D23" s="258" t="str">
        <f t="shared" si="0"/>
        <v>Indonesia2015</v>
      </c>
      <c r="E23" t="s">
        <v>1184</v>
      </c>
      <c r="F23" s="23">
        <v>0.59499999999999997</v>
      </c>
      <c r="G23" s="23">
        <v>0.45799999999999996</v>
      </c>
    </row>
    <row r="24" spans="2:7" x14ac:dyDescent="0.25">
      <c r="B24" t="s">
        <v>39</v>
      </c>
      <c r="C24" s="258">
        <v>2018</v>
      </c>
      <c r="D24" s="258" t="str">
        <f t="shared" si="0"/>
        <v>Kenya2018</v>
      </c>
      <c r="E24" t="s">
        <v>1185</v>
      </c>
      <c r="F24" s="831">
        <v>0.60699999999999998</v>
      </c>
      <c r="G24" s="23">
        <v>0.44600000000000001</v>
      </c>
    </row>
    <row r="25" spans="2:7" x14ac:dyDescent="0.25">
      <c r="B25" t="s">
        <v>39</v>
      </c>
      <c r="C25" s="258">
        <v>2017</v>
      </c>
      <c r="D25" s="258" t="str">
        <f t="shared" si="0"/>
        <v>Kenya2017</v>
      </c>
      <c r="E25" t="s">
        <v>1178</v>
      </c>
      <c r="F25" s="831">
        <v>0.59</v>
      </c>
      <c r="G25" s="23">
        <v>0.43700000000000006</v>
      </c>
    </row>
    <row r="26" spans="2:7" x14ac:dyDescent="0.25">
      <c r="B26" t="s">
        <v>39</v>
      </c>
      <c r="C26" s="258">
        <v>2016</v>
      </c>
      <c r="D26" s="258" t="str">
        <f t="shared" si="0"/>
        <v>Kenya2016</v>
      </c>
      <c r="E26" t="s">
        <v>1179</v>
      </c>
      <c r="F26" s="831">
        <v>0.59899999999999998</v>
      </c>
      <c r="G26" s="23">
        <v>0.442</v>
      </c>
    </row>
    <row r="27" spans="2:7" x14ac:dyDescent="0.25">
      <c r="B27" t="s">
        <v>39</v>
      </c>
      <c r="C27" s="258">
        <v>2015</v>
      </c>
      <c r="D27" s="258" t="str">
        <f t="shared" si="0"/>
        <v>Kenya2015</v>
      </c>
      <c r="E27" t="s">
        <v>1180</v>
      </c>
      <c r="F27" s="831">
        <v>0.623</v>
      </c>
      <c r="G27" s="23">
        <v>0.46</v>
      </c>
    </row>
    <row r="28" spans="2:7" x14ac:dyDescent="0.25">
      <c r="B28" t="s">
        <v>39</v>
      </c>
      <c r="C28" s="258">
        <v>2015</v>
      </c>
      <c r="D28" s="258" t="str">
        <f t="shared" si="0"/>
        <v>Kenya2015</v>
      </c>
      <c r="E28" t="s">
        <v>1176</v>
      </c>
      <c r="F28" s="831">
        <v>0.58799999999999997</v>
      </c>
      <c r="G28" s="23">
        <v>0.46500000000000002</v>
      </c>
    </row>
    <row r="29" spans="2:7" x14ac:dyDescent="0.25">
      <c r="B29" t="s">
        <v>39</v>
      </c>
      <c r="C29" s="258">
        <v>2014</v>
      </c>
      <c r="D29" s="258" t="str">
        <f t="shared" si="0"/>
        <v>Kenya2014</v>
      </c>
      <c r="E29" t="s">
        <v>1177</v>
      </c>
      <c r="F29" s="831">
        <v>0.55600000000000005</v>
      </c>
      <c r="G29" s="23">
        <v>0.40299999999999997</v>
      </c>
    </row>
    <row r="30" spans="2:7" x14ac:dyDescent="0.25">
      <c r="B30" t="s">
        <v>39</v>
      </c>
      <c r="C30" s="258">
        <v>2014</v>
      </c>
      <c r="D30" s="258" t="str">
        <f t="shared" si="0"/>
        <v>Kenya2014</v>
      </c>
      <c r="E30" t="s">
        <v>1170</v>
      </c>
      <c r="F30" s="831">
        <v>0.53400000000000003</v>
      </c>
      <c r="G30" s="23">
        <v>0.42499999999999999</v>
      </c>
    </row>
    <row r="31" spans="2:7" x14ac:dyDescent="0.25">
      <c r="B31" t="s">
        <v>53</v>
      </c>
      <c r="C31" s="258">
        <v>2017</v>
      </c>
      <c r="D31" s="258" t="str">
        <f t="shared" si="0"/>
        <v>Niger2017</v>
      </c>
      <c r="E31" t="s">
        <v>1186</v>
      </c>
      <c r="F31" s="831">
        <v>0.18100000000000002</v>
      </c>
      <c r="G31" s="23">
        <v>0.152</v>
      </c>
    </row>
    <row r="32" spans="2:7" x14ac:dyDescent="0.25">
      <c r="B32" t="s">
        <v>53</v>
      </c>
      <c r="C32" s="258">
        <v>2016</v>
      </c>
      <c r="D32" s="258" t="str">
        <f t="shared" si="0"/>
        <v>Niger2016</v>
      </c>
      <c r="E32" t="s">
        <v>1187</v>
      </c>
      <c r="F32" s="831">
        <v>0.14400000000000002</v>
      </c>
      <c r="G32" s="23">
        <v>0.126</v>
      </c>
    </row>
    <row r="33" spans="2:7" x14ac:dyDescent="0.25">
      <c r="B33" t="s">
        <v>54</v>
      </c>
      <c r="C33" s="258">
        <v>2018</v>
      </c>
      <c r="D33" s="258" t="str">
        <f t="shared" si="0"/>
        <v>Nigeria2018</v>
      </c>
      <c r="E33" t="s">
        <v>1188</v>
      </c>
      <c r="F33" s="831">
        <v>0.19</v>
      </c>
      <c r="G33" s="23">
        <v>0.17600000000000002</v>
      </c>
    </row>
    <row r="34" spans="2:7" x14ac:dyDescent="0.25">
      <c r="B34" t="s">
        <v>54</v>
      </c>
      <c r="C34" s="258">
        <v>2017</v>
      </c>
      <c r="D34" s="258" t="str">
        <f t="shared" si="0"/>
        <v>Nigeria2017</v>
      </c>
      <c r="E34" t="s">
        <v>1186</v>
      </c>
      <c r="F34" s="831">
        <v>0.161</v>
      </c>
      <c r="G34" s="23">
        <v>0.14699999999999999</v>
      </c>
    </row>
    <row r="35" spans="2:7" x14ac:dyDescent="0.25">
      <c r="B35" t="s">
        <v>54</v>
      </c>
      <c r="C35" s="258">
        <v>2016</v>
      </c>
      <c r="D35" s="258" t="str">
        <f t="shared" si="0"/>
        <v>Nigeria2016</v>
      </c>
      <c r="E35" t="s">
        <v>1187</v>
      </c>
      <c r="F35" s="831">
        <v>0.16300000000000001</v>
      </c>
      <c r="G35" s="23">
        <v>0.14899999999999999</v>
      </c>
    </row>
    <row r="36" spans="2:7" x14ac:dyDescent="0.25">
      <c r="B36" t="s">
        <v>73</v>
      </c>
      <c r="C36" s="258">
        <v>2018</v>
      </c>
      <c r="D36" s="258" t="str">
        <f t="shared" si="0"/>
        <v>Uganda2018</v>
      </c>
      <c r="E36" t="s">
        <v>1173</v>
      </c>
      <c r="F36" s="831">
        <v>0.36299999999999999</v>
      </c>
      <c r="G36" s="23">
        <v>0.30299999999999999</v>
      </c>
    </row>
    <row r="37" spans="2:7" x14ac:dyDescent="0.25">
      <c r="B37" t="s">
        <v>73</v>
      </c>
      <c r="C37" s="258">
        <v>2017</v>
      </c>
      <c r="D37" s="258" t="str">
        <f t="shared" si="0"/>
        <v>Uganda2017</v>
      </c>
      <c r="E37" t="s">
        <v>1174</v>
      </c>
      <c r="F37" s="831">
        <v>0.33899999999999997</v>
      </c>
      <c r="G37" s="23">
        <v>0.28499999999999998</v>
      </c>
    </row>
    <row r="38" spans="2:7" x14ac:dyDescent="0.25">
      <c r="B38" t="s">
        <v>73</v>
      </c>
      <c r="C38" s="258">
        <v>2016</v>
      </c>
      <c r="D38" s="258" t="str">
        <f t="shared" si="0"/>
        <v>Uganda2016</v>
      </c>
      <c r="E38" t="s">
        <v>1175</v>
      </c>
      <c r="F38" s="831">
        <v>0.32200000000000001</v>
      </c>
      <c r="G38" s="23">
        <v>0.27500000000000002</v>
      </c>
    </row>
    <row r="39" spans="2:7" x14ac:dyDescent="0.25">
      <c r="B39" t="s">
        <v>73</v>
      </c>
      <c r="C39" s="258">
        <v>2015</v>
      </c>
      <c r="D39" s="258" t="str">
        <f t="shared" si="0"/>
        <v>Uganda2015</v>
      </c>
      <c r="E39" t="s">
        <v>1176</v>
      </c>
      <c r="F39" s="831">
        <v>0.3</v>
      </c>
      <c r="G39" s="23">
        <v>0.25600000000000001</v>
      </c>
    </row>
    <row r="40" spans="2:7" x14ac:dyDescent="0.25">
      <c r="B40" t="s">
        <v>73</v>
      </c>
      <c r="C40" s="258">
        <v>2015</v>
      </c>
      <c r="D40" s="258" t="str">
        <f t="shared" si="0"/>
        <v>Uganda2015</v>
      </c>
      <c r="E40" t="s">
        <v>1169</v>
      </c>
      <c r="F40" s="831">
        <v>0.318</v>
      </c>
      <c r="G40" s="23">
        <v>0.26100000000000001</v>
      </c>
    </row>
    <row r="41" spans="2:7" x14ac:dyDescent="0.25">
      <c r="B41" t="s">
        <v>73</v>
      </c>
      <c r="C41" s="258">
        <v>2014</v>
      </c>
      <c r="D41" s="258" t="str">
        <f t="shared" si="0"/>
        <v>Uganda2014</v>
      </c>
      <c r="E41" t="s">
        <v>1170</v>
      </c>
      <c r="F41" s="831">
        <v>0.25600000000000001</v>
      </c>
      <c r="G41" s="23">
        <v>0.21</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DAD9FD-9954-4254-8C3A-D204D5632D9D}">
  <sheetPr codeName="Sheet32">
    <tabColor theme="7"/>
  </sheetPr>
  <dimension ref="A1:AD280"/>
  <sheetViews>
    <sheetView showGridLines="0" zoomScale="70" zoomScaleNormal="70" workbookViewId="0">
      <selection activeCell="E19" sqref="E19"/>
    </sheetView>
  </sheetViews>
  <sheetFormatPr defaultRowHeight="15" x14ac:dyDescent="0.25"/>
  <cols>
    <col min="1" max="1" width="31.140625" customWidth="1"/>
    <col min="2" max="2" width="4.7109375" customWidth="1"/>
    <col min="3" max="4" width="22.42578125" customWidth="1"/>
    <col min="5" max="5" width="52.42578125" customWidth="1"/>
    <col min="6" max="6" width="22.42578125" customWidth="1"/>
    <col min="7" max="8" width="22.42578125" style="710" customWidth="1"/>
  </cols>
  <sheetData>
    <row r="1" spans="1:30" ht="15.75" x14ac:dyDescent="0.25">
      <c r="A1" s="1726" t="s">
        <v>2115</v>
      </c>
      <c r="C1" s="684" t="s">
        <v>10</v>
      </c>
      <c r="D1" s="684" t="s">
        <v>317</v>
      </c>
      <c r="E1" s="684" t="s">
        <v>1051</v>
      </c>
      <c r="F1" s="684"/>
      <c r="G1" s="708" t="s">
        <v>792</v>
      </c>
      <c r="H1" s="708" t="s">
        <v>793</v>
      </c>
      <c r="L1" s="119"/>
      <c r="M1" s="119"/>
      <c r="N1" s="119"/>
      <c r="O1" s="119"/>
      <c r="P1" s="119"/>
      <c r="Q1" s="119"/>
      <c r="R1" s="119"/>
      <c r="S1" s="119"/>
      <c r="T1" s="119"/>
      <c r="U1" s="119"/>
      <c r="V1" s="119"/>
      <c r="W1" s="119"/>
      <c r="X1" s="119"/>
      <c r="Y1" s="119"/>
      <c r="Z1" s="119"/>
      <c r="AA1" s="119"/>
      <c r="AB1" s="119"/>
      <c r="AC1" s="119"/>
      <c r="AD1" s="119"/>
    </row>
    <row r="2" spans="1:30" ht="15.75" x14ac:dyDescent="0.25">
      <c r="A2" s="1726"/>
      <c r="C2" s="685" t="s">
        <v>11</v>
      </c>
      <c r="D2" s="685">
        <v>2010</v>
      </c>
      <c r="E2" s="685" t="str">
        <f t="shared" ref="E2:E48" si="0">C2&amp;D2</f>
        <v>Afghanistan2010</v>
      </c>
      <c r="F2" s="685" t="str">
        <f t="shared" ref="F2:F38" si="1">"MICS "&amp;D2</f>
        <v>MICS 2010</v>
      </c>
      <c r="G2" s="1061">
        <v>0.20300000000000001</v>
      </c>
      <c r="H2" s="1061" t="e">
        <f>NA()</f>
        <v>#N/A</v>
      </c>
    </row>
    <row r="3" spans="1:30" ht="15.75" x14ac:dyDescent="0.25">
      <c r="A3" s="1726"/>
      <c r="C3" s="685" t="s">
        <v>134</v>
      </c>
      <c r="D3" s="685">
        <v>2008</v>
      </c>
      <c r="E3" s="685" t="str">
        <f t="shared" si="0"/>
        <v>Angola2008</v>
      </c>
      <c r="F3" s="685" t="str">
        <f t="shared" si="1"/>
        <v>MICS 2008</v>
      </c>
      <c r="G3" s="1061">
        <v>0.11700000000000001</v>
      </c>
      <c r="H3" s="1061" t="e">
        <f>NA()</f>
        <v>#N/A</v>
      </c>
    </row>
    <row r="4" spans="1:30" ht="15.75" x14ac:dyDescent="0.25">
      <c r="C4" s="685" t="s">
        <v>12</v>
      </c>
      <c r="D4" s="685">
        <v>2012</v>
      </c>
      <c r="E4" s="685" t="str">
        <f t="shared" si="0"/>
        <v>Bangladesh2012</v>
      </c>
      <c r="F4" s="685" t="str">
        <f t="shared" si="1"/>
        <v>MICS 2012</v>
      </c>
      <c r="G4" s="1061">
        <v>0.59299999999999997</v>
      </c>
      <c r="H4" s="1061" t="e">
        <f>NA()</f>
        <v>#N/A</v>
      </c>
    </row>
    <row r="5" spans="1:30" ht="15.75" x14ac:dyDescent="0.25">
      <c r="C5" s="1062" t="s">
        <v>12</v>
      </c>
      <c r="D5" s="1062">
        <v>2019</v>
      </c>
      <c r="E5" s="1062" t="str">
        <f t="shared" si="0"/>
        <v>Bangladesh2019</v>
      </c>
      <c r="F5" s="1062" t="s">
        <v>1295</v>
      </c>
      <c r="G5" s="810">
        <v>0.59114</v>
      </c>
      <c r="H5" s="810" t="e">
        <f>NA()</f>
        <v>#N/A</v>
      </c>
    </row>
    <row r="6" spans="1:30" ht="15.75" x14ac:dyDescent="0.25">
      <c r="C6" s="1062" t="s">
        <v>148</v>
      </c>
      <c r="D6" s="1062">
        <v>2015</v>
      </c>
      <c r="E6" s="1062" t="str">
        <f t="shared" si="0"/>
        <v>Belize2015</v>
      </c>
      <c r="F6" s="1062" t="s">
        <v>2111</v>
      </c>
      <c r="G6" s="810" t="e">
        <f>NA()</f>
        <v>#N/A</v>
      </c>
      <c r="H6" s="810">
        <v>0.35799999999999998</v>
      </c>
    </row>
    <row r="7" spans="1:30" ht="15.75" x14ac:dyDescent="0.25">
      <c r="C7" s="685" t="s">
        <v>13</v>
      </c>
      <c r="D7" s="685">
        <v>2014</v>
      </c>
      <c r="E7" s="685" t="str">
        <f t="shared" si="0"/>
        <v>Benin2014</v>
      </c>
      <c r="F7" s="685" t="str">
        <f t="shared" si="1"/>
        <v>MICS 2014</v>
      </c>
      <c r="G7" s="1061">
        <v>0.125</v>
      </c>
      <c r="H7" s="1061">
        <v>0.11799999999999999</v>
      </c>
    </row>
    <row r="8" spans="1:30" ht="15.75" x14ac:dyDescent="0.25">
      <c r="C8" s="685" t="s">
        <v>14</v>
      </c>
      <c r="D8" s="685">
        <v>2010</v>
      </c>
      <c r="E8" s="685" t="str">
        <f t="shared" si="0"/>
        <v>Bhutan2010</v>
      </c>
      <c r="F8" s="685" t="str">
        <f t="shared" si="1"/>
        <v>MICS 2010</v>
      </c>
      <c r="G8" s="1061">
        <v>0.65399999999999991</v>
      </c>
      <c r="H8" s="1061">
        <v>0.47799999999999998</v>
      </c>
    </row>
    <row r="9" spans="1:30" ht="15.75" x14ac:dyDescent="0.25">
      <c r="C9" s="685" t="s">
        <v>16</v>
      </c>
      <c r="D9" s="685">
        <v>2006</v>
      </c>
      <c r="E9" s="685" t="str">
        <f t="shared" si="0"/>
        <v>Burkina Faso2006</v>
      </c>
      <c r="F9" s="685" t="str">
        <f t="shared" si="1"/>
        <v>MICS 2006</v>
      </c>
      <c r="G9" s="1061">
        <v>0.14399999999999999</v>
      </c>
      <c r="H9" s="1061" t="e">
        <f>NA()</f>
        <v>#N/A</v>
      </c>
    </row>
    <row r="10" spans="1:30" ht="15.75" x14ac:dyDescent="0.25">
      <c r="C10" s="685" t="s">
        <v>17</v>
      </c>
      <c r="D10" s="685">
        <v>2005</v>
      </c>
      <c r="E10" s="685" t="str">
        <f t="shared" si="0"/>
        <v>Burundi2005</v>
      </c>
      <c r="F10" s="685" t="str">
        <f t="shared" si="1"/>
        <v>MICS 2005</v>
      </c>
      <c r="G10" s="1061">
        <v>7.9000000000000001E-2</v>
      </c>
      <c r="H10" s="1061" t="e">
        <f>NA()</f>
        <v>#N/A</v>
      </c>
    </row>
    <row r="11" spans="1:30" ht="15.75" x14ac:dyDescent="0.25">
      <c r="C11" s="685" t="s">
        <v>19</v>
      </c>
      <c r="D11" s="685">
        <v>2006</v>
      </c>
      <c r="E11" s="685" t="str">
        <f t="shared" si="0"/>
        <v>Cameroon2006</v>
      </c>
      <c r="F11" s="685" t="str">
        <f t="shared" si="1"/>
        <v>MICS 2006</v>
      </c>
      <c r="G11" s="1061">
        <v>0.121</v>
      </c>
      <c r="H11" s="1061" t="e">
        <f>NA()</f>
        <v>#N/A</v>
      </c>
      <c r="L11" s="258"/>
      <c r="M11" s="258"/>
      <c r="N11" s="258"/>
      <c r="O11" s="258"/>
      <c r="P11" s="258"/>
      <c r="Q11" s="258"/>
      <c r="R11" s="258"/>
      <c r="S11" s="258"/>
      <c r="T11" s="258"/>
      <c r="U11" s="258"/>
      <c r="V11" s="258"/>
      <c r="W11" s="258"/>
      <c r="X11" s="258"/>
      <c r="Y11" s="258"/>
      <c r="Z11" s="258"/>
      <c r="AA11" s="258"/>
      <c r="AB11" s="258"/>
      <c r="AC11" s="258"/>
      <c r="AD11" s="258"/>
    </row>
    <row r="12" spans="1:30" ht="15.75" x14ac:dyDescent="0.25">
      <c r="C12" s="685" t="s">
        <v>19</v>
      </c>
      <c r="D12" s="685">
        <v>2014</v>
      </c>
      <c r="E12" s="685" t="str">
        <f t="shared" si="0"/>
        <v>Cameroon2014</v>
      </c>
      <c r="F12" s="685" t="str">
        <f t="shared" si="1"/>
        <v>MICS 2014</v>
      </c>
      <c r="G12" s="1061">
        <v>0.161</v>
      </c>
      <c r="H12" s="1061">
        <v>0.221</v>
      </c>
      <c r="L12" s="258"/>
      <c r="M12" s="258"/>
      <c r="N12" s="258"/>
      <c r="O12" s="258"/>
      <c r="P12" s="258"/>
      <c r="Q12" s="258"/>
      <c r="R12" s="258"/>
      <c r="S12" s="258"/>
      <c r="T12" s="258"/>
      <c r="U12" s="258"/>
      <c r="V12" s="258"/>
      <c r="W12" s="258"/>
      <c r="X12" s="258"/>
      <c r="Y12" s="258"/>
      <c r="Z12" s="258"/>
      <c r="AA12" s="258"/>
      <c r="AB12" s="258"/>
      <c r="AC12" s="258"/>
      <c r="AD12" s="258"/>
    </row>
    <row r="13" spans="1:30" ht="15.75" x14ac:dyDescent="0.25">
      <c r="C13" s="685" t="s">
        <v>2012</v>
      </c>
      <c r="D13" s="685">
        <v>2006</v>
      </c>
      <c r="E13" s="685" t="str">
        <f t="shared" si="0"/>
        <v>Central African Rep.2006</v>
      </c>
      <c r="F13" s="685" t="str">
        <f t="shared" si="1"/>
        <v>MICS 2006</v>
      </c>
      <c r="G13" s="1061">
        <v>8.5999999999999993E-2</v>
      </c>
      <c r="H13" s="1061" t="e">
        <f>NA()</f>
        <v>#N/A</v>
      </c>
      <c r="L13" s="258"/>
      <c r="M13" s="258"/>
      <c r="N13" s="258"/>
      <c r="O13" s="258"/>
      <c r="P13" s="258"/>
      <c r="Q13" s="258"/>
      <c r="R13" s="258"/>
      <c r="S13" s="258"/>
      <c r="T13" s="258"/>
      <c r="U13" s="258"/>
      <c r="V13" s="258"/>
      <c r="W13" s="258"/>
      <c r="X13" s="258"/>
      <c r="Y13" s="258"/>
      <c r="Z13" s="258"/>
      <c r="AA13" s="258"/>
      <c r="AB13" s="258"/>
      <c r="AC13" s="258"/>
      <c r="AD13" s="258"/>
    </row>
    <row r="14" spans="1:30" ht="15.75" x14ac:dyDescent="0.25">
      <c r="C14" s="685" t="s">
        <v>2012</v>
      </c>
      <c r="D14" s="685">
        <v>2010</v>
      </c>
      <c r="E14" s="685" t="str">
        <f t="shared" si="0"/>
        <v>Central African Rep.2010</v>
      </c>
      <c r="F14" s="685" t="str">
        <f t="shared" si="1"/>
        <v>MICS 2010</v>
      </c>
      <c r="G14" s="1061">
        <v>9.3000000000000013E-2</v>
      </c>
      <c r="H14" s="1061">
        <v>8.8999999999999996E-2</v>
      </c>
      <c r="L14" s="258"/>
      <c r="M14" s="258"/>
      <c r="N14" s="258"/>
      <c r="O14" s="258"/>
      <c r="P14" s="258"/>
      <c r="Q14" s="258"/>
      <c r="R14" s="258"/>
      <c r="S14" s="258"/>
      <c r="T14" s="258"/>
      <c r="U14" s="258"/>
      <c r="V14" s="258"/>
      <c r="W14" s="258"/>
      <c r="X14" s="258"/>
      <c r="Y14" s="258"/>
      <c r="Z14" s="258"/>
      <c r="AA14" s="258"/>
      <c r="AB14" s="258"/>
      <c r="AC14" s="258"/>
      <c r="AD14" s="258"/>
    </row>
    <row r="15" spans="1:30" ht="15.75" x14ac:dyDescent="0.25">
      <c r="C15" s="685" t="s">
        <v>2012</v>
      </c>
      <c r="D15" s="685">
        <v>2019</v>
      </c>
      <c r="E15" s="685" t="str">
        <f t="shared" ref="E15" si="2">C15&amp;D15</f>
        <v>Central African Rep.2019</v>
      </c>
      <c r="F15" s="685" t="str">
        <f t="shared" ref="F15" si="3">"MICS "&amp;D15</f>
        <v>MICS 2019</v>
      </c>
      <c r="G15" s="1061">
        <v>0.14399999999999999</v>
      </c>
      <c r="H15" s="1061">
        <v>0.11</v>
      </c>
      <c r="L15" s="258"/>
      <c r="M15" s="258"/>
      <c r="N15" s="258"/>
      <c r="O15" s="258"/>
      <c r="P15" s="258"/>
      <c r="Q15" s="258"/>
      <c r="R15" s="258"/>
      <c r="S15" s="258"/>
      <c r="T15" s="258"/>
      <c r="U15" s="258"/>
      <c r="V15" s="258"/>
      <c r="W15" s="258"/>
      <c r="X15" s="258"/>
      <c r="Y15" s="258"/>
      <c r="Z15" s="258"/>
      <c r="AA15" s="258"/>
      <c r="AB15" s="258"/>
      <c r="AC15" s="258"/>
      <c r="AD15" s="258"/>
    </row>
    <row r="16" spans="1:30" ht="15.75" x14ac:dyDescent="0.25">
      <c r="C16" s="685" t="s">
        <v>20</v>
      </c>
      <c r="D16" s="685">
        <v>2010</v>
      </c>
      <c r="E16" s="685" t="str">
        <f t="shared" si="0"/>
        <v>Chad2010</v>
      </c>
      <c r="F16" s="685" t="str">
        <f t="shared" si="1"/>
        <v>MICS 2010</v>
      </c>
      <c r="G16" s="1061">
        <v>1.6E-2</v>
      </c>
      <c r="H16" s="1061" t="e">
        <f>NA()</f>
        <v>#N/A</v>
      </c>
      <c r="L16" s="258"/>
      <c r="M16" s="258"/>
      <c r="N16" s="258"/>
      <c r="O16" s="258"/>
      <c r="P16" s="258"/>
      <c r="Q16" s="258"/>
      <c r="R16" s="258"/>
      <c r="S16" s="258"/>
      <c r="T16" s="258"/>
      <c r="U16" s="258"/>
      <c r="V16" s="258"/>
      <c r="W16" s="258"/>
      <c r="X16" s="258"/>
      <c r="Y16" s="258"/>
      <c r="Z16" s="258"/>
      <c r="AA16" s="258"/>
      <c r="AB16" s="258"/>
      <c r="AC16" s="258"/>
      <c r="AD16" s="258"/>
    </row>
    <row r="17" spans="3:30" ht="15.75" x14ac:dyDescent="0.25">
      <c r="C17" s="685" t="s">
        <v>20</v>
      </c>
      <c r="D17" s="685">
        <v>2019</v>
      </c>
      <c r="E17" s="685" t="str">
        <f t="shared" si="0"/>
        <v>Chad2019</v>
      </c>
      <c r="F17" s="685" t="str">
        <f t="shared" si="1"/>
        <v>MICS 2019</v>
      </c>
      <c r="G17" s="1061">
        <v>6.7000000000000004E-2</v>
      </c>
      <c r="H17" s="1061">
        <v>4.45198513967048E-2</v>
      </c>
      <c r="L17" s="258"/>
      <c r="M17" s="258"/>
      <c r="N17" s="258"/>
      <c r="O17" s="258"/>
      <c r="P17" s="258"/>
      <c r="Q17" s="258"/>
      <c r="R17" s="258"/>
      <c r="S17" s="258"/>
      <c r="T17" s="258"/>
      <c r="U17" s="258"/>
      <c r="V17" s="258"/>
      <c r="W17" s="258"/>
      <c r="X17" s="258"/>
      <c r="Y17" s="258"/>
      <c r="Z17" s="258"/>
      <c r="AA17" s="258"/>
      <c r="AB17" s="258"/>
      <c r="AC17" s="258"/>
      <c r="AD17" s="258"/>
    </row>
    <row r="18" spans="3:30" ht="15.75" x14ac:dyDescent="0.25">
      <c r="C18" s="685" t="s">
        <v>22</v>
      </c>
      <c r="D18" s="685">
        <v>2014</v>
      </c>
      <c r="E18" s="685" t="str">
        <f t="shared" si="0"/>
        <v>Congo2014</v>
      </c>
      <c r="F18" s="685" t="str">
        <f t="shared" si="1"/>
        <v>MICS 2014</v>
      </c>
      <c r="G18" s="1061">
        <v>0.185</v>
      </c>
      <c r="H18" s="1061">
        <v>0.19800000000000001</v>
      </c>
      <c r="L18" s="258"/>
      <c r="M18" s="258"/>
      <c r="N18" s="258"/>
      <c r="O18" s="258"/>
      <c r="P18" s="258"/>
      <c r="Q18" s="258"/>
      <c r="R18" s="258"/>
      <c r="S18" s="258"/>
      <c r="T18" s="258"/>
      <c r="U18" s="258"/>
      <c r="V18" s="258"/>
      <c r="W18" s="258"/>
      <c r="X18" s="258"/>
      <c r="Y18" s="258"/>
      <c r="Z18" s="258"/>
      <c r="AA18" s="258"/>
      <c r="AB18" s="258"/>
      <c r="AC18" s="258"/>
      <c r="AD18" s="258"/>
    </row>
    <row r="19" spans="3:30" ht="15.75" x14ac:dyDescent="0.25">
      <c r="C19" s="685" t="s">
        <v>2014</v>
      </c>
      <c r="D19" s="685">
        <v>2006</v>
      </c>
      <c r="E19" s="685" t="str">
        <f t="shared" si="0"/>
        <v>Cote d'Ivoire2006</v>
      </c>
      <c r="F19" s="685" t="str">
        <f t="shared" si="1"/>
        <v>MICS 2006</v>
      </c>
      <c r="G19" s="1061">
        <v>9.3000000000000013E-2</v>
      </c>
      <c r="H19" s="1061" t="e">
        <f>NA()</f>
        <v>#N/A</v>
      </c>
      <c r="L19" s="258"/>
      <c r="M19" s="258"/>
      <c r="N19" s="258"/>
      <c r="O19" s="258"/>
      <c r="P19" s="258"/>
      <c r="Q19" s="258"/>
      <c r="R19" s="258"/>
      <c r="S19" s="258"/>
      <c r="T19" s="258"/>
      <c r="U19" s="258"/>
      <c r="V19" s="258"/>
      <c r="W19" s="258"/>
      <c r="X19" s="258"/>
      <c r="Y19" s="258"/>
      <c r="Z19" s="258"/>
      <c r="AA19" s="258"/>
      <c r="AB19" s="258"/>
      <c r="AC19" s="258"/>
      <c r="AD19" s="258"/>
    </row>
    <row r="20" spans="3:30" ht="15.75" x14ac:dyDescent="0.25">
      <c r="C20" s="685" t="s">
        <v>2014</v>
      </c>
      <c r="D20" s="685">
        <v>2016</v>
      </c>
      <c r="E20" s="685" t="str">
        <f t="shared" si="0"/>
        <v>Cote d'Ivoire2016</v>
      </c>
      <c r="F20" s="685" t="str">
        <f t="shared" si="1"/>
        <v>MICS 2016</v>
      </c>
      <c r="G20" s="1061">
        <v>0.14300000000000002</v>
      </c>
      <c r="H20" s="1061">
        <v>0.14699999999999999</v>
      </c>
      <c r="L20" s="258"/>
      <c r="M20" s="258"/>
      <c r="N20" s="258"/>
      <c r="O20" s="258"/>
      <c r="P20" s="258"/>
      <c r="Q20" s="258"/>
      <c r="R20" s="258"/>
      <c r="S20" s="258"/>
      <c r="T20" s="258"/>
      <c r="U20" s="258"/>
      <c r="V20" s="258"/>
      <c r="W20" s="258"/>
      <c r="X20" s="258"/>
      <c r="Y20" s="258"/>
      <c r="Z20" s="258"/>
      <c r="AA20" s="258"/>
      <c r="AB20" s="258"/>
      <c r="AC20" s="258"/>
      <c r="AD20" s="258"/>
    </row>
    <row r="21" spans="3:30" ht="15.75" x14ac:dyDescent="0.25">
      <c r="C21" s="685" t="s">
        <v>24</v>
      </c>
      <c r="D21" s="685">
        <v>2006</v>
      </c>
      <c r="E21" s="685" t="str">
        <f t="shared" si="0"/>
        <v>Djibouti2006</v>
      </c>
      <c r="F21" s="685" t="str">
        <f t="shared" si="1"/>
        <v>MICS 2006</v>
      </c>
      <c r="G21" s="1061">
        <v>0.17099999999999999</v>
      </c>
      <c r="H21" s="1061" t="e">
        <f>NA()</f>
        <v>#N/A</v>
      </c>
      <c r="L21" s="258"/>
      <c r="M21" s="258"/>
      <c r="N21" s="258"/>
      <c r="O21" s="258"/>
      <c r="P21" s="258"/>
      <c r="Q21" s="258"/>
      <c r="R21" s="258"/>
      <c r="S21" s="258"/>
      <c r="T21" s="258"/>
      <c r="U21" s="258"/>
      <c r="V21" s="258"/>
      <c r="W21" s="258"/>
      <c r="X21" s="258"/>
      <c r="Y21" s="258"/>
      <c r="Z21" s="258"/>
      <c r="AA21" s="258"/>
      <c r="AB21" s="258"/>
      <c r="AC21" s="258"/>
      <c r="AD21" s="258"/>
    </row>
    <row r="22" spans="3:30" ht="15.75" x14ac:dyDescent="0.25">
      <c r="C22" s="685" t="s">
        <v>25</v>
      </c>
      <c r="D22" s="685">
        <v>2017</v>
      </c>
      <c r="E22" s="685" t="str">
        <f t="shared" si="0"/>
        <v>DPR Korea2017</v>
      </c>
      <c r="F22" s="685" t="str">
        <f t="shared" si="1"/>
        <v>MICS 2017</v>
      </c>
      <c r="G22" s="1061">
        <v>0.69</v>
      </c>
      <c r="H22" s="1061" t="e">
        <f>NA()</f>
        <v>#N/A</v>
      </c>
      <c r="L22" s="258"/>
      <c r="M22" s="258"/>
      <c r="N22" s="258"/>
      <c r="O22" s="258"/>
      <c r="P22" s="258"/>
      <c r="Q22" s="258"/>
      <c r="R22" s="258"/>
      <c r="S22" s="258"/>
      <c r="T22" s="258"/>
      <c r="U22" s="258"/>
      <c r="V22" s="258"/>
      <c r="W22" s="258"/>
      <c r="X22" s="258"/>
      <c r="Y22" s="258"/>
      <c r="Z22" s="258"/>
      <c r="AA22" s="258"/>
      <c r="AB22" s="258"/>
      <c r="AC22" s="258"/>
      <c r="AD22" s="258"/>
    </row>
    <row r="23" spans="3:30" ht="15.75" x14ac:dyDescent="0.25">
      <c r="C23" s="685" t="s">
        <v>26</v>
      </c>
      <c r="D23" s="685">
        <v>2010</v>
      </c>
      <c r="E23" s="685" t="str">
        <f t="shared" si="0"/>
        <v>DR Congo2010</v>
      </c>
      <c r="F23" s="685" t="str">
        <f t="shared" si="1"/>
        <v>MICS 2010</v>
      </c>
      <c r="G23" s="1061">
        <v>7.6999999999999999E-2</v>
      </c>
      <c r="H23" s="1061" t="e">
        <f>NA()</f>
        <v>#N/A</v>
      </c>
      <c r="L23" s="258"/>
      <c r="M23" s="258"/>
      <c r="N23" s="258"/>
      <c r="O23" s="258"/>
      <c r="P23" s="258"/>
      <c r="Q23" s="258"/>
      <c r="R23" s="258"/>
      <c r="S23" s="258"/>
      <c r="T23" s="258"/>
      <c r="U23" s="258"/>
      <c r="V23" s="258"/>
      <c r="W23" s="258"/>
      <c r="X23" s="258"/>
      <c r="Y23" s="258"/>
      <c r="Z23" s="258"/>
      <c r="AA23" s="258"/>
      <c r="AB23" s="258"/>
      <c r="AC23" s="258"/>
      <c r="AD23" s="258"/>
    </row>
    <row r="24" spans="3:30" ht="15.75" x14ac:dyDescent="0.25">
      <c r="C24" s="1062" t="s">
        <v>26</v>
      </c>
      <c r="D24" s="1062">
        <v>2018</v>
      </c>
      <c r="E24" s="1062" t="str">
        <f t="shared" si="0"/>
        <v>DR Congo2018</v>
      </c>
      <c r="F24" s="1062" t="str">
        <f t="shared" si="1"/>
        <v>MICS 2018</v>
      </c>
      <c r="G24" s="810">
        <v>0.17585000000000001</v>
      </c>
      <c r="H24" s="810">
        <v>0.16103000000000001</v>
      </c>
      <c r="L24" s="258"/>
      <c r="M24" s="258"/>
      <c r="N24" s="258"/>
      <c r="O24" s="258"/>
      <c r="P24" s="258"/>
      <c r="Q24" s="258"/>
      <c r="R24" s="258"/>
      <c r="S24" s="258"/>
      <c r="T24" s="258"/>
      <c r="U24" s="258"/>
      <c r="V24" s="258"/>
      <c r="W24" s="258"/>
      <c r="X24" s="258"/>
      <c r="Y24" s="258"/>
      <c r="Z24" s="258"/>
      <c r="AA24" s="258"/>
      <c r="AB24" s="258"/>
      <c r="AC24" s="258"/>
      <c r="AD24" s="258"/>
    </row>
    <row r="25" spans="3:30" ht="15.75" x14ac:dyDescent="0.25">
      <c r="C25" s="1062" t="s">
        <v>174</v>
      </c>
      <c r="D25" s="1062">
        <v>2014</v>
      </c>
      <c r="E25" s="1062" t="str">
        <f t="shared" si="0"/>
        <v>El Salvador2014</v>
      </c>
      <c r="F25" s="1062" t="str">
        <f t="shared" si="1"/>
        <v>MICS 2014</v>
      </c>
      <c r="G25" s="810" t="e">
        <f>NA()</f>
        <v>#N/A</v>
      </c>
      <c r="H25" s="810">
        <v>0.45800000000000002</v>
      </c>
      <c r="L25" s="258"/>
      <c r="M25" s="258"/>
      <c r="N25" s="258"/>
      <c r="O25" s="258"/>
      <c r="P25" s="258"/>
      <c r="Q25" s="258"/>
      <c r="R25" s="258"/>
      <c r="S25" s="258"/>
      <c r="T25" s="258"/>
      <c r="U25" s="258"/>
      <c r="V25" s="258"/>
      <c r="W25" s="258"/>
      <c r="X25" s="258"/>
      <c r="Y25" s="258"/>
      <c r="Z25" s="258"/>
      <c r="AA25" s="258"/>
      <c r="AB25" s="258"/>
      <c r="AC25" s="258"/>
      <c r="AD25" s="258"/>
    </row>
    <row r="26" spans="3:30" ht="15.75" x14ac:dyDescent="0.25">
      <c r="C26" s="1062" t="s">
        <v>1037</v>
      </c>
      <c r="D26" s="1062">
        <v>2014</v>
      </c>
      <c r="E26" s="1062" t="str">
        <f t="shared" si="0"/>
        <v>Eswatini2014</v>
      </c>
      <c r="F26" s="1062" t="str">
        <f t="shared" si="1"/>
        <v>MICS 2014</v>
      </c>
      <c r="G26" s="810" t="e">
        <f>NA()</f>
        <v>#N/A</v>
      </c>
      <c r="H26" s="810">
        <v>0.51</v>
      </c>
      <c r="L26" s="258"/>
      <c r="M26" s="258"/>
      <c r="N26" s="258"/>
      <c r="O26" s="258"/>
      <c r="P26" s="258"/>
      <c r="Q26" s="258"/>
      <c r="R26" s="258"/>
      <c r="S26" s="258"/>
      <c r="T26" s="258"/>
      <c r="U26" s="258"/>
      <c r="V26" s="258"/>
      <c r="W26" s="258"/>
      <c r="X26" s="258"/>
      <c r="Y26" s="258"/>
      <c r="Z26" s="258"/>
      <c r="AA26" s="258"/>
      <c r="AB26" s="258"/>
      <c r="AC26" s="258"/>
      <c r="AD26" s="258"/>
    </row>
    <row r="27" spans="3:30" ht="15.75" x14ac:dyDescent="0.25">
      <c r="C27" s="685" t="s">
        <v>30</v>
      </c>
      <c r="D27" s="685">
        <v>2010</v>
      </c>
      <c r="E27" s="685" t="str">
        <f t="shared" si="0"/>
        <v>Gambia2010</v>
      </c>
      <c r="F27" s="685" t="str">
        <f t="shared" si="1"/>
        <v>MICS 2010</v>
      </c>
      <c r="G27" s="1061">
        <v>0.11900000000000001</v>
      </c>
      <c r="H27" s="1061" t="e">
        <f>NA()</f>
        <v>#N/A</v>
      </c>
    </row>
    <row r="28" spans="3:30" ht="15.75" x14ac:dyDescent="0.25">
      <c r="C28" s="1062" t="s">
        <v>30</v>
      </c>
      <c r="D28" s="1062">
        <v>2018</v>
      </c>
      <c r="E28" s="1062" t="str">
        <f t="shared" si="0"/>
        <v>Gambia2018</v>
      </c>
      <c r="F28" s="1062" t="str">
        <f t="shared" si="1"/>
        <v>MICS 2018</v>
      </c>
      <c r="G28" s="810">
        <v>0.16266</v>
      </c>
      <c r="H28" s="810">
        <v>0.11763</v>
      </c>
    </row>
    <row r="29" spans="3:30" ht="15.75" x14ac:dyDescent="0.25">
      <c r="C29" s="685" t="s">
        <v>31</v>
      </c>
      <c r="D29" s="685">
        <v>2006</v>
      </c>
      <c r="E29" s="685" t="str">
        <f t="shared" si="0"/>
        <v>Ghana2006</v>
      </c>
      <c r="F29" s="685" t="str">
        <f t="shared" si="1"/>
        <v>MICS 2006</v>
      </c>
      <c r="G29" s="1061">
        <v>0.14000000000000001</v>
      </c>
      <c r="H29" s="1061" t="e">
        <f>NA()</f>
        <v>#N/A</v>
      </c>
    </row>
    <row r="30" spans="3:30" ht="15.75" x14ac:dyDescent="0.25">
      <c r="C30" s="685" t="s">
        <v>31</v>
      </c>
      <c r="D30" s="685">
        <v>2011</v>
      </c>
      <c r="E30" s="685" t="str">
        <f t="shared" si="0"/>
        <v>Ghana2011</v>
      </c>
      <c r="F30" s="685" t="str">
        <f t="shared" si="1"/>
        <v>MICS 2011</v>
      </c>
      <c r="G30" s="1061">
        <v>0.249</v>
      </c>
      <c r="H30" s="1061" t="e">
        <f>NA()</f>
        <v>#N/A</v>
      </c>
    </row>
    <row r="31" spans="3:30" ht="15.75" x14ac:dyDescent="0.25">
      <c r="C31" s="1062" t="s">
        <v>31</v>
      </c>
      <c r="D31" s="1062">
        <v>2017</v>
      </c>
      <c r="E31" s="1062" t="str">
        <f t="shared" si="0"/>
        <v>Ghana2017</v>
      </c>
      <c r="F31" s="1062" t="str">
        <f t="shared" si="1"/>
        <v>MICS 2017</v>
      </c>
      <c r="G31" s="810">
        <v>0.24299999999999999</v>
      </c>
      <c r="H31" s="810">
        <v>0.18508116241610995</v>
      </c>
    </row>
    <row r="32" spans="3:30" ht="15.75" x14ac:dyDescent="0.25">
      <c r="C32" s="685" t="s">
        <v>32</v>
      </c>
      <c r="D32" s="685">
        <v>2016</v>
      </c>
      <c r="E32" s="685" t="str">
        <f t="shared" si="0"/>
        <v>Guinea2016</v>
      </c>
      <c r="F32" s="685" t="str">
        <f t="shared" si="1"/>
        <v>MICS 2016</v>
      </c>
      <c r="G32" s="1061">
        <v>7.8E-2</v>
      </c>
      <c r="H32" s="1061">
        <v>8.4000000000000005E-2</v>
      </c>
    </row>
    <row r="33" spans="3:8" ht="15.75" x14ac:dyDescent="0.25">
      <c r="C33" s="685" t="s">
        <v>33</v>
      </c>
      <c r="D33" s="685">
        <v>2006</v>
      </c>
      <c r="E33" s="685" t="str">
        <f t="shared" si="0"/>
        <v>Guinea-Bissau2006</v>
      </c>
      <c r="F33" s="685" t="str">
        <f t="shared" si="1"/>
        <v>MICS 2006</v>
      </c>
      <c r="G33" s="1061">
        <v>9.5999999999999974E-2</v>
      </c>
      <c r="H33" s="1061" t="e">
        <f>NA()</f>
        <v>#N/A</v>
      </c>
    </row>
    <row r="34" spans="3:8" ht="15.75" x14ac:dyDescent="0.25">
      <c r="C34" s="685" t="s">
        <v>33</v>
      </c>
      <c r="D34" s="685">
        <v>2010</v>
      </c>
      <c r="E34" s="685" t="str">
        <f t="shared" si="0"/>
        <v>Guinea-Bissau2010</v>
      </c>
      <c r="F34" s="685" t="str">
        <f t="shared" si="1"/>
        <v>MICS 2010</v>
      </c>
      <c r="G34" s="1061">
        <v>0.13100000000000001</v>
      </c>
      <c r="H34" s="1061" t="e">
        <f>NA()</f>
        <v>#N/A</v>
      </c>
    </row>
    <row r="35" spans="3:8" ht="15.75" x14ac:dyDescent="0.25">
      <c r="C35" s="685" t="s">
        <v>33</v>
      </c>
      <c r="D35" s="685">
        <v>2014</v>
      </c>
      <c r="E35" s="685" t="str">
        <f t="shared" si="0"/>
        <v>Guinea-Bissau2014</v>
      </c>
      <c r="F35" s="685" t="str">
        <f t="shared" si="1"/>
        <v>MICS 2014</v>
      </c>
      <c r="G35" s="1061">
        <v>0.14399999999999999</v>
      </c>
      <c r="H35" s="1061">
        <v>0.26</v>
      </c>
    </row>
    <row r="36" spans="3:8" ht="15.75" x14ac:dyDescent="0.25">
      <c r="C36" s="1062" t="s">
        <v>33</v>
      </c>
      <c r="D36" s="1062">
        <v>2018</v>
      </c>
      <c r="E36" s="1062" t="str">
        <f t="shared" ref="E36" si="4">C36&amp;D36</f>
        <v>Guinea-Bissau2018</v>
      </c>
      <c r="F36" s="1062" t="str">
        <f t="shared" ref="F36" si="5">"MICS "&amp;D36</f>
        <v>MICS 2018</v>
      </c>
      <c r="G36" s="810">
        <v>0.20200000000000001</v>
      </c>
      <c r="H36" s="810" t="e">
        <f>NA()</f>
        <v>#N/A</v>
      </c>
    </row>
    <row r="37" spans="3:8" ht="15.75" x14ac:dyDescent="0.25">
      <c r="C37" s="685" t="s">
        <v>38</v>
      </c>
      <c r="D37" s="685">
        <v>2006</v>
      </c>
      <c r="E37" s="685" t="str">
        <f t="shared" si="0"/>
        <v>Iraq2006</v>
      </c>
      <c r="F37" s="685" t="str">
        <f t="shared" si="1"/>
        <v>MICS 2006</v>
      </c>
      <c r="G37" s="1061">
        <v>0.39899999999999997</v>
      </c>
      <c r="H37" s="1061" t="e">
        <f>NA()</f>
        <v>#N/A</v>
      </c>
    </row>
    <row r="38" spans="3:8" ht="15.75" x14ac:dyDescent="0.25">
      <c r="C38" s="685" t="s">
        <v>38</v>
      </c>
      <c r="D38" s="685">
        <v>2011</v>
      </c>
      <c r="E38" s="685" t="str">
        <f t="shared" si="0"/>
        <v>Iraq2011</v>
      </c>
      <c r="F38" s="685" t="str">
        <f t="shared" si="1"/>
        <v>MICS 2011</v>
      </c>
      <c r="G38" s="1061">
        <v>0.35899999999999999</v>
      </c>
      <c r="H38" s="1061" t="e">
        <f>NA()</f>
        <v>#N/A</v>
      </c>
    </row>
    <row r="39" spans="3:8" ht="15.75" x14ac:dyDescent="0.25">
      <c r="C39" s="1062" t="s">
        <v>38</v>
      </c>
      <c r="D39" s="1062">
        <v>2018</v>
      </c>
      <c r="E39" s="1062" t="str">
        <f t="shared" si="0"/>
        <v>Iraq2018</v>
      </c>
      <c r="F39" s="1062" t="s">
        <v>1052</v>
      </c>
      <c r="G39" s="810">
        <v>0.36099999999999999</v>
      </c>
      <c r="H39" s="810" t="e">
        <f>NA()</f>
        <v>#N/A</v>
      </c>
    </row>
    <row r="40" spans="3:8" ht="15.75" x14ac:dyDescent="0.25">
      <c r="C40" s="1062" t="s">
        <v>205</v>
      </c>
      <c r="D40" s="1062">
        <v>2018</v>
      </c>
      <c r="E40" s="1062" t="str">
        <f t="shared" si="0"/>
        <v>Kiribati2018</v>
      </c>
      <c r="F40" s="1062" t="s">
        <v>2112</v>
      </c>
      <c r="G40" s="810">
        <v>0.27200000000000002</v>
      </c>
      <c r="H40" s="810">
        <v>0.20300000000000001</v>
      </c>
    </row>
    <row r="41" spans="3:8" ht="15.75" x14ac:dyDescent="0.25">
      <c r="C41" s="685" t="s">
        <v>2018</v>
      </c>
      <c r="D41" s="685">
        <v>2005</v>
      </c>
      <c r="E41" s="685" t="str">
        <f t="shared" si="0"/>
        <v>Kyrgyz Rep.2005</v>
      </c>
      <c r="F41" s="685" t="str">
        <f>"MICS "&amp;D41</f>
        <v>MICS 2005</v>
      </c>
      <c r="G41" s="1061">
        <v>0.45799999999999996</v>
      </c>
      <c r="H41" s="1061" t="e">
        <f>NA()</f>
        <v>#N/A</v>
      </c>
    </row>
    <row r="42" spans="3:8" ht="15.75" x14ac:dyDescent="0.25">
      <c r="C42" s="685" t="s">
        <v>2018</v>
      </c>
      <c r="D42" s="685">
        <v>2014</v>
      </c>
      <c r="E42" s="685" t="str">
        <f t="shared" si="0"/>
        <v>Kyrgyz Rep.2014</v>
      </c>
      <c r="F42" s="685" t="str">
        <f>"MICS "&amp;D42</f>
        <v>MICS 2014</v>
      </c>
      <c r="G42" s="1061">
        <v>0.4</v>
      </c>
      <c r="H42" s="1061">
        <v>0.28699999999999998</v>
      </c>
    </row>
    <row r="43" spans="3:8" ht="15.75" x14ac:dyDescent="0.25">
      <c r="C43" s="1062" t="s">
        <v>2018</v>
      </c>
      <c r="D43" s="1062">
        <v>2018</v>
      </c>
      <c r="E43" s="1062" t="str">
        <f t="shared" si="0"/>
        <v>Kyrgyz Rep.2018</v>
      </c>
      <c r="F43" s="1062" t="str">
        <f>"MICS "&amp;D43</f>
        <v>MICS 2018</v>
      </c>
      <c r="G43" s="810">
        <v>0.37811</v>
      </c>
      <c r="H43" s="810">
        <v>0.28256999999999999</v>
      </c>
    </row>
    <row r="44" spans="3:8" ht="15.75" x14ac:dyDescent="0.25">
      <c r="C44" s="685" t="s">
        <v>41</v>
      </c>
      <c r="D44" s="685">
        <v>2011</v>
      </c>
      <c r="E44" s="685" t="str">
        <f t="shared" si="0"/>
        <v>Lao PDR2011</v>
      </c>
      <c r="F44" s="685" t="str">
        <f>"MICS "&amp;D44</f>
        <v>MICS 2011</v>
      </c>
      <c r="G44" s="1061">
        <v>0.42699999999999999</v>
      </c>
      <c r="H44" s="1061" t="e">
        <f>NA()</f>
        <v>#N/A</v>
      </c>
    </row>
    <row r="45" spans="3:8" ht="15.75" x14ac:dyDescent="0.25">
      <c r="C45" s="685" t="s">
        <v>41</v>
      </c>
      <c r="D45" s="685">
        <v>2017</v>
      </c>
      <c r="E45" s="685" t="str">
        <f t="shared" si="0"/>
        <v>Lao PDR2017</v>
      </c>
      <c r="F45" s="685" t="s">
        <v>1053</v>
      </c>
      <c r="G45" s="1061">
        <v>0.49</v>
      </c>
      <c r="H45" s="1061">
        <v>0.38400000000000001</v>
      </c>
    </row>
    <row r="46" spans="3:8" ht="15.75" x14ac:dyDescent="0.25">
      <c r="C46" s="685" t="s">
        <v>42</v>
      </c>
      <c r="D46" s="685">
        <v>2018</v>
      </c>
      <c r="E46" s="685" t="str">
        <f t="shared" si="0"/>
        <v>Lesotho2018</v>
      </c>
      <c r="F46" s="685" t="s">
        <v>1052</v>
      </c>
      <c r="G46" s="1061">
        <v>0.64700000000000002</v>
      </c>
      <c r="H46" s="1061" t="e">
        <f>NA()</f>
        <v>#N/A</v>
      </c>
    </row>
    <row r="47" spans="3:8" ht="15.75" x14ac:dyDescent="0.25">
      <c r="C47" s="1062" t="s">
        <v>44</v>
      </c>
      <c r="D47" s="1062">
        <v>2018</v>
      </c>
      <c r="E47" s="1062" t="str">
        <f t="shared" si="0"/>
        <v>Madagascar2018</v>
      </c>
      <c r="F47" s="1062" t="s">
        <v>1052</v>
      </c>
      <c r="G47" s="810">
        <v>0.40498000000000001</v>
      </c>
      <c r="H47" s="810">
        <v>0.33143</v>
      </c>
    </row>
    <row r="48" spans="3:8" ht="15.75" x14ac:dyDescent="0.25">
      <c r="C48" s="685" t="s">
        <v>45</v>
      </c>
      <c r="D48" s="685">
        <v>2006</v>
      </c>
      <c r="E48" s="685" t="str">
        <f t="shared" si="0"/>
        <v>Malawi2006</v>
      </c>
      <c r="F48" s="685" t="str">
        <f t="shared" ref="F48:F70" si="6">"MICS "&amp;D48</f>
        <v>MICS 2006</v>
      </c>
      <c r="G48" s="1061">
        <v>0.38600000000000001</v>
      </c>
      <c r="H48" s="1061" t="e">
        <f>NA()</f>
        <v>#N/A</v>
      </c>
    </row>
    <row r="49" spans="3:8" ht="15.75" x14ac:dyDescent="0.25">
      <c r="C49" s="685" t="s">
        <v>45</v>
      </c>
      <c r="D49" s="685">
        <v>2013</v>
      </c>
      <c r="E49" s="685" t="str">
        <f t="shared" ref="E49:E88" si="7">C49&amp;D49</f>
        <v>Malawi2013</v>
      </c>
      <c r="F49" s="685" t="str">
        <f t="shared" si="6"/>
        <v>MICS 2013</v>
      </c>
      <c r="G49" s="1061">
        <v>0.57399999999999995</v>
      </c>
      <c r="H49" s="1061" t="e">
        <f>NA()</f>
        <v>#N/A</v>
      </c>
    </row>
    <row r="50" spans="3:8" ht="15.75" x14ac:dyDescent="0.25">
      <c r="C50" s="1062" t="s">
        <v>46</v>
      </c>
      <c r="D50" s="1062">
        <v>2009</v>
      </c>
      <c r="E50" s="1062" t="str">
        <f t="shared" si="7"/>
        <v>Mali2009</v>
      </c>
      <c r="F50" s="1062" t="str">
        <f t="shared" si="6"/>
        <v>MICS 2009</v>
      </c>
      <c r="G50" s="810">
        <v>0.08</v>
      </c>
      <c r="H50" s="810" t="e">
        <f>NA()</f>
        <v>#N/A</v>
      </c>
    </row>
    <row r="51" spans="3:8" ht="15.75" x14ac:dyDescent="0.25">
      <c r="C51" s="685" t="s">
        <v>46</v>
      </c>
      <c r="D51" s="685">
        <v>2015</v>
      </c>
      <c r="E51" s="685" t="str">
        <f t="shared" si="7"/>
        <v>Mali2015</v>
      </c>
      <c r="F51" s="685" t="str">
        <f t="shared" si="6"/>
        <v>MICS 2015</v>
      </c>
      <c r="G51" s="1061">
        <v>0.151</v>
      </c>
      <c r="H51" s="1061">
        <v>0.14399999999999999</v>
      </c>
    </row>
    <row r="52" spans="3:8" ht="15.75" x14ac:dyDescent="0.25">
      <c r="C52" s="685" t="s">
        <v>47</v>
      </c>
      <c r="D52" s="685">
        <v>2007</v>
      </c>
      <c r="E52" s="685" t="str">
        <f t="shared" si="7"/>
        <v>Mauritania2007</v>
      </c>
      <c r="F52" s="685" t="str">
        <f t="shared" si="6"/>
        <v>MICS 2007</v>
      </c>
      <c r="G52" s="1061">
        <v>0.08</v>
      </c>
      <c r="H52" s="1061" t="e">
        <f>NA()</f>
        <v>#N/A</v>
      </c>
    </row>
    <row r="53" spans="3:8" ht="15.75" x14ac:dyDescent="0.25">
      <c r="C53" s="685" t="s">
        <v>47</v>
      </c>
      <c r="D53" s="685">
        <v>2011</v>
      </c>
      <c r="E53" s="685" t="str">
        <f t="shared" si="7"/>
        <v>Mauritania2011</v>
      </c>
      <c r="F53" s="685" t="str">
        <f t="shared" si="6"/>
        <v>MICS 2011</v>
      </c>
      <c r="G53" s="1061">
        <v>0.10099999999999999</v>
      </c>
      <c r="H53" s="1061" t="e">
        <f>NA()</f>
        <v>#N/A</v>
      </c>
    </row>
    <row r="54" spans="3:8" ht="15.75" x14ac:dyDescent="0.25">
      <c r="C54" s="685" t="s">
        <v>47</v>
      </c>
      <c r="D54" s="685">
        <v>2015</v>
      </c>
      <c r="E54" s="685" t="str">
        <f t="shared" si="7"/>
        <v>Mauritania2015</v>
      </c>
      <c r="F54" s="685" t="str">
        <f t="shared" si="6"/>
        <v>MICS 2015</v>
      </c>
      <c r="G54" s="1061">
        <v>0.156</v>
      </c>
      <c r="H54" s="1061">
        <v>0.104</v>
      </c>
    </row>
    <row r="55" spans="3:8" ht="15.75" x14ac:dyDescent="0.25">
      <c r="C55" s="685" t="s">
        <v>48</v>
      </c>
      <c r="D55" s="685">
        <v>2005</v>
      </c>
      <c r="E55" s="685" t="str">
        <f t="shared" si="7"/>
        <v>Mongolia2005</v>
      </c>
      <c r="F55" s="685" t="str">
        <f t="shared" si="6"/>
        <v>MICS 2005</v>
      </c>
      <c r="G55" s="1061">
        <v>0.61099999999999999</v>
      </c>
      <c r="H55" s="1061" t="e">
        <f>NA()</f>
        <v>#N/A</v>
      </c>
    </row>
    <row r="56" spans="3:8" ht="15.75" x14ac:dyDescent="0.25">
      <c r="C56" s="685" t="s">
        <v>48</v>
      </c>
      <c r="D56" s="685">
        <v>2010</v>
      </c>
      <c r="E56" s="685" t="str">
        <f t="shared" si="7"/>
        <v>Mongolia2010</v>
      </c>
      <c r="F56" s="685" t="str">
        <f t="shared" si="6"/>
        <v>MICS 2010</v>
      </c>
      <c r="G56" s="1061">
        <v>0.504</v>
      </c>
      <c r="H56" s="1061" t="e">
        <f>NA()</f>
        <v>#N/A</v>
      </c>
    </row>
    <row r="57" spans="3:8" ht="15.75" x14ac:dyDescent="0.25">
      <c r="C57" s="685" t="s">
        <v>48</v>
      </c>
      <c r="D57" s="685">
        <v>2013</v>
      </c>
      <c r="E57" s="685" t="str">
        <f t="shared" si="7"/>
        <v>Mongolia2013</v>
      </c>
      <c r="F57" s="685" t="str">
        <f t="shared" si="6"/>
        <v>MICS 2013</v>
      </c>
      <c r="G57" s="1061">
        <v>0.48200000000000004</v>
      </c>
      <c r="H57" s="1061">
        <v>0.36899999999999999</v>
      </c>
    </row>
    <row r="58" spans="3:8" ht="15.75" x14ac:dyDescent="0.25">
      <c r="C58" s="1062" t="s">
        <v>48</v>
      </c>
      <c r="D58" s="1062">
        <v>2018</v>
      </c>
      <c r="E58" s="1062" t="str">
        <f t="shared" si="7"/>
        <v>Mongolia2018</v>
      </c>
      <c r="F58" s="1062" t="str">
        <f t="shared" si="6"/>
        <v>MICS 2018</v>
      </c>
      <c r="G58" s="810">
        <v>0.45189000000000001</v>
      </c>
      <c r="H58" s="810">
        <v>0.36596000000000001</v>
      </c>
    </row>
    <row r="59" spans="3:8" ht="15.75" x14ac:dyDescent="0.25">
      <c r="C59" s="685" t="s">
        <v>49</v>
      </c>
      <c r="D59" s="685">
        <v>2008</v>
      </c>
      <c r="E59" s="685" t="str">
        <f t="shared" si="7"/>
        <v>Mozambique2008</v>
      </c>
      <c r="F59" s="685" t="str">
        <f t="shared" si="6"/>
        <v>MICS 2008</v>
      </c>
      <c r="G59" s="1061">
        <v>0.14699999999999999</v>
      </c>
      <c r="H59" s="1061" t="e">
        <f>NA()</f>
        <v>#N/A</v>
      </c>
    </row>
    <row r="60" spans="3:8" ht="15.75" x14ac:dyDescent="0.25">
      <c r="C60" s="685" t="s">
        <v>50</v>
      </c>
      <c r="D60" s="685">
        <v>2009</v>
      </c>
      <c r="E60" s="685" t="str">
        <f t="shared" si="7"/>
        <v>Myanmar2009</v>
      </c>
      <c r="F60" s="685" t="str">
        <f t="shared" si="6"/>
        <v>MICS 2009</v>
      </c>
      <c r="G60" s="1061">
        <v>0.45700000000000002</v>
      </c>
      <c r="H60" s="1061" t="e">
        <f>NA()</f>
        <v>#N/A</v>
      </c>
    </row>
    <row r="61" spans="3:8" ht="15.75" x14ac:dyDescent="0.25">
      <c r="C61" s="685" t="s">
        <v>51</v>
      </c>
      <c r="D61" s="685">
        <v>2014</v>
      </c>
      <c r="E61" s="685" t="str">
        <f t="shared" si="7"/>
        <v>Nepal2014</v>
      </c>
      <c r="F61" s="685" t="str">
        <f t="shared" si="6"/>
        <v>MICS 2014</v>
      </c>
      <c r="G61" s="1061">
        <v>0.47100000000000003</v>
      </c>
      <c r="H61" s="1061" t="e">
        <f>NA()</f>
        <v>#N/A</v>
      </c>
    </row>
    <row r="62" spans="3:8" ht="15.75" x14ac:dyDescent="0.25">
      <c r="C62" s="685" t="s">
        <v>51</v>
      </c>
      <c r="D62" s="685">
        <v>2019</v>
      </c>
      <c r="E62" s="685" t="str">
        <f t="shared" si="7"/>
        <v>Nepal2019</v>
      </c>
      <c r="F62" s="685" t="str">
        <f t="shared" si="6"/>
        <v>MICS 2019</v>
      </c>
      <c r="G62" s="1061">
        <v>0.442</v>
      </c>
      <c r="H62" s="1061">
        <v>0.33500000000000002</v>
      </c>
    </row>
    <row r="63" spans="3:8" ht="15.75" x14ac:dyDescent="0.25">
      <c r="C63" s="685" t="s">
        <v>54</v>
      </c>
      <c r="D63" s="685">
        <v>2007</v>
      </c>
      <c r="E63" s="685" t="str">
        <f t="shared" si="7"/>
        <v>Nigeria2007</v>
      </c>
      <c r="F63" s="685" t="str">
        <f t="shared" si="6"/>
        <v>MICS 2007</v>
      </c>
      <c r="G63" s="1061">
        <v>0.105</v>
      </c>
      <c r="H63" s="1061" t="e">
        <f>NA()</f>
        <v>#N/A</v>
      </c>
    </row>
    <row r="64" spans="3:8" ht="15.75" x14ac:dyDescent="0.25">
      <c r="C64" s="685" t="s">
        <v>54</v>
      </c>
      <c r="D64" s="685">
        <v>2011</v>
      </c>
      <c r="E64" s="685" t="str">
        <f t="shared" si="7"/>
        <v>Nigeria2011</v>
      </c>
      <c r="F64" s="685" t="str">
        <f t="shared" si="6"/>
        <v>MICS 2011</v>
      </c>
      <c r="G64" s="1061">
        <v>0.11599999999999999</v>
      </c>
      <c r="H64" s="1061" t="e">
        <f>NA()</f>
        <v>#N/A</v>
      </c>
    </row>
    <row r="65" spans="3:8" ht="15.75" x14ac:dyDescent="0.25">
      <c r="C65" s="685" t="s">
        <v>54</v>
      </c>
      <c r="D65" s="685">
        <v>2017</v>
      </c>
      <c r="E65" s="685" t="str">
        <f t="shared" si="7"/>
        <v>Nigeria2017</v>
      </c>
      <c r="F65" s="685" t="str">
        <f t="shared" si="6"/>
        <v>MICS 2017</v>
      </c>
      <c r="G65" s="1061">
        <v>0.10800000000000001</v>
      </c>
      <c r="H65" s="1061">
        <v>9.6000000000000002E-2</v>
      </c>
    </row>
    <row r="66" spans="3:8" ht="15.75" x14ac:dyDescent="0.25">
      <c r="C66" s="685" t="s">
        <v>59</v>
      </c>
      <c r="D66" s="685">
        <v>2006</v>
      </c>
      <c r="E66" s="685" t="str">
        <f t="shared" si="7"/>
        <v>Sao Tome and Principe2006</v>
      </c>
      <c r="F66" s="685" t="str">
        <f t="shared" si="6"/>
        <v>MICS 2006</v>
      </c>
      <c r="G66" s="1061">
        <v>0.28499999999999998</v>
      </c>
      <c r="H66" s="1061" t="e">
        <f>NA()</f>
        <v>#N/A</v>
      </c>
    </row>
    <row r="67" spans="3:8" ht="15.75" x14ac:dyDescent="0.25">
      <c r="C67" s="685" t="s">
        <v>59</v>
      </c>
      <c r="D67" s="685">
        <v>2014</v>
      </c>
      <c r="E67" s="685" t="str">
        <f t="shared" si="7"/>
        <v>Sao Tome and Principe2014</v>
      </c>
      <c r="F67" s="685" t="str">
        <f t="shared" si="6"/>
        <v>MICS 2014</v>
      </c>
      <c r="G67" s="1061">
        <v>0.374</v>
      </c>
      <c r="H67" s="1061">
        <v>0.29899999999999999</v>
      </c>
    </row>
    <row r="68" spans="3:8" ht="15.75" x14ac:dyDescent="0.25">
      <c r="C68" s="685" t="s">
        <v>59</v>
      </c>
      <c r="D68" s="685">
        <v>2019</v>
      </c>
      <c r="E68" s="685" t="str">
        <f t="shared" si="7"/>
        <v>Sao Tome and Principe2019</v>
      </c>
      <c r="F68" s="685" t="str">
        <f t="shared" si="6"/>
        <v>MICS 2019</v>
      </c>
      <c r="G68" s="1061">
        <v>0.29899999999999999</v>
      </c>
      <c r="H68" s="1061">
        <v>0.34200000000000003</v>
      </c>
    </row>
    <row r="69" spans="3:8" ht="15.75" x14ac:dyDescent="0.25">
      <c r="C69" s="685" t="s">
        <v>61</v>
      </c>
      <c r="D69" s="685">
        <v>2005</v>
      </c>
      <c r="E69" s="685" t="str">
        <f t="shared" si="7"/>
        <v>Sierra Leone2005</v>
      </c>
      <c r="F69" s="685" t="str">
        <f t="shared" si="6"/>
        <v>MICS 2005</v>
      </c>
      <c r="G69" s="1061">
        <v>4.8999999999999988E-2</v>
      </c>
      <c r="H69" s="1061" t="e">
        <f>NA()</f>
        <v>#N/A</v>
      </c>
    </row>
    <row r="70" spans="3:8" ht="15.75" x14ac:dyDescent="0.25">
      <c r="C70" s="685" t="s">
        <v>61</v>
      </c>
      <c r="D70" s="685">
        <v>2010</v>
      </c>
      <c r="E70" s="685" t="str">
        <f t="shared" si="7"/>
        <v>Sierra Leone2010</v>
      </c>
      <c r="F70" s="685" t="str">
        <f t="shared" si="6"/>
        <v>MICS 2010</v>
      </c>
      <c r="G70" s="1061">
        <v>9.9999999999999978E-2</v>
      </c>
      <c r="H70" s="1061" t="e">
        <f>NA()</f>
        <v>#N/A</v>
      </c>
    </row>
    <row r="71" spans="3:8" ht="15.75" x14ac:dyDescent="0.25">
      <c r="C71" s="685" t="s">
        <v>61</v>
      </c>
      <c r="D71" s="685">
        <v>2017</v>
      </c>
      <c r="E71" s="685" t="str">
        <f t="shared" si="7"/>
        <v>Sierra Leone2017</v>
      </c>
      <c r="F71" s="685" t="s">
        <v>1053</v>
      </c>
      <c r="G71" s="1061">
        <v>0.218</v>
      </c>
      <c r="H71" s="1061">
        <v>0.255</v>
      </c>
    </row>
    <row r="72" spans="3:8" ht="15.75" x14ac:dyDescent="0.25">
      <c r="C72" s="685" t="s">
        <v>63</v>
      </c>
      <c r="D72" s="685">
        <v>2006</v>
      </c>
      <c r="E72" s="685" t="str">
        <f t="shared" si="7"/>
        <v>Somalia2006</v>
      </c>
      <c r="F72" s="685" t="str">
        <f t="shared" ref="F72:F92" si="8">"MICS "&amp;D72</f>
        <v>MICS 2006</v>
      </c>
      <c r="G72" s="1061">
        <v>1.2E-2</v>
      </c>
      <c r="H72" s="1061" t="e">
        <f>NA()</f>
        <v>#N/A</v>
      </c>
    </row>
    <row r="73" spans="3:8" ht="15.75" x14ac:dyDescent="0.25">
      <c r="C73" s="685" t="s">
        <v>65</v>
      </c>
      <c r="D73" s="685">
        <v>2010</v>
      </c>
      <c r="E73" s="685" t="str">
        <f t="shared" si="7"/>
        <v>South Sudan2010</v>
      </c>
      <c r="F73" s="685" t="str">
        <f t="shared" si="8"/>
        <v>MICS 2010</v>
      </c>
      <c r="G73" s="1061">
        <v>1.7000000000000001E-2</v>
      </c>
      <c r="H73" s="1061" t="e">
        <f>NA()</f>
        <v>#N/A</v>
      </c>
    </row>
    <row r="74" spans="3:8" ht="15.75" x14ac:dyDescent="0.25">
      <c r="C74" s="685" t="s">
        <v>67</v>
      </c>
      <c r="D74" s="685">
        <v>2006</v>
      </c>
      <c r="E74" s="685" t="str">
        <f t="shared" si="7"/>
        <v>State of Palestine2006</v>
      </c>
      <c r="F74" s="685" t="str">
        <f t="shared" si="8"/>
        <v>MICS 2006</v>
      </c>
      <c r="G74" s="1061">
        <v>0.38900000000000001</v>
      </c>
      <c r="H74" s="1061" t="e">
        <f>NA()</f>
        <v>#N/A</v>
      </c>
    </row>
    <row r="75" spans="3:8" ht="15.75" x14ac:dyDescent="0.25">
      <c r="C75" s="685" t="s">
        <v>67</v>
      </c>
      <c r="D75" s="685">
        <v>2010</v>
      </c>
      <c r="E75" s="685" t="str">
        <f t="shared" si="7"/>
        <v>State of Palestine2010</v>
      </c>
      <c r="F75" s="685" t="str">
        <f t="shared" si="8"/>
        <v>MICS 2010</v>
      </c>
      <c r="G75" s="1061">
        <v>0.44199999999999989</v>
      </c>
      <c r="H75" s="1061" t="e">
        <f>NA()</f>
        <v>#N/A</v>
      </c>
    </row>
    <row r="76" spans="3:8" ht="15.75" x14ac:dyDescent="0.25">
      <c r="C76" s="685" t="s">
        <v>67</v>
      </c>
      <c r="D76" s="685">
        <v>2014</v>
      </c>
      <c r="E76" s="685" t="str">
        <f t="shared" si="7"/>
        <v>State of Palestine2014</v>
      </c>
      <c r="F76" s="685" t="str">
        <f t="shared" si="8"/>
        <v>MICS 2014</v>
      </c>
      <c r="G76" s="1061">
        <v>0.44</v>
      </c>
      <c r="H76" s="1061" t="e">
        <f>NA()</f>
        <v>#N/A</v>
      </c>
    </row>
    <row r="77" spans="3:8" ht="15.75" x14ac:dyDescent="0.25">
      <c r="C77" s="685" t="s">
        <v>67</v>
      </c>
      <c r="D77" s="685">
        <v>2019</v>
      </c>
      <c r="E77" s="685" t="str">
        <f t="shared" si="7"/>
        <v>State of Palestine2019</v>
      </c>
      <c r="F77" s="685" t="s">
        <v>2113</v>
      </c>
      <c r="G77" s="1061">
        <v>0.26700000000000002</v>
      </c>
      <c r="H77" s="1061" t="e">
        <f>NA()</f>
        <v>#N/A</v>
      </c>
    </row>
    <row r="78" spans="3:8" ht="15.75" x14ac:dyDescent="0.25">
      <c r="C78" s="1062" t="s">
        <v>68</v>
      </c>
      <c r="D78" s="1062">
        <v>2010</v>
      </c>
      <c r="E78" s="1062" t="str">
        <f t="shared" si="7"/>
        <v>Sudan2010</v>
      </c>
      <c r="F78" s="1062" t="str">
        <f t="shared" si="8"/>
        <v>MICS 2010</v>
      </c>
      <c r="G78" s="810">
        <v>8.5000000000000006E-2</v>
      </c>
      <c r="H78" s="810" t="e">
        <f>NA()</f>
        <v>#N/A</v>
      </c>
    </row>
    <row r="79" spans="3:8" ht="15.75" x14ac:dyDescent="0.25">
      <c r="C79" s="685" t="s">
        <v>68</v>
      </c>
      <c r="D79" s="685">
        <v>2014</v>
      </c>
      <c r="E79" s="685" t="str">
        <f t="shared" si="7"/>
        <v>Sudan2014</v>
      </c>
      <c r="F79" s="685" t="str">
        <f t="shared" si="8"/>
        <v>MICS 2014</v>
      </c>
      <c r="G79" s="1061">
        <v>0.11699999999999999</v>
      </c>
      <c r="H79" s="1061" t="e">
        <f>NA()</f>
        <v>#N/A</v>
      </c>
    </row>
    <row r="80" spans="3:8" ht="15.75" x14ac:dyDescent="0.25">
      <c r="C80" s="685" t="s">
        <v>69</v>
      </c>
      <c r="D80" s="685">
        <v>2005</v>
      </c>
      <c r="E80" s="685" t="str">
        <f t="shared" si="7"/>
        <v>Tajikistan2005</v>
      </c>
      <c r="F80" s="685" t="str">
        <f t="shared" si="8"/>
        <v>MICS 2005</v>
      </c>
      <c r="G80" s="1061">
        <v>0.36200000000000004</v>
      </c>
      <c r="H80" s="1061">
        <v>0.224</v>
      </c>
    </row>
    <row r="81" spans="3:8" ht="15.75" x14ac:dyDescent="0.25">
      <c r="C81" s="685" t="s">
        <v>72</v>
      </c>
      <c r="D81" s="685">
        <v>2006</v>
      </c>
      <c r="E81" s="685" t="str">
        <f t="shared" si="7"/>
        <v>Togo2006</v>
      </c>
      <c r="F81" s="685" t="str">
        <f t="shared" si="8"/>
        <v>MICS 2006</v>
      </c>
      <c r="G81" s="1061">
        <v>0.11599999999999999</v>
      </c>
      <c r="H81" s="1061" t="e">
        <f>NA()</f>
        <v>#N/A</v>
      </c>
    </row>
    <row r="82" spans="3:8" ht="15.75" x14ac:dyDescent="0.25">
      <c r="C82" s="685" t="s">
        <v>72</v>
      </c>
      <c r="D82" s="685">
        <v>2010</v>
      </c>
      <c r="E82" s="685" t="str">
        <f t="shared" si="7"/>
        <v>Togo2010</v>
      </c>
      <c r="F82" s="685" t="str">
        <f t="shared" si="8"/>
        <v>MICS 2010</v>
      </c>
      <c r="G82" s="1061">
        <v>0.13600000000000001</v>
      </c>
      <c r="H82" s="1061" t="e">
        <f>NA()</f>
        <v>#N/A</v>
      </c>
    </row>
    <row r="83" spans="3:8" ht="15.75" x14ac:dyDescent="0.25">
      <c r="C83" s="1062" t="s">
        <v>72</v>
      </c>
      <c r="D83" s="1062">
        <v>2017</v>
      </c>
      <c r="E83" s="1062" t="str">
        <f t="shared" si="7"/>
        <v>Togo2017</v>
      </c>
      <c r="F83" s="1062" t="str">
        <f t="shared" si="8"/>
        <v>MICS 2017</v>
      </c>
      <c r="G83" s="810">
        <v>0.214</v>
      </c>
      <c r="H83" s="810">
        <v>0.18938077801224362</v>
      </c>
    </row>
    <row r="84" spans="3:8" ht="15.75" x14ac:dyDescent="0.25">
      <c r="C84" s="1062" t="s">
        <v>267</v>
      </c>
      <c r="D84" s="1062">
        <v>2018</v>
      </c>
      <c r="E84" s="1062" t="str">
        <f t="shared" si="7"/>
        <v>Tunisia2018</v>
      </c>
      <c r="F84" s="1062" t="str">
        <f t="shared" si="8"/>
        <v>MICS 2018</v>
      </c>
      <c r="G84" s="810" t="e">
        <f>NA()</f>
        <v>#N/A</v>
      </c>
      <c r="H84" s="810">
        <v>0.35899999999999999</v>
      </c>
    </row>
    <row r="85" spans="3:8" ht="15.75" x14ac:dyDescent="0.25">
      <c r="C85" s="1062" t="s">
        <v>272</v>
      </c>
      <c r="D85" s="1062">
        <v>2012</v>
      </c>
      <c r="E85" s="1062" t="str">
        <f t="shared" si="7"/>
        <v>Ukraine2012</v>
      </c>
      <c r="F85" s="1062" t="str">
        <f t="shared" si="8"/>
        <v>MICS 2012</v>
      </c>
      <c r="G85" s="810" t="e">
        <f>NA()</f>
        <v>#N/A</v>
      </c>
      <c r="H85" s="810">
        <v>0.39300000000000002</v>
      </c>
    </row>
    <row r="86" spans="3:8" ht="15.75" x14ac:dyDescent="0.25">
      <c r="C86" s="685" t="s">
        <v>74</v>
      </c>
      <c r="D86" s="685">
        <v>2006</v>
      </c>
      <c r="E86" s="685" t="str">
        <f t="shared" si="7"/>
        <v>Uzbekistan2006</v>
      </c>
      <c r="F86" s="685" t="str">
        <f t="shared" si="8"/>
        <v>MICS 2006</v>
      </c>
      <c r="G86" s="1061">
        <v>0.61900000000000011</v>
      </c>
      <c r="H86" s="1061">
        <v>0.40500000000000003</v>
      </c>
    </row>
    <row r="87" spans="3:8" ht="15.75" x14ac:dyDescent="0.25">
      <c r="C87" s="685" t="s">
        <v>75</v>
      </c>
      <c r="D87" s="685">
        <v>2006</v>
      </c>
      <c r="E87" s="685" t="str">
        <f t="shared" si="7"/>
        <v>Viet Nam2006</v>
      </c>
      <c r="F87" s="685" t="str">
        <f t="shared" si="8"/>
        <v>MICS 2006</v>
      </c>
      <c r="G87" s="1061">
        <v>0.61</v>
      </c>
      <c r="H87" s="1061" t="e">
        <f>NA()</f>
        <v>#N/A</v>
      </c>
    </row>
    <row r="88" spans="3:8" ht="15.75" x14ac:dyDescent="0.25">
      <c r="C88" s="685" t="s">
        <v>75</v>
      </c>
      <c r="D88" s="685">
        <v>2011</v>
      </c>
      <c r="E88" s="685" t="str">
        <f t="shared" si="7"/>
        <v>Viet Nam2011</v>
      </c>
      <c r="F88" s="685" t="str">
        <f t="shared" si="8"/>
        <v>MICS 2011</v>
      </c>
      <c r="G88" s="1061">
        <v>0.60000000000000009</v>
      </c>
      <c r="H88" s="1061" t="e">
        <f>NA()</f>
        <v>#N/A</v>
      </c>
    </row>
    <row r="89" spans="3:8" ht="15.75" x14ac:dyDescent="0.25">
      <c r="C89" s="685" t="s">
        <v>75</v>
      </c>
      <c r="D89" s="685">
        <v>2013</v>
      </c>
      <c r="E89" s="685" t="str">
        <f>C89&amp;D89</f>
        <v>Viet Nam2013</v>
      </c>
      <c r="F89" s="685" t="str">
        <f t="shared" si="8"/>
        <v>MICS 2013</v>
      </c>
      <c r="G89" s="1061">
        <v>0.56999999999999995</v>
      </c>
      <c r="H89" s="1061">
        <v>0.41099999999999998</v>
      </c>
    </row>
    <row r="90" spans="3:8" ht="15.75" x14ac:dyDescent="0.25">
      <c r="C90" s="685" t="s">
        <v>77</v>
      </c>
      <c r="D90" s="685">
        <v>2006</v>
      </c>
      <c r="E90" s="685" t="str">
        <f>C90&amp;D90</f>
        <v>Yemen2006</v>
      </c>
      <c r="F90" s="685" t="str">
        <f t="shared" si="8"/>
        <v>MICS 2006</v>
      </c>
      <c r="G90" s="1061">
        <v>0.25</v>
      </c>
      <c r="H90" s="1061" t="e">
        <f>NA()</f>
        <v>#N/A</v>
      </c>
    </row>
    <row r="91" spans="3:8" ht="15.75" x14ac:dyDescent="0.25">
      <c r="C91" s="685" t="s">
        <v>79</v>
      </c>
      <c r="D91" s="685">
        <v>2009</v>
      </c>
      <c r="E91" s="685" t="str">
        <f>C91&amp;D91</f>
        <v>Zimbabwe2009</v>
      </c>
      <c r="F91" s="685" t="str">
        <f t="shared" si="8"/>
        <v>MICS 2009</v>
      </c>
      <c r="G91" s="1061">
        <v>0.63584099999999999</v>
      </c>
      <c r="H91" s="1061" t="e">
        <f>NA()</f>
        <v>#N/A</v>
      </c>
    </row>
    <row r="92" spans="3:8" ht="15.75" x14ac:dyDescent="0.25">
      <c r="C92" s="685" t="s">
        <v>79</v>
      </c>
      <c r="D92" s="685">
        <v>2014</v>
      </c>
      <c r="E92" s="685" t="str">
        <f>C92&amp;D92</f>
        <v>Zimbabwe2014</v>
      </c>
      <c r="F92" s="685" t="str">
        <f t="shared" si="8"/>
        <v>MICS 2014</v>
      </c>
      <c r="G92" s="1061">
        <v>0.66500000000000004</v>
      </c>
      <c r="H92" s="1061" t="e">
        <f>NA()</f>
        <v>#N/A</v>
      </c>
    </row>
    <row r="93" spans="3:8" ht="15.75" x14ac:dyDescent="0.25">
      <c r="C93" s="685"/>
      <c r="D93" s="685"/>
      <c r="E93" s="685"/>
      <c r="F93" s="685"/>
      <c r="G93" s="709"/>
      <c r="H93" s="709"/>
    </row>
    <row r="94" spans="3:8" ht="15.75" x14ac:dyDescent="0.25">
      <c r="C94" s="685"/>
      <c r="D94" s="685"/>
      <c r="E94" s="685"/>
      <c r="F94" s="685"/>
      <c r="G94" s="709"/>
      <c r="H94" s="709"/>
    </row>
    <row r="95" spans="3:8" ht="15.75" x14ac:dyDescent="0.25">
      <c r="C95" s="685"/>
      <c r="D95" s="685"/>
      <c r="E95" s="685"/>
      <c r="F95" s="685"/>
      <c r="G95" s="709"/>
      <c r="H95" s="709"/>
    </row>
    <row r="96" spans="3:8" ht="15.75" x14ac:dyDescent="0.25">
      <c r="C96" s="685"/>
      <c r="D96" s="685"/>
      <c r="E96" s="685"/>
      <c r="F96" s="685"/>
      <c r="G96" s="709"/>
      <c r="H96" s="709"/>
    </row>
    <row r="97" spans="3:8" ht="15.75" x14ac:dyDescent="0.25">
      <c r="C97" s="685"/>
      <c r="D97" s="685"/>
      <c r="E97" s="685"/>
      <c r="F97" s="685"/>
      <c r="G97" s="709"/>
      <c r="H97" s="709"/>
    </row>
    <row r="98" spans="3:8" ht="15.75" x14ac:dyDescent="0.25">
      <c r="C98" s="685"/>
      <c r="D98" s="685"/>
      <c r="E98" s="685"/>
      <c r="F98" s="685"/>
      <c r="G98" s="709"/>
      <c r="H98" s="709"/>
    </row>
    <row r="99" spans="3:8" ht="15.75" x14ac:dyDescent="0.25">
      <c r="C99" s="685"/>
      <c r="D99" s="685"/>
      <c r="E99" s="685"/>
      <c r="F99" s="685"/>
      <c r="G99" s="709"/>
      <c r="H99" s="709"/>
    </row>
    <row r="100" spans="3:8" ht="15.75" x14ac:dyDescent="0.25">
      <c r="C100" s="685"/>
      <c r="D100" s="685"/>
      <c r="E100" s="685"/>
      <c r="F100" s="685"/>
      <c r="G100" s="709"/>
      <c r="H100" s="709"/>
    </row>
    <row r="101" spans="3:8" ht="15.75" x14ac:dyDescent="0.25">
      <c r="C101" s="685"/>
      <c r="D101" s="685"/>
      <c r="E101" s="685"/>
      <c r="F101" s="685"/>
      <c r="G101" s="709"/>
      <c r="H101" s="709"/>
    </row>
    <row r="102" spans="3:8" ht="15.75" x14ac:dyDescent="0.25">
      <c r="C102" s="685"/>
      <c r="D102" s="685"/>
      <c r="E102" s="685"/>
      <c r="F102" s="685"/>
      <c r="G102" s="709"/>
      <c r="H102" s="709"/>
    </row>
    <row r="103" spans="3:8" ht="15.75" x14ac:dyDescent="0.25">
      <c r="C103" s="685"/>
      <c r="D103" s="685"/>
      <c r="E103" s="685"/>
      <c r="F103" s="685"/>
      <c r="G103" s="709"/>
      <c r="H103" s="709"/>
    </row>
    <row r="104" spans="3:8" ht="15.75" x14ac:dyDescent="0.25">
      <c r="C104" s="685"/>
      <c r="D104" s="685"/>
      <c r="E104" s="685"/>
      <c r="F104" s="685"/>
      <c r="G104" s="709"/>
      <c r="H104" s="709"/>
    </row>
    <row r="105" spans="3:8" ht="15.75" x14ac:dyDescent="0.25">
      <c r="C105" s="685"/>
      <c r="D105" s="685"/>
      <c r="E105" s="685"/>
      <c r="F105" s="685"/>
      <c r="G105" s="709"/>
      <c r="H105" s="709"/>
    </row>
    <row r="106" spans="3:8" ht="15.75" x14ac:dyDescent="0.25">
      <c r="C106" s="685"/>
      <c r="D106" s="685"/>
      <c r="E106" s="685"/>
      <c r="F106" s="685"/>
      <c r="G106" s="709"/>
      <c r="H106" s="709"/>
    </row>
    <row r="107" spans="3:8" ht="15.75" x14ac:dyDescent="0.25">
      <c r="C107" s="685"/>
      <c r="D107" s="685"/>
      <c r="E107" s="685"/>
      <c r="F107" s="685"/>
      <c r="G107" s="709"/>
      <c r="H107" s="709"/>
    </row>
    <row r="108" spans="3:8" ht="15.75" x14ac:dyDescent="0.25">
      <c r="C108" s="685"/>
      <c r="D108" s="685"/>
      <c r="E108" s="685"/>
      <c r="F108" s="685"/>
      <c r="G108" s="709"/>
      <c r="H108" s="709"/>
    </row>
    <row r="109" spans="3:8" ht="15.75" x14ac:dyDescent="0.25">
      <c r="C109" s="685"/>
      <c r="D109" s="685"/>
      <c r="E109" s="685"/>
      <c r="F109" s="685"/>
      <c r="G109" s="709"/>
      <c r="H109" s="709"/>
    </row>
    <row r="110" spans="3:8" ht="15.75" x14ac:dyDescent="0.25">
      <c r="C110" s="685"/>
      <c r="D110" s="685"/>
      <c r="E110" s="685"/>
      <c r="F110" s="685"/>
      <c r="G110" s="709"/>
      <c r="H110" s="709"/>
    </row>
    <row r="111" spans="3:8" ht="15.75" x14ac:dyDescent="0.25">
      <c r="C111" s="685"/>
      <c r="D111" s="685"/>
      <c r="E111" s="685"/>
      <c r="F111" s="685"/>
      <c r="G111" s="709"/>
      <c r="H111" s="709"/>
    </row>
    <row r="112" spans="3:8" ht="15.75" x14ac:dyDescent="0.25">
      <c r="C112" s="685"/>
      <c r="D112" s="685"/>
      <c r="E112" s="685"/>
      <c r="F112" s="685"/>
      <c r="G112" s="709"/>
      <c r="H112" s="709"/>
    </row>
    <row r="113" spans="3:8" ht="15.75" x14ac:dyDescent="0.25">
      <c r="C113" s="685"/>
      <c r="D113" s="685"/>
      <c r="E113" s="685"/>
      <c r="F113" s="685"/>
      <c r="G113" s="709"/>
      <c r="H113" s="709"/>
    </row>
    <row r="114" spans="3:8" ht="15.75" x14ac:dyDescent="0.25">
      <c r="C114" s="685"/>
      <c r="D114" s="685"/>
      <c r="E114" s="685"/>
      <c r="F114" s="685"/>
      <c r="G114" s="709"/>
      <c r="H114" s="709"/>
    </row>
    <row r="115" spans="3:8" ht="15.75" x14ac:dyDescent="0.25">
      <c r="C115" s="685"/>
      <c r="D115" s="685"/>
      <c r="E115" s="685"/>
      <c r="F115" s="685"/>
      <c r="G115" s="709"/>
      <c r="H115" s="709"/>
    </row>
    <row r="116" spans="3:8" ht="15.75" x14ac:dyDescent="0.25">
      <c r="C116" s="685"/>
      <c r="D116" s="685"/>
      <c r="E116" s="685"/>
      <c r="F116" s="685"/>
      <c r="G116" s="709"/>
      <c r="H116" s="709"/>
    </row>
    <row r="117" spans="3:8" ht="15.75" x14ac:dyDescent="0.25">
      <c r="C117" s="685"/>
      <c r="D117" s="685"/>
      <c r="E117" s="685"/>
      <c r="F117" s="685"/>
      <c r="G117" s="709"/>
      <c r="H117" s="709"/>
    </row>
    <row r="118" spans="3:8" ht="15.75" x14ac:dyDescent="0.25">
      <c r="C118" s="685"/>
      <c r="D118" s="685"/>
      <c r="E118" s="685"/>
      <c r="F118" s="685"/>
      <c r="G118" s="709"/>
      <c r="H118" s="709"/>
    </row>
    <row r="119" spans="3:8" ht="15.75" x14ac:dyDescent="0.25">
      <c r="C119" s="685"/>
      <c r="D119" s="685"/>
      <c r="E119" s="685"/>
      <c r="F119" s="685"/>
      <c r="G119" s="709"/>
      <c r="H119" s="709"/>
    </row>
    <row r="120" spans="3:8" ht="15.75" x14ac:dyDescent="0.25">
      <c r="C120" s="685"/>
      <c r="D120" s="685"/>
      <c r="E120" s="685"/>
      <c r="F120" s="685"/>
      <c r="G120" s="709"/>
      <c r="H120" s="709"/>
    </row>
    <row r="121" spans="3:8" ht="15.75" x14ac:dyDescent="0.25">
      <c r="C121" s="685"/>
      <c r="D121" s="685"/>
      <c r="E121" s="685"/>
      <c r="F121" s="685"/>
      <c r="G121" s="709"/>
      <c r="H121" s="709"/>
    </row>
    <row r="122" spans="3:8" ht="15.75" x14ac:dyDescent="0.25">
      <c r="C122" s="685"/>
      <c r="D122" s="685"/>
      <c r="E122" s="685"/>
      <c r="F122" s="685"/>
      <c r="G122" s="709"/>
      <c r="H122" s="709"/>
    </row>
    <row r="123" spans="3:8" ht="15.75" x14ac:dyDescent="0.25">
      <c r="C123" s="685"/>
      <c r="D123" s="685"/>
      <c r="E123" s="685"/>
      <c r="F123" s="685"/>
      <c r="G123" s="709"/>
      <c r="H123" s="709"/>
    </row>
    <row r="124" spans="3:8" ht="15.75" x14ac:dyDescent="0.25">
      <c r="C124" s="685"/>
      <c r="D124" s="685"/>
      <c r="E124" s="685"/>
      <c r="F124" s="685"/>
      <c r="G124" s="709"/>
      <c r="H124" s="709"/>
    </row>
    <row r="125" spans="3:8" ht="15.75" x14ac:dyDescent="0.25">
      <c r="C125" s="685"/>
      <c r="D125" s="685"/>
      <c r="E125" s="685"/>
      <c r="F125" s="685"/>
      <c r="G125" s="709"/>
      <c r="H125" s="709"/>
    </row>
    <row r="126" spans="3:8" ht="15.75" x14ac:dyDescent="0.25">
      <c r="C126" s="685"/>
      <c r="D126" s="685"/>
      <c r="E126" s="685"/>
      <c r="F126" s="685"/>
      <c r="G126" s="709"/>
      <c r="H126" s="709"/>
    </row>
    <row r="127" spans="3:8" ht="15.75" x14ac:dyDescent="0.25">
      <c r="C127" s="685"/>
      <c r="D127" s="685"/>
      <c r="E127" s="685"/>
      <c r="F127" s="685"/>
      <c r="G127" s="709"/>
      <c r="H127" s="709"/>
    </row>
    <row r="128" spans="3:8" ht="15.75" x14ac:dyDescent="0.25">
      <c r="C128" s="685"/>
      <c r="D128" s="685"/>
      <c r="E128" s="685"/>
      <c r="F128" s="685"/>
      <c r="G128" s="709"/>
      <c r="H128" s="709"/>
    </row>
    <row r="129" spans="3:8" ht="15.75" x14ac:dyDescent="0.25">
      <c r="C129" s="685"/>
      <c r="D129" s="685"/>
      <c r="E129" s="685"/>
      <c r="F129" s="685"/>
      <c r="G129" s="709"/>
      <c r="H129" s="709"/>
    </row>
    <row r="130" spans="3:8" ht="15.75" x14ac:dyDescent="0.25">
      <c r="C130" s="685"/>
      <c r="D130" s="685"/>
      <c r="E130" s="685"/>
      <c r="F130" s="685"/>
      <c r="G130" s="709"/>
      <c r="H130" s="709"/>
    </row>
    <row r="131" spans="3:8" ht="15.75" x14ac:dyDescent="0.25">
      <c r="C131" s="685"/>
      <c r="D131" s="685"/>
      <c r="E131" s="685"/>
      <c r="F131" s="685"/>
      <c r="G131" s="709"/>
      <c r="H131" s="709"/>
    </row>
    <row r="132" spans="3:8" ht="15.75" x14ac:dyDescent="0.25">
      <c r="C132" s="685"/>
      <c r="D132" s="685"/>
      <c r="E132" s="685"/>
      <c r="F132" s="685"/>
      <c r="G132" s="709"/>
      <c r="H132" s="709"/>
    </row>
    <row r="133" spans="3:8" ht="15.75" x14ac:dyDescent="0.25">
      <c r="C133" s="685"/>
      <c r="D133" s="685"/>
      <c r="E133" s="685"/>
      <c r="F133" s="685"/>
      <c r="G133" s="709"/>
      <c r="H133" s="709"/>
    </row>
    <row r="134" spans="3:8" ht="15.75" x14ac:dyDescent="0.25">
      <c r="C134" s="685"/>
      <c r="D134" s="685"/>
      <c r="E134" s="685"/>
      <c r="F134" s="685"/>
      <c r="G134" s="709"/>
      <c r="H134" s="709"/>
    </row>
    <row r="135" spans="3:8" ht="15.75" x14ac:dyDescent="0.25">
      <c r="C135" s="685"/>
      <c r="D135" s="685"/>
      <c r="E135" s="685"/>
      <c r="F135" s="685"/>
      <c r="G135" s="709"/>
      <c r="H135" s="709"/>
    </row>
    <row r="136" spans="3:8" ht="15.75" x14ac:dyDescent="0.25">
      <c r="C136" s="685"/>
      <c r="D136" s="685"/>
      <c r="E136" s="685"/>
      <c r="F136" s="685"/>
      <c r="G136" s="709"/>
      <c r="H136" s="709"/>
    </row>
    <row r="137" spans="3:8" ht="15.75" x14ac:dyDescent="0.25">
      <c r="C137" s="685"/>
      <c r="D137" s="685"/>
      <c r="E137" s="685"/>
      <c r="F137" s="685"/>
      <c r="G137" s="709"/>
      <c r="H137" s="709"/>
    </row>
    <row r="138" spans="3:8" ht="15.75" x14ac:dyDescent="0.25">
      <c r="C138" s="685"/>
      <c r="D138" s="685"/>
      <c r="E138" s="685"/>
      <c r="F138" s="685"/>
      <c r="G138" s="709"/>
      <c r="H138" s="709"/>
    </row>
    <row r="139" spans="3:8" ht="15.75" x14ac:dyDescent="0.25">
      <c r="C139" s="685"/>
      <c r="D139" s="685"/>
      <c r="E139" s="685"/>
      <c r="F139" s="685"/>
      <c r="G139" s="709"/>
      <c r="H139" s="709"/>
    </row>
    <row r="140" spans="3:8" ht="15.75" x14ac:dyDescent="0.25">
      <c r="C140" s="685"/>
      <c r="D140" s="685"/>
      <c r="E140" s="685"/>
      <c r="F140" s="685"/>
      <c r="G140" s="709"/>
      <c r="H140" s="709"/>
    </row>
    <row r="141" spans="3:8" ht="15.75" x14ac:dyDescent="0.25">
      <c r="C141" s="685"/>
      <c r="D141" s="685"/>
      <c r="E141" s="685"/>
      <c r="F141" s="685"/>
      <c r="G141" s="709"/>
      <c r="H141" s="709"/>
    </row>
    <row r="142" spans="3:8" ht="15.75" x14ac:dyDescent="0.25">
      <c r="C142" s="685"/>
      <c r="D142" s="685"/>
      <c r="E142" s="685"/>
      <c r="F142" s="685"/>
      <c r="G142" s="709"/>
      <c r="H142" s="709"/>
    </row>
    <row r="143" spans="3:8" ht="15.75" x14ac:dyDescent="0.25">
      <c r="C143" s="685"/>
      <c r="D143" s="685"/>
      <c r="E143" s="685"/>
      <c r="F143" s="685"/>
      <c r="G143" s="709"/>
      <c r="H143" s="709"/>
    </row>
    <row r="144" spans="3:8" ht="15.75" x14ac:dyDescent="0.25">
      <c r="C144" s="685"/>
      <c r="D144" s="685"/>
      <c r="E144" s="685"/>
      <c r="F144" s="685"/>
      <c r="G144" s="709"/>
      <c r="H144" s="709"/>
    </row>
    <row r="145" spans="3:8" ht="15.75" x14ac:dyDescent="0.25">
      <c r="C145" s="685"/>
      <c r="D145" s="685"/>
      <c r="E145" s="685"/>
      <c r="F145" s="685"/>
      <c r="G145" s="709"/>
      <c r="H145" s="709"/>
    </row>
    <row r="146" spans="3:8" ht="15.75" x14ac:dyDescent="0.25">
      <c r="C146" s="685"/>
      <c r="D146" s="685"/>
      <c r="E146" s="685"/>
      <c r="F146" s="685"/>
      <c r="G146" s="709"/>
      <c r="H146" s="709"/>
    </row>
    <row r="147" spans="3:8" ht="15.75" x14ac:dyDescent="0.25">
      <c r="C147" s="685"/>
      <c r="D147" s="685"/>
      <c r="E147" s="685"/>
      <c r="F147" s="685"/>
      <c r="G147" s="709"/>
      <c r="H147" s="709"/>
    </row>
    <row r="148" spans="3:8" ht="15.75" x14ac:dyDescent="0.25">
      <c r="C148" s="685"/>
      <c r="D148" s="685"/>
      <c r="E148" s="685"/>
      <c r="F148" s="685"/>
      <c r="G148" s="709"/>
      <c r="H148" s="709"/>
    </row>
    <row r="149" spans="3:8" ht="15.75" x14ac:dyDescent="0.25">
      <c r="C149" s="685"/>
      <c r="D149" s="685"/>
      <c r="E149" s="685"/>
      <c r="F149" s="685"/>
      <c r="G149" s="709"/>
      <c r="H149" s="709"/>
    </row>
    <row r="150" spans="3:8" ht="15.75" x14ac:dyDescent="0.25">
      <c r="C150" s="685"/>
      <c r="D150" s="685"/>
      <c r="E150" s="685"/>
      <c r="F150" s="685"/>
      <c r="G150" s="709"/>
      <c r="H150" s="709"/>
    </row>
    <row r="151" spans="3:8" ht="15.75" x14ac:dyDescent="0.25">
      <c r="C151" s="685"/>
      <c r="D151" s="685"/>
      <c r="E151" s="685"/>
      <c r="F151" s="685"/>
      <c r="G151" s="709"/>
      <c r="H151" s="709"/>
    </row>
    <row r="152" spans="3:8" ht="15.75" x14ac:dyDescent="0.25">
      <c r="C152" s="685"/>
      <c r="D152" s="685"/>
      <c r="E152" s="685"/>
      <c r="F152" s="685"/>
      <c r="G152" s="709"/>
      <c r="H152" s="709"/>
    </row>
    <row r="153" spans="3:8" ht="15.75" x14ac:dyDescent="0.25">
      <c r="C153" s="685"/>
      <c r="D153" s="685"/>
      <c r="E153" s="685"/>
      <c r="F153" s="685"/>
      <c r="G153" s="709"/>
      <c r="H153" s="709"/>
    </row>
    <row r="154" spans="3:8" ht="15.75" x14ac:dyDescent="0.25">
      <c r="C154" s="685"/>
      <c r="D154" s="685"/>
      <c r="E154" s="685"/>
      <c r="F154" s="685"/>
      <c r="G154" s="709"/>
      <c r="H154" s="709"/>
    </row>
    <row r="155" spans="3:8" ht="15.75" x14ac:dyDescent="0.25">
      <c r="C155" s="685"/>
      <c r="D155" s="685"/>
      <c r="E155" s="685"/>
      <c r="F155" s="685"/>
      <c r="G155" s="709"/>
      <c r="H155" s="709"/>
    </row>
    <row r="156" spans="3:8" ht="15.75" x14ac:dyDescent="0.25">
      <c r="C156" s="685"/>
      <c r="D156" s="685"/>
      <c r="E156" s="685"/>
      <c r="F156" s="685"/>
      <c r="G156" s="709"/>
      <c r="H156" s="709"/>
    </row>
    <row r="157" spans="3:8" ht="15.75" x14ac:dyDescent="0.25">
      <c r="C157" s="685"/>
      <c r="D157" s="685"/>
      <c r="E157" s="685"/>
      <c r="F157" s="685"/>
      <c r="G157" s="709"/>
      <c r="H157" s="709"/>
    </row>
    <row r="158" spans="3:8" ht="15.75" x14ac:dyDescent="0.25">
      <c r="C158" s="685"/>
      <c r="D158" s="685"/>
      <c r="E158" s="685"/>
      <c r="F158" s="685"/>
      <c r="G158" s="709"/>
      <c r="H158" s="709"/>
    </row>
    <row r="159" spans="3:8" ht="15.75" x14ac:dyDescent="0.25">
      <c r="C159" s="685"/>
      <c r="D159" s="685"/>
      <c r="E159" s="685"/>
      <c r="F159" s="685"/>
      <c r="G159" s="709"/>
      <c r="H159" s="709"/>
    </row>
    <row r="160" spans="3:8" ht="15.75" x14ac:dyDescent="0.25">
      <c r="C160" s="685"/>
      <c r="D160" s="685"/>
      <c r="E160" s="685"/>
      <c r="F160" s="685"/>
      <c r="G160" s="709"/>
      <c r="H160" s="709"/>
    </row>
    <row r="161" spans="3:8" ht="15.75" x14ac:dyDescent="0.25">
      <c r="C161" s="685"/>
      <c r="D161" s="685"/>
      <c r="E161" s="685"/>
      <c r="F161" s="685"/>
      <c r="G161" s="709"/>
      <c r="H161" s="709"/>
    </row>
    <row r="162" spans="3:8" ht="15.75" x14ac:dyDescent="0.25">
      <c r="C162" s="685"/>
      <c r="D162" s="685"/>
      <c r="E162" s="685"/>
      <c r="F162" s="685"/>
      <c r="G162" s="709"/>
      <c r="H162" s="709"/>
    </row>
    <row r="163" spans="3:8" ht="15.75" x14ac:dyDescent="0.25">
      <c r="C163" s="685"/>
      <c r="D163" s="685"/>
      <c r="E163" s="685"/>
      <c r="F163" s="685"/>
      <c r="G163" s="709"/>
      <c r="H163" s="709"/>
    </row>
    <row r="164" spans="3:8" ht="15.75" x14ac:dyDescent="0.25">
      <c r="C164" s="685"/>
      <c r="D164" s="685"/>
      <c r="E164" s="685"/>
      <c r="F164" s="685"/>
      <c r="G164" s="709"/>
      <c r="H164" s="709"/>
    </row>
    <row r="165" spans="3:8" ht="15.75" x14ac:dyDescent="0.25">
      <c r="C165" s="685"/>
      <c r="D165" s="685"/>
      <c r="E165" s="685"/>
      <c r="F165" s="685"/>
      <c r="G165" s="709"/>
      <c r="H165" s="709"/>
    </row>
    <row r="166" spans="3:8" ht="15.75" x14ac:dyDescent="0.25">
      <c r="C166" s="685"/>
      <c r="D166" s="685"/>
      <c r="E166" s="685"/>
      <c r="F166" s="685"/>
      <c r="G166" s="709"/>
      <c r="H166" s="709"/>
    </row>
    <row r="167" spans="3:8" ht="15.75" x14ac:dyDescent="0.25">
      <c r="C167" s="685"/>
      <c r="D167" s="685"/>
      <c r="E167" s="685"/>
      <c r="F167" s="685"/>
      <c r="G167" s="709"/>
      <c r="H167" s="709"/>
    </row>
    <row r="168" spans="3:8" ht="15.75" x14ac:dyDescent="0.25">
      <c r="C168" s="685"/>
      <c r="D168" s="685"/>
      <c r="E168" s="685"/>
      <c r="F168" s="685"/>
      <c r="G168" s="709"/>
      <c r="H168" s="709"/>
    </row>
    <row r="169" spans="3:8" ht="15.75" x14ac:dyDescent="0.25">
      <c r="C169" s="685"/>
      <c r="D169" s="685"/>
      <c r="E169" s="685"/>
      <c r="F169" s="685"/>
      <c r="G169" s="709"/>
      <c r="H169" s="709"/>
    </row>
    <row r="170" spans="3:8" ht="15.75" x14ac:dyDescent="0.25">
      <c r="C170" s="685"/>
      <c r="D170" s="685"/>
      <c r="E170" s="685"/>
      <c r="F170" s="685"/>
      <c r="G170" s="709"/>
      <c r="H170" s="709"/>
    </row>
    <row r="171" spans="3:8" ht="15.75" x14ac:dyDescent="0.25">
      <c r="C171" s="685"/>
      <c r="D171" s="685"/>
      <c r="E171" s="685"/>
      <c r="F171" s="685"/>
      <c r="G171" s="709"/>
      <c r="H171" s="709"/>
    </row>
    <row r="172" spans="3:8" ht="15.75" x14ac:dyDescent="0.25">
      <c r="C172" s="685"/>
      <c r="D172" s="685"/>
      <c r="E172" s="685"/>
      <c r="F172" s="685"/>
      <c r="G172" s="709"/>
      <c r="H172" s="709"/>
    </row>
    <row r="173" spans="3:8" ht="15.75" x14ac:dyDescent="0.25">
      <c r="C173" s="685"/>
      <c r="D173" s="685"/>
      <c r="E173" s="685"/>
      <c r="F173" s="685"/>
      <c r="G173" s="709"/>
      <c r="H173" s="709"/>
    </row>
    <row r="174" spans="3:8" ht="15.75" x14ac:dyDescent="0.25">
      <c r="C174" s="685"/>
      <c r="D174" s="685"/>
      <c r="E174" s="685"/>
      <c r="F174" s="685"/>
      <c r="G174" s="709"/>
      <c r="H174" s="709"/>
    </row>
    <row r="175" spans="3:8" ht="15.75" x14ac:dyDescent="0.25">
      <c r="C175" s="685"/>
      <c r="D175" s="685"/>
      <c r="E175" s="685"/>
      <c r="F175" s="685"/>
      <c r="G175" s="709"/>
      <c r="H175" s="709"/>
    </row>
    <row r="176" spans="3:8" ht="15.75" x14ac:dyDescent="0.25">
      <c r="C176" s="685"/>
      <c r="D176" s="685"/>
      <c r="E176" s="685"/>
      <c r="F176" s="685"/>
      <c r="G176" s="709"/>
      <c r="H176" s="709"/>
    </row>
    <row r="177" spans="3:8" ht="15.75" x14ac:dyDescent="0.25">
      <c r="C177" s="685"/>
      <c r="D177" s="685"/>
      <c r="E177" s="685"/>
      <c r="F177" s="685"/>
      <c r="G177" s="709"/>
      <c r="H177" s="709"/>
    </row>
    <row r="178" spans="3:8" ht="15.75" x14ac:dyDescent="0.25">
      <c r="C178" s="685"/>
      <c r="D178" s="685"/>
      <c r="E178" s="685"/>
      <c r="F178" s="685"/>
      <c r="G178" s="709"/>
      <c r="H178" s="709"/>
    </row>
    <row r="179" spans="3:8" ht="15.75" x14ac:dyDescent="0.25">
      <c r="C179" s="685"/>
      <c r="D179" s="685"/>
      <c r="E179" s="685"/>
      <c r="F179" s="685"/>
      <c r="G179" s="709"/>
      <c r="H179" s="709"/>
    </row>
    <row r="180" spans="3:8" ht="15.75" x14ac:dyDescent="0.25">
      <c r="C180" s="685"/>
      <c r="D180" s="685"/>
      <c r="E180" s="685"/>
      <c r="F180" s="685"/>
      <c r="G180" s="709"/>
      <c r="H180" s="709"/>
    </row>
    <row r="181" spans="3:8" ht="15.75" x14ac:dyDescent="0.25">
      <c r="C181" s="685"/>
      <c r="D181" s="685"/>
      <c r="E181" s="685"/>
      <c r="F181" s="685"/>
      <c r="G181" s="709"/>
      <c r="H181" s="709"/>
    </row>
    <row r="182" spans="3:8" ht="15.75" x14ac:dyDescent="0.25">
      <c r="C182" s="685"/>
      <c r="D182" s="685"/>
      <c r="E182" s="685"/>
      <c r="F182" s="685"/>
      <c r="G182" s="709"/>
      <c r="H182" s="709"/>
    </row>
    <row r="183" spans="3:8" ht="15.75" x14ac:dyDescent="0.25">
      <c r="C183" s="685"/>
      <c r="D183" s="685"/>
      <c r="E183" s="685"/>
      <c r="F183" s="685"/>
      <c r="G183" s="709"/>
      <c r="H183" s="709"/>
    </row>
    <row r="184" spans="3:8" ht="15.75" x14ac:dyDescent="0.25">
      <c r="C184" s="685"/>
      <c r="D184" s="685"/>
      <c r="E184" s="685"/>
      <c r="F184" s="685"/>
      <c r="G184" s="709"/>
      <c r="H184" s="709"/>
    </row>
    <row r="185" spans="3:8" ht="15.75" x14ac:dyDescent="0.25">
      <c r="C185" s="685"/>
      <c r="D185" s="685"/>
      <c r="E185" s="685"/>
      <c r="F185" s="685"/>
      <c r="G185" s="709"/>
      <c r="H185" s="709"/>
    </row>
    <row r="186" spans="3:8" ht="15.75" x14ac:dyDescent="0.25">
      <c r="C186" s="685"/>
      <c r="D186" s="685"/>
      <c r="E186" s="685"/>
      <c r="F186" s="685"/>
      <c r="G186" s="709"/>
      <c r="H186" s="709"/>
    </row>
    <row r="187" spans="3:8" ht="15.75" x14ac:dyDescent="0.25">
      <c r="C187" s="685"/>
      <c r="D187" s="685"/>
      <c r="E187" s="685"/>
      <c r="F187" s="685"/>
      <c r="G187" s="709"/>
      <c r="H187" s="709"/>
    </row>
    <row r="188" spans="3:8" ht="15.75" x14ac:dyDescent="0.25">
      <c r="C188" s="685"/>
      <c r="D188" s="685"/>
      <c r="E188" s="685"/>
      <c r="F188" s="685"/>
      <c r="G188" s="709"/>
      <c r="H188" s="709"/>
    </row>
    <row r="189" spans="3:8" ht="15.75" x14ac:dyDescent="0.25">
      <c r="C189" s="685"/>
      <c r="D189" s="685"/>
      <c r="E189" s="685"/>
      <c r="F189" s="685"/>
      <c r="G189" s="709"/>
      <c r="H189" s="709"/>
    </row>
    <row r="190" spans="3:8" ht="15.75" x14ac:dyDescent="0.25">
      <c r="C190" s="685"/>
      <c r="D190" s="685"/>
      <c r="E190" s="685"/>
      <c r="F190" s="685"/>
      <c r="G190" s="709"/>
      <c r="H190" s="709"/>
    </row>
    <row r="191" spans="3:8" ht="15.75" x14ac:dyDescent="0.25">
      <c r="C191" s="685"/>
      <c r="D191" s="685"/>
      <c r="E191" s="685"/>
      <c r="F191" s="685"/>
      <c r="G191" s="709"/>
      <c r="H191" s="709"/>
    </row>
    <row r="192" spans="3:8" ht="15.75" x14ac:dyDescent="0.25">
      <c r="C192" s="685"/>
      <c r="D192" s="685"/>
      <c r="E192" s="685"/>
      <c r="F192" s="685"/>
      <c r="G192" s="709"/>
      <c r="H192" s="709"/>
    </row>
    <row r="193" spans="3:8" ht="15.75" x14ac:dyDescent="0.25">
      <c r="C193" s="685"/>
      <c r="D193" s="685"/>
      <c r="E193" s="685"/>
      <c r="F193" s="685"/>
      <c r="G193" s="709"/>
      <c r="H193" s="709"/>
    </row>
    <row r="194" spans="3:8" ht="15.75" x14ac:dyDescent="0.25">
      <c r="C194" s="685"/>
      <c r="D194" s="685"/>
      <c r="E194" s="685"/>
      <c r="F194" s="685"/>
      <c r="G194" s="709"/>
      <c r="H194" s="709"/>
    </row>
    <row r="195" spans="3:8" ht="15.75" x14ac:dyDescent="0.25">
      <c r="C195" s="685"/>
      <c r="D195" s="685"/>
      <c r="E195" s="685"/>
      <c r="F195" s="685"/>
      <c r="G195" s="709"/>
      <c r="H195" s="709"/>
    </row>
    <row r="196" spans="3:8" ht="15.75" x14ac:dyDescent="0.25">
      <c r="C196" s="685"/>
      <c r="D196" s="685"/>
      <c r="E196" s="685"/>
      <c r="F196" s="685"/>
      <c r="G196" s="709"/>
      <c r="H196" s="709"/>
    </row>
    <row r="197" spans="3:8" ht="15.75" x14ac:dyDescent="0.25">
      <c r="C197" s="685"/>
      <c r="D197" s="685"/>
      <c r="E197" s="685"/>
      <c r="F197" s="685"/>
      <c r="G197" s="709"/>
      <c r="H197" s="709"/>
    </row>
    <row r="198" spans="3:8" ht="15.75" x14ac:dyDescent="0.25">
      <c r="C198" s="685"/>
      <c r="D198" s="685"/>
      <c r="E198" s="685"/>
      <c r="F198" s="685"/>
      <c r="G198" s="709"/>
      <c r="H198" s="709"/>
    </row>
    <row r="199" spans="3:8" ht="15.75" x14ac:dyDescent="0.25">
      <c r="C199" s="685"/>
      <c r="D199" s="685"/>
      <c r="E199" s="685"/>
      <c r="F199" s="685"/>
      <c r="G199" s="709"/>
      <c r="H199" s="709"/>
    </row>
    <row r="200" spans="3:8" ht="15.75" x14ac:dyDescent="0.25">
      <c r="C200" s="685"/>
      <c r="D200" s="685"/>
      <c r="E200" s="685"/>
      <c r="F200" s="685"/>
      <c r="G200" s="709"/>
      <c r="H200" s="709"/>
    </row>
    <row r="201" spans="3:8" ht="15.75" x14ac:dyDescent="0.25">
      <c r="C201" s="685"/>
      <c r="D201" s="685"/>
      <c r="E201" s="685"/>
      <c r="F201" s="685"/>
      <c r="G201" s="709"/>
      <c r="H201" s="709"/>
    </row>
    <row r="202" spans="3:8" ht="15.75" x14ac:dyDescent="0.25">
      <c r="C202" s="685"/>
      <c r="D202" s="685"/>
      <c r="E202" s="685"/>
      <c r="F202" s="685"/>
      <c r="G202" s="709"/>
      <c r="H202" s="709"/>
    </row>
    <row r="203" spans="3:8" ht="15.75" x14ac:dyDescent="0.25">
      <c r="C203" s="685"/>
      <c r="D203" s="685"/>
      <c r="E203" s="685"/>
      <c r="F203" s="685"/>
      <c r="G203" s="709"/>
      <c r="H203" s="709"/>
    </row>
    <row r="204" spans="3:8" ht="15.75" x14ac:dyDescent="0.25">
      <c r="C204" s="685"/>
      <c r="D204" s="685"/>
      <c r="E204" s="685"/>
      <c r="F204" s="685"/>
      <c r="G204" s="709"/>
      <c r="H204" s="709"/>
    </row>
    <row r="205" spans="3:8" ht="15.75" x14ac:dyDescent="0.25">
      <c r="C205" s="685"/>
      <c r="D205" s="685"/>
      <c r="E205" s="685"/>
      <c r="F205" s="685"/>
      <c r="G205" s="709"/>
      <c r="H205" s="709"/>
    </row>
    <row r="206" spans="3:8" ht="15.75" x14ac:dyDescent="0.25">
      <c r="C206" s="685"/>
      <c r="D206" s="685"/>
      <c r="E206" s="685"/>
      <c r="F206" s="685"/>
      <c r="G206" s="709"/>
      <c r="H206" s="709"/>
    </row>
    <row r="207" spans="3:8" ht="15.75" x14ac:dyDescent="0.25">
      <c r="C207" s="685"/>
      <c r="D207" s="685"/>
      <c r="E207" s="685"/>
      <c r="F207" s="685"/>
      <c r="G207" s="709"/>
      <c r="H207" s="709"/>
    </row>
    <row r="208" spans="3:8" ht="15.75" x14ac:dyDescent="0.25">
      <c r="C208" s="685"/>
      <c r="D208" s="685"/>
      <c r="E208" s="685"/>
      <c r="F208" s="685"/>
      <c r="G208" s="709"/>
      <c r="H208" s="709"/>
    </row>
    <row r="209" spans="3:8" ht="15.75" x14ac:dyDescent="0.25">
      <c r="C209" s="685"/>
      <c r="D209" s="685"/>
      <c r="E209" s="685"/>
      <c r="F209" s="685"/>
      <c r="G209" s="709"/>
      <c r="H209" s="709"/>
    </row>
    <row r="210" spans="3:8" ht="15.75" x14ac:dyDescent="0.25">
      <c r="C210" s="685"/>
      <c r="D210" s="685"/>
      <c r="E210" s="685"/>
      <c r="F210" s="685"/>
      <c r="G210" s="709"/>
      <c r="H210" s="709"/>
    </row>
    <row r="211" spans="3:8" ht="15.75" x14ac:dyDescent="0.25">
      <c r="C211" s="685"/>
      <c r="D211" s="685"/>
      <c r="E211" s="685"/>
      <c r="F211" s="685"/>
      <c r="G211" s="709"/>
      <c r="H211" s="709"/>
    </row>
    <row r="212" spans="3:8" ht="15.75" x14ac:dyDescent="0.25">
      <c r="C212" s="685"/>
      <c r="D212" s="685"/>
      <c r="E212" s="685"/>
      <c r="F212" s="685"/>
      <c r="G212" s="709"/>
      <c r="H212" s="709"/>
    </row>
    <row r="213" spans="3:8" ht="15.75" x14ac:dyDescent="0.25">
      <c r="C213" s="685"/>
      <c r="D213" s="685"/>
      <c r="E213" s="685"/>
      <c r="F213" s="685"/>
      <c r="G213" s="709"/>
      <c r="H213" s="709"/>
    </row>
    <row r="214" spans="3:8" ht="15.75" x14ac:dyDescent="0.25">
      <c r="C214" s="685"/>
      <c r="D214" s="685"/>
      <c r="E214" s="685"/>
      <c r="F214" s="685"/>
      <c r="G214" s="709"/>
      <c r="H214" s="709"/>
    </row>
    <row r="215" spans="3:8" ht="15.75" x14ac:dyDescent="0.25">
      <c r="C215" s="685"/>
      <c r="D215" s="685"/>
      <c r="E215" s="685"/>
      <c r="F215" s="685"/>
      <c r="G215" s="709"/>
      <c r="H215" s="709"/>
    </row>
    <row r="216" spans="3:8" ht="15.75" x14ac:dyDescent="0.25">
      <c r="C216" s="685"/>
      <c r="D216" s="685"/>
      <c r="E216" s="685"/>
      <c r="F216" s="685"/>
      <c r="G216" s="709"/>
      <c r="H216" s="709"/>
    </row>
    <row r="217" spans="3:8" ht="15.75" x14ac:dyDescent="0.25">
      <c r="C217" s="685"/>
      <c r="D217" s="685"/>
      <c r="E217" s="685"/>
      <c r="F217" s="685"/>
      <c r="G217" s="709"/>
      <c r="H217" s="709"/>
    </row>
    <row r="218" spans="3:8" ht="15.75" x14ac:dyDescent="0.25">
      <c r="C218" s="685"/>
      <c r="D218" s="685"/>
      <c r="E218" s="685"/>
      <c r="F218" s="685"/>
      <c r="G218" s="709"/>
      <c r="H218" s="709"/>
    </row>
    <row r="219" spans="3:8" ht="15.75" x14ac:dyDescent="0.25">
      <c r="C219" s="685"/>
      <c r="D219" s="685"/>
      <c r="E219" s="685"/>
      <c r="F219" s="685"/>
      <c r="G219" s="709"/>
      <c r="H219" s="709"/>
    </row>
    <row r="220" spans="3:8" ht="15.75" x14ac:dyDescent="0.25">
      <c r="C220" s="685"/>
      <c r="D220" s="685"/>
      <c r="E220" s="685"/>
      <c r="F220" s="685"/>
      <c r="G220" s="709"/>
      <c r="H220" s="709"/>
    </row>
    <row r="221" spans="3:8" ht="15.75" x14ac:dyDescent="0.25">
      <c r="C221" s="685"/>
      <c r="D221" s="685"/>
      <c r="E221" s="685"/>
      <c r="F221" s="685"/>
      <c r="G221" s="709"/>
      <c r="H221" s="709"/>
    </row>
    <row r="222" spans="3:8" ht="15.75" x14ac:dyDescent="0.25">
      <c r="C222" s="685"/>
      <c r="D222" s="685"/>
      <c r="E222" s="685"/>
      <c r="F222" s="685"/>
      <c r="G222" s="709"/>
      <c r="H222" s="709"/>
    </row>
    <row r="223" spans="3:8" ht="15.75" x14ac:dyDescent="0.25">
      <c r="C223" s="685"/>
      <c r="D223" s="685"/>
      <c r="E223" s="685"/>
      <c r="F223" s="685"/>
      <c r="G223" s="709"/>
      <c r="H223" s="709"/>
    </row>
    <row r="224" spans="3:8" ht="15.75" x14ac:dyDescent="0.25">
      <c r="C224" s="685"/>
      <c r="D224" s="685"/>
      <c r="E224" s="685"/>
      <c r="F224" s="685"/>
      <c r="G224" s="709"/>
      <c r="H224" s="709"/>
    </row>
    <row r="225" spans="3:8" ht="15.75" x14ac:dyDescent="0.25">
      <c r="C225" s="685"/>
      <c r="D225" s="685"/>
      <c r="E225" s="685"/>
      <c r="F225" s="685"/>
      <c r="G225" s="709"/>
      <c r="H225" s="709"/>
    </row>
    <row r="226" spans="3:8" ht="15.75" x14ac:dyDescent="0.25">
      <c r="C226" s="685"/>
      <c r="D226" s="685"/>
      <c r="E226" s="685"/>
      <c r="F226" s="685"/>
      <c r="G226" s="709"/>
      <c r="H226" s="709"/>
    </row>
    <row r="227" spans="3:8" ht="15.75" x14ac:dyDescent="0.25">
      <c r="C227" s="685"/>
      <c r="D227" s="685"/>
      <c r="E227" s="685"/>
      <c r="F227" s="685"/>
      <c r="G227" s="709"/>
      <c r="H227" s="709"/>
    </row>
    <row r="228" spans="3:8" ht="15.75" x14ac:dyDescent="0.25">
      <c r="C228" s="685"/>
      <c r="D228" s="685"/>
      <c r="E228" s="685"/>
      <c r="F228" s="685"/>
      <c r="G228" s="709"/>
      <c r="H228" s="709"/>
    </row>
    <row r="229" spans="3:8" ht="15.75" x14ac:dyDescent="0.25">
      <c r="C229" s="685"/>
      <c r="D229" s="685"/>
      <c r="E229" s="685"/>
      <c r="F229" s="685"/>
      <c r="G229" s="709"/>
      <c r="H229" s="709"/>
    </row>
    <row r="230" spans="3:8" ht="15.75" x14ac:dyDescent="0.25">
      <c r="C230" s="685"/>
      <c r="D230" s="685"/>
      <c r="E230" s="685"/>
      <c r="F230" s="685"/>
      <c r="G230" s="709"/>
      <c r="H230" s="709"/>
    </row>
    <row r="231" spans="3:8" ht="15.75" x14ac:dyDescent="0.25">
      <c r="C231" s="685"/>
      <c r="D231" s="685"/>
      <c r="E231" s="685"/>
      <c r="F231" s="685"/>
      <c r="G231" s="709"/>
      <c r="H231" s="709"/>
    </row>
    <row r="232" spans="3:8" ht="15.75" x14ac:dyDescent="0.25">
      <c r="C232" s="685"/>
      <c r="D232" s="685"/>
      <c r="E232" s="685"/>
      <c r="F232" s="685"/>
      <c r="G232" s="709"/>
      <c r="H232" s="709"/>
    </row>
    <row r="233" spans="3:8" ht="15.75" x14ac:dyDescent="0.25">
      <c r="C233" s="685"/>
      <c r="D233" s="685"/>
      <c r="E233" s="685"/>
      <c r="F233" s="685"/>
      <c r="G233" s="709"/>
      <c r="H233" s="709"/>
    </row>
    <row r="234" spans="3:8" ht="15.75" x14ac:dyDescent="0.25">
      <c r="C234" s="685"/>
      <c r="D234" s="685"/>
      <c r="E234" s="685"/>
      <c r="F234" s="685"/>
      <c r="G234" s="709"/>
      <c r="H234" s="709"/>
    </row>
    <row r="235" spans="3:8" ht="15.75" x14ac:dyDescent="0.25">
      <c r="C235" s="685"/>
      <c r="D235" s="685"/>
      <c r="E235" s="685"/>
      <c r="F235" s="685"/>
      <c r="G235" s="709"/>
      <c r="H235" s="709"/>
    </row>
    <row r="236" spans="3:8" ht="15.75" x14ac:dyDescent="0.25">
      <c r="C236" s="685"/>
      <c r="D236" s="685"/>
      <c r="E236" s="685"/>
      <c r="F236" s="685"/>
      <c r="G236" s="709"/>
      <c r="H236" s="709"/>
    </row>
    <row r="237" spans="3:8" ht="15.75" x14ac:dyDescent="0.25">
      <c r="C237" s="685"/>
      <c r="D237" s="685"/>
      <c r="E237" s="685"/>
      <c r="F237" s="685"/>
      <c r="G237" s="709"/>
      <c r="H237" s="709"/>
    </row>
    <row r="238" spans="3:8" ht="15.75" x14ac:dyDescent="0.25">
      <c r="C238" s="685"/>
      <c r="D238" s="685"/>
      <c r="E238" s="685"/>
      <c r="F238" s="685"/>
      <c r="G238" s="709"/>
      <c r="H238" s="709"/>
    </row>
    <row r="239" spans="3:8" ht="15.75" x14ac:dyDescent="0.25">
      <c r="C239" s="685"/>
      <c r="D239" s="685"/>
      <c r="E239" s="685"/>
      <c r="F239" s="685"/>
      <c r="G239" s="709"/>
      <c r="H239" s="709"/>
    </row>
    <row r="240" spans="3:8" ht="15.75" x14ac:dyDescent="0.25">
      <c r="C240" s="685"/>
      <c r="D240" s="685"/>
      <c r="E240" s="685"/>
      <c r="F240" s="685"/>
      <c r="G240" s="709"/>
      <c r="H240" s="709"/>
    </row>
    <row r="241" spans="3:8" ht="15.75" x14ac:dyDescent="0.25">
      <c r="C241" s="685"/>
      <c r="D241" s="685"/>
      <c r="E241" s="685"/>
      <c r="F241" s="685"/>
      <c r="G241" s="709"/>
      <c r="H241" s="709"/>
    </row>
    <row r="242" spans="3:8" ht="15.75" x14ac:dyDescent="0.25">
      <c r="C242" s="685"/>
      <c r="D242" s="685"/>
      <c r="E242" s="685"/>
      <c r="F242" s="685"/>
      <c r="G242" s="709"/>
      <c r="H242" s="709"/>
    </row>
    <row r="243" spans="3:8" ht="15.75" x14ac:dyDescent="0.25">
      <c r="C243" s="685"/>
      <c r="D243" s="685"/>
      <c r="E243" s="685"/>
      <c r="F243" s="685"/>
      <c r="G243" s="709"/>
      <c r="H243" s="709"/>
    </row>
    <row r="244" spans="3:8" ht="15.75" x14ac:dyDescent="0.25">
      <c r="C244" s="685"/>
      <c r="D244" s="685"/>
      <c r="E244" s="685"/>
      <c r="F244" s="685"/>
      <c r="G244" s="709"/>
      <c r="H244" s="709"/>
    </row>
    <row r="245" spans="3:8" ht="15.75" x14ac:dyDescent="0.25">
      <c r="C245" s="685"/>
      <c r="D245" s="685"/>
      <c r="E245" s="685"/>
      <c r="F245" s="685"/>
      <c r="G245" s="709"/>
      <c r="H245" s="709"/>
    </row>
    <row r="246" spans="3:8" ht="15.75" x14ac:dyDescent="0.25">
      <c r="C246" s="685"/>
      <c r="D246" s="685"/>
      <c r="E246" s="685"/>
      <c r="F246" s="685"/>
      <c r="G246" s="709"/>
      <c r="H246" s="709"/>
    </row>
    <row r="247" spans="3:8" ht="15.75" x14ac:dyDescent="0.25">
      <c r="C247" s="685"/>
      <c r="D247" s="685"/>
      <c r="E247" s="685"/>
      <c r="F247" s="685"/>
      <c r="G247" s="709"/>
      <c r="H247" s="709"/>
    </row>
    <row r="248" spans="3:8" ht="15.75" x14ac:dyDescent="0.25">
      <c r="C248" s="685"/>
      <c r="D248" s="685"/>
      <c r="E248" s="685"/>
      <c r="F248" s="685"/>
      <c r="G248" s="709"/>
      <c r="H248" s="709"/>
    </row>
    <row r="249" spans="3:8" ht="15.75" x14ac:dyDescent="0.25">
      <c r="C249" s="685"/>
      <c r="D249" s="685"/>
      <c r="E249" s="685"/>
      <c r="F249" s="685"/>
      <c r="G249" s="709"/>
      <c r="H249" s="709"/>
    </row>
    <row r="250" spans="3:8" ht="15.75" x14ac:dyDescent="0.25">
      <c r="C250" s="685"/>
      <c r="D250" s="685"/>
      <c r="E250" s="685"/>
      <c r="F250" s="685"/>
      <c r="G250" s="709"/>
      <c r="H250" s="709"/>
    </row>
    <row r="251" spans="3:8" ht="15.75" x14ac:dyDescent="0.25">
      <c r="C251" s="685"/>
      <c r="D251" s="685"/>
      <c r="E251" s="685"/>
      <c r="F251" s="685"/>
      <c r="G251" s="709"/>
      <c r="H251" s="709"/>
    </row>
    <row r="252" spans="3:8" ht="15.75" x14ac:dyDescent="0.25">
      <c r="C252" s="685"/>
      <c r="D252" s="685"/>
      <c r="E252" s="685"/>
      <c r="F252" s="685"/>
      <c r="G252" s="709"/>
      <c r="H252" s="709"/>
    </row>
    <row r="253" spans="3:8" ht="15.75" x14ac:dyDescent="0.25">
      <c r="C253" s="685"/>
      <c r="D253" s="685"/>
      <c r="E253" s="685"/>
      <c r="F253" s="685"/>
      <c r="G253" s="709"/>
      <c r="H253" s="709"/>
    </row>
    <row r="254" spans="3:8" ht="15.75" x14ac:dyDescent="0.25">
      <c r="C254" s="685"/>
      <c r="D254" s="685"/>
      <c r="E254" s="685"/>
      <c r="F254" s="685"/>
      <c r="G254" s="709"/>
      <c r="H254" s="709"/>
    </row>
    <row r="255" spans="3:8" ht="15.75" x14ac:dyDescent="0.25">
      <c r="C255" s="685"/>
      <c r="D255" s="685"/>
      <c r="E255" s="685"/>
      <c r="F255" s="685"/>
      <c r="G255" s="709"/>
      <c r="H255" s="709"/>
    </row>
    <row r="256" spans="3:8" ht="15.75" x14ac:dyDescent="0.25">
      <c r="C256" s="685"/>
      <c r="D256" s="685"/>
      <c r="E256" s="685"/>
      <c r="F256" s="685"/>
      <c r="G256" s="709"/>
      <c r="H256" s="709"/>
    </row>
    <row r="257" spans="3:8" ht="15.75" x14ac:dyDescent="0.25">
      <c r="C257" s="685"/>
      <c r="D257" s="685"/>
      <c r="E257" s="685"/>
      <c r="F257" s="685"/>
      <c r="G257" s="709"/>
      <c r="H257" s="709"/>
    </row>
    <row r="258" spans="3:8" ht="15.75" x14ac:dyDescent="0.25">
      <c r="C258" s="685"/>
      <c r="D258" s="685"/>
      <c r="E258" s="685"/>
      <c r="F258" s="685"/>
      <c r="G258" s="709"/>
      <c r="H258" s="709"/>
    </row>
    <row r="259" spans="3:8" ht="15.75" x14ac:dyDescent="0.25">
      <c r="C259" s="685"/>
      <c r="D259" s="685"/>
      <c r="E259" s="685"/>
      <c r="F259" s="685"/>
      <c r="G259" s="709"/>
      <c r="H259" s="709"/>
    </row>
    <row r="260" spans="3:8" ht="15.75" x14ac:dyDescent="0.25">
      <c r="C260" s="685"/>
      <c r="D260" s="685"/>
      <c r="E260" s="685"/>
      <c r="F260" s="685"/>
      <c r="G260" s="709"/>
      <c r="H260" s="709"/>
    </row>
    <row r="261" spans="3:8" ht="15.75" x14ac:dyDescent="0.25">
      <c r="C261" s="685"/>
      <c r="D261" s="685"/>
      <c r="E261" s="685"/>
      <c r="F261" s="685"/>
      <c r="G261" s="709"/>
      <c r="H261" s="709"/>
    </row>
    <row r="262" spans="3:8" ht="15.75" x14ac:dyDescent="0.25">
      <c r="C262" s="685"/>
      <c r="D262" s="685"/>
      <c r="E262" s="685"/>
      <c r="F262" s="685"/>
      <c r="G262" s="709"/>
      <c r="H262" s="709"/>
    </row>
    <row r="263" spans="3:8" ht="15.75" x14ac:dyDescent="0.25">
      <c r="C263" s="685"/>
      <c r="D263" s="685"/>
      <c r="E263" s="685"/>
      <c r="F263" s="685"/>
      <c r="G263" s="709"/>
      <c r="H263" s="709"/>
    </row>
    <row r="264" spans="3:8" ht="15.75" x14ac:dyDescent="0.25">
      <c r="C264" s="685"/>
      <c r="D264" s="685"/>
      <c r="E264" s="685"/>
      <c r="F264" s="685"/>
      <c r="G264" s="709"/>
      <c r="H264" s="709"/>
    </row>
    <row r="265" spans="3:8" ht="15.75" x14ac:dyDescent="0.25">
      <c r="C265" s="685"/>
      <c r="D265" s="685"/>
      <c r="E265" s="685"/>
      <c r="F265" s="685"/>
      <c r="G265" s="709"/>
      <c r="H265" s="709"/>
    </row>
    <row r="266" spans="3:8" ht="15.75" x14ac:dyDescent="0.25">
      <c r="C266" s="685"/>
      <c r="D266" s="685"/>
      <c r="E266" s="685"/>
      <c r="F266" s="685"/>
      <c r="G266" s="709"/>
      <c r="H266" s="709"/>
    </row>
    <row r="267" spans="3:8" ht="15.75" x14ac:dyDescent="0.25">
      <c r="C267" s="685"/>
      <c r="D267" s="685"/>
      <c r="E267" s="685"/>
      <c r="F267" s="685"/>
      <c r="G267" s="709"/>
      <c r="H267" s="709"/>
    </row>
    <row r="268" spans="3:8" ht="15.75" x14ac:dyDescent="0.25">
      <c r="C268" s="685"/>
      <c r="D268" s="685"/>
      <c r="E268" s="685"/>
      <c r="F268" s="685"/>
      <c r="G268" s="709"/>
      <c r="H268" s="709"/>
    </row>
    <row r="269" spans="3:8" ht="15.75" x14ac:dyDescent="0.25">
      <c r="C269" s="685"/>
      <c r="D269" s="685"/>
      <c r="E269" s="685"/>
      <c r="F269" s="685"/>
      <c r="G269" s="709"/>
      <c r="H269" s="709"/>
    </row>
    <row r="270" spans="3:8" ht="15.75" x14ac:dyDescent="0.25">
      <c r="C270" s="685"/>
      <c r="D270" s="685"/>
      <c r="E270" s="685"/>
      <c r="F270" s="685"/>
      <c r="G270" s="709"/>
      <c r="H270" s="709"/>
    </row>
    <row r="271" spans="3:8" ht="15.75" x14ac:dyDescent="0.25">
      <c r="C271" s="685"/>
      <c r="D271" s="685"/>
      <c r="E271" s="685"/>
      <c r="F271" s="685"/>
      <c r="G271" s="709"/>
      <c r="H271" s="709"/>
    </row>
    <row r="272" spans="3:8" ht="15.75" x14ac:dyDescent="0.25">
      <c r="C272" s="685"/>
      <c r="D272" s="685"/>
      <c r="E272" s="685"/>
      <c r="F272" s="685"/>
      <c r="G272" s="709"/>
      <c r="H272" s="709"/>
    </row>
    <row r="273" spans="3:8" ht="15.75" x14ac:dyDescent="0.25">
      <c r="C273" s="685"/>
      <c r="D273" s="685"/>
      <c r="E273" s="685"/>
      <c r="F273" s="685"/>
      <c r="G273" s="709"/>
      <c r="H273" s="709"/>
    </row>
    <row r="274" spans="3:8" ht="15.75" x14ac:dyDescent="0.25">
      <c r="C274" s="685"/>
      <c r="D274" s="685"/>
      <c r="E274" s="685"/>
      <c r="F274" s="685"/>
      <c r="G274" s="709"/>
      <c r="H274" s="709"/>
    </row>
    <row r="275" spans="3:8" ht="15.75" x14ac:dyDescent="0.25">
      <c r="C275" s="685"/>
      <c r="D275" s="685"/>
      <c r="E275" s="685"/>
      <c r="F275" s="685"/>
      <c r="G275" s="709"/>
      <c r="H275" s="709"/>
    </row>
    <row r="276" spans="3:8" ht="15.75" x14ac:dyDescent="0.25">
      <c r="C276" s="685"/>
      <c r="D276" s="685"/>
      <c r="E276" s="685"/>
      <c r="F276" s="685"/>
      <c r="G276" s="709"/>
      <c r="H276" s="709"/>
    </row>
    <row r="277" spans="3:8" ht="15.75" x14ac:dyDescent="0.25">
      <c r="C277" s="685"/>
      <c r="D277" s="685"/>
      <c r="E277" s="685"/>
      <c r="F277" s="685"/>
      <c r="G277" s="709"/>
      <c r="H277" s="709"/>
    </row>
    <row r="278" spans="3:8" ht="15.75" x14ac:dyDescent="0.25">
      <c r="C278" s="685"/>
      <c r="D278" s="685"/>
      <c r="E278" s="685"/>
      <c r="F278" s="685"/>
      <c r="G278" s="709"/>
      <c r="H278" s="709"/>
    </row>
    <row r="279" spans="3:8" ht="15.75" x14ac:dyDescent="0.25">
      <c r="C279" s="685"/>
      <c r="D279" s="685"/>
      <c r="E279" s="685"/>
      <c r="F279" s="685"/>
      <c r="G279" s="709"/>
      <c r="H279" s="709"/>
    </row>
    <row r="280" spans="3:8" ht="15.75" x14ac:dyDescent="0.25">
      <c r="C280" s="685"/>
      <c r="D280" s="685"/>
      <c r="E280" s="685"/>
      <c r="F280" s="685"/>
      <c r="G280" s="709"/>
      <c r="H280" s="709"/>
    </row>
  </sheetData>
  <autoFilter ref="C1:H89" xr:uid="{AA306B76-1E1A-402A-AD78-4FD2A288D0B4}">
    <sortState xmlns:xlrd2="http://schemas.microsoft.com/office/spreadsheetml/2017/richdata2" ref="C2:H92">
      <sortCondition ref="E1:E89"/>
    </sortState>
  </autoFilter>
  <mergeCells count="1">
    <mergeCell ref="A1:A3"/>
  </mergeCell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3">
    <tabColor theme="7"/>
  </sheetPr>
  <dimension ref="B1:AA85"/>
  <sheetViews>
    <sheetView zoomScale="80" zoomScaleNormal="80" workbookViewId="0">
      <pane xSplit="5" ySplit="4" topLeftCell="F83" activePane="bottomRight" state="frozen"/>
      <selection activeCell="P101" sqref="P101"/>
      <selection pane="topRight" activeCell="P101" sqref="P101"/>
      <selection pane="bottomLeft" activeCell="P101" sqref="P101"/>
      <selection pane="bottomRight" activeCell="G84" sqref="G84"/>
    </sheetView>
  </sheetViews>
  <sheetFormatPr defaultRowHeight="15" x14ac:dyDescent="0.25"/>
  <cols>
    <col min="1" max="1" width="3.28515625" customWidth="1"/>
    <col min="2" max="2" width="3.42578125" style="6" customWidth="1"/>
    <col min="3" max="3" width="21.42578125" customWidth="1"/>
    <col min="4" max="4" width="21.7109375" customWidth="1"/>
    <col min="5" max="5" width="17.5703125" customWidth="1"/>
    <col min="6" max="7" width="13" customWidth="1"/>
    <col min="8" max="8" width="12.5703125" customWidth="1"/>
    <col min="11" max="11" width="11" customWidth="1"/>
    <col min="15" max="15" width="15.28515625" customWidth="1"/>
    <col min="16" max="16" width="10.140625" customWidth="1"/>
    <col min="21" max="21" width="20.42578125" bestFit="1" customWidth="1"/>
  </cols>
  <sheetData>
    <row r="1" spans="2:21" ht="69.95" customHeight="1" x14ac:dyDescent="0.25">
      <c r="B1" s="722" t="s">
        <v>720</v>
      </c>
    </row>
    <row r="2" spans="2:21" ht="15.75" thickBot="1" x14ac:dyDescent="0.3">
      <c r="C2" s="30" t="s">
        <v>117</v>
      </c>
      <c r="D2" s="313">
        <v>44873</v>
      </c>
      <c r="F2" t="s">
        <v>118</v>
      </c>
      <c r="Q2" s="574">
        <f t="shared" ref="Q2:Q32" si="0">SUM(F2:G2,I2:O2)</f>
        <v>0</v>
      </c>
    </row>
    <row r="3" spans="2:21" x14ac:dyDescent="0.25">
      <c r="B3" s="723"/>
      <c r="C3" s="115"/>
      <c r="D3" s="115"/>
      <c r="E3" s="115"/>
      <c r="F3" s="1727" t="s">
        <v>119</v>
      </c>
      <c r="G3" s="1728"/>
      <c r="H3" s="1728"/>
      <c r="I3" s="1728"/>
      <c r="J3" s="1729"/>
      <c r="K3" s="1727" t="s">
        <v>120</v>
      </c>
      <c r="L3" s="1728"/>
      <c r="M3" s="1728"/>
      <c r="N3" s="1728"/>
      <c r="O3" s="1728"/>
      <c r="P3" s="1729"/>
      <c r="Q3" s="574">
        <f t="shared" si="0"/>
        <v>0</v>
      </c>
    </row>
    <row r="4" spans="2:21" s="41" customFormat="1" ht="25.5" x14ac:dyDescent="0.25">
      <c r="B4" s="724" t="s">
        <v>1297</v>
      </c>
      <c r="C4" s="314"/>
      <c r="D4" s="314" t="s">
        <v>121</v>
      </c>
      <c r="E4" s="314" t="s">
        <v>122</v>
      </c>
      <c r="F4" s="339" t="s">
        <v>1311</v>
      </c>
      <c r="G4" s="340" t="s">
        <v>1312</v>
      </c>
      <c r="H4" s="340" t="s">
        <v>1</v>
      </c>
      <c r="I4" s="340" t="s">
        <v>5</v>
      </c>
      <c r="J4" s="341" t="s">
        <v>3</v>
      </c>
      <c r="K4" s="339" t="s">
        <v>2</v>
      </c>
      <c r="L4" s="340" t="s">
        <v>110</v>
      </c>
      <c r="M4" s="340" t="s">
        <v>727</v>
      </c>
      <c r="N4" s="340" t="s">
        <v>104</v>
      </c>
      <c r="O4" s="341" t="s">
        <v>130</v>
      </c>
      <c r="P4" s="341" t="s">
        <v>93</v>
      </c>
      <c r="Q4" s="574">
        <f t="shared" si="0"/>
        <v>0</v>
      </c>
    </row>
    <row r="5" spans="2:21" x14ac:dyDescent="0.25">
      <c r="B5" s="721"/>
      <c r="C5" s="1143" t="s">
        <v>11</v>
      </c>
      <c r="D5" s="1144" t="s">
        <v>2009</v>
      </c>
      <c r="E5" s="1144" t="s">
        <v>281</v>
      </c>
      <c r="F5" s="613">
        <v>1.129943502824859</v>
      </c>
      <c r="G5" s="614">
        <v>0</v>
      </c>
      <c r="H5" s="343">
        <f>(SUM(F5:G5))</f>
        <v>1.129943502824859</v>
      </c>
      <c r="I5" s="343">
        <v>5.6497175141242941</v>
      </c>
      <c r="J5" s="344">
        <v>0</v>
      </c>
      <c r="K5" s="811">
        <v>32.7683615819209</v>
      </c>
      <c r="L5" s="812">
        <v>37.853107344632768</v>
      </c>
      <c r="M5" s="343">
        <v>20.33898305084746</v>
      </c>
      <c r="N5" s="812">
        <v>2.259887005649718</v>
      </c>
      <c r="O5" s="344">
        <v>0</v>
      </c>
      <c r="P5" s="345">
        <f>SUM(O5,N5)</f>
        <v>2.259887005649718</v>
      </c>
      <c r="Q5" s="574">
        <f t="shared" si="0"/>
        <v>100</v>
      </c>
      <c r="S5">
        <v>100</v>
      </c>
    </row>
    <row r="6" spans="2:21" x14ac:dyDescent="0.25">
      <c r="B6" s="721"/>
      <c r="C6" s="599" t="s">
        <v>132</v>
      </c>
      <c r="D6" s="1144" t="s">
        <v>1310</v>
      </c>
      <c r="E6" s="1144" t="s">
        <v>2026</v>
      </c>
      <c r="F6" s="613">
        <v>0.88888888888888873</v>
      </c>
      <c r="G6" s="614">
        <v>0.22222222222222218</v>
      </c>
      <c r="H6" s="343">
        <f t="shared" ref="H6:H69" si="1">(SUM(F6:G6))</f>
        <v>1.1111111111111109</v>
      </c>
      <c r="I6" s="343">
        <v>5.3333333333333321</v>
      </c>
      <c r="J6" s="344">
        <v>0.66666666666666652</v>
      </c>
      <c r="K6" s="811">
        <v>0</v>
      </c>
      <c r="L6" s="812">
        <v>86.666666666666657</v>
      </c>
      <c r="M6" s="343">
        <v>4.6666666666666661</v>
      </c>
      <c r="N6" s="812">
        <v>1.5555555555555551</v>
      </c>
      <c r="O6" s="344">
        <v>0</v>
      </c>
      <c r="P6" s="345">
        <f t="shared" ref="P6:P70" si="2">SUM(O6,N6)</f>
        <v>1.5555555555555551</v>
      </c>
      <c r="Q6" s="574">
        <f t="shared" si="0"/>
        <v>100</v>
      </c>
    </row>
    <row r="7" spans="2:21" x14ac:dyDescent="0.25">
      <c r="B7" s="721"/>
      <c r="C7" s="599" t="s">
        <v>134</v>
      </c>
      <c r="D7" s="1144" t="s">
        <v>593</v>
      </c>
      <c r="E7" s="1144" t="s">
        <v>282</v>
      </c>
      <c r="F7" s="613">
        <v>0.79365079365079383</v>
      </c>
      <c r="G7" s="614">
        <v>0</v>
      </c>
      <c r="H7" s="343">
        <f t="shared" si="1"/>
        <v>0.79365079365079383</v>
      </c>
      <c r="I7" s="343">
        <v>1.5873015873015877</v>
      </c>
      <c r="J7" s="344">
        <v>5.5555555555555562</v>
      </c>
      <c r="K7" s="811">
        <v>37.301587301587311</v>
      </c>
      <c r="L7" s="812">
        <v>27.777777777777786</v>
      </c>
      <c r="M7" s="343">
        <v>24.603174603174608</v>
      </c>
      <c r="N7" s="812">
        <v>0.79365079365079383</v>
      </c>
      <c r="O7" s="344">
        <v>1.5873015873015877</v>
      </c>
      <c r="P7" s="345">
        <f t="shared" si="2"/>
        <v>2.3809523809523814</v>
      </c>
      <c r="Q7" s="574">
        <f t="shared" si="0"/>
        <v>100.00000000000003</v>
      </c>
    </row>
    <row r="8" spans="2:21" x14ac:dyDescent="0.25">
      <c r="B8" s="721"/>
      <c r="C8" s="599" t="s">
        <v>12</v>
      </c>
      <c r="D8" s="1144" t="s">
        <v>2013</v>
      </c>
      <c r="E8" s="1144" t="s">
        <v>281</v>
      </c>
      <c r="F8" s="613">
        <v>5.593220338983051</v>
      </c>
      <c r="G8" s="614">
        <v>0.84745762711864403</v>
      </c>
      <c r="H8" s="343">
        <f t="shared" si="1"/>
        <v>6.4406779661016955</v>
      </c>
      <c r="I8" s="343">
        <v>1.1864406779661016</v>
      </c>
      <c r="J8" s="344">
        <v>2.7118644067796613</v>
      </c>
      <c r="K8" s="811">
        <v>21.1864406779661</v>
      </c>
      <c r="L8" s="812">
        <v>58.135593220338976</v>
      </c>
      <c r="M8" s="343">
        <v>10.16949152542373</v>
      </c>
      <c r="N8" s="812">
        <v>0.16949152542372883</v>
      </c>
      <c r="O8" s="344">
        <v>0</v>
      </c>
      <c r="P8" s="345">
        <f t="shared" si="2"/>
        <v>0.16949152542372883</v>
      </c>
      <c r="Q8" s="574">
        <f t="shared" si="0"/>
        <v>99.999999999999972</v>
      </c>
    </row>
    <row r="9" spans="2:21" x14ac:dyDescent="0.25">
      <c r="B9" s="721"/>
      <c r="C9" s="599" t="s">
        <v>148</v>
      </c>
      <c r="D9" s="1144" t="s">
        <v>2010</v>
      </c>
      <c r="E9" s="1144" t="s">
        <v>282</v>
      </c>
      <c r="F9" s="613">
        <v>35.344488864417158</v>
      </c>
      <c r="G9" s="614">
        <v>0.23658808295100364</v>
      </c>
      <c r="H9" s="343">
        <f t="shared" si="1"/>
        <v>35.58107694736816</v>
      </c>
      <c r="I9" s="343">
        <v>2.8684340284105292</v>
      </c>
      <c r="J9" s="344">
        <v>7.1202625572556171</v>
      </c>
      <c r="K9" s="811">
        <v>19.960240019659647</v>
      </c>
      <c r="L9" s="812">
        <v>23.378238015305769</v>
      </c>
      <c r="M9" s="343">
        <v>10.684125366951255</v>
      </c>
      <c r="N9" s="812">
        <v>0</v>
      </c>
      <c r="O9" s="344">
        <v>0.40762306504902085</v>
      </c>
      <c r="P9" s="345">
        <f t="shared" si="2"/>
        <v>0.40762306504902085</v>
      </c>
      <c r="Q9" s="574">
        <f t="shared" si="0"/>
        <v>99.999999999999986</v>
      </c>
    </row>
    <row r="10" spans="2:21" x14ac:dyDescent="0.25">
      <c r="B10" s="721"/>
      <c r="C10" s="599" t="s">
        <v>13</v>
      </c>
      <c r="D10" s="1144" t="s">
        <v>1034</v>
      </c>
      <c r="E10" s="1144" t="s">
        <v>282</v>
      </c>
      <c r="F10" s="613">
        <v>0.86206896551724133</v>
      </c>
      <c r="G10" s="614">
        <v>0</v>
      </c>
      <c r="H10" s="343">
        <f t="shared" si="1"/>
        <v>0.86206896551724133</v>
      </c>
      <c r="I10" s="343">
        <v>11.206896551724139</v>
      </c>
      <c r="J10" s="344">
        <v>38.793103448275865</v>
      </c>
      <c r="K10" s="811">
        <v>16.379310344827587</v>
      </c>
      <c r="L10" s="812">
        <v>10.344827586206897</v>
      </c>
      <c r="M10" s="343">
        <v>18.103448275862068</v>
      </c>
      <c r="N10" s="812">
        <v>0.86206896551724133</v>
      </c>
      <c r="O10" s="344">
        <v>3.4482758620689653</v>
      </c>
      <c r="P10" s="345">
        <f t="shared" si="2"/>
        <v>4.3103448275862064</v>
      </c>
      <c r="Q10" s="574">
        <f t="shared" si="0"/>
        <v>99.999999999999986</v>
      </c>
      <c r="U10" s="23"/>
    </row>
    <row r="11" spans="2:21" x14ac:dyDescent="0.25">
      <c r="B11" s="721"/>
      <c r="C11" s="599" t="s">
        <v>14</v>
      </c>
      <c r="D11" s="1144" t="s">
        <v>713</v>
      </c>
      <c r="E11" s="1144" t="s">
        <v>282</v>
      </c>
      <c r="F11" s="613">
        <v>11.08786610878661</v>
      </c>
      <c r="G11" s="614">
        <v>19.03765690376569</v>
      </c>
      <c r="H11" s="343">
        <f t="shared" si="1"/>
        <v>30.1255230125523</v>
      </c>
      <c r="I11" s="343">
        <v>5.6485355648535576</v>
      </c>
      <c r="J11" s="344">
        <v>0.20920502092050211</v>
      </c>
      <c r="K11" s="811">
        <v>44.142259414225947</v>
      </c>
      <c r="L11" s="812">
        <v>11.506276150627617</v>
      </c>
      <c r="M11" s="343">
        <v>8.3682008368200851</v>
      </c>
      <c r="N11" s="812">
        <v>0</v>
      </c>
      <c r="O11" s="344">
        <v>0</v>
      </c>
      <c r="P11" s="345">
        <f t="shared" si="2"/>
        <v>0</v>
      </c>
      <c r="Q11" s="574">
        <f>SUM(F11:G11,I11:O11)</f>
        <v>100</v>
      </c>
      <c r="U11" s="23"/>
    </row>
    <row r="12" spans="2:21" x14ac:dyDescent="0.25">
      <c r="B12" s="721"/>
      <c r="C12" s="599" t="s">
        <v>15</v>
      </c>
      <c r="D12" s="1144" t="s">
        <v>1144</v>
      </c>
      <c r="E12" s="1144" t="s">
        <v>281</v>
      </c>
      <c r="F12" s="613">
        <v>21.488701816570671</v>
      </c>
      <c r="G12" s="614">
        <v>0.22153300841825435</v>
      </c>
      <c r="H12" s="343">
        <f t="shared" si="1"/>
        <v>21.710234824988927</v>
      </c>
      <c r="I12" s="343">
        <v>15.064244572441297</v>
      </c>
      <c r="J12" s="344">
        <v>8.4182543198936646</v>
      </c>
      <c r="K12" s="811">
        <v>26.583961010190521</v>
      </c>
      <c r="L12" s="812">
        <v>8.63978732831192</v>
      </c>
      <c r="M12" s="343">
        <v>15.28577758085955</v>
      </c>
      <c r="N12" s="812">
        <v>8.8613203367301746E-2</v>
      </c>
      <c r="O12" s="344">
        <v>4.2091271599468332</v>
      </c>
      <c r="P12" s="345">
        <f t="shared" si="2"/>
        <v>4.2977403633141353</v>
      </c>
      <c r="Q12" s="574">
        <f t="shared" si="0"/>
        <v>100.00000000000001</v>
      </c>
      <c r="U12" s="23"/>
    </row>
    <row r="13" spans="2:21" x14ac:dyDescent="0.25">
      <c r="B13" s="721"/>
      <c r="C13" s="599" t="s">
        <v>16</v>
      </c>
      <c r="D13" s="1144" t="s">
        <v>2498</v>
      </c>
      <c r="E13" s="1144" t="s">
        <v>282</v>
      </c>
      <c r="F13" s="613">
        <v>0.20020020020020018</v>
      </c>
      <c r="G13" s="614">
        <v>0</v>
      </c>
      <c r="H13" s="343">
        <f t="shared" si="1"/>
        <v>0.20020020020020018</v>
      </c>
      <c r="I13" s="343">
        <v>4.3043043043043037</v>
      </c>
      <c r="J13" s="344">
        <v>43.443443443443442</v>
      </c>
      <c r="K13" s="811">
        <v>27.727727727727725</v>
      </c>
      <c r="L13" s="812">
        <v>7.4074074074074083</v>
      </c>
      <c r="M13" s="343">
        <v>15.715715715715714</v>
      </c>
      <c r="N13" s="812">
        <v>0</v>
      </c>
      <c r="O13" s="344">
        <v>1.2012012012012012</v>
      </c>
      <c r="P13" s="345">
        <f t="shared" si="2"/>
        <v>1.2012012012012012</v>
      </c>
      <c r="Q13" s="574">
        <f t="shared" si="0"/>
        <v>100</v>
      </c>
      <c r="U13" s="23"/>
    </row>
    <row r="14" spans="2:21" x14ac:dyDescent="0.25">
      <c r="B14" s="721"/>
      <c r="C14" s="599" t="s">
        <v>17</v>
      </c>
      <c r="D14" s="1144" t="s">
        <v>714</v>
      </c>
      <c r="E14" s="1144" t="s">
        <v>282</v>
      </c>
      <c r="F14" s="613">
        <v>2.0547945205479454</v>
      </c>
      <c r="G14" s="614">
        <v>0.68493150684931525</v>
      </c>
      <c r="H14" s="343">
        <f t="shared" si="1"/>
        <v>2.7397260273972606</v>
      </c>
      <c r="I14" s="343">
        <v>4.1095890410958908</v>
      </c>
      <c r="J14" s="344">
        <v>26.027397260273975</v>
      </c>
      <c r="K14" s="811">
        <v>48.630136986301373</v>
      </c>
      <c r="L14" s="812">
        <v>6.8493150684931514</v>
      </c>
      <c r="M14" s="343">
        <v>8.2191780821917817</v>
      </c>
      <c r="N14" s="812">
        <v>0.68493150684931525</v>
      </c>
      <c r="O14" s="344">
        <v>2.739726027397261</v>
      </c>
      <c r="P14" s="345">
        <f t="shared" si="2"/>
        <v>3.4246575342465762</v>
      </c>
      <c r="Q14" s="574">
        <f t="shared" si="0"/>
        <v>100.00000000000001</v>
      </c>
      <c r="U14" s="23"/>
    </row>
    <row r="15" spans="2:21" x14ac:dyDescent="0.25">
      <c r="B15" s="721"/>
      <c r="C15" s="599" t="s">
        <v>156</v>
      </c>
      <c r="D15" s="1144" t="s">
        <v>2011</v>
      </c>
      <c r="E15" s="1144" t="s">
        <v>281</v>
      </c>
      <c r="F15" s="613">
        <v>15.356489945155394</v>
      </c>
      <c r="G15" s="614">
        <v>0.18281535648994518</v>
      </c>
      <c r="H15" s="343">
        <f t="shared" si="1"/>
        <v>15.539305301645339</v>
      </c>
      <c r="I15" s="343">
        <v>3.8391224862888484</v>
      </c>
      <c r="J15" s="344">
        <v>4.9360146252285197</v>
      </c>
      <c r="K15" s="811">
        <v>27.056672760511884</v>
      </c>
      <c r="L15" s="812">
        <v>38.208409506398539</v>
      </c>
      <c r="M15" s="343">
        <v>9.8720292504570395</v>
      </c>
      <c r="N15" s="812">
        <v>0</v>
      </c>
      <c r="O15" s="344">
        <v>0.54844606946983554</v>
      </c>
      <c r="P15" s="345">
        <f t="shared" si="2"/>
        <v>0.54844606946983554</v>
      </c>
      <c r="Q15" s="574">
        <f t="shared" si="0"/>
        <v>100</v>
      </c>
      <c r="U15" s="23"/>
    </row>
    <row r="16" spans="2:21" x14ac:dyDescent="0.25">
      <c r="B16" s="721"/>
      <c r="C16" s="599" t="s">
        <v>18</v>
      </c>
      <c r="D16" s="1144" t="s">
        <v>596</v>
      </c>
      <c r="E16" s="1144" t="s">
        <v>282</v>
      </c>
      <c r="F16" s="613">
        <v>8.3018867924528319</v>
      </c>
      <c r="G16" s="614">
        <v>0.37735849056603776</v>
      </c>
      <c r="H16" s="343">
        <f t="shared" si="1"/>
        <v>8.6792452830188704</v>
      </c>
      <c r="I16" s="343">
        <v>11.320754716981133</v>
      </c>
      <c r="J16" s="344">
        <v>5.6603773584905666</v>
      </c>
      <c r="K16" s="811">
        <v>23.39622641509434</v>
      </c>
      <c r="L16" s="812">
        <v>45.283018867924532</v>
      </c>
      <c r="M16" s="343">
        <v>5.6603773584905666</v>
      </c>
      <c r="N16" s="812">
        <v>0</v>
      </c>
      <c r="O16" s="344">
        <v>0</v>
      </c>
      <c r="P16" s="345">
        <f t="shared" si="2"/>
        <v>0</v>
      </c>
      <c r="Q16" s="574">
        <f t="shared" si="0"/>
        <v>100</v>
      </c>
      <c r="U16" s="23"/>
    </row>
    <row r="17" spans="2:27" x14ac:dyDescent="0.25">
      <c r="B17" s="721"/>
      <c r="C17" s="599" t="s">
        <v>19</v>
      </c>
      <c r="D17" s="1144" t="s">
        <v>1146</v>
      </c>
      <c r="E17" s="1144" t="s">
        <v>282</v>
      </c>
      <c r="F17" s="613">
        <v>1.2578616352201257</v>
      </c>
      <c r="G17" s="614">
        <v>0</v>
      </c>
      <c r="H17" s="343">
        <f t="shared" si="1"/>
        <v>1.2578616352201257</v>
      </c>
      <c r="I17" s="343">
        <v>4.4025157232704393</v>
      </c>
      <c r="J17" s="344">
        <v>12.578616352201255</v>
      </c>
      <c r="K17" s="811">
        <v>19.49685534591195</v>
      </c>
      <c r="L17" s="812">
        <v>6.2893081761006275</v>
      </c>
      <c r="M17" s="343">
        <v>52.20125786163522</v>
      </c>
      <c r="N17" s="812">
        <v>0</v>
      </c>
      <c r="O17" s="344">
        <v>3.7735849056603765</v>
      </c>
      <c r="P17" s="345">
        <f t="shared" si="2"/>
        <v>3.7735849056603765</v>
      </c>
      <c r="Q17" s="574">
        <f t="shared" si="0"/>
        <v>99.999999999999986</v>
      </c>
      <c r="U17" s="23"/>
    </row>
    <row r="18" spans="2:27" x14ac:dyDescent="0.25">
      <c r="B18" s="721"/>
      <c r="C18" s="599" t="s">
        <v>2012</v>
      </c>
      <c r="D18" s="1144" t="s">
        <v>2013</v>
      </c>
      <c r="E18" s="1144" t="s">
        <v>282</v>
      </c>
      <c r="F18" s="613">
        <v>1.6596039530544382</v>
      </c>
      <c r="G18" s="614">
        <v>0.63708388887255263</v>
      </c>
      <c r="H18" s="343">
        <f t="shared" si="1"/>
        <v>2.2966878419269907</v>
      </c>
      <c r="I18" s="343">
        <v>0.12836623803640174</v>
      </c>
      <c r="J18" s="344">
        <v>18.224625774489201</v>
      </c>
      <c r="K18" s="811">
        <v>21.682595825240551</v>
      </c>
      <c r="L18" s="812">
        <v>40.190323257739514</v>
      </c>
      <c r="M18" s="343">
        <v>17.477401062567345</v>
      </c>
      <c r="N18" s="812">
        <v>0</v>
      </c>
      <c r="O18" s="344">
        <v>0</v>
      </c>
      <c r="P18" s="345">
        <f t="shared" si="2"/>
        <v>0</v>
      </c>
      <c r="Q18" s="574">
        <f t="shared" si="0"/>
        <v>100</v>
      </c>
      <c r="U18" s="23"/>
    </row>
    <row r="19" spans="2:27" x14ac:dyDescent="0.25">
      <c r="B19" s="721"/>
      <c r="C19" s="599" t="s">
        <v>20</v>
      </c>
      <c r="D19" s="1144" t="s">
        <v>2013</v>
      </c>
      <c r="E19" s="1144" t="s">
        <v>282</v>
      </c>
      <c r="F19" s="613">
        <v>2.5592624793547998</v>
      </c>
      <c r="G19" s="614">
        <v>0.37598082349404982</v>
      </c>
      <c r="H19" s="343">
        <f t="shared" si="1"/>
        <v>2.9352433028488498</v>
      </c>
      <c r="I19" s="343">
        <v>1.5813047489558558</v>
      </c>
      <c r="J19" s="344">
        <v>22.475655830340475</v>
      </c>
      <c r="K19" s="811">
        <v>58.787374152087033</v>
      </c>
      <c r="L19" s="812">
        <v>9.135790083186107</v>
      </c>
      <c r="M19" s="343">
        <v>4.8074559330810862</v>
      </c>
      <c r="N19" s="812">
        <v>0</v>
      </c>
      <c r="O19" s="344">
        <v>0.27717594950061419</v>
      </c>
      <c r="P19" s="345">
        <f t="shared" si="2"/>
        <v>0.27717594950061419</v>
      </c>
      <c r="Q19" s="574">
        <f t="shared" si="0"/>
        <v>100.00000000000003</v>
      </c>
      <c r="U19" s="23"/>
    </row>
    <row r="20" spans="2:27" x14ac:dyDescent="0.25">
      <c r="B20" s="721"/>
      <c r="C20" s="599" t="s">
        <v>21</v>
      </c>
      <c r="D20" s="1144" t="s">
        <v>604</v>
      </c>
      <c r="E20" s="1144" t="s">
        <v>282</v>
      </c>
      <c r="F20" s="613">
        <v>6.1224489795918355</v>
      </c>
      <c r="G20" s="614">
        <v>0</v>
      </c>
      <c r="H20" s="343">
        <f t="shared" si="1"/>
        <v>6.1224489795918355</v>
      </c>
      <c r="I20" s="343">
        <v>0</v>
      </c>
      <c r="J20" s="344">
        <v>11.224489795918368</v>
      </c>
      <c r="K20" s="811">
        <v>37.755102040816325</v>
      </c>
      <c r="L20" s="812">
        <v>20.408163265306118</v>
      </c>
      <c r="M20" s="343">
        <v>19.387755102040813</v>
      </c>
      <c r="N20" s="812">
        <v>5.1020408163265296</v>
      </c>
      <c r="O20" s="344">
        <v>0</v>
      </c>
      <c r="P20" s="345">
        <f t="shared" si="2"/>
        <v>5.1020408163265296</v>
      </c>
      <c r="Q20" s="574">
        <f t="shared" si="0"/>
        <v>100</v>
      </c>
      <c r="U20" s="23"/>
    </row>
    <row r="21" spans="2:27" x14ac:dyDescent="0.25">
      <c r="B21" s="721"/>
      <c r="C21" s="599" t="s">
        <v>22</v>
      </c>
      <c r="D21" s="1144" t="s">
        <v>715</v>
      </c>
      <c r="E21" s="1144" t="s">
        <v>282</v>
      </c>
      <c r="F21" s="613">
        <v>0.96105209914011136</v>
      </c>
      <c r="G21" s="614">
        <v>0.10116337885685382</v>
      </c>
      <c r="H21" s="343">
        <f t="shared" si="1"/>
        <v>1.0622154779969653</v>
      </c>
      <c r="I21" s="343">
        <v>0.25290844714213456</v>
      </c>
      <c r="J21" s="344">
        <v>2.1244309559939301</v>
      </c>
      <c r="K21" s="811">
        <v>10.976226605968639</v>
      </c>
      <c r="L21" s="812">
        <v>24.178047546788065</v>
      </c>
      <c r="M21" s="343">
        <v>57.865452706120394</v>
      </c>
      <c r="N21" s="812">
        <v>3.5407182599898834</v>
      </c>
      <c r="O21" s="344">
        <v>0</v>
      </c>
      <c r="P21" s="345">
        <f t="shared" si="2"/>
        <v>3.5407182599898834</v>
      </c>
      <c r="Q21" s="574">
        <f t="shared" si="0"/>
        <v>100.00000000000001</v>
      </c>
      <c r="U21" s="23"/>
    </row>
    <row r="22" spans="2:27" x14ac:dyDescent="0.25">
      <c r="B22" s="721"/>
      <c r="C22" s="599" t="s">
        <v>2014</v>
      </c>
      <c r="D22" s="1144" t="s">
        <v>1059</v>
      </c>
      <c r="E22" s="1144" t="s">
        <v>282</v>
      </c>
      <c r="F22" s="613">
        <v>1.159618008185539</v>
      </c>
      <c r="G22" s="614">
        <v>1.9099590723055937</v>
      </c>
      <c r="H22" s="343">
        <f t="shared" si="1"/>
        <v>3.0695770804911326</v>
      </c>
      <c r="I22" s="343">
        <v>0.47748976807639842</v>
      </c>
      <c r="J22" s="344">
        <v>6.207366984993179</v>
      </c>
      <c r="K22" s="811">
        <v>28.1718963165075</v>
      </c>
      <c r="L22" s="812">
        <v>39.222373806275577</v>
      </c>
      <c r="M22" s="343">
        <v>19.986357435197814</v>
      </c>
      <c r="N22" s="812">
        <v>2.7285129604365621</v>
      </c>
      <c r="O22" s="344">
        <v>0.13642564802182811</v>
      </c>
      <c r="P22" s="345">
        <f t="shared" si="2"/>
        <v>2.8649386084583903</v>
      </c>
      <c r="Q22" s="574">
        <f t="shared" si="0"/>
        <v>99.999999999999986</v>
      </c>
      <c r="U22" s="23"/>
    </row>
    <row r="23" spans="2:27" x14ac:dyDescent="0.25">
      <c r="B23" s="721"/>
      <c r="C23" s="599" t="s">
        <v>24</v>
      </c>
      <c r="D23" s="1144" t="s">
        <v>716</v>
      </c>
      <c r="E23" s="1144" t="s">
        <v>281</v>
      </c>
      <c r="F23" s="613">
        <v>0</v>
      </c>
      <c r="G23" s="614">
        <v>0</v>
      </c>
      <c r="H23" s="343">
        <f t="shared" si="1"/>
        <v>0</v>
      </c>
      <c r="I23" s="343">
        <v>0</v>
      </c>
      <c r="J23" s="344">
        <v>3.3333333333333335</v>
      </c>
      <c r="K23" s="811">
        <v>33.888888888888886</v>
      </c>
      <c r="L23" s="812">
        <v>60.555555555555564</v>
      </c>
      <c r="M23" s="343">
        <v>0</v>
      </c>
      <c r="N23" s="812">
        <v>0</v>
      </c>
      <c r="O23" s="344">
        <v>2.2222222222222223</v>
      </c>
      <c r="P23" s="345">
        <f t="shared" si="2"/>
        <v>2.2222222222222223</v>
      </c>
      <c r="Q23" s="574">
        <f t="shared" si="0"/>
        <v>100.00000000000001</v>
      </c>
      <c r="U23" s="23"/>
    </row>
    <row r="24" spans="2:27" x14ac:dyDescent="0.25">
      <c r="B24" s="721"/>
      <c r="C24" s="599" t="s">
        <v>25</v>
      </c>
      <c r="D24" s="1144" t="s">
        <v>981</v>
      </c>
      <c r="E24" s="1144" t="s">
        <v>281</v>
      </c>
      <c r="F24" s="613">
        <v>1.8895348837209305</v>
      </c>
      <c r="G24" s="614">
        <v>0</v>
      </c>
      <c r="H24" s="343">
        <f t="shared" si="1"/>
        <v>1.8895348837209305</v>
      </c>
      <c r="I24" s="343">
        <v>95.058139534883736</v>
      </c>
      <c r="J24" s="344">
        <v>0</v>
      </c>
      <c r="K24" s="811">
        <v>0.29069767441860467</v>
      </c>
      <c r="L24" s="812">
        <v>0.43604651162790697</v>
      </c>
      <c r="M24" s="343">
        <v>1.1627906976744187</v>
      </c>
      <c r="N24" s="812">
        <v>0</v>
      </c>
      <c r="O24" s="344">
        <v>1.1627906976744187</v>
      </c>
      <c r="P24" s="345">
        <f t="shared" si="2"/>
        <v>1.1627906976744187</v>
      </c>
      <c r="Q24" s="574">
        <f t="shared" si="0"/>
        <v>100.00000000000003</v>
      </c>
    </row>
    <row r="25" spans="2:27" x14ac:dyDescent="0.25">
      <c r="B25" s="721"/>
      <c r="C25" s="599" t="s">
        <v>26</v>
      </c>
      <c r="D25" s="1144" t="s">
        <v>1296</v>
      </c>
      <c r="E25" s="1144" t="s">
        <v>282</v>
      </c>
      <c r="F25" s="613">
        <v>2.3435310040955359</v>
      </c>
      <c r="G25" s="614">
        <v>0.26779438989373539</v>
      </c>
      <c r="H25" s="343">
        <f t="shared" si="1"/>
        <v>2.6113253939892713</v>
      </c>
      <c r="I25" s="343">
        <v>1.8518514746228474</v>
      </c>
      <c r="J25" s="344">
        <v>12.261619107201046</v>
      </c>
      <c r="K25" s="811">
        <v>11.601381587372884</v>
      </c>
      <c r="L25" s="812">
        <v>17.866821051820398</v>
      </c>
      <c r="M25" s="343">
        <v>29.289536008921669</v>
      </c>
      <c r="N25" s="812">
        <v>23.328395247919488</v>
      </c>
      <c r="O25" s="344">
        <v>1.1890701281523808</v>
      </c>
      <c r="P25" s="345">
        <f t="shared" si="2"/>
        <v>24.517465376071868</v>
      </c>
      <c r="Q25" s="574">
        <f t="shared" si="0"/>
        <v>99.999999999999986</v>
      </c>
    </row>
    <row r="26" spans="2:27" x14ac:dyDescent="0.25">
      <c r="B26" s="721"/>
      <c r="C26" s="599" t="s">
        <v>27</v>
      </c>
      <c r="D26" s="1144" t="s">
        <v>596</v>
      </c>
      <c r="E26" s="1144" t="s">
        <v>281</v>
      </c>
      <c r="F26" s="613">
        <v>2.1089630931458698</v>
      </c>
      <c r="G26" s="614">
        <v>0</v>
      </c>
      <c r="H26" s="343">
        <f t="shared" si="1"/>
        <v>2.1089630931458698</v>
      </c>
      <c r="I26" s="343">
        <v>52.899824253075579</v>
      </c>
      <c r="J26" s="344">
        <v>0.87873462214411258</v>
      </c>
      <c r="K26" s="342">
        <v>14.938488576449913</v>
      </c>
      <c r="L26" s="343">
        <v>28.119507908611602</v>
      </c>
      <c r="M26" s="343">
        <v>0.87873462214411258</v>
      </c>
      <c r="N26" s="343">
        <v>0</v>
      </c>
      <c r="O26" s="344">
        <v>0.1757469244288225</v>
      </c>
      <c r="P26" s="345">
        <f t="shared" si="2"/>
        <v>0.1757469244288225</v>
      </c>
      <c r="Q26" s="574">
        <f t="shared" si="0"/>
        <v>100</v>
      </c>
    </row>
    <row r="27" spans="2:27" x14ac:dyDescent="0.25">
      <c r="B27" s="721"/>
      <c r="C27" s="599" t="s">
        <v>174</v>
      </c>
      <c r="D27" s="1144" t="s">
        <v>712</v>
      </c>
      <c r="E27" s="1144" t="s">
        <v>282</v>
      </c>
      <c r="F27" s="613">
        <v>55.913947025161313</v>
      </c>
      <c r="G27" s="614">
        <v>0.28813337946131368</v>
      </c>
      <c r="H27" s="343">
        <f t="shared" si="1"/>
        <v>56.202080404622627</v>
      </c>
      <c r="I27" s="343">
        <v>3.1374050375912996</v>
      </c>
      <c r="J27" s="344">
        <v>0.26319556273780348</v>
      </c>
      <c r="K27" s="811">
        <v>26.561611107913819</v>
      </c>
      <c r="L27" s="812">
        <v>6.2022131434490708</v>
      </c>
      <c r="M27" s="343">
        <v>7.1385805333941246</v>
      </c>
      <c r="N27" s="812">
        <v>0.23480743799028247</v>
      </c>
      <c r="O27" s="344">
        <v>0.26010677230097035</v>
      </c>
      <c r="P27" s="345">
        <f t="shared" si="2"/>
        <v>0.49491421029125282</v>
      </c>
      <c r="Q27" s="574">
        <f t="shared" si="0"/>
        <v>100</v>
      </c>
    </row>
    <row r="28" spans="2:27" x14ac:dyDescent="0.25">
      <c r="B28" s="721"/>
      <c r="C28" s="599" t="s">
        <v>28</v>
      </c>
      <c r="D28" s="1144" t="s">
        <v>1145</v>
      </c>
      <c r="E28" s="1144" t="s">
        <v>282</v>
      </c>
      <c r="F28" s="613">
        <v>2.1739130434782612</v>
      </c>
      <c r="G28" s="614">
        <v>0</v>
      </c>
      <c r="H28" s="343">
        <f t="shared" si="1"/>
        <v>2.1739130434782612</v>
      </c>
      <c r="I28" s="343">
        <v>4.3478260869565224</v>
      </c>
      <c r="J28" s="344">
        <v>0</v>
      </c>
      <c r="K28" s="811">
        <v>23.913043478260875</v>
      </c>
      <c r="L28" s="812">
        <v>30.434782608695656</v>
      </c>
      <c r="M28" s="343">
        <v>17.39130434782609</v>
      </c>
      <c r="N28" s="812">
        <v>21.739130434782609</v>
      </c>
      <c r="O28" s="344">
        <v>0</v>
      </c>
      <c r="P28" s="345">
        <f t="shared" si="2"/>
        <v>21.739130434782609</v>
      </c>
      <c r="Q28" s="574">
        <f t="shared" si="0"/>
        <v>100.00000000000001</v>
      </c>
      <c r="V28" s="23"/>
    </row>
    <row r="29" spans="2:27" x14ac:dyDescent="0.25">
      <c r="B29" s="721"/>
      <c r="C29" s="599" t="s">
        <v>1037</v>
      </c>
      <c r="D29" s="1144" t="s">
        <v>712</v>
      </c>
      <c r="E29" s="1144" t="s">
        <v>282</v>
      </c>
      <c r="F29" s="613">
        <v>3.8226803456767966</v>
      </c>
      <c r="G29" s="614">
        <v>0</v>
      </c>
      <c r="H29" s="343">
        <f t="shared" si="1"/>
        <v>3.8226803456767966</v>
      </c>
      <c r="I29" s="343">
        <v>0.54820209934373443</v>
      </c>
      <c r="J29" s="344">
        <v>4.893464940326826</v>
      </c>
      <c r="K29" s="811">
        <v>31.831351880031118</v>
      </c>
      <c r="L29" s="812">
        <v>12.300658477600178</v>
      </c>
      <c r="M29" s="343">
        <v>46.44405450496005</v>
      </c>
      <c r="N29" s="812">
        <v>0</v>
      </c>
      <c r="O29" s="344">
        <v>0.15958775206129597</v>
      </c>
      <c r="P29" s="345">
        <f t="shared" si="2"/>
        <v>0.15958775206129597</v>
      </c>
      <c r="Q29" s="574">
        <f t="shared" si="0"/>
        <v>100</v>
      </c>
      <c r="V29" s="23"/>
    </row>
    <row r="30" spans="2:27" x14ac:dyDescent="0.25">
      <c r="B30" s="721"/>
      <c r="C30" s="599" t="s">
        <v>29</v>
      </c>
      <c r="D30" s="1144" t="s">
        <v>1151</v>
      </c>
      <c r="E30" s="1144" t="s">
        <v>2027</v>
      </c>
      <c r="F30" s="613">
        <v>1.0676156583629894</v>
      </c>
      <c r="G30" s="614">
        <v>0</v>
      </c>
      <c r="H30" s="343">
        <f t="shared" si="1"/>
        <v>1.0676156583629894</v>
      </c>
      <c r="I30" s="343">
        <v>3.5587188612099649</v>
      </c>
      <c r="J30" s="344">
        <v>21.352313167259787</v>
      </c>
      <c r="K30" s="811">
        <v>66.54804270462634</v>
      </c>
      <c r="L30" s="812">
        <v>4.9822064056939501</v>
      </c>
      <c r="M30" s="343">
        <v>0.71174377224199292</v>
      </c>
      <c r="N30" s="812">
        <v>1.4234875444839858</v>
      </c>
      <c r="O30" s="344">
        <v>0.35587188612099646</v>
      </c>
      <c r="P30" s="345">
        <f t="shared" si="2"/>
        <v>1.7793594306049823</v>
      </c>
      <c r="Q30" s="574">
        <f t="shared" si="0"/>
        <v>100</v>
      </c>
      <c r="V30" s="23"/>
    </row>
    <row r="31" spans="2:27" x14ac:dyDescent="0.25">
      <c r="B31" s="721"/>
      <c r="C31" s="599" t="s">
        <v>30</v>
      </c>
      <c r="D31" s="1144" t="s">
        <v>2015</v>
      </c>
      <c r="E31" s="1144" t="s">
        <v>282</v>
      </c>
      <c r="F31" s="613">
        <v>3.278688524590164</v>
      </c>
      <c r="G31" s="614">
        <v>0</v>
      </c>
      <c r="H31" s="343">
        <f t="shared" si="1"/>
        <v>3.278688524590164</v>
      </c>
      <c r="I31" s="343">
        <v>3.278688524590164</v>
      </c>
      <c r="J31" s="344">
        <v>33.606557377049171</v>
      </c>
      <c r="K31" s="811">
        <v>45.901639344262293</v>
      </c>
      <c r="L31" s="812">
        <v>10.655737704918032</v>
      </c>
      <c r="M31" s="343">
        <v>2.4590163934426226</v>
      </c>
      <c r="N31" s="812">
        <v>0.81967213114754101</v>
      </c>
      <c r="O31" s="344">
        <v>0</v>
      </c>
      <c r="P31" s="345">
        <f t="shared" si="2"/>
        <v>0.81967213114754101</v>
      </c>
      <c r="Q31" s="574">
        <f t="shared" si="0"/>
        <v>100</v>
      </c>
      <c r="V31" s="23"/>
      <c r="AA31" s="15"/>
    </row>
    <row r="32" spans="2:27" x14ac:dyDescent="0.25">
      <c r="B32" s="721"/>
      <c r="C32" s="599" t="s">
        <v>31</v>
      </c>
      <c r="D32" s="1144" t="s">
        <v>1296</v>
      </c>
      <c r="E32" s="1144" t="s">
        <v>282</v>
      </c>
      <c r="F32" s="613">
        <v>7.0270270270270272</v>
      </c>
      <c r="G32" s="614">
        <v>0</v>
      </c>
      <c r="H32" s="343">
        <f t="shared" si="1"/>
        <v>7.0270270270270272</v>
      </c>
      <c r="I32" s="343">
        <v>4.3243243243243246</v>
      </c>
      <c r="J32" s="344">
        <v>21.621621621621621</v>
      </c>
      <c r="K32" s="811">
        <v>38.378378378378372</v>
      </c>
      <c r="L32" s="812">
        <v>24.324324324324326</v>
      </c>
      <c r="M32" s="343">
        <v>3.7837837837837833</v>
      </c>
      <c r="N32" s="812">
        <v>0</v>
      </c>
      <c r="O32" s="344">
        <v>0.54054054054054057</v>
      </c>
      <c r="P32" s="345">
        <f t="shared" si="2"/>
        <v>0.54054054054054057</v>
      </c>
      <c r="Q32" s="574">
        <f t="shared" si="0"/>
        <v>100</v>
      </c>
      <c r="V32" s="23"/>
    </row>
    <row r="33" spans="2:22" x14ac:dyDescent="0.25">
      <c r="B33" s="721"/>
      <c r="C33" s="599" t="s">
        <v>32</v>
      </c>
      <c r="D33" s="1144" t="s">
        <v>1146</v>
      </c>
      <c r="E33" s="1144" t="s">
        <v>282</v>
      </c>
      <c r="F33" s="613">
        <v>0.8771929824561403</v>
      </c>
      <c r="G33" s="614">
        <v>0.8771929824561403</v>
      </c>
      <c r="H33" s="343">
        <f t="shared" si="1"/>
        <v>1.7543859649122806</v>
      </c>
      <c r="I33" s="343">
        <v>4.3859649122807012</v>
      </c>
      <c r="J33" s="344">
        <v>19.298245614035086</v>
      </c>
      <c r="K33" s="811">
        <v>18.421052631578945</v>
      </c>
      <c r="L33" s="812">
        <v>16.666666666666664</v>
      </c>
      <c r="M33" s="343">
        <v>12.280701754385962</v>
      </c>
      <c r="N33" s="812">
        <v>24.561403508771924</v>
      </c>
      <c r="O33" s="344">
        <v>2.6315789473684204</v>
      </c>
      <c r="P33" s="345">
        <f t="shared" si="2"/>
        <v>27.192982456140346</v>
      </c>
      <c r="Q33" s="574">
        <f t="shared" ref="Q33:Q70" si="3">SUM(F33:G33,I33:O33)</f>
        <v>99.999999999999986</v>
      </c>
      <c r="V33" s="23"/>
    </row>
    <row r="34" spans="2:22" x14ac:dyDescent="0.25">
      <c r="B34" s="721"/>
      <c r="C34" s="599" t="s">
        <v>33</v>
      </c>
      <c r="D34" s="1144" t="s">
        <v>1310</v>
      </c>
      <c r="E34" s="1144" t="s">
        <v>281</v>
      </c>
      <c r="F34" s="613">
        <v>0</v>
      </c>
      <c r="G34" s="614">
        <v>0</v>
      </c>
      <c r="H34" s="343">
        <f t="shared" si="1"/>
        <v>0</v>
      </c>
      <c r="I34" s="343">
        <v>15.818091942659418</v>
      </c>
      <c r="J34" s="344">
        <v>44.488383588729604</v>
      </c>
      <c r="K34" s="811">
        <v>4.448838358872961</v>
      </c>
      <c r="L34" s="812">
        <v>4.448838358872961</v>
      </c>
      <c r="M34" s="343">
        <v>3.9545229856648536</v>
      </c>
      <c r="N34" s="812">
        <v>26.198714780029658</v>
      </c>
      <c r="O34" s="344">
        <v>0.6426099851705388</v>
      </c>
      <c r="P34" s="345">
        <f t="shared" si="2"/>
        <v>26.841324765200195</v>
      </c>
      <c r="Q34" s="574">
        <f t="shared" si="3"/>
        <v>100</v>
      </c>
      <c r="V34" s="23"/>
    </row>
    <row r="35" spans="2:22" x14ac:dyDescent="0.25">
      <c r="B35" s="721"/>
      <c r="C35" s="599" t="s">
        <v>34</v>
      </c>
      <c r="D35" s="1144" t="s">
        <v>714</v>
      </c>
      <c r="E35" s="1144" t="s">
        <v>282</v>
      </c>
      <c r="F35" s="613">
        <v>3.1390134529147984</v>
      </c>
      <c r="G35" s="614">
        <v>0.44843049327354262</v>
      </c>
      <c r="H35" s="343">
        <f t="shared" si="1"/>
        <v>3.5874439461883409</v>
      </c>
      <c r="I35" s="343">
        <v>0.44843049327354262</v>
      </c>
      <c r="J35" s="344">
        <v>6.2780269058295968</v>
      </c>
      <c r="K35" s="811">
        <v>53.811659192825111</v>
      </c>
      <c r="L35" s="812">
        <v>6.2780269058295968</v>
      </c>
      <c r="M35" s="343">
        <v>27.802690582959645</v>
      </c>
      <c r="N35" s="812">
        <v>1.7937219730941705</v>
      </c>
      <c r="O35" s="344">
        <v>0</v>
      </c>
      <c r="P35" s="345">
        <f t="shared" si="2"/>
        <v>1.7937219730941705</v>
      </c>
      <c r="Q35" s="574">
        <f t="shared" si="3"/>
        <v>99.999999999999986</v>
      </c>
      <c r="V35" s="23"/>
    </row>
    <row r="36" spans="2:22" x14ac:dyDescent="0.25">
      <c r="B36" s="721"/>
      <c r="C36" s="599" t="s">
        <v>35</v>
      </c>
      <c r="D36" s="1144" t="s">
        <v>2013</v>
      </c>
      <c r="E36" s="1144" t="s">
        <v>282</v>
      </c>
      <c r="F36" s="613">
        <v>35.832946445481625</v>
      </c>
      <c r="G36" s="614">
        <v>0.30362846810510119</v>
      </c>
      <c r="H36" s="343">
        <f t="shared" si="1"/>
        <v>36.136574913586728</v>
      </c>
      <c r="I36" s="343">
        <v>8.8880297700272859</v>
      </c>
      <c r="J36" s="344">
        <v>5.0836052873689637</v>
      </c>
      <c r="K36" s="811">
        <v>28.061949828531674</v>
      </c>
      <c r="L36" s="812">
        <v>15.353322850173527</v>
      </c>
      <c r="M36" s="343">
        <v>6.3830113812854972</v>
      </c>
      <c r="N36" s="812">
        <v>0</v>
      </c>
      <c r="O36" s="344">
        <v>9.3505969026312627E-2</v>
      </c>
      <c r="P36" s="345">
        <f t="shared" si="2"/>
        <v>9.3505969026312627E-2</v>
      </c>
      <c r="Q36" s="574">
        <f t="shared" si="3"/>
        <v>99.999999999999986</v>
      </c>
      <c r="V36" s="23"/>
    </row>
    <row r="37" spans="2:22" x14ac:dyDescent="0.25">
      <c r="B37" s="721"/>
      <c r="C37" s="599" t="s">
        <v>36</v>
      </c>
      <c r="D37" s="1144" t="s">
        <v>2499</v>
      </c>
      <c r="E37" s="1144" t="s">
        <v>282</v>
      </c>
      <c r="F37" s="613">
        <v>68.396226415094347</v>
      </c>
      <c r="G37" s="614">
        <v>0.47169811320754723</v>
      </c>
      <c r="H37" s="343">
        <f t="shared" si="1"/>
        <v>68.867924528301899</v>
      </c>
      <c r="I37" s="343">
        <v>3.5377358490566038</v>
      </c>
      <c r="J37" s="344">
        <v>0</v>
      </c>
      <c r="K37" s="342">
        <v>0.94339622641509446</v>
      </c>
      <c r="L37" s="343">
        <v>8.7264150943396235</v>
      </c>
      <c r="M37" s="343">
        <v>16.509433962264154</v>
      </c>
      <c r="N37" s="343">
        <v>1.179245283018868</v>
      </c>
      <c r="O37" s="344">
        <v>0.23584905660377362</v>
      </c>
      <c r="P37" s="345">
        <f t="shared" si="2"/>
        <v>1.4150943396226416</v>
      </c>
      <c r="Q37" s="574">
        <f t="shared" si="3"/>
        <v>100.00000000000001</v>
      </c>
      <c r="V37" s="23"/>
    </row>
    <row r="38" spans="2:22" x14ac:dyDescent="0.25">
      <c r="B38" s="721"/>
      <c r="C38" s="599" t="s">
        <v>37</v>
      </c>
      <c r="D38" s="1144" t="s">
        <v>969</v>
      </c>
      <c r="E38" s="1144" t="s">
        <v>282</v>
      </c>
      <c r="F38" s="613">
        <v>6.7796610169491522</v>
      </c>
      <c r="G38" s="614">
        <v>0.24213075060532688</v>
      </c>
      <c r="H38" s="343">
        <f t="shared" si="1"/>
        <v>7.021791767554479</v>
      </c>
      <c r="I38" s="343">
        <v>8.4745762711864412</v>
      </c>
      <c r="J38" s="344">
        <v>8.2324455205811145</v>
      </c>
      <c r="K38" s="811">
        <v>50.60532687651331</v>
      </c>
      <c r="L38" s="812">
        <v>21.06537530266344</v>
      </c>
      <c r="M38" s="343">
        <v>4.358353510895884</v>
      </c>
      <c r="N38" s="812">
        <v>0.24213075060532688</v>
      </c>
      <c r="O38" s="344">
        <v>0</v>
      </c>
      <c r="P38" s="345">
        <f t="shared" si="2"/>
        <v>0.24213075060532688</v>
      </c>
      <c r="Q38" s="574">
        <f t="shared" si="3"/>
        <v>99.999999999999986</v>
      </c>
      <c r="V38" s="23"/>
    </row>
    <row r="39" spans="2:22" x14ac:dyDescent="0.25">
      <c r="B39" s="721"/>
      <c r="C39" s="599" t="s">
        <v>665</v>
      </c>
      <c r="D39" s="1144" t="s">
        <v>2016</v>
      </c>
      <c r="E39" s="1144" t="s">
        <v>281</v>
      </c>
      <c r="F39" s="613">
        <v>24.548924358084665</v>
      </c>
      <c r="G39" s="614">
        <v>4.8924358084663426</v>
      </c>
      <c r="H39" s="343">
        <f t="shared" si="1"/>
        <v>29.441360166551007</v>
      </c>
      <c r="I39" s="343">
        <v>14.104788341429565</v>
      </c>
      <c r="J39" s="344">
        <v>1.7349063150589868E-2</v>
      </c>
      <c r="K39" s="811">
        <v>6.0548230395558642</v>
      </c>
      <c r="L39" s="812">
        <v>26.110340041637752</v>
      </c>
      <c r="M39" s="343">
        <v>23.889659958362248</v>
      </c>
      <c r="N39" s="812">
        <v>0</v>
      </c>
      <c r="O39" s="344">
        <v>0.38167938931297707</v>
      </c>
      <c r="P39" s="345">
        <f t="shared" si="2"/>
        <v>0.38167938931297707</v>
      </c>
      <c r="Q39" s="574">
        <f t="shared" si="3"/>
        <v>100</v>
      </c>
    </row>
    <row r="40" spans="2:22" x14ac:dyDescent="0.25">
      <c r="B40" s="721"/>
      <c r="C40" s="599" t="s">
        <v>39</v>
      </c>
      <c r="D40" s="1144" t="s">
        <v>2500</v>
      </c>
      <c r="E40" s="1144" t="s">
        <v>282</v>
      </c>
      <c r="F40" s="613">
        <v>3.9473684210526319</v>
      </c>
      <c r="G40" s="614">
        <v>0</v>
      </c>
      <c r="H40" s="343">
        <f t="shared" si="1"/>
        <v>3.9473684210526319</v>
      </c>
      <c r="I40" s="343">
        <v>3.0701754385964914</v>
      </c>
      <c r="J40" s="344">
        <v>37.061403508771932</v>
      </c>
      <c r="K40" s="811">
        <v>35.087719298245617</v>
      </c>
      <c r="L40" s="812">
        <v>9.8684210526315805</v>
      </c>
      <c r="M40" s="343">
        <v>8.9912280701754383</v>
      </c>
      <c r="N40" s="812">
        <v>0</v>
      </c>
      <c r="O40" s="344">
        <v>1.9736842105263159</v>
      </c>
      <c r="P40" s="345">
        <f t="shared" si="2"/>
        <v>1.9736842105263159</v>
      </c>
      <c r="Q40" s="574">
        <f t="shared" si="3"/>
        <v>100</v>
      </c>
    </row>
    <row r="41" spans="2:22" x14ac:dyDescent="0.25">
      <c r="B41" s="721"/>
      <c r="C41" s="599" t="s">
        <v>205</v>
      </c>
      <c r="D41" s="1144" t="s">
        <v>2017</v>
      </c>
      <c r="E41" s="1144" t="s">
        <v>282</v>
      </c>
      <c r="F41" s="613">
        <v>22.931317900544521</v>
      </c>
      <c r="G41" s="614">
        <v>0.78279166714672455</v>
      </c>
      <c r="H41" s="343">
        <f t="shared" si="1"/>
        <v>23.714109567691246</v>
      </c>
      <c r="I41" s="343">
        <v>2.7685254539177713</v>
      </c>
      <c r="J41" s="344">
        <v>38.726974292154495</v>
      </c>
      <c r="K41" s="342">
        <v>28.526584833850734</v>
      </c>
      <c r="L41" s="343">
        <v>3.2714173057380864</v>
      </c>
      <c r="M41" s="343">
        <v>2.4373910648188164</v>
      </c>
      <c r="N41" s="343">
        <v>0</v>
      </c>
      <c r="O41" s="344">
        <v>0.55499748182886732</v>
      </c>
      <c r="P41" s="345">
        <f t="shared" si="2"/>
        <v>0.55499748182886732</v>
      </c>
      <c r="Q41" s="574">
        <f t="shared" si="3"/>
        <v>100</v>
      </c>
    </row>
    <row r="42" spans="2:22" x14ac:dyDescent="0.25">
      <c r="B42" s="721"/>
      <c r="C42" s="599" t="s">
        <v>2018</v>
      </c>
      <c r="D42" s="1144" t="s">
        <v>1147</v>
      </c>
      <c r="E42" s="1144" t="s">
        <v>282</v>
      </c>
      <c r="F42" s="613">
        <v>3.2002701812214194</v>
      </c>
      <c r="G42" s="614">
        <v>0.50359936865088606</v>
      </c>
      <c r="H42" s="343">
        <f t="shared" si="1"/>
        <v>3.7038695498723055</v>
      </c>
      <c r="I42" s="343">
        <v>52.310693923206209</v>
      </c>
      <c r="J42" s="344">
        <v>0</v>
      </c>
      <c r="K42" s="811">
        <v>0.90295582852634293</v>
      </c>
      <c r="L42" s="812">
        <v>8.1964487941224355</v>
      </c>
      <c r="M42" s="343">
        <v>34.720803507078578</v>
      </c>
      <c r="N42" s="812">
        <v>0</v>
      </c>
      <c r="O42" s="344">
        <v>0.16522839719412677</v>
      </c>
      <c r="P42" s="345">
        <f t="shared" si="2"/>
        <v>0.16522839719412677</v>
      </c>
      <c r="Q42" s="574">
        <f t="shared" si="3"/>
        <v>100.00000000000001</v>
      </c>
    </row>
    <row r="43" spans="2:22" x14ac:dyDescent="0.25">
      <c r="B43" s="721"/>
      <c r="C43" s="599" t="s">
        <v>41</v>
      </c>
      <c r="D43" s="1144" t="s">
        <v>981</v>
      </c>
      <c r="E43" s="1144" t="s">
        <v>282</v>
      </c>
      <c r="F43" s="613">
        <v>8.953669963560646</v>
      </c>
      <c r="G43" s="614">
        <v>5.2056220718375845E-2</v>
      </c>
      <c r="H43" s="343">
        <f t="shared" si="1"/>
        <v>9.0057261842790215</v>
      </c>
      <c r="I43" s="343">
        <v>4.1644976574700676</v>
      </c>
      <c r="J43" s="344">
        <v>2.8110359187922955</v>
      </c>
      <c r="K43" s="811">
        <v>25.455491931285785</v>
      </c>
      <c r="L43" s="812">
        <v>55.41384695471109</v>
      </c>
      <c r="M43" s="343">
        <v>3.1233732431025505</v>
      </c>
      <c r="N43" s="812">
        <v>0</v>
      </c>
      <c r="O43" s="344">
        <v>2.6028110359187923E-2</v>
      </c>
      <c r="P43" s="345">
        <f t="shared" si="2"/>
        <v>2.6028110359187923E-2</v>
      </c>
      <c r="Q43" s="574">
        <f t="shared" si="3"/>
        <v>100</v>
      </c>
    </row>
    <row r="44" spans="2:22" x14ac:dyDescent="0.25">
      <c r="B44" s="721"/>
      <c r="C44" s="599" t="s">
        <v>42</v>
      </c>
      <c r="D44" s="1144" t="s">
        <v>1147</v>
      </c>
      <c r="E44" s="1144" t="s">
        <v>282</v>
      </c>
      <c r="F44" s="613">
        <v>2.6049219953333438</v>
      </c>
      <c r="G44" s="614">
        <v>0.46457881182470828</v>
      </c>
      <c r="H44" s="343">
        <f t="shared" si="1"/>
        <v>3.0695008071580521</v>
      </c>
      <c r="I44" s="343">
        <v>2.7997840296487966</v>
      </c>
      <c r="J44" s="344">
        <v>8.3383555719124427</v>
      </c>
      <c r="K44" s="811">
        <v>38.552284724271743</v>
      </c>
      <c r="L44" s="812">
        <v>21.537413598650271</v>
      </c>
      <c r="M44" s="343">
        <v>25.280941317734793</v>
      </c>
      <c r="N44" s="812">
        <v>0</v>
      </c>
      <c r="O44" s="344">
        <v>0.42171995062390127</v>
      </c>
      <c r="P44" s="345">
        <f t="shared" si="2"/>
        <v>0.42171995062390127</v>
      </c>
      <c r="Q44" s="574">
        <f t="shared" si="3"/>
        <v>100</v>
      </c>
    </row>
    <row r="45" spans="2:22" x14ac:dyDescent="0.25">
      <c r="B45" s="721"/>
      <c r="C45" s="599" t="s">
        <v>43</v>
      </c>
      <c r="D45" s="1144" t="s">
        <v>2015</v>
      </c>
      <c r="E45" s="1144" t="s">
        <v>282</v>
      </c>
      <c r="F45" s="613">
        <v>0.39370078740157471</v>
      </c>
      <c r="G45" s="614">
        <v>0</v>
      </c>
      <c r="H45" s="343">
        <f t="shared" si="1"/>
        <v>0.39370078740157471</v>
      </c>
      <c r="I45" s="343">
        <v>0.39370078740157471</v>
      </c>
      <c r="J45" s="344">
        <v>19.685039370078737</v>
      </c>
      <c r="K45" s="342">
        <v>59.842519685039349</v>
      </c>
      <c r="L45" s="343">
        <v>12.204724409448817</v>
      </c>
      <c r="M45" s="343">
        <v>5.9055118110236204</v>
      </c>
      <c r="N45" s="343">
        <v>0.39370078740157471</v>
      </c>
      <c r="O45" s="344">
        <v>1.1811023622047241</v>
      </c>
      <c r="P45" s="345">
        <f t="shared" si="2"/>
        <v>1.5748031496062989</v>
      </c>
      <c r="Q45" s="574">
        <f t="shared" si="3"/>
        <v>99.999999999999957</v>
      </c>
    </row>
    <row r="46" spans="2:22" x14ac:dyDescent="0.25">
      <c r="B46" s="721"/>
      <c r="C46" s="599" t="s">
        <v>44</v>
      </c>
      <c r="D46" s="1144" t="s">
        <v>2496</v>
      </c>
      <c r="E46" s="1144" t="s">
        <v>281</v>
      </c>
      <c r="F46" s="613">
        <v>2.5761124121779866</v>
      </c>
      <c r="G46" s="614">
        <v>0</v>
      </c>
      <c r="H46" s="343">
        <f t="shared" si="1"/>
        <v>2.5761124121779866</v>
      </c>
      <c r="I46" s="343">
        <v>1.8735362997658083</v>
      </c>
      <c r="J46" s="344">
        <v>22.248243559718972</v>
      </c>
      <c r="K46" s="811">
        <v>62.060889929742387</v>
      </c>
      <c r="L46" s="812">
        <v>7.9625292740046847</v>
      </c>
      <c r="M46" s="343">
        <v>1.4051522248243562</v>
      </c>
      <c r="N46" s="812">
        <v>1.8735362997658083</v>
      </c>
      <c r="O46" s="344">
        <v>0</v>
      </c>
      <c r="P46" s="345">
        <f t="shared" si="2"/>
        <v>1.8735362997658083</v>
      </c>
      <c r="Q46" s="574">
        <f t="shared" si="3"/>
        <v>100</v>
      </c>
    </row>
    <row r="47" spans="2:22" x14ac:dyDescent="0.25">
      <c r="B47" s="721"/>
      <c r="C47" s="1145" t="s">
        <v>45</v>
      </c>
      <c r="D47" s="1144" t="s">
        <v>2501</v>
      </c>
      <c r="E47" s="1144" t="s">
        <v>281</v>
      </c>
      <c r="F47" s="613">
        <v>12.693498452012381</v>
      </c>
      <c r="G47" s="614">
        <v>0.1547987616099071</v>
      </c>
      <c r="H47" s="343">
        <f t="shared" si="1"/>
        <v>12.848297213622288</v>
      </c>
      <c r="I47" s="343">
        <v>1.8575851393188851</v>
      </c>
      <c r="J47" s="344">
        <v>27.554179566563462</v>
      </c>
      <c r="K47" s="811">
        <v>52.012383900928782</v>
      </c>
      <c r="L47" s="812">
        <v>3.7151702786377703</v>
      </c>
      <c r="M47" s="343">
        <v>1.7027863777089782</v>
      </c>
      <c r="N47" s="812">
        <v>0</v>
      </c>
      <c r="O47" s="344">
        <v>0.30959752321981421</v>
      </c>
      <c r="P47" s="345">
        <f t="shared" si="2"/>
        <v>0.30959752321981421</v>
      </c>
      <c r="Q47" s="574">
        <f t="shared" si="3"/>
        <v>99.999999999999972</v>
      </c>
    </row>
    <row r="48" spans="2:22" x14ac:dyDescent="0.25">
      <c r="B48" s="721"/>
      <c r="C48" s="599" t="s">
        <v>46</v>
      </c>
      <c r="D48" s="1144" t="s">
        <v>1146</v>
      </c>
      <c r="E48" s="1144" t="s">
        <v>282</v>
      </c>
      <c r="F48" s="613">
        <v>1.9607843137254901</v>
      </c>
      <c r="G48" s="614">
        <v>0</v>
      </c>
      <c r="H48" s="343">
        <f t="shared" si="1"/>
        <v>1.9607843137254901</v>
      </c>
      <c r="I48" s="343">
        <v>5.882352941176471</v>
      </c>
      <c r="J48" s="344">
        <v>44.44444444444445</v>
      </c>
      <c r="K48" s="811">
        <v>33.986928104575163</v>
      </c>
      <c r="L48" s="812">
        <v>12.418300653594772</v>
      </c>
      <c r="M48" s="343">
        <v>0.65359477124183019</v>
      </c>
      <c r="N48" s="812">
        <v>0.65359477124183019</v>
      </c>
      <c r="O48" s="344">
        <v>0</v>
      </c>
      <c r="P48" s="345">
        <f t="shared" si="2"/>
        <v>0.65359477124183019</v>
      </c>
      <c r="Q48" s="574">
        <f t="shared" si="3"/>
        <v>100</v>
      </c>
    </row>
    <row r="49" spans="2:22" x14ac:dyDescent="0.25">
      <c r="B49" s="721"/>
      <c r="C49" s="599" t="s">
        <v>47</v>
      </c>
      <c r="D49" s="1144" t="s">
        <v>2015</v>
      </c>
      <c r="E49" s="1144" t="s">
        <v>281</v>
      </c>
      <c r="F49" s="613">
        <v>0</v>
      </c>
      <c r="G49" s="614">
        <v>0</v>
      </c>
      <c r="H49" s="343">
        <f t="shared" si="1"/>
        <v>0</v>
      </c>
      <c r="I49" s="343">
        <v>0.77519379844961245</v>
      </c>
      <c r="J49" s="344">
        <v>16.279069767441861</v>
      </c>
      <c r="K49" s="811">
        <v>24.806201550387598</v>
      </c>
      <c r="L49" s="812">
        <v>53.488372093023258</v>
      </c>
      <c r="M49" s="343">
        <v>3.8759689922480618</v>
      </c>
      <c r="N49" s="812">
        <v>0.77519379844961245</v>
      </c>
      <c r="O49" s="344">
        <v>0</v>
      </c>
      <c r="P49" s="345">
        <f t="shared" si="2"/>
        <v>0.77519379844961245</v>
      </c>
      <c r="Q49" s="574">
        <f t="shared" si="3"/>
        <v>100</v>
      </c>
    </row>
    <row r="50" spans="2:22" x14ac:dyDescent="0.25">
      <c r="B50" s="721"/>
      <c r="C50" s="599" t="s">
        <v>48</v>
      </c>
      <c r="D50" s="1144" t="s">
        <v>1147</v>
      </c>
      <c r="E50" s="1144" t="s">
        <v>282</v>
      </c>
      <c r="F50" s="613">
        <v>5.8145567143859509</v>
      </c>
      <c r="G50" s="614">
        <v>0.22826886650995404</v>
      </c>
      <c r="H50" s="343">
        <f t="shared" si="1"/>
        <v>6.0428255808959053</v>
      </c>
      <c r="I50" s="343">
        <v>57.709280009304074</v>
      </c>
      <c r="J50" s="344">
        <v>4.726942731026095</v>
      </c>
      <c r="K50" s="811">
        <v>4.6894254301331904</v>
      </c>
      <c r="L50" s="812">
        <v>15.614932621345865</v>
      </c>
      <c r="M50" s="343">
        <v>11.036719073180686</v>
      </c>
      <c r="N50" s="812">
        <v>0.17205904180436435</v>
      </c>
      <c r="O50" s="344">
        <v>7.8155123098240034E-3</v>
      </c>
      <c r="P50" s="345">
        <f t="shared" si="2"/>
        <v>0.17987455411418835</v>
      </c>
      <c r="Q50" s="574">
        <f t="shared" si="3"/>
        <v>99.999999999999986</v>
      </c>
    </row>
    <row r="51" spans="2:22" x14ac:dyDescent="0.25">
      <c r="B51" s="721"/>
      <c r="C51" s="599" t="s">
        <v>223</v>
      </c>
      <c r="D51" s="1144" t="s">
        <v>2019</v>
      </c>
      <c r="E51" s="1144" t="s">
        <v>281</v>
      </c>
      <c r="F51" s="613">
        <v>1.6920473773265647</v>
      </c>
      <c r="G51" s="614">
        <v>0</v>
      </c>
      <c r="H51" s="343">
        <f t="shared" si="1"/>
        <v>1.6920473773265647</v>
      </c>
      <c r="I51" s="343">
        <v>7.7834179357021984</v>
      </c>
      <c r="J51" s="344">
        <v>0</v>
      </c>
      <c r="K51" s="811">
        <v>1.6920473773265647</v>
      </c>
      <c r="L51" s="812">
        <v>82.402707275803706</v>
      </c>
      <c r="M51" s="343">
        <v>4.2301184433164121</v>
      </c>
      <c r="N51" s="812">
        <v>1.8612521150592216</v>
      </c>
      <c r="O51" s="344">
        <v>0.33840947546531303</v>
      </c>
      <c r="P51" s="345">
        <f t="shared" si="2"/>
        <v>2.1996615905245345</v>
      </c>
      <c r="Q51" s="574">
        <f t="shared" si="3"/>
        <v>99.999999999999972</v>
      </c>
    </row>
    <row r="52" spans="2:22" x14ac:dyDescent="0.25">
      <c r="B52" s="721"/>
      <c r="C52" s="599" t="s">
        <v>49</v>
      </c>
      <c r="D52" s="1144" t="s">
        <v>1040</v>
      </c>
      <c r="E52" s="1144" t="s">
        <v>282</v>
      </c>
      <c r="F52" s="613">
        <v>0.77519379844961245</v>
      </c>
      <c r="G52" s="614">
        <v>0</v>
      </c>
      <c r="H52" s="343">
        <f t="shared" si="1"/>
        <v>0.77519379844961245</v>
      </c>
      <c r="I52" s="343">
        <v>2.7131782945736429</v>
      </c>
      <c r="J52" s="344">
        <v>6.5891472868217047</v>
      </c>
      <c r="K52" s="811">
        <v>45.348837209302324</v>
      </c>
      <c r="L52" s="812">
        <v>24.418604651162788</v>
      </c>
      <c r="M52" s="343">
        <v>15.891472868217054</v>
      </c>
      <c r="N52" s="812">
        <v>3.8759689922480618</v>
      </c>
      <c r="O52" s="344">
        <v>0.38759689922480622</v>
      </c>
      <c r="P52" s="345">
        <f t="shared" si="2"/>
        <v>4.2635658914728678</v>
      </c>
      <c r="Q52" s="574">
        <f t="shared" si="3"/>
        <v>99.999999999999986</v>
      </c>
    </row>
    <row r="53" spans="2:22" x14ac:dyDescent="0.25">
      <c r="B53" s="721"/>
      <c r="C53" s="599" t="s">
        <v>50</v>
      </c>
      <c r="D53" s="1144" t="s">
        <v>593</v>
      </c>
      <c r="E53" s="1144" t="s">
        <v>282</v>
      </c>
      <c r="F53" s="613">
        <v>9.32475884244373</v>
      </c>
      <c r="G53" s="614">
        <v>0.64308681672025725</v>
      </c>
      <c r="H53" s="343">
        <f t="shared" si="1"/>
        <v>9.9678456591639879</v>
      </c>
      <c r="I53" s="343">
        <v>5.4662379421221861</v>
      </c>
      <c r="J53" s="344">
        <v>1.9292604501607715</v>
      </c>
      <c r="K53" s="811">
        <v>53.697749196141473</v>
      </c>
      <c r="L53" s="812">
        <v>26.688102893890676</v>
      </c>
      <c r="M53" s="343">
        <v>1.9292604501607715</v>
      </c>
      <c r="N53" s="812">
        <v>0</v>
      </c>
      <c r="O53" s="344">
        <v>0.32154340836012862</v>
      </c>
      <c r="P53" s="345">
        <f t="shared" si="2"/>
        <v>0.32154340836012862</v>
      </c>
      <c r="Q53" s="574">
        <f t="shared" si="3"/>
        <v>99.999999999999986</v>
      </c>
    </row>
    <row r="54" spans="2:22" x14ac:dyDescent="0.25">
      <c r="B54" s="721"/>
      <c r="C54" s="599" t="s">
        <v>51</v>
      </c>
      <c r="D54" s="1144" t="s">
        <v>2013</v>
      </c>
      <c r="E54" s="1144" t="s">
        <v>282</v>
      </c>
      <c r="F54" s="613">
        <v>29.154151646004774</v>
      </c>
      <c r="G54" s="614">
        <v>7.9764131538898146</v>
      </c>
      <c r="H54" s="343">
        <f t="shared" si="1"/>
        <v>37.130564799894586</v>
      </c>
      <c r="I54" s="343">
        <v>10.044581904459056</v>
      </c>
      <c r="J54" s="344">
        <v>5.1231765228038313</v>
      </c>
      <c r="K54" s="811">
        <v>30.935326704030985</v>
      </c>
      <c r="L54" s="812">
        <v>11.037453213352178</v>
      </c>
      <c r="M54" s="343">
        <v>5.374230847553731</v>
      </c>
      <c r="N54" s="812">
        <v>0.17733300395281701</v>
      </c>
      <c r="O54" s="344">
        <v>0.17733300395281701</v>
      </c>
      <c r="P54" s="345">
        <f t="shared" si="2"/>
        <v>0.35466600790563402</v>
      </c>
      <c r="Q54" s="574">
        <f t="shared" si="3"/>
        <v>100</v>
      </c>
    </row>
    <row r="55" spans="2:22" x14ac:dyDescent="0.25">
      <c r="B55" s="721"/>
      <c r="C55" s="599" t="s">
        <v>52</v>
      </c>
      <c r="D55" s="1144" t="s">
        <v>717</v>
      </c>
      <c r="E55" s="1144" t="s">
        <v>281</v>
      </c>
      <c r="F55" s="613">
        <v>38.903394255874666</v>
      </c>
      <c r="G55" s="614">
        <v>0.52219321148825071</v>
      </c>
      <c r="H55" s="343">
        <f t="shared" si="1"/>
        <v>39.425587467362917</v>
      </c>
      <c r="I55" s="343">
        <v>4.5691906005221927</v>
      </c>
      <c r="J55" s="344">
        <v>0</v>
      </c>
      <c r="K55" s="811">
        <v>33.942558746736289</v>
      </c>
      <c r="L55" s="812">
        <v>14.751958224543079</v>
      </c>
      <c r="M55" s="343">
        <v>7.0496083550913831</v>
      </c>
      <c r="N55" s="812">
        <v>0</v>
      </c>
      <c r="O55" s="344">
        <v>0.26109660574412535</v>
      </c>
      <c r="P55" s="345">
        <f t="shared" si="2"/>
        <v>0.26109660574412535</v>
      </c>
      <c r="Q55" s="574">
        <f t="shared" si="3"/>
        <v>99.999999999999986</v>
      </c>
    </row>
    <row r="56" spans="2:22" x14ac:dyDescent="0.25">
      <c r="B56" s="721"/>
      <c r="C56" s="599" t="s">
        <v>53</v>
      </c>
      <c r="D56" s="1144" t="s">
        <v>1152</v>
      </c>
      <c r="E56" s="1144" t="s">
        <v>282</v>
      </c>
      <c r="F56" s="613">
        <v>0.60060060060060072</v>
      </c>
      <c r="G56" s="614">
        <v>0</v>
      </c>
      <c r="H56" s="343">
        <f t="shared" si="1"/>
        <v>0.60060060060060072</v>
      </c>
      <c r="I56" s="343">
        <v>1.0010010010010011</v>
      </c>
      <c r="J56" s="344">
        <v>17.517517517517518</v>
      </c>
      <c r="K56" s="811">
        <v>39.639639639639654</v>
      </c>
      <c r="L56" s="812">
        <v>40.440440440440447</v>
      </c>
      <c r="M56" s="343">
        <v>0.60060060060060072</v>
      </c>
      <c r="N56" s="812">
        <v>0</v>
      </c>
      <c r="O56" s="344">
        <v>0.20020020020020024</v>
      </c>
      <c r="P56" s="345">
        <f t="shared" si="2"/>
        <v>0.20020020020020024</v>
      </c>
      <c r="Q56" s="574">
        <f t="shared" si="3"/>
        <v>100.00000000000003</v>
      </c>
      <c r="U56" s="23"/>
      <c r="V56" s="23"/>
    </row>
    <row r="57" spans="2:22" x14ac:dyDescent="0.25">
      <c r="B57" s="721"/>
      <c r="C57" s="599" t="s">
        <v>54</v>
      </c>
      <c r="D57" s="1144" t="s">
        <v>1146</v>
      </c>
      <c r="E57" s="1144" t="s">
        <v>282</v>
      </c>
      <c r="F57" s="613">
        <v>1.9047619047619053</v>
      </c>
      <c r="G57" s="614">
        <v>0</v>
      </c>
      <c r="H57" s="343">
        <f t="shared" si="1"/>
        <v>1.9047619047619053</v>
      </c>
      <c r="I57" s="343">
        <v>5.7142857142857144</v>
      </c>
      <c r="J57" s="344">
        <v>23.809523809523814</v>
      </c>
      <c r="K57" s="811">
        <v>22.857142857142858</v>
      </c>
      <c r="L57" s="812">
        <v>11.428571428571429</v>
      </c>
      <c r="M57" s="343">
        <v>23.809523809523814</v>
      </c>
      <c r="N57" s="812">
        <v>7.6190476190476213</v>
      </c>
      <c r="O57" s="344">
        <v>2.8571428571428581</v>
      </c>
      <c r="P57" s="345">
        <f t="shared" si="2"/>
        <v>10.47619047619048</v>
      </c>
      <c r="Q57" s="574">
        <f t="shared" si="3"/>
        <v>100.00000000000001</v>
      </c>
      <c r="U57" s="23"/>
      <c r="V57" s="23"/>
    </row>
    <row r="58" spans="2:22" x14ac:dyDescent="0.25">
      <c r="B58" s="721"/>
      <c r="C58" s="599" t="s">
        <v>55</v>
      </c>
      <c r="D58" s="1144" t="s">
        <v>1034</v>
      </c>
      <c r="E58" s="1144" t="s">
        <v>281</v>
      </c>
      <c r="F58" s="613">
        <v>35.20000000000001</v>
      </c>
      <c r="G58" s="614">
        <v>0.40000000000000008</v>
      </c>
      <c r="H58" s="343">
        <f t="shared" si="1"/>
        <v>35.600000000000009</v>
      </c>
      <c r="I58" s="343">
        <v>8.4000000000000021</v>
      </c>
      <c r="J58" s="344">
        <v>1.6000000000000003</v>
      </c>
      <c r="K58" s="811">
        <v>10.000000000000002</v>
      </c>
      <c r="L58" s="812">
        <v>6.8000000000000007</v>
      </c>
      <c r="M58" s="343">
        <v>36.800000000000004</v>
      </c>
      <c r="N58" s="812">
        <v>0.80000000000000016</v>
      </c>
      <c r="O58" s="344">
        <v>0</v>
      </c>
      <c r="P58" s="345">
        <f t="shared" si="2"/>
        <v>0.80000000000000016</v>
      </c>
      <c r="Q58" s="574">
        <f t="shared" si="3"/>
        <v>100.00000000000001</v>
      </c>
      <c r="U58" s="23"/>
      <c r="V58" s="23"/>
    </row>
    <row r="59" spans="2:22" x14ac:dyDescent="0.25">
      <c r="B59" s="721"/>
      <c r="C59" s="599" t="s">
        <v>56</v>
      </c>
      <c r="D59" s="1144" t="s">
        <v>1148</v>
      </c>
      <c r="E59" s="1144" t="s">
        <v>282</v>
      </c>
      <c r="F59" s="613">
        <v>25.777777777777779</v>
      </c>
      <c r="G59" s="614">
        <v>2.6666666666666665</v>
      </c>
      <c r="H59" s="343">
        <f t="shared" si="1"/>
        <v>28.444444444444446</v>
      </c>
      <c r="I59" s="343">
        <v>2.2222222222222223</v>
      </c>
      <c r="J59" s="344">
        <v>29.777777777777782</v>
      </c>
      <c r="K59" s="811">
        <v>28.444444444444443</v>
      </c>
      <c r="L59" s="812">
        <v>7.5555555555555554</v>
      </c>
      <c r="M59" s="343">
        <v>3.5555555555555554</v>
      </c>
      <c r="N59" s="812">
        <v>0</v>
      </c>
      <c r="O59" s="344">
        <v>0</v>
      </c>
      <c r="P59" s="345">
        <f t="shared" si="2"/>
        <v>0</v>
      </c>
      <c r="Q59" s="574">
        <f t="shared" si="3"/>
        <v>100</v>
      </c>
      <c r="U59" s="116"/>
      <c r="V59" s="23"/>
    </row>
    <row r="60" spans="2:22" x14ac:dyDescent="0.25">
      <c r="B60" s="721"/>
      <c r="C60" s="599" t="s">
        <v>57</v>
      </c>
      <c r="D60" s="1144" t="s">
        <v>969</v>
      </c>
      <c r="E60" s="1144" t="s">
        <v>282</v>
      </c>
      <c r="F60" s="613">
        <v>19.277108433734938</v>
      </c>
      <c r="G60" s="614">
        <v>0</v>
      </c>
      <c r="H60" s="343">
        <f t="shared" si="1"/>
        <v>19.277108433734938</v>
      </c>
      <c r="I60" s="343">
        <v>8.8353413654618471</v>
      </c>
      <c r="J60" s="344">
        <v>2.8112449799196781</v>
      </c>
      <c r="K60" s="811">
        <v>12.449799196787147</v>
      </c>
      <c r="L60" s="812">
        <v>51.004016064257016</v>
      </c>
      <c r="M60" s="343">
        <v>4.4176706827309236</v>
      </c>
      <c r="N60" s="812">
        <v>1.2048192771084336</v>
      </c>
      <c r="O60" s="344">
        <v>0</v>
      </c>
      <c r="P60" s="345">
        <f t="shared" si="2"/>
        <v>1.2048192771084336</v>
      </c>
      <c r="Q60" s="574">
        <f t="shared" si="3"/>
        <v>99.999999999999986</v>
      </c>
      <c r="U60" s="116"/>
      <c r="V60" s="23"/>
    </row>
    <row r="61" spans="2:22" x14ac:dyDescent="0.25">
      <c r="B61" s="721"/>
      <c r="C61" s="599" t="s">
        <v>58</v>
      </c>
      <c r="D61" s="1144" t="s">
        <v>2015</v>
      </c>
      <c r="E61" s="1144" t="s">
        <v>282</v>
      </c>
      <c r="F61" s="613">
        <v>3.125</v>
      </c>
      <c r="G61" s="614">
        <v>0.28409090909090912</v>
      </c>
      <c r="H61" s="343">
        <f t="shared" si="1"/>
        <v>3.4090909090909092</v>
      </c>
      <c r="I61" s="343">
        <v>3.4090909090909087</v>
      </c>
      <c r="J61" s="344">
        <v>46.874999999999993</v>
      </c>
      <c r="K61" s="811">
        <v>25.852272727272723</v>
      </c>
      <c r="L61" s="812">
        <v>10.795454545454545</v>
      </c>
      <c r="M61" s="343">
        <v>6.8181818181818175</v>
      </c>
      <c r="N61" s="812">
        <v>0.28409090909090912</v>
      </c>
      <c r="O61" s="344">
        <v>2.5568181818181821</v>
      </c>
      <c r="P61" s="345">
        <f t="shared" si="2"/>
        <v>2.8409090909090913</v>
      </c>
      <c r="Q61" s="574">
        <f t="shared" si="3"/>
        <v>99.999999999999986</v>
      </c>
      <c r="U61" s="116"/>
      <c r="V61" s="23"/>
    </row>
    <row r="62" spans="2:22" x14ac:dyDescent="0.25">
      <c r="B62" s="721"/>
      <c r="C62" s="599" t="s">
        <v>249</v>
      </c>
      <c r="D62" s="1144" t="s">
        <v>2501</v>
      </c>
      <c r="E62" s="1144" t="s">
        <v>282</v>
      </c>
      <c r="F62" s="613">
        <v>17.521868527691968</v>
      </c>
      <c r="G62" s="614">
        <v>0</v>
      </c>
      <c r="H62" s="343">
        <f t="shared" si="1"/>
        <v>17.521868527691968</v>
      </c>
      <c r="I62" s="343">
        <v>5.9515753315250564</v>
      </c>
      <c r="J62" s="344">
        <v>9.3414476935752084</v>
      </c>
      <c r="K62" s="811">
        <v>52.687383147011559</v>
      </c>
      <c r="L62" s="812">
        <v>11.552231204085148</v>
      </c>
      <c r="M62" s="343">
        <v>1.2825549546437518</v>
      </c>
      <c r="N62" s="812">
        <v>1.6629391414673091</v>
      </c>
      <c r="O62" s="344">
        <v>0</v>
      </c>
      <c r="P62" s="345">
        <f t="shared" si="2"/>
        <v>1.6629391414673091</v>
      </c>
      <c r="Q62" s="574">
        <f t="shared" si="3"/>
        <v>100</v>
      </c>
      <c r="U62" s="116"/>
      <c r="V62" s="23"/>
    </row>
    <row r="63" spans="2:22" x14ac:dyDescent="0.25">
      <c r="B63" s="721"/>
      <c r="C63" s="599" t="s">
        <v>59</v>
      </c>
      <c r="D63" s="1144" t="s">
        <v>2013</v>
      </c>
      <c r="E63" s="1144" t="s">
        <v>282</v>
      </c>
      <c r="F63" s="613">
        <v>1.3880788930880497</v>
      </c>
      <c r="G63" s="614">
        <v>0.33858716808951739</v>
      </c>
      <c r="H63" s="343">
        <f t="shared" si="1"/>
        <v>1.726666061177567</v>
      </c>
      <c r="I63" s="343">
        <v>4.048590208189931</v>
      </c>
      <c r="J63" s="344">
        <v>5.2609799169389664</v>
      </c>
      <c r="K63" s="811">
        <v>40.08768105170536</v>
      </c>
      <c r="L63" s="812">
        <v>35.284848063607896</v>
      </c>
      <c r="M63" s="343">
        <v>12.438303629809806</v>
      </c>
      <c r="N63" s="812">
        <v>0.38732806713569679</v>
      </c>
      <c r="O63" s="344">
        <v>0.76560300143477544</v>
      </c>
      <c r="P63" s="345">
        <f t="shared" si="2"/>
        <v>1.1529310685704721</v>
      </c>
      <c r="Q63" s="574">
        <f t="shared" si="3"/>
        <v>100</v>
      </c>
      <c r="U63" s="116"/>
      <c r="V63" s="23"/>
    </row>
    <row r="64" spans="2:22" x14ac:dyDescent="0.25">
      <c r="B64" s="721"/>
      <c r="C64" s="599" t="s">
        <v>60</v>
      </c>
      <c r="D64" s="1144" t="s">
        <v>1151</v>
      </c>
      <c r="E64" s="1144" t="s">
        <v>282</v>
      </c>
      <c r="F64" s="613">
        <v>2.7932960893854748</v>
      </c>
      <c r="G64" s="614">
        <v>0</v>
      </c>
      <c r="H64" s="343">
        <f t="shared" si="1"/>
        <v>2.7932960893854748</v>
      </c>
      <c r="I64" s="343">
        <v>7.2625698324022343</v>
      </c>
      <c r="J64" s="344">
        <v>39.106145251396647</v>
      </c>
      <c r="K64" s="811">
        <v>31.284916201117312</v>
      </c>
      <c r="L64" s="812">
        <v>15.642458100558656</v>
      </c>
      <c r="M64" s="343">
        <v>3.351955307262569</v>
      </c>
      <c r="N64" s="812">
        <v>0</v>
      </c>
      <c r="O64" s="344">
        <v>0.55865921787709494</v>
      </c>
      <c r="P64" s="345">
        <f t="shared" si="2"/>
        <v>0.55865921787709494</v>
      </c>
      <c r="Q64" s="574">
        <f t="shared" si="3"/>
        <v>99.999999999999986</v>
      </c>
      <c r="U64" s="116"/>
      <c r="V64" s="23"/>
    </row>
    <row r="65" spans="2:22" x14ac:dyDescent="0.25">
      <c r="B65" s="721"/>
      <c r="C65" s="599" t="s">
        <v>61</v>
      </c>
      <c r="D65" s="1144" t="s">
        <v>2020</v>
      </c>
      <c r="E65" s="1144" t="s">
        <v>282</v>
      </c>
      <c r="F65" s="613">
        <v>0.83682008368200833</v>
      </c>
      <c r="G65" s="614">
        <v>0</v>
      </c>
      <c r="H65" s="343">
        <f t="shared" si="1"/>
        <v>0.83682008368200833</v>
      </c>
      <c r="I65" s="343">
        <v>1.6736401673640167</v>
      </c>
      <c r="J65" s="344">
        <v>34.30962343096234</v>
      </c>
      <c r="K65" s="811">
        <v>42.259414225941413</v>
      </c>
      <c r="L65" s="812">
        <v>18.410041841004183</v>
      </c>
      <c r="M65" s="343">
        <v>1.2552301255230123</v>
      </c>
      <c r="N65" s="812">
        <v>0.41841004184100417</v>
      </c>
      <c r="O65" s="344">
        <v>0.83682008368200833</v>
      </c>
      <c r="P65" s="345">
        <f t="shared" si="2"/>
        <v>1.2552301255230125</v>
      </c>
      <c r="Q65" s="574">
        <f t="shared" si="3"/>
        <v>100</v>
      </c>
      <c r="U65" s="116"/>
      <c r="V65" s="23"/>
    </row>
    <row r="66" spans="2:22" x14ac:dyDescent="0.25">
      <c r="B66" s="721"/>
      <c r="C66" s="599" t="s">
        <v>62</v>
      </c>
      <c r="D66" s="1144" t="s">
        <v>591</v>
      </c>
      <c r="E66" s="1144" t="s">
        <v>282</v>
      </c>
      <c r="F66" s="613">
        <v>35.79545454545454</v>
      </c>
      <c r="G66" s="614">
        <v>2.2727272727272729</v>
      </c>
      <c r="H66" s="343">
        <f t="shared" si="1"/>
        <v>38.068181818181813</v>
      </c>
      <c r="I66" s="343">
        <v>7.9545454545454533</v>
      </c>
      <c r="J66" s="344">
        <v>9.0909090909090917</v>
      </c>
      <c r="K66" s="811">
        <v>32.954545454545453</v>
      </c>
      <c r="L66" s="812">
        <v>4.5454545454545459</v>
      </c>
      <c r="M66" s="343">
        <v>7.3863636363636349</v>
      </c>
      <c r="N66" s="812">
        <v>0</v>
      </c>
      <c r="O66" s="344">
        <v>0</v>
      </c>
      <c r="P66" s="345">
        <f t="shared" si="2"/>
        <v>0</v>
      </c>
      <c r="Q66" s="574">
        <f t="shared" si="3"/>
        <v>100</v>
      </c>
      <c r="U66" s="116"/>
      <c r="V66" s="23"/>
    </row>
    <row r="67" spans="2:22" x14ac:dyDescent="0.25">
      <c r="B67" s="721"/>
      <c r="C67" s="599" t="s">
        <v>63</v>
      </c>
      <c r="D67" s="1144" t="s">
        <v>2021</v>
      </c>
      <c r="E67" s="1144" t="s">
        <v>281</v>
      </c>
      <c r="F67" s="613">
        <v>0</v>
      </c>
      <c r="G67" s="614">
        <v>0</v>
      </c>
      <c r="H67" s="343">
        <f t="shared" si="1"/>
        <v>0</v>
      </c>
      <c r="I67" s="343">
        <v>0</v>
      </c>
      <c r="J67" s="344">
        <v>28.571428571428569</v>
      </c>
      <c r="K67" s="811">
        <v>14.285714285714285</v>
      </c>
      <c r="L67" s="812">
        <v>42.857142857142847</v>
      </c>
      <c r="M67" s="343">
        <v>0</v>
      </c>
      <c r="N67" s="812">
        <v>14.285714285714285</v>
      </c>
      <c r="O67" s="344">
        <v>0</v>
      </c>
      <c r="P67" s="345">
        <f t="shared" si="2"/>
        <v>14.285714285714285</v>
      </c>
      <c r="Q67" s="574">
        <f t="shared" si="3"/>
        <v>99.999999999999972</v>
      </c>
      <c r="U67" s="116"/>
      <c r="V67" s="23"/>
    </row>
    <row r="68" spans="2:22" x14ac:dyDescent="0.25">
      <c r="B68" s="721"/>
      <c r="C68" s="599" t="s">
        <v>65</v>
      </c>
      <c r="D68" s="1144" t="s">
        <v>719</v>
      </c>
      <c r="E68" s="1144" t="s">
        <v>281</v>
      </c>
      <c r="F68" s="613">
        <v>5.8823529411764701</v>
      </c>
      <c r="G68" s="614">
        <v>0</v>
      </c>
      <c r="H68" s="343">
        <f t="shared" si="1"/>
        <v>5.8823529411764701</v>
      </c>
      <c r="I68" s="343">
        <v>0</v>
      </c>
      <c r="J68" s="344">
        <v>0</v>
      </c>
      <c r="K68" s="811">
        <v>23.52941176470588</v>
      </c>
      <c r="L68" s="812">
        <v>17.647058823529409</v>
      </c>
      <c r="M68" s="343">
        <v>23.52941176470588</v>
      </c>
      <c r="N68" s="812">
        <v>29.411764705882348</v>
      </c>
      <c r="O68" s="344">
        <v>0</v>
      </c>
      <c r="P68" s="345">
        <f t="shared" si="2"/>
        <v>29.411764705882348</v>
      </c>
      <c r="Q68" s="574">
        <f t="shared" si="3"/>
        <v>99.999999999999986</v>
      </c>
      <c r="U68" s="23"/>
      <c r="V68" s="23"/>
    </row>
    <row r="69" spans="2:22" x14ac:dyDescent="0.25">
      <c r="B69" s="721"/>
      <c r="C69" s="599" t="s">
        <v>66</v>
      </c>
      <c r="D69" s="1144" t="s">
        <v>1144</v>
      </c>
      <c r="E69" s="1144" t="s">
        <v>281</v>
      </c>
      <c r="F69" s="613">
        <v>26.168224299065418</v>
      </c>
      <c r="G69" s="614">
        <v>0</v>
      </c>
      <c r="H69" s="343">
        <f t="shared" si="1"/>
        <v>26.168224299065418</v>
      </c>
      <c r="I69" s="343">
        <v>19.813084112149529</v>
      </c>
      <c r="J69" s="344">
        <v>8.5981308411214936</v>
      </c>
      <c r="K69" s="811">
        <v>16.074766355140184</v>
      </c>
      <c r="L69" s="812">
        <v>16.074766355140184</v>
      </c>
      <c r="M69" s="343">
        <v>13.084112149532709</v>
      </c>
      <c r="N69" s="812">
        <v>0</v>
      </c>
      <c r="O69" s="344">
        <v>0.18691588785046728</v>
      </c>
      <c r="P69" s="345">
        <f t="shared" si="2"/>
        <v>0.18691588785046728</v>
      </c>
      <c r="Q69" s="574">
        <f t="shared" si="3"/>
        <v>99.999999999999986</v>
      </c>
    </row>
    <row r="70" spans="2:22" x14ac:dyDescent="0.25">
      <c r="B70" s="721"/>
      <c r="C70" s="599" t="s">
        <v>67</v>
      </c>
      <c r="D70" s="1144" t="s">
        <v>2022</v>
      </c>
      <c r="E70" s="1144" t="s">
        <v>281</v>
      </c>
      <c r="F70" s="613">
        <v>4.1704595426936928</v>
      </c>
      <c r="G70" s="614">
        <v>0.62534438331390396</v>
      </c>
      <c r="H70" s="343">
        <f t="shared" ref="H70:H85" si="4">(SUM(F70:G70))</f>
        <v>4.7958039260075971</v>
      </c>
      <c r="I70" s="343">
        <v>60.962061543046175</v>
      </c>
      <c r="J70" s="344">
        <v>0.40240012554369087</v>
      </c>
      <c r="K70" s="811">
        <v>2.1697807526468833</v>
      </c>
      <c r="L70" s="812">
        <v>16.061747341576936</v>
      </c>
      <c r="M70" s="343">
        <v>12.531265848043876</v>
      </c>
      <c r="N70" s="812">
        <v>2.908684292995658</v>
      </c>
      <c r="O70" s="344">
        <v>0.16825617013916289</v>
      </c>
      <c r="P70" s="345">
        <f t="shared" si="2"/>
        <v>3.0769404631348207</v>
      </c>
      <c r="Q70" s="574">
        <f t="shared" si="3"/>
        <v>99.999999999999972</v>
      </c>
    </row>
    <row r="71" spans="2:22" x14ac:dyDescent="0.25">
      <c r="B71" s="721"/>
      <c r="C71" s="599" t="s">
        <v>68</v>
      </c>
      <c r="D71" s="1144" t="s">
        <v>712</v>
      </c>
      <c r="E71" s="1144" t="s">
        <v>281</v>
      </c>
      <c r="F71" s="613">
        <v>0</v>
      </c>
      <c r="G71" s="614">
        <v>0</v>
      </c>
      <c r="H71" s="343">
        <f t="shared" si="4"/>
        <v>0</v>
      </c>
      <c r="I71" s="719">
        <v>3.4782608695652173</v>
      </c>
      <c r="J71" s="720">
        <v>2.6086956521739131</v>
      </c>
      <c r="K71" s="813">
        <v>12.17391304347826</v>
      </c>
      <c r="L71" s="814">
        <v>78.260869565217391</v>
      </c>
      <c r="M71" s="719">
        <v>0</v>
      </c>
      <c r="N71" s="814">
        <v>3.4782608695652173</v>
      </c>
      <c r="O71" s="720">
        <v>0</v>
      </c>
      <c r="P71" s="345">
        <f>SUM(O71,N71)</f>
        <v>3.4782608695652173</v>
      </c>
      <c r="Q71" s="574">
        <f>SUM(F71:G71,I71:O71)</f>
        <v>100</v>
      </c>
    </row>
    <row r="72" spans="2:22" x14ac:dyDescent="0.25">
      <c r="B72" s="721"/>
      <c r="C72" s="599" t="s">
        <v>1234</v>
      </c>
      <c r="D72" s="1144" t="s">
        <v>2023</v>
      </c>
      <c r="E72" s="1144" t="s">
        <v>281</v>
      </c>
      <c r="F72" s="613">
        <v>6.9705093833780154</v>
      </c>
      <c r="G72" s="614">
        <v>0</v>
      </c>
      <c r="H72" s="343">
        <f t="shared" si="4"/>
        <v>6.9705093833780154</v>
      </c>
      <c r="I72" s="343">
        <v>61.126005361930289</v>
      </c>
      <c r="J72" s="344">
        <v>0</v>
      </c>
      <c r="K72" s="811">
        <v>2.4128686327077746</v>
      </c>
      <c r="L72" s="812">
        <v>23.860589812332439</v>
      </c>
      <c r="M72" s="343">
        <v>5.6300268096514738</v>
      </c>
      <c r="N72" s="812">
        <v>0</v>
      </c>
      <c r="O72" s="344">
        <v>0</v>
      </c>
      <c r="P72" s="345">
        <f>SUM(O72,N72)</f>
        <v>0</v>
      </c>
      <c r="Q72" s="574">
        <f>SUM(F72:G72,I72:O72)</f>
        <v>99.999999999999972</v>
      </c>
    </row>
    <row r="73" spans="2:22" x14ac:dyDescent="0.25">
      <c r="B73" s="721"/>
      <c r="C73" s="599" t="s">
        <v>69</v>
      </c>
      <c r="D73" s="1144" t="s">
        <v>969</v>
      </c>
      <c r="E73" s="1144" t="s">
        <v>282</v>
      </c>
      <c r="F73" s="613">
        <v>3.0303030303030298</v>
      </c>
      <c r="G73" s="614">
        <v>0</v>
      </c>
      <c r="H73" s="343">
        <f t="shared" si="4"/>
        <v>3.0303030303030298</v>
      </c>
      <c r="I73" s="343">
        <v>67.171717171717177</v>
      </c>
      <c r="J73" s="344">
        <v>0.50505050505050508</v>
      </c>
      <c r="K73" s="811">
        <v>4.5454545454545459</v>
      </c>
      <c r="L73" s="812">
        <v>7.0707070707070701</v>
      </c>
      <c r="M73" s="343">
        <v>14.14141414141414</v>
      </c>
      <c r="N73" s="812">
        <v>3.535353535353535</v>
      </c>
      <c r="O73" s="344">
        <v>0</v>
      </c>
      <c r="P73" s="345">
        <f>SUM(O73,N73)</f>
        <v>3.535353535353535</v>
      </c>
      <c r="Q73" s="574">
        <f>SUM(F73:G73,I73:O73)</f>
        <v>100.00000000000001</v>
      </c>
    </row>
    <row r="74" spans="2:22" x14ac:dyDescent="0.25">
      <c r="B74" s="721"/>
      <c r="C74" s="599" t="s">
        <v>70</v>
      </c>
      <c r="D74" s="1144" t="s">
        <v>593</v>
      </c>
      <c r="E74" s="1144" t="s">
        <v>282</v>
      </c>
      <c r="F74" s="613">
        <v>9.2592592592592577</v>
      </c>
      <c r="G74" s="614">
        <v>0</v>
      </c>
      <c r="H74" s="343">
        <f t="shared" si="4"/>
        <v>9.2592592592592577</v>
      </c>
      <c r="I74" s="343">
        <v>2.5925925925925921</v>
      </c>
      <c r="J74" s="344">
        <v>20.740740740740737</v>
      </c>
      <c r="K74" s="811">
        <v>36.666666666666664</v>
      </c>
      <c r="L74" s="812">
        <v>15.185185185185182</v>
      </c>
      <c r="M74" s="343">
        <v>14.444444444444443</v>
      </c>
      <c r="N74" s="812">
        <v>1.1111111111111109</v>
      </c>
      <c r="O74" s="344">
        <v>0</v>
      </c>
      <c r="P74" s="345">
        <f>SUM(O74,N74)</f>
        <v>1.1111111111111109</v>
      </c>
      <c r="Q74" s="574">
        <f>SUM(F74:G74,I74:O74)</f>
        <v>99.999999999999986</v>
      </c>
    </row>
    <row r="75" spans="2:22" x14ac:dyDescent="0.25">
      <c r="B75" s="721"/>
      <c r="C75" s="599" t="s">
        <v>71</v>
      </c>
      <c r="D75" s="1144" t="s">
        <v>610</v>
      </c>
      <c r="E75" s="1144" t="s">
        <v>282</v>
      </c>
      <c r="F75" s="613">
        <v>6.0000000000000009</v>
      </c>
      <c r="G75" s="614">
        <v>0</v>
      </c>
      <c r="H75" s="343">
        <f t="shared" si="4"/>
        <v>6.0000000000000009</v>
      </c>
      <c r="I75" s="343">
        <v>8</v>
      </c>
      <c r="J75" s="344">
        <v>25.333333333333329</v>
      </c>
      <c r="K75" s="811">
        <v>48.000000000000007</v>
      </c>
      <c r="L75" s="812">
        <v>9.3333333333333321</v>
      </c>
      <c r="M75" s="343">
        <v>0.66666666666666674</v>
      </c>
      <c r="N75" s="812">
        <v>0.66666666666666674</v>
      </c>
      <c r="O75" s="344">
        <v>2</v>
      </c>
      <c r="P75" s="345">
        <f>SUM(O75,N75)</f>
        <v>2.666666666666667</v>
      </c>
      <c r="Q75" s="574">
        <f>SUM(F75:G75,I75:O75)</f>
        <v>100.00000000000001</v>
      </c>
    </row>
    <row r="76" spans="2:22" x14ac:dyDescent="0.25">
      <c r="B76" s="721"/>
      <c r="C76" s="599" t="s">
        <v>72</v>
      </c>
      <c r="D76" s="1144" t="s">
        <v>981</v>
      </c>
      <c r="E76" s="1144" t="s">
        <v>282</v>
      </c>
      <c r="F76" s="613">
        <v>3.6649214659685869</v>
      </c>
      <c r="G76" s="614">
        <v>0.52356020942408388</v>
      </c>
      <c r="H76" s="343">
        <f t="shared" si="4"/>
        <v>4.188481675392671</v>
      </c>
      <c r="I76" s="343">
        <v>3.6649214659685869</v>
      </c>
      <c r="J76" s="344">
        <v>20.41884816753927</v>
      </c>
      <c r="K76" s="811">
        <v>31.413612565445032</v>
      </c>
      <c r="L76" s="812">
        <v>10.994764397905762</v>
      </c>
      <c r="M76" s="343">
        <v>26.178010471204193</v>
      </c>
      <c r="N76" s="812">
        <v>2.0942408376963355</v>
      </c>
      <c r="O76" s="344">
        <v>1.0471204188481678</v>
      </c>
      <c r="P76" s="345"/>
      <c r="Q76" s="574"/>
    </row>
    <row r="77" spans="2:22" x14ac:dyDescent="0.25">
      <c r="B77" s="721"/>
      <c r="C77" s="599" t="s">
        <v>267</v>
      </c>
      <c r="D77" s="1144" t="s">
        <v>1147</v>
      </c>
      <c r="E77" s="1144" t="s">
        <v>2028</v>
      </c>
      <c r="F77" s="613">
        <v>2.306436230530811</v>
      </c>
      <c r="G77" s="614">
        <v>0.23375320157046706</v>
      </c>
      <c r="H77" s="343">
        <f t="shared" si="4"/>
        <v>2.5401894321012781</v>
      </c>
      <c r="I77" s="343">
        <v>46.629600241082478</v>
      </c>
      <c r="J77" s="344">
        <v>1.7907429904855492</v>
      </c>
      <c r="K77" s="811">
        <v>2.1868254291125861</v>
      </c>
      <c r="L77" s="812">
        <v>44.2607078996095</v>
      </c>
      <c r="M77" s="343">
        <v>2.0636626948985817</v>
      </c>
      <c r="N77" s="812">
        <v>0.47155625393390166</v>
      </c>
      <c r="O77" s="344">
        <v>5.6715058776110022E-2</v>
      </c>
      <c r="P77" s="345"/>
      <c r="Q77" s="574"/>
    </row>
    <row r="78" spans="2:22" x14ac:dyDescent="0.25">
      <c r="B78" s="721"/>
      <c r="C78" s="599" t="s">
        <v>73</v>
      </c>
      <c r="D78" s="1144" t="s">
        <v>2498</v>
      </c>
      <c r="E78" s="1144" t="s">
        <v>282</v>
      </c>
      <c r="F78" s="613">
        <v>4.9019336730108467</v>
      </c>
      <c r="G78" s="614">
        <v>0.2706589144607216</v>
      </c>
      <c r="H78" s="343">
        <f t="shared" si="4"/>
        <v>5.1725925874715681</v>
      </c>
      <c r="I78" s="343">
        <v>4.8718604602929894</v>
      </c>
      <c r="J78" s="344">
        <v>31.58689775799014</v>
      </c>
      <c r="K78" s="811">
        <v>36.037733240233123</v>
      </c>
      <c r="L78" s="812">
        <v>5.0122021196429927</v>
      </c>
      <c r="M78" s="343">
        <v>10.405331600378855</v>
      </c>
      <c r="N78" s="812">
        <v>0</v>
      </c>
      <c r="O78" s="344">
        <v>6.913382233990335</v>
      </c>
      <c r="P78" s="345"/>
      <c r="Q78" s="574"/>
    </row>
    <row r="79" spans="2:22" x14ac:dyDescent="0.25">
      <c r="B79" s="721"/>
      <c r="C79" s="599" t="s">
        <v>272</v>
      </c>
      <c r="D79" s="1144" t="s">
        <v>2024</v>
      </c>
      <c r="E79" s="1144" t="s">
        <v>282</v>
      </c>
      <c r="F79" s="613">
        <v>1.6404572710489018</v>
      </c>
      <c r="G79" s="614">
        <v>0</v>
      </c>
      <c r="H79" s="343">
        <f t="shared" si="4"/>
        <v>1.6404572710489018</v>
      </c>
      <c r="I79" s="343">
        <v>24.396101480415673</v>
      </c>
      <c r="J79" s="344">
        <v>0.22292120820961445</v>
      </c>
      <c r="K79" s="811">
        <v>5.3957246649828879E-2</v>
      </c>
      <c r="L79" s="812">
        <v>13.235572754317158</v>
      </c>
      <c r="M79" s="343">
        <v>58.135912868492099</v>
      </c>
      <c r="N79" s="812">
        <v>0</v>
      </c>
      <c r="O79" s="344">
        <v>2.3150771708667155</v>
      </c>
      <c r="P79" s="345"/>
      <c r="Q79" s="574"/>
    </row>
    <row r="80" spans="2:22" x14ac:dyDescent="0.25">
      <c r="B80" s="721"/>
      <c r="C80" s="599" t="s">
        <v>74</v>
      </c>
      <c r="D80" s="1144" t="s">
        <v>718</v>
      </c>
      <c r="E80" s="1144" t="s">
        <v>282</v>
      </c>
      <c r="F80" s="613">
        <v>3.4603786642938346</v>
      </c>
      <c r="G80" s="614">
        <v>0.24716990459241681</v>
      </c>
      <c r="H80" s="343">
        <f t="shared" si="4"/>
        <v>3.7075485688862515</v>
      </c>
      <c r="I80" s="343">
        <v>80.083049087943039</v>
      </c>
      <c r="J80" s="344">
        <v>0.24716990459241681</v>
      </c>
      <c r="K80" s="811">
        <v>4.2018883780710858</v>
      </c>
      <c r="L80" s="812">
        <v>3.7075485688862519</v>
      </c>
      <c r="M80" s="343">
        <v>3.6581145879677681</v>
      </c>
      <c r="N80" s="812">
        <v>4.2018883780710858</v>
      </c>
      <c r="O80" s="344">
        <v>0.19279252558208509</v>
      </c>
      <c r="P80" s="345"/>
      <c r="Q80" s="574"/>
    </row>
    <row r="81" spans="2:17" x14ac:dyDescent="0.25">
      <c r="B81" s="721"/>
      <c r="C81" s="599" t="s">
        <v>278</v>
      </c>
      <c r="D81" s="1144" t="s">
        <v>2025</v>
      </c>
      <c r="E81" s="1144" t="s">
        <v>282</v>
      </c>
      <c r="F81" s="613">
        <v>27.52613240418118</v>
      </c>
      <c r="G81" s="614">
        <v>1.3937282229965158</v>
      </c>
      <c r="H81" s="343">
        <f t="shared" si="4"/>
        <v>28.919860627177695</v>
      </c>
      <c r="I81" s="343">
        <v>6.2717770034843205</v>
      </c>
      <c r="J81" s="344">
        <v>0</v>
      </c>
      <c r="K81" s="811">
        <v>24.390243902439021</v>
      </c>
      <c r="L81" s="812">
        <v>26.132404181184665</v>
      </c>
      <c r="M81" s="343">
        <v>12.543554006968641</v>
      </c>
      <c r="N81" s="812">
        <v>1.7421602787456445</v>
      </c>
      <c r="O81" s="344">
        <v>0</v>
      </c>
      <c r="P81" s="345"/>
      <c r="Q81" s="574"/>
    </row>
    <row r="82" spans="2:17" x14ac:dyDescent="0.25">
      <c r="B82" s="721"/>
      <c r="C82" s="599" t="s">
        <v>75</v>
      </c>
      <c r="D82" s="1144" t="s">
        <v>2502</v>
      </c>
      <c r="E82" s="1144" t="s">
        <v>282</v>
      </c>
      <c r="F82" s="613">
        <v>5.0847457627118642</v>
      </c>
      <c r="G82" s="614">
        <v>0.24213075060532685</v>
      </c>
      <c r="H82" s="343">
        <f t="shared" si="4"/>
        <v>5.3268765133171909</v>
      </c>
      <c r="I82" s="343">
        <v>49.152542372881349</v>
      </c>
      <c r="J82" s="344">
        <v>0.24213075060532685</v>
      </c>
      <c r="K82" s="811">
        <v>2.9055690072639218</v>
      </c>
      <c r="L82" s="812">
        <v>20.82324455205811</v>
      </c>
      <c r="M82" s="343">
        <v>21.065375302663437</v>
      </c>
      <c r="N82" s="812">
        <v>0</v>
      </c>
      <c r="O82" s="344">
        <v>0.4842615012106537</v>
      </c>
      <c r="P82" s="345"/>
      <c r="Q82" s="574"/>
    </row>
    <row r="83" spans="2:17" x14ac:dyDescent="0.25">
      <c r="B83" s="721"/>
      <c r="C83" s="599" t="s">
        <v>77</v>
      </c>
      <c r="D83" s="1144" t="s">
        <v>605</v>
      </c>
      <c r="E83" s="1144" t="s">
        <v>281</v>
      </c>
      <c r="F83" s="613">
        <v>7.8767123287671215</v>
      </c>
      <c r="G83" s="614">
        <v>0.34246575342465752</v>
      </c>
      <c r="H83" s="343">
        <f t="shared" si="4"/>
        <v>8.2191780821917781</v>
      </c>
      <c r="I83" s="343">
        <v>20.205479452054796</v>
      </c>
      <c r="J83" s="344">
        <v>2.054794520547945</v>
      </c>
      <c r="K83" s="811">
        <v>14.383561643835616</v>
      </c>
      <c r="L83" s="812">
        <v>39.726027397260268</v>
      </c>
      <c r="M83" s="343">
        <v>1.7123287671232876</v>
      </c>
      <c r="N83" s="812">
        <v>13.698630136986301</v>
      </c>
      <c r="O83" s="344">
        <v>0</v>
      </c>
      <c r="P83" s="345"/>
      <c r="Q83" s="574"/>
    </row>
    <row r="84" spans="2:17" x14ac:dyDescent="0.25">
      <c r="B84" s="721"/>
      <c r="C84" s="599" t="s">
        <v>78</v>
      </c>
      <c r="D84" s="1144" t="s">
        <v>1146</v>
      </c>
      <c r="E84" s="1144" t="s">
        <v>282</v>
      </c>
      <c r="F84" s="613">
        <v>2.6392961876832843</v>
      </c>
      <c r="G84" s="614">
        <v>0</v>
      </c>
      <c r="H84" s="343">
        <f t="shared" si="4"/>
        <v>2.6392961876832843</v>
      </c>
      <c r="I84" s="343">
        <v>1.4662756598240467</v>
      </c>
      <c r="J84" s="344">
        <v>17.888563049853371</v>
      </c>
      <c r="K84" s="811">
        <v>52.785923753665685</v>
      </c>
      <c r="L84" s="812">
        <v>14.369501466275661</v>
      </c>
      <c r="M84" s="343">
        <v>8.7976539589442808</v>
      </c>
      <c r="N84" s="812">
        <v>1.1730205278592376</v>
      </c>
      <c r="O84" s="344">
        <v>0.87976539589442804</v>
      </c>
      <c r="P84" s="345"/>
      <c r="Q84" s="574"/>
    </row>
    <row r="85" spans="2:17" x14ac:dyDescent="0.25">
      <c r="B85" s="721"/>
      <c r="C85" s="599" t="s">
        <v>79</v>
      </c>
      <c r="D85" s="1144" t="s">
        <v>591</v>
      </c>
      <c r="E85" s="1144" t="s">
        <v>282</v>
      </c>
      <c r="F85" s="613">
        <v>2.6832861017204408</v>
      </c>
      <c r="G85" s="614">
        <v>1.3018339213395727E-2</v>
      </c>
      <c r="H85" s="343">
        <f t="shared" si="4"/>
        <v>2.6963044409338366</v>
      </c>
      <c r="I85" s="343">
        <v>39.214495301987832</v>
      </c>
      <c r="J85" s="344">
        <v>0.46768690664998169</v>
      </c>
      <c r="K85" s="811">
        <v>3.3019991212744988</v>
      </c>
      <c r="L85" s="812">
        <v>26.885809333652862</v>
      </c>
      <c r="M85" s="343">
        <v>27.186997513584082</v>
      </c>
      <c r="N85" s="812">
        <v>0.11511899135621438</v>
      </c>
      <c r="O85" s="344">
        <v>0.13158839056069388</v>
      </c>
      <c r="P85" s="345"/>
      <c r="Q85" s="574"/>
    </row>
  </sheetData>
  <mergeCells count="2">
    <mergeCell ref="F3:J3"/>
    <mergeCell ref="K3:P3"/>
  </mergeCell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28" id="{C8C331F9-EAB9-4AE4-AB8B-EA69C5953532}">
            <x14:iconSet showValue="0" custom="1">
              <x14:cfvo type="percent">
                <xm:f>0</xm:f>
              </x14:cfvo>
              <x14:cfvo type="num">
                <xm:f>4.5999999999999996</xm:f>
              </x14:cfvo>
              <x14:cfvo type="num">
                <xm:f>7</xm:f>
              </x14:cfvo>
              <x14:cfIcon iconSet="3TrafficLights1" iconId="2"/>
              <x14:cfIcon iconSet="3TrafficLights1" iconId="1"/>
              <x14:cfIcon iconSet="3TrafficLights1" iconId="0"/>
            </x14:iconSet>
          </x14:cfRule>
          <xm:sqref>B5:B25 B27:B36 B38:B40 B42:B44 B46:B56 B59:B72</xm:sqref>
        </x14:conditionalFormatting>
        <x14:conditionalFormatting xmlns:xm="http://schemas.microsoft.com/office/excel/2006/main">
          <x14:cfRule type="iconSet" priority="6" id="{2522AAF2-B974-412B-BEB7-DB473280CD88}">
            <x14:iconSet showValue="0" custom="1">
              <x14:cfvo type="percent">
                <xm:f>0</xm:f>
              </x14:cfvo>
              <x14:cfvo type="num">
                <xm:f>4.5999999999999996</xm:f>
              </x14:cfvo>
              <x14:cfvo type="num">
                <xm:f>7</xm:f>
              </x14:cfvo>
              <x14:cfIcon iconSet="3TrafficLights1" iconId="2"/>
              <x14:cfIcon iconSet="3TrafficLights1" iconId="1"/>
              <x14:cfIcon iconSet="3TrafficLights1" iconId="0"/>
            </x14:iconSet>
          </x14:cfRule>
          <xm:sqref>B26</xm:sqref>
        </x14:conditionalFormatting>
        <x14:conditionalFormatting xmlns:xm="http://schemas.microsoft.com/office/excel/2006/main">
          <x14:cfRule type="iconSet" priority="5" id="{70E4D23D-0033-428E-A74E-018E4ADDBA6D}">
            <x14:iconSet showValue="0" custom="1">
              <x14:cfvo type="percent">
                <xm:f>0</xm:f>
              </x14:cfvo>
              <x14:cfvo type="num">
                <xm:f>4.5999999999999996</xm:f>
              </x14:cfvo>
              <x14:cfvo type="num">
                <xm:f>7</xm:f>
              </x14:cfvo>
              <x14:cfIcon iconSet="3TrafficLights1" iconId="2"/>
              <x14:cfIcon iconSet="3TrafficLights1" iconId="1"/>
              <x14:cfIcon iconSet="3TrafficLights1" iconId="0"/>
            </x14:iconSet>
          </x14:cfRule>
          <xm:sqref>B37</xm:sqref>
        </x14:conditionalFormatting>
        <x14:conditionalFormatting xmlns:xm="http://schemas.microsoft.com/office/excel/2006/main">
          <x14:cfRule type="iconSet" priority="4" id="{1FEFE86F-AFE9-469E-B3FE-0ADE352B9012}">
            <x14:iconSet showValue="0" custom="1">
              <x14:cfvo type="percent">
                <xm:f>0</xm:f>
              </x14:cfvo>
              <x14:cfvo type="num">
                <xm:f>4.5999999999999996</xm:f>
              </x14:cfvo>
              <x14:cfvo type="num">
                <xm:f>7</xm:f>
              </x14:cfvo>
              <x14:cfIcon iconSet="3TrafficLights1" iconId="2"/>
              <x14:cfIcon iconSet="3TrafficLights1" iconId="1"/>
              <x14:cfIcon iconSet="3TrafficLights1" iconId="0"/>
            </x14:iconSet>
          </x14:cfRule>
          <xm:sqref>B41</xm:sqref>
        </x14:conditionalFormatting>
        <x14:conditionalFormatting xmlns:xm="http://schemas.microsoft.com/office/excel/2006/main">
          <x14:cfRule type="iconSet" priority="3" id="{CB627C34-4375-44EB-82B5-7888D868A21E}">
            <x14:iconSet showValue="0" custom="1">
              <x14:cfvo type="percent">
                <xm:f>0</xm:f>
              </x14:cfvo>
              <x14:cfvo type="num">
                <xm:f>4.5999999999999996</xm:f>
              </x14:cfvo>
              <x14:cfvo type="num">
                <xm:f>7</xm:f>
              </x14:cfvo>
              <x14:cfIcon iconSet="3TrafficLights1" iconId="2"/>
              <x14:cfIcon iconSet="3TrafficLights1" iconId="1"/>
              <x14:cfIcon iconSet="3TrafficLights1" iconId="0"/>
            </x14:iconSet>
          </x14:cfRule>
          <xm:sqref>B45</xm:sqref>
        </x14:conditionalFormatting>
        <x14:conditionalFormatting xmlns:xm="http://schemas.microsoft.com/office/excel/2006/main">
          <x14:cfRule type="iconSet" priority="2" id="{A085E883-6D8C-4764-AA08-81360118BF7D}">
            <x14:iconSet showValue="0" custom="1">
              <x14:cfvo type="percent">
                <xm:f>0</xm:f>
              </x14:cfvo>
              <x14:cfvo type="num">
                <xm:f>4.5999999999999996</xm:f>
              </x14:cfvo>
              <x14:cfvo type="num">
                <xm:f>7</xm:f>
              </x14:cfvo>
              <x14:cfIcon iconSet="3TrafficLights1" iconId="2"/>
              <x14:cfIcon iconSet="3TrafficLights1" iconId="1"/>
              <x14:cfIcon iconSet="3TrafficLights1" iconId="0"/>
            </x14:iconSet>
          </x14:cfRule>
          <xm:sqref>B57:B58</xm:sqref>
        </x14:conditionalFormatting>
        <x14:conditionalFormatting xmlns:xm="http://schemas.microsoft.com/office/excel/2006/main">
          <x14:cfRule type="iconSet" priority="1" id="{AB37799E-E9AE-42D5-8FC3-9B140CA6ED6C}">
            <x14:iconSet showValue="0" custom="1">
              <x14:cfvo type="percent">
                <xm:f>0</xm:f>
              </x14:cfvo>
              <x14:cfvo type="num">
                <xm:f>4.5999999999999996</xm:f>
              </x14:cfvo>
              <x14:cfvo type="num">
                <xm:f>7</xm:f>
              </x14:cfvo>
              <x14:cfIcon iconSet="3TrafficLights1" iconId="2"/>
              <x14:cfIcon iconSet="3TrafficLights1" iconId="1"/>
              <x14:cfIcon iconSet="3TrafficLights1" iconId="0"/>
            </x14:iconSet>
          </x14:cfRule>
          <xm:sqref>B73:B85</xm:sqref>
        </x14:conditionalFormatting>
      </x14:conditionalFormatting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9D09F-6C4D-4040-B919-C341FBF26C83}">
  <sheetPr codeName="Sheet33">
    <tabColor theme="7"/>
  </sheetPr>
  <dimension ref="A1:BL198"/>
  <sheetViews>
    <sheetView showGridLines="0" workbookViewId="0">
      <selection activeCell="D8" sqref="D8"/>
    </sheetView>
  </sheetViews>
  <sheetFormatPr defaultRowHeight="15" x14ac:dyDescent="0.25"/>
  <cols>
    <col min="1" max="1" width="31.5703125" customWidth="1"/>
    <col min="4" max="4" width="10.5703125" bestFit="1" customWidth="1"/>
  </cols>
  <sheetData>
    <row r="1" spans="1:64" x14ac:dyDescent="0.25">
      <c r="A1" s="826" t="s">
        <v>2503</v>
      </c>
    </row>
    <row r="2" spans="1:64" x14ac:dyDescent="0.25">
      <c r="A2" t="s">
        <v>1048</v>
      </c>
      <c r="B2" t="s">
        <v>1049</v>
      </c>
      <c r="C2" t="s">
        <v>1050</v>
      </c>
      <c r="D2">
        <v>1970</v>
      </c>
      <c r="E2">
        <v>1971</v>
      </c>
      <c r="F2">
        <v>1972</v>
      </c>
      <c r="G2">
        <v>1973</v>
      </c>
      <c r="H2">
        <v>1974</v>
      </c>
      <c r="I2">
        <v>1975</v>
      </c>
      <c r="J2">
        <v>1976</v>
      </c>
      <c r="K2">
        <v>1977</v>
      </c>
      <c r="L2">
        <v>1978</v>
      </c>
      <c r="M2">
        <v>1979</v>
      </c>
      <c r="N2">
        <v>1980</v>
      </c>
      <c r="O2">
        <v>1981</v>
      </c>
      <c r="P2">
        <v>1982</v>
      </c>
      <c r="Q2">
        <v>1983</v>
      </c>
      <c r="R2">
        <v>1984</v>
      </c>
      <c r="S2">
        <v>1985</v>
      </c>
      <c r="T2">
        <v>1986</v>
      </c>
      <c r="U2">
        <v>1987</v>
      </c>
      <c r="V2">
        <v>1988</v>
      </c>
      <c r="W2">
        <v>1989</v>
      </c>
      <c r="X2">
        <v>1990</v>
      </c>
      <c r="Y2">
        <v>1991</v>
      </c>
      <c r="Z2">
        <v>1992</v>
      </c>
      <c r="AA2">
        <v>1993</v>
      </c>
      <c r="AB2">
        <v>1994</v>
      </c>
      <c r="AC2">
        <v>1995</v>
      </c>
      <c r="AD2">
        <v>1996</v>
      </c>
      <c r="AE2">
        <v>1997</v>
      </c>
      <c r="AF2">
        <v>1998</v>
      </c>
      <c r="AG2">
        <v>1999</v>
      </c>
      <c r="AH2">
        <v>2000</v>
      </c>
      <c r="AI2">
        <v>2001</v>
      </c>
      <c r="AJ2">
        <v>2002</v>
      </c>
      <c r="AK2">
        <v>2003</v>
      </c>
      <c r="AL2">
        <v>2004</v>
      </c>
      <c r="AM2">
        <v>2005</v>
      </c>
      <c r="AN2">
        <v>2006</v>
      </c>
      <c r="AO2">
        <v>2007</v>
      </c>
      <c r="AP2">
        <v>2008</v>
      </c>
      <c r="AQ2">
        <v>2009</v>
      </c>
      <c r="AR2">
        <v>2010</v>
      </c>
      <c r="AS2">
        <v>2011</v>
      </c>
      <c r="AT2">
        <v>2012</v>
      </c>
      <c r="AU2">
        <v>2013</v>
      </c>
      <c r="AV2">
        <v>2014</v>
      </c>
      <c r="AW2">
        <v>2015</v>
      </c>
      <c r="AX2">
        <v>2016</v>
      </c>
      <c r="AY2">
        <v>2017</v>
      </c>
      <c r="AZ2">
        <v>2018</v>
      </c>
      <c r="BA2">
        <v>2019</v>
      </c>
      <c r="BB2">
        <v>2020</v>
      </c>
      <c r="BC2">
        <v>2021</v>
      </c>
      <c r="BD2">
        <v>2022</v>
      </c>
      <c r="BE2">
        <v>2023</v>
      </c>
      <c r="BF2">
        <v>2024</v>
      </c>
      <c r="BG2">
        <v>2025</v>
      </c>
      <c r="BH2">
        <v>2026</v>
      </c>
      <c r="BI2">
        <v>2027</v>
      </c>
      <c r="BJ2">
        <v>2028</v>
      </c>
      <c r="BK2">
        <v>2029</v>
      </c>
      <c r="BL2">
        <v>2030</v>
      </c>
    </row>
    <row r="3" spans="1:64" x14ac:dyDescent="0.25">
      <c r="A3" s="860" t="s">
        <v>11</v>
      </c>
      <c r="B3" s="1">
        <v>4</v>
      </c>
      <c r="C3" s="119">
        <v>0.5</v>
      </c>
      <c r="D3" s="119">
        <v>1.14957095555978E-2</v>
      </c>
      <c r="E3" s="119">
        <v>1.2334475311732099E-2</v>
      </c>
      <c r="F3" s="119">
        <v>1.3290632150022101E-2</v>
      </c>
      <c r="G3" s="119">
        <v>1.43536852160208E-2</v>
      </c>
      <c r="H3" s="119">
        <v>1.55427670508808E-2</v>
      </c>
      <c r="I3" s="119">
        <v>1.6776592191612E-2</v>
      </c>
      <c r="J3" s="119">
        <v>1.7981454710598799E-2</v>
      </c>
      <c r="K3" s="119">
        <v>1.9476025819570499E-2</v>
      </c>
      <c r="L3" s="119">
        <v>2.10825842059238E-2</v>
      </c>
      <c r="M3" s="119">
        <v>2.28860014418363E-2</v>
      </c>
      <c r="N3" s="119">
        <v>2.4530484172031599E-2</v>
      </c>
      <c r="O3" s="119">
        <v>2.63817635908506E-2</v>
      </c>
      <c r="P3" s="119">
        <v>2.8315339698833399E-2</v>
      </c>
      <c r="Q3" s="119">
        <v>3.0290010661290299E-2</v>
      </c>
      <c r="R3" s="119">
        <v>3.29199225818603E-2</v>
      </c>
      <c r="S3" s="119">
        <v>3.5611665572167599E-2</v>
      </c>
      <c r="T3" s="119">
        <v>3.8308841770549398E-2</v>
      </c>
      <c r="U3" s="119">
        <v>4.0998793218229898E-2</v>
      </c>
      <c r="V3" s="119">
        <v>4.4111924312531303E-2</v>
      </c>
      <c r="W3" s="119">
        <v>4.7375543477948402E-2</v>
      </c>
      <c r="X3" s="119">
        <v>5.01931611837097E-2</v>
      </c>
      <c r="Y3" s="119">
        <v>5.2548767076505097E-2</v>
      </c>
      <c r="Z3" s="119">
        <v>5.4160363442873498E-2</v>
      </c>
      <c r="AA3" s="119">
        <v>5.5783215677062098E-2</v>
      </c>
      <c r="AB3" s="119">
        <v>5.7335169151803901E-2</v>
      </c>
      <c r="AC3" s="119">
        <v>5.8968392108095402E-2</v>
      </c>
      <c r="AD3" s="119">
        <v>6.0852801965742297E-2</v>
      </c>
      <c r="AE3" s="119">
        <v>6.3897632982194794E-2</v>
      </c>
      <c r="AF3" s="119">
        <v>6.5966539779435396E-2</v>
      </c>
      <c r="AG3" s="119">
        <v>6.9576640206731696E-2</v>
      </c>
      <c r="AH3" s="119">
        <v>7.4332016139976503E-2</v>
      </c>
      <c r="AI3" s="119">
        <v>8.3718512407614701E-2</v>
      </c>
      <c r="AJ3" s="119">
        <v>9.5159648891452606E-2</v>
      </c>
      <c r="AK3" s="119">
        <v>0.10974472326250299</v>
      </c>
      <c r="AL3" s="119">
        <v>0.126054898495331</v>
      </c>
      <c r="AM3" s="119">
        <v>0.142800376254622</v>
      </c>
      <c r="AN3" s="119">
        <v>0.155605053543696</v>
      </c>
      <c r="AO3" s="119">
        <v>0.160577261772649</v>
      </c>
      <c r="AP3" s="119">
        <v>0.16233742387660999</v>
      </c>
      <c r="AQ3" s="119">
        <v>0.16651789508470799</v>
      </c>
      <c r="AR3" s="119">
        <v>0.16915404382719601</v>
      </c>
      <c r="AS3" s="119">
        <v>0.17184369776645</v>
      </c>
      <c r="AT3" s="119">
        <v>0.17350285031155999</v>
      </c>
      <c r="AU3" s="119">
        <v>0.17972866980889701</v>
      </c>
      <c r="AV3" s="119">
        <v>0.18735278696060501</v>
      </c>
      <c r="AW3" s="119">
        <v>0.194858933012406</v>
      </c>
      <c r="AX3" s="119">
        <v>0.20165650147669001</v>
      </c>
      <c r="AY3" s="119">
        <v>0.207320143694742</v>
      </c>
      <c r="AZ3" s="119">
        <v>0.213451113426084</v>
      </c>
      <c r="BA3" s="119">
        <v>0.22269201467445701</v>
      </c>
      <c r="BB3" s="119">
        <v>0.231470984365621</v>
      </c>
      <c r="BC3" s="119">
        <v>0.24059092561648199</v>
      </c>
      <c r="BD3" s="119">
        <v>0.24990543797127701</v>
      </c>
      <c r="BE3" s="119">
        <v>0.26071894179743099</v>
      </c>
      <c r="BF3" s="119">
        <v>0.27024697683678101</v>
      </c>
      <c r="BG3" s="119">
        <v>0.27962724582917697</v>
      </c>
      <c r="BH3" s="119">
        <v>0.29178852771383601</v>
      </c>
      <c r="BI3" s="119">
        <v>0.30294937501429198</v>
      </c>
      <c r="BJ3" s="119">
        <v>0.31435048573428598</v>
      </c>
      <c r="BK3" s="119">
        <v>0.323213560237881</v>
      </c>
      <c r="BL3" s="119">
        <v>0.33491027033863002</v>
      </c>
    </row>
    <row r="4" spans="1:64" x14ac:dyDescent="0.25">
      <c r="A4" s="860" t="s">
        <v>131</v>
      </c>
      <c r="B4" s="1">
        <v>8</v>
      </c>
      <c r="C4" s="119">
        <v>0.5</v>
      </c>
      <c r="D4" s="119">
        <v>6.7773835313580194E-2</v>
      </c>
      <c r="E4" s="119">
        <v>7.0126329203081206E-2</v>
      </c>
      <c r="F4" s="119">
        <v>7.1933404926823E-2</v>
      </c>
      <c r="G4" s="119">
        <v>7.4502920915845303E-2</v>
      </c>
      <c r="H4" s="119">
        <v>7.6371331108821203E-2</v>
      </c>
      <c r="I4" s="119">
        <v>7.9252239633388399E-2</v>
      </c>
      <c r="J4" s="119">
        <v>8.1016907032591998E-2</v>
      </c>
      <c r="K4" s="119">
        <v>8.1993801238397696E-2</v>
      </c>
      <c r="L4" s="119">
        <v>8.4391974633803393E-2</v>
      </c>
      <c r="M4" s="119">
        <v>8.7724681309535299E-2</v>
      </c>
      <c r="N4" s="119">
        <v>8.9621263834524303E-2</v>
      </c>
      <c r="O4" s="119">
        <v>9.2130907112225102E-2</v>
      </c>
      <c r="P4" s="119">
        <v>9.3508818199425595E-2</v>
      </c>
      <c r="Q4" s="119">
        <v>9.6275868034722503E-2</v>
      </c>
      <c r="R4" s="119">
        <v>9.89827302646306E-2</v>
      </c>
      <c r="S4" s="119">
        <v>0.100260035770424</v>
      </c>
      <c r="T4" s="119">
        <v>0.104163605734773</v>
      </c>
      <c r="U4" s="119">
        <v>0.105751853606616</v>
      </c>
      <c r="V4" s="119">
        <v>0.108063119191496</v>
      </c>
      <c r="W4" s="119">
        <v>0.110682245883592</v>
      </c>
      <c r="X4" s="119">
        <v>0.114313496680973</v>
      </c>
      <c r="Y4" s="119">
        <v>0.114971638657112</v>
      </c>
      <c r="Z4" s="119">
        <v>0.116504946954815</v>
      </c>
      <c r="AA4" s="119">
        <v>0.118915378938761</v>
      </c>
      <c r="AB4" s="119">
        <v>0.120196007838393</v>
      </c>
      <c r="AC4" s="119">
        <v>0.123177775798093</v>
      </c>
      <c r="AD4" s="119">
        <v>0.125359061198699</v>
      </c>
      <c r="AE4" s="119">
        <v>0.12676222492040501</v>
      </c>
      <c r="AF4" s="119">
        <v>0.128151835371798</v>
      </c>
      <c r="AG4" s="119">
        <v>0.130738925637055</v>
      </c>
      <c r="AH4" s="119">
        <v>0.131998906417822</v>
      </c>
      <c r="AI4" s="119">
        <v>0.130887486834869</v>
      </c>
      <c r="AJ4" s="119">
        <v>0.13058908707212699</v>
      </c>
      <c r="AK4" s="119">
        <v>0.136358764444835</v>
      </c>
      <c r="AL4" s="119">
        <v>0.143034217477541</v>
      </c>
      <c r="AM4" s="119">
        <v>0.14840856768824301</v>
      </c>
      <c r="AN4" s="119">
        <v>0.14258058879263799</v>
      </c>
      <c r="AO4" s="119">
        <v>0.13578367255982501</v>
      </c>
      <c r="AP4" s="119">
        <v>0.12872418506044001</v>
      </c>
      <c r="AQ4" s="119">
        <v>0.12145410947693901</v>
      </c>
      <c r="AR4" s="119">
        <v>0.106893699148131</v>
      </c>
      <c r="AS4" s="119">
        <v>9.36670396086179E-2</v>
      </c>
      <c r="AT4" s="119">
        <v>8.1370134773408195E-2</v>
      </c>
      <c r="AU4" s="119">
        <v>7.0718399770511406E-2</v>
      </c>
      <c r="AV4" s="119">
        <v>6.1192813407653798E-2</v>
      </c>
      <c r="AW4" s="119">
        <v>5.3094450823361797E-2</v>
      </c>
      <c r="AX4" s="119">
        <v>4.5771314746012502E-2</v>
      </c>
      <c r="AY4" s="119">
        <v>3.96726174899346E-2</v>
      </c>
      <c r="AZ4" s="119">
        <v>4.2254255686422E-2</v>
      </c>
      <c r="BA4" s="119">
        <v>4.4913115044142402E-2</v>
      </c>
      <c r="BB4" s="119">
        <v>4.90018780427652E-2</v>
      </c>
      <c r="BC4" s="119">
        <v>5.2598830832157002E-2</v>
      </c>
      <c r="BD4" s="119">
        <v>5.5970691466323302E-2</v>
      </c>
      <c r="BE4" s="119">
        <v>6.0508174105979501E-2</v>
      </c>
      <c r="BF4" s="119">
        <v>6.5723098304851804E-2</v>
      </c>
      <c r="BG4" s="119">
        <v>7.0495141708491499E-2</v>
      </c>
      <c r="BH4" s="119">
        <v>7.50146476724214E-2</v>
      </c>
      <c r="BI4" s="119">
        <v>7.9516013071222594E-2</v>
      </c>
      <c r="BJ4" s="119">
        <v>8.4297813864072701E-2</v>
      </c>
      <c r="BK4" s="119">
        <v>8.8892265716997806E-2</v>
      </c>
      <c r="BL4" s="119">
        <v>9.5631263581966899E-2</v>
      </c>
    </row>
    <row r="5" spans="1:64" x14ac:dyDescent="0.25">
      <c r="A5" s="860" t="s">
        <v>132</v>
      </c>
      <c r="B5" s="1">
        <v>12</v>
      </c>
      <c r="C5" s="119">
        <v>0.5</v>
      </c>
      <c r="D5" s="119">
        <v>0.17976126700268399</v>
      </c>
      <c r="E5" s="119">
        <v>0.188706000531564</v>
      </c>
      <c r="F5" s="119">
        <v>0.19758589167732099</v>
      </c>
      <c r="G5" s="119">
        <v>0.20678761504169099</v>
      </c>
      <c r="H5" s="119">
        <v>0.21696058120891901</v>
      </c>
      <c r="I5" s="119">
        <v>0.22559387979328099</v>
      </c>
      <c r="J5" s="119">
        <v>0.23297439369672601</v>
      </c>
      <c r="K5" s="119">
        <v>0.24255933911924801</v>
      </c>
      <c r="L5" s="119">
        <v>0.25201651569906602</v>
      </c>
      <c r="M5" s="119">
        <v>0.26289251729042801</v>
      </c>
      <c r="N5" s="119">
        <v>0.27271141250141701</v>
      </c>
      <c r="O5" s="119">
        <v>0.28122526054014602</v>
      </c>
      <c r="P5" s="119">
        <v>0.291218843562216</v>
      </c>
      <c r="Q5" s="119">
        <v>0.30235453986601402</v>
      </c>
      <c r="R5" s="119">
        <v>0.31264171539976199</v>
      </c>
      <c r="S5" s="119">
        <v>0.32513983553714898</v>
      </c>
      <c r="T5" s="119">
        <v>0.33822583308190701</v>
      </c>
      <c r="U5" s="119">
        <v>0.350106345921047</v>
      </c>
      <c r="V5" s="119">
        <v>0.36254255613110098</v>
      </c>
      <c r="W5" s="119">
        <v>0.37697112943807498</v>
      </c>
      <c r="X5" s="119">
        <v>0.39136570191104503</v>
      </c>
      <c r="Y5" s="119">
        <v>0.40828466261236201</v>
      </c>
      <c r="Z5" s="119">
        <v>0.42455745601892803</v>
      </c>
      <c r="AA5" s="119">
        <v>0.44075921141326102</v>
      </c>
      <c r="AB5" s="119">
        <v>0.45615279864291502</v>
      </c>
      <c r="AC5" s="119">
        <v>0.46919553223839799</v>
      </c>
      <c r="AD5" s="119">
        <v>0.48105846347409897</v>
      </c>
      <c r="AE5" s="119">
        <v>0.49185188490022802</v>
      </c>
      <c r="AF5" s="119">
        <v>0.50123261338638703</v>
      </c>
      <c r="AG5" s="119">
        <v>0.50840353661085702</v>
      </c>
      <c r="AH5" s="119">
        <v>0.51627678145126299</v>
      </c>
      <c r="AI5" s="119">
        <v>0.52109605408791604</v>
      </c>
      <c r="AJ5" s="119">
        <v>0.52507632170934104</v>
      </c>
      <c r="AK5" s="119">
        <v>0.52580406131074997</v>
      </c>
      <c r="AL5" s="119">
        <v>0.525661507853038</v>
      </c>
      <c r="AM5" s="119">
        <v>0.525860318103472</v>
      </c>
      <c r="AN5" s="119">
        <v>0.52512214417654401</v>
      </c>
      <c r="AO5" s="119">
        <v>0.52357798703309799</v>
      </c>
      <c r="AP5" s="119">
        <v>0.52044942535513905</v>
      </c>
      <c r="AQ5" s="119">
        <v>0.51768408697283896</v>
      </c>
      <c r="AR5" s="119">
        <v>0.51561514510763595</v>
      </c>
      <c r="AS5" s="119">
        <v>0.513539554935875</v>
      </c>
      <c r="AT5" s="119">
        <v>0.50998647076818604</v>
      </c>
      <c r="AU5" s="119">
        <v>0.50790672353676303</v>
      </c>
      <c r="AV5" s="119">
        <v>0.50730664639931999</v>
      </c>
      <c r="AW5" s="119">
        <v>0.50525230689744505</v>
      </c>
      <c r="AX5" s="119">
        <v>0.50396767810244003</v>
      </c>
      <c r="AY5" s="119">
        <v>0.50191873371097395</v>
      </c>
      <c r="AZ5" s="119">
        <v>0.50071109423730498</v>
      </c>
      <c r="BA5" s="119">
        <v>0.499817152435859</v>
      </c>
      <c r="BB5" s="119">
        <v>0.50262227129036297</v>
      </c>
      <c r="BC5" s="119">
        <v>0.50677364330909702</v>
      </c>
      <c r="BD5" s="119">
        <v>0.508948423542679</v>
      </c>
      <c r="BE5" s="119">
        <v>0.51351652197327602</v>
      </c>
      <c r="BF5" s="119">
        <v>0.51849190542174906</v>
      </c>
      <c r="BG5" s="119">
        <v>0.52150633995358397</v>
      </c>
      <c r="BH5" s="119">
        <v>0.525237668478858</v>
      </c>
      <c r="BI5" s="119">
        <v>0.53147480997623997</v>
      </c>
      <c r="BJ5" s="119">
        <v>0.53315673887432802</v>
      </c>
      <c r="BK5" s="119">
        <v>0.539063209897646</v>
      </c>
      <c r="BL5" s="119">
        <v>0.54178993743873305</v>
      </c>
    </row>
    <row r="6" spans="1:64" x14ac:dyDescent="0.25">
      <c r="A6" s="860" t="s">
        <v>134</v>
      </c>
      <c r="B6" s="1">
        <v>24</v>
      </c>
      <c r="C6" s="119">
        <v>0.5</v>
      </c>
      <c r="D6" s="119">
        <v>3.8704495730834598E-3</v>
      </c>
      <c r="E6" s="119">
        <v>4.3510277563446297E-3</v>
      </c>
      <c r="F6" s="119">
        <v>4.8935952098358299E-3</v>
      </c>
      <c r="G6" s="119">
        <v>5.5378905402645399E-3</v>
      </c>
      <c r="H6" s="119">
        <v>6.1759733436737903E-3</v>
      </c>
      <c r="I6" s="119">
        <v>6.8474092614899196E-3</v>
      </c>
      <c r="J6" s="119">
        <v>7.5251261306044596E-3</v>
      </c>
      <c r="K6" s="119">
        <v>8.1638216702236994E-3</v>
      </c>
      <c r="L6" s="119">
        <v>9.1794499960050607E-3</v>
      </c>
      <c r="M6" s="119">
        <v>9.9087898002679503E-3</v>
      </c>
      <c r="N6" s="119">
        <v>1.1063154557113699E-2</v>
      </c>
      <c r="O6" s="119">
        <v>1.2184794335445601E-2</v>
      </c>
      <c r="P6" s="119">
        <v>1.31496961363608E-2</v>
      </c>
      <c r="Q6" s="119">
        <v>1.44928468078877E-2</v>
      </c>
      <c r="R6" s="119">
        <v>1.5956877118643201E-2</v>
      </c>
      <c r="S6" s="119">
        <v>1.73954408800783E-2</v>
      </c>
      <c r="T6" s="119">
        <v>1.90608354168098E-2</v>
      </c>
      <c r="U6" s="119">
        <v>2.05914829906193E-2</v>
      </c>
      <c r="V6" s="119">
        <v>2.2510982882758299E-2</v>
      </c>
      <c r="W6" s="119">
        <v>2.4435728636085601E-2</v>
      </c>
      <c r="X6" s="119">
        <v>2.66979113278938E-2</v>
      </c>
      <c r="Y6" s="119">
        <v>2.8587290295109799E-2</v>
      </c>
      <c r="Z6" s="119">
        <v>3.1026900403048601E-2</v>
      </c>
      <c r="AA6" s="119">
        <v>3.2805134891901497E-2</v>
      </c>
      <c r="AB6" s="119">
        <v>3.5075682749603099E-2</v>
      </c>
      <c r="AC6" s="119">
        <v>3.7147770302006201E-2</v>
      </c>
      <c r="AD6" s="119">
        <v>4.0027392322559599E-2</v>
      </c>
      <c r="AE6" s="119">
        <v>4.2945354912001597E-2</v>
      </c>
      <c r="AF6" s="119">
        <v>4.6097819019126698E-2</v>
      </c>
      <c r="AG6" s="119">
        <v>4.9512141867909802E-2</v>
      </c>
      <c r="AH6" s="119">
        <v>5.3587016671524199E-2</v>
      </c>
      <c r="AI6" s="119">
        <v>5.8434988096358401E-2</v>
      </c>
      <c r="AJ6" s="119">
        <v>6.41144961791799E-2</v>
      </c>
      <c r="AK6" s="119">
        <v>7.0652234018313401E-2</v>
      </c>
      <c r="AL6" s="119">
        <v>7.8186154116128503E-2</v>
      </c>
      <c r="AM6" s="119">
        <v>8.6686038058769496E-2</v>
      </c>
      <c r="AN6" s="119">
        <v>9.5157842770220699E-2</v>
      </c>
      <c r="AO6" s="119">
        <v>0.104375474235849</v>
      </c>
      <c r="AP6" s="119">
        <v>0.11135502592929999</v>
      </c>
      <c r="AQ6" s="119">
        <v>0.116824282822325</v>
      </c>
      <c r="AR6" s="119">
        <v>0.12048403637996501</v>
      </c>
      <c r="AS6" s="119">
        <v>0.122318815838559</v>
      </c>
      <c r="AT6" s="119">
        <v>0.124385635733506</v>
      </c>
      <c r="AU6" s="119">
        <v>0.12538766461795001</v>
      </c>
      <c r="AV6" s="119">
        <v>0.12671391746925001</v>
      </c>
      <c r="AW6" s="119">
        <v>0.12840872819426699</v>
      </c>
      <c r="AX6" s="119">
        <v>0.131508143975853</v>
      </c>
      <c r="AY6" s="119">
        <v>0.13487796084015999</v>
      </c>
      <c r="AZ6" s="119">
        <v>0.14020182546288801</v>
      </c>
      <c r="BA6" s="119">
        <v>0.145771569427631</v>
      </c>
      <c r="BB6" s="119">
        <v>0.15136720842779799</v>
      </c>
      <c r="BC6" s="119">
        <v>0.15657541276664899</v>
      </c>
      <c r="BD6" s="119">
        <v>0.162513607187457</v>
      </c>
      <c r="BE6" s="119">
        <v>0.167160836131933</v>
      </c>
      <c r="BF6" s="119">
        <v>0.173958640662042</v>
      </c>
      <c r="BG6" s="119">
        <v>0.17948398778153901</v>
      </c>
      <c r="BH6" s="119">
        <v>0.184394105711953</v>
      </c>
      <c r="BI6" s="119">
        <v>0.190212220713949</v>
      </c>
      <c r="BJ6" s="119">
        <v>0.19548093948133799</v>
      </c>
      <c r="BK6" s="119">
        <v>0.202058454437718</v>
      </c>
      <c r="BL6" s="119">
        <v>0.20858281723995101</v>
      </c>
    </row>
    <row r="7" spans="1:64" x14ac:dyDescent="0.25">
      <c r="A7" s="860" t="s">
        <v>135</v>
      </c>
      <c r="B7" s="1">
        <v>660</v>
      </c>
      <c r="C7" s="119">
        <v>0.5</v>
      </c>
      <c r="D7" s="119">
        <v>0.20759128268555699</v>
      </c>
      <c r="E7" s="119">
        <v>0.21505282504793</v>
      </c>
      <c r="F7" s="119">
        <v>0.22124677469606499</v>
      </c>
      <c r="G7" s="119">
        <v>0.230629686656496</v>
      </c>
      <c r="H7" s="119">
        <v>0.236611075085398</v>
      </c>
      <c r="I7" s="119">
        <v>0.24437676502795599</v>
      </c>
      <c r="J7" s="119">
        <v>0.25101697141301699</v>
      </c>
      <c r="K7" s="119">
        <v>0.25809345327348898</v>
      </c>
      <c r="L7" s="119">
        <v>0.26482850964263299</v>
      </c>
      <c r="M7" s="119">
        <v>0.27472165496422402</v>
      </c>
      <c r="N7" s="119">
        <v>0.282075528332208</v>
      </c>
      <c r="O7" s="119">
        <v>0.28990875806183602</v>
      </c>
      <c r="P7" s="119">
        <v>0.298230455244892</v>
      </c>
      <c r="Q7" s="119">
        <v>0.304866565585724</v>
      </c>
      <c r="R7" s="119">
        <v>0.31023650864595298</v>
      </c>
      <c r="S7" s="119">
        <v>0.319056667844343</v>
      </c>
      <c r="T7" s="119">
        <v>0.32832702812339798</v>
      </c>
      <c r="U7" s="119">
        <v>0.33635260581033699</v>
      </c>
      <c r="V7" s="119">
        <v>0.34462913802435102</v>
      </c>
      <c r="W7" s="119">
        <v>0.35114478239775399</v>
      </c>
      <c r="X7" s="119">
        <v>0.35691807905238199</v>
      </c>
      <c r="Y7" s="119">
        <v>0.364928153365707</v>
      </c>
      <c r="Z7" s="119">
        <v>0.37161936740330098</v>
      </c>
      <c r="AA7" s="119">
        <v>0.37603885955841598</v>
      </c>
      <c r="AB7" s="119">
        <v>0.37918983535239398</v>
      </c>
      <c r="AC7" s="119">
        <v>0.38558103466434002</v>
      </c>
      <c r="AD7" s="119">
        <v>0.38964331562086002</v>
      </c>
      <c r="AE7" s="119">
        <v>0.39335263434971202</v>
      </c>
      <c r="AF7" s="119">
        <v>0.39877076979062698</v>
      </c>
      <c r="AG7" s="119">
        <v>0.402904871300232</v>
      </c>
      <c r="AH7" s="119">
        <v>0.40855180192653301</v>
      </c>
      <c r="AI7" s="119">
        <v>0.41337293172752398</v>
      </c>
      <c r="AJ7" s="119">
        <v>0.41715600614878301</v>
      </c>
      <c r="AK7" s="119">
        <v>0.42051875974723502</v>
      </c>
      <c r="AL7" s="119">
        <v>0.42620935674775901</v>
      </c>
      <c r="AM7" s="119">
        <v>0.43175754018284002</v>
      </c>
      <c r="AN7" s="119">
        <v>0.440336384844841</v>
      </c>
      <c r="AO7" s="119">
        <v>0.44635393296992698</v>
      </c>
      <c r="AP7" s="119">
        <v>0.45264329224692201</v>
      </c>
      <c r="AQ7" s="119">
        <v>0.45841987647383198</v>
      </c>
      <c r="AR7" s="119">
        <v>0.46214252506141701</v>
      </c>
      <c r="AS7" s="119">
        <v>0.46901182736060398</v>
      </c>
      <c r="AT7" s="119">
        <v>0.47418683937901601</v>
      </c>
      <c r="AU7" s="119">
        <v>0.48124529120349202</v>
      </c>
      <c r="AV7" s="119">
        <v>0.48358409697926602</v>
      </c>
      <c r="AW7" s="119">
        <v>0.48934179843831599</v>
      </c>
      <c r="AX7" s="119">
        <v>0.494576893062115</v>
      </c>
      <c r="AY7" s="119">
        <v>0.50012132999403502</v>
      </c>
      <c r="AZ7" s="119">
        <v>0.502024196610797</v>
      </c>
      <c r="BA7" s="119">
        <v>0.50796663953001298</v>
      </c>
      <c r="BB7" s="119">
        <v>0.51370775198999996</v>
      </c>
      <c r="BC7" s="119">
        <v>0.51815077823969602</v>
      </c>
      <c r="BD7" s="119">
        <v>0.52463367103596104</v>
      </c>
      <c r="BE7" s="119">
        <v>0.53040482353070495</v>
      </c>
      <c r="BF7" s="119">
        <v>0.53483823144390996</v>
      </c>
      <c r="BG7" s="119">
        <v>0.53898926883939902</v>
      </c>
      <c r="BH7" s="119">
        <v>0.54325013375579301</v>
      </c>
      <c r="BI7" s="119">
        <v>0.548409606285994</v>
      </c>
      <c r="BJ7" s="119">
        <v>0.55227254638608503</v>
      </c>
      <c r="BK7" s="119">
        <v>0.55396562926944903</v>
      </c>
      <c r="BL7" s="119">
        <v>0.55939703605041302</v>
      </c>
    </row>
    <row r="8" spans="1:64" x14ac:dyDescent="0.25">
      <c r="A8" s="860" t="s">
        <v>136</v>
      </c>
      <c r="B8" s="1">
        <v>28</v>
      </c>
      <c r="C8" s="119">
        <v>0.5</v>
      </c>
      <c r="D8" s="119">
        <v>0.31124173827634499</v>
      </c>
      <c r="E8" s="119">
        <v>0.32120077595377899</v>
      </c>
      <c r="F8" s="119">
        <v>0.32776507841212099</v>
      </c>
      <c r="G8" s="119">
        <v>0.33821183694388701</v>
      </c>
      <c r="H8" s="119">
        <v>0.34884015718387701</v>
      </c>
      <c r="I8" s="119">
        <v>0.35489869455579998</v>
      </c>
      <c r="J8" s="119">
        <v>0.364166827695458</v>
      </c>
      <c r="K8" s="119">
        <v>0.37251680431137202</v>
      </c>
      <c r="L8" s="119">
        <v>0.38122086572258301</v>
      </c>
      <c r="M8" s="119">
        <v>0.39037689130504399</v>
      </c>
      <c r="N8" s="119">
        <v>0.399670547108602</v>
      </c>
      <c r="O8" s="119">
        <v>0.40709525521700102</v>
      </c>
      <c r="P8" s="119">
        <v>0.41339638379398402</v>
      </c>
      <c r="Q8" s="119">
        <v>0.42091380765110498</v>
      </c>
      <c r="R8" s="119">
        <v>0.42785521878982202</v>
      </c>
      <c r="S8" s="119">
        <v>0.43677694046724203</v>
      </c>
      <c r="T8" s="119">
        <v>0.44340936710658602</v>
      </c>
      <c r="U8" s="119">
        <v>0.450626729367331</v>
      </c>
      <c r="V8" s="119">
        <v>0.45742013426348099</v>
      </c>
      <c r="W8" s="119">
        <v>0.46448814071429001</v>
      </c>
      <c r="X8" s="119">
        <v>0.46998309582417003</v>
      </c>
      <c r="Y8" s="119">
        <v>0.47650307544480802</v>
      </c>
      <c r="Z8" s="119">
        <v>0.48250515809854799</v>
      </c>
      <c r="AA8" s="119">
        <v>0.487225074392661</v>
      </c>
      <c r="AB8" s="119">
        <v>0.49335227459839098</v>
      </c>
      <c r="AC8" s="119">
        <v>0.49631710786812899</v>
      </c>
      <c r="AD8" s="119">
        <v>0.50300211315321797</v>
      </c>
      <c r="AE8" s="119">
        <v>0.50735231140707204</v>
      </c>
      <c r="AF8" s="119">
        <v>0.51253499953640402</v>
      </c>
      <c r="AG8" s="119">
        <v>0.52019274547877303</v>
      </c>
      <c r="AH8" s="119">
        <v>0.52491551359256206</v>
      </c>
      <c r="AI8" s="119">
        <v>0.529543624402664</v>
      </c>
      <c r="AJ8" s="119">
        <v>0.53385988204659596</v>
      </c>
      <c r="AK8" s="119">
        <v>0.54087045527780797</v>
      </c>
      <c r="AL8" s="119">
        <v>0.54564717114567896</v>
      </c>
      <c r="AM8" s="119">
        <v>0.54574433415526902</v>
      </c>
      <c r="AN8" s="119">
        <v>0.55218806821496003</v>
      </c>
      <c r="AO8" s="119">
        <v>0.55540745024958504</v>
      </c>
      <c r="AP8" s="119">
        <v>0.558977125876022</v>
      </c>
      <c r="AQ8" s="119">
        <v>0.56267842683422797</v>
      </c>
      <c r="AR8" s="119">
        <v>0.56833892867319802</v>
      </c>
      <c r="AS8" s="119">
        <v>0.57157518653063399</v>
      </c>
      <c r="AT8" s="119">
        <v>0.57711269129307297</v>
      </c>
      <c r="AU8" s="119">
        <v>0.58340020698512096</v>
      </c>
      <c r="AV8" s="119">
        <v>0.58679234162183302</v>
      </c>
      <c r="AW8" s="119">
        <v>0.59039531712367899</v>
      </c>
      <c r="AX8" s="119">
        <v>0.59251308652387602</v>
      </c>
      <c r="AY8" s="119">
        <v>0.59591281924058903</v>
      </c>
      <c r="AZ8" s="119">
        <v>0.60036789858428596</v>
      </c>
      <c r="BA8" s="119">
        <v>0.60577942545864205</v>
      </c>
      <c r="BB8" s="119">
        <v>0.60871920680621505</v>
      </c>
      <c r="BC8" s="119">
        <v>0.60789822335967603</v>
      </c>
      <c r="BD8" s="119">
        <v>0.61327932005298302</v>
      </c>
      <c r="BE8" s="119">
        <v>0.61843507521443697</v>
      </c>
      <c r="BF8" s="119">
        <v>0.61831105442049605</v>
      </c>
      <c r="BG8" s="119">
        <v>0.62069358350378301</v>
      </c>
      <c r="BH8" s="119">
        <v>0.62333196332334795</v>
      </c>
      <c r="BI8" s="119">
        <v>0.62729271131118103</v>
      </c>
      <c r="BJ8" s="119">
        <v>0.63046157222951005</v>
      </c>
      <c r="BK8" s="119">
        <v>0.63257989459685005</v>
      </c>
      <c r="BL8" s="119">
        <v>0.63745156020173699</v>
      </c>
    </row>
    <row r="9" spans="1:64" x14ac:dyDescent="0.25">
      <c r="A9" s="860" t="s">
        <v>137</v>
      </c>
      <c r="B9" s="1">
        <v>32</v>
      </c>
      <c r="C9" s="119">
        <v>0.5</v>
      </c>
      <c r="D9" s="119">
        <v>0.25915126989927101</v>
      </c>
      <c r="E9" s="119">
        <v>0.27277677555354102</v>
      </c>
      <c r="F9" s="119">
        <v>0.28612231485794998</v>
      </c>
      <c r="G9" s="119">
        <v>0.30079989941290902</v>
      </c>
      <c r="H9" s="119">
        <v>0.31103998670884903</v>
      </c>
      <c r="I9" s="119">
        <v>0.32322142836835399</v>
      </c>
      <c r="J9" s="119">
        <v>0.33178628962864498</v>
      </c>
      <c r="K9" s="119">
        <v>0.34785705557088498</v>
      </c>
      <c r="L9" s="119">
        <v>0.35763234782515801</v>
      </c>
      <c r="M9" s="119">
        <v>0.37279999306316702</v>
      </c>
      <c r="N9" s="119">
        <v>0.38361761338816402</v>
      </c>
      <c r="O9" s="119">
        <v>0.38960842364854398</v>
      </c>
      <c r="P9" s="119">
        <v>0.40229002308228401</v>
      </c>
      <c r="Q9" s="119">
        <v>0.413403259877274</v>
      </c>
      <c r="R9" s="119">
        <v>0.425265165309687</v>
      </c>
      <c r="S9" s="119">
        <v>0.43779396755316202</v>
      </c>
      <c r="T9" s="119">
        <v>0.44748592950035998</v>
      </c>
      <c r="U9" s="119">
        <v>0.45700992018966102</v>
      </c>
      <c r="V9" s="119">
        <v>0.46879208249299698</v>
      </c>
      <c r="W9" s="119">
        <v>0.47890251932456701</v>
      </c>
      <c r="X9" s="119">
        <v>0.48930038419509803</v>
      </c>
      <c r="Y9" s="119">
        <v>0.50072279329644998</v>
      </c>
      <c r="Z9" s="119">
        <v>0.51024460415925399</v>
      </c>
      <c r="AA9" s="119">
        <v>0.520245525680611</v>
      </c>
      <c r="AB9" s="119">
        <v>0.52965258572734597</v>
      </c>
      <c r="AC9" s="119">
        <v>0.53745507705266204</v>
      </c>
      <c r="AD9" s="119">
        <v>0.54895037792207901</v>
      </c>
      <c r="AE9" s="119">
        <v>0.559441291673625</v>
      </c>
      <c r="AF9" s="119">
        <v>0.57003206982629995</v>
      </c>
      <c r="AG9" s="119">
        <v>0.58183873375277095</v>
      </c>
      <c r="AH9" s="119">
        <v>0.59421260006695897</v>
      </c>
      <c r="AI9" s="119">
        <v>0.60620207499026602</v>
      </c>
      <c r="AJ9" s="119">
        <v>0.62615114097492097</v>
      </c>
      <c r="AK9" s="119">
        <v>0.647595733332618</v>
      </c>
      <c r="AL9" s="119">
        <v>0.66177851405264598</v>
      </c>
      <c r="AM9" s="119">
        <v>0.66688419036480495</v>
      </c>
      <c r="AN9" s="119">
        <v>0.66851204981003898</v>
      </c>
      <c r="AO9" s="119">
        <v>0.66449614339332097</v>
      </c>
      <c r="AP9" s="119">
        <v>0.66032863511526296</v>
      </c>
      <c r="AQ9" s="119">
        <v>0.65601177387234799</v>
      </c>
      <c r="AR9" s="119">
        <v>0.65213605181261403</v>
      </c>
      <c r="AS9" s="119">
        <v>0.64950760421088205</v>
      </c>
      <c r="AT9" s="119">
        <v>0.65282026963788797</v>
      </c>
      <c r="AU9" s="119">
        <v>0.65684113588613302</v>
      </c>
      <c r="AV9" s="119">
        <v>0.65919883683228897</v>
      </c>
      <c r="AW9" s="119">
        <v>0.66116682703546503</v>
      </c>
      <c r="AX9" s="119">
        <v>0.66294017550385498</v>
      </c>
      <c r="AY9" s="119">
        <v>0.66701284520814696</v>
      </c>
      <c r="AZ9" s="119">
        <v>0.66914391860432498</v>
      </c>
      <c r="BA9" s="119">
        <v>0.67076414512017302</v>
      </c>
      <c r="BB9" s="119">
        <v>0.67433364172264099</v>
      </c>
      <c r="BC9" s="119">
        <v>0.67600939088423895</v>
      </c>
      <c r="BD9" s="119">
        <v>0.67699269636616499</v>
      </c>
      <c r="BE9" s="119">
        <v>0.67949007468466405</v>
      </c>
      <c r="BF9" s="119">
        <v>0.68404352259236501</v>
      </c>
      <c r="BG9" s="119">
        <v>0.68673440750275505</v>
      </c>
      <c r="BH9" s="119">
        <v>0.68885142983916403</v>
      </c>
      <c r="BI9" s="119">
        <v>0.69014216717992605</v>
      </c>
      <c r="BJ9" s="119">
        <v>0.69339781001507705</v>
      </c>
      <c r="BK9" s="119">
        <v>0.69521634708976698</v>
      </c>
      <c r="BL9" s="119">
        <v>0.69751847659647404</v>
      </c>
    </row>
    <row r="10" spans="1:64" x14ac:dyDescent="0.25">
      <c r="A10" s="860" t="s">
        <v>138</v>
      </c>
      <c r="B10" s="1">
        <v>51</v>
      </c>
      <c r="C10" s="119">
        <v>0.5</v>
      </c>
      <c r="D10" s="119">
        <v>0.17688780894227801</v>
      </c>
      <c r="E10" s="119">
        <v>0.18035309613866199</v>
      </c>
      <c r="F10" s="119">
        <v>0.183667940805466</v>
      </c>
      <c r="G10" s="119">
        <v>0.18655066924486499</v>
      </c>
      <c r="H10" s="119">
        <v>0.19019387677503999</v>
      </c>
      <c r="I10" s="119">
        <v>0.19324165196197399</v>
      </c>
      <c r="J10" s="119">
        <v>0.19979615468230799</v>
      </c>
      <c r="K10" s="119">
        <v>0.20367950473648799</v>
      </c>
      <c r="L10" s="119">
        <v>0.207260735849496</v>
      </c>
      <c r="M10" s="119">
        <v>0.21100080128104501</v>
      </c>
      <c r="N10" s="119">
        <v>0.213753852770244</v>
      </c>
      <c r="O10" s="119">
        <v>0.21683636027780001</v>
      </c>
      <c r="P10" s="119">
        <v>0.223364485774975</v>
      </c>
      <c r="Q10" s="119">
        <v>0.226789637413224</v>
      </c>
      <c r="R10" s="119">
        <v>0.22854836362237099</v>
      </c>
      <c r="S10" s="119">
        <v>0.23102874614150201</v>
      </c>
      <c r="T10" s="119">
        <v>0.23331291662608</v>
      </c>
      <c r="U10" s="119">
        <v>0.23541305771423601</v>
      </c>
      <c r="V10" s="119">
        <v>0.23648826609280399</v>
      </c>
      <c r="W10" s="119">
        <v>0.23706993752778999</v>
      </c>
      <c r="X10" s="119">
        <v>0.238176036306568</v>
      </c>
      <c r="Y10" s="119">
        <v>0.24098416548996099</v>
      </c>
      <c r="Z10" s="119">
        <v>0.24338386117588301</v>
      </c>
      <c r="AA10" s="119">
        <v>0.244557032377377</v>
      </c>
      <c r="AB10" s="119">
        <v>0.246425705454866</v>
      </c>
      <c r="AC10" s="119">
        <v>0.24643365876560799</v>
      </c>
      <c r="AD10" s="119">
        <v>0.24538082351959001</v>
      </c>
      <c r="AE10" s="119">
        <v>0.244992612056116</v>
      </c>
      <c r="AF10" s="119">
        <v>0.241996462049509</v>
      </c>
      <c r="AG10" s="119">
        <v>0.241682248814129</v>
      </c>
      <c r="AH10" s="119">
        <v>0.23751120442585799</v>
      </c>
      <c r="AI10" s="119">
        <v>0.23097854599235201</v>
      </c>
      <c r="AJ10" s="119">
        <v>0.22404523340704</v>
      </c>
      <c r="AK10" s="119">
        <v>0.21654003026339699</v>
      </c>
      <c r="AL10" s="119">
        <v>0.20946917129312501</v>
      </c>
      <c r="AM10" s="119">
        <v>0.20351825401701701</v>
      </c>
      <c r="AN10" s="119">
        <v>0.21314788072848501</v>
      </c>
      <c r="AO10" s="119">
        <v>0.222224530829957</v>
      </c>
      <c r="AP10" s="119">
        <v>0.233513769355854</v>
      </c>
      <c r="AQ10" s="119">
        <v>0.247027778417968</v>
      </c>
      <c r="AR10" s="119">
        <v>0.25895014339849798</v>
      </c>
      <c r="AS10" s="119">
        <v>0.26175710792477802</v>
      </c>
      <c r="AT10" s="119">
        <v>0.26550590134509899</v>
      </c>
      <c r="AU10" s="119">
        <v>0.26826995058190301</v>
      </c>
      <c r="AV10" s="119">
        <v>0.27064635719450197</v>
      </c>
      <c r="AW10" s="119">
        <v>0.275161585067841</v>
      </c>
      <c r="AX10" s="119">
        <v>0.279051235499441</v>
      </c>
      <c r="AY10" s="119">
        <v>0.28553753127361697</v>
      </c>
      <c r="AZ10" s="119">
        <v>0.29216386062205002</v>
      </c>
      <c r="BA10" s="119">
        <v>0.29743802283334703</v>
      </c>
      <c r="BB10" s="119">
        <v>0.302830744812425</v>
      </c>
      <c r="BC10" s="119">
        <v>0.30835487633329001</v>
      </c>
      <c r="BD10" s="119">
        <v>0.31380975345129603</v>
      </c>
      <c r="BE10" s="119">
        <v>0.32075490863221701</v>
      </c>
      <c r="BF10" s="119">
        <v>0.32825322680492602</v>
      </c>
      <c r="BG10" s="119">
        <v>0.33719976158089099</v>
      </c>
      <c r="BH10" s="119">
        <v>0.341756274720246</v>
      </c>
      <c r="BI10" s="119">
        <v>0.347309438770389</v>
      </c>
      <c r="BJ10" s="119">
        <v>0.353186109784698</v>
      </c>
      <c r="BK10" s="119">
        <v>0.35805158228070599</v>
      </c>
      <c r="BL10" s="119">
        <v>0.36293647299961901</v>
      </c>
    </row>
    <row r="11" spans="1:64" x14ac:dyDescent="0.25">
      <c r="A11" s="860" t="s">
        <v>140</v>
      </c>
      <c r="B11" s="1">
        <v>36</v>
      </c>
      <c r="C11" s="119">
        <v>0.5</v>
      </c>
      <c r="D11" s="119">
        <v>0.67151989531785605</v>
      </c>
      <c r="E11" s="119">
        <v>0.67283644962894495</v>
      </c>
      <c r="F11" s="119">
        <v>0.67562922688740501</v>
      </c>
      <c r="G11" s="119">
        <v>0.67593649009649304</v>
      </c>
      <c r="H11" s="119">
        <v>0.678944326763394</v>
      </c>
      <c r="I11" s="119">
        <v>0.68095795646280399</v>
      </c>
      <c r="J11" s="119">
        <v>0.68431809146038902</v>
      </c>
      <c r="K11" s="119">
        <v>0.68616794144105198</v>
      </c>
      <c r="L11" s="119">
        <v>0.68848943372624405</v>
      </c>
      <c r="M11" s="119">
        <v>0.68985935634231998</v>
      </c>
      <c r="N11" s="119">
        <v>0.69059764347149699</v>
      </c>
      <c r="O11" s="119">
        <v>0.69451014566799796</v>
      </c>
      <c r="P11" s="119">
        <v>0.697009878751088</v>
      </c>
      <c r="Q11" s="119">
        <v>0.69926457219990601</v>
      </c>
      <c r="R11" s="119">
        <v>0.70121716242005405</v>
      </c>
      <c r="S11" s="119">
        <v>0.70160482538614599</v>
      </c>
      <c r="T11" s="119">
        <v>0.69999241638671506</v>
      </c>
      <c r="U11" s="119">
        <v>0.69490417409378602</v>
      </c>
      <c r="V11" s="119">
        <v>0.68710432991729198</v>
      </c>
      <c r="W11" s="119">
        <v>0.67857694595665097</v>
      </c>
      <c r="X11" s="119">
        <v>0.66979066210939497</v>
      </c>
      <c r="Y11" s="119">
        <v>0.66099004728719102</v>
      </c>
      <c r="Z11" s="119">
        <v>0.65277453746688696</v>
      </c>
      <c r="AA11" s="119">
        <v>0.64296368758421996</v>
      </c>
      <c r="AB11" s="119">
        <v>0.63556914520482</v>
      </c>
      <c r="AC11" s="119">
        <v>0.63098286884124799</v>
      </c>
      <c r="AD11" s="119">
        <v>0.62821228855727296</v>
      </c>
      <c r="AE11" s="119">
        <v>0.628217766213647</v>
      </c>
      <c r="AF11" s="119">
        <v>0.63093438131007595</v>
      </c>
      <c r="AG11" s="119">
        <v>0.63309575830155895</v>
      </c>
      <c r="AH11" s="119">
        <v>0.63543704158661396</v>
      </c>
      <c r="AI11" s="119">
        <v>0.63706744627092804</v>
      </c>
      <c r="AJ11" s="119">
        <v>0.63247991912590595</v>
      </c>
      <c r="AK11" s="119">
        <v>0.62687591970595102</v>
      </c>
      <c r="AL11" s="119">
        <v>0.62112035887918604</v>
      </c>
      <c r="AM11" s="119">
        <v>0.61538243882356802</v>
      </c>
      <c r="AN11" s="119">
        <v>0.60897602074892399</v>
      </c>
      <c r="AO11" s="119">
        <v>0.60460347797918601</v>
      </c>
      <c r="AP11" s="119">
        <v>0.60310508343079305</v>
      </c>
      <c r="AQ11" s="119">
        <v>0.60896974316319996</v>
      </c>
      <c r="AR11" s="119">
        <v>0.61748211220349902</v>
      </c>
      <c r="AS11" s="119">
        <v>0.62624654371073696</v>
      </c>
      <c r="AT11" s="119">
        <v>0.62960248741435099</v>
      </c>
      <c r="AU11" s="119">
        <v>0.63092284226862905</v>
      </c>
      <c r="AV11" s="119">
        <v>0.63070897144763305</v>
      </c>
      <c r="AW11" s="119">
        <v>0.63227625117919894</v>
      </c>
      <c r="AX11" s="119">
        <v>0.63232018951393099</v>
      </c>
      <c r="AY11" s="119">
        <v>0.632711523033616</v>
      </c>
      <c r="AZ11" s="119">
        <v>0.63328107533368705</v>
      </c>
      <c r="BA11" s="119">
        <v>0.63378787236897705</v>
      </c>
      <c r="BB11" s="119">
        <v>0.63395922935165205</v>
      </c>
      <c r="BC11" s="119">
        <v>0.63711996979567898</v>
      </c>
      <c r="BD11" s="119">
        <v>0.63665959630276203</v>
      </c>
      <c r="BE11" s="119">
        <v>0.63414980307218705</v>
      </c>
      <c r="BF11" s="119">
        <v>0.63427014525657099</v>
      </c>
      <c r="BG11" s="119">
        <v>0.63500839686342003</v>
      </c>
      <c r="BH11" s="119">
        <v>0.63583106027395497</v>
      </c>
      <c r="BI11" s="119">
        <v>0.63582837340388498</v>
      </c>
      <c r="BJ11" s="119">
        <v>0.636116078065317</v>
      </c>
      <c r="BK11" s="119">
        <v>0.63725875090571904</v>
      </c>
      <c r="BL11" s="119">
        <v>0.63806368359444199</v>
      </c>
    </row>
    <row r="12" spans="1:64" x14ac:dyDescent="0.25">
      <c r="A12" s="860" t="s">
        <v>141</v>
      </c>
      <c r="B12" s="1">
        <v>40</v>
      </c>
      <c r="C12" s="119">
        <v>0.5</v>
      </c>
      <c r="D12" s="119">
        <v>0.29158249331832398</v>
      </c>
      <c r="E12" s="119">
        <v>0.30524945592000002</v>
      </c>
      <c r="F12" s="119">
        <v>0.31654481403691398</v>
      </c>
      <c r="G12" s="119">
        <v>0.33133957130330999</v>
      </c>
      <c r="H12" s="119">
        <v>0.34694660830201601</v>
      </c>
      <c r="I12" s="119">
        <v>0.35769709999617</v>
      </c>
      <c r="J12" s="119">
        <v>0.37165229913439701</v>
      </c>
      <c r="K12" s="119">
        <v>0.38639962337475398</v>
      </c>
      <c r="L12" s="119">
        <v>0.39905468149393503</v>
      </c>
      <c r="M12" s="119">
        <v>0.41091027040590999</v>
      </c>
      <c r="N12" s="119">
        <v>0.42532657901616999</v>
      </c>
      <c r="O12" s="119">
        <v>0.43779819116751101</v>
      </c>
      <c r="P12" s="119">
        <v>0.448341038286308</v>
      </c>
      <c r="Q12" s="119">
        <v>0.460207742765957</v>
      </c>
      <c r="R12" s="119">
        <v>0.473008550246104</v>
      </c>
      <c r="S12" s="119">
        <v>0.48181646220887497</v>
      </c>
      <c r="T12" s="119">
        <v>0.49315353586583199</v>
      </c>
      <c r="U12" s="119">
        <v>0.50493705251933196</v>
      </c>
      <c r="V12" s="119">
        <v>0.51484505492700405</v>
      </c>
      <c r="W12" s="119">
        <v>0.52173741484097302</v>
      </c>
      <c r="X12" s="119">
        <v>0.52729799331028904</v>
      </c>
      <c r="Y12" s="119">
        <v>0.53135340457351599</v>
      </c>
      <c r="Z12" s="119">
        <v>0.532485750377789</v>
      </c>
      <c r="AA12" s="119">
        <v>0.53385982378659103</v>
      </c>
      <c r="AB12" s="119">
        <v>0.53510853486856103</v>
      </c>
      <c r="AC12" s="119">
        <v>0.53637653818243802</v>
      </c>
      <c r="AD12" s="119">
        <v>0.53773172193883201</v>
      </c>
      <c r="AE12" s="119">
        <v>0.54529694699166997</v>
      </c>
      <c r="AF12" s="119">
        <v>0.55420030123618302</v>
      </c>
      <c r="AG12" s="119">
        <v>0.56382284365698299</v>
      </c>
      <c r="AH12" s="119">
        <v>0.574600926953034</v>
      </c>
      <c r="AI12" s="119">
        <v>0.58494422120017198</v>
      </c>
      <c r="AJ12" s="119">
        <v>0.59419418344000097</v>
      </c>
      <c r="AK12" s="119">
        <v>0.604638605154876</v>
      </c>
      <c r="AL12" s="119">
        <v>0.61508567359960797</v>
      </c>
      <c r="AM12" s="119">
        <v>0.62363426595187499</v>
      </c>
      <c r="AN12" s="119">
        <v>0.63304022468332699</v>
      </c>
      <c r="AO12" s="119">
        <v>0.64304687194530397</v>
      </c>
      <c r="AP12" s="119">
        <v>0.65225474254686</v>
      </c>
      <c r="AQ12" s="119">
        <v>0.66073957044743603</v>
      </c>
      <c r="AR12" s="119">
        <v>0.66921186219970497</v>
      </c>
      <c r="AS12" s="119">
        <v>0.67463703474634396</v>
      </c>
      <c r="AT12" s="119">
        <v>0.67667573478850496</v>
      </c>
      <c r="AU12" s="119">
        <v>0.671723428036895</v>
      </c>
      <c r="AV12" s="119">
        <v>0.66831255510305898</v>
      </c>
      <c r="AW12" s="119">
        <v>0.66791492576526701</v>
      </c>
      <c r="AX12" s="119">
        <v>0.67305456866834601</v>
      </c>
      <c r="AY12" s="119">
        <v>0.68119359376256905</v>
      </c>
      <c r="AZ12" s="119">
        <v>0.690044622921415</v>
      </c>
      <c r="BA12" s="119">
        <v>0.69877922460183595</v>
      </c>
      <c r="BB12" s="119">
        <v>0.70290837522324201</v>
      </c>
      <c r="BC12" s="119">
        <v>0.70519477999184599</v>
      </c>
      <c r="BD12" s="119">
        <v>0.70636932646779205</v>
      </c>
      <c r="BE12" s="119">
        <v>0.707949524312803</v>
      </c>
      <c r="BF12" s="119">
        <v>0.70782104398020695</v>
      </c>
      <c r="BG12" s="119">
        <v>0.709242535168916</v>
      </c>
      <c r="BH12" s="119">
        <v>0.71018516211716798</v>
      </c>
      <c r="BI12" s="119">
        <v>0.71120143303201799</v>
      </c>
      <c r="BJ12" s="119">
        <v>0.71203373999887398</v>
      </c>
      <c r="BK12" s="119">
        <v>0.71262356041382202</v>
      </c>
      <c r="BL12" s="119">
        <v>0.71213163036971905</v>
      </c>
    </row>
    <row r="13" spans="1:64" x14ac:dyDescent="0.25">
      <c r="A13" s="860" t="s">
        <v>142</v>
      </c>
      <c r="B13" s="1">
        <v>31</v>
      </c>
      <c r="C13" s="119">
        <v>0.5</v>
      </c>
      <c r="D13" s="119">
        <v>0.107448435562251</v>
      </c>
      <c r="E13" s="119">
        <v>0.110553222800611</v>
      </c>
      <c r="F13" s="119">
        <v>0.11342537360562301</v>
      </c>
      <c r="G13" s="119">
        <v>0.116307956452691</v>
      </c>
      <c r="H13" s="119">
        <v>0.119494626611197</v>
      </c>
      <c r="I13" s="119">
        <v>0.12204716021464899</v>
      </c>
      <c r="J13" s="119">
        <v>0.123942253105638</v>
      </c>
      <c r="K13" s="119">
        <v>0.12694642405860401</v>
      </c>
      <c r="L13" s="119">
        <v>0.128582073686829</v>
      </c>
      <c r="M13" s="119">
        <v>0.13284411422791301</v>
      </c>
      <c r="N13" s="119">
        <v>0.13506032542184601</v>
      </c>
      <c r="O13" s="119">
        <v>0.135475220796938</v>
      </c>
      <c r="P13" s="119">
        <v>0.138564799715586</v>
      </c>
      <c r="Q13" s="119">
        <v>0.14085565720305701</v>
      </c>
      <c r="R13" s="119">
        <v>0.144476611991144</v>
      </c>
      <c r="S13" s="119">
        <v>0.146617987089807</v>
      </c>
      <c r="T13" s="119">
        <v>0.14870665710742401</v>
      </c>
      <c r="U13" s="119">
        <v>0.14964788640531801</v>
      </c>
      <c r="V13" s="119">
        <v>0.15157017567400299</v>
      </c>
      <c r="W13" s="119">
        <v>0.15389546084629999</v>
      </c>
      <c r="X13" s="119">
        <v>0.156288860891826</v>
      </c>
      <c r="Y13" s="119">
        <v>0.15724405476157999</v>
      </c>
      <c r="Z13" s="119">
        <v>0.15962580928939499</v>
      </c>
      <c r="AA13" s="119">
        <v>0.16187480070323801</v>
      </c>
      <c r="AB13" s="119">
        <v>0.162897455467411</v>
      </c>
      <c r="AC13" s="119">
        <v>0.16147454128889099</v>
      </c>
      <c r="AD13" s="119">
        <v>0.16285208110816099</v>
      </c>
      <c r="AE13" s="119">
        <v>0.16448774675132799</v>
      </c>
      <c r="AF13" s="119">
        <v>0.16351106175444099</v>
      </c>
      <c r="AG13" s="119">
        <v>0.163103724060987</v>
      </c>
      <c r="AH13" s="119">
        <v>0.16091278438114001</v>
      </c>
      <c r="AI13" s="119">
        <v>0.15408575639087099</v>
      </c>
      <c r="AJ13" s="119">
        <v>0.152894178789272</v>
      </c>
      <c r="AK13" s="119">
        <v>0.15098502395087701</v>
      </c>
      <c r="AL13" s="119">
        <v>0.14862355416679399</v>
      </c>
      <c r="AM13" s="119">
        <v>0.14566584002871899</v>
      </c>
      <c r="AN13" s="119">
        <v>0.143863556653957</v>
      </c>
      <c r="AO13" s="119">
        <v>0.14493382791988099</v>
      </c>
      <c r="AP13" s="119">
        <v>0.14708400053917201</v>
      </c>
      <c r="AQ13" s="119">
        <v>0.148264371155192</v>
      </c>
      <c r="AR13" s="119">
        <v>0.149989903452381</v>
      </c>
      <c r="AS13" s="119">
        <v>0.151049307228732</v>
      </c>
      <c r="AT13" s="119">
        <v>0.15806701374599699</v>
      </c>
      <c r="AU13" s="119">
        <v>0.16364631982989</v>
      </c>
      <c r="AV13" s="119">
        <v>0.170156485584365</v>
      </c>
      <c r="AW13" s="119">
        <v>0.17692585119995899</v>
      </c>
      <c r="AX13" s="119">
        <v>0.18411505893319099</v>
      </c>
      <c r="AY13" s="119">
        <v>0.19212057388721099</v>
      </c>
      <c r="AZ13" s="119">
        <v>0.199878432306552</v>
      </c>
      <c r="BA13" s="119">
        <v>0.205697314741314</v>
      </c>
      <c r="BB13" s="119">
        <v>0.211814321412607</v>
      </c>
      <c r="BC13" s="119">
        <v>0.22044087746000601</v>
      </c>
      <c r="BD13" s="119">
        <v>0.227621939797061</v>
      </c>
      <c r="BE13" s="119">
        <v>0.237015293520836</v>
      </c>
      <c r="BF13" s="119">
        <v>0.242438352830458</v>
      </c>
      <c r="BG13" s="119">
        <v>0.249470913297238</v>
      </c>
      <c r="BH13" s="119">
        <v>0.25597228188030402</v>
      </c>
      <c r="BI13" s="119">
        <v>0.262797338256194</v>
      </c>
      <c r="BJ13" s="119">
        <v>0.27076768721024103</v>
      </c>
      <c r="BK13" s="119">
        <v>0.27544997933020399</v>
      </c>
      <c r="BL13" s="119">
        <v>0.28349169005231201</v>
      </c>
    </row>
    <row r="14" spans="1:64" x14ac:dyDescent="0.25">
      <c r="A14" s="860" t="s">
        <v>143</v>
      </c>
      <c r="B14" s="1">
        <v>44</v>
      </c>
      <c r="C14" s="119">
        <v>0.5</v>
      </c>
      <c r="D14" s="119">
        <v>0.41838384929477002</v>
      </c>
      <c r="E14" s="119">
        <v>0.42597042186171302</v>
      </c>
      <c r="F14" s="119">
        <v>0.43558024802635897</v>
      </c>
      <c r="G14" s="119">
        <v>0.44263726996784503</v>
      </c>
      <c r="H14" s="119">
        <v>0.44994877735309202</v>
      </c>
      <c r="I14" s="119">
        <v>0.45933604226791103</v>
      </c>
      <c r="J14" s="119">
        <v>0.46550641561634398</v>
      </c>
      <c r="K14" s="119">
        <v>0.47448701611454702</v>
      </c>
      <c r="L14" s="119">
        <v>0.48048432029111798</v>
      </c>
      <c r="M14" s="119">
        <v>0.48781065771919202</v>
      </c>
      <c r="N14" s="119">
        <v>0.49586290340894901</v>
      </c>
      <c r="O14" s="119">
        <v>0.50274203631923797</v>
      </c>
      <c r="P14" s="119">
        <v>0.50841622591084201</v>
      </c>
      <c r="Q14" s="119">
        <v>0.51608459076965496</v>
      </c>
      <c r="R14" s="119">
        <v>0.52063730658423402</v>
      </c>
      <c r="S14" s="119">
        <v>0.52964033320644099</v>
      </c>
      <c r="T14" s="119">
        <v>0.53617362004789404</v>
      </c>
      <c r="U14" s="119">
        <v>0.54099792182241102</v>
      </c>
      <c r="V14" s="119">
        <v>0.54545098877611298</v>
      </c>
      <c r="W14" s="119">
        <v>0.54882892109873105</v>
      </c>
      <c r="X14" s="119">
        <v>0.55583907588498005</v>
      </c>
      <c r="Y14" s="119">
        <v>0.55738385381121403</v>
      </c>
      <c r="Z14" s="119">
        <v>0.56052642297635002</v>
      </c>
      <c r="AA14" s="119">
        <v>0.56482567566324604</v>
      </c>
      <c r="AB14" s="119">
        <v>0.56665085185097297</v>
      </c>
      <c r="AC14" s="119">
        <v>0.56986168718896901</v>
      </c>
      <c r="AD14" s="119">
        <v>0.57332594805856396</v>
      </c>
      <c r="AE14" s="119">
        <v>0.57706301762151202</v>
      </c>
      <c r="AF14" s="119">
        <v>0.57945242943886399</v>
      </c>
      <c r="AG14" s="119">
        <v>0.58641357191980203</v>
      </c>
      <c r="AH14" s="119">
        <v>0.58962957419001005</v>
      </c>
      <c r="AI14" s="119">
        <v>0.59311919774424304</v>
      </c>
      <c r="AJ14" s="119">
        <v>0.59363656954527899</v>
      </c>
      <c r="AK14" s="119">
        <v>0.59598909138970901</v>
      </c>
      <c r="AL14" s="119">
        <v>0.59823397013194901</v>
      </c>
      <c r="AM14" s="119">
        <v>0.60217313620558999</v>
      </c>
      <c r="AN14" s="119">
        <v>0.60499422760303501</v>
      </c>
      <c r="AO14" s="119">
        <v>0.608279681314981</v>
      </c>
      <c r="AP14" s="119">
        <v>0.61252964357164696</v>
      </c>
      <c r="AQ14" s="119">
        <v>0.61646653673236396</v>
      </c>
      <c r="AR14" s="119">
        <v>0.62048073813260496</v>
      </c>
      <c r="AS14" s="119">
        <v>0.62440868867362898</v>
      </c>
      <c r="AT14" s="119">
        <v>0.62853276856092799</v>
      </c>
      <c r="AU14" s="119">
        <v>0.63184650317104696</v>
      </c>
      <c r="AV14" s="119">
        <v>0.63359498459202701</v>
      </c>
      <c r="AW14" s="119">
        <v>0.63547286798088498</v>
      </c>
      <c r="AX14" s="119">
        <v>0.63784136946791004</v>
      </c>
      <c r="AY14" s="119">
        <v>0.64068225886254504</v>
      </c>
      <c r="AZ14" s="119">
        <v>0.64540418292134405</v>
      </c>
      <c r="BA14" s="119">
        <v>0.64665274675461204</v>
      </c>
      <c r="BB14" s="119">
        <v>0.64718816818886005</v>
      </c>
      <c r="BC14" s="119">
        <v>0.648874104040843</v>
      </c>
      <c r="BD14" s="119">
        <v>0.64812057345955498</v>
      </c>
      <c r="BE14" s="119">
        <v>0.65275541911476898</v>
      </c>
      <c r="BF14" s="119">
        <v>0.65651708230677097</v>
      </c>
      <c r="BG14" s="119">
        <v>0.65697184405380404</v>
      </c>
      <c r="BH14" s="119">
        <v>0.66202482324299095</v>
      </c>
      <c r="BI14" s="119">
        <v>0.66324915721159206</v>
      </c>
      <c r="BJ14" s="119">
        <v>0.66742192746474804</v>
      </c>
      <c r="BK14" s="119">
        <v>0.66637810680556098</v>
      </c>
      <c r="BL14" s="119">
        <v>0.66918175694954596</v>
      </c>
    </row>
    <row r="15" spans="1:64" x14ac:dyDescent="0.25">
      <c r="A15" s="860" t="s">
        <v>144</v>
      </c>
      <c r="B15" s="1">
        <v>48</v>
      </c>
      <c r="C15" s="119">
        <v>0.5</v>
      </c>
      <c r="D15" s="119">
        <v>0.19671004421412899</v>
      </c>
      <c r="E15" s="119">
        <v>0.20269811821143</v>
      </c>
      <c r="F15" s="119">
        <v>0.20789234719041499</v>
      </c>
      <c r="G15" s="119">
        <v>0.21066462863882701</v>
      </c>
      <c r="H15" s="119">
        <v>0.21431901303798601</v>
      </c>
      <c r="I15" s="119">
        <v>0.22224456738202</v>
      </c>
      <c r="J15" s="119">
        <v>0.22457839102805999</v>
      </c>
      <c r="K15" s="119">
        <v>0.23215671912361499</v>
      </c>
      <c r="L15" s="119">
        <v>0.23842421563701099</v>
      </c>
      <c r="M15" s="119">
        <v>0.240328292180188</v>
      </c>
      <c r="N15" s="119">
        <v>0.245563611306268</v>
      </c>
      <c r="O15" s="119">
        <v>0.250163864781071</v>
      </c>
      <c r="P15" s="119">
        <v>0.25479214391382299</v>
      </c>
      <c r="Q15" s="119">
        <v>0.26033563811945998</v>
      </c>
      <c r="R15" s="119">
        <v>0.26658295160588302</v>
      </c>
      <c r="S15" s="119">
        <v>0.27296502262991001</v>
      </c>
      <c r="T15" s="119">
        <v>0.27736930711606</v>
      </c>
      <c r="U15" s="119">
        <v>0.27979591252595198</v>
      </c>
      <c r="V15" s="119">
        <v>0.28528204484064701</v>
      </c>
      <c r="W15" s="119">
        <v>0.29117781975284801</v>
      </c>
      <c r="X15" s="119">
        <v>0.29511553648154598</v>
      </c>
      <c r="Y15" s="119">
        <v>0.29714332860120801</v>
      </c>
      <c r="Z15" s="119">
        <v>0.30284353044284101</v>
      </c>
      <c r="AA15" s="119">
        <v>0.30693062831946599</v>
      </c>
      <c r="AB15" s="119">
        <v>0.31100110503906803</v>
      </c>
      <c r="AC15" s="119">
        <v>0.31221489788808299</v>
      </c>
      <c r="AD15" s="119">
        <v>0.31647550948737202</v>
      </c>
      <c r="AE15" s="119">
        <v>0.32248783733666397</v>
      </c>
      <c r="AF15" s="119">
        <v>0.327056955878816</v>
      </c>
      <c r="AG15" s="119">
        <v>0.32973799070557802</v>
      </c>
      <c r="AH15" s="119">
        <v>0.333843389284599</v>
      </c>
      <c r="AI15" s="119">
        <v>0.33685783486062199</v>
      </c>
      <c r="AJ15" s="119">
        <v>0.34015838297870699</v>
      </c>
      <c r="AK15" s="119">
        <v>0.34523531959524001</v>
      </c>
      <c r="AL15" s="119">
        <v>0.35171973323695599</v>
      </c>
      <c r="AM15" s="119">
        <v>0.35614800336256902</v>
      </c>
      <c r="AN15" s="119">
        <v>0.35986371653616001</v>
      </c>
      <c r="AO15" s="119">
        <v>0.36176835981109501</v>
      </c>
      <c r="AP15" s="119">
        <v>0.367693787288287</v>
      </c>
      <c r="AQ15" s="119">
        <v>0.37273649083690902</v>
      </c>
      <c r="AR15" s="119">
        <v>0.37974606219429902</v>
      </c>
      <c r="AS15" s="119">
        <v>0.38211120575184698</v>
      </c>
      <c r="AT15" s="119">
        <v>0.38686718867623099</v>
      </c>
      <c r="AU15" s="119">
        <v>0.39143436766908601</v>
      </c>
      <c r="AV15" s="119">
        <v>0.39566620562244498</v>
      </c>
      <c r="AW15" s="119">
        <v>0.40041869568963701</v>
      </c>
      <c r="AX15" s="119">
        <v>0.40677850314131098</v>
      </c>
      <c r="AY15" s="119">
        <v>0.40861391905269201</v>
      </c>
      <c r="AZ15" s="119">
        <v>0.41633722298913201</v>
      </c>
      <c r="BA15" s="119">
        <v>0.418539252479737</v>
      </c>
      <c r="BB15" s="119">
        <v>0.424117882765566</v>
      </c>
      <c r="BC15" s="119">
        <v>0.428677823040506</v>
      </c>
      <c r="BD15" s="119">
        <v>0.43126212957476801</v>
      </c>
      <c r="BE15" s="119">
        <v>0.43585702813900401</v>
      </c>
      <c r="BF15" s="119">
        <v>0.43869556924159497</v>
      </c>
      <c r="BG15" s="119">
        <v>0.44218018840083301</v>
      </c>
      <c r="BH15" s="119">
        <v>0.44511099661207898</v>
      </c>
      <c r="BI15" s="119">
        <v>0.44780610321603798</v>
      </c>
      <c r="BJ15" s="119">
        <v>0.45443846165727703</v>
      </c>
      <c r="BK15" s="119">
        <v>0.45631579124918797</v>
      </c>
      <c r="BL15" s="119">
        <v>0.46164537168583702</v>
      </c>
    </row>
    <row r="16" spans="1:64" x14ac:dyDescent="0.25">
      <c r="A16" s="860" t="s">
        <v>12</v>
      </c>
      <c r="B16" s="1">
        <v>50</v>
      </c>
      <c r="C16" s="119">
        <v>0.5</v>
      </c>
      <c r="D16" s="119">
        <v>3.5796861656472397E-2</v>
      </c>
      <c r="E16" s="119">
        <v>3.9444725431439703E-2</v>
      </c>
      <c r="F16" s="119">
        <v>4.3509870701963799E-2</v>
      </c>
      <c r="G16" s="119">
        <v>4.7539488471752503E-2</v>
      </c>
      <c r="H16" s="119">
        <v>5.2413340867275997E-2</v>
      </c>
      <c r="I16" s="119">
        <v>5.7706221432049599E-2</v>
      </c>
      <c r="J16" s="119">
        <v>6.4140544252513795E-2</v>
      </c>
      <c r="K16" s="119">
        <v>7.1905224596913203E-2</v>
      </c>
      <c r="L16" s="119">
        <v>8.1191617509767194E-2</v>
      </c>
      <c r="M16" s="119">
        <v>9.0827470404556798E-2</v>
      </c>
      <c r="N16" s="119">
        <v>0.101118555440738</v>
      </c>
      <c r="O16" s="119">
        <v>0.11272562110826</v>
      </c>
      <c r="P16" s="119">
        <v>0.126331224997208</v>
      </c>
      <c r="Q16" s="119">
        <v>0.14026420894642999</v>
      </c>
      <c r="R16" s="119">
        <v>0.15388742123548699</v>
      </c>
      <c r="S16" s="119">
        <v>0.17093785395873201</v>
      </c>
      <c r="T16" s="119">
        <v>0.187416636921931</v>
      </c>
      <c r="U16" s="119">
        <v>0.20534484127844599</v>
      </c>
      <c r="V16" s="119">
        <v>0.224035376124671</v>
      </c>
      <c r="W16" s="119">
        <v>0.24541509439856701</v>
      </c>
      <c r="X16" s="119">
        <v>0.26865788229493698</v>
      </c>
      <c r="Y16" s="119">
        <v>0.29378756768048397</v>
      </c>
      <c r="Z16" s="119">
        <v>0.316045088382994</v>
      </c>
      <c r="AA16" s="119">
        <v>0.33874388284395801</v>
      </c>
      <c r="AB16" s="119">
        <v>0.359853717726905</v>
      </c>
      <c r="AC16" s="119">
        <v>0.37804866324584502</v>
      </c>
      <c r="AD16" s="119">
        <v>0.394509445962199</v>
      </c>
      <c r="AE16" s="119">
        <v>0.41023663437826302</v>
      </c>
      <c r="AF16" s="119">
        <v>0.42052309768060803</v>
      </c>
      <c r="AG16" s="119">
        <v>0.42942930845506</v>
      </c>
      <c r="AH16" s="119">
        <v>0.43615903861918998</v>
      </c>
      <c r="AI16" s="119">
        <v>0.44465210749939199</v>
      </c>
      <c r="AJ16" s="119">
        <v>0.45618625296042198</v>
      </c>
      <c r="AK16" s="119">
        <v>0.46598841493139398</v>
      </c>
      <c r="AL16" s="119">
        <v>0.47283679679280999</v>
      </c>
      <c r="AM16" s="119">
        <v>0.47591844404585998</v>
      </c>
      <c r="AN16" s="119">
        <v>0.47571211182994999</v>
      </c>
      <c r="AO16" s="119">
        <v>0.47727345207694699</v>
      </c>
      <c r="AP16" s="119">
        <v>0.485682929521632</v>
      </c>
      <c r="AQ16" s="119">
        <v>0.49728674521393301</v>
      </c>
      <c r="AR16" s="119">
        <v>0.50939088080743</v>
      </c>
      <c r="AS16" s="119">
        <v>0.52147725255814004</v>
      </c>
      <c r="AT16" s="119">
        <v>0.53161088472224705</v>
      </c>
      <c r="AU16" s="119">
        <v>0.539683868894824</v>
      </c>
      <c r="AV16" s="119">
        <v>0.541307895695195</v>
      </c>
      <c r="AW16" s="119">
        <v>0.54097857895907397</v>
      </c>
      <c r="AX16" s="119">
        <v>0.53885787071462798</v>
      </c>
      <c r="AY16" s="119">
        <v>0.53235326199961697</v>
      </c>
      <c r="AZ16" s="119">
        <v>0.536981733962827</v>
      </c>
      <c r="BA16" s="119">
        <v>0.543431474336172</v>
      </c>
      <c r="BB16" s="119">
        <v>0.54655056198580598</v>
      </c>
      <c r="BC16" s="119">
        <v>0.55176001998261004</v>
      </c>
      <c r="BD16" s="119">
        <v>0.55689704945207397</v>
      </c>
      <c r="BE16" s="119">
        <v>0.56020537117077795</v>
      </c>
      <c r="BF16" s="119">
        <v>0.56472656640813901</v>
      </c>
      <c r="BG16" s="119">
        <v>0.56916742799445297</v>
      </c>
      <c r="BH16" s="119">
        <v>0.57190572618829705</v>
      </c>
      <c r="BI16" s="119">
        <v>0.574888411585746</v>
      </c>
      <c r="BJ16" s="119">
        <v>0.57807999409400601</v>
      </c>
      <c r="BK16" s="119">
        <v>0.58247165787129496</v>
      </c>
      <c r="BL16" s="119">
        <v>0.58586301169028698</v>
      </c>
    </row>
    <row r="17" spans="1:64" x14ac:dyDescent="0.25">
      <c r="A17" s="860" t="s">
        <v>145</v>
      </c>
      <c r="B17" s="1">
        <v>52</v>
      </c>
      <c r="C17" s="119">
        <v>0.5</v>
      </c>
      <c r="D17" s="119">
        <v>0.35893323075616601</v>
      </c>
      <c r="E17" s="119">
        <v>0.36747633668533902</v>
      </c>
      <c r="F17" s="119">
        <v>0.37590687934560801</v>
      </c>
      <c r="G17" s="119">
        <v>0.38395234941583101</v>
      </c>
      <c r="H17" s="119">
        <v>0.39177851650180601</v>
      </c>
      <c r="I17" s="119">
        <v>0.40141010439547598</v>
      </c>
      <c r="J17" s="119">
        <v>0.40830332195194602</v>
      </c>
      <c r="K17" s="119">
        <v>0.41633342873544599</v>
      </c>
      <c r="L17" s="119">
        <v>0.42563469087648698</v>
      </c>
      <c r="M17" s="119">
        <v>0.43381445281108699</v>
      </c>
      <c r="N17" s="119">
        <v>0.44305753519005697</v>
      </c>
      <c r="O17" s="119">
        <v>0.45190954408560902</v>
      </c>
      <c r="P17" s="119">
        <v>0.45966515502461602</v>
      </c>
      <c r="Q17" s="119">
        <v>0.46685751284931098</v>
      </c>
      <c r="R17" s="119">
        <v>0.47304511522603199</v>
      </c>
      <c r="S17" s="119">
        <v>0.48002562097283102</v>
      </c>
      <c r="T17" s="119">
        <v>0.48643006542491102</v>
      </c>
      <c r="U17" s="119">
        <v>0.49378826153174599</v>
      </c>
      <c r="V17" s="119">
        <v>0.49986809543580302</v>
      </c>
      <c r="W17" s="119">
        <v>0.50393382289726496</v>
      </c>
      <c r="X17" s="119">
        <v>0.50883047561962902</v>
      </c>
      <c r="Y17" s="119">
        <v>0.51345783899628405</v>
      </c>
      <c r="Z17" s="119">
        <v>0.51634657263957195</v>
      </c>
      <c r="AA17" s="119">
        <v>0.52091349081536498</v>
      </c>
      <c r="AB17" s="119">
        <v>0.52524434127505804</v>
      </c>
      <c r="AC17" s="119">
        <v>0.53003037226201599</v>
      </c>
      <c r="AD17" s="119">
        <v>0.53204470509742896</v>
      </c>
      <c r="AE17" s="119">
        <v>0.53575801262327005</v>
      </c>
      <c r="AF17" s="119">
        <v>0.53824795230737099</v>
      </c>
      <c r="AG17" s="119">
        <v>0.541720466522012</v>
      </c>
      <c r="AH17" s="119">
        <v>0.54733110918155004</v>
      </c>
      <c r="AI17" s="119">
        <v>0.54899217264107103</v>
      </c>
      <c r="AJ17" s="119">
        <v>0.55204067007147495</v>
      </c>
      <c r="AK17" s="119">
        <v>0.55546037696270401</v>
      </c>
      <c r="AL17" s="119">
        <v>0.55682410769035995</v>
      </c>
      <c r="AM17" s="119">
        <v>0.56089072276235696</v>
      </c>
      <c r="AN17" s="119">
        <v>0.56448627211019597</v>
      </c>
      <c r="AO17" s="119">
        <v>0.56522954378157197</v>
      </c>
      <c r="AP17" s="119">
        <v>0.56908504862946296</v>
      </c>
      <c r="AQ17" s="119">
        <v>0.57134841001348602</v>
      </c>
      <c r="AR17" s="119">
        <v>0.57195492953434901</v>
      </c>
      <c r="AS17" s="119">
        <v>0.57377712562425998</v>
      </c>
      <c r="AT17" s="119">
        <v>0.57670825318181995</v>
      </c>
      <c r="AU17" s="119">
        <v>0.58092148048810499</v>
      </c>
      <c r="AV17" s="119">
        <v>0.58218970151560501</v>
      </c>
      <c r="AW17" s="119">
        <v>0.58573097479134395</v>
      </c>
      <c r="AX17" s="119">
        <v>0.59064164413030795</v>
      </c>
      <c r="AY17" s="119">
        <v>0.59240317275186105</v>
      </c>
      <c r="AZ17" s="119">
        <v>0.59548718947734103</v>
      </c>
      <c r="BA17" s="119">
        <v>0.59846407920580302</v>
      </c>
      <c r="BB17" s="119">
        <v>0.60022341852851502</v>
      </c>
      <c r="BC17" s="119">
        <v>0.60201804127401604</v>
      </c>
      <c r="BD17" s="119">
        <v>0.604286415396728</v>
      </c>
      <c r="BE17" s="119">
        <v>0.60676211104426603</v>
      </c>
      <c r="BF17" s="119">
        <v>0.60813510741392396</v>
      </c>
      <c r="BG17" s="119">
        <v>0.61086524834281997</v>
      </c>
      <c r="BH17" s="119">
        <v>0.61389769246972903</v>
      </c>
      <c r="BI17" s="119">
        <v>0.617090672943578</v>
      </c>
      <c r="BJ17" s="119">
        <v>0.61993483901943403</v>
      </c>
      <c r="BK17" s="119">
        <v>0.62354424837345901</v>
      </c>
      <c r="BL17" s="119">
        <v>0.62586992673052899</v>
      </c>
    </row>
    <row r="18" spans="1:64" x14ac:dyDescent="0.25">
      <c r="A18" s="860" t="s">
        <v>146</v>
      </c>
      <c r="B18" s="1">
        <v>112</v>
      </c>
      <c r="C18" s="119">
        <v>0.5</v>
      </c>
      <c r="D18" s="119">
        <v>0.22576711217520701</v>
      </c>
      <c r="E18" s="119">
        <v>0.234603331273805</v>
      </c>
      <c r="F18" s="119">
        <v>0.24698672185765899</v>
      </c>
      <c r="G18" s="119">
        <v>0.25261549272131001</v>
      </c>
      <c r="H18" s="119">
        <v>0.26188584905564799</v>
      </c>
      <c r="I18" s="119">
        <v>0.27315214894405399</v>
      </c>
      <c r="J18" s="119">
        <v>0.27967339496342097</v>
      </c>
      <c r="K18" s="119">
        <v>0.28708183999475401</v>
      </c>
      <c r="L18" s="119">
        <v>0.29678503151139002</v>
      </c>
      <c r="M18" s="119">
        <v>0.30444677829939298</v>
      </c>
      <c r="N18" s="119">
        <v>0.31397498276763403</v>
      </c>
      <c r="O18" s="119">
        <v>0.322459027860789</v>
      </c>
      <c r="P18" s="119">
        <v>0.333468644559825</v>
      </c>
      <c r="Q18" s="119">
        <v>0.34122031999719898</v>
      </c>
      <c r="R18" s="119">
        <v>0.34904945325676401</v>
      </c>
      <c r="S18" s="119">
        <v>0.3596652068074</v>
      </c>
      <c r="T18" s="119">
        <v>0.36837165106708503</v>
      </c>
      <c r="U18" s="119">
        <v>0.37775736001203702</v>
      </c>
      <c r="V18" s="119">
        <v>0.386952608201658</v>
      </c>
      <c r="W18" s="119">
        <v>0.39412043513483203</v>
      </c>
      <c r="X18" s="119">
        <v>0.400071819079237</v>
      </c>
      <c r="Y18" s="119">
        <v>0.39997917500586799</v>
      </c>
      <c r="Z18" s="119">
        <v>0.400814463125862</v>
      </c>
      <c r="AA18" s="119">
        <v>0.39887065729099402</v>
      </c>
      <c r="AB18" s="119">
        <v>0.39894594047453602</v>
      </c>
      <c r="AC18" s="119">
        <v>0.39965721389951497</v>
      </c>
      <c r="AD18" s="119">
        <v>0.40604445714388199</v>
      </c>
      <c r="AE18" s="119">
        <v>0.41665841578457302</v>
      </c>
      <c r="AF18" s="119">
        <v>0.43007600366559701</v>
      </c>
      <c r="AG18" s="119">
        <v>0.44339216311428697</v>
      </c>
      <c r="AH18" s="119">
        <v>0.45812039727715298</v>
      </c>
      <c r="AI18" s="119">
        <v>0.47286715452838002</v>
      </c>
      <c r="AJ18" s="119">
        <v>0.48765648630196401</v>
      </c>
      <c r="AK18" s="119">
        <v>0.49955671739650398</v>
      </c>
      <c r="AL18" s="119">
        <v>0.51421010886273499</v>
      </c>
      <c r="AM18" s="119">
        <v>0.52221957936373797</v>
      </c>
      <c r="AN18" s="119">
        <v>0.52811344764652002</v>
      </c>
      <c r="AO18" s="119">
        <v>0.53109960744709805</v>
      </c>
      <c r="AP18" s="119">
        <v>0.53212893575811904</v>
      </c>
      <c r="AQ18" s="119">
        <v>0.53198201866599804</v>
      </c>
      <c r="AR18" s="119">
        <v>0.53384384610532198</v>
      </c>
      <c r="AS18" s="119">
        <v>0.53333772295857695</v>
      </c>
      <c r="AT18" s="119">
        <v>0.53345078819858904</v>
      </c>
      <c r="AU18" s="119">
        <v>0.53324001089172501</v>
      </c>
      <c r="AV18" s="119">
        <v>0.53069543255852103</v>
      </c>
      <c r="AW18" s="119">
        <v>0.52992622556926305</v>
      </c>
      <c r="AX18" s="119">
        <v>0.52803162311523899</v>
      </c>
      <c r="AY18" s="119">
        <v>0.52576377377678096</v>
      </c>
      <c r="AZ18" s="119">
        <v>0.52192841820314495</v>
      </c>
      <c r="BA18" s="119">
        <v>0.51779278147375796</v>
      </c>
      <c r="BB18" s="119">
        <v>0.51922941769090902</v>
      </c>
      <c r="BC18" s="119">
        <v>0.52077137578659805</v>
      </c>
      <c r="BD18" s="119">
        <v>0.52480694404085404</v>
      </c>
      <c r="BE18" s="119">
        <v>0.52654794046959097</v>
      </c>
      <c r="BF18" s="119">
        <v>0.53163682886727504</v>
      </c>
      <c r="BG18" s="119">
        <v>0.53441167899341302</v>
      </c>
      <c r="BH18" s="119">
        <v>0.53802366268717505</v>
      </c>
      <c r="BI18" s="119">
        <v>0.54037174189377501</v>
      </c>
      <c r="BJ18" s="119">
        <v>0.54298980650189599</v>
      </c>
      <c r="BK18" s="119">
        <v>0.54507377682415703</v>
      </c>
      <c r="BL18" s="119">
        <v>0.54658353281585903</v>
      </c>
    </row>
    <row r="19" spans="1:64" x14ac:dyDescent="0.25">
      <c r="A19" s="860" t="s">
        <v>147</v>
      </c>
      <c r="B19" s="1">
        <v>56</v>
      </c>
      <c r="C19" s="119">
        <v>0.5</v>
      </c>
      <c r="D19" s="119">
        <v>0.17761376173768501</v>
      </c>
      <c r="E19" s="119">
        <v>0.216930735094926</v>
      </c>
      <c r="F19" s="119">
        <v>0.26206921850430298</v>
      </c>
      <c r="G19" s="119">
        <v>0.30984287305485902</v>
      </c>
      <c r="H19" s="119">
        <v>0.35971482928123399</v>
      </c>
      <c r="I19" s="119">
        <v>0.41377213411317398</v>
      </c>
      <c r="J19" s="119">
        <v>0.44482078965267402</v>
      </c>
      <c r="K19" s="119">
        <v>0.47402053464705102</v>
      </c>
      <c r="L19" s="119">
        <v>0.50007071770108702</v>
      </c>
      <c r="M19" s="119">
        <v>0.52391711055585899</v>
      </c>
      <c r="N19" s="119">
        <v>0.54381155856000096</v>
      </c>
      <c r="O19" s="119">
        <v>0.56153503671873795</v>
      </c>
      <c r="P19" s="119">
        <v>0.57639979961797605</v>
      </c>
      <c r="Q19" s="119">
        <v>0.59114615050955299</v>
      </c>
      <c r="R19" s="119">
        <v>0.60749594726283596</v>
      </c>
      <c r="S19" s="119">
        <v>0.61897537743707198</v>
      </c>
      <c r="T19" s="119">
        <v>0.62927272678199297</v>
      </c>
      <c r="U19" s="119">
        <v>0.63545743732117699</v>
      </c>
      <c r="V19" s="119">
        <v>0.641357258969533</v>
      </c>
      <c r="W19" s="119">
        <v>0.64378226069446898</v>
      </c>
      <c r="X19" s="119">
        <v>0.64406466808021801</v>
      </c>
      <c r="Y19" s="119">
        <v>0.64312214507243204</v>
      </c>
      <c r="Z19" s="119">
        <v>0.63820669270570096</v>
      </c>
      <c r="AA19" s="119">
        <v>0.62948384012778402</v>
      </c>
      <c r="AB19" s="119">
        <v>0.61969772627668196</v>
      </c>
      <c r="AC19" s="119">
        <v>0.60674556969833204</v>
      </c>
      <c r="AD19" s="119">
        <v>0.59267698101864996</v>
      </c>
      <c r="AE19" s="119">
        <v>0.58535221201449705</v>
      </c>
      <c r="AF19" s="119">
        <v>0.58499285109886601</v>
      </c>
      <c r="AG19" s="119">
        <v>0.58640301313986298</v>
      </c>
      <c r="AH19" s="119">
        <v>0.59333668436464204</v>
      </c>
      <c r="AI19" s="119">
        <v>0.59962989591080396</v>
      </c>
      <c r="AJ19" s="119">
        <v>0.60397594639533403</v>
      </c>
      <c r="AK19" s="119">
        <v>0.607084734540422</v>
      </c>
      <c r="AL19" s="119">
        <v>0.61194259739691703</v>
      </c>
      <c r="AM19" s="119">
        <v>0.617295576021615</v>
      </c>
      <c r="AN19" s="119">
        <v>0.62699854840777403</v>
      </c>
      <c r="AO19" s="119">
        <v>0.63683447283274097</v>
      </c>
      <c r="AP19" s="119">
        <v>0.64587006817035497</v>
      </c>
      <c r="AQ19" s="119">
        <v>0.653228681366403</v>
      </c>
      <c r="AR19" s="119">
        <v>0.65897859267544601</v>
      </c>
      <c r="AS19" s="119">
        <v>0.66216714611517702</v>
      </c>
      <c r="AT19" s="119">
        <v>0.66515499379852405</v>
      </c>
      <c r="AU19" s="119">
        <v>0.66564420184250495</v>
      </c>
      <c r="AV19" s="119">
        <v>0.66495228518563798</v>
      </c>
      <c r="AW19" s="119">
        <v>0.66328885077913702</v>
      </c>
      <c r="AX19" s="119">
        <v>0.66192718174834397</v>
      </c>
      <c r="AY19" s="119">
        <v>0.66041791524889704</v>
      </c>
      <c r="AZ19" s="119">
        <v>0.65976342960393297</v>
      </c>
      <c r="BA19" s="119">
        <v>0.66096517280674405</v>
      </c>
      <c r="BB19" s="119">
        <v>0.66037060417740001</v>
      </c>
      <c r="BC19" s="119">
        <v>0.66175231777239896</v>
      </c>
      <c r="BD19" s="119">
        <v>0.66243120539887501</v>
      </c>
      <c r="BE19" s="119">
        <v>0.66276510379022302</v>
      </c>
      <c r="BF19" s="119">
        <v>0.663714012097259</v>
      </c>
      <c r="BG19" s="119">
        <v>0.66617785378248195</v>
      </c>
      <c r="BH19" s="119">
        <v>0.66646066752560196</v>
      </c>
      <c r="BI19" s="119">
        <v>0.66765890910275605</v>
      </c>
      <c r="BJ19" s="119">
        <v>0.66895772253285002</v>
      </c>
      <c r="BK19" s="119">
        <v>0.66721978081938504</v>
      </c>
      <c r="BL19" s="119">
        <v>0.66698784066017502</v>
      </c>
    </row>
    <row r="20" spans="1:64" x14ac:dyDescent="0.25">
      <c r="A20" s="860" t="s">
        <v>148</v>
      </c>
      <c r="B20" s="1">
        <v>84</v>
      </c>
      <c r="C20" s="119">
        <v>0.5</v>
      </c>
      <c r="D20" s="119">
        <v>0.17479650926238699</v>
      </c>
      <c r="E20" s="119">
        <v>0.182859255965895</v>
      </c>
      <c r="F20" s="119">
        <v>0.192012652089256</v>
      </c>
      <c r="G20" s="119">
        <v>0.201824072381901</v>
      </c>
      <c r="H20" s="119">
        <v>0.213495545669704</v>
      </c>
      <c r="I20" s="119">
        <v>0.22392953433145901</v>
      </c>
      <c r="J20" s="119">
        <v>0.23380627068457799</v>
      </c>
      <c r="K20" s="119">
        <v>0.24350639292925799</v>
      </c>
      <c r="L20" s="119">
        <v>0.25567462098717297</v>
      </c>
      <c r="M20" s="119">
        <v>0.26775643958344503</v>
      </c>
      <c r="N20" s="119">
        <v>0.27740089341276802</v>
      </c>
      <c r="O20" s="119">
        <v>0.28842343931745801</v>
      </c>
      <c r="P20" s="119">
        <v>0.30296968022387499</v>
      </c>
      <c r="Q20" s="119">
        <v>0.31408579967665101</v>
      </c>
      <c r="R20" s="119">
        <v>0.32730740589108398</v>
      </c>
      <c r="S20" s="119">
        <v>0.33841993232210399</v>
      </c>
      <c r="T20" s="119">
        <v>0.34986840936505098</v>
      </c>
      <c r="U20" s="119">
        <v>0.35900060153240898</v>
      </c>
      <c r="V20" s="119">
        <v>0.37286934730681398</v>
      </c>
      <c r="W20" s="119">
        <v>0.38330267661928602</v>
      </c>
      <c r="X20" s="119">
        <v>0.39218417188812699</v>
      </c>
      <c r="Y20" s="119">
        <v>0.40373791422836902</v>
      </c>
      <c r="Z20" s="119">
        <v>0.41361473166218599</v>
      </c>
      <c r="AA20" s="119">
        <v>0.42197082878054998</v>
      </c>
      <c r="AB20" s="119">
        <v>0.43248441078194899</v>
      </c>
      <c r="AC20" s="119">
        <v>0.44119500793795102</v>
      </c>
      <c r="AD20" s="119">
        <v>0.44838437384697399</v>
      </c>
      <c r="AE20" s="119">
        <v>0.45566482254966001</v>
      </c>
      <c r="AF20" s="119">
        <v>0.46134660446180398</v>
      </c>
      <c r="AG20" s="119">
        <v>0.46504952933433302</v>
      </c>
      <c r="AH20" s="119">
        <v>0.46506516615568899</v>
      </c>
      <c r="AI20" s="119">
        <v>0.46266644138978202</v>
      </c>
      <c r="AJ20" s="119">
        <v>0.458009791953851</v>
      </c>
      <c r="AK20" s="119">
        <v>0.45594673489954302</v>
      </c>
      <c r="AL20" s="119">
        <v>0.45075292904285602</v>
      </c>
      <c r="AM20" s="119">
        <v>0.44813457165195197</v>
      </c>
      <c r="AN20" s="119">
        <v>0.44839629138189802</v>
      </c>
      <c r="AO20" s="119">
        <v>0.45363961462972202</v>
      </c>
      <c r="AP20" s="119">
        <v>0.46256006209155098</v>
      </c>
      <c r="AQ20" s="119">
        <v>0.47124736505867798</v>
      </c>
      <c r="AR20" s="119">
        <v>0.47901362823271998</v>
      </c>
      <c r="AS20" s="119">
        <v>0.48692473640962097</v>
      </c>
      <c r="AT20" s="119">
        <v>0.49251849737254899</v>
      </c>
      <c r="AU20" s="119">
        <v>0.495143443772944</v>
      </c>
      <c r="AV20" s="119">
        <v>0.49838385901273102</v>
      </c>
      <c r="AW20" s="119">
        <v>0.50125911980077298</v>
      </c>
      <c r="AX20" s="119">
        <v>0.50564699778636202</v>
      </c>
      <c r="AY20" s="119">
        <v>0.510066205192653</v>
      </c>
      <c r="AZ20" s="119">
        <v>0.51597472288033497</v>
      </c>
      <c r="BA20" s="119">
        <v>0.52189430296338601</v>
      </c>
      <c r="BB20" s="119">
        <v>0.52831097806013805</v>
      </c>
      <c r="BC20" s="119">
        <v>0.53143113040406897</v>
      </c>
      <c r="BD20" s="119">
        <v>0.53755734495442398</v>
      </c>
      <c r="BE20" s="119">
        <v>0.54243614070113999</v>
      </c>
      <c r="BF20" s="119">
        <v>0.547368756515764</v>
      </c>
      <c r="BG20" s="119">
        <v>0.55257162233684698</v>
      </c>
      <c r="BH20" s="119">
        <v>0.55646293660397805</v>
      </c>
      <c r="BI20" s="119">
        <v>0.55986792773524396</v>
      </c>
      <c r="BJ20" s="119">
        <v>0.56451293033077798</v>
      </c>
      <c r="BK20" s="119">
        <v>0.56819400037836998</v>
      </c>
      <c r="BL20" s="119">
        <v>0.57050129063372401</v>
      </c>
    </row>
    <row r="21" spans="1:64" x14ac:dyDescent="0.25">
      <c r="A21" s="860" t="s">
        <v>13</v>
      </c>
      <c r="B21" s="1">
        <v>204</v>
      </c>
      <c r="C21" s="119">
        <v>0.5</v>
      </c>
      <c r="D21" s="119">
        <v>1.65158714501044E-3</v>
      </c>
      <c r="E21" s="119">
        <v>1.85077859657299E-3</v>
      </c>
      <c r="F21" s="119">
        <v>2.0549279425479401E-3</v>
      </c>
      <c r="G21" s="119">
        <v>2.3728937694372401E-3</v>
      </c>
      <c r="H21" s="119">
        <v>2.7059809101010902E-3</v>
      </c>
      <c r="I21" s="119">
        <v>3.0968052201145999E-3</v>
      </c>
      <c r="J21" s="119">
        <v>3.4725044140371101E-3</v>
      </c>
      <c r="K21" s="119">
        <v>3.9469839911069303E-3</v>
      </c>
      <c r="L21" s="119">
        <v>4.4718424606925E-3</v>
      </c>
      <c r="M21" s="119">
        <v>5.0186625268120004E-3</v>
      </c>
      <c r="N21" s="119">
        <v>5.6456665266283604E-3</v>
      </c>
      <c r="O21" s="119">
        <v>6.4027776892492099E-3</v>
      </c>
      <c r="P21" s="119">
        <v>7.2209054623714698E-3</v>
      </c>
      <c r="Q21" s="119">
        <v>8.1186516162989695E-3</v>
      </c>
      <c r="R21" s="119">
        <v>9.1408710022638194E-3</v>
      </c>
      <c r="S21" s="119">
        <v>1.02006981263529E-2</v>
      </c>
      <c r="T21" s="119">
        <v>1.1528812445707699E-2</v>
      </c>
      <c r="U21" s="119">
        <v>1.2979273420965399E-2</v>
      </c>
      <c r="V21" s="119">
        <v>1.4508018625892301E-2</v>
      </c>
      <c r="W21" s="119">
        <v>1.647374996743E-2</v>
      </c>
      <c r="X21" s="119">
        <v>1.8513743152473901E-2</v>
      </c>
      <c r="Y21" s="119">
        <v>2.0777960503296201E-2</v>
      </c>
      <c r="Z21" s="119">
        <v>2.32250585905905E-2</v>
      </c>
      <c r="AA21" s="119">
        <v>2.5844898535117199E-2</v>
      </c>
      <c r="AB21" s="119">
        <v>2.8525310937333799E-2</v>
      </c>
      <c r="AC21" s="119">
        <v>3.1649832880586898E-2</v>
      </c>
      <c r="AD21" s="119">
        <v>3.50910715456677E-2</v>
      </c>
      <c r="AE21" s="119">
        <v>4.0997768747721403E-2</v>
      </c>
      <c r="AF21" s="119">
        <v>4.7315385938953902E-2</v>
      </c>
      <c r="AG21" s="119">
        <v>5.4332681178041499E-2</v>
      </c>
      <c r="AH21" s="119">
        <v>6.1356705738696601E-2</v>
      </c>
      <c r="AI21" s="119">
        <v>6.8146567490283499E-2</v>
      </c>
      <c r="AJ21" s="119">
        <v>6.8435603115747007E-2</v>
      </c>
      <c r="AK21" s="119">
        <v>6.7546893207010503E-2</v>
      </c>
      <c r="AL21" s="119">
        <v>6.60149773239634E-2</v>
      </c>
      <c r="AM21" s="119">
        <v>6.4404178798379494E-2</v>
      </c>
      <c r="AN21" s="119">
        <v>6.2978229162045707E-2</v>
      </c>
      <c r="AO21" s="119">
        <v>6.5049698656743205E-2</v>
      </c>
      <c r="AP21" s="119">
        <v>6.7504361401502205E-2</v>
      </c>
      <c r="AQ21" s="119">
        <v>7.0221103864471904E-2</v>
      </c>
      <c r="AR21" s="119">
        <v>7.3347389691005696E-2</v>
      </c>
      <c r="AS21" s="119">
        <v>7.6748153797997695E-2</v>
      </c>
      <c r="AT21" s="119">
        <v>8.0977662524870306E-2</v>
      </c>
      <c r="AU21" s="119">
        <v>8.8941196441266204E-2</v>
      </c>
      <c r="AV21" s="119">
        <v>9.7541239419695294E-2</v>
      </c>
      <c r="AW21" s="119">
        <v>0.104182703834774</v>
      </c>
      <c r="AX21" s="119">
        <v>0.11116596637236099</v>
      </c>
      <c r="AY21" s="119">
        <v>0.117765166226544</v>
      </c>
      <c r="AZ21" s="119">
        <v>0.124526328031192</v>
      </c>
      <c r="BA21" s="119">
        <v>0.130490026000744</v>
      </c>
      <c r="BB21" s="119">
        <v>0.13669878068871699</v>
      </c>
      <c r="BC21" s="119">
        <v>0.14382701666148501</v>
      </c>
      <c r="BD21" s="119">
        <v>0.15136588654039401</v>
      </c>
      <c r="BE21" s="119">
        <v>0.15762681780764701</v>
      </c>
      <c r="BF21" s="119">
        <v>0.16508869151875499</v>
      </c>
      <c r="BG21" s="119">
        <v>0.172561130896767</v>
      </c>
      <c r="BH21" s="119">
        <v>0.180612714237781</v>
      </c>
      <c r="BI21" s="119">
        <v>0.187864501217054</v>
      </c>
      <c r="BJ21" s="119">
        <v>0.19710588687626199</v>
      </c>
      <c r="BK21" s="119">
        <v>0.205732067560496</v>
      </c>
      <c r="BL21" s="119">
        <v>0.21385018754471</v>
      </c>
    </row>
    <row r="22" spans="1:64" x14ac:dyDescent="0.25">
      <c r="A22" s="860" t="s">
        <v>14</v>
      </c>
      <c r="B22" s="1">
        <v>64</v>
      </c>
      <c r="C22" s="119">
        <v>0.5</v>
      </c>
      <c r="D22" s="119">
        <v>4.63313199021139E-2</v>
      </c>
      <c r="E22" s="119">
        <v>4.9915206395007003E-2</v>
      </c>
      <c r="F22" s="119">
        <v>5.4255090713759703E-2</v>
      </c>
      <c r="G22" s="119">
        <v>5.8567341144434501E-2</v>
      </c>
      <c r="H22" s="119">
        <v>6.3888757199792701E-2</v>
      </c>
      <c r="I22" s="119">
        <v>6.8278749249392007E-2</v>
      </c>
      <c r="J22" s="119">
        <v>7.2971756926515696E-2</v>
      </c>
      <c r="K22" s="119">
        <v>7.8705833851509505E-2</v>
      </c>
      <c r="L22" s="119">
        <v>8.4552903976499297E-2</v>
      </c>
      <c r="M22" s="119">
        <v>9.1957470935925906E-2</v>
      </c>
      <c r="N22" s="119">
        <v>9.8324372324009798E-2</v>
      </c>
      <c r="O22" s="119">
        <v>0.105111495923276</v>
      </c>
      <c r="P22" s="119">
        <v>0.111958085081798</v>
      </c>
      <c r="Q22" s="119">
        <v>0.119150499372039</v>
      </c>
      <c r="R22" s="119">
        <v>0.12733961698787799</v>
      </c>
      <c r="S22" s="119">
        <v>0.135764978114226</v>
      </c>
      <c r="T22" s="119">
        <v>0.14532744214024801</v>
      </c>
      <c r="U22" s="119">
        <v>0.155416616668591</v>
      </c>
      <c r="V22" s="119">
        <v>0.166108982249766</v>
      </c>
      <c r="W22" s="119">
        <v>0.176172248727892</v>
      </c>
      <c r="X22" s="119">
        <v>0.187394806085392</v>
      </c>
      <c r="Y22" s="119">
        <v>0.19682278647243301</v>
      </c>
      <c r="Z22" s="119">
        <v>0.20639412279619199</v>
      </c>
      <c r="AA22" s="119">
        <v>0.21785527105751001</v>
      </c>
      <c r="AB22" s="119">
        <v>0.22897835777579201</v>
      </c>
      <c r="AC22" s="119">
        <v>0.240424835272364</v>
      </c>
      <c r="AD22" s="119">
        <v>0.25124990707327399</v>
      </c>
      <c r="AE22" s="119">
        <v>0.26379880240480102</v>
      </c>
      <c r="AF22" s="119">
        <v>0.27648248072950798</v>
      </c>
      <c r="AG22" s="119">
        <v>0.29052665716654802</v>
      </c>
      <c r="AH22" s="119">
        <v>0.30484082466437401</v>
      </c>
      <c r="AI22" s="119">
        <v>0.32092139209043102</v>
      </c>
      <c r="AJ22" s="119">
        <v>0.33693554310721002</v>
      </c>
      <c r="AK22" s="119">
        <v>0.35404179084357701</v>
      </c>
      <c r="AL22" s="119">
        <v>0.37231033638866101</v>
      </c>
      <c r="AM22" s="119">
        <v>0.39091180088199701</v>
      </c>
      <c r="AN22" s="119">
        <v>0.411075687210466</v>
      </c>
      <c r="AO22" s="119">
        <v>0.43393548959963002</v>
      </c>
      <c r="AP22" s="119">
        <v>0.46102877972961498</v>
      </c>
      <c r="AQ22" s="119">
        <v>0.48958945207862398</v>
      </c>
      <c r="AR22" s="119">
        <v>0.516559389015953</v>
      </c>
      <c r="AS22" s="119">
        <v>0.53442026939426701</v>
      </c>
      <c r="AT22" s="119">
        <v>0.54852373749429595</v>
      </c>
      <c r="AU22" s="119">
        <v>0.55843247633638105</v>
      </c>
      <c r="AV22" s="119">
        <v>0.56696595319940701</v>
      </c>
      <c r="AW22" s="119">
        <v>0.57460467725242703</v>
      </c>
      <c r="AX22" s="119">
        <v>0.58175861982268895</v>
      </c>
      <c r="AY22" s="119">
        <v>0.58877802123005996</v>
      </c>
      <c r="AZ22" s="119">
        <v>0.59705309317628097</v>
      </c>
      <c r="BA22" s="119">
        <v>0.60253631536957597</v>
      </c>
      <c r="BB22" s="119">
        <v>0.60784802125042303</v>
      </c>
      <c r="BC22" s="119">
        <v>0.61124834415362606</v>
      </c>
      <c r="BD22" s="119">
        <v>0.61988543075059399</v>
      </c>
      <c r="BE22" s="119">
        <v>0.62267924375791694</v>
      </c>
      <c r="BF22" s="119">
        <v>0.62534188821512604</v>
      </c>
      <c r="BG22" s="119">
        <v>0.63156395554253097</v>
      </c>
      <c r="BH22" s="119">
        <v>0.63552747141624399</v>
      </c>
      <c r="BI22" s="119">
        <v>0.63793619316987304</v>
      </c>
      <c r="BJ22" s="119">
        <v>0.64044855939888801</v>
      </c>
      <c r="BK22" s="119">
        <v>0.64347644906462498</v>
      </c>
      <c r="BL22" s="119">
        <v>0.64708167298764296</v>
      </c>
    </row>
    <row r="23" spans="1:64" x14ac:dyDescent="0.25">
      <c r="A23" s="860" t="s">
        <v>15</v>
      </c>
      <c r="B23" s="1">
        <v>68</v>
      </c>
      <c r="C23" s="119">
        <v>0.5</v>
      </c>
      <c r="D23" s="119">
        <v>3.7154912007432699E-2</v>
      </c>
      <c r="E23" s="119">
        <v>3.9714062651273599E-2</v>
      </c>
      <c r="F23" s="119">
        <v>4.3436000944394301E-2</v>
      </c>
      <c r="G23" s="119">
        <v>4.6695614319612798E-2</v>
      </c>
      <c r="H23" s="119">
        <v>5.0794780142406397E-2</v>
      </c>
      <c r="I23" s="119">
        <v>5.52505631890216E-2</v>
      </c>
      <c r="J23" s="119">
        <v>5.8833414801217003E-2</v>
      </c>
      <c r="K23" s="119">
        <v>6.3474166900199205E-2</v>
      </c>
      <c r="L23" s="119">
        <v>6.8044547529336794E-2</v>
      </c>
      <c r="M23" s="119">
        <v>7.30158302646471E-2</v>
      </c>
      <c r="N23" s="119">
        <v>7.76330312103405E-2</v>
      </c>
      <c r="O23" s="119">
        <v>8.3288451712132394E-2</v>
      </c>
      <c r="P23" s="119">
        <v>8.7919527157144003E-2</v>
      </c>
      <c r="Q23" s="119">
        <v>9.4305552415792998E-2</v>
      </c>
      <c r="R23" s="119">
        <v>9.8433005963155198E-2</v>
      </c>
      <c r="S23" s="119">
        <v>0.10339019518760301</v>
      </c>
      <c r="T23" s="119">
        <v>0.10842667437954601</v>
      </c>
      <c r="U23" s="119">
        <v>0.112655755369285</v>
      </c>
      <c r="V23" s="119">
        <v>0.117981561416026</v>
      </c>
      <c r="W23" s="119">
        <v>0.12430272235777</v>
      </c>
      <c r="X23" s="119">
        <v>0.13504966076059</v>
      </c>
      <c r="Y23" s="119">
        <v>0.14716195925721601</v>
      </c>
      <c r="Z23" s="119">
        <v>0.159345697723389</v>
      </c>
      <c r="AA23" s="119">
        <v>0.17253696196076901</v>
      </c>
      <c r="AB23" s="119">
        <v>0.18611980714870799</v>
      </c>
      <c r="AC23" s="119">
        <v>0.201548109162455</v>
      </c>
      <c r="AD23" s="119">
        <v>0.217826477291895</v>
      </c>
      <c r="AE23" s="119">
        <v>0.23384611542629799</v>
      </c>
      <c r="AF23" s="119">
        <v>0.25082296191634501</v>
      </c>
      <c r="AG23" s="119">
        <v>0.27150251563301098</v>
      </c>
      <c r="AH23" s="119">
        <v>0.29219009918139299</v>
      </c>
      <c r="AI23" s="119">
        <v>0.31037938163363599</v>
      </c>
      <c r="AJ23" s="119">
        <v>0.328259690954887</v>
      </c>
      <c r="AK23" s="119">
        <v>0.34380836752291</v>
      </c>
      <c r="AL23" s="119">
        <v>0.34776378612421299</v>
      </c>
      <c r="AM23" s="119">
        <v>0.34922993515537498</v>
      </c>
      <c r="AN23" s="119">
        <v>0.35105137171411099</v>
      </c>
      <c r="AO23" s="119">
        <v>0.35266902522945298</v>
      </c>
      <c r="AP23" s="119">
        <v>0.35422258022992897</v>
      </c>
      <c r="AQ23" s="119">
        <v>0.366062036240419</v>
      </c>
      <c r="AR23" s="119">
        <v>0.37655497888848499</v>
      </c>
      <c r="AS23" s="119">
        <v>0.38780473514601799</v>
      </c>
      <c r="AT23" s="119">
        <v>0.40180208953878999</v>
      </c>
      <c r="AU23" s="119">
        <v>0.41333722454243699</v>
      </c>
      <c r="AV23" s="119">
        <v>0.42429781694685398</v>
      </c>
      <c r="AW23" s="119">
        <v>0.43685565476404797</v>
      </c>
      <c r="AX23" s="119">
        <v>0.44758817801699602</v>
      </c>
      <c r="AY23" s="119">
        <v>0.45653880133089197</v>
      </c>
      <c r="AZ23" s="119">
        <v>0.46491050484216201</v>
      </c>
      <c r="BA23" s="119">
        <v>0.47167058425553798</v>
      </c>
      <c r="BB23" s="119">
        <v>0.47814746166257799</v>
      </c>
      <c r="BC23" s="119">
        <v>0.48636161675752498</v>
      </c>
      <c r="BD23" s="119">
        <v>0.49220780449274698</v>
      </c>
      <c r="BE23" s="119">
        <v>0.49982712872943202</v>
      </c>
      <c r="BF23" s="119">
        <v>0.506441081464996</v>
      </c>
      <c r="BG23" s="119">
        <v>0.51394528391864003</v>
      </c>
      <c r="BH23" s="119">
        <v>0.52077883802998604</v>
      </c>
      <c r="BI23" s="119">
        <v>0.52720704089616399</v>
      </c>
      <c r="BJ23" s="119">
        <v>0.53359241423495996</v>
      </c>
      <c r="BK23" s="119">
        <v>0.53662344669711304</v>
      </c>
      <c r="BL23" s="119">
        <v>0.542740207784841</v>
      </c>
    </row>
    <row r="24" spans="1:64" x14ac:dyDescent="0.25">
      <c r="A24" s="860" t="s">
        <v>369</v>
      </c>
      <c r="B24" s="1">
        <v>70</v>
      </c>
      <c r="C24" s="119">
        <v>0.5</v>
      </c>
      <c r="D24" s="119">
        <v>3.12325519689154E-2</v>
      </c>
      <c r="E24" s="119">
        <v>3.3229721720509697E-2</v>
      </c>
      <c r="F24" s="119">
        <v>3.5464975602679499E-2</v>
      </c>
      <c r="G24" s="119">
        <v>3.7607987337664399E-2</v>
      </c>
      <c r="H24" s="119">
        <v>4.0031831674384601E-2</v>
      </c>
      <c r="I24" s="119">
        <v>4.3099699013584902E-2</v>
      </c>
      <c r="J24" s="119">
        <v>4.5936769009740301E-2</v>
      </c>
      <c r="K24" s="119">
        <v>4.8910026204039697E-2</v>
      </c>
      <c r="L24" s="119">
        <v>5.14390413727593E-2</v>
      </c>
      <c r="M24" s="119">
        <v>5.5112649086116697E-2</v>
      </c>
      <c r="N24" s="119">
        <v>5.7622603104685498E-2</v>
      </c>
      <c r="O24" s="119">
        <v>6.1195756994537699E-2</v>
      </c>
      <c r="P24" s="119">
        <v>6.4257136831085804E-2</v>
      </c>
      <c r="Q24" s="119">
        <v>6.8759185783319604E-2</v>
      </c>
      <c r="R24" s="119">
        <v>7.2706591831171702E-2</v>
      </c>
      <c r="S24" s="119">
        <v>7.6652959500918397E-2</v>
      </c>
      <c r="T24" s="119">
        <v>8.0873902638663606E-2</v>
      </c>
      <c r="U24" s="119">
        <v>8.5867071551385996E-2</v>
      </c>
      <c r="V24" s="119">
        <v>9.2279238641299E-2</v>
      </c>
      <c r="W24" s="119">
        <v>9.6562411788818803E-2</v>
      </c>
      <c r="X24" s="119">
        <v>0.101219252811104</v>
      </c>
      <c r="Y24" s="119">
        <v>0.105098576211997</v>
      </c>
      <c r="Z24" s="119">
        <v>0.109481523484807</v>
      </c>
      <c r="AA24" s="119">
        <v>0.113589829407396</v>
      </c>
      <c r="AB24" s="119">
        <v>0.116013354319402</v>
      </c>
      <c r="AC24" s="119">
        <v>0.120040016100786</v>
      </c>
      <c r="AD24" s="119">
        <v>0.124672728613864</v>
      </c>
      <c r="AE24" s="119">
        <v>0.12742751976043801</v>
      </c>
      <c r="AF24" s="119">
        <v>0.13076405243301301</v>
      </c>
      <c r="AG24" s="119">
        <v>0.13411616534923601</v>
      </c>
      <c r="AH24" s="119">
        <v>0.13642873754681201</v>
      </c>
      <c r="AI24" s="119">
        <v>0.13463241391255401</v>
      </c>
      <c r="AJ24" s="119">
        <v>0.132694777088739</v>
      </c>
      <c r="AK24" s="119">
        <v>0.12956909266094499</v>
      </c>
      <c r="AL24" s="119">
        <v>0.12783865993163299</v>
      </c>
      <c r="AM24" s="119">
        <v>0.124841174099328</v>
      </c>
      <c r="AN24" s="119">
        <v>0.123410772487029</v>
      </c>
      <c r="AO24" s="119">
        <v>0.12601369688887401</v>
      </c>
      <c r="AP24" s="119">
        <v>0.12764590851865101</v>
      </c>
      <c r="AQ24" s="119">
        <v>0.12875752198247301</v>
      </c>
      <c r="AR24" s="119">
        <v>0.13122298724230999</v>
      </c>
      <c r="AS24" s="119">
        <v>0.13395675293256401</v>
      </c>
      <c r="AT24" s="119">
        <v>0.13638039991492301</v>
      </c>
      <c r="AU24" s="119">
        <v>0.14271386858011201</v>
      </c>
      <c r="AV24" s="119">
        <v>0.14983372629612099</v>
      </c>
      <c r="AW24" s="119">
        <v>0.15668115707368899</v>
      </c>
      <c r="AX24" s="119">
        <v>0.16410634499152801</v>
      </c>
      <c r="AY24" s="119">
        <v>0.17158302468016901</v>
      </c>
      <c r="AZ24" s="119">
        <v>0.17907148631127701</v>
      </c>
      <c r="BA24" s="119">
        <v>0.185602754708215</v>
      </c>
      <c r="BB24" s="119">
        <v>0.19327202191482001</v>
      </c>
      <c r="BC24" s="119">
        <v>0.20176833026553101</v>
      </c>
      <c r="BD24" s="119">
        <v>0.207982334008878</v>
      </c>
      <c r="BE24" s="119">
        <v>0.21446632021922299</v>
      </c>
      <c r="BF24" s="119">
        <v>0.22340256751884599</v>
      </c>
      <c r="BG24" s="119">
        <v>0.230123778226655</v>
      </c>
      <c r="BH24" s="119">
        <v>0.23852269825886199</v>
      </c>
      <c r="BI24" s="119">
        <v>0.24361282824462699</v>
      </c>
      <c r="BJ24" s="119">
        <v>0.25083959375066001</v>
      </c>
      <c r="BK24" s="119">
        <v>0.26068227752558099</v>
      </c>
      <c r="BL24" s="119">
        <v>0.26991927960529399</v>
      </c>
    </row>
    <row r="25" spans="1:64" x14ac:dyDescent="0.25">
      <c r="A25" s="860" t="s">
        <v>151</v>
      </c>
      <c r="B25" s="1">
        <v>72</v>
      </c>
      <c r="C25" s="119">
        <v>0.5</v>
      </c>
      <c r="D25" s="119">
        <v>6.2771326022582702E-2</v>
      </c>
      <c r="E25" s="119">
        <v>6.9822767348773296E-2</v>
      </c>
      <c r="F25" s="119">
        <v>7.6814770137669602E-2</v>
      </c>
      <c r="G25" s="119">
        <v>8.5151510116794796E-2</v>
      </c>
      <c r="H25" s="119">
        <v>9.4172504849015404E-2</v>
      </c>
      <c r="I25" s="119">
        <v>0.102658875981431</v>
      </c>
      <c r="J25" s="119">
        <v>0.11292962808414</v>
      </c>
      <c r="K25" s="119">
        <v>0.123417276615697</v>
      </c>
      <c r="L25" s="119">
        <v>0.135169491617875</v>
      </c>
      <c r="M25" s="119">
        <v>0.147532463342779</v>
      </c>
      <c r="N25" s="119">
        <v>0.15969199824135599</v>
      </c>
      <c r="O25" s="119">
        <v>0.17300897675973101</v>
      </c>
      <c r="P25" s="119">
        <v>0.18677495142620201</v>
      </c>
      <c r="Q25" s="119">
        <v>0.20297394819902401</v>
      </c>
      <c r="R25" s="119">
        <v>0.220807134910631</v>
      </c>
      <c r="S25" s="119">
        <v>0.24118313310082201</v>
      </c>
      <c r="T25" s="119">
        <v>0.26410953137097698</v>
      </c>
      <c r="U25" s="119">
        <v>0.28770838363631102</v>
      </c>
      <c r="V25" s="119">
        <v>0.31103368156037597</v>
      </c>
      <c r="W25" s="119">
        <v>0.331584878139212</v>
      </c>
      <c r="X25" s="119">
        <v>0.34975570477291201</v>
      </c>
      <c r="Y25" s="119">
        <v>0.36800046903194</v>
      </c>
      <c r="Z25" s="119">
        <v>0.38694655928553801</v>
      </c>
      <c r="AA25" s="119">
        <v>0.404108155092747</v>
      </c>
      <c r="AB25" s="119">
        <v>0.420856059591521</v>
      </c>
      <c r="AC25" s="119">
        <v>0.43713884825188398</v>
      </c>
      <c r="AD25" s="119">
        <v>0.45252431256007503</v>
      </c>
      <c r="AE25" s="119">
        <v>0.46894016278565898</v>
      </c>
      <c r="AF25" s="119">
        <v>0.484611355050722</v>
      </c>
      <c r="AG25" s="119">
        <v>0.49909679811111202</v>
      </c>
      <c r="AH25" s="119">
        <v>0.514888222304695</v>
      </c>
      <c r="AI25" s="119">
        <v>0.53544316417834903</v>
      </c>
      <c r="AJ25" s="119">
        <v>0.55669890459112603</v>
      </c>
      <c r="AK25" s="119">
        <v>0.57657159334450403</v>
      </c>
      <c r="AL25" s="119">
        <v>0.598685763068875</v>
      </c>
      <c r="AM25" s="119">
        <v>0.61671305368410101</v>
      </c>
      <c r="AN25" s="119">
        <v>0.63317203811525002</v>
      </c>
      <c r="AO25" s="119">
        <v>0.64787422548037199</v>
      </c>
      <c r="AP25" s="119">
        <v>0.65553380127959004</v>
      </c>
      <c r="AQ25" s="119">
        <v>0.66039487514278095</v>
      </c>
      <c r="AR25" s="119">
        <v>0.66228996049014899</v>
      </c>
      <c r="AS25" s="119">
        <v>0.66491609837045695</v>
      </c>
      <c r="AT25" s="119">
        <v>0.66627189523350905</v>
      </c>
      <c r="AU25" s="119">
        <v>0.66766348633935302</v>
      </c>
      <c r="AV25" s="119">
        <v>0.66773119204450504</v>
      </c>
      <c r="AW25" s="119">
        <v>0.66904953615349505</v>
      </c>
      <c r="AX25" s="119">
        <v>0.66960127482301302</v>
      </c>
      <c r="AY25" s="119">
        <v>0.66941118298555902</v>
      </c>
      <c r="AZ25" s="119">
        <v>0.67205145422367796</v>
      </c>
      <c r="BA25" s="119">
        <v>0.67366880078522096</v>
      </c>
      <c r="BB25" s="119">
        <v>0.67603333685272804</v>
      </c>
      <c r="BC25" s="119">
        <v>0.67890445687047096</v>
      </c>
      <c r="BD25" s="119">
        <v>0.68195058405474995</v>
      </c>
      <c r="BE25" s="119">
        <v>0.68450201845719205</v>
      </c>
      <c r="BF25" s="119">
        <v>0.68783268858572599</v>
      </c>
      <c r="BG25" s="119">
        <v>0.68812964136283705</v>
      </c>
      <c r="BH25" s="119">
        <v>0.69056110645264701</v>
      </c>
      <c r="BI25" s="119">
        <v>0.69270135297860402</v>
      </c>
      <c r="BJ25" s="119">
        <v>0.69371807440452204</v>
      </c>
      <c r="BK25" s="119">
        <v>0.69438072704019005</v>
      </c>
      <c r="BL25" s="119">
        <v>0.69766285918724302</v>
      </c>
    </row>
    <row r="26" spans="1:64" x14ac:dyDescent="0.25">
      <c r="A26" s="860" t="s">
        <v>152</v>
      </c>
      <c r="B26" s="1">
        <v>76</v>
      </c>
      <c r="C26" s="119">
        <v>0.5</v>
      </c>
      <c r="D26" s="119">
        <v>0.44136053545897602</v>
      </c>
      <c r="E26" s="119">
        <v>0.45421564583981799</v>
      </c>
      <c r="F26" s="119">
        <v>0.46995597383230397</v>
      </c>
      <c r="G26" s="119">
        <v>0.48110034972529397</v>
      </c>
      <c r="H26" s="119">
        <v>0.49159678894050102</v>
      </c>
      <c r="I26" s="119">
        <v>0.50141112526091902</v>
      </c>
      <c r="J26" s="119">
        <v>0.51289631266247904</v>
      </c>
      <c r="K26" s="119">
        <v>0.52245112425810303</v>
      </c>
      <c r="L26" s="119">
        <v>0.53214594887843403</v>
      </c>
      <c r="M26" s="119">
        <v>0.54101996267011299</v>
      </c>
      <c r="N26" s="119">
        <v>0.54992822700783095</v>
      </c>
      <c r="O26" s="119">
        <v>0.55962589606676005</v>
      </c>
      <c r="P26" s="119">
        <v>0.56850660165126199</v>
      </c>
      <c r="Q26" s="119">
        <v>0.57685043799105495</v>
      </c>
      <c r="R26" s="119">
        <v>0.58444376372420204</v>
      </c>
      <c r="S26" s="119">
        <v>0.59279291080888796</v>
      </c>
      <c r="T26" s="119">
        <v>0.60141002338007299</v>
      </c>
      <c r="U26" s="119">
        <v>0.60949075607638203</v>
      </c>
      <c r="V26" s="119">
        <v>0.61867012832352897</v>
      </c>
      <c r="W26" s="119">
        <v>0.62851382504990505</v>
      </c>
      <c r="X26" s="119">
        <v>0.63819062493744705</v>
      </c>
      <c r="Y26" s="119">
        <v>0.64782040187844803</v>
      </c>
      <c r="Z26" s="119">
        <v>0.65990012524469399</v>
      </c>
      <c r="AA26" s="119">
        <v>0.67071174799966904</v>
      </c>
      <c r="AB26" s="119">
        <v>0.68089701635631095</v>
      </c>
      <c r="AC26" s="119">
        <v>0.69168938553505799</v>
      </c>
      <c r="AD26" s="119">
        <v>0.70188920923818399</v>
      </c>
      <c r="AE26" s="119">
        <v>0.70946159196996295</v>
      </c>
      <c r="AF26" s="119">
        <v>0.71700396023250201</v>
      </c>
      <c r="AG26" s="119">
        <v>0.72440643899380097</v>
      </c>
      <c r="AH26" s="119">
        <v>0.73037821238362199</v>
      </c>
      <c r="AI26" s="119">
        <v>0.73612145152435005</v>
      </c>
      <c r="AJ26" s="119">
        <v>0.74079729785593396</v>
      </c>
      <c r="AK26" s="119">
        <v>0.74788530854673796</v>
      </c>
      <c r="AL26" s="119">
        <v>0.75320685877804305</v>
      </c>
      <c r="AM26" s="119">
        <v>0.75754622536000804</v>
      </c>
      <c r="AN26" s="119">
        <v>0.76203181042180801</v>
      </c>
      <c r="AO26" s="119">
        <v>0.76617592298360204</v>
      </c>
      <c r="AP26" s="119">
        <v>0.76729102603122901</v>
      </c>
      <c r="AQ26" s="119">
        <v>0.76790577395574</v>
      </c>
      <c r="AR26" s="119">
        <v>0.76831457495382804</v>
      </c>
      <c r="AS26" s="119">
        <v>0.76791973386809498</v>
      </c>
      <c r="AT26" s="119">
        <v>0.76778625547162005</v>
      </c>
      <c r="AU26" s="119">
        <v>0.76822324016150101</v>
      </c>
      <c r="AV26" s="119">
        <v>0.76954574963407196</v>
      </c>
      <c r="AW26" s="119">
        <v>0.76955192486609902</v>
      </c>
      <c r="AX26" s="119">
        <v>0.77078419225163697</v>
      </c>
      <c r="AY26" s="119">
        <v>0.77082089283384503</v>
      </c>
      <c r="AZ26" s="119">
        <v>0.77301022210210202</v>
      </c>
      <c r="BA26" s="119">
        <v>0.77501298488763204</v>
      </c>
      <c r="BB26" s="119">
        <v>0.77581333379498296</v>
      </c>
      <c r="BC26" s="119">
        <v>0.77636624002099197</v>
      </c>
      <c r="BD26" s="119">
        <v>0.77642535845381899</v>
      </c>
      <c r="BE26" s="119">
        <v>0.77696878866392005</v>
      </c>
      <c r="BF26" s="119">
        <v>0.77814167199860296</v>
      </c>
      <c r="BG26" s="119">
        <v>0.77872046589320598</v>
      </c>
      <c r="BH26" s="119">
        <v>0.78036833557852303</v>
      </c>
      <c r="BI26" s="119">
        <v>0.78129645846471096</v>
      </c>
      <c r="BJ26" s="119">
        <v>0.78156447397090301</v>
      </c>
      <c r="BK26" s="119">
        <v>0.78207707957690697</v>
      </c>
      <c r="BL26" s="119">
        <v>0.78458479443242801</v>
      </c>
    </row>
    <row r="27" spans="1:64" x14ac:dyDescent="0.25">
      <c r="A27" s="860" t="s">
        <v>155</v>
      </c>
      <c r="B27" s="1">
        <v>100</v>
      </c>
      <c r="C27" s="119">
        <v>0.5</v>
      </c>
      <c r="D27" s="119">
        <v>4.66365006681232E-2</v>
      </c>
      <c r="E27" s="119">
        <v>4.8910892341168202E-2</v>
      </c>
      <c r="F27" s="119">
        <v>5.0860762687455201E-2</v>
      </c>
      <c r="G27" s="119">
        <v>5.3345715827260401E-2</v>
      </c>
      <c r="H27" s="119">
        <v>5.5377572655341101E-2</v>
      </c>
      <c r="I27" s="119">
        <v>5.82204042638702E-2</v>
      </c>
      <c r="J27" s="119">
        <v>6.0616716374264003E-2</v>
      </c>
      <c r="K27" s="119">
        <v>6.8042492109239905E-2</v>
      </c>
      <c r="L27" s="119">
        <v>7.5035218777463206E-2</v>
      </c>
      <c r="M27" s="119">
        <v>8.3788688682832596E-2</v>
      </c>
      <c r="N27" s="119">
        <v>9.3097128999123605E-2</v>
      </c>
      <c r="O27" s="119">
        <v>0.102711626414525</v>
      </c>
      <c r="P27" s="119">
        <v>0.112746706558485</v>
      </c>
      <c r="Q27" s="119">
        <v>0.122565907586819</v>
      </c>
      <c r="R27" s="119">
        <v>0.13775340708874501</v>
      </c>
      <c r="S27" s="119">
        <v>0.15004173998736101</v>
      </c>
      <c r="T27" s="119">
        <v>0.16416863341328899</v>
      </c>
      <c r="U27" s="119">
        <v>0.179931241376798</v>
      </c>
      <c r="V27" s="119">
        <v>0.196528722701651</v>
      </c>
      <c r="W27" s="119">
        <v>0.21494297974957599</v>
      </c>
      <c r="X27" s="119">
        <v>0.237016565582365</v>
      </c>
      <c r="Y27" s="119">
        <v>0.25758452671747101</v>
      </c>
      <c r="Z27" s="119">
        <v>0.28301969940154798</v>
      </c>
      <c r="AA27" s="119">
        <v>0.30880875994304802</v>
      </c>
      <c r="AB27" s="119">
        <v>0.33519452208421202</v>
      </c>
      <c r="AC27" s="119">
        <v>0.35857113441484501</v>
      </c>
      <c r="AD27" s="119">
        <v>0.35793048578324199</v>
      </c>
      <c r="AE27" s="119">
        <v>0.35603620242470402</v>
      </c>
      <c r="AF27" s="119">
        <v>0.35421142045251203</v>
      </c>
      <c r="AG27" s="119">
        <v>0.35619021201293299</v>
      </c>
      <c r="AH27" s="119">
        <v>0.35974977410894099</v>
      </c>
      <c r="AI27" s="119">
        <v>0.36215168030238198</v>
      </c>
      <c r="AJ27" s="119">
        <v>0.36539854020365198</v>
      </c>
      <c r="AK27" s="119">
        <v>0.368384892119826</v>
      </c>
      <c r="AL27" s="119">
        <v>0.36991910093109698</v>
      </c>
      <c r="AM27" s="119">
        <v>0.38586960175483798</v>
      </c>
      <c r="AN27" s="119">
        <v>0.399221266595639</v>
      </c>
      <c r="AO27" s="119">
        <v>0.41270455926021399</v>
      </c>
      <c r="AP27" s="119">
        <v>0.42575423922139499</v>
      </c>
      <c r="AQ27" s="119">
        <v>0.44094338227686503</v>
      </c>
      <c r="AR27" s="119">
        <v>0.45249517681953699</v>
      </c>
      <c r="AS27" s="119">
        <v>0.466457764283084</v>
      </c>
      <c r="AT27" s="119">
        <v>0.481424086506477</v>
      </c>
      <c r="AU27" s="119">
        <v>0.49276503756620599</v>
      </c>
      <c r="AV27" s="119">
        <v>0.50502105536349895</v>
      </c>
      <c r="AW27" s="119">
        <v>0.51539671180839597</v>
      </c>
      <c r="AX27" s="119">
        <v>0.52671278406828903</v>
      </c>
      <c r="AY27" s="119">
        <v>0.53616681274269695</v>
      </c>
      <c r="AZ27" s="119">
        <v>0.54852795113507402</v>
      </c>
      <c r="BA27" s="119">
        <v>0.55766739425052803</v>
      </c>
      <c r="BB27" s="119">
        <v>0.56883256186088704</v>
      </c>
      <c r="BC27" s="119">
        <v>0.576882268682954</v>
      </c>
      <c r="BD27" s="119">
        <v>0.58653462715196802</v>
      </c>
      <c r="BE27" s="119">
        <v>0.59502209868448297</v>
      </c>
      <c r="BF27" s="119">
        <v>0.60141072031354803</v>
      </c>
      <c r="BG27" s="119">
        <v>0.61202052663445505</v>
      </c>
      <c r="BH27" s="119">
        <v>0.62122324773806403</v>
      </c>
      <c r="BI27" s="119">
        <v>0.62799227013016801</v>
      </c>
      <c r="BJ27" s="119">
        <v>0.63670421214108996</v>
      </c>
      <c r="BK27" s="119">
        <v>0.64522473795700996</v>
      </c>
      <c r="BL27" s="119">
        <v>0.65282031761228998</v>
      </c>
    </row>
    <row r="28" spans="1:64" x14ac:dyDescent="0.25">
      <c r="A28" s="860" t="s">
        <v>16</v>
      </c>
      <c r="B28" s="1">
        <v>854</v>
      </c>
      <c r="C28" s="119">
        <v>0.5</v>
      </c>
      <c r="D28" s="119">
        <v>2.5753311249416999E-3</v>
      </c>
      <c r="E28" s="119">
        <v>2.92621517902632E-3</v>
      </c>
      <c r="F28" s="119">
        <v>3.3071532807351701E-3</v>
      </c>
      <c r="G28" s="119">
        <v>3.88383595064507E-3</v>
      </c>
      <c r="H28" s="119">
        <v>4.4251476346067803E-3</v>
      </c>
      <c r="I28" s="119">
        <v>5.0462488715520004E-3</v>
      </c>
      <c r="J28" s="119">
        <v>5.7539378900872701E-3</v>
      </c>
      <c r="K28" s="119">
        <v>6.6206360015551103E-3</v>
      </c>
      <c r="L28" s="119">
        <v>7.4982558124790403E-3</v>
      </c>
      <c r="M28" s="119">
        <v>8.4146217487771902E-3</v>
      </c>
      <c r="N28" s="119">
        <v>9.5303165023431606E-3</v>
      </c>
      <c r="O28" s="119">
        <v>1.08896518235911E-2</v>
      </c>
      <c r="P28" s="119">
        <v>1.2214513604400901E-2</v>
      </c>
      <c r="Q28" s="119">
        <v>1.3699044302681001E-2</v>
      </c>
      <c r="R28" s="119">
        <v>1.5429864062827901E-2</v>
      </c>
      <c r="S28" s="119">
        <v>1.7555133207188298E-2</v>
      </c>
      <c r="T28" s="119">
        <v>1.9845497627709301E-2</v>
      </c>
      <c r="U28" s="119">
        <v>2.2325612053538099E-2</v>
      </c>
      <c r="V28" s="119">
        <v>2.4661026233407098E-2</v>
      </c>
      <c r="W28" s="119">
        <v>2.75493847371624E-2</v>
      </c>
      <c r="X28" s="119">
        <v>3.0639295840508399E-2</v>
      </c>
      <c r="Y28" s="119">
        <v>3.3855782948871302E-2</v>
      </c>
      <c r="Z28" s="119">
        <v>3.7325994692145897E-2</v>
      </c>
      <c r="AA28" s="119">
        <v>4.0849717786823801E-2</v>
      </c>
      <c r="AB28" s="119">
        <v>4.2449187743267003E-2</v>
      </c>
      <c r="AC28" s="119">
        <v>4.3860409445678199E-2</v>
      </c>
      <c r="AD28" s="119">
        <v>4.5308862840435997E-2</v>
      </c>
      <c r="AE28" s="119">
        <v>4.7059873566612898E-2</v>
      </c>
      <c r="AF28" s="119">
        <v>4.9131634294452699E-2</v>
      </c>
      <c r="AG28" s="119">
        <v>5.1553457552580798E-2</v>
      </c>
      <c r="AH28" s="119">
        <v>5.8819376359399503E-2</v>
      </c>
      <c r="AI28" s="119">
        <v>6.7693751666967894E-2</v>
      </c>
      <c r="AJ28" s="119">
        <v>7.7263310166428095E-2</v>
      </c>
      <c r="AK28" s="119">
        <v>8.7452429072337204E-2</v>
      </c>
      <c r="AL28" s="119">
        <v>9.8582514877001801E-2</v>
      </c>
      <c r="AM28" s="119">
        <v>0.10957386408291001</v>
      </c>
      <c r="AN28" s="119">
        <v>0.120389319460978</v>
      </c>
      <c r="AO28" s="119">
        <v>0.12828749050966601</v>
      </c>
      <c r="AP28" s="119">
        <v>0.13642076497629199</v>
      </c>
      <c r="AQ28" s="119">
        <v>0.143659253840759</v>
      </c>
      <c r="AR28" s="119">
        <v>0.15201176726895699</v>
      </c>
      <c r="AS28" s="119">
        <v>0.161233950035618</v>
      </c>
      <c r="AT28" s="119">
        <v>0.17256683015289201</v>
      </c>
      <c r="AU28" s="119">
        <v>0.18556927970561901</v>
      </c>
      <c r="AV28" s="119">
        <v>0.200926482123788</v>
      </c>
      <c r="AW28" s="119">
        <v>0.22119839733831101</v>
      </c>
      <c r="AX28" s="119">
        <v>0.24991921455506899</v>
      </c>
      <c r="AY28" s="119">
        <v>0.27862757793140802</v>
      </c>
      <c r="AZ28" s="119">
        <v>0.29226475846397798</v>
      </c>
      <c r="BA28" s="119">
        <v>0.294866333580384</v>
      </c>
      <c r="BB28" s="119">
        <v>0.29625529978243598</v>
      </c>
      <c r="BC28" s="119">
        <v>0.30558652223321697</v>
      </c>
      <c r="BD28" s="119">
        <v>0.315901566211718</v>
      </c>
      <c r="BE28" s="119">
        <v>0.32601529067114898</v>
      </c>
      <c r="BF28" s="119">
        <v>0.33513685982325297</v>
      </c>
      <c r="BG28" s="119">
        <v>0.342788247105064</v>
      </c>
      <c r="BH28" s="119">
        <v>0.35187431895586402</v>
      </c>
      <c r="BI28" s="119">
        <v>0.360648400670734</v>
      </c>
      <c r="BJ28" s="119">
        <v>0.372162377884308</v>
      </c>
      <c r="BK28" s="119">
        <v>0.38262214679009798</v>
      </c>
      <c r="BL28" s="119">
        <v>0.39065917867751698</v>
      </c>
    </row>
    <row r="29" spans="1:64" x14ac:dyDescent="0.25">
      <c r="A29" s="860" t="s">
        <v>17</v>
      </c>
      <c r="B29" s="1">
        <v>108</v>
      </c>
      <c r="C29" s="119">
        <v>0.5</v>
      </c>
      <c r="D29" s="119">
        <v>9.8346212150220201E-4</v>
      </c>
      <c r="E29" s="119">
        <v>1.1510336699459801E-3</v>
      </c>
      <c r="F29" s="119">
        <v>1.36933649611864E-3</v>
      </c>
      <c r="G29" s="119">
        <v>1.60220210231177E-3</v>
      </c>
      <c r="H29" s="119">
        <v>1.8622498323122899E-3</v>
      </c>
      <c r="I29" s="119">
        <v>2.1590105589232599E-3</v>
      </c>
      <c r="J29" s="119">
        <v>2.5269418132050601E-3</v>
      </c>
      <c r="K29" s="119">
        <v>2.9273325661198601E-3</v>
      </c>
      <c r="L29" s="119">
        <v>3.36382143936552E-3</v>
      </c>
      <c r="M29" s="119">
        <v>3.8887719455629999E-3</v>
      </c>
      <c r="N29" s="119">
        <v>4.4939301336137999E-3</v>
      </c>
      <c r="O29" s="119">
        <v>5.1824646455826198E-3</v>
      </c>
      <c r="P29" s="119">
        <v>6.0436958215205599E-3</v>
      </c>
      <c r="Q29" s="119">
        <v>7.0301067531562296E-3</v>
      </c>
      <c r="R29" s="119">
        <v>8.1607399656033995E-3</v>
      </c>
      <c r="S29" s="119">
        <v>9.4259256788216499E-3</v>
      </c>
      <c r="T29" s="119">
        <v>1.08727141371435E-2</v>
      </c>
      <c r="U29" s="119">
        <v>1.2455867105550999E-2</v>
      </c>
      <c r="V29" s="119">
        <v>1.5026659601178299E-2</v>
      </c>
      <c r="W29" s="119">
        <v>1.8071347779275101E-2</v>
      </c>
      <c r="X29" s="119">
        <v>2.1409140536404601E-2</v>
      </c>
      <c r="Y29" s="119">
        <v>2.5471120447458299E-2</v>
      </c>
      <c r="Z29" s="119">
        <v>2.9832563348197401E-2</v>
      </c>
      <c r="AA29" s="119">
        <v>3.4604995122087701E-2</v>
      </c>
      <c r="AB29" s="119">
        <v>4.0223096634892999E-2</v>
      </c>
      <c r="AC29" s="119">
        <v>4.6374840983859897E-2</v>
      </c>
      <c r="AD29" s="119">
        <v>5.3244230860306697E-2</v>
      </c>
      <c r="AE29" s="119">
        <v>6.0431286819405503E-2</v>
      </c>
      <c r="AF29" s="119">
        <v>6.8402582695888101E-2</v>
      </c>
      <c r="AG29" s="119">
        <v>7.6397637988697295E-2</v>
      </c>
      <c r="AH29" s="119">
        <v>8.3638027690442401E-2</v>
      </c>
      <c r="AI29" s="119">
        <v>8.7824752539727199E-2</v>
      </c>
      <c r="AJ29" s="119">
        <v>9.1129953633607805E-2</v>
      </c>
      <c r="AK29" s="119">
        <v>9.8144980692384406E-2</v>
      </c>
      <c r="AL29" s="119">
        <v>0.10531174099535801</v>
      </c>
      <c r="AM29" s="119">
        <v>0.11444860319863601</v>
      </c>
      <c r="AN29" s="119">
        <v>0.125626731702455</v>
      </c>
      <c r="AO29" s="119">
        <v>0.140040939114076</v>
      </c>
      <c r="AP29" s="119">
        <v>0.15649719634197201</v>
      </c>
      <c r="AQ29" s="119">
        <v>0.17469625765136301</v>
      </c>
      <c r="AR29" s="119">
        <v>0.18957723105149099</v>
      </c>
      <c r="AS29" s="119">
        <v>0.21369312715563901</v>
      </c>
      <c r="AT29" s="119">
        <v>0.23723983942778301</v>
      </c>
      <c r="AU29" s="119">
        <v>0.24195345415550401</v>
      </c>
      <c r="AV29" s="119">
        <v>0.24115565783137499</v>
      </c>
      <c r="AW29" s="119">
        <v>0.23743777584376199</v>
      </c>
      <c r="AX29" s="119">
        <v>0.23539421237897501</v>
      </c>
      <c r="AY29" s="119">
        <v>0.241843589207798</v>
      </c>
      <c r="AZ29" s="119">
        <v>0.25066990695476499</v>
      </c>
      <c r="BA29" s="119">
        <v>0.26020031817389799</v>
      </c>
      <c r="BB29" s="119">
        <v>0.270681672577407</v>
      </c>
      <c r="BC29" s="119">
        <v>0.28007689786680301</v>
      </c>
      <c r="BD29" s="119">
        <v>0.29189054363336697</v>
      </c>
      <c r="BE29" s="119">
        <v>0.30377461167925601</v>
      </c>
      <c r="BF29" s="119">
        <v>0.31358701760047297</v>
      </c>
      <c r="BG29" s="119">
        <v>0.32410642452549498</v>
      </c>
      <c r="BH29" s="119">
        <v>0.336326000547715</v>
      </c>
      <c r="BI29" s="119">
        <v>0.34717097200112002</v>
      </c>
      <c r="BJ29" s="119">
        <v>0.35742204601101002</v>
      </c>
      <c r="BK29" s="119">
        <v>0.36805147256880699</v>
      </c>
      <c r="BL29" s="119">
        <v>0.37832546077780599</v>
      </c>
    </row>
    <row r="30" spans="1:64" x14ac:dyDescent="0.25">
      <c r="A30" s="860" t="s">
        <v>156</v>
      </c>
      <c r="B30" s="1">
        <v>132</v>
      </c>
      <c r="C30" s="119">
        <v>0.5</v>
      </c>
      <c r="D30" s="119">
        <v>3.2702817810532303E-2</v>
      </c>
      <c r="E30" s="119">
        <v>3.6997493355790501E-2</v>
      </c>
      <c r="F30" s="119">
        <v>4.1662245509783903E-2</v>
      </c>
      <c r="G30" s="119">
        <v>4.6202262660604697E-2</v>
      </c>
      <c r="H30" s="119">
        <v>5.2251987253602299E-2</v>
      </c>
      <c r="I30" s="119">
        <v>5.8595266612718203E-2</v>
      </c>
      <c r="J30" s="119">
        <v>6.5069101156433495E-2</v>
      </c>
      <c r="K30" s="119">
        <v>7.3622738161887802E-2</v>
      </c>
      <c r="L30" s="119">
        <v>8.01030601667123E-2</v>
      </c>
      <c r="M30" s="119">
        <v>8.9331699452952495E-2</v>
      </c>
      <c r="N30" s="119">
        <v>9.8095139314772498E-2</v>
      </c>
      <c r="O30" s="119">
        <v>0.10756532447608901</v>
      </c>
      <c r="P30" s="119">
        <v>0.116714461435995</v>
      </c>
      <c r="Q30" s="119">
        <v>0.127741255109386</v>
      </c>
      <c r="R30" s="119">
        <v>0.139542249360844</v>
      </c>
      <c r="S30" s="119">
        <v>0.15075524161269799</v>
      </c>
      <c r="T30" s="119">
        <v>0.16406918166894199</v>
      </c>
      <c r="U30" s="119">
        <v>0.177071470871597</v>
      </c>
      <c r="V30" s="119">
        <v>0.19208777464485199</v>
      </c>
      <c r="W30" s="119">
        <v>0.20962591223952801</v>
      </c>
      <c r="X30" s="119">
        <v>0.23029356055856301</v>
      </c>
      <c r="Y30" s="119">
        <v>0.255262272003204</v>
      </c>
      <c r="Z30" s="119">
        <v>0.281547102605676</v>
      </c>
      <c r="AA30" s="119">
        <v>0.30996266401945</v>
      </c>
      <c r="AB30" s="119">
        <v>0.34033279029159602</v>
      </c>
      <c r="AC30" s="119">
        <v>0.37071926314720499</v>
      </c>
      <c r="AD30" s="119">
        <v>0.40084523284884299</v>
      </c>
      <c r="AE30" s="119">
        <v>0.43116000262849502</v>
      </c>
      <c r="AF30" s="119">
        <v>0.45766816446212499</v>
      </c>
      <c r="AG30" s="119">
        <v>0.477921755406093</v>
      </c>
      <c r="AH30" s="119">
        <v>0.495892778035458</v>
      </c>
      <c r="AI30" s="119">
        <v>0.51128403344159001</v>
      </c>
      <c r="AJ30" s="119">
        <v>0.526855380531561</v>
      </c>
      <c r="AK30" s="119">
        <v>0.53976050212642002</v>
      </c>
      <c r="AL30" s="119">
        <v>0.55010780659468395</v>
      </c>
      <c r="AM30" s="119">
        <v>0.56023737500071802</v>
      </c>
      <c r="AN30" s="119">
        <v>0.56404094082748901</v>
      </c>
      <c r="AO30" s="119">
        <v>0.56602856841030602</v>
      </c>
      <c r="AP30" s="119">
        <v>0.56772088799852805</v>
      </c>
      <c r="AQ30" s="119">
        <v>0.56642469001373896</v>
      </c>
      <c r="AR30" s="119">
        <v>0.56618086550673197</v>
      </c>
      <c r="AS30" s="119">
        <v>0.56528421169633103</v>
      </c>
      <c r="AT30" s="119">
        <v>0.56560563824017895</v>
      </c>
      <c r="AU30" s="119">
        <v>0.56263629465383003</v>
      </c>
      <c r="AV30" s="119">
        <v>0.55927227617369002</v>
      </c>
      <c r="AW30" s="119">
        <v>0.55841492828389405</v>
      </c>
      <c r="AX30" s="119">
        <v>0.55602851705214595</v>
      </c>
      <c r="AY30" s="119">
        <v>0.55469590576947803</v>
      </c>
      <c r="AZ30" s="119">
        <v>0.55411603564671597</v>
      </c>
      <c r="BA30" s="119">
        <v>0.55601173902817802</v>
      </c>
      <c r="BB30" s="119">
        <v>0.56056978340841201</v>
      </c>
      <c r="BC30" s="119">
        <v>0.56574190668240298</v>
      </c>
      <c r="BD30" s="119">
        <v>0.57132042475955702</v>
      </c>
      <c r="BE30" s="119">
        <v>0.57736195504486598</v>
      </c>
      <c r="BF30" s="119">
        <v>0.58187793631962803</v>
      </c>
      <c r="BG30" s="119">
        <v>0.58675475224315898</v>
      </c>
      <c r="BH30" s="119">
        <v>0.59248340687941203</v>
      </c>
      <c r="BI30" s="119">
        <v>0.59754139589964395</v>
      </c>
      <c r="BJ30" s="119">
        <v>0.60066870582626797</v>
      </c>
      <c r="BK30" s="119">
        <v>0.60367428005065704</v>
      </c>
      <c r="BL30" s="119">
        <v>0.60709819016668098</v>
      </c>
    </row>
    <row r="31" spans="1:64" x14ac:dyDescent="0.25">
      <c r="A31" s="860" t="s">
        <v>18</v>
      </c>
      <c r="B31" s="1">
        <v>116</v>
      </c>
      <c r="C31" s="119">
        <v>0.5</v>
      </c>
      <c r="D31" s="119">
        <v>8.3316305155047704E-3</v>
      </c>
      <c r="E31" s="119">
        <v>9.38291486755693E-3</v>
      </c>
      <c r="F31" s="119">
        <v>1.05005292667723E-2</v>
      </c>
      <c r="G31" s="119">
        <v>1.16581085650635E-2</v>
      </c>
      <c r="H31" s="119">
        <v>1.29097405743499E-2</v>
      </c>
      <c r="I31" s="119">
        <v>1.42392788256417E-2</v>
      </c>
      <c r="J31" s="119">
        <v>1.5993275927324999E-2</v>
      </c>
      <c r="K31" s="119">
        <v>1.7923537064931799E-2</v>
      </c>
      <c r="L31" s="119">
        <v>2.0124378276611E-2</v>
      </c>
      <c r="M31" s="119">
        <v>2.2784659164795801E-2</v>
      </c>
      <c r="N31" s="119">
        <v>2.5386569086004802E-2</v>
      </c>
      <c r="O31" s="119">
        <v>2.81648965163773E-2</v>
      </c>
      <c r="P31" s="119">
        <v>3.1539875372905E-2</v>
      </c>
      <c r="Q31" s="119">
        <v>3.5209486899482799E-2</v>
      </c>
      <c r="R31" s="119">
        <v>3.9165560445463501E-2</v>
      </c>
      <c r="S31" s="119">
        <v>4.3750440194215902E-2</v>
      </c>
      <c r="T31" s="119">
        <v>4.823683942721E-2</v>
      </c>
      <c r="U31" s="119">
        <v>5.3570683551308701E-2</v>
      </c>
      <c r="V31" s="119">
        <v>5.81704999584211E-2</v>
      </c>
      <c r="W31" s="119">
        <v>6.4745245132500906E-2</v>
      </c>
      <c r="X31" s="119">
        <v>7.1192792858083706E-2</v>
      </c>
      <c r="Y31" s="119">
        <v>7.6401975226227201E-2</v>
      </c>
      <c r="Z31" s="119">
        <v>8.1517432635117001E-2</v>
      </c>
      <c r="AA31" s="119">
        <v>8.7788359619066905E-2</v>
      </c>
      <c r="AB31" s="119">
        <v>9.4203378805980398E-2</v>
      </c>
      <c r="AC31" s="119">
        <v>0.103030240744483</v>
      </c>
      <c r="AD31" s="119">
        <v>0.117318823502723</v>
      </c>
      <c r="AE31" s="119">
        <v>0.134227455491498</v>
      </c>
      <c r="AF31" s="119">
        <v>0.15311282271993701</v>
      </c>
      <c r="AG31" s="119">
        <v>0.169478015397206</v>
      </c>
      <c r="AH31" s="119">
        <v>0.18714825921793901</v>
      </c>
      <c r="AI31" s="119">
        <v>0.20394265062738401</v>
      </c>
      <c r="AJ31" s="119">
        <v>0.22189137842905099</v>
      </c>
      <c r="AK31" s="119">
        <v>0.23980521862640999</v>
      </c>
      <c r="AL31" s="119">
        <v>0.25734447761166501</v>
      </c>
      <c r="AM31" s="119">
        <v>0.273913209278627</v>
      </c>
      <c r="AN31" s="119">
        <v>0.29122430961156598</v>
      </c>
      <c r="AO31" s="119">
        <v>0.30658098783255799</v>
      </c>
      <c r="AP31" s="119">
        <v>0.32273537853383699</v>
      </c>
      <c r="AQ31" s="119">
        <v>0.33717108483074898</v>
      </c>
      <c r="AR31" s="119">
        <v>0.35004958074877901</v>
      </c>
      <c r="AS31" s="119">
        <v>0.36300919748464699</v>
      </c>
      <c r="AT31" s="119">
        <v>0.37328581926334897</v>
      </c>
      <c r="AU31" s="119">
        <v>0.38405589957825598</v>
      </c>
      <c r="AV31" s="119">
        <v>0.392813890007634</v>
      </c>
      <c r="AW31" s="119">
        <v>0.40562134112589299</v>
      </c>
      <c r="AX31" s="119">
        <v>0.41577190846673201</v>
      </c>
      <c r="AY31" s="119">
        <v>0.42547584913884301</v>
      </c>
      <c r="AZ31" s="119">
        <v>0.43638676489881001</v>
      </c>
      <c r="BA31" s="119">
        <v>0.44605261569867399</v>
      </c>
      <c r="BB31" s="119">
        <v>0.45255938670331702</v>
      </c>
      <c r="BC31" s="119">
        <v>0.46090295342208898</v>
      </c>
      <c r="BD31" s="119">
        <v>0.47013277239804802</v>
      </c>
      <c r="BE31" s="119">
        <v>0.47753942939095201</v>
      </c>
      <c r="BF31" s="119">
        <v>0.48372892757430302</v>
      </c>
      <c r="BG31" s="119">
        <v>0.49165456415359299</v>
      </c>
      <c r="BH31" s="119">
        <v>0.497512429112971</v>
      </c>
      <c r="BI31" s="119">
        <v>0.50341896642759099</v>
      </c>
      <c r="BJ31" s="119">
        <v>0.51109385991884404</v>
      </c>
      <c r="BK31" s="119">
        <v>0.51539902682996797</v>
      </c>
      <c r="BL31" s="119">
        <v>0.52249598883246395</v>
      </c>
    </row>
    <row r="32" spans="1:64" x14ac:dyDescent="0.25">
      <c r="A32" s="860" t="s">
        <v>19</v>
      </c>
      <c r="B32" s="1">
        <v>120</v>
      </c>
      <c r="C32" s="119">
        <v>0.5</v>
      </c>
      <c r="D32" s="119">
        <v>4.1436373115726604E-3</v>
      </c>
      <c r="E32" s="119">
        <v>4.4861204914432001E-3</v>
      </c>
      <c r="F32" s="119">
        <v>4.9148539803891E-3</v>
      </c>
      <c r="G32" s="119">
        <v>5.3279564559336103E-3</v>
      </c>
      <c r="H32" s="119">
        <v>5.8132326576466296E-3</v>
      </c>
      <c r="I32" s="119">
        <v>6.3076630501791202E-3</v>
      </c>
      <c r="J32" s="119">
        <v>6.8309551263907699E-3</v>
      </c>
      <c r="K32" s="119">
        <v>7.4802892862027796E-3</v>
      </c>
      <c r="L32" s="119">
        <v>8.3351842733275297E-3</v>
      </c>
      <c r="M32" s="119">
        <v>9.3690346012630897E-3</v>
      </c>
      <c r="N32" s="119">
        <v>1.0718170650342499E-2</v>
      </c>
      <c r="O32" s="119">
        <v>1.2127339929166699E-2</v>
      </c>
      <c r="P32" s="119">
        <v>1.40697437057485E-2</v>
      </c>
      <c r="Q32" s="119">
        <v>1.60111137928826E-2</v>
      </c>
      <c r="R32" s="119">
        <v>1.8209373539505198E-2</v>
      </c>
      <c r="S32" s="119">
        <v>2.0794435679880902E-2</v>
      </c>
      <c r="T32" s="119">
        <v>2.35103203436112E-2</v>
      </c>
      <c r="U32" s="119">
        <v>2.6926315969569799E-2</v>
      </c>
      <c r="V32" s="119">
        <v>3.0494445735691902E-2</v>
      </c>
      <c r="W32" s="119">
        <v>3.4326284594937501E-2</v>
      </c>
      <c r="X32" s="119">
        <v>3.8555585224284102E-2</v>
      </c>
      <c r="Y32" s="119">
        <v>4.2388911646068998E-2</v>
      </c>
      <c r="Z32" s="119">
        <v>4.6223771885511702E-2</v>
      </c>
      <c r="AA32" s="119">
        <v>5.0111658828119798E-2</v>
      </c>
      <c r="AB32" s="119">
        <v>5.4037077064266199E-2</v>
      </c>
      <c r="AC32" s="119">
        <v>5.8056860292818001E-2</v>
      </c>
      <c r="AD32" s="119">
        <v>6.2217434576981603E-2</v>
      </c>
      <c r="AE32" s="119">
        <v>6.6435589119737806E-2</v>
      </c>
      <c r="AF32" s="119">
        <v>7.1176206956231294E-2</v>
      </c>
      <c r="AG32" s="119">
        <v>7.6974501654844499E-2</v>
      </c>
      <c r="AH32" s="119">
        <v>8.4014734618000506E-2</v>
      </c>
      <c r="AI32" s="119">
        <v>9.2218805486571395E-2</v>
      </c>
      <c r="AJ32" s="119">
        <v>0.10216589356823701</v>
      </c>
      <c r="AK32" s="119">
        <v>0.11339581773243</v>
      </c>
      <c r="AL32" s="119">
        <v>0.123440738894674</v>
      </c>
      <c r="AM32" s="119">
        <v>0.12811559945418399</v>
      </c>
      <c r="AN32" s="119">
        <v>0.13042999735507399</v>
      </c>
      <c r="AO32" s="119">
        <v>0.133970966818133</v>
      </c>
      <c r="AP32" s="119">
        <v>0.13652759034471901</v>
      </c>
      <c r="AQ32" s="119">
        <v>0.138293722772658</v>
      </c>
      <c r="AR32" s="119">
        <v>0.13956317030770199</v>
      </c>
      <c r="AS32" s="119">
        <v>0.14153166620982299</v>
      </c>
      <c r="AT32" s="119">
        <v>0.14455841913652601</v>
      </c>
      <c r="AU32" s="119">
        <v>0.146690313813337</v>
      </c>
      <c r="AV32" s="119">
        <v>0.14769263188512899</v>
      </c>
      <c r="AW32" s="119">
        <v>0.147381929765347</v>
      </c>
      <c r="AX32" s="119">
        <v>0.14779100462303099</v>
      </c>
      <c r="AY32" s="119">
        <v>0.146804257705173</v>
      </c>
      <c r="AZ32" s="119">
        <v>0.147552008598516</v>
      </c>
      <c r="BA32" s="119">
        <v>0.15015630208189401</v>
      </c>
      <c r="BB32" s="119">
        <v>0.154474926707621</v>
      </c>
      <c r="BC32" s="119">
        <v>0.16052974078188201</v>
      </c>
      <c r="BD32" s="119">
        <v>0.16680316434855499</v>
      </c>
      <c r="BE32" s="119">
        <v>0.17484669655230101</v>
      </c>
      <c r="BF32" s="119">
        <v>0.17991405343928099</v>
      </c>
      <c r="BG32" s="119">
        <v>0.18625521881034501</v>
      </c>
      <c r="BH32" s="119">
        <v>0.191968439356628</v>
      </c>
      <c r="BI32" s="119">
        <v>0.19981233464517101</v>
      </c>
      <c r="BJ32" s="119">
        <v>0.20564213233322701</v>
      </c>
      <c r="BK32" s="119">
        <v>0.21515377437453601</v>
      </c>
      <c r="BL32" s="119">
        <v>0.2221471463951</v>
      </c>
    </row>
    <row r="33" spans="1:64" x14ac:dyDescent="0.25">
      <c r="A33" s="860" t="s">
        <v>157</v>
      </c>
      <c r="B33" s="1">
        <v>124</v>
      </c>
      <c r="C33" s="119">
        <v>0.5</v>
      </c>
      <c r="D33" s="119">
        <v>0.66279801208578804</v>
      </c>
      <c r="E33" s="119">
        <v>0.66408309002863897</v>
      </c>
      <c r="F33" s="119">
        <v>0.665276344752879</v>
      </c>
      <c r="G33" s="119">
        <v>0.66611708221275001</v>
      </c>
      <c r="H33" s="119">
        <v>0.67059551027967101</v>
      </c>
      <c r="I33" s="119">
        <v>0.67460786127414596</v>
      </c>
      <c r="J33" s="119">
        <v>0.678391580992737</v>
      </c>
      <c r="K33" s="119">
        <v>0.68093312807262696</v>
      </c>
      <c r="L33" s="119">
        <v>0.68250314657533895</v>
      </c>
      <c r="M33" s="119">
        <v>0.68451809703960598</v>
      </c>
      <c r="N33" s="119">
        <v>0.68689974652241303</v>
      </c>
      <c r="O33" s="119">
        <v>0.68960670666588497</v>
      </c>
      <c r="P33" s="119">
        <v>0.69073286098081699</v>
      </c>
      <c r="Q33" s="119">
        <v>0.69378408927605595</v>
      </c>
      <c r="R33" s="119">
        <v>0.69559692966883502</v>
      </c>
      <c r="S33" s="119">
        <v>0.69711207249002805</v>
      </c>
      <c r="T33" s="119">
        <v>0.69859570815445704</v>
      </c>
      <c r="U33" s="119">
        <v>0.70176675344525097</v>
      </c>
      <c r="V33" s="119">
        <v>0.70269975289620401</v>
      </c>
      <c r="W33" s="119">
        <v>0.70412218572279595</v>
      </c>
      <c r="X33" s="119">
        <v>0.70586741907754402</v>
      </c>
      <c r="Y33" s="119">
        <v>0.70939124119744201</v>
      </c>
      <c r="Z33" s="119">
        <v>0.71439986333099903</v>
      </c>
      <c r="AA33" s="119">
        <v>0.71920764714136698</v>
      </c>
      <c r="AB33" s="119">
        <v>0.72381143772997403</v>
      </c>
      <c r="AC33" s="119">
        <v>0.72935518967343604</v>
      </c>
      <c r="AD33" s="119">
        <v>0.73362842522259197</v>
      </c>
      <c r="AE33" s="119">
        <v>0.73656820450473803</v>
      </c>
      <c r="AF33" s="119">
        <v>0.73814294352311804</v>
      </c>
      <c r="AG33" s="119">
        <v>0.738017666267067</v>
      </c>
      <c r="AH33" s="119">
        <v>0.73690769353032004</v>
      </c>
      <c r="AI33" s="119">
        <v>0.73762312788334805</v>
      </c>
      <c r="AJ33" s="119">
        <v>0.74158026876538097</v>
      </c>
      <c r="AK33" s="119">
        <v>0.75105381719085496</v>
      </c>
      <c r="AL33" s="119">
        <v>0.76271665040968095</v>
      </c>
      <c r="AM33" s="119">
        <v>0.77485670020745201</v>
      </c>
      <c r="AN33" s="119">
        <v>0.78438163551302797</v>
      </c>
      <c r="AO33" s="119">
        <v>0.78862631327444099</v>
      </c>
      <c r="AP33" s="119">
        <v>0.79171952152168801</v>
      </c>
      <c r="AQ33" s="119">
        <v>0.79262984805602898</v>
      </c>
      <c r="AR33" s="119">
        <v>0.79214379197692797</v>
      </c>
      <c r="AS33" s="119">
        <v>0.79364343242672197</v>
      </c>
      <c r="AT33" s="119">
        <v>0.79476553371117398</v>
      </c>
      <c r="AU33" s="119">
        <v>0.79532900410554697</v>
      </c>
      <c r="AV33" s="119">
        <v>0.79569449133986603</v>
      </c>
      <c r="AW33" s="119">
        <v>0.79473209140048995</v>
      </c>
      <c r="AX33" s="119">
        <v>0.79796310720877495</v>
      </c>
      <c r="AY33" s="119">
        <v>0.79798016747488099</v>
      </c>
      <c r="AZ33" s="119">
        <v>0.79788990600147403</v>
      </c>
      <c r="BA33" s="119">
        <v>0.79890773680810201</v>
      </c>
      <c r="BB33" s="119">
        <v>0.79825047285553796</v>
      </c>
      <c r="BC33" s="119">
        <v>0.79924049649391804</v>
      </c>
      <c r="BD33" s="119">
        <v>0.799481864274179</v>
      </c>
      <c r="BE33" s="119">
        <v>0.79899418320271498</v>
      </c>
      <c r="BF33" s="119">
        <v>0.79892012759382403</v>
      </c>
      <c r="BG33" s="119">
        <v>0.79826468123550498</v>
      </c>
      <c r="BH33" s="119">
        <v>0.79801263285811996</v>
      </c>
      <c r="BI33" s="119">
        <v>0.79775719640097797</v>
      </c>
      <c r="BJ33" s="119">
        <v>0.80003325376926804</v>
      </c>
      <c r="BK33" s="119">
        <v>0.80154668353667302</v>
      </c>
      <c r="BL33" s="119">
        <v>0.80278894144030699</v>
      </c>
    </row>
    <row r="34" spans="1:64" x14ac:dyDescent="0.25">
      <c r="A34" s="860" t="s">
        <v>2012</v>
      </c>
      <c r="B34" s="1">
        <v>140</v>
      </c>
      <c r="C34" s="119">
        <v>0.5</v>
      </c>
      <c r="D34" s="119">
        <v>4.0077123395599202E-3</v>
      </c>
      <c r="E34" s="119">
        <v>4.54970154530811E-3</v>
      </c>
      <c r="F34" s="119">
        <v>4.8308733237085897E-3</v>
      </c>
      <c r="G34" s="119">
        <v>5.3355417676661902E-3</v>
      </c>
      <c r="H34" s="119">
        <v>5.7377133479138602E-3</v>
      </c>
      <c r="I34" s="119">
        <v>6.2842316038619799E-3</v>
      </c>
      <c r="J34" s="119">
        <v>6.9625183597625696E-3</v>
      </c>
      <c r="K34" s="119">
        <v>7.6243474615262903E-3</v>
      </c>
      <c r="L34" s="119">
        <v>8.35096552311595E-3</v>
      </c>
      <c r="M34" s="119">
        <v>9.0410326125396796E-3</v>
      </c>
      <c r="N34" s="119">
        <v>9.8926011251071304E-3</v>
      </c>
      <c r="O34" s="119">
        <v>1.08430760313397E-2</v>
      </c>
      <c r="P34" s="119">
        <v>1.17854335645149E-2</v>
      </c>
      <c r="Q34" s="119">
        <v>1.28219913433002E-2</v>
      </c>
      <c r="R34" s="119">
        <v>1.3946672517526199E-2</v>
      </c>
      <c r="S34" s="119">
        <v>1.53720057291347E-2</v>
      </c>
      <c r="T34" s="119">
        <v>1.6828874508678E-2</v>
      </c>
      <c r="U34" s="119">
        <v>1.82036151126444E-2</v>
      </c>
      <c r="V34" s="119">
        <v>1.9915467642615901E-2</v>
      </c>
      <c r="W34" s="119">
        <v>2.1828850346300201E-2</v>
      </c>
      <c r="X34" s="119">
        <v>2.3614446015463898E-2</v>
      </c>
      <c r="Y34" s="119">
        <v>2.52859036052192E-2</v>
      </c>
      <c r="Z34" s="119">
        <v>2.7376324304908099E-2</v>
      </c>
      <c r="AA34" s="119">
        <v>3.0007345688253698E-2</v>
      </c>
      <c r="AB34" s="119">
        <v>3.2613009740192198E-2</v>
      </c>
      <c r="AC34" s="119">
        <v>3.6963125288429703E-2</v>
      </c>
      <c r="AD34" s="119">
        <v>4.1031082239983203E-2</v>
      </c>
      <c r="AE34" s="119">
        <v>4.6179935698052697E-2</v>
      </c>
      <c r="AF34" s="119">
        <v>5.1564720333560202E-2</v>
      </c>
      <c r="AG34" s="119">
        <v>5.6776940974324501E-2</v>
      </c>
      <c r="AH34" s="119">
        <v>6.2019531230601901E-2</v>
      </c>
      <c r="AI34" s="119">
        <v>6.6079270165570705E-2</v>
      </c>
      <c r="AJ34" s="119">
        <v>6.9378088506248103E-2</v>
      </c>
      <c r="AK34" s="119">
        <v>7.2717627976852106E-2</v>
      </c>
      <c r="AL34" s="119">
        <v>7.7275149479871602E-2</v>
      </c>
      <c r="AM34" s="119">
        <v>8.0116151323541399E-2</v>
      </c>
      <c r="AN34" s="119">
        <v>8.3898923375217496E-2</v>
      </c>
      <c r="AO34" s="119">
        <v>8.6966457234910005E-2</v>
      </c>
      <c r="AP34" s="119">
        <v>8.98122503922784E-2</v>
      </c>
      <c r="AQ34" s="119">
        <v>9.2597609747173806E-2</v>
      </c>
      <c r="AR34" s="119">
        <v>9.5655129363878794E-2</v>
      </c>
      <c r="AS34" s="119">
        <v>9.8119900698956E-2</v>
      </c>
      <c r="AT34" s="119">
        <v>0.101547260369932</v>
      </c>
      <c r="AU34" s="119">
        <v>0.10435782407448101</v>
      </c>
      <c r="AV34" s="119">
        <v>0.108092235987495</v>
      </c>
      <c r="AW34" s="119">
        <v>0.111492032572414</v>
      </c>
      <c r="AX34" s="119">
        <v>0.11636582087054</v>
      </c>
      <c r="AY34" s="119">
        <v>0.119654999857686</v>
      </c>
      <c r="AZ34" s="119">
        <v>0.123772493455357</v>
      </c>
      <c r="BA34" s="119">
        <v>0.12793507427383299</v>
      </c>
      <c r="BB34" s="119">
        <v>0.13288046124882499</v>
      </c>
      <c r="BC34" s="119">
        <v>0.138337368369432</v>
      </c>
      <c r="BD34" s="119">
        <v>0.143519172657395</v>
      </c>
      <c r="BE34" s="119">
        <v>0.15047809900866799</v>
      </c>
      <c r="BF34" s="119">
        <v>0.15576959205024599</v>
      </c>
      <c r="BG34" s="119">
        <v>0.163131344427564</v>
      </c>
      <c r="BH34" s="119">
        <v>0.16967103653857901</v>
      </c>
      <c r="BI34" s="119">
        <v>0.175251978261352</v>
      </c>
      <c r="BJ34" s="119">
        <v>0.181869167945411</v>
      </c>
      <c r="BK34" s="119">
        <v>0.188783919481055</v>
      </c>
      <c r="BL34" s="119">
        <v>0.19394404875752499</v>
      </c>
    </row>
    <row r="35" spans="1:64" x14ac:dyDescent="0.25">
      <c r="A35" s="860" t="s">
        <v>20</v>
      </c>
      <c r="B35" s="1">
        <v>148</v>
      </c>
      <c r="C35" s="119">
        <v>0.5</v>
      </c>
      <c r="D35" s="119">
        <v>1.0739193003884201E-3</v>
      </c>
      <c r="E35" s="119">
        <v>1.1825496323982099E-3</v>
      </c>
      <c r="F35" s="119">
        <v>1.3104711960654099E-3</v>
      </c>
      <c r="G35" s="119">
        <v>1.46925830820223E-3</v>
      </c>
      <c r="H35" s="119">
        <v>1.64457416319596E-3</v>
      </c>
      <c r="I35" s="119">
        <v>1.8254409628711201E-3</v>
      </c>
      <c r="J35" s="119">
        <v>1.9767508083114302E-3</v>
      </c>
      <c r="K35" s="119">
        <v>2.2595329286268701E-3</v>
      </c>
      <c r="L35" s="119">
        <v>2.5182951224721798E-3</v>
      </c>
      <c r="M35" s="119">
        <v>2.7860702134743101E-3</v>
      </c>
      <c r="N35" s="119">
        <v>3.06090882002497E-3</v>
      </c>
      <c r="O35" s="119">
        <v>3.4116786816443499E-3</v>
      </c>
      <c r="P35" s="119">
        <v>3.75880590494107E-3</v>
      </c>
      <c r="Q35" s="119">
        <v>4.1125123191548801E-3</v>
      </c>
      <c r="R35" s="119">
        <v>4.4790242981197796E-3</v>
      </c>
      <c r="S35" s="119">
        <v>5.0197090246213603E-3</v>
      </c>
      <c r="T35" s="119">
        <v>5.6193668189622103E-3</v>
      </c>
      <c r="U35" s="119">
        <v>6.1808303668637503E-3</v>
      </c>
      <c r="V35" s="119">
        <v>6.8956454062778496E-3</v>
      </c>
      <c r="W35" s="119">
        <v>7.4770476696557403E-3</v>
      </c>
      <c r="X35" s="119">
        <v>8.0310794453815199E-3</v>
      </c>
      <c r="Y35" s="119">
        <v>8.5567954214607906E-3</v>
      </c>
      <c r="Z35" s="119">
        <v>9.1796011347742897E-3</v>
      </c>
      <c r="AA35" s="119">
        <v>9.8968981082710999E-3</v>
      </c>
      <c r="AB35" s="119">
        <v>1.0361611347405601E-2</v>
      </c>
      <c r="AC35" s="119">
        <v>1.0952661579028E-2</v>
      </c>
      <c r="AD35" s="119">
        <v>1.1502264263896601E-2</v>
      </c>
      <c r="AE35" s="119">
        <v>1.2134778973323599E-2</v>
      </c>
      <c r="AF35" s="119">
        <v>1.33539519684133E-2</v>
      </c>
      <c r="AG35" s="119">
        <v>1.4479040178113E-2</v>
      </c>
      <c r="AH35" s="119">
        <v>1.5575411597462299E-2</v>
      </c>
      <c r="AI35" s="119">
        <v>1.6066541387979E-2</v>
      </c>
      <c r="AJ35" s="119">
        <v>1.6453961976175598E-2</v>
      </c>
      <c r="AK35" s="119">
        <v>1.6814182161467899E-2</v>
      </c>
      <c r="AL35" s="119">
        <v>1.72647331721178E-2</v>
      </c>
      <c r="AM35" s="119">
        <v>1.8008953469820999E-2</v>
      </c>
      <c r="AN35" s="119">
        <v>1.8882713196558799E-2</v>
      </c>
      <c r="AO35" s="119">
        <v>1.9800599590643401E-2</v>
      </c>
      <c r="AP35" s="119">
        <v>2.0924555189193301E-2</v>
      </c>
      <c r="AQ35" s="119">
        <v>2.21004671016478E-2</v>
      </c>
      <c r="AR35" s="119">
        <v>2.3620519755536001E-2</v>
      </c>
      <c r="AS35" s="119">
        <v>2.58607226828147E-2</v>
      </c>
      <c r="AT35" s="119">
        <v>2.86019017859039E-2</v>
      </c>
      <c r="AU35" s="119">
        <v>3.2026495027531403E-2</v>
      </c>
      <c r="AV35" s="119">
        <v>3.5631526148622202E-2</v>
      </c>
      <c r="AW35" s="119">
        <v>3.9285326365953797E-2</v>
      </c>
      <c r="AX35" s="119">
        <v>4.1927377855369097E-2</v>
      </c>
      <c r="AY35" s="119">
        <v>4.4459714249172999E-2</v>
      </c>
      <c r="AZ35" s="119">
        <v>4.7038959387533802E-2</v>
      </c>
      <c r="BA35" s="119">
        <v>4.9676462502399397E-2</v>
      </c>
      <c r="BB35" s="119">
        <v>5.2490335547947999E-2</v>
      </c>
      <c r="BC35" s="119">
        <v>5.5143553489359703E-2</v>
      </c>
      <c r="BD35" s="119">
        <v>5.7374283777435801E-2</v>
      </c>
      <c r="BE35" s="119">
        <v>5.9633756172216397E-2</v>
      </c>
      <c r="BF35" s="119">
        <v>6.1428644184178899E-2</v>
      </c>
      <c r="BG35" s="119">
        <v>6.3972671719335295E-2</v>
      </c>
      <c r="BH35" s="119">
        <v>6.6999053975818804E-2</v>
      </c>
      <c r="BI35" s="119">
        <v>6.9647529191739999E-2</v>
      </c>
      <c r="BJ35" s="119">
        <v>7.32856640716638E-2</v>
      </c>
      <c r="BK35" s="119">
        <v>7.5650861547403803E-2</v>
      </c>
      <c r="BL35" s="119">
        <v>7.8696197069127199E-2</v>
      </c>
    </row>
    <row r="36" spans="1:64" x14ac:dyDescent="0.25">
      <c r="A36" s="860" t="s">
        <v>159</v>
      </c>
      <c r="B36" s="1">
        <v>152</v>
      </c>
      <c r="C36" s="119">
        <v>0.5</v>
      </c>
      <c r="D36" s="119">
        <v>0.19344962338034599</v>
      </c>
      <c r="E36" s="119">
        <v>0.20572365426265801</v>
      </c>
      <c r="F36" s="119">
        <v>0.21748574871224399</v>
      </c>
      <c r="G36" s="119">
        <v>0.22869736992245501</v>
      </c>
      <c r="H36" s="119">
        <v>0.239013333160325</v>
      </c>
      <c r="I36" s="119">
        <v>0.25174480418719097</v>
      </c>
      <c r="J36" s="119">
        <v>0.26663263579080898</v>
      </c>
      <c r="K36" s="119">
        <v>0.281311449121394</v>
      </c>
      <c r="L36" s="119">
        <v>0.294184228939805</v>
      </c>
      <c r="M36" s="119">
        <v>0.30878216179128898</v>
      </c>
      <c r="N36" s="119">
        <v>0.32296726504805501</v>
      </c>
      <c r="O36" s="119">
        <v>0.33546845966928301</v>
      </c>
      <c r="P36" s="119">
        <v>0.348765924952122</v>
      </c>
      <c r="Q36" s="119">
        <v>0.36513139004756801</v>
      </c>
      <c r="R36" s="119">
        <v>0.37945233985422</v>
      </c>
      <c r="S36" s="119">
        <v>0.39443669182223601</v>
      </c>
      <c r="T36" s="119">
        <v>0.40710320462048799</v>
      </c>
      <c r="U36" s="119">
        <v>0.41935711157802003</v>
      </c>
      <c r="V36" s="119">
        <v>0.432478766874553</v>
      </c>
      <c r="W36" s="119">
        <v>0.44699971481594197</v>
      </c>
      <c r="X36" s="119">
        <v>0.45928051077288601</v>
      </c>
      <c r="Y36" s="119">
        <v>0.46942651818845599</v>
      </c>
      <c r="Z36" s="119">
        <v>0.47847952463396898</v>
      </c>
      <c r="AA36" s="119">
        <v>0.48905333203607199</v>
      </c>
      <c r="AB36" s="119">
        <v>0.50267434428611901</v>
      </c>
      <c r="AC36" s="119">
        <v>0.51261359765963799</v>
      </c>
      <c r="AD36" s="119">
        <v>0.51990737705392098</v>
      </c>
      <c r="AE36" s="119">
        <v>0.52907613512030904</v>
      </c>
      <c r="AF36" s="119">
        <v>0.53799944263076804</v>
      </c>
      <c r="AG36" s="119">
        <v>0.54804943127483097</v>
      </c>
      <c r="AH36" s="119">
        <v>0.55546006972372697</v>
      </c>
      <c r="AI36" s="119">
        <v>0.56681176219540597</v>
      </c>
      <c r="AJ36" s="119">
        <v>0.57594492609353798</v>
      </c>
      <c r="AK36" s="119">
        <v>0.58513694834996599</v>
      </c>
      <c r="AL36" s="119">
        <v>0.59289200236315398</v>
      </c>
      <c r="AM36" s="119">
        <v>0.60366188434149604</v>
      </c>
      <c r="AN36" s="119">
        <v>0.61429817594729297</v>
      </c>
      <c r="AO36" s="119">
        <v>0.62400197376836897</v>
      </c>
      <c r="AP36" s="119">
        <v>0.63494023228419605</v>
      </c>
      <c r="AQ36" s="119">
        <v>0.64665852748152897</v>
      </c>
      <c r="AR36" s="119">
        <v>0.65560895491350002</v>
      </c>
      <c r="AS36" s="119">
        <v>0.66536727089807002</v>
      </c>
      <c r="AT36" s="119">
        <v>0.67599550270236997</v>
      </c>
      <c r="AU36" s="119">
        <v>0.68535484905077204</v>
      </c>
      <c r="AV36" s="119">
        <v>0.693349743123022</v>
      </c>
      <c r="AW36" s="119">
        <v>0.70098721536384201</v>
      </c>
      <c r="AX36" s="119">
        <v>0.70688304145116099</v>
      </c>
      <c r="AY36" s="119">
        <v>0.709880924537033</v>
      </c>
      <c r="AZ36" s="119">
        <v>0.71314438931541402</v>
      </c>
      <c r="BA36" s="119">
        <v>0.71501761885937498</v>
      </c>
      <c r="BB36" s="119">
        <v>0.71626281223485699</v>
      </c>
      <c r="BC36" s="119">
        <v>0.71834383640098498</v>
      </c>
      <c r="BD36" s="119">
        <v>0.71977507967156396</v>
      </c>
      <c r="BE36" s="119">
        <v>0.722847965231181</v>
      </c>
      <c r="BF36" s="119">
        <v>0.72405519898179305</v>
      </c>
      <c r="BG36" s="119">
        <v>0.72584108193393604</v>
      </c>
      <c r="BH36" s="119">
        <v>0.72683422984180501</v>
      </c>
      <c r="BI36" s="119">
        <v>0.72805942123386702</v>
      </c>
      <c r="BJ36" s="119">
        <v>0.730977322696161</v>
      </c>
      <c r="BK36" s="119">
        <v>0.73318691672319303</v>
      </c>
      <c r="BL36" s="119">
        <v>0.73573515422969105</v>
      </c>
    </row>
    <row r="37" spans="1:64" x14ac:dyDescent="0.25">
      <c r="A37" s="860" t="s">
        <v>160</v>
      </c>
      <c r="B37" s="1">
        <v>156</v>
      </c>
      <c r="C37" s="119">
        <v>0.5</v>
      </c>
      <c r="D37" s="119">
        <v>0.14444560223351399</v>
      </c>
      <c r="E37" s="119">
        <v>0.179425132797224</v>
      </c>
      <c r="F37" s="119">
        <v>0.22522218708443001</v>
      </c>
      <c r="G37" s="119">
        <v>0.27997472667383699</v>
      </c>
      <c r="H37" s="119">
        <v>0.33805845875729901</v>
      </c>
      <c r="I37" s="119">
        <v>0.39402757216217199</v>
      </c>
      <c r="J37" s="119">
        <v>0.441143276653295</v>
      </c>
      <c r="K37" s="119">
        <v>0.47684791832226098</v>
      </c>
      <c r="L37" s="119">
        <v>0.50482143129839396</v>
      </c>
      <c r="M37" s="119">
        <v>0.529040291811675</v>
      </c>
      <c r="N37" s="119">
        <v>0.55092536215745302</v>
      </c>
      <c r="O37" s="119">
        <v>0.57472049736950104</v>
      </c>
      <c r="P37" s="119">
        <v>0.603518755617793</v>
      </c>
      <c r="Q37" s="119">
        <v>0.63105241503133302</v>
      </c>
      <c r="R37" s="119">
        <v>0.64929576783034804</v>
      </c>
      <c r="S37" s="119">
        <v>0.66167232835198397</v>
      </c>
      <c r="T37" s="119">
        <v>0.67359777343935701</v>
      </c>
      <c r="U37" s="119">
        <v>0.69104926537872602</v>
      </c>
      <c r="V37" s="119">
        <v>0.71218038939989703</v>
      </c>
      <c r="W37" s="119">
        <v>0.736164361254109</v>
      </c>
      <c r="X37" s="119">
        <v>0.75967894329666197</v>
      </c>
      <c r="Y37" s="119">
        <v>0.781056962053014</v>
      </c>
      <c r="Z37" s="119">
        <v>0.79804744113036796</v>
      </c>
      <c r="AA37" s="119">
        <v>0.808750684517348</v>
      </c>
      <c r="AB37" s="119">
        <v>0.81737049352736002</v>
      </c>
      <c r="AC37" s="119">
        <v>0.82285615136036105</v>
      </c>
      <c r="AD37" s="119">
        <v>0.82828700964350699</v>
      </c>
      <c r="AE37" s="119">
        <v>0.83333806613634198</v>
      </c>
      <c r="AF37" s="119">
        <v>0.83874747626683999</v>
      </c>
      <c r="AG37" s="119">
        <v>0.84385345825981095</v>
      </c>
      <c r="AH37" s="119">
        <v>0.84781751648294801</v>
      </c>
      <c r="AI37" s="119">
        <v>0.85079327892656598</v>
      </c>
      <c r="AJ37" s="119">
        <v>0.85023767243670501</v>
      </c>
      <c r="AK37" s="119">
        <v>0.84845105128663201</v>
      </c>
      <c r="AL37" s="119">
        <v>0.84553253932592798</v>
      </c>
      <c r="AM37" s="119">
        <v>0.84283570840863298</v>
      </c>
      <c r="AN37" s="119">
        <v>0.84051861441186204</v>
      </c>
      <c r="AO37" s="119">
        <v>0.83915710879838001</v>
      </c>
      <c r="AP37" s="119">
        <v>0.83735699008328202</v>
      </c>
      <c r="AQ37" s="119">
        <v>0.83683182933948597</v>
      </c>
      <c r="AR37" s="119">
        <v>0.83624478794327195</v>
      </c>
      <c r="AS37" s="119">
        <v>0.83543567344046799</v>
      </c>
      <c r="AT37" s="119">
        <v>0.83545187117693798</v>
      </c>
      <c r="AU37" s="119">
        <v>0.83481357480695595</v>
      </c>
      <c r="AV37" s="119">
        <v>0.83406271782901498</v>
      </c>
      <c r="AW37" s="119">
        <v>0.83292829846352401</v>
      </c>
      <c r="AX37" s="119">
        <v>0.83025992140889104</v>
      </c>
      <c r="AY37" s="119">
        <v>0.82776999658112604</v>
      </c>
      <c r="AZ37" s="119">
        <v>0.82748067427688599</v>
      </c>
      <c r="BA37" s="119">
        <v>0.82786543081929198</v>
      </c>
      <c r="BB37" s="119">
        <v>0.82899191090629198</v>
      </c>
      <c r="BC37" s="119">
        <v>0.829611927668088</v>
      </c>
      <c r="BD37" s="119">
        <v>0.83155704471616099</v>
      </c>
      <c r="BE37" s="119">
        <v>0.83264765410429697</v>
      </c>
      <c r="BF37" s="119">
        <v>0.83344152557663198</v>
      </c>
      <c r="BG37" s="119">
        <v>0.83423919678737901</v>
      </c>
      <c r="BH37" s="119">
        <v>0.83498501471536801</v>
      </c>
      <c r="BI37" s="119">
        <v>0.83709168168011205</v>
      </c>
      <c r="BJ37" s="119">
        <v>0.83798774829288802</v>
      </c>
      <c r="BK37" s="119">
        <v>0.839399857888949</v>
      </c>
      <c r="BL37" s="119">
        <v>0.84090060131799405</v>
      </c>
    </row>
    <row r="38" spans="1:64" x14ac:dyDescent="0.25">
      <c r="A38" s="860" t="s">
        <v>161</v>
      </c>
      <c r="B38" s="1">
        <v>344</v>
      </c>
      <c r="C38" s="119">
        <v>0.5</v>
      </c>
      <c r="D38" s="119">
        <v>0.40138967157226402</v>
      </c>
      <c r="E38" s="119">
        <v>0.42415536510236601</v>
      </c>
      <c r="F38" s="119">
        <v>0.447953871613397</v>
      </c>
      <c r="G38" s="119">
        <v>0.47823664483605599</v>
      </c>
      <c r="H38" s="119">
        <v>0.51033525715341799</v>
      </c>
      <c r="I38" s="119">
        <v>0.54117555646381299</v>
      </c>
      <c r="J38" s="119">
        <v>0.57168944449090997</v>
      </c>
      <c r="K38" s="119">
        <v>0.59675393388557096</v>
      </c>
      <c r="L38" s="119">
        <v>0.61290444754580498</v>
      </c>
      <c r="M38" s="119">
        <v>0.62598185635125003</v>
      </c>
      <c r="N38" s="119">
        <v>0.63800050066199598</v>
      </c>
      <c r="O38" s="119">
        <v>0.64884358254780405</v>
      </c>
      <c r="P38" s="119">
        <v>0.65978381189011603</v>
      </c>
      <c r="Q38" s="119">
        <v>0.672031492304905</v>
      </c>
      <c r="R38" s="119">
        <v>0.68692333048187804</v>
      </c>
      <c r="S38" s="119">
        <v>0.69990588707342605</v>
      </c>
      <c r="T38" s="119">
        <v>0.71262122680053797</v>
      </c>
      <c r="U38" s="119">
        <v>0.72443114327478997</v>
      </c>
      <c r="V38" s="119">
        <v>0.73587972524119905</v>
      </c>
      <c r="W38" s="119">
        <v>0.74655790992229998</v>
      </c>
      <c r="X38" s="119">
        <v>0.75591461739713794</v>
      </c>
      <c r="Y38" s="119">
        <v>0.76584370517608003</v>
      </c>
      <c r="Z38" s="119">
        <v>0.77430987018216102</v>
      </c>
      <c r="AA38" s="119">
        <v>0.77985432808255195</v>
      </c>
      <c r="AB38" s="119">
        <v>0.78456996807263801</v>
      </c>
      <c r="AC38" s="119">
        <v>0.78730921411175103</v>
      </c>
      <c r="AD38" s="119">
        <v>0.78921730037039695</v>
      </c>
      <c r="AE38" s="119">
        <v>0.78975699303525804</v>
      </c>
      <c r="AF38" s="119">
        <v>0.79052150533057397</v>
      </c>
      <c r="AG38" s="119">
        <v>0.78822485025163203</v>
      </c>
      <c r="AH38" s="119">
        <v>0.78465089360810203</v>
      </c>
      <c r="AI38" s="119">
        <v>0.78245309800234797</v>
      </c>
      <c r="AJ38" s="119">
        <v>0.77999439068102205</v>
      </c>
      <c r="AK38" s="119">
        <v>0.77458988728758904</v>
      </c>
      <c r="AL38" s="119">
        <v>0.76813650235126296</v>
      </c>
      <c r="AM38" s="119">
        <v>0.762381185372207</v>
      </c>
      <c r="AN38" s="119">
        <v>0.75618421667380098</v>
      </c>
      <c r="AO38" s="119">
        <v>0.74758222019096399</v>
      </c>
      <c r="AP38" s="119">
        <v>0.73971245103001604</v>
      </c>
      <c r="AQ38" s="119">
        <v>0.73200517644635898</v>
      </c>
      <c r="AR38" s="119">
        <v>0.72415962852327298</v>
      </c>
      <c r="AS38" s="119">
        <v>0.71476478189635495</v>
      </c>
      <c r="AT38" s="119">
        <v>0.70596494164620605</v>
      </c>
      <c r="AU38" s="119">
        <v>0.696364501290476</v>
      </c>
      <c r="AV38" s="119">
        <v>0.68559698109237699</v>
      </c>
      <c r="AW38" s="119">
        <v>0.673924235217639</v>
      </c>
      <c r="AX38" s="119">
        <v>0.66475555066020897</v>
      </c>
      <c r="AY38" s="119">
        <v>0.65719812020931301</v>
      </c>
      <c r="AZ38" s="119">
        <v>0.65517261533458904</v>
      </c>
      <c r="BA38" s="119">
        <v>0.65606341284988201</v>
      </c>
      <c r="BB38" s="119">
        <v>0.65840376166972103</v>
      </c>
      <c r="BC38" s="119">
        <v>0.660650840344986</v>
      </c>
      <c r="BD38" s="119">
        <v>0.66277455036035304</v>
      </c>
      <c r="BE38" s="119">
        <v>0.66541355346105902</v>
      </c>
      <c r="BF38" s="119">
        <v>0.66759643555215398</v>
      </c>
      <c r="BG38" s="119">
        <v>0.67166582107908901</v>
      </c>
      <c r="BH38" s="119">
        <v>0.67473688444068003</v>
      </c>
      <c r="BI38" s="119">
        <v>0.67681398603437004</v>
      </c>
      <c r="BJ38" s="119">
        <v>0.67870398006167199</v>
      </c>
      <c r="BK38" s="119">
        <v>0.67981852583615299</v>
      </c>
      <c r="BL38" s="119">
        <v>0.68133938447487696</v>
      </c>
    </row>
    <row r="39" spans="1:64" x14ac:dyDescent="0.25">
      <c r="A39" s="860" t="s">
        <v>662</v>
      </c>
      <c r="B39" s="1">
        <v>158</v>
      </c>
      <c r="C39" s="119">
        <v>0.5</v>
      </c>
      <c r="D39" s="119">
        <v>0.29094886541831599</v>
      </c>
      <c r="E39" s="119">
        <v>0.326322104414981</v>
      </c>
      <c r="F39" s="119">
        <v>0.36514980442216799</v>
      </c>
      <c r="G39" s="119">
        <v>0.40524115925216297</v>
      </c>
      <c r="H39" s="119">
        <v>0.43745803345027701</v>
      </c>
      <c r="I39" s="119">
        <v>0.46196764311046701</v>
      </c>
      <c r="J39" s="119">
        <v>0.48774531304318502</v>
      </c>
      <c r="K39" s="119">
        <v>0.51182944342490699</v>
      </c>
      <c r="L39" s="119">
        <v>0.53429188983668596</v>
      </c>
      <c r="M39" s="119">
        <v>0.55386486061469198</v>
      </c>
      <c r="N39" s="119">
        <v>0.56640983762964003</v>
      </c>
      <c r="O39" s="119">
        <v>0.57825246932375296</v>
      </c>
      <c r="P39" s="119">
        <v>0.58843153977918305</v>
      </c>
      <c r="Q39" s="119">
        <v>0.59954024106854098</v>
      </c>
      <c r="R39" s="119">
        <v>0.607106645642709</v>
      </c>
      <c r="S39" s="119">
        <v>0.61594669436632599</v>
      </c>
      <c r="T39" s="119">
        <v>0.62285757002935105</v>
      </c>
      <c r="U39" s="119">
        <v>0.629609299906284</v>
      </c>
      <c r="V39" s="119">
        <v>0.63585354154345097</v>
      </c>
      <c r="W39" s="119">
        <v>0.64087280271712399</v>
      </c>
      <c r="X39" s="119">
        <v>0.64850150687206898</v>
      </c>
      <c r="Y39" s="119">
        <v>0.657391073041105</v>
      </c>
      <c r="Z39" s="119">
        <v>0.66928514310601706</v>
      </c>
      <c r="AA39" s="119">
        <v>0.68063023714325799</v>
      </c>
      <c r="AB39" s="119">
        <v>0.69195823198248196</v>
      </c>
      <c r="AC39" s="119">
        <v>0.70271215457958203</v>
      </c>
      <c r="AD39" s="119">
        <v>0.71256374004241896</v>
      </c>
      <c r="AE39" s="119">
        <v>0.72233419505971597</v>
      </c>
      <c r="AF39" s="119">
        <v>0.72651548229699303</v>
      </c>
      <c r="AG39" s="119">
        <v>0.72162385475400104</v>
      </c>
      <c r="AH39" s="119">
        <v>0.71427488155038599</v>
      </c>
      <c r="AI39" s="119">
        <v>0.70401981590551399</v>
      </c>
      <c r="AJ39" s="119">
        <v>0.69285812097326005</v>
      </c>
      <c r="AK39" s="119">
        <v>0.68212388952473502</v>
      </c>
      <c r="AL39" s="119">
        <v>0.675665253536187</v>
      </c>
      <c r="AM39" s="119">
        <v>0.67319407022333899</v>
      </c>
      <c r="AN39" s="119">
        <v>0.67477129948018899</v>
      </c>
      <c r="AO39" s="119">
        <v>0.67841703146198595</v>
      </c>
      <c r="AP39" s="119">
        <v>0.67974858372005698</v>
      </c>
      <c r="AQ39" s="119">
        <v>0.67786636957177204</v>
      </c>
      <c r="AR39" s="119">
        <v>0.67976912742525497</v>
      </c>
      <c r="AS39" s="119">
        <v>0.67852320491524198</v>
      </c>
      <c r="AT39" s="119">
        <v>0.67842404198802198</v>
      </c>
      <c r="AU39" s="119">
        <v>0.67334303882466395</v>
      </c>
      <c r="AV39" s="119">
        <v>0.66919243405033502</v>
      </c>
      <c r="AW39" s="119">
        <v>0.66446307759885903</v>
      </c>
      <c r="AX39" s="119">
        <v>0.66203048789330299</v>
      </c>
      <c r="AY39" s="119">
        <v>0.66290499593349195</v>
      </c>
      <c r="AZ39" s="119">
        <v>0.66470164401535903</v>
      </c>
      <c r="BA39" s="119">
        <v>0.664050789269651</v>
      </c>
      <c r="BB39" s="119">
        <v>0.6670863967649</v>
      </c>
      <c r="BC39" s="119">
        <v>0.67096989453046396</v>
      </c>
      <c r="BD39" s="119">
        <v>0.67329377387945899</v>
      </c>
      <c r="BE39" s="119">
        <v>0.67535367972458904</v>
      </c>
      <c r="BF39" s="119">
        <v>0.67949206309404098</v>
      </c>
      <c r="BG39" s="119">
        <v>0.68201225023651002</v>
      </c>
      <c r="BH39" s="119">
        <v>0.68468775832192097</v>
      </c>
      <c r="BI39" s="119">
        <v>0.68680491007861399</v>
      </c>
      <c r="BJ39" s="119">
        <v>0.69047679638440296</v>
      </c>
      <c r="BK39" s="119">
        <v>0.692669216128868</v>
      </c>
      <c r="BL39" s="119">
        <v>0.69368632964216603</v>
      </c>
    </row>
    <row r="40" spans="1:64" x14ac:dyDescent="0.25">
      <c r="A40" s="860" t="s">
        <v>163</v>
      </c>
      <c r="B40" s="1">
        <v>170</v>
      </c>
      <c r="C40" s="119">
        <v>0.5</v>
      </c>
      <c r="D40" s="119">
        <v>0.112995516828336</v>
      </c>
      <c r="E40" s="119">
        <v>0.13215533806000401</v>
      </c>
      <c r="F40" s="119">
        <v>0.153631183235759</v>
      </c>
      <c r="G40" s="119">
        <v>0.17840473285567901</v>
      </c>
      <c r="H40" s="119">
        <v>0.20492699868600001</v>
      </c>
      <c r="I40" s="119">
        <v>0.233380878323761</v>
      </c>
      <c r="J40" s="119">
        <v>0.26247195806975998</v>
      </c>
      <c r="K40" s="119">
        <v>0.28992632729059598</v>
      </c>
      <c r="L40" s="119">
        <v>0.31908450372502301</v>
      </c>
      <c r="M40" s="119">
        <v>0.35173833033256102</v>
      </c>
      <c r="N40" s="119">
        <v>0.38523978413264098</v>
      </c>
      <c r="O40" s="119">
        <v>0.41231065970356101</v>
      </c>
      <c r="P40" s="119">
        <v>0.43729511851920499</v>
      </c>
      <c r="Q40" s="119">
        <v>0.46186665207344801</v>
      </c>
      <c r="R40" s="119">
        <v>0.48344968495850899</v>
      </c>
      <c r="S40" s="119">
        <v>0.50391694294117795</v>
      </c>
      <c r="T40" s="119">
        <v>0.52024785709449795</v>
      </c>
      <c r="U40" s="119">
        <v>0.52956707746473997</v>
      </c>
      <c r="V40" s="119">
        <v>0.53514256057175402</v>
      </c>
      <c r="W40" s="119">
        <v>0.54063041411330004</v>
      </c>
      <c r="X40" s="119">
        <v>0.54670439158652695</v>
      </c>
      <c r="Y40" s="119">
        <v>0.55621298268278596</v>
      </c>
      <c r="Z40" s="119">
        <v>0.56610063588947301</v>
      </c>
      <c r="AA40" s="119">
        <v>0.57705248092507699</v>
      </c>
      <c r="AB40" s="119">
        <v>0.58732514773209998</v>
      </c>
      <c r="AC40" s="119">
        <v>0.59889997335316603</v>
      </c>
      <c r="AD40" s="119">
        <v>0.60918315356151598</v>
      </c>
      <c r="AE40" s="119">
        <v>0.61906780773008097</v>
      </c>
      <c r="AF40" s="119">
        <v>0.62944621730045702</v>
      </c>
      <c r="AG40" s="119">
        <v>0.63933578413395198</v>
      </c>
      <c r="AH40" s="119">
        <v>0.64746046853207995</v>
      </c>
      <c r="AI40" s="119">
        <v>0.65683485292286803</v>
      </c>
      <c r="AJ40" s="119">
        <v>0.66464441219005999</v>
      </c>
      <c r="AK40" s="119">
        <v>0.67197016818949695</v>
      </c>
      <c r="AL40" s="119">
        <v>0.67963037903593004</v>
      </c>
      <c r="AM40" s="119">
        <v>0.68588599858963994</v>
      </c>
      <c r="AN40" s="119">
        <v>0.69439306081508101</v>
      </c>
      <c r="AO40" s="119">
        <v>0.70114146986055703</v>
      </c>
      <c r="AP40" s="119">
        <v>0.70922394717626702</v>
      </c>
      <c r="AQ40" s="119">
        <v>0.71626058788619296</v>
      </c>
      <c r="AR40" s="119">
        <v>0.72409439951792698</v>
      </c>
      <c r="AS40" s="119">
        <v>0.73008344072680698</v>
      </c>
      <c r="AT40" s="119">
        <v>0.73673812785847703</v>
      </c>
      <c r="AU40" s="119">
        <v>0.74335405312008795</v>
      </c>
      <c r="AV40" s="119">
        <v>0.74922899905260798</v>
      </c>
      <c r="AW40" s="119">
        <v>0.75496892319319597</v>
      </c>
      <c r="AX40" s="119">
        <v>0.75779786825283202</v>
      </c>
      <c r="AY40" s="119">
        <v>0.75993582940548798</v>
      </c>
      <c r="AZ40" s="119">
        <v>0.76327672817871395</v>
      </c>
      <c r="BA40" s="119">
        <v>0.76447093642743902</v>
      </c>
      <c r="BB40" s="119">
        <v>0.76741486563559702</v>
      </c>
      <c r="BC40" s="119">
        <v>0.76870790259321298</v>
      </c>
      <c r="BD40" s="119">
        <v>0.77096541122264695</v>
      </c>
      <c r="BE40" s="119">
        <v>0.77341432255445497</v>
      </c>
      <c r="BF40" s="119">
        <v>0.77464270333437901</v>
      </c>
      <c r="BG40" s="119">
        <v>0.77675457110705703</v>
      </c>
      <c r="BH40" s="119">
        <v>0.77770874903309295</v>
      </c>
      <c r="BI40" s="119">
        <v>0.78171156294319999</v>
      </c>
      <c r="BJ40" s="119">
        <v>0.78262519104303496</v>
      </c>
      <c r="BK40" s="119">
        <v>0.78275881404410297</v>
      </c>
      <c r="BL40" s="119">
        <v>0.78548791812822205</v>
      </c>
    </row>
    <row r="41" spans="1:64" x14ac:dyDescent="0.25">
      <c r="A41" s="860" t="s">
        <v>21</v>
      </c>
      <c r="B41" s="1">
        <v>174</v>
      </c>
      <c r="C41" s="119">
        <v>0.5</v>
      </c>
      <c r="D41" s="119">
        <v>1.1840207959722701E-2</v>
      </c>
      <c r="E41" s="119">
        <v>1.3130787163351599E-2</v>
      </c>
      <c r="F41" s="119">
        <v>1.4476758754394199E-2</v>
      </c>
      <c r="G41" s="119">
        <v>1.5988291526175199E-2</v>
      </c>
      <c r="H41" s="119">
        <v>1.79276858083466E-2</v>
      </c>
      <c r="I41" s="119">
        <v>1.9499592543596001E-2</v>
      </c>
      <c r="J41" s="119">
        <v>2.1069112485692699E-2</v>
      </c>
      <c r="K41" s="119">
        <v>2.33474334963663E-2</v>
      </c>
      <c r="L41" s="119">
        <v>2.5800576782659401E-2</v>
      </c>
      <c r="M41" s="119">
        <v>2.82007360434125E-2</v>
      </c>
      <c r="N41" s="119">
        <v>3.11659588071223E-2</v>
      </c>
      <c r="O41" s="119">
        <v>3.3912857384125902E-2</v>
      </c>
      <c r="P41" s="119">
        <v>3.6965145251822297E-2</v>
      </c>
      <c r="Q41" s="119">
        <v>4.0714572539383501E-2</v>
      </c>
      <c r="R41" s="119">
        <v>4.47050301469753E-2</v>
      </c>
      <c r="S41" s="119">
        <v>4.8993583518914599E-2</v>
      </c>
      <c r="T41" s="119">
        <v>5.3267985621537298E-2</v>
      </c>
      <c r="U41" s="119">
        <v>5.7808733078610501E-2</v>
      </c>
      <c r="V41" s="119">
        <v>6.3107561605022303E-2</v>
      </c>
      <c r="W41" s="119">
        <v>6.8114077097806994E-2</v>
      </c>
      <c r="X41" s="119">
        <v>7.4023409611056606E-2</v>
      </c>
      <c r="Y41" s="119">
        <v>7.9517922601295907E-2</v>
      </c>
      <c r="Z41" s="119">
        <v>8.6056484867147495E-2</v>
      </c>
      <c r="AA41" s="119">
        <v>9.2742509096210804E-2</v>
      </c>
      <c r="AB41" s="119">
        <v>0.10024388516831401</v>
      </c>
      <c r="AC41" s="119">
        <v>0.10728165319019201</v>
      </c>
      <c r="AD41" s="119">
        <v>0.114737487411731</v>
      </c>
      <c r="AE41" s="119">
        <v>0.123304527240322</v>
      </c>
      <c r="AF41" s="119">
        <v>0.13232828901825999</v>
      </c>
      <c r="AG41" s="119">
        <v>0.14137652549226101</v>
      </c>
      <c r="AH41" s="119">
        <v>0.148281348912042</v>
      </c>
      <c r="AI41" s="119">
        <v>0.15129995490201201</v>
      </c>
      <c r="AJ41" s="119">
        <v>0.150876486893814</v>
      </c>
      <c r="AK41" s="119">
        <v>0.14933559621551901</v>
      </c>
      <c r="AL41" s="119">
        <v>0.149120471733484</v>
      </c>
      <c r="AM41" s="119">
        <v>0.14852223320956501</v>
      </c>
      <c r="AN41" s="119">
        <v>0.14719603953334801</v>
      </c>
      <c r="AO41" s="119">
        <v>0.14710972456451499</v>
      </c>
      <c r="AP41" s="119">
        <v>0.14486179208172301</v>
      </c>
      <c r="AQ41" s="119">
        <v>0.144093216563381</v>
      </c>
      <c r="AR41" s="119">
        <v>0.14314698441963999</v>
      </c>
      <c r="AS41" s="119">
        <v>0.14368651942474001</v>
      </c>
      <c r="AT41" s="119">
        <v>0.14556174401559299</v>
      </c>
      <c r="AU41" s="119">
        <v>0.15068918034613801</v>
      </c>
      <c r="AV41" s="119">
        <v>0.157175646088905</v>
      </c>
      <c r="AW41" s="119">
        <v>0.16458054600573799</v>
      </c>
      <c r="AX41" s="119">
        <v>0.172167145040691</v>
      </c>
      <c r="AY41" s="119">
        <v>0.180959657507271</v>
      </c>
      <c r="AZ41" s="119">
        <v>0.18937470251709401</v>
      </c>
      <c r="BA41" s="119">
        <v>0.19909757430846101</v>
      </c>
      <c r="BB41" s="119">
        <v>0.20774913048319801</v>
      </c>
      <c r="BC41" s="119">
        <v>0.21874984054235799</v>
      </c>
      <c r="BD41" s="119">
        <v>0.22877860151885199</v>
      </c>
      <c r="BE41" s="119">
        <v>0.23829956485627299</v>
      </c>
      <c r="BF41" s="119">
        <v>0.247487469414055</v>
      </c>
      <c r="BG41" s="119">
        <v>0.25794369554484198</v>
      </c>
      <c r="BH41" s="119">
        <v>0.26692650709994697</v>
      </c>
      <c r="BI41" s="119">
        <v>0.27523243987809898</v>
      </c>
      <c r="BJ41" s="119">
        <v>0.28609915870812802</v>
      </c>
      <c r="BK41" s="119">
        <v>0.29607836078000799</v>
      </c>
      <c r="BL41" s="119">
        <v>0.30666251569677699</v>
      </c>
    </row>
    <row r="42" spans="1:64" x14ac:dyDescent="0.25">
      <c r="A42" s="860" t="s">
        <v>22</v>
      </c>
      <c r="B42" s="1">
        <v>178</v>
      </c>
      <c r="C42" s="119">
        <v>0.5</v>
      </c>
      <c r="D42" s="119">
        <v>9.3818407438828796E-3</v>
      </c>
      <c r="E42" s="119">
        <v>1.0098685873439E-2</v>
      </c>
      <c r="F42" s="119">
        <v>1.14021076551941E-2</v>
      </c>
      <c r="G42" s="119">
        <v>1.23604723516009E-2</v>
      </c>
      <c r="H42" s="119">
        <v>1.34117706493279E-2</v>
      </c>
      <c r="I42" s="119">
        <v>1.47231000627148E-2</v>
      </c>
      <c r="J42" s="119">
        <v>1.5860279285716601E-2</v>
      </c>
      <c r="K42" s="119">
        <v>1.71065796455366E-2</v>
      </c>
      <c r="L42" s="119">
        <v>1.8603027822246598E-2</v>
      </c>
      <c r="M42" s="119">
        <v>2.0263196278997499E-2</v>
      </c>
      <c r="N42" s="119">
        <v>2.2013482756936702E-2</v>
      </c>
      <c r="O42" s="119">
        <v>2.37235682066936E-2</v>
      </c>
      <c r="P42" s="119">
        <v>2.5649344923954501E-2</v>
      </c>
      <c r="Q42" s="119">
        <v>2.7842483080884401E-2</v>
      </c>
      <c r="R42" s="119">
        <v>2.96401048440466E-2</v>
      </c>
      <c r="S42" s="119">
        <v>3.1434788336038397E-2</v>
      </c>
      <c r="T42" s="119">
        <v>3.3700453751516202E-2</v>
      </c>
      <c r="U42" s="119">
        <v>3.5887004693395501E-2</v>
      </c>
      <c r="V42" s="119">
        <v>3.8901403104340898E-2</v>
      </c>
      <c r="W42" s="119">
        <v>4.2059921623067903E-2</v>
      </c>
      <c r="X42" s="119">
        <v>4.4865351404832499E-2</v>
      </c>
      <c r="Y42" s="119">
        <v>4.8278052086513701E-2</v>
      </c>
      <c r="Z42" s="119">
        <v>5.2689732049209702E-2</v>
      </c>
      <c r="AA42" s="119">
        <v>5.7088140815721299E-2</v>
      </c>
      <c r="AB42" s="119">
        <v>6.0612354247245301E-2</v>
      </c>
      <c r="AC42" s="119">
        <v>6.5664633351738694E-2</v>
      </c>
      <c r="AD42" s="119">
        <v>7.1191729604279497E-2</v>
      </c>
      <c r="AE42" s="119">
        <v>7.6636824437172804E-2</v>
      </c>
      <c r="AF42" s="119">
        <v>8.2441514924185194E-2</v>
      </c>
      <c r="AG42" s="119">
        <v>8.8882732854403401E-2</v>
      </c>
      <c r="AH42" s="119">
        <v>9.5335566827628698E-2</v>
      </c>
      <c r="AI42" s="119">
        <v>0.102701744887695</v>
      </c>
      <c r="AJ42" s="119">
        <v>0.10924338137716701</v>
      </c>
      <c r="AK42" s="119">
        <v>0.11768751587271201</v>
      </c>
      <c r="AL42" s="119">
        <v>0.12594580108877801</v>
      </c>
      <c r="AM42" s="119">
        <v>0.13366286793159901</v>
      </c>
      <c r="AN42" s="119">
        <v>0.14475794097088601</v>
      </c>
      <c r="AO42" s="119">
        <v>0.155793841269733</v>
      </c>
      <c r="AP42" s="119">
        <v>0.16709829948265101</v>
      </c>
      <c r="AQ42" s="119">
        <v>0.178134170414392</v>
      </c>
      <c r="AR42" s="119">
        <v>0.18989476046873199</v>
      </c>
      <c r="AS42" s="119">
        <v>0.200146123900002</v>
      </c>
      <c r="AT42" s="119">
        <v>0.20369814873099701</v>
      </c>
      <c r="AU42" s="119">
        <v>0.20644590445401401</v>
      </c>
      <c r="AV42" s="119">
        <v>0.211452958017607</v>
      </c>
      <c r="AW42" s="119">
        <v>0.21884060025507901</v>
      </c>
      <c r="AX42" s="119">
        <v>0.226231543101131</v>
      </c>
      <c r="AY42" s="119">
        <v>0.23635238776555301</v>
      </c>
      <c r="AZ42" s="119">
        <v>0.24739123816608699</v>
      </c>
      <c r="BA42" s="119">
        <v>0.257146378821623</v>
      </c>
      <c r="BB42" s="119">
        <v>0.265774661473417</v>
      </c>
      <c r="BC42" s="119">
        <v>0.27714069455933399</v>
      </c>
      <c r="BD42" s="119">
        <v>0.28762432819467698</v>
      </c>
      <c r="BE42" s="119">
        <v>0.29730256477935302</v>
      </c>
      <c r="BF42" s="119">
        <v>0.30757265216208801</v>
      </c>
      <c r="BG42" s="119">
        <v>0.31942173527033102</v>
      </c>
      <c r="BH42" s="119">
        <v>0.32682824626851098</v>
      </c>
      <c r="BI42" s="119">
        <v>0.33340829373884001</v>
      </c>
      <c r="BJ42" s="119">
        <v>0.34156902788104099</v>
      </c>
      <c r="BK42" s="119">
        <v>0.34970357546395597</v>
      </c>
      <c r="BL42" s="119">
        <v>0.35991400438218102</v>
      </c>
    </row>
    <row r="43" spans="1:64" x14ac:dyDescent="0.25">
      <c r="A43" s="860" t="s">
        <v>164</v>
      </c>
      <c r="B43" s="1">
        <v>184</v>
      </c>
      <c r="C43" s="119">
        <v>0.5</v>
      </c>
      <c r="D43" s="119">
        <v>0.385838737855622</v>
      </c>
      <c r="E43" s="119">
        <v>0.38755714056677099</v>
      </c>
      <c r="F43" s="119">
        <v>0.39113620671951599</v>
      </c>
      <c r="G43" s="119">
        <v>0.39429305481060101</v>
      </c>
      <c r="H43" s="119">
        <v>0.39754643605534301</v>
      </c>
      <c r="I43" s="119">
        <v>0.40092689312784302</v>
      </c>
      <c r="J43" s="119">
        <v>0.40400989651483199</v>
      </c>
      <c r="K43" s="119">
        <v>0.40604125475249703</v>
      </c>
      <c r="L43" s="119">
        <v>0.41007722489635401</v>
      </c>
      <c r="M43" s="119">
        <v>0.41431095723471301</v>
      </c>
      <c r="N43" s="119">
        <v>0.41508619196881602</v>
      </c>
      <c r="O43" s="119">
        <v>0.42053104568356597</v>
      </c>
      <c r="P43" s="119">
        <v>0.42269347208905</v>
      </c>
      <c r="Q43" s="119">
        <v>0.42488082743560801</v>
      </c>
      <c r="R43" s="119">
        <v>0.42864583656647998</v>
      </c>
      <c r="S43" s="119">
        <v>0.431823432384635</v>
      </c>
      <c r="T43" s="119">
        <v>0.43331212385594198</v>
      </c>
      <c r="U43" s="119">
        <v>0.43557729103666198</v>
      </c>
      <c r="V43" s="119">
        <v>0.43928408195196</v>
      </c>
      <c r="W43" s="119">
        <v>0.44616105867514899</v>
      </c>
      <c r="X43" s="119">
        <v>0.45304605355334598</v>
      </c>
      <c r="Y43" s="119">
        <v>0.46078007262563297</v>
      </c>
      <c r="Z43" s="119">
        <v>0.46457663385821202</v>
      </c>
      <c r="AA43" s="119">
        <v>0.47136345717768702</v>
      </c>
      <c r="AB43" s="119">
        <v>0.47823181573374302</v>
      </c>
      <c r="AC43" s="119">
        <v>0.48352149601965899</v>
      </c>
      <c r="AD43" s="119">
        <v>0.48256627353769099</v>
      </c>
      <c r="AE43" s="119">
        <v>0.475312078883875</v>
      </c>
      <c r="AF43" s="119">
        <v>0.46561146366055101</v>
      </c>
      <c r="AG43" s="119">
        <v>0.455245734433739</v>
      </c>
      <c r="AH43" s="119">
        <v>0.44964805888048198</v>
      </c>
      <c r="AI43" s="119">
        <v>0.444794245898054</v>
      </c>
      <c r="AJ43" s="119">
        <v>0.444095523549695</v>
      </c>
      <c r="AK43" s="119">
        <v>0.44373688615340201</v>
      </c>
      <c r="AL43" s="119">
        <v>0.44901835522030098</v>
      </c>
      <c r="AM43" s="119">
        <v>0.44975581412281501</v>
      </c>
      <c r="AN43" s="119">
        <v>0.45055085834657399</v>
      </c>
      <c r="AO43" s="119">
        <v>0.45056367537216302</v>
      </c>
      <c r="AP43" s="119">
        <v>0.45056704587789298</v>
      </c>
      <c r="AQ43" s="119">
        <v>0.45258503671745398</v>
      </c>
      <c r="AR43" s="119">
        <v>0.45370643665066601</v>
      </c>
      <c r="AS43" s="119">
        <v>0.45521738524787198</v>
      </c>
      <c r="AT43" s="119">
        <v>0.45519023665353803</v>
      </c>
      <c r="AU43" s="119">
        <v>0.45989584961677599</v>
      </c>
      <c r="AV43" s="119">
        <v>0.46168452592829601</v>
      </c>
      <c r="AW43" s="119">
        <v>0.46499785407879701</v>
      </c>
      <c r="AX43" s="119">
        <v>0.46471919229285602</v>
      </c>
      <c r="AY43" s="119">
        <v>0.46779236675802199</v>
      </c>
      <c r="AZ43" s="119">
        <v>0.47080435270475302</v>
      </c>
      <c r="BA43" s="119">
        <v>0.47374254395958898</v>
      </c>
      <c r="BB43" s="119">
        <v>0.47447254189463001</v>
      </c>
      <c r="BC43" s="119">
        <v>0.47547533789760699</v>
      </c>
      <c r="BD43" s="119">
        <v>0.47856234912569701</v>
      </c>
      <c r="BE43" s="119">
        <v>0.47981124169172201</v>
      </c>
      <c r="BF43" s="119">
        <v>0.48252181334889099</v>
      </c>
      <c r="BG43" s="119">
        <v>0.48538133917675602</v>
      </c>
      <c r="BH43" s="119">
        <v>0.49045268289395</v>
      </c>
      <c r="BI43" s="119">
        <v>0.49509147426151401</v>
      </c>
      <c r="BJ43" s="119">
        <v>0.49481038071853101</v>
      </c>
      <c r="BK43" s="119">
        <v>0.497104886300266</v>
      </c>
      <c r="BL43" s="119">
        <v>0.49454556600525301</v>
      </c>
    </row>
    <row r="44" spans="1:64" x14ac:dyDescent="0.25">
      <c r="A44" s="860" t="s">
        <v>165</v>
      </c>
      <c r="B44" s="1">
        <v>188</v>
      </c>
      <c r="C44" s="119">
        <v>0.5</v>
      </c>
      <c r="D44" s="119">
        <v>0.46843170670073497</v>
      </c>
      <c r="E44" s="119">
        <v>0.47645263570694102</v>
      </c>
      <c r="F44" s="119">
        <v>0.48740850646438799</v>
      </c>
      <c r="G44" s="119">
        <v>0.49299635241765399</v>
      </c>
      <c r="H44" s="119">
        <v>0.50159084667106002</v>
      </c>
      <c r="I44" s="119">
        <v>0.51016552411369798</v>
      </c>
      <c r="J44" s="119">
        <v>0.51627276396152499</v>
      </c>
      <c r="K44" s="119">
        <v>0.52218535314418302</v>
      </c>
      <c r="L44" s="119">
        <v>0.52922198666454301</v>
      </c>
      <c r="M44" s="119">
        <v>0.53624916413707102</v>
      </c>
      <c r="N44" s="119">
        <v>0.54569001130581296</v>
      </c>
      <c r="O44" s="119">
        <v>0.55344116294266199</v>
      </c>
      <c r="P44" s="119">
        <v>0.56020411953187099</v>
      </c>
      <c r="Q44" s="119">
        <v>0.56805957037722798</v>
      </c>
      <c r="R44" s="119">
        <v>0.57590973358833097</v>
      </c>
      <c r="S44" s="119">
        <v>0.58268797330630095</v>
      </c>
      <c r="T44" s="119">
        <v>0.59172311279131595</v>
      </c>
      <c r="U44" s="119">
        <v>0.599407322764138</v>
      </c>
      <c r="V44" s="119">
        <v>0.60896999123767204</v>
      </c>
      <c r="W44" s="119">
        <v>0.61972763652604901</v>
      </c>
      <c r="X44" s="119">
        <v>0.62907513998355902</v>
      </c>
      <c r="Y44" s="119">
        <v>0.63967763437208902</v>
      </c>
      <c r="Z44" s="119">
        <v>0.65030442633899399</v>
      </c>
      <c r="AA44" s="119">
        <v>0.66062566550421198</v>
      </c>
      <c r="AB44" s="119">
        <v>0.67041985096564305</v>
      </c>
      <c r="AC44" s="119">
        <v>0.67912561330139198</v>
      </c>
      <c r="AD44" s="119">
        <v>0.68726769218197403</v>
      </c>
      <c r="AE44" s="119">
        <v>0.69564785459475498</v>
      </c>
      <c r="AF44" s="119">
        <v>0.70413760428032002</v>
      </c>
      <c r="AG44" s="119">
        <v>0.71115897486198498</v>
      </c>
      <c r="AH44" s="119">
        <v>0.71778288059419404</v>
      </c>
      <c r="AI44" s="119">
        <v>0.72376367813211195</v>
      </c>
      <c r="AJ44" s="119">
        <v>0.73031919420025204</v>
      </c>
      <c r="AK44" s="119">
        <v>0.73575516997762302</v>
      </c>
      <c r="AL44" s="119">
        <v>0.74161652210074802</v>
      </c>
      <c r="AM44" s="119">
        <v>0.74797014389813099</v>
      </c>
      <c r="AN44" s="119">
        <v>0.75307846946091905</v>
      </c>
      <c r="AO44" s="119">
        <v>0.75702593961205999</v>
      </c>
      <c r="AP44" s="119">
        <v>0.76082051185864497</v>
      </c>
      <c r="AQ44" s="119">
        <v>0.76413584354896402</v>
      </c>
      <c r="AR44" s="119">
        <v>0.76372435518464599</v>
      </c>
      <c r="AS44" s="119">
        <v>0.76058193583584</v>
      </c>
      <c r="AT44" s="119">
        <v>0.75599303740489798</v>
      </c>
      <c r="AU44" s="119">
        <v>0.75088168645329401</v>
      </c>
      <c r="AV44" s="119">
        <v>0.74482224241773698</v>
      </c>
      <c r="AW44" s="119">
        <v>0.73888656595177404</v>
      </c>
      <c r="AX44" s="119">
        <v>0.73205322362412895</v>
      </c>
      <c r="AY44" s="119">
        <v>0.725515781713719</v>
      </c>
      <c r="AZ44" s="119">
        <v>0.71977225470858497</v>
      </c>
      <c r="BA44" s="119">
        <v>0.71663708785954205</v>
      </c>
      <c r="BB44" s="119">
        <v>0.71590728402176596</v>
      </c>
      <c r="BC44" s="119">
        <v>0.71553371164204804</v>
      </c>
      <c r="BD44" s="119">
        <v>0.71614398844294003</v>
      </c>
      <c r="BE44" s="119">
        <v>0.71828427444270904</v>
      </c>
      <c r="BF44" s="119">
        <v>0.71809054877170497</v>
      </c>
      <c r="BG44" s="119">
        <v>0.71993371215795099</v>
      </c>
      <c r="BH44" s="119">
        <v>0.72158722972480804</v>
      </c>
      <c r="BI44" s="119">
        <v>0.72151064485324601</v>
      </c>
      <c r="BJ44" s="119">
        <v>0.722215365073412</v>
      </c>
      <c r="BK44" s="119">
        <v>0.72174885230568697</v>
      </c>
      <c r="BL44" s="119">
        <v>0.72299932344435802</v>
      </c>
    </row>
    <row r="45" spans="1:64" x14ac:dyDescent="0.25">
      <c r="A45" s="860" t="s">
        <v>2014</v>
      </c>
      <c r="B45" s="1">
        <v>384</v>
      </c>
      <c r="C45" s="119">
        <v>0.5</v>
      </c>
      <c r="D45" s="119">
        <v>1.69777307984861E-3</v>
      </c>
      <c r="E45" s="119">
        <v>1.9270592864274001E-3</v>
      </c>
      <c r="F45" s="119">
        <v>2.1732342047873199E-3</v>
      </c>
      <c r="G45" s="119">
        <v>2.4584709573817298E-3</v>
      </c>
      <c r="H45" s="119">
        <v>2.7968561659030399E-3</v>
      </c>
      <c r="I45" s="119">
        <v>3.1480755007145E-3</v>
      </c>
      <c r="J45" s="119">
        <v>3.5323067602437198E-3</v>
      </c>
      <c r="K45" s="119">
        <v>3.9837599718129798E-3</v>
      </c>
      <c r="L45" s="119">
        <v>4.4897060571201901E-3</v>
      </c>
      <c r="M45" s="119">
        <v>5.0977189639525499E-3</v>
      </c>
      <c r="N45" s="119">
        <v>5.7548768003306003E-3</v>
      </c>
      <c r="O45" s="119">
        <v>6.7021524087299599E-3</v>
      </c>
      <c r="P45" s="119">
        <v>7.8215222086756696E-3</v>
      </c>
      <c r="Q45" s="119">
        <v>9.0239428513133393E-3</v>
      </c>
      <c r="R45" s="119">
        <v>1.05310502121375E-2</v>
      </c>
      <c r="S45" s="119">
        <v>1.22334199946364E-2</v>
      </c>
      <c r="T45" s="119">
        <v>1.41264036708415E-2</v>
      </c>
      <c r="U45" s="119">
        <v>1.6366259471925399E-2</v>
      </c>
      <c r="V45" s="119">
        <v>1.8911268023191301E-2</v>
      </c>
      <c r="W45" s="119">
        <v>2.1912665256173299E-2</v>
      </c>
      <c r="X45" s="119">
        <v>2.5127342250982398E-2</v>
      </c>
      <c r="Y45" s="119">
        <v>2.9043658943518701E-2</v>
      </c>
      <c r="Z45" s="119">
        <v>3.3179216854409201E-2</v>
      </c>
      <c r="AA45" s="119">
        <v>3.7825131200156202E-2</v>
      </c>
      <c r="AB45" s="119">
        <v>4.3165246814752999E-2</v>
      </c>
      <c r="AC45" s="119">
        <v>4.9220109670529602E-2</v>
      </c>
      <c r="AD45" s="119">
        <v>5.5834664655123302E-2</v>
      </c>
      <c r="AE45" s="119">
        <v>6.2645641485257197E-2</v>
      </c>
      <c r="AF45" s="119">
        <v>6.9122727737415804E-2</v>
      </c>
      <c r="AG45" s="119">
        <v>7.4232539385258006E-2</v>
      </c>
      <c r="AH45" s="119">
        <v>7.8618549481434694E-2</v>
      </c>
      <c r="AI45" s="119">
        <v>8.3237388338339199E-2</v>
      </c>
      <c r="AJ45" s="119">
        <v>8.7889570701352907E-2</v>
      </c>
      <c r="AK45" s="119">
        <v>9.1676447537991895E-2</v>
      </c>
      <c r="AL45" s="119">
        <v>9.6141798295443906E-2</v>
      </c>
      <c r="AM45" s="119">
        <v>9.9931850180526402E-2</v>
      </c>
      <c r="AN45" s="119">
        <v>0.103979010176753</v>
      </c>
      <c r="AO45" s="119">
        <v>0.107175731249732</v>
      </c>
      <c r="AP45" s="119">
        <v>0.110406581940102</v>
      </c>
      <c r="AQ45" s="119">
        <v>0.11392006224465601</v>
      </c>
      <c r="AR45" s="119">
        <v>0.117658177475681</v>
      </c>
      <c r="AS45" s="119">
        <v>0.122083678645105</v>
      </c>
      <c r="AT45" s="119">
        <v>0.127159092682299</v>
      </c>
      <c r="AU45" s="119">
        <v>0.135747560159999</v>
      </c>
      <c r="AV45" s="119">
        <v>0.14561958520412199</v>
      </c>
      <c r="AW45" s="119">
        <v>0.15600328016998999</v>
      </c>
      <c r="AX45" s="119">
        <v>0.16876785995643001</v>
      </c>
      <c r="AY45" s="119">
        <v>0.18194533475157901</v>
      </c>
      <c r="AZ45" s="119">
        <v>0.19476606115939199</v>
      </c>
      <c r="BA45" s="119">
        <v>0.206301151996793</v>
      </c>
      <c r="BB45" s="119">
        <v>0.21687834873880199</v>
      </c>
      <c r="BC45" s="119">
        <v>0.22702933176356399</v>
      </c>
      <c r="BD45" s="119">
        <v>0.23718918525195601</v>
      </c>
      <c r="BE45" s="119">
        <v>0.24734443378153501</v>
      </c>
      <c r="BF45" s="119">
        <v>0.25736491181655402</v>
      </c>
      <c r="BG45" s="119">
        <v>0.26724359887771099</v>
      </c>
      <c r="BH45" s="119">
        <v>0.276744219398602</v>
      </c>
      <c r="BI45" s="119">
        <v>0.28644770541245801</v>
      </c>
      <c r="BJ45" s="119">
        <v>0.29752827071557802</v>
      </c>
      <c r="BK45" s="119">
        <v>0.30733865711235803</v>
      </c>
      <c r="BL45" s="119">
        <v>0.31708900993559902</v>
      </c>
    </row>
    <row r="46" spans="1:64" x14ac:dyDescent="0.25">
      <c r="A46" s="860" t="s">
        <v>166</v>
      </c>
      <c r="B46" s="1">
        <v>191</v>
      </c>
      <c r="C46" s="119">
        <v>0.5</v>
      </c>
      <c r="D46" s="119">
        <v>7.0330340717662906E-2</v>
      </c>
      <c r="E46" s="119">
        <v>7.5030711879349801E-2</v>
      </c>
      <c r="F46" s="119">
        <v>7.9541194921597405E-2</v>
      </c>
      <c r="G46" s="119">
        <v>8.3740265617926093E-2</v>
      </c>
      <c r="H46" s="119">
        <v>8.8886762326596702E-2</v>
      </c>
      <c r="I46" s="119">
        <v>9.4552285463831404E-2</v>
      </c>
      <c r="J46" s="119">
        <v>9.98568448834245E-2</v>
      </c>
      <c r="K46" s="119">
        <v>0.105434044535913</v>
      </c>
      <c r="L46" s="119">
        <v>0.110844890649082</v>
      </c>
      <c r="M46" s="119">
        <v>0.11896326187504901</v>
      </c>
      <c r="N46" s="119">
        <v>0.125294490138806</v>
      </c>
      <c r="O46" s="119">
        <v>0.13259521737654201</v>
      </c>
      <c r="P46" s="119">
        <v>0.13825832536466801</v>
      </c>
      <c r="Q46" s="119">
        <v>0.146575830805213</v>
      </c>
      <c r="R46" s="119">
        <v>0.15373647732545301</v>
      </c>
      <c r="S46" s="119">
        <v>0.16090194492170501</v>
      </c>
      <c r="T46" s="119">
        <v>0.168434517686503</v>
      </c>
      <c r="U46" s="119">
        <v>0.177738972600643</v>
      </c>
      <c r="V46" s="119">
        <v>0.18719687363295801</v>
      </c>
      <c r="W46" s="119">
        <v>0.19405348087846799</v>
      </c>
      <c r="X46" s="119">
        <v>0.203231485005713</v>
      </c>
      <c r="Y46" s="119">
        <v>0.21085452826524401</v>
      </c>
      <c r="Z46" s="119">
        <v>0.21783451675401699</v>
      </c>
      <c r="AA46" s="119">
        <v>0.22614223634012501</v>
      </c>
      <c r="AB46" s="119">
        <v>0.233933362614725</v>
      </c>
      <c r="AC46" s="119">
        <v>0.24196926574455299</v>
      </c>
      <c r="AD46" s="119">
        <v>0.24878142222534599</v>
      </c>
      <c r="AE46" s="119">
        <v>0.25718237269719701</v>
      </c>
      <c r="AF46" s="119">
        <v>0.26595876088384002</v>
      </c>
      <c r="AG46" s="119">
        <v>0.27633337234549799</v>
      </c>
      <c r="AH46" s="119">
        <v>0.28254664127161699</v>
      </c>
      <c r="AI46" s="119">
        <v>0.29105288335746399</v>
      </c>
      <c r="AJ46" s="119">
        <v>0.301770523410615</v>
      </c>
      <c r="AK46" s="119">
        <v>0.311416072002555</v>
      </c>
      <c r="AL46" s="119">
        <v>0.317139853933529</v>
      </c>
      <c r="AM46" s="119">
        <v>0.32661101276556298</v>
      </c>
      <c r="AN46" s="119">
        <v>0.33343659518475899</v>
      </c>
      <c r="AO46" s="119">
        <v>0.33984618449861698</v>
      </c>
      <c r="AP46" s="119">
        <v>0.35017497476320403</v>
      </c>
      <c r="AQ46" s="119">
        <v>0.35857000226639302</v>
      </c>
      <c r="AR46" s="119">
        <v>0.36763910283184797</v>
      </c>
      <c r="AS46" s="119">
        <v>0.37543793011962001</v>
      </c>
      <c r="AT46" s="119">
        <v>0.383394180720739</v>
      </c>
      <c r="AU46" s="119">
        <v>0.39030496501930401</v>
      </c>
      <c r="AV46" s="119">
        <v>0.398120270353018</v>
      </c>
      <c r="AW46" s="119">
        <v>0.40650165299581098</v>
      </c>
      <c r="AX46" s="119">
        <v>0.41230780124841998</v>
      </c>
      <c r="AY46" s="119">
        <v>0.41997000029093901</v>
      </c>
      <c r="AZ46" s="119">
        <v>0.42853808145252498</v>
      </c>
      <c r="BA46" s="119">
        <v>0.43904586674211799</v>
      </c>
      <c r="BB46" s="119">
        <v>0.44685665778176398</v>
      </c>
      <c r="BC46" s="119">
        <v>0.45268285106892397</v>
      </c>
      <c r="BD46" s="119">
        <v>0.45792854901548302</v>
      </c>
      <c r="BE46" s="119">
        <v>0.46698318767184399</v>
      </c>
      <c r="BF46" s="119">
        <v>0.47652325087499198</v>
      </c>
      <c r="BG46" s="119">
        <v>0.48092024617228601</v>
      </c>
      <c r="BH46" s="119">
        <v>0.48802479168658403</v>
      </c>
      <c r="BI46" s="119">
        <v>0.49101518621512102</v>
      </c>
      <c r="BJ46" s="119">
        <v>0.49622527007632899</v>
      </c>
      <c r="BK46" s="119">
        <v>0.50389720145934602</v>
      </c>
      <c r="BL46" s="119">
        <v>0.50975803275546405</v>
      </c>
    </row>
    <row r="47" spans="1:64" x14ac:dyDescent="0.25">
      <c r="A47" s="860" t="s">
        <v>167</v>
      </c>
      <c r="B47" s="1">
        <v>192</v>
      </c>
      <c r="C47" s="119">
        <v>0.5</v>
      </c>
      <c r="D47" s="119">
        <v>0.61296749589212596</v>
      </c>
      <c r="E47" s="119">
        <v>0.61624226792639203</v>
      </c>
      <c r="F47" s="119">
        <v>0.61918932570983298</v>
      </c>
      <c r="G47" s="119">
        <v>0.62096175234158801</v>
      </c>
      <c r="H47" s="119">
        <v>0.62316673967341896</v>
      </c>
      <c r="I47" s="119">
        <v>0.62638828549143899</v>
      </c>
      <c r="J47" s="119">
        <v>0.63069363608559104</v>
      </c>
      <c r="K47" s="119">
        <v>0.63377414264149001</v>
      </c>
      <c r="L47" s="119">
        <v>0.63887412784875197</v>
      </c>
      <c r="M47" s="119">
        <v>0.641591655668037</v>
      </c>
      <c r="N47" s="119">
        <v>0.64687974969814399</v>
      </c>
      <c r="O47" s="119">
        <v>0.64931328713987602</v>
      </c>
      <c r="P47" s="119">
        <v>0.652190733968946</v>
      </c>
      <c r="Q47" s="119">
        <v>0.65578687662236901</v>
      </c>
      <c r="R47" s="119">
        <v>0.65769110431516498</v>
      </c>
      <c r="S47" s="119">
        <v>0.66123981149275202</v>
      </c>
      <c r="T47" s="119">
        <v>0.66282220316416096</v>
      </c>
      <c r="U47" s="119">
        <v>0.66490273856187798</v>
      </c>
      <c r="V47" s="119">
        <v>0.66597300245396995</v>
      </c>
      <c r="W47" s="119">
        <v>0.66667307441137902</v>
      </c>
      <c r="X47" s="119">
        <v>0.66755621538449506</v>
      </c>
      <c r="Y47" s="119">
        <v>0.66975001798316602</v>
      </c>
      <c r="Z47" s="119">
        <v>0.67223189949885698</v>
      </c>
      <c r="AA47" s="119">
        <v>0.674122709125339</v>
      </c>
      <c r="AB47" s="119">
        <v>0.67860865395044601</v>
      </c>
      <c r="AC47" s="119">
        <v>0.68060091385826005</v>
      </c>
      <c r="AD47" s="119">
        <v>0.68384908104937903</v>
      </c>
      <c r="AE47" s="119">
        <v>0.688158422953004</v>
      </c>
      <c r="AF47" s="119">
        <v>0.69006070567934397</v>
      </c>
      <c r="AG47" s="119">
        <v>0.69353931348758202</v>
      </c>
      <c r="AH47" s="119">
        <v>0.69587469826187398</v>
      </c>
      <c r="AI47" s="119">
        <v>0.69860753151670396</v>
      </c>
      <c r="AJ47" s="119">
        <v>0.70078468413060102</v>
      </c>
      <c r="AK47" s="119">
        <v>0.70322866850411703</v>
      </c>
      <c r="AL47" s="119">
        <v>0.70530025166219901</v>
      </c>
      <c r="AM47" s="119">
        <v>0.70572879599540805</v>
      </c>
      <c r="AN47" s="119">
        <v>0.70630898190813396</v>
      </c>
      <c r="AO47" s="119">
        <v>0.70834589769505296</v>
      </c>
      <c r="AP47" s="119">
        <v>0.71099621577365302</v>
      </c>
      <c r="AQ47" s="119">
        <v>0.71384265839001904</v>
      </c>
      <c r="AR47" s="119">
        <v>0.71661586483072104</v>
      </c>
      <c r="AS47" s="119">
        <v>0.71765060889430399</v>
      </c>
      <c r="AT47" s="119">
        <v>0.71752489525931196</v>
      </c>
      <c r="AU47" s="119">
        <v>0.71773516652330605</v>
      </c>
      <c r="AV47" s="119">
        <v>0.71734506388413199</v>
      </c>
      <c r="AW47" s="119">
        <v>0.71648477508854902</v>
      </c>
      <c r="AX47" s="119">
        <v>0.71462927343184701</v>
      </c>
      <c r="AY47" s="119">
        <v>0.71151075596878799</v>
      </c>
      <c r="AZ47" s="119">
        <v>0.70928014169053699</v>
      </c>
      <c r="BA47" s="119">
        <v>0.70763593640660005</v>
      </c>
      <c r="BB47" s="119">
        <v>0.70711192176622195</v>
      </c>
      <c r="BC47" s="119">
        <v>0.70710942855089598</v>
      </c>
      <c r="BD47" s="119">
        <v>0.70855902889030797</v>
      </c>
      <c r="BE47" s="119">
        <v>0.70957595994300204</v>
      </c>
      <c r="BF47" s="119">
        <v>0.70901201488892096</v>
      </c>
      <c r="BG47" s="119">
        <v>0.70980847031446204</v>
      </c>
      <c r="BH47" s="119">
        <v>0.71012043136329095</v>
      </c>
      <c r="BI47" s="119">
        <v>0.71011214231805098</v>
      </c>
      <c r="BJ47" s="119">
        <v>0.71276721408270405</v>
      </c>
      <c r="BK47" s="119">
        <v>0.717161450696985</v>
      </c>
      <c r="BL47" s="119">
        <v>0.71788980531129798</v>
      </c>
    </row>
    <row r="48" spans="1:64" x14ac:dyDescent="0.25">
      <c r="A48" s="860" t="s">
        <v>664</v>
      </c>
      <c r="B48" s="1">
        <v>203</v>
      </c>
      <c r="C48" s="119">
        <v>0.5</v>
      </c>
      <c r="D48" s="119">
        <v>0.269570554111141</v>
      </c>
      <c r="E48" s="119">
        <v>0.278118822762493</v>
      </c>
      <c r="F48" s="119">
        <v>0.28802773775075802</v>
      </c>
      <c r="G48" s="119">
        <v>0.296443482809714</v>
      </c>
      <c r="H48" s="119">
        <v>0.30639719036559598</v>
      </c>
      <c r="I48" s="119">
        <v>0.31749030427691199</v>
      </c>
      <c r="J48" s="119">
        <v>0.32425534632424802</v>
      </c>
      <c r="K48" s="119">
        <v>0.33359898641751901</v>
      </c>
      <c r="L48" s="119">
        <v>0.34597165634195598</v>
      </c>
      <c r="M48" s="119">
        <v>0.359344794650446</v>
      </c>
      <c r="N48" s="119">
        <v>0.37099282547346502</v>
      </c>
      <c r="O48" s="119">
        <v>0.38320420060019</v>
      </c>
      <c r="P48" s="119">
        <v>0.39301878366828102</v>
      </c>
      <c r="Q48" s="119">
        <v>0.405599818494007</v>
      </c>
      <c r="R48" s="119">
        <v>0.41820975717064302</v>
      </c>
      <c r="S48" s="119">
        <v>0.429023193243112</v>
      </c>
      <c r="T48" s="119">
        <v>0.44372000485117602</v>
      </c>
      <c r="U48" s="119">
        <v>0.45485416112424099</v>
      </c>
      <c r="V48" s="119">
        <v>0.467910279513511</v>
      </c>
      <c r="W48" s="119">
        <v>0.478793430099267</v>
      </c>
      <c r="X48" s="119">
        <v>0.49234756725985601</v>
      </c>
      <c r="Y48" s="119">
        <v>0.50480537788466295</v>
      </c>
      <c r="Z48" s="119">
        <v>0.51105428646948403</v>
      </c>
      <c r="AA48" s="119">
        <v>0.51868733929057598</v>
      </c>
      <c r="AB48" s="119">
        <v>0.53506947072601196</v>
      </c>
      <c r="AC48" s="119">
        <v>0.55529029194977197</v>
      </c>
      <c r="AD48" s="119">
        <v>0.57422157427378695</v>
      </c>
      <c r="AE48" s="119">
        <v>0.59253446387856001</v>
      </c>
      <c r="AF48" s="119">
        <v>0.604682742681108</v>
      </c>
      <c r="AG48" s="119">
        <v>0.61584471620501902</v>
      </c>
      <c r="AH48" s="119">
        <v>0.62674049820393696</v>
      </c>
      <c r="AI48" s="119">
        <v>0.638886428991703</v>
      </c>
      <c r="AJ48" s="119">
        <v>0.65076127595295397</v>
      </c>
      <c r="AK48" s="119">
        <v>0.66098265096444897</v>
      </c>
      <c r="AL48" s="119">
        <v>0.67127192478292497</v>
      </c>
      <c r="AM48" s="119">
        <v>0.68329971330877604</v>
      </c>
      <c r="AN48" s="119">
        <v>0.69707322632361501</v>
      </c>
      <c r="AO48" s="119">
        <v>0.71046628740098094</v>
      </c>
      <c r="AP48" s="119">
        <v>0.72264312730146396</v>
      </c>
      <c r="AQ48" s="119">
        <v>0.725972062842557</v>
      </c>
      <c r="AR48" s="119">
        <v>0.72732638480148903</v>
      </c>
      <c r="AS48" s="119">
        <v>0.73121359102222105</v>
      </c>
      <c r="AT48" s="119">
        <v>0.73452600033124804</v>
      </c>
      <c r="AU48" s="119">
        <v>0.73673659128942603</v>
      </c>
      <c r="AV48" s="119">
        <v>0.73811541228311195</v>
      </c>
      <c r="AW48" s="119">
        <v>0.739116593759372</v>
      </c>
      <c r="AX48" s="119">
        <v>0.73992178390485797</v>
      </c>
      <c r="AY48" s="119">
        <v>0.74408513208504301</v>
      </c>
      <c r="AZ48" s="119">
        <v>0.74644539285211997</v>
      </c>
      <c r="BA48" s="119">
        <v>0.74946458403480798</v>
      </c>
      <c r="BB48" s="119">
        <v>0.75007169002871898</v>
      </c>
      <c r="BC48" s="119">
        <v>0.75194465677334299</v>
      </c>
      <c r="BD48" s="119">
        <v>0.75339755261790897</v>
      </c>
      <c r="BE48" s="119">
        <v>0.75596518546555902</v>
      </c>
      <c r="BF48" s="119">
        <v>0.75819612373619905</v>
      </c>
      <c r="BG48" s="119">
        <v>0.76097666595061098</v>
      </c>
      <c r="BH48" s="119">
        <v>0.76313261222320306</v>
      </c>
      <c r="BI48" s="119">
        <v>0.76413024224176096</v>
      </c>
      <c r="BJ48" s="119">
        <v>0.76642423973708595</v>
      </c>
      <c r="BK48" s="119">
        <v>0.76718184552190105</v>
      </c>
      <c r="BL48" s="119">
        <v>0.76816488323402599</v>
      </c>
    </row>
    <row r="49" spans="1:64" x14ac:dyDescent="0.25">
      <c r="A49" s="860" t="s">
        <v>25</v>
      </c>
      <c r="B49" s="1">
        <v>408</v>
      </c>
      <c r="C49" s="119">
        <v>0.5</v>
      </c>
      <c r="D49" s="119">
        <v>0.23041757440747501</v>
      </c>
      <c r="E49" s="119">
        <v>0.247587160888189</v>
      </c>
      <c r="F49" s="119">
        <v>0.26569309024385701</v>
      </c>
      <c r="G49" s="119">
        <v>0.280765680391943</v>
      </c>
      <c r="H49" s="119">
        <v>0.29632117548569697</v>
      </c>
      <c r="I49" s="119">
        <v>0.31351611209980801</v>
      </c>
      <c r="J49" s="119">
        <v>0.33014063123016701</v>
      </c>
      <c r="K49" s="119">
        <v>0.34662192240617601</v>
      </c>
      <c r="L49" s="119">
        <v>0.36458491245884</v>
      </c>
      <c r="M49" s="119">
        <v>0.38007963667824202</v>
      </c>
      <c r="N49" s="119">
        <v>0.39461085511502503</v>
      </c>
      <c r="O49" s="119">
        <v>0.40814771387840199</v>
      </c>
      <c r="P49" s="119">
        <v>0.42486338875436103</v>
      </c>
      <c r="Q49" s="119">
        <v>0.43457626100320002</v>
      </c>
      <c r="R49" s="119">
        <v>0.44934444099597198</v>
      </c>
      <c r="S49" s="119">
        <v>0.46341352635269001</v>
      </c>
      <c r="T49" s="119">
        <v>0.47470396935742998</v>
      </c>
      <c r="U49" s="119">
        <v>0.48671075612086601</v>
      </c>
      <c r="V49" s="119">
        <v>0.496271235345429</v>
      </c>
      <c r="W49" s="119">
        <v>0.50584710521848697</v>
      </c>
      <c r="X49" s="119">
        <v>0.51445369676917796</v>
      </c>
      <c r="Y49" s="119">
        <v>0.52115706642569903</v>
      </c>
      <c r="Z49" s="119">
        <v>0.52815395786947705</v>
      </c>
      <c r="AA49" s="119">
        <v>0.53365986940492904</v>
      </c>
      <c r="AB49" s="119">
        <v>0.53849862382204505</v>
      </c>
      <c r="AC49" s="119">
        <v>0.541165919868974</v>
      </c>
      <c r="AD49" s="119">
        <v>0.54581890297699098</v>
      </c>
      <c r="AE49" s="119">
        <v>0.54933505896708801</v>
      </c>
      <c r="AF49" s="119">
        <v>0.55241266305889403</v>
      </c>
      <c r="AG49" s="119">
        <v>0.55531534894838397</v>
      </c>
      <c r="AH49" s="119">
        <v>0.55806820625091802</v>
      </c>
      <c r="AI49" s="119">
        <v>0.56247119248857602</v>
      </c>
      <c r="AJ49" s="119">
        <v>0.56528481337969905</v>
      </c>
      <c r="AK49" s="119">
        <v>0.566028355007407</v>
      </c>
      <c r="AL49" s="119">
        <v>0.56811355827799404</v>
      </c>
      <c r="AM49" s="119">
        <v>0.57424929810023095</v>
      </c>
      <c r="AN49" s="119">
        <v>0.58155741154844998</v>
      </c>
      <c r="AO49" s="119">
        <v>0.59457387503938997</v>
      </c>
      <c r="AP49" s="119">
        <v>0.60871943408858398</v>
      </c>
      <c r="AQ49" s="119">
        <v>0.623086324630304</v>
      </c>
      <c r="AR49" s="119">
        <v>0.64044424084780005</v>
      </c>
      <c r="AS49" s="119">
        <v>0.65960803431344905</v>
      </c>
      <c r="AT49" s="119">
        <v>0.67962837273504295</v>
      </c>
      <c r="AU49" s="119">
        <v>0.69732547569572301</v>
      </c>
      <c r="AV49" s="119">
        <v>0.71016298103091002</v>
      </c>
      <c r="AW49" s="119">
        <v>0.71224859595888401</v>
      </c>
      <c r="AX49" s="119">
        <v>0.71232512169617901</v>
      </c>
      <c r="AY49" s="119">
        <v>0.71119861447824595</v>
      </c>
      <c r="AZ49" s="119">
        <v>0.71041498024787997</v>
      </c>
      <c r="BA49" s="119">
        <v>0.70937864846739096</v>
      </c>
      <c r="BB49" s="119">
        <v>0.71005267987569498</v>
      </c>
      <c r="BC49" s="119">
        <v>0.70938132099789297</v>
      </c>
      <c r="BD49" s="119">
        <v>0.71002279869437002</v>
      </c>
      <c r="BE49" s="119">
        <v>0.70884263005213799</v>
      </c>
      <c r="BF49" s="119">
        <v>0.71108067734556002</v>
      </c>
      <c r="BG49" s="119">
        <v>0.71005281192021197</v>
      </c>
      <c r="BH49" s="119">
        <v>0.71102576639601001</v>
      </c>
      <c r="BI49" s="119">
        <v>0.71092008444523203</v>
      </c>
      <c r="BJ49" s="119">
        <v>0.70988946347084902</v>
      </c>
      <c r="BK49" s="119">
        <v>0.71279448242501997</v>
      </c>
      <c r="BL49" s="119">
        <v>0.71474129032172795</v>
      </c>
    </row>
    <row r="50" spans="1:64" x14ac:dyDescent="0.25">
      <c r="A50" s="860" t="s">
        <v>26</v>
      </c>
      <c r="B50" s="1">
        <v>180</v>
      </c>
      <c r="C50" s="119">
        <v>0.5</v>
      </c>
      <c r="D50" s="119">
        <v>1.72164817660228E-2</v>
      </c>
      <c r="E50" s="119">
        <v>1.8216949906981601E-2</v>
      </c>
      <c r="F50" s="119">
        <v>1.9672996905729701E-2</v>
      </c>
      <c r="G50" s="119">
        <v>2.1117667250344099E-2</v>
      </c>
      <c r="H50" s="119">
        <v>2.27845667423307E-2</v>
      </c>
      <c r="I50" s="119">
        <v>2.4701530442520901E-2</v>
      </c>
      <c r="J50" s="119">
        <v>2.64363890604008E-2</v>
      </c>
      <c r="K50" s="119">
        <v>2.8197343727306999E-2</v>
      </c>
      <c r="L50" s="119">
        <v>3.0460396212914399E-2</v>
      </c>
      <c r="M50" s="119">
        <v>3.26897371295276E-2</v>
      </c>
      <c r="N50" s="119">
        <v>3.5169986404778003E-2</v>
      </c>
      <c r="O50" s="119">
        <v>3.7539175233722903E-2</v>
      </c>
      <c r="P50" s="119">
        <v>3.9892728926293398E-2</v>
      </c>
      <c r="Q50" s="119">
        <v>4.1753779232570801E-2</v>
      </c>
      <c r="R50" s="119">
        <v>4.15625057827049E-2</v>
      </c>
      <c r="S50" s="119">
        <v>4.1023564801744399E-2</v>
      </c>
      <c r="T50" s="119">
        <v>4.0143344800327101E-2</v>
      </c>
      <c r="U50" s="119">
        <v>3.9287720912147703E-2</v>
      </c>
      <c r="V50" s="119">
        <v>3.8739358500384E-2</v>
      </c>
      <c r="W50" s="119">
        <v>3.7654955373943901E-2</v>
      </c>
      <c r="X50" s="119">
        <v>3.7541934847424199E-2</v>
      </c>
      <c r="Y50" s="119">
        <v>3.7672086130760403E-2</v>
      </c>
      <c r="Z50" s="119">
        <v>4.0207241202022702E-2</v>
      </c>
      <c r="AA50" s="119">
        <v>4.3388491632392501E-2</v>
      </c>
      <c r="AB50" s="119">
        <v>4.6888152739018002E-2</v>
      </c>
      <c r="AC50" s="119">
        <v>5.1007500872125501E-2</v>
      </c>
      <c r="AD50" s="119">
        <v>5.5523910852551601E-2</v>
      </c>
      <c r="AE50" s="119">
        <v>5.9697907834016302E-2</v>
      </c>
      <c r="AF50" s="119">
        <v>6.4308584233432706E-2</v>
      </c>
      <c r="AG50" s="119">
        <v>6.8987587225609298E-2</v>
      </c>
      <c r="AH50" s="119">
        <v>7.2936383122682899E-2</v>
      </c>
      <c r="AI50" s="119">
        <v>7.6779764507653295E-2</v>
      </c>
      <c r="AJ50" s="119">
        <v>7.5633326674574702E-2</v>
      </c>
      <c r="AK50" s="119">
        <v>7.3133770968816E-2</v>
      </c>
      <c r="AL50" s="119">
        <v>6.9717979635750299E-2</v>
      </c>
      <c r="AM50" s="119">
        <v>6.6972063630693607E-2</v>
      </c>
      <c r="AN50" s="119">
        <v>6.4357870120046498E-2</v>
      </c>
      <c r="AO50" s="119">
        <v>6.2273829142138901E-2</v>
      </c>
      <c r="AP50" s="119">
        <v>6.4375562154188298E-2</v>
      </c>
      <c r="AQ50" s="119">
        <v>6.7268816470613002E-2</v>
      </c>
      <c r="AR50" s="119">
        <v>6.98347404384453E-2</v>
      </c>
      <c r="AS50" s="119">
        <v>7.2232512410613403E-2</v>
      </c>
      <c r="AT50" s="119">
        <v>7.4132936580359798E-2</v>
      </c>
      <c r="AU50" s="119">
        <v>7.7518134173080094E-2</v>
      </c>
      <c r="AV50" s="119">
        <v>8.7216787788007094E-2</v>
      </c>
      <c r="AW50" s="119">
        <v>9.7605501315509796E-2</v>
      </c>
      <c r="AX50" s="119">
        <v>0.10993573418968999</v>
      </c>
      <c r="AY50" s="119">
        <v>0.121583731737353</v>
      </c>
      <c r="AZ50" s="119">
        <v>0.13400229970614</v>
      </c>
      <c r="BA50" s="119">
        <v>0.14162499783134599</v>
      </c>
      <c r="BB50" s="119">
        <v>0.150175841377579</v>
      </c>
      <c r="BC50" s="119">
        <v>0.15709436990578399</v>
      </c>
      <c r="BD50" s="119">
        <v>0.163270956897686</v>
      </c>
      <c r="BE50" s="119">
        <v>0.17065112486353501</v>
      </c>
      <c r="BF50" s="119">
        <v>0.176393823525586</v>
      </c>
      <c r="BG50" s="119">
        <v>0.18458269887918299</v>
      </c>
      <c r="BH50" s="119">
        <v>0.19445314131042199</v>
      </c>
      <c r="BI50" s="119">
        <v>0.20105033671098299</v>
      </c>
      <c r="BJ50" s="119">
        <v>0.208385523080973</v>
      </c>
      <c r="BK50" s="119">
        <v>0.21738240671784201</v>
      </c>
      <c r="BL50" s="119">
        <v>0.22383922905123299</v>
      </c>
    </row>
    <row r="51" spans="1:64" x14ac:dyDescent="0.25">
      <c r="A51" s="860" t="s">
        <v>170</v>
      </c>
      <c r="B51" s="1">
        <v>208</v>
      </c>
      <c r="C51" s="119">
        <v>0.5</v>
      </c>
      <c r="D51" s="119">
        <v>0.54148730833380199</v>
      </c>
      <c r="E51" s="119">
        <v>0.54891789392227697</v>
      </c>
      <c r="F51" s="119">
        <v>0.55792052915571</v>
      </c>
      <c r="G51" s="119">
        <v>0.567340681891778</v>
      </c>
      <c r="H51" s="119">
        <v>0.57611125586048795</v>
      </c>
      <c r="I51" s="119">
        <v>0.58735917364773504</v>
      </c>
      <c r="J51" s="119">
        <v>0.59572749364895095</v>
      </c>
      <c r="K51" s="119">
        <v>0.60237440978654899</v>
      </c>
      <c r="L51" s="119">
        <v>0.609855890083145</v>
      </c>
      <c r="M51" s="119">
        <v>0.61873578444766397</v>
      </c>
      <c r="N51" s="119">
        <v>0.62769767859297099</v>
      </c>
      <c r="O51" s="119">
        <v>0.63681634568504997</v>
      </c>
      <c r="P51" s="119">
        <v>0.64565083531149803</v>
      </c>
      <c r="Q51" s="119">
        <v>0.65354030015431497</v>
      </c>
      <c r="R51" s="119">
        <v>0.66133991445098395</v>
      </c>
      <c r="S51" s="119">
        <v>0.66985485399320999</v>
      </c>
      <c r="T51" s="119">
        <v>0.67713289484127503</v>
      </c>
      <c r="U51" s="119">
        <v>0.68403449016726003</v>
      </c>
      <c r="V51" s="119">
        <v>0.69010389690732599</v>
      </c>
      <c r="W51" s="119">
        <v>0.69436100254116695</v>
      </c>
      <c r="X51" s="119">
        <v>0.69585117045844103</v>
      </c>
      <c r="Y51" s="119">
        <v>0.69884104736089703</v>
      </c>
      <c r="Z51" s="119">
        <v>0.70160402709279901</v>
      </c>
      <c r="AA51" s="119">
        <v>0.70371444248231596</v>
      </c>
      <c r="AB51" s="119">
        <v>0.70482519063844196</v>
      </c>
      <c r="AC51" s="119">
        <v>0.70684267894123098</v>
      </c>
      <c r="AD51" s="119">
        <v>0.70790367777282204</v>
      </c>
      <c r="AE51" s="119">
        <v>0.70883973120437505</v>
      </c>
      <c r="AF51" s="119">
        <v>0.70986120133095199</v>
      </c>
      <c r="AG51" s="119">
        <v>0.70972651858243996</v>
      </c>
      <c r="AH51" s="119">
        <v>0.71229091576036196</v>
      </c>
      <c r="AI51" s="119">
        <v>0.71225303435375098</v>
      </c>
      <c r="AJ51" s="119">
        <v>0.71418045355769399</v>
      </c>
      <c r="AK51" s="119">
        <v>0.71491395060139096</v>
      </c>
      <c r="AL51" s="119">
        <v>0.71587986226616596</v>
      </c>
      <c r="AM51" s="119">
        <v>0.71992195315489504</v>
      </c>
      <c r="AN51" s="119">
        <v>0.72000075233273797</v>
      </c>
      <c r="AO51" s="119">
        <v>0.720867524937294</v>
      </c>
      <c r="AP51" s="119">
        <v>0.72034332292394598</v>
      </c>
      <c r="AQ51" s="119">
        <v>0.72248804822970103</v>
      </c>
      <c r="AR51" s="119">
        <v>0.72388328653178302</v>
      </c>
      <c r="AS51" s="119">
        <v>0.72468770222874901</v>
      </c>
      <c r="AT51" s="119">
        <v>0.72698438515951902</v>
      </c>
      <c r="AU51" s="119">
        <v>0.730271855642186</v>
      </c>
      <c r="AV51" s="119">
        <v>0.73064844107915505</v>
      </c>
      <c r="AW51" s="119">
        <v>0.73175657719520903</v>
      </c>
      <c r="AX51" s="119">
        <v>0.73135317369813102</v>
      </c>
      <c r="AY51" s="119">
        <v>0.73241122168415596</v>
      </c>
      <c r="AZ51" s="119">
        <v>0.73297820739390396</v>
      </c>
      <c r="BA51" s="119">
        <v>0.73339044874477999</v>
      </c>
      <c r="BB51" s="119">
        <v>0.73318480755478999</v>
      </c>
      <c r="BC51" s="119">
        <v>0.73382730168790899</v>
      </c>
      <c r="BD51" s="119">
        <v>0.73384937358998203</v>
      </c>
      <c r="BE51" s="119">
        <v>0.735359465102843</v>
      </c>
      <c r="BF51" s="119">
        <v>0.73906836960476596</v>
      </c>
      <c r="BG51" s="119">
        <v>0.739700282790835</v>
      </c>
      <c r="BH51" s="119">
        <v>0.73871319172315197</v>
      </c>
      <c r="BI51" s="119">
        <v>0.73595193379156798</v>
      </c>
      <c r="BJ51" s="119">
        <v>0.73729665185427595</v>
      </c>
      <c r="BK51" s="119">
        <v>0.73790252089514596</v>
      </c>
      <c r="BL51" s="119">
        <v>0.73842360877250701</v>
      </c>
    </row>
    <row r="52" spans="1:64" x14ac:dyDescent="0.25">
      <c r="A52" s="860" t="s">
        <v>24</v>
      </c>
      <c r="B52" s="1">
        <v>262</v>
      </c>
      <c r="C52" s="119">
        <v>0.5</v>
      </c>
      <c r="D52" s="119">
        <v>1.78327765702265E-3</v>
      </c>
      <c r="E52" s="119">
        <v>2.0883596693191302E-3</v>
      </c>
      <c r="F52" s="119">
        <v>2.4459138428254501E-3</v>
      </c>
      <c r="G52" s="119">
        <v>2.8333111076706899E-3</v>
      </c>
      <c r="H52" s="119">
        <v>3.32007713961722E-3</v>
      </c>
      <c r="I52" s="119">
        <v>3.8676222871772701E-3</v>
      </c>
      <c r="J52" s="119">
        <v>4.4849854373806104E-3</v>
      </c>
      <c r="K52" s="119">
        <v>5.17889069056106E-3</v>
      </c>
      <c r="L52" s="119">
        <v>6.0467097372850801E-3</v>
      </c>
      <c r="M52" s="119">
        <v>7.0903850901472103E-3</v>
      </c>
      <c r="N52" s="119">
        <v>8.1955737076714504E-3</v>
      </c>
      <c r="O52" s="119">
        <v>9.2211689279467993E-3</v>
      </c>
      <c r="P52" s="119">
        <v>1.07069463586392E-2</v>
      </c>
      <c r="Q52" s="119">
        <v>1.22972172646298E-2</v>
      </c>
      <c r="R52" s="119">
        <v>1.4063808819858799E-2</v>
      </c>
      <c r="S52" s="119">
        <v>1.61117133792875E-2</v>
      </c>
      <c r="T52" s="119">
        <v>1.83294135144276E-2</v>
      </c>
      <c r="U52" s="119">
        <v>2.0757178827104001E-2</v>
      </c>
      <c r="V52" s="119">
        <v>2.3765629039268599E-2</v>
      </c>
      <c r="W52" s="119">
        <v>2.6463049048962999E-2</v>
      </c>
      <c r="X52" s="119">
        <v>2.9565724913334701E-2</v>
      </c>
      <c r="Y52" s="119">
        <v>3.2702492718685201E-2</v>
      </c>
      <c r="Z52" s="119">
        <v>3.5799493902850602E-2</v>
      </c>
      <c r="AA52" s="119">
        <v>3.9650851081485902E-2</v>
      </c>
      <c r="AB52" s="119">
        <v>4.3376766620520597E-2</v>
      </c>
      <c r="AC52" s="119">
        <v>4.7241510894916398E-2</v>
      </c>
      <c r="AD52" s="119">
        <v>5.0993043371867601E-2</v>
      </c>
      <c r="AE52" s="119">
        <v>5.4583639087319301E-2</v>
      </c>
      <c r="AF52" s="119">
        <v>5.9042042142070102E-2</v>
      </c>
      <c r="AG52" s="119">
        <v>6.3838293636272997E-2</v>
      </c>
      <c r="AH52" s="119">
        <v>6.8707010547131797E-2</v>
      </c>
      <c r="AI52" s="119">
        <v>7.3922007952400406E-2</v>
      </c>
      <c r="AJ52" s="119">
        <v>7.9866385728913997E-2</v>
      </c>
      <c r="AK52" s="119">
        <v>8.9726625056317094E-2</v>
      </c>
      <c r="AL52" s="119">
        <v>0.10076396389365</v>
      </c>
      <c r="AM52" s="119">
        <v>0.112389593476359</v>
      </c>
      <c r="AN52" s="119">
        <v>0.124074104351859</v>
      </c>
      <c r="AO52" s="119">
        <v>0.13431729211101001</v>
      </c>
      <c r="AP52" s="119">
        <v>0.14364238833409601</v>
      </c>
      <c r="AQ52" s="119">
        <v>0.152780160370592</v>
      </c>
      <c r="AR52" s="119">
        <v>0.161665964323707</v>
      </c>
      <c r="AS52" s="119">
        <v>0.170920892136775</v>
      </c>
      <c r="AT52" s="119">
        <v>0.18015804031056301</v>
      </c>
      <c r="AU52" s="119">
        <v>0.189003432153241</v>
      </c>
      <c r="AV52" s="119">
        <v>0.19920125385941401</v>
      </c>
      <c r="AW52" s="119">
        <v>0.20943628466882799</v>
      </c>
      <c r="AX52" s="119">
        <v>0.22081049544036599</v>
      </c>
      <c r="AY52" s="119">
        <v>0.229028605749409</v>
      </c>
      <c r="AZ52" s="119">
        <v>0.239928795861518</v>
      </c>
      <c r="BA52" s="119">
        <v>0.25151679831250001</v>
      </c>
      <c r="BB52" s="119">
        <v>0.25947931037133998</v>
      </c>
      <c r="BC52" s="119">
        <v>0.26918591625916199</v>
      </c>
      <c r="BD52" s="119">
        <v>0.28049578536889302</v>
      </c>
      <c r="BE52" s="119">
        <v>0.291725200524522</v>
      </c>
      <c r="BF52" s="119">
        <v>0.303692059722937</v>
      </c>
      <c r="BG52" s="119">
        <v>0.31692381192973701</v>
      </c>
      <c r="BH52" s="119">
        <v>0.32888949374270898</v>
      </c>
      <c r="BI52" s="119">
        <v>0.33928835694105303</v>
      </c>
      <c r="BJ52" s="119">
        <v>0.34852694848527899</v>
      </c>
      <c r="BK52" s="119">
        <v>0.358465906474359</v>
      </c>
      <c r="BL52" s="119">
        <v>0.37120636644496502</v>
      </c>
    </row>
    <row r="53" spans="1:64" x14ac:dyDescent="0.25">
      <c r="A53" s="860" t="s">
        <v>171</v>
      </c>
      <c r="B53" s="1">
        <v>212</v>
      </c>
      <c r="C53" s="119">
        <v>0.5</v>
      </c>
      <c r="D53" s="119">
        <v>0.44023346927717999</v>
      </c>
      <c r="E53" s="119">
        <v>0.44585985833304198</v>
      </c>
      <c r="F53" s="119">
        <v>0.45572695800770002</v>
      </c>
      <c r="G53" s="119">
        <v>0.46246094333279703</v>
      </c>
      <c r="H53" s="119">
        <v>0.46736171051227998</v>
      </c>
      <c r="I53" s="119">
        <v>0.47376470749242</v>
      </c>
      <c r="J53" s="119">
        <v>0.48142307408672802</v>
      </c>
      <c r="K53" s="119">
        <v>0.48686202559540198</v>
      </c>
      <c r="L53" s="119">
        <v>0.49163131316183101</v>
      </c>
      <c r="M53" s="119">
        <v>0.497839597133933</v>
      </c>
      <c r="N53" s="119">
        <v>0.50119428432216095</v>
      </c>
      <c r="O53" s="119">
        <v>0.50483649462670799</v>
      </c>
      <c r="P53" s="119">
        <v>0.504134194993058</v>
      </c>
      <c r="Q53" s="119">
        <v>0.50328555459097801</v>
      </c>
      <c r="R53" s="119">
        <v>0.50496081781208102</v>
      </c>
      <c r="S53" s="119">
        <v>0.50369202662819701</v>
      </c>
      <c r="T53" s="119">
        <v>0.50344245274439603</v>
      </c>
      <c r="U53" s="119">
        <v>0.50633820620524295</v>
      </c>
      <c r="V53" s="119">
        <v>0.50843240508107701</v>
      </c>
      <c r="W53" s="119">
        <v>0.51015176301341403</v>
      </c>
      <c r="X53" s="119">
        <v>0.51469694286345502</v>
      </c>
      <c r="Y53" s="119">
        <v>0.51769107888432397</v>
      </c>
      <c r="Z53" s="119">
        <v>0.52254903641955297</v>
      </c>
      <c r="AA53" s="119">
        <v>0.52713352594218998</v>
      </c>
      <c r="AB53" s="119">
        <v>0.53331751931762394</v>
      </c>
      <c r="AC53" s="119">
        <v>0.53993085567533605</v>
      </c>
      <c r="AD53" s="119">
        <v>0.54370194355526202</v>
      </c>
      <c r="AE53" s="119">
        <v>0.54708242562401399</v>
      </c>
      <c r="AF53" s="119">
        <v>0.55076206815723705</v>
      </c>
      <c r="AG53" s="119">
        <v>0.55348776119916898</v>
      </c>
      <c r="AH53" s="119">
        <v>0.55693677055661395</v>
      </c>
      <c r="AI53" s="119">
        <v>0.56145682032266198</v>
      </c>
      <c r="AJ53" s="119">
        <v>0.56324858756290397</v>
      </c>
      <c r="AK53" s="119">
        <v>0.56825725975518804</v>
      </c>
      <c r="AL53" s="119">
        <v>0.57208700537963597</v>
      </c>
      <c r="AM53" s="119">
        <v>0.575717167439735</v>
      </c>
      <c r="AN53" s="119">
        <v>0.58048507525454796</v>
      </c>
      <c r="AO53" s="119">
        <v>0.58417776608100902</v>
      </c>
      <c r="AP53" s="119">
        <v>0.590541790653201</v>
      </c>
      <c r="AQ53" s="119">
        <v>0.59341821318904897</v>
      </c>
      <c r="AR53" s="119">
        <v>0.59462140126847496</v>
      </c>
      <c r="AS53" s="119">
        <v>0.59822317723103302</v>
      </c>
      <c r="AT53" s="119">
        <v>0.60241775782468598</v>
      </c>
      <c r="AU53" s="119">
        <v>0.60593214842396703</v>
      </c>
      <c r="AV53" s="119">
        <v>0.61117458077105402</v>
      </c>
      <c r="AW53" s="119">
        <v>0.614182991245948</v>
      </c>
      <c r="AX53" s="119">
        <v>0.61555545746685902</v>
      </c>
      <c r="AY53" s="119">
        <v>0.61830597328057901</v>
      </c>
      <c r="AZ53" s="119">
        <v>0.61963894271090902</v>
      </c>
      <c r="BA53" s="119">
        <v>0.62033361927071595</v>
      </c>
      <c r="BB53" s="119">
        <v>0.62461188006954005</v>
      </c>
      <c r="BC53" s="119">
        <v>0.62620237841037596</v>
      </c>
      <c r="BD53" s="119">
        <v>0.63002501830882496</v>
      </c>
      <c r="BE53" s="119">
        <v>0.63414837687306402</v>
      </c>
      <c r="BF53" s="119">
        <v>0.63705138844508702</v>
      </c>
      <c r="BG53" s="119">
        <v>0.63944295173253296</v>
      </c>
      <c r="BH53" s="119">
        <v>0.642039032762593</v>
      </c>
      <c r="BI53" s="119">
        <v>0.64208150880138204</v>
      </c>
      <c r="BJ53" s="119">
        <v>0.64421489755914396</v>
      </c>
      <c r="BK53" s="119">
        <v>0.64527356213782205</v>
      </c>
      <c r="BL53" s="119">
        <v>0.64667302361579904</v>
      </c>
    </row>
    <row r="54" spans="1:64" x14ac:dyDescent="0.25">
      <c r="A54" s="860" t="s">
        <v>172</v>
      </c>
      <c r="B54" s="1">
        <v>214</v>
      </c>
      <c r="C54" s="119">
        <v>0.5</v>
      </c>
      <c r="D54" s="119">
        <v>0.23209670265806401</v>
      </c>
      <c r="E54" s="119">
        <v>0.24026701732787401</v>
      </c>
      <c r="F54" s="119">
        <v>0.24777672543755999</v>
      </c>
      <c r="G54" s="119">
        <v>0.25742163669293</v>
      </c>
      <c r="H54" s="119">
        <v>0.26886779014137302</v>
      </c>
      <c r="I54" s="119">
        <v>0.27886613532473897</v>
      </c>
      <c r="J54" s="119">
        <v>0.29114377428557803</v>
      </c>
      <c r="K54" s="119">
        <v>0.30402945910585799</v>
      </c>
      <c r="L54" s="119">
        <v>0.31790710814915102</v>
      </c>
      <c r="M54" s="119">
        <v>0.33376671190474699</v>
      </c>
      <c r="N54" s="119">
        <v>0.347726013427898</v>
      </c>
      <c r="O54" s="119">
        <v>0.36275995054835097</v>
      </c>
      <c r="P54" s="119">
        <v>0.38050857873064498</v>
      </c>
      <c r="Q54" s="119">
        <v>0.39837980655844102</v>
      </c>
      <c r="R54" s="119">
        <v>0.41816047391649702</v>
      </c>
      <c r="S54" s="119">
        <v>0.43881462243916403</v>
      </c>
      <c r="T54" s="119">
        <v>0.45850397242762198</v>
      </c>
      <c r="U54" s="119">
        <v>0.47191551163678003</v>
      </c>
      <c r="V54" s="119">
        <v>0.48398430473748899</v>
      </c>
      <c r="W54" s="119">
        <v>0.49515148860181901</v>
      </c>
      <c r="X54" s="119">
        <v>0.50607507463278201</v>
      </c>
      <c r="Y54" s="119">
        <v>0.51795788125091902</v>
      </c>
      <c r="Z54" s="119">
        <v>0.53225423849973696</v>
      </c>
      <c r="AA54" s="119">
        <v>0.54912343515523798</v>
      </c>
      <c r="AB54" s="119">
        <v>0.56514298781864003</v>
      </c>
      <c r="AC54" s="119">
        <v>0.581267270952047</v>
      </c>
      <c r="AD54" s="119">
        <v>0.59557196957000103</v>
      </c>
      <c r="AE54" s="119">
        <v>0.60983094574876695</v>
      </c>
      <c r="AF54" s="119">
        <v>0.62243909856672797</v>
      </c>
      <c r="AG54" s="119">
        <v>0.63398547289335305</v>
      </c>
      <c r="AH54" s="119">
        <v>0.64299627737432496</v>
      </c>
      <c r="AI54" s="119">
        <v>0.650986724083783</v>
      </c>
      <c r="AJ54" s="119">
        <v>0.65741455989841602</v>
      </c>
      <c r="AK54" s="119">
        <v>0.65997241575411103</v>
      </c>
      <c r="AL54" s="119">
        <v>0.65983322104556197</v>
      </c>
      <c r="AM54" s="119">
        <v>0.66242924315875495</v>
      </c>
      <c r="AN54" s="119">
        <v>0.66946795415676097</v>
      </c>
      <c r="AO54" s="119">
        <v>0.68680153320743198</v>
      </c>
      <c r="AP54" s="119">
        <v>0.69581057562500803</v>
      </c>
      <c r="AQ54" s="119">
        <v>0.69982225117263497</v>
      </c>
      <c r="AR54" s="119">
        <v>0.70041221475733995</v>
      </c>
      <c r="AS54" s="119">
        <v>0.69827983115511605</v>
      </c>
      <c r="AT54" s="119">
        <v>0.69425236090934295</v>
      </c>
      <c r="AU54" s="119">
        <v>0.68868101108551005</v>
      </c>
      <c r="AV54" s="119">
        <v>0.683166631239428</v>
      </c>
      <c r="AW54" s="119">
        <v>0.67732100860794198</v>
      </c>
      <c r="AX54" s="119">
        <v>0.67021016983595305</v>
      </c>
      <c r="AY54" s="119">
        <v>0.66416200054763297</v>
      </c>
      <c r="AZ54" s="119">
        <v>0.65825386306815203</v>
      </c>
      <c r="BA54" s="119">
        <v>0.65257952171386602</v>
      </c>
      <c r="BB54" s="119">
        <v>0.65136037385202905</v>
      </c>
      <c r="BC54" s="119">
        <v>0.65267329986098999</v>
      </c>
      <c r="BD54" s="119">
        <v>0.65529562943352204</v>
      </c>
      <c r="BE54" s="119">
        <v>0.65707003330146196</v>
      </c>
      <c r="BF54" s="119">
        <v>0.66063029820341002</v>
      </c>
      <c r="BG54" s="119">
        <v>0.66193770735682</v>
      </c>
      <c r="BH54" s="119">
        <v>0.66590353783776401</v>
      </c>
      <c r="BI54" s="119">
        <v>0.66836666546660795</v>
      </c>
      <c r="BJ54" s="119">
        <v>0.67057825482849398</v>
      </c>
      <c r="BK54" s="119">
        <v>0.67490964008941501</v>
      </c>
      <c r="BL54" s="119">
        <v>0.67604339974890904</v>
      </c>
    </row>
    <row r="55" spans="1:64" x14ac:dyDescent="0.25">
      <c r="A55" s="860" t="s">
        <v>173</v>
      </c>
      <c r="B55" s="1">
        <v>218</v>
      </c>
      <c r="C55" s="119">
        <v>0.5</v>
      </c>
      <c r="D55" s="119">
        <v>0.141710397788012</v>
      </c>
      <c r="E55" s="119">
        <v>0.15283181295303899</v>
      </c>
      <c r="F55" s="119">
        <v>0.162406372818273</v>
      </c>
      <c r="G55" s="119">
        <v>0.17585870229581799</v>
      </c>
      <c r="H55" s="119">
        <v>0.18731196081713899</v>
      </c>
      <c r="I55" s="119">
        <v>0.199765204228253</v>
      </c>
      <c r="J55" s="119">
        <v>0.212879221291669</v>
      </c>
      <c r="K55" s="119">
        <v>0.22485621749081799</v>
      </c>
      <c r="L55" s="119">
        <v>0.23938564163197701</v>
      </c>
      <c r="M55" s="119">
        <v>0.25326221788229702</v>
      </c>
      <c r="N55" s="119">
        <v>0.26581795188409502</v>
      </c>
      <c r="O55" s="119">
        <v>0.27830818362339599</v>
      </c>
      <c r="P55" s="119">
        <v>0.29159306455991502</v>
      </c>
      <c r="Q55" s="119">
        <v>0.302862013452463</v>
      </c>
      <c r="R55" s="119">
        <v>0.31613806763959601</v>
      </c>
      <c r="S55" s="119">
        <v>0.32893347840363402</v>
      </c>
      <c r="T55" s="119">
        <v>0.34286105883826601</v>
      </c>
      <c r="U55" s="119">
        <v>0.35797992975381399</v>
      </c>
      <c r="V55" s="119">
        <v>0.37334932172142798</v>
      </c>
      <c r="W55" s="119">
        <v>0.39096688479084002</v>
      </c>
      <c r="X55" s="119">
        <v>0.40651436127269103</v>
      </c>
      <c r="Y55" s="119">
        <v>0.422132556033885</v>
      </c>
      <c r="Z55" s="119">
        <v>0.43765212056223002</v>
      </c>
      <c r="AA55" s="119">
        <v>0.45095067235197001</v>
      </c>
      <c r="AB55" s="119">
        <v>0.46447147185329402</v>
      </c>
      <c r="AC55" s="119">
        <v>0.48072068529936601</v>
      </c>
      <c r="AD55" s="119">
        <v>0.49294117129710602</v>
      </c>
      <c r="AE55" s="119">
        <v>0.50774557607542603</v>
      </c>
      <c r="AF55" s="119">
        <v>0.519954120284984</v>
      </c>
      <c r="AG55" s="119">
        <v>0.53388924036808305</v>
      </c>
      <c r="AH55" s="119">
        <v>0.54651404516099</v>
      </c>
      <c r="AI55" s="119">
        <v>0.56068460570884404</v>
      </c>
      <c r="AJ55" s="119">
        <v>0.57378784400069405</v>
      </c>
      <c r="AK55" s="119">
        <v>0.58587820948737201</v>
      </c>
      <c r="AL55" s="119">
        <v>0.59927093094385298</v>
      </c>
      <c r="AM55" s="119">
        <v>0.61240523105907296</v>
      </c>
      <c r="AN55" s="119">
        <v>0.62481702428089303</v>
      </c>
      <c r="AO55" s="119">
        <v>0.63761433222249198</v>
      </c>
      <c r="AP55" s="119">
        <v>0.64985566406008199</v>
      </c>
      <c r="AQ55" s="119">
        <v>0.66054126935855395</v>
      </c>
      <c r="AR55" s="119">
        <v>0.67141955171925005</v>
      </c>
      <c r="AS55" s="119">
        <v>0.68220095047019702</v>
      </c>
      <c r="AT55" s="119">
        <v>0.68936509391301004</v>
      </c>
      <c r="AU55" s="119">
        <v>0.69032237186388201</v>
      </c>
      <c r="AV55" s="119">
        <v>0.68882114525118299</v>
      </c>
      <c r="AW55" s="119">
        <v>0.69329232875892099</v>
      </c>
      <c r="AX55" s="119">
        <v>0.69961525352681198</v>
      </c>
      <c r="AY55" s="119">
        <v>0.70615737702475501</v>
      </c>
      <c r="AZ55" s="119">
        <v>0.71083171420673297</v>
      </c>
      <c r="BA55" s="119">
        <v>0.71635094320457604</v>
      </c>
      <c r="BB55" s="119">
        <v>0.71945344130309197</v>
      </c>
      <c r="BC55" s="119">
        <v>0.72182161893589203</v>
      </c>
      <c r="BD55" s="119">
        <v>0.72470766311609802</v>
      </c>
      <c r="BE55" s="119">
        <v>0.72718089536309805</v>
      </c>
      <c r="BF55" s="119">
        <v>0.72929946372602406</v>
      </c>
      <c r="BG55" s="119">
        <v>0.73214530703640002</v>
      </c>
      <c r="BH55" s="119">
        <v>0.73402539193465299</v>
      </c>
      <c r="BI55" s="119">
        <v>0.73498905549747795</v>
      </c>
      <c r="BJ55" s="119">
        <v>0.73768262789164496</v>
      </c>
      <c r="BK55" s="119">
        <v>0.73876055069337898</v>
      </c>
      <c r="BL55" s="119">
        <v>0.74066991984913799</v>
      </c>
    </row>
    <row r="56" spans="1:64" x14ac:dyDescent="0.25">
      <c r="A56" s="860" t="s">
        <v>27</v>
      </c>
      <c r="B56" s="1">
        <v>818</v>
      </c>
      <c r="C56" s="119">
        <v>0.5</v>
      </c>
      <c r="D56" s="119">
        <v>0.18587794543408401</v>
      </c>
      <c r="E56" s="119">
        <v>0.19457298405255199</v>
      </c>
      <c r="F56" s="119">
        <v>0.20362437335849001</v>
      </c>
      <c r="G56" s="119">
        <v>0.212796556770669</v>
      </c>
      <c r="H56" s="119">
        <v>0.22194703175295599</v>
      </c>
      <c r="I56" s="119">
        <v>0.230083673493336</v>
      </c>
      <c r="J56" s="119">
        <v>0.23753629654889999</v>
      </c>
      <c r="K56" s="119">
        <v>0.24545554223660199</v>
      </c>
      <c r="L56" s="119">
        <v>0.25293955520053701</v>
      </c>
      <c r="M56" s="119">
        <v>0.26145340953530399</v>
      </c>
      <c r="N56" s="119">
        <v>0.26974716193815201</v>
      </c>
      <c r="O56" s="119">
        <v>0.276387318226264</v>
      </c>
      <c r="P56" s="119">
        <v>0.28507807853709699</v>
      </c>
      <c r="Q56" s="119">
        <v>0.29502746742097602</v>
      </c>
      <c r="R56" s="119">
        <v>0.3047591735863</v>
      </c>
      <c r="S56" s="119">
        <v>0.31619912978375703</v>
      </c>
      <c r="T56" s="119">
        <v>0.32911001520544297</v>
      </c>
      <c r="U56" s="119">
        <v>0.34374686416224798</v>
      </c>
      <c r="V56" s="119">
        <v>0.359574492740244</v>
      </c>
      <c r="W56" s="119">
        <v>0.37911519817046202</v>
      </c>
      <c r="X56" s="119">
        <v>0.40054737375725402</v>
      </c>
      <c r="Y56" s="119">
        <v>0.42166455626323601</v>
      </c>
      <c r="Z56" s="119">
        <v>0.43906873231626897</v>
      </c>
      <c r="AA56" s="119">
        <v>0.44723027931049297</v>
      </c>
      <c r="AB56" s="119">
        <v>0.453476974401057</v>
      </c>
      <c r="AC56" s="119">
        <v>0.46328470875923999</v>
      </c>
      <c r="AD56" s="119">
        <v>0.48102615474582</v>
      </c>
      <c r="AE56" s="119">
        <v>0.49956299604344701</v>
      </c>
      <c r="AF56" s="119">
        <v>0.51240093325044</v>
      </c>
      <c r="AG56" s="119">
        <v>0.52591464439702795</v>
      </c>
      <c r="AH56" s="119">
        <v>0.53819617416832199</v>
      </c>
      <c r="AI56" s="119">
        <v>0.547410846713552</v>
      </c>
      <c r="AJ56" s="119">
        <v>0.555195287190966</v>
      </c>
      <c r="AK56" s="119">
        <v>0.56186607734588401</v>
      </c>
      <c r="AL56" s="119">
        <v>0.56348327043775404</v>
      </c>
      <c r="AM56" s="119">
        <v>0.56562821519046502</v>
      </c>
      <c r="AN56" s="119">
        <v>0.56947494089775497</v>
      </c>
      <c r="AO56" s="119">
        <v>0.57280159498827599</v>
      </c>
      <c r="AP56" s="119">
        <v>0.57491059634316499</v>
      </c>
      <c r="AQ56" s="119">
        <v>0.57484668145612505</v>
      </c>
      <c r="AR56" s="119">
        <v>0.57431112874128198</v>
      </c>
      <c r="AS56" s="119">
        <v>0.573108602704407</v>
      </c>
      <c r="AT56" s="119">
        <v>0.572203741159652</v>
      </c>
      <c r="AU56" s="119">
        <v>0.570391540809423</v>
      </c>
      <c r="AV56" s="119">
        <v>0.56970033111485296</v>
      </c>
      <c r="AW56" s="119">
        <v>0.57119978953211004</v>
      </c>
      <c r="AX56" s="119">
        <v>0.57455948046113603</v>
      </c>
      <c r="AY56" s="119">
        <v>0.57875936966732799</v>
      </c>
      <c r="AZ56" s="119">
        <v>0.58342410258059396</v>
      </c>
      <c r="BA56" s="119">
        <v>0.58651562534628399</v>
      </c>
      <c r="BB56" s="119">
        <v>0.59159130822538597</v>
      </c>
      <c r="BC56" s="119">
        <v>0.59580645795537601</v>
      </c>
      <c r="BD56" s="119">
        <v>0.60030494398984702</v>
      </c>
      <c r="BE56" s="119">
        <v>0.60301597925642603</v>
      </c>
      <c r="BF56" s="119">
        <v>0.60800056482232001</v>
      </c>
      <c r="BG56" s="119">
        <v>0.61075496919542904</v>
      </c>
      <c r="BH56" s="119">
        <v>0.61603946174283897</v>
      </c>
      <c r="BI56" s="119">
        <v>0.61915992648680795</v>
      </c>
      <c r="BJ56" s="119">
        <v>0.62145966456401303</v>
      </c>
      <c r="BK56" s="119">
        <v>0.62365628223551695</v>
      </c>
      <c r="BL56" s="119">
        <v>0.62982230750804202</v>
      </c>
    </row>
    <row r="57" spans="1:64" x14ac:dyDescent="0.25">
      <c r="A57" s="860" t="s">
        <v>174</v>
      </c>
      <c r="B57" s="1">
        <v>222</v>
      </c>
      <c r="C57" s="119">
        <v>0.5</v>
      </c>
      <c r="D57" s="119">
        <v>0.179101920425947</v>
      </c>
      <c r="E57" s="119">
        <v>0.190269534446009</v>
      </c>
      <c r="F57" s="119">
        <v>0.20231776817274599</v>
      </c>
      <c r="G57" s="119">
        <v>0.21548986224425801</v>
      </c>
      <c r="H57" s="119">
        <v>0.229309296061735</v>
      </c>
      <c r="I57" s="119">
        <v>0.246026163688119</v>
      </c>
      <c r="J57" s="119">
        <v>0.26535157237346102</v>
      </c>
      <c r="K57" s="119">
        <v>0.28611122005549999</v>
      </c>
      <c r="L57" s="119">
        <v>0.30914039059061599</v>
      </c>
      <c r="M57" s="119">
        <v>0.32864364505136201</v>
      </c>
      <c r="N57" s="119">
        <v>0.34786806138623</v>
      </c>
      <c r="O57" s="119">
        <v>0.36687315707502599</v>
      </c>
      <c r="P57" s="119">
        <v>0.38687385651330503</v>
      </c>
      <c r="Q57" s="119">
        <v>0.40448480864650299</v>
      </c>
      <c r="R57" s="119">
        <v>0.42236145782159101</v>
      </c>
      <c r="S57" s="119">
        <v>0.43887509351880599</v>
      </c>
      <c r="T57" s="119">
        <v>0.45089747920675599</v>
      </c>
      <c r="U57" s="119">
        <v>0.46169143929480499</v>
      </c>
      <c r="V57" s="119">
        <v>0.47151724300154102</v>
      </c>
      <c r="W57" s="119">
        <v>0.481543640229744</v>
      </c>
      <c r="X57" s="119">
        <v>0.49190842148408997</v>
      </c>
      <c r="Y57" s="119">
        <v>0.49991926750270799</v>
      </c>
      <c r="Z57" s="119">
        <v>0.50999265823570505</v>
      </c>
      <c r="AA57" s="119">
        <v>0.51910969505261795</v>
      </c>
      <c r="AB57" s="119">
        <v>0.52809478341078397</v>
      </c>
      <c r="AC57" s="119">
        <v>0.53869540604493604</v>
      </c>
      <c r="AD57" s="119">
        <v>0.54993977744001699</v>
      </c>
      <c r="AE57" s="119">
        <v>0.56091898949205599</v>
      </c>
      <c r="AF57" s="119">
        <v>0.57064311153774705</v>
      </c>
      <c r="AG57" s="119">
        <v>0.57857756787382097</v>
      </c>
      <c r="AH57" s="119">
        <v>0.59072351244330501</v>
      </c>
      <c r="AI57" s="119">
        <v>0.60100783818234105</v>
      </c>
      <c r="AJ57" s="119">
        <v>0.61155435520118195</v>
      </c>
      <c r="AK57" s="119">
        <v>0.61911934902371402</v>
      </c>
      <c r="AL57" s="119">
        <v>0.62574807589039105</v>
      </c>
      <c r="AM57" s="119">
        <v>0.63045296744564805</v>
      </c>
      <c r="AN57" s="119">
        <v>0.63682656762565304</v>
      </c>
      <c r="AO57" s="119">
        <v>0.64132233793245497</v>
      </c>
      <c r="AP57" s="119">
        <v>0.64624406419858305</v>
      </c>
      <c r="AQ57" s="119">
        <v>0.64898786069771797</v>
      </c>
      <c r="AR57" s="119">
        <v>0.653123770883133</v>
      </c>
      <c r="AS57" s="119">
        <v>0.65816624296874704</v>
      </c>
      <c r="AT57" s="119">
        <v>0.66186547687206199</v>
      </c>
      <c r="AU57" s="119">
        <v>0.66403991245435401</v>
      </c>
      <c r="AV57" s="119">
        <v>0.66699229392228399</v>
      </c>
      <c r="AW57" s="119">
        <v>0.66984682402198104</v>
      </c>
      <c r="AX57" s="119">
        <v>0.67291311966774903</v>
      </c>
      <c r="AY57" s="119">
        <v>0.67644599310925202</v>
      </c>
      <c r="AZ57" s="119">
        <v>0.67922541875450604</v>
      </c>
      <c r="BA57" s="119">
        <v>0.68137265355232801</v>
      </c>
      <c r="BB57" s="119">
        <v>0.68408304638814998</v>
      </c>
      <c r="BC57" s="119">
        <v>0.68877437615300197</v>
      </c>
      <c r="BD57" s="119">
        <v>0.69076210680894801</v>
      </c>
      <c r="BE57" s="119">
        <v>0.69322239393837004</v>
      </c>
      <c r="BF57" s="119">
        <v>0.69754577086320502</v>
      </c>
      <c r="BG57" s="119">
        <v>0.70086169329745795</v>
      </c>
      <c r="BH57" s="119">
        <v>0.70282112986151501</v>
      </c>
      <c r="BI57" s="119">
        <v>0.70467353073392403</v>
      </c>
      <c r="BJ57" s="119">
        <v>0.705701342457287</v>
      </c>
      <c r="BK57" s="119">
        <v>0.70593180532898403</v>
      </c>
      <c r="BL57" s="119">
        <v>0.70642810129859801</v>
      </c>
    </row>
    <row r="58" spans="1:64" x14ac:dyDescent="0.25">
      <c r="A58" s="860" t="s">
        <v>175</v>
      </c>
      <c r="B58" s="1">
        <v>226</v>
      </c>
      <c r="C58" s="119">
        <v>0.5</v>
      </c>
      <c r="D58" s="119">
        <v>6.3947439349407199E-3</v>
      </c>
      <c r="E58" s="119">
        <v>6.9129975675060601E-3</v>
      </c>
      <c r="F58" s="119">
        <v>7.5750613755277401E-3</v>
      </c>
      <c r="G58" s="119">
        <v>8.2674295652722003E-3</v>
      </c>
      <c r="H58" s="119">
        <v>9.0930607340439003E-3</v>
      </c>
      <c r="I58" s="119">
        <v>9.9249587695560207E-3</v>
      </c>
      <c r="J58" s="119">
        <v>1.0905414836872501E-2</v>
      </c>
      <c r="K58" s="119">
        <v>1.18944179555592E-2</v>
      </c>
      <c r="L58" s="119">
        <v>1.2788836105971001E-2</v>
      </c>
      <c r="M58" s="119">
        <v>1.38730823556372E-2</v>
      </c>
      <c r="N58" s="119">
        <v>1.51221186786032E-2</v>
      </c>
      <c r="O58" s="119">
        <v>1.64786894878882E-2</v>
      </c>
      <c r="P58" s="119">
        <v>1.7815423956342301E-2</v>
      </c>
      <c r="Q58" s="119">
        <v>1.9320608912110699E-2</v>
      </c>
      <c r="R58" s="119">
        <v>2.1075466185180299E-2</v>
      </c>
      <c r="S58" s="119">
        <v>2.2433405954787999E-2</v>
      </c>
      <c r="T58" s="119">
        <v>2.42846300030129E-2</v>
      </c>
      <c r="U58" s="119">
        <v>2.6259754328595501E-2</v>
      </c>
      <c r="V58" s="119">
        <v>2.8104559413816298E-2</v>
      </c>
      <c r="W58" s="119">
        <v>3.0257516219930902E-2</v>
      </c>
      <c r="X58" s="119">
        <v>3.24182364804197E-2</v>
      </c>
      <c r="Y58" s="119">
        <v>3.4917071075100399E-2</v>
      </c>
      <c r="Z58" s="119">
        <v>3.7087807688986001E-2</v>
      </c>
      <c r="AA58" s="119">
        <v>3.9588027037632298E-2</v>
      </c>
      <c r="AB58" s="119">
        <v>4.1711987112856598E-2</v>
      </c>
      <c r="AC58" s="119">
        <v>4.4066135033948302E-2</v>
      </c>
      <c r="AD58" s="119">
        <v>4.6471677043438901E-2</v>
      </c>
      <c r="AE58" s="119">
        <v>4.9160215680510301E-2</v>
      </c>
      <c r="AF58" s="119">
        <v>5.1634465856360501E-2</v>
      </c>
      <c r="AG58" s="119">
        <v>5.4705825823974902E-2</v>
      </c>
      <c r="AH58" s="119">
        <v>5.7534392494539198E-2</v>
      </c>
      <c r="AI58" s="119">
        <v>6.0378376378144201E-2</v>
      </c>
      <c r="AJ58" s="119">
        <v>6.3507853951944193E-2</v>
      </c>
      <c r="AK58" s="119">
        <v>6.6694954243768895E-2</v>
      </c>
      <c r="AL58" s="119">
        <v>6.9907550479670497E-2</v>
      </c>
      <c r="AM58" s="119">
        <v>7.3227469774938603E-2</v>
      </c>
      <c r="AN58" s="119">
        <v>7.6478644883183206E-2</v>
      </c>
      <c r="AO58" s="119">
        <v>8.0116844599073395E-2</v>
      </c>
      <c r="AP58" s="119">
        <v>8.3957298799225005E-2</v>
      </c>
      <c r="AQ58" s="119">
        <v>8.7955328122798895E-2</v>
      </c>
      <c r="AR58" s="119">
        <v>9.1858179815532598E-2</v>
      </c>
      <c r="AS58" s="119">
        <v>9.6143051860134499E-2</v>
      </c>
      <c r="AT58" s="119">
        <v>0.10026710220011301</v>
      </c>
      <c r="AU58" s="119">
        <v>0.104530493032579</v>
      </c>
      <c r="AV58" s="119">
        <v>0.109146663653143</v>
      </c>
      <c r="AW58" s="119">
        <v>0.113808447951099</v>
      </c>
      <c r="AX58" s="119">
        <v>0.11821084240528799</v>
      </c>
      <c r="AY58" s="119">
        <v>0.123117484252625</v>
      </c>
      <c r="AZ58" s="119">
        <v>0.12861090972436601</v>
      </c>
      <c r="BA58" s="119">
        <v>0.13313798626853601</v>
      </c>
      <c r="BB58" s="119">
        <v>0.138451776259713</v>
      </c>
      <c r="BC58" s="119">
        <v>0.143589630113654</v>
      </c>
      <c r="BD58" s="119">
        <v>0.14910928551000499</v>
      </c>
      <c r="BE58" s="119">
        <v>0.15433497575146499</v>
      </c>
      <c r="BF58" s="119">
        <v>0.15993495407007999</v>
      </c>
      <c r="BG58" s="119">
        <v>0.165916481704384</v>
      </c>
      <c r="BH58" s="119">
        <v>0.172196860570142</v>
      </c>
      <c r="BI58" s="119">
        <v>0.179100407507926</v>
      </c>
      <c r="BJ58" s="119">
        <v>0.18482289408021499</v>
      </c>
      <c r="BK58" s="119">
        <v>0.19075504269438701</v>
      </c>
      <c r="BL58" s="119">
        <v>0.196550835365323</v>
      </c>
    </row>
    <row r="59" spans="1:64" x14ac:dyDescent="0.25">
      <c r="A59" s="860" t="s">
        <v>28</v>
      </c>
      <c r="B59" s="1">
        <v>232</v>
      </c>
      <c r="C59" s="119">
        <v>0.5</v>
      </c>
      <c r="D59" s="119">
        <v>2.4394206902707302E-3</v>
      </c>
      <c r="E59" s="119">
        <v>2.8140502302427999E-3</v>
      </c>
      <c r="F59" s="119">
        <v>3.2009901104345698E-3</v>
      </c>
      <c r="G59" s="119">
        <v>3.6725481102175602E-3</v>
      </c>
      <c r="H59" s="119">
        <v>4.0838319310449699E-3</v>
      </c>
      <c r="I59" s="119">
        <v>4.69015341044392E-3</v>
      </c>
      <c r="J59" s="119">
        <v>5.3845649253349802E-3</v>
      </c>
      <c r="K59" s="119">
        <v>6.1343538619343298E-3</v>
      </c>
      <c r="L59" s="119">
        <v>6.8338945624832797E-3</v>
      </c>
      <c r="M59" s="119">
        <v>7.6894403565244303E-3</v>
      </c>
      <c r="N59" s="119">
        <v>8.8008861343076093E-3</v>
      </c>
      <c r="O59" s="119">
        <v>1.00612914297845E-2</v>
      </c>
      <c r="P59" s="119">
        <v>1.14718796975054E-2</v>
      </c>
      <c r="Q59" s="119">
        <v>1.2788445995902099E-2</v>
      </c>
      <c r="R59" s="119">
        <v>1.4303252074414999E-2</v>
      </c>
      <c r="S59" s="119">
        <v>1.6103409922894499E-2</v>
      </c>
      <c r="T59" s="119">
        <v>1.8134483507087101E-2</v>
      </c>
      <c r="U59" s="119">
        <v>2.0196338332201701E-2</v>
      </c>
      <c r="V59" s="119">
        <v>2.2357499533317601E-2</v>
      </c>
      <c r="W59" s="119">
        <v>2.49659706467267E-2</v>
      </c>
      <c r="X59" s="119">
        <v>2.7203771931792801E-2</v>
      </c>
      <c r="Y59" s="119">
        <v>2.99559725302674E-2</v>
      </c>
      <c r="Z59" s="119">
        <v>3.2425774556551101E-2</v>
      </c>
      <c r="AA59" s="119">
        <v>3.5248954149861803E-2</v>
      </c>
      <c r="AB59" s="119">
        <v>3.7692066344004203E-2</v>
      </c>
      <c r="AC59" s="119">
        <v>4.04263709621277E-2</v>
      </c>
      <c r="AD59" s="119">
        <v>4.4769392110259897E-2</v>
      </c>
      <c r="AE59" s="119">
        <v>4.9139919957361999E-2</v>
      </c>
      <c r="AF59" s="119">
        <v>5.3617337125898501E-2</v>
      </c>
      <c r="AG59" s="119">
        <v>5.8322318780799999E-2</v>
      </c>
      <c r="AH59" s="119">
        <v>6.2689342766817702E-2</v>
      </c>
      <c r="AI59" s="119">
        <v>6.7365876191235394E-2</v>
      </c>
      <c r="AJ59" s="119">
        <v>7.1067864173017803E-2</v>
      </c>
      <c r="AK59" s="119">
        <v>7.2050755991085499E-2</v>
      </c>
      <c r="AL59" s="119">
        <v>7.2856288929293106E-2</v>
      </c>
      <c r="AM59" s="119">
        <v>7.25938254231321E-2</v>
      </c>
      <c r="AN59" s="119">
        <v>7.3043893941447502E-2</v>
      </c>
      <c r="AO59" s="119">
        <v>7.3426782753690606E-2</v>
      </c>
      <c r="AP59" s="119">
        <v>7.3694921615894901E-2</v>
      </c>
      <c r="AQ59" s="119">
        <v>7.4092744703278896E-2</v>
      </c>
      <c r="AR59" s="119">
        <v>7.5316556913707006E-2</v>
      </c>
      <c r="AS59" s="119">
        <v>7.8414259315190499E-2</v>
      </c>
      <c r="AT59" s="119">
        <v>8.2018383910887602E-2</v>
      </c>
      <c r="AU59" s="119">
        <v>8.61751218109751E-2</v>
      </c>
      <c r="AV59" s="119">
        <v>9.1071134625605996E-2</v>
      </c>
      <c r="AW59" s="119">
        <v>9.6371387568170194E-2</v>
      </c>
      <c r="AX59" s="119">
        <v>0.100823008148231</v>
      </c>
      <c r="AY59" s="119">
        <v>0.10622069734475199</v>
      </c>
      <c r="AZ59" s="119">
        <v>0.111574168397383</v>
      </c>
      <c r="BA59" s="119">
        <v>0.11673440584438501</v>
      </c>
      <c r="BB59" s="119">
        <v>0.12238316133072499</v>
      </c>
      <c r="BC59" s="119">
        <v>0.13006708092540401</v>
      </c>
      <c r="BD59" s="119">
        <v>0.13561341348170999</v>
      </c>
      <c r="BE59" s="119">
        <v>0.14202723663980499</v>
      </c>
      <c r="BF59" s="119">
        <v>0.149593302233579</v>
      </c>
      <c r="BG59" s="119">
        <v>0.15715275959301001</v>
      </c>
      <c r="BH59" s="119">
        <v>0.16523066689333299</v>
      </c>
      <c r="BI59" s="119">
        <v>0.172860241466019</v>
      </c>
      <c r="BJ59" s="119">
        <v>0.18018566684711701</v>
      </c>
      <c r="BK59" s="119">
        <v>0.18637340941694899</v>
      </c>
      <c r="BL59" s="119">
        <v>0.19442457809461</v>
      </c>
    </row>
    <row r="60" spans="1:64" x14ac:dyDescent="0.25">
      <c r="A60" s="860" t="s">
        <v>176</v>
      </c>
      <c r="B60" s="1">
        <v>233</v>
      </c>
      <c r="C60" s="119">
        <v>0.5</v>
      </c>
      <c r="D60" s="119">
        <v>0.36760942527572199</v>
      </c>
      <c r="E60" s="119">
        <v>0.37302191195856099</v>
      </c>
      <c r="F60" s="119">
        <v>0.38033144478257302</v>
      </c>
      <c r="G60" s="119">
        <v>0.38750845398941602</v>
      </c>
      <c r="H60" s="119">
        <v>0.39099873267206198</v>
      </c>
      <c r="I60" s="119">
        <v>0.39620447260465602</v>
      </c>
      <c r="J60" s="119">
        <v>0.40085733282269298</v>
      </c>
      <c r="K60" s="119">
        <v>0.40498194731236498</v>
      </c>
      <c r="L60" s="119">
        <v>0.41251981496149398</v>
      </c>
      <c r="M60" s="119">
        <v>0.41547579829456599</v>
      </c>
      <c r="N60" s="119">
        <v>0.41938923690889701</v>
      </c>
      <c r="O60" s="119">
        <v>0.42327518190415198</v>
      </c>
      <c r="P60" s="119">
        <v>0.429585523421951</v>
      </c>
      <c r="Q60" s="119">
        <v>0.43515677991784901</v>
      </c>
      <c r="R60" s="119">
        <v>0.44085888619610297</v>
      </c>
      <c r="S60" s="119">
        <v>0.44222622165997799</v>
      </c>
      <c r="T60" s="119">
        <v>0.44341538669610803</v>
      </c>
      <c r="U60" s="119">
        <v>0.44942495658961101</v>
      </c>
      <c r="V60" s="119">
        <v>0.453605350909769</v>
      </c>
      <c r="W60" s="119">
        <v>0.45833522146533801</v>
      </c>
      <c r="X60" s="119">
        <v>0.460581384301394</v>
      </c>
      <c r="Y60" s="119">
        <v>0.46303212240121699</v>
      </c>
      <c r="Z60" s="119">
        <v>0.46292340240915397</v>
      </c>
      <c r="AA60" s="119">
        <v>0.46315264913226201</v>
      </c>
      <c r="AB60" s="119">
        <v>0.464331370711352</v>
      </c>
      <c r="AC60" s="119">
        <v>0.468166590942655</v>
      </c>
      <c r="AD60" s="119">
        <v>0.47587111690775802</v>
      </c>
      <c r="AE60" s="119">
        <v>0.48185907629041302</v>
      </c>
      <c r="AF60" s="119">
        <v>0.48816091839011699</v>
      </c>
      <c r="AG60" s="119">
        <v>0.49405712403389301</v>
      </c>
      <c r="AH60" s="119">
        <v>0.500516072575519</v>
      </c>
      <c r="AI60" s="119">
        <v>0.50731443171718904</v>
      </c>
      <c r="AJ60" s="119">
        <v>0.51389694026943999</v>
      </c>
      <c r="AK60" s="119">
        <v>0.51996789403551802</v>
      </c>
      <c r="AL60" s="119">
        <v>0.52727455523679001</v>
      </c>
      <c r="AM60" s="119">
        <v>0.53370595769077001</v>
      </c>
      <c r="AN60" s="119">
        <v>0.53809523506786605</v>
      </c>
      <c r="AO60" s="119">
        <v>0.54007724577484495</v>
      </c>
      <c r="AP60" s="119">
        <v>0.54229590560304997</v>
      </c>
      <c r="AQ60" s="119">
        <v>0.54510925177695901</v>
      </c>
      <c r="AR60" s="119">
        <v>0.54839493688778096</v>
      </c>
      <c r="AS60" s="119">
        <v>0.55438567159034502</v>
      </c>
      <c r="AT60" s="119">
        <v>0.56086921062449302</v>
      </c>
      <c r="AU60" s="119">
        <v>0.56468822154974196</v>
      </c>
      <c r="AV60" s="119">
        <v>0.56888583348888899</v>
      </c>
      <c r="AW60" s="119">
        <v>0.57520757153906399</v>
      </c>
      <c r="AX60" s="119">
        <v>0.57875678972529698</v>
      </c>
      <c r="AY60" s="119">
        <v>0.58085460704880798</v>
      </c>
      <c r="AZ60" s="119">
        <v>0.58511482523653102</v>
      </c>
      <c r="BA60" s="119">
        <v>0.58723055184366002</v>
      </c>
      <c r="BB60" s="119">
        <v>0.58988961858655298</v>
      </c>
      <c r="BC60" s="119">
        <v>0.593652229728454</v>
      </c>
      <c r="BD60" s="119">
        <v>0.59711388618717398</v>
      </c>
      <c r="BE60" s="119">
        <v>0.59928628332012102</v>
      </c>
      <c r="BF60" s="119">
        <v>0.60155063990102098</v>
      </c>
      <c r="BG60" s="119">
        <v>0.602864518838237</v>
      </c>
      <c r="BH60" s="119">
        <v>0.60754668301032599</v>
      </c>
      <c r="BI60" s="119">
        <v>0.60764890243703296</v>
      </c>
      <c r="BJ60" s="119">
        <v>0.60898595522388799</v>
      </c>
      <c r="BK60" s="119">
        <v>0.610895092716218</v>
      </c>
      <c r="BL60" s="119">
        <v>0.612444125310175</v>
      </c>
    </row>
    <row r="61" spans="1:64" x14ac:dyDescent="0.25">
      <c r="A61" s="860" t="s">
        <v>1037</v>
      </c>
      <c r="B61" s="1">
        <v>748</v>
      </c>
      <c r="C61" s="119">
        <v>0.5</v>
      </c>
      <c r="D61" s="119">
        <v>2.1425429672359698E-2</v>
      </c>
      <c r="E61" s="119">
        <v>2.44336033588438E-2</v>
      </c>
      <c r="F61" s="119">
        <v>2.7647537318261601E-2</v>
      </c>
      <c r="G61" s="119">
        <v>3.1736866298633801E-2</v>
      </c>
      <c r="H61" s="119">
        <v>3.6024688357652802E-2</v>
      </c>
      <c r="I61" s="119">
        <v>4.0650674103410299E-2</v>
      </c>
      <c r="J61" s="119">
        <v>4.6212297702226603E-2</v>
      </c>
      <c r="K61" s="119">
        <v>5.2217858839544599E-2</v>
      </c>
      <c r="L61" s="119">
        <v>5.7773295010496002E-2</v>
      </c>
      <c r="M61" s="119">
        <v>6.5056842951744603E-2</v>
      </c>
      <c r="N61" s="119">
        <v>7.2565053766219106E-2</v>
      </c>
      <c r="O61" s="119">
        <v>8.0796215520252401E-2</v>
      </c>
      <c r="P61" s="119">
        <v>8.9984670733902899E-2</v>
      </c>
      <c r="Q61" s="119">
        <v>9.9259759390857905E-2</v>
      </c>
      <c r="R61" s="119">
        <v>0.10829287343690699</v>
      </c>
      <c r="S61" s="119">
        <v>0.118453008144487</v>
      </c>
      <c r="T61" s="119">
        <v>0.13009666556927801</v>
      </c>
      <c r="U61" s="119">
        <v>0.142533752915288</v>
      </c>
      <c r="V61" s="119">
        <v>0.15446953657138399</v>
      </c>
      <c r="W61" s="119">
        <v>0.166549811580642</v>
      </c>
      <c r="X61" s="119">
        <v>0.178984447277381</v>
      </c>
      <c r="Y61" s="119">
        <v>0.19198686614397401</v>
      </c>
      <c r="Z61" s="119">
        <v>0.20478816476206299</v>
      </c>
      <c r="AA61" s="119">
        <v>0.218052974346676</v>
      </c>
      <c r="AB61" s="119">
        <v>0.22989180515281099</v>
      </c>
      <c r="AC61" s="119">
        <v>0.243655159642161</v>
      </c>
      <c r="AD61" s="119">
        <v>0.25794239094404098</v>
      </c>
      <c r="AE61" s="119">
        <v>0.27169822792504</v>
      </c>
      <c r="AF61" s="119">
        <v>0.28513355063845802</v>
      </c>
      <c r="AG61" s="119">
        <v>0.30154038316638399</v>
      </c>
      <c r="AH61" s="119">
        <v>0.319581502580643</v>
      </c>
      <c r="AI61" s="119">
        <v>0.34230620747641199</v>
      </c>
      <c r="AJ61" s="119">
        <v>0.36812192327868898</v>
      </c>
      <c r="AK61" s="119">
        <v>0.39402802078811899</v>
      </c>
      <c r="AL61" s="119">
        <v>0.42188859109650301</v>
      </c>
      <c r="AM61" s="119">
        <v>0.449768470320005</v>
      </c>
      <c r="AN61" s="119">
        <v>0.476418778782077</v>
      </c>
      <c r="AO61" s="119">
        <v>0.50429468815926903</v>
      </c>
      <c r="AP61" s="119">
        <v>0.53210510209643302</v>
      </c>
      <c r="AQ61" s="119">
        <v>0.55762127096405201</v>
      </c>
      <c r="AR61" s="119">
        <v>0.57779755918352405</v>
      </c>
      <c r="AS61" s="119">
        <v>0.59366854670638802</v>
      </c>
      <c r="AT61" s="119">
        <v>0.60670086636407705</v>
      </c>
      <c r="AU61" s="119">
        <v>0.61806867938941801</v>
      </c>
      <c r="AV61" s="119">
        <v>0.62669208485181205</v>
      </c>
      <c r="AW61" s="119">
        <v>0.63525210546394295</v>
      </c>
      <c r="AX61" s="119">
        <v>0.63999436118745101</v>
      </c>
      <c r="AY61" s="119">
        <v>0.64724458596405199</v>
      </c>
      <c r="AZ61" s="119">
        <v>0.65371258127034904</v>
      </c>
      <c r="BA61" s="119">
        <v>0.657669211934093</v>
      </c>
      <c r="BB61" s="119">
        <v>0.66177251504299694</v>
      </c>
      <c r="BC61" s="119">
        <v>0.665772473550726</v>
      </c>
      <c r="BD61" s="119">
        <v>0.67031200232962096</v>
      </c>
      <c r="BE61" s="119">
        <v>0.67396675980571197</v>
      </c>
      <c r="BF61" s="119">
        <v>0.67886095156082604</v>
      </c>
      <c r="BG61" s="119">
        <v>0.68373248376981399</v>
      </c>
      <c r="BH61" s="119">
        <v>0.689307486557029</v>
      </c>
      <c r="BI61" s="119">
        <v>0.69292017472331402</v>
      </c>
      <c r="BJ61" s="119">
        <v>0.69736545726538302</v>
      </c>
      <c r="BK61" s="119">
        <v>0.699480415571894</v>
      </c>
      <c r="BL61" s="119">
        <v>0.70187763529764502</v>
      </c>
    </row>
    <row r="62" spans="1:64" x14ac:dyDescent="0.25">
      <c r="A62" s="860" t="s">
        <v>29</v>
      </c>
      <c r="B62" s="1">
        <v>231</v>
      </c>
      <c r="C62" s="119">
        <v>0.5</v>
      </c>
      <c r="D62" s="119">
        <v>3.2042829388604999E-3</v>
      </c>
      <c r="E62" s="119">
        <v>3.6318703675037702E-3</v>
      </c>
      <c r="F62" s="119">
        <v>4.2403434063043597E-3</v>
      </c>
      <c r="G62" s="119">
        <v>4.92931536193905E-3</v>
      </c>
      <c r="H62" s="119">
        <v>5.6699315302973403E-3</v>
      </c>
      <c r="I62" s="119">
        <v>6.4196540691793102E-3</v>
      </c>
      <c r="J62" s="119">
        <v>7.2503034996039403E-3</v>
      </c>
      <c r="K62" s="119">
        <v>8.3550564783557192E-3</v>
      </c>
      <c r="L62" s="119">
        <v>9.3080847419565703E-3</v>
      </c>
      <c r="M62" s="119">
        <v>1.05601157535143E-2</v>
      </c>
      <c r="N62" s="119">
        <v>1.20431236853345E-2</v>
      </c>
      <c r="O62" s="119">
        <v>1.35024594782604E-2</v>
      </c>
      <c r="P62" s="119">
        <v>1.5169131334242201E-2</v>
      </c>
      <c r="Q62" s="119">
        <v>1.6952583175167901E-2</v>
      </c>
      <c r="R62" s="119">
        <v>1.9210147746484201E-2</v>
      </c>
      <c r="S62" s="119">
        <v>2.15800047313712E-2</v>
      </c>
      <c r="T62" s="119">
        <v>2.4116664928555898E-2</v>
      </c>
      <c r="U62" s="119">
        <v>2.67954991236708E-2</v>
      </c>
      <c r="V62" s="119">
        <v>2.9496336104815699E-2</v>
      </c>
      <c r="W62" s="119">
        <v>3.2018775127401998E-2</v>
      </c>
      <c r="X62" s="119">
        <v>3.4421643669842697E-2</v>
      </c>
      <c r="Y62" s="119">
        <v>3.5797229421870899E-2</v>
      </c>
      <c r="Z62" s="119">
        <v>3.6685796497445501E-2</v>
      </c>
      <c r="AA62" s="119">
        <v>3.7261732812018201E-2</v>
      </c>
      <c r="AB62" s="119">
        <v>3.7773544292089803E-2</v>
      </c>
      <c r="AC62" s="119">
        <v>3.8581445440592499E-2</v>
      </c>
      <c r="AD62" s="119">
        <v>3.96098812616833E-2</v>
      </c>
      <c r="AE62" s="119">
        <v>4.2055424629213599E-2</v>
      </c>
      <c r="AF62" s="119">
        <v>4.7300400905257098E-2</v>
      </c>
      <c r="AG62" s="119">
        <v>5.4305244004127999E-2</v>
      </c>
      <c r="AH62" s="119">
        <v>6.3124501236825795E-2</v>
      </c>
      <c r="AI62" s="119">
        <v>7.4810642382084902E-2</v>
      </c>
      <c r="AJ62" s="119">
        <v>8.8269589849117605E-2</v>
      </c>
      <c r="AK62" s="119">
        <v>0.103313403900338</v>
      </c>
      <c r="AL62" s="119">
        <v>0.120315245003358</v>
      </c>
      <c r="AM62" s="119">
        <v>0.139172668353339</v>
      </c>
      <c r="AN62" s="119">
        <v>0.159057313363899</v>
      </c>
      <c r="AO62" s="119">
        <v>0.179598022043505</v>
      </c>
      <c r="AP62" s="119">
        <v>0.20058327721147001</v>
      </c>
      <c r="AQ62" s="119">
        <v>0.22299382293952999</v>
      </c>
      <c r="AR62" s="119">
        <v>0.247189909023737</v>
      </c>
      <c r="AS62" s="119">
        <v>0.27104609606350899</v>
      </c>
      <c r="AT62" s="119">
        <v>0.29463724756325799</v>
      </c>
      <c r="AU62" s="119">
        <v>0.31561799600000501</v>
      </c>
      <c r="AV62" s="119">
        <v>0.33478474681759901</v>
      </c>
      <c r="AW62" s="119">
        <v>0.34665809987558299</v>
      </c>
      <c r="AX62" s="119">
        <v>0.35445729291975397</v>
      </c>
      <c r="AY62" s="119">
        <v>0.36047261072983799</v>
      </c>
      <c r="AZ62" s="119">
        <v>0.36778840467194901</v>
      </c>
      <c r="BA62" s="119">
        <v>0.37170132687492702</v>
      </c>
      <c r="BB62" s="119">
        <v>0.36820228415501899</v>
      </c>
      <c r="BC62" s="119">
        <v>0.37317655882728801</v>
      </c>
      <c r="BD62" s="119">
        <v>0.381462717859615</v>
      </c>
      <c r="BE62" s="119">
        <v>0.39146928978984502</v>
      </c>
      <c r="BF62" s="119">
        <v>0.401670026525284</v>
      </c>
      <c r="BG62" s="119">
        <v>0.412200805552766</v>
      </c>
      <c r="BH62" s="119">
        <v>0.4242172261553</v>
      </c>
      <c r="BI62" s="119">
        <v>0.43560711715447498</v>
      </c>
      <c r="BJ62" s="119">
        <v>0.44672959887082703</v>
      </c>
      <c r="BK62" s="119">
        <v>0.457048927006584</v>
      </c>
      <c r="BL62" s="119">
        <v>0.466033205916006</v>
      </c>
    </row>
    <row r="63" spans="1:64" x14ac:dyDescent="0.25">
      <c r="A63" s="860" t="s">
        <v>179</v>
      </c>
      <c r="B63" s="1">
        <v>242</v>
      </c>
      <c r="C63" s="119">
        <v>0.5</v>
      </c>
      <c r="D63" s="119">
        <v>0.31809201820835498</v>
      </c>
      <c r="E63" s="119">
        <v>0.32336053533429399</v>
      </c>
      <c r="F63" s="119">
        <v>0.32740985723543797</v>
      </c>
      <c r="G63" s="119">
        <v>0.33046431690975703</v>
      </c>
      <c r="H63" s="119">
        <v>0.33530260205127999</v>
      </c>
      <c r="I63" s="119">
        <v>0.33601013232053001</v>
      </c>
      <c r="J63" s="119">
        <v>0.335686000780264</v>
      </c>
      <c r="K63" s="119">
        <v>0.33638363540392902</v>
      </c>
      <c r="L63" s="119">
        <v>0.33533358476812702</v>
      </c>
      <c r="M63" s="119">
        <v>0.33548161996831799</v>
      </c>
      <c r="N63" s="119">
        <v>0.33671390608076901</v>
      </c>
      <c r="O63" s="119">
        <v>0.340071668506705</v>
      </c>
      <c r="P63" s="119">
        <v>0.33932762183950399</v>
      </c>
      <c r="Q63" s="119">
        <v>0.33953750137030297</v>
      </c>
      <c r="R63" s="119">
        <v>0.34123053895566502</v>
      </c>
      <c r="S63" s="119">
        <v>0.342130345486996</v>
      </c>
      <c r="T63" s="119">
        <v>0.34104102081482901</v>
      </c>
      <c r="U63" s="119">
        <v>0.34532824174787002</v>
      </c>
      <c r="V63" s="119">
        <v>0.34409962187590798</v>
      </c>
      <c r="W63" s="119">
        <v>0.34506819899230801</v>
      </c>
      <c r="X63" s="119">
        <v>0.34489181262049001</v>
      </c>
      <c r="Y63" s="119">
        <v>0.34655757665481801</v>
      </c>
      <c r="Z63" s="119">
        <v>0.347593555439772</v>
      </c>
      <c r="AA63" s="119">
        <v>0.35158326126800499</v>
      </c>
      <c r="AB63" s="119">
        <v>0.35136624879917899</v>
      </c>
      <c r="AC63" s="119">
        <v>0.35711554348026098</v>
      </c>
      <c r="AD63" s="119">
        <v>0.36148082363995598</v>
      </c>
      <c r="AE63" s="119">
        <v>0.36288923044406302</v>
      </c>
      <c r="AF63" s="119">
        <v>0.36542433048768902</v>
      </c>
      <c r="AG63" s="119">
        <v>0.36704493060895399</v>
      </c>
      <c r="AH63" s="119">
        <v>0.36933412299741603</v>
      </c>
      <c r="AI63" s="119">
        <v>0.37337866945398301</v>
      </c>
      <c r="AJ63" s="119">
        <v>0.37579535842096401</v>
      </c>
      <c r="AK63" s="119">
        <v>0.37965600858941401</v>
      </c>
      <c r="AL63" s="119">
        <v>0.38254074522456499</v>
      </c>
      <c r="AM63" s="119">
        <v>0.38506746918807</v>
      </c>
      <c r="AN63" s="119">
        <v>0.38791820215960698</v>
      </c>
      <c r="AO63" s="119">
        <v>0.38954217499474703</v>
      </c>
      <c r="AP63" s="119">
        <v>0.39185108672153102</v>
      </c>
      <c r="AQ63" s="119">
        <v>0.39642424635013301</v>
      </c>
      <c r="AR63" s="119">
        <v>0.39656746837536799</v>
      </c>
      <c r="AS63" s="119">
        <v>0.40094311771151903</v>
      </c>
      <c r="AT63" s="119">
        <v>0.40593653452759398</v>
      </c>
      <c r="AU63" s="119">
        <v>0.40720687156816299</v>
      </c>
      <c r="AV63" s="119">
        <v>0.40628803287494802</v>
      </c>
      <c r="AW63" s="119">
        <v>0.40750784110678201</v>
      </c>
      <c r="AX63" s="119">
        <v>0.411899596932153</v>
      </c>
      <c r="AY63" s="119">
        <v>0.415794686971799</v>
      </c>
      <c r="AZ63" s="119">
        <v>0.42053736954288501</v>
      </c>
      <c r="BA63" s="119">
        <v>0.42115289758820801</v>
      </c>
      <c r="BB63" s="119">
        <v>0.424469538438349</v>
      </c>
      <c r="BC63" s="119">
        <v>0.42522689037206701</v>
      </c>
      <c r="BD63" s="119">
        <v>0.42951474431861703</v>
      </c>
      <c r="BE63" s="119">
        <v>0.43148820816684302</v>
      </c>
      <c r="BF63" s="119">
        <v>0.436116425704206</v>
      </c>
      <c r="BG63" s="119">
        <v>0.43809729745449</v>
      </c>
      <c r="BH63" s="119">
        <v>0.44127613411595801</v>
      </c>
      <c r="BI63" s="119">
        <v>0.44679450708768598</v>
      </c>
      <c r="BJ63" s="119">
        <v>0.447228221465997</v>
      </c>
      <c r="BK63" s="119">
        <v>0.44858823625996203</v>
      </c>
      <c r="BL63" s="119">
        <v>0.444729607621422</v>
      </c>
    </row>
    <row r="64" spans="1:64" x14ac:dyDescent="0.25">
      <c r="A64" s="860" t="s">
        <v>180</v>
      </c>
      <c r="B64" s="1">
        <v>246</v>
      </c>
      <c r="C64" s="119">
        <v>0.5</v>
      </c>
      <c r="D64" s="119">
        <v>0.61632926042492997</v>
      </c>
      <c r="E64" s="119">
        <v>0.62053127714924206</v>
      </c>
      <c r="F64" s="119">
        <v>0.63229880524816595</v>
      </c>
      <c r="G64" s="119">
        <v>0.64181047202689601</v>
      </c>
      <c r="H64" s="119">
        <v>0.652243382670884</v>
      </c>
      <c r="I64" s="119">
        <v>0.65995251543987099</v>
      </c>
      <c r="J64" s="119">
        <v>0.667819840153</v>
      </c>
      <c r="K64" s="119">
        <v>0.67460313968663999</v>
      </c>
      <c r="L64" s="119">
        <v>0.67547574114244502</v>
      </c>
      <c r="M64" s="119">
        <v>0.67597590008063901</v>
      </c>
      <c r="N64" s="119">
        <v>0.675538336829685</v>
      </c>
      <c r="O64" s="119">
        <v>0.67565231354494204</v>
      </c>
      <c r="P64" s="119">
        <v>0.67709306021098403</v>
      </c>
      <c r="Q64" s="119">
        <v>0.67676147583362101</v>
      </c>
      <c r="R64" s="119">
        <v>0.67740259861684704</v>
      </c>
      <c r="S64" s="119">
        <v>0.67763667210935896</v>
      </c>
      <c r="T64" s="119">
        <v>0.676734344357526</v>
      </c>
      <c r="U64" s="119">
        <v>0.67787688388736</v>
      </c>
      <c r="V64" s="119">
        <v>0.67840595189611896</v>
      </c>
      <c r="W64" s="119">
        <v>0.68094645453936198</v>
      </c>
      <c r="X64" s="119">
        <v>0.68247306596294599</v>
      </c>
      <c r="Y64" s="119">
        <v>0.68578714799259</v>
      </c>
      <c r="Z64" s="119">
        <v>0.68865099372106897</v>
      </c>
      <c r="AA64" s="119">
        <v>0.68935232377134803</v>
      </c>
      <c r="AB64" s="119">
        <v>0.68604359741589904</v>
      </c>
      <c r="AC64" s="119">
        <v>0.68547401615901105</v>
      </c>
      <c r="AD64" s="119">
        <v>0.68362813137885303</v>
      </c>
      <c r="AE64" s="119">
        <v>0.682580924106994</v>
      </c>
      <c r="AF64" s="119">
        <v>0.68014023494718301</v>
      </c>
      <c r="AG64" s="119">
        <v>0.67815139601091801</v>
      </c>
      <c r="AH64" s="119">
        <v>0.67481750714481703</v>
      </c>
      <c r="AI64" s="119">
        <v>0.67154315514602003</v>
      </c>
      <c r="AJ64" s="119">
        <v>0.66653998881584597</v>
      </c>
      <c r="AK64" s="119">
        <v>0.66213618334677604</v>
      </c>
      <c r="AL64" s="119">
        <v>0.66077369036278799</v>
      </c>
      <c r="AM64" s="119">
        <v>0.65771787678096205</v>
      </c>
      <c r="AN64" s="119">
        <v>0.656656422550705</v>
      </c>
      <c r="AO64" s="119">
        <v>0.65947035922355701</v>
      </c>
      <c r="AP64" s="119">
        <v>0.66870826392985805</v>
      </c>
      <c r="AQ64" s="119">
        <v>0.681515125645345</v>
      </c>
      <c r="AR64" s="119">
        <v>0.69516864787870802</v>
      </c>
      <c r="AS64" s="119">
        <v>0.70984090413459999</v>
      </c>
      <c r="AT64" s="119">
        <v>0.72540193640693296</v>
      </c>
      <c r="AU64" s="119">
        <v>0.73865290495290103</v>
      </c>
      <c r="AV64" s="119">
        <v>0.74960202771819495</v>
      </c>
      <c r="AW64" s="119">
        <v>0.75895231505087002</v>
      </c>
      <c r="AX64" s="119">
        <v>0.76203249302824205</v>
      </c>
      <c r="AY64" s="119">
        <v>0.76466905456164902</v>
      </c>
      <c r="AZ64" s="119">
        <v>0.76432857969270396</v>
      </c>
      <c r="BA64" s="119">
        <v>0.76669987051862498</v>
      </c>
      <c r="BB64" s="119">
        <v>0.76736267602524799</v>
      </c>
      <c r="BC64" s="119">
        <v>0.76883815514048304</v>
      </c>
      <c r="BD64" s="119">
        <v>0.76984910098785897</v>
      </c>
      <c r="BE64" s="119">
        <v>0.77059975310455797</v>
      </c>
      <c r="BF64" s="119">
        <v>0.772276349098723</v>
      </c>
      <c r="BG64" s="119">
        <v>0.77160891183303004</v>
      </c>
      <c r="BH64" s="119">
        <v>0.77267172171854503</v>
      </c>
      <c r="BI64" s="119">
        <v>0.77328209805114101</v>
      </c>
      <c r="BJ64" s="119">
        <v>0.77370020488403901</v>
      </c>
      <c r="BK64" s="119">
        <v>0.77403196535227303</v>
      </c>
      <c r="BL64" s="119">
        <v>0.77583207670888299</v>
      </c>
    </row>
    <row r="65" spans="1:64" x14ac:dyDescent="0.25">
      <c r="A65" s="860" t="s">
        <v>181</v>
      </c>
      <c r="B65" s="1">
        <v>250</v>
      </c>
      <c r="C65" s="119">
        <v>0.5</v>
      </c>
      <c r="D65" s="119">
        <v>0.235113342022639</v>
      </c>
      <c r="E65" s="119">
        <v>0.25127347648755</v>
      </c>
      <c r="F65" s="119">
        <v>0.27587191423618102</v>
      </c>
      <c r="G65" s="119">
        <v>0.30229438258018299</v>
      </c>
      <c r="H65" s="119">
        <v>0.32944912122126502</v>
      </c>
      <c r="I65" s="119">
        <v>0.359843205426083</v>
      </c>
      <c r="J65" s="119">
        <v>0.38700132195657999</v>
      </c>
      <c r="K65" s="119">
        <v>0.41627234046557998</v>
      </c>
      <c r="L65" s="119">
        <v>0.44438314122658101</v>
      </c>
      <c r="M65" s="119">
        <v>0.46834312928581301</v>
      </c>
      <c r="N65" s="119">
        <v>0.49193415232879001</v>
      </c>
      <c r="O65" s="119">
        <v>0.51249746918531103</v>
      </c>
      <c r="P65" s="119">
        <v>0.53573149988845004</v>
      </c>
      <c r="Q65" s="119">
        <v>0.557920928816939</v>
      </c>
      <c r="R65" s="119">
        <v>0.57718479845001402</v>
      </c>
      <c r="S65" s="119">
        <v>0.59596521854277096</v>
      </c>
      <c r="T65" s="119">
        <v>0.61499967361011898</v>
      </c>
      <c r="U65" s="119">
        <v>0.63131207352555796</v>
      </c>
      <c r="V65" s="119">
        <v>0.64558983877076304</v>
      </c>
      <c r="W65" s="119">
        <v>0.65543825187348603</v>
      </c>
      <c r="X65" s="119">
        <v>0.66244199947334304</v>
      </c>
      <c r="Y65" s="119">
        <v>0.67019045150137402</v>
      </c>
      <c r="Z65" s="119">
        <v>0.67748507150746895</v>
      </c>
      <c r="AA65" s="119">
        <v>0.68626332068912599</v>
      </c>
      <c r="AB65" s="119">
        <v>0.69229725983102497</v>
      </c>
      <c r="AC65" s="119">
        <v>0.69793948402143902</v>
      </c>
      <c r="AD65" s="119">
        <v>0.70509544085995801</v>
      </c>
      <c r="AE65" s="119">
        <v>0.70947705030913</v>
      </c>
      <c r="AF65" s="119">
        <v>0.71481182189127401</v>
      </c>
      <c r="AG65" s="119">
        <v>0.71889507079187198</v>
      </c>
      <c r="AH65" s="119">
        <v>0.72270226892814504</v>
      </c>
      <c r="AI65" s="119">
        <v>0.72422745449469605</v>
      </c>
      <c r="AJ65" s="119">
        <v>0.72569168553618102</v>
      </c>
      <c r="AK65" s="119">
        <v>0.72654394563060798</v>
      </c>
      <c r="AL65" s="119">
        <v>0.72855995657432404</v>
      </c>
      <c r="AM65" s="119">
        <v>0.72987195738120902</v>
      </c>
      <c r="AN65" s="119">
        <v>0.731375346480305</v>
      </c>
      <c r="AO65" s="119">
        <v>0.73339123931077899</v>
      </c>
      <c r="AP65" s="119">
        <v>0.73641563692805601</v>
      </c>
      <c r="AQ65" s="119">
        <v>0.73944652111251197</v>
      </c>
      <c r="AR65" s="119">
        <v>0.74142533503238495</v>
      </c>
      <c r="AS65" s="119">
        <v>0.74473273563940701</v>
      </c>
      <c r="AT65" s="119">
        <v>0.74748771199974495</v>
      </c>
      <c r="AU65" s="119">
        <v>0.74992278947705304</v>
      </c>
      <c r="AV65" s="119">
        <v>0.75124632476377795</v>
      </c>
      <c r="AW65" s="119">
        <v>0.75291582026385595</v>
      </c>
      <c r="AX65" s="119">
        <v>0.75372911764010198</v>
      </c>
      <c r="AY65" s="119">
        <v>0.75480803529443996</v>
      </c>
      <c r="AZ65" s="119">
        <v>0.75619555716940401</v>
      </c>
      <c r="BA65" s="119">
        <v>0.75644927800727202</v>
      </c>
      <c r="BB65" s="119">
        <v>0.75697453037212603</v>
      </c>
      <c r="BC65" s="119">
        <v>0.75845959936292395</v>
      </c>
      <c r="BD65" s="119">
        <v>0.75889082537564601</v>
      </c>
      <c r="BE65" s="119">
        <v>0.76086901871343304</v>
      </c>
      <c r="BF65" s="119">
        <v>0.76156639997679698</v>
      </c>
      <c r="BG65" s="119">
        <v>0.76433231371259602</v>
      </c>
      <c r="BH65" s="119">
        <v>0.76548105607456196</v>
      </c>
      <c r="BI65" s="119">
        <v>0.76409519519882496</v>
      </c>
      <c r="BJ65" s="119">
        <v>0.764820605526216</v>
      </c>
      <c r="BK65" s="119">
        <v>0.76721838473964898</v>
      </c>
      <c r="BL65" s="119">
        <v>0.76888542085181599</v>
      </c>
    </row>
    <row r="66" spans="1:64" x14ac:dyDescent="0.25">
      <c r="A66" s="860" t="s">
        <v>184</v>
      </c>
      <c r="B66" s="1">
        <v>266</v>
      </c>
      <c r="C66" s="119">
        <v>0.5</v>
      </c>
      <c r="D66" s="119">
        <v>1.6324426335801001E-2</v>
      </c>
      <c r="E66" s="119">
        <v>1.75706006039382E-2</v>
      </c>
      <c r="F66" s="119">
        <v>1.9296391365336101E-2</v>
      </c>
      <c r="G66" s="119">
        <v>2.0527448334028201E-2</v>
      </c>
      <c r="H66" s="119">
        <v>2.20948456083532E-2</v>
      </c>
      <c r="I66" s="119">
        <v>2.38303200666036E-2</v>
      </c>
      <c r="J66" s="119">
        <v>2.5747464978280801E-2</v>
      </c>
      <c r="K66" s="119">
        <v>2.7448703005746301E-2</v>
      </c>
      <c r="L66" s="119">
        <v>3.0242698549787301E-2</v>
      </c>
      <c r="M66" s="119">
        <v>3.2036671281535603E-2</v>
      </c>
      <c r="N66" s="119">
        <v>3.4249326469171601E-2</v>
      </c>
      <c r="O66" s="119">
        <v>3.6553964387619799E-2</v>
      </c>
      <c r="P66" s="119">
        <v>3.9266581838531302E-2</v>
      </c>
      <c r="Q66" s="119">
        <v>4.2321609108571002E-2</v>
      </c>
      <c r="R66" s="119">
        <v>4.4827334914016997E-2</v>
      </c>
      <c r="S66" s="119">
        <v>4.7577488722618598E-2</v>
      </c>
      <c r="T66" s="119">
        <v>5.1532340265988602E-2</v>
      </c>
      <c r="U66" s="119">
        <v>5.46488849940477E-2</v>
      </c>
      <c r="V66" s="119">
        <v>5.8433055785056399E-2</v>
      </c>
      <c r="W66" s="119">
        <v>6.23055654799715E-2</v>
      </c>
      <c r="X66" s="119">
        <v>6.6259184229977106E-2</v>
      </c>
      <c r="Y66" s="119">
        <v>7.14477340298207E-2</v>
      </c>
      <c r="Z66" s="119">
        <v>7.7656027326215293E-2</v>
      </c>
      <c r="AA66" s="119">
        <v>8.37796624762705E-2</v>
      </c>
      <c r="AB66" s="119">
        <v>9.0482182347925294E-2</v>
      </c>
      <c r="AC66" s="119">
        <v>9.6650241091113795E-2</v>
      </c>
      <c r="AD66" s="119">
        <v>0.10415248485190801</v>
      </c>
      <c r="AE66" s="119">
        <v>0.11189404080798999</v>
      </c>
      <c r="AF66" s="119">
        <v>0.118933585653573</v>
      </c>
      <c r="AG66" s="119">
        <v>0.12797305670686901</v>
      </c>
      <c r="AH66" s="119">
        <v>0.13467879336833399</v>
      </c>
      <c r="AI66" s="119">
        <v>0.14025304994861601</v>
      </c>
      <c r="AJ66" s="119">
        <v>0.146146398808459</v>
      </c>
      <c r="AK66" s="119">
        <v>0.15111395190576599</v>
      </c>
      <c r="AL66" s="119">
        <v>0.15621242033430999</v>
      </c>
      <c r="AM66" s="119">
        <v>0.160044718647603</v>
      </c>
      <c r="AN66" s="119">
        <v>0.165066096632145</v>
      </c>
      <c r="AO66" s="119">
        <v>0.16946577017853501</v>
      </c>
      <c r="AP66" s="119">
        <v>0.17330958769490501</v>
      </c>
      <c r="AQ66" s="119">
        <v>0.17874331657050299</v>
      </c>
      <c r="AR66" s="119">
        <v>0.18406872313647801</v>
      </c>
      <c r="AS66" s="119">
        <v>0.18872035297622999</v>
      </c>
      <c r="AT66" s="119">
        <v>0.19400358371294199</v>
      </c>
      <c r="AU66" s="119">
        <v>0.20125981950135399</v>
      </c>
      <c r="AV66" s="119">
        <v>0.20881799371610299</v>
      </c>
      <c r="AW66" s="119">
        <v>0.216586509230414</v>
      </c>
      <c r="AX66" s="119">
        <v>0.224955022258086</v>
      </c>
      <c r="AY66" s="119">
        <v>0.232777941237863</v>
      </c>
      <c r="AZ66" s="119">
        <v>0.24103611309363401</v>
      </c>
      <c r="BA66" s="119">
        <v>0.249605074235414</v>
      </c>
      <c r="BB66" s="119">
        <v>0.25890700929938198</v>
      </c>
      <c r="BC66" s="119">
        <v>0.26669621643181401</v>
      </c>
      <c r="BD66" s="119">
        <v>0.27623138591034402</v>
      </c>
      <c r="BE66" s="119">
        <v>0.28399336393487101</v>
      </c>
      <c r="BF66" s="119">
        <v>0.29229557292088199</v>
      </c>
      <c r="BG66" s="119">
        <v>0.30055733639802601</v>
      </c>
      <c r="BH66" s="119">
        <v>0.31037295958164601</v>
      </c>
      <c r="BI66" s="119">
        <v>0.31958568030083601</v>
      </c>
      <c r="BJ66" s="119">
        <v>0.328669752334174</v>
      </c>
      <c r="BK66" s="119">
        <v>0.33618472034395402</v>
      </c>
      <c r="BL66" s="119">
        <v>0.34019464221824602</v>
      </c>
    </row>
    <row r="67" spans="1:64" x14ac:dyDescent="0.25">
      <c r="A67" s="860" t="s">
        <v>30</v>
      </c>
      <c r="B67" s="1">
        <v>270</v>
      </c>
      <c r="C67" s="119">
        <v>0.5</v>
      </c>
      <c r="D67" s="119">
        <v>1.08026401330078E-2</v>
      </c>
      <c r="E67" s="119">
        <v>1.18960177725631E-2</v>
      </c>
      <c r="F67" s="119">
        <v>1.3069258153587201E-2</v>
      </c>
      <c r="G67" s="119">
        <v>1.4553752373848801E-2</v>
      </c>
      <c r="H67" s="119">
        <v>1.6074978764619999E-2</v>
      </c>
      <c r="I67" s="119">
        <v>1.7597279480183501E-2</v>
      </c>
      <c r="J67" s="119">
        <v>1.9465699562430199E-2</v>
      </c>
      <c r="K67" s="119">
        <v>2.1522307115586899E-2</v>
      </c>
      <c r="L67" s="119">
        <v>2.3718474613470202E-2</v>
      </c>
      <c r="M67" s="119">
        <v>2.60345294916326E-2</v>
      </c>
      <c r="N67" s="119">
        <v>2.9003635864956599E-2</v>
      </c>
      <c r="O67" s="119">
        <v>3.1591520506752097E-2</v>
      </c>
      <c r="P67" s="119">
        <v>3.46477443073097E-2</v>
      </c>
      <c r="Q67" s="119">
        <v>3.7578312702871097E-2</v>
      </c>
      <c r="R67" s="119">
        <v>4.0847740025312003E-2</v>
      </c>
      <c r="S67" s="119">
        <v>4.4469190581240103E-2</v>
      </c>
      <c r="T67" s="119">
        <v>4.8104789796772601E-2</v>
      </c>
      <c r="U67" s="119">
        <v>5.2099573526787298E-2</v>
      </c>
      <c r="V67" s="119">
        <v>5.5983336989242197E-2</v>
      </c>
      <c r="W67" s="119">
        <v>5.99627815281846E-2</v>
      </c>
      <c r="X67" s="119">
        <v>6.4688062817902806E-2</v>
      </c>
      <c r="Y67" s="119">
        <v>6.9014120729322906E-2</v>
      </c>
      <c r="Z67" s="119">
        <v>7.3379896483341506E-2</v>
      </c>
      <c r="AA67" s="119">
        <v>7.7908545808836202E-2</v>
      </c>
      <c r="AB67" s="119">
        <v>8.2877845402055297E-2</v>
      </c>
      <c r="AC67" s="119">
        <v>8.7809615341651895E-2</v>
      </c>
      <c r="AD67" s="119">
        <v>9.2384855117412498E-2</v>
      </c>
      <c r="AE67" s="119">
        <v>9.7512087556937493E-2</v>
      </c>
      <c r="AF67" s="119">
        <v>0.102908548495598</v>
      </c>
      <c r="AG67" s="119">
        <v>0.108069897700412</v>
      </c>
      <c r="AH67" s="119">
        <v>0.113365400074804</v>
      </c>
      <c r="AI67" s="119">
        <v>0.118494148141382</v>
      </c>
      <c r="AJ67" s="119">
        <v>0.11843540323637899</v>
      </c>
      <c r="AK67" s="119">
        <v>0.11690749666938099</v>
      </c>
      <c r="AL67" s="119">
        <v>0.11399132484987699</v>
      </c>
      <c r="AM67" s="119">
        <v>0.11147433412289399</v>
      </c>
      <c r="AN67" s="119">
        <v>0.108095844199657</v>
      </c>
      <c r="AO67" s="119">
        <v>0.10442563739633599</v>
      </c>
      <c r="AP67" s="119">
        <v>0.10092831318334899</v>
      </c>
      <c r="AQ67" s="119">
        <v>9.7648242094060797E-2</v>
      </c>
      <c r="AR67" s="119">
        <v>9.3489258888142204E-2</v>
      </c>
      <c r="AS67" s="119">
        <v>9.0553268834722006E-2</v>
      </c>
      <c r="AT67" s="119">
        <v>8.8066898372948593E-2</v>
      </c>
      <c r="AU67" s="119">
        <v>8.8281517390432399E-2</v>
      </c>
      <c r="AV67" s="119">
        <v>9.3769356686269997E-2</v>
      </c>
      <c r="AW67" s="119">
        <v>0.102445682609438</v>
      </c>
      <c r="AX67" s="119">
        <v>0.113307485337409</v>
      </c>
      <c r="AY67" s="119">
        <v>0.126219900790249</v>
      </c>
      <c r="AZ67" s="119">
        <v>0.140109383371809</v>
      </c>
      <c r="BA67" s="119">
        <v>0.15331234159879101</v>
      </c>
      <c r="BB67" s="119">
        <v>0.16508334314445999</v>
      </c>
      <c r="BC67" s="119">
        <v>0.17481698557684699</v>
      </c>
      <c r="BD67" s="119">
        <v>0.18280400673573799</v>
      </c>
      <c r="BE67" s="119">
        <v>0.18982072385146601</v>
      </c>
      <c r="BF67" s="119">
        <v>0.19695463496931101</v>
      </c>
      <c r="BG67" s="119">
        <v>0.204632547720278</v>
      </c>
      <c r="BH67" s="119">
        <v>0.21134371790942599</v>
      </c>
      <c r="BI67" s="119">
        <v>0.21881020573809701</v>
      </c>
      <c r="BJ67" s="119">
        <v>0.22507204232697101</v>
      </c>
      <c r="BK67" s="119">
        <v>0.23125507694973699</v>
      </c>
      <c r="BL67" s="119">
        <v>0.23775569290807599</v>
      </c>
    </row>
    <row r="68" spans="1:64" x14ac:dyDescent="0.25">
      <c r="A68" s="860" t="s">
        <v>185</v>
      </c>
      <c r="B68" s="1">
        <v>268</v>
      </c>
      <c r="C68" s="119">
        <v>0.5</v>
      </c>
      <c r="D68" s="119">
        <v>7.5329603924342903E-2</v>
      </c>
      <c r="E68" s="119">
        <v>7.8923316744095598E-2</v>
      </c>
      <c r="F68" s="119">
        <v>8.2268189605472497E-2</v>
      </c>
      <c r="G68" s="119">
        <v>8.7007212571147297E-2</v>
      </c>
      <c r="H68" s="119">
        <v>8.84454475491738E-2</v>
      </c>
      <c r="I68" s="119">
        <v>9.23133518308734E-2</v>
      </c>
      <c r="J68" s="119">
        <v>9.5531793660204797E-2</v>
      </c>
      <c r="K68" s="119">
        <v>9.8620595511706904E-2</v>
      </c>
      <c r="L68" s="119">
        <v>0.103148833158867</v>
      </c>
      <c r="M68" s="119">
        <v>0.105663675492807</v>
      </c>
      <c r="N68" s="119">
        <v>0.109884037655381</v>
      </c>
      <c r="O68" s="119">
        <v>0.11437609256513501</v>
      </c>
      <c r="P68" s="119">
        <v>0.118161089227661</v>
      </c>
      <c r="Q68" s="119">
        <v>0.122512897051844</v>
      </c>
      <c r="R68" s="119">
        <v>0.12822216238748199</v>
      </c>
      <c r="S68" s="119">
        <v>0.131962382000924</v>
      </c>
      <c r="T68" s="119">
        <v>0.13568674516316701</v>
      </c>
      <c r="U68" s="119">
        <v>0.14186992946539001</v>
      </c>
      <c r="V68" s="119">
        <v>0.147254769174686</v>
      </c>
      <c r="W68" s="119">
        <v>0.15162191860388899</v>
      </c>
      <c r="X68" s="119">
        <v>0.15516695827891999</v>
      </c>
      <c r="Y68" s="119">
        <v>0.158317860453702</v>
      </c>
      <c r="Z68" s="119">
        <v>0.164163497198755</v>
      </c>
      <c r="AA68" s="119">
        <v>0.16638228227830301</v>
      </c>
      <c r="AB68" s="119">
        <v>0.171012802105832</v>
      </c>
      <c r="AC68" s="119">
        <v>0.17406859057490301</v>
      </c>
      <c r="AD68" s="119">
        <v>0.17922984197658701</v>
      </c>
      <c r="AE68" s="119">
        <v>0.18383419656852701</v>
      </c>
      <c r="AF68" s="119">
        <v>0.18929491640162099</v>
      </c>
      <c r="AG68" s="119">
        <v>0.19223960138434501</v>
      </c>
      <c r="AH68" s="119">
        <v>0.19748525687973201</v>
      </c>
      <c r="AI68" s="119">
        <v>0.207545395077604</v>
      </c>
      <c r="AJ68" s="119">
        <v>0.21461646074243401</v>
      </c>
      <c r="AK68" s="119">
        <v>0.22285924809795901</v>
      </c>
      <c r="AL68" s="119">
        <v>0.23047819890926399</v>
      </c>
      <c r="AM68" s="119">
        <v>0.238984700703299</v>
      </c>
      <c r="AN68" s="119">
        <v>0.24985727168799199</v>
      </c>
      <c r="AO68" s="119">
        <v>0.25784389382057898</v>
      </c>
      <c r="AP68" s="119">
        <v>0.264565770787419</v>
      </c>
      <c r="AQ68" s="119">
        <v>0.27386946799693201</v>
      </c>
      <c r="AR68" s="119">
        <v>0.28482976683026801</v>
      </c>
      <c r="AS68" s="119">
        <v>0.28995204247566297</v>
      </c>
      <c r="AT68" s="119">
        <v>0.29645096426960299</v>
      </c>
      <c r="AU68" s="119">
        <v>0.29987353641720699</v>
      </c>
      <c r="AV68" s="119">
        <v>0.30392997316034998</v>
      </c>
      <c r="AW68" s="119">
        <v>0.306311559023142</v>
      </c>
      <c r="AX68" s="119">
        <v>0.30991562400786399</v>
      </c>
      <c r="AY68" s="119">
        <v>0.31361030941398099</v>
      </c>
      <c r="AZ68" s="119">
        <v>0.31560002297231399</v>
      </c>
      <c r="BA68" s="119">
        <v>0.31875900191122702</v>
      </c>
      <c r="BB68" s="119">
        <v>0.32388234376882302</v>
      </c>
      <c r="BC68" s="119">
        <v>0.328844145804637</v>
      </c>
      <c r="BD68" s="119">
        <v>0.334861477134136</v>
      </c>
      <c r="BE68" s="119">
        <v>0.34162074257028202</v>
      </c>
      <c r="BF68" s="119">
        <v>0.34518905852069098</v>
      </c>
      <c r="BG68" s="119">
        <v>0.35026018352383198</v>
      </c>
      <c r="BH68" s="119">
        <v>0.35509187796823799</v>
      </c>
      <c r="BI68" s="119">
        <v>0.362572544612773</v>
      </c>
      <c r="BJ68" s="119">
        <v>0.36679234252551202</v>
      </c>
      <c r="BK68" s="119">
        <v>0.37293362442264</v>
      </c>
      <c r="BL68" s="119">
        <v>0.37953533097617398</v>
      </c>
    </row>
    <row r="69" spans="1:64" x14ac:dyDescent="0.25">
      <c r="A69" s="860" t="s">
        <v>186</v>
      </c>
      <c r="B69" s="1">
        <v>276</v>
      </c>
      <c r="C69" s="119">
        <v>0.5</v>
      </c>
      <c r="D69" s="119">
        <v>0.47629058702659499</v>
      </c>
      <c r="E69" s="119">
        <v>0.51488061590569101</v>
      </c>
      <c r="F69" s="119">
        <v>0.55079129726028597</v>
      </c>
      <c r="G69" s="119">
        <v>0.56665229235548098</v>
      </c>
      <c r="H69" s="119">
        <v>0.57976832152505797</v>
      </c>
      <c r="I69" s="119">
        <v>0.59222215379690202</v>
      </c>
      <c r="J69" s="119">
        <v>0.60146099364412897</v>
      </c>
      <c r="K69" s="119">
        <v>0.61174662171046501</v>
      </c>
      <c r="L69" s="119">
        <v>0.62038879096617905</v>
      </c>
      <c r="M69" s="119">
        <v>0.62781203956519305</v>
      </c>
      <c r="N69" s="119">
        <v>0.63481661785962096</v>
      </c>
      <c r="O69" s="119">
        <v>0.64098614148475297</v>
      </c>
      <c r="P69" s="119">
        <v>0.64792542556121502</v>
      </c>
      <c r="Q69" s="119">
        <v>0.65144479458415905</v>
      </c>
      <c r="R69" s="119">
        <v>0.65527408985745295</v>
      </c>
      <c r="S69" s="119">
        <v>0.65889250809717803</v>
      </c>
      <c r="T69" s="119">
        <v>0.66153698995275501</v>
      </c>
      <c r="U69" s="119">
        <v>0.66251741725345703</v>
      </c>
      <c r="V69" s="119">
        <v>0.66202890835666905</v>
      </c>
      <c r="W69" s="119">
        <v>0.660824700421069</v>
      </c>
      <c r="X69" s="119">
        <v>0.66054197852118701</v>
      </c>
      <c r="Y69" s="119">
        <v>0.65828050622090695</v>
      </c>
      <c r="Z69" s="119">
        <v>0.65726672645091999</v>
      </c>
      <c r="AA69" s="119">
        <v>0.65817817779588095</v>
      </c>
      <c r="AB69" s="119">
        <v>0.65858031980005405</v>
      </c>
      <c r="AC69" s="119">
        <v>0.66023511624641695</v>
      </c>
      <c r="AD69" s="119">
        <v>0.66045634151311206</v>
      </c>
      <c r="AE69" s="119">
        <v>0.65990961253281599</v>
      </c>
      <c r="AF69" s="119">
        <v>0.66147740225857199</v>
      </c>
      <c r="AG69" s="119">
        <v>0.66179628106474797</v>
      </c>
      <c r="AH69" s="119">
        <v>0.662265718773693</v>
      </c>
      <c r="AI69" s="119">
        <v>0.66210509682023899</v>
      </c>
      <c r="AJ69" s="119">
        <v>0.662548182365848</v>
      </c>
      <c r="AK69" s="119">
        <v>0.66383856330776903</v>
      </c>
      <c r="AL69" s="119">
        <v>0.66579634149665901</v>
      </c>
      <c r="AM69" s="119">
        <v>0.668429958373146</v>
      </c>
      <c r="AN69" s="119">
        <v>0.67731434807216195</v>
      </c>
      <c r="AO69" s="119">
        <v>0.68727377222764896</v>
      </c>
      <c r="AP69" s="119">
        <v>0.69984303076766596</v>
      </c>
      <c r="AQ69" s="119">
        <v>0.71749804926458904</v>
      </c>
      <c r="AR69" s="119">
        <v>0.736276095239212</v>
      </c>
      <c r="AS69" s="119">
        <v>0.74891359292097703</v>
      </c>
      <c r="AT69" s="119">
        <v>0.74708473565445799</v>
      </c>
      <c r="AU69" s="119">
        <v>0.73986779609880504</v>
      </c>
      <c r="AV69" s="119">
        <v>0.72715959981297595</v>
      </c>
      <c r="AW69" s="119">
        <v>0.71508861210507402</v>
      </c>
      <c r="AX69" s="119">
        <v>0.702395683278358</v>
      </c>
      <c r="AY69" s="119">
        <v>0.68885513762387995</v>
      </c>
      <c r="AZ69" s="119">
        <v>0.67880035499892399</v>
      </c>
      <c r="BA69" s="119">
        <v>0.67437758108766799</v>
      </c>
      <c r="BB69" s="119">
        <v>0.67154461348024796</v>
      </c>
      <c r="BC69" s="119">
        <v>0.66924949313556603</v>
      </c>
      <c r="BD69" s="119">
        <v>0.66946142923396901</v>
      </c>
      <c r="BE69" s="119">
        <v>0.67076288169460196</v>
      </c>
      <c r="BF69" s="119">
        <v>0.67078233628860096</v>
      </c>
      <c r="BG69" s="119">
        <v>0.67143619946427202</v>
      </c>
      <c r="BH69" s="119">
        <v>0.67260505979490404</v>
      </c>
      <c r="BI69" s="119">
        <v>0.67457195319051899</v>
      </c>
      <c r="BJ69" s="119">
        <v>0.67239052613713401</v>
      </c>
      <c r="BK69" s="119">
        <v>0.67290104106138304</v>
      </c>
      <c r="BL69" s="119">
        <v>0.67308700056911597</v>
      </c>
    </row>
    <row r="70" spans="1:64" x14ac:dyDescent="0.25">
      <c r="A70" s="860" t="s">
        <v>31</v>
      </c>
      <c r="B70" s="1">
        <v>288</v>
      </c>
      <c r="C70" s="119">
        <v>0.5</v>
      </c>
      <c r="D70" s="119">
        <v>2.1526458821318699E-2</v>
      </c>
      <c r="E70" s="119">
        <v>2.3609888614979799E-2</v>
      </c>
      <c r="F70" s="119">
        <v>2.5952790483772799E-2</v>
      </c>
      <c r="G70" s="119">
        <v>2.82158596996216E-2</v>
      </c>
      <c r="H70" s="119">
        <v>3.1004275990872601E-2</v>
      </c>
      <c r="I70" s="119">
        <v>3.3774047949889197E-2</v>
      </c>
      <c r="J70" s="119">
        <v>3.6791026579694103E-2</v>
      </c>
      <c r="K70" s="119">
        <v>3.9968215276750603E-2</v>
      </c>
      <c r="L70" s="119">
        <v>4.3053900575979E-2</v>
      </c>
      <c r="M70" s="119">
        <v>4.6472019659146303E-2</v>
      </c>
      <c r="N70" s="119">
        <v>4.7323277834410003E-2</v>
      </c>
      <c r="O70" s="119">
        <v>4.7914388491100399E-2</v>
      </c>
      <c r="P70" s="119">
        <v>4.8365703933752703E-2</v>
      </c>
      <c r="Q70" s="119">
        <v>4.88889310138403E-2</v>
      </c>
      <c r="R70" s="119">
        <v>4.9549424838987E-2</v>
      </c>
      <c r="S70" s="119">
        <v>4.9872453372328603E-2</v>
      </c>
      <c r="T70" s="119">
        <v>5.09013333480966E-2</v>
      </c>
      <c r="U70" s="119">
        <v>5.212503014883E-2</v>
      </c>
      <c r="V70" s="119">
        <v>5.38986270588067E-2</v>
      </c>
      <c r="W70" s="119">
        <v>6.0681231602131201E-2</v>
      </c>
      <c r="X70" s="119">
        <v>6.9571414264235298E-2</v>
      </c>
      <c r="Y70" s="119">
        <v>7.9860842189016998E-2</v>
      </c>
      <c r="Z70" s="119">
        <v>8.9385142749363697E-2</v>
      </c>
      <c r="AA70" s="119">
        <v>9.9293764520886105E-2</v>
      </c>
      <c r="AB70" s="119">
        <v>0.106676424983101</v>
      </c>
      <c r="AC70" s="119">
        <v>0.113249913367127</v>
      </c>
      <c r="AD70" s="119">
        <v>0.12028618551807101</v>
      </c>
      <c r="AE70" s="119">
        <v>0.126875025381433</v>
      </c>
      <c r="AF70" s="119">
        <v>0.13303313166330999</v>
      </c>
      <c r="AG70" s="119">
        <v>0.14216318751172999</v>
      </c>
      <c r="AH70" s="119">
        <v>0.15250763062826</v>
      </c>
      <c r="AI70" s="119">
        <v>0.16227531817832</v>
      </c>
      <c r="AJ70" s="119">
        <v>0.17215569683853099</v>
      </c>
      <c r="AK70" s="119">
        <v>0.178772011332194</v>
      </c>
      <c r="AL70" s="119">
        <v>0.17699173718477501</v>
      </c>
      <c r="AM70" s="119">
        <v>0.173397963801318</v>
      </c>
      <c r="AN70" s="119">
        <v>0.17024216262958</v>
      </c>
      <c r="AO70" s="119">
        <v>0.17002042611854801</v>
      </c>
      <c r="AP70" s="119">
        <v>0.172132536612422</v>
      </c>
      <c r="AQ70" s="119">
        <v>0.18199731927066601</v>
      </c>
      <c r="AR70" s="119">
        <v>0.19335084347798301</v>
      </c>
      <c r="AS70" s="119">
        <v>0.20513043045083301</v>
      </c>
      <c r="AT70" s="119">
        <v>0.21471270559713199</v>
      </c>
      <c r="AU70" s="119">
        <v>0.224996090456973</v>
      </c>
      <c r="AV70" s="119">
        <v>0.23647847469830499</v>
      </c>
      <c r="AW70" s="119">
        <v>0.25699262679323098</v>
      </c>
      <c r="AX70" s="119">
        <v>0.261984973537632</v>
      </c>
      <c r="AY70" s="119">
        <v>0.26641904621601897</v>
      </c>
      <c r="AZ70" s="119">
        <v>0.27366709412961798</v>
      </c>
      <c r="BA70" s="119">
        <v>0.28068053170975998</v>
      </c>
      <c r="BB70" s="119">
        <v>0.28931896496472798</v>
      </c>
      <c r="BC70" s="119">
        <v>0.29714900446464598</v>
      </c>
      <c r="BD70" s="119">
        <v>0.30608016652105802</v>
      </c>
      <c r="BE70" s="119">
        <v>0.313800784589778</v>
      </c>
      <c r="BF70" s="119">
        <v>0.32322784980816499</v>
      </c>
      <c r="BG70" s="119">
        <v>0.33207154360316699</v>
      </c>
      <c r="BH70" s="119">
        <v>0.34187830391989399</v>
      </c>
      <c r="BI70" s="119">
        <v>0.35167332461530398</v>
      </c>
      <c r="BJ70" s="119">
        <v>0.35977555687111801</v>
      </c>
      <c r="BK70" s="119">
        <v>0.36972954817481501</v>
      </c>
      <c r="BL70" s="119">
        <v>0.37731563132809498</v>
      </c>
    </row>
    <row r="71" spans="1:64" x14ac:dyDescent="0.25">
      <c r="A71" s="860" t="s">
        <v>188</v>
      </c>
      <c r="B71" s="1">
        <v>300</v>
      </c>
      <c r="C71" s="119">
        <v>0.5</v>
      </c>
      <c r="D71" s="119">
        <v>0.175482767916284</v>
      </c>
      <c r="E71" s="119">
        <v>0.182242294073056</v>
      </c>
      <c r="F71" s="119">
        <v>0.18708049461319701</v>
      </c>
      <c r="G71" s="119">
        <v>0.19569818387086499</v>
      </c>
      <c r="H71" s="119">
        <v>0.201294467438625</v>
      </c>
      <c r="I71" s="119">
        <v>0.21022971442098701</v>
      </c>
      <c r="J71" s="119">
        <v>0.21445444585602699</v>
      </c>
      <c r="K71" s="119">
        <v>0.22289852979763999</v>
      </c>
      <c r="L71" s="119">
        <v>0.23084479374838601</v>
      </c>
      <c r="M71" s="119">
        <v>0.23708912271389801</v>
      </c>
      <c r="N71" s="119">
        <v>0.24567667076781599</v>
      </c>
      <c r="O71" s="119">
        <v>0.25059093371049901</v>
      </c>
      <c r="P71" s="119">
        <v>0.25689292198079899</v>
      </c>
      <c r="Q71" s="119">
        <v>0.26427745508760397</v>
      </c>
      <c r="R71" s="119">
        <v>0.267672685572511</v>
      </c>
      <c r="S71" s="119">
        <v>0.27259136852076998</v>
      </c>
      <c r="T71" s="119">
        <v>0.27541095374839097</v>
      </c>
      <c r="U71" s="119">
        <v>0.27848644426097302</v>
      </c>
      <c r="V71" s="119">
        <v>0.28181089244781499</v>
      </c>
      <c r="W71" s="119">
        <v>0.28627477562630099</v>
      </c>
      <c r="X71" s="119">
        <v>0.28623294867826499</v>
      </c>
      <c r="Y71" s="119">
        <v>0.29025053923564997</v>
      </c>
      <c r="Z71" s="119">
        <v>0.29869896162125398</v>
      </c>
      <c r="AA71" s="119">
        <v>0.30323315273859602</v>
      </c>
      <c r="AB71" s="119">
        <v>0.30695908795071403</v>
      </c>
      <c r="AC71" s="119">
        <v>0.31133768675269702</v>
      </c>
      <c r="AD71" s="119">
        <v>0.316482039537689</v>
      </c>
      <c r="AE71" s="119">
        <v>0.32144348183975102</v>
      </c>
      <c r="AF71" s="119">
        <v>0.327960568474509</v>
      </c>
      <c r="AG71" s="119">
        <v>0.33455226021387902</v>
      </c>
      <c r="AH71" s="119">
        <v>0.35121820309878199</v>
      </c>
      <c r="AI71" s="119">
        <v>0.36841065450085397</v>
      </c>
      <c r="AJ71" s="119">
        <v>0.37757271061699099</v>
      </c>
      <c r="AK71" s="119">
        <v>0.383505731548963</v>
      </c>
      <c r="AL71" s="119">
        <v>0.39094392632366398</v>
      </c>
      <c r="AM71" s="119">
        <v>0.39817164324477</v>
      </c>
      <c r="AN71" s="119">
        <v>0.40678130987637501</v>
      </c>
      <c r="AO71" s="119">
        <v>0.41443164215351402</v>
      </c>
      <c r="AP71" s="119">
        <v>0.42006914394108802</v>
      </c>
      <c r="AQ71" s="119">
        <v>0.42712936862916301</v>
      </c>
      <c r="AR71" s="119">
        <v>0.43471838025368897</v>
      </c>
      <c r="AS71" s="119">
        <v>0.44172237317082103</v>
      </c>
      <c r="AT71" s="119">
        <v>0.44571651152851099</v>
      </c>
      <c r="AU71" s="119">
        <v>0.45061866404222001</v>
      </c>
      <c r="AV71" s="119">
        <v>0.45820388756785602</v>
      </c>
      <c r="AW71" s="119">
        <v>0.46336916387094401</v>
      </c>
      <c r="AX71" s="119">
        <v>0.46940794446579298</v>
      </c>
      <c r="AY71" s="119">
        <v>0.475927039244745</v>
      </c>
      <c r="AZ71" s="119">
        <v>0.48227313948207101</v>
      </c>
      <c r="BA71" s="119">
        <v>0.48491826610859901</v>
      </c>
      <c r="BB71" s="119">
        <v>0.49089001419434403</v>
      </c>
      <c r="BC71" s="119">
        <v>0.49516362840181299</v>
      </c>
      <c r="BD71" s="119">
        <v>0.50089551731164905</v>
      </c>
      <c r="BE71" s="119">
        <v>0.50752801216977705</v>
      </c>
      <c r="BF71" s="119">
        <v>0.51290569184902801</v>
      </c>
      <c r="BG71" s="119">
        <v>0.52078728698822296</v>
      </c>
      <c r="BH71" s="119">
        <v>0.52461609305256296</v>
      </c>
      <c r="BI71" s="119">
        <v>0.53101505939176696</v>
      </c>
      <c r="BJ71" s="119">
        <v>0.536374161080448</v>
      </c>
      <c r="BK71" s="119">
        <v>0.54235718500535701</v>
      </c>
      <c r="BL71" s="119">
        <v>0.54643509977115101</v>
      </c>
    </row>
    <row r="72" spans="1:64" x14ac:dyDescent="0.25">
      <c r="A72" s="860" t="s">
        <v>190</v>
      </c>
      <c r="B72" s="1">
        <v>308</v>
      </c>
      <c r="C72" s="119">
        <v>0.5</v>
      </c>
      <c r="D72" s="119">
        <v>0.20468231772732601</v>
      </c>
      <c r="E72" s="119">
        <v>0.21188185300503201</v>
      </c>
      <c r="F72" s="119">
        <v>0.21976274891563999</v>
      </c>
      <c r="G72" s="119">
        <v>0.22851913605018301</v>
      </c>
      <c r="H72" s="119">
        <v>0.237077454250811</v>
      </c>
      <c r="I72" s="119">
        <v>0.24389067608811399</v>
      </c>
      <c r="J72" s="119">
        <v>0.25298803374741902</v>
      </c>
      <c r="K72" s="119">
        <v>0.26204634124777398</v>
      </c>
      <c r="L72" s="119">
        <v>0.270768473126142</v>
      </c>
      <c r="M72" s="119">
        <v>0.27950332112401899</v>
      </c>
      <c r="N72" s="119">
        <v>0.28667276380561602</v>
      </c>
      <c r="O72" s="119">
        <v>0.29805721676255897</v>
      </c>
      <c r="P72" s="119">
        <v>0.30706951106445401</v>
      </c>
      <c r="Q72" s="119">
        <v>0.318854816614492</v>
      </c>
      <c r="R72" s="119">
        <v>0.32921399537590501</v>
      </c>
      <c r="S72" s="119">
        <v>0.34417061869938498</v>
      </c>
      <c r="T72" s="119">
        <v>0.36306007817073599</v>
      </c>
      <c r="U72" s="119">
        <v>0.38465360173176799</v>
      </c>
      <c r="V72" s="119">
        <v>0.40888883297666001</v>
      </c>
      <c r="W72" s="119">
        <v>0.43182821054075099</v>
      </c>
      <c r="X72" s="119">
        <v>0.451610753937635</v>
      </c>
      <c r="Y72" s="119">
        <v>0.46460386036747697</v>
      </c>
      <c r="Z72" s="119">
        <v>0.47483048910986903</v>
      </c>
      <c r="AA72" s="119">
        <v>0.48389037632355703</v>
      </c>
      <c r="AB72" s="119">
        <v>0.49065016950356699</v>
      </c>
      <c r="AC72" s="119">
        <v>0.49729472820510301</v>
      </c>
      <c r="AD72" s="119">
        <v>0.50316463272507495</v>
      </c>
      <c r="AE72" s="119">
        <v>0.50969789909308505</v>
      </c>
      <c r="AF72" s="119">
        <v>0.51721989355716402</v>
      </c>
      <c r="AG72" s="119">
        <v>0.52452353555460696</v>
      </c>
      <c r="AH72" s="119">
        <v>0.52859885547415197</v>
      </c>
      <c r="AI72" s="119">
        <v>0.53623676620314398</v>
      </c>
      <c r="AJ72" s="119">
        <v>0.53865030566768302</v>
      </c>
      <c r="AK72" s="119">
        <v>0.54330375472905101</v>
      </c>
      <c r="AL72" s="119">
        <v>0.54859129287919195</v>
      </c>
      <c r="AM72" s="119">
        <v>0.55454718866219699</v>
      </c>
      <c r="AN72" s="119">
        <v>0.55857787579367701</v>
      </c>
      <c r="AO72" s="119">
        <v>0.56272981385437604</v>
      </c>
      <c r="AP72" s="119">
        <v>0.56748666480080601</v>
      </c>
      <c r="AQ72" s="119">
        <v>0.57321646657867298</v>
      </c>
      <c r="AR72" s="119">
        <v>0.57715262920523802</v>
      </c>
      <c r="AS72" s="119">
        <v>0.58320190628439295</v>
      </c>
      <c r="AT72" s="119">
        <v>0.584911660295095</v>
      </c>
      <c r="AU72" s="119">
        <v>0.59070698181860604</v>
      </c>
      <c r="AV72" s="119">
        <v>0.595646130292798</v>
      </c>
      <c r="AW72" s="119">
        <v>0.59925092695597804</v>
      </c>
      <c r="AX72" s="119">
        <v>0.60425122586566504</v>
      </c>
      <c r="AY72" s="119">
        <v>0.60524559416021595</v>
      </c>
      <c r="AZ72" s="119">
        <v>0.60943531042503296</v>
      </c>
      <c r="BA72" s="119">
        <v>0.61155822860307896</v>
      </c>
      <c r="BB72" s="119">
        <v>0.61250986596687595</v>
      </c>
      <c r="BC72" s="119">
        <v>0.61601510051378505</v>
      </c>
      <c r="BD72" s="119">
        <v>0.61946417032369505</v>
      </c>
      <c r="BE72" s="119">
        <v>0.62100133832243198</v>
      </c>
      <c r="BF72" s="119">
        <v>0.62337730230129995</v>
      </c>
      <c r="BG72" s="119">
        <v>0.629631705980776</v>
      </c>
      <c r="BH72" s="119">
        <v>0.63352181517524497</v>
      </c>
      <c r="BI72" s="119">
        <v>0.63688442161427605</v>
      </c>
      <c r="BJ72" s="119">
        <v>0.64026761823297196</v>
      </c>
      <c r="BK72" s="119">
        <v>0.64144599876168695</v>
      </c>
      <c r="BL72" s="119">
        <v>0.64260898397712796</v>
      </c>
    </row>
    <row r="73" spans="1:64" x14ac:dyDescent="0.25">
      <c r="A73" s="860" t="s">
        <v>191</v>
      </c>
      <c r="B73" s="1">
        <v>312</v>
      </c>
      <c r="C73" s="119">
        <v>0.5</v>
      </c>
      <c r="D73" s="119">
        <v>0.17964379549821899</v>
      </c>
      <c r="E73" s="119">
        <v>0.18639132818882401</v>
      </c>
      <c r="F73" s="119">
        <v>0.191892264831096</v>
      </c>
      <c r="G73" s="119">
        <v>0.19917252064444699</v>
      </c>
      <c r="H73" s="119">
        <v>0.20754390027487299</v>
      </c>
      <c r="I73" s="119">
        <v>0.21611364281964399</v>
      </c>
      <c r="J73" s="119">
        <v>0.22388015159035701</v>
      </c>
      <c r="K73" s="119">
        <v>0.23185945023613599</v>
      </c>
      <c r="L73" s="119">
        <v>0.24057991493953801</v>
      </c>
      <c r="M73" s="119">
        <v>0.249426672202017</v>
      </c>
      <c r="N73" s="119">
        <v>0.25752373023484199</v>
      </c>
      <c r="O73" s="119">
        <v>0.26591905675115102</v>
      </c>
      <c r="P73" s="119">
        <v>0.27586532681703302</v>
      </c>
      <c r="Q73" s="119">
        <v>0.28517182274695102</v>
      </c>
      <c r="R73" s="119">
        <v>0.29255716046743402</v>
      </c>
      <c r="S73" s="119">
        <v>0.30245550801872401</v>
      </c>
      <c r="T73" s="119">
        <v>0.31335360263165901</v>
      </c>
      <c r="U73" s="119">
        <v>0.32310441049614902</v>
      </c>
      <c r="V73" s="119">
        <v>0.33258033196666498</v>
      </c>
      <c r="W73" s="119">
        <v>0.34140987755286101</v>
      </c>
      <c r="X73" s="119">
        <v>0.35073623374462598</v>
      </c>
      <c r="Y73" s="119">
        <v>0.35860065675729103</v>
      </c>
      <c r="Z73" s="119">
        <v>0.36792143886560302</v>
      </c>
      <c r="AA73" s="119">
        <v>0.37611786364076699</v>
      </c>
      <c r="AB73" s="119">
        <v>0.38195136197912499</v>
      </c>
      <c r="AC73" s="119">
        <v>0.390090406299895</v>
      </c>
      <c r="AD73" s="119">
        <v>0.39704677043540398</v>
      </c>
      <c r="AE73" s="119">
        <v>0.40300743147180401</v>
      </c>
      <c r="AF73" s="119">
        <v>0.41185534888187803</v>
      </c>
      <c r="AG73" s="119">
        <v>0.41725062277896802</v>
      </c>
      <c r="AH73" s="119">
        <v>0.424205490231716</v>
      </c>
      <c r="AI73" s="119">
        <v>0.43299681581813398</v>
      </c>
      <c r="AJ73" s="119">
        <v>0.44073110853111902</v>
      </c>
      <c r="AK73" s="119">
        <v>0.44625411085037803</v>
      </c>
      <c r="AL73" s="119">
        <v>0.45058747237872998</v>
      </c>
      <c r="AM73" s="119">
        <v>0.45850558527504798</v>
      </c>
      <c r="AN73" s="119">
        <v>0.46364027818876602</v>
      </c>
      <c r="AO73" s="119">
        <v>0.46824567892479502</v>
      </c>
      <c r="AP73" s="119">
        <v>0.47440117589146802</v>
      </c>
      <c r="AQ73" s="119">
        <v>0.47903013484267498</v>
      </c>
      <c r="AR73" s="119">
        <v>0.48368859104955902</v>
      </c>
      <c r="AS73" s="119">
        <v>0.490103986345789</v>
      </c>
      <c r="AT73" s="119">
        <v>0.496282384412227</v>
      </c>
      <c r="AU73" s="119">
        <v>0.49860646737367598</v>
      </c>
      <c r="AV73" s="119">
        <v>0.50412074639348703</v>
      </c>
      <c r="AW73" s="119">
        <v>0.50867595477512495</v>
      </c>
      <c r="AX73" s="119">
        <v>0.51243782673831395</v>
      </c>
      <c r="AY73" s="119">
        <v>0.51739190609821695</v>
      </c>
      <c r="AZ73" s="119">
        <v>0.52126427882947401</v>
      </c>
      <c r="BA73" s="119">
        <v>0.52609147665357503</v>
      </c>
      <c r="BB73" s="119">
        <v>0.53030555983168803</v>
      </c>
      <c r="BC73" s="119">
        <v>0.53312085729038705</v>
      </c>
      <c r="BD73" s="119">
        <v>0.53678511066183299</v>
      </c>
      <c r="BE73" s="119">
        <v>0.54008726364308102</v>
      </c>
      <c r="BF73" s="119">
        <v>0.54605320921992695</v>
      </c>
      <c r="BG73" s="119">
        <v>0.54971993016714704</v>
      </c>
      <c r="BH73" s="119">
        <v>0.55349782560896998</v>
      </c>
      <c r="BI73" s="119">
        <v>0.55988093520271598</v>
      </c>
      <c r="BJ73" s="119">
        <v>0.564409817128668</v>
      </c>
      <c r="BK73" s="119">
        <v>0.56859799746574702</v>
      </c>
      <c r="BL73" s="119">
        <v>0.57047229573090497</v>
      </c>
    </row>
    <row r="74" spans="1:64" x14ac:dyDescent="0.25">
      <c r="A74" s="860" t="s">
        <v>192</v>
      </c>
      <c r="B74" s="1">
        <v>316</v>
      </c>
      <c r="C74" s="119">
        <v>0.5</v>
      </c>
      <c r="D74" s="119">
        <v>0.36557923356526401</v>
      </c>
      <c r="E74" s="119">
        <v>0.37102269101650898</v>
      </c>
      <c r="F74" s="119">
        <v>0.37680205979428499</v>
      </c>
      <c r="G74" s="119">
        <v>0.379919101141379</v>
      </c>
      <c r="H74" s="119">
        <v>0.38307789875541398</v>
      </c>
      <c r="I74" s="119">
        <v>0.38426668619461901</v>
      </c>
      <c r="J74" s="119">
        <v>0.385527503015893</v>
      </c>
      <c r="K74" s="119">
        <v>0.38791746391814202</v>
      </c>
      <c r="L74" s="119">
        <v>0.39425521087825999</v>
      </c>
      <c r="M74" s="119">
        <v>0.39588699584827203</v>
      </c>
      <c r="N74" s="119">
        <v>0.39746418007598999</v>
      </c>
      <c r="O74" s="119">
        <v>0.40162841037063401</v>
      </c>
      <c r="P74" s="119">
        <v>0.40331144277856601</v>
      </c>
      <c r="Q74" s="119">
        <v>0.40750986133213202</v>
      </c>
      <c r="R74" s="119">
        <v>0.40904004117088</v>
      </c>
      <c r="S74" s="119">
        <v>0.413113665312832</v>
      </c>
      <c r="T74" s="119">
        <v>0.415454922672228</v>
      </c>
      <c r="U74" s="119">
        <v>0.41813063936984701</v>
      </c>
      <c r="V74" s="119">
        <v>0.42414789598812602</v>
      </c>
      <c r="W74" s="119">
        <v>0.42860908429523298</v>
      </c>
      <c r="X74" s="119">
        <v>0.43529548155602898</v>
      </c>
      <c r="Y74" s="119">
        <v>0.43928511219981398</v>
      </c>
      <c r="Z74" s="119">
        <v>0.44276095532464499</v>
      </c>
      <c r="AA74" s="119">
        <v>0.45187616791736301</v>
      </c>
      <c r="AB74" s="119">
        <v>0.45933706414499897</v>
      </c>
      <c r="AC74" s="119">
        <v>0.46637464813850898</v>
      </c>
      <c r="AD74" s="119">
        <v>0.47512506871217602</v>
      </c>
      <c r="AE74" s="119">
        <v>0.48503001436549997</v>
      </c>
      <c r="AF74" s="119">
        <v>0.49265668302888299</v>
      </c>
      <c r="AG74" s="119">
        <v>0.50120219213581396</v>
      </c>
      <c r="AH74" s="119">
        <v>0.50919920696729104</v>
      </c>
      <c r="AI74" s="119">
        <v>0.51870847873706705</v>
      </c>
      <c r="AJ74" s="119">
        <v>0.52521420171605904</v>
      </c>
      <c r="AK74" s="119">
        <v>0.52575585296888505</v>
      </c>
      <c r="AL74" s="119">
        <v>0.52606009518119201</v>
      </c>
      <c r="AM74" s="119">
        <v>0.52723849423597102</v>
      </c>
      <c r="AN74" s="119">
        <v>0.52719075965182305</v>
      </c>
      <c r="AO74" s="119">
        <v>0.52818113194695904</v>
      </c>
      <c r="AP74" s="119">
        <v>0.52933675167667504</v>
      </c>
      <c r="AQ74" s="119">
        <v>0.53142467103201696</v>
      </c>
      <c r="AR74" s="119">
        <v>0.53323506347608696</v>
      </c>
      <c r="AS74" s="119">
        <v>0.53355111661866195</v>
      </c>
      <c r="AT74" s="119">
        <v>0.53831990315060896</v>
      </c>
      <c r="AU74" s="119">
        <v>0.538967462245319</v>
      </c>
      <c r="AV74" s="119">
        <v>0.54107953705700895</v>
      </c>
      <c r="AW74" s="119">
        <v>0.54282674943160203</v>
      </c>
      <c r="AX74" s="119">
        <v>0.54387271251248304</v>
      </c>
      <c r="AY74" s="119">
        <v>0.54596522158460004</v>
      </c>
      <c r="AZ74" s="119">
        <v>0.54868617337497205</v>
      </c>
      <c r="BA74" s="119">
        <v>0.54759231509047801</v>
      </c>
      <c r="BB74" s="119">
        <v>0.55067581573285795</v>
      </c>
      <c r="BC74" s="119">
        <v>0.549837759941183</v>
      </c>
      <c r="BD74" s="119">
        <v>0.55172746121044203</v>
      </c>
      <c r="BE74" s="119">
        <v>0.55466661032279796</v>
      </c>
      <c r="BF74" s="119">
        <v>0.55437467631457904</v>
      </c>
      <c r="BG74" s="119">
        <v>0.55460821819532302</v>
      </c>
      <c r="BH74" s="119">
        <v>0.55700516520941601</v>
      </c>
      <c r="BI74" s="119">
        <v>0.558014881236926</v>
      </c>
      <c r="BJ74" s="119">
        <v>0.55960745115610999</v>
      </c>
      <c r="BK74" s="119">
        <v>0.55986304725054703</v>
      </c>
      <c r="BL74" s="119">
        <v>0.56518276339033502</v>
      </c>
    </row>
    <row r="75" spans="1:64" x14ac:dyDescent="0.25">
      <c r="A75" s="860" t="s">
        <v>193</v>
      </c>
      <c r="B75" s="1">
        <v>320</v>
      </c>
      <c r="C75" s="119">
        <v>0.5</v>
      </c>
      <c r="D75" s="119">
        <v>9.1155970353398105E-2</v>
      </c>
      <c r="E75" s="119">
        <v>9.7746350450751598E-2</v>
      </c>
      <c r="F75" s="119">
        <v>0.105391475763666</v>
      </c>
      <c r="G75" s="119">
        <v>0.112173577798046</v>
      </c>
      <c r="H75" s="119">
        <v>0.119905659460283</v>
      </c>
      <c r="I75" s="119">
        <v>0.12761910604513599</v>
      </c>
      <c r="J75" s="119">
        <v>0.135088188445111</v>
      </c>
      <c r="K75" s="119">
        <v>0.143273780534978</v>
      </c>
      <c r="L75" s="119">
        <v>0.15038558718794401</v>
      </c>
      <c r="M75" s="119">
        <v>0.15719792729427201</v>
      </c>
      <c r="N75" s="119">
        <v>0.16424228132740001</v>
      </c>
      <c r="O75" s="119">
        <v>0.17144742726755</v>
      </c>
      <c r="P75" s="119">
        <v>0.17907868763450599</v>
      </c>
      <c r="Q75" s="119">
        <v>0.18537179756650901</v>
      </c>
      <c r="R75" s="119">
        <v>0.18881415968045701</v>
      </c>
      <c r="S75" s="119">
        <v>0.19235470488001299</v>
      </c>
      <c r="T75" s="119">
        <v>0.19602495481943499</v>
      </c>
      <c r="U75" s="119">
        <v>0.20135984674781199</v>
      </c>
      <c r="V75" s="119">
        <v>0.208329465379053</v>
      </c>
      <c r="W75" s="119">
        <v>0.21701125722283501</v>
      </c>
      <c r="X75" s="119">
        <v>0.22648913523616601</v>
      </c>
      <c r="Y75" s="119">
        <v>0.23575925439255699</v>
      </c>
      <c r="Z75" s="119">
        <v>0.244090811331478</v>
      </c>
      <c r="AA75" s="119">
        <v>0.252635269012152</v>
      </c>
      <c r="AB75" s="119">
        <v>0.26157105190520702</v>
      </c>
      <c r="AC75" s="119">
        <v>0.26982044495357199</v>
      </c>
      <c r="AD75" s="119">
        <v>0.27963391725070902</v>
      </c>
      <c r="AE75" s="119">
        <v>0.29103666448007198</v>
      </c>
      <c r="AF75" s="119">
        <v>0.30247164800649901</v>
      </c>
      <c r="AG75" s="119">
        <v>0.31373258854638802</v>
      </c>
      <c r="AH75" s="119">
        <v>0.32449217650574302</v>
      </c>
      <c r="AI75" s="119">
        <v>0.33637212764732</v>
      </c>
      <c r="AJ75" s="119">
        <v>0.34862135058141303</v>
      </c>
      <c r="AK75" s="119">
        <v>0.36062105319869903</v>
      </c>
      <c r="AL75" s="119">
        <v>0.373104101178174</v>
      </c>
      <c r="AM75" s="119">
        <v>0.386300102613716</v>
      </c>
      <c r="AN75" s="119">
        <v>0.39918527914172602</v>
      </c>
      <c r="AO75" s="119">
        <v>0.41075530889616402</v>
      </c>
      <c r="AP75" s="119">
        <v>0.42323512616410602</v>
      </c>
      <c r="AQ75" s="119">
        <v>0.43579824370995701</v>
      </c>
      <c r="AR75" s="119">
        <v>0.44601387011329902</v>
      </c>
      <c r="AS75" s="119">
        <v>0.45578275200153701</v>
      </c>
      <c r="AT75" s="119">
        <v>0.46504181459697302</v>
      </c>
      <c r="AU75" s="119">
        <v>0.47647181798367499</v>
      </c>
      <c r="AV75" s="119">
        <v>0.48552623499392</v>
      </c>
      <c r="AW75" s="119">
        <v>0.49275475746559899</v>
      </c>
      <c r="AX75" s="119">
        <v>0.50081366398462801</v>
      </c>
      <c r="AY75" s="119">
        <v>0.50653895251596004</v>
      </c>
      <c r="AZ75" s="119">
        <v>0.51339286186670396</v>
      </c>
      <c r="BA75" s="119">
        <v>0.51909829339526403</v>
      </c>
      <c r="BB75" s="119">
        <v>0.52555045201857298</v>
      </c>
      <c r="BC75" s="119">
        <v>0.52873879480025399</v>
      </c>
      <c r="BD75" s="119">
        <v>0.53436595802027997</v>
      </c>
      <c r="BE75" s="119">
        <v>0.53902604966582102</v>
      </c>
      <c r="BF75" s="119">
        <v>0.54232267980156701</v>
      </c>
      <c r="BG75" s="119">
        <v>0.54774497314729398</v>
      </c>
      <c r="BH75" s="119">
        <v>0.55418405364708501</v>
      </c>
      <c r="BI75" s="119">
        <v>0.55717779404508805</v>
      </c>
      <c r="BJ75" s="119">
        <v>0.56265453643875196</v>
      </c>
      <c r="BK75" s="119">
        <v>0.56589225778793295</v>
      </c>
      <c r="BL75" s="119">
        <v>0.570916921572035</v>
      </c>
    </row>
    <row r="76" spans="1:64" x14ac:dyDescent="0.25">
      <c r="A76" s="860" t="s">
        <v>32</v>
      </c>
      <c r="B76" s="1">
        <v>324</v>
      </c>
      <c r="C76" s="119">
        <v>0.5</v>
      </c>
      <c r="D76" s="119">
        <v>7.0997952648237702E-4</v>
      </c>
      <c r="E76" s="119">
        <v>8.2747676280503198E-4</v>
      </c>
      <c r="F76" s="119">
        <v>9.3231013647617704E-4</v>
      </c>
      <c r="G76" s="119">
        <v>1.0685415773140001E-3</v>
      </c>
      <c r="H76" s="119">
        <v>1.2256512842533001E-3</v>
      </c>
      <c r="I76" s="119">
        <v>1.40737983616565E-3</v>
      </c>
      <c r="J76" s="119">
        <v>1.6242766723710601E-3</v>
      </c>
      <c r="K76" s="119">
        <v>1.8529574646053201E-3</v>
      </c>
      <c r="L76" s="119">
        <v>2.0939525791974301E-3</v>
      </c>
      <c r="M76" s="119">
        <v>2.3362941208655498E-3</v>
      </c>
      <c r="N76" s="119">
        <v>2.6878224074542499E-3</v>
      </c>
      <c r="O76" s="119">
        <v>2.9747984603983599E-3</v>
      </c>
      <c r="P76" s="119">
        <v>3.3710865117797398E-3</v>
      </c>
      <c r="Q76" s="119">
        <v>3.8460396727118601E-3</v>
      </c>
      <c r="R76" s="119">
        <v>4.2917139071945599E-3</v>
      </c>
      <c r="S76" s="119">
        <v>4.9137121232901504E-3</v>
      </c>
      <c r="T76" s="119">
        <v>5.4591100313062801E-3</v>
      </c>
      <c r="U76" s="119">
        <v>6.15704411425583E-3</v>
      </c>
      <c r="V76" s="119">
        <v>6.8775489806741997E-3</v>
      </c>
      <c r="W76" s="119">
        <v>7.6707250434590903E-3</v>
      </c>
      <c r="X76" s="119">
        <v>8.5779289954516294E-3</v>
      </c>
      <c r="Y76" s="119">
        <v>9.5081871764819102E-3</v>
      </c>
      <c r="Z76" s="119">
        <v>1.07450609247636E-2</v>
      </c>
      <c r="AA76" s="119">
        <v>1.27819737393974E-2</v>
      </c>
      <c r="AB76" s="119">
        <v>1.55919873224745E-2</v>
      </c>
      <c r="AC76" s="119">
        <v>1.9137745696989301E-2</v>
      </c>
      <c r="AD76" s="119">
        <v>2.3279735931906801E-2</v>
      </c>
      <c r="AE76" s="119">
        <v>2.8222445278920701E-2</v>
      </c>
      <c r="AF76" s="119">
        <v>3.3665771325145803E-2</v>
      </c>
      <c r="AG76" s="119">
        <v>3.9475183567632702E-2</v>
      </c>
      <c r="AH76" s="119">
        <v>4.3138652495466501E-2</v>
      </c>
      <c r="AI76" s="119">
        <v>4.6237299134186803E-2</v>
      </c>
      <c r="AJ76" s="119">
        <v>4.8951634578652897E-2</v>
      </c>
      <c r="AK76" s="119">
        <v>5.1304389514284898E-2</v>
      </c>
      <c r="AL76" s="119">
        <v>5.3206440972505799E-2</v>
      </c>
      <c r="AM76" s="119">
        <v>5.4237288931063402E-2</v>
      </c>
      <c r="AN76" s="119">
        <v>5.45141333039902E-2</v>
      </c>
      <c r="AO76" s="119">
        <v>5.38466884109359E-2</v>
      </c>
      <c r="AP76" s="119">
        <v>5.2746608858312803E-2</v>
      </c>
      <c r="AQ76" s="119">
        <v>5.2167645339394997E-2</v>
      </c>
      <c r="AR76" s="119">
        <v>5.1211675531954097E-2</v>
      </c>
      <c r="AS76" s="119">
        <v>5.1201752224084997E-2</v>
      </c>
      <c r="AT76" s="119">
        <v>5.2315244807719402E-2</v>
      </c>
      <c r="AU76" s="119">
        <v>5.66327442815764E-2</v>
      </c>
      <c r="AV76" s="119">
        <v>6.2970914714167894E-2</v>
      </c>
      <c r="AW76" s="119">
        <v>7.0762946312511898E-2</v>
      </c>
      <c r="AX76" s="119">
        <v>7.9231090562356304E-2</v>
      </c>
      <c r="AY76" s="119">
        <v>8.8317958768889704E-2</v>
      </c>
      <c r="AZ76" s="119">
        <v>9.7468213749103902E-2</v>
      </c>
      <c r="BA76" s="119">
        <v>0.105150616813426</v>
      </c>
      <c r="BB76" s="119">
        <v>0.111930806331497</v>
      </c>
      <c r="BC76" s="119">
        <v>0.11849665151209</v>
      </c>
      <c r="BD76" s="119">
        <v>0.124923084804528</v>
      </c>
      <c r="BE76" s="119">
        <v>0.13208168340993701</v>
      </c>
      <c r="BF76" s="119">
        <v>0.13850440234102801</v>
      </c>
      <c r="BG76" s="119">
        <v>0.14475312750330199</v>
      </c>
      <c r="BH76" s="119">
        <v>0.15140477285612</v>
      </c>
      <c r="BI76" s="119">
        <v>0.15927508737448201</v>
      </c>
      <c r="BJ76" s="119">
        <v>0.16592514721958099</v>
      </c>
      <c r="BK76" s="119">
        <v>0.172868963080578</v>
      </c>
      <c r="BL76" s="119">
        <v>0.18110255363762801</v>
      </c>
    </row>
    <row r="77" spans="1:64" x14ac:dyDescent="0.25">
      <c r="A77" s="860" t="s">
        <v>33</v>
      </c>
      <c r="B77" s="1">
        <v>624</v>
      </c>
      <c r="C77" s="119">
        <v>0.5</v>
      </c>
      <c r="D77" s="119">
        <v>1.60286706798869E-3</v>
      </c>
      <c r="E77" s="119">
        <v>1.84875324025457E-3</v>
      </c>
      <c r="F77" s="119">
        <v>2.1457775176975799E-3</v>
      </c>
      <c r="G77" s="119">
        <v>2.5343680514495399E-3</v>
      </c>
      <c r="H77" s="119">
        <v>2.8962525882734601E-3</v>
      </c>
      <c r="I77" s="119">
        <v>3.3472215684892301E-3</v>
      </c>
      <c r="J77" s="119">
        <v>3.82516892044586E-3</v>
      </c>
      <c r="K77" s="119">
        <v>4.4022142493076203E-3</v>
      </c>
      <c r="L77" s="119">
        <v>5.1001706143453196E-3</v>
      </c>
      <c r="M77" s="119">
        <v>5.8363771369681896E-3</v>
      </c>
      <c r="N77" s="119">
        <v>6.5855609909160201E-3</v>
      </c>
      <c r="O77" s="119">
        <v>7.5068313655500297E-3</v>
      </c>
      <c r="P77" s="119">
        <v>8.6315585312137597E-3</v>
      </c>
      <c r="Q77" s="119">
        <v>9.7754803848445794E-3</v>
      </c>
      <c r="R77" s="119">
        <v>1.1112798880833E-2</v>
      </c>
      <c r="S77" s="119">
        <v>1.26614467462357E-2</v>
      </c>
      <c r="T77" s="119">
        <v>1.43367838116605E-2</v>
      </c>
      <c r="U77" s="119">
        <v>1.63476489673107E-2</v>
      </c>
      <c r="V77" s="119">
        <v>1.8331337873513199E-2</v>
      </c>
      <c r="W77" s="119">
        <v>2.03060941988666E-2</v>
      </c>
      <c r="X77" s="119">
        <v>2.23857039629781E-2</v>
      </c>
      <c r="Y77" s="119">
        <v>2.47661028288737E-2</v>
      </c>
      <c r="Z77" s="119">
        <v>2.7247487199571499E-2</v>
      </c>
      <c r="AA77" s="119">
        <v>2.9915364029091701E-2</v>
      </c>
      <c r="AB77" s="119">
        <v>3.24630738145648E-2</v>
      </c>
      <c r="AC77" s="119">
        <v>3.5932360805695299E-2</v>
      </c>
      <c r="AD77" s="119">
        <v>3.8819565568592902E-2</v>
      </c>
      <c r="AE77" s="119">
        <v>4.1895927522474001E-2</v>
      </c>
      <c r="AF77" s="119">
        <v>4.5315453839593803E-2</v>
      </c>
      <c r="AG77" s="119">
        <v>4.8719604845727599E-2</v>
      </c>
      <c r="AH77" s="119">
        <v>5.3180664937355702E-2</v>
      </c>
      <c r="AI77" s="119">
        <v>5.8400061219288701E-2</v>
      </c>
      <c r="AJ77" s="119">
        <v>6.3590729907866503E-2</v>
      </c>
      <c r="AK77" s="119">
        <v>6.9648042593124806E-2</v>
      </c>
      <c r="AL77" s="119">
        <v>7.6553222461739803E-2</v>
      </c>
      <c r="AM77" s="119">
        <v>8.3210929154680993E-2</v>
      </c>
      <c r="AN77" s="119">
        <v>9.0267666992832396E-2</v>
      </c>
      <c r="AO77" s="119">
        <v>9.7154626864423096E-2</v>
      </c>
      <c r="AP77" s="119">
        <v>0.10386338380186499</v>
      </c>
      <c r="AQ77" s="119">
        <v>0.11128432910842199</v>
      </c>
      <c r="AR77" s="119">
        <v>0.118891982663701</v>
      </c>
      <c r="AS77" s="119">
        <v>0.12723322705215601</v>
      </c>
      <c r="AT77" s="119">
        <v>0.135579171918599</v>
      </c>
      <c r="AU77" s="119">
        <v>0.143708757231093</v>
      </c>
      <c r="AV77" s="119">
        <v>0.15161884933883399</v>
      </c>
      <c r="AW77" s="119">
        <v>0.16079552693615401</v>
      </c>
      <c r="AX77" s="119">
        <v>0.16966573277757499</v>
      </c>
      <c r="AY77" s="119">
        <v>0.17762632444370999</v>
      </c>
      <c r="AZ77" s="119">
        <v>0.186486046871539</v>
      </c>
      <c r="BA77" s="119">
        <v>0.195043731536717</v>
      </c>
      <c r="BB77" s="119">
        <v>0.20217110297970101</v>
      </c>
      <c r="BC77" s="119">
        <v>0.209852288366632</v>
      </c>
      <c r="BD77" s="119">
        <v>0.217493430774998</v>
      </c>
      <c r="BE77" s="119">
        <v>0.22566251880973801</v>
      </c>
      <c r="BF77" s="119">
        <v>0.23455953261198101</v>
      </c>
      <c r="BG77" s="119">
        <v>0.242495298231028</v>
      </c>
      <c r="BH77" s="119">
        <v>0.25277502753902398</v>
      </c>
      <c r="BI77" s="119">
        <v>0.26047829302445202</v>
      </c>
      <c r="BJ77" s="119">
        <v>0.26939214128875999</v>
      </c>
      <c r="BK77" s="119">
        <v>0.278703272585404</v>
      </c>
      <c r="BL77" s="119">
        <v>0.28518017008936403</v>
      </c>
    </row>
    <row r="78" spans="1:64" x14ac:dyDescent="0.25">
      <c r="A78" s="860" t="s">
        <v>194</v>
      </c>
      <c r="B78" s="1">
        <v>328</v>
      </c>
      <c r="C78" s="119">
        <v>0.5</v>
      </c>
      <c r="D78" s="119">
        <v>0.179446526130529</v>
      </c>
      <c r="E78" s="119">
        <v>0.18852732351004101</v>
      </c>
      <c r="F78" s="119">
        <v>0.19747375277523199</v>
      </c>
      <c r="G78" s="119">
        <v>0.20801623679501199</v>
      </c>
      <c r="H78" s="119">
        <v>0.21627214431375399</v>
      </c>
      <c r="I78" s="119">
        <v>0.22581922839146901</v>
      </c>
      <c r="J78" s="119">
        <v>0.235907345274114</v>
      </c>
      <c r="K78" s="119">
        <v>0.24345028532231899</v>
      </c>
      <c r="L78" s="119">
        <v>0.25171729852125002</v>
      </c>
      <c r="M78" s="119">
        <v>0.25919668447833299</v>
      </c>
      <c r="N78" s="119">
        <v>0.26654416124531599</v>
      </c>
      <c r="O78" s="119">
        <v>0.27483201431823301</v>
      </c>
      <c r="P78" s="119">
        <v>0.28315817508434898</v>
      </c>
      <c r="Q78" s="119">
        <v>0.29229032751635498</v>
      </c>
      <c r="R78" s="119">
        <v>0.29980804197556798</v>
      </c>
      <c r="S78" s="119">
        <v>0.30777720025336802</v>
      </c>
      <c r="T78" s="119">
        <v>0.31387772927489899</v>
      </c>
      <c r="U78" s="119">
        <v>0.31906665454321298</v>
      </c>
      <c r="V78" s="119">
        <v>0.32652716987087599</v>
      </c>
      <c r="W78" s="119">
        <v>0.33295544565969498</v>
      </c>
      <c r="X78" s="119">
        <v>0.33849130180818698</v>
      </c>
      <c r="Y78" s="119">
        <v>0.34202910466250502</v>
      </c>
      <c r="Z78" s="119">
        <v>0.34341210089605201</v>
      </c>
      <c r="AA78" s="119">
        <v>0.34485320298134597</v>
      </c>
      <c r="AB78" s="119">
        <v>0.34659222584374599</v>
      </c>
      <c r="AC78" s="119">
        <v>0.34774678717380197</v>
      </c>
      <c r="AD78" s="119">
        <v>0.34825539489028501</v>
      </c>
      <c r="AE78" s="119">
        <v>0.34931696616596097</v>
      </c>
      <c r="AF78" s="119">
        <v>0.351386555398645</v>
      </c>
      <c r="AG78" s="119">
        <v>0.35132313894474598</v>
      </c>
      <c r="AH78" s="119">
        <v>0.34967639961584102</v>
      </c>
      <c r="AI78" s="119">
        <v>0.34955508658974399</v>
      </c>
      <c r="AJ78" s="119">
        <v>0.34796245797269099</v>
      </c>
      <c r="AK78" s="119">
        <v>0.34672693078222</v>
      </c>
      <c r="AL78" s="119">
        <v>0.34711129069781999</v>
      </c>
      <c r="AM78" s="119">
        <v>0.35039971082124599</v>
      </c>
      <c r="AN78" s="119">
        <v>0.35890078757742</v>
      </c>
      <c r="AO78" s="119">
        <v>0.37041414115215998</v>
      </c>
      <c r="AP78" s="119">
        <v>0.38202892206023997</v>
      </c>
      <c r="AQ78" s="119">
        <v>0.389465351832815</v>
      </c>
      <c r="AR78" s="119">
        <v>0.38848138783582098</v>
      </c>
      <c r="AS78" s="119">
        <v>0.38328320181465297</v>
      </c>
      <c r="AT78" s="119">
        <v>0.37745511801381898</v>
      </c>
      <c r="AU78" s="119">
        <v>0.368550415083163</v>
      </c>
      <c r="AV78" s="119">
        <v>0.36164264186092399</v>
      </c>
      <c r="AW78" s="119">
        <v>0.35689131161674298</v>
      </c>
      <c r="AX78" s="119">
        <v>0.35378172729155</v>
      </c>
      <c r="AY78" s="119">
        <v>0.35165439477131299</v>
      </c>
      <c r="AZ78" s="119">
        <v>0.35050741627078302</v>
      </c>
      <c r="BA78" s="119">
        <v>0.351464169027977</v>
      </c>
      <c r="BB78" s="119">
        <v>0.35599048471202699</v>
      </c>
      <c r="BC78" s="119">
        <v>0.36027599803677601</v>
      </c>
      <c r="BD78" s="119">
        <v>0.36730143009213101</v>
      </c>
      <c r="BE78" s="119">
        <v>0.37693651814956503</v>
      </c>
      <c r="BF78" s="119">
        <v>0.38629940887981501</v>
      </c>
      <c r="BG78" s="119">
        <v>0.39379567073883298</v>
      </c>
      <c r="BH78" s="119">
        <v>0.39988574838028901</v>
      </c>
      <c r="BI78" s="119">
        <v>0.40934705856158499</v>
      </c>
      <c r="BJ78" s="119">
        <v>0.41618941574075302</v>
      </c>
      <c r="BK78" s="119">
        <v>0.42534356111050797</v>
      </c>
      <c r="BL78" s="119">
        <v>0.43175617269835298</v>
      </c>
    </row>
    <row r="79" spans="1:64" x14ac:dyDescent="0.25">
      <c r="A79" s="860" t="s">
        <v>34</v>
      </c>
      <c r="B79" s="1">
        <v>332</v>
      </c>
      <c r="C79" s="119">
        <v>0.5</v>
      </c>
      <c r="D79" s="119">
        <v>3.3818100640540402E-2</v>
      </c>
      <c r="E79" s="119">
        <v>3.5366671069794998E-2</v>
      </c>
      <c r="F79" s="119">
        <v>3.67535373513952E-2</v>
      </c>
      <c r="G79" s="119">
        <v>3.8216506410003903E-2</v>
      </c>
      <c r="H79" s="119">
        <v>4.0207224168143499E-2</v>
      </c>
      <c r="I79" s="119">
        <v>4.1309332792576398E-2</v>
      </c>
      <c r="J79" s="119">
        <v>4.2179592714528098E-2</v>
      </c>
      <c r="K79" s="119">
        <v>4.3049883134462903E-2</v>
      </c>
      <c r="L79" s="119">
        <v>4.4142529180556098E-2</v>
      </c>
      <c r="M79" s="119">
        <v>4.4691112379025302E-2</v>
      </c>
      <c r="N79" s="119">
        <v>4.5149404666282499E-2</v>
      </c>
      <c r="O79" s="119">
        <v>4.5574603767579498E-2</v>
      </c>
      <c r="P79" s="119">
        <v>4.5810186912974303E-2</v>
      </c>
      <c r="Q79" s="119">
        <v>4.6288780735309301E-2</v>
      </c>
      <c r="R79" s="119">
        <v>4.8018671496252503E-2</v>
      </c>
      <c r="S79" s="119">
        <v>5.0390633696811703E-2</v>
      </c>
      <c r="T79" s="119">
        <v>5.3541372244142599E-2</v>
      </c>
      <c r="U79" s="119">
        <v>5.8453675418421003E-2</v>
      </c>
      <c r="V79" s="119">
        <v>6.7852771364276504E-2</v>
      </c>
      <c r="W79" s="119">
        <v>7.9417545371624806E-2</v>
      </c>
      <c r="X79" s="119">
        <v>8.9991185252411801E-2</v>
      </c>
      <c r="Y79" s="119">
        <v>9.9972182203899904E-2</v>
      </c>
      <c r="Z79" s="119">
        <v>0.110488562245581</v>
      </c>
      <c r="AA79" s="119">
        <v>0.121627112316833</v>
      </c>
      <c r="AB79" s="119">
        <v>0.13335561452641201</v>
      </c>
      <c r="AC79" s="119">
        <v>0.14782175663979799</v>
      </c>
      <c r="AD79" s="119">
        <v>0.16212427177255001</v>
      </c>
      <c r="AE79" s="119">
        <v>0.17706776677379901</v>
      </c>
      <c r="AF79" s="119">
        <v>0.192143712017907</v>
      </c>
      <c r="AG79" s="119">
        <v>0.208315663346168</v>
      </c>
      <c r="AH79" s="119">
        <v>0.22245107416896701</v>
      </c>
      <c r="AI79" s="119">
        <v>0.22979675863291801</v>
      </c>
      <c r="AJ79" s="119">
        <v>0.23582894265785001</v>
      </c>
      <c r="AK79" s="119">
        <v>0.24005478500573299</v>
      </c>
      <c r="AL79" s="119">
        <v>0.24414578902005199</v>
      </c>
      <c r="AM79" s="119">
        <v>0.24876169562764</v>
      </c>
      <c r="AN79" s="119">
        <v>0.253220676006645</v>
      </c>
      <c r="AO79" s="119">
        <v>0.262374606878229</v>
      </c>
      <c r="AP79" s="119">
        <v>0.27310463573837601</v>
      </c>
      <c r="AQ79" s="119">
        <v>0.28276894913503903</v>
      </c>
      <c r="AR79" s="119">
        <v>0.29205577352127998</v>
      </c>
      <c r="AS79" s="119">
        <v>0.30228699164134498</v>
      </c>
      <c r="AT79" s="119">
        <v>0.30941413197217699</v>
      </c>
      <c r="AU79" s="119">
        <v>0.312631439323732</v>
      </c>
      <c r="AV79" s="119">
        <v>0.31412353483051603</v>
      </c>
      <c r="AW79" s="119">
        <v>0.316032451316135</v>
      </c>
      <c r="AX79" s="119">
        <v>0.31720306934828701</v>
      </c>
      <c r="AY79" s="119">
        <v>0.32021395131826902</v>
      </c>
      <c r="AZ79" s="119">
        <v>0.32634300687857698</v>
      </c>
      <c r="BA79" s="119">
        <v>0.33210420474489</v>
      </c>
      <c r="BB79" s="119">
        <v>0.33854683445642902</v>
      </c>
      <c r="BC79" s="119">
        <v>0.345111845136373</v>
      </c>
      <c r="BD79" s="119">
        <v>0.35195480815299401</v>
      </c>
      <c r="BE79" s="119">
        <v>0.35991164757258898</v>
      </c>
      <c r="BF79" s="119">
        <v>0.36706425557483202</v>
      </c>
      <c r="BG79" s="119">
        <v>0.37468241476349001</v>
      </c>
      <c r="BH79" s="119">
        <v>0.38213188210472498</v>
      </c>
      <c r="BI79" s="119">
        <v>0.38987430034513698</v>
      </c>
      <c r="BJ79" s="119">
        <v>0.39658645584330998</v>
      </c>
      <c r="BK79" s="119">
        <v>0.40386871677394998</v>
      </c>
      <c r="BL79" s="119">
        <v>0.41313811876643802</v>
      </c>
    </row>
    <row r="80" spans="1:64" x14ac:dyDescent="0.25">
      <c r="A80" s="860" t="s">
        <v>35</v>
      </c>
      <c r="B80" s="1">
        <v>340</v>
      </c>
      <c r="C80" s="119">
        <v>0.5</v>
      </c>
      <c r="D80" s="119">
        <v>0.123674092186056</v>
      </c>
      <c r="E80" s="119">
        <v>0.13330963609587901</v>
      </c>
      <c r="F80" s="119">
        <v>0.14361068423446399</v>
      </c>
      <c r="G80" s="119">
        <v>0.15450704761259501</v>
      </c>
      <c r="H80" s="119">
        <v>0.16484023323297201</v>
      </c>
      <c r="I80" s="119">
        <v>0.17666993678703499</v>
      </c>
      <c r="J80" s="119">
        <v>0.18731600829725301</v>
      </c>
      <c r="K80" s="119">
        <v>0.20070795263208699</v>
      </c>
      <c r="L80" s="119">
        <v>0.21262925331938701</v>
      </c>
      <c r="M80" s="119">
        <v>0.22597382976171501</v>
      </c>
      <c r="N80" s="119">
        <v>0.240886048366729</v>
      </c>
      <c r="O80" s="119">
        <v>0.256120808312778</v>
      </c>
      <c r="P80" s="119">
        <v>0.27213198163636398</v>
      </c>
      <c r="Q80" s="119">
        <v>0.28960031976491601</v>
      </c>
      <c r="R80" s="119">
        <v>0.30513719865529898</v>
      </c>
      <c r="S80" s="119">
        <v>0.31798601070422799</v>
      </c>
      <c r="T80" s="119">
        <v>0.33055227798814801</v>
      </c>
      <c r="U80" s="119">
        <v>0.34217188113818298</v>
      </c>
      <c r="V80" s="119">
        <v>0.35349320209600099</v>
      </c>
      <c r="W80" s="119">
        <v>0.36410608599171901</v>
      </c>
      <c r="X80" s="119">
        <v>0.37435240777916501</v>
      </c>
      <c r="Y80" s="119">
        <v>0.38214500177600003</v>
      </c>
      <c r="Z80" s="119">
        <v>0.39528385889207301</v>
      </c>
      <c r="AA80" s="119">
        <v>0.40682196269131798</v>
      </c>
      <c r="AB80" s="119">
        <v>0.41665243235558302</v>
      </c>
      <c r="AC80" s="119">
        <v>0.42754896594179798</v>
      </c>
      <c r="AD80" s="119">
        <v>0.43997611104604301</v>
      </c>
      <c r="AE80" s="119">
        <v>0.45455095313281402</v>
      </c>
      <c r="AF80" s="119">
        <v>0.470651853803424</v>
      </c>
      <c r="AG80" s="119">
        <v>0.48371344526249799</v>
      </c>
      <c r="AH80" s="119">
        <v>0.497004610043005</v>
      </c>
      <c r="AI80" s="119">
        <v>0.50993394870900599</v>
      </c>
      <c r="AJ80" s="119">
        <v>0.52168934132253098</v>
      </c>
      <c r="AK80" s="119">
        <v>0.53105546810614501</v>
      </c>
      <c r="AL80" s="119">
        <v>0.54098879384723797</v>
      </c>
      <c r="AM80" s="119">
        <v>0.55161066993169505</v>
      </c>
      <c r="AN80" s="119">
        <v>0.56248306001572601</v>
      </c>
      <c r="AO80" s="119">
        <v>0.57541035249046801</v>
      </c>
      <c r="AP80" s="119">
        <v>0.58982976796659603</v>
      </c>
      <c r="AQ80" s="119">
        <v>0.60450128974244099</v>
      </c>
      <c r="AR80" s="119">
        <v>0.61945748648794396</v>
      </c>
      <c r="AS80" s="119">
        <v>0.63229417096249996</v>
      </c>
      <c r="AT80" s="119">
        <v>0.64253252244002002</v>
      </c>
      <c r="AU80" s="119">
        <v>0.648387983626877</v>
      </c>
      <c r="AV80" s="119">
        <v>0.65214837539486503</v>
      </c>
      <c r="AW80" s="119">
        <v>0.65433730872260798</v>
      </c>
      <c r="AX80" s="119">
        <v>0.65623455365107997</v>
      </c>
      <c r="AY80" s="119">
        <v>0.65788499066409001</v>
      </c>
      <c r="AZ80" s="119">
        <v>0.65858480719700796</v>
      </c>
      <c r="BA80" s="119">
        <v>0.66123849649295696</v>
      </c>
      <c r="BB80" s="119">
        <v>0.66156682507879205</v>
      </c>
      <c r="BC80" s="119">
        <v>0.66340690907425703</v>
      </c>
      <c r="BD80" s="119">
        <v>0.66384833180515002</v>
      </c>
      <c r="BE80" s="119">
        <v>0.66521050620870803</v>
      </c>
      <c r="BF80" s="119">
        <v>0.66767671822441299</v>
      </c>
      <c r="BG80" s="119">
        <v>0.66827801953515398</v>
      </c>
      <c r="BH80" s="119">
        <v>0.67172793796709296</v>
      </c>
      <c r="BI80" s="119">
        <v>0.67542413975958604</v>
      </c>
      <c r="BJ80" s="119">
        <v>0.67726835091337101</v>
      </c>
      <c r="BK80" s="119">
        <v>0.67999679374268895</v>
      </c>
      <c r="BL80" s="119">
        <v>0.68307556731957497</v>
      </c>
    </row>
    <row r="81" spans="1:64" x14ac:dyDescent="0.25">
      <c r="A81" s="860" t="s">
        <v>195</v>
      </c>
      <c r="B81" s="1">
        <v>348</v>
      </c>
      <c r="C81" s="119">
        <v>0.5</v>
      </c>
      <c r="D81" s="119">
        <v>0.32351436436376901</v>
      </c>
      <c r="E81" s="119">
        <v>0.35335019574762599</v>
      </c>
      <c r="F81" s="119">
        <v>0.38420047076305902</v>
      </c>
      <c r="G81" s="119">
        <v>0.41383516568231299</v>
      </c>
      <c r="H81" s="119">
        <v>0.441934516954194</v>
      </c>
      <c r="I81" s="119">
        <v>0.47282784508742698</v>
      </c>
      <c r="J81" s="119">
        <v>0.48723276701492102</v>
      </c>
      <c r="K81" s="119">
        <v>0.49620222596068803</v>
      </c>
      <c r="L81" s="119">
        <v>0.50833951833919699</v>
      </c>
      <c r="M81" s="119">
        <v>0.51837007176056804</v>
      </c>
      <c r="N81" s="119">
        <v>0.52759475849085302</v>
      </c>
      <c r="O81" s="119">
        <v>0.53896958614896096</v>
      </c>
      <c r="P81" s="119">
        <v>0.54805813893696897</v>
      </c>
      <c r="Q81" s="119">
        <v>0.55683187967915304</v>
      </c>
      <c r="R81" s="119">
        <v>0.56738560380842096</v>
      </c>
      <c r="S81" s="119">
        <v>0.57424185430030505</v>
      </c>
      <c r="T81" s="119">
        <v>0.581377095796203</v>
      </c>
      <c r="U81" s="119">
        <v>0.58701723021029895</v>
      </c>
      <c r="V81" s="119">
        <v>0.59206564800406802</v>
      </c>
      <c r="W81" s="119">
        <v>0.59717825764287902</v>
      </c>
      <c r="X81" s="119">
        <v>0.60435151533576903</v>
      </c>
      <c r="Y81" s="119">
        <v>0.61345678957022798</v>
      </c>
      <c r="Z81" s="119">
        <v>0.62158404605369499</v>
      </c>
      <c r="AA81" s="119">
        <v>0.62881583677653696</v>
      </c>
      <c r="AB81" s="119">
        <v>0.62799188255688099</v>
      </c>
      <c r="AC81" s="119">
        <v>0.62694952961264205</v>
      </c>
      <c r="AD81" s="119">
        <v>0.62486229722185105</v>
      </c>
      <c r="AE81" s="119">
        <v>0.62134029022179105</v>
      </c>
      <c r="AF81" s="119">
        <v>0.61694244285829203</v>
      </c>
      <c r="AG81" s="119">
        <v>0.61364746577080398</v>
      </c>
      <c r="AH81" s="119">
        <v>0.61090417213752002</v>
      </c>
      <c r="AI81" s="119">
        <v>0.60823116820006595</v>
      </c>
      <c r="AJ81" s="119">
        <v>0.60466165909582903</v>
      </c>
      <c r="AK81" s="119">
        <v>0.60056128355869898</v>
      </c>
      <c r="AL81" s="119">
        <v>0.59697088808500698</v>
      </c>
      <c r="AM81" s="119">
        <v>0.59599693990746605</v>
      </c>
      <c r="AN81" s="119">
        <v>0.59418079290980597</v>
      </c>
      <c r="AO81" s="119">
        <v>0.59275800949660795</v>
      </c>
      <c r="AP81" s="119">
        <v>0.59239494520999203</v>
      </c>
      <c r="AQ81" s="119">
        <v>0.59207308109773604</v>
      </c>
      <c r="AR81" s="119">
        <v>0.59560321703307795</v>
      </c>
      <c r="AS81" s="119">
        <v>0.59597502174133299</v>
      </c>
      <c r="AT81" s="119">
        <v>0.59972336461826203</v>
      </c>
      <c r="AU81" s="119">
        <v>0.60278821099205904</v>
      </c>
      <c r="AV81" s="119">
        <v>0.60560396800027905</v>
      </c>
      <c r="AW81" s="119">
        <v>0.60801097674016502</v>
      </c>
      <c r="AX81" s="119">
        <v>0.61205343868600603</v>
      </c>
      <c r="AY81" s="119">
        <v>0.615664844263905</v>
      </c>
      <c r="AZ81" s="119">
        <v>0.62032085334508902</v>
      </c>
      <c r="BA81" s="119">
        <v>0.62217128742502203</v>
      </c>
      <c r="BB81" s="119">
        <v>0.62490236352411499</v>
      </c>
      <c r="BC81" s="119">
        <v>0.62739975321790498</v>
      </c>
      <c r="BD81" s="119">
        <v>0.63015918412159</v>
      </c>
      <c r="BE81" s="119">
        <v>0.63424616910032205</v>
      </c>
      <c r="BF81" s="119">
        <v>0.63758419948519696</v>
      </c>
      <c r="BG81" s="119">
        <v>0.63945211535593105</v>
      </c>
      <c r="BH81" s="119">
        <v>0.640886689783014</v>
      </c>
      <c r="BI81" s="119">
        <v>0.64532122477093201</v>
      </c>
      <c r="BJ81" s="119">
        <v>0.64667593636431397</v>
      </c>
      <c r="BK81" s="119">
        <v>0.649270534878716</v>
      </c>
      <c r="BL81" s="119">
        <v>0.65042663176997395</v>
      </c>
    </row>
    <row r="82" spans="1:64" x14ac:dyDescent="0.25">
      <c r="A82" s="860" t="s">
        <v>36</v>
      </c>
      <c r="B82" s="1">
        <v>356</v>
      </c>
      <c r="C82" s="119">
        <v>0.5</v>
      </c>
      <c r="D82" s="119">
        <v>9.7248766130264397E-2</v>
      </c>
      <c r="E82" s="119">
        <v>0.108524918898088</v>
      </c>
      <c r="F82" s="119">
        <v>0.12135140857141199</v>
      </c>
      <c r="G82" s="119">
        <v>0.13556528513334301</v>
      </c>
      <c r="H82" s="119">
        <v>0.15095325808565699</v>
      </c>
      <c r="I82" s="119">
        <v>0.16773839032188101</v>
      </c>
      <c r="J82" s="119">
        <v>0.18675686590447699</v>
      </c>
      <c r="K82" s="119">
        <v>0.205722125189813</v>
      </c>
      <c r="L82" s="119">
        <v>0.22613855957274001</v>
      </c>
      <c r="M82" s="119">
        <v>0.24637829283611601</v>
      </c>
      <c r="N82" s="119">
        <v>0.26374092745850403</v>
      </c>
      <c r="O82" s="119">
        <v>0.27808433805904997</v>
      </c>
      <c r="P82" s="119">
        <v>0.28936885609138802</v>
      </c>
      <c r="Q82" s="119">
        <v>0.29988856777120299</v>
      </c>
      <c r="R82" s="119">
        <v>0.31047690656697802</v>
      </c>
      <c r="S82" s="119">
        <v>0.32147397711007403</v>
      </c>
      <c r="T82" s="119">
        <v>0.330994860122509</v>
      </c>
      <c r="U82" s="119">
        <v>0.34107834150955202</v>
      </c>
      <c r="V82" s="119">
        <v>0.348199928327181</v>
      </c>
      <c r="W82" s="119">
        <v>0.35159363729222798</v>
      </c>
      <c r="X82" s="119">
        <v>0.353676469887649</v>
      </c>
      <c r="Y82" s="119">
        <v>0.35747683573824102</v>
      </c>
      <c r="Z82" s="119">
        <v>0.36296080983465101</v>
      </c>
      <c r="AA82" s="119">
        <v>0.37030848826854601</v>
      </c>
      <c r="AB82" s="119">
        <v>0.37912441755405801</v>
      </c>
      <c r="AC82" s="119">
        <v>0.38964017020659603</v>
      </c>
      <c r="AD82" s="119">
        <v>0.39912715698772999</v>
      </c>
      <c r="AE82" s="119">
        <v>0.40823290454118</v>
      </c>
      <c r="AF82" s="119">
        <v>0.41813081498089899</v>
      </c>
      <c r="AG82" s="119">
        <v>0.42683255089694899</v>
      </c>
      <c r="AH82" s="119">
        <v>0.43369807502586399</v>
      </c>
      <c r="AI82" s="119">
        <v>0.44169831836799101</v>
      </c>
      <c r="AJ82" s="119">
        <v>0.45059303300791398</v>
      </c>
      <c r="AK82" s="119">
        <v>0.46010685368902698</v>
      </c>
      <c r="AL82" s="119">
        <v>0.47015799256679403</v>
      </c>
      <c r="AM82" s="119">
        <v>0.47749870487023999</v>
      </c>
      <c r="AN82" s="119">
        <v>0.48250145810724698</v>
      </c>
      <c r="AO82" s="119">
        <v>0.48242885881392</v>
      </c>
      <c r="AP82" s="119">
        <v>0.48146255004135402</v>
      </c>
      <c r="AQ82" s="119">
        <v>0.48032898448038702</v>
      </c>
      <c r="AR82" s="119">
        <v>0.47897558179076299</v>
      </c>
      <c r="AS82" s="119">
        <v>0.47766743486223501</v>
      </c>
      <c r="AT82" s="119">
        <v>0.47634566014396501</v>
      </c>
      <c r="AU82" s="119">
        <v>0.47600072480410999</v>
      </c>
      <c r="AV82" s="119">
        <v>0.47977450292392199</v>
      </c>
      <c r="AW82" s="119">
        <v>0.486288451528333</v>
      </c>
      <c r="AX82" s="119">
        <v>0.50016955407578301</v>
      </c>
      <c r="AY82" s="119">
        <v>0.51653493692571995</v>
      </c>
      <c r="AZ82" s="119">
        <v>0.53424483915936005</v>
      </c>
      <c r="BA82" s="119">
        <v>0.55136392314717697</v>
      </c>
      <c r="BB82" s="119">
        <v>0.56488671426301196</v>
      </c>
      <c r="BC82" s="119">
        <v>0.57425149370933504</v>
      </c>
      <c r="BD82" s="119">
        <v>0.57860092211041203</v>
      </c>
      <c r="BE82" s="119">
        <v>0.58276745605098301</v>
      </c>
      <c r="BF82" s="119">
        <v>0.58451523319899901</v>
      </c>
      <c r="BG82" s="119">
        <v>0.58709575208508002</v>
      </c>
      <c r="BH82" s="119">
        <v>0.58886524711884902</v>
      </c>
      <c r="BI82" s="119">
        <v>0.59160297124261396</v>
      </c>
      <c r="BJ82" s="119">
        <v>0.59540459470899099</v>
      </c>
      <c r="BK82" s="119">
        <v>0.59954784205255796</v>
      </c>
      <c r="BL82" s="119">
        <v>0.59980037498369099</v>
      </c>
    </row>
    <row r="83" spans="1:64" x14ac:dyDescent="0.25">
      <c r="A83" s="860" t="s">
        <v>37</v>
      </c>
      <c r="B83" s="1">
        <v>360</v>
      </c>
      <c r="C83" s="119">
        <v>0.5</v>
      </c>
      <c r="D83" s="119">
        <v>5.2414861343533202E-2</v>
      </c>
      <c r="E83" s="119">
        <v>6.0262175313247797E-2</v>
      </c>
      <c r="F83" s="119">
        <v>6.9506755908490495E-2</v>
      </c>
      <c r="G83" s="119">
        <v>8.1844409311223706E-2</v>
      </c>
      <c r="H83" s="119">
        <v>0.100110825184393</v>
      </c>
      <c r="I83" s="119">
        <v>0.12304456798383399</v>
      </c>
      <c r="J83" s="119">
        <v>0.15024944637982501</v>
      </c>
      <c r="K83" s="119">
        <v>0.177907447256276</v>
      </c>
      <c r="L83" s="119">
        <v>0.20706250591313</v>
      </c>
      <c r="M83" s="119">
        <v>0.23576397323298201</v>
      </c>
      <c r="N83" s="119">
        <v>0.262291707706994</v>
      </c>
      <c r="O83" s="119">
        <v>0.28628424445060702</v>
      </c>
      <c r="P83" s="119">
        <v>0.31004643106476698</v>
      </c>
      <c r="Q83" s="119">
        <v>0.33262879972180798</v>
      </c>
      <c r="R83" s="119">
        <v>0.356418955776866</v>
      </c>
      <c r="S83" s="119">
        <v>0.38049468698251798</v>
      </c>
      <c r="T83" s="119">
        <v>0.40566772703084603</v>
      </c>
      <c r="U83" s="119">
        <v>0.429019221932047</v>
      </c>
      <c r="V83" s="119">
        <v>0.44419235095057003</v>
      </c>
      <c r="W83" s="119">
        <v>0.45435461785324099</v>
      </c>
      <c r="X83" s="119">
        <v>0.46388224062247702</v>
      </c>
      <c r="Y83" s="119">
        <v>0.474262711368516</v>
      </c>
      <c r="Z83" s="119">
        <v>0.4892252134922</v>
      </c>
      <c r="AA83" s="119">
        <v>0.50480238984732795</v>
      </c>
      <c r="AB83" s="119">
        <v>0.51839823252269601</v>
      </c>
      <c r="AC83" s="119">
        <v>0.52830797106966498</v>
      </c>
      <c r="AD83" s="119">
        <v>0.53640677946358695</v>
      </c>
      <c r="AE83" s="119">
        <v>0.54285064175518405</v>
      </c>
      <c r="AF83" s="119">
        <v>0.54326238223436596</v>
      </c>
      <c r="AG83" s="119">
        <v>0.54097072904201204</v>
      </c>
      <c r="AH83" s="119">
        <v>0.538484599185728</v>
      </c>
      <c r="AI83" s="119">
        <v>0.54035724320175105</v>
      </c>
      <c r="AJ83" s="119">
        <v>0.54865992862172897</v>
      </c>
      <c r="AK83" s="119">
        <v>0.55973479902865597</v>
      </c>
      <c r="AL83" s="119">
        <v>0.56565785032323002</v>
      </c>
      <c r="AM83" s="119">
        <v>0.570131836310799</v>
      </c>
      <c r="AN83" s="119">
        <v>0.57097950928680996</v>
      </c>
      <c r="AO83" s="119">
        <v>0.57278012176464399</v>
      </c>
      <c r="AP83" s="119">
        <v>0.575871940090391</v>
      </c>
      <c r="AQ83" s="119">
        <v>0.583418586126773</v>
      </c>
      <c r="AR83" s="119">
        <v>0.58957507384410301</v>
      </c>
      <c r="AS83" s="119">
        <v>0.59470178755317704</v>
      </c>
      <c r="AT83" s="119">
        <v>0.59704251672685105</v>
      </c>
      <c r="AU83" s="119">
        <v>0.59897687409064404</v>
      </c>
      <c r="AV83" s="119">
        <v>0.59821075413898295</v>
      </c>
      <c r="AW83" s="119">
        <v>0.59401894551625001</v>
      </c>
      <c r="AX83" s="119">
        <v>0.58844699468690798</v>
      </c>
      <c r="AY83" s="119">
        <v>0.58475789216190399</v>
      </c>
      <c r="AZ83" s="119">
        <v>0.58608737145774203</v>
      </c>
      <c r="BA83" s="119">
        <v>0.58809607561295496</v>
      </c>
      <c r="BB83" s="119">
        <v>0.59084880800691797</v>
      </c>
      <c r="BC83" s="119">
        <v>0.59361395026783303</v>
      </c>
      <c r="BD83" s="119">
        <v>0.59857387769965198</v>
      </c>
      <c r="BE83" s="119">
        <v>0.60072519930849999</v>
      </c>
      <c r="BF83" s="119">
        <v>0.60485466996534598</v>
      </c>
      <c r="BG83" s="119">
        <v>0.60842995045578896</v>
      </c>
      <c r="BH83" s="119">
        <v>0.610938755674169</v>
      </c>
      <c r="BI83" s="119">
        <v>0.61407602681697604</v>
      </c>
      <c r="BJ83" s="119">
        <v>0.61889230970176901</v>
      </c>
      <c r="BK83" s="119">
        <v>0.62392579256372604</v>
      </c>
      <c r="BL83" s="119">
        <v>0.625172641901242</v>
      </c>
    </row>
    <row r="84" spans="1:64" x14ac:dyDescent="0.25">
      <c r="A84" s="860" t="s">
        <v>197</v>
      </c>
      <c r="B84" s="1">
        <v>364</v>
      </c>
      <c r="C84" s="119">
        <v>0.5</v>
      </c>
      <c r="D84" s="119">
        <v>0.188694014283073</v>
      </c>
      <c r="E84" s="119">
        <v>0.200355548098098</v>
      </c>
      <c r="F84" s="119">
        <v>0.21017548938834099</v>
      </c>
      <c r="G84" s="119">
        <v>0.220358223874244</v>
      </c>
      <c r="H84" s="119">
        <v>0.23021991384983601</v>
      </c>
      <c r="I84" s="119">
        <v>0.24178210191337701</v>
      </c>
      <c r="J84" s="119">
        <v>0.25181572735357699</v>
      </c>
      <c r="K84" s="119">
        <v>0.25902807009584899</v>
      </c>
      <c r="L84" s="119">
        <v>0.265156947304515</v>
      </c>
      <c r="M84" s="119">
        <v>0.270953792317146</v>
      </c>
      <c r="N84" s="119">
        <v>0.27546056304840499</v>
      </c>
      <c r="O84" s="119">
        <v>0.28221603316879801</v>
      </c>
      <c r="P84" s="119">
        <v>0.28563416076437198</v>
      </c>
      <c r="Q84" s="119">
        <v>0.29203628691328398</v>
      </c>
      <c r="R84" s="119">
        <v>0.29746001793111099</v>
      </c>
      <c r="S84" s="119">
        <v>0.30270168945681902</v>
      </c>
      <c r="T84" s="119">
        <v>0.30983779834929198</v>
      </c>
      <c r="U84" s="119">
        <v>0.316942434508312</v>
      </c>
      <c r="V84" s="119">
        <v>0.32615469194302599</v>
      </c>
      <c r="W84" s="119">
        <v>0.33944744609397298</v>
      </c>
      <c r="X84" s="119">
        <v>0.37281876673905201</v>
      </c>
      <c r="Y84" s="119">
        <v>0.41151625240911099</v>
      </c>
      <c r="Z84" s="119">
        <v>0.45099483758693798</v>
      </c>
      <c r="AA84" s="119">
        <v>0.485787818475374</v>
      </c>
      <c r="AB84" s="119">
        <v>0.51309365903748805</v>
      </c>
      <c r="AC84" s="119">
        <v>0.53424531358110205</v>
      </c>
      <c r="AD84" s="119">
        <v>0.55021772978566497</v>
      </c>
      <c r="AE84" s="119">
        <v>0.55602764588426501</v>
      </c>
      <c r="AF84" s="119">
        <v>0.55879221475294005</v>
      </c>
      <c r="AG84" s="119">
        <v>0.55981066460978501</v>
      </c>
      <c r="AH84" s="119">
        <v>0.56227876255988396</v>
      </c>
      <c r="AI84" s="119">
        <v>0.56388398732600697</v>
      </c>
      <c r="AJ84" s="119">
        <v>0.56786735317945003</v>
      </c>
      <c r="AK84" s="119">
        <v>0.57263660768379498</v>
      </c>
      <c r="AL84" s="119">
        <v>0.57942280638237198</v>
      </c>
      <c r="AM84" s="119">
        <v>0.58673566621168005</v>
      </c>
      <c r="AN84" s="119">
        <v>0.59374068708476702</v>
      </c>
      <c r="AO84" s="119">
        <v>0.60088294257650998</v>
      </c>
      <c r="AP84" s="119">
        <v>0.607213095285426</v>
      </c>
      <c r="AQ84" s="119">
        <v>0.61323659587384904</v>
      </c>
      <c r="AR84" s="119">
        <v>0.61785850502187001</v>
      </c>
      <c r="AS84" s="119">
        <v>0.623120141022802</v>
      </c>
      <c r="AT84" s="119">
        <v>0.62639706173634402</v>
      </c>
      <c r="AU84" s="119">
        <v>0.62892839858369498</v>
      </c>
      <c r="AV84" s="119">
        <v>0.63321159269285399</v>
      </c>
      <c r="AW84" s="119">
        <v>0.63519218164807301</v>
      </c>
      <c r="AX84" s="119">
        <v>0.63574660086151802</v>
      </c>
      <c r="AY84" s="119">
        <v>0.63974636509996197</v>
      </c>
      <c r="AZ84" s="119">
        <v>0.64130667138703001</v>
      </c>
      <c r="BA84" s="119">
        <v>0.64477639051693103</v>
      </c>
      <c r="BB84" s="119">
        <v>0.64673045427230602</v>
      </c>
      <c r="BC84" s="119">
        <v>0.64863476083840998</v>
      </c>
      <c r="BD84" s="119">
        <v>0.65086300106559902</v>
      </c>
      <c r="BE84" s="119">
        <v>0.65473689253267198</v>
      </c>
      <c r="BF84" s="119">
        <v>0.65920871116580404</v>
      </c>
      <c r="BG84" s="119">
        <v>0.65973959684847505</v>
      </c>
      <c r="BH84" s="119">
        <v>0.66162819967042796</v>
      </c>
      <c r="BI84" s="119">
        <v>0.66463359419154899</v>
      </c>
      <c r="BJ84" s="119">
        <v>0.66592695188789897</v>
      </c>
      <c r="BK84" s="119">
        <v>0.66893796769133296</v>
      </c>
      <c r="BL84" s="119">
        <v>0.66992081794437697</v>
      </c>
    </row>
    <row r="85" spans="1:64" x14ac:dyDescent="0.25">
      <c r="A85" s="860" t="s">
        <v>38</v>
      </c>
      <c r="B85" s="1">
        <v>368</v>
      </c>
      <c r="C85" s="119">
        <v>0.5</v>
      </c>
      <c r="D85" s="119">
        <v>0.101852405327873</v>
      </c>
      <c r="E85" s="119">
        <v>0.10765557583433701</v>
      </c>
      <c r="F85" s="119">
        <v>0.112997081420698</v>
      </c>
      <c r="G85" s="119">
        <v>0.11789121539040801</v>
      </c>
      <c r="H85" s="119">
        <v>0.123702119222763</v>
      </c>
      <c r="I85" s="119">
        <v>0.12574835269628701</v>
      </c>
      <c r="J85" s="119">
        <v>0.12748381098380601</v>
      </c>
      <c r="K85" s="119">
        <v>0.12866233299364399</v>
      </c>
      <c r="L85" s="119">
        <v>0.12974008302798501</v>
      </c>
      <c r="M85" s="119">
        <v>0.13199140550287899</v>
      </c>
      <c r="N85" s="119">
        <v>0.13367007651368201</v>
      </c>
      <c r="O85" s="119">
        <v>0.13325365167355799</v>
      </c>
      <c r="P85" s="119">
        <v>0.13535791833689501</v>
      </c>
      <c r="Q85" s="119">
        <v>0.13594039695943799</v>
      </c>
      <c r="R85" s="119">
        <v>0.13687664556058901</v>
      </c>
      <c r="S85" s="119">
        <v>0.13772986234607201</v>
      </c>
      <c r="T85" s="119">
        <v>0.138620259479143</v>
      </c>
      <c r="U85" s="119">
        <v>0.140864380468495</v>
      </c>
      <c r="V85" s="119">
        <v>0.14371818415747301</v>
      </c>
      <c r="W85" s="119">
        <v>0.14762003847512101</v>
      </c>
      <c r="X85" s="119">
        <v>0.15554564629307399</v>
      </c>
      <c r="Y85" s="119">
        <v>0.16487679670710501</v>
      </c>
      <c r="Z85" s="119">
        <v>0.17497836864344199</v>
      </c>
      <c r="AA85" s="119">
        <v>0.18670318525346999</v>
      </c>
      <c r="AB85" s="119">
        <v>0.19708236331293999</v>
      </c>
      <c r="AC85" s="119">
        <v>0.20933775978136901</v>
      </c>
      <c r="AD85" s="119">
        <v>0.22056441624180401</v>
      </c>
      <c r="AE85" s="119">
        <v>0.230594230715781</v>
      </c>
      <c r="AF85" s="119">
        <v>0.24107208035584801</v>
      </c>
      <c r="AG85" s="119">
        <v>0.25218197355953997</v>
      </c>
      <c r="AH85" s="119">
        <v>0.26204511313763801</v>
      </c>
      <c r="AI85" s="119">
        <v>0.27319746150753899</v>
      </c>
      <c r="AJ85" s="119">
        <v>0.28344516417758803</v>
      </c>
      <c r="AK85" s="119">
        <v>0.29625820519638801</v>
      </c>
      <c r="AL85" s="119">
        <v>0.30643149970549599</v>
      </c>
      <c r="AM85" s="119">
        <v>0.31520563348892899</v>
      </c>
      <c r="AN85" s="119">
        <v>0.322884348554482</v>
      </c>
      <c r="AO85" s="119">
        <v>0.33115641361009002</v>
      </c>
      <c r="AP85" s="119">
        <v>0.33776127209155399</v>
      </c>
      <c r="AQ85" s="119">
        <v>0.34184241285517403</v>
      </c>
      <c r="AR85" s="119">
        <v>0.34736242714729498</v>
      </c>
      <c r="AS85" s="119">
        <v>0.35177835433832699</v>
      </c>
      <c r="AT85" s="119">
        <v>0.35793351926233102</v>
      </c>
      <c r="AU85" s="119">
        <v>0.36043110734634898</v>
      </c>
      <c r="AV85" s="119">
        <v>0.36318898390465099</v>
      </c>
      <c r="AW85" s="119">
        <v>0.36662231700389097</v>
      </c>
      <c r="AX85" s="119">
        <v>0.36908811307773498</v>
      </c>
      <c r="AY85" s="119">
        <v>0.37363719504052101</v>
      </c>
      <c r="AZ85" s="119">
        <v>0.37703956700705998</v>
      </c>
      <c r="BA85" s="119">
        <v>0.382811089272306</v>
      </c>
      <c r="BB85" s="119">
        <v>0.38831567180200599</v>
      </c>
      <c r="BC85" s="119">
        <v>0.39271770022255198</v>
      </c>
      <c r="BD85" s="119">
        <v>0.39653322725686002</v>
      </c>
      <c r="BE85" s="119">
        <v>0.40065771302676401</v>
      </c>
      <c r="BF85" s="119">
        <v>0.40683260613300498</v>
      </c>
      <c r="BG85" s="119">
        <v>0.414232924439696</v>
      </c>
      <c r="BH85" s="119">
        <v>0.417006392128207</v>
      </c>
      <c r="BI85" s="119">
        <v>0.42275357524630103</v>
      </c>
      <c r="BJ85" s="119">
        <v>0.42495732488135901</v>
      </c>
      <c r="BK85" s="119">
        <v>0.43108232431565902</v>
      </c>
      <c r="BL85" s="119">
        <v>0.43465392541941</v>
      </c>
    </row>
    <row r="86" spans="1:64" x14ac:dyDescent="0.25">
      <c r="A86" s="860" t="s">
        <v>198</v>
      </c>
      <c r="B86" s="1">
        <v>372</v>
      </c>
      <c r="C86" s="119">
        <v>0.5</v>
      </c>
      <c r="D86" s="119">
        <v>0.47769408571387101</v>
      </c>
      <c r="E86" s="119">
        <v>0.48235913235602002</v>
      </c>
      <c r="F86" s="119">
        <v>0.49137212981295397</v>
      </c>
      <c r="G86" s="119">
        <v>0.49583546311700599</v>
      </c>
      <c r="H86" s="119">
        <v>0.50155137628692104</v>
      </c>
      <c r="I86" s="119">
        <v>0.50818654990810497</v>
      </c>
      <c r="J86" s="119">
        <v>0.51491803982331996</v>
      </c>
      <c r="K86" s="119">
        <v>0.52003507091119505</v>
      </c>
      <c r="L86" s="119">
        <v>0.525890795472579</v>
      </c>
      <c r="M86" s="119">
        <v>0.53255285839831401</v>
      </c>
      <c r="N86" s="119">
        <v>0.53941567025530601</v>
      </c>
      <c r="O86" s="119">
        <v>0.54092276010191698</v>
      </c>
      <c r="P86" s="119">
        <v>0.54666389564138596</v>
      </c>
      <c r="Q86" s="119">
        <v>0.55224464577543098</v>
      </c>
      <c r="R86" s="119">
        <v>0.55829103617159703</v>
      </c>
      <c r="S86" s="119">
        <v>0.56225957978334296</v>
      </c>
      <c r="T86" s="119">
        <v>0.565970068402886</v>
      </c>
      <c r="U86" s="119">
        <v>0.574033040412399</v>
      </c>
      <c r="V86" s="119">
        <v>0.57982007844970096</v>
      </c>
      <c r="W86" s="119">
        <v>0.58585003379649603</v>
      </c>
      <c r="X86" s="119">
        <v>0.59086819918011801</v>
      </c>
      <c r="Y86" s="119">
        <v>0.59677321058649802</v>
      </c>
      <c r="Z86" s="119">
        <v>0.60346324694999498</v>
      </c>
      <c r="AA86" s="119">
        <v>0.60908743407439903</v>
      </c>
      <c r="AB86" s="119">
        <v>0.61739670348158504</v>
      </c>
      <c r="AC86" s="119">
        <v>0.62473866545068502</v>
      </c>
      <c r="AD86" s="119">
        <v>0.63162447787959697</v>
      </c>
      <c r="AE86" s="119">
        <v>0.63686943764482595</v>
      </c>
      <c r="AF86" s="119">
        <v>0.64254439783764905</v>
      </c>
      <c r="AG86" s="119">
        <v>0.64372319118195498</v>
      </c>
      <c r="AH86" s="119">
        <v>0.64440289083742697</v>
      </c>
      <c r="AI86" s="119">
        <v>0.64348649738832897</v>
      </c>
      <c r="AJ86" s="119">
        <v>0.64124031237328105</v>
      </c>
      <c r="AK86" s="119">
        <v>0.63878906032042504</v>
      </c>
      <c r="AL86" s="119">
        <v>0.63139923568254497</v>
      </c>
      <c r="AM86" s="119">
        <v>0.62909791357009603</v>
      </c>
      <c r="AN86" s="119">
        <v>0.63115017841210797</v>
      </c>
      <c r="AO86" s="119">
        <v>0.63489487889935903</v>
      </c>
      <c r="AP86" s="119">
        <v>0.63911749468365397</v>
      </c>
      <c r="AQ86" s="119">
        <v>0.64308034828565397</v>
      </c>
      <c r="AR86" s="119">
        <v>0.64755060389955799</v>
      </c>
      <c r="AS86" s="119">
        <v>0.64716156630768196</v>
      </c>
      <c r="AT86" s="119">
        <v>0.64759182409417504</v>
      </c>
      <c r="AU86" s="119">
        <v>0.64903103270874996</v>
      </c>
      <c r="AV86" s="119">
        <v>0.650385284614868</v>
      </c>
      <c r="AW86" s="119">
        <v>0.64925197070197704</v>
      </c>
      <c r="AX86" s="119">
        <v>0.65014685687019502</v>
      </c>
      <c r="AY86" s="119">
        <v>0.649146219701764</v>
      </c>
      <c r="AZ86" s="119">
        <v>0.65207911723199197</v>
      </c>
      <c r="BA86" s="119">
        <v>0.65363222089713802</v>
      </c>
      <c r="BB86" s="119">
        <v>0.65478741837514298</v>
      </c>
      <c r="BC86" s="119">
        <v>0.65347298996516301</v>
      </c>
      <c r="BD86" s="119">
        <v>0.65503345902361498</v>
      </c>
      <c r="BE86" s="119">
        <v>0.65507487763130201</v>
      </c>
      <c r="BF86" s="119">
        <v>0.657759765588528</v>
      </c>
      <c r="BG86" s="119">
        <v>0.65682119385359505</v>
      </c>
      <c r="BH86" s="119">
        <v>0.65889075850657997</v>
      </c>
      <c r="BI86" s="119">
        <v>0.65898565511416796</v>
      </c>
      <c r="BJ86" s="119">
        <v>0.65874860644709798</v>
      </c>
      <c r="BK86" s="119">
        <v>0.66115378335192398</v>
      </c>
      <c r="BL86" s="119">
        <v>0.66074896879157796</v>
      </c>
    </row>
    <row r="87" spans="1:64" x14ac:dyDescent="0.25">
      <c r="A87" s="860" t="s">
        <v>199</v>
      </c>
      <c r="B87" s="1">
        <v>376</v>
      </c>
      <c r="C87" s="119">
        <v>0.5</v>
      </c>
      <c r="D87" s="119">
        <v>0.38775756860495503</v>
      </c>
      <c r="E87" s="119">
        <v>0.39397660547859897</v>
      </c>
      <c r="F87" s="119">
        <v>0.39893507978326798</v>
      </c>
      <c r="G87" s="119">
        <v>0.405101331856418</v>
      </c>
      <c r="H87" s="119">
        <v>0.41040403416993898</v>
      </c>
      <c r="I87" s="119">
        <v>0.41536232390865901</v>
      </c>
      <c r="J87" s="119">
        <v>0.42050585050933198</v>
      </c>
      <c r="K87" s="119">
        <v>0.42662532569543399</v>
      </c>
      <c r="L87" s="119">
        <v>0.430026087992668</v>
      </c>
      <c r="M87" s="119">
        <v>0.43766779522065802</v>
      </c>
      <c r="N87" s="119">
        <v>0.44620074949259397</v>
      </c>
      <c r="O87" s="119">
        <v>0.45066159847950299</v>
      </c>
      <c r="P87" s="119">
        <v>0.45536156014245799</v>
      </c>
      <c r="Q87" s="119">
        <v>0.463071382145607</v>
      </c>
      <c r="R87" s="119">
        <v>0.46979377400598099</v>
      </c>
      <c r="S87" s="119">
        <v>0.476855618852914</v>
      </c>
      <c r="T87" s="119">
        <v>0.47805722848306098</v>
      </c>
      <c r="U87" s="119">
        <v>0.482658188107984</v>
      </c>
      <c r="V87" s="119">
        <v>0.48428128835607998</v>
      </c>
      <c r="W87" s="119">
        <v>0.48096643481126899</v>
      </c>
      <c r="X87" s="119">
        <v>0.47847546199127799</v>
      </c>
      <c r="Y87" s="119">
        <v>0.47713493817511399</v>
      </c>
      <c r="Z87" s="119">
        <v>0.477679402761014</v>
      </c>
      <c r="AA87" s="119">
        <v>0.48025229396046498</v>
      </c>
      <c r="AB87" s="119">
        <v>0.48137661016038902</v>
      </c>
      <c r="AC87" s="119">
        <v>0.481953508445361</v>
      </c>
      <c r="AD87" s="119">
        <v>0.48514455292619801</v>
      </c>
      <c r="AE87" s="119">
        <v>0.48663661996195001</v>
      </c>
      <c r="AF87" s="119">
        <v>0.48819279534812399</v>
      </c>
      <c r="AG87" s="119">
        <v>0.48937483933850601</v>
      </c>
      <c r="AH87" s="119">
        <v>0.49286973854752397</v>
      </c>
      <c r="AI87" s="119">
        <v>0.49244017108425803</v>
      </c>
      <c r="AJ87" s="119">
        <v>0.49411520692102601</v>
      </c>
      <c r="AK87" s="119">
        <v>0.49644548732596799</v>
      </c>
      <c r="AL87" s="119">
        <v>0.495901968319861</v>
      </c>
      <c r="AM87" s="119">
        <v>0.49830516805177899</v>
      </c>
      <c r="AN87" s="119">
        <v>0.499841729662167</v>
      </c>
      <c r="AO87" s="119">
        <v>0.50153827234914905</v>
      </c>
      <c r="AP87" s="119">
        <v>0.50575853154655703</v>
      </c>
      <c r="AQ87" s="119">
        <v>0.50711647190549303</v>
      </c>
      <c r="AR87" s="119">
        <v>0.51034902427026096</v>
      </c>
      <c r="AS87" s="119">
        <v>0.51549979238879196</v>
      </c>
      <c r="AT87" s="119">
        <v>0.51870410061579997</v>
      </c>
      <c r="AU87" s="119">
        <v>0.52398019444731003</v>
      </c>
      <c r="AV87" s="119">
        <v>0.52349781564004105</v>
      </c>
      <c r="AW87" s="119">
        <v>0.52644472602784198</v>
      </c>
      <c r="AX87" s="119">
        <v>0.52818412887642296</v>
      </c>
      <c r="AY87" s="119">
        <v>0.53091696676681299</v>
      </c>
      <c r="AZ87" s="119">
        <v>0.53008620690779495</v>
      </c>
      <c r="BA87" s="119">
        <v>0.53381948394013201</v>
      </c>
      <c r="BB87" s="119">
        <v>0.53859640487110405</v>
      </c>
      <c r="BC87" s="119">
        <v>0.54187567381049795</v>
      </c>
      <c r="BD87" s="119">
        <v>0.541845417752023</v>
      </c>
      <c r="BE87" s="119">
        <v>0.54353956925312796</v>
      </c>
      <c r="BF87" s="119">
        <v>0.54459952536123701</v>
      </c>
      <c r="BG87" s="119">
        <v>0.54857915260550605</v>
      </c>
      <c r="BH87" s="119">
        <v>0.55042947847989998</v>
      </c>
      <c r="BI87" s="119">
        <v>0.55432551163910704</v>
      </c>
      <c r="BJ87" s="119">
        <v>0.55797520930477595</v>
      </c>
      <c r="BK87" s="119">
        <v>0.55890505598896001</v>
      </c>
      <c r="BL87" s="119">
        <v>0.55868608663349995</v>
      </c>
    </row>
    <row r="88" spans="1:64" x14ac:dyDescent="0.25">
      <c r="A88" s="860" t="s">
        <v>200</v>
      </c>
      <c r="B88" s="1">
        <v>380</v>
      </c>
      <c r="C88" s="119">
        <v>0.5</v>
      </c>
      <c r="D88" s="119">
        <v>0.16936114610074901</v>
      </c>
      <c r="E88" s="119">
        <v>0.17644218823390201</v>
      </c>
      <c r="F88" s="119">
        <v>0.184675497884044</v>
      </c>
      <c r="G88" s="119">
        <v>0.18879041378783301</v>
      </c>
      <c r="H88" s="119">
        <v>0.19593619785792701</v>
      </c>
      <c r="I88" s="119">
        <v>0.20194860434319101</v>
      </c>
      <c r="J88" s="119">
        <v>0.20969762422328</v>
      </c>
      <c r="K88" s="119">
        <v>0.217891579148351</v>
      </c>
      <c r="L88" s="119">
        <v>0.226287992536406</v>
      </c>
      <c r="M88" s="119">
        <v>0.23645951445454899</v>
      </c>
      <c r="N88" s="119">
        <v>0.24230810245977</v>
      </c>
      <c r="O88" s="119">
        <v>0.24940231980477501</v>
      </c>
      <c r="P88" s="119">
        <v>0.26152072851212299</v>
      </c>
      <c r="Q88" s="119">
        <v>0.26903572208960702</v>
      </c>
      <c r="R88" s="119">
        <v>0.27472177851083701</v>
      </c>
      <c r="S88" s="119">
        <v>0.28395300826658998</v>
      </c>
      <c r="T88" s="119">
        <v>0.29341215957512101</v>
      </c>
      <c r="U88" s="119">
        <v>0.30110765132399803</v>
      </c>
      <c r="V88" s="119">
        <v>0.30930990261159702</v>
      </c>
      <c r="W88" s="119">
        <v>0.319126849221402</v>
      </c>
      <c r="X88" s="119">
        <v>0.32791539054608798</v>
      </c>
      <c r="Y88" s="119">
        <v>0.335251296192489</v>
      </c>
      <c r="Z88" s="119">
        <v>0.34314257457171099</v>
      </c>
      <c r="AA88" s="119">
        <v>0.351723449495977</v>
      </c>
      <c r="AB88" s="119">
        <v>0.358655330352109</v>
      </c>
      <c r="AC88" s="119">
        <v>0.36568965243193202</v>
      </c>
      <c r="AD88" s="119">
        <v>0.36994588735040601</v>
      </c>
      <c r="AE88" s="119">
        <v>0.37543834922261299</v>
      </c>
      <c r="AF88" s="119">
        <v>0.37896826731920003</v>
      </c>
      <c r="AG88" s="119">
        <v>0.38668849685770701</v>
      </c>
      <c r="AH88" s="119">
        <v>0.393176387832958</v>
      </c>
      <c r="AI88" s="119">
        <v>0.39811333341288901</v>
      </c>
      <c r="AJ88" s="119">
        <v>0.40522386472820698</v>
      </c>
      <c r="AK88" s="119">
        <v>0.41032406830562101</v>
      </c>
      <c r="AL88" s="119">
        <v>0.41908431010681202</v>
      </c>
      <c r="AM88" s="119">
        <v>0.423328958969933</v>
      </c>
      <c r="AN88" s="119">
        <v>0.430276377385029</v>
      </c>
      <c r="AO88" s="119">
        <v>0.438673865776049</v>
      </c>
      <c r="AP88" s="119">
        <v>0.44431133703664499</v>
      </c>
      <c r="AQ88" s="119">
        <v>0.448492476631209</v>
      </c>
      <c r="AR88" s="119">
        <v>0.45461380720542399</v>
      </c>
      <c r="AS88" s="119">
        <v>0.457588338340919</v>
      </c>
      <c r="AT88" s="119">
        <v>0.46542991274597201</v>
      </c>
      <c r="AU88" s="119">
        <v>0.47183227654091198</v>
      </c>
      <c r="AV88" s="119">
        <v>0.47351303846936799</v>
      </c>
      <c r="AW88" s="119">
        <v>0.478812152128893</v>
      </c>
      <c r="AX88" s="119">
        <v>0.480955192032896</v>
      </c>
      <c r="AY88" s="119">
        <v>0.48513526572600202</v>
      </c>
      <c r="AZ88" s="119">
        <v>0.48750995898684402</v>
      </c>
      <c r="BA88" s="119">
        <v>0.49408431858936602</v>
      </c>
      <c r="BB88" s="119">
        <v>0.498238416289491</v>
      </c>
      <c r="BC88" s="119">
        <v>0.50061240460795398</v>
      </c>
      <c r="BD88" s="119">
        <v>0.50600009509036903</v>
      </c>
      <c r="BE88" s="119">
        <v>0.50880529806848795</v>
      </c>
      <c r="BF88" s="119">
        <v>0.51413104817649102</v>
      </c>
      <c r="BG88" s="119">
        <v>0.51971987506314399</v>
      </c>
      <c r="BH88" s="119">
        <v>0.52410573610647204</v>
      </c>
      <c r="BI88" s="119">
        <v>0.52987727861323197</v>
      </c>
      <c r="BJ88" s="119">
        <v>0.53302976722304196</v>
      </c>
      <c r="BK88" s="119">
        <v>0.53849076710279997</v>
      </c>
      <c r="BL88" s="119">
        <v>0.54308147549135299</v>
      </c>
    </row>
    <row r="89" spans="1:64" x14ac:dyDescent="0.25">
      <c r="A89" s="860" t="s">
        <v>201</v>
      </c>
      <c r="B89" s="1">
        <v>388</v>
      </c>
      <c r="C89" s="119">
        <v>0.5</v>
      </c>
      <c r="D89" s="119">
        <v>0.35214246563157597</v>
      </c>
      <c r="E89" s="119">
        <v>0.36248676895703003</v>
      </c>
      <c r="F89" s="119">
        <v>0.37179535196369901</v>
      </c>
      <c r="G89" s="119">
        <v>0.38214940016061</v>
      </c>
      <c r="H89" s="119">
        <v>0.39300376313301399</v>
      </c>
      <c r="I89" s="119">
        <v>0.40399821045952999</v>
      </c>
      <c r="J89" s="119">
        <v>0.41942073910808603</v>
      </c>
      <c r="K89" s="119">
        <v>0.43588807763593701</v>
      </c>
      <c r="L89" s="119">
        <v>0.44995937513800999</v>
      </c>
      <c r="M89" s="119">
        <v>0.46333438719611098</v>
      </c>
      <c r="N89" s="119">
        <v>0.47221540292018699</v>
      </c>
      <c r="O89" s="119">
        <v>0.47897058113733698</v>
      </c>
      <c r="P89" s="119">
        <v>0.48605481278097801</v>
      </c>
      <c r="Q89" s="119">
        <v>0.492240933402953</v>
      </c>
      <c r="R89" s="119">
        <v>0.49658713018991402</v>
      </c>
      <c r="S89" s="119">
        <v>0.50158191705347399</v>
      </c>
      <c r="T89" s="119">
        <v>0.50668692399211301</v>
      </c>
      <c r="U89" s="119">
        <v>0.51384338459024703</v>
      </c>
      <c r="V89" s="119">
        <v>0.51848820220464698</v>
      </c>
      <c r="W89" s="119">
        <v>0.52525404351940197</v>
      </c>
      <c r="X89" s="119">
        <v>0.53124367817104101</v>
      </c>
      <c r="Y89" s="119">
        <v>0.53912473074172196</v>
      </c>
      <c r="Z89" s="119">
        <v>0.54758456066776495</v>
      </c>
      <c r="AA89" s="119">
        <v>0.55716927774641101</v>
      </c>
      <c r="AB89" s="119">
        <v>0.56804195469596397</v>
      </c>
      <c r="AC89" s="119">
        <v>0.58116369641648102</v>
      </c>
      <c r="AD89" s="119">
        <v>0.59175316552628399</v>
      </c>
      <c r="AE89" s="119">
        <v>0.60272258513601495</v>
      </c>
      <c r="AF89" s="119">
        <v>0.61205991693928197</v>
      </c>
      <c r="AG89" s="119">
        <v>0.62076692618652396</v>
      </c>
      <c r="AH89" s="119">
        <v>0.62964821569426499</v>
      </c>
      <c r="AI89" s="119">
        <v>0.63892489359753701</v>
      </c>
      <c r="AJ89" s="119">
        <v>0.64736378433611297</v>
      </c>
      <c r="AK89" s="119">
        <v>0.65232286370099002</v>
      </c>
      <c r="AL89" s="119">
        <v>0.65810825367418901</v>
      </c>
      <c r="AM89" s="119">
        <v>0.66427587259160803</v>
      </c>
      <c r="AN89" s="119">
        <v>0.66699398188141201</v>
      </c>
      <c r="AO89" s="119">
        <v>0.67190731356626199</v>
      </c>
      <c r="AP89" s="119">
        <v>0.67460280427501196</v>
      </c>
      <c r="AQ89" s="119">
        <v>0.67853247005607398</v>
      </c>
      <c r="AR89" s="119">
        <v>0.68159467252466799</v>
      </c>
      <c r="AS89" s="119">
        <v>0.68414664294898897</v>
      </c>
      <c r="AT89" s="119">
        <v>0.685414082579335</v>
      </c>
      <c r="AU89" s="119">
        <v>0.68839986261571495</v>
      </c>
      <c r="AV89" s="119">
        <v>0.69048128873096304</v>
      </c>
      <c r="AW89" s="119">
        <v>0.69131378512845698</v>
      </c>
      <c r="AX89" s="119">
        <v>0.69430048739473205</v>
      </c>
      <c r="AY89" s="119">
        <v>0.69561849989404301</v>
      </c>
      <c r="AZ89" s="119">
        <v>0.69795537648790895</v>
      </c>
      <c r="BA89" s="119">
        <v>0.69948620504233305</v>
      </c>
      <c r="BB89" s="119">
        <v>0.70102684164363904</v>
      </c>
      <c r="BC89" s="119">
        <v>0.70522352873030103</v>
      </c>
      <c r="BD89" s="119">
        <v>0.70448928407172695</v>
      </c>
      <c r="BE89" s="119">
        <v>0.70498855173142705</v>
      </c>
      <c r="BF89" s="119">
        <v>0.705209128344505</v>
      </c>
      <c r="BG89" s="119">
        <v>0.70917204943083401</v>
      </c>
      <c r="BH89" s="119">
        <v>0.71253129944206905</v>
      </c>
      <c r="BI89" s="119">
        <v>0.71456251949726202</v>
      </c>
      <c r="BJ89" s="119">
        <v>0.71664755689123405</v>
      </c>
      <c r="BK89" s="119">
        <v>0.717666272255431</v>
      </c>
      <c r="BL89" s="119">
        <v>0.71995491764459596</v>
      </c>
    </row>
    <row r="90" spans="1:64" x14ac:dyDescent="0.25">
      <c r="A90" s="860" t="s">
        <v>202</v>
      </c>
      <c r="B90" s="1">
        <v>392</v>
      </c>
      <c r="C90" s="119">
        <v>0.5</v>
      </c>
      <c r="D90" s="119">
        <v>0.37512613463368999</v>
      </c>
      <c r="E90" s="119">
        <v>0.38300044150019502</v>
      </c>
      <c r="F90" s="119">
        <v>0.39453338402724097</v>
      </c>
      <c r="G90" s="119">
        <v>0.406100340944055</v>
      </c>
      <c r="H90" s="119">
        <v>0.41531337593362999</v>
      </c>
      <c r="I90" s="119">
        <v>0.42176335383173802</v>
      </c>
      <c r="J90" s="119">
        <v>0.42688916853540698</v>
      </c>
      <c r="K90" s="119">
        <v>0.42952157619542197</v>
      </c>
      <c r="L90" s="119">
        <v>0.43346518861780198</v>
      </c>
      <c r="M90" s="119">
        <v>0.43680094856639501</v>
      </c>
      <c r="N90" s="119">
        <v>0.43635669623566897</v>
      </c>
      <c r="O90" s="119">
        <v>0.43647364755613799</v>
      </c>
      <c r="P90" s="119">
        <v>0.43593006216913499</v>
      </c>
      <c r="Q90" s="119">
        <v>0.43615752255865903</v>
      </c>
      <c r="R90" s="119">
        <v>0.43711034250678399</v>
      </c>
      <c r="S90" s="119">
        <v>0.439824295493976</v>
      </c>
      <c r="T90" s="119">
        <v>0.44329731011401602</v>
      </c>
      <c r="U90" s="119">
        <v>0.44352330522671202</v>
      </c>
      <c r="V90" s="119">
        <v>0.442682289494706</v>
      </c>
      <c r="W90" s="119">
        <v>0.44318511273663402</v>
      </c>
      <c r="X90" s="119">
        <v>0.44676937268496603</v>
      </c>
      <c r="Y90" s="119">
        <v>0.44996300568384401</v>
      </c>
      <c r="Z90" s="119">
        <v>0.45145996114939402</v>
      </c>
      <c r="AA90" s="119">
        <v>0.44933352618012801</v>
      </c>
      <c r="AB90" s="119">
        <v>0.44526275648911701</v>
      </c>
      <c r="AC90" s="119">
        <v>0.44143593682509402</v>
      </c>
      <c r="AD90" s="119">
        <v>0.43855631874498502</v>
      </c>
      <c r="AE90" s="119">
        <v>0.43363204858750398</v>
      </c>
      <c r="AF90" s="119">
        <v>0.428201850955229</v>
      </c>
      <c r="AG90" s="119">
        <v>0.42564689682061602</v>
      </c>
      <c r="AH90" s="119">
        <v>0.424029140047534</v>
      </c>
      <c r="AI90" s="119">
        <v>0.423116743392638</v>
      </c>
      <c r="AJ90" s="119">
        <v>0.42325666398529899</v>
      </c>
      <c r="AK90" s="119">
        <v>0.42416952439998501</v>
      </c>
      <c r="AL90" s="119">
        <v>0.42627200436435297</v>
      </c>
      <c r="AM90" s="119">
        <v>0.42963064641441601</v>
      </c>
      <c r="AN90" s="119">
        <v>0.428574618827745</v>
      </c>
      <c r="AO90" s="119">
        <v>0.42543345511719799</v>
      </c>
      <c r="AP90" s="119">
        <v>0.42104104601211501</v>
      </c>
      <c r="AQ90" s="119">
        <v>0.41756279631328402</v>
      </c>
      <c r="AR90" s="119">
        <v>0.41347127497764602</v>
      </c>
      <c r="AS90" s="119">
        <v>0.40550475835107402</v>
      </c>
      <c r="AT90" s="119">
        <v>0.39834471575847802</v>
      </c>
      <c r="AU90" s="119">
        <v>0.39098092206809698</v>
      </c>
      <c r="AV90" s="119">
        <v>0.379731668951868</v>
      </c>
      <c r="AW90" s="119">
        <v>0.36397425238879599</v>
      </c>
      <c r="AX90" s="119">
        <v>0.36235864108437299</v>
      </c>
      <c r="AY90" s="119">
        <v>0.36716733581488897</v>
      </c>
      <c r="AZ90" s="119">
        <v>0.37482420569882502</v>
      </c>
      <c r="BA90" s="119">
        <v>0.38296376490318501</v>
      </c>
      <c r="BB90" s="119">
        <v>0.39142392420232502</v>
      </c>
      <c r="BC90" s="119">
        <v>0.40055427051050102</v>
      </c>
      <c r="BD90" s="119">
        <v>0.40756367022488099</v>
      </c>
      <c r="BE90" s="119">
        <v>0.41529757366633901</v>
      </c>
      <c r="BF90" s="119">
        <v>0.42229676193638299</v>
      </c>
      <c r="BG90" s="119">
        <v>0.42839896847040798</v>
      </c>
      <c r="BH90" s="119">
        <v>0.43440434606914902</v>
      </c>
      <c r="BI90" s="119">
        <v>0.44268753775265202</v>
      </c>
      <c r="BJ90" s="119">
        <v>0.44758873015408002</v>
      </c>
      <c r="BK90" s="119">
        <v>0.45392949448827302</v>
      </c>
      <c r="BL90" s="119">
        <v>0.45957540416929499</v>
      </c>
    </row>
    <row r="91" spans="1:64" x14ac:dyDescent="0.25">
      <c r="A91" s="860" t="s">
        <v>203</v>
      </c>
      <c r="B91" s="1">
        <v>400</v>
      </c>
      <c r="C91" s="119">
        <v>0.5</v>
      </c>
      <c r="D91" s="119">
        <v>0.155841600344859</v>
      </c>
      <c r="E91" s="119">
        <v>0.16280205031016801</v>
      </c>
      <c r="F91" s="119">
        <v>0.16761259186090299</v>
      </c>
      <c r="G91" s="119">
        <v>0.171409259496832</v>
      </c>
      <c r="H91" s="119">
        <v>0.17463333274319301</v>
      </c>
      <c r="I91" s="119">
        <v>0.178342117216199</v>
      </c>
      <c r="J91" s="119">
        <v>0.18129258550244901</v>
      </c>
      <c r="K91" s="119">
        <v>0.18536960004288899</v>
      </c>
      <c r="L91" s="119">
        <v>0.18940002043464299</v>
      </c>
      <c r="M91" s="119">
        <v>0.19351339734349299</v>
      </c>
      <c r="N91" s="119">
        <v>0.19821285281730699</v>
      </c>
      <c r="O91" s="119">
        <v>0.20402971428175801</v>
      </c>
      <c r="P91" s="119">
        <v>0.208066333904766</v>
      </c>
      <c r="Q91" s="119">
        <v>0.21528982443423</v>
      </c>
      <c r="R91" s="119">
        <v>0.22215602647569099</v>
      </c>
      <c r="S91" s="119">
        <v>0.22879841219552399</v>
      </c>
      <c r="T91" s="119">
        <v>0.235114612401086</v>
      </c>
      <c r="U91" s="119">
        <v>0.243345739957331</v>
      </c>
      <c r="V91" s="119">
        <v>0.25242764312265897</v>
      </c>
      <c r="W91" s="119">
        <v>0.26159380556951201</v>
      </c>
      <c r="X91" s="119">
        <v>0.27112764756708901</v>
      </c>
      <c r="Y91" s="119">
        <v>0.28473302739598699</v>
      </c>
      <c r="Z91" s="119">
        <v>0.30010145550817702</v>
      </c>
      <c r="AA91" s="119">
        <v>0.315797403938812</v>
      </c>
      <c r="AB91" s="119">
        <v>0.331667455992463</v>
      </c>
      <c r="AC91" s="119">
        <v>0.34616877041601801</v>
      </c>
      <c r="AD91" s="119">
        <v>0.362020369822383</v>
      </c>
      <c r="AE91" s="119">
        <v>0.37569674895609401</v>
      </c>
      <c r="AF91" s="119">
        <v>0.383563550201171</v>
      </c>
      <c r="AG91" s="119">
        <v>0.39100668413607098</v>
      </c>
      <c r="AH91" s="119">
        <v>0.39797449029106302</v>
      </c>
      <c r="AI91" s="119">
        <v>0.403821779671377</v>
      </c>
      <c r="AJ91" s="119">
        <v>0.409562553024719</v>
      </c>
      <c r="AK91" s="119">
        <v>0.411784615874773</v>
      </c>
      <c r="AL91" s="119">
        <v>0.41357360698293699</v>
      </c>
      <c r="AM91" s="119">
        <v>0.41494889283568398</v>
      </c>
      <c r="AN91" s="119">
        <v>0.41691379285459101</v>
      </c>
      <c r="AO91" s="119">
        <v>0.418683046958226</v>
      </c>
      <c r="AP91" s="119">
        <v>0.42152771224867802</v>
      </c>
      <c r="AQ91" s="119">
        <v>0.42426069797329802</v>
      </c>
      <c r="AR91" s="119">
        <v>0.427824244404934</v>
      </c>
      <c r="AS91" s="119">
        <v>0.42871016281694901</v>
      </c>
      <c r="AT91" s="119">
        <v>0.42872683021869601</v>
      </c>
      <c r="AU91" s="119">
        <v>0.42042988753195099</v>
      </c>
      <c r="AV91" s="119">
        <v>0.40889338552665899</v>
      </c>
      <c r="AW91" s="119">
        <v>0.39627519381019299</v>
      </c>
      <c r="AX91" s="119">
        <v>0.38467977422373101</v>
      </c>
      <c r="AY91" s="119">
        <v>0.37566563459651803</v>
      </c>
      <c r="AZ91" s="119">
        <v>0.375707593030631</v>
      </c>
      <c r="BA91" s="119">
        <v>0.37842347656493602</v>
      </c>
      <c r="BB91" s="119">
        <v>0.38223433221608899</v>
      </c>
      <c r="BC91" s="119">
        <v>0.385893594771341</v>
      </c>
      <c r="BD91" s="119">
        <v>0.39124068312905702</v>
      </c>
      <c r="BE91" s="119">
        <v>0.39777539385348998</v>
      </c>
      <c r="BF91" s="119">
        <v>0.40159668321181702</v>
      </c>
      <c r="BG91" s="119">
        <v>0.40696899898477401</v>
      </c>
      <c r="BH91" s="119">
        <v>0.41119330056348402</v>
      </c>
      <c r="BI91" s="119">
        <v>0.41479726130135502</v>
      </c>
      <c r="BJ91" s="119">
        <v>0.42047702585859098</v>
      </c>
      <c r="BK91" s="119">
        <v>0.42128977249744698</v>
      </c>
      <c r="BL91" s="119">
        <v>0.42667673519942501</v>
      </c>
    </row>
    <row r="92" spans="1:64" x14ac:dyDescent="0.25">
      <c r="A92" s="860" t="s">
        <v>204</v>
      </c>
      <c r="B92" s="1">
        <v>398</v>
      </c>
      <c r="C92" s="119">
        <v>0.5</v>
      </c>
      <c r="D92" s="119">
        <v>0.31681287771481098</v>
      </c>
      <c r="E92" s="119">
        <v>0.32386431955974698</v>
      </c>
      <c r="F92" s="119">
        <v>0.32866780075736302</v>
      </c>
      <c r="G92" s="119">
        <v>0.33358017887040697</v>
      </c>
      <c r="H92" s="119">
        <v>0.339982799273643</v>
      </c>
      <c r="I92" s="119">
        <v>0.34776160754659002</v>
      </c>
      <c r="J92" s="119">
        <v>0.35437804731578598</v>
      </c>
      <c r="K92" s="119">
        <v>0.35944016230798997</v>
      </c>
      <c r="L92" s="119">
        <v>0.365693666961868</v>
      </c>
      <c r="M92" s="119">
        <v>0.37294765431580801</v>
      </c>
      <c r="N92" s="119">
        <v>0.37955726116833899</v>
      </c>
      <c r="O92" s="119">
        <v>0.38310842599797301</v>
      </c>
      <c r="P92" s="119">
        <v>0.38895134148442001</v>
      </c>
      <c r="Q92" s="119">
        <v>0.393825161010599</v>
      </c>
      <c r="R92" s="119">
        <v>0.39856429132908699</v>
      </c>
      <c r="S92" s="119">
        <v>0.40441497543713101</v>
      </c>
      <c r="T92" s="119">
        <v>0.41122286548070702</v>
      </c>
      <c r="U92" s="119">
        <v>0.41644338897363697</v>
      </c>
      <c r="V92" s="119">
        <v>0.42143139198955099</v>
      </c>
      <c r="W92" s="119">
        <v>0.42797078422444002</v>
      </c>
      <c r="X92" s="119">
        <v>0.434101204523064</v>
      </c>
      <c r="Y92" s="119">
        <v>0.44149870104683298</v>
      </c>
      <c r="Z92" s="119">
        <v>0.44701763835654901</v>
      </c>
      <c r="AA92" s="119">
        <v>0.455613585665402</v>
      </c>
      <c r="AB92" s="119">
        <v>0.46438823241656502</v>
      </c>
      <c r="AC92" s="119">
        <v>0.474444232881016</v>
      </c>
      <c r="AD92" s="119">
        <v>0.49338595338733299</v>
      </c>
      <c r="AE92" s="119">
        <v>0.51304809971015397</v>
      </c>
      <c r="AF92" s="119">
        <v>0.531035020635935</v>
      </c>
      <c r="AG92" s="119">
        <v>0.54525803587442001</v>
      </c>
      <c r="AH92" s="119">
        <v>0.54983037074247698</v>
      </c>
      <c r="AI92" s="119">
        <v>0.54807901831135297</v>
      </c>
      <c r="AJ92" s="119">
        <v>0.54358451552569798</v>
      </c>
      <c r="AK92" s="119">
        <v>0.53702196916182898</v>
      </c>
      <c r="AL92" s="119">
        <v>0.52851747377043101</v>
      </c>
      <c r="AM92" s="119">
        <v>0.52042047830831795</v>
      </c>
      <c r="AN92" s="119">
        <v>0.51351952255125299</v>
      </c>
      <c r="AO92" s="119">
        <v>0.50768850560379997</v>
      </c>
      <c r="AP92" s="119">
        <v>0.50587852012424195</v>
      </c>
      <c r="AQ92" s="119">
        <v>0.503157082550441</v>
      </c>
      <c r="AR92" s="119">
        <v>0.50239382488033801</v>
      </c>
      <c r="AS92" s="119">
        <v>0.50295944623344901</v>
      </c>
      <c r="AT92" s="119">
        <v>0.50362809784109996</v>
      </c>
      <c r="AU92" s="119">
        <v>0.50307351393048805</v>
      </c>
      <c r="AV92" s="119">
        <v>0.50348689056173501</v>
      </c>
      <c r="AW92" s="119">
        <v>0.503848350937245</v>
      </c>
      <c r="AX92" s="119">
        <v>0.50126963559272897</v>
      </c>
      <c r="AY92" s="119">
        <v>0.49834888446707798</v>
      </c>
      <c r="AZ92" s="119">
        <v>0.49796075125699102</v>
      </c>
      <c r="BA92" s="119">
        <v>0.49942845532176799</v>
      </c>
      <c r="BB92" s="119">
        <v>0.500826922308097</v>
      </c>
      <c r="BC92" s="119">
        <v>0.505529720364152</v>
      </c>
      <c r="BD92" s="119">
        <v>0.50962469603853</v>
      </c>
      <c r="BE92" s="119">
        <v>0.512938135520422</v>
      </c>
      <c r="BF92" s="119">
        <v>0.51627900170794505</v>
      </c>
      <c r="BG92" s="119">
        <v>0.52071770301206299</v>
      </c>
      <c r="BH92" s="119">
        <v>0.52411171153421798</v>
      </c>
      <c r="BI92" s="119">
        <v>0.53012998688396795</v>
      </c>
      <c r="BJ92" s="119">
        <v>0.533865858919224</v>
      </c>
      <c r="BK92" s="119">
        <v>0.53643710750124196</v>
      </c>
      <c r="BL92" s="119">
        <v>0.54000214685338399</v>
      </c>
    </row>
    <row r="93" spans="1:64" x14ac:dyDescent="0.25">
      <c r="A93" s="860" t="s">
        <v>39</v>
      </c>
      <c r="B93" s="1">
        <v>404</v>
      </c>
      <c r="C93" s="119">
        <v>0.5</v>
      </c>
      <c r="D93" s="119">
        <v>2.1215364533539002E-2</v>
      </c>
      <c r="E93" s="119">
        <v>2.38903230505732E-2</v>
      </c>
      <c r="F93" s="119">
        <v>2.7073101138217402E-2</v>
      </c>
      <c r="G93" s="119">
        <v>3.0546841372446398E-2</v>
      </c>
      <c r="H93" s="119">
        <v>3.4530081024891399E-2</v>
      </c>
      <c r="I93" s="119">
        <v>3.8118560359533801E-2</v>
      </c>
      <c r="J93" s="119">
        <v>4.2916034395875498E-2</v>
      </c>
      <c r="K93" s="119">
        <v>4.8428968368191799E-2</v>
      </c>
      <c r="L93" s="119">
        <v>5.39270427756064E-2</v>
      </c>
      <c r="M93" s="119">
        <v>6.0322584625791799E-2</v>
      </c>
      <c r="N93" s="119">
        <v>6.7105852352041098E-2</v>
      </c>
      <c r="O93" s="119">
        <v>7.4936413525875004E-2</v>
      </c>
      <c r="P93" s="119">
        <v>8.3822917294992597E-2</v>
      </c>
      <c r="Q93" s="119">
        <v>9.3094492074736301E-2</v>
      </c>
      <c r="R93" s="119">
        <v>0.10331006980522101</v>
      </c>
      <c r="S93" s="119">
        <v>0.11609728157626099</v>
      </c>
      <c r="T93" s="119">
        <v>0.129790324786899</v>
      </c>
      <c r="U93" s="119">
        <v>0.14589300080495601</v>
      </c>
      <c r="V93" s="119">
        <v>0.163122408446707</v>
      </c>
      <c r="W93" s="119">
        <v>0.18060967096827599</v>
      </c>
      <c r="X93" s="119">
        <v>0.201264676392304</v>
      </c>
      <c r="Y93" s="119">
        <v>0.222527409850725</v>
      </c>
      <c r="Z93" s="119">
        <v>0.24418003493238999</v>
      </c>
      <c r="AA93" s="119">
        <v>0.26548134496462999</v>
      </c>
      <c r="AB93" s="119">
        <v>0.27796041485946499</v>
      </c>
      <c r="AC93" s="119">
        <v>0.288473999427107</v>
      </c>
      <c r="AD93" s="119">
        <v>0.29710520144840402</v>
      </c>
      <c r="AE93" s="119">
        <v>0.30549473901374502</v>
      </c>
      <c r="AF93" s="119">
        <v>0.31157715725325302</v>
      </c>
      <c r="AG93" s="119">
        <v>0.315213360971351</v>
      </c>
      <c r="AH93" s="119">
        <v>0.31637982558148797</v>
      </c>
      <c r="AI93" s="119">
        <v>0.31812408807286602</v>
      </c>
      <c r="AJ93" s="119">
        <v>0.320757791100449</v>
      </c>
      <c r="AK93" s="119">
        <v>0.32401320150567903</v>
      </c>
      <c r="AL93" s="119">
        <v>0.33526513969670402</v>
      </c>
      <c r="AM93" s="119">
        <v>0.35010436778057902</v>
      </c>
      <c r="AN93" s="119">
        <v>0.36499652672308702</v>
      </c>
      <c r="AO93" s="119">
        <v>0.38140233448699601</v>
      </c>
      <c r="AP93" s="119">
        <v>0.39996063458229703</v>
      </c>
      <c r="AQ93" s="119">
        <v>0.42457496632231301</v>
      </c>
      <c r="AR93" s="119">
        <v>0.44986835016932902</v>
      </c>
      <c r="AS93" s="119">
        <v>0.47577938580522799</v>
      </c>
      <c r="AT93" s="119">
        <v>0.50298260371039305</v>
      </c>
      <c r="AU93" s="119">
        <v>0.53093128825896097</v>
      </c>
      <c r="AV93" s="119">
        <v>0.56026095686114097</v>
      </c>
      <c r="AW93" s="119">
        <v>0.59201800520130199</v>
      </c>
      <c r="AX93" s="119">
        <v>0.60168421848579601</v>
      </c>
      <c r="AY93" s="119">
        <v>0.60208624564297097</v>
      </c>
      <c r="AZ93" s="119">
        <v>0.598494871917433</v>
      </c>
      <c r="BA93" s="119">
        <v>0.59077010768271698</v>
      </c>
      <c r="BB93" s="119">
        <v>0.597099596684175</v>
      </c>
      <c r="BC93" s="119">
        <v>0.60381246603025696</v>
      </c>
      <c r="BD93" s="119">
        <v>0.60938113038383201</v>
      </c>
      <c r="BE93" s="119">
        <v>0.61527951506473499</v>
      </c>
      <c r="BF93" s="119">
        <v>0.6198130237053</v>
      </c>
      <c r="BG93" s="119">
        <v>0.625393305042651</v>
      </c>
      <c r="BH93" s="119">
        <v>0.63180289024421898</v>
      </c>
      <c r="BI93" s="119">
        <v>0.63520450688651897</v>
      </c>
      <c r="BJ93" s="119">
        <v>0.63938296283632401</v>
      </c>
      <c r="BK93" s="119">
        <v>0.64299702625852095</v>
      </c>
      <c r="BL93" s="119">
        <v>0.64555285796280004</v>
      </c>
    </row>
    <row r="94" spans="1:64" x14ac:dyDescent="0.25">
      <c r="A94" s="860" t="s">
        <v>205</v>
      </c>
      <c r="B94" s="1">
        <v>296</v>
      </c>
      <c r="C94" s="119">
        <v>0.5</v>
      </c>
      <c r="D94" s="119">
        <v>0.192210711471443</v>
      </c>
      <c r="E94" s="119">
        <v>0.194477953042313</v>
      </c>
      <c r="F94" s="119">
        <v>0.19760815840401499</v>
      </c>
      <c r="G94" s="119">
        <v>0.19869586798001801</v>
      </c>
      <c r="H94" s="119">
        <v>0.20183686212643401</v>
      </c>
      <c r="I94" s="119">
        <v>0.20555456318490201</v>
      </c>
      <c r="J94" s="119">
        <v>0.20853311802931901</v>
      </c>
      <c r="K94" s="119">
        <v>0.21169036932527499</v>
      </c>
      <c r="L94" s="119">
        <v>0.21723791667960299</v>
      </c>
      <c r="M94" s="119">
        <v>0.21904918794582701</v>
      </c>
      <c r="N94" s="119">
        <v>0.22318620785642199</v>
      </c>
      <c r="O94" s="119">
        <v>0.225984497080675</v>
      </c>
      <c r="P94" s="119">
        <v>0.228705619722014</v>
      </c>
      <c r="Q94" s="119">
        <v>0.23165719828266801</v>
      </c>
      <c r="R94" s="119">
        <v>0.23429983331653201</v>
      </c>
      <c r="S94" s="119">
        <v>0.23810762442649699</v>
      </c>
      <c r="T94" s="119">
        <v>0.240409040161814</v>
      </c>
      <c r="U94" s="119">
        <v>0.24126851348804501</v>
      </c>
      <c r="V94" s="119">
        <v>0.243899483169599</v>
      </c>
      <c r="W94" s="119">
        <v>0.24898823215966001</v>
      </c>
      <c r="X94" s="119">
        <v>0.250789012258125</v>
      </c>
      <c r="Y94" s="119">
        <v>0.25455702110813799</v>
      </c>
      <c r="Z94" s="119">
        <v>0.25824004804560402</v>
      </c>
      <c r="AA94" s="119">
        <v>0.26123311905441399</v>
      </c>
      <c r="AB94" s="119">
        <v>0.26602903651649901</v>
      </c>
      <c r="AC94" s="119">
        <v>0.269048963734068</v>
      </c>
      <c r="AD94" s="119">
        <v>0.27133125860588703</v>
      </c>
      <c r="AE94" s="119">
        <v>0.27407607848358101</v>
      </c>
      <c r="AF94" s="119">
        <v>0.27771839244955898</v>
      </c>
      <c r="AG94" s="119">
        <v>0.28020063907464099</v>
      </c>
      <c r="AH94" s="119">
        <v>0.27697565289081</v>
      </c>
      <c r="AI94" s="119">
        <v>0.267122676961698</v>
      </c>
      <c r="AJ94" s="119">
        <v>0.25578519084401102</v>
      </c>
      <c r="AK94" s="119">
        <v>0.24221868893301199</v>
      </c>
      <c r="AL94" s="119">
        <v>0.228605203119779</v>
      </c>
      <c r="AM94" s="119">
        <v>0.21527120187422299</v>
      </c>
      <c r="AN94" s="119">
        <v>0.202825171591175</v>
      </c>
      <c r="AO94" s="119">
        <v>0.19305059740469899</v>
      </c>
      <c r="AP94" s="119">
        <v>0.18542016520889601</v>
      </c>
      <c r="AQ94" s="119">
        <v>0.184079452084873</v>
      </c>
      <c r="AR94" s="119">
        <v>0.18651743069333199</v>
      </c>
      <c r="AS94" s="119">
        <v>0.19193826820791501</v>
      </c>
      <c r="AT94" s="119">
        <v>0.19855641100610599</v>
      </c>
      <c r="AU94" s="119">
        <v>0.206094446059299</v>
      </c>
      <c r="AV94" s="119">
        <v>0.21391028233405299</v>
      </c>
      <c r="AW94" s="119">
        <v>0.221965483902029</v>
      </c>
      <c r="AX94" s="119">
        <v>0.23014970543062899</v>
      </c>
      <c r="AY94" s="119">
        <v>0.23721014215811001</v>
      </c>
      <c r="AZ94" s="119">
        <v>0.244182347528558</v>
      </c>
      <c r="BA94" s="119">
        <v>0.24938017505767701</v>
      </c>
      <c r="BB94" s="119">
        <v>0.25189248609808701</v>
      </c>
      <c r="BC94" s="119">
        <v>0.25678609327037699</v>
      </c>
      <c r="BD94" s="119">
        <v>0.25961859710740098</v>
      </c>
      <c r="BE94" s="119">
        <v>0.26244479758622802</v>
      </c>
      <c r="BF94" s="119">
        <v>0.26568974625936098</v>
      </c>
      <c r="BG94" s="119">
        <v>0.26882331972925699</v>
      </c>
      <c r="BH94" s="119">
        <v>0.27137876364611502</v>
      </c>
      <c r="BI94" s="119">
        <v>0.27380109433204303</v>
      </c>
      <c r="BJ94" s="119">
        <v>0.27728092259541698</v>
      </c>
      <c r="BK94" s="119">
        <v>0.280582684734904</v>
      </c>
      <c r="BL94" s="119">
        <v>0.28487497253681399</v>
      </c>
    </row>
    <row r="95" spans="1:64" x14ac:dyDescent="0.25">
      <c r="A95" s="860" t="s">
        <v>206</v>
      </c>
      <c r="B95" s="1">
        <v>414</v>
      </c>
      <c r="C95" s="119">
        <v>0.5</v>
      </c>
      <c r="D95" s="119">
        <v>0.19951398708826901</v>
      </c>
      <c r="E95" s="119">
        <v>0.207190922849673</v>
      </c>
      <c r="F95" s="119">
        <v>0.21573871231851299</v>
      </c>
      <c r="G95" s="119">
        <v>0.223486093371878</v>
      </c>
      <c r="H95" s="119">
        <v>0.23115714484225999</v>
      </c>
      <c r="I95" s="119">
        <v>0.240965300297249</v>
      </c>
      <c r="J95" s="119">
        <v>0.249450087660054</v>
      </c>
      <c r="K95" s="119">
        <v>0.258928517694692</v>
      </c>
      <c r="L95" s="119">
        <v>0.26900512424624901</v>
      </c>
      <c r="M95" s="119">
        <v>0.27859964151106398</v>
      </c>
      <c r="N95" s="119">
        <v>0.286608074919185</v>
      </c>
      <c r="O95" s="119">
        <v>0.29664580201915097</v>
      </c>
      <c r="P95" s="119">
        <v>0.30819420716104801</v>
      </c>
      <c r="Q95" s="119">
        <v>0.317098149885574</v>
      </c>
      <c r="R95" s="119">
        <v>0.32600406862153403</v>
      </c>
      <c r="S95" s="119">
        <v>0.329560258141606</v>
      </c>
      <c r="T95" s="119">
        <v>0.33163771337422399</v>
      </c>
      <c r="U95" s="119">
        <v>0.33564048907781202</v>
      </c>
      <c r="V95" s="119">
        <v>0.34125272185879202</v>
      </c>
      <c r="W95" s="119">
        <v>0.34668213366473999</v>
      </c>
      <c r="X95" s="119">
        <v>0.35407931946947302</v>
      </c>
      <c r="Y95" s="119">
        <v>0.36057911187896502</v>
      </c>
      <c r="Z95" s="119">
        <v>0.36773531964960998</v>
      </c>
      <c r="AA95" s="119">
        <v>0.37511897781334502</v>
      </c>
      <c r="AB95" s="119">
        <v>0.38226086443962998</v>
      </c>
      <c r="AC95" s="119">
        <v>0.383360275770806</v>
      </c>
      <c r="AD95" s="119">
        <v>0.38420773454454799</v>
      </c>
      <c r="AE95" s="119">
        <v>0.38536173726287198</v>
      </c>
      <c r="AF95" s="119">
        <v>0.38680826310142902</v>
      </c>
      <c r="AG95" s="119">
        <v>0.386826741015662</v>
      </c>
      <c r="AH95" s="119">
        <v>0.39128191681761398</v>
      </c>
      <c r="AI95" s="119">
        <v>0.394073924101767</v>
      </c>
      <c r="AJ95" s="119">
        <v>0.39706671466356303</v>
      </c>
      <c r="AK95" s="119">
        <v>0.40188446354541202</v>
      </c>
      <c r="AL95" s="119">
        <v>0.40663484617698997</v>
      </c>
      <c r="AM95" s="119">
        <v>0.41242846676691503</v>
      </c>
      <c r="AN95" s="119">
        <v>0.41586915156469201</v>
      </c>
      <c r="AO95" s="119">
        <v>0.41992951810477702</v>
      </c>
      <c r="AP95" s="119">
        <v>0.42496136792059303</v>
      </c>
      <c r="AQ95" s="119">
        <v>0.42931370990634299</v>
      </c>
      <c r="AR95" s="119">
        <v>0.43439115189113497</v>
      </c>
      <c r="AS95" s="119">
        <v>0.43707540786698101</v>
      </c>
      <c r="AT95" s="119">
        <v>0.44152393066260498</v>
      </c>
      <c r="AU95" s="119">
        <v>0.44582012259215498</v>
      </c>
      <c r="AV95" s="119">
        <v>0.45058640936381</v>
      </c>
      <c r="AW95" s="119">
        <v>0.45534787130309001</v>
      </c>
      <c r="AX95" s="119">
        <v>0.45800013867886602</v>
      </c>
      <c r="AY95" s="119">
        <v>0.46366182051758298</v>
      </c>
      <c r="AZ95" s="119">
        <v>0.46676770245848098</v>
      </c>
      <c r="BA95" s="119">
        <v>0.47079446155106502</v>
      </c>
      <c r="BB95" s="119">
        <v>0.47346517187246701</v>
      </c>
      <c r="BC95" s="119">
        <v>0.47763931259717002</v>
      </c>
      <c r="BD95" s="119">
        <v>0.47844293984333103</v>
      </c>
      <c r="BE95" s="119">
        <v>0.48266368680232902</v>
      </c>
      <c r="BF95" s="119">
        <v>0.48613167110380301</v>
      </c>
      <c r="BG95" s="119">
        <v>0.48906171576702101</v>
      </c>
      <c r="BH95" s="119">
        <v>0.49522844883968897</v>
      </c>
      <c r="BI95" s="119">
        <v>0.499941841092571</v>
      </c>
      <c r="BJ95" s="119">
        <v>0.50323521080817302</v>
      </c>
      <c r="BK95" s="119">
        <v>0.50859656185216096</v>
      </c>
      <c r="BL95" s="119">
        <v>0.50791535275407595</v>
      </c>
    </row>
    <row r="96" spans="1:64" x14ac:dyDescent="0.25">
      <c r="A96" s="860" t="s">
        <v>2018</v>
      </c>
      <c r="B96" s="1">
        <v>417</v>
      </c>
      <c r="C96" s="119">
        <v>0.5</v>
      </c>
      <c r="D96" s="119">
        <v>0.35558025782646402</v>
      </c>
      <c r="E96" s="119">
        <v>0.36353472244166701</v>
      </c>
      <c r="F96" s="119">
        <v>0.36509910982954302</v>
      </c>
      <c r="G96" s="119">
        <v>0.371104304826607</v>
      </c>
      <c r="H96" s="119">
        <v>0.37571963816616299</v>
      </c>
      <c r="I96" s="119">
        <v>0.38278871689521998</v>
      </c>
      <c r="J96" s="119">
        <v>0.38891334294793101</v>
      </c>
      <c r="K96" s="119">
        <v>0.39209361681729799</v>
      </c>
      <c r="L96" s="119">
        <v>0.39822914404892801</v>
      </c>
      <c r="M96" s="119">
        <v>0.40477163904672397</v>
      </c>
      <c r="N96" s="119">
        <v>0.41090977010499302</v>
      </c>
      <c r="O96" s="119">
        <v>0.415765095959158</v>
      </c>
      <c r="P96" s="119">
        <v>0.42090382420626699</v>
      </c>
      <c r="Q96" s="119">
        <v>0.42426803850065697</v>
      </c>
      <c r="R96" s="119">
        <v>0.43127423978677398</v>
      </c>
      <c r="S96" s="119">
        <v>0.43621759335146099</v>
      </c>
      <c r="T96" s="119">
        <v>0.438751321274993</v>
      </c>
      <c r="U96" s="119">
        <v>0.445108937618997</v>
      </c>
      <c r="V96" s="119">
        <v>0.45009841287715502</v>
      </c>
      <c r="W96" s="119">
        <v>0.45533381839346598</v>
      </c>
      <c r="X96" s="119">
        <v>0.46044545802995401</v>
      </c>
      <c r="Y96" s="119">
        <v>0.46694465506198601</v>
      </c>
      <c r="Z96" s="119">
        <v>0.47364208289918203</v>
      </c>
      <c r="AA96" s="119">
        <v>0.47922842615656702</v>
      </c>
      <c r="AB96" s="119">
        <v>0.48531240911200302</v>
      </c>
      <c r="AC96" s="119">
        <v>0.48851747092772202</v>
      </c>
      <c r="AD96" s="119">
        <v>0.49108941739803702</v>
      </c>
      <c r="AE96" s="119">
        <v>0.49098407042638398</v>
      </c>
      <c r="AF96" s="119">
        <v>0.489379507208693</v>
      </c>
      <c r="AG96" s="119">
        <v>0.483765744054515</v>
      </c>
      <c r="AH96" s="119">
        <v>0.47750865489773597</v>
      </c>
      <c r="AI96" s="119">
        <v>0.46889943476273199</v>
      </c>
      <c r="AJ96" s="119">
        <v>0.45902510262705598</v>
      </c>
      <c r="AK96" s="119">
        <v>0.45085076924727202</v>
      </c>
      <c r="AL96" s="119">
        <v>0.440803806214349</v>
      </c>
      <c r="AM96" s="119">
        <v>0.43025314195241599</v>
      </c>
      <c r="AN96" s="119">
        <v>0.419130770838263</v>
      </c>
      <c r="AO96" s="119">
        <v>0.40391699380087698</v>
      </c>
      <c r="AP96" s="119">
        <v>0.38992064462182902</v>
      </c>
      <c r="AQ96" s="119">
        <v>0.376000429108579</v>
      </c>
      <c r="AR96" s="119">
        <v>0.36226602771107302</v>
      </c>
      <c r="AS96" s="119">
        <v>0.35177473951055299</v>
      </c>
      <c r="AT96" s="119">
        <v>0.344761390418305</v>
      </c>
      <c r="AU96" s="119">
        <v>0.346427602959612</v>
      </c>
      <c r="AV96" s="119">
        <v>0.350861969096117</v>
      </c>
      <c r="AW96" s="119">
        <v>0.354839450061049</v>
      </c>
      <c r="AX96" s="119">
        <v>0.35998891901698099</v>
      </c>
      <c r="AY96" s="119">
        <v>0.36518924549561799</v>
      </c>
      <c r="AZ96" s="119">
        <v>0.37090538257883399</v>
      </c>
      <c r="BA96" s="119">
        <v>0.37596139539231599</v>
      </c>
      <c r="BB96" s="119">
        <v>0.38210299423861899</v>
      </c>
      <c r="BC96" s="119">
        <v>0.388208326246411</v>
      </c>
      <c r="BD96" s="119">
        <v>0.39155265626555802</v>
      </c>
      <c r="BE96" s="119">
        <v>0.39658923773003102</v>
      </c>
      <c r="BF96" s="119">
        <v>0.40144613905141202</v>
      </c>
      <c r="BG96" s="119">
        <v>0.40773457936723601</v>
      </c>
      <c r="BH96" s="119">
        <v>0.413735671759067</v>
      </c>
      <c r="BI96" s="119">
        <v>0.418681538587375</v>
      </c>
      <c r="BJ96" s="119">
        <v>0.42371088537667001</v>
      </c>
      <c r="BK96" s="119">
        <v>0.42754983709837502</v>
      </c>
      <c r="BL96" s="119">
        <v>0.43211663383643101</v>
      </c>
    </row>
    <row r="97" spans="1:64" x14ac:dyDescent="0.25">
      <c r="A97" s="860" t="s">
        <v>41</v>
      </c>
      <c r="B97" s="1">
        <v>418</v>
      </c>
      <c r="C97" s="119">
        <v>0.5</v>
      </c>
      <c r="D97" s="119">
        <v>1.7407031705012899E-2</v>
      </c>
      <c r="E97" s="119">
        <v>1.91936871606979E-2</v>
      </c>
      <c r="F97" s="119">
        <v>2.1460011053249298E-2</v>
      </c>
      <c r="G97" s="119">
        <v>2.42279446801098E-2</v>
      </c>
      <c r="H97" s="119">
        <v>2.66032820571157E-2</v>
      </c>
      <c r="I97" s="119">
        <v>2.9736237993201201E-2</v>
      </c>
      <c r="J97" s="119">
        <v>3.3711211260189597E-2</v>
      </c>
      <c r="K97" s="119">
        <v>3.7189791354521197E-2</v>
      </c>
      <c r="L97" s="119">
        <v>4.0978755903023099E-2</v>
      </c>
      <c r="M97" s="119">
        <v>4.5395371174378502E-2</v>
      </c>
      <c r="N97" s="119">
        <v>5.0517896661872702E-2</v>
      </c>
      <c r="O97" s="119">
        <v>5.5518426277128302E-2</v>
      </c>
      <c r="P97" s="119">
        <v>6.1490387774725902E-2</v>
      </c>
      <c r="Q97" s="119">
        <v>6.8195409041290803E-2</v>
      </c>
      <c r="R97" s="119">
        <v>7.5054538591081299E-2</v>
      </c>
      <c r="S97" s="119">
        <v>8.2511627524295597E-2</v>
      </c>
      <c r="T97" s="119">
        <v>9.0678986171264006E-2</v>
      </c>
      <c r="U97" s="119">
        <v>9.8573085161765203E-2</v>
      </c>
      <c r="V97" s="119">
        <v>0.107711457440129</v>
      </c>
      <c r="W97" s="119">
        <v>0.116403535606212</v>
      </c>
      <c r="X97" s="119">
        <v>0.126063902911695</v>
      </c>
      <c r="Y97" s="119">
        <v>0.13624583634471199</v>
      </c>
      <c r="Z97" s="119">
        <v>0.14607508194334401</v>
      </c>
      <c r="AA97" s="119">
        <v>0.156834742073236</v>
      </c>
      <c r="AB97" s="119">
        <v>0.17100623470426701</v>
      </c>
      <c r="AC97" s="119">
        <v>0.18641130478064599</v>
      </c>
      <c r="AD97" s="119">
        <v>0.20397697701631301</v>
      </c>
      <c r="AE97" s="119">
        <v>0.221855484558554</v>
      </c>
      <c r="AF97" s="119">
        <v>0.241199891269164</v>
      </c>
      <c r="AG97" s="119">
        <v>0.26072717090933201</v>
      </c>
      <c r="AH97" s="119">
        <v>0.27884395382153998</v>
      </c>
      <c r="AI97" s="119">
        <v>0.29349265984008799</v>
      </c>
      <c r="AJ97" s="119">
        <v>0.30813177895607102</v>
      </c>
      <c r="AK97" s="119">
        <v>0.32226878808169601</v>
      </c>
      <c r="AL97" s="119">
        <v>0.33547653078508899</v>
      </c>
      <c r="AM97" s="119">
        <v>0.35065446922006799</v>
      </c>
      <c r="AN97" s="119">
        <v>0.36393259264681399</v>
      </c>
      <c r="AO97" s="119">
        <v>0.37740427807774102</v>
      </c>
      <c r="AP97" s="119">
        <v>0.38992322796987799</v>
      </c>
      <c r="AQ97" s="119">
        <v>0.40363985946645198</v>
      </c>
      <c r="AR97" s="119">
        <v>0.41738394502244902</v>
      </c>
      <c r="AS97" s="119">
        <v>0.42987856547095699</v>
      </c>
      <c r="AT97" s="119">
        <v>0.44350748439466098</v>
      </c>
      <c r="AU97" s="119">
        <v>0.456415961726091</v>
      </c>
      <c r="AV97" s="119">
        <v>0.46879126958002398</v>
      </c>
      <c r="AW97" s="119">
        <v>0.47986349473905099</v>
      </c>
      <c r="AX97" s="119">
        <v>0.49019545763726102</v>
      </c>
      <c r="AY97" s="119">
        <v>0.50187815431157401</v>
      </c>
      <c r="AZ97" s="119">
        <v>0.510578724847363</v>
      </c>
      <c r="BA97" s="119">
        <v>0.51899769300005005</v>
      </c>
      <c r="BB97" s="119">
        <v>0.52649915253132895</v>
      </c>
      <c r="BC97" s="119">
        <v>0.53318112912632798</v>
      </c>
      <c r="BD97" s="119">
        <v>0.53849889538345297</v>
      </c>
      <c r="BE97" s="119">
        <v>0.54578136911378095</v>
      </c>
      <c r="BF97" s="119">
        <v>0.55191033407053103</v>
      </c>
      <c r="BG97" s="119">
        <v>0.55801897896842401</v>
      </c>
      <c r="BH97" s="119">
        <v>0.56282075819445399</v>
      </c>
      <c r="BI97" s="119">
        <v>0.56566427403056796</v>
      </c>
      <c r="BJ97" s="119">
        <v>0.572078594394276</v>
      </c>
      <c r="BK97" s="119">
        <v>0.57630882033751896</v>
      </c>
      <c r="BL97" s="119">
        <v>0.58029686798633695</v>
      </c>
    </row>
    <row r="98" spans="1:64" x14ac:dyDescent="0.25">
      <c r="A98" s="860" t="s">
        <v>207</v>
      </c>
      <c r="B98" s="1">
        <v>428</v>
      </c>
      <c r="C98" s="119">
        <v>0.5</v>
      </c>
      <c r="D98" s="119">
        <v>0.41149886920821199</v>
      </c>
      <c r="E98" s="119">
        <v>0.41756170765483502</v>
      </c>
      <c r="F98" s="119">
        <v>0.42340512712154499</v>
      </c>
      <c r="G98" s="119">
        <v>0.42735327605650603</v>
      </c>
      <c r="H98" s="119">
        <v>0.43453543369759801</v>
      </c>
      <c r="I98" s="119">
        <v>0.44185402614385799</v>
      </c>
      <c r="J98" s="119">
        <v>0.44780215808080798</v>
      </c>
      <c r="K98" s="119">
        <v>0.448715722427663</v>
      </c>
      <c r="L98" s="119">
        <v>0.45716390512416999</v>
      </c>
      <c r="M98" s="119">
        <v>0.46055588987415902</v>
      </c>
      <c r="N98" s="119">
        <v>0.46551727754609301</v>
      </c>
      <c r="O98" s="119">
        <v>0.46967755842112702</v>
      </c>
      <c r="P98" s="119">
        <v>0.47543366333338699</v>
      </c>
      <c r="Q98" s="119">
        <v>0.47954792976173599</v>
      </c>
      <c r="R98" s="119">
        <v>0.48415945981696301</v>
      </c>
      <c r="S98" s="119">
        <v>0.48964903811649801</v>
      </c>
      <c r="T98" s="119">
        <v>0.49416412482063599</v>
      </c>
      <c r="U98" s="119">
        <v>0.49758731177467402</v>
      </c>
      <c r="V98" s="119">
        <v>0.50656966641704204</v>
      </c>
      <c r="W98" s="119">
        <v>0.51180847909836302</v>
      </c>
      <c r="X98" s="119">
        <v>0.51502783676664798</v>
      </c>
      <c r="Y98" s="119">
        <v>0.51961719034338005</v>
      </c>
      <c r="Z98" s="119">
        <v>0.52225419349115498</v>
      </c>
      <c r="AA98" s="119">
        <v>0.52558573089736504</v>
      </c>
      <c r="AB98" s="119">
        <v>0.52871043483406799</v>
      </c>
      <c r="AC98" s="119">
        <v>0.53265289926186599</v>
      </c>
      <c r="AD98" s="119">
        <v>0.53529340821165705</v>
      </c>
      <c r="AE98" s="119">
        <v>0.54035567013526398</v>
      </c>
      <c r="AF98" s="119">
        <v>0.54228288671333302</v>
      </c>
      <c r="AG98" s="119">
        <v>0.54575708513237597</v>
      </c>
      <c r="AH98" s="119">
        <v>0.54968848930009195</v>
      </c>
      <c r="AI98" s="119">
        <v>0.55792707990262902</v>
      </c>
      <c r="AJ98" s="119">
        <v>0.56155657948095306</v>
      </c>
      <c r="AK98" s="119">
        <v>0.56509954916479199</v>
      </c>
      <c r="AL98" s="119">
        <v>0.56619468875164003</v>
      </c>
      <c r="AM98" s="119">
        <v>0.57079568028447503</v>
      </c>
      <c r="AN98" s="119">
        <v>0.57488822541193596</v>
      </c>
      <c r="AO98" s="119">
        <v>0.57809521087608196</v>
      </c>
      <c r="AP98" s="119">
        <v>0.58147223297249195</v>
      </c>
      <c r="AQ98" s="119">
        <v>0.58301161885974895</v>
      </c>
      <c r="AR98" s="119">
        <v>0.58543421457585798</v>
      </c>
      <c r="AS98" s="119">
        <v>0.58768321612520802</v>
      </c>
      <c r="AT98" s="119">
        <v>0.58912490698865705</v>
      </c>
      <c r="AU98" s="119">
        <v>0.59697611597421096</v>
      </c>
      <c r="AV98" s="119">
        <v>0.60022530128326901</v>
      </c>
      <c r="AW98" s="119">
        <v>0.60212582545259297</v>
      </c>
      <c r="AX98" s="119">
        <v>0.60531067587936005</v>
      </c>
      <c r="AY98" s="119">
        <v>0.60659107348393104</v>
      </c>
      <c r="AZ98" s="119">
        <v>0.60754197790669295</v>
      </c>
      <c r="BA98" s="119">
        <v>0.61043491524312499</v>
      </c>
      <c r="BB98" s="119">
        <v>0.61479676424535101</v>
      </c>
      <c r="BC98" s="119">
        <v>0.61624226768273505</v>
      </c>
      <c r="BD98" s="119">
        <v>0.61550150327243902</v>
      </c>
      <c r="BE98" s="119">
        <v>0.62178222761718505</v>
      </c>
      <c r="BF98" s="119">
        <v>0.62607274682374003</v>
      </c>
      <c r="BG98" s="119">
        <v>0.62957207547427196</v>
      </c>
      <c r="BH98" s="119">
        <v>0.63056794784605197</v>
      </c>
      <c r="BI98" s="119">
        <v>0.63220830669926098</v>
      </c>
      <c r="BJ98" s="119">
        <v>0.63247448415058805</v>
      </c>
      <c r="BK98" s="119">
        <v>0.63552446430535503</v>
      </c>
      <c r="BL98" s="119">
        <v>0.63865627981259698</v>
      </c>
    </row>
    <row r="99" spans="1:64" x14ac:dyDescent="0.25">
      <c r="A99" s="860" t="s">
        <v>208</v>
      </c>
      <c r="B99" s="1">
        <v>422</v>
      </c>
      <c r="C99" s="119">
        <v>0.5</v>
      </c>
      <c r="D99" s="119">
        <v>0.304952393023672</v>
      </c>
      <c r="E99" s="119">
        <v>0.31056943102269202</v>
      </c>
      <c r="F99" s="119">
        <v>0.31485871614801297</v>
      </c>
      <c r="G99" s="119">
        <v>0.32158530078038799</v>
      </c>
      <c r="H99" s="119">
        <v>0.32600304477238401</v>
      </c>
      <c r="I99" s="119">
        <v>0.33098739698785101</v>
      </c>
      <c r="J99" s="119">
        <v>0.33399538939081203</v>
      </c>
      <c r="K99" s="119">
        <v>0.33941679230651201</v>
      </c>
      <c r="L99" s="119">
        <v>0.34552326334427502</v>
      </c>
      <c r="M99" s="119">
        <v>0.34955679236781101</v>
      </c>
      <c r="N99" s="119">
        <v>0.35575260560510102</v>
      </c>
      <c r="O99" s="119">
        <v>0.36123944219971099</v>
      </c>
      <c r="P99" s="119">
        <v>0.36554731576051203</v>
      </c>
      <c r="Q99" s="119">
        <v>0.36972626042783702</v>
      </c>
      <c r="R99" s="119">
        <v>0.37128309250338298</v>
      </c>
      <c r="S99" s="119">
        <v>0.37201681934884201</v>
      </c>
      <c r="T99" s="119">
        <v>0.37259857560360199</v>
      </c>
      <c r="U99" s="119">
        <v>0.37215991184283898</v>
      </c>
      <c r="V99" s="119">
        <v>0.37171894306949799</v>
      </c>
      <c r="W99" s="119">
        <v>0.37078321591281999</v>
      </c>
      <c r="X99" s="119">
        <v>0.37205673095476</v>
      </c>
      <c r="Y99" s="119">
        <v>0.37321848315808698</v>
      </c>
      <c r="Z99" s="119">
        <v>0.37441847452191501</v>
      </c>
      <c r="AA99" s="119">
        <v>0.37620745611533901</v>
      </c>
      <c r="AB99" s="119">
        <v>0.37869879668242201</v>
      </c>
      <c r="AC99" s="119">
        <v>0.37929969204642999</v>
      </c>
      <c r="AD99" s="119">
        <v>0.38035227322144399</v>
      </c>
      <c r="AE99" s="119">
        <v>0.382748405203304</v>
      </c>
      <c r="AF99" s="119">
        <v>0.38557611579460199</v>
      </c>
      <c r="AG99" s="119">
        <v>0.38907318633106902</v>
      </c>
      <c r="AH99" s="119">
        <v>0.39044667826191098</v>
      </c>
      <c r="AI99" s="119">
        <v>0.38933043152173002</v>
      </c>
      <c r="AJ99" s="119">
        <v>0.38904307400344401</v>
      </c>
      <c r="AK99" s="119">
        <v>0.38756868383980497</v>
      </c>
      <c r="AL99" s="119">
        <v>0.38746926352858402</v>
      </c>
      <c r="AM99" s="119">
        <v>0.39595461520390901</v>
      </c>
      <c r="AN99" s="119">
        <v>0.400601563793822</v>
      </c>
      <c r="AO99" s="119">
        <v>0.407678040305196</v>
      </c>
      <c r="AP99" s="119">
        <v>0.41351044319702102</v>
      </c>
      <c r="AQ99" s="119">
        <v>0.41884152974712002</v>
      </c>
      <c r="AR99" s="119">
        <v>0.42150523408734702</v>
      </c>
      <c r="AS99" s="119">
        <v>0.42464102909748203</v>
      </c>
      <c r="AT99" s="119">
        <v>0.42876508124509799</v>
      </c>
      <c r="AU99" s="119">
        <v>0.43321979246872</v>
      </c>
      <c r="AV99" s="119">
        <v>0.43653405936650902</v>
      </c>
      <c r="AW99" s="119">
        <v>0.43836166412126498</v>
      </c>
      <c r="AX99" s="119">
        <v>0.44401679888100998</v>
      </c>
      <c r="AY99" s="119">
        <v>0.44831384364483601</v>
      </c>
      <c r="AZ99" s="119">
        <v>0.45013313287893603</v>
      </c>
      <c r="BA99" s="119">
        <v>0.453191440354129</v>
      </c>
      <c r="BB99" s="119">
        <v>0.45789816786987397</v>
      </c>
      <c r="BC99" s="119">
        <v>0.45899431847920202</v>
      </c>
      <c r="BD99" s="119">
        <v>0.460765861266279</v>
      </c>
      <c r="BE99" s="119">
        <v>0.46150976722409998</v>
      </c>
      <c r="BF99" s="119">
        <v>0.46510929282630897</v>
      </c>
      <c r="BG99" s="119">
        <v>0.469454345486431</v>
      </c>
      <c r="BH99" s="119">
        <v>0.47357949520932502</v>
      </c>
      <c r="BI99" s="119">
        <v>0.47490272518851701</v>
      </c>
      <c r="BJ99" s="119">
        <v>0.47797289201731402</v>
      </c>
      <c r="BK99" s="119">
        <v>0.480303469856037</v>
      </c>
      <c r="BL99" s="119">
        <v>0.48580184501370399</v>
      </c>
    </row>
    <row r="100" spans="1:64" x14ac:dyDescent="0.25">
      <c r="A100" s="860" t="s">
        <v>42</v>
      </c>
      <c r="B100" s="1">
        <v>426</v>
      </c>
      <c r="C100" s="119">
        <v>0.5</v>
      </c>
      <c r="D100" s="119">
        <v>1.0602387280827699E-2</v>
      </c>
      <c r="E100" s="119">
        <v>1.25388818708925E-2</v>
      </c>
      <c r="F100" s="119">
        <v>1.4633497784489E-2</v>
      </c>
      <c r="G100" s="119">
        <v>1.7212904433595501E-2</v>
      </c>
      <c r="H100" s="119">
        <v>2.01936753634827E-2</v>
      </c>
      <c r="I100" s="119">
        <v>2.3428885106811102E-2</v>
      </c>
      <c r="J100" s="119">
        <v>2.7059796738940201E-2</v>
      </c>
      <c r="K100" s="119">
        <v>3.1372908208177099E-2</v>
      </c>
      <c r="L100" s="119">
        <v>3.5981110798068199E-2</v>
      </c>
      <c r="M100" s="119">
        <v>4.1744535333424197E-2</v>
      </c>
      <c r="N100" s="119">
        <v>4.7919504329338801E-2</v>
      </c>
      <c r="O100" s="119">
        <v>5.4513119569113401E-2</v>
      </c>
      <c r="P100" s="119">
        <v>6.2398297986845201E-2</v>
      </c>
      <c r="Q100" s="119">
        <v>7.0938061809777103E-2</v>
      </c>
      <c r="R100" s="119">
        <v>8.1017109911710794E-2</v>
      </c>
      <c r="S100" s="119">
        <v>9.2020639853147901E-2</v>
      </c>
      <c r="T100" s="119">
        <v>0.103394941976093</v>
      </c>
      <c r="U100" s="119">
        <v>0.116445347471368</v>
      </c>
      <c r="V100" s="119">
        <v>0.13028312128316999</v>
      </c>
      <c r="W100" s="119">
        <v>0.14474571656900201</v>
      </c>
      <c r="X100" s="119">
        <v>0.16063303930539899</v>
      </c>
      <c r="Y100" s="119">
        <v>0.17509199983019</v>
      </c>
      <c r="Z100" s="119">
        <v>0.18921186332440301</v>
      </c>
      <c r="AA100" s="119">
        <v>0.203185393171952</v>
      </c>
      <c r="AB100" s="119">
        <v>0.21656520299715601</v>
      </c>
      <c r="AC100" s="119">
        <v>0.23102076966150201</v>
      </c>
      <c r="AD100" s="119">
        <v>0.245115935391474</v>
      </c>
      <c r="AE100" s="119">
        <v>0.25818334405780502</v>
      </c>
      <c r="AF100" s="119">
        <v>0.27193330212016698</v>
      </c>
      <c r="AG100" s="119">
        <v>0.28665934058242698</v>
      </c>
      <c r="AH100" s="119">
        <v>0.30144857218049498</v>
      </c>
      <c r="AI100" s="119">
        <v>0.31333831383504601</v>
      </c>
      <c r="AJ100" s="119">
        <v>0.32571803438257302</v>
      </c>
      <c r="AK100" s="119">
        <v>0.33990156190957499</v>
      </c>
      <c r="AL100" s="119">
        <v>0.35455703475728401</v>
      </c>
      <c r="AM100" s="119">
        <v>0.37320718692831001</v>
      </c>
      <c r="AN100" s="119">
        <v>0.39299836073417499</v>
      </c>
      <c r="AO100" s="119">
        <v>0.414932085864884</v>
      </c>
      <c r="AP100" s="119">
        <v>0.43908010176027701</v>
      </c>
      <c r="AQ100" s="119">
        <v>0.46710080205016602</v>
      </c>
      <c r="AR100" s="119">
        <v>0.50368779569017297</v>
      </c>
      <c r="AS100" s="119">
        <v>0.53841865778518805</v>
      </c>
      <c r="AT100" s="119">
        <v>0.56341410009312098</v>
      </c>
      <c r="AU100" s="119">
        <v>0.58271348462379002</v>
      </c>
      <c r="AV100" s="119">
        <v>0.59788046704883901</v>
      </c>
      <c r="AW100" s="119">
        <v>0.608465317578052</v>
      </c>
      <c r="AX100" s="119">
        <v>0.61674385940514898</v>
      </c>
      <c r="AY100" s="119">
        <v>0.62486850407345995</v>
      </c>
      <c r="AZ100" s="119">
        <v>0.63237698900904205</v>
      </c>
      <c r="BA100" s="119">
        <v>0.63750469128211196</v>
      </c>
      <c r="BB100" s="119">
        <v>0.64297359564631995</v>
      </c>
      <c r="BC100" s="119">
        <v>0.64859159576217595</v>
      </c>
      <c r="BD100" s="119">
        <v>0.65324187983612902</v>
      </c>
      <c r="BE100" s="119">
        <v>0.65899381272668101</v>
      </c>
      <c r="BF100" s="119">
        <v>0.663779467269904</v>
      </c>
      <c r="BG100" s="119">
        <v>0.66796198555935504</v>
      </c>
      <c r="BH100" s="119">
        <v>0.67147255806809403</v>
      </c>
      <c r="BI100" s="119">
        <v>0.67465168264119602</v>
      </c>
      <c r="BJ100" s="119">
        <v>0.67777397636640202</v>
      </c>
      <c r="BK100" s="119">
        <v>0.68378132097472499</v>
      </c>
      <c r="BL100" s="119">
        <v>0.68924393676412099</v>
      </c>
    </row>
    <row r="101" spans="1:64" x14ac:dyDescent="0.25">
      <c r="A101" s="860" t="s">
        <v>43</v>
      </c>
      <c r="B101" s="1">
        <v>430</v>
      </c>
      <c r="C101" s="119">
        <v>0.5</v>
      </c>
      <c r="D101" s="119">
        <v>1.58788330150368E-2</v>
      </c>
      <c r="E101" s="119">
        <v>1.74308141409459E-2</v>
      </c>
      <c r="F101" s="119">
        <v>1.91336409687855E-2</v>
      </c>
      <c r="G101" s="119">
        <v>2.09037029526188E-2</v>
      </c>
      <c r="H101" s="119">
        <v>2.2756406889853201E-2</v>
      </c>
      <c r="I101" s="119">
        <v>2.47709474770638E-2</v>
      </c>
      <c r="J101" s="119">
        <v>2.6886749703311098E-2</v>
      </c>
      <c r="K101" s="119">
        <v>2.9309384238154101E-2</v>
      </c>
      <c r="L101" s="119">
        <v>3.1600078701566198E-2</v>
      </c>
      <c r="M101" s="119">
        <v>3.4329477959597302E-2</v>
      </c>
      <c r="N101" s="119">
        <v>3.7202936434607398E-2</v>
      </c>
      <c r="O101" s="119">
        <v>3.9623837631493797E-2</v>
      </c>
      <c r="P101" s="119">
        <v>4.2653878593012999E-2</v>
      </c>
      <c r="Q101" s="119">
        <v>4.5615071463530797E-2</v>
      </c>
      <c r="R101" s="119">
        <v>4.8895618408992501E-2</v>
      </c>
      <c r="S101" s="119">
        <v>5.2138239682853402E-2</v>
      </c>
      <c r="T101" s="119">
        <v>5.5411364637747297E-2</v>
      </c>
      <c r="U101" s="119">
        <v>5.74539104793391E-2</v>
      </c>
      <c r="V101" s="119">
        <v>5.9249105161340201E-2</v>
      </c>
      <c r="W101" s="119">
        <v>6.1443881600602199E-2</v>
      </c>
      <c r="X101" s="119">
        <v>6.3837009627469798E-2</v>
      </c>
      <c r="Y101" s="119">
        <v>6.6035988293973405E-2</v>
      </c>
      <c r="Z101" s="119">
        <v>6.7808247573741307E-2</v>
      </c>
      <c r="AA101" s="119">
        <v>7.0275633717079206E-2</v>
      </c>
      <c r="AB101" s="119">
        <v>7.2350975362468303E-2</v>
      </c>
      <c r="AC101" s="119">
        <v>7.49869974762115E-2</v>
      </c>
      <c r="AD101" s="119">
        <v>7.7129251538177401E-2</v>
      </c>
      <c r="AE101" s="119">
        <v>7.9633461458604698E-2</v>
      </c>
      <c r="AF101" s="119">
        <v>8.1838129799672005E-2</v>
      </c>
      <c r="AG101" s="119">
        <v>8.4570024249778997E-2</v>
      </c>
      <c r="AH101" s="119">
        <v>8.6617331735204306E-2</v>
      </c>
      <c r="AI101" s="119">
        <v>8.8517570108470806E-2</v>
      </c>
      <c r="AJ101" s="119">
        <v>9.0738615583273494E-2</v>
      </c>
      <c r="AK101" s="119">
        <v>9.3499067548959799E-2</v>
      </c>
      <c r="AL101" s="119">
        <v>9.6188830330223907E-2</v>
      </c>
      <c r="AM101" s="119">
        <v>9.9612124520573803E-2</v>
      </c>
      <c r="AN101" s="119">
        <v>0.103510077940562</v>
      </c>
      <c r="AO101" s="119">
        <v>0.108828404327783</v>
      </c>
      <c r="AP101" s="119">
        <v>0.117644081585055</v>
      </c>
      <c r="AQ101" s="119">
        <v>0.128941157938611</v>
      </c>
      <c r="AR101" s="119">
        <v>0.142031578335331</v>
      </c>
      <c r="AS101" s="119">
        <v>0.15592315822837599</v>
      </c>
      <c r="AT101" s="119">
        <v>0.171051509842405</v>
      </c>
      <c r="AU101" s="119">
        <v>0.185642671863994</v>
      </c>
      <c r="AV101" s="119">
        <v>0.19827277324287401</v>
      </c>
      <c r="AW101" s="119">
        <v>0.21079478529649701</v>
      </c>
      <c r="AX101" s="119">
        <v>0.220860365661918</v>
      </c>
      <c r="AY101" s="119">
        <v>0.22823699196237601</v>
      </c>
      <c r="AZ101" s="119">
        <v>0.23463822652949301</v>
      </c>
      <c r="BA101" s="119">
        <v>0.24063520693229401</v>
      </c>
      <c r="BB101" s="119">
        <v>0.248542824249846</v>
      </c>
      <c r="BC101" s="119">
        <v>0.25542496931838299</v>
      </c>
      <c r="BD101" s="119">
        <v>0.263434801595891</v>
      </c>
      <c r="BE101" s="119">
        <v>0.27156762407075502</v>
      </c>
      <c r="BF101" s="119">
        <v>0.28028815175302502</v>
      </c>
      <c r="BG101" s="119">
        <v>0.28999095004030401</v>
      </c>
      <c r="BH101" s="119">
        <v>0.29869191128130701</v>
      </c>
      <c r="BI101" s="119">
        <v>0.30902598178389901</v>
      </c>
      <c r="BJ101" s="119">
        <v>0.31629152129158999</v>
      </c>
      <c r="BK101" s="119">
        <v>0.32595744012647698</v>
      </c>
      <c r="BL101" s="119">
        <v>0.33412513135348099</v>
      </c>
    </row>
    <row r="102" spans="1:64" x14ac:dyDescent="0.25">
      <c r="A102" s="860" t="s">
        <v>209</v>
      </c>
      <c r="B102" s="1">
        <v>434</v>
      </c>
      <c r="C102" s="119">
        <v>0.5</v>
      </c>
      <c r="D102" s="119">
        <v>0.112258574852062</v>
      </c>
      <c r="E102" s="119">
        <v>0.116237703330688</v>
      </c>
      <c r="F102" s="119">
        <v>0.119434052943244</v>
      </c>
      <c r="G102" s="119">
        <v>0.12588500034421701</v>
      </c>
      <c r="H102" s="119">
        <v>0.12983946657658599</v>
      </c>
      <c r="I102" s="119">
        <v>0.13471256364550399</v>
      </c>
      <c r="J102" s="119">
        <v>0.13875740700320499</v>
      </c>
      <c r="K102" s="119">
        <v>0.14288597054049501</v>
      </c>
      <c r="L102" s="119">
        <v>0.14797119366116299</v>
      </c>
      <c r="M102" s="119">
        <v>0.153217807891597</v>
      </c>
      <c r="N102" s="119">
        <v>0.157469515028485</v>
      </c>
      <c r="O102" s="119">
        <v>0.16229097903769399</v>
      </c>
      <c r="P102" s="119">
        <v>0.16826001209222999</v>
      </c>
      <c r="Q102" s="119">
        <v>0.17288643230289399</v>
      </c>
      <c r="R102" s="119">
        <v>0.178505103580194</v>
      </c>
      <c r="S102" s="119">
        <v>0.18287739494050601</v>
      </c>
      <c r="T102" s="119">
        <v>0.189962957101526</v>
      </c>
      <c r="U102" s="119">
        <v>0.19505527058604599</v>
      </c>
      <c r="V102" s="119">
        <v>0.19993515590847699</v>
      </c>
      <c r="W102" s="119">
        <v>0.205294651900748</v>
      </c>
      <c r="X102" s="119">
        <v>0.21038737664528401</v>
      </c>
      <c r="Y102" s="119">
        <v>0.21593467414714099</v>
      </c>
      <c r="Z102" s="119">
        <v>0.222691426079451</v>
      </c>
      <c r="AA102" s="119">
        <v>0.22746827471270401</v>
      </c>
      <c r="AB102" s="119">
        <v>0.233614334716713</v>
      </c>
      <c r="AC102" s="119">
        <v>0.23640587780922001</v>
      </c>
      <c r="AD102" s="119">
        <v>0.238227002775244</v>
      </c>
      <c r="AE102" s="119">
        <v>0.238733197639034</v>
      </c>
      <c r="AF102" s="119">
        <v>0.23882023872399799</v>
      </c>
      <c r="AG102" s="119">
        <v>0.23842690838767799</v>
      </c>
      <c r="AH102" s="119">
        <v>0.23735259659209201</v>
      </c>
      <c r="AI102" s="119">
        <v>0.23569640120308999</v>
      </c>
      <c r="AJ102" s="119">
        <v>0.23468513768638899</v>
      </c>
      <c r="AK102" s="119">
        <v>0.23091533816844301</v>
      </c>
      <c r="AL102" s="119">
        <v>0.22761840221994001</v>
      </c>
      <c r="AM102" s="119">
        <v>0.22457857287724101</v>
      </c>
      <c r="AN102" s="119">
        <v>0.21806572312214501</v>
      </c>
      <c r="AO102" s="119">
        <v>0.21311290738236199</v>
      </c>
      <c r="AP102" s="119">
        <v>0.21188506658819001</v>
      </c>
      <c r="AQ102" s="119">
        <v>0.20966815083683199</v>
      </c>
      <c r="AR102" s="119">
        <v>0.207287227161432</v>
      </c>
      <c r="AS102" s="119">
        <v>0.20560171263101901</v>
      </c>
      <c r="AT102" s="119">
        <v>0.20305039657466101</v>
      </c>
      <c r="AU102" s="119">
        <v>0.202489494177583</v>
      </c>
      <c r="AV102" s="119">
        <v>0.200573115587037</v>
      </c>
      <c r="AW102" s="119">
        <v>0.20531585377091199</v>
      </c>
      <c r="AX102" s="119">
        <v>0.21432974127326901</v>
      </c>
      <c r="AY102" s="119">
        <v>0.220863870411554</v>
      </c>
      <c r="AZ102" s="119">
        <v>0.22739672573609199</v>
      </c>
      <c r="BA102" s="119">
        <v>0.235560664947364</v>
      </c>
      <c r="BB102" s="119">
        <v>0.24379629599417799</v>
      </c>
      <c r="BC102" s="119">
        <v>0.25069547673769699</v>
      </c>
      <c r="BD102" s="119">
        <v>0.25776264996391501</v>
      </c>
      <c r="BE102" s="119">
        <v>0.26426855610558603</v>
      </c>
      <c r="BF102" s="119">
        <v>0.271304470496816</v>
      </c>
      <c r="BG102" s="119">
        <v>0.28029966657546701</v>
      </c>
      <c r="BH102" s="119">
        <v>0.288193398473652</v>
      </c>
      <c r="BI102" s="119">
        <v>0.29517420122153298</v>
      </c>
      <c r="BJ102" s="119">
        <v>0.30372080245266297</v>
      </c>
      <c r="BK102" s="119">
        <v>0.31139879369191797</v>
      </c>
      <c r="BL102" s="119">
        <v>0.31958278183243199</v>
      </c>
    </row>
    <row r="103" spans="1:64" x14ac:dyDescent="0.25">
      <c r="A103" s="860" t="s">
        <v>211</v>
      </c>
      <c r="B103" s="1">
        <v>440</v>
      </c>
      <c r="C103" s="119">
        <v>0.5</v>
      </c>
      <c r="D103" s="119">
        <v>0.30598076780917699</v>
      </c>
      <c r="E103" s="119">
        <v>0.30988014751507698</v>
      </c>
      <c r="F103" s="119">
        <v>0.31225379931233799</v>
      </c>
      <c r="G103" s="119">
        <v>0.31897782303746203</v>
      </c>
      <c r="H103" s="119">
        <v>0.32130530656937201</v>
      </c>
      <c r="I103" s="119">
        <v>0.32516348973575698</v>
      </c>
      <c r="J103" s="119">
        <v>0.33137686859418802</v>
      </c>
      <c r="K103" s="119">
        <v>0.33510057049578701</v>
      </c>
      <c r="L103" s="119">
        <v>0.33946854817490002</v>
      </c>
      <c r="M103" s="119">
        <v>0.34052354328774898</v>
      </c>
      <c r="N103" s="119">
        <v>0.34522870052582899</v>
      </c>
      <c r="O103" s="119">
        <v>0.35048947124838098</v>
      </c>
      <c r="P103" s="119">
        <v>0.35542523873287402</v>
      </c>
      <c r="Q103" s="119">
        <v>0.35735089286836202</v>
      </c>
      <c r="R103" s="119">
        <v>0.35863532444275298</v>
      </c>
      <c r="S103" s="119">
        <v>0.362498773724034</v>
      </c>
      <c r="T103" s="119">
        <v>0.36732814569445899</v>
      </c>
      <c r="U103" s="119">
        <v>0.37121049539624701</v>
      </c>
      <c r="V103" s="119">
        <v>0.37545175006842502</v>
      </c>
      <c r="W103" s="119">
        <v>0.37843022739735399</v>
      </c>
      <c r="X103" s="119">
        <v>0.37867578948720498</v>
      </c>
      <c r="Y103" s="119">
        <v>0.37801265005501</v>
      </c>
      <c r="Z103" s="119">
        <v>0.37528150707298502</v>
      </c>
      <c r="AA103" s="119">
        <v>0.37218795099827701</v>
      </c>
      <c r="AB103" s="119">
        <v>0.36991943922694098</v>
      </c>
      <c r="AC103" s="119">
        <v>0.36965675491596001</v>
      </c>
      <c r="AD103" s="119">
        <v>0.37659486965163702</v>
      </c>
      <c r="AE103" s="119">
        <v>0.38760216262302299</v>
      </c>
      <c r="AF103" s="119">
        <v>0.39927193609729</v>
      </c>
      <c r="AG103" s="119">
        <v>0.41123277510176498</v>
      </c>
      <c r="AH103" s="119">
        <v>0.42293274196904801</v>
      </c>
      <c r="AI103" s="119">
        <v>0.434438166245531</v>
      </c>
      <c r="AJ103" s="119">
        <v>0.4447465479605</v>
      </c>
      <c r="AK103" s="119">
        <v>0.45582871921309698</v>
      </c>
      <c r="AL103" s="119">
        <v>0.46663188339075701</v>
      </c>
      <c r="AM103" s="119">
        <v>0.47664657892114498</v>
      </c>
      <c r="AN103" s="119">
        <v>0.487679416465649</v>
      </c>
      <c r="AO103" s="119">
        <v>0.498598949945676</v>
      </c>
      <c r="AP103" s="119">
        <v>0.50594455506994396</v>
      </c>
      <c r="AQ103" s="119">
        <v>0.51338697291167401</v>
      </c>
      <c r="AR103" s="119">
        <v>0.51831277479763904</v>
      </c>
      <c r="AS103" s="119">
        <v>0.52302075146850302</v>
      </c>
      <c r="AT103" s="119">
        <v>0.52774809390229505</v>
      </c>
      <c r="AU103" s="119">
        <v>0.53275547401652601</v>
      </c>
      <c r="AV103" s="119">
        <v>0.53646566122190298</v>
      </c>
      <c r="AW103" s="119">
        <v>0.54110848173245396</v>
      </c>
      <c r="AX103" s="119">
        <v>0.54602934682881998</v>
      </c>
      <c r="AY103" s="119">
        <v>0.54868456816778899</v>
      </c>
      <c r="AZ103" s="119">
        <v>0.552285329672356</v>
      </c>
      <c r="BA103" s="119">
        <v>0.558683590512568</v>
      </c>
      <c r="BB103" s="119">
        <v>0.56192259259909505</v>
      </c>
      <c r="BC103" s="119">
        <v>0.56450273074262802</v>
      </c>
      <c r="BD103" s="119">
        <v>0.56793202007382304</v>
      </c>
      <c r="BE103" s="119">
        <v>0.57028619897284105</v>
      </c>
      <c r="BF103" s="119">
        <v>0.57561129292095603</v>
      </c>
      <c r="BG103" s="119">
        <v>0.58017075044808097</v>
      </c>
      <c r="BH103" s="119">
        <v>0.58369488301818295</v>
      </c>
      <c r="BI103" s="119">
        <v>0.58691768999016902</v>
      </c>
      <c r="BJ103" s="119">
        <v>0.58805811426574595</v>
      </c>
      <c r="BK103" s="119">
        <v>0.59182191138095097</v>
      </c>
      <c r="BL103" s="119">
        <v>0.59325953581753699</v>
      </c>
    </row>
    <row r="104" spans="1:64" x14ac:dyDescent="0.25">
      <c r="A104" s="860" t="s">
        <v>44</v>
      </c>
      <c r="B104" s="1">
        <v>450</v>
      </c>
      <c r="C104" s="119">
        <v>0.5</v>
      </c>
      <c r="D104" s="119">
        <v>3.1617894390314999E-3</v>
      </c>
      <c r="E104" s="119">
        <v>3.5799604270288798E-3</v>
      </c>
      <c r="F104" s="119">
        <v>4.1007314938278101E-3</v>
      </c>
      <c r="G104" s="119">
        <v>4.6532314645553897E-3</v>
      </c>
      <c r="H104" s="119">
        <v>5.3799894684363903E-3</v>
      </c>
      <c r="I104" s="119">
        <v>6.1895603180175604E-3</v>
      </c>
      <c r="J104" s="119">
        <v>7.2232515904420997E-3</v>
      </c>
      <c r="K104" s="119">
        <v>8.1545495095286507E-3</v>
      </c>
      <c r="L104" s="119">
        <v>9.2876628440203106E-3</v>
      </c>
      <c r="M104" s="119">
        <v>1.05536945129688E-2</v>
      </c>
      <c r="N104" s="119">
        <v>1.19699361682851E-2</v>
      </c>
      <c r="O104" s="119">
        <v>1.3699336985106799E-2</v>
      </c>
      <c r="P104" s="119">
        <v>1.5530576328436199E-2</v>
      </c>
      <c r="Q104" s="119">
        <v>1.7897054000611801E-2</v>
      </c>
      <c r="R104" s="119">
        <v>2.0206759717492001E-2</v>
      </c>
      <c r="S104" s="119">
        <v>2.3179274401530701E-2</v>
      </c>
      <c r="T104" s="119">
        <v>2.5998263609726902E-2</v>
      </c>
      <c r="U104" s="119">
        <v>2.9165518900084401E-2</v>
      </c>
      <c r="V104" s="119">
        <v>3.3202608397812403E-2</v>
      </c>
      <c r="W104" s="119">
        <v>3.7329775626073501E-2</v>
      </c>
      <c r="X104" s="119">
        <v>4.1892318310148002E-2</v>
      </c>
      <c r="Y104" s="119">
        <v>4.6906824678958702E-2</v>
      </c>
      <c r="Z104" s="119">
        <v>5.2543926505008401E-2</v>
      </c>
      <c r="AA104" s="119">
        <v>6.0111704129886902E-2</v>
      </c>
      <c r="AB104" s="119">
        <v>6.8356568248796198E-2</v>
      </c>
      <c r="AC104" s="119">
        <v>7.7483091471038198E-2</v>
      </c>
      <c r="AD104" s="119">
        <v>8.7273541887947698E-2</v>
      </c>
      <c r="AE104" s="119">
        <v>9.8275411682353694E-2</v>
      </c>
      <c r="AF104" s="119">
        <v>0.110331596999514</v>
      </c>
      <c r="AG104" s="119">
        <v>0.12328426726250601</v>
      </c>
      <c r="AH104" s="119">
        <v>0.133478881694024</v>
      </c>
      <c r="AI104" s="119">
        <v>0.14526041682052501</v>
      </c>
      <c r="AJ104" s="119">
        <v>0.15778579458618</v>
      </c>
      <c r="AK104" s="119">
        <v>0.17135826673064999</v>
      </c>
      <c r="AL104" s="119">
        <v>0.18648480277533</v>
      </c>
      <c r="AM104" s="119">
        <v>0.20482602741087799</v>
      </c>
      <c r="AN104" s="119">
        <v>0.224726502284082</v>
      </c>
      <c r="AO104" s="119">
        <v>0.24730321067956601</v>
      </c>
      <c r="AP104" s="119">
        <v>0.26990030188205399</v>
      </c>
      <c r="AQ104" s="119">
        <v>0.289750986666586</v>
      </c>
      <c r="AR104" s="119">
        <v>0.30534165967424698</v>
      </c>
      <c r="AS104" s="119">
        <v>0.31840782600458201</v>
      </c>
      <c r="AT104" s="119">
        <v>0.331257617847389</v>
      </c>
      <c r="AU104" s="119">
        <v>0.34319729497186802</v>
      </c>
      <c r="AV104" s="119">
        <v>0.35536395091321599</v>
      </c>
      <c r="AW104" s="119">
        <v>0.36863020959002901</v>
      </c>
      <c r="AX104" s="119">
        <v>0.38087628249917099</v>
      </c>
      <c r="AY104" s="119">
        <v>0.39336306174575503</v>
      </c>
      <c r="AZ104" s="119">
        <v>0.40556403387939299</v>
      </c>
      <c r="BA104" s="119">
        <v>0.41663120047658603</v>
      </c>
      <c r="BB104" s="119">
        <v>0.42820987599138799</v>
      </c>
      <c r="BC104" s="119">
        <v>0.440902735083465</v>
      </c>
      <c r="BD104" s="119">
        <v>0.45143293540534501</v>
      </c>
      <c r="BE104" s="119">
        <v>0.46312564100273201</v>
      </c>
      <c r="BF104" s="119">
        <v>0.473387818934767</v>
      </c>
      <c r="BG104" s="119">
        <v>0.48269177607972502</v>
      </c>
      <c r="BH104" s="119">
        <v>0.492849024175119</v>
      </c>
      <c r="BI104" s="119">
        <v>0.50090528063378803</v>
      </c>
      <c r="BJ104" s="119">
        <v>0.51050350734002703</v>
      </c>
      <c r="BK104" s="119">
        <v>0.51950975140718103</v>
      </c>
      <c r="BL104" s="119">
        <v>0.52785955607100099</v>
      </c>
    </row>
    <row r="105" spans="1:64" x14ac:dyDescent="0.25">
      <c r="A105" s="860" t="s">
        <v>45</v>
      </c>
      <c r="B105" s="1">
        <v>454</v>
      </c>
      <c r="C105" s="119">
        <v>0.5</v>
      </c>
      <c r="D105" s="119">
        <v>2.9007330405258201E-3</v>
      </c>
      <c r="E105" s="119">
        <v>3.50203241185114E-3</v>
      </c>
      <c r="F105" s="119">
        <v>4.2310171525758097E-3</v>
      </c>
      <c r="G105" s="119">
        <v>5.0728864278444903E-3</v>
      </c>
      <c r="H105" s="119">
        <v>6.1225903414038E-3</v>
      </c>
      <c r="I105" s="119">
        <v>7.2568405666255499E-3</v>
      </c>
      <c r="J105" s="119">
        <v>8.6403503966274494E-3</v>
      </c>
      <c r="K105" s="119">
        <v>1.02644218568751E-2</v>
      </c>
      <c r="L105" s="119">
        <v>1.2215046725509901E-2</v>
      </c>
      <c r="M105" s="119">
        <v>1.4495328319177001E-2</v>
      </c>
      <c r="N105" s="119">
        <v>1.7038074224972301E-2</v>
      </c>
      <c r="O105" s="119">
        <v>2.00488626152803E-2</v>
      </c>
      <c r="P105" s="119">
        <v>2.31218354115772E-2</v>
      </c>
      <c r="Q105" s="119">
        <v>2.6991678122301702E-2</v>
      </c>
      <c r="R105" s="119">
        <v>3.12987138083985E-2</v>
      </c>
      <c r="S105" s="119">
        <v>3.5403415212236E-2</v>
      </c>
      <c r="T105" s="119">
        <v>3.97621588404381E-2</v>
      </c>
      <c r="U105" s="119">
        <v>4.4596307991237399E-2</v>
      </c>
      <c r="V105" s="119">
        <v>4.96657925862143E-2</v>
      </c>
      <c r="W105" s="119">
        <v>5.5275704105080703E-2</v>
      </c>
      <c r="X105" s="119">
        <v>6.1384717514427603E-2</v>
      </c>
      <c r="Y105" s="119">
        <v>6.8290687805074496E-2</v>
      </c>
      <c r="Z105" s="119">
        <v>7.7030921840832906E-2</v>
      </c>
      <c r="AA105" s="119">
        <v>9.1265848119755799E-2</v>
      </c>
      <c r="AB105" s="119">
        <v>0.10717818509907701</v>
      </c>
      <c r="AC105" s="119">
        <v>0.12566201101518701</v>
      </c>
      <c r="AD105" s="119">
        <v>0.14803301599178401</v>
      </c>
      <c r="AE105" s="119">
        <v>0.17326361272733901</v>
      </c>
      <c r="AF105" s="119">
        <v>0.20041901421505601</v>
      </c>
      <c r="AG105" s="119">
        <v>0.22729469706342101</v>
      </c>
      <c r="AH105" s="119">
        <v>0.25100240182737499</v>
      </c>
      <c r="AI105" s="119">
        <v>0.26237404629618</v>
      </c>
      <c r="AJ105" s="119">
        <v>0.27107127618709598</v>
      </c>
      <c r="AK105" s="119">
        <v>0.278761025315238</v>
      </c>
      <c r="AL105" s="119">
        <v>0.28892367756159498</v>
      </c>
      <c r="AM105" s="119">
        <v>0.30872230732304901</v>
      </c>
      <c r="AN105" s="119">
        <v>0.33259434290913698</v>
      </c>
      <c r="AO105" s="119">
        <v>0.35493454202388502</v>
      </c>
      <c r="AP105" s="119">
        <v>0.377950576098536</v>
      </c>
      <c r="AQ105" s="119">
        <v>0.401454457871672</v>
      </c>
      <c r="AR105" s="119">
        <v>0.42708067664635302</v>
      </c>
      <c r="AS105" s="119">
        <v>0.45895266583768801</v>
      </c>
      <c r="AT105" s="119">
        <v>0.491688278715537</v>
      </c>
      <c r="AU105" s="119">
        <v>0.52335676493704197</v>
      </c>
      <c r="AV105" s="119">
        <v>0.552197449486592</v>
      </c>
      <c r="AW105" s="119">
        <v>0.57682809721942796</v>
      </c>
      <c r="AX105" s="119">
        <v>0.59331420482193997</v>
      </c>
      <c r="AY105" s="119">
        <v>0.60576734732737503</v>
      </c>
      <c r="AZ105" s="119">
        <v>0.61642680903243996</v>
      </c>
      <c r="BA105" s="119">
        <v>0.62642558766321899</v>
      </c>
      <c r="BB105" s="119">
        <v>0.63555646791281795</v>
      </c>
      <c r="BC105" s="119">
        <v>0.64412720014313296</v>
      </c>
      <c r="BD105" s="119">
        <v>0.65046965635772502</v>
      </c>
      <c r="BE105" s="119">
        <v>0.65660471883634797</v>
      </c>
      <c r="BF105" s="119">
        <v>0.65898748989058897</v>
      </c>
      <c r="BG105" s="119">
        <v>0.66474052819808604</v>
      </c>
      <c r="BH105" s="119">
        <v>0.66871857691282499</v>
      </c>
      <c r="BI105" s="119">
        <v>0.67397814234096198</v>
      </c>
      <c r="BJ105" s="119">
        <v>0.67908196040206004</v>
      </c>
      <c r="BK105" s="119">
        <v>0.68363633886722897</v>
      </c>
      <c r="BL105" s="119">
        <v>0.68845839916880802</v>
      </c>
    </row>
    <row r="106" spans="1:64" x14ac:dyDescent="0.25">
      <c r="A106" s="860" t="s">
        <v>213</v>
      </c>
      <c r="B106" s="1">
        <v>458</v>
      </c>
      <c r="C106" s="119">
        <v>0.5</v>
      </c>
      <c r="D106" s="119">
        <v>0.12262071499013</v>
      </c>
      <c r="E106" s="119">
        <v>0.139273759744027</v>
      </c>
      <c r="F106" s="119">
        <v>0.15775779067081699</v>
      </c>
      <c r="G106" s="119">
        <v>0.17819596563056</v>
      </c>
      <c r="H106" s="119">
        <v>0.19725996699415399</v>
      </c>
      <c r="I106" s="119">
        <v>0.21345984409721699</v>
      </c>
      <c r="J106" s="119">
        <v>0.22622694831717499</v>
      </c>
      <c r="K106" s="119">
        <v>0.24002288577988401</v>
      </c>
      <c r="L106" s="119">
        <v>0.251448026134656</v>
      </c>
      <c r="M106" s="119">
        <v>0.26390053052607998</v>
      </c>
      <c r="N106" s="119">
        <v>0.27491587629134501</v>
      </c>
      <c r="O106" s="119">
        <v>0.28443725084890797</v>
      </c>
      <c r="P106" s="119">
        <v>0.29383704161280899</v>
      </c>
      <c r="Q106" s="119">
        <v>0.30321519746269998</v>
      </c>
      <c r="R106" s="119">
        <v>0.308928555704513</v>
      </c>
      <c r="S106" s="119">
        <v>0.31230119151260899</v>
      </c>
      <c r="T106" s="119">
        <v>0.31530820677286497</v>
      </c>
      <c r="U106" s="119">
        <v>0.31544572841979202</v>
      </c>
      <c r="V106" s="119">
        <v>0.31548265335265002</v>
      </c>
      <c r="W106" s="119">
        <v>0.31671072790170102</v>
      </c>
      <c r="X106" s="119">
        <v>0.31894251162263898</v>
      </c>
      <c r="Y106" s="119">
        <v>0.31986332257823802</v>
      </c>
      <c r="Z106" s="119">
        <v>0.32018914292338102</v>
      </c>
      <c r="AA106" s="119">
        <v>0.32226395759273002</v>
      </c>
      <c r="AB106" s="119">
        <v>0.32270580557990203</v>
      </c>
      <c r="AC106" s="119">
        <v>0.32524354068127098</v>
      </c>
      <c r="AD106" s="119">
        <v>0.32761653516696099</v>
      </c>
      <c r="AE106" s="119">
        <v>0.32913967756740098</v>
      </c>
      <c r="AF106" s="119">
        <v>0.328098701842167</v>
      </c>
      <c r="AG106" s="119">
        <v>0.32847996956735198</v>
      </c>
      <c r="AH106" s="119">
        <v>0.33074471437597103</v>
      </c>
      <c r="AI106" s="119">
        <v>0.328611387961255</v>
      </c>
      <c r="AJ106" s="119">
        <v>0.327631083160971</v>
      </c>
      <c r="AK106" s="119">
        <v>0.32772556651003198</v>
      </c>
      <c r="AL106" s="119">
        <v>0.326613370262265</v>
      </c>
      <c r="AM106" s="119">
        <v>0.329221585594344</v>
      </c>
      <c r="AN106" s="119">
        <v>0.33285652363120799</v>
      </c>
      <c r="AO106" s="119">
        <v>0.33578163236111602</v>
      </c>
      <c r="AP106" s="119">
        <v>0.34069362285408999</v>
      </c>
      <c r="AQ106" s="119">
        <v>0.34104013839288899</v>
      </c>
      <c r="AR106" s="119">
        <v>0.34306649295240399</v>
      </c>
      <c r="AS106" s="119">
        <v>0.34593110846507003</v>
      </c>
      <c r="AT106" s="119">
        <v>0.34774503185877498</v>
      </c>
      <c r="AU106" s="119">
        <v>0.35006926315443199</v>
      </c>
      <c r="AV106" s="119">
        <v>0.352354060281582</v>
      </c>
      <c r="AW106" s="119">
        <v>0.359776668910186</v>
      </c>
      <c r="AX106" s="119">
        <v>0.36745075285259199</v>
      </c>
      <c r="AY106" s="119">
        <v>0.37462992128545303</v>
      </c>
      <c r="AZ106" s="119">
        <v>0.38264166700755797</v>
      </c>
      <c r="BA106" s="119">
        <v>0.39046475639534001</v>
      </c>
      <c r="BB106" s="119">
        <v>0.39640291313578602</v>
      </c>
      <c r="BC106" s="119">
        <v>0.40196122588600802</v>
      </c>
      <c r="BD106" s="119">
        <v>0.40989867459847301</v>
      </c>
      <c r="BE106" s="119">
        <v>0.41617468624620002</v>
      </c>
      <c r="BF106" s="119">
        <v>0.42225863210564701</v>
      </c>
      <c r="BG106" s="119">
        <v>0.42879454767564701</v>
      </c>
      <c r="BH106" s="119">
        <v>0.43389009865953998</v>
      </c>
      <c r="BI106" s="119">
        <v>0.43745483954583902</v>
      </c>
      <c r="BJ106" s="119">
        <v>0.44532714248348398</v>
      </c>
      <c r="BK106" s="119">
        <v>0.45286630177044901</v>
      </c>
      <c r="BL106" s="119">
        <v>0.457996768112228</v>
      </c>
    </row>
    <row r="107" spans="1:64" x14ac:dyDescent="0.25">
      <c r="A107" s="860" t="s">
        <v>214</v>
      </c>
      <c r="B107" s="1">
        <v>462</v>
      </c>
      <c r="C107" s="119">
        <v>0.5</v>
      </c>
      <c r="D107" s="119">
        <v>8.0767609774670707E-2</v>
      </c>
      <c r="E107" s="119">
        <v>8.5436131098058199E-2</v>
      </c>
      <c r="F107" s="119">
        <v>8.9345911633387495E-2</v>
      </c>
      <c r="G107" s="119">
        <v>9.4103568513986297E-2</v>
      </c>
      <c r="H107" s="119">
        <v>9.8086315895901194E-2</v>
      </c>
      <c r="I107" s="119">
        <v>0.102727599767826</v>
      </c>
      <c r="J107" s="119">
        <v>0.107603959652966</v>
      </c>
      <c r="K107" s="119">
        <v>0.11212543516312801</v>
      </c>
      <c r="L107" s="119">
        <v>0.11775256723132101</v>
      </c>
      <c r="M107" s="119">
        <v>0.123103252795497</v>
      </c>
      <c r="N107" s="119">
        <v>0.12928310231701701</v>
      </c>
      <c r="O107" s="119">
        <v>0.13469026472481899</v>
      </c>
      <c r="P107" s="119">
        <v>0.140386469746139</v>
      </c>
      <c r="Q107" s="119">
        <v>0.146463826317173</v>
      </c>
      <c r="R107" s="119">
        <v>0.15093589252523601</v>
      </c>
      <c r="S107" s="119">
        <v>0.15691107676859101</v>
      </c>
      <c r="T107" s="119">
        <v>0.16206780162126899</v>
      </c>
      <c r="U107" s="119">
        <v>0.16898133291149101</v>
      </c>
      <c r="V107" s="119">
        <v>0.17549020825585501</v>
      </c>
      <c r="W107" s="119">
        <v>0.182034532986936</v>
      </c>
      <c r="X107" s="119">
        <v>0.18999041427013599</v>
      </c>
      <c r="Y107" s="119">
        <v>0.19950034525161101</v>
      </c>
      <c r="Z107" s="119">
        <v>0.211578617921137</v>
      </c>
      <c r="AA107" s="119">
        <v>0.22678294758599099</v>
      </c>
      <c r="AB107" s="119">
        <v>0.2426140061141</v>
      </c>
      <c r="AC107" s="119">
        <v>0.260023333338323</v>
      </c>
      <c r="AD107" s="119">
        <v>0.27566195571287599</v>
      </c>
      <c r="AE107" s="119">
        <v>0.291111572588025</v>
      </c>
      <c r="AF107" s="119">
        <v>0.30518955130429998</v>
      </c>
      <c r="AG107" s="119">
        <v>0.31691262248384</v>
      </c>
      <c r="AH107" s="119">
        <v>0.32313219468021298</v>
      </c>
      <c r="AI107" s="119">
        <v>0.32572864272336599</v>
      </c>
      <c r="AJ107" s="119">
        <v>0.326787341333512</v>
      </c>
      <c r="AK107" s="119">
        <v>0.32627517188969102</v>
      </c>
      <c r="AL107" s="119">
        <v>0.32394055931862797</v>
      </c>
      <c r="AM107" s="119">
        <v>0.31551068215588801</v>
      </c>
      <c r="AN107" s="119">
        <v>0.30513980403785801</v>
      </c>
      <c r="AO107" s="119">
        <v>0.29454064738300301</v>
      </c>
      <c r="AP107" s="119">
        <v>0.28300106964054</v>
      </c>
      <c r="AQ107" s="119">
        <v>0.26895587319069902</v>
      </c>
      <c r="AR107" s="119">
        <v>0.252540022600789</v>
      </c>
      <c r="AS107" s="119">
        <v>0.23560266078456499</v>
      </c>
      <c r="AT107" s="119">
        <v>0.218407638947231</v>
      </c>
      <c r="AU107" s="119">
        <v>0.20144082671274099</v>
      </c>
      <c r="AV107" s="119">
        <v>0.186365891543366</v>
      </c>
      <c r="AW107" s="119">
        <v>0.172365710228957</v>
      </c>
      <c r="AX107" s="119">
        <v>0.16171493391625699</v>
      </c>
      <c r="AY107" s="119">
        <v>0.15420401515506901</v>
      </c>
      <c r="AZ107" s="119">
        <v>0.154315474156863</v>
      </c>
      <c r="BA107" s="119">
        <v>0.158007396190123</v>
      </c>
      <c r="BB107" s="119">
        <v>0.162983785338777</v>
      </c>
      <c r="BC107" s="119">
        <v>0.16933676795386399</v>
      </c>
      <c r="BD107" s="119">
        <v>0.17396535243088701</v>
      </c>
      <c r="BE107" s="119">
        <v>0.180590055812239</v>
      </c>
      <c r="BF107" s="119">
        <v>0.186362732362681</v>
      </c>
      <c r="BG107" s="119">
        <v>0.19443543715195399</v>
      </c>
      <c r="BH107" s="119">
        <v>0.20094800267514801</v>
      </c>
      <c r="BI107" s="119">
        <v>0.20893244996760901</v>
      </c>
      <c r="BJ107" s="119">
        <v>0.21781981371100301</v>
      </c>
      <c r="BK107" s="119">
        <v>0.22637244320834099</v>
      </c>
      <c r="BL107" s="119">
        <v>0.235225084621041</v>
      </c>
    </row>
    <row r="108" spans="1:64" x14ac:dyDescent="0.25">
      <c r="A108" s="860" t="s">
        <v>46</v>
      </c>
      <c r="B108" s="1">
        <v>466</v>
      </c>
      <c r="C108" s="119">
        <v>0.5</v>
      </c>
      <c r="D108" s="119">
        <v>1.0174156997778199E-3</v>
      </c>
      <c r="E108" s="119">
        <v>1.1818143783397801E-3</v>
      </c>
      <c r="F108" s="119">
        <v>1.4152002080246599E-3</v>
      </c>
      <c r="G108" s="119">
        <v>1.64814570929853E-3</v>
      </c>
      <c r="H108" s="119">
        <v>1.9151815875487999E-3</v>
      </c>
      <c r="I108" s="119">
        <v>2.2412660167395399E-3</v>
      </c>
      <c r="J108" s="119">
        <v>2.6317753993495602E-3</v>
      </c>
      <c r="K108" s="119">
        <v>3.0449493326181799E-3</v>
      </c>
      <c r="L108" s="119">
        <v>3.5495411283027701E-3</v>
      </c>
      <c r="M108" s="119">
        <v>4.1003731255077197E-3</v>
      </c>
      <c r="N108" s="119">
        <v>4.8377659506842804E-3</v>
      </c>
      <c r="O108" s="119">
        <v>5.5755217483488698E-3</v>
      </c>
      <c r="P108" s="119">
        <v>6.4447630292918303E-3</v>
      </c>
      <c r="Q108" s="119">
        <v>7.4536506793539698E-3</v>
      </c>
      <c r="R108" s="119">
        <v>8.5805261331771999E-3</v>
      </c>
      <c r="S108" s="119">
        <v>9.88926877237227E-3</v>
      </c>
      <c r="T108" s="119">
        <v>1.1333125156311699E-2</v>
      </c>
      <c r="U108" s="119">
        <v>1.29367206416021E-2</v>
      </c>
      <c r="V108" s="119">
        <v>1.5216203928750199E-2</v>
      </c>
      <c r="W108" s="119">
        <v>1.79387219197806E-2</v>
      </c>
      <c r="X108" s="119">
        <v>2.09742899490791E-2</v>
      </c>
      <c r="Y108" s="119">
        <v>2.4258055041617401E-2</v>
      </c>
      <c r="Z108" s="119">
        <v>2.7735267987716802E-2</v>
      </c>
      <c r="AA108" s="119">
        <v>3.1496309110228098E-2</v>
      </c>
      <c r="AB108" s="119">
        <v>3.5859939149299198E-2</v>
      </c>
      <c r="AC108" s="119">
        <v>4.03226522493619E-2</v>
      </c>
      <c r="AD108" s="119">
        <v>4.4710843064434999E-2</v>
      </c>
      <c r="AE108" s="119">
        <v>4.9564556080385298E-2</v>
      </c>
      <c r="AF108" s="119">
        <v>5.4109619415027503E-2</v>
      </c>
      <c r="AG108" s="119">
        <v>5.9176500207010298E-2</v>
      </c>
      <c r="AH108" s="119">
        <v>6.4143399711981505E-2</v>
      </c>
      <c r="AI108" s="119">
        <v>6.8037498940213395E-2</v>
      </c>
      <c r="AJ108" s="119">
        <v>6.9011991643068205E-2</v>
      </c>
      <c r="AK108" s="119">
        <v>6.93669628765331E-2</v>
      </c>
      <c r="AL108" s="119">
        <v>6.9296618486147696E-2</v>
      </c>
      <c r="AM108" s="119">
        <v>6.9835073989728103E-2</v>
      </c>
      <c r="AN108" s="119">
        <v>7.0930216575912794E-2</v>
      </c>
      <c r="AO108" s="119">
        <v>7.4510816531368596E-2</v>
      </c>
      <c r="AP108" s="119">
        <v>7.9009982747854896E-2</v>
      </c>
      <c r="AQ108" s="119">
        <v>8.3916011650715994E-2</v>
      </c>
      <c r="AR108" s="119">
        <v>8.90562255082612E-2</v>
      </c>
      <c r="AS108" s="119">
        <v>9.5027232944658396E-2</v>
      </c>
      <c r="AT108" s="119">
        <v>0.10180079699238199</v>
      </c>
      <c r="AU108" s="119">
        <v>0.109942520563657</v>
      </c>
      <c r="AV108" s="119">
        <v>0.119764920392551</v>
      </c>
      <c r="AW108" s="119">
        <v>0.130247763333531</v>
      </c>
      <c r="AX108" s="119">
        <v>0.14088115604541601</v>
      </c>
      <c r="AY108" s="119">
        <v>0.15098099475687299</v>
      </c>
      <c r="AZ108" s="119">
        <v>0.16066103600505</v>
      </c>
      <c r="BA108" s="119">
        <v>0.16915411126741001</v>
      </c>
      <c r="BB108" s="119">
        <v>0.17739212856318301</v>
      </c>
      <c r="BC108" s="119">
        <v>0.18407721764573101</v>
      </c>
      <c r="BD108" s="119">
        <v>0.192460868346783</v>
      </c>
      <c r="BE108" s="119">
        <v>0.20080803874596001</v>
      </c>
      <c r="BF108" s="119">
        <v>0.208004517527766</v>
      </c>
      <c r="BG108" s="119">
        <v>0.214823584225528</v>
      </c>
      <c r="BH108" s="119">
        <v>0.22159928863998199</v>
      </c>
      <c r="BI108" s="119">
        <v>0.23141359064594799</v>
      </c>
      <c r="BJ108" s="119">
        <v>0.23704490697193001</v>
      </c>
      <c r="BK108" s="119">
        <v>0.24655024576697601</v>
      </c>
      <c r="BL108" s="119">
        <v>0.25430581692996201</v>
      </c>
    </row>
    <row r="109" spans="1:64" x14ac:dyDescent="0.25">
      <c r="A109" s="860" t="s">
        <v>215</v>
      </c>
      <c r="B109" s="1">
        <v>470</v>
      </c>
      <c r="C109" s="119">
        <v>0.5</v>
      </c>
      <c r="D109" s="119">
        <v>0.39471678125418302</v>
      </c>
      <c r="E109" s="119">
        <v>0.40742848595471298</v>
      </c>
      <c r="F109" s="119">
        <v>0.41112969193691701</v>
      </c>
      <c r="G109" s="119">
        <v>0.41525185063327802</v>
      </c>
      <c r="H109" s="119">
        <v>0.41786825661393101</v>
      </c>
      <c r="I109" s="119">
        <v>0.42462696588464399</v>
      </c>
      <c r="J109" s="119">
        <v>0.42754036528842998</v>
      </c>
      <c r="K109" s="119">
        <v>0.43369538060061102</v>
      </c>
      <c r="L109" s="119">
        <v>0.43448066934767399</v>
      </c>
      <c r="M109" s="119">
        <v>0.44395037988094599</v>
      </c>
      <c r="N109" s="119">
        <v>0.44993727201019501</v>
      </c>
      <c r="O109" s="119">
        <v>0.45580885090047601</v>
      </c>
      <c r="P109" s="119">
        <v>0.457553809256799</v>
      </c>
      <c r="Q109" s="119">
        <v>0.45975099529317598</v>
      </c>
      <c r="R109" s="119">
        <v>0.46303624465243798</v>
      </c>
      <c r="S109" s="119">
        <v>0.46683694607403498</v>
      </c>
      <c r="T109" s="119">
        <v>0.47139344920349302</v>
      </c>
      <c r="U109" s="119">
        <v>0.472589670882619</v>
      </c>
      <c r="V109" s="119">
        <v>0.47462142221980103</v>
      </c>
      <c r="W109" s="119">
        <v>0.47811364398232098</v>
      </c>
      <c r="X109" s="119">
        <v>0.48319431353612602</v>
      </c>
      <c r="Y109" s="119">
        <v>0.48485768856046602</v>
      </c>
      <c r="Z109" s="119">
        <v>0.48926504109951102</v>
      </c>
      <c r="AA109" s="119">
        <v>0.49240433028499903</v>
      </c>
      <c r="AB109" s="119">
        <v>0.49919581878597702</v>
      </c>
      <c r="AC109" s="119">
        <v>0.50246040230840905</v>
      </c>
      <c r="AD109" s="119">
        <v>0.50532594446660695</v>
      </c>
      <c r="AE109" s="119">
        <v>0.51114603694790695</v>
      </c>
      <c r="AF109" s="119">
        <v>0.51388814849497699</v>
      </c>
      <c r="AG109" s="119">
        <v>0.51719637522953799</v>
      </c>
      <c r="AH109" s="119">
        <v>0.52215041107417004</v>
      </c>
      <c r="AI109" s="119">
        <v>0.52383818125771198</v>
      </c>
      <c r="AJ109" s="119">
        <v>0.52909590015613694</v>
      </c>
      <c r="AK109" s="119">
        <v>0.53309269979250495</v>
      </c>
      <c r="AL109" s="119">
        <v>0.53665316288759002</v>
      </c>
      <c r="AM109" s="119">
        <v>0.53845449569412995</v>
      </c>
      <c r="AN109" s="119">
        <v>0.54065303815912602</v>
      </c>
      <c r="AO109" s="119">
        <v>0.54689448640973903</v>
      </c>
      <c r="AP109" s="119">
        <v>0.55175780227162496</v>
      </c>
      <c r="AQ109" s="119">
        <v>0.55078592373003399</v>
      </c>
      <c r="AR109" s="119">
        <v>0.55664753539366996</v>
      </c>
      <c r="AS109" s="119">
        <v>0.55852108319601401</v>
      </c>
      <c r="AT109" s="119">
        <v>0.56193411719160502</v>
      </c>
      <c r="AU109" s="119">
        <v>0.56611494071771096</v>
      </c>
      <c r="AV109" s="119">
        <v>0.57111650671782299</v>
      </c>
      <c r="AW109" s="119">
        <v>0.57314516859467102</v>
      </c>
      <c r="AX109" s="119">
        <v>0.57503576583684402</v>
      </c>
      <c r="AY109" s="119">
        <v>0.58056115406295505</v>
      </c>
      <c r="AZ109" s="119">
        <v>0.58771955657038999</v>
      </c>
      <c r="BA109" s="119">
        <v>0.58889202218695003</v>
      </c>
      <c r="BB109" s="119">
        <v>0.59363220008813999</v>
      </c>
      <c r="BC109" s="119">
        <v>0.59553975293479799</v>
      </c>
      <c r="BD109" s="119">
        <v>0.596736413041697</v>
      </c>
      <c r="BE109" s="119">
        <v>0.59841434632120705</v>
      </c>
      <c r="BF109" s="119">
        <v>0.60136462529949197</v>
      </c>
      <c r="BG109" s="119">
        <v>0.60162432670140698</v>
      </c>
      <c r="BH109" s="119">
        <v>0.60328440905775105</v>
      </c>
      <c r="BI109" s="119">
        <v>0.60553330548784901</v>
      </c>
      <c r="BJ109" s="119">
        <v>0.60981283449197299</v>
      </c>
      <c r="BK109" s="119">
        <v>0.61577276184664398</v>
      </c>
      <c r="BL109" s="119">
        <v>0.61652238893201405</v>
      </c>
    </row>
    <row r="110" spans="1:64" x14ac:dyDescent="0.25">
      <c r="A110" s="860" t="s">
        <v>216</v>
      </c>
      <c r="B110" s="1">
        <v>584</v>
      </c>
      <c r="C110" s="119">
        <v>0.5</v>
      </c>
      <c r="D110" s="119">
        <v>0.19500543119448399</v>
      </c>
      <c r="E110" s="119">
        <v>0.19647978951300299</v>
      </c>
      <c r="F110" s="119">
        <v>0.19881566884266</v>
      </c>
      <c r="G110" s="119">
        <v>0.19960444671754901</v>
      </c>
      <c r="H110" s="119">
        <v>0.20140136816857401</v>
      </c>
      <c r="I110" s="119">
        <v>0.20290355068131599</v>
      </c>
      <c r="J110" s="119">
        <v>0.203757075487877</v>
      </c>
      <c r="K110" s="119">
        <v>0.20556641942885101</v>
      </c>
      <c r="L110" s="119">
        <v>0.20814558131642399</v>
      </c>
      <c r="M110" s="119">
        <v>0.20887997555318899</v>
      </c>
      <c r="N110" s="119">
        <v>0.21074666687094201</v>
      </c>
      <c r="O110" s="119">
        <v>0.211595109069874</v>
      </c>
      <c r="P110" s="119">
        <v>0.21377378351516299</v>
      </c>
      <c r="Q110" s="119">
        <v>0.215268195372076</v>
      </c>
      <c r="R110" s="119">
        <v>0.21818025660867901</v>
      </c>
      <c r="S110" s="119">
        <v>0.221996356998269</v>
      </c>
      <c r="T110" s="119">
        <v>0.22807564668123401</v>
      </c>
      <c r="U110" s="119">
        <v>0.23583126830180101</v>
      </c>
      <c r="V110" s="119">
        <v>0.24441846837038</v>
      </c>
      <c r="W110" s="119">
        <v>0.25245580824125602</v>
      </c>
      <c r="X110" s="119">
        <v>0.26081625356480398</v>
      </c>
      <c r="Y110" s="119">
        <v>0.27004922768288298</v>
      </c>
      <c r="Z110" s="119">
        <v>0.27854227292436301</v>
      </c>
      <c r="AA110" s="119">
        <v>0.28763219410292001</v>
      </c>
      <c r="AB110" s="119">
        <v>0.29479808094174298</v>
      </c>
      <c r="AC110" s="119">
        <v>0.30434305899838299</v>
      </c>
      <c r="AD110" s="119">
        <v>0.31285821384343998</v>
      </c>
      <c r="AE110" s="119">
        <v>0.32216413851560199</v>
      </c>
      <c r="AF110" s="119">
        <v>0.33004075795460303</v>
      </c>
      <c r="AG110" s="119">
        <v>0.34019828328619101</v>
      </c>
      <c r="AH110" s="119">
        <v>0.350061594365847</v>
      </c>
      <c r="AI110" s="119">
        <v>0.35999946387133602</v>
      </c>
      <c r="AJ110" s="119">
        <v>0.37206631160525899</v>
      </c>
      <c r="AK110" s="119">
        <v>0.37916732765026001</v>
      </c>
      <c r="AL110" s="119">
        <v>0.387676715857734</v>
      </c>
      <c r="AM110" s="119">
        <v>0.396887903768329</v>
      </c>
      <c r="AN110" s="119">
        <v>0.40541663469899297</v>
      </c>
      <c r="AO110" s="119">
        <v>0.41400302167012698</v>
      </c>
      <c r="AP110" s="119">
        <v>0.417311715505436</v>
      </c>
      <c r="AQ110" s="119">
        <v>0.41994969436916901</v>
      </c>
      <c r="AR110" s="119">
        <v>0.42429564021914001</v>
      </c>
      <c r="AS110" s="119">
        <v>0.42610785771721998</v>
      </c>
      <c r="AT110" s="119">
        <v>0.42684983428838502</v>
      </c>
      <c r="AU110" s="119">
        <v>0.42866685876579302</v>
      </c>
      <c r="AV110" s="119">
        <v>0.43192955393954002</v>
      </c>
      <c r="AW110" s="119">
        <v>0.43475695780727402</v>
      </c>
      <c r="AX110" s="119">
        <v>0.43716073510873199</v>
      </c>
      <c r="AY110" s="119">
        <v>0.44010740117122599</v>
      </c>
      <c r="AZ110" s="119">
        <v>0.44102893272690802</v>
      </c>
      <c r="BA110" s="119">
        <v>0.44464766889086099</v>
      </c>
      <c r="BB110" s="119">
        <v>0.44595362734945998</v>
      </c>
      <c r="BC110" s="119">
        <v>0.44759658892836202</v>
      </c>
      <c r="BD110" s="119">
        <v>0.45024294698595702</v>
      </c>
      <c r="BE110" s="119">
        <v>0.45230380690768901</v>
      </c>
      <c r="BF110" s="119">
        <v>0.45407107155429399</v>
      </c>
      <c r="BG110" s="119">
        <v>0.45441550032230399</v>
      </c>
      <c r="BH110" s="119">
        <v>0.45621303954430897</v>
      </c>
      <c r="BI110" s="119">
        <v>0.460071375686815</v>
      </c>
      <c r="BJ110" s="119">
        <v>0.46207274355465999</v>
      </c>
      <c r="BK110" s="119">
        <v>0.46412046015869202</v>
      </c>
      <c r="BL110" s="119">
        <v>0.464585533340162</v>
      </c>
    </row>
    <row r="111" spans="1:64" x14ac:dyDescent="0.25">
      <c r="A111" s="860" t="s">
        <v>217</v>
      </c>
      <c r="B111" s="1">
        <v>474</v>
      </c>
      <c r="C111" s="119">
        <v>0.5</v>
      </c>
      <c r="D111" s="119">
        <v>0.23771033277221401</v>
      </c>
      <c r="E111" s="119">
        <v>0.244815900864017</v>
      </c>
      <c r="F111" s="119">
        <v>0.25155591701845298</v>
      </c>
      <c r="G111" s="119">
        <v>0.25966301982512102</v>
      </c>
      <c r="H111" s="119">
        <v>0.266080132059342</v>
      </c>
      <c r="I111" s="119">
        <v>0.27383281134284598</v>
      </c>
      <c r="J111" s="119">
        <v>0.28285658426629501</v>
      </c>
      <c r="K111" s="119">
        <v>0.29149687066424801</v>
      </c>
      <c r="L111" s="119">
        <v>0.301075163546413</v>
      </c>
      <c r="M111" s="119">
        <v>0.30997420869189801</v>
      </c>
      <c r="N111" s="119">
        <v>0.31616482579072502</v>
      </c>
      <c r="O111" s="119">
        <v>0.32435466806066499</v>
      </c>
      <c r="P111" s="119">
        <v>0.33414426919185403</v>
      </c>
      <c r="Q111" s="119">
        <v>0.343082471729796</v>
      </c>
      <c r="R111" s="119">
        <v>0.350905301258705</v>
      </c>
      <c r="S111" s="119">
        <v>0.359599359133496</v>
      </c>
      <c r="T111" s="119">
        <v>0.36826622700606698</v>
      </c>
      <c r="U111" s="119">
        <v>0.37469600064615899</v>
      </c>
      <c r="V111" s="119">
        <v>0.38304691958088299</v>
      </c>
      <c r="W111" s="119">
        <v>0.39051633806464497</v>
      </c>
      <c r="X111" s="119">
        <v>0.39707127715947699</v>
      </c>
      <c r="Y111" s="119">
        <v>0.40203679965926797</v>
      </c>
      <c r="Z111" s="119">
        <v>0.40960501089047202</v>
      </c>
      <c r="AA111" s="119">
        <v>0.41647463015782998</v>
      </c>
      <c r="AB111" s="119">
        <v>0.42208990520580902</v>
      </c>
      <c r="AC111" s="119">
        <v>0.428835266637765</v>
      </c>
      <c r="AD111" s="119">
        <v>0.43686650608028099</v>
      </c>
      <c r="AE111" s="119">
        <v>0.44417640913649498</v>
      </c>
      <c r="AF111" s="119">
        <v>0.44958374291628</v>
      </c>
      <c r="AG111" s="119">
        <v>0.455788521914402</v>
      </c>
      <c r="AH111" s="119">
        <v>0.46317494903045597</v>
      </c>
      <c r="AI111" s="119">
        <v>0.46921030276807801</v>
      </c>
      <c r="AJ111" s="119">
        <v>0.47596332187282903</v>
      </c>
      <c r="AK111" s="119">
        <v>0.47987517177727901</v>
      </c>
      <c r="AL111" s="119">
        <v>0.48745039787106698</v>
      </c>
      <c r="AM111" s="119">
        <v>0.49648869729980999</v>
      </c>
      <c r="AN111" s="119">
        <v>0.498394138267857</v>
      </c>
      <c r="AO111" s="119">
        <v>0.50443756544346396</v>
      </c>
      <c r="AP111" s="119">
        <v>0.50961470459977898</v>
      </c>
      <c r="AQ111" s="119">
        <v>0.51428833044285005</v>
      </c>
      <c r="AR111" s="119">
        <v>0.51924639054991895</v>
      </c>
      <c r="AS111" s="119">
        <v>0.52626660614312903</v>
      </c>
      <c r="AT111" s="119">
        <v>0.53137907814108998</v>
      </c>
      <c r="AU111" s="119">
        <v>0.53738769284065202</v>
      </c>
      <c r="AV111" s="119">
        <v>0.53781076823728402</v>
      </c>
      <c r="AW111" s="119">
        <v>0.54442109165119401</v>
      </c>
      <c r="AX111" s="119">
        <v>0.54898519898123599</v>
      </c>
      <c r="AY111" s="119">
        <v>0.55107282642538202</v>
      </c>
      <c r="AZ111" s="119">
        <v>0.55701273488708503</v>
      </c>
      <c r="BA111" s="119">
        <v>0.56212837756944101</v>
      </c>
      <c r="BB111" s="119">
        <v>0.56798982176855395</v>
      </c>
      <c r="BC111" s="119">
        <v>0.571982480796566</v>
      </c>
      <c r="BD111" s="119">
        <v>0.57619120780584698</v>
      </c>
      <c r="BE111" s="119">
        <v>0.57781909597741199</v>
      </c>
      <c r="BF111" s="119">
        <v>0.58191589468546501</v>
      </c>
      <c r="BG111" s="119">
        <v>0.58497698835156997</v>
      </c>
      <c r="BH111" s="119">
        <v>0.58639396985331804</v>
      </c>
      <c r="BI111" s="119">
        <v>0.58984544371252901</v>
      </c>
      <c r="BJ111" s="119">
        <v>0.59289618974295599</v>
      </c>
      <c r="BK111" s="119">
        <v>0.59499487051015598</v>
      </c>
      <c r="BL111" s="119">
        <v>0.60061103589547205</v>
      </c>
    </row>
    <row r="112" spans="1:64" x14ac:dyDescent="0.25">
      <c r="A112" s="860" t="s">
        <v>47</v>
      </c>
      <c r="B112" s="1">
        <v>478</v>
      </c>
      <c r="C112" s="119">
        <v>0.5</v>
      </c>
      <c r="D112" s="119">
        <v>1.03485191412094E-3</v>
      </c>
      <c r="E112" s="119">
        <v>1.15450584855528E-3</v>
      </c>
      <c r="F112" s="119">
        <v>1.30941680388785E-3</v>
      </c>
      <c r="G112" s="119">
        <v>1.4511862167713701E-3</v>
      </c>
      <c r="H112" s="119">
        <v>1.6225285317122899E-3</v>
      </c>
      <c r="I112" s="119">
        <v>1.83243957817827E-3</v>
      </c>
      <c r="J112" s="119">
        <v>2.0471062476253E-3</v>
      </c>
      <c r="K112" s="119">
        <v>2.30693889385524E-3</v>
      </c>
      <c r="L112" s="119">
        <v>2.6111340252242599E-3</v>
      </c>
      <c r="M112" s="119">
        <v>2.9453406177172999E-3</v>
      </c>
      <c r="N112" s="119">
        <v>3.3545092991193802E-3</v>
      </c>
      <c r="O112" s="119">
        <v>3.8043177915510701E-3</v>
      </c>
      <c r="P112" s="119">
        <v>4.3439191236739399E-3</v>
      </c>
      <c r="Q112" s="119">
        <v>4.9770959053206301E-3</v>
      </c>
      <c r="R112" s="119">
        <v>5.7446451508350697E-3</v>
      </c>
      <c r="S112" s="119">
        <v>6.6511571828337199E-3</v>
      </c>
      <c r="T112" s="119">
        <v>7.7587668729390798E-3</v>
      </c>
      <c r="U112" s="119">
        <v>8.9851261146704203E-3</v>
      </c>
      <c r="V112" s="119">
        <v>1.0362365762650301E-2</v>
      </c>
      <c r="W112" s="119">
        <v>1.1870620489466001E-2</v>
      </c>
      <c r="X112" s="119">
        <v>1.36209717834568E-2</v>
      </c>
      <c r="Y112" s="119">
        <v>1.58909710082226E-2</v>
      </c>
      <c r="Z112" s="119">
        <v>1.83262560366028E-2</v>
      </c>
      <c r="AA112" s="119">
        <v>2.1278299151188701E-2</v>
      </c>
      <c r="AB112" s="119">
        <v>2.4523991805836701E-2</v>
      </c>
      <c r="AC112" s="119">
        <v>2.81301046762935E-2</v>
      </c>
      <c r="AD112" s="119">
        <v>3.2263801537579802E-2</v>
      </c>
      <c r="AE112" s="119">
        <v>3.6862123562483397E-2</v>
      </c>
      <c r="AF112" s="119">
        <v>4.1641963673599E-2</v>
      </c>
      <c r="AG112" s="119">
        <v>4.68895268241587E-2</v>
      </c>
      <c r="AH112" s="119">
        <v>5.2004653150143097E-2</v>
      </c>
      <c r="AI112" s="119">
        <v>5.6030464708100997E-2</v>
      </c>
      <c r="AJ112" s="119">
        <v>5.9963513314132903E-2</v>
      </c>
      <c r="AK112" s="119">
        <v>6.3961035952718903E-2</v>
      </c>
      <c r="AL112" s="119">
        <v>6.7420248843533898E-2</v>
      </c>
      <c r="AM112" s="119">
        <v>7.1324129133574096E-2</v>
      </c>
      <c r="AN112" s="119">
        <v>7.5404912605874896E-2</v>
      </c>
      <c r="AO112" s="119">
        <v>7.9855780304342802E-2</v>
      </c>
      <c r="AP112" s="119">
        <v>8.4603453697565306E-2</v>
      </c>
      <c r="AQ112" s="119">
        <v>8.9135909423539605E-2</v>
      </c>
      <c r="AR112" s="119">
        <v>9.3426405787874603E-2</v>
      </c>
      <c r="AS112" s="119">
        <v>9.7902845767068494E-2</v>
      </c>
      <c r="AT112" s="119">
        <v>0.102128126388253</v>
      </c>
      <c r="AU112" s="119">
        <v>0.107001395804927</v>
      </c>
      <c r="AV112" s="119">
        <v>0.11076238016423701</v>
      </c>
      <c r="AW112" s="119">
        <v>0.11279557605700399</v>
      </c>
      <c r="AX112" s="119">
        <v>0.11265499824316499</v>
      </c>
      <c r="AY112" s="119">
        <v>0.111275674529906</v>
      </c>
      <c r="AZ112" s="119">
        <v>0.110235019522732</v>
      </c>
      <c r="BA112" s="119">
        <v>0.10997315607569</v>
      </c>
      <c r="BB112" s="119">
        <v>0.112792687275183</v>
      </c>
      <c r="BC112" s="119">
        <v>0.11723914732464299</v>
      </c>
      <c r="BD112" s="119">
        <v>0.122630221205018</v>
      </c>
      <c r="BE112" s="119">
        <v>0.128530171291274</v>
      </c>
      <c r="BF112" s="119">
        <v>0.134613689377514</v>
      </c>
      <c r="BG112" s="119">
        <v>0.141540778196833</v>
      </c>
      <c r="BH112" s="119">
        <v>0.14717766030561</v>
      </c>
      <c r="BI112" s="119">
        <v>0.154092066372021</v>
      </c>
      <c r="BJ112" s="119">
        <v>0.16154111594565901</v>
      </c>
      <c r="BK112" s="119">
        <v>0.16880847075359801</v>
      </c>
      <c r="BL112" s="119">
        <v>0.17666731390800899</v>
      </c>
    </row>
    <row r="113" spans="1:64" x14ac:dyDescent="0.25">
      <c r="A113" s="860" t="s">
        <v>218</v>
      </c>
      <c r="B113" s="1">
        <v>480</v>
      </c>
      <c r="C113" s="119">
        <v>0.5</v>
      </c>
      <c r="D113" s="119">
        <v>0.16680309735189999</v>
      </c>
      <c r="E113" s="119">
        <v>0.17655225695972501</v>
      </c>
      <c r="F113" s="119">
        <v>0.187446101528324</v>
      </c>
      <c r="G113" s="119">
        <v>0.199229298139631</v>
      </c>
      <c r="H113" s="119">
        <v>0.211542467512016</v>
      </c>
      <c r="I113" s="119">
        <v>0.22510504469072401</v>
      </c>
      <c r="J113" s="119">
        <v>0.240332683372459</v>
      </c>
      <c r="K113" s="119">
        <v>0.25705087690924699</v>
      </c>
      <c r="L113" s="119">
        <v>0.27493641205167801</v>
      </c>
      <c r="M113" s="119">
        <v>0.290337372035602</v>
      </c>
      <c r="N113" s="119">
        <v>0.30867663378582699</v>
      </c>
      <c r="O113" s="119">
        <v>0.32662599905406497</v>
      </c>
      <c r="P113" s="119">
        <v>0.34454276461036598</v>
      </c>
      <c r="Q113" s="119">
        <v>0.362418721654787</v>
      </c>
      <c r="R113" s="119">
        <v>0.37708635982640398</v>
      </c>
      <c r="S113" s="119">
        <v>0.390610434307191</v>
      </c>
      <c r="T113" s="119">
        <v>0.39593965705713102</v>
      </c>
      <c r="U113" s="119">
        <v>0.39846186477689999</v>
      </c>
      <c r="V113" s="119">
        <v>0.400009968023468</v>
      </c>
      <c r="W113" s="119">
        <v>0.399924628867665</v>
      </c>
      <c r="X113" s="119">
        <v>0.40152743455249801</v>
      </c>
      <c r="Y113" s="119">
        <v>0.404327162371171</v>
      </c>
      <c r="Z113" s="119">
        <v>0.40582618788296998</v>
      </c>
      <c r="AA113" s="119">
        <v>0.408935002571572</v>
      </c>
      <c r="AB113" s="119">
        <v>0.40876794597250798</v>
      </c>
      <c r="AC113" s="119">
        <v>0.40908617706345002</v>
      </c>
      <c r="AD113" s="119">
        <v>0.40773486728250702</v>
      </c>
      <c r="AE113" s="119">
        <v>0.410045089651209</v>
      </c>
      <c r="AF113" s="119">
        <v>0.40786717030379999</v>
      </c>
      <c r="AG113" s="119">
        <v>0.40789194228377701</v>
      </c>
      <c r="AH113" s="119">
        <v>0.409587626681165</v>
      </c>
      <c r="AI113" s="119">
        <v>0.40728835601511898</v>
      </c>
      <c r="AJ113" s="119">
        <v>0.40502254470528098</v>
      </c>
      <c r="AK113" s="119">
        <v>0.40306133365617203</v>
      </c>
      <c r="AL113" s="119">
        <v>0.400491922664863</v>
      </c>
      <c r="AM113" s="119">
        <v>0.39849293341013398</v>
      </c>
      <c r="AN113" s="119">
        <v>0.39787901215126698</v>
      </c>
      <c r="AO113" s="119">
        <v>0.39270691620964199</v>
      </c>
      <c r="AP113" s="119">
        <v>0.390685687192592</v>
      </c>
      <c r="AQ113" s="119">
        <v>0.38727775994873398</v>
      </c>
      <c r="AR113" s="119">
        <v>0.38281892007860802</v>
      </c>
      <c r="AS113" s="119">
        <v>0.37927695134524703</v>
      </c>
      <c r="AT113" s="119">
        <v>0.37499942163961703</v>
      </c>
      <c r="AU113" s="119">
        <v>0.37311733961202398</v>
      </c>
      <c r="AV113" s="119">
        <v>0.369084579443618</v>
      </c>
      <c r="AW113" s="119">
        <v>0.37584449585179802</v>
      </c>
      <c r="AX113" s="119">
        <v>0.38556894808249997</v>
      </c>
      <c r="AY113" s="119">
        <v>0.394296431775635</v>
      </c>
      <c r="AZ113" s="119">
        <v>0.403474469048269</v>
      </c>
      <c r="BA113" s="119">
        <v>0.41506803235216699</v>
      </c>
      <c r="BB113" s="119">
        <v>0.42387950019607301</v>
      </c>
      <c r="BC113" s="119">
        <v>0.43269893285862698</v>
      </c>
      <c r="BD113" s="119">
        <v>0.44109810540407801</v>
      </c>
      <c r="BE113" s="119">
        <v>0.45155292166147198</v>
      </c>
      <c r="BF113" s="119">
        <v>0.46148392330402399</v>
      </c>
      <c r="BG113" s="119">
        <v>0.470551100802448</v>
      </c>
      <c r="BH113" s="119">
        <v>0.47753795964664603</v>
      </c>
      <c r="BI113" s="119">
        <v>0.48352473660249101</v>
      </c>
      <c r="BJ113" s="119">
        <v>0.49500599673988599</v>
      </c>
      <c r="BK113" s="119">
        <v>0.50350155516948003</v>
      </c>
      <c r="BL113" s="119">
        <v>0.51305107270005101</v>
      </c>
    </row>
    <row r="114" spans="1:64" x14ac:dyDescent="0.25">
      <c r="A114" s="860" t="s">
        <v>220</v>
      </c>
      <c r="B114" s="1">
        <v>484</v>
      </c>
      <c r="C114" s="119">
        <v>0.5</v>
      </c>
      <c r="D114" s="119">
        <v>0.18677735745044599</v>
      </c>
      <c r="E114" s="119">
        <v>0.199328686853259</v>
      </c>
      <c r="F114" s="119">
        <v>0.21206730245056499</v>
      </c>
      <c r="G114" s="119">
        <v>0.22529400766405899</v>
      </c>
      <c r="H114" s="119">
        <v>0.24056037029334601</v>
      </c>
      <c r="I114" s="119">
        <v>0.25474012687148201</v>
      </c>
      <c r="J114" s="119">
        <v>0.26931692111431099</v>
      </c>
      <c r="K114" s="119">
        <v>0.289179881227699</v>
      </c>
      <c r="L114" s="119">
        <v>0.312269224026058</v>
      </c>
      <c r="M114" s="119">
        <v>0.33392611676731998</v>
      </c>
      <c r="N114" s="119">
        <v>0.355268453965358</v>
      </c>
      <c r="O114" s="119">
        <v>0.37591430169856999</v>
      </c>
      <c r="P114" s="119">
        <v>0.39465165491543702</v>
      </c>
      <c r="Q114" s="119">
        <v>0.40710929870823098</v>
      </c>
      <c r="R114" s="119">
        <v>0.41799820958858103</v>
      </c>
      <c r="S114" s="119">
        <v>0.42854055093143001</v>
      </c>
      <c r="T114" s="119">
        <v>0.43972917410964402</v>
      </c>
      <c r="U114" s="119">
        <v>0.45206630396897002</v>
      </c>
      <c r="V114" s="119">
        <v>0.46794021467795399</v>
      </c>
      <c r="W114" s="119">
        <v>0.48749998967740299</v>
      </c>
      <c r="X114" s="119">
        <v>0.50600049996395802</v>
      </c>
      <c r="Y114" s="119">
        <v>0.52483390112692796</v>
      </c>
      <c r="Z114" s="119">
        <v>0.54221725924977904</v>
      </c>
      <c r="AA114" s="119">
        <v>0.557623849029102</v>
      </c>
      <c r="AB114" s="119">
        <v>0.57028840359576805</v>
      </c>
      <c r="AC114" s="119">
        <v>0.58068837796538497</v>
      </c>
      <c r="AD114" s="119">
        <v>0.593065727789717</v>
      </c>
      <c r="AE114" s="119">
        <v>0.60463730452977105</v>
      </c>
      <c r="AF114" s="119">
        <v>0.61758796900115198</v>
      </c>
      <c r="AG114" s="119">
        <v>0.63074990518051699</v>
      </c>
      <c r="AH114" s="119">
        <v>0.64320781187034404</v>
      </c>
      <c r="AI114" s="119">
        <v>0.65460944189358194</v>
      </c>
      <c r="AJ114" s="119">
        <v>0.663403448797106</v>
      </c>
      <c r="AK114" s="119">
        <v>0.67061066107330503</v>
      </c>
      <c r="AL114" s="119">
        <v>0.67263602245342402</v>
      </c>
      <c r="AM114" s="119">
        <v>0.67126516437247197</v>
      </c>
      <c r="AN114" s="119">
        <v>0.67049011157904503</v>
      </c>
      <c r="AO114" s="119">
        <v>0.67107874246751698</v>
      </c>
      <c r="AP114" s="119">
        <v>0.67285249524547197</v>
      </c>
      <c r="AQ114" s="119">
        <v>0.67427057789794898</v>
      </c>
      <c r="AR114" s="119">
        <v>0.67627076493912497</v>
      </c>
      <c r="AS114" s="119">
        <v>0.67666264880652804</v>
      </c>
      <c r="AT114" s="119">
        <v>0.67835908058893202</v>
      </c>
      <c r="AU114" s="119">
        <v>0.67898458928334704</v>
      </c>
      <c r="AV114" s="119">
        <v>0.68045154991314205</v>
      </c>
      <c r="AW114" s="119">
        <v>0.68247585060319604</v>
      </c>
      <c r="AX114" s="119">
        <v>0.68528057369081996</v>
      </c>
      <c r="AY114" s="119">
        <v>0.68864580737859704</v>
      </c>
      <c r="AZ114" s="119">
        <v>0.69263269109107695</v>
      </c>
      <c r="BA114" s="119">
        <v>0.69511628490657495</v>
      </c>
      <c r="BB114" s="119">
        <v>0.69849098145163202</v>
      </c>
      <c r="BC114" s="119">
        <v>0.70008180722407398</v>
      </c>
      <c r="BD114" s="119">
        <v>0.70213698863512097</v>
      </c>
      <c r="BE114" s="119">
        <v>0.70489986973238605</v>
      </c>
      <c r="BF114" s="119">
        <v>0.70755685576938998</v>
      </c>
      <c r="BG114" s="119">
        <v>0.70907247265557205</v>
      </c>
      <c r="BH114" s="119">
        <v>0.71061863055935903</v>
      </c>
      <c r="BI114" s="119">
        <v>0.71151598371204305</v>
      </c>
      <c r="BJ114" s="119">
        <v>0.71350602185076795</v>
      </c>
      <c r="BK114" s="119">
        <v>0.71722231518632196</v>
      </c>
      <c r="BL114" s="119">
        <v>0.71660472648100504</v>
      </c>
    </row>
    <row r="115" spans="1:64" x14ac:dyDescent="0.25">
      <c r="A115" s="860" t="s">
        <v>48</v>
      </c>
      <c r="B115" s="1">
        <v>496</v>
      </c>
      <c r="C115" s="119">
        <v>0.5</v>
      </c>
      <c r="D115" s="119">
        <v>0.142249613806403</v>
      </c>
      <c r="E115" s="119">
        <v>0.153974157121127</v>
      </c>
      <c r="F115" s="119">
        <v>0.16778319902448399</v>
      </c>
      <c r="G115" s="119">
        <v>0.18170562365975801</v>
      </c>
      <c r="H115" s="119">
        <v>0.19308612733527</v>
      </c>
      <c r="I115" s="119">
        <v>0.20992497522455</v>
      </c>
      <c r="J115" s="119">
        <v>0.22513089471466899</v>
      </c>
      <c r="K115" s="119">
        <v>0.23857448263946701</v>
      </c>
      <c r="L115" s="119">
        <v>0.25297002271122698</v>
      </c>
      <c r="M115" s="119">
        <v>0.265595388955295</v>
      </c>
      <c r="N115" s="119">
        <v>0.28056292354753098</v>
      </c>
      <c r="O115" s="119">
        <v>0.29713606499755102</v>
      </c>
      <c r="P115" s="119">
        <v>0.30997682216556899</v>
      </c>
      <c r="Q115" s="119">
        <v>0.32055671337296299</v>
      </c>
      <c r="R115" s="119">
        <v>0.332917223962162</v>
      </c>
      <c r="S115" s="119">
        <v>0.34605004274025702</v>
      </c>
      <c r="T115" s="119">
        <v>0.35850038307572402</v>
      </c>
      <c r="U115" s="119">
        <v>0.36698752444949501</v>
      </c>
      <c r="V115" s="119">
        <v>0.37973953641650698</v>
      </c>
      <c r="W115" s="119">
        <v>0.389128436511189</v>
      </c>
      <c r="X115" s="119">
        <v>0.39735541379581601</v>
      </c>
      <c r="Y115" s="119">
        <v>0.40419991097341201</v>
      </c>
      <c r="Z115" s="119">
        <v>0.41097300562684902</v>
      </c>
      <c r="AA115" s="119">
        <v>0.41925862053167801</v>
      </c>
      <c r="AB115" s="119">
        <v>0.42526747969871798</v>
      </c>
      <c r="AC115" s="119">
        <v>0.43157697553469099</v>
      </c>
      <c r="AD115" s="119">
        <v>0.43978983160903501</v>
      </c>
      <c r="AE115" s="119">
        <v>0.456946180230345</v>
      </c>
      <c r="AF115" s="119">
        <v>0.47594773786351202</v>
      </c>
      <c r="AG115" s="119">
        <v>0.50023563358326295</v>
      </c>
      <c r="AH115" s="119">
        <v>0.52413800560478496</v>
      </c>
      <c r="AI115" s="119">
        <v>0.54200533908085902</v>
      </c>
      <c r="AJ115" s="119">
        <v>0.55583904618302604</v>
      </c>
      <c r="AK115" s="119">
        <v>0.56468048009933103</v>
      </c>
      <c r="AL115" s="119">
        <v>0.56147215684373897</v>
      </c>
      <c r="AM115" s="119">
        <v>0.55270564152661095</v>
      </c>
      <c r="AN115" s="119">
        <v>0.53838130907522896</v>
      </c>
      <c r="AO115" s="119">
        <v>0.52286077961410204</v>
      </c>
      <c r="AP115" s="119">
        <v>0.51012694345888199</v>
      </c>
      <c r="AQ115" s="119">
        <v>0.50151012361811498</v>
      </c>
      <c r="AR115" s="119">
        <v>0.497319801888022</v>
      </c>
      <c r="AS115" s="119">
        <v>0.49551933545320198</v>
      </c>
      <c r="AT115" s="119">
        <v>0.49370394644064097</v>
      </c>
      <c r="AU115" s="119">
        <v>0.49193541752610698</v>
      </c>
      <c r="AV115" s="119">
        <v>0.492039818293105</v>
      </c>
      <c r="AW115" s="119">
        <v>0.49119594450821602</v>
      </c>
      <c r="AX115" s="119">
        <v>0.49061039419417701</v>
      </c>
      <c r="AY115" s="119">
        <v>0.49052639841686402</v>
      </c>
      <c r="AZ115" s="119">
        <v>0.49358128562401099</v>
      </c>
      <c r="BA115" s="119">
        <v>0.49704543420588798</v>
      </c>
      <c r="BB115" s="119">
        <v>0.50365658229221499</v>
      </c>
      <c r="BC115" s="119">
        <v>0.50887722776280297</v>
      </c>
      <c r="BD115" s="119">
        <v>0.51464183516226703</v>
      </c>
      <c r="BE115" s="119">
        <v>0.51991909978010398</v>
      </c>
      <c r="BF115" s="119">
        <v>0.52623121191288802</v>
      </c>
      <c r="BG115" s="119">
        <v>0.53278496956404298</v>
      </c>
      <c r="BH115" s="119">
        <v>0.53820023626095703</v>
      </c>
      <c r="BI115" s="119">
        <v>0.54215274667198499</v>
      </c>
      <c r="BJ115" s="119">
        <v>0.54746016946017295</v>
      </c>
      <c r="BK115" s="119">
        <v>0.55225378657668101</v>
      </c>
      <c r="BL115" s="119">
        <v>0.55526697157507199</v>
      </c>
    </row>
    <row r="116" spans="1:64" x14ac:dyDescent="0.25">
      <c r="A116" s="860" t="s">
        <v>221</v>
      </c>
      <c r="B116" s="1">
        <v>499</v>
      </c>
      <c r="C116" s="119">
        <v>0.5</v>
      </c>
      <c r="D116" s="119">
        <v>7.5579580068388996E-2</v>
      </c>
      <c r="E116" s="119">
        <v>8.1301632931336298E-2</v>
      </c>
      <c r="F116" s="119">
        <v>8.6382143524820001E-2</v>
      </c>
      <c r="G116" s="119">
        <v>9.1591099743600995E-2</v>
      </c>
      <c r="H116" s="119">
        <v>9.8380486353467494E-2</v>
      </c>
      <c r="I116" s="119">
        <v>0.10436079548985799</v>
      </c>
      <c r="J116" s="119">
        <v>0.10966267742760601</v>
      </c>
      <c r="K116" s="119">
        <v>0.11628714634960099</v>
      </c>
      <c r="L116" s="119">
        <v>0.124318851680642</v>
      </c>
      <c r="M116" s="119">
        <v>0.130525302030782</v>
      </c>
      <c r="N116" s="119">
        <v>0.137883562448884</v>
      </c>
      <c r="O116" s="119">
        <v>0.14589715167773801</v>
      </c>
      <c r="P116" s="119">
        <v>0.152514691979207</v>
      </c>
      <c r="Q116" s="119">
        <v>0.161159416518492</v>
      </c>
      <c r="R116" s="119">
        <v>0.16943043400487801</v>
      </c>
      <c r="S116" s="119">
        <v>0.17514433945716701</v>
      </c>
      <c r="T116" s="119">
        <v>0.182657827840742</v>
      </c>
      <c r="U116" s="119">
        <v>0.192806843186594</v>
      </c>
      <c r="V116" s="119">
        <v>0.20354891129545599</v>
      </c>
      <c r="W116" s="119">
        <v>0.21112682386603099</v>
      </c>
      <c r="X116" s="119">
        <v>0.21864549746965101</v>
      </c>
      <c r="Y116" s="119">
        <v>0.22357035773991801</v>
      </c>
      <c r="Z116" s="119">
        <v>0.22683507808211101</v>
      </c>
      <c r="AA116" s="119">
        <v>0.23219587896287899</v>
      </c>
      <c r="AB116" s="119">
        <v>0.23752737239313601</v>
      </c>
      <c r="AC116" s="119">
        <v>0.24030077769726499</v>
      </c>
      <c r="AD116" s="119">
        <v>0.24257198085719101</v>
      </c>
      <c r="AE116" s="119">
        <v>0.24563148333357601</v>
      </c>
      <c r="AF116" s="119">
        <v>0.24936279681781501</v>
      </c>
      <c r="AG116" s="119">
        <v>0.25072468009237198</v>
      </c>
      <c r="AH116" s="119">
        <v>0.25151745504977102</v>
      </c>
      <c r="AI116" s="119">
        <v>0.24287657186039899</v>
      </c>
      <c r="AJ116" s="119">
        <v>0.232439992096271</v>
      </c>
      <c r="AK116" s="119">
        <v>0.22160037713208899</v>
      </c>
      <c r="AL116" s="119">
        <v>0.212444152262872</v>
      </c>
      <c r="AM116" s="119">
        <v>0.203766596164695</v>
      </c>
      <c r="AN116" s="119">
        <v>0.19746334505374599</v>
      </c>
      <c r="AO116" s="119">
        <v>0.18930720845353699</v>
      </c>
      <c r="AP116" s="119">
        <v>0.18475933959029001</v>
      </c>
      <c r="AQ116" s="119">
        <v>0.179121456949144</v>
      </c>
      <c r="AR116" s="119">
        <v>0.17382625621909101</v>
      </c>
      <c r="AS116" s="119">
        <v>0.16822569855765299</v>
      </c>
      <c r="AT116" s="119">
        <v>0.16262861235349599</v>
      </c>
      <c r="AU116" s="119">
        <v>0.15806757601225799</v>
      </c>
      <c r="AV116" s="119">
        <v>0.153090100126763</v>
      </c>
      <c r="AW116" s="119">
        <v>0.148934035517678</v>
      </c>
      <c r="AX116" s="119">
        <v>0.145751951323567</v>
      </c>
      <c r="AY116" s="119">
        <v>0.142948869659767</v>
      </c>
      <c r="AZ116" s="119">
        <v>0.140959724790375</v>
      </c>
      <c r="BA116" s="119">
        <v>0.14315728032903499</v>
      </c>
      <c r="BB116" s="119">
        <v>0.14530035742664901</v>
      </c>
      <c r="BC116" s="119">
        <v>0.14935380300329601</v>
      </c>
      <c r="BD116" s="119">
        <v>0.15300174221538901</v>
      </c>
      <c r="BE116" s="119">
        <v>0.15817925656058701</v>
      </c>
      <c r="BF116" s="119">
        <v>0.161695999330706</v>
      </c>
      <c r="BG116" s="119">
        <v>0.16560068792813001</v>
      </c>
      <c r="BH116" s="119">
        <v>0.170403854535462</v>
      </c>
      <c r="BI116" s="119">
        <v>0.17552957048442799</v>
      </c>
      <c r="BJ116" s="119">
        <v>0.17951418500507099</v>
      </c>
      <c r="BK116" s="119">
        <v>0.18432156319127599</v>
      </c>
      <c r="BL116" s="119">
        <v>0.189217097397711</v>
      </c>
    </row>
    <row r="117" spans="1:64" x14ac:dyDescent="0.25">
      <c r="A117" s="860" t="s">
        <v>222</v>
      </c>
      <c r="B117" s="1">
        <v>500</v>
      </c>
      <c r="C117" s="119">
        <v>0.5</v>
      </c>
      <c r="D117" s="119">
        <v>0.351657122324119</v>
      </c>
      <c r="E117" s="119">
        <v>0.35911838894829801</v>
      </c>
      <c r="F117" s="119">
        <v>0.36679228736682301</v>
      </c>
      <c r="G117" s="119">
        <v>0.37095898382667503</v>
      </c>
      <c r="H117" s="119">
        <v>0.38074653634801803</v>
      </c>
      <c r="I117" s="119">
        <v>0.389977541514404</v>
      </c>
      <c r="J117" s="119">
        <v>0.39881804014854999</v>
      </c>
      <c r="K117" s="119">
        <v>0.40747162738506099</v>
      </c>
      <c r="L117" s="119">
        <v>0.41401909554926197</v>
      </c>
      <c r="M117" s="119">
        <v>0.421986580629098</v>
      </c>
      <c r="N117" s="119">
        <v>0.43013401300331</v>
      </c>
      <c r="O117" s="119">
        <v>0.43851274043842697</v>
      </c>
      <c r="P117" s="119">
        <v>0.44694425204343702</v>
      </c>
      <c r="Q117" s="119">
        <v>0.45541065492516197</v>
      </c>
      <c r="R117" s="119">
        <v>0.46266393384620802</v>
      </c>
      <c r="S117" s="119">
        <v>0.46844957274551502</v>
      </c>
      <c r="T117" s="119">
        <v>0.47463381349275702</v>
      </c>
      <c r="U117" s="119">
        <v>0.48241593227044</v>
      </c>
      <c r="V117" s="119">
        <v>0.48688348681036198</v>
      </c>
      <c r="W117" s="119">
        <v>0.49396665759258901</v>
      </c>
      <c r="X117" s="119">
        <v>0.49838097596312803</v>
      </c>
      <c r="Y117" s="119">
        <v>0.50556663209918096</v>
      </c>
      <c r="Z117" s="119">
        <v>0.50999433690664597</v>
      </c>
      <c r="AA117" s="119">
        <v>0.51647247775519001</v>
      </c>
      <c r="AB117" s="119">
        <v>0.52085745585704402</v>
      </c>
      <c r="AC117" s="119">
        <v>0.52779259448084104</v>
      </c>
      <c r="AD117" s="119">
        <v>0.53234783623763604</v>
      </c>
      <c r="AE117" s="119">
        <v>0.53655056041681504</v>
      </c>
      <c r="AF117" s="119">
        <v>0.54307782640160596</v>
      </c>
      <c r="AG117" s="119">
        <v>0.54963526749716995</v>
      </c>
      <c r="AH117" s="119">
        <v>0.554556976095396</v>
      </c>
      <c r="AI117" s="119">
        <v>0.55557354447138396</v>
      </c>
      <c r="AJ117" s="119">
        <v>0.56052224726432398</v>
      </c>
      <c r="AK117" s="119">
        <v>0.56591248493700597</v>
      </c>
      <c r="AL117" s="119">
        <v>0.57188709211565902</v>
      </c>
      <c r="AM117" s="119">
        <v>0.57534314168135503</v>
      </c>
      <c r="AN117" s="119">
        <v>0.57964910278988202</v>
      </c>
      <c r="AO117" s="119">
        <v>0.581080439787522</v>
      </c>
      <c r="AP117" s="119">
        <v>0.58374141826519699</v>
      </c>
      <c r="AQ117" s="119">
        <v>0.58561989838846196</v>
      </c>
      <c r="AR117" s="119">
        <v>0.59046343059453799</v>
      </c>
      <c r="AS117" s="119">
        <v>0.59332188499643101</v>
      </c>
      <c r="AT117" s="119">
        <v>0.59720451723176604</v>
      </c>
      <c r="AU117" s="119">
        <v>0.60028026816983304</v>
      </c>
      <c r="AV117" s="119">
        <v>0.60280578733815804</v>
      </c>
      <c r="AW117" s="119">
        <v>0.60485260323190204</v>
      </c>
      <c r="AX117" s="119">
        <v>0.60838478950108399</v>
      </c>
      <c r="AY117" s="119">
        <v>0.61062275342666195</v>
      </c>
      <c r="AZ117" s="119">
        <v>0.61339846652222696</v>
      </c>
      <c r="BA117" s="119">
        <v>0.61488645597986602</v>
      </c>
      <c r="BB117" s="119">
        <v>0.61696815458231302</v>
      </c>
      <c r="BC117" s="119">
        <v>0.62083119293870803</v>
      </c>
      <c r="BD117" s="119">
        <v>0.62682364037432003</v>
      </c>
      <c r="BE117" s="119">
        <v>0.62913153472762096</v>
      </c>
      <c r="BF117" s="119">
        <v>0.63221814806902199</v>
      </c>
      <c r="BG117" s="119">
        <v>0.63279771929954498</v>
      </c>
      <c r="BH117" s="119">
        <v>0.63749920037387997</v>
      </c>
      <c r="BI117" s="119">
        <v>0.64011096261951494</v>
      </c>
      <c r="BJ117" s="119">
        <v>0.644223935829071</v>
      </c>
      <c r="BK117" s="119">
        <v>0.64965524999886004</v>
      </c>
      <c r="BL117" s="119">
        <v>0.65341408699012904</v>
      </c>
    </row>
    <row r="118" spans="1:64" x14ac:dyDescent="0.25">
      <c r="A118" s="860" t="s">
        <v>223</v>
      </c>
      <c r="B118" s="1">
        <v>504</v>
      </c>
      <c r="C118" s="119">
        <v>0.5</v>
      </c>
      <c r="D118" s="119">
        <v>0.106716448328753</v>
      </c>
      <c r="E118" s="119">
        <v>0.114035065382889</v>
      </c>
      <c r="F118" s="119">
        <v>0.119394411733453</v>
      </c>
      <c r="G118" s="119">
        <v>0.12725132864802799</v>
      </c>
      <c r="H118" s="119">
        <v>0.13496126117603699</v>
      </c>
      <c r="I118" s="119">
        <v>0.14224911717708399</v>
      </c>
      <c r="J118" s="119">
        <v>0.150504698967731</v>
      </c>
      <c r="K118" s="119">
        <v>0.15823840859876301</v>
      </c>
      <c r="L118" s="119">
        <v>0.16731499843115499</v>
      </c>
      <c r="M118" s="119">
        <v>0.177091649990816</v>
      </c>
      <c r="N118" s="119">
        <v>0.18744545570777199</v>
      </c>
      <c r="O118" s="119">
        <v>0.19862092679931401</v>
      </c>
      <c r="P118" s="119">
        <v>0.212655466129377</v>
      </c>
      <c r="Q118" s="119">
        <v>0.22584376485615601</v>
      </c>
      <c r="R118" s="119">
        <v>0.240393528787475</v>
      </c>
      <c r="S118" s="119">
        <v>0.25587453330430598</v>
      </c>
      <c r="T118" s="119">
        <v>0.27133325412625398</v>
      </c>
      <c r="U118" s="119">
        <v>0.28723594359513199</v>
      </c>
      <c r="V118" s="119">
        <v>0.30102342953295802</v>
      </c>
      <c r="W118" s="119">
        <v>0.313271575538075</v>
      </c>
      <c r="X118" s="119">
        <v>0.32565801372176201</v>
      </c>
      <c r="Y118" s="119">
        <v>0.34105219560037903</v>
      </c>
      <c r="Z118" s="119">
        <v>0.35782143779870501</v>
      </c>
      <c r="AA118" s="119">
        <v>0.377364132805102</v>
      </c>
      <c r="AB118" s="119">
        <v>0.39949998278700899</v>
      </c>
      <c r="AC118" s="119">
        <v>0.42178046008408099</v>
      </c>
      <c r="AD118" s="119">
        <v>0.442554698066634</v>
      </c>
      <c r="AE118" s="119">
        <v>0.462033404190207</v>
      </c>
      <c r="AF118" s="119">
        <v>0.47901667216738703</v>
      </c>
      <c r="AG118" s="119">
        <v>0.49440945809501302</v>
      </c>
      <c r="AH118" s="119">
        <v>0.507272398957473</v>
      </c>
      <c r="AI118" s="119">
        <v>0.52078757735790804</v>
      </c>
      <c r="AJ118" s="119">
        <v>0.533273928455964</v>
      </c>
      <c r="AK118" s="119">
        <v>0.54469609998930002</v>
      </c>
      <c r="AL118" s="119">
        <v>0.55166818334585599</v>
      </c>
      <c r="AM118" s="119">
        <v>0.55911622180920595</v>
      </c>
      <c r="AN118" s="119">
        <v>0.56481946364794799</v>
      </c>
      <c r="AO118" s="119">
        <v>0.56866277711094104</v>
      </c>
      <c r="AP118" s="119">
        <v>0.57305994647846503</v>
      </c>
      <c r="AQ118" s="119">
        <v>0.57652689492129705</v>
      </c>
      <c r="AR118" s="119">
        <v>0.58060242604122803</v>
      </c>
      <c r="AS118" s="119">
        <v>0.58424994188804202</v>
      </c>
      <c r="AT118" s="119">
        <v>0.58619370445855001</v>
      </c>
      <c r="AU118" s="119">
        <v>0.588055217264289</v>
      </c>
      <c r="AV118" s="119">
        <v>0.58964708704725399</v>
      </c>
      <c r="AW118" s="119">
        <v>0.59186245317998398</v>
      </c>
      <c r="AX118" s="119">
        <v>0.59416397488117301</v>
      </c>
      <c r="AY118" s="119">
        <v>0.59701256953066195</v>
      </c>
      <c r="AZ118" s="119">
        <v>0.59775833948281698</v>
      </c>
      <c r="BA118" s="119">
        <v>0.60196076673118004</v>
      </c>
      <c r="BB118" s="119">
        <v>0.60585472107445604</v>
      </c>
      <c r="BC118" s="119">
        <v>0.606952770792757</v>
      </c>
      <c r="BD118" s="119">
        <v>0.61052784429746898</v>
      </c>
      <c r="BE118" s="119">
        <v>0.61503462784302898</v>
      </c>
      <c r="BF118" s="119">
        <v>0.61718607502396094</v>
      </c>
      <c r="BG118" s="119">
        <v>0.62106302082749498</v>
      </c>
      <c r="BH118" s="119">
        <v>0.625251411588018</v>
      </c>
      <c r="BI118" s="119">
        <v>0.62728032468586503</v>
      </c>
      <c r="BJ118" s="119">
        <v>0.63185337045957002</v>
      </c>
      <c r="BK118" s="119">
        <v>0.63451054918251704</v>
      </c>
      <c r="BL118" s="119">
        <v>0.63755444562919805</v>
      </c>
    </row>
    <row r="119" spans="1:64" x14ac:dyDescent="0.25">
      <c r="A119" s="860" t="s">
        <v>49</v>
      </c>
      <c r="B119" s="1">
        <v>508</v>
      </c>
      <c r="C119" s="119">
        <v>0.5</v>
      </c>
      <c r="D119" s="119">
        <v>3.6346213999899398E-3</v>
      </c>
      <c r="E119" s="119">
        <v>4.1788378268946503E-3</v>
      </c>
      <c r="F119" s="119">
        <v>4.7747330908291001E-3</v>
      </c>
      <c r="G119" s="119">
        <v>5.3746160235106401E-3</v>
      </c>
      <c r="H119" s="119">
        <v>6.1886589896686904E-3</v>
      </c>
      <c r="I119" s="119">
        <v>7.0391036250493201E-3</v>
      </c>
      <c r="J119" s="119">
        <v>7.8711343399523407E-3</v>
      </c>
      <c r="K119" s="119">
        <v>8.7648842680050094E-3</v>
      </c>
      <c r="L119" s="119">
        <v>1.0033727718821901E-2</v>
      </c>
      <c r="M119" s="119">
        <v>1.1221577182393199E-2</v>
      </c>
      <c r="N119" s="119">
        <v>1.26183839032645E-2</v>
      </c>
      <c r="O119" s="119">
        <v>1.4236422552949201E-2</v>
      </c>
      <c r="P119" s="119">
        <v>1.5906280432541199E-2</v>
      </c>
      <c r="Q119" s="119">
        <v>1.7479483900978299E-2</v>
      </c>
      <c r="R119" s="119">
        <v>1.9581281828407401E-2</v>
      </c>
      <c r="S119" s="119">
        <v>2.1891169820975501E-2</v>
      </c>
      <c r="T119" s="119">
        <v>2.4176498938236399E-2</v>
      </c>
      <c r="U119" s="119">
        <v>2.6534636679578099E-2</v>
      </c>
      <c r="V119" s="119">
        <v>2.9705551894558702E-2</v>
      </c>
      <c r="W119" s="119">
        <v>3.25201620174621E-2</v>
      </c>
      <c r="X119" s="119">
        <v>3.5323753726647103E-2</v>
      </c>
      <c r="Y119" s="119">
        <v>3.8163598787307802E-2</v>
      </c>
      <c r="Z119" s="119">
        <v>4.0888614619371898E-2</v>
      </c>
      <c r="AA119" s="119">
        <v>4.3818132682705201E-2</v>
      </c>
      <c r="AB119" s="119">
        <v>4.6925951763260101E-2</v>
      </c>
      <c r="AC119" s="119">
        <v>5.0333213232963601E-2</v>
      </c>
      <c r="AD119" s="119">
        <v>5.4638767267673902E-2</v>
      </c>
      <c r="AE119" s="119">
        <v>6.0320695605407697E-2</v>
      </c>
      <c r="AF119" s="119">
        <v>6.7393489895186204E-2</v>
      </c>
      <c r="AG119" s="119">
        <v>7.66418273384777E-2</v>
      </c>
      <c r="AH119" s="119">
        <v>8.7861561671744207E-2</v>
      </c>
      <c r="AI119" s="119">
        <v>9.99886043062823E-2</v>
      </c>
      <c r="AJ119" s="119">
        <v>0.112517945680491</v>
      </c>
      <c r="AK119" s="119">
        <v>0.122790529187462</v>
      </c>
      <c r="AL119" s="119">
        <v>0.12915211383449501</v>
      </c>
      <c r="AM119" s="119">
        <v>0.131938898808144</v>
      </c>
      <c r="AN119" s="119">
        <v>0.13271038283016801</v>
      </c>
      <c r="AO119" s="119">
        <v>0.13262409864139299</v>
      </c>
      <c r="AP119" s="119">
        <v>0.13117941187436999</v>
      </c>
      <c r="AQ119" s="119">
        <v>0.128663326878735</v>
      </c>
      <c r="AR119" s="119">
        <v>0.12654629769720199</v>
      </c>
      <c r="AS119" s="119">
        <v>0.129966875911255</v>
      </c>
      <c r="AT119" s="119">
        <v>0.14652850595327399</v>
      </c>
      <c r="AU119" s="119">
        <v>0.17223943416436399</v>
      </c>
      <c r="AV119" s="119">
        <v>0.203796576365014</v>
      </c>
      <c r="AW119" s="119">
        <v>0.23529551456169101</v>
      </c>
      <c r="AX119" s="119">
        <v>0.25946184227597702</v>
      </c>
      <c r="AY119" s="119">
        <v>0.27769808929230599</v>
      </c>
      <c r="AZ119" s="119">
        <v>0.29309736015632798</v>
      </c>
      <c r="BA119" s="119">
        <v>0.30755316208199002</v>
      </c>
      <c r="BB119" s="119">
        <v>0.32045229221550597</v>
      </c>
      <c r="BC119" s="119">
        <v>0.33322108602615302</v>
      </c>
      <c r="BD119" s="119">
        <v>0.34432319282712098</v>
      </c>
      <c r="BE119" s="119">
        <v>0.35738409871589999</v>
      </c>
      <c r="BF119" s="119">
        <v>0.36873955713024398</v>
      </c>
      <c r="BG119" s="119">
        <v>0.38104291955605102</v>
      </c>
      <c r="BH119" s="119">
        <v>0.39324224044237299</v>
      </c>
      <c r="BI119" s="119">
        <v>0.40234268401816298</v>
      </c>
      <c r="BJ119" s="119">
        <v>0.41426957727102098</v>
      </c>
      <c r="BK119" s="119">
        <v>0.42536390631066401</v>
      </c>
      <c r="BL119" s="119">
        <v>0.43452417302463098</v>
      </c>
    </row>
    <row r="120" spans="1:64" x14ac:dyDescent="0.25">
      <c r="A120" s="860" t="s">
        <v>50</v>
      </c>
      <c r="B120" s="1">
        <v>104</v>
      </c>
      <c r="C120" s="119">
        <v>0.5</v>
      </c>
      <c r="D120" s="119">
        <v>2.00693529037511E-2</v>
      </c>
      <c r="E120" s="119">
        <v>2.20914559183196E-2</v>
      </c>
      <c r="F120" s="119">
        <v>2.45633184690696E-2</v>
      </c>
      <c r="G120" s="119">
        <v>2.72636351830076E-2</v>
      </c>
      <c r="H120" s="119">
        <v>3.01066898896519E-2</v>
      </c>
      <c r="I120" s="119">
        <v>3.3163475432243003E-2</v>
      </c>
      <c r="J120" s="119">
        <v>3.6398942054217398E-2</v>
      </c>
      <c r="K120" s="119">
        <v>4.0845484345278703E-2</v>
      </c>
      <c r="L120" s="119">
        <v>4.5103784357062998E-2</v>
      </c>
      <c r="M120" s="119">
        <v>4.9889950236615702E-2</v>
      </c>
      <c r="N120" s="119">
        <v>5.4753090627515003E-2</v>
      </c>
      <c r="O120" s="119">
        <v>5.9527763407704E-2</v>
      </c>
      <c r="P120" s="119">
        <v>6.5628418071729602E-2</v>
      </c>
      <c r="Q120" s="119">
        <v>7.1615946350499504E-2</v>
      </c>
      <c r="R120" s="119">
        <v>7.9271146155767497E-2</v>
      </c>
      <c r="S120" s="119">
        <v>8.6863923230319495E-2</v>
      </c>
      <c r="T120" s="119">
        <v>9.4748652740618694E-2</v>
      </c>
      <c r="U120" s="119">
        <v>0.103841409733529</v>
      </c>
      <c r="V120" s="119">
        <v>0.113561627384808</v>
      </c>
      <c r="W120" s="119">
        <v>0.12348261244978199</v>
      </c>
      <c r="X120" s="119">
        <v>0.13376113538092499</v>
      </c>
      <c r="Y120" s="119">
        <v>0.14584349457269499</v>
      </c>
      <c r="Z120" s="119">
        <v>0.16194657301568399</v>
      </c>
      <c r="AA120" s="119">
        <v>0.180776421616168</v>
      </c>
      <c r="AB120" s="119">
        <v>0.20192878566674499</v>
      </c>
      <c r="AC120" s="119">
        <v>0.22368957247252799</v>
      </c>
      <c r="AD120" s="119">
        <v>0.245145142097285</v>
      </c>
      <c r="AE120" s="119">
        <v>0.26380524830773</v>
      </c>
      <c r="AF120" s="119">
        <v>0.27829484083593398</v>
      </c>
      <c r="AG120" s="119">
        <v>0.28704729240504501</v>
      </c>
      <c r="AH120" s="119">
        <v>0.29391428368981298</v>
      </c>
      <c r="AI120" s="119">
        <v>0.30325024841996401</v>
      </c>
      <c r="AJ120" s="119">
        <v>0.31545027887985899</v>
      </c>
      <c r="AK120" s="119">
        <v>0.329175742442954</v>
      </c>
      <c r="AL120" s="119">
        <v>0.34273550224814398</v>
      </c>
      <c r="AM120" s="119">
        <v>0.35678608374233101</v>
      </c>
      <c r="AN120" s="119">
        <v>0.37144619231061399</v>
      </c>
      <c r="AO120" s="119">
        <v>0.38516900205254201</v>
      </c>
      <c r="AP120" s="119">
        <v>0.40000913777274999</v>
      </c>
      <c r="AQ120" s="119">
        <v>0.41493179512287998</v>
      </c>
      <c r="AR120" s="119">
        <v>0.42871278687147701</v>
      </c>
      <c r="AS120" s="119">
        <v>0.44468078828191099</v>
      </c>
      <c r="AT120" s="119">
        <v>0.46018416040669302</v>
      </c>
      <c r="AU120" s="119">
        <v>0.47391721361487299</v>
      </c>
      <c r="AV120" s="119">
        <v>0.48627932867664297</v>
      </c>
      <c r="AW120" s="119">
        <v>0.49997500569513098</v>
      </c>
      <c r="AX120" s="119">
        <v>0.51255236497927903</v>
      </c>
      <c r="AY120" s="119">
        <v>0.522894366120075</v>
      </c>
      <c r="AZ120" s="119">
        <v>0.53257345071419804</v>
      </c>
      <c r="BA120" s="119">
        <v>0.54084141877330405</v>
      </c>
      <c r="BB120" s="119">
        <v>0.54839638498204901</v>
      </c>
      <c r="BC120" s="119">
        <v>0.55518157991162898</v>
      </c>
      <c r="BD120" s="119">
        <v>0.56417768879539698</v>
      </c>
      <c r="BE120" s="119">
        <v>0.57132104460939204</v>
      </c>
      <c r="BF120" s="119">
        <v>0.576368368464098</v>
      </c>
      <c r="BG120" s="119">
        <v>0.579686735370602</v>
      </c>
      <c r="BH120" s="119">
        <v>0.58681430942037405</v>
      </c>
      <c r="BI120" s="119">
        <v>0.59179970109275204</v>
      </c>
      <c r="BJ120" s="119">
        <v>0.59600307642043804</v>
      </c>
      <c r="BK120" s="119">
        <v>0.59950865561883204</v>
      </c>
      <c r="BL120" s="119">
        <v>0.60220769334291002</v>
      </c>
    </row>
    <row r="121" spans="1:64" x14ac:dyDescent="0.25">
      <c r="A121" s="860" t="s">
        <v>224</v>
      </c>
      <c r="B121" s="1">
        <v>516</v>
      </c>
      <c r="C121" s="119">
        <v>0.5</v>
      </c>
      <c r="D121" s="119">
        <v>4.73658401591074E-2</v>
      </c>
      <c r="E121" s="119">
        <v>5.4276207975478601E-2</v>
      </c>
      <c r="F121" s="119">
        <v>6.1303313524182799E-2</v>
      </c>
      <c r="G121" s="119">
        <v>6.9094383700155901E-2</v>
      </c>
      <c r="H121" s="119">
        <v>7.8109732656682598E-2</v>
      </c>
      <c r="I121" s="119">
        <v>8.6977096797422701E-2</v>
      </c>
      <c r="J121" s="119">
        <v>9.6151459242234699E-2</v>
      </c>
      <c r="K121" s="119">
        <v>0.107491553323997</v>
      </c>
      <c r="L121" s="119">
        <v>0.119807843972752</v>
      </c>
      <c r="M121" s="119">
        <v>0.13125325826731199</v>
      </c>
      <c r="N121" s="119">
        <v>0.14473720849316099</v>
      </c>
      <c r="O121" s="119">
        <v>0.15756301115815599</v>
      </c>
      <c r="P121" s="119">
        <v>0.17030875275148699</v>
      </c>
      <c r="Q121" s="119">
        <v>0.18507549413018701</v>
      </c>
      <c r="R121" s="119">
        <v>0.20027658297613099</v>
      </c>
      <c r="S121" s="119">
        <v>0.215646480529573</v>
      </c>
      <c r="T121" s="119">
        <v>0.23100891510223701</v>
      </c>
      <c r="U121" s="119">
        <v>0.246049796280296</v>
      </c>
      <c r="V121" s="119">
        <v>0.26042802702032603</v>
      </c>
      <c r="W121" s="119">
        <v>0.27015012536312799</v>
      </c>
      <c r="X121" s="119">
        <v>0.273082926870579</v>
      </c>
      <c r="Y121" s="119">
        <v>0.27394138389783201</v>
      </c>
      <c r="Z121" s="119">
        <v>0.27713756205545398</v>
      </c>
      <c r="AA121" s="119">
        <v>0.290366199636099</v>
      </c>
      <c r="AB121" s="119">
        <v>0.30616903762562098</v>
      </c>
      <c r="AC121" s="119">
        <v>0.32568665589039397</v>
      </c>
      <c r="AD121" s="119">
        <v>0.34655995527259797</v>
      </c>
      <c r="AE121" s="119">
        <v>0.36616022410322802</v>
      </c>
      <c r="AF121" s="119">
        <v>0.38592701294986198</v>
      </c>
      <c r="AG121" s="119">
        <v>0.405982517119096</v>
      </c>
      <c r="AH121" s="119">
        <v>0.425328771611376</v>
      </c>
      <c r="AI121" s="119">
        <v>0.441450981443331</v>
      </c>
      <c r="AJ121" s="119">
        <v>0.458244833927822</v>
      </c>
      <c r="AK121" s="119">
        <v>0.473404831227075</v>
      </c>
      <c r="AL121" s="119">
        <v>0.48948921502744802</v>
      </c>
      <c r="AM121" s="119">
        <v>0.504711006744746</v>
      </c>
      <c r="AN121" s="119">
        <v>0.51754824044338199</v>
      </c>
      <c r="AO121" s="119">
        <v>0.52805015617634499</v>
      </c>
      <c r="AP121" s="119">
        <v>0.53536084490387503</v>
      </c>
      <c r="AQ121" s="119">
        <v>0.54074641901321596</v>
      </c>
      <c r="AR121" s="119">
        <v>0.54516179945013399</v>
      </c>
      <c r="AS121" s="119">
        <v>0.54821835488438797</v>
      </c>
      <c r="AT121" s="119">
        <v>0.55152245399078104</v>
      </c>
      <c r="AU121" s="119">
        <v>0.55543713920805304</v>
      </c>
      <c r="AV121" s="119">
        <v>0.55999473518545895</v>
      </c>
      <c r="AW121" s="119">
        <v>0.56544067316505997</v>
      </c>
      <c r="AX121" s="119">
        <v>0.57110415324062302</v>
      </c>
      <c r="AY121" s="119">
        <v>0.57724702288241603</v>
      </c>
      <c r="AZ121" s="119">
        <v>0.58379348099829997</v>
      </c>
      <c r="BA121" s="119">
        <v>0.58939876621346698</v>
      </c>
      <c r="BB121" s="119">
        <v>0.59413287589590102</v>
      </c>
      <c r="BC121" s="119">
        <v>0.59836277938424198</v>
      </c>
      <c r="BD121" s="119">
        <v>0.60301966803257501</v>
      </c>
      <c r="BE121" s="119">
        <v>0.60746193253949898</v>
      </c>
      <c r="BF121" s="119">
        <v>0.61112018488071596</v>
      </c>
      <c r="BG121" s="119">
        <v>0.61531769559383598</v>
      </c>
      <c r="BH121" s="119">
        <v>0.61819383255120997</v>
      </c>
      <c r="BI121" s="119">
        <v>0.620636526534601</v>
      </c>
      <c r="BJ121" s="119">
        <v>0.62380125006104004</v>
      </c>
      <c r="BK121" s="119">
        <v>0.62611093071436297</v>
      </c>
      <c r="BL121" s="119">
        <v>0.63065644891558204</v>
      </c>
    </row>
    <row r="122" spans="1:64" x14ac:dyDescent="0.25">
      <c r="A122" s="860" t="s">
        <v>225</v>
      </c>
      <c r="B122" s="1">
        <v>520</v>
      </c>
      <c r="C122" s="119">
        <v>0.5</v>
      </c>
      <c r="D122" s="119">
        <v>0.16413214405260701</v>
      </c>
      <c r="E122" s="119">
        <v>0.166856149176939</v>
      </c>
      <c r="F122" s="119">
        <v>0.167921524296547</v>
      </c>
      <c r="G122" s="119">
        <v>0.17054136016145799</v>
      </c>
      <c r="H122" s="119">
        <v>0.175542251064399</v>
      </c>
      <c r="I122" s="119">
        <v>0.17641996415797301</v>
      </c>
      <c r="J122" s="119">
        <v>0.18062586300821201</v>
      </c>
      <c r="K122" s="119">
        <v>0.18332363954827499</v>
      </c>
      <c r="L122" s="119">
        <v>0.18447891962551499</v>
      </c>
      <c r="M122" s="119">
        <v>0.18665384855338199</v>
      </c>
      <c r="N122" s="119">
        <v>0.19050850590555901</v>
      </c>
      <c r="O122" s="119">
        <v>0.19243324769700501</v>
      </c>
      <c r="P122" s="119">
        <v>0.19367487209193601</v>
      </c>
      <c r="Q122" s="119">
        <v>0.19847840062198999</v>
      </c>
      <c r="R122" s="119">
        <v>0.20160523823304299</v>
      </c>
      <c r="S122" s="119">
        <v>0.20427616940330801</v>
      </c>
      <c r="T122" s="119">
        <v>0.20749113783053</v>
      </c>
      <c r="U122" s="119">
        <v>0.209433468260733</v>
      </c>
      <c r="V122" s="119">
        <v>0.21047623573056001</v>
      </c>
      <c r="W122" s="119">
        <v>0.209948485637618</v>
      </c>
      <c r="X122" s="119">
        <v>0.213110827297644</v>
      </c>
      <c r="Y122" s="119">
        <v>0.21687057526970599</v>
      </c>
      <c r="Z122" s="119">
        <v>0.22075891274044801</v>
      </c>
      <c r="AA122" s="119">
        <v>0.221926236517414</v>
      </c>
      <c r="AB122" s="119">
        <v>0.22385681815651301</v>
      </c>
      <c r="AC122" s="119">
        <v>0.22494073916056101</v>
      </c>
      <c r="AD122" s="119">
        <v>0.225892172700732</v>
      </c>
      <c r="AE122" s="119">
        <v>0.228553097237951</v>
      </c>
      <c r="AF122" s="119">
        <v>0.23116753228196199</v>
      </c>
      <c r="AG122" s="119">
        <v>0.234069355858744</v>
      </c>
      <c r="AH122" s="119">
        <v>0.23654739281610401</v>
      </c>
      <c r="AI122" s="119">
        <v>0.24039582390627201</v>
      </c>
      <c r="AJ122" s="119">
        <v>0.24310008075740699</v>
      </c>
      <c r="AK122" s="119">
        <v>0.245682881374651</v>
      </c>
      <c r="AL122" s="119">
        <v>0.247761520607471</v>
      </c>
      <c r="AM122" s="119">
        <v>0.25072643687951401</v>
      </c>
      <c r="AN122" s="119">
        <v>0.25317568260178003</v>
      </c>
      <c r="AO122" s="119">
        <v>0.25417138751796903</v>
      </c>
      <c r="AP122" s="119">
        <v>0.25871845337877097</v>
      </c>
      <c r="AQ122" s="119">
        <v>0.26229478473732898</v>
      </c>
      <c r="AR122" s="119">
        <v>0.26584830650380598</v>
      </c>
      <c r="AS122" s="119">
        <v>0.26872078499023999</v>
      </c>
      <c r="AT122" s="119">
        <v>0.27226172431510998</v>
      </c>
      <c r="AU122" s="119">
        <v>0.27541449665140499</v>
      </c>
      <c r="AV122" s="119">
        <v>0.27921069691464501</v>
      </c>
      <c r="AW122" s="119">
        <v>0.28066801511718198</v>
      </c>
      <c r="AX122" s="119">
        <v>0.28446820091337</v>
      </c>
      <c r="AY122" s="119">
        <v>0.287560592103696</v>
      </c>
      <c r="AZ122" s="119">
        <v>0.29042667682338702</v>
      </c>
      <c r="BA122" s="119">
        <v>0.29377642663195702</v>
      </c>
      <c r="BB122" s="119">
        <v>0.29557106307606201</v>
      </c>
      <c r="BC122" s="119">
        <v>0.29866815498476301</v>
      </c>
      <c r="BD122" s="119">
        <v>0.30364662467247799</v>
      </c>
      <c r="BE122" s="119">
        <v>0.30928073906755199</v>
      </c>
      <c r="BF122" s="119">
        <v>0.31229450166259098</v>
      </c>
      <c r="BG122" s="119">
        <v>0.31700882906359701</v>
      </c>
      <c r="BH122" s="119">
        <v>0.32007902271613797</v>
      </c>
      <c r="BI122" s="119">
        <v>0.32557097787406403</v>
      </c>
      <c r="BJ122" s="119">
        <v>0.328089746967414</v>
      </c>
      <c r="BK122" s="119">
        <v>0.33072247161976798</v>
      </c>
      <c r="BL122" s="119">
        <v>0.335695683378194</v>
      </c>
    </row>
    <row r="123" spans="1:64" x14ac:dyDescent="0.25">
      <c r="A123" s="860" t="s">
        <v>51</v>
      </c>
      <c r="B123" s="1">
        <v>524</v>
      </c>
      <c r="C123" s="119">
        <v>0.5</v>
      </c>
      <c r="D123" s="119">
        <v>1.69720031626573E-2</v>
      </c>
      <c r="E123" s="119">
        <v>1.87614970214387E-2</v>
      </c>
      <c r="F123" s="119">
        <v>2.0793333819649699E-2</v>
      </c>
      <c r="G123" s="119">
        <v>2.2951909473578402E-2</v>
      </c>
      <c r="H123" s="119">
        <v>2.53274190205914E-2</v>
      </c>
      <c r="I123" s="119">
        <v>2.81798955887732E-2</v>
      </c>
      <c r="J123" s="119">
        <v>3.1611434192209797E-2</v>
      </c>
      <c r="K123" s="119">
        <v>3.5810416187333799E-2</v>
      </c>
      <c r="L123" s="119">
        <v>4.1096123441391998E-2</v>
      </c>
      <c r="M123" s="119">
        <v>4.7354164402731901E-2</v>
      </c>
      <c r="N123" s="119">
        <v>5.4774718383029102E-2</v>
      </c>
      <c r="O123" s="119">
        <v>6.31439143236701E-2</v>
      </c>
      <c r="P123" s="119">
        <v>7.2676311912593494E-2</v>
      </c>
      <c r="Q123" s="119">
        <v>8.3502076011777102E-2</v>
      </c>
      <c r="R123" s="119">
        <v>9.5591313341782794E-2</v>
      </c>
      <c r="S123" s="119">
        <v>0.107996080357517</v>
      </c>
      <c r="T123" s="119">
        <v>0.12072984678700401</v>
      </c>
      <c r="U123" s="119">
        <v>0.133206567884809</v>
      </c>
      <c r="V123" s="119">
        <v>0.146378416265215</v>
      </c>
      <c r="W123" s="119">
        <v>0.16032175419879999</v>
      </c>
      <c r="X123" s="119">
        <v>0.174696121629282</v>
      </c>
      <c r="Y123" s="119">
        <v>0.18890329468134701</v>
      </c>
      <c r="Z123" s="119">
        <v>0.20300900335431901</v>
      </c>
      <c r="AA123" s="119">
        <v>0.216903660935509</v>
      </c>
      <c r="AB123" s="119">
        <v>0.23115736084903901</v>
      </c>
      <c r="AC123" s="119">
        <v>0.246100571857443</v>
      </c>
      <c r="AD123" s="119">
        <v>0.26082799678087798</v>
      </c>
      <c r="AE123" s="119">
        <v>0.27699514634396699</v>
      </c>
      <c r="AF123" s="119">
        <v>0.29441008468644397</v>
      </c>
      <c r="AG123" s="119">
        <v>0.31306245583619002</v>
      </c>
      <c r="AH123" s="119">
        <v>0.33290505189479003</v>
      </c>
      <c r="AI123" s="119">
        <v>0.352007342309339</v>
      </c>
      <c r="AJ123" s="119">
        <v>0.37200013750747501</v>
      </c>
      <c r="AK123" s="119">
        <v>0.391724869372028</v>
      </c>
      <c r="AL123" s="119">
        <v>0.40811378111812402</v>
      </c>
      <c r="AM123" s="119">
        <v>0.42348553735842198</v>
      </c>
      <c r="AN123" s="119">
        <v>0.433910510280544</v>
      </c>
      <c r="AO123" s="119">
        <v>0.43913681384249398</v>
      </c>
      <c r="AP123" s="119">
        <v>0.44101839651233399</v>
      </c>
      <c r="AQ123" s="119">
        <v>0.44009900817421799</v>
      </c>
      <c r="AR123" s="119">
        <v>0.43781989507152902</v>
      </c>
      <c r="AS123" s="119">
        <v>0.43493750580546803</v>
      </c>
      <c r="AT123" s="119">
        <v>0.43607990957805398</v>
      </c>
      <c r="AU123" s="119">
        <v>0.438612366985907</v>
      </c>
      <c r="AV123" s="119">
        <v>0.44016560399968502</v>
      </c>
      <c r="AW123" s="119">
        <v>0.43994075492788998</v>
      </c>
      <c r="AX123" s="119">
        <v>0.43933319811858901</v>
      </c>
      <c r="AY123" s="119">
        <v>0.44486225655396799</v>
      </c>
      <c r="AZ123" s="119">
        <v>0.450306541289337</v>
      </c>
      <c r="BA123" s="119">
        <v>0.45701640292168599</v>
      </c>
      <c r="BB123" s="119">
        <v>0.46173289568612902</v>
      </c>
      <c r="BC123" s="119">
        <v>0.47001949884709099</v>
      </c>
      <c r="BD123" s="119">
        <v>0.475891256402591</v>
      </c>
      <c r="BE123" s="119">
        <v>0.48251522814210202</v>
      </c>
      <c r="BF123" s="119">
        <v>0.48915589863936698</v>
      </c>
      <c r="BG123" s="119">
        <v>0.497548475963977</v>
      </c>
      <c r="BH123" s="119">
        <v>0.50338517862476695</v>
      </c>
      <c r="BI123" s="119">
        <v>0.51093701952173898</v>
      </c>
      <c r="BJ123" s="119">
        <v>0.51715816491397404</v>
      </c>
      <c r="BK123" s="119">
        <v>0.52261168660122004</v>
      </c>
      <c r="BL123" s="119">
        <v>0.52788613096390602</v>
      </c>
    </row>
    <row r="124" spans="1:64" x14ac:dyDescent="0.25">
      <c r="A124" s="860" t="s">
        <v>226</v>
      </c>
      <c r="B124" s="1">
        <v>528</v>
      </c>
      <c r="C124" s="119">
        <v>0.5</v>
      </c>
      <c r="D124" s="119">
        <v>0.473789988034652</v>
      </c>
      <c r="E124" s="119">
        <v>0.50405732391528801</v>
      </c>
      <c r="F124" s="119">
        <v>0.53509475150420505</v>
      </c>
      <c r="G124" s="119">
        <v>0.56589222139818796</v>
      </c>
      <c r="H124" s="119">
        <v>0.59517981415684396</v>
      </c>
      <c r="I124" s="119">
        <v>0.61890541542789501</v>
      </c>
      <c r="J124" s="119">
        <v>0.63476827025286797</v>
      </c>
      <c r="K124" s="119">
        <v>0.64704104942505303</v>
      </c>
      <c r="L124" s="119">
        <v>0.65747209556085495</v>
      </c>
      <c r="M124" s="119">
        <v>0.66803564383859504</v>
      </c>
      <c r="N124" s="119">
        <v>0.67469739813955698</v>
      </c>
      <c r="O124" s="119">
        <v>0.68165330065039298</v>
      </c>
      <c r="P124" s="119">
        <v>0.68915178014337697</v>
      </c>
      <c r="Q124" s="119">
        <v>0.69168138206777896</v>
      </c>
      <c r="R124" s="119">
        <v>0.69451404241418702</v>
      </c>
      <c r="S124" s="119">
        <v>0.69784623765053899</v>
      </c>
      <c r="T124" s="119">
        <v>0.69959839412820601</v>
      </c>
      <c r="U124" s="119">
        <v>0.70161813621625502</v>
      </c>
      <c r="V124" s="119">
        <v>0.70178830530974501</v>
      </c>
      <c r="W124" s="119">
        <v>0.70334387151865596</v>
      </c>
      <c r="X124" s="119">
        <v>0.70525083705887304</v>
      </c>
      <c r="Y124" s="119">
        <v>0.707277505023585</v>
      </c>
      <c r="Z124" s="119">
        <v>0.71151173177212301</v>
      </c>
      <c r="AA124" s="119">
        <v>0.71487507028967601</v>
      </c>
      <c r="AB124" s="119">
        <v>0.71514425279973304</v>
      </c>
      <c r="AC124" s="119">
        <v>0.71529102040852199</v>
      </c>
      <c r="AD124" s="119">
        <v>0.714211094776105</v>
      </c>
      <c r="AE124" s="119">
        <v>0.71365215911638502</v>
      </c>
      <c r="AF124" s="119">
        <v>0.71385529851130602</v>
      </c>
      <c r="AG124" s="119">
        <v>0.71426309575829305</v>
      </c>
      <c r="AH124" s="119">
        <v>0.713279392382699</v>
      </c>
      <c r="AI124" s="119">
        <v>0.71343403256836102</v>
      </c>
      <c r="AJ124" s="119">
        <v>0.71311808871218696</v>
      </c>
      <c r="AK124" s="119">
        <v>0.71382828071695203</v>
      </c>
      <c r="AL124" s="119">
        <v>0.71372454590148404</v>
      </c>
      <c r="AM124" s="119">
        <v>0.71289685939969105</v>
      </c>
      <c r="AN124" s="119">
        <v>0.71284108907121402</v>
      </c>
      <c r="AO124" s="119">
        <v>0.71318691678302404</v>
      </c>
      <c r="AP124" s="119">
        <v>0.71291074367620499</v>
      </c>
      <c r="AQ124" s="119">
        <v>0.71045797591624005</v>
      </c>
      <c r="AR124" s="119">
        <v>0.71063403906642797</v>
      </c>
      <c r="AS124" s="119">
        <v>0.70683161939349604</v>
      </c>
      <c r="AT124" s="119">
        <v>0.70600356008340004</v>
      </c>
      <c r="AU124" s="119">
        <v>0.70417050786799695</v>
      </c>
      <c r="AV124" s="119">
        <v>0.70348945096134696</v>
      </c>
      <c r="AW124" s="119">
        <v>0.70196256934418999</v>
      </c>
      <c r="AX124" s="119">
        <v>0.70161256707242203</v>
      </c>
      <c r="AY124" s="119">
        <v>0.70313391158079497</v>
      </c>
      <c r="AZ124" s="119">
        <v>0.70231441434518105</v>
      </c>
      <c r="BA124" s="119">
        <v>0.70270472628280201</v>
      </c>
      <c r="BB124" s="119">
        <v>0.70212940136784097</v>
      </c>
      <c r="BC124" s="119">
        <v>0.70446637506590204</v>
      </c>
      <c r="BD124" s="119">
        <v>0.70367673282179199</v>
      </c>
      <c r="BE124" s="119">
        <v>0.70372940524490901</v>
      </c>
      <c r="BF124" s="119">
        <v>0.70302269500732795</v>
      </c>
      <c r="BG124" s="119">
        <v>0.70459489728660396</v>
      </c>
      <c r="BH124" s="119">
        <v>0.703722703270104</v>
      </c>
      <c r="BI124" s="119">
        <v>0.70476509582990599</v>
      </c>
      <c r="BJ124" s="119">
        <v>0.70565501084939997</v>
      </c>
      <c r="BK124" s="119">
        <v>0.70597171003429504</v>
      </c>
      <c r="BL124" s="119">
        <v>0.70583224379176202</v>
      </c>
    </row>
    <row r="125" spans="1:64" x14ac:dyDescent="0.25">
      <c r="A125" s="860" t="s">
        <v>229</v>
      </c>
      <c r="B125" s="1">
        <v>554</v>
      </c>
      <c r="C125" s="119">
        <v>0.5</v>
      </c>
      <c r="D125" s="119">
        <v>0.592746211691761</v>
      </c>
      <c r="E125" s="119">
        <v>0.59354961016477703</v>
      </c>
      <c r="F125" s="119">
        <v>0.59679331080315801</v>
      </c>
      <c r="G125" s="119">
        <v>0.59920353588702402</v>
      </c>
      <c r="H125" s="119">
        <v>0.60207770315606202</v>
      </c>
      <c r="I125" s="119">
        <v>0.60655592962787297</v>
      </c>
      <c r="J125" s="119">
        <v>0.60732383351001595</v>
      </c>
      <c r="K125" s="119">
        <v>0.61005958712764297</v>
      </c>
      <c r="L125" s="119">
        <v>0.61295691697273302</v>
      </c>
      <c r="M125" s="119">
        <v>0.61575201986277805</v>
      </c>
      <c r="N125" s="119">
        <v>0.62136787604642496</v>
      </c>
      <c r="O125" s="119">
        <v>0.62471077185979496</v>
      </c>
      <c r="P125" s="119">
        <v>0.62912002956678104</v>
      </c>
      <c r="Q125" s="119">
        <v>0.63346569309943401</v>
      </c>
      <c r="R125" s="119">
        <v>0.63677388004100599</v>
      </c>
      <c r="S125" s="119">
        <v>0.63849088214204497</v>
      </c>
      <c r="T125" s="119">
        <v>0.64265925148453495</v>
      </c>
      <c r="U125" s="119">
        <v>0.64661251906261397</v>
      </c>
      <c r="V125" s="119">
        <v>0.651691129425921</v>
      </c>
      <c r="W125" s="119">
        <v>0.655303321455181</v>
      </c>
      <c r="X125" s="119">
        <v>0.65919382957153105</v>
      </c>
      <c r="Y125" s="119">
        <v>0.66381887529259898</v>
      </c>
      <c r="Z125" s="119">
        <v>0.66870391327043199</v>
      </c>
      <c r="AA125" s="119">
        <v>0.67366787646556103</v>
      </c>
      <c r="AB125" s="119">
        <v>0.67863456262207</v>
      </c>
      <c r="AC125" s="119">
        <v>0.68358011640491601</v>
      </c>
      <c r="AD125" s="119">
        <v>0.68698385057948397</v>
      </c>
      <c r="AE125" s="119">
        <v>0.68911811099974196</v>
      </c>
      <c r="AF125" s="119">
        <v>0.69167051614486297</v>
      </c>
      <c r="AG125" s="119">
        <v>0.69667546792051505</v>
      </c>
      <c r="AH125" s="119">
        <v>0.69806901270595501</v>
      </c>
      <c r="AI125" s="119">
        <v>0.70276497615841205</v>
      </c>
      <c r="AJ125" s="119">
        <v>0.70613005217437497</v>
      </c>
      <c r="AK125" s="119">
        <v>0.70827173911517505</v>
      </c>
      <c r="AL125" s="119">
        <v>0.71109396864736396</v>
      </c>
      <c r="AM125" s="119">
        <v>0.71390980171689</v>
      </c>
      <c r="AN125" s="119">
        <v>0.71867387267599603</v>
      </c>
      <c r="AO125" s="119">
        <v>0.72026631811379505</v>
      </c>
      <c r="AP125" s="119">
        <v>0.72345476541713005</v>
      </c>
      <c r="AQ125" s="119">
        <v>0.72703782955111196</v>
      </c>
      <c r="AR125" s="119">
        <v>0.72861488828189303</v>
      </c>
      <c r="AS125" s="119">
        <v>0.73405902965645597</v>
      </c>
      <c r="AT125" s="119">
        <v>0.73770359328905599</v>
      </c>
      <c r="AU125" s="119">
        <v>0.740432115977251</v>
      </c>
      <c r="AV125" s="119">
        <v>0.74228506508146297</v>
      </c>
      <c r="AW125" s="119">
        <v>0.74280941006635104</v>
      </c>
      <c r="AX125" s="119">
        <v>0.74566824057629499</v>
      </c>
      <c r="AY125" s="119">
        <v>0.74409387548705896</v>
      </c>
      <c r="AZ125" s="119">
        <v>0.74458770944137498</v>
      </c>
      <c r="BA125" s="119">
        <v>0.74634503856409695</v>
      </c>
      <c r="BB125" s="119">
        <v>0.74709629766147001</v>
      </c>
      <c r="BC125" s="119">
        <v>0.74660818723403499</v>
      </c>
      <c r="BD125" s="119">
        <v>0.74602329200945205</v>
      </c>
      <c r="BE125" s="119">
        <v>0.746623113057716</v>
      </c>
      <c r="BF125" s="119">
        <v>0.74630479610646605</v>
      </c>
      <c r="BG125" s="119">
        <v>0.74706414486558304</v>
      </c>
      <c r="BH125" s="119">
        <v>0.75035295644648103</v>
      </c>
      <c r="BI125" s="119">
        <v>0.74789688894991802</v>
      </c>
      <c r="BJ125" s="119">
        <v>0.74966780800428401</v>
      </c>
      <c r="BK125" s="119">
        <v>0.75078438925054303</v>
      </c>
      <c r="BL125" s="119">
        <v>0.75179943078210199</v>
      </c>
    </row>
    <row r="126" spans="1:64" x14ac:dyDescent="0.25">
      <c r="A126" s="860" t="s">
        <v>52</v>
      </c>
      <c r="B126" s="1">
        <v>558</v>
      </c>
      <c r="C126" s="119">
        <v>0.5</v>
      </c>
      <c r="D126" s="119">
        <v>0.10655822135011001</v>
      </c>
      <c r="E126" s="119">
        <v>0.11655295213339301</v>
      </c>
      <c r="F126" s="119">
        <v>0.126202007136345</v>
      </c>
      <c r="G126" s="119">
        <v>0.13574181061165699</v>
      </c>
      <c r="H126" s="119">
        <v>0.147121993779878</v>
      </c>
      <c r="I126" s="119">
        <v>0.158795893824032</v>
      </c>
      <c r="J126" s="119">
        <v>0.171475618240679</v>
      </c>
      <c r="K126" s="119">
        <v>0.18476177286326101</v>
      </c>
      <c r="L126" s="119">
        <v>0.197136833437142</v>
      </c>
      <c r="M126" s="119">
        <v>0.21037377087061199</v>
      </c>
      <c r="N126" s="119">
        <v>0.225190989597705</v>
      </c>
      <c r="O126" s="119">
        <v>0.240553305091705</v>
      </c>
      <c r="P126" s="119">
        <v>0.25673398267811498</v>
      </c>
      <c r="Q126" s="119">
        <v>0.27403900213777599</v>
      </c>
      <c r="R126" s="119">
        <v>0.29316863772836899</v>
      </c>
      <c r="S126" s="119">
        <v>0.313616228765764</v>
      </c>
      <c r="T126" s="119">
        <v>0.33452960564650103</v>
      </c>
      <c r="U126" s="119">
        <v>0.35461086468887398</v>
      </c>
      <c r="V126" s="119">
        <v>0.37563255999359202</v>
      </c>
      <c r="W126" s="119">
        <v>0.395645638824974</v>
      </c>
      <c r="X126" s="119">
        <v>0.41670508306739501</v>
      </c>
      <c r="Y126" s="119">
        <v>0.43593685864904103</v>
      </c>
      <c r="Z126" s="119">
        <v>0.45627119603549798</v>
      </c>
      <c r="AA126" s="119">
        <v>0.47510213205993701</v>
      </c>
      <c r="AB126" s="119">
        <v>0.49668241929006801</v>
      </c>
      <c r="AC126" s="119">
        <v>0.51552066126000096</v>
      </c>
      <c r="AD126" s="119">
        <v>0.53542794628472601</v>
      </c>
      <c r="AE126" s="119">
        <v>0.55561117148027706</v>
      </c>
      <c r="AF126" s="119">
        <v>0.57806608188574404</v>
      </c>
      <c r="AG126" s="119">
        <v>0.60322186438501602</v>
      </c>
      <c r="AH126" s="119">
        <v>0.62941811041065399</v>
      </c>
      <c r="AI126" s="119">
        <v>0.65239812750228399</v>
      </c>
      <c r="AJ126" s="119">
        <v>0.66769017854197199</v>
      </c>
      <c r="AK126" s="119">
        <v>0.68073779101381104</v>
      </c>
      <c r="AL126" s="119">
        <v>0.69296635567961595</v>
      </c>
      <c r="AM126" s="119">
        <v>0.70453439281946395</v>
      </c>
      <c r="AN126" s="119">
        <v>0.71557775586614303</v>
      </c>
      <c r="AO126" s="119">
        <v>0.72473954056932499</v>
      </c>
      <c r="AP126" s="119">
        <v>0.73500352412762904</v>
      </c>
      <c r="AQ126" s="119">
        <v>0.74419726929600105</v>
      </c>
      <c r="AR126" s="119">
        <v>0.75313259027092105</v>
      </c>
      <c r="AS126" s="119">
        <v>0.76107568106921497</v>
      </c>
      <c r="AT126" s="119">
        <v>0.76787614115243896</v>
      </c>
      <c r="AU126" s="119">
        <v>0.77135313378262904</v>
      </c>
      <c r="AV126" s="119">
        <v>0.77395841702116197</v>
      </c>
      <c r="AW126" s="119">
        <v>0.77541509101751005</v>
      </c>
      <c r="AX126" s="119">
        <v>0.77845326877849796</v>
      </c>
      <c r="AY126" s="119">
        <v>0.77921733666654203</v>
      </c>
      <c r="AZ126" s="119">
        <v>0.780998496699983</v>
      </c>
      <c r="BA126" s="119">
        <v>0.78111295771579603</v>
      </c>
      <c r="BB126" s="119">
        <v>0.78330055317559699</v>
      </c>
      <c r="BC126" s="119">
        <v>0.78467403656432999</v>
      </c>
      <c r="BD126" s="119">
        <v>0.785961522472159</v>
      </c>
      <c r="BE126" s="119">
        <v>0.78808234844417602</v>
      </c>
      <c r="BF126" s="119">
        <v>0.788283123193534</v>
      </c>
      <c r="BG126" s="119">
        <v>0.79017358623022504</v>
      </c>
      <c r="BH126" s="119">
        <v>0.79176172131683697</v>
      </c>
      <c r="BI126" s="119">
        <v>0.79238901977163201</v>
      </c>
      <c r="BJ126" s="119">
        <v>0.79160485956752003</v>
      </c>
      <c r="BK126" s="119">
        <v>0.79336368615161701</v>
      </c>
      <c r="BL126" s="119">
        <v>0.79547581022300295</v>
      </c>
    </row>
    <row r="127" spans="1:64" x14ac:dyDescent="0.25">
      <c r="A127" s="860" t="s">
        <v>53</v>
      </c>
      <c r="B127" s="1">
        <v>562</v>
      </c>
      <c r="C127" s="119">
        <v>0.5</v>
      </c>
      <c r="D127" s="119">
        <v>2.0816465204704202E-3</v>
      </c>
      <c r="E127" s="119">
        <v>2.4024702431945698E-3</v>
      </c>
      <c r="F127" s="119">
        <v>2.6649505699694099E-3</v>
      </c>
      <c r="G127" s="119">
        <v>2.9901000219311898E-3</v>
      </c>
      <c r="H127" s="119">
        <v>3.36646184623411E-3</v>
      </c>
      <c r="I127" s="119">
        <v>3.7918976646571798E-3</v>
      </c>
      <c r="J127" s="119">
        <v>4.2229222372506103E-3</v>
      </c>
      <c r="K127" s="119">
        <v>4.7736258375063699E-3</v>
      </c>
      <c r="L127" s="119">
        <v>5.3664233228730698E-3</v>
      </c>
      <c r="M127" s="119">
        <v>6.10819891678993E-3</v>
      </c>
      <c r="N127" s="119">
        <v>6.76354668428783E-3</v>
      </c>
      <c r="O127" s="119">
        <v>7.6415511176327298E-3</v>
      </c>
      <c r="P127" s="119">
        <v>8.5382929335977593E-3</v>
      </c>
      <c r="Q127" s="119">
        <v>9.5522802091212392E-3</v>
      </c>
      <c r="R127" s="119">
        <v>1.0626185996059301E-2</v>
      </c>
      <c r="S127" s="119">
        <v>1.1773109626883899E-2</v>
      </c>
      <c r="T127" s="119">
        <v>1.3170891828554901E-2</v>
      </c>
      <c r="U127" s="119">
        <v>1.4495283736393701E-2</v>
      </c>
      <c r="V127" s="119">
        <v>1.57649144834042E-2</v>
      </c>
      <c r="W127" s="119">
        <v>1.7497547571700699E-2</v>
      </c>
      <c r="X127" s="119">
        <v>1.9317034967480301E-2</v>
      </c>
      <c r="Y127" s="119">
        <v>2.1163464176514199E-2</v>
      </c>
      <c r="Z127" s="119">
        <v>2.3299427313817799E-2</v>
      </c>
      <c r="AA127" s="119">
        <v>2.6243133751469899E-2</v>
      </c>
      <c r="AB127" s="119">
        <v>2.95527702774252E-2</v>
      </c>
      <c r="AC127" s="119">
        <v>3.35817624440269E-2</v>
      </c>
      <c r="AD127" s="119">
        <v>3.8017264259983898E-2</v>
      </c>
      <c r="AE127" s="119">
        <v>4.2947827031511399E-2</v>
      </c>
      <c r="AF127" s="119">
        <v>4.8669773699439901E-2</v>
      </c>
      <c r="AG127" s="119">
        <v>5.7001619160879501E-2</v>
      </c>
      <c r="AH127" s="119">
        <v>6.5460438098950705E-2</v>
      </c>
      <c r="AI127" s="119">
        <v>7.1515330944530706E-2</v>
      </c>
      <c r="AJ127" s="119">
        <v>7.6769914424232893E-2</v>
      </c>
      <c r="AK127" s="119">
        <v>8.2449447144658905E-2</v>
      </c>
      <c r="AL127" s="119">
        <v>8.7061675362848395E-2</v>
      </c>
      <c r="AM127" s="119">
        <v>9.1922640845161399E-2</v>
      </c>
      <c r="AN127" s="119">
        <v>9.6797825130657003E-2</v>
      </c>
      <c r="AO127" s="119">
        <v>0.10023683551288499</v>
      </c>
      <c r="AP127" s="119">
        <v>0.104166763407548</v>
      </c>
      <c r="AQ127" s="119">
        <v>0.108057148312505</v>
      </c>
      <c r="AR127" s="119">
        <v>0.11278756628773701</v>
      </c>
      <c r="AS127" s="119">
        <v>0.117112748989693</v>
      </c>
      <c r="AT127" s="119">
        <v>0.12172638969739701</v>
      </c>
      <c r="AU127" s="119">
        <v>0.12686315289205</v>
      </c>
      <c r="AV127" s="119">
        <v>0.132387255620107</v>
      </c>
      <c r="AW127" s="119">
        <v>0.13855127334276099</v>
      </c>
      <c r="AX127" s="119">
        <v>0.14472598352709101</v>
      </c>
      <c r="AY127" s="119">
        <v>0.14941739127724299</v>
      </c>
      <c r="AZ127" s="119">
        <v>0.14444177876333</v>
      </c>
      <c r="BA127" s="119">
        <v>0.13694911351661801</v>
      </c>
      <c r="BB127" s="119">
        <v>0.12825231778190699</v>
      </c>
      <c r="BC127" s="119">
        <v>0.122189344513396</v>
      </c>
      <c r="BD127" s="119">
        <v>0.12223137108094601</v>
      </c>
      <c r="BE127" s="119">
        <v>0.12503093537472099</v>
      </c>
      <c r="BF127" s="119">
        <v>0.12913017794961201</v>
      </c>
      <c r="BG127" s="119">
        <v>0.13384274827328299</v>
      </c>
      <c r="BH127" s="119">
        <v>0.13930791894584699</v>
      </c>
      <c r="BI127" s="119">
        <v>0.144901619957438</v>
      </c>
      <c r="BJ127" s="119">
        <v>0.14980616868989799</v>
      </c>
      <c r="BK127" s="119">
        <v>0.156435998802257</v>
      </c>
      <c r="BL127" s="119">
        <v>0.162840701269552</v>
      </c>
    </row>
    <row r="128" spans="1:64" x14ac:dyDescent="0.25">
      <c r="A128" s="860" t="s">
        <v>54</v>
      </c>
      <c r="B128" s="1">
        <v>566</v>
      </c>
      <c r="C128" s="119">
        <v>0.5</v>
      </c>
      <c r="D128" s="119">
        <v>2.8204058853898701E-3</v>
      </c>
      <c r="E128" s="119">
        <v>3.1310798587891801E-3</v>
      </c>
      <c r="F128" s="119">
        <v>3.4755770241870002E-3</v>
      </c>
      <c r="G128" s="119">
        <v>3.8285869362212899E-3</v>
      </c>
      <c r="H128" s="119">
        <v>4.2338275054666901E-3</v>
      </c>
      <c r="I128" s="119">
        <v>4.76511064638197E-3</v>
      </c>
      <c r="J128" s="119">
        <v>5.2509373125597201E-3</v>
      </c>
      <c r="K128" s="119">
        <v>5.8619443796047097E-3</v>
      </c>
      <c r="L128" s="119">
        <v>6.6049208253562497E-3</v>
      </c>
      <c r="M128" s="119">
        <v>7.3047896478229098E-3</v>
      </c>
      <c r="N128" s="119">
        <v>8.17114702567176E-3</v>
      </c>
      <c r="O128" s="119">
        <v>9.0546645864403395E-3</v>
      </c>
      <c r="P128" s="119">
        <v>1.00061158898598E-2</v>
      </c>
      <c r="Q128" s="119">
        <v>1.1858956463735399E-2</v>
      </c>
      <c r="R128" s="119">
        <v>1.40484547359928E-2</v>
      </c>
      <c r="S128" s="119">
        <v>1.6513946171077501E-2</v>
      </c>
      <c r="T128" s="119">
        <v>1.93729271648726E-2</v>
      </c>
      <c r="U128" s="119">
        <v>2.27705781864278E-2</v>
      </c>
      <c r="V128" s="119">
        <v>2.6535651725517799E-2</v>
      </c>
      <c r="W128" s="119">
        <v>3.1150438115464401E-2</v>
      </c>
      <c r="X128" s="119">
        <v>3.6341243403851801E-2</v>
      </c>
      <c r="Y128" s="119">
        <v>4.1191425994519998E-2</v>
      </c>
      <c r="Z128" s="119">
        <v>4.68274552981588E-2</v>
      </c>
      <c r="AA128" s="119">
        <v>5.3433968198999697E-2</v>
      </c>
      <c r="AB128" s="119">
        <v>6.0491888737128401E-2</v>
      </c>
      <c r="AC128" s="119">
        <v>6.5177004361112401E-2</v>
      </c>
      <c r="AD128" s="119">
        <v>6.9735221506169204E-2</v>
      </c>
      <c r="AE128" s="119">
        <v>7.4499995389126702E-2</v>
      </c>
      <c r="AF128" s="119">
        <v>7.9134504954054594E-2</v>
      </c>
      <c r="AG128" s="119">
        <v>8.2162870506544305E-2</v>
      </c>
      <c r="AH128" s="119">
        <v>8.3068017117841203E-2</v>
      </c>
      <c r="AI128" s="119">
        <v>8.3067230742273193E-2</v>
      </c>
      <c r="AJ128" s="119">
        <v>8.3202196537147596E-2</v>
      </c>
      <c r="AK128" s="119">
        <v>8.3900417530460597E-2</v>
      </c>
      <c r="AL128" s="119">
        <v>8.5896815446618299E-2</v>
      </c>
      <c r="AM128" s="119">
        <v>8.9046765035214998E-2</v>
      </c>
      <c r="AN128" s="119">
        <v>9.2081206825594494E-2</v>
      </c>
      <c r="AO128" s="119">
        <v>9.4942333944228005E-2</v>
      </c>
      <c r="AP128" s="119">
        <v>9.7090666251745297E-2</v>
      </c>
      <c r="AQ128" s="119">
        <v>9.8804071186670797E-2</v>
      </c>
      <c r="AR128" s="119">
        <v>0.100451270167046</v>
      </c>
      <c r="AS128" s="119">
        <v>0.101593606266703</v>
      </c>
      <c r="AT128" s="119">
        <v>0.101479031143356</v>
      </c>
      <c r="AU128" s="119">
        <v>9.8987863297017198E-2</v>
      </c>
      <c r="AV128" s="119">
        <v>0.10163412607104901</v>
      </c>
      <c r="AW128" s="119">
        <v>0.10576583154503399</v>
      </c>
      <c r="AX128" s="119">
        <v>0.11067864776623</v>
      </c>
      <c r="AY128" s="119">
        <v>0.115407277968301</v>
      </c>
      <c r="AZ128" s="119">
        <v>0.12037056484561399</v>
      </c>
      <c r="BA128" s="119">
        <v>0.126472766507642</v>
      </c>
      <c r="BB128" s="119">
        <v>0.13315120458756699</v>
      </c>
      <c r="BC128" s="119">
        <v>0.14084014217122501</v>
      </c>
      <c r="BD128" s="119">
        <v>0.14815368945694701</v>
      </c>
      <c r="BE128" s="119">
        <v>0.15546069485477401</v>
      </c>
      <c r="BF128" s="119">
        <v>0.16351731768097599</v>
      </c>
      <c r="BG128" s="119">
        <v>0.17106709516486401</v>
      </c>
      <c r="BH128" s="119">
        <v>0.17742968553286201</v>
      </c>
      <c r="BI128" s="119">
        <v>0.185127481886248</v>
      </c>
      <c r="BJ128" s="119">
        <v>0.192491014902407</v>
      </c>
      <c r="BK128" s="119">
        <v>0.19896402627517601</v>
      </c>
      <c r="BL128" s="119">
        <v>0.208213691719423</v>
      </c>
    </row>
    <row r="129" spans="1:64" x14ac:dyDescent="0.25">
      <c r="A129" s="860" t="s">
        <v>1163</v>
      </c>
      <c r="B129" s="1">
        <v>807</v>
      </c>
      <c r="C129" s="119">
        <v>0.5</v>
      </c>
      <c r="D129" s="119">
        <v>3.1314734891456003E-2</v>
      </c>
      <c r="E129" s="119">
        <v>3.3291198734192499E-2</v>
      </c>
      <c r="F129" s="119">
        <v>3.5157656647365303E-2</v>
      </c>
      <c r="G129" s="119">
        <v>3.7405609316845403E-2</v>
      </c>
      <c r="H129" s="119">
        <v>3.9954847737914398E-2</v>
      </c>
      <c r="I129" s="119">
        <v>4.2578754832379197E-2</v>
      </c>
      <c r="J129" s="119">
        <v>4.4695780775115102E-2</v>
      </c>
      <c r="K129" s="119">
        <v>4.7525411730267302E-2</v>
      </c>
      <c r="L129" s="119">
        <v>4.95362644270523E-2</v>
      </c>
      <c r="M129" s="119">
        <v>5.2096940555285701E-2</v>
      </c>
      <c r="N129" s="119">
        <v>5.4755685435523303E-2</v>
      </c>
      <c r="O129" s="119">
        <v>5.8504945223494198E-2</v>
      </c>
      <c r="P129" s="119">
        <v>6.1907976349065197E-2</v>
      </c>
      <c r="Q129" s="119">
        <v>6.5018172574172403E-2</v>
      </c>
      <c r="R129" s="119">
        <v>6.7798654222678306E-2</v>
      </c>
      <c r="S129" s="119">
        <v>7.1678272941271506E-2</v>
      </c>
      <c r="T129" s="119">
        <v>7.60738184274459E-2</v>
      </c>
      <c r="U129" s="119">
        <v>7.8704976806110702E-2</v>
      </c>
      <c r="V129" s="119">
        <v>8.1774242217600698E-2</v>
      </c>
      <c r="W129" s="119">
        <v>8.5910530872556096E-2</v>
      </c>
      <c r="X129" s="119">
        <v>8.9116756635852404E-2</v>
      </c>
      <c r="Y129" s="119">
        <v>9.1258918468457406E-2</v>
      </c>
      <c r="Z129" s="119">
        <v>9.3258119017398194E-2</v>
      </c>
      <c r="AA129" s="119">
        <v>9.5870985072397996E-2</v>
      </c>
      <c r="AB129" s="119">
        <v>9.69754246304083E-2</v>
      </c>
      <c r="AC129" s="119">
        <v>9.88464759964338E-2</v>
      </c>
      <c r="AD129" s="119">
        <v>0.101244972695943</v>
      </c>
      <c r="AE129" s="119">
        <v>0.10174297939688701</v>
      </c>
      <c r="AF129" s="119">
        <v>0.10374030917912801</v>
      </c>
      <c r="AG129" s="119">
        <v>0.104977930075208</v>
      </c>
      <c r="AH129" s="119">
        <v>0.10636219519389201</v>
      </c>
      <c r="AI129" s="119">
        <v>0.107646026215042</v>
      </c>
      <c r="AJ129" s="119">
        <v>0.109859962892874</v>
      </c>
      <c r="AK129" s="119">
        <v>0.11160357874552</v>
      </c>
      <c r="AL129" s="119">
        <v>0.11241906117138201</v>
      </c>
      <c r="AM129" s="119">
        <v>0.115905866567855</v>
      </c>
      <c r="AN129" s="119">
        <v>0.116831799270566</v>
      </c>
      <c r="AO129" s="119">
        <v>0.119974055231842</v>
      </c>
      <c r="AP129" s="119">
        <v>0.12111638927377701</v>
      </c>
      <c r="AQ129" s="119">
        <v>0.122864821455231</v>
      </c>
      <c r="AR129" s="119">
        <v>0.12488291908119301</v>
      </c>
      <c r="AS129" s="119">
        <v>0.12631784001969901</v>
      </c>
      <c r="AT129" s="119">
        <v>0.130794210815251</v>
      </c>
      <c r="AU129" s="119">
        <v>0.13661732917189701</v>
      </c>
      <c r="AV129" s="119">
        <v>0.14075393032085601</v>
      </c>
      <c r="AW129" s="119">
        <v>0.14644671968418699</v>
      </c>
      <c r="AX129" s="119">
        <v>0.15213723398450699</v>
      </c>
      <c r="AY129" s="119">
        <v>0.158808956025837</v>
      </c>
      <c r="AZ129" s="119">
        <v>0.16557261830403699</v>
      </c>
      <c r="BA129" s="119">
        <v>0.17023254062233001</v>
      </c>
      <c r="BB129" s="119">
        <v>0.17773956678112299</v>
      </c>
      <c r="BC129" s="119">
        <v>0.18602049292033801</v>
      </c>
      <c r="BD129" s="119">
        <v>0.192808110147039</v>
      </c>
      <c r="BE129" s="119">
        <v>0.19987656860842101</v>
      </c>
      <c r="BF129" s="119">
        <v>0.207731795465986</v>
      </c>
      <c r="BG129" s="119">
        <v>0.21493359574269399</v>
      </c>
      <c r="BH129" s="119">
        <v>0.22274901223224999</v>
      </c>
      <c r="BI129" s="119">
        <v>0.230691340130182</v>
      </c>
      <c r="BJ129" s="119">
        <v>0.237697486194657</v>
      </c>
      <c r="BK129" s="119">
        <v>0.24624264233958301</v>
      </c>
      <c r="BL129" s="119">
        <v>0.2588842257076</v>
      </c>
    </row>
    <row r="130" spans="1:64" x14ac:dyDescent="0.25">
      <c r="A130" s="860" t="s">
        <v>230</v>
      </c>
      <c r="B130" s="1">
        <v>578</v>
      </c>
      <c r="C130" s="119">
        <v>0.5</v>
      </c>
      <c r="D130" s="119">
        <v>0.55294354318124295</v>
      </c>
      <c r="E130" s="119">
        <v>0.55869868397599398</v>
      </c>
      <c r="F130" s="119">
        <v>0.56516615839082796</v>
      </c>
      <c r="G130" s="119">
        <v>0.57033258711397805</v>
      </c>
      <c r="H130" s="119">
        <v>0.575540166832617</v>
      </c>
      <c r="I130" s="119">
        <v>0.58077527292881803</v>
      </c>
      <c r="J130" s="119">
        <v>0.58804377080464099</v>
      </c>
      <c r="K130" s="119">
        <v>0.59471163017793505</v>
      </c>
      <c r="L130" s="119">
        <v>0.59867026358536202</v>
      </c>
      <c r="M130" s="119">
        <v>0.60194216836917602</v>
      </c>
      <c r="N130" s="119">
        <v>0.60789497116859303</v>
      </c>
      <c r="O130" s="119">
        <v>0.61211657751359705</v>
      </c>
      <c r="P130" s="119">
        <v>0.61784573388831598</v>
      </c>
      <c r="Q130" s="119">
        <v>0.62335651545541304</v>
      </c>
      <c r="R130" s="119">
        <v>0.62878520271248906</v>
      </c>
      <c r="S130" s="119">
        <v>0.63608134507154601</v>
      </c>
      <c r="T130" s="119">
        <v>0.64054272487703701</v>
      </c>
      <c r="U130" s="119">
        <v>0.64574290855635097</v>
      </c>
      <c r="V130" s="119">
        <v>0.651325316115002</v>
      </c>
      <c r="W130" s="119">
        <v>0.65873839022335801</v>
      </c>
      <c r="X130" s="119">
        <v>0.66591395042060497</v>
      </c>
      <c r="Y130" s="119">
        <v>0.67407622610456697</v>
      </c>
      <c r="Z130" s="119">
        <v>0.68400838550299004</v>
      </c>
      <c r="AA130" s="119">
        <v>0.692830028449826</v>
      </c>
      <c r="AB130" s="119">
        <v>0.70291757339971495</v>
      </c>
      <c r="AC130" s="119">
        <v>0.71178181264363105</v>
      </c>
      <c r="AD130" s="119">
        <v>0.72223370468679604</v>
      </c>
      <c r="AE130" s="119">
        <v>0.73174222577842296</v>
      </c>
      <c r="AF130" s="119">
        <v>0.73957942049730296</v>
      </c>
      <c r="AG130" s="119">
        <v>0.74507948385973299</v>
      </c>
      <c r="AH130" s="119">
        <v>0.75050584516495999</v>
      </c>
      <c r="AI130" s="119">
        <v>0.75541287441077198</v>
      </c>
      <c r="AJ130" s="119">
        <v>0.76131073045661102</v>
      </c>
      <c r="AK130" s="119">
        <v>0.76586188640241604</v>
      </c>
      <c r="AL130" s="119">
        <v>0.77043718740484102</v>
      </c>
      <c r="AM130" s="119">
        <v>0.776030245140931</v>
      </c>
      <c r="AN130" s="119">
        <v>0.77671495275001001</v>
      </c>
      <c r="AO130" s="119">
        <v>0.77852640641890103</v>
      </c>
      <c r="AP130" s="119">
        <v>0.78068627344577601</v>
      </c>
      <c r="AQ130" s="119">
        <v>0.78060019411397397</v>
      </c>
      <c r="AR130" s="119">
        <v>0.78147812144185402</v>
      </c>
      <c r="AS130" s="119">
        <v>0.78309619827261201</v>
      </c>
      <c r="AT130" s="119">
        <v>0.78277293773170598</v>
      </c>
      <c r="AU130" s="119">
        <v>0.78376138253410099</v>
      </c>
      <c r="AV130" s="119">
        <v>0.78564125488269798</v>
      </c>
      <c r="AW130" s="119">
        <v>0.78732046552924995</v>
      </c>
      <c r="AX130" s="119">
        <v>0.78950970290612199</v>
      </c>
      <c r="AY130" s="119">
        <v>0.78970187543625603</v>
      </c>
      <c r="AZ130" s="119">
        <v>0.79161950479037801</v>
      </c>
      <c r="BA130" s="119">
        <v>0.79312013372367196</v>
      </c>
      <c r="BB130" s="119">
        <v>0.79211251725730103</v>
      </c>
      <c r="BC130" s="119">
        <v>0.79435981743001105</v>
      </c>
      <c r="BD130" s="119">
        <v>0.79505260180883497</v>
      </c>
      <c r="BE130" s="119">
        <v>0.79470006897566003</v>
      </c>
      <c r="BF130" s="119">
        <v>0.79595739930829401</v>
      </c>
      <c r="BG130" s="119">
        <v>0.797735829734733</v>
      </c>
      <c r="BH130" s="119">
        <v>0.797535810230805</v>
      </c>
      <c r="BI130" s="119">
        <v>0.79833263133147903</v>
      </c>
      <c r="BJ130" s="119">
        <v>0.799502914837388</v>
      </c>
      <c r="BK130" s="119">
        <v>0.80018258627304495</v>
      </c>
      <c r="BL130" s="119">
        <v>0.80071818728077804</v>
      </c>
    </row>
    <row r="131" spans="1:64" x14ac:dyDescent="0.25">
      <c r="A131" s="860" t="s">
        <v>231</v>
      </c>
      <c r="B131" s="1">
        <v>512</v>
      </c>
      <c r="C131" s="119">
        <v>0.5</v>
      </c>
      <c r="D131" s="119">
        <v>3.7395442842017998E-2</v>
      </c>
      <c r="E131" s="119">
        <v>3.97321005126723E-2</v>
      </c>
      <c r="F131" s="119">
        <v>4.2145521995016297E-2</v>
      </c>
      <c r="G131" s="119">
        <v>4.4554340533507E-2</v>
      </c>
      <c r="H131" s="119">
        <v>4.7294444803735701E-2</v>
      </c>
      <c r="I131" s="119">
        <v>4.9543162171824001E-2</v>
      </c>
      <c r="J131" s="119">
        <v>5.26974073712837E-2</v>
      </c>
      <c r="K131" s="119">
        <v>5.5425722083411497E-2</v>
      </c>
      <c r="L131" s="119">
        <v>5.8299647303201897E-2</v>
      </c>
      <c r="M131" s="119">
        <v>6.2275057280206603E-2</v>
      </c>
      <c r="N131" s="119">
        <v>6.5489871948056402E-2</v>
      </c>
      <c r="O131" s="119">
        <v>6.9304499319319507E-2</v>
      </c>
      <c r="P131" s="119">
        <v>7.3261421419397496E-2</v>
      </c>
      <c r="Q131" s="119">
        <v>7.7282417452898405E-2</v>
      </c>
      <c r="R131" s="119">
        <v>8.1228789137961901E-2</v>
      </c>
      <c r="S131" s="119">
        <v>8.5731760678783797E-2</v>
      </c>
      <c r="T131" s="119">
        <v>9.0590668553424694E-2</v>
      </c>
      <c r="U131" s="119">
        <v>9.6987792174740101E-2</v>
      </c>
      <c r="V131" s="119">
        <v>0.103843378858808</v>
      </c>
      <c r="W131" s="119">
        <v>0.11224803036125799</v>
      </c>
      <c r="X131" s="119">
        <v>0.12230119902613</v>
      </c>
      <c r="Y131" s="119">
        <v>0.1325032347333</v>
      </c>
      <c r="Z131" s="119">
        <v>0.14262540021613701</v>
      </c>
      <c r="AA131" s="119">
        <v>0.15391412000907301</v>
      </c>
      <c r="AB131" s="119">
        <v>0.16592502778285401</v>
      </c>
      <c r="AC131" s="119">
        <v>0.17698957859655901</v>
      </c>
      <c r="AD131" s="119">
        <v>0.18883365420811399</v>
      </c>
      <c r="AE131" s="119">
        <v>0.19907581375562799</v>
      </c>
      <c r="AF131" s="119">
        <v>0.210567437123167</v>
      </c>
      <c r="AG131" s="119">
        <v>0.21839878179474401</v>
      </c>
      <c r="AH131" s="119">
        <v>0.22465429237510201</v>
      </c>
      <c r="AI131" s="119">
        <v>0.21953048007147299</v>
      </c>
      <c r="AJ131" s="119">
        <v>0.211344108988547</v>
      </c>
      <c r="AK131" s="119">
        <v>0.20224171107205399</v>
      </c>
      <c r="AL131" s="119">
        <v>0.19347219804746199</v>
      </c>
      <c r="AM131" s="119">
        <v>0.184170534822761</v>
      </c>
      <c r="AN131" s="119">
        <v>0.17613597665324399</v>
      </c>
      <c r="AO131" s="119">
        <v>0.17025153312931099</v>
      </c>
      <c r="AP131" s="119">
        <v>0.17093140075431501</v>
      </c>
      <c r="AQ131" s="119">
        <v>0.17298284942624401</v>
      </c>
      <c r="AR131" s="119">
        <v>0.175869412892111</v>
      </c>
      <c r="AS131" s="119">
        <v>0.17943325389850501</v>
      </c>
      <c r="AT131" s="119">
        <v>0.18266625295080799</v>
      </c>
      <c r="AU131" s="119">
        <v>0.18733347362021699</v>
      </c>
      <c r="AV131" s="119">
        <v>0.19242605677740801</v>
      </c>
      <c r="AW131" s="119">
        <v>0.19748323903897599</v>
      </c>
      <c r="AX131" s="119">
        <v>0.20281221865900201</v>
      </c>
      <c r="AY131" s="119">
        <v>0.20966971149940999</v>
      </c>
      <c r="AZ131" s="119">
        <v>0.217018192216479</v>
      </c>
      <c r="BA131" s="119">
        <v>0.22311624279238099</v>
      </c>
      <c r="BB131" s="119">
        <v>0.231386744074533</v>
      </c>
      <c r="BC131" s="119">
        <v>0.238340692761905</v>
      </c>
      <c r="BD131" s="119">
        <v>0.24408722547358899</v>
      </c>
      <c r="BE131" s="119">
        <v>0.25171077826153399</v>
      </c>
      <c r="BF131" s="119">
        <v>0.25893866100701501</v>
      </c>
      <c r="BG131" s="119">
        <v>0.26567529956160701</v>
      </c>
      <c r="BH131" s="119">
        <v>0.27156432698302102</v>
      </c>
      <c r="BI131" s="119">
        <v>0.27981101599418601</v>
      </c>
      <c r="BJ131" s="119">
        <v>0.28442690901095702</v>
      </c>
      <c r="BK131" s="119">
        <v>0.29147463968322501</v>
      </c>
      <c r="BL131" s="119">
        <v>0.29562494531318401</v>
      </c>
    </row>
    <row r="132" spans="1:64" x14ac:dyDescent="0.25">
      <c r="A132" s="860" t="s">
        <v>55</v>
      </c>
      <c r="B132" s="1">
        <v>586</v>
      </c>
      <c r="C132" s="119">
        <v>0.5</v>
      </c>
      <c r="D132" s="119">
        <v>3.4760132068259099E-2</v>
      </c>
      <c r="E132" s="119">
        <v>3.4780374209549901E-2</v>
      </c>
      <c r="F132" s="119">
        <v>3.4802869863371298E-2</v>
      </c>
      <c r="G132" s="119">
        <v>3.4446871386772299E-2</v>
      </c>
      <c r="H132" s="119">
        <v>3.4143839170504002E-2</v>
      </c>
      <c r="I132" s="119">
        <v>3.3815648324289099E-2</v>
      </c>
      <c r="J132" s="119">
        <v>3.3352604511441897E-2</v>
      </c>
      <c r="K132" s="119">
        <v>3.2806617418788903E-2</v>
      </c>
      <c r="L132" s="119">
        <v>3.2512539194706098E-2</v>
      </c>
      <c r="M132" s="119">
        <v>3.2991926596075902E-2</v>
      </c>
      <c r="N132" s="119">
        <v>3.5295209810201802E-2</v>
      </c>
      <c r="O132" s="119">
        <v>3.85954061384585E-2</v>
      </c>
      <c r="P132" s="119">
        <v>4.2836970947064699E-2</v>
      </c>
      <c r="Q132" s="119">
        <v>4.7058625913493302E-2</v>
      </c>
      <c r="R132" s="119">
        <v>5.1686989671062597E-2</v>
      </c>
      <c r="S132" s="119">
        <v>5.6192627006213802E-2</v>
      </c>
      <c r="T132" s="119">
        <v>6.0149944993072899E-2</v>
      </c>
      <c r="U132" s="119">
        <v>6.4557526807685506E-2</v>
      </c>
      <c r="V132" s="119">
        <v>6.9412121322313905E-2</v>
      </c>
      <c r="W132" s="119">
        <v>7.4079126096686501E-2</v>
      </c>
      <c r="X132" s="119">
        <v>8.0009295803110697E-2</v>
      </c>
      <c r="Y132" s="119">
        <v>8.6717171308171095E-2</v>
      </c>
      <c r="Z132" s="119">
        <v>9.6417475895026694E-2</v>
      </c>
      <c r="AA132" s="119">
        <v>0.10793901422605</v>
      </c>
      <c r="AB132" s="119">
        <v>0.11740782823013</v>
      </c>
      <c r="AC132" s="119">
        <v>0.12726056946893599</v>
      </c>
      <c r="AD132" s="119">
        <v>0.140281314055451</v>
      </c>
      <c r="AE132" s="119">
        <v>0.150602889822503</v>
      </c>
      <c r="AF132" s="119">
        <v>0.162045104891339</v>
      </c>
      <c r="AG132" s="119">
        <v>0.177116642571477</v>
      </c>
      <c r="AH132" s="119">
        <v>0.19362222486862299</v>
      </c>
      <c r="AI132" s="119">
        <v>0.20735983335365901</v>
      </c>
      <c r="AJ132" s="119">
        <v>0.21920317523968699</v>
      </c>
      <c r="AK132" s="119">
        <v>0.226376109013365</v>
      </c>
      <c r="AL132" s="119">
        <v>0.22419007279459099</v>
      </c>
      <c r="AM132" s="119">
        <v>0.219810500716834</v>
      </c>
      <c r="AN132" s="119">
        <v>0.21836882409806399</v>
      </c>
      <c r="AO132" s="119">
        <v>0.218936509268984</v>
      </c>
      <c r="AP132" s="119">
        <v>0.22272767856578701</v>
      </c>
      <c r="AQ132" s="119">
        <v>0.227973765145011</v>
      </c>
      <c r="AR132" s="119">
        <v>0.23448808655012299</v>
      </c>
      <c r="AS132" s="119">
        <v>0.24127884973167199</v>
      </c>
      <c r="AT132" s="119">
        <v>0.250113191647658</v>
      </c>
      <c r="AU132" s="119">
        <v>0.257273806215989</v>
      </c>
      <c r="AV132" s="119">
        <v>0.25758909432471899</v>
      </c>
      <c r="AW132" s="119">
        <v>0.25619412502787903</v>
      </c>
      <c r="AX132" s="119">
        <v>0.254188601357412</v>
      </c>
      <c r="AY132" s="119">
        <v>0.25379059546986699</v>
      </c>
      <c r="AZ132" s="119">
        <v>0.25918305618931498</v>
      </c>
      <c r="BA132" s="119">
        <v>0.26721854331630601</v>
      </c>
      <c r="BB132" s="119">
        <v>0.27446558375269597</v>
      </c>
      <c r="BC132" s="119">
        <v>0.284207080652781</v>
      </c>
      <c r="BD132" s="119">
        <v>0.29215332789398502</v>
      </c>
      <c r="BE132" s="119">
        <v>0.30139630291438602</v>
      </c>
      <c r="BF132" s="119">
        <v>0.31046240307975298</v>
      </c>
      <c r="BG132" s="119">
        <v>0.31869362035394</v>
      </c>
      <c r="BH132" s="119">
        <v>0.32997639767902098</v>
      </c>
      <c r="BI132" s="119">
        <v>0.33817662584339703</v>
      </c>
      <c r="BJ132" s="119">
        <v>0.346126159788614</v>
      </c>
      <c r="BK132" s="119">
        <v>0.35434396490761699</v>
      </c>
      <c r="BL132" s="119">
        <v>0.36297343941570698</v>
      </c>
    </row>
    <row r="133" spans="1:64" x14ac:dyDescent="0.25">
      <c r="A133" s="860" t="s">
        <v>232</v>
      </c>
      <c r="B133" s="1">
        <v>585</v>
      </c>
      <c r="C133" s="119">
        <v>0.5</v>
      </c>
      <c r="D133" s="119">
        <v>0.188784841478146</v>
      </c>
      <c r="E133" s="119">
        <v>0.19242857648678499</v>
      </c>
      <c r="F133" s="119">
        <v>0.194857024262205</v>
      </c>
      <c r="G133" s="119">
        <v>0.19686128185244101</v>
      </c>
      <c r="H133" s="119">
        <v>0.20053113307826501</v>
      </c>
      <c r="I133" s="119">
        <v>0.20266431331611601</v>
      </c>
      <c r="J133" s="119">
        <v>0.208600279627872</v>
      </c>
      <c r="K133" s="119">
        <v>0.21058054450152699</v>
      </c>
      <c r="L133" s="119">
        <v>0.21378756598584001</v>
      </c>
      <c r="M133" s="119">
        <v>0.218150549464663</v>
      </c>
      <c r="N133" s="119">
        <v>0.220198145672653</v>
      </c>
      <c r="O133" s="119">
        <v>0.22485175366829699</v>
      </c>
      <c r="P133" s="119">
        <v>0.22568150007152801</v>
      </c>
      <c r="Q133" s="119">
        <v>0.23028315534358701</v>
      </c>
      <c r="R133" s="119">
        <v>0.234028253107707</v>
      </c>
      <c r="S133" s="119">
        <v>0.236379877529696</v>
      </c>
      <c r="T133" s="119">
        <v>0.24004535933318499</v>
      </c>
      <c r="U133" s="119">
        <v>0.24221761332446401</v>
      </c>
      <c r="V133" s="119">
        <v>0.24655475036355301</v>
      </c>
      <c r="W133" s="119">
        <v>0.24892913915915599</v>
      </c>
      <c r="X133" s="119">
        <v>0.25136287341567598</v>
      </c>
      <c r="Y133" s="119">
        <v>0.25382882852880101</v>
      </c>
      <c r="Z133" s="119">
        <v>0.257553263761159</v>
      </c>
      <c r="AA133" s="119">
        <v>0.25923215314545001</v>
      </c>
      <c r="AB133" s="119">
        <v>0.26283680008293098</v>
      </c>
      <c r="AC133" s="119">
        <v>0.26539816032580599</v>
      </c>
      <c r="AD133" s="119">
        <v>0.266405570256044</v>
      </c>
      <c r="AE133" s="119">
        <v>0.269289989184893</v>
      </c>
      <c r="AF133" s="119">
        <v>0.270818494937904</v>
      </c>
      <c r="AG133" s="119">
        <v>0.27177405159600698</v>
      </c>
      <c r="AH133" s="119">
        <v>0.27651876545996101</v>
      </c>
      <c r="AI133" s="119">
        <v>0.28123293287201201</v>
      </c>
      <c r="AJ133" s="119">
        <v>0.28349947552307098</v>
      </c>
      <c r="AK133" s="119">
        <v>0.28604929052620698</v>
      </c>
      <c r="AL133" s="119">
        <v>0.28976598872118398</v>
      </c>
      <c r="AM133" s="119">
        <v>0.29379701268945402</v>
      </c>
      <c r="AN133" s="119">
        <v>0.296623860168792</v>
      </c>
      <c r="AO133" s="119">
        <v>0.299087612703205</v>
      </c>
      <c r="AP133" s="119">
        <v>0.30114555226218198</v>
      </c>
      <c r="AQ133" s="119">
        <v>0.30324838354601702</v>
      </c>
      <c r="AR133" s="119">
        <v>0.307759393526299</v>
      </c>
      <c r="AS133" s="119">
        <v>0.30955184441211703</v>
      </c>
      <c r="AT133" s="119">
        <v>0.310858850414721</v>
      </c>
      <c r="AU133" s="119">
        <v>0.315355092979413</v>
      </c>
      <c r="AV133" s="119">
        <v>0.32053328600485098</v>
      </c>
      <c r="AW133" s="119">
        <v>0.32247667005353697</v>
      </c>
      <c r="AX133" s="119">
        <v>0.323881788467135</v>
      </c>
      <c r="AY133" s="119">
        <v>0.32740603448383698</v>
      </c>
      <c r="AZ133" s="119">
        <v>0.32679299580558202</v>
      </c>
      <c r="BA133" s="119">
        <v>0.32887497178115999</v>
      </c>
      <c r="BB133" s="119">
        <v>0.33255790442689098</v>
      </c>
      <c r="BC133" s="119">
        <v>0.333564092572597</v>
      </c>
      <c r="BD133" s="119">
        <v>0.33869049618225899</v>
      </c>
      <c r="BE133" s="119">
        <v>0.34447467129546899</v>
      </c>
      <c r="BF133" s="119">
        <v>0.34717407080630902</v>
      </c>
      <c r="BG133" s="119">
        <v>0.34866228152587098</v>
      </c>
      <c r="BH133" s="119">
        <v>0.35243411599957603</v>
      </c>
      <c r="BI133" s="119">
        <v>0.356493954475325</v>
      </c>
      <c r="BJ133" s="119">
        <v>0.35661514050580501</v>
      </c>
      <c r="BK133" s="119">
        <v>0.36051544093142102</v>
      </c>
      <c r="BL133" s="119">
        <v>0.36338485248811098</v>
      </c>
    </row>
    <row r="134" spans="1:64" x14ac:dyDescent="0.25">
      <c r="A134" s="860" t="s">
        <v>233</v>
      </c>
      <c r="B134" s="1">
        <v>591</v>
      </c>
      <c r="C134" s="119">
        <v>0.5</v>
      </c>
      <c r="D134" s="119">
        <v>0.42698564539554201</v>
      </c>
      <c r="E134" s="119">
        <v>0.43665102713088999</v>
      </c>
      <c r="F134" s="119">
        <v>0.44380780629971101</v>
      </c>
      <c r="G134" s="119">
        <v>0.45237821165173697</v>
      </c>
      <c r="H134" s="119">
        <v>0.46083351991624499</v>
      </c>
      <c r="I134" s="119">
        <v>0.46895831830836998</v>
      </c>
      <c r="J134" s="119">
        <v>0.47861114188852899</v>
      </c>
      <c r="K134" s="119">
        <v>0.48705793909009998</v>
      </c>
      <c r="L134" s="119">
        <v>0.49381487663877099</v>
      </c>
      <c r="M134" s="119">
        <v>0.500262952906116</v>
      </c>
      <c r="N134" s="119">
        <v>0.50569678215314795</v>
      </c>
      <c r="O134" s="119">
        <v>0.510008325923899</v>
      </c>
      <c r="P134" s="119">
        <v>0.51443030039814597</v>
      </c>
      <c r="Q134" s="119">
        <v>0.51755149786902699</v>
      </c>
      <c r="R134" s="119">
        <v>0.51954616110188701</v>
      </c>
      <c r="S134" s="119">
        <v>0.52329449039298404</v>
      </c>
      <c r="T134" s="119">
        <v>0.52557785147637404</v>
      </c>
      <c r="U134" s="119">
        <v>0.528246386854476</v>
      </c>
      <c r="V134" s="119">
        <v>0.52854056588750697</v>
      </c>
      <c r="W134" s="119">
        <v>0.53084781316431895</v>
      </c>
      <c r="X134" s="119">
        <v>0.53112679084092196</v>
      </c>
      <c r="Y134" s="119">
        <v>0.53432686274792895</v>
      </c>
      <c r="Z134" s="119">
        <v>0.53500186014600903</v>
      </c>
      <c r="AA134" s="119">
        <v>0.53778691711905202</v>
      </c>
      <c r="AB134" s="119">
        <v>0.54061654211152399</v>
      </c>
      <c r="AC134" s="119">
        <v>0.54087661628354</v>
      </c>
      <c r="AD134" s="119">
        <v>0.54346907663349198</v>
      </c>
      <c r="AE134" s="119">
        <v>0.54560618401740202</v>
      </c>
      <c r="AF134" s="119">
        <v>0.54805507072270299</v>
      </c>
      <c r="AG134" s="119">
        <v>0.55262571602108901</v>
      </c>
      <c r="AH134" s="119">
        <v>0.55527203247764101</v>
      </c>
      <c r="AI134" s="119">
        <v>0.55812218311661999</v>
      </c>
      <c r="AJ134" s="119">
        <v>0.55940953435381902</v>
      </c>
      <c r="AK134" s="119">
        <v>0.559972122430063</v>
      </c>
      <c r="AL134" s="119">
        <v>0.56374824134792101</v>
      </c>
      <c r="AM134" s="119">
        <v>0.56481963046353401</v>
      </c>
      <c r="AN134" s="119">
        <v>0.56797326688531902</v>
      </c>
      <c r="AO134" s="119">
        <v>0.56970136097014801</v>
      </c>
      <c r="AP134" s="119">
        <v>0.56974984933601902</v>
      </c>
      <c r="AQ134" s="119">
        <v>0.56882172808289999</v>
      </c>
      <c r="AR134" s="119">
        <v>0.56678934238484502</v>
      </c>
      <c r="AS134" s="119">
        <v>0.56601507270306795</v>
      </c>
      <c r="AT134" s="119">
        <v>0.561097855575027</v>
      </c>
      <c r="AU134" s="119">
        <v>0.55504964189980899</v>
      </c>
      <c r="AV134" s="119">
        <v>0.54745396210793196</v>
      </c>
      <c r="AW134" s="119">
        <v>0.54314954468238796</v>
      </c>
      <c r="AX134" s="119">
        <v>0.54240700999965596</v>
      </c>
      <c r="AY134" s="119">
        <v>0.54490853823902596</v>
      </c>
      <c r="AZ134" s="119">
        <v>0.54774696035840198</v>
      </c>
      <c r="BA134" s="119">
        <v>0.55218161081372397</v>
      </c>
      <c r="BB134" s="119">
        <v>0.55565500670762602</v>
      </c>
      <c r="BC134" s="119">
        <v>0.55746215240724095</v>
      </c>
      <c r="BD134" s="119">
        <v>0.56053906703038003</v>
      </c>
      <c r="BE134" s="119">
        <v>0.56502624067489504</v>
      </c>
      <c r="BF134" s="119">
        <v>0.56745092311211798</v>
      </c>
      <c r="BG134" s="119">
        <v>0.57090635468889195</v>
      </c>
      <c r="BH134" s="119">
        <v>0.57332773788763103</v>
      </c>
      <c r="BI134" s="119">
        <v>0.57582028779140604</v>
      </c>
      <c r="BJ134" s="119">
        <v>0.57830715415677303</v>
      </c>
      <c r="BK134" s="119">
        <v>0.58199291668501996</v>
      </c>
      <c r="BL134" s="119">
        <v>0.58448939345515805</v>
      </c>
    </row>
    <row r="135" spans="1:64" x14ac:dyDescent="0.25">
      <c r="A135" s="860" t="s">
        <v>56</v>
      </c>
      <c r="B135" s="1">
        <v>598</v>
      </c>
      <c r="C135" s="119">
        <v>0.5</v>
      </c>
      <c r="D135" s="119">
        <v>0.131938683346466</v>
      </c>
      <c r="E135" s="119">
        <v>0.13346187351629701</v>
      </c>
      <c r="F135" s="119">
        <v>0.13603863658662499</v>
      </c>
      <c r="G135" s="119">
        <v>0.138449504487481</v>
      </c>
      <c r="H135" s="119">
        <v>0.14016845204061801</v>
      </c>
      <c r="I135" s="119">
        <v>0.14465643332301101</v>
      </c>
      <c r="J135" s="119">
        <v>0.14713740902706199</v>
      </c>
      <c r="K135" s="119">
        <v>0.14900346100474601</v>
      </c>
      <c r="L135" s="119">
        <v>0.151842023999328</v>
      </c>
      <c r="M135" s="119">
        <v>0.15446312849736599</v>
      </c>
      <c r="N135" s="119">
        <v>0.15642812762379099</v>
      </c>
      <c r="O135" s="119">
        <v>0.159346506141547</v>
      </c>
      <c r="P135" s="119">
        <v>0.16120351618218101</v>
      </c>
      <c r="Q135" s="119">
        <v>0.164732324439301</v>
      </c>
      <c r="R135" s="119">
        <v>0.16664246436886701</v>
      </c>
      <c r="S135" s="119">
        <v>0.16838758285448399</v>
      </c>
      <c r="T135" s="119">
        <v>0.17186579959593401</v>
      </c>
      <c r="U135" s="119">
        <v>0.174912865896414</v>
      </c>
      <c r="V135" s="119">
        <v>0.17831461787053801</v>
      </c>
      <c r="W135" s="119">
        <v>0.18188245938096401</v>
      </c>
      <c r="X135" s="119">
        <v>0.18246964869570501</v>
      </c>
      <c r="Y135" s="119">
        <v>0.184992937676421</v>
      </c>
      <c r="Z135" s="119">
        <v>0.186390628233638</v>
      </c>
      <c r="AA135" s="119">
        <v>0.18898116184692401</v>
      </c>
      <c r="AB135" s="119">
        <v>0.191938059990825</v>
      </c>
      <c r="AC135" s="119">
        <v>0.193169241946613</v>
      </c>
      <c r="AD135" s="119">
        <v>0.19581378442221001</v>
      </c>
      <c r="AE135" s="119">
        <v>0.19884602321238401</v>
      </c>
      <c r="AF135" s="119">
        <v>0.203319693064375</v>
      </c>
      <c r="AG135" s="119">
        <v>0.20816255481545501</v>
      </c>
      <c r="AH135" s="119">
        <v>0.21251024526113699</v>
      </c>
      <c r="AI135" s="119">
        <v>0.21701238489218699</v>
      </c>
      <c r="AJ135" s="119">
        <v>0.22272662581830299</v>
      </c>
      <c r="AK135" s="119">
        <v>0.22773225822156701</v>
      </c>
      <c r="AL135" s="119">
        <v>0.233650946691945</v>
      </c>
      <c r="AM135" s="119">
        <v>0.238855700459214</v>
      </c>
      <c r="AN135" s="119">
        <v>0.24393980302861601</v>
      </c>
      <c r="AO135" s="119">
        <v>0.249932999265428</v>
      </c>
      <c r="AP135" s="119">
        <v>0.25568307048025801</v>
      </c>
      <c r="AQ135" s="119">
        <v>0.26151285012293002</v>
      </c>
      <c r="AR135" s="119">
        <v>0.26669163609382202</v>
      </c>
      <c r="AS135" s="119">
        <v>0.27181104794995897</v>
      </c>
      <c r="AT135" s="119">
        <v>0.27701009971327201</v>
      </c>
      <c r="AU135" s="119">
        <v>0.282932452938987</v>
      </c>
      <c r="AV135" s="119">
        <v>0.288035486565206</v>
      </c>
      <c r="AW135" s="119">
        <v>0.29278991179659902</v>
      </c>
      <c r="AX135" s="119">
        <v>0.29899096270169401</v>
      </c>
      <c r="AY135" s="119">
        <v>0.30324729489230101</v>
      </c>
      <c r="AZ135" s="119">
        <v>0.30694642272613698</v>
      </c>
      <c r="BA135" s="119">
        <v>0.309862874010497</v>
      </c>
      <c r="BB135" s="119">
        <v>0.31255020457374599</v>
      </c>
      <c r="BC135" s="119">
        <v>0.31558389265251002</v>
      </c>
      <c r="BD135" s="119">
        <v>0.31946026631851299</v>
      </c>
      <c r="BE135" s="119">
        <v>0.32299120622486299</v>
      </c>
      <c r="BF135" s="119">
        <v>0.326011885903079</v>
      </c>
      <c r="BG135" s="119">
        <v>0.327367575343949</v>
      </c>
      <c r="BH135" s="119">
        <v>0.33032137153871299</v>
      </c>
      <c r="BI135" s="119">
        <v>0.33329524650346398</v>
      </c>
      <c r="BJ135" s="119">
        <v>0.33593262240125199</v>
      </c>
      <c r="BK135" s="119">
        <v>0.33830326139449401</v>
      </c>
      <c r="BL135" s="119">
        <v>0.34345714307518799</v>
      </c>
    </row>
    <row r="136" spans="1:64" x14ac:dyDescent="0.25">
      <c r="A136" s="860" t="s">
        <v>234</v>
      </c>
      <c r="B136" s="1">
        <v>600</v>
      </c>
      <c r="C136" s="119">
        <v>0.5</v>
      </c>
      <c r="D136" s="119">
        <v>0.13845751609642601</v>
      </c>
      <c r="E136" s="119">
        <v>0.14860454059323699</v>
      </c>
      <c r="F136" s="119">
        <v>0.159295021313409</v>
      </c>
      <c r="G136" s="119">
        <v>0.170113880748121</v>
      </c>
      <c r="H136" s="119">
        <v>0.18028603224231299</v>
      </c>
      <c r="I136" s="119">
        <v>0.19208042845634499</v>
      </c>
      <c r="J136" s="119">
        <v>0.20429547043951701</v>
      </c>
      <c r="K136" s="119">
        <v>0.21709435912404801</v>
      </c>
      <c r="L136" s="119">
        <v>0.22600077121088799</v>
      </c>
      <c r="M136" s="119">
        <v>0.23504387220991399</v>
      </c>
      <c r="N136" s="119">
        <v>0.244220164739928</v>
      </c>
      <c r="O136" s="119">
        <v>0.25366399449032601</v>
      </c>
      <c r="P136" s="119">
        <v>0.26212316273557801</v>
      </c>
      <c r="Q136" s="119">
        <v>0.26951886092916799</v>
      </c>
      <c r="R136" s="119">
        <v>0.27681924798484497</v>
      </c>
      <c r="S136" s="119">
        <v>0.28608257171397</v>
      </c>
      <c r="T136" s="119">
        <v>0.29500816711589101</v>
      </c>
      <c r="U136" s="119">
        <v>0.30472633961117102</v>
      </c>
      <c r="V136" s="119">
        <v>0.31788471375608401</v>
      </c>
      <c r="W136" s="119">
        <v>0.33355392465753902</v>
      </c>
      <c r="X136" s="119">
        <v>0.34956726192884402</v>
      </c>
      <c r="Y136" s="119">
        <v>0.36415889792585199</v>
      </c>
      <c r="Z136" s="119">
        <v>0.37833749173724401</v>
      </c>
      <c r="AA136" s="119">
        <v>0.39227907602275403</v>
      </c>
      <c r="AB136" s="119">
        <v>0.40935468167754102</v>
      </c>
      <c r="AC136" s="119">
        <v>0.425016508761001</v>
      </c>
      <c r="AD136" s="119">
        <v>0.44217314387975998</v>
      </c>
      <c r="AE136" s="119">
        <v>0.45981632407476902</v>
      </c>
      <c r="AF136" s="119">
        <v>0.47528422140979798</v>
      </c>
      <c r="AG136" s="119">
        <v>0.49712525362530702</v>
      </c>
      <c r="AH136" s="119">
        <v>0.51832429399829305</v>
      </c>
      <c r="AI136" s="119">
        <v>0.53653978063765495</v>
      </c>
      <c r="AJ136" s="119">
        <v>0.55626892582035203</v>
      </c>
      <c r="AK136" s="119">
        <v>0.57415274505440805</v>
      </c>
      <c r="AL136" s="119">
        <v>0.59155791427859805</v>
      </c>
      <c r="AM136" s="119">
        <v>0.60922015582739997</v>
      </c>
      <c r="AN136" s="119">
        <v>0.62176465319933605</v>
      </c>
      <c r="AO136" s="119">
        <v>0.63541184840211895</v>
      </c>
      <c r="AP136" s="119">
        <v>0.64686173031794603</v>
      </c>
      <c r="AQ136" s="119">
        <v>0.65250831609958704</v>
      </c>
      <c r="AR136" s="119">
        <v>0.65556970717899199</v>
      </c>
      <c r="AS136" s="119">
        <v>0.657804192360397</v>
      </c>
      <c r="AT136" s="119">
        <v>0.65983559794383995</v>
      </c>
      <c r="AU136" s="119">
        <v>0.66099308336109897</v>
      </c>
      <c r="AV136" s="119">
        <v>0.66341966106754502</v>
      </c>
      <c r="AW136" s="119">
        <v>0.66294205019078101</v>
      </c>
      <c r="AX136" s="119">
        <v>0.66628170995348301</v>
      </c>
      <c r="AY136" s="119">
        <v>0.666464562069082</v>
      </c>
      <c r="AZ136" s="119">
        <v>0.66739274809583604</v>
      </c>
      <c r="BA136" s="119">
        <v>0.67017331903392097</v>
      </c>
      <c r="BB136" s="119">
        <v>0.67325737260443597</v>
      </c>
      <c r="BC136" s="119">
        <v>0.67592082053533797</v>
      </c>
      <c r="BD136" s="119">
        <v>0.67824960262115197</v>
      </c>
      <c r="BE136" s="119">
        <v>0.681805882285067</v>
      </c>
      <c r="BF136" s="119">
        <v>0.68396405878348099</v>
      </c>
      <c r="BG136" s="119">
        <v>0.68855710166046302</v>
      </c>
      <c r="BH136" s="119">
        <v>0.69309499043023703</v>
      </c>
      <c r="BI136" s="119">
        <v>0.69415297215726401</v>
      </c>
      <c r="BJ136" s="119">
        <v>0.696465081752772</v>
      </c>
      <c r="BK136" s="119">
        <v>0.70042003774281703</v>
      </c>
      <c r="BL136" s="119">
        <v>0.70282729402475397</v>
      </c>
    </row>
    <row r="137" spans="1:64" x14ac:dyDescent="0.25">
      <c r="A137" s="860" t="s">
        <v>235</v>
      </c>
      <c r="B137" s="1">
        <v>604</v>
      </c>
      <c r="C137" s="119">
        <v>0.5</v>
      </c>
      <c r="D137" s="119">
        <v>0.10256675541808399</v>
      </c>
      <c r="E137" s="119">
        <v>0.106610877095034</v>
      </c>
      <c r="F137" s="119">
        <v>0.1099948426958</v>
      </c>
      <c r="G137" s="119">
        <v>0.113569922398051</v>
      </c>
      <c r="H137" s="119">
        <v>0.115985221102493</v>
      </c>
      <c r="I137" s="119">
        <v>0.119978495704122</v>
      </c>
      <c r="J137" s="119">
        <v>0.124559667514111</v>
      </c>
      <c r="K137" s="119">
        <v>0.129668644385909</v>
      </c>
      <c r="L137" s="119">
        <v>0.138913302994115</v>
      </c>
      <c r="M137" s="119">
        <v>0.14832990098632201</v>
      </c>
      <c r="N137" s="119">
        <v>0.15977836927841499</v>
      </c>
      <c r="O137" s="119">
        <v>0.171499637914867</v>
      </c>
      <c r="P137" s="119">
        <v>0.18239972396281201</v>
      </c>
      <c r="Q137" s="119">
        <v>0.19284578744098699</v>
      </c>
      <c r="R137" s="119">
        <v>0.205377570780649</v>
      </c>
      <c r="S137" s="119">
        <v>0.217247030754634</v>
      </c>
      <c r="T137" s="119">
        <v>0.23109327517022399</v>
      </c>
      <c r="U137" s="119">
        <v>0.24998077735405599</v>
      </c>
      <c r="V137" s="119">
        <v>0.27049588606355601</v>
      </c>
      <c r="W137" s="119">
        <v>0.29058393015143302</v>
      </c>
      <c r="X137" s="119">
        <v>0.312078788719862</v>
      </c>
      <c r="Y137" s="119">
        <v>0.33337574429859201</v>
      </c>
      <c r="Z137" s="119">
        <v>0.35179327497622098</v>
      </c>
      <c r="AA137" s="119">
        <v>0.36716458159534099</v>
      </c>
      <c r="AB137" s="119">
        <v>0.38335836098383103</v>
      </c>
      <c r="AC137" s="119">
        <v>0.39912437274505602</v>
      </c>
      <c r="AD137" s="119">
        <v>0.41325131018434702</v>
      </c>
      <c r="AE137" s="119">
        <v>0.43251224791120102</v>
      </c>
      <c r="AF137" s="119">
        <v>0.451815643905982</v>
      </c>
      <c r="AG137" s="119">
        <v>0.47069664940773298</v>
      </c>
      <c r="AH137" s="119">
        <v>0.486135925132684</v>
      </c>
      <c r="AI137" s="119">
        <v>0.488418974583119</v>
      </c>
      <c r="AJ137" s="119">
        <v>0.486883956039387</v>
      </c>
      <c r="AK137" s="119">
        <v>0.48531812189954798</v>
      </c>
      <c r="AL137" s="119">
        <v>0.48389195106189298</v>
      </c>
      <c r="AM137" s="119">
        <v>0.48315214857809502</v>
      </c>
      <c r="AN137" s="119">
        <v>0.48181827864990501</v>
      </c>
      <c r="AO137" s="119">
        <v>0.49008458230007501</v>
      </c>
      <c r="AP137" s="119">
        <v>0.49681515812946903</v>
      </c>
      <c r="AQ137" s="119">
        <v>0.50270347066858001</v>
      </c>
      <c r="AR137" s="119">
        <v>0.51173975716318099</v>
      </c>
      <c r="AS137" s="119">
        <v>0.52000962476822798</v>
      </c>
      <c r="AT137" s="119">
        <v>0.52322762549616797</v>
      </c>
      <c r="AU137" s="119">
        <v>0.51949481165807998</v>
      </c>
      <c r="AV137" s="119">
        <v>0.52193716672865698</v>
      </c>
      <c r="AW137" s="119">
        <v>0.530606219708188</v>
      </c>
      <c r="AX137" s="119">
        <v>0.53910198628616102</v>
      </c>
      <c r="AY137" s="119">
        <v>0.543523709226024</v>
      </c>
      <c r="AZ137" s="119">
        <v>0.549412022575824</v>
      </c>
      <c r="BA137" s="119">
        <v>0.55408275960607101</v>
      </c>
      <c r="BB137" s="119">
        <v>0.55896671434159795</v>
      </c>
      <c r="BC137" s="119">
        <v>0.56545892080285598</v>
      </c>
      <c r="BD137" s="119">
        <v>0.57106169381805605</v>
      </c>
      <c r="BE137" s="119">
        <v>0.57565969611798595</v>
      </c>
      <c r="BF137" s="119">
        <v>0.58096116904803796</v>
      </c>
      <c r="BG137" s="119">
        <v>0.58621272466885399</v>
      </c>
      <c r="BH137" s="119">
        <v>0.59099967192212399</v>
      </c>
      <c r="BI137" s="119">
        <v>0.59685249702481702</v>
      </c>
      <c r="BJ137" s="119">
        <v>0.60039154880318302</v>
      </c>
      <c r="BK137" s="119">
        <v>0.60364332536846699</v>
      </c>
      <c r="BL137" s="119">
        <v>0.60769803825260904</v>
      </c>
    </row>
    <row r="138" spans="1:64" x14ac:dyDescent="0.25">
      <c r="A138" s="860" t="s">
        <v>57</v>
      </c>
      <c r="B138" s="1">
        <v>608</v>
      </c>
      <c r="C138" s="119">
        <v>0.5</v>
      </c>
      <c r="D138" s="119">
        <v>0.10036588785715</v>
      </c>
      <c r="E138" s="119">
        <v>0.10616088792346701</v>
      </c>
      <c r="F138" s="119">
        <v>0.11308165765334099</v>
      </c>
      <c r="G138" s="119">
        <v>0.120282449760369</v>
      </c>
      <c r="H138" s="119">
        <v>0.12763969926580501</v>
      </c>
      <c r="I138" s="119">
        <v>0.135050237780277</v>
      </c>
      <c r="J138" s="119">
        <v>0.14287608214446701</v>
      </c>
      <c r="K138" s="119">
        <v>0.14993145722467299</v>
      </c>
      <c r="L138" s="119">
        <v>0.15603654552207399</v>
      </c>
      <c r="M138" s="119">
        <v>0.16284051623509399</v>
      </c>
      <c r="N138" s="119">
        <v>0.16940489557848101</v>
      </c>
      <c r="O138" s="119">
        <v>0.17583505545655601</v>
      </c>
      <c r="P138" s="119">
        <v>0.17970719770781499</v>
      </c>
      <c r="Q138" s="119">
        <v>0.18479390190804201</v>
      </c>
      <c r="R138" s="119">
        <v>0.191085985879241</v>
      </c>
      <c r="S138" s="119">
        <v>0.195737882507723</v>
      </c>
      <c r="T138" s="119">
        <v>0.20110968920181499</v>
      </c>
      <c r="U138" s="119">
        <v>0.20607621721390701</v>
      </c>
      <c r="V138" s="119">
        <v>0.211459061368478</v>
      </c>
      <c r="W138" s="119">
        <v>0.21770922350355701</v>
      </c>
      <c r="X138" s="119">
        <v>0.22313708829892101</v>
      </c>
      <c r="Y138" s="119">
        <v>0.22858215584285699</v>
      </c>
      <c r="Z138" s="119">
        <v>0.23618396473643199</v>
      </c>
      <c r="AA138" s="119">
        <v>0.244956061127963</v>
      </c>
      <c r="AB138" s="119">
        <v>0.261160582325068</v>
      </c>
      <c r="AC138" s="119">
        <v>0.27625905550845697</v>
      </c>
      <c r="AD138" s="119">
        <v>0.29121079272776701</v>
      </c>
      <c r="AE138" s="119">
        <v>0.29564144791747399</v>
      </c>
      <c r="AF138" s="119">
        <v>0.29079397549553498</v>
      </c>
      <c r="AG138" s="119">
        <v>0.30996182529546201</v>
      </c>
      <c r="AH138" s="119">
        <v>0.32109696538105698</v>
      </c>
      <c r="AI138" s="119">
        <v>0.32955566444117201</v>
      </c>
      <c r="AJ138" s="119">
        <v>0.33457933553358299</v>
      </c>
      <c r="AK138" s="119">
        <v>0.33305060965632499</v>
      </c>
      <c r="AL138" s="119">
        <v>0.343368451615647</v>
      </c>
      <c r="AM138" s="119">
        <v>0.35124038954636499</v>
      </c>
      <c r="AN138" s="119">
        <v>0.35263871349579601</v>
      </c>
      <c r="AO138" s="119">
        <v>0.34729431641485897</v>
      </c>
      <c r="AP138" s="119">
        <v>0.34384606634169501</v>
      </c>
      <c r="AQ138" s="119">
        <v>0.34738159597922502</v>
      </c>
      <c r="AR138" s="119">
        <v>0.35405934129634098</v>
      </c>
      <c r="AS138" s="119">
        <v>0.362303963074524</v>
      </c>
      <c r="AT138" s="119">
        <v>0.3710533300835</v>
      </c>
      <c r="AU138" s="119">
        <v>0.37854617483380498</v>
      </c>
      <c r="AV138" s="119">
        <v>0.38661035508198099</v>
      </c>
      <c r="AW138" s="119">
        <v>0.39054524363774801</v>
      </c>
      <c r="AX138" s="119">
        <v>0.39714059055575601</v>
      </c>
      <c r="AY138" s="119">
        <v>0.40105092029953199</v>
      </c>
      <c r="AZ138" s="119">
        <v>0.40678150405569602</v>
      </c>
      <c r="BA138" s="119">
        <v>0.41159871782652102</v>
      </c>
      <c r="BB138" s="119">
        <v>0.41703143819247501</v>
      </c>
      <c r="BC138" s="119">
        <v>0.42354743587854898</v>
      </c>
      <c r="BD138" s="119">
        <v>0.42934742327591702</v>
      </c>
      <c r="BE138" s="119">
        <v>0.43477767814128498</v>
      </c>
      <c r="BF138" s="119">
        <v>0.44198726759211798</v>
      </c>
      <c r="BG138" s="119">
        <v>0.447572241423911</v>
      </c>
      <c r="BH138" s="119">
        <v>0.45156570711221899</v>
      </c>
      <c r="BI138" s="119">
        <v>0.45833889116620302</v>
      </c>
      <c r="BJ138" s="119">
        <v>0.46161678678178503</v>
      </c>
      <c r="BK138" s="119">
        <v>0.46503020600303702</v>
      </c>
      <c r="BL138" s="119">
        <v>0.46896227231491699</v>
      </c>
    </row>
    <row r="139" spans="1:64" x14ac:dyDescent="0.25">
      <c r="A139" s="860" t="s">
        <v>236</v>
      </c>
      <c r="B139" s="1">
        <v>616</v>
      </c>
      <c r="C139" s="119">
        <v>0.5</v>
      </c>
      <c r="D139" s="119">
        <v>0.11851199308343</v>
      </c>
      <c r="E139" s="119">
        <v>0.12356669740692899</v>
      </c>
      <c r="F139" s="119">
        <v>0.12952823351390899</v>
      </c>
      <c r="G139" s="119">
        <v>0.14452518106933601</v>
      </c>
      <c r="H139" s="119">
        <v>0.16085447535724501</v>
      </c>
      <c r="I139" s="119">
        <v>0.179045589782906</v>
      </c>
      <c r="J139" s="119">
        <v>0.19923578288159799</v>
      </c>
      <c r="K139" s="119">
        <v>0.222239787948525</v>
      </c>
      <c r="L139" s="119">
        <v>0.22897481547308901</v>
      </c>
      <c r="M139" s="119">
        <v>0.23662585531741101</v>
      </c>
      <c r="N139" s="119">
        <v>0.24175134163790399</v>
      </c>
      <c r="O139" s="119">
        <v>0.24851995713979599</v>
      </c>
      <c r="P139" s="119">
        <v>0.25368483952877302</v>
      </c>
      <c r="Q139" s="119">
        <v>0.26036300734879098</v>
      </c>
      <c r="R139" s="119">
        <v>0.26830896091334899</v>
      </c>
      <c r="S139" s="119">
        <v>0.27262129975340499</v>
      </c>
      <c r="T139" s="119">
        <v>0.28097612550927897</v>
      </c>
      <c r="U139" s="119">
        <v>0.287172613486055</v>
      </c>
      <c r="V139" s="119">
        <v>0.29405611800079201</v>
      </c>
      <c r="W139" s="119">
        <v>0.30003772495666597</v>
      </c>
      <c r="X139" s="119">
        <v>0.30773378461402701</v>
      </c>
      <c r="Y139" s="119">
        <v>0.31392361822758602</v>
      </c>
      <c r="Z139" s="119">
        <v>0.32369352722216499</v>
      </c>
      <c r="AA139" s="119">
        <v>0.334452514463491</v>
      </c>
      <c r="AB139" s="119">
        <v>0.34328188547322103</v>
      </c>
      <c r="AC139" s="119">
        <v>0.35332946344080202</v>
      </c>
      <c r="AD139" s="119">
        <v>0.36210358396068598</v>
      </c>
      <c r="AE139" s="119">
        <v>0.37193290745713498</v>
      </c>
      <c r="AF139" s="119">
        <v>0.38013754786267001</v>
      </c>
      <c r="AG139" s="119">
        <v>0.388497554830945</v>
      </c>
      <c r="AH139" s="119">
        <v>0.39745307900403198</v>
      </c>
      <c r="AI139" s="119">
        <v>0.40592586039761003</v>
      </c>
      <c r="AJ139" s="119">
        <v>0.41434653254060899</v>
      </c>
      <c r="AK139" s="119">
        <v>0.42215429256453002</v>
      </c>
      <c r="AL139" s="119">
        <v>0.43095004323550101</v>
      </c>
      <c r="AM139" s="119">
        <v>0.43764079485000201</v>
      </c>
      <c r="AN139" s="119">
        <v>0.44479459319243397</v>
      </c>
      <c r="AO139" s="119">
        <v>0.45262726250884899</v>
      </c>
      <c r="AP139" s="119">
        <v>0.45997828997233903</v>
      </c>
      <c r="AQ139" s="119">
        <v>0.46682832139761699</v>
      </c>
      <c r="AR139" s="119">
        <v>0.47766939675085801</v>
      </c>
      <c r="AS139" s="119">
        <v>0.49082347310061902</v>
      </c>
      <c r="AT139" s="119">
        <v>0.50208270788856302</v>
      </c>
      <c r="AU139" s="119">
        <v>0.51682434815546996</v>
      </c>
      <c r="AV139" s="119">
        <v>0.527032260789567</v>
      </c>
      <c r="AW139" s="119">
        <v>0.53639460697149299</v>
      </c>
      <c r="AX139" s="119">
        <v>0.54420613438349696</v>
      </c>
      <c r="AY139" s="119">
        <v>0.54991472005767705</v>
      </c>
      <c r="AZ139" s="119">
        <v>0.55566354397290596</v>
      </c>
      <c r="BA139" s="119">
        <v>0.56252613675758201</v>
      </c>
      <c r="BB139" s="119">
        <v>0.56655199025171199</v>
      </c>
      <c r="BC139" s="119">
        <v>0.57347053745307097</v>
      </c>
      <c r="BD139" s="119">
        <v>0.57733263739153096</v>
      </c>
      <c r="BE139" s="119">
        <v>0.58185661708164504</v>
      </c>
      <c r="BF139" s="119">
        <v>0.58805169490886899</v>
      </c>
      <c r="BG139" s="119">
        <v>0.59131197559931803</v>
      </c>
      <c r="BH139" s="119">
        <v>0.59467611361647099</v>
      </c>
      <c r="BI139" s="119">
        <v>0.59910717603249297</v>
      </c>
      <c r="BJ139" s="119">
        <v>0.60526126111394596</v>
      </c>
      <c r="BK139" s="119">
        <v>0.61056267265245101</v>
      </c>
      <c r="BL139" s="119">
        <v>0.61513011253595795</v>
      </c>
    </row>
    <row r="140" spans="1:64" x14ac:dyDescent="0.25">
      <c r="A140" s="860" t="s">
        <v>237</v>
      </c>
      <c r="B140" s="1">
        <v>620</v>
      </c>
      <c r="C140" s="119">
        <v>0.5</v>
      </c>
      <c r="D140" s="119">
        <v>0.25729179049898498</v>
      </c>
      <c r="E140" s="119">
        <v>0.266798882766697</v>
      </c>
      <c r="F140" s="119">
        <v>0.27631766562815802</v>
      </c>
      <c r="G140" s="119">
        <v>0.28566960519462897</v>
      </c>
      <c r="H140" s="119">
        <v>0.29457152715752599</v>
      </c>
      <c r="I140" s="119">
        <v>0.30684373063896703</v>
      </c>
      <c r="J140" s="119">
        <v>0.316485980787932</v>
      </c>
      <c r="K140" s="119">
        <v>0.32681902478417402</v>
      </c>
      <c r="L140" s="119">
        <v>0.33792447982646401</v>
      </c>
      <c r="M140" s="119">
        <v>0.35056892231432901</v>
      </c>
      <c r="N140" s="119">
        <v>0.35842865643958199</v>
      </c>
      <c r="O140" s="119">
        <v>0.368408662668602</v>
      </c>
      <c r="P140" s="119">
        <v>0.37886831567805701</v>
      </c>
      <c r="Q140" s="119">
        <v>0.387514860239834</v>
      </c>
      <c r="R140" s="119">
        <v>0.39513450403221401</v>
      </c>
      <c r="S140" s="119">
        <v>0.40430973848763002</v>
      </c>
      <c r="T140" s="119">
        <v>0.41413562863190001</v>
      </c>
      <c r="U140" s="119">
        <v>0.42403887084980302</v>
      </c>
      <c r="V140" s="119">
        <v>0.43533939848009101</v>
      </c>
      <c r="W140" s="119">
        <v>0.44658170065408798</v>
      </c>
      <c r="X140" s="119">
        <v>0.45584450542476901</v>
      </c>
      <c r="Y140" s="119">
        <v>0.46666105052873302</v>
      </c>
      <c r="Z140" s="119">
        <v>0.48105837157165598</v>
      </c>
      <c r="AA140" s="119">
        <v>0.49283263265153199</v>
      </c>
      <c r="AB140" s="119">
        <v>0.50555438935380304</v>
      </c>
      <c r="AC140" s="119">
        <v>0.51849230336291097</v>
      </c>
      <c r="AD140" s="119">
        <v>0.53091382036705503</v>
      </c>
      <c r="AE140" s="119">
        <v>0.54230123940496</v>
      </c>
      <c r="AF140" s="119">
        <v>0.55169229535228603</v>
      </c>
      <c r="AG140" s="119">
        <v>0.55705596343144903</v>
      </c>
      <c r="AH140" s="119">
        <v>0.56312637278458899</v>
      </c>
      <c r="AI140" s="119">
        <v>0.56939570866385703</v>
      </c>
      <c r="AJ140" s="119">
        <v>0.57696679635427905</v>
      </c>
      <c r="AK140" s="119">
        <v>0.582560305074726</v>
      </c>
      <c r="AL140" s="119">
        <v>0.58856587715106501</v>
      </c>
      <c r="AM140" s="119">
        <v>0.59273285334510994</v>
      </c>
      <c r="AN140" s="119">
        <v>0.59380145609228696</v>
      </c>
      <c r="AO140" s="119">
        <v>0.59808989934382495</v>
      </c>
      <c r="AP140" s="119">
        <v>0.60021963950998403</v>
      </c>
      <c r="AQ140" s="119">
        <v>0.60002628230579502</v>
      </c>
      <c r="AR140" s="119">
        <v>0.59963572093262096</v>
      </c>
      <c r="AS140" s="119">
        <v>0.60186274100874204</v>
      </c>
      <c r="AT140" s="119">
        <v>0.60231451717719497</v>
      </c>
      <c r="AU140" s="119">
        <v>0.60334000332617399</v>
      </c>
      <c r="AV140" s="119">
        <v>0.60452003226005202</v>
      </c>
      <c r="AW140" s="119">
        <v>0.60451919281805799</v>
      </c>
      <c r="AX140" s="119">
        <v>0.60764949305139404</v>
      </c>
      <c r="AY140" s="119">
        <v>0.60937902423963197</v>
      </c>
      <c r="AZ140" s="119">
        <v>0.61219983599237104</v>
      </c>
      <c r="BA140" s="119">
        <v>0.61588057198941204</v>
      </c>
      <c r="BB140" s="119">
        <v>0.61633700188747798</v>
      </c>
      <c r="BC140" s="119">
        <v>0.61793954919945804</v>
      </c>
      <c r="BD140" s="119">
        <v>0.61870194182340299</v>
      </c>
      <c r="BE140" s="119">
        <v>0.62388767532320599</v>
      </c>
      <c r="BF140" s="119">
        <v>0.62766188455906202</v>
      </c>
      <c r="BG140" s="119">
        <v>0.63075784945369096</v>
      </c>
      <c r="BH140" s="119">
        <v>0.63196097325133005</v>
      </c>
      <c r="BI140" s="119">
        <v>0.63246909955514197</v>
      </c>
      <c r="BJ140" s="119">
        <v>0.63281560746725696</v>
      </c>
      <c r="BK140" s="119">
        <v>0.63479759288808502</v>
      </c>
      <c r="BL140" s="119">
        <v>0.63933080900777695</v>
      </c>
    </row>
    <row r="141" spans="1:64" x14ac:dyDescent="0.25">
      <c r="A141" s="860" t="s">
        <v>238</v>
      </c>
      <c r="B141" s="1">
        <v>630</v>
      </c>
      <c r="C141" s="119">
        <v>0.5</v>
      </c>
      <c r="D141" s="119">
        <v>0.51647105155022199</v>
      </c>
      <c r="E141" s="119">
        <v>0.52260074997484995</v>
      </c>
      <c r="F141" s="119">
        <v>0.53049341163766695</v>
      </c>
      <c r="G141" s="119">
        <v>0.53712888238001899</v>
      </c>
      <c r="H141" s="119">
        <v>0.54508568909825805</v>
      </c>
      <c r="I141" s="119">
        <v>0.55382255826568605</v>
      </c>
      <c r="J141" s="119">
        <v>0.561597009916043</v>
      </c>
      <c r="K141" s="119">
        <v>0.57080332255935395</v>
      </c>
      <c r="L141" s="119">
        <v>0.57765864091567798</v>
      </c>
      <c r="M141" s="119">
        <v>0.58415444534290595</v>
      </c>
      <c r="N141" s="119">
        <v>0.591427986608701</v>
      </c>
      <c r="O141" s="119">
        <v>0.59756365880288298</v>
      </c>
      <c r="P141" s="119">
        <v>0.60339480352716102</v>
      </c>
      <c r="Q141" s="119">
        <v>0.60914980833457999</v>
      </c>
      <c r="R141" s="119">
        <v>0.61274681757994298</v>
      </c>
      <c r="S141" s="119">
        <v>0.61844003870927999</v>
      </c>
      <c r="T141" s="119">
        <v>0.62164966758498297</v>
      </c>
      <c r="U141" s="119">
        <v>0.626191196030218</v>
      </c>
      <c r="V141" s="119">
        <v>0.63001582107988796</v>
      </c>
      <c r="W141" s="119">
        <v>0.63454627885021997</v>
      </c>
      <c r="X141" s="119">
        <v>0.63793999525191303</v>
      </c>
      <c r="Y141" s="119">
        <v>0.64484458329825101</v>
      </c>
      <c r="Z141" s="119">
        <v>0.65184758999449599</v>
      </c>
      <c r="AA141" s="119">
        <v>0.65890495643071401</v>
      </c>
      <c r="AB141" s="119">
        <v>0.66771779952739296</v>
      </c>
      <c r="AC141" s="119">
        <v>0.67378527008893396</v>
      </c>
      <c r="AD141" s="119">
        <v>0.67767318857404202</v>
      </c>
      <c r="AE141" s="119">
        <v>0.68430820493384603</v>
      </c>
      <c r="AF141" s="119">
        <v>0.68919658243106197</v>
      </c>
      <c r="AG141" s="119">
        <v>0.69467544757871003</v>
      </c>
      <c r="AH141" s="119">
        <v>0.69929990900022199</v>
      </c>
      <c r="AI141" s="119">
        <v>0.70422124666494401</v>
      </c>
      <c r="AJ141" s="119">
        <v>0.70744293855678897</v>
      </c>
      <c r="AK141" s="119">
        <v>0.71107083596383303</v>
      </c>
      <c r="AL141" s="119">
        <v>0.71358199654542398</v>
      </c>
      <c r="AM141" s="119">
        <v>0.71586790535100098</v>
      </c>
      <c r="AN141" s="119">
        <v>0.71769968697494502</v>
      </c>
      <c r="AO141" s="119">
        <v>0.71791868831600503</v>
      </c>
      <c r="AP141" s="119">
        <v>0.72020069631395101</v>
      </c>
      <c r="AQ141" s="119">
        <v>0.72161830395426096</v>
      </c>
      <c r="AR141" s="119">
        <v>0.72415156367030298</v>
      </c>
      <c r="AS141" s="119">
        <v>0.72668915519152899</v>
      </c>
      <c r="AT141" s="119">
        <v>0.72763697727908805</v>
      </c>
      <c r="AU141" s="119">
        <v>0.72907646667263104</v>
      </c>
      <c r="AV141" s="119">
        <v>0.731937116109591</v>
      </c>
      <c r="AW141" s="119">
        <v>0.731442167862421</v>
      </c>
      <c r="AX141" s="119">
        <v>0.733575716331894</v>
      </c>
      <c r="AY141" s="119">
        <v>0.73518255403904897</v>
      </c>
      <c r="AZ141" s="119">
        <v>0.73665945574004299</v>
      </c>
      <c r="BA141" s="119">
        <v>0.73644645013907994</v>
      </c>
      <c r="BB141" s="119">
        <v>0.73922466497224903</v>
      </c>
      <c r="BC141" s="119">
        <v>0.74348671623735296</v>
      </c>
      <c r="BD141" s="119">
        <v>0.74652514761537603</v>
      </c>
      <c r="BE141" s="119">
        <v>0.74881575912981102</v>
      </c>
      <c r="BF141" s="119">
        <v>0.74847143240898895</v>
      </c>
      <c r="BG141" s="119">
        <v>0.74984233703167502</v>
      </c>
      <c r="BH141" s="119">
        <v>0.75030629011709504</v>
      </c>
      <c r="BI141" s="119">
        <v>0.74978830095886195</v>
      </c>
      <c r="BJ141" s="119">
        <v>0.75071848629537996</v>
      </c>
      <c r="BK141" s="119">
        <v>0.75217908468740402</v>
      </c>
      <c r="BL141" s="119">
        <v>0.75482016207913905</v>
      </c>
    </row>
    <row r="142" spans="1:64" x14ac:dyDescent="0.25">
      <c r="A142" s="860" t="s">
        <v>239</v>
      </c>
      <c r="B142" s="1">
        <v>634</v>
      </c>
      <c r="C142" s="119">
        <v>0.5</v>
      </c>
      <c r="D142" s="119">
        <v>0.147189494487351</v>
      </c>
      <c r="E142" s="119">
        <v>0.15339276151601799</v>
      </c>
      <c r="F142" s="119">
        <v>0.16031932856324599</v>
      </c>
      <c r="G142" s="119">
        <v>0.16795973614997201</v>
      </c>
      <c r="H142" s="119">
        <v>0.174863755271392</v>
      </c>
      <c r="I142" s="119">
        <v>0.18172237070156799</v>
      </c>
      <c r="J142" s="119">
        <v>0.188432413646479</v>
      </c>
      <c r="K142" s="119">
        <v>0.196186344462251</v>
      </c>
      <c r="L142" s="119">
        <v>0.20425934570939899</v>
      </c>
      <c r="M142" s="119">
        <v>0.21369077695246499</v>
      </c>
      <c r="N142" s="119">
        <v>0.22149061341950799</v>
      </c>
      <c r="O142" s="119">
        <v>0.228208258512198</v>
      </c>
      <c r="P142" s="119">
        <v>0.23741841926685001</v>
      </c>
      <c r="Q142" s="119">
        <v>0.24389336885399099</v>
      </c>
      <c r="R142" s="119">
        <v>0.25176630472535899</v>
      </c>
      <c r="S142" s="119">
        <v>0.26049070174468297</v>
      </c>
      <c r="T142" s="119">
        <v>0.26876809090952097</v>
      </c>
      <c r="U142" s="119">
        <v>0.278285559864968</v>
      </c>
      <c r="V142" s="119">
        <v>0.28439298811644098</v>
      </c>
      <c r="W142" s="119">
        <v>0.29085345636090698</v>
      </c>
      <c r="X142" s="119">
        <v>0.29547617410094801</v>
      </c>
      <c r="Y142" s="119">
        <v>0.30039845283598399</v>
      </c>
      <c r="Z142" s="119">
        <v>0.30518552840271801</v>
      </c>
      <c r="AA142" s="119">
        <v>0.309110587480527</v>
      </c>
      <c r="AB142" s="119">
        <v>0.31271176265085099</v>
      </c>
      <c r="AC142" s="119">
        <v>0.317288234978443</v>
      </c>
      <c r="AD142" s="119">
        <v>0.323485392346676</v>
      </c>
      <c r="AE142" s="119">
        <v>0.32540677997939499</v>
      </c>
      <c r="AF142" s="119">
        <v>0.32729121644558001</v>
      </c>
      <c r="AG142" s="119">
        <v>0.33006814894448699</v>
      </c>
      <c r="AH142" s="119">
        <v>0.33350386992098702</v>
      </c>
      <c r="AI142" s="119">
        <v>0.33756827360900199</v>
      </c>
      <c r="AJ142" s="119">
        <v>0.33927687229383102</v>
      </c>
      <c r="AK142" s="119">
        <v>0.34157652428621899</v>
      </c>
      <c r="AL142" s="119">
        <v>0.34538061514656399</v>
      </c>
      <c r="AM142" s="119">
        <v>0.34619564949895298</v>
      </c>
      <c r="AN142" s="119">
        <v>0.35065151541853001</v>
      </c>
      <c r="AO142" s="119">
        <v>0.35049917519280599</v>
      </c>
      <c r="AP142" s="119">
        <v>0.35348239522133201</v>
      </c>
      <c r="AQ142" s="119">
        <v>0.35500976443223697</v>
      </c>
      <c r="AR142" s="119">
        <v>0.35717863239627301</v>
      </c>
      <c r="AS142" s="119">
        <v>0.359469716190429</v>
      </c>
      <c r="AT142" s="119">
        <v>0.36340562738690801</v>
      </c>
      <c r="AU142" s="119">
        <v>0.366302668369689</v>
      </c>
      <c r="AV142" s="119">
        <v>0.372633265202991</v>
      </c>
      <c r="AW142" s="119">
        <v>0.375971524557699</v>
      </c>
      <c r="AX142" s="119">
        <v>0.38286113442849901</v>
      </c>
      <c r="AY142" s="119">
        <v>0.38609409729224298</v>
      </c>
      <c r="AZ142" s="119">
        <v>0.38960214486811001</v>
      </c>
      <c r="BA142" s="119">
        <v>0.393550946468749</v>
      </c>
      <c r="BB142" s="119">
        <v>0.39805344023355299</v>
      </c>
      <c r="BC142" s="119">
        <v>0.40359033225991098</v>
      </c>
      <c r="BD142" s="119">
        <v>0.40858705615826801</v>
      </c>
      <c r="BE142" s="119">
        <v>0.41291176495049198</v>
      </c>
      <c r="BF142" s="119">
        <v>0.41804464873994401</v>
      </c>
      <c r="BG142" s="119">
        <v>0.42333815878905201</v>
      </c>
      <c r="BH142" s="119">
        <v>0.42778061494020497</v>
      </c>
      <c r="BI142" s="119">
        <v>0.43295599266003498</v>
      </c>
      <c r="BJ142" s="119">
        <v>0.43768939777010601</v>
      </c>
      <c r="BK142" s="119">
        <v>0.44001958000553798</v>
      </c>
      <c r="BL142" s="119">
        <v>0.44655527047226901</v>
      </c>
    </row>
    <row r="143" spans="1:64" x14ac:dyDescent="0.25">
      <c r="A143" s="860" t="s">
        <v>240</v>
      </c>
      <c r="B143" s="1">
        <v>410</v>
      </c>
      <c r="C143" s="119">
        <v>0.5</v>
      </c>
      <c r="D143" s="119">
        <v>0.17444472959089199</v>
      </c>
      <c r="E143" s="119">
        <v>0.18970752680649999</v>
      </c>
      <c r="F143" s="119">
        <v>0.21074124060146199</v>
      </c>
      <c r="G143" s="119">
        <v>0.23496932891234501</v>
      </c>
      <c r="H143" s="119">
        <v>0.26115260591802603</v>
      </c>
      <c r="I143" s="119">
        <v>0.28842507700686698</v>
      </c>
      <c r="J143" s="119">
        <v>0.31584814154345198</v>
      </c>
      <c r="K143" s="119">
        <v>0.342725536839805</v>
      </c>
      <c r="L143" s="119">
        <v>0.368520828516052</v>
      </c>
      <c r="M143" s="119">
        <v>0.391564019176809</v>
      </c>
      <c r="N143" s="119">
        <v>0.41295259679823898</v>
      </c>
      <c r="O143" s="119">
        <v>0.43231384121653699</v>
      </c>
      <c r="P143" s="119">
        <v>0.45375995057937601</v>
      </c>
      <c r="Q143" s="119">
        <v>0.48273866407994898</v>
      </c>
      <c r="R143" s="119">
        <v>0.51278599022632398</v>
      </c>
      <c r="S143" s="119">
        <v>0.54134793125224701</v>
      </c>
      <c r="T143" s="119">
        <v>0.56610394151535404</v>
      </c>
      <c r="U143" s="119">
        <v>0.58840348114998398</v>
      </c>
      <c r="V143" s="119">
        <v>0.608638303170145</v>
      </c>
      <c r="W143" s="119">
        <v>0.62342787784364495</v>
      </c>
      <c r="X143" s="119">
        <v>0.63453977456569299</v>
      </c>
      <c r="Y143" s="119">
        <v>0.64455766543897097</v>
      </c>
      <c r="Z143" s="119">
        <v>0.64843317900238395</v>
      </c>
      <c r="AA143" s="119">
        <v>0.65062421022035999</v>
      </c>
      <c r="AB143" s="119">
        <v>0.653270603636667</v>
      </c>
      <c r="AC143" s="119">
        <v>0.65738837212659695</v>
      </c>
      <c r="AD143" s="119">
        <v>0.66174659008958603</v>
      </c>
      <c r="AE143" s="119">
        <v>0.66655679660427802</v>
      </c>
      <c r="AF143" s="119">
        <v>0.66999835006307495</v>
      </c>
      <c r="AG143" s="119">
        <v>0.673516369514786</v>
      </c>
      <c r="AH143" s="119">
        <v>0.678352735144237</v>
      </c>
      <c r="AI143" s="119">
        <v>0.68459937499006795</v>
      </c>
      <c r="AJ143" s="119">
        <v>0.69083790453718497</v>
      </c>
      <c r="AK143" s="119">
        <v>0.69544902100324002</v>
      </c>
      <c r="AL143" s="119">
        <v>0.69627743686741606</v>
      </c>
      <c r="AM143" s="119">
        <v>0.69419798926684195</v>
      </c>
      <c r="AN143" s="119">
        <v>0.69167322445259605</v>
      </c>
      <c r="AO143" s="119">
        <v>0.69017177813999298</v>
      </c>
      <c r="AP143" s="119">
        <v>0.68861041666367395</v>
      </c>
      <c r="AQ143" s="119">
        <v>0.68883022506834402</v>
      </c>
      <c r="AR143" s="119">
        <v>0.68875107933814905</v>
      </c>
      <c r="AS143" s="119">
        <v>0.68974647535533795</v>
      </c>
      <c r="AT143" s="119">
        <v>0.69242146928718695</v>
      </c>
      <c r="AU143" s="119">
        <v>0.69657931436041898</v>
      </c>
      <c r="AV143" s="119">
        <v>0.70128555130519798</v>
      </c>
      <c r="AW143" s="119">
        <v>0.70789324015636501</v>
      </c>
      <c r="AX143" s="119">
        <v>0.71332816032017399</v>
      </c>
      <c r="AY143" s="119">
        <v>0.72031257112325897</v>
      </c>
      <c r="AZ143" s="119">
        <v>0.72460216841712499</v>
      </c>
      <c r="BA143" s="119">
        <v>0.72795834974987805</v>
      </c>
      <c r="BB143" s="119">
        <v>0.73040902316548495</v>
      </c>
      <c r="BC143" s="119">
        <v>0.72975434886442603</v>
      </c>
      <c r="BD143" s="119">
        <v>0.73102529533728</v>
      </c>
      <c r="BE143" s="119">
        <v>0.73196690721588897</v>
      </c>
      <c r="BF143" s="119">
        <v>0.73288776626204699</v>
      </c>
      <c r="BG143" s="119">
        <v>0.735348607542049</v>
      </c>
      <c r="BH143" s="119">
        <v>0.73773660670107799</v>
      </c>
      <c r="BI143" s="119">
        <v>0.74082332990185895</v>
      </c>
      <c r="BJ143" s="119">
        <v>0.74194354219292302</v>
      </c>
      <c r="BK143" s="119">
        <v>0.74382611176791702</v>
      </c>
      <c r="BL143" s="119">
        <v>0.745591081689567</v>
      </c>
    </row>
    <row r="144" spans="1:64" x14ac:dyDescent="0.25">
      <c r="A144" s="860" t="s">
        <v>241</v>
      </c>
      <c r="B144" s="1">
        <v>498</v>
      </c>
      <c r="C144" s="119">
        <v>0.5</v>
      </c>
      <c r="D144" s="119">
        <v>0.22094745378459699</v>
      </c>
      <c r="E144" s="119">
        <v>0.2310593484781</v>
      </c>
      <c r="F144" s="119">
        <v>0.238375911833274</v>
      </c>
      <c r="G144" s="119">
        <v>0.24698553906444301</v>
      </c>
      <c r="H144" s="119">
        <v>0.254341637523884</v>
      </c>
      <c r="I144" s="119">
        <v>0.261103076356556</v>
      </c>
      <c r="J144" s="119">
        <v>0.26786764199825602</v>
      </c>
      <c r="K144" s="119">
        <v>0.27587126323287597</v>
      </c>
      <c r="L144" s="119">
        <v>0.28564726793581602</v>
      </c>
      <c r="M144" s="119">
        <v>0.294152532154904</v>
      </c>
      <c r="N144" s="119">
        <v>0.30244903056962802</v>
      </c>
      <c r="O144" s="119">
        <v>0.31151342556644801</v>
      </c>
      <c r="P144" s="119">
        <v>0.32373187781377399</v>
      </c>
      <c r="Q144" s="119">
        <v>0.330033115087006</v>
      </c>
      <c r="R144" s="119">
        <v>0.339392661062276</v>
      </c>
      <c r="S144" s="119">
        <v>0.34749129023612002</v>
      </c>
      <c r="T144" s="119">
        <v>0.35541941075522199</v>
      </c>
      <c r="U144" s="119">
        <v>0.36404135394963</v>
      </c>
      <c r="V144" s="119">
        <v>0.375714041437059</v>
      </c>
      <c r="W144" s="119">
        <v>0.38217826744254602</v>
      </c>
      <c r="X144" s="119">
        <v>0.38876666514505398</v>
      </c>
      <c r="Y144" s="119">
        <v>0.39825032415443101</v>
      </c>
      <c r="Z144" s="119">
        <v>0.40777806513515003</v>
      </c>
      <c r="AA144" s="119">
        <v>0.41464343321150698</v>
      </c>
      <c r="AB144" s="119">
        <v>0.42137665576612998</v>
      </c>
      <c r="AC144" s="119">
        <v>0.42946458027983397</v>
      </c>
      <c r="AD144" s="119">
        <v>0.436211353364865</v>
      </c>
      <c r="AE144" s="119">
        <v>0.44148661128169397</v>
      </c>
      <c r="AF144" s="119">
        <v>0.44267672778795603</v>
      </c>
      <c r="AG144" s="119">
        <v>0.44249279891682802</v>
      </c>
      <c r="AH144" s="119">
        <v>0.44149823994320198</v>
      </c>
      <c r="AI144" s="119">
        <v>0.44307497298987403</v>
      </c>
      <c r="AJ144" s="119">
        <v>0.44448771724895603</v>
      </c>
      <c r="AK144" s="119">
        <v>0.446931447405712</v>
      </c>
      <c r="AL144" s="119">
        <v>0.44817716966402399</v>
      </c>
      <c r="AM144" s="119">
        <v>0.44973207833001999</v>
      </c>
      <c r="AN144" s="119">
        <v>0.45022161059724702</v>
      </c>
      <c r="AO144" s="119">
        <v>0.44990776283510597</v>
      </c>
      <c r="AP144" s="119">
        <v>0.45210806629259598</v>
      </c>
      <c r="AQ144" s="119">
        <v>0.45103335772790398</v>
      </c>
      <c r="AR144" s="119">
        <v>0.44913423594563501</v>
      </c>
      <c r="AS144" s="119">
        <v>0.44821053658674498</v>
      </c>
      <c r="AT144" s="119">
        <v>0.44607029700304102</v>
      </c>
      <c r="AU144" s="119">
        <v>0.44634024352809898</v>
      </c>
      <c r="AV144" s="119">
        <v>0.44588611422442598</v>
      </c>
      <c r="AW144" s="119">
        <v>0.44478994063889299</v>
      </c>
      <c r="AX144" s="119">
        <v>0.44719117229736399</v>
      </c>
      <c r="AY144" s="119">
        <v>0.44822991654954503</v>
      </c>
      <c r="AZ144" s="119">
        <v>0.448937829204971</v>
      </c>
      <c r="BA144" s="119">
        <v>0.44989543688563299</v>
      </c>
      <c r="BB144" s="119">
        <v>0.45076634722536602</v>
      </c>
      <c r="BC144" s="119">
        <v>0.453886875311733</v>
      </c>
      <c r="BD144" s="119">
        <v>0.45764414574462198</v>
      </c>
      <c r="BE144" s="119">
        <v>0.46115285581779197</v>
      </c>
      <c r="BF144" s="119">
        <v>0.46673516827350198</v>
      </c>
      <c r="BG144" s="119">
        <v>0.47101327918095798</v>
      </c>
      <c r="BH144" s="119">
        <v>0.47447660083481802</v>
      </c>
      <c r="BI144" s="119">
        <v>0.478709858397181</v>
      </c>
      <c r="BJ144" s="119">
        <v>0.48282954444500198</v>
      </c>
      <c r="BK144" s="119">
        <v>0.48909760779574901</v>
      </c>
      <c r="BL144" s="119">
        <v>0.491621293268313</v>
      </c>
    </row>
    <row r="145" spans="1:64" x14ac:dyDescent="0.25">
      <c r="A145" s="860" t="s">
        <v>242</v>
      </c>
      <c r="B145" s="1">
        <v>638</v>
      </c>
      <c r="C145" s="119">
        <v>0.5</v>
      </c>
      <c r="D145" s="119">
        <v>0.24272286184182101</v>
      </c>
      <c r="E145" s="119">
        <v>0.26282066220503097</v>
      </c>
      <c r="F145" s="119">
        <v>0.28457395466324498</v>
      </c>
      <c r="G145" s="119">
        <v>0.30758020284342502</v>
      </c>
      <c r="H145" s="119">
        <v>0.32615837850445001</v>
      </c>
      <c r="I145" s="119">
        <v>0.35175239812710801</v>
      </c>
      <c r="J145" s="119">
        <v>0.37075887704347099</v>
      </c>
      <c r="K145" s="119">
        <v>0.39238951012256401</v>
      </c>
      <c r="L145" s="119">
        <v>0.41346113452014299</v>
      </c>
      <c r="M145" s="119">
        <v>0.43150401739530803</v>
      </c>
      <c r="N145" s="119">
        <v>0.45102583224321302</v>
      </c>
      <c r="O145" s="119">
        <v>0.46958214212071198</v>
      </c>
      <c r="P145" s="119">
        <v>0.48520804296189202</v>
      </c>
      <c r="Q145" s="119">
        <v>0.50072086085623302</v>
      </c>
      <c r="R145" s="119">
        <v>0.51642202537002402</v>
      </c>
      <c r="S145" s="119">
        <v>0.53354111543114002</v>
      </c>
      <c r="T145" s="119">
        <v>0.547808637074234</v>
      </c>
      <c r="U145" s="119">
        <v>0.56220077471727303</v>
      </c>
      <c r="V145" s="119">
        <v>0.57372734736198505</v>
      </c>
      <c r="W145" s="119">
        <v>0.58691276990563401</v>
      </c>
      <c r="X145" s="119">
        <v>0.59971599431322398</v>
      </c>
      <c r="Y145" s="119">
        <v>0.60779581169208596</v>
      </c>
      <c r="Z145" s="119">
        <v>0.61398170311328604</v>
      </c>
      <c r="AA145" s="119">
        <v>0.62134603890739903</v>
      </c>
      <c r="AB145" s="119">
        <v>0.62783215885518195</v>
      </c>
      <c r="AC145" s="119">
        <v>0.63394123024198401</v>
      </c>
      <c r="AD145" s="119">
        <v>0.63942863673665995</v>
      </c>
      <c r="AE145" s="119">
        <v>0.64531461044801297</v>
      </c>
      <c r="AF145" s="119">
        <v>0.64779686643281598</v>
      </c>
      <c r="AG145" s="119">
        <v>0.65158139128529502</v>
      </c>
      <c r="AH145" s="119">
        <v>0.65494071832241096</v>
      </c>
      <c r="AI145" s="119">
        <v>0.658073788677073</v>
      </c>
      <c r="AJ145" s="119">
        <v>0.66093723519172698</v>
      </c>
      <c r="AK145" s="119">
        <v>0.664413504488922</v>
      </c>
      <c r="AL145" s="119">
        <v>0.66819274592500699</v>
      </c>
      <c r="AM145" s="119">
        <v>0.67188847743416202</v>
      </c>
      <c r="AN145" s="119">
        <v>0.67466749308580398</v>
      </c>
      <c r="AO145" s="119">
        <v>0.67685909493034402</v>
      </c>
      <c r="AP145" s="119">
        <v>0.67867695990263299</v>
      </c>
      <c r="AQ145" s="119">
        <v>0.68275129365574605</v>
      </c>
      <c r="AR145" s="119">
        <v>0.68572358381931098</v>
      </c>
      <c r="AS145" s="119">
        <v>0.688799973187739</v>
      </c>
      <c r="AT145" s="119">
        <v>0.69337556012570301</v>
      </c>
      <c r="AU145" s="119">
        <v>0.69619831094658702</v>
      </c>
      <c r="AV145" s="119">
        <v>0.69923428092303197</v>
      </c>
      <c r="AW145" s="119">
        <v>0.69903538478032301</v>
      </c>
      <c r="AX145" s="119">
        <v>0.70149129051122405</v>
      </c>
      <c r="AY145" s="119">
        <v>0.70248523798951201</v>
      </c>
      <c r="AZ145" s="119">
        <v>0.70387952697452405</v>
      </c>
      <c r="BA145" s="119">
        <v>0.70651561614223501</v>
      </c>
      <c r="BB145" s="119">
        <v>0.70760963845805003</v>
      </c>
      <c r="BC145" s="119">
        <v>0.70813430404404698</v>
      </c>
      <c r="BD145" s="119">
        <v>0.70863734524014599</v>
      </c>
      <c r="BE145" s="119">
        <v>0.70865546203049501</v>
      </c>
      <c r="BF145" s="119">
        <v>0.71323889500007498</v>
      </c>
      <c r="BG145" s="119">
        <v>0.71633226838469799</v>
      </c>
      <c r="BH145" s="119">
        <v>0.71848444552359703</v>
      </c>
      <c r="BI145" s="119">
        <v>0.71826825213661505</v>
      </c>
      <c r="BJ145" s="119">
        <v>0.71842044936507299</v>
      </c>
      <c r="BK145" s="119">
        <v>0.72010112370667101</v>
      </c>
      <c r="BL145" s="119">
        <v>0.72109029089638399</v>
      </c>
    </row>
    <row r="146" spans="1:64" x14ac:dyDescent="0.25">
      <c r="A146" s="860" t="s">
        <v>243</v>
      </c>
      <c r="B146" s="1">
        <v>642</v>
      </c>
      <c r="C146" s="119">
        <v>0.5</v>
      </c>
      <c r="D146" s="119">
        <v>3.7402299254924602E-2</v>
      </c>
      <c r="E146" s="119">
        <v>4.0041999719588897E-2</v>
      </c>
      <c r="F146" s="119">
        <v>4.1936166222979201E-2</v>
      </c>
      <c r="G146" s="119">
        <v>4.4621400796576102E-2</v>
      </c>
      <c r="H146" s="119">
        <v>4.7149683363728899E-2</v>
      </c>
      <c r="I146" s="119">
        <v>5.0142791184862201E-2</v>
      </c>
      <c r="J146" s="119">
        <v>5.3612199940779003E-2</v>
      </c>
      <c r="K146" s="119">
        <v>5.6730983958420099E-2</v>
      </c>
      <c r="L146" s="119">
        <v>6.0674153059326899E-2</v>
      </c>
      <c r="M146" s="119">
        <v>6.5447326280809098E-2</v>
      </c>
      <c r="N146" s="119">
        <v>7.1014719217036906E-2</v>
      </c>
      <c r="O146" s="119">
        <v>7.7316234370159803E-2</v>
      </c>
      <c r="P146" s="119">
        <v>8.3659960913493495E-2</v>
      </c>
      <c r="Q146" s="119">
        <v>9.0182086403973294E-2</v>
      </c>
      <c r="R146" s="119">
        <v>9.8596042008200796E-2</v>
      </c>
      <c r="S146" s="119">
        <v>0.10675179290195699</v>
      </c>
      <c r="T146" s="119">
        <v>0.11455491862074201</v>
      </c>
      <c r="U146" s="119">
        <v>0.124838749878819</v>
      </c>
      <c r="V146" s="119">
        <v>0.135578698809873</v>
      </c>
      <c r="W146" s="119">
        <v>0.14395808421752501</v>
      </c>
      <c r="X146" s="119">
        <v>0.154063042463357</v>
      </c>
      <c r="Y146" s="119">
        <v>0.16481983435206099</v>
      </c>
      <c r="Z146" s="119">
        <v>0.17538051267902999</v>
      </c>
      <c r="AA146" s="119">
        <v>0.18486063421104801</v>
      </c>
      <c r="AB146" s="119">
        <v>0.202571920034152</v>
      </c>
      <c r="AC146" s="119">
        <v>0.22291886877521</v>
      </c>
      <c r="AD146" s="119">
        <v>0.24250952719990301</v>
      </c>
      <c r="AE146" s="119">
        <v>0.26757534615439399</v>
      </c>
      <c r="AF146" s="119">
        <v>0.29091105088961799</v>
      </c>
      <c r="AG146" s="119">
        <v>0.31632649715561201</v>
      </c>
      <c r="AH146" s="119">
        <v>0.33441749079044403</v>
      </c>
      <c r="AI146" s="119">
        <v>0.351882424009412</v>
      </c>
      <c r="AJ146" s="119">
        <v>0.36939473521366101</v>
      </c>
      <c r="AK146" s="119">
        <v>0.38842449037861998</v>
      </c>
      <c r="AL146" s="119">
        <v>0.409190736065423</v>
      </c>
      <c r="AM146" s="119">
        <v>0.428289806769378</v>
      </c>
      <c r="AN146" s="119">
        <v>0.44148849113165001</v>
      </c>
      <c r="AO146" s="119">
        <v>0.452420323089055</v>
      </c>
      <c r="AP146" s="119">
        <v>0.46253935350869002</v>
      </c>
      <c r="AQ146" s="119">
        <v>0.47354997099212098</v>
      </c>
      <c r="AR146" s="119">
        <v>0.48569293247984902</v>
      </c>
      <c r="AS146" s="119">
        <v>0.494643930281563</v>
      </c>
      <c r="AT146" s="119">
        <v>0.50510002122328401</v>
      </c>
      <c r="AU146" s="119">
        <v>0.51091989754552602</v>
      </c>
      <c r="AV146" s="119">
        <v>0.51744730637084002</v>
      </c>
      <c r="AW146" s="119">
        <v>0.52750211168181504</v>
      </c>
      <c r="AX146" s="119">
        <v>0.53621627581502396</v>
      </c>
      <c r="AY146" s="119">
        <v>0.54428207593399403</v>
      </c>
      <c r="AZ146" s="119">
        <v>0.551790283550747</v>
      </c>
      <c r="BA146" s="119">
        <v>0.55848914706969599</v>
      </c>
      <c r="BB146" s="119">
        <v>0.56573386484129295</v>
      </c>
      <c r="BC146" s="119">
        <v>0.574403565413242</v>
      </c>
      <c r="BD146" s="119">
        <v>0.58104226286762595</v>
      </c>
      <c r="BE146" s="119">
        <v>0.58766849764754903</v>
      </c>
      <c r="BF146" s="119">
        <v>0.59501200490047601</v>
      </c>
      <c r="BG146" s="119">
        <v>0.600818057631338</v>
      </c>
      <c r="BH146" s="119">
        <v>0.60382724047720304</v>
      </c>
      <c r="BI146" s="119">
        <v>0.61086478436119795</v>
      </c>
      <c r="BJ146" s="119">
        <v>0.61778778246838995</v>
      </c>
      <c r="BK146" s="119">
        <v>0.61972132777655198</v>
      </c>
      <c r="BL146" s="119">
        <v>0.62538669804467695</v>
      </c>
    </row>
    <row r="147" spans="1:64" x14ac:dyDescent="0.25">
      <c r="A147" s="860" t="s">
        <v>244</v>
      </c>
      <c r="B147" s="1">
        <v>643</v>
      </c>
      <c r="C147" s="119">
        <v>0.5</v>
      </c>
      <c r="D147" s="119">
        <v>0.23242123676659099</v>
      </c>
      <c r="E147" s="119">
        <v>0.23779969642585</v>
      </c>
      <c r="F147" s="119">
        <v>0.24685070928784</v>
      </c>
      <c r="G147" s="119">
        <v>0.253838388833099</v>
      </c>
      <c r="H147" s="119">
        <v>0.26426276374345498</v>
      </c>
      <c r="I147" s="119">
        <v>0.27356404164232601</v>
      </c>
      <c r="J147" s="119">
        <v>0.28287465560974501</v>
      </c>
      <c r="K147" s="119">
        <v>0.29271716324951802</v>
      </c>
      <c r="L147" s="119">
        <v>0.30143043227934402</v>
      </c>
      <c r="M147" s="119">
        <v>0.31207873768769601</v>
      </c>
      <c r="N147" s="119">
        <v>0.32301544875493099</v>
      </c>
      <c r="O147" s="119">
        <v>0.33135698421016402</v>
      </c>
      <c r="P147" s="119">
        <v>0.34292801300300102</v>
      </c>
      <c r="Q147" s="119">
        <v>0.35130833968094299</v>
      </c>
      <c r="R147" s="119">
        <v>0.36016235670105001</v>
      </c>
      <c r="S147" s="119">
        <v>0.369237078715765</v>
      </c>
      <c r="T147" s="119">
        <v>0.38089384726988801</v>
      </c>
      <c r="U147" s="119">
        <v>0.38936192796886698</v>
      </c>
      <c r="V147" s="119">
        <v>0.40136367672991902</v>
      </c>
      <c r="W147" s="119">
        <v>0.41097424724644699</v>
      </c>
      <c r="X147" s="119">
        <v>0.41827181832079702</v>
      </c>
      <c r="Y147" s="119">
        <v>0.42486189922216</v>
      </c>
      <c r="Z147" s="119">
        <v>0.43091050939429998</v>
      </c>
      <c r="AA147" s="119">
        <v>0.44393892570785798</v>
      </c>
      <c r="AB147" s="119">
        <v>0.454543431503801</v>
      </c>
      <c r="AC147" s="119">
        <v>0.458782955633876</v>
      </c>
      <c r="AD147" s="119">
        <v>0.46381816923459701</v>
      </c>
      <c r="AE147" s="119">
        <v>0.46731976438112599</v>
      </c>
      <c r="AF147" s="119">
        <v>0.47298052959179299</v>
      </c>
      <c r="AG147" s="119">
        <v>0.477782737305191</v>
      </c>
      <c r="AH147" s="119">
        <v>0.48360640919790998</v>
      </c>
      <c r="AI147" s="119">
        <v>0.48960574318962102</v>
      </c>
      <c r="AJ147" s="119">
        <v>0.49910934670625801</v>
      </c>
      <c r="AK147" s="119">
        <v>0.50680712999320998</v>
      </c>
      <c r="AL147" s="119">
        <v>0.51090923560357104</v>
      </c>
      <c r="AM147" s="119">
        <v>0.51226284557607105</v>
      </c>
      <c r="AN147" s="119">
        <v>0.51523301726315196</v>
      </c>
      <c r="AO147" s="119">
        <v>0.51707647774772902</v>
      </c>
      <c r="AP147" s="119">
        <v>0.52002279123867201</v>
      </c>
      <c r="AQ147" s="119">
        <v>0.52392133669832597</v>
      </c>
      <c r="AR147" s="119">
        <v>0.52946491408366603</v>
      </c>
      <c r="AS147" s="119">
        <v>0.53429286193557002</v>
      </c>
      <c r="AT147" s="119">
        <v>0.53788209061122005</v>
      </c>
      <c r="AU147" s="119">
        <v>0.54178087230217897</v>
      </c>
      <c r="AV147" s="119">
        <v>0.54409508008582497</v>
      </c>
      <c r="AW147" s="119">
        <v>0.54922361754837401</v>
      </c>
      <c r="AX147" s="119">
        <v>0.55249948609671695</v>
      </c>
      <c r="AY147" s="119">
        <v>0.55609568459756997</v>
      </c>
      <c r="AZ147" s="119">
        <v>0.55880778909149897</v>
      </c>
      <c r="BA147" s="119">
        <v>0.56175860655952203</v>
      </c>
      <c r="BB147" s="119">
        <v>0.567696472065786</v>
      </c>
      <c r="BC147" s="119">
        <v>0.56873536177829598</v>
      </c>
      <c r="BD147" s="119">
        <v>0.57204554924939299</v>
      </c>
      <c r="BE147" s="119">
        <v>0.57441369415050902</v>
      </c>
      <c r="BF147" s="119">
        <v>0.57964806601991403</v>
      </c>
      <c r="BG147" s="119">
        <v>0.58464750043942504</v>
      </c>
      <c r="BH147" s="119">
        <v>0.58605188202443304</v>
      </c>
      <c r="BI147" s="119">
        <v>0.59293308534982403</v>
      </c>
      <c r="BJ147" s="119">
        <v>0.59663685816350398</v>
      </c>
      <c r="BK147" s="119">
        <v>0.59910012221488096</v>
      </c>
      <c r="BL147" s="119">
        <v>0.60062955565382303</v>
      </c>
    </row>
    <row r="148" spans="1:64" x14ac:dyDescent="0.25">
      <c r="A148" s="860" t="s">
        <v>58</v>
      </c>
      <c r="B148" s="1">
        <v>646</v>
      </c>
      <c r="C148" s="119">
        <v>0.5</v>
      </c>
      <c r="D148" s="119">
        <v>1.3315492647111499E-3</v>
      </c>
      <c r="E148" s="119">
        <v>1.5831602391095101E-3</v>
      </c>
      <c r="F148" s="119">
        <v>1.8536478747732299E-3</v>
      </c>
      <c r="G148" s="119">
        <v>2.2199249761008402E-3</v>
      </c>
      <c r="H148" s="119">
        <v>2.6493308270725E-3</v>
      </c>
      <c r="I148" s="119">
        <v>3.1248265288412302E-3</v>
      </c>
      <c r="J148" s="119">
        <v>3.6370691956891499E-3</v>
      </c>
      <c r="K148" s="119">
        <v>4.2536008297579999E-3</v>
      </c>
      <c r="L148" s="119">
        <v>5.0642694609126298E-3</v>
      </c>
      <c r="M148" s="119">
        <v>5.8948947970133298E-3</v>
      </c>
      <c r="N148" s="119">
        <v>6.9342791113852498E-3</v>
      </c>
      <c r="O148" s="119">
        <v>8.1791828508127606E-3</v>
      </c>
      <c r="P148" s="119">
        <v>9.6012608542192096E-3</v>
      </c>
      <c r="Q148" s="119">
        <v>1.1488088259737701E-2</v>
      </c>
      <c r="R148" s="119">
        <v>1.5636628278138599E-2</v>
      </c>
      <c r="S148" s="119">
        <v>2.1228125882668099E-2</v>
      </c>
      <c r="T148" s="119">
        <v>2.8152891006698998E-2</v>
      </c>
      <c r="U148" s="119">
        <v>3.7693838254729599E-2</v>
      </c>
      <c r="V148" s="119">
        <v>4.9270325291406E-2</v>
      </c>
      <c r="W148" s="119">
        <v>6.3499959834912204E-2</v>
      </c>
      <c r="X148" s="119">
        <v>8.0045692418297801E-2</v>
      </c>
      <c r="Y148" s="119">
        <v>9.67982601738583E-2</v>
      </c>
      <c r="Z148" s="119">
        <v>0.112491262117153</v>
      </c>
      <c r="AA148" s="119">
        <v>0.106291425314414</v>
      </c>
      <c r="AB148" s="119">
        <v>9.6477976304534099E-2</v>
      </c>
      <c r="AC148" s="119">
        <v>8.6825336052141794E-2</v>
      </c>
      <c r="AD148" s="119">
        <v>7.8122367728515399E-2</v>
      </c>
      <c r="AE148" s="119">
        <v>7.2531747891629805E-2</v>
      </c>
      <c r="AF148" s="119">
        <v>6.7075079352598793E-2</v>
      </c>
      <c r="AG148" s="119">
        <v>6.35561879295337E-2</v>
      </c>
      <c r="AH148" s="119">
        <v>6.1235650131071899E-2</v>
      </c>
      <c r="AI148" s="119">
        <v>6.5601148622657507E-2</v>
      </c>
      <c r="AJ148" s="119">
        <v>7.1498774595596296E-2</v>
      </c>
      <c r="AK148" s="119">
        <v>7.9647763920781697E-2</v>
      </c>
      <c r="AL148" s="119">
        <v>9.1118760416703207E-2</v>
      </c>
      <c r="AM148" s="119">
        <v>0.107536079577154</v>
      </c>
      <c r="AN148" s="119">
        <v>0.14800400747510201</v>
      </c>
      <c r="AO148" s="119">
        <v>0.20331829010243799</v>
      </c>
      <c r="AP148" s="119">
        <v>0.27202328278773102</v>
      </c>
      <c r="AQ148" s="119">
        <v>0.34857303337868101</v>
      </c>
      <c r="AR148" s="119">
        <v>0.416768883549609</v>
      </c>
      <c r="AS148" s="119">
        <v>0.44469165664138099</v>
      </c>
      <c r="AT148" s="119">
        <v>0.45887605445921897</v>
      </c>
      <c r="AU148" s="119">
        <v>0.46568085662772701</v>
      </c>
      <c r="AV148" s="119">
        <v>0.47090134569025199</v>
      </c>
      <c r="AW148" s="119">
        <v>0.47817591471175802</v>
      </c>
      <c r="AX148" s="119">
        <v>0.49296292792546198</v>
      </c>
      <c r="AY148" s="119">
        <v>0.51202239650777004</v>
      </c>
      <c r="AZ148" s="119">
        <v>0.53224678094013</v>
      </c>
      <c r="BA148" s="119">
        <v>0.55211410130792005</v>
      </c>
      <c r="BB148" s="119">
        <v>0.56907758747977999</v>
      </c>
      <c r="BC148" s="119">
        <v>0.58190012073754904</v>
      </c>
      <c r="BD148" s="119">
        <v>0.59335332417483999</v>
      </c>
      <c r="BE148" s="119">
        <v>0.60221732135662598</v>
      </c>
      <c r="BF148" s="119">
        <v>0.61013024186528297</v>
      </c>
      <c r="BG148" s="119">
        <v>0.616548078896902</v>
      </c>
      <c r="BH148" s="119">
        <v>0.624623906781821</v>
      </c>
      <c r="BI148" s="119">
        <v>0.63441275022405297</v>
      </c>
      <c r="BJ148" s="119">
        <v>0.63857706768197597</v>
      </c>
      <c r="BK148" s="119">
        <v>0.64546407098776604</v>
      </c>
      <c r="BL148" s="119">
        <v>0.65019399231821695</v>
      </c>
    </row>
    <row r="149" spans="1:64" x14ac:dyDescent="0.25">
      <c r="A149" s="860" t="s">
        <v>245</v>
      </c>
      <c r="B149" s="1">
        <v>659</v>
      </c>
      <c r="C149" s="119">
        <v>0.5</v>
      </c>
      <c r="D149" s="119">
        <v>0.24662394408376101</v>
      </c>
      <c r="E149" s="119">
        <v>0.25466680933758901</v>
      </c>
      <c r="F149" s="119">
        <v>0.26093656475219201</v>
      </c>
      <c r="G149" s="119">
        <v>0.27131761026550599</v>
      </c>
      <c r="H149" s="119">
        <v>0.27624341904959399</v>
      </c>
      <c r="I149" s="119">
        <v>0.28480043466143401</v>
      </c>
      <c r="J149" s="119">
        <v>0.29363408576752598</v>
      </c>
      <c r="K149" s="119">
        <v>0.30211650310605997</v>
      </c>
      <c r="L149" s="119">
        <v>0.31148673567994301</v>
      </c>
      <c r="M149" s="119">
        <v>0.32127035662167103</v>
      </c>
      <c r="N149" s="119">
        <v>0.32826314672920998</v>
      </c>
      <c r="O149" s="119">
        <v>0.33554149054683902</v>
      </c>
      <c r="P149" s="119">
        <v>0.34517069373977599</v>
      </c>
      <c r="Q149" s="119">
        <v>0.35430185651436702</v>
      </c>
      <c r="R149" s="119">
        <v>0.36339513683151198</v>
      </c>
      <c r="S149" s="119">
        <v>0.37047893632487799</v>
      </c>
      <c r="T149" s="119">
        <v>0.37951542862042997</v>
      </c>
      <c r="U149" s="119">
        <v>0.38852528610262299</v>
      </c>
      <c r="V149" s="119">
        <v>0.39786760529477</v>
      </c>
      <c r="W149" s="119">
        <v>0.40821970524942203</v>
      </c>
      <c r="X149" s="119">
        <v>0.41562711973181099</v>
      </c>
      <c r="Y149" s="119">
        <v>0.42405521864538198</v>
      </c>
      <c r="Z149" s="119">
        <v>0.43187173785340499</v>
      </c>
      <c r="AA149" s="119">
        <v>0.43983675807772499</v>
      </c>
      <c r="AB149" s="119">
        <v>0.44619826511592398</v>
      </c>
      <c r="AC149" s="119">
        <v>0.45095449497479101</v>
      </c>
      <c r="AD149" s="119">
        <v>0.45631635822245298</v>
      </c>
      <c r="AE149" s="119">
        <v>0.46354549664134898</v>
      </c>
      <c r="AF149" s="119">
        <v>0.47049830002804099</v>
      </c>
      <c r="AG149" s="119">
        <v>0.47447411021824898</v>
      </c>
      <c r="AH149" s="119">
        <v>0.480562590912266</v>
      </c>
      <c r="AI149" s="119">
        <v>0.48831642589754298</v>
      </c>
      <c r="AJ149" s="119">
        <v>0.49611615027160699</v>
      </c>
      <c r="AK149" s="119">
        <v>0.50182329288331595</v>
      </c>
      <c r="AL149" s="119">
        <v>0.50950881705201601</v>
      </c>
      <c r="AM149" s="119">
        <v>0.517380295469963</v>
      </c>
      <c r="AN149" s="119">
        <v>0.52337119012165001</v>
      </c>
      <c r="AO149" s="119">
        <v>0.53071904105775802</v>
      </c>
      <c r="AP149" s="119">
        <v>0.53288719645997196</v>
      </c>
      <c r="AQ149" s="119">
        <v>0.53996452484332003</v>
      </c>
      <c r="AR149" s="119">
        <v>0.54459330377177795</v>
      </c>
      <c r="AS149" s="119">
        <v>0.54935177577897598</v>
      </c>
      <c r="AT149" s="119">
        <v>0.55525921985521798</v>
      </c>
      <c r="AU149" s="119">
        <v>0.55871447591557399</v>
      </c>
      <c r="AV149" s="119">
        <v>0.56220973408563601</v>
      </c>
      <c r="AW149" s="119">
        <v>0.56566774336983905</v>
      </c>
      <c r="AX149" s="119">
        <v>0.56642165546100198</v>
      </c>
      <c r="AY149" s="119">
        <v>0.57084856788109395</v>
      </c>
      <c r="AZ149" s="119">
        <v>0.57476410274647405</v>
      </c>
      <c r="BA149" s="119">
        <v>0.58119592696564404</v>
      </c>
      <c r="BB149" s="119">
        <v>0.58432278332354004</v>
      </c>
      <c r="BC149" s="119">
        <v>0.58974443836417301</v>
      </c>
      <c r="BD149" s="119">
        <v>0.59383266035266402</v>
      </c>
      <c r="BE149" s="119">
        <v>0.59630115148837104</v>
      </c>
      <c r="BF149" s="119">
        <v>0.59874534126127599</v>
      </c>
      <c r="BG149" s="119">
        <v>0.60379682278350399</v>
      </c>
      <c r="BH149" s="119">
        <v>0.60771648678885404</v>
      </c>
      <c r="BI149" s="119">
        <v>0.60905590040249202</v>
      </c>
      <c r="BJ149" s="119">
        <v>0.61191729799454397</v>
      </c>
      <c r="BK149" s="119">
        <v>0.61404943082595698</v>
      </c>
      <c r="BL149" s="119">
        <v>0.61643204999118395</v>
      </c>
    </row>
    <row r="150" spans="1:64" x14ac:dyDescent="0.25">
      <c r="A150" s="860" t="s">
        <v>246</v>
      </c>
      <c r="B150" s="1">
        <v>662</v>
      </c>
      <c r="C150" s="119">
        <v>0.5</v>
      </c>
      <c r="D150" s="119">
        <v>0.34410695564906002</v>
      </c>
      <c r="E150" s="119">
        <v>0.35086827432422402</v>
      </c>
      <c r="F150" s="119">
        <v>0.35769945505023498</v>
      </c>
      <c r="G150" s="119">
        <v>0.36400514008255103</v>
      </c>
      <c r="H150" s="119">
        <v>0.373614866175555</v>
      </c>
      <c r="I150" s="119">
        <v>0.38003477557480903</v>
      </c>
      <c r="J150" s="119">
        <v>0.38920585086683601</v>
      </c>
      <c r="K150" s="119">
        <v>0.395617618088415</v>
      </c>
      <c r="L150" s="119">
        <v>0.40281936738243301</v>
      </c>
      <c r="M150" s="119">
        <v>0.408361701203037</v>
      </c>
      <c r="N150" s="119">
        <v>0.41505231734659798</v>
      </c>
      <c r="O150" s="119">
        <v>0.42107046290338601</v>
      </c>
      <c r="P150" s="119">
        <v>0.42383819709267501</v>
      </c>
      <c r="Q150" s="119">
        <v>0.42546629748071402</v>
      </c>
      <c r="R150" s="119">
        <v>0.42703748990239998</v>
      </c>
      <c r="S150" s="119">
        <v>0.42890846628420398</v>
      </c>
      <c r="T150" s="119">
        <v>0.43082289224411002</v>
      </c>
      <c r="U150" s="119">
        <v>0.433180218686187</v>
      </c>
      <c r="V150" s="119">
        <v>0.43446920392437699</v>
      </c>
      <c r="W150" s="119">
        <v>0.439077401272922</v>
      </c>
      <c r="X150" s="119">
        <v>0.44474845071726099</v>
      </c>
      <c r="Y150" s="119">
        <v>0.450018009696869</v>
      </c>
      <c r="Z150" s="119">
        <v>0.45426054410104999</v>
      </c>
      <c r="AA150" s="119">
        <v>0.46134706076348397</v>
      </c>
      <c r="AB150" s="119">
        <v>0.46386936730350797</v>
      </c>
      <c r="AC150" s="119">
        <v>0.47011854717928803</v>
      </c>
      <c r="AD150" s="119">
        <v>0.47889180197944903</v>
      </c>
      <c r="AE150" s="119">
        <v>0.48170450272999998</v>
      </c>
      <c r="AF150" s="119">
        <v>0.48808203269919498</v>
      </c>
      <c r="AG150" s="119">
        <v>0.49418471588671098</v>
      </c>
      <c r="AH150" s="119">
        <v>0.496492845668911</v>
      </c>
      <c r="AI150" s="119">
        <v>0.50071818523881895</v>
      </c>
      <c r="AJ150" s="119">
        <v>0.50426001441717805</v>
      </c>
      <c r="AK150" s="119">
        <v>0.50811401042486504</v>
      </c>
      <c r="AL150" s="119">
        <v>0.508848710052207</v>
      </c>
      <c r="AM150" s="119">
        <v>0.51150612617566105</v>
      </c>
      <c r="AN150" s="119">
        <v>0.51669080591996996</v>
      </c>
      <c r="AO150" s="119">
        <v>0.51903463510901904</v>
      </c>
      <c r="AP150" s="119">
        <v>0.52299405751577999</v>
      </c>
      <c r="AQ150" s="119">
        <v>0.52647493820117197</v>
      </c>
      <c r="AR150" s="119">
        <v>0.52970428179694096</v>
      </c>
      <c r="AS150" s="119">
        <v>0.53370830131827895</v>
      </c>
      <c r="AT150" s="119">
        <v>0.53846933228070004</v>
      </c>
      <c r="AU150" s="119">
        <v>0.541460687874602</v>
      </c>
      <c r="AV150" s="119">
        <v>0.54408659627945199</v>
      </c>
      <c r="AW150" s="119">
        <v>0.54782882717556403</v>
      </c>
      <c r="AX150" s="119">
        <v>0.55364400464103403</v>
      </c>
      <c r="AY150" s="119">
        <v>0.55575473758845595</v>
      </c>
      <c r="AZ150" s="119">
        <v>0.55779046816770395</v>
      </c>
      <c r="BA150" s="119">
        <v>0.56112228350460902</v>
      </c>
      <c r="BB150" s="119">
        <v>0.56518017285447597</v>
      </c>
      <c r="BC150" s="119">
        <v>0.56685188040660595</v>
      </c>
      <c r="BD150" s="119">
        <v>0.57101246471032896</v>
      </c>
      <c r="BE150" s="119">
        <v>0.57326629189400702</v>
      </c>
      <c r="BF150" s="119">
        <v>0.576253749895689</v>
      </c>
      <c r="BG150" s="119">
        <v>0.57760670557634197</v>
      </c>
      <c r="BH150" s="119">
        <v>0.57976403117453301</v>
      </c>
      <c r="BI150" s="119">
        <v>0.58198562136393805</v>
      </c>
      <c r="BJ150" s="119">
        <v>0.58245954064829397</v>
      </c>
      <c r="BK150" s="119">
        <v>0.585427959077229</v>
      </c>
      <c r="BL150" s="119">
        <v>0.58958919961656997</v>
      </c>
    </row>
    <row r="151" spans="1:64" x14ac:dyDescent="0.25">
      <c r="A151" s="860" t="s">
        <v>247</v>
      </c>
      <c r="B151" s="1">
        <v>670</v>
      </c>
      <c r="C151" s="119">
        <v>0.5</v>
      </c>
      <c r="D151" s="119">
        <v>0.39459893108268901</v>
      </c>
      <c r="E151" s="119">
        <v>0.40194807796371101</v>
      </c>
      <c r="F151" s="119">
        <v>0.410506272740364</v>
      </c>
      <c r="G151" s="119">
        <v>0.41735965051180701</v>
      </c>
      <c r="H151" s="119">
        <v>0.42658882020778699</v>
      </c>
      <c r="I151" s="119">
        <v>0.43408183364087299</v>
      </c>
      <c r="J151" s="119">
        <v>0.44193697611104599</v>
      </c>
      <c r="K151" s="119">
        <v>0.44896530378727101</v>
      </c>
      <c r="L151" s="119">
        <v>0.45694487190225302</v>
      </c>
      <c r="M151" s="119">
        <v>0.46545886166110501</v>
      </c>
      <c r="N151" s="119">
        <v>0.47253365568620198</v>
      </c>
      <c r="O151" s="119">
        <v>0.482691051075817</v>
      </c>
      <c r="P151" s="119">
        <v>0.48878987262115697</v>
      </c>
      <c r="Q151" s="119">
        <v>0.49450628816769698</v>
      </c>
      <c r="R151" s="119">
        <v>0.50276929489164601</v>
      </c>
      <c r="S151" s="119">
        <v>0.50908244884530696</v>
      </c>
      <c r="T151" s="119">
        <v>0.51967215772953901</v>
      </c>
      <c r="U151" s="119">
        <v>0.52571611803144902</v>
      </c>
      <c r="V151" s="119">
        <v>0.53108015458098301</v>
      </c>
      <c r="W151" s="119">
        <v>0.53718163927672502</v>
      </c>
      <c r="X151" s="119">
        <v>0.54131503596247899</v>
      </c>
      <c r="Y151" s="119">
        <v>0.54716899769413196</v>
      </c>
      <c r="Z151" s="119">
        <v>0.55281965805273803</v>
      </c>
      <c r="AA151" s="119">
        <v>0.55702915514280205</v>
      </c>
      <c r="AB151" s="119">
        <v>0.56023118437458197</v>
      </c>
      <c r="AC151" s="119">
        <v>0.56459448214614205</v>
      </c>
      <c r="AD151" s="119">
        <v>0.56835374387186699</v>
      </c>
      <c r="AE151" s="119">
        <v>0.57478493959288601</v>
      </c>
      <c r="AF151" s="119">
        <v>0.57710547064850704</v>
      </c>
      <c r="AG151" s="119">
        <v>0.58262356725735898</v>
      </c>
      <c r="AH151" s="119">
        <v>0.58601728816899501</v>
      </c>
      <c r="AI151" s="119">
        <v>0.58788535844669199</v>
      </c>
      <c r="AJ151" s="119">
        <v>0.59048490714522595</v>
      </c>
      <c r="AK151" s="119">
        <v>0.59569442532901695</v>
      </c>
      <c r="AL151" s="119">
        <v>0.59938054380239403</v>
      </c>
      <c r="AM151" s="119">
        <v>0.60106348569560397</v>
      </c>
      <c r="AN151" s="119">
        <v>0.60489143080321395</v>
      </c>
      <c r="AO151" s="119">
        <v>0.60936395984334502</v>
      </c>
      <c r="AP151" s="119">
        <v>0.61090684238222503</v>
      </c>
      <c r="AQ151" s="119">
        <v>0.61522561617954497</v>
      </c>
      <c r="AR151" s="119">
        <v>0.61704682963147595</v>
      </c>
      <c r="AS151" s="119">
        <v>0.62017600476859802</v>
      </c>
      <c r="AT151" s="119">
        <v>0.62537754319567596</v>
      </c>
      <c r="AU151" s="119">
        <v>0.62742736215114703</v>
      </c>
      <c r="AV151" s="119">
        <v>0.62781048666501904</v>
      </c>
      <c r="AW151" s="119">
        <v>0.63096625948089402</v>
      </c>
      <c r="AX151" s="119">
        <v>0.63489434782003695</v>
      </c>
      <c r="AY151" s="119">
        <v>0.63874596067382905</v>
      </c>
      <c r="AZ151" s="119">
        <v>0.64007198456075698</v>
      </c>
      <c r="BA151" s="119">
        <v>0.64201102329149395</v>
      </c>
      <c r="BB151" s="119">
        <v>0.64538866694345798</v>
      </c>
      <c r="BC151" s="119">
        <v>0.64513775598863998</v>
      </c>
      <c r="BD151" s="119">
        <v>0.64863751410040404</v>
      </c>
      <c r="BE151" s="119">
        <v>0.64974247043778299</v>
      </c>
      <c r="BF151" s="119">
        <v>0.65345267046642697</v>
      </c>
      <c r="BG151" s="119">
        <v>0.65782557712664302</v>
      </c>
      <c r="BH151" s="119">
        <v>0.65699746155656902</v>
      </c>
      <c r="BI151" s="119">
        <v>0.65843818911753105</v>
      </c>
      <c r="BJ151" s="119">
        <v>0.66197721092377904</v>
      </c>
      <c r="BK151" s="119">
        <v>0.66485285872121103</v>
      </c>
      <c r="BL151" s="119">
        <v>0.66543253391933199</v>
      </c>
    </row>
    <row r="152" spans="1:64" x14ac:dyDescent="0.25">
      <c r="A152" s="860" t="s">
        <v>249</v>
      </c>
      <c r="B152" s="1">
        <v>882</v>
      </c>
      <c r="C152" s="119">
        <v>0.5</v>
      </c>
      <c r="D152" s="119">
        <v>0.162213748486979</v>
      </c>
      <c r="E152" s="119">
        <v>0.16543047272175801</v>
      </c>
      <c r="F152" s="119">
        <v>0.16813023455708001</v>
      </c>
      <c r="G152" s="119">
        <v>0.169279445635901</v>
      </c>
      <c r="H152" s="119">
        <v>0.173466480086235</v>
      </c>
      <c r="I152" s="119">
        <v>0.175119946368642</v>
      </c>
      <c r="J152" s="119">
        <v>0.17728007601884799</v>
      </c>
      <c r="K152" s="119">
        <v>0.179995051207164</v>
      </c>
      <c r="L152" s="119">
        <v>0.18426909148392301</v>
      </c>
      <c r="M152" s="119">
        <v>0.18695450451211401</v>
      </c>
      <c r="N152" s="119">
        <v>0.19037807143108201</v>
      </c>
      <c r="O152" s="119">
        <v>0.191732874134767</v>
      </c>
      <c r="P152" s="119">
        <v>0.19544354104674599</v>
      </c>
      <c r="Q152" s="119">
        <v>0.198186824210067</v>
      </c>
      <c r="R152" s="119">
        <v>0.20255449974801201</v>
      </c>
      <c r="S152" s="119">
        <v>0.205593611536601</v>
      </c>
      <c r="T152" s="119">
        <v>0.208590354325487</v>
      </c>
      <c r="U152" s="119">
        <v>0.21081199989559801</v>
      </c>
      <c r="V152" s="119">
        <v>0.21530333828536</v>
      </c>
      <c r="W152" s="119">
        <v>0.21681500991570399</v>
      </c>
      <c r="X152" s="119">
        <v>0.22006006674485901</v>
      </c>
      <c r="Y152" s="119">
        <v>0.22225077691040501</v>
      </c>
      <c r="Z152" s="119">
        <v>0.224836654223427</v>
      </c>
      <c r="AA152" s="119">
        <v>0.226812451879326</v>
      </c>
      <c r="AB152" s="119">
        <v>0.22833373137981799</v>
      </c>
      <c r="AC152" s="119">
        <v>0.228065112959493</v>
      </c>
      <c r="AD152" s="119">
        <v>0.22903818604322801</v>
      </c>
      <c r="AE152" s="119">
        <v>0.23262804077850099</v>
      </c>
      <c r="AF152" s="119">
        <v>0.23381417559305701</v>
      </c>
      <c r="AG152" s="119">
        <v>0.23700251092053901</v>
      </c>
      <c r="AH152" s="119">
        <v>0.23892541504537801</v>
      </c>
      <c r="AI152" s="119">
        <v>0.24197804883236301</v>
      </c>
      <c r="AJ152" s="119">
        <v>0.245586549513027</v>
      </c>
      <c r="AK152" s="119">
        <v>0.24926131667184101</v>
      </c>
      <c r="AL152" s="119">
        <v>0.25257483578582302</v>
      </c>
      <c r="AM152" s="119">
        <v>0.25640883939553399</v>
      </c>
      <c r="AN152" s="119">
        <v>0.25947741819563402</v>
      </c>
      <c r="AO152" s="119">
        <v>0.261975911577562</v>
      </c>
      <c r="AP152" s="119">
        <v>0.26415780421634499</v>
      </c>
      <c r="AQ152" s="119">
        <v>0.26468066482174502</v>
      </c>
      <c r="AR152" s="119">
        <v>0.26140196301845398</v>
      </c>
      <c r="AS152" s="119">
        <v>0.257530721577726</v>
      </c>
      <c r="AT152" s="119">
        <v>0.25199505601650102</v>
      </c>
      <c r="AU152" s="119">
        <v>0.24634520687681499</v>
      </c>
      <c r="AV152" s="119">
        <v>0.237883054478709</v>
      </c>
      <c r="AW152" s="119">
        <v>0.22870569641366201</v>
      </c>
      <c r="AX152" s="119">
        <v>0.22053932903716</v>
      </c>
      <c r="AY152" s="119">
        <v>0.21182509178102399</v>
      </c>
      <c r="AZ152" s="119">
        <v>0.204814768435573</v>
      </c>
      <c r="BA152" s="119">
        <v>0.19984242331246299</v>
      </c>
      <c r="BB152" s="119">
        <v>0.19743481502730501</v>
      </c>
      <c r="BC152" s="119">
        <v>0.19670601308507801</v>
      </c>
      <c r="BD152" s="119">
        <v>0.19875943756305001</v>
      </c>
      <c r="BE152" s="119">
        <v>0.19974148746343801</v>
      </c>
      <c r="BF152" s="119">
        <v>0.20194313233914199</v>
      </c>
      <c r="BG152" s="119">
        <v>0.20409173294083099</v>
      </c>
      <c r="BH152" s="119">
        <v>0.20783869167671601</v>
      </c>
      <c r="BI152" s="119">
        <v>0.209303838532478</v>
      </c>
      <c r="BJ152" s="119">
        <v>0.21084828381029</v>
      </c>
      <c r="BK152" s="119">
        <v>0.212701979991894</v>
      </c>
      <c r="BL152" s="119">
        <v>0.21488211700373</v>
      </c>
    </row>
    <row r="153" spans="1:64" x14ac:dyDescent="0.25">
      <c r="A153" s="860" t="s">
        <v>59</v>
      </c>
      <c r="B153" s="1">
        <v>678</v>
      </c>
      <c r="C153" s="119">
        <v>0.5</v>
      </c>
      <c r="D153" s="119">
        <v>3.5445651356889298E-2</v>
      </c>
      <c r="E153" s="119">
        <v>3.84715895490471E-2</v>
      </c>
      <c r="F153" s="119">
        <v>4.2444587092302401E-2</v>
      </c>
      <c r="G153" s="119">
        <v>4.5452502234685797E-2</v>
      </c>
      <c r="H153" s="119">
        <v>4.9327197550059598E-2</v>
      </c>
      <c r="I153" s="119">
        <v>5.3936106060523403E-2</v>
      </c>
      <c r="J153" s="119">
        <v>5.8299007861708399E-2</v>
      </c>
      <c r="K153" s="119">
        <v>6.2410708592849903E-2</v>
      </c>
      <c r="L153" s="119">
        <v>6.7897564927961299E-2</v>
      </c>
      <c r="M153" s="119">
        <v>7.2468086991495706E-2</v>
      </c>
      <c r="N153" s="119">
        <v>7.7655097016718702E-2</v>
      </c>
      <c r="O153" s="119">
        <v>8.2313382373936095E-2</v>
      </c>
      <c r="P153" s="119">
        <v>8.8711775698555095E-2</v>
      </c>
      <c r="Q153" s="119">
        <v>9.5100690103325405E-2</v>
      </c>
      <c r="R153" s="119">
        <v>0.101556387526788</v>
      </c>
      <c r="S153" s="119">
        <v>0.107697514199352</v>
      </c>
      <c r="T153" s="119">
        <v>0.114419563616425</v>
      </c>
      <c r="U153" s="119">
        <v>0.12110114862351599</v>
      </c>
      <c r="V153" s="119">
        <v>0.127516963520867</v>
      </c>
      <c r="W153" s="119">
        <v>0.134597049326459</v>
      </c>
      <c r="X153" s="119">
        <v>0.14332200333133199</v>
      </c>
      <c r="Y153" s="119">
        <v>0.15241004873080499</v>
      </c>
      <c r="Z153" s="119">
        <v>0.161167802898292</v>
      </c>
      <c r="AA153" s="119">
        <v>0.172064733408719</v>
      </c>
      <c r="AB153" s="119">
        <v>0.18224989372960501</v>
      </c>
      <c r="AC153" s="119">
        <v>0.19269084204283299</v>
      </c>
      <c r="AD153" s="119">
        <v>0.20238895470110799</v>
      </c>
      <c r="AE153" s="119">
        <v>0.21454958106321201</v>
      </c>
      <c r="AF153" s="119">
        <v>0.22485524997849099</v>
      </c>
      <c r="AG153" s="119">
        <v>0.23586029555882301</v>
      </c>
      <c r="AH153" s="119">
        <v>0.24720306104779999</v>
      </c>
      <c r="AI153" s="119">
        <v>0.25674596786749398</v>
      </c>
      <c r="AJ153" s="119">
        <v>0.26525050516911203</v>
      </c>
      <c r="AK153" s="119">
        <v>0.27527435096088998</v>
      </c>
      <c r="AL153" s="119">
        <v>0.28587821280491699</v>
      </c>
      <c r="AM153" s="119">
        <v>0.296925933656912</v>
      </c>
      <c r="AN153" s="119">
        <v>0.30825158301045802</v>
      </c>
      <c r="AO153" s="119">
        <v>0.32132080592572299</v>
      </c>
      <c r="AP153" s="119">
        <v>0.333540301009981</v>
      </c>
      <c r="AQ153" s="119">
        <v>0.343687548701405</v>
      </c>
      <c r="AR153" s="119">
        <v>0.352517653073538</v>
      </c>
      <c r="AS153" s="119">
        <v>0.36247384461804</v>
      </c>
      <c r="AT153" s="119">
        <v>0.371577379170064</v>
      </c>
      <c r="AU153" s="119">
        <v>0.38123354183639702</v>
      </c>
      <c r="AV153" s="119">
        <v>0.390676307440042</v>
      </c>
      <c r="AW153" s="119">
        <v>0.40134021253975799</v>
      </c>
      <c r="AX153" s="119">
        <v>0.41217372804547298</v>
      </c>
      <c r="AY153" s="119">
        <v>0.421723316224487</v>
      </c>
      <c r="AZ153" s="119">
        <v>0.43385079973601298</v>
      </c>
      <c r="BA153" s="119">
        <v>0.44358874353395</v>
      </c>
      <c r="BB153" s="119">
        <v>0.45310855758302598</v>
      </c>
      <c r="BC153" s="119">
        <v>0.46171715242364803</v>
      </c>
      <c r="BD153" s="119">
        <v>0.46624891676158098</v>
      </c>
      <c r="BE153" s="119">
        <v>0.47459320277342498</v>
      </c>
      <c r="BF153" s="119">
        <v>0.48050137856311398</v>
      </c>
      <c r="BG153" s="119">
        <v>0.48685197765538601</v>
      </c>
      <c r="BH153" s="119">
        <v>0.492327281010352</v>
      </c>
      <c r="BI153" s="119">
        <v>0.49642071376156699</v>
      </c>
      <c r="BJ153" s="119">
        <v>0.50009977116718796</v>
      </c>
      <c r="BK153" s="119">
        <v>0.50661251635461402</v>
      </c>
      <c r="BL153" s="119">
        <v>0.51128091583510604</v>
      </c>
    </row>
    <row r="154" spans="1:64" x14ac:dyDescent="0.25">
      <c r="A154" s="860" t="s">
        <v>251</v>
      </c>
      <c r="B154" s="1">
        <v>682</v>
      </c>
      <c r="C154" s="119">
        <v>0.5</v>
      </c>
      <c r="D154" s="119">
        <v>8.4396170630942E-2</v>
      </c>
      <c r="E154" s="119">
        <v>8.7679909115676399E-2</v>
      </c>
      <c r="F154" s="119">
        <v>9.1712657487998395E-2</v>
      </c>
      <c r="G154" s="119">
        <v>9.6626225372440602E-2</v>
      </c>
      <c r="H154" s="119">
        <v>0.10018795588149899</v>
      </c>
      <c r="I154" s="119">
        <v>0.103986754994079</v>
      </c>
      <c r="J154" s="119">
        <v>0.109886111664658</v>
      </c>
      <c r="K154" s="119">
        <v>0.115224043743892</v>
      </c>
      <c r="L154" s="119">
        <v>0.119470644974517</v>
      </c>
      <c r="M154" s="119">
        <v>0.12603966729750099</v>
      </c>
      <c r="N154" s="119">
        <v>0.13074454511356501</v>
      </c>
      <c r="O154" s="119">
        <v>0.13664803554208799</v>
      </c>
      <c r="P154" s="119">
        <v>0.143217841970881</v>
      </c>
      <c r="Q154" s="119">
        <v>0.150182893391964</v>
      </c>
      <c r="R154" s="119">
        <v>0.15614111437724301</v>
      </c>
      <c r="S154" s="119">
        <v>0.161569246463972</v>
      </c>
      <c r="T154" s="119">
        <v>0.16717761527234701</v>
      </c>
      <c r="U154" s="119">
        <v>0.17494087660938801</v>
      </c>
      <c r="V154" s="119">
        <v>0.181643078339946</v>
      </c>
      <c r="W154" s="119">
        <v>0.18854991647136199</v>
      </c>
      <c r="X154" s="119">
        <v>0.19405247528473599</v>
      </c>
      <c r="Y154" s="119">
        <v>0.199618844139305</v>
      </c>
      <c r="Z154" s="119">
        <v>0.20531017444980501</v>
      </c>
      <c r="AA154" s="119">
        <v>0.20972645987049901</v>
      </c>
      <c r="AB154" s="119">
        <v>0.21368910764934099</v>
      </c>
      <c r="AC154" s="119">
        <v>0.21671826712345299</v>
      </c>
      <c r="AD154" s="119">
        <v>0.21734557250741501</v>
      </c>
      <c r="AE154" s="119">
        <v>0.21207146069261101</v>
      </c>
      <c r="AF154" s="119">
        <v>0.20692137627416601</v>
      </c>
      <c r="AG154" s="119">
        <v>0.201005349973645</v>
      </c>
      <c r="AH154" s="119">
        <v>0.200377515177173</v>
      </c>
      <c r="AI154" s="119">
        <v>0.198808978677046</v>
      </c>
      <c r="AJ154" s="119">
        <v>0.19971644338799999</v>
      </c>
      <c r="AK154" s="119">
        <v>0.200466364315812</v>
      </c>
      <c r="AL154" s="119">
        <v>0.20210512667328501</v>
      </c>
      <c r="AM154" s="119">
        <v>0.203212393396485</v>
      </c>
      <c r="AN154" s="119">
        <v>0.20356130470474401</v>
      </c>
      <c r="AO154" s="119">
        <v>0.20397099620394701</v>
      </c>
      <c r="AP154" s="119">
        <v>0.20568893186951601</v>
      </c>
      <c r="AQ154" s="119">
        <v>0.206560187150789</v>
      </c>
      <c r="AR154" s="119">
        <v>0.20702902614701901</v>
      </c>
      <c r="AS154" s="119">
        <v>0.20811148766899101</v>
      </c>
      <c r="AT154" s="119">
        <v>0.21012250876361199</v>
      </c>
      <c r="AU154" s="119">
        <v>0.21256390465222699</v>
      </c>
      <c r="AV154" s="119">
        <v>0.215358488976683</v>
      </c>
      <c r="AW154" s="119">
        <v>0.21690531510163999</v>
      </c>
      <c r="AX154" s="119">
        <v>0.21951047101215501</v>
      </c>
      <c r="AY154" s="119">
        <v>0.226367255025234</v>
      </c>
      <c r="AZ154" s="119">
        <v>0.23326885346411999</v>
      </c>
      <c r="BA154" s="119">
        <v>0.24107887164772401</v>
      </c>
      <c r="BB154" s="119">
        <v>0.24810895593724699</v>
      </c>
      <c r="BC154" s="119">
        <v>0.25392328946642301</v>
      </c>
      <c r="BD154" s="119">
        <v>0.26080662399393201</v>
      </c>
      <c r="BE154" s="119">
        <v>0.26656391398121798</v>
      </c>
      <c r="BF154" s="119">
        <v>0.27275970342757999</v>
      </c>
      <c r="BG154" s="119">
        <v>0.27797548423372198</v>
      </c>
      <c r="BH154" s="119">
        <v>0.284427212741302</v>
      </c>
      <c r="BI154" s="119">
        <v>0.28951945319144201</v>
      </c>
      <c r="BJ154" s="119">
        <v>0.29513541789374897</v>
      </c>
      <c r="BK154" s="119">
        <v>0.30021618739157402</v>
      </c>
      <c r="BL154" s="119">
        <v>0.30841905472039799</v>
      </c>
    </row>
    <row r="155" spans="1:64" x14ac:dyDescent="0.25">
      <c r="A155" s="860" t="s">
        <v>60</v>
      </c>
      <c r="B155" s="1">
        <v>686</v>
      </c>
      <c r="C155" s="119">
        <v>0.5</v>
      </c>
      <c r="D155" s="119">
        <v>2.0672116151051801E-3</v>
      </c>
      <c r="E155" s="119">
        <v>2.3743830257136902E-3</v>
      </c>
      <c r="F155" s="119">
        <v>2.7242449912198998E-3</v>
      </c>
      <c r="G155" s="119">
        <v>3.1411880959621601E-3</v>
      </c>
      <c r="H155" s="119">
        <v>3.6574342325156601E-3</v>
      </c>
      <c r="I155" s="119">
        <v>4.2202947877449902E-3</v>
      </c>
      <c r="J155" s="119">
        <v>4.8744335867333998E-3</v>
      </c>
      <c r="K155" s="119">
        <v>5.5896111128581E-3</v>
      </c>
      <c r="L155" s="119">
        <v>6.3655973073758303E-3</v>
      </c>
      <c r="M155" s="119">
        <v>7.6288108003560997E-3</v>
      </c>
      <c r="N155" s="119">
        <v>9.0810528787092903E-3</v>
      </c>
      <c r="O155" s="119">
        <v>1.0799299290818E-2</v>
      </c>
      <c r="P155" s="119">
        <v>1.2848411257957E-2</v>
      </c>
      <c r="Q155" s="119">
        <v>1.5110104294264501E-2</v>
      </c>
      <c r="R155" s="119">
        <v>1.7637960290291799E-2</v>
      </c>
      <c r="S155" s="119">
        <v>2.05703514179814E-2</v>
      </c>
      <c r="T155" s="119">
        <v>2.3708711239348999E-2</v>
      </c>
      <c r="U155" s="119">
        <v>2.6643173040202601E-2</v>
      </c>
      <c r="V155" s="119">
        <v>2.9588931541408701E-2</v>
      </c>
      <c r="W155" s="119">
        <v>3.2749282398366601E-2</v>
      </c>
      <c r="X155" s="119">
        <v>3.6230677617306799E-2</v>
      </c>
      <c r="Y155" s="119">
        <v>4.01150700303732E-2</v>
      </c>
      <c r="Z155" s="119">
        <v>4.4318882383470801E-2</v>
      </c>
      <c r="AA155" s="119">
        <v>4.9020839655411798E-2</v>
      </c>
      <c r="AB155" s="119">
        <v>5.5311584855157601E-2</v>
      </c>
      <c r="AC155" s="119">
        <v>6.2127005458264897E-2</v>
      </c>
      <c r="AD155" s="119">
        <v>6.8950792497377997E-2</v>
      </c>
      <c r="AE155" s="119">
        <v>7.5591375239847006E-2</v>
      </c>
      <c r="AF155" s="119">
        <v>8.0415047636381798E-2</v>
      </c>
      <c r="AG155" s="119">
        <v>8.3981225184979802E-2</v>
      </c>
      <c r="AH155" s="119">
        <v>8.7175242096706795E-2</v>
      </c>
      <c r="AI155" s="119">
        <v>9.0130978215384697E-2</v>
      </c>
      <c r="AJ155" s="119">
        <v>9.3465109783576E-2</v>
      </c>
      <c r="AK155" s="119">
        <v>9.6255089662990803E-2</v>
      </c>
      <c r="AL155" s="119">
        <v>9.9368036763944401E-2</v>
      </c>
      <c r="AM155" s="119">
        <v>0.10302236379969899</v>
      </c>
      <c r="AN155" s="119">
        <v>0.10550688698581701</v>
      </c>
      <c r="AO155" s="119">
        <v>0.107854402453435</v>
      </c>
      <c r="AP155" s="119">
        <v>0.11092914875302801</v>
      </c>
      <c r="AQ155" s="119">
        <v>0.114743296737599</v>
      </c>
      <c r="AR155" s="119">
        <v>0.119982278226409</v>
      </c>
      <c r="AS155" s="119">
        <v>0.12853101987394</v>
      </c>
      <c r="AT155" s="119">
        <v>0.14477771986851501</v>
      </c>
      <c r="AU155" s="119">
        <v>0.16612591888134601</v>
      </c>
      <c r="AV155" s="119">
        <v>0.19162749058390699</v>
      </c>
      <c r="AW155" s="119">
        <v>0.21350240261735801</v>
      </c>
      <c r="AX155" s="119">
        <v>0.23338860428466399</v>
      </c>
      <c r="AY155" s="119">
        <v>0.25071671925733802</v>
      </c>
      <c r="AZ155" s="119">
        <v>0.255746127866325</v>
      </c>
      <c r="BA155" s="119">
        <v>0.260376371439687</v>
      </c>
      <c r="BB155" s="119">
        <v>0.26681862151463398</v>
      </c>
      <c r="BC155" s="119">
        <v>0.27376568230202702</v>
      </c>
      <c r="BD155" s="119">
        <v>0.282577717646539</v>
      </c>
      <c r="BE155" s="119">
        <v>0.293193416507806</v>
      </c>
      <c r="BF155" s="119">
        <v>0.30315188389082298</v>
      </c>
      <c r="BG155" s="119">
        <v>0.31150987777347999</v>
      </c>
      <c r="BH155" s="119">
        <v>0.32235987546906902</v>
      </c>
      <c r="BI155" s="119">
        <v>0.331665009346163</v>
      </c>
      <c r="BJ155" s="119">
        <v>0.34160088146922901</v>
      </c>
      <c r="BK155" s="119">
        <v>0.35197878219359802</v>
      </c>
      <c r="BL155" s="119">
        <v>0.36161380251169101</v>
      </c>
    </row>
    <row r="156" spans="1:64" x14ac:dyDescent="0.25">
      <c r="A156" s="860" t="s">
        <v>252</v>
      </c>
      <c r="B156" s="1">
        <v>688</v>
      </c>
      <c r="C156" s="119">
        <v>0.5</v>
      </c>
      <c r="D156" s="119">
        <v>4.4284646408975503E-2</v>
      </c>
      <c r="E156" s="119">
        <v>4.77048712038914E-2</v>
      </c>
      <c r="F156" s="119">
        <v>5.1131089840556997E-2</v>
      </c>
      <c r="G156" s="119">
        <v>5.49829296410927E-2</v>
      </c>
      <c r="H156" s="119">
        <v>5.9349924054897502E-2</v>
      </c>
      <c r="I156" s="119">
        <v>6.38604860025241E-2</v>
      </c>
      <c r="J156" s="119">
        <v>6.9139078422513101E-2</v>
      </c>
      <c r="K156" s="119">
        <v>7.4303194392469199E-2</v>
      </c>
      <c r="L156" s="119">
        <v>7.8809346016020104E-2</v>
      </c>
      <c r="M156" s="119">
        <v>8.3765907508762796E-2</v>
      </c>
      <c r="N156" s="119">
        <v>9.0364663306786497E-2</v>
      </c>
      <c r="O156" s="119">
        <v>9.7839277969977601E-2</v>
      </c>
      <c r="P156" s="119">
        <v>0.104257719679565</v>
      </c>
      <c r="Q156" s="119">
        <v>0.110235789190574</v>
      </c>
      <c r="R156" s="119">
        <v>0.116579516017474</v>
      </c>
      <c r="S156" s="119">
        <v>0.124231315584676</v>
      </c>
      <c r="T156" s="119">
        <v>0.13202290301854999</v>
      </c>
      <c r="U156" s="119">
        <v>0.13972127722220101</v>
      </c>
      <c r="V156" s="119">
        <v>0.147523426581081</v>
      </c>
      <c r="W156" s="119">
        <v>0.15718887711171201</v>
      </c>
      <c r="X156" s="119">
        <v>0.16571393472290299</v>
      </c>
      <c r="Y156" s="119">
        <v>0.17387186597791601</v>
      </c>
      <c r="Z156" s="119">
        <v>0.18227476649969199</v>
      </c>
      <c r="AA156" s="119">
        <v>0.188657848370264</v>
      </c>
      <c r="AB156" s="119">
        <v>0.19874021435144701</v>
      </c>
      <c r="AC156" s="119">
        <v>0.20695387590711201</v>
      </c>
      <c r="AD156" s="119">
        <v>0.217666690795593</v>
      </c>
      <c r="AE156" s="119">
        <v>0.22655632358872299</v>
      </c>
      <c r="AF156" s="119">
        <v>0.23331730978179799</v>
      </c>
      <c r="AG156" s="119">
        <v>0.241963063477181</v>
      </c>
      <c r="AH156" s="119">
        <v>0.24905931430022499</v>
      </c>
      <c r="AI156" s="119">
        <v>0.242774336800339</v>
      </c>
      <c r="AJ156" s="119">
        <v>0.23654735179777001</v>
      </c>
      <c r="AK156" s="119">
        <v>0.22907917203887701</v>
      </c>
      <c r="AL156" s="119">
        <v>0.22207031524513801</v>
      </c>
      <c r="AM156" s="119">
        <v>0.215554757759022</v>
      </c>
      <c r="AN156" s="119">
        <v>0.218345388551245</v>
      </c>
      <c r="AO156" s="119">
        <v>0.221946727002786</v>
      </c>
      <c r="AP156" s="119">
        <v>0.225527141791419</v>
      </c>
      <c r="AQ156" s="119">
        <v>0.23016290101214101</v>
      </c>
      <c r="AR156" s="119">
        <v>0.234601672927328</v>
      </c>
      <c r="AS156" s="119">
        <v>0.23192734900528</v>
      </c>
      <c r="AT156" s="119">
        <v>0.23010067951816299</v>
      </c>
      <c r="AU156" s="119">
        <v>0.22822545678705</v>
      </c>
      <c r="AV156" s="119">
        <v>0.22626229208875001</v>
      </c>
      <c r="AW156" s="119">
        <v>0.229874487298214</v>
      </c>
      <c r="AX156" s="119">
        <v>0.23564742801179001</v>
      </c>
      <c r="AY156" s="119">
        <v>0.24122176500338999</v>
      </c>
      <c r="AZ156" s="119">
        <v>0.246168740392542</v>
      </c>
      <c r="BA156" s="119">
        <v>0.25023683090705301</v>
      </c>
      <c r="BB156" s="119">
        <v>0.26043895108096399</v>
      </c>
      <c r="BC156" s="119">
        <v>0.26798530391314201</v>
      </c>
      <c r="BD156" s="119">
        <v>0.27760909956873298</v>
      </c>
      <c r="BE156" s="119">
        <v>0.28617429396227301</v>
      </c>
      <c r="BF156" s="119">
        <v>0.294828801596975</v>
      </c>
      <c r="BG156" s="119">
        <v>0.30309074852706802</v>
      </c>
      <c r="BH156" s="119">
        <v>0.30910873814509798</v>
      </c>
      <c r="BI156" s="119">
        <v>0.31802521654982602</v>
      </c>
      <c r="BJ156" s="119">
        <v>0.32424628564865798</v>
      </c>
      <c r="BK156" s="119">
        <v>0.333372704397356</v>
      </c>
      <c r="BL156" s="119">
        <v>0.33991464701711499</v>
      </c>
    </row>
    <row r="157" spans="1:64" x14ac:dyDescent="0.25">
      <c r="A157" s="860" t="s">
        <v>61</v>
      </c>
      <c r="B157" s="1">
        <v>694</v>
      </c>
      <c r="C157" s="119">
        <v>0.5</v>
      </c>
      <c r="D157" s="119">
        <v>2.7908756670492799E-3</v>
      </c>
      <c r="E157" s="119">
        <v>3.1449050024625002E-3</v>
      </c>
      <c r="F157" s="119">
        <v>3.5426606609894702E-3</v>
      </c>
      <c r="G157" s="119">
        <v>4.0348305599015397E-3</v>
      </c>
      <c r="H157" s="119">
        <v>4.4212378152479097E-3</v>
      </c>
      <c r="I157" s="119">
        <v>4.9822783043337098E-3</v>
      </c>
      <c r="J157" s="119">
        <v>5.4649965555186204E-3</v>
      </c>
      <c r="K157" s="119">
        <v>6.14837302695888E-3</v>
      </c>
      <c r="L157" s="119">
        <v>6.7830600749245297E-3</v>
      </c>
      <c r="M157" s="119">
        <v>7.5359260136016997E-3</v>
      </c>
      <c r="N157" s="119">
        <v>8.1986041783638497E-3</v>
      </c>
      <c r="O157" s="119">
        <v>9.0803749153486393E-3</v>
      </c>
      <c r="P157" s="119">
        <v>9.9195119343702103E-3</v>
      </c>
      <c r="Q157" s="119">
        <v>1.0831098460445601E-2</v>
      </c>
      <c r="R157" s="119">
        <v>1.17833889119678E-2</v>
      </c>
      <c r="S157" s="119">
        <v>1.2966488513162599E-2</v>
      </c>
      <c r="T157" s="119">
        <v>1.39732191114247E-2</v>
      </c>
      <c r="U157" s="119">
        <v>1.51757006966259E-2</v>
      </c>
      <c r="V157" s="119">
        <v>1.64132652256593E-2</v>
      </c>
      <c r="W157" s="119">
        <v>1.7716821812101598E-2</v>
      </c>
      <c r="X157" s="119">
        <v>1.9127681837777799E-2</v>
      </c>
      <c r="Y157" s="119">
        <v>2.0399705728296198E-2</v>
      </c>
      <c r="Z157" s="119">
        <v>2.15723908479264E-2</v>
      </c>
      <c r="AA157" s="119">
        <v>2.28220266073581E-2</v>
      </c>
      <c r="AB157" s="119">
        <v>2.4449657473455299E-2</v>
      </c>
      <c r="AC157" s="119">
        <v>2.6069676743772901E-2</v>
      </c>
      <c r="AD157" s="119">
        <v>2.7988094718479E-2</v>
      </c>
      <c r="AE157" s="119">
        <v>3.02479009618878E-2</v>
      </c>
      <c r="AF157" s="119">
        <v>3.2423135268604998E-2</v>
      </c>
      <c r="AG157" s="119">
        <v>3.4874006772468102E-2</v>
      </c>
      <c r="AH157" s="119">
        <v>3.7310016878380599E-2</v>
      </c>
      <c r="AI157" s="119">
        <v>3.9805959168014403E-2</v>
      </c>
      <c r="AJ157" s="119">
        <v>4.2620336391450901E-2</v>
      </c>
      <c r="AK157" s="119">
        <v>4.5792835215482601E-2</v>
      </c>
      <c r="AL157" s="119">
        <v>4.9089230234648597E-2</v>
      </c>
      <c r="AM157" s="119">
        <v>5.3072271867962102E-2</v>
      </c>
      <c r="AN157" s="119">
        <v>5.7891508311976599E-2</v>
      </c>
      <c r="AO157" s="119">
        <v>6.3861303438621203E-2</v>
      </c>
      <c r="AP157" s="119">
        <v>7.1543651689626106E-2</v>
      </c>
      <c r="AQ157" s="119">
        <v>8.3264066267822706E-2</v>
      </c>
      <c r="AR157" s="119">
        <v>9.7651852579160398E-2</v>
      </c>
      <c r="AS157" s="119">
        <v>0.11459722430842401</v>
      </c>
      <c r="AT157" s="119">
        <v>0.132659070381177</v>
      </c>
      <c r="AU157" s="119">
        <v>0.150472658575795</v>
      </c>
      <c r="AV157" s="119">
        <v>0.163897196472261</v>
      </c>
      <c r="AW157" s="119">
        <v>0.175815343825487</v>
      </c>
      <c r="AX157" s="119">
        <v>0.185816784031612</v>
      </c>
      <c r="AY157" s="119">
        <v>0.19527293491512701</v>
      </c>
      <c r="AZ157" s="119">
        <v>0.20304221708716699</v>
      </c>
      <c r="BA157" s="119">
        <v>0.21158106891051701</v>
      </c>
      <c r="BB157" s="119">
        <v>0.22045203142464101</v>
      </c>
      <c r="BC157" s="119">
        <v>0.230009613617363</v>
      </c>
      <c r="BD157" s="119">
        <v>0.23881742714373799</v>
      </c>
      <c r="BE157" s="119">
        <v>0.24894463196680799</v>
      </c>
      <c r="BF157" s="119">
        <v>0.25782367467421702</v>
      </c>
      <c r="BG157" s="119">
        <v>0.267380268732683</v>
      </c>
      <c r="BH157" s="119">
        <v>0.27712354048235899</v>
      </c>
      <c r="BI157" s="119">
        <v>0.28726893095545097</v>
      </c>
      <c r="BJ157" s="119">
        <v>0.29727870691326502</v>
      </c>
      <c r="BK157" s="119">
        <v>0.307368584722222</v>
      </c>
      <c r="BL157" s="119">
        <v>0.31922508267713601</v>
      </c>
    </row>
    <row r="158" spans="1:64" x14ac:dyDescent="0.25">
      <c r="A158" s="860" t="s">
        <v>254</v>
      </c>
      <c r="B158" s="1">
        <v>702</v>
      </c>
      <c r="C158" s="119">
        <v>0.5</v>
      </c>
      <c r="D158" s="119">
        <v>0.48963594583156</v>
      </c>
      <c r="E158" s="119">
        <v>0.49802499792167998</v>
      </c>
      <c r="F158" s="119">
        <v>0.50653104087315903</v>
      </c>
      <c r="G158" s="119">
        <v>0.52016043070339602</v>
      </c>
      <c r="H158" s="119">
        <v>0.53661036876288004</v>
      </c>
      <c r="I158" s="119">
        <v>0.55412629937424596</v>
      </c>
      <c r="J158" s="119">
        <v>0.571094121457836</v>
      </c>
      <c r="K158" s="119">
        <v>0.58578277296544701</v>
      </c>
      <c r="L158" s="119">
        <v>0.59195446335996404</v>
      </c>
      <c r="M158" s="119">
        <v>0.59558598868173196</v>
      </c>
      <c r="N158" s="119">
        <v>0.59789579126117398</v>
      </c>
      <c r="O158" s="119">
        <v>0.59777554764993202</v>
      </c>
      <c r="P158" s="119">
        <v>0.59489086499362698</v>
      </c>
      <c r="Q158" s="119">
        <v>0.58789378412052795</v>
      </c>
      <c r="R158" s="119">
        <v>0.57910769661833605</v>
      </c>
      <c r="S158" s="119">
        <v>0.56885381026602</v>
      </c>
      <c r="T158" s="119">
        <v>0.55737237551805596</v>
      </c>
      <c r="U158" s="119">
        <v>0.54809249624037704</v>
      </c>
      <c r="V158" s="119">
        <v>0.54204516181677598</v>
      </c>
      <c r="W158" s="119">
        <v>0.53815606039553499</v>
      </c>
      <c r="X158" s="119">
        <v>0.53420808288625998</v>
      </c>
      <c r="Y158" s="119">
        <v>0.53111821195428999</v>
      </c>
      <c r="Z158" s="119">
        <v>0.52904478357016305</v>
      </c>
      <c r="AA158" s="119">
        <v>0.52949768774552597</v>
      </c>
      <c r="AB158" s="119">
        <v>0.52800597299508001</v>
      </c>
      <c r="AC158" s="119">
        <v>0.52863353199275098</v>
      </c>
      <c r="AD158" s="119">
        <v>0.52909617002495002</v>
      </c>
      <c r="AE158" s="119">
        <v>0.52932633770457804</v>
      </c>
      <c r="AF158" s="119">
        <v>0.53100329939317703</v>
      </c>
      <c r="AG158" s="119">
        <v>0.53199734627414397</v>
      </c>
      <c r="AH158" s="119">
        <v>0.53681148235922205</v>
      </c>
      <c r="AI158" s="119">
        <v>0.54079479003751696</v>
      </c>
      <c r="AJ158" s="119">
        <v>0.54527585988984495</v>
      </c>
      <c r="AK158" s="119">
        <v>0.54728059900515302</v>
      </c>
      <c r="AL158" s="119">
        <v>0.55008380009547797</v>
      </c>
      <c r="AM158" s="119">
        <v>0.55512437846312901</v>
      </c>
      <c r="AN158" s="119">
        <v>0.55850587474718305</v>
      </c>
      <c r="AO158" s="119">
        <v>0.56285601663380302</v>
      </c>
      <c r="AP158" s="119">
        <v>0.56592476933533498</v>
      </c>
      <c r="AQ158" s="119">
        <v>0.56811387999777296</v>
      </c>
      <c r="AR158" s="119">
        <v>0.57066342107772905</v>
      </c>
      <c r="AS158" s="119">
        <v>0.57627622574391002</v>
      </c>
      <c r="AT158" s="119">
        <v>0.57752724389990595</v>
      </c>
      <c r="AU158" s="119">
        <v>0.58106763585172405</v>
      </c>
      <c r="AV158" s="119">
        <v>0.58272341157816399</v>
      </c>
      <c r="AW158" s="119">
        <v>0.58354138438610403</v>
      </c>
      <c r="AX158" s="119">
        <v>0.584831909799018</v>
      </c>
      <c r="AY158" s="119">
        <v>0.58816374723731202</v>
      </c>
      <c r="AZ158" s="119">
        <v>0.58941495675584199</v>
      </c>
      <c r="BA158" s="119">
        <v>0.59086008375074905</v>
      </c>
      <c r="BB158" s="119">
        <v>0.595918552536435</v>
      </c>
      <c r="BC158" s="119">
        <v>0.60122515907074003</v>
      </c>
      <c r="BD158" s="119">
        <v>0.60389112537808898</v>
      </c>
      <c r="BE158" s="119">
        <v>0.604835994602133</v>
      </c>
      <c r="BF158" s="119">
        <v>0.60755293026603496</v>
      </c>
      <c r="BG158" s="119">
        <v>0.60968687924266096</v>
      </c>
      <c r="BH158" s="119">
        <v>0.61051847070771503</v>
      </c>
      <c r="BI158" s="119">
        <v>0.61364857787428495</v>
      </c>
      <c r="BJ158" s="119">
        <v>0.61501254257068005</v>
      </c>
      <c r="BK158" s="119">
        <v>0.61855162703802402</v>
      </c>
      <c r="BL158" s="119">
        <v>0.62289800579142396</v>
      </c>
    </row>
    <row r="159" spans="1:64" x14ac:dyDescent="0.25">
      <c r="A159" s="860" t="s">
        <v>255</v>
      </c>
      <c r="B159" s="1">
        <v>703</v>
      </c>
      <c r="C159" s="119">
        <v>0.5</v>
      </c>
      <c r="D159" s="119">
        <v>0.20126845110274999</v>
      </c>
      <c r="E159" s="119">
        <v>0.20782043120106899</v>
      </c>
      <c r="F159" s="119">
        <v>0.22130480430809299</v>
      </c>
      <c r="G159" s="119">
        <v>0.22813224194860601</v>
      </c>
      <c r="H159" s="119">
        <v>0.23877566828053401</v>
      </c>
      <c r="I159" s="119">
        <v>0.24891065565002399</v>
      </c>
      <c r="J159" s="119">
        <v>0.25548891305337001</v>
      </c>
      <c r="K159" s="119">
        <v>0.26146622712851902</v>
      </c>
      <c r="L159" s="119">
        <v>0.26924441067342397</v>
      </c>
      <c r="M159" s="119">
        <v>0.27664203009611699</v>
      </c>
      <c r="N159" s="119">
        <v>0.28931896839752103</v>
      </c>
      <c r="O159" s="119">
        <v>0.302698817789748</v>
      </c>
      <c r="P159" s="119">
        <v>0.31149156646285697</v>
      </c>
      <c r="Q159" s="119">
        <v>0.31672797450559798</v>
      </c>
      <c r="R159" s="119">
        <v>0.32698748455436799</v>
      </c>
      <c r="S159" s="119">
        <v>0.337427941156065</v>
      </c>
      <c r="T159" s="119">
        <v>0.34885754587833301</v>
      </c>
      <c r="U159" s="119">
        <v>0.357003969941593</v>
      </c>
      <c r="V159" s="119">
        <v>0.36859559171620299</v>
      </c>
      <c r="W159" s="119">
        <v>0.37819453493531402</v>
      </c>
      <c r="X159" s="119">
        <v>0.38834570133490598</v>
      </c>
      <c r="Y159" s="119">
        <v>0.401722586354467</v>
      </c>
      <c r="Z159" s="119">
        <v>0.41898489006745199</v>
      </c>
      <c r="AA159" s="119">
        <v>0.44059882263246503</v>
      </c>
      <c r="AB159" s="119">
        <v>0.45838393665341698</v>
      </c>
      <c r="AC159" s="119">
        <v>0.47940104478462198</v>
      </c>
      <c r="AD159" s="119">
        <v>0.49872789366841702</v>
      </c>
      <c r="AE159" s="119">
        <v>0.51555502454173996</v>
      </c>
      <c r="AF159" s="119">
        <v>0.525986178119626</v>
      </c>
      <c r="AG159" s="119">
        <v>0.53601428952876995</v>
      </c>
      <c r="AH159" s="119">
        <v>0.54175693807937697</v>
      </c>
      <c r="AI159" s="119">
        <v>0.54805970849188101</v>
      </c>
      <c r="AJ159" s="119">
        <v>0.55488730051482604</v>
      </c>
      <c r="AK159" s="119">
        <v>0.56269440237123802</v>
      </c>
      <c r="AL159" s="119">
        <v>0.56808537782667101</v>
      </c>
      <c r="AM159" s="119">
        <v>0.57465033652063902</v>
      </c>
      <c r="AN159" s="119">
        <v>0.57980158555624195</v>
      </c>
      <c r="AO159" s="119">
        <v>0.58491330645096595</v>
      </c>
      <c r="AP159" s="119">
        <v>0.59284283531447701</v>
      </c>
      <c r="AQ159" s="119">
        <v>0.59778986667346101</v>
      </c>
      <c r="AR159" s="119">
        <v>0.604755199181086</v>
      </c>
      <c r="AS159" s="119">
        <v>0.60830538205378804</v>
      </c>
      <c r="AT159" s="119">
        <v>0.61284055952939998</v>
      </c>
      <c r="AU159" s="119">
        <v>0.61650058312800904</v>
      </c>
      <c r="AV159" s="119">
        <v>0.62028703845820299</v>
      </c>
      <c r="AW159" s="119">
        <v>0.62304909970516098</v>
      </c>
      <c r="AX159" s="119">
        <v>0.62774517049422496</v>
      </c>
      <c r="AY159" s="119">
        <v>0.63112656450153104</v>
      </c>
      <c r="AZ159" s="119">
        <v>0.63413208060905801</v>
      </c>
      <c r="BA159" s="119">
        <v>0.63898370763285595</v>
      </c>
      <c r="BB159" s="119">
        <v>0.64292879736805997</v>
      </c>
      <c r="BC159" s="119">
        <v>0.65118273436729401</v>
      </c>
      <c r="BD159" s="119">
        <v>0.65759568265065504</v>
      </c>
      <c r="BE159" s="119">
        <v>0.66259155423493898</v>
      </c>
      <c r="BF159" s="119">
        <v>0.66685892918997502</v>
      </c>
      <c r="BG159" s="119">
        <v>0.671885544672433</v>
      </c>
      <c r="BH159" s="119">
        <v>0.67434832827404101</v>
      </c>
      <c r="BI159" s="119">
        <v>0.67624746057207696</v>
      </c>
      <c r="BJ159" s="119">
        <v>0.67821667522191398</v>
      </c>
      <c r="BK159" s="119">
        <v>0.67971082632456503</v>
      </c>
      <c r="BL159" s="119">
        <v>0.68296397046575996</v>
      </c>
    </row>
    <row r="160" spans="1:64" x14ac:dyDescent="0.25">
      <c r="A160" s="860" t="s">
        <v>256</v>
      </c>
      <c r="B160" s="1">
        <v>705</v>
      </c>
      <c r="C160" s="119">
        <v>0.5</v>
      </c>
      <c r="D160" s="119">
        <v>0.146674314423652</v>
      </c>
      <c r="E160" s="119">
        <v>0.158488980015945</v>
      </c>
      <c r="F160" s="119">
        <v>0.17061289982236499</v>
      </c>
      <c r="G160" s="119">
        <v>0.18393803864760999</v>
      </c>
      <c r="H160" s="119">
        <v>0.19663483353292899</v>
      </c>
      <c r="I160" s="119">
        <v>0.21345197587201101</v>
      </c>
      <c r="J160" s="119">
        <v>0.226788145595263</v>
      </c>
      <c r="K160" s="119">
        <v>0.24194781280352601</v>
      </c>
      <c r="L160" s="119">
        <v>0.257730514984856</v>
      </c>
      <c r="M160" s="119">
        <v>0.27145268480801898</v>
      </c>
      <c r="N160" s="119">
        <v>0.28553562993832399</v>
      </c>
      <c r="O160" s="119">
        <v>0.30178233185396802</v>
      </c>
      <c r="P160" s="119">
        <v>0.317748029591572</v>
      </c>
      <c r="Q160" s="119">
        <v>0.33429570658401397</v>
      </c>
      <c r="R160" s="119">
        <v>0.35094153030719399</v>
      </c>
      <c r="S160" s="119">
        <v>0.36745636128811199</v>
      </c>
      <c r="T160" s="119">
        <v>0.38358017898241598</v>
      </c>
      <c r="U160" s="119">
        <v>0.40048556343766201</v>
      </c>
      <c r="V160" s="119">
        <v>0.41901671563170001</v>
      </c>
      <c r="W160" s="119">
        <v>0.43326245067724301</v>
      </c>
      <c r="X160" s="119">
        <v>0.452175987333096</v>
      </c>
      <c r="Y160" s="119">
        <v>0.47034175990811</v>
      </c>
      <c r="Z160" s="119">
        <v>0.48807471732207902</v>
      </c>
      <c r="AA160" s="119">
        <v>0.50586142301623604</v>
      </c>
      <c r="AB160" s="119">
        <v>0.52362048763968505</v>
      </c>
      <c r="AC160" s="119">
        <v>0.54248332834799695</v>
      </c>
      <c r="AD160" s="119">
        <v>0.54989959574978098</v>
      </c>
      <c r="AE160" s="119">
        <v>0.556215509774451</v>
      </c>
      <c r="AF160" s="119">
        <v>0.56136486326491697</v>
      </c>
      <c r="AG160" s="119">
        <v>0.56444436465733605</v>
      </c>
      <c r="AH160" s="119">
        <v>0.57133643782043197</v>
      </c>
      <c r="AI160" s="119">
        <v>0.57470293208468903</v>
      </c>
      <c r="AJ160" s="119">
        <v>0.57862599608993204</v>
      </c>
      <c r="AK160" s="119">
        <v>0.58427203420906604</v>
      </c>
      <c r="AL160" s="119">
        <v>0.58883253590095197</v>
      </c>
      <c r="AM160" s="119">
        <v>0.59606333203996498</v>
      </c>
      <c r="AN160" s="119">
        <v>0.60010364549536499</v>
      </c>
      <c r="AO160" s="119">
        <v>0.60540168806266603</v>
      </c>
      <c r="AP160" s="119">
        <v>0.61033572593521601</v>
      </c>
      <c r="AQ160" s="119">
        <v>0.61206619059038803</v>
      </c>
      <c r="AR160" s="119">
        <v>0.61726353795953504</v>
      </c>
      <c r="AS160" s="119">
        <v>0.62362875844106602</v>
      </c>
      <c r="AT160" s="119">
        <v>0.62628665682395601</v>
      </c>
      <c r="AU160" s="119">
        <v>0.63162703235052897</v>
      </c>
      <c r="AV160" s="119">
        <v>0.63386623189926095</v>
      </c>
      <c r="AW160" s="119">
        <v>0.63972308470825801</v>
      </c>
      <c r="AX160" s="119">
        <v>0.64223982320734496</v>
      </c>
      <c r="AY160" s="119">
        <v>0.64709593407299104</v>
      </c>
      <c r="AZ160" s="119">
        <v>0.65317350116311501</v>
      </c>
      <c r="BA160" s="119">
        <v>0.65598744980990098</v>
      </c>
      <c r="BB160" s="119">
        <v>0.65881869084586198</v>
      </c>
      <c r="BC160" s="119">
        <v>0.66202928739867595</v>
      </c>
      <c r="BD160" s="119">
        <v>0.66518075059817405</v>
      </c>
      <c r="BE160" s="119">
        <v>0.66574286018826001</v>
      </c>
      <c r="BF160" s="119">
        <v>0.669256188379865</v>
      </c>
      <c r="BG160" s="119">
        <v>0.67201611256379501</v>
      </c>
      <c r="BH160" s="119">
        <v>0.67449346355862405</v>
      </c>
      <c r="BI160" s="119">
        <v>0.67755310298328197</v>
      </c>
      <c r="BJ160" s="119">
        <v>0.67848503401329396</v>
      </c>
      <c r="BK160" s="119">
        <v>0.68251678786650405</v>
      </c>
      <c r="BL160" s="119">
        <v>0.682293223285239</v>
      </c>
    </row>
    <row r="161" spans="1:64" x14ac:dyDescent="0.25">
      <c r="A161" s="860" t="s">
        <v>62</v>
      </c>
      <c r="B161" s="1">
        <v>90</v>
      </c>
      <c r="C161" s="119">
        <v>0.5</v>
      </c>
      <c r="D161" s="119">
        <v>0.16232343819172801</v>
      </c>
      <c r="E161" s="119">
        <v>0.166089634057902</v>
      </c>
      <c r="F161" s="119">
        <v>0.16853555029162201</v>
      </c>
      <c r="G161" s="119">
        <v>0.171331215574412</v>
      </c>
      <c r="H161" s="119">
        <v>0.173760763238718</v>
      </c>
      <c r="I161" s="119">
        <v>0.17625684560157701</v>
      </c>
      <c r="J161" s="119">
        <v>0.18025259784592601</v>
      </c>
      <c r="K161" s="119">
        <v>0.18308817539168201</v>
      </c>
      <c r="L161" s="119">
        <v>0.18577748431240401</v>
      </c>
      <c r="M161" s="119">
        <v>0.18955658543510401</v>
      </c>
      <c r="N161" s="119">
        <v>0.19221880413727099</v>
      </c>
      <c r="O161" s="119">
        <v>0.19583954608336099</v>
      </c>
      <c r="P161" s="119">
        <v>0.199003162899233</v>
      </c>
      <c r="Q161" s="119">
        <v>0.199341733226611</v>
      </c>
      <c r="R161" s="119">
        <v>0.20138901482685401</v>
      </c>
      <c r="S161" s="119">
        <v>0.205550246867505</v>
      </c>
      <c r="T161" s="119">
        <v>0.20696763642792501</v>
      </c>
      <c r="U161" s="119">
        <v>0.211092364885864</v>
      </c>
      <c r="V161" s="119">
        <v>0.21187781302237699</v>
      </c>
      <c r="W161" s="119">
        <v>0.21435292326199901</v>
      </c>
      <c r="X161" s="119">
        <v>0.21716107776653901</v>
      </c>
      <c r="Y161" s="119">
        <v>0.218499259037711</v>
      </c>
      <c r="Z161" s="119">
        <v>0.22286278437493801</v>
      </c>
      <c r="AA161" s="119">
        <v>0.225160753796812</v>
      </c>
      <c r="AB161" s="119">
        <v>0.22773835111058</v>
      </c>
      <c r="AC161" s="119">
        <v>0.23191484218934499</v>
      </c>
      <c r="AD161" s="119">
        <v>0.23597230670927399</v>
      </c>
      <c r="AE161" s="119">
        <v>0.24084341270240101</v>
      </c>
      <c r="AF161" s="119">
        <v>0.24413546157798199</v>
      </c>
      <c r="AG161" s="119">
        <v>0.24820793567091901</v>
      </c>
      <c r="AH161" s="119">
        <v>0.251192142997886</v>
      </c>
      <c r="AI161" s="119">
        <v>0.25403410270834997</v>
      </c>
      <c r="AJ161" s="119">
        <v>0.25732417592321499</v>
      </c>
      <c r="AK161" s="119">
        <v>0.26131920633988798</v>
      </c>
      <c r="AL161" s="119">
        <v>0.26442754676963298</v>
      </c>
      <c r="AM161" s="119">
        <v>0.26778999730783598</v>
      </c>
      <c r="AN161" s="119">
        <v>0.270060349315416</v>
      </c>
      <c r="AO161" s="119">
        <v>0.27050627751477202</v>
      </c>
      <c r="AP161" s="119">
        <v>0.26893991150268098</v>
      </c>
      <c r="AQ161" s="119">
        <v>0.26613089623929298</v>
      </c>
      <c r="AR161" s="119">
        <v>0.26384553960099</v>
      </c>
      <c r="AS161" s="119">
        <v>0.26028132921882902</v>
      </c>
      <c r="AT161" s="119">
        <v>0.25716749417461299</v>
      </c>
      <c r="AU161" s="119">
        <v>0.25307898219783698</v>
      </c>
      <c r="AV161" s="119">
        <v>0.25026062501711099</v>
      </c>
      <c r="AW161" s="119">
        <v>0.24931695165284701</v>
      </c>
      <c r="AX161" s="119">
        <v>0.25076681203885698</v>
      </c>
      <c r="AY161" s="119">
        <v>0.25204058021187797</v>
      </c>
      <c r="AZ161" s="119">
        <v>0.25365967273307899</v>
      </c>
      <c r="BA161" s="119">
        <v>0.25640810009826798</v>
      </c>
      <c r="BB161" s="119">
        <v>0.26148285536254401</v>
      </c>
      <c r="BC161" s="119">
        <v>0.264428918775924</v>
      </c>
      <c r="BD161" s="119">
        <v>0.26681698423931299</v>
      </c>
      <c r="BE161" s="119">
        <v>0.27026945283642601</v>
      </c>
      <c r="BF161" s="119">
        <v>0.27294797827735801</v>
      </c>
      <c r="BG161" s="119">
        <v>0.27499275677073598</v>
      </c>
      <c r="BH161" s="119">
        <v>0.277318628078777</v>
      </c>
      <c r="BI161" s="119">
        <v>0.28218384538656299</v>
      </c>
      <c r="BJ161" s="119">
        <v>0.28584724633391601</v>
      </c>
      <c r="BK161" s="119">
        <v>0.289397013012472</v>
      </c>
      <c r="BL161" s="119">
        <v>0.29097477725753401</v>
      </c>
    </row>
    <row r="162" spans="1:64" x14ac:dyDescent="0.25">
      <c r="A162" s="860" t="s">
        <v>63</v>
      </c>
      <c r="B162" s="1">
        <v>706</v>
      </c>
      <c r="C162" s="119">
        <v>0.5</v>
      </c>
      <c r="D162" s="119">
        <v>1.3213512648018401E-3</v>
      </c>
      <c r="E162" s="119">
        <v>1.41426086974297E-3</v>
      </c>
      <c r="F162" s="119">
        <v>1.5744927532201E-3</v>
      </c>
      <c r="G162" s="119">
        <v>1.69264291895469E-3</v>
      </c>
      <c r="H162" s="119">
        <v>1.8511367861348299E-3</v>
      </c>
      <c r="I162" s="119">
        <v>1.9856079342099801E-3</v>
      </c>
      <c r="J162" s="119">
        <v>2.1439701044524899E-3</v>
      </c>
      <c r="K162" s="119">
        <v>2.3212059530702701E-3</v>
      </c>
      <c r="L162" s="119">
        <v>2.5138450911295299E-3</v>
      </c>
      <c r="M162" s="119">
        <v>2.70553586760354E-3</v>
      </c>
      <c r="N162" s="119">
        <v>2.9650369203618001E-3</v>
      </c>
      <c r="O162" s="119">
        <v>3.24724626995988E-3</v>
      </c>
      <c r="P162" s="119">
        <v>3.43721587840883E-3</v>
      </c>
      <c r="Q162" s="119">
        <v>3.7276872762182101E-3</v>
      </c>
      <c r="R162" s="119">
        <v>4.0331408929497898E-3</v>
      </c>
      <c r="S162" s="119">
        <v>4.3637326507468101E-3</v>
      </c>
      <c r="T162" s="119">
        <v>4.7405665848396601E-3</v>
      </c>
      <c r="U162" s="119">
        <v>5.1344559833102201E-3</v>
      </c>
      <c r="V162" s="119">
        <v>5.6208243167390898E-3</v>
      </c>
      <c r="W162" s="119">
        <v>5.97628661094973E-3</v>
      </c>
      <c r="X162" s="119">
        <v>6.2880099193074798E-3</v>
      </c>
      <c r="Y162" s="119">
        <v>6.5931361425939396E-3</v>
      </c>
      <c r="Z162" s="119">
        <v>6.8241417350452596E-3</v>
      </c>
      <c r="AA162" s="119">
        <v>7.0044127029211404E-3</v>
      </c>
      <c r="AB162" s="119">
        <v>7.2731919100856796E-3</v>
      </c>
      <c r="AC162" s="119">
        <v>7.5093451304367601E-3</v>
      </c>
      <c r="AD162" s="119">
        <v>7.7208436946421197E-3</v>
      </c>
      <c r="AE162" s="119">
        <v>8.00843599587534E-3</v>
      </c>
      <c r="AF162" s="119">
        <v>8.2017214707076104E-3</v>
      </c>
      <c r="AG162" s="119">
        <v>8.4362004905392494E-3</v>
      </c>
      <c r="AH162" s="119">
        <v>8.4206214148825308E-3</v>
      </c>
      <c r="AI162" s="119">
        <v>8.6747768293435092E-3</v>
      </c>
      <c r="AJ162" s="119">
        <v>8.7397735218940707E-3</v>
      </c>
      <c r="AK162" s="119">
        <v>8.8545600396749708E-3</v>
      </c>
      <c r="AL162" s="119">
        <v>8.9296566327239507E-3</v>
      </c>
      <c r="AM162" s="119">
        <v>9.0000520997534604E-3</v>
      </c>
      <c r="AN162" s="119">
        <v>9.0405713712770307E-3</v>
      </c>
      <c r="AO162" s="119">
        <v>8.7105389755519902E-3</v>
      </c>
      <c r="AP162" s="119">
        <v>8.3254439731203396E-3</v>
      </c>
      <c r="AQ162" s="119">
        <v>7.9448799094027096E-3</v>
      </c>
      <c r="AR162" s="119">
        <v>7.5060240102250301E-3</v>
      </c>
      <c r="AS162" s="119">
        <v>7.1224557394545E-3</v>
      </c>
      <c r="AT162" s="119">
        <v>7.0605651231563701E-3</v>
      </c>
      <c r="AU162" s="119">
        <v>6.9208149699233603E-3</v>
      </c>
      <c r="AV162" s="119">
        <v>6.8698397387864296E-3</v>
      </c>
      <c r="AW162" s="119">
        <v>6.7123525816107999E-3</v>
      </c>
      <c r="AX162" s="119">
        <v>6.58422466133359E-3</v>
      </c>
      <c r="AY162" s="119">
        <v>6.5324701100327098E-3</v>
      </c>
      <c r="AZ162" s="119">
        <v>6.4745411458576804E-3</v>
      </c>
      <c r="BA162" s="119">
        <v>7.22258030271959E-3</v>
      </c>
      <c r="BB162" s="119">
        <v>8.0056506829555996E-3</v>
      </c>
      <c r="BC162" s="119">
        <v>9.0302585332983493E-3</v>
      </c>
      <c r="BD162" s="119">
        <v>1.0068309358755301E-2</v>
      </c>
      <c r="BE162" s="119">
        <v>1.11320076460173E-2</v>
      </c>
      <c r="BF162" s="119">
        <v>1.2346676330838E-2</v>
      </c>
      <c r="BG162" s="119">
        <v>1.3802179207709901E-2</v>
      </c>
      <c r="BH162" s="119">
        <v>1.5223748077358899E-2</v>
      </c>
      <c r="BI162" s="119">
        <v>1.7003694744131999E-2</v>
      </c>
      <c r="BJ162" s="119">
        <v>1.85115911087602E-2</v>
      </c>
      <c r="BK162" s="119">
        <v>2.0155806957184899E-2</v>
      </c>
      <c r="BL162" s="119">
        <v>2.21989230754784E-2</v>
      </c>
    </row>
    <row r="163" spans="1:64" x14ac:dyDescent="0.25">
      <c r="A163" s="860" t="s">
        <v>64</v>
      </c>
      <c r="B163" s="1">
        <v>710</v>
      </c>
      <c r="C163" s="119">
        <v>0.5</v>
      </c>
      <c r="D163" s="119">
        <v>0.17034893744508101</v>
      </c>
      <c r="E163" s="119">
        <v>0.187842744146268</v>
      </c>
      <c r="F163" s="119">
        <v>0.20474388654383899</v>
      </c>
      <c r="G163" s="119">
        <v>0.22283954785482499</v>
      </c>
      <c r="H163" s="119">
        <v>0.23811575129434201</v>
      </c>
      <c r="I163" s="119">
        <v>0.25381996774413801</v>
      </c>
      <c r="J163" s="119">
        <v>0.26955779130267099</v>
      </c>
      <c r="K163" s="119">
        <v>0.28884518820121602</v>
      </c>
      <c r="L163" s="119">
        <v>0.30455655433916701</v>
      </c>
      <c r="M163" s="119">
        <v>0.324651156719376</v>
      </c>
      <c r="N163" s="119">
        <v>0.33895371964275001</v>
      </c>
      <c r="O163" s="119">
        <v>0.35574642894462499</v>
      </c>
      <c r="P163" s="119">
        <v>0.37171287596862201</v>
      </c>
      <c r="Q163" s="119">
        <v>0.38721861616705999</v>
      </c>
      <c r="R163" s="119">
        <v>0.40265559327973299</v>
      </c>
      <c r="S163" s="119">
        <v>0.41966766134257799</v>
      </c>
      <c r="T163" s="119">
        <v>0.43390264782528098</v>
      </c>
      <c r="U163" s="119">
        <v>0.44374066969162901</v>
      </c>
      <c r="V163" s="119">
        <v>0.45795184787835702</v>
      </c>
      <c r="W163" s="119">
        <v>0.46798928953705299</v>
      </c>
      <c r="X163" s="119">
        <v>0.47792933856576297</v>
      </c>
      <c r="Y163" s="119">
        <v>0.48573330639057599</v>
      </c>
      <c r="Z163" s="119">
        <v>0.49466472708460901</v>
      </c>
      <c r="AA163" s="119">
        <v>0.50478027723159802</v>
      </c>
      <c r="AB163" s="119">
        <v>0.51496743722993799</v>
      </c>
      <c r="AC163" s="119">
        <v>0.52455469547170297</v>
      </c>
      <c r="AD163" s="119">
        <v>0.53372292976386604</v>
      </c>
      <c r="AE163" s="119">
        <v>0.54149795731167505</v>
      </c>
      <c r="AF163" s="119">
        <v>0.55016115131749499</v>
      </c>
      <c r="AG163" s="119">
        <v>0.56044010516120102</v>
      </c>
      <c r="AH163" s="119">
        <v>0.56975284990275499</v>
      </c>
      <c r="AI163" s="119">
        <v>0.57826437431279198</v>
      </c>
      <c r="AJ163" s="119">
        <v>0.58644724774097001</v>
      </c>
      <c r="AK163" s="119">
        <v>0.59358579010438595</v>
      </c>
      <c r="AL163" s="119">
        <v>0.59767895210067401</v>
      </c>
      <c r="AM163" s="119">
        <v>0.59741239513650102</v>
      </c>
      <c r="AN163" s="119">
        <v>0.59240969413129496</v>
      </c>
      <c r="AO163" s="119">
        <v>0.58825138686828704</v>
      </c>
      <c r="AP163" s="119">
        <v>0.58244552765566304</v>
      </c>
      <c r="AQ163" s="119">
        <v>0.57746946057553195</v>
      </c>
      <c r="AR163" s="119">
        <v>0.57188648530606201</v>
      </c>
      <c r="AS163" s="119">
        <v>0.56633848507187101</v>
      </c>
      <c r="AT163" s="119">
        <v>0.56031850869530897</v>
      </c>
      <c r="AU163" s="119">
        <v>0.55526126369658302</v>
      </c>
      <c r="AV163" s="119">
        <v>0.54975251763546995</v>
      </c>
      <c r="AW163" s="119">
        <v>0.54475510935100702</v>
      </c>
      <c r="AX163" s="119">
        <v>0.54206859357862303</v>
      </c>
      <c r="AY163" s="119">
        <v>0.543674800339217</v>
      </c>
      <c r="AZ163" s="119">
        <v>0.54824679998438897</v>
      </c>
      <c r="BA163" s="119">
        <v>0.55339472340075302</v>
      </c>
      <c r="BB163" s="119">
        <v>0.55841362165641395</v>
      </c>
      <c r="BC163" s="119">
        <v>0.56272851236574195</v>
      </c>
      <c r="BD163" s="119">
        <v>0.56769595605911605</v>
      </c>
      <c r="BE163" s="119">
        <v>0.57277843881164803</v>
      </c>
      <c r="BF163" s="119">
        <v>0.57610910918496505</v>
      </c>
      <c r="BG163" s="119">
        <v>0.58094563874321403</v>
      </c>
      <c r="BH163" s="119">
        <v>0.58535006967654202</v>
      </c>
      <c r="BI163" s="119">
        <v>0.58993244745157403</v>
      </c>
      <c r="BJ163" s="119">
        <v>0.59291598724510097</v>
      </c>
      <c r="BK163" s="119">
        <v>0.59685156330327105</v>
      </c>
      <c r="BL163" s="119">
        <v>0.60086646124979004</v>
      </c>
    </row>
    <row r="164" spans="1:64" x14ac:dyDescent="0.25">
      <c r="A164" s="860" t="s">
        <v>65</v>
      </c>
      <c r="B164" s="1">
        <v>728</v>
      </c>
      <c r="C164" s="119">
        <v>0.5</v>
      </c>
      <c r="D164" s="119">
        <v>2.41094107678602E-3</v>
      </c>
      <c r="E164" s="119">
        <v>2.6500254689380601E-3</v>
      </c>
      <c r="F164" s="119">
        <v>2.95342547422327E-3</v>
      </c>
      <c r="G164" s="119">
        <v>3.3050934783261702E-3</v>
      </c>
      <c r="H164" s="119">
        <v>3.67852690334161E-3</v>
      </c>
      <c r="I164" s="119">
        <v>4.1093686579743802E-3</v>
      </c>
      <c r="J164" s="119">
        <v>4.5701569681865298E-3</v>
      </c>
      <c r="K164" s="119">
        <v>5.0396832681537697E-3</v>
      </c>
      <c r="L164" s="119">
        <v>5.4991684254374704E-3</v>
      </c>
      <c r="M164" s="119">
        <v>6.1576500919111E-3</v>
      </c>
      <c r="N164" s="119">
        <v>6.7525475446798197E-3</v>
      </c>
      <c r="O164" s="119">
        <v>7.4010662230277599E-3</v>
      </c>
      <c r="P164" s="119">
        <v>8.2427941946412002E-3</v>
      </c>
      <c r="Q164" s="119">
        <v>9.0370810420416694E-3</v>
      </c>
      <c r="R164" s="119">
        <v>9.8310738009930697E-3</v>
      </c>
      <c r="S164" s="119">
        <v>1.0643336425292501E-2</v>
      </c>
      <c r="T164" s="119">
        <v>1.15771320695469E-2</v>
      </c>
      <c r="U164" s="119">
        <v>1.27596049611688E-2</v>
      </c>
      <c r="V164" s="119">
        <v>1.39315740252938E-2</v>
      </c>
      <c r="W164" s="119">
        <v>1.51666809902047E-2</v>
      </c>
      <c r="X164" s="119">
        <v>1.62743923842627E-2</v>
      </c>
      <c r="Y164" s="119">
        <v>1.73281174003211E-2</v>
      </c>
      <c r="Z164" s="119">
        <v>1.8211172206979799E-2</v>
      </c>
      <c r="AA164" s="119">
        <v>1.9177213210184799E-2</v>
      </c>
      <c r="AB164" s="119">
        <v>1.9889748617494499E-2</v>
      </c>
      <c r="AC164" s="119">
        <v>2.06125314943588E-2</v>
      </c>
      <c r="AD164" s="119">
        <v>2.1280110770655902E-2</v>
      </c>
      <c r="AE164" s="119">
        <v>2.2176795338927E-2</v>
      </c>
      <c r="AF164" s="119">
        <v>2.2900492680308599E-2</v>
      </c>
      <c r="AG164" s="119">
        <v>2.3835309939768699E-2</v>
      </c>
      <c r="AH164" s="119">
        <v>2.45363386671484E-2</v>
      </c>
      <c r="AI164" s="119">
        <v>2.54656447634245E-2</v>
      </c>
      <c r="AJ164" s="119">
        <v>2.61072006282877E-2</v>
      </c>
      <c r="AK164" s="119">
        <v>2.72221362353301E-2</v>
      </c>
      <c r="AL164" s="119">
        <v>2.7916894729850199E-2</v>
      </c>
      <c r="AM164" s="119">
        <v>2.90068681318322E-2</v>
      </c>
      <c r="AN164" s="119">
        <v>3.0142003360645899E-2</v>
      </c>
      <c r="AO164" s="119">
        <v>3.08239791691261E-2</v>
      </c>
      <c r="AP164" s="119">
        <v>3.17013981114663E-2</v>
      </c>
      <c r="AQ164" s="119">
        <v>3.2473488009810501E-2</v>
      </c>
      <c r="AR164" s="119">
        <v>3.3459977845167799E-2</v>
      </c>
      <c r="AS164" s="119">
        <v>3.5477867979496397E-2</v>
      </c>
      <c r="AT164" s="119">
        <v>3.53018376562894E-2</v>
      </c>
      <c r="AU164" s="119">
        <v>3.4638103021355199E-2</v>
      </c>
      <c r="AV164" s="119">
        <v>3.4179709919876101E-2</v>
      </c>
      <c r="AW164" s="119">
        <v>3.3712115329890303E-2</v>
      </c>
      <c r="AX164" s="119">
        <v>3.4378486484535502E-2</v>
      </c>
      <c r="AY164" s="119">
        <v>3.5840828387809297E-2</v>
      </c>
      <c r="AZ164" s="119">
        <v>3.7813204614030302E-2</v>
      </c>
      <c r="BA164" s="119">
        <v>3.9650618050517401E-2</v>
      </c>
      <c r="BB164" s="119">
        <v>4.2051017923376802E-2</v>
      </c>
      <c r="BC164" s="119">
        <v>4.4015443845367597E-2</v>
      </c>
      <c r="BD164" s="119">
        <v>4.6546562312628798E-2</v>
      </c>
      <c r="BE164" s="119">
        <v>4.9014285075960701E-2</v>
      </c>
      <c r="BF164" s="119">
        <v>5.18520863260611E-2</v>
      </c>
      <c r="BG164" s="119">
        <v>5.4259857028722797E-2</v>
      </c>
      <c r="BH164" s="119">
        <v>5.7514620445595202E-2</v>
      </c>
      <c r="BI164" s="119">
        <v>6.0696690700193699E-2</v>
      </c>
      <c r="BJ164" s="119">
        <v>6.3825115328801502E-2</v>
      </c>
      <c r="BK164" s="119">
        <v>6.7409851540562296E-2</v>
      </c>
      <c r="BL164" s="119">
        <v>7.0776830398296506E-2</v>
      </c>
    </row>
    <row r="165" spans="1:64" x14ac:dyDescent="0.25">
      <c r="A165" s="860" t="s">
        <v>257</v>
      </c>
      <c r="B165" s="1">
        <v>724</v>
      </c>
      <c r="C165" s="119">
        <v>0.5</v>
      </c>
      <c r="D165" s="119">
        <v>0.12573037384593</v>
      </c>
      <c r="E165" s="119">
        <v>0.13465196903850499</v>
      </c>
      <c r="F165" s="119">
        <v>0.14157819649161399</v>
      </c>
      <c r="G165" s="119">
        <v>0.15214899088143</v>
      </c>
      <c r="H165" s="119">
        <v>0.162151144957659</v>
      </c>
      <c r="I165" s="119">
        <v>0.17364287739572201</v>
      </c>
      <c r="J165" s="119">
        <v>0.18492082217502301</v>
      </c>
      <c r="K165" s="119">
        <v>0.197491959828312</v>
      </c>
      <c r="L165" s="119">
        <v>0.21713742131769401</v>
      </c>
      <c r="M165" s="119">
        <v>0.24012162050225</v>
      </c>
      <c r="N165" s="119">
        <v>0.26397365142985801</v>
      </c>
      <c r="O165" s="119">
        <v>0.28788011783671602</v>
      </c>
      <c r="P165" s="119">
        <v>0.31532505722028198</v>
      </c>
      <c r="Q165" s="119">
        <v>0.34008768229912001</v>
      </c>
      <c r="R165" s="119">
        <v>0.36725032016113601</v>
      </c>
      <c r="S165" s="119">
        <v>0.39310398941693497</v>
      </c>
      <c r="T165" s="119">
        <v>0.42022448704843302</v>
      </c>
      <c r="U165" s="119">
        <v>0.44391323687703899</v>
      </c>
      <c r="V165" s="119">
        <v>0.46932526518596102</v>
      </c>
      <c r="W165" s="119">
        <v>0.49171902141699497</v>
      </c>
      <c r="X165" s="119">
        <v>0.51637762336540605</v>
      </c>
      <c r="Y165" s="119">
        <v>0.53604576057622899</v>
      </c>
      <c r="Z165" s="119">
        <v>0.55699892356638803</v>
      </c>
      <c r="AA165" s="119">
        <v>0.57897965298125997</v>
      </c>
      <c r="AB165" s="119">
        <v>0.59693626878682704</v>
      </c>
      <c r="AC165" s="119">
        <v>0.61193031754739802</v>
      </c>
      <c r="AD165" s="119">
        <v>0.62297673259946296</v>
      </c>
      <c r="AE165" s="119">
        <v>0.63220426832292398</v>
      </c>
      <c r="AF165" s="119">
        <v>0.639896630740725</v>
      </c>
      <c r="AG165" s="119">
        <v>0.64581363696454497</v>
      </c>
      <c r="AH165" s="119">
        <v>0.64658367820314999</v>
      </c>
      <c r="AI165" s="119">
        <v>0.64584754500963604</v>
      </c>
      <c r="AJ165" s="119">
        <v>0.64506302839770402</v>
      </c>
      <c r="AK165" s="119">
        <v>0.64323512327122601</v>
      </c>
      <c r="AL165" s="119">
        <v>0.64257354135775402</v>
      </c>
      <c r="AM165" s="119">
        <v>0.64263545854436799</v>
      </c>
      <c r="AN165" s="119">
        <v>0.64432458215680799</v>
      </c>
      <c r="AO165" s="119">
        <v>0.65050380480672998</v>
      </c>
      <c r="AP165" s="119">
        <v>0.65763330042258294</v>
      </c>
      <c r="AQ165" s="119">
        <v>0.657499726934198</v>
      </c>
      <c r="AR165" s="119">
        <v>0.65609832837245596</v>
      </c>
      <c r="AS165" s="119">
        <v>0.65166274424264303</v>
      </c>
      <c r="AT165" s="119">
        <v>0.64652202582560203</v>
      </c>
      <c r="AU165" s="119">
        <v>0.64197503841565895</v>
      </c>
      <c r="AV165" s="119">
        <v>0.63718516704494499</v>
      </c>
      <c r="AW165" s="119">
        <v>0.63139040510260003</v>
      </c>
      <c r="AX165" s="119">
        <v>0.62608360479696201</v>
      </c>
      <c r="AY165" s="119">
        <v>0.62127541722764501</v>
      </c>
      <c r="AZ165" s="119">
        <v>0.61617104514798804</v>
      </c>
      <c r="BA165" s="119">
        <v>0.61576798831582202</v>
      </c>
      <c r="BB165" s="119">
        <v>0.61564109333330197</v>
      </c>
      <c r="BC165" s="119">
        <v>0.61695087892436795</v>
      </c>
      <c r="BD165" s="119">
        <v>0.618099123141436</v>
      </c>
      <c r="BE165" s="119">
        <v>0.61846059290823896</v>
      </c>
      <c r="BF165" s="119">
        <v>0.62117592083798601</v>
      </c>
      <c r="BG165" s="119">
        <v>0.62204516988276304</v>
      </c>
      <c r="BH165" s="119">
        <v>0.62261761329916299</v>
      </c>
      <c r="BI165" s="119">
        <v>0.62285777939051001</v>
      </c>
      <c r="BJ165" s="119">
        <v>0.62422761720823405</v>
      </c>
      <c r="BK165" s="119">
        <v>0.62354912490109904</v>
      </c>
      <c r="BL165" s="119">
        <v>0.62520185389501104</v>
      </c>
    </row>
    <row r="166" spans="1:64" x14ac:dyDescent="0.25">
      <c r="A166" s="860" t="s">
        <v>66</v>
      </c>
      <c r="B166" s="1">
        <v>144</v>
      </c>
      <c r="C166" s="119">
        <v>0.5</v>
      </c>
      <c r="D166" s="119">
        <v>0.198220348081695</v>
      </c>
      <c r="E166" s="119">
        <v>0.20580562931490101</v>
      </c>
      <c r="F166" s="119">
        <v>0.21337013999988899</v>
      </c>
      <c r="G166" s="119">
        <v>0.22188007411840099</v>
      </c>
      <c r="H166" s="119">
        <v>0.23224177558886899</v>
      </c>
      <c r="I166" s="119">
        <v>0.242691960374919</v>
      </c>
      <c r="J166" s="119">
        <v>0.25704679860692398</v>
      </c>
      <c r="K166" s="119">
        <v>0.27339397965207202</v>
      </c>
      <c r="L166" s="119">
        <v>0.28904274567879101</v>
      </c>
      <c r="M166" s="119">
        <v>0.30341789707782102</v>
      </c>
      <c r="N166" s="119">
        <v>0.31678295594957001</v>
      </c>
      <c r="O166" s="119">
        <v>0.33021955747224602</v>
      </c>
      <c r="P166" s="119">
        <v>0.341442632984231</v>
      </c>
      <c r="Q166" s="119">
        <v>0.35849425238928201</v>
      </c>
      <c r="R166" s="119">
        <v>0.37329522711272001</v>
      </c>
      <c r="S166" s="119">
        <v>0.38723634075671698</v>
      </c>
      <c r="T166" s="119">
        <v>0.40232924015219101</v>
      </c>
      <c r="U166" s="119">
        <v>0.41463205542848802</v>
      </c>
      <c r="V166" s="119">
        <v>0.42241424946428402</v>
      </c>
      <c r="W166" s="119">
        <v>0.42889149820922601</v>
      </c>
      <c r="X166" s="119">
        <v>0.434489154830487</v>
      </c>
      <c r="Y166" s="119">
        <v>0.44343996964041799</v>
      </c>
      <c r="Z166" s="119">
        <v>0.451254229905037</v>
      </c>
      <c r="AA166" s="119">
        <v>0.45898693403576102</v>
      </c>
      <c r="AB166" s="119">
        <v>0.46713644859862602</v>
      </c>
      <c r="AC166" s="119">
        <v>0.47461313619454099</v>
      </c>
      <c r="AD166" s="119">
        <v>0.480088978719099</v>
      </c>
      <c r="AE166" s="119">
        <v>0.48652265576937997</v>
      </c>
      <c r="AF166" s="119">
        <v>0.49264850439763103</v>
      </c>
      <c r="AG166" s="119">
        <v>0.49847327054037799</v>
      </c>
      <c r="AH166" s="119">
        <v>0.50439613868714195</v>
      </c>
      <c r="AI166" s="119">
        <v>0.50912235530448402</v>
      </c>
      <c r="AJ166" s="119">
        <v>0.51407218829673895</v>
      </c>
      <c r="AK166" s="119">
        <v>0.51802228493847902</v>
      </c>
      <c r="AL166" s="119">
        <v>0.52356562760936298</v>
      </c>
      <c r="AM166" s="119">
        <v>0.52868597294512099</v>
      </c>
      <c r="AN166" s="119">
        <v>0.53043255220304897</v>
      </c>
      <c r="AO166" s="119">
        <v>0.532791366138334</v>
      </c>
      <c r="AP166" s="119">
        <v>0.53475061390873402</v>
      </c>
      <c r="AQ166" s="119">
        <v>0.53409653226848797</v>
      </c>
      <c r="AR166" s="119">
        <v>0.53434347792149095</v>
      </c>
      <c r="AS166" s="119">
        <v>0.53237099461251403</v>
      </c>
      <c r="AT166" s="119">
        <v>0.53238366993435904</v>
      </c>
      <c r="AU166" s="119">
        <v>0.532360056590789</v>
      </c>
      <c r="AV166" s="119">
        <v>0.53244049420161699</v>
      </c>
      <c r="AW166" s="119">
        <v>0.53362821970132801</v>
      </c>
      <c r="AX166" s="119">
        <v>0.534507863538637</v>
      </c>
      <c r="AY166" s="119">
        <v>0.53693104683604898</v>
      </c>
      <c r="AZ166" s="119">
        <v>0.54033606600180595</v>
      </c>
      <c r="BA166" s="119">
        <v>0.54265365910295305</v>
      </c>
      <c r="BB166" s="119">
        <v>0.54662422018428303</v>
      </c>
      <c r="BC166" s="119">
        <v>0.55045151032564199</v>
      </c>
      <c r="BD166" s="119">
        <v>0.55612540170010305</v>
      </c>
      <c r="BE166" s="119">
        <v>0.55795822055205302</v>
      </c>
      <c r="BF166" s="119">
        <v>0.56290779753019704</v>
      </c>
      <c r="BG166" s="119">
        <v>0.56378803611394601</v>
      </c>
      <c r="BH166" s="119">
        <v>0.56724197210299898</v>
      </c>
      <c r="BI166" s="119">
        <v>0.56966046080034805</v>
      </c>
      <c r="BJ166" s="119">
        <v>0.57582558264240802</v>
      </c>
      <c r="BK166" s="119">
        <v>0.57878817433287399</v>
      </c>
      <c r="BL166" s="119">
        <v>0.58035356480076095</v>
      </c>
    </row>
    <row r="167" spans="1:64" x14ac:dyDescent="0.25">
      <c r="A167" s="860" t="s">
        <v>67</v>
      </c>
      <c r="B167" s="1">
        <v>275</v>
      </c>
      <c r="C167" s="119">
        <v>0.5</v>
      </c>
      <c r="D167" s="119">
        <v>0.124002434469481</v>
      </c>
      <c r="E167" s="119">
        <v>0.128559391966314</v>
      </c>
      <c r="F167" s="119">
        <v>0.134566912916873</v>
      </c>
      <c r="G167" s="119">
        <v>0.14117580188193199</v>
      </c>
      <c r="H167" s="119">
        <v>0.14754331431755899</v>
      </c>
      <c r="I167" s="119">
        <v>0.15204471799480199</v>
      </c>
      <c r="J167" s="119">
        <v>0.15955335856234801</v>
      </c>
      <c r="K167" s="119">
        <v>0.1659383384601</v>
      </c>
      <c r="L167" s="119">
        <v>0.172114190132339</v>
      </c>
      <c r="M167" s="119">
        <v>0.17942365323165699</v>
      </c>
      <c r="N167" s="119">
        <v>0.18698736773074101</v>
      </c>
      <c r="O167" s="119">
        <v>0.19394076359652401</v>
      </c>
      <c r="P167" s="119">
        <v>0.20099818734862801</v>
      </c>
      <c r="Q167" s="119">
        <v>0.20868817668067399</v>
      </c>
      <c r="R167" s="119">
        <v>0.214711836185075</v>
      </c>
      <c r="S167" s="119">
        <v>0.223334598436356</v>
      </c>
      <c r="T167" s="119">
        <v>0.23059748063048999</v>
      </c>
      <c r="U167" s="119">
        <v>0.23773674140597401</v>
      </c>
      <c r="V167" s="119">
        <v>0.244431062509742</v>
      </c>
      <c r="W167" s="119">
        <v>0.25230643401087899</v>
      </c>
      <c r="X167" s="119">
        <v>0.25867771089070601</v>
      </c>
      <c r="Y167" s="119">
        <v>0.26634114320806701</v>
      </c>
      <c r="Z167" s="119">
        <v>0.27454776673811199</v>
      </c>
      <c r="AA167" s="119">
        <v>0.281995614931976</v>
      </c>
      <c r="AB167" s="119">
        <v>0.291201636937862</v>
      </c>
      <c r="AC167" s="119">
        <v>0.29976886089634103</v>
      </c>
      <c r="AD167" s="119">
        <v>0.31033033611702099</v>
      </c>
      <c r="AE167" s="119">
        <v>0.32123555942695198</v>
      </c>
      <c r="AF167" s="119">
        <v>0.33169925356977398</v>
      </c>
      <c r="AG167" s="119">
        <v>0.34160299440216502</v>
      </c>
      <c r="AH167" s="119">
        <v>0.35029521336852898</v>
      </c>
      <c r="AI167" s="119">
        <v>0.35747798322769497</v>
      </c>
      <c r="AJ167" s="119">
        <v>0.36267069798572699</v>
      </c>
      <c r="AK167" s="119">
        <v>0.36832935145124102</v>
      </c>
      <c r="AL167" s="119">
        <v>0.37415891272602197</v>
      </c>
      <c r="AM167" s="119">
        <v>0.38043047774927402</v>
      </c>
      <c r="AN167" s="119">
        <v>0.38743814662974702</v>
      </c>
      <c r="AO167" s="119">
        <v>0.39322202686810098</v>
      </c>
      <c r="AP167" s="119">
        <v>0.39963797770876602</v>
      </c>
      <c r="AQ167" s="119">
        <v>0.40604055893098201</v>
      </c>
      <c r="AR167" s="119">
        <v>0.41200944420811703</v>
      </c>
      <c r="AS167" s="119">
        <v>0.41860349494501398</v>
      </c>
      <c r="AT167" s="119">
        <v>0.42444217858629701</v>
      </c>
      <c r="AU167" s="119">
        <v>0.43055999492536301</v>
      </c>
      <c r="AV167" s="119">
        <v>0.434296788238828</v>
      </c>
      <c r="AW167" s="119">
        <v>0.43758744530512</v>
      </c>
      <c r="AX167" s="119">
        <v>0.44013528039859001</v>
      </c>
      <c r="AY167" s="119">
        <v>0.44367645161035402</v>
      </c>
      <c r="AZ167" s="119">
        <v>0.44776077335702602</v>
      </c>
      <c r="BA167" s="119">
        <v>0.448792492804442</v>
      </c>
      <c r="BB167" s="119">
        <v>0.45345592142631203</v>
      </c>
      <c r="BC167" s="119">
        <v>0.45782483832382698</v>
      </c>
      <c r="BD167" s="119">
        <v>0.460954095316922</v>
      </c>
      <c r="BE167" s="119">
        <v>0.46315595833526202</v>
      </c>
      <c r="BF167" s="119">
        <v>0.46797188725126798</v>
      </c>
      <c r="BG167" s="119">
        <v>0.47049775383070502</v>
      </c>
      <c r="BH167" s="119">
        <v>0.47419786378877199</v>
      </c>
      <c r="BI167" s="119">
        <v>0.47834111966518</v>
      </c>
      <c r="BJ167" s="119">
        <v>0.48341509823366402</v>
      </c>
      <c r="BK167" s="119">
        <v>0.48415451649754898</v>
      </c>
      <c r="BL167" s="119">
        <v>0.48755530434181699</v>
      </c>
    </row>
    <row r="168" spans="1:64" x14ac:dyDescent="0.25">
      <c r="A168" s="860" t="s">
        <v>68</v>
      </c>
      <c r="B168" s="1">
        <v>729</v>
      </c>
      <c r="C168" s="119">
        <v>0.5</v>
      </c>
      <c r="D168" s="119">
        <v>2.4458695815742702E-2</v>
      </c>
      <c r="E168" s="119">
        <v>2.6003316368692901E-2</v>
      </c>
      <c r="F168" s="119">
        <v>2.74343733074978E-2</v>
      </c>
      <c r="G168" s="119">
        <v>2.8982918248371299E-2</v>
      </c>
      <c r="H168" s="119">
        <v>3.0550609612421599E-2</v>
      </c>
      <c r="I168" s="119">
        <v>3.2120761369023303E-2</v>
      </c>
      <c r="J168" s="119">
        <v>3.3813945596376002E-2</v>
      </c>
      <c r="K168" s="119">
        <v>3.5591723674938E-2</v>
      </c>
      <c r="L168" s="119">
        <v>3.7536605586021198E-2</v>
      </c>
      <c r="M168" s="119">
        <v>3.8850888796382703E-2</v>
      </c>
      <c r="N168" s="119">
        <v>4.0264566818595901E-2</v>
      </c>
      <c r="O168" s="119">
        <v>4.1866322753194199E-2</v>
      </c>
      <c r="P168" s="119">
        <v>4.3461587254213403E-2</v>
      </c>
      <c r="Q168" s="119">
        <v>4.4799840980987701E-2</v>
      </c>
      <c r="R168" s="119">
        <v>4.6272179279397002E-2</v>
      </c>
      <c r="S168" s="119">
        <v>4.8018661598507997E-2</v>
      </c>
      <c r="T168" s="119">
        <v>4.9487451157336201E-2</v>
      </c>
      <c r="U168" s="119">
        <v>5.1201212362669397E-2</v>
      </c>
      <c r="V168" s="119">
        <v>5.2864592877863797E-2</v>
      </c>
      <c r="W168" s="119">
        <v>5.4357942446806001E-2</v>
      </c>
      <c r="X168" s="119">
        <v>5.5326659425379003E-2</v>
      </c>
      <c r="Y168" s="119">
        <v>5.6669439266913903E-2</v>
      </c>
      <c r="Z168" s="119">
        <v>5.7647858777862902E-2</v>
      </c>
      <c r="AA168" s="119">
        <v>5.76780796983948E-2</v>
      </c>
      <c r="AB168" s="119">
        <v>5.7579627195378201E-2</v>
      </c>
      <c r="AC168" s="119">
        <v>5.7317338042481597E-2</v>
      </c>
      <c r="AD168" s="119">
        <v>5.6834080215660797E-2</v>
      </c>
      <c r="AE168" s="119">
        <v>5.65538059988442E-2</v>
      </c>
      <c r="AF168" s="119">
        <v>5.6091843268344203E-2</v>
      </c>
      <c r="AG168" s="119">
        <v>5.6738765183494001E-2</v>
      </c>
      <c r="AH168" s="119">
        <v>5.8885641610353603E-2</v>
      </c>
      <c r="AI168" s="119">
        <v>6.15247498848727E-2</v>
      </c>
      <c r="AJ168" s="119">
        <v>6.4650625544398904E-2</v>
      </c>
      <c r="AK168" s="119">
        <v>6.7663389687330697E-2</v>
      </c>
      <c r="AL168" s="119">
        <v>7.1109101054919605E-2</v>
      </c>
      <c r="AM168" s="119">
        <v>7.4195660160156995E-2</v>
      </c>
      <c r="AN168" s="119">
        <v>7.7396633867082398E-2</v>
      </c>
      <c r="AO168" s="119">
        <v>8.0373728005227102E-2</v>
      </c>
      <c r="AP168" s="119">
        <v>8.3315681132019204E-2</v>
      </c>
      <c r="AQ168" s="119">
        <v>8.6882130191632101E-2</v>
      </c>
      <c r="AR168" s="119">
        <v>9.0084802200357597E-2</v>
      </c>
      <c r="AS168" s="119">
        <v>9.4349973184116004E-2</v>
      </c>
      <c r="AT168" s="119">
        <v>9.84614949280187E-2</v>
      </c>
      <c r="AU168" s="119">
        <v>0.103134145803098</v>
      </c>
      <c r="AV168" s="119">
        <v>0.107808309115919</v>
      </c>
      <c r="AW168" s="119">
        <v>0.112418638515701</v>
      </c>
      <c r="AX168" s="119">
        <v>0.117492731282394</v>
      </c>
      <c r="AY168" s="119">
        <v>0.121703739988272</v>
      </c>
      <c r="AZ168" s="119">
        <v>0.12678069886777901</v>
      </c>
      <c r="BA168" s="119">
        <v>0.131462780464531</v>
      </c>
      <c r="BB168" s="119">
        <v>0.13739268265510701</v>
      </c>
      <c r="BC168" s="119">
        <v>0.141432983507841</v>
      </c>
      <c r="BD168" s="119">
        <v>0.14643335985634401</v>
      </c>
      <c r="BE168" s="119">
        <v>0.15163762390114499</v>
      </c>
      <c r="BF168" s="119">
        <v>0.156230385547178</v>
      </c>
      <c r="BG168" s="119">
        <v>0.16298142802271001</v>
      </c>
      <c r="BH168" s="119">
        <v>0.16821584332749701</v>
      </c>
      <c r="BI168" s="119">
        <v>0.17344973654854701</v>
      </c>
      <c r="BJ168" s="119">
        <v>0.17972709615881099</v>
      </c>
      <c r="BK168" s="119">
        <v>0.18570307069415401</v>
      </c>
      <c r="BL168" s="119">
        <v>0.19138925497248699</v>
      </c>
    </row>
    <row r="169" spans="1:64" x14ac:dyDescent="0.25">
      <c r="A169" s="860" t="s">
        <v>258</v>
      </c>
      <c r="B169" s="1">
        <v>740</v>
      </c>
      <c r="C169" s="119">
        <v>0.5</v>
      </c>
      <c r="D169" s="119">
        <v>0.19947800766658599</v>
      </c>
      <c r="E169" s="119">
        <v>0.20679452346663199</v>
      </c>
      <c r="F169" s="119">
        <v>0.21782685399510801</v>
      </c>
      <c r="G169" s="119">
        <v>0.22993440623245301</v>
      </c>
      <c r="H169" s="119">
        <v>0.24038782681408699</v>
      </c>
      <c r="I169" s="119">
        <v>0.25189740485538098</v>
      </c>
      <c r="J169" s="119">
        <v>0.26244198232723098</v>
      </c>
      <c r="K169" s="119">
        <v>0.27264484791655302</v>
      </c>
      <c r="L169" s="119">
        <v>0.281530375418999</v>
      </c>
      <c r="M169" s="119">
        <v>0.29243453877065201</v>
      </c>
      <c r="N169" s="119">
        <v>0.30583793846587798</v>
      </c>
      <c r="O169" s="119">
        <v>0.31399411984317099</v>
      </c>
      <c r="P169" s="119">
        <v>0.32493586334058699</v>
      </c>
      <c r="Q169" s="119">
        <v>0.33649752315022602</v>
      </c>
      <c r="R169" s="119">
        <v>0.344674788365955</v>
      </c>
      <c r="S169" s="119">
        <v>0.35600208647466097</v>
      </c>
      <c r="T169" s="119">
        <v>0.36778505139250101</v>
      </c>
      <c r="U169" s="119">
        <v>0.37899568767719</v>
      </c>
      <c r="V169" s="119">
        <v>0.38679919620396003</v>
      </c>
      <c r="W169" s="119">
        <v>0.39711155945481003</v>
      </c>
      <c r="X169" s="119">
        <v>0.40704648494092899</v>
      </c>
      <c r="Y169" s="119">
        <v>0.41551253627002399</v>
      </c>
      <c r="Z169" s="119">
        <v>0.42210142555973501</v>
      </c>
      <c r="AA169" s="119">
        <v>0.42418461325771301</v>
      </c>
      <c r="AB169" s="119">
        <v>0.42676893131244298</v>
      </c>
      <c r="AC169" s="119">
        <v>0.42862670331132102</v>
      </c>
      <c r="AD169" s="119">
        <v>0.42886176398264603</v>
      </c>
      <c r="AE169" s="119">
        <v>0.42922902214084102</v>
      </c>
      <c r="AF169" s="119">
        <v>0.429273537769647</v>
      </c>
      <c r="AG169" s="119">
        <v>0.43233127430221102</v>
      </c>
      <c r="AH169" s="119">
        <v>0.43515268916131</v>
      </c>
      <c r="AI169" s="119">
        <v>0.43629285970641202</v>
      </c>
      <c r="AJ169" s="119">
        <v>0.43898147597126502</v>
      </c>
      <c r="AK169" s="119">
        <v>0.44216416797918401</v>
      </c>
      <c r="AL169" s="119">
        <v>0.44386711684664898</v>
      </c>
      <c r="AM169" s="119">
        <v>0.44619626914469501</v>
      </c>
      <c r="AN169" s="119">
        <v>0.44715943162897698</v>
      </c>
      <c r="AO169" s="119">
        <v>0.45030575403461298</v>
      </c>
      <c r="AP169" s="119">
        <v>0.45252105540565402</v>
      </c>
      <c r="AQ169" s="119">
        <v>0.45435746146628198</v>
      </c>
      <c r="AR169" s="119">
        <v>0.455255865799718</v>
      </c>
      <c r="AS169" s="119">
        <v>0.45525825175303802</v>
      </c>
      <c r="AT169" s="119">
        <v>0.45265743049448898</v>
      </c>
      <c r="AU169" s="119">
        <v>0.45084980697488702</v>
      </c>
      <c r="AV169" s="119">
        <v>0.449265842123378</v>
      </c>
      <c r="AW169" s="119">
        <v>0.44503947582922998</v>
      </c>
      <c r="AX169" s="119">
        <v>0.44548818781184302</v>
      </c>
      <c r="AY169" s="119">
        <v>0.44279868325371602</v>
      </c>
      <c r="AZ169" s="119">
        <v>0.44432487805319298</v>
      </c>
      <c r="BA169" s="119">
        <v>0.44882974281913701</v>
      </c>
      <c r="BB169" s="119">
        <v>0.45537497298297902</v>
      </c>
      <c r="BC169" s="119">
        <v>0.462185004167397</v>
      </c>
      <c r="BD169" s="119">
        <v>0.46882251753042198</v>
      </c>
      <c r="BE169" s="119">
        <v>0.47631457772108499</v>
      </c>
      <c r="BF169" s="119">
        <v>0.48466988274417899</v>
      </c>
      <c r="BG169" s="119">
        <v>0.48854710097259202</v>
      </c>
      <c r="BH169" s="119">
        <v>0.49500179322610499</v>
      </c>
      <c r="BI169" s="119">
        <v>0.50266353989151302</v>
      </c>
      <c r="BJ169" s="119">
        <v>0.51061075353636098</v>
      </c>
      <c r="BK169" s="119">
        <v>0.51508961962174804</v>
      </c>
      <c r="BL169" s="119">
        <v>0.52086000629732698</v>
      </c>
    </row>
    <row r="170" spans="1:64" x14ac:dyDescent="0.25">
      <c r="A170" s="860" t="s">
        <v>260</v>
      </c>
      <c r="B170" s="1">
        <v>752</v>
      </c>
      <c r="C170" s="119">
        <v>0.5</v>
      </c>
      <c r="D170" s="119">
        <v>0.59797823939254102</v>
      </c>
      <c r="E170" s="119">
        <v>0.60567724849939097</v>
      </c>
      <c r="F170" s="119">
        <v>0.61034262115022397</v>
      </c>
      <c r="G170" s="119">
        <v>0.61540481033535499</v>
      </c>
      <c r="H170" s="119">
        <v>0.61962226496881201</v>
      </c>
      <c r="I170" s="119">
        <v>0.62683129873890098</v>
      </c>
      <c r="J170" s="119">
        <v>0.63292936055725002</v>
      </c>
      <c r="K170" s="119">
        <v>0.63812900726299304</v>
      </c>
      <c r="L170" s="119">
        <v>0.64142867953766103</v>
      </c>
      <c r="M170" s="119">
        <v>0.64588202306198705</v>
      </c>
      <c r="N170" s="119">
        <v>0.65181282164843102</v>
      </c>
      <c r="O170" s="119">
        <v>0.65381025726464004</v>
      </c>
      <c r="P170" s="119">
        <v>0.65243182221207496</v>
      </c>
      <c r="Q170" s="119">
        <v>0.65047439292779097</v>
      </c>
      <c r="R170" s="119">
        <v>0.64933991984803496</v>
      </c>
      <c r="S170" s="119">
        <v>0.64896354046756299</v>
      </c>
      <c r="T170" s="119">
        <v>0.64571358171933102</v>
      </c>
      <c r="U170" s="119">
        <v>0.64302334133111805</v>
      </c>
      <c r="V170" s="119">
        <v>0.64059714107989696</v>
      </c>
      <c r="W170" s="119">
        <v>0.63786041460731802</v>
      </c>
      <c r="X170" s="119">
        <v>0.63703957631941199</v>
      </c>
      <c r="Y170" s="119">
        <v>0.63771497223201701</v>
      </c>
      <c r="Z170" s="119">
        <v>0.63651725564205797</v>
      </c>
      <c r="AA170" s="119">
        <v>0.63716383906327601</v>
      </c>
      <c r="AB170" s="119">
        <v>0.63804268749111404</v>
      </c>
      <c r="AC170" s="119">
        <v>0.63889901526841497</v>
      </c>
      <c r="AD170" s="119">
        <v>0.63921652280640195</v>
      </c>
      <c r="AE170" s="119">
        <v>0.64098562991849195</v>
      </c>
      <c r="AF170" s="119">
        <v>0.64327731101442598</v>
      </c>
      <c r="AG170" s="119">
        <v>0.64652708604475195</v>
      </c>
      <c r="AH170" s="119">
        <v>0.648158475019875</v>
      </c>
      <c r="AI170" s="119">
        <v>0.65129521440312299</v>
      </c>
      <c r="AJ170" s="119">
        <v>0.65383067027743902</v>
      </c>
      <c r="AK170" s="119">
        <v>0.65677922267012301</v>
      </c>
      <c r="AL170" s="119">
        <v>0.65845744384161797</v>
      </c>
      <c r="AM170" s="119">
        <v>0.66097341162009304</v>
      </c>
      <c r="AN170" s="119">
        <v>0.66336944485767002</v>
      </c>
      <c r="AO170" s="119">
        <v>0.66685192153503703</v>
      </c>
      <c r="AP170" s="119">
        <v>0.66897061798806401</v>
      </c>
      <c r="AQ170" s="119">
        <v>0.67087754555742796</v>
      </c>
      <c r="AR170" s="119">
        <v>0.67134614802968096</v>
      </c>
      <c r="AS170" s="119">
        <v>0.67331215195135197</v>
      </c>
      <c r="AT170" s="119">
        <v>0.67557381491611102</v>
      </c>
      <c r="AU170" s="119">
        <v>0.67854785250042604</v>
      </c>
      <c r="AV170" s="119">
        <v>0.67653131023219304</v>
      </c>
      <c r="AW170" s="119">
        <v>0.67603522293993401</v>
      </c>
      <c r="AX170" s="119">
        <v>0.67616932311972899</v>
      </c>
      <c r="AY170" s="119">
        <v>0.67532360568665195</v>
      </c>
      <c r="AZ170" s="119">
        <v>0.67517552030913897</v>
      </c>
      <c r="BA170" s="119">
        <v>0.675226342348072</v>
      </c>
      <c r="BB170" s="119">
        <v>0.67649210591776598</v>
      </c>
      <c r="BC170" s="119">
        <v>0.67554780299988004</v>
      </c>
      <c r="BD170" s="119">
        <v>0.67679487324312304</v>
      </c>
      <c r="BE170" s="119">
        <v>0.67917876689804102</v>
      </c>
      <c r="BF170" s="119">
        <v>0.68003874520989605</v>
      </c>
      <c r="BG170" s="119">
        <v>0.68059452729639003</v>
      </c>
      <c r="BH170" s="119">
        <v>0.68203534390163201</v>
      </c>
      <c r="BI170" s="119">
        <v>0.68284560587673104</v>
      </c>
      <c r="BJ170" s="119">
        <v>0.685047871065109</v>
      </c>
      <c r="BK170" s="119">
        <v>0.68564288732052103</v>
      </c>
      <c r="BL170" s="119">
        <v>0.68759369087200095</v>
      </c>
    </row>
    <row r="171" spans="1:64" x14ac:dyDescent="0.25">
      <c r="A171" s="860" t="s">
        <v>261</v>
      </c>
      <c r="B171" s="1">
        <v>756</v>
      </c>
      <c r="C171" s="119">
        <v>0.5</v>
      </c>
      <c r="D171" s="119">
        <v>0.51777683354133897</v>
      </c>
      <c r="E171" s="119">
        <v>0.52751097395124302</v>
      </c>
      <c r="F171" s="119">
        <v>0.53779303437401904</v>
      </c>
      <c r="G171" s="119">
        <v>0.55190978590020401</v>
      </c>
      <c r="H171" s="119">
        <v>0.56245387305440098</v>
      </c>
      <c r="I171" s="119">
        <v>0.57386415611387998</v>
      </c>
      <c r="J171" s="119">
        <v>0.58431644599379795</v>
      </c>
      <c r="K171" s="119">
        <v>0.59252353899517396</v>
      </c>
      <c r="L171" s="119">
        <v>0.60103197826995902</v>
      </c>
      <c r="M171" s="119">
        <v>0.608363601381264</v>
      </c>
      <c r="N171" s="119">
        <v>0.617637807384395</v>
      </c>
      <c r="O171" s="119">
        <v>0.62133276751710198</v>
      </c>
      <c r="P171" s="119">
        <v>0.62585254173403704</v>
      </c>
      <c r="Q171" s="119">
        <v>0.63174628893745899</v>
      </c>
      <c r="R171" s="119">
        <v>0.63749344513656103</v>
      </c>
      <c r="S171" s="119">
        <v>0.64113854347834198</v>
      </c>
      <c r="T171" s="119">
        <v>0.64569309168811195</v>
      </c>
      <c r="U171" s="119">
        <v>0.64856735750894501</v>
      </c>
      <c r="V171" s="119">
        <v>0.65413225060010105</v>
      </c>
      <c r="W171" s="119">
        <v>0.66081903193786695</v>
      </c>
      <c r="X171" s="119">
        <v>0.66354859966116997</v>
      </c>
      <c r="Y171" s="119">
        <v>0.67057927347861801</v>
      </c>
      <c r="Z171" s="119">
        <v>0.67738194240690497</v>
      </c>
      <c r="AA171" s="119">
        <v>0.68370250512941</v>
      </c>
      <c r="AB171" s="119">
        <v>0.69072874850527999</v>
      </c>
      <c r="AC171" s="119">
        <v>0.695997992891769</v>
      </c>
      <c r="AD171" s="119">
        <v>0.69817670543522503</v>
      </c>
      <c r="AE171" s="119">
        <v>0.69922995847814595</v>
      </c>
      <c r="AF171" s="119">
        <v>0.700300694739173</v>
      </c>
      <c r="AG171" s="119">
        <v>0.69869000829053596</v>
      </c>
      <c r="AH171" s="119">
        <v>0.69873203039422505</v>
      </c>
      <c r="AI171" s="119">
        <v>0.69819660599216904</v>
      </c>
      <c r="AJ171" s="119">
        <v>0.69696671664503096</v>
      </c>
      <c r="AK171" s="119">
        <v>0.69706034310800202</v>
      </c>
      <c r="AL171" s="119">
        <v>0.69831274457264703</v>
      </c>
      <c r="AM171" s="119">
        <v>0.69649670589287405</v>
      </c>
      <c r="AN171" s="119">
        <v>0.69695358573448396</v>
      </c>
      <c r="AO171" s="119">
        <v>0.69667529948459905</v>
      </c>
      <c r="AP171" s="119">
        <v>0.69524770601291797</v>
      </c>
      <c r="AQ171" s="119">
        <v>0.69417386436185702</v>
      </c>
      <c r="AR171" s="119">
        <v>0.69394119361468298</v>
      </c>
      <c r="AS171" s="119">
        <v>0.69226966630079501</v>
      </c>
      <c r="AT171" s="119">
        <v>0.69088900929937103</v>
      </c>
      <c r="AU171" s="119">
        <v>0.68876861915748</v>
      </c>
      <c r="AV171" s="119">
        <v>0.68642393924786804</v>
      </c>
      <c r="AW171" s="119">
        <v>0.68501001947340601</v>
      </c>
      <c r="AX171" s="119">
        <v>0.68354596070875895</v>
      </c>
      <c r="AY171" s="119">
        <v>0.68208661008419902</v>
      </c>
      <c r="AZ171" s="119">
        <v>0.68197822847142198</v>
      </c>
      <c r="BA171" s="119">
        <v>0.68158090741677402</v>
      </c>
      <c r="BB171" s="119">
        <v>0.68360890807432495</v>
      </c>
      <c r="BC171" s="119">
        <v>0.68421749513851804</v>
      </c>
      <c r="BD171" s="119">
        <v>0.68591309518766197</v>
      </c>
      <c r="BE171" s="119">
        <v>0.68624030516908496</v>
      </c>
      <c r="BF171" s="119">
        <v>0.68845363515535996</v>
      </c>
      <c r="BG171" s="119">
        <v>0.69069214868929496</v>
      </c>
      <c r="BH171" s="119">
        <v>0.68983615412505095</v>
      </c>
      <c r="BI171" s="119">
        <v>0.69129495714831402</v>
      </c>
      <c r="BJ171" s="119">
        <v>0.69202655778434297</v>
      </c>
      <c r="BK171" s="119">
        <v>0.69293644097875895</v>
      </c>
      <c r="BL171" s="119">
        <v>0.69515682811832702</v>
      </c>
    </row>
    <row r="172" spans="1:64" x14ac:dyDescent="0.25">
      <c r="A172" s="860" t="s">
        <v>1234</v>
      </c>
      <c r="B172" s="1">
        <v>760</v>
      </c>
      <c r="C172" s="119">
        <v>0.5</v>
      </c>
      <c r="D172" s="119">
        <v>0.13518136376746201</v>
      </c>
      <c r="E172" s="119">
        <v>0.14186569331274099</v>
      </c>
      <c r="F172" s="119">
        <v>0.149146831667514</v>
      </c>
      <c r="G172" s="119">
        <v>0.15479242806174001</v>
      </c>
      <c r="H172" s="119">
        <v>0.16247187192779999</v>
      </c>
      <c r="I172" s="119">
        <v>0.16819148990308799</v>
      </c>
      <c r="J172" s="119">
        <v>0.17438629818013399</v>
      </c>
      <c r="K172" s="119">
        <v>0.18094422141340899</v>
      </c>
      <c r="L172" s="119">
        <v>0.18734948457811099</v>
      </c>
      <c r="M172" s="119">
        <v>0.19300791384570501</v>
      </c>
      <c r="N172" s="119">
        <v>0.19939839257947001</v>
      </c>
      <c r="O172" s="119">
        <v>0.20623213636913301</v>
      </c>
      <c r="P172" s="119">
        <v>0.21233900812774401</v>
      </c>
      <c r="Q172" s="119">
        <v>0.21796990790425</v>
      </c>
      <c r="R172" s="119">
        <v>0.223897334798381</v>
      </c>
      <c r="S172" s="119">
        <v>0.22962374389189</v>
      </c>
      <c r="T172" s="119">
        <v>0.23633587422310201</v>
      </c>
      <c r="U172" s="119">
        <v>0.24353524741214599</v>
      </c>
      <c r="V172" s="119">
        <v>0.25108127305939498</v>
      </c>
      <c r="W172" s="119">
        <v>0.25731728092586198</v>
      </c>
      <c r="X172" s="119">
        <v>0.265151008675719</v>
      </c>
      <c r="Y172" s="119">
        <v>0.27139130522753302</v>
      </c>
      <c r="Z172" s="119">
        <v>0.27982074972009402</v>
      </c>
      <c r="AA172" s="119">
        <v>0.28766371325433199</v>
      </c>
      <c r="AB172" s="119">
        <v>0.296168640241746</v>
      </c>
      <c r="AC172" s="119">
        <v>0.304272244248523</v>
      </c>
      <c r="AD172" s="119">
        <v>0.31268307231472903</v>
      </c>
      <c r="AE172" s="119">
        <v>0.32077240329180501</v>
      </c>
      <c r="AF172" s="119">
        <v>0.33201732749581597</v>
      </c>
      <c r="AG172" s="119">
        <v>0.34080640306316601</v>
      </c>
      <c r="AH172" s="119">
        <v>0.34846909768880502</v>
      </c>
      <c r="AI172" s="119">
        <v>0.35895691694408499</v>
      </c>
      <c r="AJ172" s="119">
        <v>0.36927911655795698</v>
      </c>
      <c r="AK172" s="119">
        <v>0.37883247973575301</v>
      </c>
      <c r="AL172" s="119">
        <v>0.38853180238791402</v>
      </c>
      <c r="AM172" s="119">
        <v>0.39740840876817202</v>
      </c>
      <c r="AN172" s="119">
        <v>0.40499555057994302</v>
      </c>
      <c r="AO172" s="119">
        <v>0.406187263175525</v>
      </c>
      <c r="AP172" s="119">
        <v>0.406458523263107</v>
      </c>
      <c r="AQ172" s="119">
        <v>0.40663384424806498</v>
      </c>
      <c r="AR172" s="119">
        <v>0.41211820352272699</v>
      </c>
      <c r="AS172" s="119">
        <v>0.415269411339449</v>
      </c>
      <c r="AT172" s="119">
        <v>0.419555872113545</v>
      </c>
      <c r="AU172" s="119">
        <v>0.42304033632125498</v>
      </c>
      <c r="AV172" s="119">
        <v>0.42852844154916903</v>
      </c>
      <c r="AW172" s="119">
        <v>0.43173446863310899</v>
      </c>
      <c r="AX172" s="119">
        <v>0.43685691485477302</v>
      </c>
      <c r="AY172" s="119">
        <v>0.44399896052203303</v>
      </c>
      <c r="AZ172" s="119">
        <v>0.446596966949381</v>
      </c>
      <c r="BA172" s="119">
        <v>0.44795737572232103</v>
      </c>
      <c r="BB172" s="119">
        <v>0.45493496150739299</v>
      </c>
      <c r="BC172" s="119">
        <v>0.45868993517805401</v>
      </c>
      <c r="BD172" s="119">
        <v>0.46363185026474701</v>
      </c>
      <c r="BE172" s="119">
        <v>0.46687609185196299</v>
      </c>
      <c r="BF172" s="119">
        <v>0.47078782728119201</v>
      </c>
      <c r="BG172" s="119">
        <v>0.472487320321471</v>
      </c>
      <c r="BH172" s="119">
        <v>0.47614171183797999</v>
      </c>
      <c r="BI172" s="119">
        <v>0.47958116873754802</v>
      </c>
      <c r="BJ172" s="119">
        <v>0.48351890096910299</v>
      </c>
      <c r="BK172" s="119">
        <v>0.48764459322657799</v>
      </c>
      <c r="BL172" s="119">
        <v>0.49001998894907001</v>
      </c>
    </row>
    <row r="173" spans="1:64" x14ac:dyDescent="0.25">
      <c r="A173" s="860" t="s">
        <v>69</v>
      </c>
      <c r="B173" s="1">
        <v>762</v>
      </c>
      <c r="C173" s="119">
        <v>0.5</v>
      </c>
      <c r="D173" s="119">
        <v>0.13679266181868799</v>
      </c>
      <c r="E173" s="119">
        <v>0.141304795509613</v>
      </c>
      <c r="F173" s="119">
        <v>0.14693015693123801</v>
      </c>
      <c r="G173" s="119">
        <v>0.15283456071203599</v>
      </c>
      <c r="H173" s="119">
        <v>0.158389638821363</v>
      </c>
      <c r="I173" s="119">
        <v>0.16278175385423099</v>
      </c>
      <c r="J173" s="119">
        <v>0.167952162948415</v>
      </c>
      <c r="K173" s="119">
        <v>0.17221242982118301</v>
      </c>
      <c r="L173" s="119">
        <v>0.17819751913887399</v>
      </c>
      <c r="M173" s="119">
        <v>0.182726810374158</v>
      </c>
      <c r="N173" s="119">
        <v>0.189008980081703</v>
      </c>
      <c r="O173" s="119">
        <v>0.19395235589184601</v>
      </c>
      <c r="P173" s="119">
        <v>0.20027385518247001</v>
      </c>
      <c r="Q173" s="119">
        <v>0.206250656186835</v>
      </c>
      <c r="R173" s="119">
        <v>0.213566833000566</v>
      </c>
      <c r="S173" s="119">
        <v>0.217519081278501</v>
      </c>
      <c r="T173" s="119">
        <v>0.223984581727453</v>
      </c>
      <c r="U173" s="119">
        <v>0.22990315891896701</v>
      </c>
      <c r="V173" s="119">
        <v>0.23569561604092601</v>
      </c>
      <c r="W173" s="119">
        <v>0.243391574406433</v>
      </c>
      <c r="X173" s="119">
        <v>0.24666871971315901</v>
      </c>
      <c r="Y173" s="119">
        <v>0.25360942145592003</v>
      </c>
      <c r="Z173" s="119">
        <v>0.257533592416819</v>
      </c>
      <c r="AA173" s="119">
        <v>0.26331073887168699</v>
      </c>
      <c r="AB173" s="119">
        <v>0.26850669722388099</v>
      </c>
      <c r="AC173" s="119">
        <v>0.27088165014690602</v>
      </c>
      <c r="AD173" s="119">
        <v>0.27648633680837498</v>
      </c>
      <c r="AE173" s="119">
        <v>0.28054140626994301</v>
      </c>
      <c r="AF173" s="119">
        <v>0.285606219572133</v>
      </c>
      <c r="AG173" s="119">
        <v>0.28846147724024002</v>
      </c>
      <c r="AH173" s="119">
        <v>0.29185447573075901</v>
      </c>
      <c r="AI173" s="119">
        <v>0.296522952002503</v>
      </c>
      <c r="AJ173" s="119">
        <v>0.30000572521323499</v>
      </c>
      <c r="AK173" s="119">
        <v>0.30301604498196399</v>
      </c>
      <c r="AL173" s="119">
        <v>0.30455869105983202</v>
      </c>
      <c r="AM173" s="119">
        <v>0.30522376217281</v>
      </c>
      <c r="AN173" s="119">
        <v>0.30069194126465199</v>
      </c>
      <c r="AO173" s="119">
        <v>0.294540043722329</v>
      </c>
      <c r="AP173" s="119">
        <v>0.288243252939195</v>
      </c>
      <c r="AQ173" s="119">
        <v>0.28085184357378701</v>
      </c>
      <c r="AR173" s="119">
        <v>0.27297583478631698</v>
      </c>
      <c r="AS173" s="119">
        <v>0.26601162072215001</v>
      </c>
      <c r="AT173" s="119">
        <v>0.26144650735865599</v>
      </c>
      <c r="AU173" s="119">
        <v>0.26096992612880299</v>
      </c>
      <c r="AV173" s="119">
        <v>0.26231379227173401</v>
      </c>
      <c r="AW173" s="119">
        <v>0.26506417798705201</v>
      </c>
      <c r="AX173" s="119">
        <v>0.26828363381014397</v>
      </c>
      <c r="AY173" s="119">
        <v>0.27170635086004002</v>
      </c>
      <c r="AZ173" s="119">
        <v>0.27569878736807901</v>
      </c>
      <c r="BA173" s="119">
        <v>0.281356057841394</v>
      </c>
      <c r="BB173" s="119">
        <v>0.287130015850938</v>
      </c>
      <c r="BC173" s="119">
        <v>0.29273859455849099</v>
      </c>
      <c r="BD173" s="119">
        <v>0.29882471172638198</v>
      </c>
      <c r="BE173" s="119">
        <v>0.304807328080822</v>
      </c>
      <c r="BF173" s="119">
        <v>0.31023032060372402</v>
      </c>
      <c r="BG173" s="119">
        <v>0.316307684303128</v>
      </c>
      <c r="BH173" s="119">
        <v>0.32241811854951802</v>
      </c>
      <c r="BI173" s="119">
        <v>0.32948123143546498</v>
      </c>
      <c r="BJ173" s="119">
        <v>0.337277156478623</v>
      </c>
      <c r="BK173" s="119">
        <v>0.34247452082240298</v>
      </c>
      <c r="BL173" s="119">
        <v>0.34923901566492599</v>
      </c>
    </row>
    <row r="174" spans="1:64" x14ac:dyDescent="0.25">
      <c r="A174" s="860" t="s">
        <v>262</v>
      </c>
      <c r="B174" s="1">
        <v>764</v>
      </c>
      <c r="C174" s="119">
        <v>0.5</v>
      </c>
      <c r="D174" s="119">
        <v>0.176116059359754</v>
      </c>
      <c r="E174" s="119">
        <v>0.205407488355422</v>
      </c>
      <c r="F174" s="119">
        <v>0.237313377421181</v>
      </c>
      <c r="G174" s="119">
        <v>0.26881555360727799</v>
      </c>
      <c r="H174" s="119">
        <v>0.30037473094733402</v>
      </c>
      <c r="I174" s="119">
        <v>0.33366814369108899</v>
      </c>
      <c r="J174" s="119">
        <v>0.36874510582610498</v>
      </c>
      <c r="K174" s="119">
        <v>0.405786013493936</v>
      </c>
      <c r="L174" s="119">
        <v>0.44140269809400901</v>
      </c>
      <c r="M174" s="119">
        <v>0.47360816590581201</v>
      </c>
      <c r="N174" s="119">
        <v>0.50411768515343403</v>
      </c>
      <c r="O174" s="119">
        <v>0.53209933509674801</v>
      </c>
      <c r="P174" s="119">
        <v>0.55413059611263804</v>
      </c>
      <c r="Q174" s="119">
        <v>0.57473928966199295</v>
      </c>
      <c r="R174" s="119">
        <v>0.59217107168425598</v>
      </c>
      <c r="S174" s="119">
        <v>0.60673305000800004</v>
      </c>
      <c r="T174" s="119">
        <v>0.61999959768548696</v>
      </c>
      <c r="U174" s="119">
        <v>0.63166960609404699</v>
      </c>
      <c r="V174" s="119">
        <v>0.64005844439142801</v>
      </c>
      <c r="W174" s="119">
        <v>0.64730751384349805</v>
      </c>
      <c r="X174" s="119">
        <v>0.65978677665110397</v>
      </c>
      <c r="Y174" s="119">
        <v>0.673997276405643</v>
      </c>
      <c r="Z174" s="119">
        <v>0.68951029244496498</v>
      </c>
      <c r="AA174" s="119">
        <v>0.70202108609457903</v>
      </c>
      <c r="AB174" s="119">
        <v>0.70927376734391701</v>
      </c>
      <c r="AC174" s="119">
        <v>0.71527991865774698</v>
      </c>
      <c r="AD174" s="119">
        <v>0.72025761987369197</v>
      </c>
      <c r="AE174" s="119">
        <v>0.72660211970758504</v>
      </c>
      <c r="AF174" s="119">
        <v>0.73252062132863505</v>
      </c>
      <c r="AG174" s="119">
        <v>0.73969801315623296</v>
      </c>
      <c r="AH174" s="119">
        <v>0.74424410765579696</v>
      </c>
      <c r="AI174" s="119">
        <v>0.74779468494796997</v>
      </c>
      <c r="AJ174" s="119">
        <v>0.746393842078241</v>
      </c>
      <c r="AK174" s="119">
        <v>0.74508392738789198</v>
      </c>
      <c r="AL174" s="119">
        <v>0.74397166728289399</v>
      </c>
      <c r="AM174" s="119">
        <v>0.74563625224934604</v>
      </c>
      <c r="AN174" s="119">
        <v>0.75083202049737996</v>
      </c>
      <c r="AO174" s="119">
        <v>0.75498974584372103</v>
      </c>
      <c r="AP174" s="119">
        <v>0.75832684668820205</v>
      </c>
      <c r="AQ174" s="119">
        <v>0.76075641981355302</v>
      </c>
      <c r="AR174" s="119">
        <v>0.76237256484941496</v>
      </c>
      <c r="AS174" s="119">
        <v>0.76349141308023605</v>
      </c>
      <c r="AT174" s="119">
        <v>0.76266928219979802</v>
      </c>
      <c r="AU174" s="119">
        <v>0.76194714615778802</v>
      </c>
      <c r="AV174" s="119">
        <v>0.76002878410484898</v>
      </c>
      <c r="AW174" s="119">
        <v>0.75770528793193404</v>
      </c>
      <c r="AX174" s="119">
        <v>0.75549399295842301</v>
      </c>
      <c r="AY174" s="119">
        <v>0.75303685829620204</v>
      </c>
      <c r="AZ174" s="119">
        <v>0.75070199386910996</v>
      </c>
      <c r="BA174" s="119">
        <v>0.74957986269681498</v>
      </c>
      <c r="BB174" s="119">
        <v>0.75003849561284597</v>
      </c>
      <c r="BC174" s="119">
        <v>0.75137322368983905</v>
      </c>
      <c r="BD174" s="119">
        <v>0.753626692073464</v>
      </c>
      <c r="BE174" s="119">
        <v>0.75534885833726595</v>
      </c>
      <c r="BF174" s="119">
        <v>0.75764713624011004</v>
      </c>
      <c r="BG174" s="119">
        <v>0.759503535018204</v>
      </c>
      <c r="BH174" s="119">
        <v>0.76153703124448102</v>
      </c>
      <c r="BI174" s="119">
        <v>0.76350031782289596</v>
      </c>
      <c r="BJ174" s="119">
        <v>0.76595451583767804</v>
      </c>
      <c r="BK174" s="119">
        <v>0.76670621543439099</v>
      </c>
      <c r="BL174" s="119">
        <v>0.76641316432092998</v>
      </c>
    </row>
    <row r="175" spans="1:64" x14ac:dyDescent="0.25">
      <c r="A175" s="860" t="s">
        <v>71</v>
      </c>
      <c r="B175" s="1">
        <v>626</v>
      </c>
      <c r="C175" s="119">
        <v>0.5</v>
      </c>
      <c r="D175" s="119">
        <v>6.1904984661379198E-2</v>
      </c>
      <c r="E175" s="119">
        <v>6.6740343067378693E-2</v>
      </c>
      <c r="F175" s="119">
        <v>7.1302546977527095E-2</v>
      </c>
      <c r="G175" s="119">
        <v>7.5948003448901097E-2</v>
      </c>
      <c r="H175" s="119">
        <v>8.0711984911777598E-2</v>
      </c>
      <c r="I175" s="119">
        <v>8.5991667260994401E-2</v>
      </c>
      <c r="J175" s="119">
        <v>9.1349630400778994E-2</v>
      </c>
      <c r="K175" s="119">
        <v>9.7868190504598801E-2</v>
      </c>
      <c r="L175" s="119">
        <v>0.10476214225387701</v>
      </c>
      <c r="M175" s="119">
        <v>0.11073542838344801</v>
      </c>
      <c r="N175" s="119">
        <v>0.11713738380581</v>
      </c>
      <c r="O175" s="119">
        <v>0.123207842673142</v>
      </c>
      <c r="P175" s="119">
        <v>0.13131122286695299</v>
      </c>
      <c r="Q175" s="119">
        <v>0.13821350955856401</v>
      </c>
      <c r="R175" s="119">
        <v>0.14551319853672801</v>
      </c>
      <c r="S175" s="119">
        <v>0.15494938026330901</v>
      </c>
      <c r="T175" s="119">
        <v>0.16366787921912601</v>
      </c>
      <c r="U175" s="119">
        <v>0.17205374033769999</v>
      </c>
      <c r="V175" s="119">
        <v>0.18055398265873199</v>
      </c>
      <c r="W175" s="119">
        <v>0.18851792766925199</v>
      </c>
      <c r="X175" s="119">
        <v>0.19610837295723199</v>
      </c>
      <c r="Y175" s="119">
        <v>0.201625970509826</v>
      </c>
      <c r="Z175" s="119">
        <v>0.205362791069956</v>
      </c>
      <c r="AA175" s="119">
        <v>0.20845483023397701</v>
      </c>
      <c r="AB175" s="119">
        <v>0.21284523566715599</v>
      </c>
      <c r="AC175" s="119">
        <v>0.219982703172865</v>
      </c>
      <c r="AD175" s="119">
        <v>0.225147228976912</v>
      </c>
      <c r="AE175" s="119">
        <v>0.223762659763625</v>
      </c>
      <c r="AF175" s="119">
        <v>0.20139827894224099</v>
      </c>
      <c r="AG175" s="119">
        <v>0.173425885528247</v>
      </c>
      <c r="AH175" s="119">
        <v>0.14729383579170199</v>
      </c>
      <c r="AI175" s="119">
        <v>0.126558051726888</v>
      </c>
      <c r="AJ175" s="119">
        <v>0.11506812399574</v>
      </c>
      <c r="AK175" s="119">
        <v>0.11073383024840799</v>
      </c>
      <c r="AL175" s="119">
        <v>0.11755159481296799</v>
      </c>
      <c r="AM175" s="119">
        <v>0.130160442221494</v>
      </c>
      <c r="AN175" s="119">
        <v>0.146617864490422</v>
      </c>
      <c r="AO175" s="119">
        <v>0.165063438133704</v>
      </c>
      <c r="AP175" s="119">
        <v>0.18660096498180301</v>
      </c>
      <c r="AQ175" s="119">
        <v>0.20660899107129099</v>
      </c>
      <c r="AR175" s="119">
        <v>0.217504705198099</v>
      </c>
      <c r="AS175" s="119">
        <v>0.22456893694020399</v>
      </c>
      <c r="AT175" s="119">
        <v>0.22838444569052899</v>
      </c>
      <c r="AU175" s="119">
        <v>0.23224476465267499</v>
      </c>
      <c r="AV175" s="119">
        <v>0.234521923863274</v>
      </c>
      <c r="AW175" s="119">
        <v>0.23854871181252499</v>
      </c>
      <c r="AX175" s="119">
        <v>0.242852389539958</v>
      </c>
      <c r="AY175" s="119">
        <v>0.25029801650261602</v>
      </c>
      <c r="AZ175" s="119">
        <v>0.25826686097010798</v>
      </c>
      <c r="BA175" s="119">
        <v>0.26745182747685498</v>
      </c>
      <c r="BB175" s="119">
        <v>0.27933268514732701</v>
      </c>
      <c r="BC175" s="119">
        <v>0.28899866341441699</v>
      </c>
      <c r="BD175" s="119">
        <v>0.29767296619190498</v>
      </c>
      <c r="BE175" s="119">
        <v>0.307330773327739</v>
      </c>
      <c r="BF175" s="119">
        <v>0.31842798217429902</v>
      </c>
      <c r="BG175" s="119">
        <v>0.327661960765256</v>
      </c>
      <c r="BH175" s="119">
        <v>0.339478652021455</v>
      </c>
      <c r="BI175" s="119">
        <v>0.34737964769106999</v>
      </c>
      <c r="BJ175" s="119">
        <v>0.35989940476214899</v>
      </c>
      <c r="BK175" s="119">
        <v>0.36900633414664902</v>
      </c>
      <c r="BL175" s="119">
        <v>0.37661928140851197</v>
      </c>
    </row>
    <row r="176" spans="1:64" x14ac:dyDescent="0.25">
      <c r="A176" s="860" t="s">
        <v>72</v>
      </c>
      <c r="B176" s="1">
        <v>768</v>
      </c>
      <c r="C176" s="119">
        <v>0.5</v>
      </c>
      <c r="D176" s="119">
        <v>3.3583163122274601E-3</v>
      </c>
      <c r="E176" s="119">
        <v>3.82749983646757E-3</v>
      </c>
      <c r="F176" s="119">
        <v>4.3851484775026201E-3</v>
      </c>
      <c r="G176" s="119">
        <v>4.9969871216477696E-3</v>
      </c>
      <c r="H176" s="119">
        <v>5.7423759870982799E-3</v>
      </c>
      <c r="I176" s="119">
        <v>6.4537487993751499E-3</v>
      </c>
      <c r="J176" s="119">
        <v>7.3363091031233701E-3</v>
      </c>
      <c r="K176" s="119">
        <v>8.46042921064772E-3</v>
      </c>
      <c r="L176" s="119">
        <v>9.5767570475387507E-3</v>
      </c>
      <c r="M176" s="119">
        <v>1.08206651661602E-2</v>
      </c>
      <c r="N176" s="119">
        <v>1.2298717000549599E-2</v>
      </c>
      <c r="O176" s="119">
        <v>1.37597025735054E-2</v>
      </c>
      <c r="P176" s="119">
        <v>1.54567126436836E-2</v>
      </c>
      <c r="Q176" s="119">
        <v>1.76584770638086E-2</v>
      </c>
      <c r="R176" s="119">
        <v>1.99579750171274E-2</v>
      </c>
      <c r="S176" s="119">
        <v>2.23807159484429E-2</v>
      </c>
      <c r="T176" s="119">
        <v>2.48446269273692E-2</v>
      </c>
      <c r="U176" s="119">
        <v>2.78358926569343E-2</v>
      </c>
      <c r="V176" s="119">
        <v>3.0938762499517498E-2</v>
      </c>
      <c r="W176" s="119">
        <v>3.3788471570122602E-2</v>
      </c>
      <c r="X176" s="119">
        <v>3.7018600869160201E-2</v>
      </c>
      <c r="Y176" s="119">
        <v>4.0300053083984301E-2</v>
      </c>
      <c r="Z176" s="119">
        <v>4.4074180041085598E-2</v>
      </c>
      <c r="AA176" s="119">
        <v>4.7245688001285598E-2</v>
      </c>
      <c r="AB176" s="119">
        <v>5.1389549295772198E-2</v>
      </c>
      <c r="AC176" s="119">
        <v>5.5566600863675E-2</v>
      </c>
      <c r="AD176" s="119">
        <v>6.0299725058976503E-2</v>
      </c>
      <c r="AE176" s="119">
        <v>6.5818612829477499E-2</v>
      </c>
      <c r="AF176" s="119">
        <v>7.1826407156221003E-2</v>
      </c>
      <c r="AG176" s="119">
        <v>8.1028479224827796E-2</v>
      </c>
      <c r="AH176" s="119">
        <v>9.0166619099728798E-2</v>
      </c>
      <c r="AI176" s="119">
        <v>9.7073544653741795E-2</v>
      </c>
      <c r="AJ176" s="119">
        <v>0.103421283913046</v>
      </c>
      <c r="AK176" s="119">
        <v>0.108146582939777</v>
      </c>
      <c r="AL176" s="119">
        <v>0.11323380395225301</v>
      </c>
      <c r="AM176" s="119">
        <v>0.11794911698334901</v>
      </c>
      <c r="AN176" s="119">
        <v>0.121895100189252</v>
      </c>
      <c r="AO176" s="119">
        <v>0.12755789758652999</v>
      </c>
      <c r="AP176" s="119">
        <v>0.132913735838386</v>
      </c>
      <c r="AQ176" s="119">
        <v>0.13811804155725799</v>
      </c>
      <c r="AR176" s="119">
        <v>0.14443512975429701</v>
      </c>
      <c r="AS176" s="119">
        <v>0.15057827929373799</v>
      </c>
      <c r="AT176" s="119">
        <v>0.15755896340831901</v>
      </c>
      <c r="AU176" s="119">
        <v>0.165077553640329</v>
      </c>
      <c r="AV176" s="119">
        <v>0.17322061604918099</v>
      </c>
      <c r="AW176" s="119">
        <v>0.18246416237093299</v>
      </c>
      <c r="AX176" s="119">
        <v>0.192915313088037</v>
      </c>
      <c r="AY176" s="119">
        <v>0.20286012548452501</v>
      </c>
      <c r="AZ176" s="119">
        <v>0.21180202810964399</v>
      </c>
      <c r="BA176" s="119">
        <v>0.220807078212505</v>
      </c>
      <c r="BB176" s="119">
        <v>0.22920323791486799</v>
      </c>
      <c r="BC176" s="119">
        <v>0.23835262585540601</v>
      </c>
      <c r="BD176" s="119">
        <v>0.246883489022661</v>
      </c>
      <c r="BE176" s="119">
        <v>0.25600821431792498</v>
      </c>
      <c r="BF176" s="119">
        <v>0.26317454199704299</v>
      </c>
      <c r="BG176" s="119">
        <v>0.27121910851640502</v>
      </c>
      <c r="BH176" s="119">
        <v>0.27915523777069101</v>
      </c>
      <c r="BI176" s="119">
        <v>0.28860741898012598</v>
      </c>
      <c r="BJ176" s="119">
        <v>0.29689581438738299</v>
      </c>
      <c r="BK176" s="119">
        <v>0.30511512102155702</v>
      </c>
      <c r="BL176" s="119">
        <v>0.313800889890961</v>
      </c>
    </row>
    <row r="177" spans="1:64" x14ac:dyDescent="0.25">
      <c r="A177" s="860" t="s">
        <v>265</v>
      </c>
      <c r="B177" s="1">
        <v>776</v>
      </c>
      <c r="C177" s="119">
        <v>0.5</v>
      </c>
      <c r="D177" s="119">
        <v>0.183781602355479</v>
      </c>
      <c r="E177" s="119">
        <v>0.184425394487399</v>
      </c>
      <c r="F177" s="119">
        <v>0.188582284045577</v>
      </c>
      <c r="G177" s="119">
        <v>0.18829727400844801</v>
      </c>
      <c r="H177" s="119">
        <v>0.19289342715365501</v>
      </c>
      <c r="I177" s="119">
        <v>0.19424287752804001</v>
      </c>
      <c r="J177" s="119">
        <v>0.19755335845154101</v>
      </c>
      <c r="K177" s="119">
        <v>0.198485711031789</v>
      </c>
      <c r="L177" s="119">
        <v>0.20018113424194001</v>
      </c>
      <c r="M177" s="119">
        <v>0.20246189737988199</v>
      </c>
      <c r="N177" s="119">
        <v>0.208087960577578</v>
      </c>
      <c r="O177" s="119">
        <v>0.21100482810138199</v>
      </c>
      <c r="P177" s="119">
        <v>0.21355880921033299</v>
      </c>
      <c r="Q177" s="119">
        <v>0.215260148044181</v>
      </c>
      <c r="R177" s="119">
        <v>0.22056708203286801</v>
      </c>
      <c r="S177" s="119">
        <v>0.22394808958971599</v>
      </c>
      <c r="T177" s="119">
        <v>0.22785959468966499</v>
      </c>
      <c r="U177" s="119">
        <v>0.230036934062747</v>
      </c>
      <c r="V177" s="119">
        <v>0.233836975940547</v>
      </c>
      <c r="W177" s="119">
        <v>0.23598229183510699</v>
      </c>
      <c r="X177" s="119">
        <v>0.238833370646375</v>
      </c>
      <c r="Y177" s="119">
        <v>0.242340069692104</v>
      </c>
      <c r="Z177" s="119">
        <v>0.244326332225207</v>
      </c>
      <c r="AA177" s="119">
        <v>0.24699606105171601</v>
      </c>
      <c r="AB177" s="119">
        <v>0.25058491614603501</v>
      </c>
      <c r="AC177" s="119">
        <v>0.25219568362493</v>
      </c>
      <c r="AD177" s="119">
        <v>0.25241311357341401</v>
      </c>
      <c r="AE177" s="119">
        <v>0.25483399210337698</v>
      </c>
      <c r="AF177" s="119">
        <v>0.25795207549559102</v>
      </c>
      <c r="AG177" s="119">
        <v>0.25874082077845001</v>
      </c>
      <c r="AH177" s="119">
        <v>0.26161069545911297</v>
      </c>
      <c r="AI177" s="119">
        <v>0.26332899975625201</v>
      </c>
      <c r="AJ177" s="119">
        <v>0.26680782201443098</v>
      </c>
      <c r="AK177" s="119">
        <v>0.26642078361949001</v>
      </c>
      <c r="AL177" s="119">
        <v>0.26952019175036401</v>
      </c>
      <c r="AM177" s="119">
        <v>0.27152698895265898</v>
      </c>
      <c r="AN177" s="119">
        <v>0.27328083314247897</v>
      </c>
      <c r="AO177" s="119">
        <v>0.27463686627741402</v>
      </c>
      <c r="AP177" s="119">
        <v>0.276829854633179</v>
      </c>
      <c r="AQ177" s="119">
        <v>0.27789159106995598</v>
      </c>
      <c r="AR177" s="119">
        <v>0.28027065450035799</v>
      </c>
      <c r="AS177" s="119">
        <v>0.28184724129051703</v>
      </c>
      <c r="AT177" s="119">
        <v>0.28198307474355999</v>
      </c>
      <c r="AU177" s="119">
        <v>0.28136114973680498</v>
      </c>
      <c r="AV177" s="119">
        <v>0.27978522588607302</v>
      </c>
      <c r="AW177" s="119">
        <v>0.277835610191285</v>
      </c>
      <c r="AX177" s="119">
        <v>0.27655849773866897</v>
      </c>
      <c r="AY177" s="119">
        <v>0.27561899549504398</v>
      </c>
      <c r="AZ177" s="119">
        <v>0.275878787288171</v>
      </c>
      <c r="BA177" s="119">
        <v>0.27516497173201798</v>
      </c>
      <c r="BB177" s="119">
        <v>0.27653902699073402</v>
      </c>
      <c r="BC177" s="119">
        <v>0.28072436900551001</v>
      </c>
      <c r="BD177" s="119">
        <v>0.28447941722464698</v>
      </c>
      <c r="BE177" s="119">
        <v>0.28815438103827501</v>
      </c>
      <c r="BF177" s="119">
        <v>0.29207693330048301</v>
      </c>
      <c r="BG177" s="119">
        <v>0.29227842121579301</v>
      </c>
      <c r="BH177" s="119">
        <v>0.29707789477273799</v>
      </c>
      <c r="BI177" s="119">
        <v>0.29909831090211703</v>
      </c>
      <c r="BJ177" s="119">
        <v>0.30120917192110302</v>
      </c>
      <c r="BK177" s="119">
        <v>0.30541998370451701</v>
      </c>
      <c r="BL177" s="119">
        <v>0.30817980984064502</v>
      </c>
    </row>
    <row r="178" spans="1:64" x14ac:dyDescent="0.25">
      <c r="A178" s="860" t="s">
        <v>266</v>
      </c>
      <c r="B178" s="1">
        <v>780</v>
      </c>
      <c r="C178" s="119">
        <v>0.5</v>
      </c>
      <c r="D178" s="119">
        <v>0.36887694429226803</v>
      </c>
      <c r="E178" s="119">
        <v>0.37859452479372502</v>
      </c>
      <c r="F178" s="119">
        <v>0.38801413975773402</v>
      </c>
      <c r="G178" s="119">
        <v>0.39653340219968802</v>
      </c>
      <c r="H178" s="119">
        <v>0.40587779158398402</v>
      </c>
      <c r="I178" s="119">
        <v>0.41402367073135599</v>
      </c>
      <c r="J178" s="119">
        <v>0.42265862676758997</v>
      </c>
      <c r="K178" s="119">
        <v>0.42906772275826799</v>
      </c>
      <c r="L178" s="119">
        <v>0.43302689860131299</v>
      </c>
      <c r="M178" s="119">
        <v>0.43564779364045902</v>
      </c>
      <c r="N178" s="119">
        <v>0.43933657113178498</v>
      </c>
      <c r="O178" s="119">
        <v>0.440228318344839</v>
      </c>
      <c r="P178" s="119">
        <v>0.44231402046745799</v>
      </c>
      <c r="Q178" s="119">
        <v>0.44399195997320201</v>
      </c>
      <c r="R178" s="119">
        <v>0.44508587660025101</v>
      </c>
      <c r="S178" s="119">
        <v>0.44560438656757301</v>
      </c>
      <c r="T178" s="119">
        <v>0.44579399604481701</v>
      </c>
      <c r="U178" s="119">
        <v>0.44370382652648799</v>
      </c>
      <c r="V178" s="119">
        <v>0.44061929290623503</v>
      </c>
      <c r="W178" s="119">
        <v>0.43701733436979801</v>
      </c>
      <c r="X178" s="119">
        <v>0.432168408046052</v>
      </c>
      <c r="Y178" s="119">
        <v>0.42744745083455399</v>
      </c>
      <c r="Z178" s="119">
        <v>0.42052005444387802</v>
      </c>
      <c r="AA178" s="119">
        <v>0.41432018663524101</v>
      </c>
      <c r="AB178" s="119">
        <v>0.40989052637891699</v>
      </c>
      <c r="AC178" s="119">
        <v>0.40408348728981303</v>
      </c>
      <c r="AD178" s="119">
        <v>0.39775451965765202</v>
      </c>
      <c r="AE178" s="119">
        <v>0.392244395446951</v>
      </c>
      <c r="AF178" s="119">
        <v>0.38827186504897598</v>
      </c>
      <c r="AG178" s="119">
        <v>0.3836983033329</v>
      </c>
      <c r="AH178" s="119">
        <v>0.38043575766336402</v>
      </c>
      <c r="AI178" s="119">
        <v>0.379406918033664</v>
      </c>
      <c r="AJ178" s="119">
        <v>0.37861655543440997</v>
      </c>
      <c r="AK178" s="119">
        <v>0.381642283343675</v>
      </c>
      <c r="AL178" s="119">
        <v>0.38432774102269102</v>
      </c>
      <c r="AM178" s="119">
        <v>0.385665258059532</v>
      </c>
      <c r="AN178" s="119">
        <v>0.387971125410284</v>
      </c>
      <c r="AO178" s="119">
        <v>0.390478721083303</v>
      </c>
      <c r="AP178" s="119">
        <v>0.39161048366061102</v>
      </c>
      <c r="AQ178" s="119">
        <v>0.39462038710912301</v>
      </c>
      <c r="AR178" s="119">
        <v>0.396529270733529</v>
      </c>
      <c r="AS178" s="119">
        <v>0.39855538942282498</v>
      </c>
      <c r="AT178" s="119">
        <v>0.40150316610721298</v>
      </c>
      <c r="AU178" s="119">
        <v>0.40606398941673599</v>
      </c>
      <c r="AV178" s="119">
        <v>0.41255640288237899</v>
      </c>
      <c r="AW178" s="119">
        <v>0.41736002877633199</v>
      </c>
      <c r="AX178" s="119">
        <v>0.42288695557904599</v>
      </c>
      <c r="AY178" s="119">
        <v>0.42851398120948497</v>
      </c>
      <c r="AZ178" s="119">
        <v>0.43426553351185299</v>
      </c>
      <c r="BA178" s="119">
        <v>0.44072061830651699</v>
      </c>
      <c r="BB178" s="119">
        <v>0.44557962619661801</v>
      </c>
      <c r="BC178" s="119">
        <v>0.45111585845945201</v>
      </c>
      <c r="BD178" s="119">
        <v>0.45501115661355501</v>
      </c>
      <c r="BE178" s="119">
        <v>0.46136218363699699</v>
      </c>
      <c r="BF178" s="119">
        <v>0.46822843190396202</v>
      </c>
      <c r="BG178" s="119">
        <v>0.470672216012194</v>
      </c>
      <c r="BH178" s="119">
        <v>0.47719446743641503</v>
      </c>
      <c r="BI178" s="119">
        <v>0.48131386944387899</v>
      </c>
      <c r="BJ178" s="119">
        <v>0.48613628047346902</v>
      </c>
      <c r="BK178" s="119">
        <v>0.48820000979727701</v>
      </c>
      <c r="BL178" s="119">
        <v>0.49192385638240899</v>
      </c>
    </row>
    <row r="179" spans="1:64" x14ac:dyDescent="0.25">
      <c r="A179" s="860" t="s">
        <v>267</v>
      </c>
      <c r="B179" s="1">
        <v>788</v>
      </c>
      <c r="C179" s="119">
        <v>0.5</v>
      </c>
      <c r="D179" s="119">
        <v>0.190576702739119</v>
      </c>
      <c r="E179" s="119">
        <v>0.19977538478301901</v>
      </c>
      <c r="F179" s="119">
        <v>0.206931007041945</v>
      </c>
      <c r="G179" s="119">
        <v>0.215596700423418</v>
      </c>
      <c r="H179" s="119">
        <v>0.22427942152281999</v>
      </c>
      <c r="I179" s="119">
        <v>0.23348469532344501</v>
      </c>
      <c r="J179" s="119">
        <v>0.24342811767149899</v>
      </c>
      <c r="K179" s="119">
        <v>0.25581997914196902</v>
      </c>
      <c r="L179" s="119">
        <v>0.266067180189691</v>
      </c>
      <c r="M179" s="119">
        <v>0.27796214440522898</v>
      </c>
      <c r="N179" s="119">
        <v>0.29017646235212802</v>
      </c>
      <c r="O179" s="119">
        <v>0.30464680241231301</v>
      </c>
      <c r="P179" s="119">
        <v>0.31911218914939898</v>
      </c>
      <c r="Q179" s="119">
        <v>0.33541196681378299</v>
      </c>
      <c r="R179" s="119">
        <v>0.34861946778985398</v>
      </c>
      <c r="S179" s="119">
        <v>0.36304686611406201</v>
      </c>
      <c r="T179" s="119">
        <v>0.37748796693503101</v>
      </c>
      <c r="U179" s="119">
        <v>0.38983034824736601</v>
      </c>
      <c r="V179" s="119">
        <v>0.40215726251114498</v>
      </c>
      <c r="W179" s="119">
        <v>0.413702620242136</v>
      </c>
      <c r="X179" s="119">
        <v>0.425361836545392</v>
      </c>
      <c r="Y179" s="119">
        <v>0.43866832374418502</v>
      </c>
      <c r="Z179" s="119">
        <v>0.45018792275633601</v>
      </c>
      <c r="AA179" s="119">
        <v>0.46133558414234199</v>
      </c>
      <c r="AB179" s="119">
        <v>0.472412863087881</v>
      </c>
      <c r="AC179" s="119">
        <v>0.482294338953974</v>
      </c>
      <c r="AD179" s="119">
        <v>0.49019831393006902</v>
      </c>
      <c r="AE179" s="119">
        <v>0.50031921370840704</v>
      </c>
      <c r="AF179" s="119">
        <v>0.50905143792018404</v>
      </c>
      <c r="AG179" s="119">
        <v>0.51565125065359496</v>
      </c>
      <c r="AH179" s="119">
        <v>0.52176695111544902</v>
      </c>
      <c r="AI179" s="119">
        <v>0.52306028330083298</v>
      </c>
      <c r="AJ179" s="119">
        <v>0.52298461064103996</v>
      </c>
      <c r="AK179" s="119">
        <v>0.52327842986352702</v>
      </c>
      <c r="AL179" s="119">
        <v>0.52288946548710402</v>
      </c>
      <c r="AM179" s="119">
        <v>0.52404789013456698</v>
      </c>
      <c r="AN179" s="119">
        <v>0.52281461846238797</v>
      </c>
      <c r="AO179" s="119">
        <v>0.52389750990926698</v>
      </c>
      <c r="AP179" s="119">
        <v>0.52149839190684399</v>
      </c>
      <c r="AQ179" s="119">
        <v>0.51966548125509804</v>
      </c>
      <c r="AR179" s="119">
        <v>0.52108389740201999</v>
      </c>
      <c r="AS179" s="119">
        <v>0.52026652703979104</v>
      </c>
      <c r="AT179" s="119">
        <v>0.518637318569515</v>
      </c>
      <c r="AU179" s="119">
        <v>0.51590736436364903</v>
      </c>
      <c r="AV179" s="119">
        <v>0.51137836577277296</v>
      </c>
      <c r="AW179" s="119">
        <v>0.50720776293853498</v>
      </c>
      <c r="AX179" s="119">
        <v>0.503905323238792</v>
      </c>
      <c r="AY179" s="119">
        <v>0.50051213865542499</v>
      </c>
      <c r="AZ179" s="119">
        <v>0.497882243799248</v>
      </c>
      <c r="BA179" s="119">
        <v>0.49801454777583898</v>
      </c>
      <c r="BB179" s="119">
        <v>0.50214031598508202</v>
      </c>
      <c r="BC179" s="119">
        <v>0.50776627600166102</v>
      </c>
      <c r="BD179" s="119">
        <v>0.51007951183409905</v>
      </c>
      <c r="BE179" s="119">
        <v>0.51480787380437998</v>
      </c>
      <c r="BF179" s="119">
        <v>0.51911499526403204</v>
      </c>
      <c r="BG179" s="119">
        <v>0.52336593130486997</v>
      </c>
      <c r="BH179" s="119">
        <v>0.52890905166521396</v>
      </c>
      <c r="BI179" s="119">
        <v>0.53516189637352996</v>
      </c>
      <c r="BJ179" s="119">
        <v>0.53879487171617702</v>
      </c>
      <c r="BK179" s="119">
        <v>0.54203925307093304</v>
      </c>
      <c r="BL179" s="119">
        <v>0.54681745863637998</v>
      </c>
    </row>
    <row r="180" spans="1:64" x14ac:dyDescent="0.25">
      <c r="A180" s="860" t="s">
        <v>268</v>
      </c>
      <c r="B180" s="1">
        <v>792</v>
      </c>
      <c r="C180" s="119">
        <v>0.5</v>
      </c>
      <c r="D180" s="119">
        <v>0.109244338306803</v>
      </c>
      <c r="E180" s="119">
        <v>0.112257281571654</v>
      </c>
      <c r="F180" s="119">
        <v>0.116285904682706</v>
      </c>
      <c r="G180" s="119">
        <v>0.11845954203999499</v>
      </c>
      <c r="H180" s="119">
        <v>0.12700098517733599</v>
      </c>
      <c r="I180" s="119">
        <v>0.13702483052018599</v>
      </c>
      <c r="J180" s="119">
        <v>0.14805819818621699</v>
      </c>
      <c r="K180" s="119">
        <v>0.158983275825759</v>
      </c>
      <c r="L180" s="119">
        <v>0.17045202863050599</v>
      </c>
      <c r="M180" s="119">
        <v>0.182970881002578</v>
      </c>
      <c r="N180" s="119">
        <v>0.19584026918827499</v>
      </c>
      <c r="O180" s="119">
        <v>0.20823677901412699</v>
      </c>
      <c r="P180" s="119">
        <v>0.22083605436484599</v>
      </c>
      <c r="Q180" s="119">
        <v>0.234296563128993</v>
      </c>
      <c r="R180" s="119">
        <v>0.24914829340162301</v>
      </c>
      <c r="S180" s="119">
        <v>0.26424852082912398</v>
      </c>
      <c r="T180" s="119">
        <v>0.28127128328092799</v>
      </c>
      <c r="U180" s="119">
        <v>0.29630694597983798</v>
      </c>
      <c r="V180" s="119">
        <v>0.30956096436770503</v>
      </c>
      <c r="W180" s="119">
        <v>0.31640160637091702</v>
      </c>
      <c r="X180" s="119">
        <v>0.32491159161307898</v>
      </c>
      <c r="Y180" s="119">
        <v>0.33162098318586802</v>
      </c>
      <c r="Z180" s="119">
        <v>0.34041125910944298</v>
      </c>
      <c r="AA180" s="119">
        <v>0.34655967340077098</v>
      </c>
      <c r="AB180" s="119">
        <v>0.35237981710530902</v>
      </c>
      <c r="AC180" s="119">
        <v>0.35774976634776601</v>
      </c>
      <c r="AD180" s="119">
        <v>0.36332183510595001</v>
      </c>
      <c r="AE180" s="119">
        <v>0.36963140398954802</v>
      </c>
      <c r="AF180" s="119">
        <v>0.37606672029986998</v>
      </c>
      <c r="AG180" s="119">
        <v>0.38640079264143501</v>
      </c>
      <c r="AH180" s="119">
        <v>0.39767520060556899</v>
      </c>
      <c r="AI180" s="119">
        <v>0.41006511557102199</v>
      </c>
      <c r="AJ180" s="119">
        <v>0.41949929219127002</v>
      </c>
      <c r="AK180" s="119">
        <v>0.43262123192691798</v>
      </c>
      <c r="AL180" s="119">
        <v>0.44392212387445501</v>
      </c>
      <c r="AM180" s="119">
        <v>0.450016776731608</v>
      </c>
      <c r="AN180" s="119">
        <v>0.45541961919976198</v>
      </c>
      <c r="AO180" s="119">
        <v>0.45886289513942502</v>
      </c>
      <c r="AP180" s="119">
        <v>0.46282893258695001</v>
      </c>
      <c r="AQ180" s="119">
        <v>0.466202774584493</v>
      </c>
      <c r="AR180" s="119">
        <v>0.46878275889112803</v>
      </c>
      <c r="AS180" s="119">
        <v>0.47074253011381001</v>
      </c>
      <c r="AT180" s="119">
        <v>0.47381302784089402</v>
      </c>
      <c r="AU180" s="119">
        <v>0.47503945573401801</v>
      </c>
      <c r="AV180" s="119">
        <v>0.47763668693560302</v>
      </c>
      <c r="AW180" s="119">
        <v>0.47613144019895598</v>
      </c>
      <c r="AX180" s="119">
        <v>0.47723393282522197</v>
      </c>
      <c r="AY180" s="119">
        <v>0.47702328894165602</v>
      </c>
      <c r="AZ180" s="119">
        <v>0.47761456642191702</v>
      </c>
      <c r="BA180" s="119">
        <v>0.47988627986479199</v>
      </c>
      <c r="BB180" s="119">
        <v>0.483939040822565</v>
      </c>
      <c r="BC180" s="119">
        <v>0.487154983340922</v>
      </c>
      <c r="BD180" s="119">
        <v>0.48863040267240698</v>
      </c>
      <c r="BE180" s="119">
        <v>0.49213940697167402</v>
      </c>
      <c r="BF180" s="119">
        <v>0.49688063536747201</v>
      </c>
      <c r="BG180" s="119">
        <v>0.49891954819383899</v>
      </c>
      <c r="BH180" s="119">
        <v>0.50130485938181701</v>
      </c>
      <c r="BI180" s="119">
        <v>0.50517238647641305</v>
      </c>
      <c r="BJ180" s="119">
        <v>0.50851935636978995</v>
      </c>
      <c r="BK180" s="119">
        <v>0.51208718168859801</v>
      </c>
      <c r="BL180" s="119">
        <v>0.51721815195693799</v>
      </c>
    </row>
    <row r="181" spans="1:64" x14ac:dyDescent="0.25">
      <c r="A181" s="860" t="s">
        <v>269</v>
      </c>
      <c r="B181" s="1">
        <v>795</v>
      </c>
      <c r="C181" s="119">
        <v>0.5</v>
      </c>
      <c r="D181" s="119">
        <v>0.26940091487385498</v>
      </c>
      <c r="E181" s="119">
        <v>0.27604680656410702</v>
      </c>
      <c r="F181" s="119">
        <v>0.283877462984649</v>
      </c>
      <c r="G181" s="119">
        <v>0.29031295037488902</v>
      </c>
      <c r="H181" s="119">
        <v>0.29659347206558401</v>
      </c>
      <c r="I181" s="119">
        <v>0.30297833315195999</v>
      </c>
      <c r="J181" s="119">
        <v>0.30957270544099202</v>
      </c>
      <c r="K181" s="119">
        <v>0.31389922477350202</v>
      </c>
      <c r="L181" s="119">
        <v>0.32094590833171999</v>
      </c>
      <c r="M181" s="119">
        <v>0.326194234718722</v>
      </c>
      <c r="N181" s="119">
        <v>0.33548388300617299</v>
      </c>
      <c r="O181" s="119">
        <v>0.34159418921124701</v>
      </c>
      <c r="P181" s="119">
        <v>0.34882751704987902</v>
      </c>
      <c r="Q181" s="119">
        <v>0.35622678745076902</v>
      </c>
      <c r="R181" s="119">
        <v>0.36227665744194398</v>
      </c>
      <c r="S181" s="119">
        <v>0.36864745895656698</v>
      </c>
      <c r="T181" s="119">
        <v>0.37237740042045298</v>
      </c>
      <c r="U181" s="119">
        <v>0.37963230408959298</v>
      </c>
      <c r="V181" s="119">
        <v>0.38953914430450198</v>
      </c>
      <c r="W181" s="119">
        <v>0.39331318507414198</v>
      </c>
      <c r="X181" s="119">
        <v>0.40050394476757301</v>
      </c>
      <c r="Y181" s="119">
        <v>0.40686361234696999</v>
      </c>
      <c r="Z181" s="119">
        <v>0.41322622874197401</v>
      </c>
      <c r="AA181" s="119">
        <v>0.41930741309243902</v>
      </c>
      <c r="AB181" s="119">
        <v>0.42579307689284002</v>
      </c>
      <c r="AC181" s="119">
        <v>0.43016763133965302</v>
      </c>
      <c r="AD181" s="119">
        <v>0.43678806318680102</v>
      </c>
      <c r="AE181" s="119">
        <v>0.44135206885683997</v>
      </c>
      <c r="AF181" s="119">
        <v>0.44766666542228201</v>
      </c>
      <c r="AG181" s="119">
        <v>0.452282421084792</v>
      </c>
      <c r="AH181" s="119">
        <v>0.45667656880824398</v>
      </c>
      <c r="AI181" s="119">
        <v>0.45930421835497898</v>
      </c>
      <c r="AJ181" s="119">
        <v>0.46061643778988498</v>
      </c>
      <c r="AK181" s="119">
        <v>0.46115274562904301</v>
      </c>
      <c r="AL181" s="119">
        <v>0.46213695633081497</v>
      </c>
      <c r="AM181" s="119">
        <v>0.46325707052489501</v>
      </c>
      <c r="AN181" s="119">
        <v>0.46458119673285297</v>
      </c>
      <c r="AO181" s="119">
        <v>0.46312539599247199</v>
      </c>
      <c r="AP181" s="119">
        <v>0.46445113310264702</v>
      </c>
      <c r="AQ181" s="119">
        <v>0.46626189870651902</v>
      </c>
      <c r="AR181" s="119">
        <v>0.46818704473617401</v>
      </c>
      <c r="AS181" s="119">
        <v>0.47018110406930302</v>
      </c>
      <c r="AT181" s="119">
        <v>0.471041411685724</v>
      </c>
      <c r="AU181" s="119">
        <v>0.47244062005884602</v>
      </c>
      <c r="AV181" s="119">
        <v>0.47431562804708899</v>
      </c>
      <c r="AW181" s="119">
        <v>0.47427842005097498</v>
      </c>
      <c r="AX181" s="119">
        <v>0.47704350497479497</v>
      </c>
      <c r="AY181" s="119">
        <v>0.47919939517008803</v>
      </c>
      <c r="AZ181" s="119">
        <v>0.481450199612318</v>
      </c>
      <c r="BA181" s="119">
        <v>0.48534844943139899</v>
      </c>
      <c r="BB181" s="119">
        <v>0.489892824281911</v>
      </c>
      <c r="BC181" s="119">
        <v>0.492638722653229</v>
      </c>
      <c r="BD181" s="119">
        <v>0.49622363829698801</v>
      </c>
      <c r="BE181" s="119">
        <v>0.49975762158089598</v>
      </c>
      <c r="BF181" s="119">
        <v>0.50486209657102799</v>
      </c>
      <c r="BG181" s="119">
        <v>0.50730128510331196</v>
      </c>
      <c r="BH181" s="119">
        <v>0.511149146253701</v>
      </c>
      <c r="BI181" s="119">
        <v>0.51473826132588596</v>
      </c>
      <c r="BJ181" s="119">
        <v>0.51842445732770903</v>
      </c>
      <c r="BK181" s="119">
        <v>0.52215610168661197</v>
      </c>
      <c r="BL181" s="119">
        <v>0.52830640063525902</v>
      </c>
    </row>
    <row r="182" spans="1:64" x14ac:dyDescent="0.25">
      <c r="A182" s="860" t="s">
        <v>271</v>
      </c>
      <c r="B182" s="1">
        <v>798</v>
      </c>
      <c r="C182" s="119">
        <v>0.5</v>
      </c>
      <c r="D182" s="119">
        <v>0.14797991705823499</v>
      </c>
      <c r="E182" s="119">
        <v>0.15051867800646601</v>
      </c>
      <c r="F182" s="119">
        <v>0.15056797344825501</v>
      </c>
      <c r="G182" s="119">
        <v>0.15278602477064099</v>
      </c>
      <c r="H182" s="119">
        <v>0.156284002156199</v>
      </c>
      <c r="I182" s="119">
        <v>0.16016282267936</v>
      </c>
      <c r="J182" s="119">
        <v>0.16262636123402099</v>
      </c>
      <c r="K182" s="119">
        <v>0.16654639544943101</v>
      </c>
      <c r="L182" s="119">
        <v>0.170029994006899</v>
      </c>
      <c r="M182" s="119">
        <v>0.17296521401968201</v>
      </c>
      <c r="N182" s="119">
        <v>0.17450034050923499</v>
      </c>
      <c r="O182" s="119">
        <v>0.17774196083906399</v>
      </c>
      <c r="P182" s="119">
        <v>0.18159813548236101</v>
      </c>
      <c r="Q182" s="119">
        <v>0.18474455883707999</v>
      </c>
      <c r="R182" s="119">
        <v>0.186697439866915</v>
      </c>
      <c r="S182" s="119">
        <v>0.189603080810408</v>
      </c>
      <c r="T182" s="119">
        <v>0.191506322998763</v>
      </c>
      <c r="U182" s="119">
        <v>0.194496027234319</v>
      </c>
      <c r="V182" s="119">
        <v>0.19797272090381399</v>
      </c>
      <c r="W182" s="119">
        <v>0.200937942862603</v>
      </c>
      <c r="X182" s="119">
        <v>0.20504752215515301</v>
      </c>
      <c r="Y182" s="119">
        <v>0.20673594468832501</v>
      </c>
      <c r="Z182" s="119">
        <v>0.208326238081052</v>
      </c>
      <c r="AA182" s="119">
        <v>0.211752178573757</v>
      </c>
      <c r="AB182" s="119">
        <v>0.21196315616907599</v>
      </c>
      <c r="AC182" s="119">
        <v>0.212746531844236</v>
      </c>
      <c r="AD182" s="119">
        <v>0.215322903983585</v>
      </c>
      <c r="AE182" s="119">
        <v>0.216311175297032</v>
      </c>
      <c r="AF182" s="119">
        <v>0.21786157898023401</v>
      </c>
      <c r="AG182" s="119">
        <v>0.22071980765357499</v>
      </c>
      <c r="AH182" s="119">
        <v>0.223348526957312</v>
      </c>
      <c r="AI182" s="119">
        <v>0.224504206797909</v>
      </c>
      <c r="AJ182" s="119">
        <v>0.224580174363224</v>
      </c>
      <c r="AK182" s="119">
        <v>0.225298265535991</v>
      </c>
      <c r="AL182" s="119">
        <v>0.22663738157918301</v>
      </c>
      <c r="AM182" s="119">
        <v>0.226576308861201</v>
      </c>
      <c r="AN182" s="119">
        <v>0.22696483557074701</v>
      </c>
      <c r="AO182" s="119">
        <v>0.227400071339106</v>
      </c>
      <c r="AP182" s="119">
        <v>0.22829131640294201</v>
      </c>
      <c r="AQ182" s="119">
        <v>0.22875725479550801</v>
      </c>
      <c r="AR182" s="119">
        <v>0.22887959388030901</v>
      </c>
      <c r="AS182" s="119">
        <v>0.229044965969537</v>
      </c>
      <c r="AT182" s="119">
        <v>0.23005283541219601</v>
      </c>
      <c r="AU182" s="119">
        <v>0.22915649861383899</v>
      </c>
      <c r="AV182" s="119">
        <v>0.22761187409683301</v>
      </c>
      <c r="AW182" s="119">
        <v>0.22701170254052799</v>
      </c>
      <c r="AX182" s="119">
        <v>0.22816261174937899</v>
      </c>
      <c r="AY182" s="119">
        <v>0.228664843778907</v>
      </c>
      <c r="AZ182" s="119">
        <v>0.22782130916811</v>
      </c>
      <c r="BA182" s="119">
        <v>0.228359345091497</v>
      </c>
      <c r="BB182" s="119">
        <v>0.22932945409032199</v>
      </c>
      <c r="BC182" s="119">
        <v>0.23049103223004699</v>
      </c>
      <c r="BD182" s="119">
        <v>0.23305528507980899</v>
      </c>
      <c r="BE182" s="119">
        <v>0.23587260825260101</v>
      </c>
      <c r="BF182" s="119">
        <v>0.23833156571168501</v>
      </c>
      <c r="BG182" s="119">
        <v>0.241949526780906</v>
      </c>
      <c r="BH182" s="119">
        <v>0.24302811913312999</v>
      </c>
      <c r="BI182" s="119">
        <v>0.245762355849864</v>
      </c>
      <c r="BJ182" s="119">
        <v>0.250078220302143</v>
      </c>
      <c r="BK182" s="119">
        <v>0.25308101177681103</v>
      </c>
      <c r="BL182" s="119">
        <v>0.25650531037604302</v>
      </c>
    </row>
    <row r="183" spans="1:64" x14ac:dyDescent="0.25">
      <c r="A183" s="860" t="s">
        <v>73</v>
      </c>
      <c r="B183" s="1">
        <v>800</v>
      </c>
      <c r="C183" s="119">
        <v>0.5</v>
      </c>
      <c r="D183" s="119">
        <v>2.5524390147661398E-3</v>
      </c>
      <c r="E183" s="119">
        <v>2.93975128302507E-3</v>
      </c>
      <c r="F183" s="119">
        <v>3.35726800930943E-3</v>
      </c>
      <c r="G183" s="119">
        <v>3.83902166424E-3</v>
      </c>
      <c r="H183" s="119">
        <v>4.4247498474998996E-3</v>
      </c>
      <c r="I183" s="119">
        <v>4.9149199552240199E-3</v>
      </c>
      <c r="J183" s="119">
        <v>5.5773014600066402E-3</v>
      </c>
      <c r="K183" s="119">
        <v>6.3742386144829801E-3</v>
      </c>
      <c r="L183" s="119">
        <v>7.3441013110002104E-3</v>
      </c>
      <c r="M183" s="119">
        <v>8.3756608722453402E-3</v>
      </c>
      <c r="N183" s="119">
        <v>9.5666269200501506E-3</v>
      </c>
      <c r="O183" s="119">
        <v>1.09422223371338E-2</v>
      </c>
      <c r="P183" s="119">
        <v>1.23183375072069E-2</v>
      </c>
      <c r="Q183" s="119">
        <v>1.3887700814855901E-2</v>
      </c>
      <c r="R183" s="119">
        <v>1.5640889561014799E-2</v>
      </c>
      <c r="S183" s="119">
        <v>1.7504712061692799E-2</v>
      </c>
      <c r="T183" s="119">
        <v>1.98942293748989E-2</v>
      </c>
      <c r="U183" s="119">
        <v>2.25649991343185E-2</v>
      </c>
      <c r="V183" s="119">
        <v>2.5853938635426201E-2</v>
      </c>
      <c r="W183" s="119">
        <v>3.0346786410157998E-2</v>
      </c>
      <c r="X183" s="119">
        <v>3.5944608287117999E-2</v>
      </c>
      <c r="Y183" s="119">
        <v>4.2237435063677997E-2</v>
      </c>
      <c r="Z183" s="119">
        <v>4.9967963158685798E-2</v>
      </c>
      <c r="AA183" s="119">
        <v>5.84992045590094E-2</v>
      </c>
      <c r="AB183" s="119">
        <v>6.80286016725455E-2</v>
      </c>
      <c r="AC183" s="119">
        <v>7.9001873539016707E-2</v>
      </c>
      <c r="AD183" s="119">
        <v>9.4845348883034003E-2</v>
      </c>
      <c r="AE183" s="119">
        <v>0.112755993130546</v>
      </c>
      <c r="AF183" s="119">
        <v>0.13241886313786899</v>
      </c>
      <c r="AG183" s="119">
        <v>0.152068796707022</v>
      </c>
      <c r="AH183" s="119">
        <v>0.169425939766323</v>
      </c>
      <c r="AI183" s="119">
        <v>0.176500263946927</v>
      </c>
      <c r="AJ183" s="119">
        <v>0.181094731924098</v>
      </c>
      <c r="AK183" s="119">
        <v>0.18345847527349199</v>
      </c>
      <c r="AL183" s="119">
        <v>0.18549700840379299</v>
      </c>
      <c r="AM183" s="119">
        <v>0.184507422744001</v>
      </c>
      <c r="AN183" s="119">
        <v>0.185638179780336</v>
      </c>
      <c r="AO183" s="119">
        <v>0.19652006524983001</v>
      </c>
      <c r="AP183" s="119">
        <v>0.20967187299283699</v>
      </c>
      <c r="AQ183" s="119">
        <v>0.22489593844611599</v>
      </c>
      <c r="AR183" s="119">
        <v>0.24113212861627001</v>
      </c>
      <c r="AS183" s="119">
        <v>0.25747025867721002</v>
      </c>
      <c r="AT183" s="119">
        <v>0.27164622755462797</v>
      </c>
      <c r="AU183" s="119">
        <v>0.28503130908442798</v>
      </c>
      <c r="AV183" s="119">
        <v>0.29856528925876002</v>
      </c>
      <c r="AW183" s="119">
        <v>0.31338669955517801</v>
      </c>
      <c r="AX183" s="119">
        <v>0.33098928586371401</v>
      </c>
      <c r="AY183" s="119">
        <v>0.34238366077746502</v>
      </c>
      <c r="AZ183" s="119">
        <v>0.35345383827758198</v>
      </c>
      <c r="BA183" s="119">
        <v>0.36253648314758702</v>
      </c>
      <c r="BB183" s="119">
        <v>0.38265906150019002</v>
      </c>
      <c r="BC183" s="119">
        <v>0.41150708500275501</v>
      </c>
      <c r="BD183" s="119">
        <v>0.43184337903599201</v>
      </c>
      <c r="BE183" s="119">
        <v>0.44792219230825497</v>
      </c>
      <c r="BF183" s="119">
        <v>0.46011362181098697</v>
      </c>
      <c r="BG183" s="119">
        <v>0.47322310604576101</v>
      </c>
      <c r="BH183" s="119">
        <v>0.48645073011864598</v>
      </c>
      <c r="BI183" s="119">
        <v>0.496747189883258</v>
      </c>
      <c r="BJ183" s="119">
        <v>0.50748026525163303</v>
      </c>
      <c r="BK183" s="119">
        <v>0.51733545147724203</v>
      </c>
      <c r="BL183" s="119">
        <v>0.52488745902501099</v>
      </c>
    </row>
    <row r="184" spans="1:64" x14ac:dyDescent="0.25">
      <c r="A184" s="860" t="s">
        <v>272</v>
      </c>
      <c r="B184" s="1">
        <v>804</v>
      </c>
      <c r="C184" s="119">
        <v>0.5</v>
      </c>
      <c r="D184" s="119">
        <v>0.21051928139739701</v>
      </c>
      <c r="E184" s="119">
        <v>0.21603230589137101</v>
      </c>
      <c r="F184" s="119">
        <v>0.22338919564542201</v>
      </c>
      <c r="G184" s="119">
        <v>0.229747433254675</v>
      </c>
      <c r="H184" s="119">
        <v>0.239928008555749</v>
      </c>
      <c r="I184" s="119">
        <v>0.247312193874893</v>
      </c>
      <c r="J184" s="119">
        <v>0.25542887991329799</v>
      </c>
      <c r="K184" s="119">
        <v>0.265436690679686</v>
      </c>
      <c r="L184" s="119">
        <v>0.27081833882112499</v>
      </c>
      <c r="M184" s="119">
        <v>0.27995104743695998</v>
      </c>
      <c r="N184" s="119">
        <v>0.28711596023283098</v>
      </c>
      <c r="O184" s="119">
        <v>0.29526140918879701</v>
      </c>
      <c r="P184" s="119">
        <v>0.30639141371804401</v>
      </c>
      <c r="Q184" s="119">
        <v>0.31737130575511202</v>
      </c>
      <c r="R184" s="119">
        <v>0.32544469899901501</v>
      </c>
      <c r="S184" s="119">
        <v>0.33239541396468802</v>
      </c>
      <c r="T184" s="119">
        <v>0.342805125375306</v>
      </c>
      <c r="U184" s="119">
        <v>0.35120374512527402</v>
      </c>
      <c r="V184" s="119">
        <v>0.35858943458509801</v>
      </c>
      <c r="W184" s="119">
        <v>0.36798620288774803</v>
      </c>
      <c r="X184" s="119">
        <v>0.37782967656446298</v>
      </c>
      <c r="Y184" s="119">
        <v>0.388188931030442</v>
      </c>
      <c r="Z184" s="119">
        <v>0.39724277792399398</v>
      </c>
      <c r="AA184" s="119">
        <v>0.40419645606110799</v>
      </c>
      <c r="AB184" s="119">
        <v>0.41194321076812401</v>
      </c>
      <c r="AC184" s="119">
        <v>0.42023380921561099</v>
      </c>
      <c r="AD184" s="119">
        <v>0.42831756020083001</v>
      </c>
      <c r="AE184" s="119">
        <v>0.43695712259113401</v>
      </c>
      <c r="AF184" s="119">
        <v>0.44610001025164497</v>
      </c>
      <c r="AG184" s="119">
        <v>0.45483188086530901</v>
      </c>
      <c r="AH184" s="119">
        <v>0.469871339834535</v>
      </c>
      <c r="AI184" s="119">
        <v>0.47576446317179399</v>
      </c>
      <c r="AJ184" s="119">
        <v>0.48155143798827199</v>
      </c>
      <c r="AK184" s="119">
        <v>0.48525001455809602</v>
      </c>
      <c r="AL184" s="119">
        <v>0.48763024557565898</v>
      </c>
      <c r="AM184" s="119">
        <v>0.491807488865247</v>
      </c>
      <c r="AN184" s="119">
        <v>0.48616300637179</v>
      </c>
      <c r="AO184" s="119">
        <v>0.48045953767378802</v>
      </c>
      <c r="AP184" s="119">
        <v>0.48203860481100302</v>
      </c>
      <c r="AQ184" s="119">
        <v>0.48606324862516898</v>
      </c>
      <c r="AR184" s="119">
        <v>0.49093744623471902</v>
      </c>
      <c r="AS184" s="119">
        <v>0.49372287906043399</v>
      </c>
      <c r="AT184" s="119">
        <v>0.49987072644773001</v>
      </c>
      <c r="AU184" s="119">
        <v>0.50454544678201896</v>
      </c>
      <c r="AV184" s="119">
        <v>0.51071974002735798</v>
      </c>
      <c r="AW184" s="119">
        <v>0.51607487371572203</v>
      </c>
      <c r="AX184" s="119">
        <v>0.519824580086925</v>
      </c>
      <c r="AY184" s="119">
        <v>0.52548741333387705</v>
      </c>
      <c r="AZ184" s="119">
        <v>0.53133331797429295</v>
      </c>
      <c r="BA184" s="119">
        <v>0.53687707218624803</v>
      </c>
      <c r="BB184" s="119">
        <v>0.54010751687307601</v>
      </c>
      <c r="BC184" s="119">
        <v>0.54420171196984801</v>
      </c>
      <c r="BD184" s="119">
        <v>0.55120101869157301</v>
      </c>
      <c r="BE184" s="119">
        <v>0.55691964720221498</v>
      </c>
      <c r="BF184" s="119">
        <v>0.56219377852427399</v>
      </c>
      <c r="BG184" s="119">
        <v>0.56664738270460302</v>
      </c>
      <c r="BH184" s="119">
        <v>0.57138142083013699</v>
      </c>
      <c r="BI184" s="119">
        <v>0.57453661451010896</v>
      </c>
      <c r="BJ184" s="119">
        <v>0.57740054298899202</v>
      </c>
      <c r="BK184" s="119">
        <v>0.58242494573700998</v>
      </c>
      <c r="BL184" s="119">
        <v>0.584249806972722</v>
      </c>
    </row>
    <row r="185" spans="1:64" x14ac:dyDescent="0.25">
      <c r="A185" s="860" t="s">
        <v>273</v>
      </c>
      <c r="B185" s="1">
        <v>784</v>
      </c>
      <c r="C185" s="119">
        <v>0.5</v>
      </c>
      <c r="D185" s="119">
        <v>8.0520912702172806E-2</v>
      </c>
      <c r="E185" s="119">
        <v>8.4113182436610007E-2</v>
      </c>
      <c r="F185" s="119">
        <v>8.8375078469402596E-2</v>
      </c>
      <c r="G185" s="119">
        <v>9.2334762508105697E-2</v>
      </c>
      <c r="H185" s="119">
        <v>9.7246566039810398E-2</v>
      </c>
      <c r="I185" s="119">
        <v>0.10208658949725399</v>
      </c>
      <c r="J185" s="119">
        <v>0.10666173447727199</v>
      </c>
      <c r="K185" s="119">
        <v>0.11230662287837501</v>
      </c>
      <c r="L185" s="119">
        <v>0.117848269382656</v>
      </c>
      <c r="M185" s="119">
        <v>0.12294389171714599</v>
      </c>
      <c r="N185" s="119">
        <v>0.12985052993537599</v>
      </c>
      <c r="O185" s="119">
        <v>0.13506535316648999</v>
      </c>
      <c r="P185" s="119">
        <v>0.14045199208074599</v>
      </c>
      <c r="Q185" s="119">
        <v>0.14765287751575101</v>
      </c>
      <c r="R185" s="119">
        <v>0.154254576892424</v>
      </c>
      <c r="S185" s="119">
        <v>0.16144583110943</v>
      </c>
      <c r="T185" s="119">
        <v>0.16914926237160199</v>
      </c>
      <c r="U185" s="119">
        <v>0.17716957717868401</v>
      </c>
      <c r="V185" s="119">
        <v>0.184080688807163</v>
      </c>
      <c r="W185" s="119">
        <v>0.19198956417257701</v>
      </c>
      <c r="X185" s="119">
        <v>0.20002868712879299</v>
      </c>
      <c r="Y185" s="119">
        <v>0.20764447871986599</v>
      </c>
      <c r="Z185" s="119">
        <v>0.21510767517888801</v>
      </c>
      <c r="AA185" s="119">
        <v>0.22322351877080601</v>
      </c>
      <c r="AB185" s="119">
        <v>0.23018558788645099</v>
      </c>
      <c r="AC185" s="119">
        <v>0.23670844121136</v>
      </c>
      <c r="AD185" s="119">
        <v>0.24296152444387101</v>
      </c>
      <c r="AE185" s="119">
        <v>0.249436345462376</v>
      </c>
      <c r="AF185" s="119">
        <v>0.25443215250293499</v>
      </c>
      <c r="AG185" s="119">
        <v>0.26229747138482701</v>
      </c>
      <c r="AH185" s="119">
        <v>0.26994076349412799</v>
      </c>
      <c r="AI185" s="119">
        <v>0.27968879565014099</v>
      </c>
      <c r="AJ185" s="119">
        <v>0.28857924810373398</v>
      </c>
      <c r="AK185" s="119">
        <v>0.29568319234893498</v>
      </c>
      <c r="AL185" s="119">
        <v>0.30215651541523297</v>
      </c>
      <c r="AM185" s="119">
        <v>0.31148842283509898</v>
      </c>
      <c r="AN185" s="119">
        <v>0.31751763354483897</v>
      </c>
      <c r="AO185" s="119">
        <v>0.32498438017277798</v>
      </c>
      <c r="AP185" s="119">
        <v>0.33020898360823803</v>
      </c>
      <c r="AQ185" s="119">
        <v>0.338770231084216</v>
      </c>
      <c r="AR185" s="119">
        <v>0.34487345489871302</v>
      </c>
      <c r="AS185" s="119">
        <v>0.35221284519183199</v>
      </c>
      <c r="AT185" s="119">
        <v>0.35561736958630602</v>
      </c>
      <c r="AU185" s="119">
        <v>0.361057030407407</v>
      </c>
      <c r="AV185" s="119">
        <v>0.36757006004979198</v>
      </c>
      <c r="AW185" s="119">
        <v>0.37303397378166803</v>
      </c>
      <c r="AX185" s="119">
        <v>0.378695735141655</v>
      </c>
      <c r="AY185" s="119">
        <v>0.38568847246337101</v>
      </c>
      <c r="AZ185" s="119">
        <v>0.39209447979858902</v>
      </c>
      <c r="BA185" s="119">
        <v>0.39431269457700102</v>
      </c>
      <c r="BB185" s="119">
        <v>0.40282157443963901</v>
      </c>
      <c r="BC185" s="119">
        <v>0.40879006038962201</v>
      </c>
      <c r="BD185" s="119">
        <v>0.414056231993704</v>
      </c>
      <c r="BE185" s="119">
        <v>0.41940491331852398</v>
      </c>
      <c r="BF185" s="119">
        <v>0.42555666978148798</v>
      </c>
      <c r="BG185" s="119">
        <v>0.431375471891214</v>
      </c>
      <c r="BH185" s="119">
        <v>0.43672959498382902</v>
      </c>
      <c r="BI185" s="119">
        <v>0.44216040763447501</v>
      </c>
      <c r="BJ185" s="119">
        <v>0.443805304672239</v>
      </c>
      <c r="BK185" s="119">
        <v>0.44798673311827503</v>
      </c>
      <c r="BL185" s="119">
        <v>0.45251874794279301</v>
      </c>
    </row>
    <row r="186" spans="1:64" x14ac:dyDescent="0.25">
      <c r="A186" s="860" t="s">
        <v>274</v>
      </c>
      <c r="B186" s="1">
        <v>826</v>
      </c>
      <c r="C186" s="119">
        <v>0.5</v>
      </c>
      <c r="D186" s="119">
        <v>0.59553052100419002</v>
      </c>
      <c r="E186" s="119">
        <v>0.60136892086767302</v>
      </c>
      <c r="F186" s="119">
        <v>0.60734721984723095</v>
      </c>
      <c r="G186" s="119">
        <v>0.61265635482658798</v>
      </c>
      <c r="H186" s="119">
        <v>0.61649822154201595</v>
      </c>
      <c r="I186" s="119">
        <v>0.62500437936361897</v>
      </c>
      <c r="J186" s="119">
        <v>0.62868219840559203</v>
      </c>
      <c r="K186" s="119">
        <v>0.63633602171571202</v>
      </c>
      <c r="L186" s="119">
        <v>0.64130986144134705</v>
      </c>
      <c r="M186" s="119">
        <v>0.647479706178823</v>
      </c>
      <c r="N186" s="119">
        <v>0.65487460966233502</v>
      </c>
      <c r="O186" s="119">
        <v>0.65977375945213101</v>
      </c>
      <c r="P186" s="119">
        <v>0.66352590633352004</v>
      </c>
      <c r="Q186" s="119">
        <v>0.66809329223694502</v>
      </c>
      <c r="R186" s="119">
        <v>0.67254730724828704</v>
      </c>
      <c r="S186" s="119">
        <v>0.67495983111866598</v>
      </c>
      <c r="T186" s="119">
        <v>0.67550425145913295</v>
      </c>
      <c r="U186" s="119">
        <v>0.67549019988421399</v>
      </c>
      <c r="V186" s="119">
        <v>0.67277528115806295</v>
      </c>
      <c r="W186" s="119">
        <v>0.67283093108095304</v>
      </c>
      <c r="X186" s="119">
        <v>0.67497692249672803</v>
      </c>
      <c r="Y186" s="119">
        <v>0.68240027195612796</v>
      </c>
      <c r="Z186" s="119">
        <v>0.69131975914675503</v>
      </c>
      <c r="AA186" s="119">
        <v>0.70046216871373601</v>
      </c>
      <c r="AB186" s="119">
        <v>0.70690538775681999</v>
      </c>
      <c r="AC186" s="119">
        <v>0.712754886927494</v>
      </c>
      <c r="AD186" s="119">
        <v>0.71224622274440297</v>
      </c>
      <c r="AE186" s="119">
        <v>0.71180585032527599</v>
      </c>
      <c r="AF186" s="119">
        <v>0.71109173744056497</v>
      </c>
      <c r="AG186" s="119">
        <v>0.705921468174741</v>
      </c>
      <c r="AH186" s="119">
        <v>0.71371761215409302</v>
      </c>
      <c r="AI186" s="119">
        <v>0.72270641826098103</v>
      </c>
      <c r="AJ186" s="119">
        <v>0.72745742794246204</v>
      </c>
      <c r="AK186" s="119">
        <v>0.73033192866313001</v>
      </c>
      <c r="AL186" s="119">
        <v>0.72860714722926201</v>
      </c>
      <c r="AM186" s="119">
        <v>0.72270393350651396</v>
      </c>
      <c r="AN186" s="119">
        <v>0.72232817361455104</v>
      </c>
      <c r="AO186" s="119">
        <v>0.72120059299441097</v>
      </c>
      <c r="AP186" s="119">
        <v>0.71809198156991105</v>
      </c>
      <c r="AQ186" s="119">
        <v>0.71057507667719</v>
      </c>
      <c r="AR186" s="119">
        <v>0.70042094286222401</v>
      </c>
      <c r="AS186" s="119">
        <v>0.69171531212938198</v>
      </c>
      <c r="AT186" s="119">
        <v>0.68814436178996696</v>
      </c>
      <c r="AU186" s="119">
        <v>0.68653916038042095</v>
      </c>
      <c r="AV186" s="119">
        <v>0.68589966360263099</v>
      </c>
      <c r="AW186" s="119">
        <v>0.68577992755218597</v>
      </c>
      <c r="AX186" s="119">
        <v>0.68663650568569001</v>
      </c>
      <c r="AY186" s="119">
        <v>0.68913766744112703</v>
      </c>
      <c r="AZ186" s="119">
        <v>0.68963078500970698</v>
      </c>
      <c r="BA186" s="119">
        <v>0.69318575964575302</v>
      </c>
      <c r="BB186" s="119">
        <v>0.69252377488759398</v>
      </c>
      <c r="BC186" s="119">
        <v>0.69309916001009098</v>
      </c>
      <c r="BD186" s="119">
        <v>0.69497445609658004</v>
      </c>
      <c r="BE186" s="119">
        <v>0.69409114432306396</v>
      </c>
      <c r="BF186" s="119">
        <v>0.69652891173584797</v>
      </c>
      <c r="BG186" s="119">
        <v>0.69739774113237396</v>
      </c>
      <c r="BH186" s="119">
        <v>0.697034217069738</v>
      </c>
      <c r="BI186" s="119">
        <v>0.69849957601044099</v>
      </c>
      <c r="BJ186" s="119">
        <v>0.70097079821757602</v>
      </c>
      <c r="BK186" s="119">
        <v>0.70188036010955601</v>
      </c>
      <c r="BL186" s="119">
        <v>0.70381311981629702</v>
      </c>
    </row>
    <row r="187" spans="1:64" x14ac:dyDescent="0.25">
      <c r="A187" s="860" t="s">
        <v>70</v>
      </c>
      <c r="B187" s="1">
        <v>834</v>
      </c>
      <c r="C187" s="119">
        <v>0.5</v>
      </c>
      <c r="D187" s="119">
        <v>7.1052557327044401E-3</v>
      </c>
      <c r="E187" s="119">
        <v>7.9704582723790097E-3</v>
      </c>
      <c r="F187" s="119">
        <v>8.9976029029678693E-3</v>
      </c>
      <c r="G187" s="119">
        <v>1.0168154415363201E-2</v>
      </c>
      <c r="H187" s="119">
        <v>1.1437572161914799E-2</v>
      </c>
      <c r="I187" s="119">
        <v>1.29994261119554E-2</v>
      </c>
      <c r="J187" s="119">
        <v>1.45902956049024E-2</v>
      </c>
      <c r="K187" s="119">
        <v>1.6143418121862201E-2</v>
      </c>
      <c r="L187" s="119">
        <v>1.8300291276419699E-2</v>
      </c>
      <c r="M187" s="119">
        <v>2.0509496397717202E-2</v>
      </c>
      <c r="N187" s="119">
        <v>2.2894323198234499E-2</v>
      </c>
      <c r="O187" s="119">
        <v>2.5741107659386701E-2</v>
      </c>
      <c r="P187" s="119">
        <v>2.8626090686954601E-2</v>
      </c>
      <c r="Q187" s="119">
        <v>3.1583974094193598E-2</v>
      </c>
      <c r="R187" s="119">
        <v>3.4924161765392599E-2</v>
      </c>
      <c r="S187" s="119">
        <v>3.8678494705558897E-2</v>
      </c>
      <c r="T187" s="119">
        <v>4.2683376872183897E-2</v>
      </c>
      <c r="U187" s="119">
        <v>4.7470333412056698E-2</v>
      </c>
      <c r="V187" s="119">
        <v>5.2593698915456497E-2</v>
      </c>
      <c r="W187" s="119">
        <v>5.80723055801017E-2</v>
      </c>
      <c r="X187" s="119">
        <v>6.4378165645173194E-2</v>
      </c>
      <c r="Y187" s="119">
        <v>7.2097550237122193E-2</v>
      </c>
      <c r="Z187" s="119">
        <v>8.4374017688835595E-2</v>
      </c>
      <c r="AA187" s="119">
        <v>9.9385993907087605E-2</v>
      </c>
      <c r="AB187" s="119">
        <v>0.115651509434825</v>
      </c>
      <c r="AC187" s="119">
        <v>0.12658081417623801</v>
      </c>
      <c r="AD187" s="119">
        <v>0.13677987006617501</v>
      </c>
      <c r="AE187" s="119">
        <v>0.14862869911274801</v>
      </c>
      <c r="AF187" s="119">
        <v>0.16216590125792299</v>
      </c>
      <c r="AG187" s="119">
        <v>0.17528532897357901</v>
      </c>
      <c r="AH187" s="119">
        <v>0.18355240375992901</v>
      </c>
      <c r="AI187" s="119">
        <v>0.19067206592375299</v>
      </c>
      <c r="AJ187" s="119">
        <v>0.19722065824198401</v>
      </c>
      <c r="AK187" s="119">
        <v>0.20325037445154201</v>
      </c>
      <c r="AL187" s="119">
        <v>0.21079263547552399</v>
      </c>
      <c r="AM187" s="119">
        <v>0.21920990993943301</v>
      </c>
      <c r="AN187" s="119">
        <v>0.22927318574193301</v>
      </c>
      <c r="AO187" s="119">
        <v>0.240701836250826</v>
      </c>
      <c r="AP187" s="119">
        <v>0.25210597539314</v>
      </c>
      <c r="AQ187" s="119">
        <v>0.26271199274743801</v>
      </c>
      <c r="AR187" s="119">
        <v>0.273712543120538</v>
      </c>
      <c r="AS187" s="119">
        <v>0.283149223290241</v>
      </c>
      <c r="AT187" s="119">
        <v>0.29214333816842403</v>
      </c>
      <c r="AU187" s="119">
        <v>0.30126308130014601</v>
      </c>
      <c r="AV187" s="119">
        <v>0.31095518567386199</v>
      </c>
      <c r="AW187" s="119">
        <v>0.32050630038416</v>
      </c>
      <c r="AX187" s="119">
        <v>0.33141882696088598</v>
      </c>
      <c r="AY187" s="119">
        <v>0.34263607259130602</v>
      </c>
      <c r="AZ187" s="119">
        <v>0.35422382058581398</v>
      </c>
      <c r="BA187" s="119">
        <v>0.366610164458675</v>
      </c>
      <c r="BB187" s="119">
        <v>0.37888958740005602</v>
      </c>
      <c r="BC187" s="119">
        <v>0.39028777004077098</v>
      </c>
      <c r="BD187" s="119">
        <v>0.4014275555879</v>
      </c>
      <c r="BE187" s="119">
        <v>0.410541550865966</v>
      </c>
      <c r="BF187" s="119">
        <v>0.42361892953066899</v>
      </c>
      <c r="BG187" s="119">
        <v>0.43401835941533301</v>
      </c>
      <c r="BH187" s="119">
        <v>0.44197213411233699</v>
      </c>
      <c r="BI187" s="119">
        <v>0.45241007975985498</v>
      </c>
      <c r="BJ187" s="119">
        <v>0.45967144519832398</v>
      </c>
      <c r="BK187" s="119">
        <v>0.469033460454023</v>
      </c>
      <c r="BL187" s="119">
        <v>0.480189069264714</v>
      </c>
    </row>
    <row r="188" spans="1:64" x14ac:dyDescent="0.25">
      <c r="A188" s="860" t="s">
        <v>275</v>
      </c>
      <c r="B188" s="1">
        <v>840</v>
      </c>
      <c r="C188" s="119">
        <v>0.5</v>
      </c>
      <c r="D188" s="119">
        <v>0.54705861764244101</v>
      </c>
      <c r="E188" s="119">
        <v>0.56406352264501802</v>
      </c>
      <c r="F188" s="119">
        <v>0.58251337141312898</v>
      </c>
      <c r="G188" s="119">
        <v>0.60149917715271095</v>
      </c>
      <c r="H188" s="119">
        <v>0.61665887095371696</v>
      </c>
      <c r="I188" s="119">
        <v>0.62614609020508705</v>
      </c>
      <c r="J188" s="119">
        <v>0.61612674350805496</v>
      </c>
      <c r="K188" s="119">
        <v>0.61213240417202797</v>
      </c>
      <c r="L188" s="119">
        <v>0.60887353612291095</v>
      </c>
      <c r="M188" s="119">
        <v>0.60681995181540305</v>
      </c>
      <c r="N188" s="119">
        <v>0.60544893378770503</v>
      </c>
      <c r="O188" s="119">
        <v>0.603899700508438</v>
      </c>
      <c r="P188" s="119">
        <v>0.60348930495942998</v>
      </c>
      <c r="Q188" s="119">
        <v>0.607174775607629</v>
      </c>
      <c r="R188" s="119">
        <v>0.61077652100545299</v>
      </c>
      <c r="S188" s="119">
        <v>0.61326656786633305</v>
      </c>
      <c r="T188" s="119">
        <v>0.61647908597622902</v>
      </c>
      <c r="U188" s="119">
        <v>0.61981769804277298</v>
      </c>
      <c r="V188" s="119">
        <v>0.62184133114436302</v>
      </c>
      <c r="W188" s="119">
        <v>0.61941154676172905</v>
      </c>
      <c r="X188" s="119">
        <v>0.61907683436676098</v>
      </c>
      <c r="Y188" s="119">
        <v>0.62131723895679003</v>
      </c>
      <c r="Z188" s="119">
        <v>0.62614332431533803</v>
      </c>
      <c r="AA188" s="119">
        <v>0.62994470993996998</v>
      </c>
      <c r="AB188" s="119">
        <v>0.637179694326372</v>
      </c>
      <c r="AC188" s="119">
        <v>0.63993097099221197</v>
      </c>
      <c r="AD188" s="119">
        <v>0.64007491720606802</v>
      </c>
      <c r="AE188" s="119">
        <v>0.63755573497830698</v>
      </c>
      <c r="AF188" s="119">
        <v>0.636677041809664</v>
      </c>
      <c r="AG188" s="119">
        <v>0.63480564549149499</v>
      </c>
      <c r="AH188" s="119">
        <v>0.63408005542050905</v>
      </c>
      <c r="AI188" s="119">
        <v>0.63213141255710403</v>
      </c>
      <c r="AJ188" s="119">
        <v>0.633619863546103</v>
      </c>
      <c r="AK188" s="119">
        <v>0.63804326415208401</v>
      </c>
      <c r="AL188" s="119">
        <v>0.64340929714972495</v>
      </c>
      <c r="AM188" s="119">
        <v>0.64816919997059796</v>
      </c>
      <c r="AN188" s="119">
        <v>0.65505912560264101</v>
      </c>
      <c r="AO188" s="119">
        <v>0.65819195993047497</v>
      </c>
      <c r="AP188" s="119">
        <v>0.65796713595299505</v>
      </c>
      <c r="AQ188" s="119">
        <v>0.65650985386233596</v>
      </c>
      <c r="AR188" s="119">
        <v>0.65452724362883696</v>
      </c>
      <c r="AS188" s="119">
        <v>0.65161703051555497</v>
      </c>
      <c r="AT188" s="119">
        <v>0.64904862824047505</v>
      </c>
      <c r="AU188" s="119">
        <v>0.642419233125193</v>
      </c>
      <c r="AV188" s="119">
        <v>0.63932051358956898</v>
      </c>
      <c r="AW188" s="119">
        <v>0.64518891680747703</v>
      </c>
      <c r="AX188" s="119">
        <v>0.65234491349405899</v>
      </c>
      <c r="AY188" s="119">
        <v>0.65851608412964002</v>
      </c>
      <c r="AZ188" s="119">
        <v>0.66272463617786104</v>
      </c>
      <c r="BA188" s="119">
        <v>0.66628922983862304</v>
      </c>
      <c r="BB188" s="119">
        <v>0.66933293688537399</v>
      </c>
      <c r="BC188" s="119">
        <v>0.67102569808541701</v>
      </c>
      <c r="BD188" s="119">
        <v>0.67233117764317996</v>
      </c>
      <c r="BE188" s="119">
        <v>0.67347351708276904</v>
      </c>
      <c r="BF188" s="119">
        <v>0.67335751888987405</v>
      </c>
      <c r="BG188" s="119">
        <v>0.67653964511450404</v>
      </c>
      <c r="BH188" s="119">
        <v>0.67799323767546904</v>
      </c>
      <c r="BI188" s="119">
        <v>0.68056692817964504</v>
      </c>
      <c r="BJ188" s="119">
        <v>0.68292309081600699</v>
      </c>
      <c r="BK188" s="119">
        <v>0.68604447915607203</v>
      </c>
      <c r="BL188" s="119">
        <v>0.68946927162301397</v>
      </c>
    </row>
    <row r="189" spans="1:64" x14ac:dyDescent="0.25">
      <c r="A189" s="860" t="s">
        <v>276</v>
      </c>
      <c r="B189" s="1">
        <v>850</v>
      </c>
      <c r="C189" s="119">
        <v>0.5</v>
      </c>
      <c r="D189" s="119">
        <v>0.460781687556646</v>
      </c>
      <c r="E189" s="119">
        <v>0.47023208273745798</v>
      </c>
      <c r="F189" s="119">
        <v>0.47522558503434198</v>
      </c>
      <c r="G189" s="119">
        <v>0.48239698875588699</v>
      </c>
      <c r="H189" s="119">
        <v>0.48816007153723401</v>
      </c>
      <c r="I189" s="119">
        <v>0.495060014167931</v>
      </c>
      <c r="J189" s="119">
        <v>0.50091752189906902</v>
      </c>
      <c r="K189" s="119">
        <v>0.50799421269868394</v>
      </c>
      <c r="L189" s="119">
        <v>0.51295562769389302</v>
      </c>
      <c r="M189" s="119">
        <v>0.51915014630149403</v>
      </c>
      <c r="N189" s="119">
        <v>0.52540498524201196</v>
      </c>
      <c r="O189" s="119">
        <v>0.53009177610615599</v>
      </c>
      <c r="P189" s="119">
        <v>0.53450173320541405</v>
      </c>
      <c r="Q189" s="119">
        <v>0.53933191841420502</v>
      </c>
      <c r="R189" s="119">
        <v>0.54659479309851999</v>
      </c>
      <c r="S189" s="119">
        <v>0.54950754667222501</v>
      </c>
      <c r="T189" s="119">
        <v>0.55546861744257903</v>
      </c>
      <c r="U189" s="119">
        <v>0.55908765987109299</v>
      </c>
      <c r="V189" s="119">
        <v>0.56388632578638098</v>
      </c>
      <c r="W189" s="119">
        <v>0.572002094899283</v>
      </c>
      <c r="X189" s="119">
        <v>0.57516512435761702</v>
      </c>
      <c r="Y189" s="119">
        <v>0.58078834350529296</v>
      </c>
      <c r="Z189" s="119">
        <v>0.58735011987957497</v>
      </c>
      <c r="AA189" s="119">
        <v>0.59410057313642906</v>
      </c>
      <c r="AB189" s="119">
        <v>0.60276464987728395</v>
      </c>
      <c r="AC189" s="119">
        <v>0.61059854870263297</v>
      </c>
      <c r="AD189" s="119">
        <v>0.61919626035466102</v>
      </c>
      <c r="AE189" s="119">
        <v>0.62722046187021396</v>
      </c>
      <c r="AF189" s="119">
        <v>0.63390607032194601</v>
      </c>
      <c r="AG189" s="119">
        <v>0.63934079851917802</v>
      </c>
      <c r="AH189" s="119">
        <v>0.64675343344115499</v>
      </c>
      <c r="AI189" s="119">
        <v>0.65519477481034005</v>
      </c>
      <c r="AJ189" s="119">
        <v>0.661205734878203</v>
      </c>
      <c r="AK189" s="119">
        <v>0.66510965920366705</v>
      </c>
      <c r="AL189" s="119">
        <v>0.667610438924089</v>
      </c>
      <c r="AM189" s="119">
        <v>0.66936195205389104</v>
      </c>
      <c r="AN189" s="119">
        <v>0.67068696131980698</v>
      </c>
      <c r="AO189" s="119">
        <v>0.67320485063804203</v>
      </c>
      <c r="AP189" s="119">
        <v>0.67515809779428804</v>
      </c>
      <c r="AQ189" s="119">
        <v>0.678601327929505</v>
      </c>
      <c r="AR189" s="119">
        <v>0.68131496180872197</v>
      </c>
      <c r="AS189" s="119">
        <v>0.68196424397754796</v>
      </c>
      <c r="AT189" s="119">
        <v>0.682033456347648</v>
      </c>
      <c r="AU189" s="119">
        <v>0.68372305706112602</v>
      </c>
      <c r="AV189" s="119">
        <v>0.68718333008697097</v>
      </c>
      <c r="AW189" s="119">
        <v>0.68998338069854404</v>
      </c>
      <c r="AX189" s="119">
        <v>0.69176715918395004</v>
      </c>
      <c r="AY189" s="119">
        <v>0.69274500668319805</v>
      </c>
      <c r="AZ189" s="119">
        <v>0.69403287228515198</v>
      </c>
      <c r="BA189" s="119">
        <v>0.69746384099627201</v>
      </c>
      <c r="BB189" s="119">
        <v>0.69751937934830199</v>
      </c>
      <c r="BC189" s="119">
        <v>0.69947183214231401</v>
      </c>
      <c r="BD189" s="119">
        <v>0.70120702215808295</v>
      </c>
      <c r="BE189" s="119">
        <v>0.70075582348614396</v>
      </c>
      <c r="BF189" s="119">
        <v>0.70290366792890102</v>
      </c>
      <c r="BG189" s="119">
        <v>0.70348440445429405</v>
      </c>
      <c r="BH189" s="119">
        <v>0.70737571525246901</v>
      </c>
      <c r="BI189" s="119">
        <v>0.70882591715766896</v>
      </c>
      <c r="BJ189" s="119">
        <v>0.709862046677325</v>
      </c>
      <c r="BK189" s="119">
        <v>0.70941438948629798</v>
      </c>
      <c r="BL189" s="119">
        <v>0.71167287632246701</v>
      </c>
    </row>
    <row r="190" spans="1:64" x14ac:dyDescent="0.25">
      <c r="A190" s="860" t="s">
        <v>277</v>
      </c>
      <c r="B190" s="1">
        <v>858</v>
      </c>
      <c r="C190" s="119">
        <v>0.5</v>
      </c>
      <c r="D190" s="119">
        <v>0.64101991439146799</v>
      </c>
      <c r="E190" s="119">
        <v>0.64595314331982001</v>
      </c>
      <c r="F190" s="119">
        <v>0.64939300439923098</v>
      </c>
      <c r="G190" s="119">
        <v>0.66209590344073799</v>
      </c>
      <c r="H190" s="119">
        <v>0.66994980934326598</v>
      </c>
      <c r="I190" s="119">
        <v>0.67529981475971101</v>
      </c>
      <c r="J190" s="119">
        <v>0.68378840025126997</v>
      </c>
      <c r="K190" s="119">
        <v>0.689205441568018</v>
      </c>
      <c r="L190" s="119">
        <v>0.69584491046653396</v>
      </c>
      <c r="M190" s="119">
        <v>0.70230524347604495</v>
      </c>
      <c r="N190" s="119">
        <v>0.70604129725541498</v>
      </c>
      <c r="O190" s="119">
        <v>0.71202943043011901</v>
      </c>
      <c r="P190" s="119">
        <v>0.71639622874257702</v>
      </c>
      <c r="Q190" s="119">
        <v>0.72036966823932602</v>
      </c>
      <c r="R190" s="119">
        <v>0.72609629894755101</v>
      </c>
      <c r="S190" s="119">
        <v>0.73078784912825401</v>
      </c>
      <c r="T190" s="119">
        <v>0.73201647029472905</v>
      </c>
      <c r="U190" s="119">
        <v>0.732768759308423</v>
      </c>
      <c r="V190" s="119">
        <v>0.73315723880264605</v>
      </c>
      <c r="W190" s="119">
        <v>0.73119669210490301</v>
      </c>
      <c r="X190" s="119">
        <v>0.731043653234976</v>
      </c>
      <c r="Y190" s="119">
        <v>0.730742482173524</v>
      </c>
      <c r="Z190" s="119">
        <v>0.73383321805574397</v>
      </c>
      <c r="AA190" s="119">
        <v>0.73393768094545497</v>
      </c>
      <c r="AB190" s="119">
        <v>0.73539588798872801</v>
      </c>
      <c r="AC190" s="119">
        <v>0.73674643691004105</v>
      </c>
      <c r="AD190" s="119">
        <v>0.73828719113112096</v>
      </c>
      <c r="AE190" s="119">
        <v>0.73888578253158599</v>
      </c>
      <c r="AF190" s="119">
        <v>0.73987333397135602</v>
      </c>
      <c r="AG190" s="119">
        <v>0.74001561742505695</v>
      </c>
      <c r="AH190" s="119">
        <v>0.74026563181681304</v>
      </c>
      <c r="AI190" s="119">
        <v>0.73942099342956902</v>
      </c>
      <c r="AJ190" s="119">
        <v>0.74105261851516502</v>
      </c>
      <c r="AK190" s="119">
        <v>0.74280519814566004</v>
      </c>
      <c r="AL190" s="119">
        <v>0.74292794644059901</v>
      </c>
      <c r="AM190" s="119">
        <v>0.74445659231055705</v>
      </c>
      <c r="AN190" s="119">
        <v>0.74574199625138504</v>
      </c>
      <c r="AO190" s="119">
        <v>0.748277962632657</v>
      </c>
      <c r="AP190" s="119">
        <v>0.75093255965568795</v>
      </c>
      <c r="AQ190" s="119">
        <v>0.753363072363195</v>
      </c>
      <c r="AR190" s="119">
        <v>0.75582716146936302</v>
      </c>
      <c r="AS190" s="119">
        <v>0.75748939387922698</v>
      </c>
      <c r="AT190" s="119">
        <v>0.75902761059154</v>
      </c>
      <c r="AU190" s="119">
        <v>0.76146635058321999</v>
      </c>
      <c r="AV190" s="119">
        <v>0.76460809796455598</v>
      </c>
      <c r="AW190" s="119">
        <v>0.76709502089326598</v>
      </c>
      <c r="AX190" s="119">
        <v>0.76882142476936299</v>
      </c>
      <c r="AY190" s="119">
        <v>0.77014797422530301</v>
      </c>
      <c r="AZ190" s="119">
        <v>0.77085629215078999</v>
      </c>
      <c r="BA190" s="119">
        <v>0.77041454862481795</v>
      </c>
      <c r="BB190" s="119">
        <v>0.77107944150033603</v>
      </c>
      <c r="BC190" s="119">
        <v>0.772747690867158</v>
      </c>
      <c r="BD190" s="119">
        <v>0.77373179965125205</v>
      </c>
      <c r="BE190" s="119">
        <v>0.77445954010795404</v>
      </c>
      <c r="BF190" s="119">
        <v>0.77447223898356699</v>
      </c>
      <c r="BG190" s="119">
        <v>0.77533359216309194</v>
      </c>
      <c r="BH190" s="119">
        <v>0.77430970093427098</v>
      </c>
      <c r="BI190" s="119">
        <v>0.77485996658597001</v>
      </c>
      <c r="BJ190" s="119">
        <v>0.77665402144161499</v>
      </c>
      <c r="BK190" s="119">
        <v>0.77743402853057098</v>
      </c>
      <c r="BL190" s="119">
        <v>0.77833280742945599</v>
      </c>
    </row>
    <row r="191" spans="1:64" x14ac:dyDescent="0.25">
      <c r="A191" s="860" t="s">
        <v>74</v>
      </c>
      <c r="B191" s="1">
        <v>860</v>
      </c>
      <c r="C191" s="119">
        <v>0.5</v>
      </c>
      <c r="D191" s="119">
        <v>0.30736442234230199</v>
      </c>
      <c r="E191" s="119">
        <v>0.31567949869114897</v>
      </c>
      <c r="F191" s="119">
        <v>0.32329707560833898</v>
      </c>
      <c r="G191" s="119">
        <v>0.33322222295675002</v>
      </c>
      <c r="H191" s="119">
        <v>0.343176318784503</v>
      </c>
      <c r="I191" s="119">
        <v>0.34876083918633999</v>
      </c>
      <c r="J191" s="119">
        <v>0.35560336860581898</v>
      </c>
      <c r="K191" s="119">
        <v>0.36317739221130202</v>
      </c>
      <c r="L191" s="119">
        <v>0.37226798244072001</v>
      </c>
      <c r="M191" s="119">
        <v>0.37939881911346202</v>
      </c>
      <c r="N191" s="119">
        <v>0.38902751673223301</v>
      </c>
      <c r="O191" s="119">
        <v>0.397361998291693</v>
      </c>
      <c r="P191" s="119">
        <v>0.40676301048151298</v>
      </c>
      <c r="Q191" s="119">
        <v>0.41529133934344697</v>
      </c>
      <c r="R191" s="119">
        <v>0.42473411119610299</v>
      </c>
      <c r="S191" s="119">
        <v>0.43074984095893898</v>
      </c>
      <c r="T191" s="119">
        <v>0.436542326420576</v>
      </c>
      <c r="U191" s="119">
        <v>0.444396965390775</v>
      </c>
      <c r="V191" s="119">
        <v>0.45428774760879997</v>
      </c>
      <c r="W191" s="119">
        <v>0.45911175154915701</v>
      </c>
      <c r="X191" s="119">
        <v>0.46784726205800797</v>
      </c>
      <c r="Y191" s="119">
        <v>0.47467279463766199</v>
      </c>
      <c r="Z191" s="119">
        <v>0.48187020417111598</v>
      </c>
      <c r="AA191" s="119">
        <v>0.48882406165605402</v>
      </c>
      <c r="AB191" s="119">
        <v>0.49634790011381802</v>
      </c>
      <c r="AC191" s="119">
        <v>0.50647151189357698</v>
      </c>
      <c r="AD191" s="119">
        <v>0.51905647549674705</v>
      </c>
      <c r="AE191" s="119">
        <v>0.535743231046653</v>
      </c>
      <c r="AF191" s="119">
        <v>0.55458082678374798</v>
      </c>
      <c r="AG191" s="119">
        <v>0.57358669474572099</v>
      </c>
      <c r="AH191" s="119">
        <v>0.59038399827814503</v>
      </c>
      <c r="AI191" s="119">
        <v>0.60373478807403602</v>
      </c>
      <c r="AJ191" s="119">
        <v>0.614331860305663</v>
      </c>
      <c r="AK191" s="119">
        <v>0.61984377172837402</v>
      </c>
      <c r="AL191" s="119">
        <v>0.62272227782962397</v>
      </c>
      <c r="AM191" s="119">
        <v>0.62497480322291699</v>
      </c>
      <c r="AN191" s="119">
        <v>0.62617925866975399</v>
      </c>
      <c r="AO191" s="119">
        <v>0.62808829259464605</v>
      </c>
      <c r="AP191" s="119">
        <v>0.63041118073582603</v>
      </c>
      <c r="AQ191" s="119">
        <v>0.631901201922761</v>
      </c>
      <c r="AR191" s="119">
        <v>0.63282267914886303</v>
      </c>
      <c r="AS191" s="119">
        <v>0.63538099694252603</v>
      </c>
      <c r="AT191" s="119">
        <v>0.63605533545055104</v>
      </c>
      <c r="AU191" s="119">
        <v>0.63911928917248595</v>
      </c>
      <c r="AV191" s="119">
        <v>0.64189167608470499</v>
      </c>
      <c r="AW191" s="119">
        <v>0.64426285564302399</v>
      </c>
      <c r="AX191" s="119">
        <v>0.64608330209133302</v>
      </c>
      <c r="AY191" s="119">
        <v>0.649407052983491</v>
      </c>
      <c r="AZ191" s="119">
        <v>0.64920984328539599</v>
      </c>
      <c r="BA191" s="119">
        <v>0.651980985682451</v>
      </c>
      <c r="BB191" s="119">
        <v>0.65454485217220104</v>
      </c>
      <c r="BC191" s="119">
        <v>0.65698531919470804</v>
      </c>
      <c r="BD191" s="119">
        <v>0.65906682358522095</v>
      </c>
      <c r="BE191" s="119">
        <v>0.66222467647111904</v>
      </c>
      <c r="BF191" s="119">
        <v>0.66445155062785499</v>
      </c>
      <c r="BG191" s="119">
        <v>0.66384330289137605</v>
      </c>
      <c r="BH191" s="119">
        <v>0.66489080190674299</v>
      </c>
      <c r="BI191" s="119">
        <v>0.66746082158092901</v>
      </c>
      <c r="BJ191" s="119">
        <v>0.66924978842188299</v>
      </c>
      <c r="BK191" s="119">
        <v>0.67071311513721499</v>
      </c>
      <c r="BL191" s="119">
        <v>0.67576466281760394</v>
      </c>
    </row>
    <row r="192" spans="1:64" x14ac:dyDescent="0.25">
      <c r="A192" s="860" t="s">
        <v>278</v>
      </c>
      <c r="B192" s="1">
        <v>548</v>
      </c>
      <c r="C192" s="119">
        <v>0.5</v>
      </c>
      <c r="D192" s="119">
        <v>0.167174138340794</v>
      </c>
      <c r="E192" s="119">
        <v>0.16898591273695501</v>
      </c>
      <c r="F192" s="119">
        <v>0.17277800012200301</v>
      </c>
      <c r="G192" s="119">
        <v>0.17507914442898601</v>
      </c>
      <c r="H192" s="119">
        <v>0.17842320390479399</v>
      </c>
      <c r="I192" s="119">
        <v>0.18279743949857899</v>
      </c>
      <c r="J192" s="119">
        <v>0.184554952486365</v>
      </c>
      <c r="K192" s="119">
        <v>0.18775011992122501</v>
      </c>
      <c r="L192" s="119">
        <v>0.19029136078940301</v>
      </c>
      <c r="M192" s="119">
        <v>0.19392224466292701</v>
      </c>
      <c r="N192" s="119">
        <v>0.19740699664328901</v>
      </c>
      <c r="O192" s="119">
        <v>0.19996287446326699</v>
      </c>
      <c r="P192" s="119">
        <v>0.20309755352910899</v>
      </c>
      <c r="Q192" s="119">
        <v>0.206145160691418</v>
      </c>
      <c r="R192" s="119">
        <v>0.20918414129767199</v>
      </c>
      <c r="S192" s="119">
        <v>0.21065092964349699</v>
      </c>
      <c r="T192" s="119">
        <v>0.213098001415753</v>
      </c>
      <c r="U192" s="119">
        <v>0.21648934641093801</v>
      </c>
      <c r="V192" s="119">
        <v>0.219634361961597</v>
      </c>
      <c r="W192" s="119">
        <v>0.22316046333857101</v>
      </c>
      <c r="X192" s="119">
        <v>0.226048646295052</v>
      </c>
      <c r="Y192" s="119">
        <v>0.22961213913221901</v>
      </c>
      <c r="Z192" s="119">
        <v>0.233759366773687</v>
      </c>
      <c r="AA192" s="119">
        <v>0.23687528057591201</v>
      </c>
      <c r="AB192" s="119">
        <v>0.240916140335734</v>
      </c>
      <c r="AC192" s="119">
        <v>0.245456970414547</v>
      </c>
      <c r="AD192" s="119">
        <v>0.252633776927771</v>
      </c>
      <c r="AE192" s="119">
        <v>0.26057809352004102</v>
      </c>
      <c r="AF192" s="119">
        <v>0.26743029799504903</v>
      </c>
      <c r="AG192" s="119">
        <v>0.27556068777403098</v>
      </c>
      <c r="AH192" s="119">
        <v>0.28361655419345899</v>
      </c>
      <c r="AI192" s="119">
        <v>0.29172922418047098</v>
      </c>
      <c r="AJ192" s="119">
        <v>0.29944903345416402</v>
      </c>
      <c r="AK192" s="119">
        <v>0.30748262560161299</v>
      </c>
      <c r="AL192" s="119">
        <v>0.31635974634182801</v>
      </c>
      <c r="AM192" s="119">
        <v>0.32451406217406198</v>
      </c>
      <c r="AN192" s="119">
        <v>0.33251689539968399</v>
      </c>
      <c r="AO192" s="119">
        <v>0.34263949546802902</v>
      </c>
      <c r="AP192" s="119">
        <v>0.35052567900359399</v>
      </c>
      <c r="AQ192" s="119">
        <v>0.35730892855489799</v>
      </c>
      <c r="AR192" s="119">
        <v>0.36255384567843102</v>
      </c>
      <c r="AS192" s="119">
        <v>0.369812668350256</v>
      </c>
      <c r="AT192" s="119">
        <v>0.37625562377251298</v>
      </c>
      <c r="AU192" s="119">
        <v>0.38128103694766902</v>
      </c>
      <c r="AV192" s="119">
        <v>0.38719142669109502</v>
      </c>
      <c r="AW192" s="119">
        <v>0.39022048950222699</v>
      </c>
      <c r="AX192" s="119">
        <v>0.39484621288953298</v>
      </c>
      <c r="AY192" s="119">
        <v>0.39748932060271502</v>
      </c>
      <c r="AZ192" s="119">
        <v>0.39915085135882999</v>
      </c>
      <c r="BA192" s="119">
        <v>0.40212955885912</v>
      </c>
      <c r="BB192" s="119">
        <v>0.405367766281509</v>
      </c>
      <c r="BC192" s="119">
        <v>0.40709670700066902</v>
      </c>
      <c r="BD192" s="119">
        <v>0.41173367865201799</v>
      </c>
      <c r="BE192" s="119">
        <v>0.413603761067314</v>
      </c>
      <c r="BF192" s="119">
        <v>0.41683663528905701</v>
      </c>
      <c r="BG192" s="119">
        <v>0.41879609269219198</v>
      </c>
      <c r="BH192" s="119">
        <v>0.42245175991731598</v>
      </c>
      <c r="BI192" s="119">
        <v>0.42565787489718498</v>
      </c>
      <c r="BJ192" s="119">
        <v>0.428535881343174</v>
      </c>
      <c r="BK192" s="119">
        <v>0.432755476450225</v>
      </c>
      <c r="BL192" s="119">
        <v>0.43394757912443599</v>
      </c>
    </row>
    <row r="193" spans="1:64" x14ac:dyDescent="0.25">
      <c r="A193" s="860" t="s">
        <v>279</v>
      </c>
      <c r="B193" s="1">
        <v>862</v>
      </c>
      <c r="C193" s="119">
        <v>0.5</v>
      </c>
      <c r="D193" s="119">
        <v>0.28766449682393103</v>
      </c>
      <c r="E193" s="119">
        <v>0.30037775516077497</v>
      </c>
      <c r="F193" s="119">
        <v>0.315111190796518</v>
      </c>
      <c r="G193" s="119">
        <v>0.32714977746972901</v>
      </c>
      <c r="H193" s="119">
        <v>0.34018208379284098</v>
      </c>
      <c r="I193" s="119">
        <v>0.354721594133389</v>
      </c>
      <c r="J193" s="119">
        <v>0.36618458652290298</v>
      </c>
      <c r="K193" s="119">
        <v>0.37971553088149201</v>
      </c>
      <c r="L193" s="119">
        <v>0.39151178698248401</v>
      </c>
      <c r="M193" s="119">
        <v>0.40430389122114302</v>
      </c>
      <c r="N193" s="119">
        <v>0.41285191265256299</v>
      </c>
      <c r="O193" s="119">
        <v>0.42260536990596198</v>
      </c>
      <c r="P193" s="119">
        <v>0.43145513483175102</v>
      </c>
      <c r="Q193" s="119">
        <v>0.44405638503517503</v>
      </c>
      <c r="R193" s="119">
        <v>0.45469800293725099</v>
      </c>
      <c r="S193" s="119">
        <v>0.46420371404489102</v>
      </c>
      <c r="T193" s="119">
        <v>0.47242125826868803</v>
      </c>
      <c r="U193" s="119">
        <v>0.48280345490950799</v>
      </c>
      <c r="V193" s="119">
        <v>0.49273347725108702</v>
      </c>
      <c r="W193" s="119">
        <v>0.50050153957925103</v>
      </c>
      <c r="X193" s="119">
        <v>0.51129869118115401</v>
      </c>
      <c r="Y193" s="119">
        <v>0.52098250799951495</v>
      </c>
      <c r="Z193" s="119">
        <v>0.53202578074710105</v>
      </c>
      <c r="AA193" s="119">
        <v>0.54432053471391595</v>
      </c>
      <c r="AB193" s="119">
        <v>0.55860109925535295</v>
      </c>
      <c r="AC193" s="119">
        <v>0.57349664647972698</v>
      </c>
      <c r="AD193" s="119">
        <v>0.58962837065437501</v>
      </c>
      <c r="AE193" s="119">
        <v>0.60362040734160705</v>
      </c>
      <c r="AF193" s="119">
        <v>0.61611925334533602</v>
      </c>
      <c r="AG193" s="119">
        <v>0.62569018452107095</v>
      </c>
      <c r="AH193" s="119">
        <v>0.63225009357059803</v>
      </c>
      <c r="AI193" s="119">
        <v>0.64065789216553604</v>
      </c>
      <c r="AJ193" s="119">
        <v>0.64612447337484002</v>
      </c>
      <c r="AK193" s="119">
        <v>0.65202891012005304</v>
      </c>
      <c r="AL193" s="119">
        <v>0.65659953385064296</v>
      </c>
      <c r="AM193" s="119">
        <v>0.66254439261675602</v>
      </c>
      <c r="AN193" s="119">
        <v>0.66870157409728304</v>
      </c>
      <c r="AO193" s="119">
        <v>0.67315047365984304</v>
      </c>
      <c r="AP193" s="119">
        <v>0.67900605456558905</v>
      </c>
      <c r="AQ193" s="119">
        <v>0.68452906937071001</v>
      </c>
      <c r="AR193" s="119">
        <v>0.68869530719527705</v>
      </c>
      <c r="AS193" s="119">
        <v>0.69194503506752203</v>
      </c>
      <c r="AT193" s="119">
        <v>0.69437526324551002</v>
      </c>
      <c r="AU193" s="119">
        <v>0.69611662979411204</v>
      </c>
      <c r="AV193" s="119">
        <v>0.69734347260329999</v>
      </c>
      <c r="AW193" s="119">
        <v>0.69923022123450795</v>
      </c>
      <c r="AX193" s="119">
        <v>0.700528469885486</v>
      </c>
      <c r="AY193" s="119">
        <v>0.70130030457468895</v>
      </c>
      <c r="AZ193" s="119">
        <v>0.70249985418378702</v>
      </c>
      <c r="BA193" s="119">
        <v>0.70487204149629001</v>
      </c>
      <c r="BB193" s="119">
        <v>0.70536383298937799</v>
      </c>
      <c r="BC193" s="119">
        <v>0.70844374794104104</v>
      </c>
      <c r="BD193" s="119">
        <v>0.710719064234133</v>
      </c>
      <c r="BE193" s="119">
        <v>0.71338303851640805</v>
      </c>
      <c r="BF193" s="119">
        <v>0.71678483403757698</v>
      </c>
      <c r="BG193" s="119">
        <v>0.718324123870557</v>
      </c>
      <c r="BH193" s="119">
        <v>0.72024994760083505</v>
      </c>
      <c r="BI193" s="119">
        <v>0.72356287857809198</v>
      </c>
      <c r="BJ193" s="119">
        <v>0.72622369392643005</v>
      </c>
      <c r="BK193" s="119">
        <v>0.72672850786257204</v>
      </c>
      <c r="BL193" s="119">
        <v>0.72713675423683999</v>
      </c>
    </row>
    <row r="194" spans="1:64" x14ac:dyDescent="0.25">
      <c r="A194" s="860" t="s">
        <v>75</v>
      </c>
      <c r="B194" s="1">
        <v>704</v>
      </c>
      <c r="C194" s="119">
        <v>0.5</v>
      </c>
      <c r="D194" s="119">
        <v>0.110811674047141</v>
      </c>
      <c r="E194" s="119">
        <v>0.12183582052815201</v>
      </c>
      <c r="F194" s="119">
        <v>0.13245072549539</v>
      </c>
      <c r="G194" s="119">
        <v>0.14385659973074999</v>
      </c>
      <c r="H194" s="119">
        <v>0.15703480620619201</v>
      </c>
      <c r="I194" s="119">
        <v>0.17120276626769501</v>
      </c>
      <c r="J194" s="119">
        <v>0.185233940140202</v>
      </c>
      <c r="K194" s="119">
        <v>0.199498052563612</v>
      </c>
      <c r="L194" s="119">
        <v>0.214912843353432</v>
      </c>
      <c r="M194" s="119">
        <v>0.229199984268533</v>
      </c>
      <c r="N194" s="119">
        <v>0.24672745880428401</v>
      </c>
      <c r="O194" s="119">
        <v>0.26405160787658999</v>
      </c>
      <c r="P194" s="119">
        <v>0.28125036339088799</v>
      </c>
      <c r="Q194" s="119">
        <v>0.29868521171034301</v>
      </c>
      <c r="R194" s="119">
        <v>0.31392462158505102</v>
      </c>
      <c r="S194" s="119">
        <v>0.32987247383719398</v>
      </c>
      <c r="T194" s="119">
        <v>0.34493160610256002</v>
      </c>
      <c r="U194" s="119">
        <v>0.36035458607972198</v>
      </c>
      <c r="V194" s="119">
        <v>0.37578359107402898</v>
      </c>
      <c r="W194" s="119">
        <v>0.39135376117598603</v>
      </c>
      <c r="X194" s="119">
        <v>0.40727442821274801</v>
      </c>
      <c r="Y194" s="119">
        <v>0.42166895626497602</v>
      </c>
      <c r="Z194" s="119">
        <v>0.44007616539864097</v>
      </c>
      <c r="AA194" s="119">
        <v>0.45459063582910703</v>
      </c>
      <c r="AB194" s="119">
        <v>0.47399111019978701</v>
      </c>
      <c r="AC194" s="119">
        <v>0.50540550650455995</v>
      </c>
      <c r="AD194" s="119">
        <v>0.53342071955858095</v>
      </c>
      <c r="AE194" s="119">
        <v>0.55882412996901498</v>
      </c>
      <c r="AF194" s="119">
        <v>0.57244651934158497</v>
      </c>
      <c r="AG194" s="119">
        <v>0.58405856497617503</v>
      </c>
      <c r="AH194" s="119">
        <v>0.59528830725097603</v>
      </c>
      <c r="AI194" s="119">
        <v>0.60460173582388099</v>
      </c>
      <c r="AJ194" s="119">
        <v>0.611717332092653</v>
      </c>
      <c r="AK194" s="119">
        <v>0.62601880368245799</v>
      </c>
      <c r="AL194" s="119">
        <v>0.63965652682197305</v>
      </c>
      <c r="AM194" s="119">
        <v>0.65390001104205198</v>
      </c>
      <c r="AN194" s="119">
        <v>0.66370944305386004</v>
      </c>
      <c r="AO194" s="119">
        <v>0.67308368096925597</v>
      </c>
      <c r="AP194" s="119">
        <v>0.67705657691187004</v>
      </c>
      <c r="AQ194" s="119">
        <v>0.67552081933378805</v>
      </c>
      <c r="AR194" s="119">
        <v>0.673441602379236</v>
      </c>
      <c r="AS194" s="119">
        <v>0.671585378546108</v>
      </c>
      <c r="AT194" s="119">
        <v>0.66639293476887795</v>
      </c>
      <c r="AU194" s="119">
        <v>0.66177598251234204</v>
      </c>
      <c r="AV194" s="119">
        <v>0.65637352924987902</v>
      </c>
      <c r="AW194" s="119">
        <v>0.65570081326024399</v>
      </c>
      <c r="AX194" s="119">
        <v>0.65737555238741696</v>
      </c>
      <c r="AY194" s="119">
        <v>0.65749316239119404</v>
      </c>
      <c r="AZ194" s="119">
        <v>0.656615451382356</v>
      </c>
      <c r="BA194" s="119">
        <v>0.65428952705588905</v>
      </c>
      <c r="BB194" s="119">
        <v>0.65304874868486795</v>
      </c>
      <c r="BC194" s="119">
        <v>0.65505209227620798</v>
      </c>
      <c r="BD194" s="119">
        <v>0.65901682667848305</v>
      </c>
      <c r="BE194" s="119">
        <v>0.66049821698772404</v>
      </c>
      <c r="BF194" s="119">
        <v>0.663788191527517</v>
      </c>
      <c r="BG194" s="119">
        <v>0.66700459772049403</v>
      </c>
      <c r="BH194" s="119">
        <v>0.67052894867801804</v>
      </c>
      <c r="BI194" s="119">
        <v>0.67483197566194797</v>
      </c>
      <c r="BJ194" s="119">
        <v>0.67749193203417502</v>
      </c>
      <c r="BK194" s="119">
        <v>0.68055489800430602</v>
      </c>
      <c r="BL194" s="119">
        <v>0.68166351034808803</v>
      </c>
    </row>
    <row r="195" spans="1:64" x14ac:dyDescent="0.25">
      <c r="A195" s="860" t="s">
        <v>77</v>
      </c>
      <c r="B195" s="1">
        <v>887</v>
      </c>
      <c r="C195" s="119">
        <v>0.5</v>
      </c>
      <c r="D195" s="119">
        <v>7.8246379222910098E-3</v>
      </c>
      <c r="E195" s="119">
        <v>8.4653250130937701E-3</v>
      </c>
      <c r="F195" s="119">
        <v>9.1449945690622106E-3</v>
      </c>
      <c r="G195" s="119">
        <v>1.0080595775402299E-2</v>
      </c>
      <c r="H195" s="119">
        <v>1.10086460973827E-2</v>
      </c>
      <c r="I195" s="119">
        <v>1.17024458559403E-2</v>
      </c>
      <c r="J195" s="119">
        <v>1.2822133779704601E-2</v>
      </c>
      <c r="K195" s="119">
        <v>1.4034853967855801E-2</v>
      </c>
      <c r="L195" s="119">
        <v>1.55255943662752E-2</v>
      </c>
      <c r="M195" s="119">
        <v>1.7253953180551999E-2</v>
      </c>
      <c r="N195" s="119">
        <v>1.8968866709914201E-2</v>
      </c>
      <c r="O195" s="119">
        <v>2.1321779574704901E-2</v>
      </c>
      <c r="P195" s="119">
        <v>2.3877575117531399E-2</v>
      </c>
      <c r="Q195" s="119">
        <v>2.6942905164513802E-2</v>
      </c>
      <c r="R195" s="119">
        <v>3.0029470021416399E-2</v>
      </c>
      <c r="S195" s="119">
        <v>3.3698392293395503E-2</v>
      </c>
      <c r="T195" s="119">
        <v>3.7408645448182197E-2</v>
      </c>
      <c r="U195" s="119">
        <v>4.1821735170416603E-2</v>
      </c>
      <c r="V195" s="119">
        <v>4.6610525250807298E-2</v>
      </c>
      <c r="W195" s="119">
        <v>5.1241425026730701E-2</v>
      </c>
      <c r="X195" s="119">
        <v>5.6732020783779202E-2</v>
      </c>
      <c r="Y195" s="119">
        <v>6.1707635383548697E-2</v>
      </c>
      <c r="Z195" s="119">
        <v>6.7240494498888095E-2</v>
      </c>
      <c r="AA195" s="119">
        <v>7.39732669078286E-2</v>
      </c>
      <c r="AB195" s="119">
        <v>8.0284053215167295E-2</v>
      </c>
      <c r="AC195" s="119">
        <v>8.6850136328187499E-2</v>
      </c>
      <c r="AD195" s="119">
        <v>9.3253385790485005E-2</v>
      </c>
      <c r="AE195" s="119">
        <v>9.9527192558246005E-2</v>
      </c>
      <c r="AF195" s="119">
        <v>0.107623127931062</v>
      </c>
      <c r="AG195" s="119">
        <v>0.11623062267600801</v>
      </c>
      <c r="AH195" s="119">
        <v>0.124180727997924</v>
      </c>
      <c r="AI195" s="119">
        <v>0.13209503584750801</v>
      </c>
      <c r="AJ195" s="119">
        <v>0.14059997057994</v>
      </c>
      <c r="AK195" s="119">
        <v>0.15086470210929401</v>
      </c>
      <c r="AL195" s="119">
        <v>0.160409453364843</v>
      </c>
      <c r="AM195" s="119">
        <v>0.17095479181939299</v>
      </c>
      <c r="AN195" s="119">
        <v>0.18038339577700099</v>
      </c>
      <c r="AO195" s="119">
        <v>0.19079817925117901</v>
      </c>
      <c r="AP195" s="119">
        <v>0.19957993609420899</v>
      </c>
      <c r="AQ195" s="119">
        <v>0.20898927006526399</v>
      </c>
      <c r="AR195" s="119">
        <v>0.21858760684770501</v>
      </c>
      <c r="AS195" s="119">
        <v>0.229918211503816</v>
      </c>
      <c r="AT195" s="119">
        <v>0.239818838610559</v>
      </c>
      <c r="AU195" s="119">
        <v>0.249296851667344</v>
      </c>
      <c r="AV195" s="119">
        <v>0.259285790286371</v>
      </c>
      <c r="AW195" s="119">
        <v>0.267680236899556</v>
      </c>
      <c r="AX195" s="119">
        <v>0.27817341697970799</v>
      </c>
      <c r="AY195" s="119">
        <v>0.28696541589465802</v>
      </c>
      <c r="AZ195" s="119">
        <v>0.29479218292318099</v>
      </c>
      <c r="BA195" s="119">
        <v>0.30471040633617003</v>
      </c>
      <c r="BB195" s="119">
        <v>0.314098887845633</v>
      </c>
      <c r="BC195" s="119">
        <v>0.32444022107726</v>
      </c>
      <c r="BD195" s="119">
        <v>0.33312261006004501</v>
      </c>
      <c r="BE195" s="119">
        <v>0.34209642587580202</v>
      </c>
      <c r="BF195" s="119">
        <v>0.35176464800230001</v>
      </c>
      <c r="BG195" s="119">
        <v>0.35947459182962999</v>
      </c>
      <c r="BH195" s="119">
        <v>0.36721844844629797</v>
      </c>
      <c r="BI195" s="119">
        <v>0.37471377195442801</v>
      </c>
      <c r="BJ195" s="119">
        <v>0.382945124854563</v>
      </c>
      <c r="BK195" s="119">
        <v>0.39081315348602103</v>
      </c>
      <c r="BL195" s="119">
        <v>0.39947966328393902</v>
      </c>
    </row>
    <row r="196" spans="1:64" x14ac:dyDescent="0.25">
      <c r="A196" s="860" t="s">
        <v>78</v>
      </c>
      <c r="B196" s="1">
        <v>894</v>
      </c>
      <c r="C196" s="119">
        <v>0.5</v>
      </c>
      <c r="D196" s="119">
        <v>4.4726551568401102E-3</v>
      </c>
      <c r="E196" s="119">
        <v>5.2940455423326699E-3</v>
      </c>
      <c r="F196" s="119">
        <v>6.1749064424630696E-3</v>
      </c>
      <c r="G196" s="119">
        <v>7.2826536278055099E-3</v>
      </c>
      <c r="H196" s="119">
        <v>8.4819475916422093E-3</v>
      </c>
      <c r="I196" s="119">
        <v>1.00517021280118E-2</v>
      </c>
      <c r="J196" s="119">
        <v>1.1562194229514201E-2</v>
      </c>
      <c r="K196" s="119">
        <v>1.33580905959121E-2</v>
      </c>
      <c r="L196" s="119">
        <v>1.55933070507949E-2</v>
      </c>
      <c r="M196" s="119">
        <v>1.7833885240521902E-2</v>
      </c>
      <c r="N196" s="119">
        <v>2.0392108487876402E-2</v>
      </c>
      <c r="O196" s="119">
        <v>2.3442038835610201E-2</v>
      </c>
      <c r="P196" s="119">
        <v>2.6883064893051201E-2</v>
      </c>
      <c r="Q196" s="119">
        <v>3.0540698134191899E-2</v>
      </c>
      <c r="R196" s="119">
        <v>3.4607201636756901E-2</v>
      </c>
      <c r="S196" s="119">
        <v>3.9483684889763601E-2</v>
      </c>
      <c r="T196" s="119">
        <v>4.4643426226828702E-2</v>
      </c>
      <c r="U196" s="119">
        <v>5.0520682498706899E-2</v>
      </c>
      <c r="V196" s="119">
        <v>5.6705878063921099E-2</v>
      </c>
      <c r="W196" s="119">
        <v>6.3831974116777601E-2</v>
      </c>
      <c r="X196" s="119">
        <v>7.1912154136188997E-2</v>
      </c>
      <c r="Y196" s="119">
        <v>8.0420986845085293E-2</v>
      </c>
      <c r="Z196" s="119">
        <v>9.0334063189660904E-2</v>
      </c>
      <c r="AA196" s="119">
        <v>0.10188047089390399</v>
      </c>
      <c r="AB196" s="119">
        <v>0.114523624246315</v>
      </c>
      <c r="AC196" s="119">
        <v>0.12888956370712601</v>
      </c>
      <c r="AD196" s="119">
        <v>0.14362456835061299</v>
      </c>
      <c r="AE196" s="119">
        <v>0.16014736583425501</v>
      </c>
      <c r="AF196" s="119">
        <v>0.17705680248361599</v>
      </c>
      <c r="AG196" s="119">
        <v>0.19464305967852599</v>
      </c>
      <c r="AH196" s="119">
        <v>0.21259258394792599</v>
      </c>
      <c r="AI196" s="119">
        <v>0.232498674677245</v>
      </c>
      <c r="AJ196" s="119">
        <v>0.25107463639979999</v>
      </c>
      <c r="AK196" s="119">
        <v>0.26832743499818001</v>
      </c>
      <c r="AL196" s="119">
        <v>0.28453322636478701</v>
      </c>
      <c r="AM196" s="119">
        <v>0.29899575614304502</v>
      </c>
      <c r="AN196" s="119">
        <v>0.31463555966775397</v>
      </c>
      <c r="AO196" s="119">
        <v>0.33105644416038399</v>
      </c>
      <c r="AP196" s="119">
        <v>0.350925499107275</v>
      </c>
      <c r="AQ196" s="119">
        <v>0.37098436153939701</v>
      </c>
      <c r="AR196" s="119">
        <v>0.39201557445860002</v>
      </c>
      <c r="AS196" s="119">
        <v>0.411013731894809</v>
      </c>
      <c r="AT196" s="119">
        <v>0.42941912033003898</v>
      </c>
      <c r="AU196" s="119">
        <v>0.44469085788481599</v>
      </c>
      <c r="AV196" s="119">
        <v>0.45483916616350001</v>
      </c>
      <c r="AW196" s="119">
        <v>0.46189723326944598</v>
      </c>
      <c r="AX196" s="119">
        <v>0.46706318197492702</v>
      </c>
      <c r="AY196" s="119">
        <v>0.47132019689041399</v>
      </c>
      <c r="AZ196" s="119">
        <v>0.47668009208534001</v>
      </c>
      <c r="BA196" s="119">
        <v>0.483734789797934</v>
      </c>
      <c r="BB196" s="119">
        <v>0.49192155026323803</v>
      </c>
      <c r="BC196" s="119">
        <v>0.50047229481835998</v>
      </c>
      <c r="BD196" s="119">
        <v>0.50852252798753195</v>
      </c>
      <c r="BE196" s="119">
        <v>0.51813954043269195</v>
      </c>
      <c r="BF196" s="119">
        <v>0.52458522451554201</v>
      </c>
      <c r="BG196" s="119">
        <v>0.53062886472208803</v>
      </c>
      <c r="BH196" s="119">
        <v>0.53846329424995698</v>
      </c>
      <c r="BI196" s="119">
        <v>0.54551457104522705</v>
      </c>
      <c r="BJ196" s="119">
        <v>0.55158867392359801</v>
      </c>
      <c r="BK196" s="119">
        <v>0.55841304238214895</v>
      </c>
      <c r="BL196" s="119">
        <v>0.56432556943927903</v>
      </c>
    </row>
    <row r="197" spans="1:64" x14ac:dyDescent="0.25">
      <c r="A197" s="860" t="s">
        <v>79</v>
      </c>
      <c r="B197" s="1">
        <v>716</v>
      </c>
      <c r="C197" s="119">
        <v>0.5</v>
      </c>
      <c r="D197" s="119">
        <v>7.10048768182336E-2</v>
      </c>
      <c r="E197" s="119">
        <v>8.0248896463411296E-2</v>
      </c>
      <c r="F197" s="119">
        <v>9.0176997281182503E-2</v>
      </c>
      <c r="G197" s="119">
        <v>0.101602977228197</v>
      </c>
      <c r="H197" s="119">
        <v>0.11397104959160199</v>
      </c>
      <c r="I197" s="119">
        <v>0.127726128702701</v>
      </c>
      <c r="J197" s="119">
        <v>0.14225345750425</v>
      </c>
      <c r="K197" s="119">
        <v>0.155264655307435</v>
      </c>
      <c r="L197" s="119">
        <v>0.172824897162594</v>
      </c>
      <c r="M197" s="119">
        <v>0.18995728884955501</v>
      </c>
      <c r="N197" s="119">
        <v>0.20670163620174301</v>
      </c>
      <c r="O197" s="119">
        <v>0.22432448378700101</v>
      </c>
      <c r="P197" s="119">
        <v>0.24197639890825401</v>
      </c>
      <c r="Q197" s="119">
        <v>0.25984457109817999</v>
      </c>
      <c r="R197" s="119">
        <v>0.27762358524071801</v>
      </c>
      <c r="S197" s="119">
        <v>0.29798698911384203</v>
      </c>
      <c r="T197" s="119">
        <v>0.31762802351430502</v>
      </c>
      <c r="U197" s="119">
        <v>0.33660010095948301</v>
      </c>
      <c r="V197" s="119">
        <v>0.354129441586989</v>
      </c>
      <c r="W197" s="119">
        <v>0.364618501315774</v>
      </c>
      <c r="X197" s="119">
        <v>0.37536412390996099</v>
      </c>
      <c r="Y197" s="119">
        <v>0.38734790377863798</v>
      </c>
      <c r="Z197" s="119">
        <v>0.39899532880661098</v>
      </c>
      <c r="AA197" s="119">
        <v>0.41155930955463099</v>
      </c>
      <c r="AB197" s="119">
        <v>0.42524650873733999</v>
      </c>
      <c r="AC197" s="119">
        <v>0.44048567719838599</v>
      </c>
      <c r="AD197" s="119">
        <v>0.45644636847069903</v>
      </c>
      <c r="AE197" s="119">
        <v>0.472549459611603</v>
      </c>
      <c r="AF197" s="119">
        <v>0.48790571422155299</v>
      </c>
      <c r="AG197" s="119">
        <v>0.50378145721846301</v>
      </c>
      <c r="AH197" s="119">
        <v>0.51881194430653299</v>
      </c>
      <c r="AI197" s="119">
        <v>0.53310094904091698</v>
      </c>
      <c r="AJ197" s="119">
        <v>0.54619456428209701</v>
      </c>
      <c r="AK197" s="119">
        <v>0.55912580652382005</v>
      </c>
      <c r="AL197" s="119">
        <v>0.56982778485881402</v>
      </c>
      <c r="AM197" s="119">
        <v>0.57726843610298295</v>
      </c>
      <c r="AN197" s="119">
        <v>0.57979543757618501</v>
      </c>
      <c r="AO197" s="119">
        <v>0.58039812593803797</v>
      </c>
      <c r="AP197" s="119">
        <v>0.57935944250871896</v>
      </c>
      <c r="AQ197" s="119">
        <v>0.57959414054338299</v>
      </c>
      <c r="AR197" s="119">
        <v>0.58195795475335999</v>
      </c>
      <c r="AS197" s="119">
        <v>0.59274163060627805</v>
      </c>
      <c r="AT197" s="119">
        <v>0.60867671471197404</v>
      </c>
      <c r="AU197" s="119">
        <v>0.62591598931679204</v>
      </c>
      <c r="AV197" s="119">
        <v>0.64152181061579805</v>
      </c>
      <c r="AW197" s="119">
        <v>0.65477278805591199</v>
      </c>
      <c r="AX197" s="119">
        <v>0.66252887794501802</v>
      </c>
      <c r="AY197" s="119">
        <v>0.66788710989190303</v>
      </c>
      <c r="AZ197" s="119">
        <v>0.67327441548326294</v>
      </c>
      <c r="BA197" s="119">
        <v>0.67717960651692399</v>
      </c>
      <c r="BB197" s="119">
        <v>0.67810537310213603</v>
      </c>
      <c r="BC197" s="119">
        <v>0.68024926429423904</v>
      </c>
      <c r="BD197" s="119">
        <v>0.68276404457842899</v>
      </c>
      <c r="BE197" s="119">
        <v>0.68473817846045404</v>
      </c>
      <c r="BF197" s="119">
        <v>0.68650152422328103</v>
      </c>
      <c r="BG197" s="119">
        <v>0.68931640452499598</v>
      </c>
      <c r="BH197" s="119">
        <v>0.693592411661208</v>
      </c>
      <c r="BI197" s="119">
        <v>0.69481251157289303</v>
      </c>
      <c r="BJ197" s="119">
        <v>0.69702553539013101</v>
      </c>
      <c r="BK197" s="119">
        <v>0.69772319135701499</v>
      </c>
      <c r="BL197" s="119">
        <v>0.69921689986911795</v>
      </c>
    </row>
    <row r="198" spans="1:64" x14ac:dyDescent="0.25">
      <c r="A198" s="1141"/>
      <c r="B198" s="1141"/>
      <c r="C198" s="1141"/>
      <c r="D198" s="1142"/>
      <c r="E198" s="1142"/>
      <c r="F198" s="1142"/>
      <c r="G198" s="1142"/>
      <c r="H198" s="1142"/>
      <c r="I198" s="1142"/>
      <c r="J198" s="1142"/>
      <c r="K198" s="1142"/>
      <c r="L198" s="1142"/>
      <c r="M198" s="1142"/>
      <c r="N198" s="1142"/>
      <c r="O198" s="1142"/>
      <c r="P198" s="1142"/>
      <c r="Q198" s="1142"/>
      <c r="R198" s="1142"/>
      <c r="S198" s="1142"/>
      <c r="T198" s="1142"/>
      <c r="U198" s="1142"/>
      <c r="V198" s="1142"/>
      <c r="W198" s="1142"/>
      <c r="X198" s="1142"/>
      <c r="Y198" s="1142"/>
      <c r="Z198" s="1142"/>
      <c r="AA198" s="1142"/>
      <c r="AB198" s="1142"/>
      <c r="AC198" s="1142"/>
      <c r="AD198" s="1142"/>
      <c r="AE198" s="1142"/>
      <c r="AF198" s="1142"/>
      <c r="AG198" s="1142"/>
      <c r="AH198" s="1142"/>
      <c r="AI198" s="1142"/>
      <c r="AJ198" s="1142"/>
      <c r="AK198" s="1142"/>
      <c r="AL198" s="1142"/>
      <c r="AM198" s="1142"/>
      <c r="AN198" s="1142"/>
      <c r="AO198" s="1142"/>
      <c r="AP198" s="1142"/>
      <c r="AQ198" s="1142"/>
      <c r="AR198" s="1142"/>
      <c r="AS198" s="1142"/>
      <c r="AT198" s="1142"/>
      <c r="AU198" s="1142"/>
      <c r="AV198" s="1142"/>
      <c r="AW198" s="1142"/>
      <c r="AX198" s="1142"/>
      <c r="AY198" s="1142"/>
      <c r="AZ198" s="1142"/>
      <c r="BA198" s="1142"/>
      <c r="BB198" s="1142"/>
      <c r="BC198" s="1142"/>
      <c r="BD198" s="1142"/>
      <c r="BE198" s="1142"/>
      <c r="BF198" s="1142"/>
      <c r="BG198" s="1142"/>
      <c r="BH198" s="1142"/>
      <c r="BI198" s="1142"/>
      <c r="BJ198" s="1142"/>
      <c r="BK198" s="1142"/>
      <c r="BL198" s="1142"/>
    </row>
  </sheetData>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40F910-F4B3-48F8-83B4-B33D005C7E8C}">
  <sheetPr codeName="Sheet34">
    <tabColor theme="7"/>
  </sheetPr>
  <dimension ref="A1:BL198"/>
  <sheetViews>
    <sheetView showGridLines="0" workbookViewId="0">
      <selection activeCell="D8" sqref="D8"/>
    </sheetView>
  </sheetViews>
  <sheetFormatPr defaultRowHeight="15" x14ac:dyDescent="0.25"/>
  <cols>
    <col min="1" max="1" width="47" customWidth="1"/>
    <col min="4" max="23" width="8.85546875" customWidth="1"/>
  </cols>
  <sheetData>
    <row r="1" spans="1:64" x14ac:dyDescent="0.25">
      <c r="A1" s="826" t="s">
        <v>2503</v>
      </c>
      <c r="F1">
        <v>100</v>
      </c>
    </row>
    <row r="2" spans="1:64" x14ac:dyDescent="0.25">
      <c r="A2" t="s">
        <v>1048</v>
      </c>
      <c r="B2" t="s">
        <v>1049</v>
      </c>
      <c r="C2" t="s">
        <v>1050</v>
      </c>
      <c r="D2">
        <v>1970</v>
      </c>
      <c r="E2">
        <v>1971</v>
      </c>
      <c r="F2">
        <v>1972</v>
      </c>
      <c r="G2">
        <v>1973</v>
      </c>
      <c r="H2">
        <v>1974</v>
      </c>
      <c r="I2">
        <v>1975</v>
      </c>
      <c r="J2">
        <v>1976</v>
      </c>
      <c r="K2">
        <v>1977</v>
      </c>
      <c r="L2">
        <v>1978</v>
      </c>
      <c r="M2">
        <v>1979</v>
      </c>
      <c r="N2">
        <v>1980</v>
      </c>
      <c r="O2">
        <v>1981</v>
      </c>
      <c r="P2">
        <v>1982</v>
      </c>
      <c r="Q2">
        <v>1983</v>
      </c>
      <c r="R2">
        <v>1984</v>
      </c>
      <c r="S2">
        <v>1985</v>
      </c>
      <c r="T2">
        <v>1986</v>
      </c>
      <c r="U2">
        <v>1987</v>
      </c>
      <c r="V2">
        <v>1988</v>
      </c>
      <c r="W2">
        <v>1989</v>
      </c>
      <c r="X2">
        <v>1990</v>
      </c>
      <c r="Y2">
        <v>1991</v>
      </c>
      <c r="Z2">
        <v>1992</v>
      </c>
      <c r="AA2">
        <v>1993</v>
      </c>
      <c r="AB2">
        <v>1994</v>
      </c>
      <c r="AC2">
        <v>1995</v>
      </c>
      <c r="AD2">
        <v>1996</v>
      </c>
      <c r="AE2">
        <v>1997</v>
      </c>
      <c r="AF2">
        <v>1998</v>
      </c>
      <c r="AG2">
        <v>1999</v>
      </c>
      <c r="AH2">
        <v>2000</v>
      </c>
      <c r="AI2">
        <v>2001</v>
      </c>
      <c r="AJ2">
        <v>2002</v>
      </c>
      <c r="AK2">
        <v>2003</v>
      </c>
      <c r="AL2">
        <v>2004</v>
      </c>
      <c r="AM2">
        <v>2005</v>
      </c>
      <c r="AN2">
        <v>2006</v>
      </c>
      <c r="AO2">
        <v>2007</v>
      </c>
      <c r="AP2">
        <v>2008</v>
      </c>
      <c r="AQ2">
        <v>2009</v>
      </c>
      <c r="AR2">
        <v>2010</v>
      </c>
      <c r="AS2">
        <v>2011</v>
      </c>
      <c r="AT2">
        <v>2012</v>
      </c>
      <c r="AU2">
        <v>2013</v>
      </c>
      <c r="AV2">
        <v>2014</v>
      </c>
      <c r="AW2">
        <v>2015</v>
      </c>
      <c r="AX2">
        <v>2016</v>
      </c>
      <c r="AY2">
        <v>2017</v>
      </c>
      <c r="AZ2">
        <v>2018</v>
      </c>
      <c r="BA2">
        <v>2019</v>
      </c>
      <c r="BB2">
        <v>2020</v>
      </c>
      <c r="BC2">
        <v>2021</v>
      </c>
      <c r="BD2">
        <v>2022</v>
      </c>
      <c r="BE2">
        <v>2023</v>
      </c>
      <c r="BF2">
        <v>2024</v>
      </c>
      <c r="BG2">
        <v>2025</v>
      </c>
      <c r="BH2">
        <v>2026</v>
      </c>
      <c r="BI2">
        <v>2027</v>
      </c>
      <c r="BJ2">
        <v>2028</v>
      </c>
      <c r="BK2">
        <v>2029</v>
      </c>
      <c r="BL2">
        <v>2030</v>
      </c>
    </row>
    <row r="3" spans="1:64" x14ac:dyDescent="0.25">
      <c r="A3" s="860" t="s">
        <v>11</v>
      </c>
      <c r="B3" s="1">
        <v>4</v>
      </c>
      <c r="C3" s="119">
        <v>0.5</v>
      </c>
      <c r="D3" s="119">
        <v>1.16081769650877E-2</v>
      </c>
      <c r="E3" s="119">
        <v>1.2321295799214999E-2</v>
      </c>
      <c r="F3" s="119">
        <v>1.31469917037577E-2</v>
      </c>
      <c r="G3" s="119">
        <v>1.3916336858666299E-2</v>
      </c>
      <c r="H3" s="119">
        <v>1.49336257429439E-2</v>
      </c>
      <c r="I3" s="119">
        <v>1.60031426546429E-2</v>
      </c>
      <c r="J3" s="119">
        <v>1.7163643259388E-2</v>
      </c>
      <c r="K3" s="119">
        <v>1.8259148107358202E-2</v>
      </c>
      <c r="L3" s="119">
        <v>1.9516910528398199E-2</v>
      </c>
      <c r="M3" s="119">
        <v>2.0813228954022801E-2</v>
      </c>
      <c r="N3" s="119">
        <v>2.21219405422514E-2</v>
      </c>
      <c r="O3" s="119">
        <v>2.36658898496982E-2</v>
      </c>
      <c r="P3" s="119">
        <v>2.5204901302090899E-2</v>
      </c>
      <c r="Q3" s="119">
        <v>2.69055886287171E-2</v>
      </c>
      <c r="R3" s="119">
        <v>2.8931157370528301E-2</v>
      </c>
      <c r="S3" s="119">
        <v>3.0830510649944701E-2</v>
      </c>
      <c r="T3" s="119">
        <v>3.2841627121455302E-2</v>
      </c>
      <c r="U3" s="119">
        <v>3.4637677617861899E-2</v>
      </c>
      <c r="V3" s="119">
        <v>3.7007502794377797E-2</v>
      </c>
      <c r="W3" s="119">
        <v>3.9610689920525903E-2</v>
      </c>
      <c r="X3" s="119">
        <v>4.1232511347597797E-2</v>
      </c>
      <c r="Y3" s="119">
        <v>4.3113496119609698E-2</v>
      </c>
      <c r="Z3" s="119">
        <v>4.4572076210490197E-2</v>
      </c>
      <c r="AA3" s="119">
        <v>4.5608320667039799E-2</v>
      </c>
      <c r="AB3" s="119">
        <v>4.6895465147290302E-2</v>
      </c>
      <c r="AC3" s="119">
        <v>4.8143723301661098E-2</v>
      </c>
      <c r="AD3" s="119">
        <v>4.9582315678694901E-2</v>
      </c>
      <c r="AE3" s="119">
        <v>5.1195852608291202E-2</v>
      </c>
      <c r="AF3" s="119">
        <v>5.28017932911551E-2</v>
      </c>
      <c r="AG3" s="119">
        <v>5.5227542062322402E-2</v>
      </c>
      <c r="AH3" s="119">
        <v>5.8575813033877398E-2</v>
      </c>
      <c r="AI3" s="119">
        <v>6.49885895636933E-2</v>
      </c>
      <c r="AJ3" s="119">
        <v>7.3036503792720697E-2</v>
      </c>
      <c r="AK3" s="119">
        <v>8.3187118399816906E-2</v>
      </c>
      <c r="AL3" s="119">
        <v>9.4168194342671596E-2</v>
      </c>
      <c r="AM3" s="119">
        <v>0.105638170032839</v>
      </c>
      <c r="AN3" s="119">
        <v>0.114781518839152</v>
      </c>
      <c r="AO3" s="119">
        <v>0.118158026885611</v>
      </c>
      <c r="AP3" s="119">
        <v>0.119226443443802</v>
      </c>
      <c r="AQ3" s="119">
        <v>0.121853608337173</v>
      </c>
      <c r="AR3" s="119">
        <v>0.123317852966734</v>
      </c>
      <c r="AS3" s="119">
        <v>0.125015880681626</v>
      </c>
      <c r="AT3" s="119">
        <v>0.12622995646249</v>
      </c>
      <c r="AU3" s="119">
        <v>0.13017888562298599</v>
      </c>
      <c r="AV3" s="119">
        <v>0.13553713784195601</v>
      </c>
      <c r="AW3" s="119">
        <v>0.140813732641866</v>
      </c>
      <c r="AX3" s="119">
        <v>0.14616406237433799</v>
      </c>
      <c r="AY3" s="119">
        <v>0.15121041441726299</v>
      </c>
      <c r="AZ3" s="119">
        <v>0.15631049730864499</v>
      </c>
      <c r="BA3" s="119">
        <v>0.16272898271450301</v>
      </c>
      <c r="BB3" s="119">
        <v>0.16916835662889501</v>
      </c>
      <c r="BC3" s="119">
        <v>0.176990584534403</v>
      </c>
      <c r="BD3" s="119">
        <v>0.18370082097791801</v>
      </c>
      <c r="BE3" s="119">
        <v>0.191387672326713</v>
      </c>
      <c r="BF3" s="119">
        <v>0.19883968015340001</v>
      </c>
      <c r="BG3" s="119">
        <v>0.20620941861591799</v>
      </c>
      <c r="BH3" s="119">
        <v>0.21515169844606399</v>
      </c>
      <c r="BI3" s="119">
        <v>0.22361401286115901</v>
      </c>
      <c r="BJ3" s="119">
        <v>0.231438558044919</v>
      </c>
      <c r="BK3" s="119">
        <v>0.238449220349259</v>
      </c>
      <c r="BL3" s="119">
        <v>0.246440110423682</v>
      </c>
    </row>
    <row r="4" spans="1:64" x14ac:dyDescent="0.25">
      <c r="A4" s="860" t="s">
        <v>131</v>
      </c>
      <c r="B4" s="1">
        <v>8</v>
      </c>
      <c r="C4" s="119">
        <v>0.5</v>
      </c>
      <c r="D4" s="119">
        <v>4.56080612735884E-2</v>
      </c>
      <c r="E4" s="119">
        <v>4.7103126703158103E-2</v>
      </c>
      <c r="F4" s="119">
        <v>4.83101954053963E-2</v>
      </c>
      <c r="G4" s="119">
        <v>4.9625057087690397E-2</v>
      </c>
      <c r="H4" s="119">
        <v>5.0987854820732197E-2</v>
      </c>
      <c r="I4" s="119">
        <v>5.2355248896560798E-2</v>
      </c>
      <c r="J4" s="119">
        <v>5.3432713829329001E-2</v>
      </c>
      <c r="K4" s="119">
        <v>5.4785479479301097E-2</v>
      </c>
      <c r="L4" s="119">
        <v>5.64649031441695E-2</v>
      </c>
      <c r="M4" s="119">
        <v>5.8135146506381102E-2</v>
      </c>
      <c r="N4" s="119">
        <v>6.0104122398134903E-2</v>
      </c>
      <c r="O4" s="119">
        <v>6.1645595557395801E-2</v>
      </c>
      <c r="P4" s="119">
        <v>6.3526593757432206E-2</v>
      </c>
      <c r="Q4" s="119">
        <v>6.5381255014621095E-2</v>
      </c>
      <c r="R4" s="119">
        <v>6.8315631442228297E-2</v>
      </c>
      <c r="S4" s="119">
        <v>6.9849730987925407E-2</v>
      </c>
      <c r="T4" s="119">
        <v>7.2987631594259805E-2</v>
      </c>
      <c r="U4" s="119">
        <v>7.4091562596645497E-2</v>
      </c>
      <c r="V4" s="119">
        <v>7.6530282740791794E-2</v>
      </c>
      <c r="W4" s="119">
        <v>7.8779526164861696E-2</v>
      </c>
      <c r="X4" s="119">
        <v>8.0651678144011196E-2</v>
      </c>
      <c r="Y4" s="119">
        <v>8.1856021171144502E-2</v>
      </c>
      <c r="Z4" s="119">
        <v>8.33394715951086E-2</v>
      </c>
      <c r="AA4" s="119">
        <v>8.4825222482628901E-2</v>
      </c>
      <c r="AB4" s="119">
        <v>8.5589343327861694E-2</v>
      </c>
      <c r="AC4" s="119">
        <v>8.7679834542442894E-2</v>
      </c>
      <c r="AD4" s="119">
        <v>8.9291865057006703E-2</v>
      </c>
      <c r="AE4" s="119">
        <v>9.0027523808688795E-2</v>
      </c>
      <c r="AF4" s="119">
        <v>9.0502397779491497E-2</v>
      </c>
      <c r="AG4" s="119">
        <v>9.2299913634629402E-2</v>
      </c>
      <c r="AH4" s="119">
        <v>9.3020347213264604E-2</v>
      </c>
      <c r="AI4" s="119">
        <v>9.2028672348677898E-2</v>
      </c>
      <c r="AJ4" s="119">
        <v>9.1008583879711294E-2</v>
      </c>
      <c r="AK4" s="119">
        <v>9.4603864034233001E-2</v>
      </c>
      <c r="AL4" s="119">
        <v>9.8573307482874503E-2</v>
      </c>
      <c r="AM4" s="119">
        <v>0.101649005588502</v>
      </c>
      <c r="AN4" s="119">
        <v>9.8217003842817494E-2</v>
      </c>
      <c r="AO4" s="119">
        <v>9.4529058876789099E-2</v>
      </c>
      <c r="AP4" s="119">
        <v>8.9932772997814603E-2</v>
      </c>
      <c r="AQ4" s="119">
        <v>8.5703556413772294E-2</v>
      </c>
      <c r="AR4" s="119">
        <v>7.6451154317028203E-2</v>
      </c>
      <c r="AS4" s="119">
        <v>6.7607962013428294E-2</v>
      </c>
      <c r="AT4" s="119">
        <v>5.9349316892759803E-2</v>
      </c>
      <c r="AU4" s="119">
        <v>5.2553340032871501E-2</v>
      </c>
      <c r="AV4" s="119">
        <v>4.6345698401635001E-2</v>
      </c>
      <c r="AW4" s="119">
        <v>4.0583260858305797E-2</v>
      </c>
      <c r="AX4" s="119">
        <v>3.57785186556136E-2</v>
      </c>
      <c r="AY4" s="119">
        <v>3.1394381926790199E-2</v>
      </c>
      <c r="AZ4" s="119">
        <v>3.4201734514212101E-2</v>
      </c>
      <c r="BA4" s="119">
        <v>3.75027453268389E-2</v>
      </c>
      <c r="BB4" s="119">
        <v>4.1448458312810903E-2</v>
      </c>
      <c r="BC4" s="119">
        <v>4.5054113556457498E-2</v>
      </c>
      <c r="BD4" s="119">
        <v>4.89662463476285E-2</v>
      </c>
      <c r="BE4" s="119">
        <v>5.3401758866084802E-2</v>
      </c>
      <c r="BF4" s="119">
        <v>5.8157736014749502E-2</v>
      </c>
      <c r="BG4" s="119">
        <v>6.2760443228492502E-2</v>
      </c>
      <c r="BH4" s="119">
        <v>6.7227520876376498E-2</v>
      </c>
      <c r="BI4" s="119">
        <v>7.2697467897152798E-2</v>
      </c>
      <c r="BJ4" s="119">
        <v>7.6365171331369594E-2</v>
      </c>
      <c r="BK4" s="119">
        <v>8.1185710774136902E-2</v>
      </c>
      <c r="BL4" s="119">
        <v>8.7197730832061199E-2</v>
      </c>
    </row>
    <row r="5" spans="1:64" x14ac:dyDescent="0.25">
      <c r="A5" s="860" t="s">
        <v>132</v>
      </c>
      <c r="B5" s="1">
        <v>12</v>
      </c>
      <c r="C5" s="119">
        <v>0.5</v>
      </c>
      <c r="D5" s="119">
        <v>0.12169503445192099</v>
      </c>
      <c r="E5" s="119">
        <v>0.12731084621843</v>
      </c>
      <c r="F5" s="119">
        <v>0.133217032692384</v>
      </c>
      <c r="G5" s="119">
        <v>0.13961971198227299</v>
      </c>
      <c r="H5" s="119">
        <v>0.14585248761664699</v>
      </c>
      <c r="I5" s="119">
        <v>0.15108065478281699</v>
      </c>
      <c r="J5" s="119">
        <v>0.15667532938286499</v>
      </c>
      <c r="K5" s="119">
        <v>0.16169513551386</v>
      </c>
      <c r="L5" s="119">
        <v>0.16624098132423701</v>
      </c>
      <c r="M5" s="119">
        <v>0.170688593566273</v>
      </c>
      <c r="N5" s="119">
        <v>0.17370086359447201</v>
      </c>
      <c r="O5" s="119">
        <v>0.177263861835219</v>
      </c>
      <c r="P5" s="119">
        <v>0.18048620902291199</v>
      </c>
      <c r="Q5" s="119">
        <v>0.184551545670573</v>
      </c>
      <c r="R5" s="119">
        <v>0.18734682323156401</v>
      </c>
      <c r="S5" s="119">
        <v>0.191752671726304</v>
      </c>
      <c r="T5" s="119">
        <v>0.196055285991308</v>
      </c>
      <c r="U5" s="119">
        <v>0.19982183556102701</v>
      </c>
      <c r="V5" s="119">
        <v>0.20346648132738099</v>
      </c>
      <c r="W5" s="119">
        <v>0.207603506041484</v>
      </c>
      <c r="X5" s="119">
        <v>0.21209620831315601</v>
      </c>
      <c r="Y5" s="119">
        <v>0.21710711273278199</v>
      </c>
      <c r="Z5" s="119">
        <v>0.22227834207139099</v>
      </c>
      <c r="AA5" s="119">
        <v>0.22698920500739</v>
      </c>
      <c r="AB5" s="119">
        <v>0.23031782559417399</v>
      </c>
      <c r="AC5" s="119">
        <v>0.233220739059637</v>
      </c>
      <c r="AD5" s="119">
        <v>0.234707395251087</v>
      </c>
      <c r="AE5" s="119">
        <v>0.236414010460097</v>
      </c>
      <c r="AF5" s="119">
        <v>0.23671208085554299</v>
      </c>
      <c r="AG5" s="119">
        <v>0.23632541627765399</v>
      </c>
      <c r="AH5" s="119">
        <v>0.23550031597684201</v>
      </c>
      <c r="AI5" s="119">
        <v>0.23396261311782701</v>
      </c>
      <c r="AJ5" s="119">
        <v>0.232207393897574</v>
      </c>
      <c r="AK5" s="119">
        <v>0.23507721835561399</v>
      </c>
      <c r="AL5" s="119">
        <v>0.237200117237199</v>
      </c>
      <c r="AM5" s="119">
        <v>0.24034876938504501</v>
      </c>
      <c r="AN5" s="119">
        <v>0.24303519932321399</v>
      </c>
      <c r="AO5" s="119">
        <v>0.24581969774853199</v>
      </c>
      <c r="AP5" s="119">
        <v>0.24829788585250701</v>
      </c>
      <c r="AQ5" s="119">
        <v>0.25052007751200001</v>
      </c>
      <c r="AR5" s="119">
        <v>0.25342867602357999</v>
      </c>
      <c r="AS5" s="119">
        <v>0.25729487788019101</v>
      </c>
      <c r="AT5" s="119">
        <v>0.259636321394416</v>
      </c>
      <c r="AU5" s="119">
        <v>0.26310074742461298</v>
      </c>
      <c r="AV5" s="119">
        <v>0.26661130543600903</v>
      </c>
      <c r="AW5" s="119">
        <v>0.26971801322649702</v>
      </c>
      <c r="AX5" s="119">
        <v>0.27284954790907001</v>
      </c>
      <c r="AY5" s="119">
        <v>0.27505512977208102</v>
      </c>
      <c r="AZ5" s="119">
        <v>0.27676739063914901</v>
      </c>
      <c r="BA5" s="119">
        <v>0.27897304206933499</v>
      </c>
      <c r="BB5" s="119">
        <v>0.281261988342836</v>
      </c>
      <c r="BC5" s="119">
        <v>0.28420094612399399</v>
      </c>
      <c r="BD5" s="119">
        <v>0.28654348143422698</v>
      </c>
      <c r="BE5" s="119">
        <v>0.28746345065777701</v>
      </c>
      <c r="BF5" s="119">
        <v>0.28902150291288298</v>
      </c>
      <c r="BG5" s="119">
        <v>0.29042789230711602</v>
      </c>
      <c r="BH5" s="119">
        <v>0.29148759624081599</v>
      </c>
      <c r="BI5" s="119">
        <v>0.29268875417079199</v>
      </c>
      <c r="BJ5" s="119">
        <v>0.29295334426543601</v>
      </c>
      <c r="BK5" s="119">
        <v>0.29278360251211899</v>
      </c>
      <c r="BL5" s="119">
        <v>0.29436090836604101</v>
      </c>
    </row>
    <row r="6" spans="1:64" x14ac:dyDescent="0.25">
      <c r="A6" s="860" t="s">
        <v>134</v>
      </c>
      <c r="B6" s="1">
        <v>24</v>
      </c>
      <c r="C6" s="119">
        <v>0.5</v>
      </c>
      <c r="D6" s="119">
        <v>4.1344309524323202E-3</v>
      </c>
      <c r="E6" s="119">
        <v>4.6102510644021096E-3</v>
      </c>
      <c r="F6" s="119">
        <v>5.22158411042652E-3</v>
      </c>
      <c r="G6" s="119">
        <v>5.6964895625531298E-3</v>
      </c>
      <c r="H6" s="119">
        <v>6.4071896138931496E-3</v>
      </c>
      <c r="I6" s="119">
        <v>7.0604663075320099E-3</v>
      </c>
      <c r="J6" s="119">
        <v>7.74764609685846E-3</v>
      </c>
      <c r="K6" s="119">
        <v>8.6339975178843804E-3</v>
      </c>
      <c r="L6" s="119">
        <v>9.5017753466684202E-3</v>
      </c>
      <c r="M6" s="119">
        <v>1.0605434011060901E-2</v>
      </c>
      <c r="N6" s="119">
        <v>1.1784217626679E-2</v>
      </c>
      <c r="O6" s="119">
        <v>1.28939342339852E-2</v>
      </c>
      <c r="P6" s="119">
        <v>1.40609673143274E-2</v>
      </c>
      <c r="Q6" s="119">
        <v>1.55323840469177E-2</v>
      </c>
      <c r="R6" s="119">
        <v>1.7221801533233001E-2</v>
      </c>
      <c r="S6" s="119">
        <v>1.8878434308160299E-2</v>
      </c>
      <c r="T6" s="119">
        <v>2.07005609587235E-2</v>
      </c>
      <c r="U6" s="119">
        <v>2.28356248162657E-2</v>
      </c>
      <c r="V6" s="119">
        <v>2.4983220826884901E-2</v>
      </c>
      <c r="W6" s="119">
        <v>2.7362627850944801E-2</v>
      </c>
      <c r="X6" s="119">
        <v>2.96303399143155E-2</v>
      </c>
      <c r="Y6" s="119">
        <v>3.1700058678373798E-2</v>
      </c>
      <c r="Z6" s="119">
        <v>3.4210844134118602E-2</v>
      </c>
      <c r="AA6" s="119">
        <v>3.6911282913978799E-2</v>
      </c>
      <c r="AB6" s="119">
        <v>3.9568645007200101E-2</v>
      </c>
      <c r="AC6" s="119">
        <v>4.2460940945897703E-2</v>
      </c>
      <c r="AD6" s="119">
        <v>4.5257652241552697E-2</v>
      </c>
      <c r="AE6" s="119">
        <v>4.8669161030828599E-2</v>
      </c>
      <c r="AF6" s="119">
        <v>5.2459013889165997E-2</v>
      </c>
      <c r="AG6" s="119">
        <v>5.6130226185514102E-2</v>
      </c>
      <c r="AH6" s="119">
        <v>6.0233875311558403E-2</v>
      </c>
      <c r="AI6" s="119">
        <v>6.5162288689885606E-2</v>
      </c>
      <c r="AJ6" s="119">
        <v>7.0994374995363804E-2</v>
      </c>
      <c r="AK6" s="119">
        <v>7.8054744148145006E-2</v>
      </c>
      <c r="AL6" s="119">
        <v>8.6090318916559397E-2</v>
      </c>
      <c r="AM6" s="119">
        <v>9.3944955828434498E-2</v>
      </c>
      <c r="AN6" s="119">
        <v>0.102374620749423</v>
      </c>
      <c r="AO6" s="119">
        <v>0.110378106692471</v>
      </c>
      <c r="AP6" s="119">
        <v>0.117815817260516</v>
      </c>
      <c r="AQ6" s="119">
        <v>0.1229355099127</v>
      </c>
      <c r="AR6" s="119">
        <v>0.12548317091344799</v>
      </c>
      <c r="AS6" s="119">
        <v>0.12672212184284901</v>
      </c>
      <c r="AT6" s="119">
        <v>0.12778128638545999</v>
      </c>
      <c r="AU6" s="119">
        <v>0.12862630516031501</v>
      </c>
      <c r="AV6" s="119">
        <v>0.128894620331587</v>
      </c>
      <c r="AW6" s="119">
        <v>0.12984248736943799</v>
      </c>
      <c r="AX6" s="119">
        <v>0.13187263883996</v>
      </c>
      <c r="AY6" s="119">
        <v>0.13478862853128601</v>
      </c>
      <c r="AZ6" s="119">
        <v>0.13881822019058301</v>
      </c>
      <c r="BA6" s="119">
        <v>0.142858474200943</v>
      </c>
      <c r="BB6" s="119">
        <v>0.14660365488782401</v>
      </c>
      <c r="BC6" s="119">
        <v>0.15005644922162401</v>
      </c>
      <c r="BD6" s="119">
        <v>0.15510075698797701</v>
      </c>
      <c r="BE6" s="119">
        <v>0.159006978253247</v>
      </c>
      <c r="BF6" s="119">
        <v>0.163154888818692</v>
      </c>
      <c r="BG6" s="119">
        <v>0.16809468857216101</v>
      </c>
      <c r="BH6" s="119">
        <v>0.172048901709591</v>
      </c>
      <c r="BI6" s="119">
        <v>0.17599131275028099</v>
      </c>
      <c r="BJ6" s="119">
        <v>0.17922717707334199</v>
      </c>
      <c r="BK6" s="119">
        <v>0.18393866359070599</v>
      </c>
      <c r="BL6" s="119">
        <v>0.18842322040255999</v>
      </c>
    </row>
    <row r="7" spans="1:64" x14ac:dyDescent="0.25">
      <c r="A7" s="860" t="s">
        <v>135</v>
      </c>
      <c r="B7" s="1">
        <v>660</v>
      </c>
      <c r="C7" s="119">
        <v>0.5</v>
      </c>
      <c r="D7" s="119">
        <v>9.8185255356967996E-2</v>
      </c>
      <c r="E7" s="119">
        <v>0.101607480651612</v>
      </c>
      <c r="F7" s="119">
        <v>0.105207575222831</v>
      </c>
      <c r="G7" s="119">
        <v>0.109096664821299</v>
      </c>
      <c r="H7" s="119">
        <v>0.113771090142336</v>
      </c>
      <c r="I7" s="119">
        <v>0.117020819716684</v>
      </c>
      <c r="J7" s="119">
        <v>0.12158105998593099</v>
      </c>
      <c r="K7" s="119">
        <v>0.12613963624059199</v>
      </c>
      <c r="L7" s="119">
        <v>0.13120593339130801</v>
      </c>
      <c r="M7" s="119">
        <v>0.136856945946879</v>
      </c>
      <c r="N7" s="119">
        <v>0.142684354416444</v>
      </c>
      <c r="O7" s="119">
        <v>0.14810367867139901</v>
      </c>
      <c r="P7" s="119">
        <v>0.151590007234851</v>
      </c>
      <c r="Q7" s="119">
        <v>0.15705022690873599</v>
      </c>
      <c r="R7" s="119">
        <v>0.16260314721478</v>
      </c>
      <c r="S7" s="119">
        <v>0.16812969589420301</v>
      </c>
      <c r="T7" s="119">
        <v>0.175314519935686</v>
      </c>
      <c r="U7" s="119">
        <v>0.18189018662333001</v>
      </c>
      <c r="V7" s="119">
        <v>0.19103684082434699</v>
      </c>
      <c r="W7" s="119">
        <v>0.20106648617242501</v>
      </c>
      <c r="X7" s="119">
        <v>0.210515657724237</v>
      </c>
      <c r="Y7" s="119">
        <v>0.21734045062075399</v>
      </c>
      <c r="Z7" s="119">
        <v>0.22406816921277101</v>
      </c>
      <c r="AA7" s="119">
        <v>0.229837260064508</v>
      </c>
      <c r="AB7" s="119">
        <v>0.23545901539587</v>
      </c>
      <c r="AC7" s="119">
        <v>0.24145097284428299</v>
      </c>
      <c r="AD7" s="119">
        <v>0.24809497181093701</v>
      </c>
      <c r="AE7" s="119">
        <v>0.25380177040225099</v>
      </c>
      <c r="AF7" s="119">
        <v>0.26074989487275402</v>
      </c>
      <c r="AG7" s="119">
        <v>0.26572591807840701</v>
      </c>
      <c r="AH7" s="119">
        <v>0.27290901354303798</v>
      </c>
      <c r="AI7" s="119">
        <v>0.27766505622078802</v>
      </c>
      <c r="AJ7" s="119">
        <v>0.28144601824383603</v>
      </c>
      <c r="AK7" s="119">
        <v>0.284106744170674</v>
      </c>
      <c r="AL7" s="119">
        <v>0.28908522979351498</v>
      </c>
      <c r="AM7" s="119">
        <v>0.29585072156127501</v>
      </c>
      <c r="AN7" s="119">
        <v>0.30211680892910803</v>
      </c>
      <c r="AO7" s="119">
        <v>0.30877302146178098</v>
      </c>
      <c r="AP7" s="119">
        <v>0.31621347296079799</v>
      </c>
      <c r="AQ7" s="119">
        <v>0.32421618829919202</v>
      </c>
      <c r="AR7" s="119">
        <v>0.330775770715102</v>
      </c>
      <c r="AS7" s="119">
        <v>0.33668356718840597</v>
      </c>
      <c r="AT7" s="119">
        <v>0.34214066336312998</v>
      </c>
      <c r="AU7" s="119">
        <v>0.34759967183825102</v>
      </c>
      <c r="AV7" s="119">
        <v>0.35198066837474501</v>
      </c>
      <c r="AW7" s="119">
        <v>0.35931580216667802</v>
      </c>
      <c r="AX7" s="119">
        <v>0.36467984477342802</v>
      </c>
      <c r="AY7" s="119">
        <v>0.37088326567137297</v>
      </c>
      <c r="AZ7" s="119">
        <v>0.37454268497992999</v>
      </c>
      <c r="BA7" s="119">
        <v>0.38080635330878398</v>
      </c>
      <c r="BB7" s="119">
        <v>0.386918964907914</v>
      </c>
      <c r="BC7" s="119">
        <v>0.39042343130350499</v>
      </c>
      <c r="BD7" s="119">
        <v>0.39793718312776999</v>
      </c>
      <c r="BE7" s="119">
        <v>0.40240525740101302</v>
      </c>
      <c r="BF7" s="119">
        <v>0.40525573685701</v>
      </c>
      <c r="BG7" s="119">
        <v>0.41048536942645403</v>
      </c>
      <c r="BH7" s="119">
        <v>0.41579387752837998</v>
      </c>
      <c r="BI7" s="119">
        <v>0.41936330298583502</v>
      </c>
      <c r="BJ7" s="119">
        <v>0.424443137341383</v>
      </c>
      <c r="BK7" s="119">
        <v>0.428703510850444</v>
      </c>
      <c r="BL7" s="119">
        <v>0.43428343278577802</v>
      </c>
    </row>
    <row r="8" spans="1:64" x14ac:dyDescent="0.25">
      <c r="A8" s="860" t="s">
        <v>136</v>
      </c>
      <c r="B8" s="1">
        <v>28</v>
      </c>
      <c r="C8" s="119">
        <v>0.5</v>
      </c>
      <c r="D8" s="119">
        <v>0.139013006469905</v>
      </c>
      <c r="E8" s="119">
        <v>0.143987452367553</v>
      </c>
      <c r="F8" s="119">
        <v>0.14782099724315501</v>
      </c>
      <c r="G8" s="119">
        <v>0.15329191179608201</v>
      </c>
      <c r="H8" s="119">
        <v>0.15848940010621501</v>
      </c>
      <c r="I8" s="119">
        <v>0.16457974815628101</v>
      </c>
      <c r="J8" s="119">
        <v>0.16907560869131699</v>
      </c>
      <c r="K8" s="119">
        <v>0.17288042063346001</v>
      </c>
      <c r="L8" s="119">
        <v>0.17733104003511399</v>
      </c>
      <c r="M8" s="119">
        <v>0.18289992877182201</v>
      </c>
      <c r="N8" s="119">
        <v>0.18946930546096499</v>
      </c>
      <c r="O8" s="119">
        <v>0.19496063857859</v>
      </c>
      <c r="P8" s="119">
        <v>0.19845971666670001</v>
      </c>
      <c r="Q8" s="119">
        <v>0.20387589360858299</v>
      </c>
      <c r="R8" s="119">
        <v>0.209507245672201</v>
      </c>
      <c r="S8" s="119">
        <v>0.21704362277730299</v>
      </c>
      <c r="T8" s="119">
        <v>0.222194331995129</v>
      </c>
      <c r="U8" s="119">
        <v>0.226673805031849</v>
      </c>
      <c r="V8" s="119">
        <v>0.23303602475027799</v>
      </c>
      <c r="W8" s="119">
        <v>0.23989010360079499</v>
      </c>
      <c r="X8" s="119">
        <v>0.24777091809537199</v>
      </c>
      <c r="Y8" s="119">
        <v>0.25345904581142498</v>
      </c>
      <c r="Z8" s="119">
        <v>0.25960525041770699</v>
      </c>
      <c r="AA8" s="119">
        <v>0.26642386728065098</v>
      </c>
      <c r="AB8" s="119">
        <v>0.27289464851905498</v>
      </c>
      <c r="AC8" s="119">
        <v>0.27978202995914703</v>
      </c>
      <c r="AD8" s="119">
        <v>0.286355469676362</v>
      </c>
      <c r="AE8" s="119">
        <v>0.29300436840652899</v>
      </c>
      <c r="AF8" s="119">
        <v>0.29776846941899299</v>
      </c>
      <c r="AG8" s="119">
        <v>0.30610895981316499</v>
      </c>
      <c r="AH8" s="119">
        <v>0.31367863687634201</v>
      </c>
      <c r="AI8" s="119">
        <v>0.31907341126150202</v>
      </c>
      <c r="AJ8" s="119">
        <v>0.322190445112013</v>
      </c>
      <c r="AK8" s="119">
        <v>0.32814081660759797</v>
      </c>
      <c r="AL8" s="119">
        <v>0.33407585950012098</v>
      </c>
      <c r="AM8" s="119">
        <v>0.34252419910883702</v>
      </c>
      <c r="AN8" s="119">
        <v>0.34861499456733003</v>
      </c>
      <c r="AO8" s="119">
        <v>0.35402422357945501</v>
      </c>
      <c r="AP8" s="119">
        <v>0.35957372242211699</v>
      </c>
      <c r="AQ8" s="119">
        <v>0.36544173795714402</v>
      </c>
      <c r="AR8" s="119">
        <v>0.37107321523144299</v>
      </c>
      <c r="AS8" s="119">
        <v>0.37443016103251697</v>
      </c>
      <c r="AT8" s="119">
        <v>0.37913553931134403</v>
      </c>
      <c r="AU8" s="119">
        <v>0.38314966959493901</v>
      </c>
      <c r="AV8" s="119">
        <v>0.38870722514002698</v>
      </c>
      <c r="AW8" s="119">
        <v>0.39470590499466701</v>
      </c>
      <c r="AX8" s="119">
        <v>0.400099912058899</v>
      </c>
      <c r="AY8" s="119">
        <v>0.40443661221764099</v>
      </c>
      <c r="AZ8" s="119">
        <v>0.411774019186116</v>
      </c>
      <c r="BA8" s="119">
        <v>0.41643704344742399</v>
      </c>
      <c r="BB8" s="119">
        <v>0.42146636612309601</v>
      </c>
      <c r="BC8" s="119">
        <v>0.426319507402385</v>
      </c>
      <c r="BD8" s="119">
        <v>0.42919939863986001</v>
      </c>
      <c r="BE8" s="119">
        <v>0.433971345346089</v>
      </c>
      <c r="BF8" s="119">
        <v>0.437506820510082</v>
      </c>
      <c r="BG8" s="119">
        <v>0.44303858676456498</v>
      </c>
      <c r="BH8" s="119">
        <v>0.448271548336723</v>
      </c>
      <c r="BI8" s="119">
        <v>0.45129772803047302</v>
      </c>
      <c r="BJ8" s="119">
        <v>0.45581563202279801</v>
      </c>
      <c r="BK8" s="119">
        <v>0.46208012681763599</v>
      </c>
      <c r="BL8" s="119">
        <v>0.46691084670602001</v>
      </c>
    </row>
    <row r="9" spans="1:64" x14ac:dyDescent="0.25">
      <c r="A9" s="860" t="s">
        <v>137</v>
      </c>
      <c r="B9" s="1">
        <v>32</v>
      </c>
      <c r="C9" s="119">
        <v>0.5</v>
      </c>
      <c r="D9" s="119">
        <v>0.166268324774281</v>
      </c>
      <c r="E9" s="119">
        <v>0.17374294861370901</v>
      </c>
      <c r="F9" s="119">
        <v>0.182088090701787</v>
      </c>
      <c r="G9" s="119">
        <v>0.18924335718924501</v>
      </c>
      <c r="H9" s="119">
        <v>0.19466532369362</v>
      </c>
      <c r="I9" s="119">
        <v>0.20307528669046901</v>
      </c>
      <c r="J9" s="119">
        <v>0.211048649987647</v>
      </c>
      <c r="K9" s="119">
        <v>0.219022908126531</v>
      </c>
      <c r="L9" s="119">
        <v>0.227921977694232</v>
      </c>
      <c r="M9" s="119">
        <v>0.23710194149206901</v>
      </c>
      <c r="N9" s="119">
        <v>0.24386657781146401</v>
      </c>
      <c r="O9" s="119">
        <v>0.25301705493907101</v>
      </c>
      <c r="P9" s="119">
        <v>0.260935940955206</v>
      </c>
      <c r="Q9" s="119">
        <v>0.26871464869175499</v>
      </c>
      <c r="R9" s="119">
        <v>0.27687474319246902</v>
      </c>
      <c r="S9" s="119">
        <v>0.28449143369469199</v>
      </c>
      <c r="T9" s="119">
        <v>0.2926763582386</v>
      </c>
      <c r="U9" s="119">
        <v>0.29978414376221901</v>
      </c>
      <c r="V9" s="119">
        <v>0.30958462636670597</v>
      </c>
      <c r="W9" s="119">
        <v>0.31774653752555498</v>
      </c>
      <c r="X9" s="119">
        <v>0.32492510646547001</v>
      </c>
      <c r="Y9" s="119">
        <v>0.33381178245746701</v>
      </c>
      <c r="Z9" s="119">
        <v>0.34396168079474398</v>
      </c>
      <c r="AA9" s="119">
        <v>0.35314453994141498</v>
      </c>
      <c r="AB9" s="119">
        <v>0.36133148218356098</v>
      </c>
      <c r="AC9" s="119">
        <v>0.36923276700066199</v>
      </c>
      <c r="AD9" s="119">
        <v>0.379817993046703</v>
      </c>
      <c r="AE9" s="119">
        <v>0.39106898033726001</v>
      </c>
      <c r="AF9" s="119">
        <v>0.40205455889367903</v>
      </c>
      <c r="AG9" s="119">
        <v>0.413982829848142</v>
      </c>
      <c r="AH9" s="119">
        <v>0.42608925218822302</v>
      </c>
      <c r="AI9" s="119">
        <v>0.43963866968232901</v>
      </c>
      <c r="AJ9" s="119">
        <v>0.458331114875005</v>
      </c>
      <c r="AK9" s="119">
        <v>0.47607801059798899</v>
      </c>
      <c r="AL9" s="119">
        <v>0.49153057762005498</v>
      </c>
      <c r="AM9" s="119">
        <v>0.50156610104780797</v>
      </c>
      <c r="AN9" s="119">
        <v>0.50821666576203905</v>
      </c>
      <c r="AO9" s="119">
        <v>0.51435330119705702</v>
      </c>
      <c r="AP9" s="119">
        <v>0.51838143961126604</v>
      </c>
      <c r="AQ9" s="119">
        <v>0.52271712645715296</v>
      </c>
      <c r="AR9" s="119">
        <v>0.526735662592277</v>
      </c>
      <c r="AS9" s="119">
        <v>0.53246585965965698</v>
      </c>
      <c r="AT9" s="119">
        <v>0.53968265001096605</v>
      </c>
      <c r="AU9" s="119">
        <v>0.54680220329235096</v>
      </c>
      <c r="AV9" s="119">
        <v>0.552974656297335</v>
      </c>
      <c r="AW9" s="119">
        <v>0.55858079501494995</v>
      </c>
      <c r="AX9" s="119">
        <v>0.56312677796821098</v>
      </c>
      <c r="AY9" s="119">
        <v>0.56782610967073199</v>
      </c>
      <c r="AZ9" s="119">
        <v>0.57328155103627998</v>
      </c>
      <c r="BA9" s="119">
        <v>0.57689058428831996</v>
      </c>
      <c r="BB9" s="119">
        <v>0.57986380646777502</v>
      </c>
      <c r="BC9" s="119">
        <v>0.58424324726554699</v>
      </c>
      <c r="BD9" s="119">
        <v>0.58756881097358205</v>
      </c>
      <c r="BE9" s="119">
        <v>0.58943434791614802</v>
      </c>
      <c r="BF9" s="119">
        <v>0.59411045538483398</v>
      </c>
      <c r="BG9" s="119">
        <v>0.59725907877115603</v>
      </c>
      <c r="BH9" s="119">
        <v>0.59996576192469497</v>
      </c>
      <c r="BI9" s="119">
        <v>0.60235860084922299</v>
      </c>
      <c r="BJ9" s="119">
        <v>0.60346824743411998</v>
      </c>
      <c r="BK9" s="119">
        <v>0.60645507092355599</v>
      </c>
      <c r="BL9" s="119">
        <v>0.60828516441596903</v>
      </c>
    </row>
    <row r="10" spans="1:64" x14ac:dyDescent="0.25">
      <c r="A10" s="860" t="s">
        <v>138</v>
      </c>
      <c r="B10" s="1">
        <v>51</v>
      </c>
      <c r="C10" s="119">
        <v>0.5</v>
      </c>
      <c r="D10" s="119">
        <v>0.12027737932935099</v>
      </c>
      <c r="E10" s="119">
        <v>0.12086585592563701</v>
      </c>
      <c r="F10" s="119">
        <v>0.121453283240239</v>
      </c>
      <c r="G10" s="119">
        <v>0.122950053767636</v>
      </c>
      <c r="H10" s="119">
        <v>0.12409163415619601</v>
      </c>
      <c r="I10" s="119">
        <v>0.12509098396259999</v>
      </c>
      <c r="J10" s="119">
        <v>0.12875007345811401</v>
      </c>
      <c r="K10" s="119">
        <v>0.13064633275406501</v>
      </c>
      <c r="L10" s="119">
        <v>0.13244427557580099</v>
      </c>
      <c r="M10" s="119">
        <v>0.134904385805901</v>
      </c>
      <c r="N10" s="119">
        <v>0.137649420634396</v>
      </c>
      <c r="O10" s="119">
        <v>0.14086577563648001</v>
      </c>
      <c r="P10" s="119">
        <v>0.14617039874298299</v>
      </c>
      <c r="Q10" s="119">
        <v>0.15054117276981699</v>
      </c>
      <c r="R10" s="119">
        <v>0.15305955839910901</v>
      </c>
      <c r="S10" s="119">
        <v>0.15584666807935299</v>
      </c>
      <c r="T10" s="119">
        <v>0.158689127340116</v>
      </c>
      <c r="U10" s="119">
        <v>0.160842781003566</v>
      </c>
      <c r="V10" s="119">
        <v>0.16279551532746001</v>
      </c>
      <c r="W10" s="119">
        <v>0.164251450335408</v>
      </c>
      <c r="X10" s="119">
        <v>0.16579820395952999</v>
      </c>
      <c r="Y10" s="119">
        <v>0.16867683988125401</v>
      </c>
      <c r="Z10" s="119">
        <v>0.17016139495007199</v>
      </c>
      <c r="AA10" s="119">
        <v>0.170767775628799</v>
      </c>
      <c r="AB10" s="119">
        <v>0.17147430868886901</v>
      </c>
      <c r="AC10" s="119">
        <v>0.17104203471672599</v>
      </c>
      <c r="AD10" s="119">
        <v>0.169198627071034</v>
      </c>
      <c r="AE10" s="119">
        <v>0.16787983827519001</v>
      </c>
      <c r="AF10" s="119">
        <v>0.16496681632843699</v>
      </c>
      <c r="AG10" s="119">
        <v>0.16336296188468299</v>
      </c>
      <c r="AH10" s="119">
        <v>0.159232365415966</v>
      </c>
      <c r="AI10" s="119">
        <v>0.15390900724356699</v>
      </c>
      <c r="AJ10" s="119">
        <v>0.14813930536346101</v>
      </c>
      <c r="AK10" s="119">
        <v>0.14204446810389901</v>
      </c>
      <c r="AL10" s="119">
        <v>0.13659185868827101</v>
      </c>
      <c r="AM10" s="119">
        <v>0.132222393220427</v>
      </c>
      <c r="AN10" s="119">
        <v>0.13787859675455899</v>
      </c>
      <c r="AO10" s="119">
        <v>0.143207005669542</v>
      </c>
      <c r="AP10" s="119">
        <v>0.15029137071984899</v>
      </c>
      <c r="AQ10" s="119">
        <v>0.15855083478279</v>
      </c>
      <c r="AR10" s="119">
        <v>0.16614050067944799</v>
      </c>
      <c r="AS10" s="119">
        <v>0.168488577313369</v>
      </c>
      <c r="AT10" s="119">
        <v>0.17194371447463699</v>
      </c>
      <c r="AU10" s="119">
        <v>0.17502246105498501</v>
      </c>
      <c r="AV10" s="119">
        <v>0.17841909278038501</v>
      </c>
      <c r="AW10" s="119">
        <v>0.18188946001068301</v>
      </c>
      <c r="AX10" s="119">
        <v>0.18560782956887401</v>
      </c>
      <c r="AY10" s="119">
        <v>0.190676575767637</v>
      </c>
      <c r="AZ10" s="119">
        <v>0.195645099084747</v>
      </c>
      <c r="BA10" s="119">
        <v>0.200241100196657</v>
      </c>
      <c r="BB10" s="119">
        <v>0.20372149350511901</v>
      </c>
      <c r="BC10" s="119">
        <v>0.207076826603206</v>
      </c>
      <c r="BD10" s="119">
        <v>0.21028136312439299</v>
      </c>
      <c r="BE10" s="119">
        <v>0.21329468880036501</v>
      </c>
      <c r="BF10" s="119">
        <v>0.217975104799629</v>
      </c>
      <c r="BG10" s="119">
        <v>0.22218161277248399</v>
      </c>
      <c r="BH10" s="119">
        <v>0.223582424792207</v>
      </c>
      <c r="BI10" s="119">
        <v>0.225620314199034</v>
      </c>
      <c r="BJ10" s="119">
        <v>0.22760174774467701</v>
      </c>
      <c r="BK10" s="119">
        <v>0.228093340911972</v>
      </c>
      <c r="BL10" s="119">
        <v>0.23025938074448199</v>
      </c>
    </row>
    <row r="11" spans="1:64" x14ac:dyDescent="0.25">
      <c r="A11" s="860" t="s">
        <v>140</v>
      </c>
      <c r="B11" s="1">
        <v>36</v>
      </c>
      <c r="C11" s="119">
        <v>0.5</v>
      </c>
      <c r="D11" s="119">
        <v>0.53136165603985197</v>
      </c>
      <c r="E11" s="119">
        <v>0.53151243756977296</v>
      </c>
      <c r="F11" s="119">
        <v>0.53328313451964304</v>
      </c>
      <c r="G11" s="119">
        <v>0.53667054302697204</v>
      </c>
      <c r="H11" s="119">
        <v>0.54021680238591696</v>
      </c>
      <c r="I11" s="119">
        <v>0.54356376964195696</v>
      </c>
      <c r="J11" s="119">
        <v>0.54609457856220001</v>
      </c>
      <c r="K11" s="119">
        <v>0.54865599192444603</v>
      </c>
      <c r="L11" s="119">
        <v>0.55141403986840398</v>
      </c>
      <c r="M11" s="119">
        <v>0.55221077479036196</v>
      </c>
      <c r="N11" s="119">
        <v>0.55692646620147102</v>
      </c>
      <c r="O11" s="119">
        <v>0.56157875971603599</v>
      </c>
      <c r="P11" s="119">
        <v>0.567027899736534</v>
      </c>
      <c r="Q11" s="119">
        <v>0.56929775766645097</v>
      </c>
      <c r="R11" s="119">
        <v>0.57270380785455699</v>
      </c>
      <c r="S11" s="119">
        <v>0.57585519555314502</v>
      </c>
      <c r="T11" s="119">
        <v>0.57593974572265205</v>
      </c>
      <c r="U11" s="119">
        <v>0.57227318409116901</v>
      </c>
      <c r="V11" s="119">
        <v>0.56740993290761599</v>
      </c>
      <c r="W11" s="119">
        <v>0.56122240871422202</v>
      </c>
      <c r="X11" s="119">
        <v>0.55631378169518397</v>
      </c>
      <c r="Y11" s="119">
        <v>0.55244981715431896</v>
      </c>
      <c r="Z11" s="119">
        <v>0.54904069318674398</v>
      </c>
      <c r="AA11" s="119">
        <v>0.54605438369747605</v>
      </c>
      <c r="AB11" s="119">
        <v>0.54296556543251695</v>
      </c>
      <c r="AC11" s="119">
        <v>0.54100885750272698</v>
      </c>
      <c r="AD11" s="119">
        <v>0.54010680510943498</v>
      </c>
      <c r="AE11" s="119">
        <v>0.54002518212513995</v>
      </c>
      <c r="AF11" s="119">
        <v>0.543249559735548</v>
      </c>
      <c r="AG11" s="119">
        <v>0.54476096167916399</v>
      </c>
      <c r="AH11" s="119">
        <v>0.54665408595418397</v>
      </c>
      <c r="AI11" s="119">
        <v>0.54659905608604797</v>
      </c>
      <c r="AJ11" s="119">
        <v>0.54533644812302395</v>
      </c>
      <c r="AK11" s="119">
        <v>0.54337628391394899</v>
      </c>
      <c r="AL11" s="119">
        <v>0.540820212432367</v>
      </c>
      <c r="AM11" s="119">
        <v>0.53768079419433701</v>
      </c>
      <c r="AN11" s="119">
        <v>0.53363747726171695</v>
      </c>
      <c r="AO11" s="119">
        <v>0.53110477965305203</v>
      </c>
      <c r="AP11" s="119">
        <v>0.53221113541391396</v>
      </c>
      <c r="AQ11" s="119">
        <v>0.53869960938009098</v>
      </c>
      <c r="AR11" s="119">
        <v>0.545684675346638</v>
      </c>
      <c r="AS11" s="119">
        <v>0.55100650325821399</v>
      </c>
      <c r="AT11" s="119">
        <v>0.55423809394115298</v>
      </c>
      <c r="AU11" s="119">
        <v>0.55610587896580999</v>
      </c>
      <c r="AV11" s="119">
        <v>0.55711093034243897</v>
      </c>
      <c r="AW11" s="119">
        <v>0.55948376873230699</v>
      </c>
      <c r="AX11" s="119">
        <v>0.56098453493876899</v>
      </c>
      <c r="AY11" s="119">
        <v>0.56097218977292196</v>
      </c>
      <c r="AZ11" s="119">
        <v>0.562326651110163</v>
      </c>
      <c r="BA11" s="119">
        <v>0.56319217655373099</v>
      </c>
      <c r="BB11" s="119">
        <v>0.564610217236589</v>
      </c>
      <c r="BC11" s="119">
        <v>0.56411381468328603</v>
      </c>
      <c r="BD11" s="119">
        <v>0.56433605670912901</v>
      </c>
      <c r="BE11" s="119">
        <v>0.56425266088124204</v>
      </c>
      <c r="BF11" s="119">
        <v>0.56319859146728202</v>
      </c>
      <c r="BG11" s="119">
        <v>0.56394894636659698</v>
      </c>
      <c r="BH11" s="119">
        <v>0.56406100688711303</v>
      </c>
      <c r="BI11" s="119">
        <v>0.564417209353271</v>
      </c>
      <c r="BJ11" s="119">
        <v>0.56279700831195101</v>
      </c>
      <c r="BK11" s="119">
        <v>0.56447205094359298</v>
      </c>
      <c r="BL11" s="119">
        <v>0.56391201227780496</v>
      </c>
    </row>
    <row r="12" spans="1:64" x14ac:dyDescent="0.25">
      <c r="A12" s="860" t="s">
        <v>141</v>
      </c>
      <c r="B12" s="1">
        <v>40</v>
      </c>
      <c r="C12" s="119">
        <v>0.5</v>
      </c>
      <c r="D12" s="119">
        <v>0.31565636883861098</v>
      </c>
      <c r="E12" s="119">
        <v>0.32727536627081999</v>
      </c>
      <c r="F12" s="119">
        <v>0.33924494246403603</v>
      </c>
      <c r="G12" s="119">
        <v>0.35148164457279901</v>
      </c>
      <c r="H12" s="119">
        <v>0.36307228999865498</v>
      </c>
      <c r="I12" s="119">
        <v>0.37514932115803201</v>
      </c>
      <c r="J12" s="119">
        <v>0.38556097963965502</v>
      </c>
      <c r="K12" s="119">
        <v>0.39655896750147601</v>
      </c>
      <c r="L12" s="119">
        <v>0.40695820504076602</v>
      </c>
      <c r="M12" s="119">
        <v>0.41640713490081899</v>
      </c>
      <c r="N12" s="119">
        <v>0.42528177565188802</v>
      </c>
      <c r="O12" s="119">
        <v>0.43341728296340498</v>
      </c>
      <c r="P12" s="119">
        <v>0.44222096079739398</v>
      </c>
      <c r="Q12" s="119">
        <v>0.449199267541804</v>
      </c>
      <c r="R12" s="119">
        <v>0.45718955026645097</v>
      </c>
      <c r="S12" s="119">
        <v>0.46441980250325998</v>
      </c>
      <c r="T12" s="119">
        <v>0.473415458675225</v>
      </c>
      <c r="U12" s="119">
        <v>0.480476233720946</v>
      </c>
      <c r="V12" s="119">
        <v>0.48645269999683799</v>
      </c>
      <c r="W12" s="119">
        <v>0.492636207551224</v>
      </c>
      <c r="X12" s="119">
        <v>0.49969533101907398</v>
      </c>
      <c r="Y12" s="119">
        <v>0.50280138402900898</v>
      </c>
      <c r="Z12" s="119">
        <v>0.50628744070692999</v>
      </c>
      <c r="AA12" s="119">
        <v>0.50792047327966405</v>
      </c>
      <c r="AB12" s="119">
        <v>0.51059171171635098</v>
      </c>
      <c r="AC12" s="119">
        <v>0.51107239687477102</v>
      </c>
      <c r="AD12" s="119">
        <v>0.51287739209149397</v>
      </c>
      <c r="AE12" s="119">
        <v>0.51714105253025899</v>
      </c>
      <c r="AF12" s="119">
        <v>0.52245255427623905</v>
      </c>
      <c r="AG12" s="119">
        <v>0.52844287022971803</v>
      </c>
      <c r="AH12" s="119">
        <v>0.53688374926097604</v>
      </c>
      <c r="AI12" s="119">
        <v>0.54430245502189201</v>
      </c>
      <c r="AJ12" s="119">
        <v>0.55202166602772895</v>
      </c>
      <c r="AK12" s="119">
        <v>0.556903575592261</v>
      </c>
      <c r="AL12" s="119">
        <v>0.56375329538968799</v>
      </c>
      <c r="AM12" s="119">
        <v>0.56958641114744302</v>
      </c>
      <c r="AN12" s="119">
        <v>0.57791537711329299</v>
      </c>
      <c r="AO12" s="119">
        <v>0.58448321174247597</v>
      </c>
      <c r="AP12" s="119">
        <v>0.59085810702994002</v>
      </c>
      <c r="AQ12" s="119">
        <v>0.59657177719082899</v>
      </c>
      <c r="AR12" s="119">
        <v>0.60255720660094803</v>
      </c>
      <c r="AS12" s="119">
        <v>0.60781252153674103</v>
      </c>
      <c r="AT12" s="119">
        <v>0.61002274456420003</v>
      </c>
      <c r="AU12" s="119">
        <v>0.60903050885291199</v>
      </c>
      <c r="AV12" s="119">
        <v>0.60730460535792696</v>
      </c>
      <c r="AW12" s="119">
        <v>0.60725577642260697</v>
      </c>
      <c r="AX12" s="119">
        <v>0.610118367965506</v>
      </c>
      <c r="AY12" s="119">
        <v>0.615318183517224</v>
      </c>
      <c r="AZ12" s="119">
        <v>0.62133195802504904</v>
      </c>
      <c r="BA12" s="119">
        <v>0.62566529176145202</v>
      </c>
      <c r="BB12" s="119">
        <v>0.62915239728876704</v>
      </c>
      <c r="BC12" s="119">
        <v>0.63026970598180998</v>
      </c>
      <c r="BD12" s="119">
        <v>0.63289430337322505</v>
      </c>
      <c r="BE12" s="119">
        <v>0.63406649120594405</v>
      </c>
      <c r="BF12" s="119">
        <v>0.63644187706435396</v>
      </c>
      <c r="BG12" s="119">
        <v>0.63513321558560698</v>
      </c>
      <c r="BH12" s="119">
        <v>0.63719306940221998</v>
      </c>
      <c r="BI12" s="119">
        <v>0.63788118392595095</v>
      </c>
      <c r="BJ12" s="119">
        <v>0.63915783425620998</v>
      </c>
      <c r="BK12" s="119">
        <v>0.63823187205756904</v>
      </c>
      <c r="BL12" s="119">
        <v>0.63732617999607</v>
      </c>
    </row>
    <row r="13" spans="1:64" x14ac:dyDescent="0.25">
      <c r="A13" s="860" t="s">
        <v>142</v>
      </c>
      <c r="B13" s="1">
        <v>31</v>
      </c>
      <c r="C13" s="119">
        <v>0.5</v>
      </c>
      <c r="D13" s="119">
        <v>7.3761192579564705E-2</v>
      </c>
      <c r="E13" s="119">
        <v>7.5229927702933505E-2</v>
      </c>
      <c r="F13" s="119">
        <v>7.60952043532169E-2</v>
      </c>
      <c r="G13" s="119">
        <v>7.6547465738456E-2</v>
      </c>
      <c r="H13" s="119">
        <v>7.7719627368560196E-2</v>
      </c>
      <c r="I13" s="119">
        <v>7.81743818110468E-2</v>
      </c>
      <c r="J13" s="119">
        <v>7.9022715237897403E-2</v>
      </c>
      <c r="K13" s="119">
        <v>7.8959902142065996E-2</v>
      </c>
      <c r="L13" s="119">
        <v>7.9957096790632204E-2</v>
      </c>
      <c r="M13" s="119">
        <v>8.1653946292852594E-2</v>
      </c>
      <c r="N13" s="119">
        <v>8.2117032693183906E-2</v>
      </c>
      <c r="O13" s="119">
        <v>8.2908122942782297E-2</v>
      </c>
      <c r="P13" s="119">
        <v>8.4976134878824106E-2</v>
      </c>
      <c r="Q13" s="119">
        <v>8.6893621981473004E-2</v>
      </c>
      <c r="R13" s="119">
        <v>8.91870760746966E-2</v>
      </c>
      <c r="S13" s="119">
        <v>9.1538897009954004E-2</v>
      </c>
      <c r="T13" s="119">
        <v>9.3561757219734296E-2</v>
      </c>
      <c r="U13" s="119">
        <v>9.4948603122969905E-2</v>
      </c>
      <c r="V13" s="119">
        <v>9.6513826916639095E-2</v>
      </c>
      <c r="W13" s="119">
        <v>9.8815931737856494E-2</v>
      </c>
      <c r="X13" s="119">
        <v>0.100614240527248</v>
      </c>
      <c r="Y13" s="119">
        <v>0.10156910893860099</v>
      </c>
      <c r="Z13" s="119">
        <v>0.103939320037037</v>
      </c>
      <c r="AA13" s="119">
        <v>0.10551553279199501</v>
      </c>
      <c r="AB13" s="119">
        <v>0.106312002926771</v>
      </c>
      <c r="AC13" s="119">
        <v>0.105619679274531</v>
      </c>
      <c r="AD13" s="119">
        <v>0.10660041777463999</v>
      </c>
      <c r="AE13" s="119">
        <v>0.107448933393648</v>
      </c>
      <c r="AF13" s="119">
        <v>0.107101886925589</v>
      </c>
      <c r="AG13" s="119">
        <v>0.106283762407112</v>
      </c>
      <c r="AH13" s="119">
        <v>0.104688534646113</v>
      </c>
      <c r="AI13" s="119">
        <v>0.100006590304538</v>
      </c>
      <c r="AJ13" s="119">
        <v>9.8619974762421306E-2</v>
      </c>
      <c r="AK13" s="119">
        <v>9.7420847006584196E-2</v>
      </c>
      <c r="AL13" s="119">
        <v>9.5072934989811106E-2</v>
      </c>
      <c r="AM13" s="119">
        <v>9.3073297309153105E-2</v>
      </c>
      <c r="AN13" s="119">
        <v>9.1556337897768597E-2</v>
      </c>
      <c r="AO13" s="119">
        <v>9.2718277336497096E-2</v>
      </c>
      <c r="AP13" s="119">
        <v>9.4055516040643494E-2</v>
      </c>
      <c r="AQ13" s="119">
        <v>9.4631756852554497E-2</v>
      </c>
      <c r="AR13" s="119">
        <v>9.5597090878962801E-2</v>
      </c>
      <c r="AS13" s="119">
        <v>9.7341048294343702E-2</v>
      </c>
      <c r="AT13" s="119">
        <v>0.10212254335495501</v>
      </c>
      <c r="AU13" s="119">
        <v>0.106241922944163</v>
      </c>
      <c r="AV13" s="119">
        <v>0.11071119976506701</v>
      </c>
      <c r="AW13" s="119">
        <v>0.115943809927031</v>
      </c>
      <c r="AX13" s="119">
        <v>0.12115662658892699</v>
      </c>
      <c r="AY13" s="119">
        <v>0.12680694896327999</v>
      </c>
      <c r="AZ13" s="119">
        <v>0.13240122154252401</v>
      </c>
      <c r="BA13" s="119">
        <v>0.13662072053299101</v>
      </c>
      <c r="BB13" s="119">
        <v>0.140807603996735</v>
      </c>
      <c r="BC13" s="119">
        <v>0.14639797718574499</v>
      </c>
      <c r="BD13" s="119">
        <v>0.151277499891841</v>
      </c>
      <c r="BE13" s="119">
        <v>0.15750786332041</v>
      </c>
      <c r="BF13" s="119">
        <v>0.16080935907032001</v>
      </c>
      <c r="BG13" s="119">
        <v>0.164606194383071</v>
      </c>
      <c r="BH13" s="119">
        <v>0.169101676973578</v>
      </c>
      <c r="BI13" s="119">
        <v>0.17101055655036099</v>
      </c>
      <c r="BJ13" s="119">
        <v>0.17499203551805201</v>
      </c>
      <c r="BK13" s="119">
        <v>0.17661679630549401</v>
      </c>
      <c r="BL13" s="119">
        <v>0.17997911616701801</v>
      </c>
    </row>
    <row r="14" spans="1:64" x14ac:dyDescent="0.25">
      <c r="A14" s="860" t="s">
        <v>143</v>
      </c>
      <c r="B14" s="1">
        <v>44</v>
      </c>
      <c r="C14" s="119">
        <v>0.5</v>
      </c>
      <c r="D14" s="119">
        <v>0.25040588023691401</v>
      </c>
      <c r="E14" s="119">
        <v>0.25199366626937197</v>
      </c>
      <c r="F14" s="119">
        <v>0.25481214873714197</v>
      </c>
      <c r="G14" s="119">
        <v>0.25726374263831597</v>
      </c>
      <c r="H14" s="119">
        <v>0.26019087524040702</v>
      </c>
      <c r="I14" s="119">
        <v>0.26274419365064</v>
      </c>
      <c r="J14" s="119">
        <v>0.26390239496058898</v>
      </c>
      <c r="K14" s="119">
        <v>0.26393003754947197</v>
      </c>
      <c r="L14" s="119">
        <v>0.26549306949721302</v>
      </c>
      <c r="M14" s="119">
        <v>0.26518774513612298</v>
      </c>
      <c r="N14" s="119">
        <v>0.26763066877678998</v>
      </c>
      <c r="O14" s="119">
        <v>0.27101560971016098</v>
      </c>
      <c r="P14" s="119">
        <v>0.27459529256925103</v>
      </c>
      <c r="Q14" s="119">
        <v>0.27778718614130499</v>
      </c>
      <c r="R14" s="119">
        <v>0.28172489123138</v>
      </c>
      <c r="S14" s="119">
        <v>0.28577377087188099</v>
      </c>
      <c r="T14" s="119">
        <v>0.288104510056297</v>
      </c>
      <c r="U14" s="119">
        <v>0.28999634791741202</v>
      </c>
      <c r="V14" s="119">
        <v>0.29380639549020598</v>
      </c>
      <c r="W14" s="119">
        <v>0.29817631079238099</v>
      </c>
      <c r="X14" s="119">
        <v>0.30248101579837899</v>
      </c>
      <c r="Y14" s="119">
        <v>0.30608155421696698</v>
      </c>
      <c r="Z14" s="119">
        <v>0.30951415821640399</v>
      </c>
      <c r="AA14" s="119">
        <v>0.31418245569744202</v>
      </c>
      <c r="AB14" s="119">
        <v>0.319058694393691</v>
      </c>
      <c r="AC14" s="119">
        <v>0.32217109705904501</v>
      </c>
      <c r="AD14" s="119">
        <v>0.32598107831978901</v>
      </c>
      <c r="AE14" s="119">
        <v>0.32960881977791101</v>
      </c>
      <c r="AF14" s="119">
        <v>0.33250369647160199</v>
      </c>
      <c r="AG14" s="119">
        <v>0.33588910720817799</v>
      </c>
      <c r="AH14" s="119">
        <v>0.34107863996617199</v>
      </c>
      <c r="AI14" s="119">
        <v>0.34529815510851403</v>
      </c>
      <c r="AJ14" s="119">
        <v>0.35061826910071398</v>
      </c>
      <c r="AK14" s="119">
        <v>0.35615027927590198</v>
      </c>
      <c r="AL14" s="119">
        <v>0.36095240316750199</v>
      </c>
      <c r="AM14" s="119">
        <v>0.36611644789380798</v>
      </c>
      <c r="AN14" s="119">
        <v>0.37052701850314201</v>
      </c>
      <c r="AO14" s="119">
        <v>0.37573148066887202</v>
      </c>
      <c r="AP14" s="119">
        <v>0.37945206017809102</v>
      </c>
      <c r="AQ14" s="119">
        <v>0.38270053714047098</v>
      </c>
      <c r="AR14" s="119">
        <v>0.38729542848536702</v>
      </c>
      <c r="AS14" s="119">
        <v>0.39035325950991301</v>
      </c>
      <c r="AT14" s="119">
        <v>0.39479396711978498</v>
      </c>
      <c r="AU14" s="119">
        <v>0.397992258323908</v>
      </c>
      <c r="AV14" s="119">
        <v>0.40177120916533798</v>
      </c>
      <c r="AW14" s="119">
        <v>0.40427525588166902</v>
      </c>
      <c r="AX14" s="119">
        <v>0.40809600795878498</v>
      </c>
      <c r="AY14" s="119">
        <v>0.41089421104321</v>
      </c>
      <c r="AZ14" s="119">
        <v>0.41642526762153698</v>
      </c>
      <c r="BA14" s="119">
        <v>0.41979284645091502</v>
      </c>
      <c r="BB14" s="119">
        <v>0.42331526970501399</v>
      </c>
      <c r="BC14" s="119">
        <v>0.42674201898042902</v>
      </c>
      <c r="BD14" s="119">
        <v>0.43042682663648102</v>
      </c>
      <c r="BE14" s="119">
        <v>0.43581527831341199</v>
      </c>
      <c r="BF14" s="119">
        <v>0.4412473452481</v>
      </c>
      <c r="BG14" s="119">
        <v>0.44626052227148999</v>
      </c>
      <c r="BH14" s="119">
        <v>0.45064141259156898</v>
      </c>
      <c r="BI14" s="119">
        <v>0.45518419116602599</v>
      </c>
      <c r="BJ14" s="119">
        <v>0.462477763816252</v>
      </c>
      <c r="BK14" s="119">
        <v>0.46850381139807401</v>
      </c>
      <c r="BL14" s="119">
        <v>0.47347591494483499</v>
      </c>
    </row>
    <row r="15" spans="1:64" x14ac:dyDescent="0.25">
      <c r="A15" s="860" t="s">
        <v>144</v>
      </c>
      <c r="B15" s="1">
        <v>48</v>
      </c>
      <c r="C15" s="119">
        <v>0.5</v>
      </c>
      <c r="D15" s="119">
        <v>0.14228499851463799</v>
      </c>
      <c r="E15" s="119">
        <v>0.145692620224494</v>
      </c>
      <c r="F15" s="119">
        <v>0.14587976308136799</v>
      </c>
      <c r="G15" s="119">
        <v>0.14602509045043299</v>
      </c>
      <c r="H15" s="119">
        <v>0.14777343073844099</v>
      </c>
      <c r="I15" s="119">
        <v>0.15073625189503401</v>
      </c>
      <c r="J15" s="119">
        <v>0.151429002487345</v>
      </c>
      <c r="K15" s="119">
        <v>0.15482508970846801</v>
      </c>
      <c r="L15" s="119">
        <v>0.157560153474431</v>
      </c>
      <c r="M15" s="119">
        <v>0.15861376556159701</v>
      </c>
      <c r="N15" s="119">
        <v>0.160222921202158</v>
      </c>
      <c r="O15" s="119">
        <v>0.16413155227354601</v>
      </c>
      <c r="P15" s="119">
        <v>0.168052765546717</v>
      </c>
      <c r="Q15" s="119">
        <v>0.17316458352443601</v>
      </c>
      <c r="R15" s="119">
        <v>0.178630676316128</v>
      </c>
      <c r="S15" s="119">
        <v>0.18417115022811001</v>
      </c>
      <c r="T15" s="119">
        <v>0.18411417143563999</v>
      </c>
      <c r="U15" s="119">
        <v>0.18297838344572201</v>
      </c>
      <c r="V15" s="119">
        <v>0.184981663951123</v>
      </c>
      <c r="W15" s="119">
        <v>0.18716770539215299</v>
      </c>
      <c r="X15" s="119">
        <v>0.18760302223098799</v>
      </c>
      <c r="Y15" s="119">
        <v>0.18802477777037899</v>
      </c>
      <c r="Z15" s="119">
        <v>0.1893035243027</v>
      </c>
      <c r="AA15" s="119">
        <v>0.190843035002563</v>
      </c>
      <c r="AB15" s="119">
        <v>0.19251263080865899</v>
      </c>
      <c r="AC15" s="119">
        <v>0.19256171988167001</v>
      </c>
      <c r="AD15" s="119">
        <v>0.19388878409690799</v>
      </c>
      <c r="AE15" s="119">
        <v>0.195523376191158</v>
      </c>
      <c r="AF15" s="119">
        <v>0.197224853318268</v>
      </c>
      <c r="AG15" s="119">
        <v>0.19756500359668799</v>
      </c>
      <c r="AH15" s="119">
        <v>0.19947963357516499</v>
      </c>
      <c r="AI15" s="119">
        <v>0.198392190735934</v>
      </c>
      <c r="AJ15" s="119">
        <v>0.19862863135968101</v>
      </c>
      <c r="AK15" s="119">
        <v>0.198291798498966</v>
      </c>
      <c r="AL15" s="119">
        <v>0.20034234872546999</v>
      </c>
      <c r="AM15" s="119">
        <v>0.20143047394548899</v>
      </c>
      <c r="AN15" s="119">
        <v>0.200592668887248</v>
      </c>
      <c r="AO15" s="119">
        <v>0.20065074045842701</v>
      </c>
      <c r="AP15" s="119">
        <v>0.200610169303644</v>
      </c>
      <c r="AQ15" s="119">
        <v>0.20301995777332499</v>
      </c>
      <c r="AR15" s="119">
        <v>0.20384379614239401</v>
      </c>
      <c r="AS15" s="119">
        <v>0.20248274992691101</v>
      </c>
      <c r="AT15" s="119">
        <v>0.20361132466753201</v>
      </c>
      <c r="AU15" s="119">
        <v>0.20376871374534899</v>
      </c>
      <c r="AV15" s="119">
        <v>0.20391946494801699</v>
      </c>
      <c r="AW15" s="119">
        <v>0.20493547871948201</v>
      </c>
      <c r="AX15" s="119">
        <v>0.203830996349741</v>
      </c>
      <c r="AY15" s="119">
        <v>0.203406328066847</v>
      </c>
      <c r="AZ15" s="119">
        <v>0.204612371891843</v>
      </c>
      <c r="BA15" s="119">
        <v>0.204906182323602</v>
      </c>
      <c r="BB15" s="119">
        <v>0.20705014431846799</v>
      </c>
      <c r="BC15" s="119">
        <v>0.205700353294969</v>
      </c>
      <c r="BD15" s="119">
        <v>0.204641672290333</v>
      </c>
      <c r="BE15" s="119">
        <v>0.20502701467123</v>
      </c>
      <c r="BF15" s="119">
        <v>0.20537907403745201</v>
      </c>
      <c r="BG15" s="119">
        <v>0.20658564635148299</v>
      </c>
      <c r="BH15" s="119">
        <v>0.20552302223655</v>
      </c>
      <c r="BI15" s="119">
        <v>0.20573334860758499</v>
      </c>
      <c r="BJ15" s="119">
        <v>0.20855844140232799</v>
      </c>
      <c r="BK15" s="119">
        <v>0.21095703686673201</v>
      </c>
      <c r="BL15" s="119">
        <v>0.21349537834211699</v>
      </c>
    </row>
    <row r="16" spans="1:64" x14ac:dyDescent="0.25">
      <c r="A16" s="860" t="s">
        <v>12</v>
      </c>
      <c r="B16" s="1">
        <v>50</v>
      </c>
      <c r="C16" s="119">
        <v>0.5</v>
      </c>
      <c r="D16" s="119">
        <v>3.2601724797117398E-2</v>
      </c>
      <c r="E16" s="119">
        <v>3.5623140039463097E-2</v>
      </c>
      <c r="F16" s="119">
        <v>3.8915206399226299E-2</v>
      </c>
      <c r="G16" s="119">
        <v>4.2549409378589101E-2</v>
      </c>
      <c r="H16" s="119">
        <v>4.6673445571567697E-2</v>
      </c>
      <c r="I16" s="119">
        <v>5.1019951109999899E-2</v>
      </c>
      <c r="J16" s="119">
        <v>5.6413568035488498E-2</v>
      </c>
      <c r="K16" s="119">
        <v>6.2567517799688901E-2</v>
      </c>
      <c r="L16" s="119">
        <v>6.9987694834670905E-2</v>
      </c>
      <c r="M16" s="119">
        <v>7.7748157684555105E-2</v>
      </c>
      <c r="N16" s="119">
        <v>8.5637217401257903E-2</v>
      </c>
      <c r="O16" s="119">
        <v>9.5183996900153195E-2</v>
      </c>
      <c r="P16" s="119">
        <v>0.105621254464866</v>
      </c>
      <c r="Q16" s="119">
        <v>0.11653892752699101</v>
      </c>
      <c r="R16" s="119">
        <v>0.12737316614294</v>
      </c>
      <c r="S16" s="119">
        <v>0.14072908412076701</v>
      </c>
      <c r="T16" s="119">
        <v>0.15354349526862701</v>
      </c>
      <c r="U16" s="119">
        <v>0.16725904732986799</v>
      </c>
      <c r="V16" s="119">
        <v>0.18203164687109499</v>
      </c>
      <c r="W16" s="119">
        <v>0.19842883342489501</v>
      </c>
      <c r="X16" s="119">
        <v>0.21616939963360501</v>
      </c>
      <c r="Y16" s="119">
        <v>0.23562322269876701</v>
      </c>
      <c r="Z16" s="119">
        <v>0.25254760282715999</v>
      </c>
      <c r="AA16" s="119">
        <v>0.26942132905919203</v>
      </c>
      <c r="AB16" s="119">
        <v>0.28522901506554099</v>
      </c>
      <c r="AC16" s="119">
        <v>0.298750377225596</v>
      </c>
      <c r="AD16" s="119">
        <v>0.31058350737187901</v>
      </c>
      <c r="AE16" s="119">
        <v>0.32170072717425202</v>
      </c>
      <c r="AF16" s="119">
        <v>0.329052977438197</v>
      </c>
      <c r="AG16" s="119">
        <v>0.33485547991353298</v>
      </c>
      <c r="AH16" s="119">
        <v>0.339218513269406</v>
      </c>
      <c r="AI16" s="119">
        <v>0.34490189839519703</v>
      </c>
      <c r="AJ16" s="119">
        <v>0.35509753420782603</v>
      </c>
      <c r="AK16" s="119">
        <v>0.36449342228277098</v>
      </c>
      <c r="AL16" s="119">
        <v>0.37198672474289401</v>
      </c>
      <c r="AM16" s="119">
        <v>0.37635564403557398</v>
      </c>
      <c r="AN16" s="119">
        <v>0.37833888678900301</v>
      </c>
      <c r="AO16" s="119">
        <v>0.38157237831735202</v>
      </c>
      <c r="AP16" s="119">
        <v>0.39002376558491197</v>
      </c>
      <c r="AQ16" s="119">
        <v>0.40163829282172298</v>
      </c>
      <c r="AR16" s="119">
        <v>0.41312336944753297</v>
      </c>
      <c r="AS16" s="119">
        <v>0.42472060084969299</v>
      </c>
      <c r="AT16" s="119">
        <v>0.434731813113232</v>
      </c>
      <c r="AU16" s="119">
        <v>0.443307995780377</v>
      </c>
      <c r="AV16" s="119">
        <v>0.44596309896150299</v>
      </c>
      <c r="AW16" s="119">
        <v>0.44706795317613002</v>
      </c>
      <c r="AX16" s="119">
        <v>0.44640860603486798</v>
      </c>
      <c r="AY16" s="119">
        <v>0.44178258200692699</v>
      </c>
      <c r="AZ16" s="119">
        <v>0.44655945063306002</v>
      </c>
      <c r="BA16" s="119">
        <v>0.45173705075542397</v>
      </c>
      <c r="BB16" s="119">
        <v>0.45557538563823602</v>
      </c>
      <c r="BC16" s="119">
        <v>0.46012834879373099</v>
      </c>
      <c r="BD16" s="119">
        <v>0.46416331940276201</v>
      </c>
      <c r="BE16" s="119">
        <v>0.46783591239726402</v>
      </c>
      <c r="BF16" s="119">
        <v>0.47057501240036398</v>
      </c>
      <c r="BG16" s="119">
        <v>0.47402666532481402</v>
      </c>
      <c r="BH16" s="119">
        <v>0.47584125155053902</v>
      </c>
      <c r="BI16" s="119">
        <v>0.47762340391931002</v>
      </c>
      <c r="BJ16" s="119">
        <v>0.47822167964565798</v>
      </c>
      <c r="BK16" s="119">
        <v>0.48126219287444699</v>
      </c>
      <c r="BL16" s="119">
        <v>0.48352538320007699</v>
      </c>
    </row>
    <row r="17" spans="1:64" x14ac:dyDescent="0.25">
      <c r="A17" s="860" t="s">
        <v>145</v>
      </c>
      <c r="B17" s="1">
        <v>52</v>
      </c>
      <c r="C17" s="119">
        <v>0.5</v>
      </c>
      <c r="D17" s="119">
        <v>0.20485958707240901</v>
      </c>
      <c r="E17" s="119">
        <v>0.20922769214474601</v>
      </c>
      <c r="F17" s="119">
        <v>0.214741470784508</v>
      </c>
      <c r="G17" s="119">
        <v>0.22004815018080201</v>
      </c>
      <c r="H17" s="119">
        <v>0.22623808021309</v>
      </c>
      <c r="I17" s="119">
        <v>0.23052017055281801</v>
      </c>
      <c r="J17" s="119">
        <v>0.23661371412600199</v>
      </c>
      <c r="K17" s="119">
        <v>0.243331929564609</v>
      </c>
      <c r="L17" s="119">
        <v>0.25035544955866701</v>
      </c>
      <c r="M17" s="119">
        <v>0.25885790015171001</v>
      </c>
      <c r="N17" s="119">
        <v>0.26680631150533701</v>
      </c>
      <c r="O17" s="119">
        <v>0.274907646871135</v>
      </c>
      <c r="P17" s="119">
        <v>0.28317850386391402</v>
      </c>
      <c r="Q17" s="119">
        <v>0.29231841502147998</v>
      </c>
      <c r="R17" s="119">
        <v>0.30123566734728102</v>
      </c>
      <c r="S17" s="119">
        <v>0.30865262895074302</v>
      </c>
      <c r="T17" s="119">
        <v>0.316749295702692</v>
      </c>
      <c r="U17" s="119">
        <v>0.32431832688991902</v>
      </c>
      <c r="V17" s="119">
        <v>0.33069442809922001</v>
      </c>
      <c r="W17" s="119">
        <v>0.33695973541855101</v>
      </c>
      <c r="X17" s="119">
        <v>0.34422958622972799</v>
      </c>
      <c r="Y17" s="119">
        <v>0.35153803453751598</v>
      </c>
      <c r="Z17" s="119">
        <v>0.35980638080903898</v>
      </c>
      <c r="AA17" s="119">
        <v>0.36721707829883199</v>
      </c>
      <c r="AB17" s="119">
        <v>0.37405691642649702</v>
      </c>
      <c r="AC17" s="119">
        <v>0.38027955363379301</v>
      </c>
      <c r="AD17" s="119">
        <v>0.38681022099721601</v>
      </c>
      <c r="AE17" s="119">
        <v>0.39202867659597501</v>
      </c>
      <c r="AF17" s="119">
        <v>0.39746552860545198</v>
      </c>
      <c r="AG17" s="119">
        <v>0.399865732920822</v>
      </c>
      <c r="AH17" s="119">
        <v>0.40409921979395902</v>
      </c>
      <c r="AI17" s="119">
        <v>0.407955008480754</v>
      </c>
      <c r="AJ17" s="119">
        <v>0.41170507029994902</v>
      </c>
      <c r="AK17" s="119">
        <v>0.41437423845763</v>
      </c>
      <c r="AL17" s="119">
        <v>0.41953183927167198</v>
      </c>
      <c r="AM17" s="119">
        <v>0.420365722593327</v>
      </c>
      <c r="AN17" s="119">
        <v>0.423060208938701</v>
      </c>
      <c r="AO17" s="119">
        <v>0.42599346127639298</v>
      </c>
      <c r="AP17" s="119">
        <v>0.43027610948383699</v>
      </c>
      <c r="AQ17" s="119">
        <v>0.43139757436458398</v>
      </c>
      <c r="AR17" s="119">
        <v>0.43440807363925898</v>
      </c>
      <c r="AS17" s="119">
        <v>0.435913760390855</v>
      </c>
      <c r="AT17" s="119">
        <v>0.43847623129361202</v>
      </c>
      <c r="AU17" s="119">
        <v>0.44171503976139598</v>
      </c>
      <c r="AV17" s="119">
        <v>0.44546107832640502</v>
      </c>
      <c r="AW17" s="119">
        <v>0.44865029801948297</v>
      </c>
      <c r="AX17" s="119">
        <v>0.45130836520354001</v>
      </c>
      <c r="AY17" s="119">
        <v>0.45437151157664002</v>
      </c>
      <c r="AZ17" s="119">
        <v>0.457307853367169</v>
      </c>
      <c r="BA17" s="119">
        <v>0.46138788421128002</v>
      </c>
      <c r="BB17" s="119">
        <v>0.464858922749673</v>
      </c>
      <c r="BC17" s="119">
        <v>0.46790050684218099</v>
      </c>
      <c r="BD17" s="119">
        <v>0.47228464039095203</v>
      </c>
      <c r="BE17" s="119">
        <v>0.47423095287169698</v>
      </c>
      <c r="BF17" s="119">
        <v>0.47795714750475898</v>
      </c>
      <c r="BG17" s="119">
        <v>0.48186341809347299</v>
      </c>
      <c r="BH17" s="119">
        <v>0.48583060962396202</v>
      </c>
      <c r="BI17" s="119">
        <v>0.48807841126218598</v>
      </c>
      <c r="BJ17" s="119">
        <v>0.49190948492727599</v>
      </c>
      <c r="BK17" s="119">
        <v>0.49628215949916399</v>
      </c>
      <c r="BL17" s="119">
        <v>0.50006235015683898</v>
      </c>
    </row>
    <row r="18" spans="1:64" x14ac:dyDescent="0.25">
      <c r="A18" s="860" t="s">
        <v>146</v>
      </c>
      <c r="B18" s="1">
        <v>112</v>
      </c>
      <c r="C18" s="119">
        <v>0.5</v>
      </c>
      <c r="D18" s="119">
        <v>0.17946620323385001</v>
      </c>
      <c r="E18" s="119">
        <v>0.18676037362280801</v>
      </c>
      <c r="F18" s="119">
        <v>0.195043174783466</v>
      </c>
      <c r="G18" s="119">
        <v>0.200424019115613</v>
      </c>
      <c r="H18" s="119">
        <v>0.20810616071273499</v>
      </c>
      <c r="I18" s="119">
        <v>0.21423885556304001</v>
      </c>
      <c r="J18" s="119">
        <v>0.220894977142224</v>
      </c>
      <c r="K18" s="119">
        <v>0.226674850721888</v>
      </c>
      <c r="L18" s="119">
        <v>0.23484981755738699</v>
      </c>
      <c r="M18" s="119">
        <v>0.241676330978155</v>
      </c>
      <c r="N18" s="119">
        <v>0.249289138320999</v>
      </c>
      <c r="O18" s="119">
        <v>0.25788092667152601</v>
      </c>
      <c r="P18" s="119">
        <v>0.26411590858769701</v>
      </c>
      <c r="Q18" s="119">
        <v>0.27369442875632799</v>
      </c>
      <c r="R18" s="119">
        <v>0.28084529443349998</v>
      </c>
      <c r="S18" s="119">
        <v>0.287512056363325</v>
      </c>
      <c r="T18" s="119">
        <v>0.295260083151069</v>
      </c>
      <c r="U18" s="119">
        <v>0.30282289055297901</v>
      </c>
      <c r="V18" s="119">
        <v>0.30712971327676503</v>
      </c>
      <c r="W18" s="119">
        <v>0.31447010366779699</v>
      </c>
      <c r="X18" s="119">
        <v>0.31706635457195997</v>
      </c>
      <c r="Y18" s="119">
        <v>0.31921709320406</v>
      </c>
      <c r="Z18" s="119">
        <v>0.32033420076763602</v>
      </c>
      <c r="AA18" s="119">
        <v>0.32143075292093698</v>
      </c>
      <c r="AB18" s="119">
        <v>0.322228091453447</v>
      </c>
      <c r="AC18" s="119">
        <v>0.32380950625080102</v>
      </c>
      <c r="AD18" s="119">
        <v>0.32960483031568599</v>
      </c>
      <c r="AE18" s="119">
        <v>0.33792799037143001</v>
      </c>
      <c r="AF18" s="119">
        <v>0.34786504154891901</v>
      </c>
      <c r="AG18" s="119">
        <v>0.35788694082885703</v>
      </c>
      <c r="AH18" s="119">
        <v>0.36833224086519101</v>
      </c>
      <c r="AI18" s="119">
        <v>0.37848085186476998</v>
      </c>
      <c r="AJ18" s="119">
        <v>0.38948964856909302</v>
      </c>
      <c r="AK18" s="119">
        <v>0.39673815058296003</v>
      </c>
      <c r="AL18" s="119">
        <v>0.40569799656434902</v>
      </c>
      <c r="AM18" s="119">
        <v>0.41400473549657602</v>
      </c>
      <c r="AN18" s="119">
        <v>0.42115051081266303</v>
      </c>
      <c r="AO18" s="119">
        <v>0.42575064969015503</v>
      </c>
      <c r="AP18" s="119">
        <v>0.42977217664122602</v>
      </c>
      <c r="AQ18" s="119">
        <v>0.43426194888453501</v>
      </c>
      <c r="AR18" s="119">
        <v>0.439418201531732</v>
      </c>
      <c r="AS18" s="119">
        <v>0.44416025761190298</v>
      </c>
      <c r="AT18" s="119">
        <v>0.44797250836985197</v>
      </c>
      <c r="AU18" s="119">
        <v>0.45058539830662497</v>
      </c>
      <c r="AV18" s="119">
        <v>0.45041496340155701</v>
      </c>
      <c r="AW18" s="119">
        <v>0.45092019567812403</v>
      </c>
      <c r="AX18" s="119">
        <v>0.44911945128917102</v>
      </c>
      <c r="AY18" s="119">
        <v>0.44857213056843998</v>
      </c>
      <c r="AZ18" s="119">
        <v>0.44539342943384003</v>
      </c>
      <c r="BA18" s="119">
        <v>0.43907568243345302</v>
      </c>
      <c r="BB18" s="119">
        <v>0.43950704063633</v>
      </c>
      <c r="BC18" s="119">
        <v>0.44106123209603398</v>
      </c>
      <c r="BD18" s="119">
        <v>0.44404798057149297</v>
      </c>
      <c r="BE18" s="119">
        <v>0.44629591146742098</v>
      </c>
      <c r="BF18" s="119">
        <v>0.44855143363706701</v>
      </c>
      <c r="BG18" s="119">
        <v>0.45018016017632301</v>
      </c>
      <c r="BH18" s="119">
        <v>0.45243822303646603</v>
      </c>
      <c r="BI18" s="119">
        <v>0.454648155308013</v>
      </c>
      <c r="BJ18" s="119">
        <v>0.45574058009662999</v>
      </c>
      <c r="BK18" s="119">
        <v>0.45691570272291099</v>
      </c>
      <c r="BL18" s="119">
        <v>0.45834426599413702</v>
      </c>
    </row>
    <row r="19" spans="1:64" x14ac:dyDescent="0.25">
      <c r="A19" s="860" t="s">
        <v>147</v>
      </c>
      <c r="B19" s="1">
        <v>56</v>
      </c>
      <c r="C19" s="119">
        <v>0.5</v>
      </c>
      <c r="D19" s="119">
        <v>0.226282946277999</v>
      </c>
      <c r="E19" s="119">
        <v>0.25701161104754799</v>
      </c>
      <c r="F19" s="119">
        <v>0.28971041617979898</v>
      </c>
      <c r="G19" s="119">
        <v>0.32785866152028398</v>
      </c>
      <c r="H19" s="119">
        <v>0.36670142948588003</v>
      </c>
      <c r="I19" s="119">
        <v>0.40553507386208298</v>
      </c>
      <c r="J19" s="119">
        <v>0.42853362925948901</v>
      </c>
      <c r="K19" s="119">
        <v>0.44730746354871798</v>
      </c>
      <c r="L19" s="119">
        <v>0.46773145372363001</v>
      </c>
      <c r="M19" s="119">
        <v>0.48361498216944598</v>
      </c>
      <c r="N19" s="119">
        <v>0.49930718891605902</v>
      </c>
      <c r="O19" s="119">
        <v>0.51296961635091998</v>
      </c>
      <c r="P19" s="119">
        <v>0.52594685111638195</v>
      </c>
      <c r="Q19" s="119">
        <v>0.53715700540001299</v>
      </c>
      <c r="R19" s="119">
        <v>0.54986556620183602</v>
      </c>
      <c r="S19" s="119">
        <v>0.55863285684182395</v>
      </c>
      <c r="T19" s="119">
        <v>0.56751884954377696</v>
      </c>
      <c r="U19" s="119">
        <v>0.57489890169586599</v>
      </c>
      <c r="V19" s="119">
        <v>0.57877343847987295</v>
      </c>
      <c r="W19" s="119">
        <v>0.58153040053634397</v>
      </c>
      <c r="X19" s="119">
        <v>0.58039221473031899</v>
      </c>
      <c r="Y19" s="119">
        <v>0.57976907894850804</v>
      </c>
      <c r="Z19" s="119">
        <v>0.57664857561403304</v>
      </c>
      <c r="AA19" s="119">
        <v>0.57143293091436798</v>
      </c>
      <c r="AB19" s="119">
        <v>0.56525612364183098</v>
      </c>
      <c r="AC19" s="119">
        <v>0.55723097254726695</v>
      </c>
      <c r="AD19" s="119">
        <v>0.54839456544808995</v>
      </c>
      <c r="AE19" s="119">
        <v>0.54194938797933201</v>
      </c>
      <c r="AF19" s="119">
        <v>0.54084181695390099</v>
      </c>
      <c r="AG19" s="119">
        <v>0.54298296998932405</v>
      </c>
      <c r="AH19" s="119">
        <v>0.54773231068405503</v>
      </c>
      <c r="AI19" s="119">
        <v>0.55179694996643902</v>
      </c>
      <c r="AJ19" s="119">
        <v>0.55197239847392499</v>
      </c>
      <c r="AK19" s="119">
        <v>0.55326612233496397</v>
      </c>
      <c r="AL19" s="119">
        <v>0.55584740929232801</v>
      </c>
      <c r="AM19" s="119">
        <v>0.55869466033384596</v>
      </c>
      <c r="AN19" s="119">
        <v>0.56220588561326501</v>
      </c>
      <c r="AO19" s="119">
        <v>0.56689431053794503</v>
      </c>
      <c r="AP19" s="119">
        <v>0.570580577021922</v>
      </c>
      <c r="AQ19" s="119">
        <v>0.57459097363768696</v>
      </c>
      <c r="AR19" s="119">
        <v>0.57832590668625306</v>
      </c>
      <c r="AS19" s="119">
        <v>0.58323734072977695</v>
      </c>
      <c r="AT19" s="119">
        <v>0.58808073812734096</v>
      </c>
      <c r="AU19" s="119">
        <v>0.59037795675549898</v>
      </c>
      <c r="AV19" s="119">
        <v>0.59058334516435695</v>
      </c>
      <c r="AW19" s="119">
        <v>0.59007670820667801</v>
      </c>
      <c r="AX19" s="119">
        <v>0.58797404930846198</v>
      </c>
      <c r="AY19" s="119">
        <v>0.58620576535192304</v>
      </c>
      <c r="AZ19" s="119">
        <v>0.58492361332647202</v>
      </c>
      <c r="BA19" s="119">
        <v>0.58460424319618898</v>
      </c>
      <c r="BB19" s="119">
        <v>0.58380936098147196</v>
      </c>
      <c r="BC19" s="119">
        <v>0.58319767616167795</v>
      </c>
      <c r="BD19" s="119">
        <v>0.58138007340347797</v>
      </c>
      <c r="BE19" s="119">
        <v>0.58078101960970396</v>
      </c>
      <c r="BF19" s="119">
        <v>0.58021582278221095</v>
      </c>
      <c r="BG19" s="119">
        <v>0.57939576338517595</v>
      </c>
      <c r="BH19" s="119">
        <v>0.57938558764010395</v>
      </c>
      <c r="BI19" s="119">
        <v>0.579784937857593</v>
      </c>
      <c r="BJ19" s="119">
        <v>0.58065252732422201</v>
      </c>
      <c r="BK19" s="119">
        <v>0.578795170784417</v>
      </c>
      <c r="BL19" s="119">
        <v>0.58009300450832801</v>
      </c>
    </row>
    <row r="20" spans="1:64" x14ac:dyDescent="0.25">
      <c r="A20" s="860" t="s">
        <v>148</v>
      </c>
      <c r="B20" s="1">
        <v>84</v>
      </c>
      <c r="C20" s="119">
        <v>0.5</v>
      </c>
      <c r="D20" s="119">
        <v>0.132087114005805</v>
      </c>
      <c r="E20" s="119">
        <v>0.13914238523421801</v>
      </c>
      <c r="F20" s="119">
        <v>0.145602084029962</v>
      </c>
      <c r="G20" s="119">
        <v>0.15035969427958101</v>
      </c>
      <c r="H20" s="119">
        <v>0.15639609959110901</v>
      </c>
      <c r="I20" s="119">
        <v>0.16279904168220399</v>
      </c>
      <c r="J20" s="119">
        <v>0.170359278699448</v>
      </c>
      <c r="K20" s="119">
        <v>0.17658129084202201</v>
      </c>
      <c r="L20" s="119">
        <v>0.18505838068445299</v>
      </c>
      <c r="M20" s="119">
        <v>0.192704639006444</v>
      </c>
      <c r="N20" s="119">
        <v>0.199776058678237</v>
      </c>
      <c r="O20" s="119">
        <v>0.207203354787697</v>
      </c>
      <c r="P20" s="119">
        <v>0.21400281520757999</v>
      </c>
      <c r="Q20" s="119">
        <v>0.22338495167360001</v>
      </c>
      <c r="R20" s="119">
        <v>0.23149075392514201</v>
      </c>
      <c r="S20" s="119">
        <v>0.23967585525065199</v>
      </c>
      <c r="T20" s="119">
        <v>0.247016980365168</v>
      </c>
      <c r="U20" s="119">
        <v>0.25518045805537598</v>
      </c>
      <c r="V20" s="119">
        <v>0.26335746835156298</v>
      </c>
      <c r="W20" s="119">
        <v>0.27097794622046201</v>
      </c>
      <c r="X20" s="119">
        <v>0.278031396338008</v>
      </c>
      <c r="Y20" s="119">
        <v>0.28628666135361802</v>
      </c>
      <c r="Z20" s="119">
        <v>0.29428446494842703</v>
      </c>
      <c r="AA20" s="119">
        <v>0.30173344029996801</v>
      </c>
      <c r="AB20" s="119">
        <v>0.30881235874103602</v>
      </c>
      <c r="AC20" s="119">
        <v>0.31509948115624098</v>
      </c>
      <c r="AD20" s="119">
        <v>0.32004524464869899</v>
      </c>
      <c r="AE20" s="119">
        <v>0.32551743617471901</v>
      </c>
      <c r="AF20" s="119">
        <v>0.32932923980128997</v>
      </c>
      <c r="AG20" s="119">
        <v>0.33214609584076599</v>
      </c>
      <c r="AH20" s="119">
        <v>0.33296018583550102</v>
      </c>
      <c r="AI20" s="119">
        <v>0.33487201336897598</v>
      </c>
      <c r="AJ20" s="119">
        <v>0.33518466082520898</v>
      </c>
      <c r="AK20" s="119">
        <v>0.33622425687484597</v>
      </c>
      <c r="AL20" s="119">
        <v>0.33644962256584499</v>
      </c>
      <c r="AM20" s="119">
        <v>0.338216226947056</v>
      </c>
      <c r="AN20" s="119">
        <v>0.33993873260757301</v>
      </c>
      <c r="AO20" s="119">
        <v>0.34561619092609203</v>
      </c>
      <c r="AP20" s="119">
        <v>0.35199496120300799</v>
      </c>
      <c r="AQ20" s="119">
        <v>0.35926752144759999</v>
      </c>
      <c r="AR20" s="119">
        <v>0.36581320455296901</v>
      </c>
      <c r="AS20" s="119">
        <v>0.37133024525099201</v>
      </c>
      <c r="AT20" s="119">
        <v>0.37501326585323602</v>
      </c>
      <c r="AU20" s="119">
        <v>0.37747673438289597</v>
      </c>
      <c r="AV20" s="119">
        <v>0.37931277950237402</v>
      </c>
      <c r="AW20" s="119">
        <v>0.38383306238227499</v>
      </c>
      <c r="AX20" s="119">
        <v>0.38857885598008202</v>
      </c>
      <c r="AY20" s="119">
        <v>0.39364788372220899</v>
      </c>
      <c r="AZ20" s="119">
        <v>0.39857174750003999</v>
      </c>
      <c r="BA20" s="119">
        <v>0.40449288325504901</v>
      </c>
      <c r="BB20" s="119">
        <v>0.40963017520775802</v>
      </c>
      <c r="BC20" s="119">
        <v>0.414566048317701</v>
      </c>
      <c r="BD20" s="119">
        <v>0.42186803728449801</v>
      </c>
      <c r="BE20" s="119">
        <v>0.42757325523786599</v>
      </c>
      <c r="BF20" s="119">
        <v>0.43238945613511198</v>
      </c>
      <c r="BG20" s="119">
        <v>0.43651015069849303</v>
      </c>
      <c r="BH20" s="119">
        <v>0.44272490565065598</v>
      </c>
      <c r="BI20" s="119">
        <v>0.44477486615629203</v>
      </c>
      <c r="BJ20" s="119">
        <v>0.44817464004511598</v>
      </c>
      <c r="BK20" s="119">
        <v>0.45133292335317299</v>
      </c>
      <c r="BL20" s="119">
        <v>0.45504620900464299</v>
      </c>
    </row>
    <row r="21" spans="1:64" x14ac:dyDescent="0.25">
      <c r="A21" s="860" t="s">
        <v>13</v>
      </c>
      <c r="B21" s="1">
        <v>204</v>
      </c>
      <c r="C21" s="119">
        <v>0.5</v>
      </c>
      <c r="D21" s="119">
        <v>1.92444920952961E-3</v>
      </c>
      <c r="E21" s="119">
        <v>2.1837480302256801E-3</v>
      </c>
      <c r="F21" s="119">
        <v>2.4538750913223701E-3</v>
      </c>
      <c r="G21" s="119">
        <v>2.7420610968950099E-3</v>
      </c>
      <c r="H21" s="119">
        <v>3.0980727927153E-3</v>
      </c>
      <c r="I21" s="119">
        <v>3.49288691350126E-3</v>
      </c>
      <c r="J21" s="119">
        <v>3.8861817332566202E-3</v>
      </c>
      <c r="K21" s="119">
        <v>4.3562294389315696E-3</v>
      </c>
      <c r="L21" s="119">
        <v>4.8971873760957699E-3</v>
      </c>
      <c r="M21" s="119">
        <v>5.42426739459615E-3</v>
      </c>
      <c r="N21" s="119">
        <v>6.0423226260592003E-3</v>
      </c>
      <c r="O21" s="119">
        <v>6.7333230906703101E-3</v>
      </c>
      <c r="P21" s="119">
        <v>7.6384537398518299E-3</v>
      </c>
      <c r="Q21" s="119">
        <v>8.5881459236036E-3</v>
      </c>
      <c r="R21" s="119">
        <v>9.7359398411109594E-3</v>
      </c>
      <c r="S21" s="119">
        <v>1.0906987416629099E-2</v>
      </c>
      <c r="T21" s="119">
        <v>1.21812894361249E-2</v>
      </c>
      <c r="U21" s="119">
        <v>1.3758006059010499E-2</v>
      </c>
      <c r="V21" s="119">
        <v>1.53017618368291E-2</v>
      </c>
      <c r="W21" s="119">
        <v>1.7254462300643598E-2</v>
      </c>
      <c r="X21" s="119">
        <v>1.9129223466076001E-2</v>
      </c>
      <c r="Y21" s="119">
        <v>2.12977216072292E-2</v>
      </c>
      <c r="Z21" s="119">
        <v>2.3512957938823398E-2</v>
      </c>
      <c r="AA21" s="119">
        <v>2.5850098784323299E-2</v>
      </c>
      <c r="AB21" s="119">
        <v>2.8625782398923001E-2</v>
      </c>
      <c r="AC21" s="119">
        <v>3.13310557624671E-2</v>
      </c>
      <c r="AD21" s="119">
        <v>3.4524812394797801E-2</v>
      </c>
      <c r="AE21" s="119">
        <v>4.02578441289555E-2</v>
      </c>
      <c r="AF21" s="119">
        <v>4.6631330184760698E-2</v>
      </c>
      <c r="AG21" s="119">
        <v>5.3554091097407101E-2</v>
      </c>
      <c r="AH21" s="119">
        <v>6.0635284045500899E-2</v>
      </c>
      <c r="AI21" s="119">
        <v>6.7629592290442894E-2</v>
      </c>
      <c r="AJ21" s="119">
        <v>6.9142927066327201E-2</v>
      </c>
      <c r="AK21" s="119">
        <v>6.9558659347904894E-2</v>
      </c>
      <c r="AL21" s="119">
        <v>6.9616063039909207E-2</v>
      </c>
      <c r="AM21" s="119">
        <v>6.9548148121385406E-2</v>
      </c>
      <c r="AN21" s="119">
        <v>6.9284593019197899E-2</v>
      </c>
      <c r="AO21" s="119">
        <v>7.2272634274375205E-2</v>
      </c>
      <c r="AP21" s="119">
        <v>7.5553256826240603E-2</v>
      </c>
      <c r="AQ21" s="119">
        <v>7.9372260706939299E-2</v>
      </c>
      <c r="AR21" s="119">
        <v>8.2724752756599795E-2</v>
      </c>
      <c r="AS21" s="119">
        <v>8.6239363405998706E-2</v>
      </c>
      <c r="AT21" s="119">
        <v>9.02684046859214E-2</v>
      </c>
      <c r="AU21" s="119">
        <v>9.6013474332810697E-2</v>
      </c>
      <c r="AV21" s="119">
        <v>0.10195134666393101</v>
      </c>
      <c r="AW21" s="119">
        <v>0.106801908419703</v>
      </c>
      <c r="AX21" s="119">
        <v>0.11139441647879</v>
      </c>
      <c r="AY21" s="119">
        <v>0.11536374369060599</v>
      </c>
      <c r="AZ21" s="119">
        <v>0.119765804434635</v>
      </c>
      <c r="BA21" s="119">
        <v>0.12447303219169401</v>
      </c>
      <c r="BB21" s="119">
        <v>0.12961185943978801</v>
      </c>
      <c r="BC21" s="119">
        <v>0.134676177243609</v>
      </c>
      <c r="BD21" s="119">
        <v>0.140886294942103</v>
      </c>
      <c r="BE21" s="119">
        <v>0.14632915322513901</v>
      </c>
      <c r="BF21" s="119">
        <v>0.15231613459211599</v>
      </c>
      <c r="BG21" s="119">
        <v>0.158019722265764</v>
      </c>
      <c r="BH21" s="119">
        <v>0.16344484443547</v>
      </c>
      <c r="BI21" s="119">
        <v>0.16961613673172801</v>
      </c>
      <c r="BJ21" s="119">
        <v>0.175572149535211</v>
      </c>
      <c r="BK21" s="119">
        <v>0.18157581956175201</v>
      </c>
      <c r="BL21" s="119">
        <v>0.18738936003079701</v>
      </c>
    </row>
    <row r="22" spans="1:64" x14ac:dyDescent="0.25">
      <c r="A22" s="860" t="s">
        <v>14</v>
      </c>
      <c r="B22" s="1">
        <v>64</v>
      </c>
      <c r="C22" s="119">
        <v>0.5</v>
      </c>
      <c r="D22" s="119">
        <v>3.6544754582814899E-2</v>
      </c>
      <c r="E22" s="119">
        <v>3.9458085808927998E-2</v>
      </c>
      <c r="F22" s="119">
        <v>4.2377662177773799E-2</v>
      </c>
      <c r="G22" s="119">
        <v>4.5124908301888797E-2</v>
      </c>
      <c r="H22" s="119">
        <v>4.82283985654973E-2</v>
      </c>
      <c r="I22" s="119">
        <v>5.1387349271875903E-2</v>
      </c>
      <c r="J22" s="119">
        <v>5.4990798666407999E-2</v>
      </c>
      <c r="K22" s="119">
        <v>5.8343371011346498E-2</v>
      </c>
      <c r="L22" s="119">
        <v>6.2345027667328301E-2</v>
      </c>
      <c r="M22" s="119">
        <v>6.6566750323198906E-2</v>
      </c>
      <c r="N22" s="119">
        <v>7.02797976702393E-2</v>
      </c>
      <c r="O22" s="119">
        <v>7.4470318784718006E-2</v>
      </c>
      <c r="P22" s="119">
        <v>7.9433287944822406E-2</v>
      </c>
      <c r="Q22" s="119">
        <v>8.3343903638963907E-2</v>
      </c>
      <c r="R22" s="119">
        <v>8.7840416646164807E-2</v>
      </c>
      <c r="S22" s="119">
        <v>9.4171024150893595E-2</v>
      </c>
      <c r="T22" s="119">
        <v>9.9992189591515998E-2</v>
      </c>
      <c r="U22" s="119">
        <v>0.10634278970809299</v>
      </c>
      <c r="V22" s="119">
        <v>0.11203080404735399</v>
      </c>
      <c r="W22" s="119">
        <v>0.119509858823957</v>
      </c>
      <c r="X22" s="119">
        <v>0.12634891656708</v>
      </c>
      <c r="Y22" s="119">
        <v>0.13274335665894699</v>
      </c>
      <c r="Z22" s="119">
        <v>0.13826741523835201</v>
      </c>
      <c r="AA22" s="119">
        <v>0.14575509303501299</v>
      </c>
      <c r="AB22" s="119">
        <v>0.15273783238806701</v>
      </c>
      <c r="AC22" s="119">
        <v>0.16012913073953</v>
      </c>
      <c r="AD22" s="119">
        <v>0.167566267080486</v>
      </c>
      <c r="AE22" s="119">
        <v>0.17562390900934599</v>
      </c>
      <c r="AF22" s="119">
        <v>0.183506171542687</v>
      </c>
      <c r="AG22" s="119">
        <v>0.192722535701117</v>
      </c>
      <c r="AH22" s="119">
        <v>0.202225792572373</v>
      </c>
      <c r="AI22" s="119">
        <v>0.21235021585559799</v>
      </c>
      <c r="AJ22" s="119">
        <v>0.222849881461539</v>
      </c>
      <c r="AK22" s="119">
        <v>0.233794085668181</v>
      </c>
      <c r="AL22" s="119">
        <v>0.24514159734205099</v>
      </c>
      <c r="AM22" s="119">
        <v>0.25689588907414801</v>
      </c>
      <c r="AN22" s="119">
        <v>0.268172182163055</v>
      </c>
      <c r="AO22" s="119">
        <v>0.28093751219341101</v>
      </c>
      <c r="AP22" s="119">
        <v>0.29682003511209998</v>
      </c>
      <c r="AQ22" s="119">
        <v>0.31271535414866197</v>
      </c>
      <c r="AR22" s="119">
        <v>0.32796320012657498</v>
      </c>
      <c r="AS22" s="119">
        <v>0.33921965007446597</v>
      </c>
      <c r="AT22" s="119">
        <v>0.34808341394389303</v>
      </c>
      <c r="AU22" s="119">
        <v>0.35438391993267099</v>
      </c>
      <c r="AV22" s="119">
        <v>0.35947480577635199</v>
      </c>
      <c r="AW22" s="119">
        <v>0.36502739278758001</v>
      </c>
      <c r="AX22" s="119">
        <v>0.37028273573238102</v>
      </c>
      <c r="AY22" s="119">
        <v>0.37582513799263501</v>
      </c>
      <c r="AZ22" s="119">
        <v>0.38101240734734498</v>
      </c>
      <c r="BA22" s="119">
        <v>0.38644694751999398</v>
      </c>
      <c r="BB22" s="119">
        <v>0.39105478842547797</v>
      </c>
      <c r="BC22" s="119">
        <v>0.39490384309524201</v>
      </c>
      <c r="BD22" s="119">
        <v>0.40028741289315001</v>
      </c>
      <c r="BE22" s="119">
        <v>0.40252818822465802</v>
      </c>
      <c r="BF22" s="119">
        <v>0.40648722919033298</v>
      </c>
      <c r="BG22" s="119">
        <v>0.41110198065722903</v>
      </c>
      <c r="BH22" s="119">
        <v>0.413575628477451</v>
      </c>
      <c r="BI22" s="119">
        <v>0.41683744906439701</v>
      </c>
      <c r="BJ22" s="119">
        <v>0.41864114478333198</v>
      </c>
      <c r="BK22" s="119">
        <v>0.42104295587359297</v>
      </c>
      <c r="BL22" s="119">
        <v>0.422822542455841</v>
      </c>
    </row>
    <row r="23" spans="1:64" x14ac:dyDescent="0.25">
      <c r="A23" s="860" t="s">
        <v>15</v>
      </c>
      <c r="B23" s="1">
        <v>68</v>
      </c>
      <c r="C23" s="119">
        <v>0.5</v>
      </c>
      <c r="D23" s="119">
        <v>2.3093646788118E-2</v>
      </c>
      <c r="E23" s="119">
        <v>2.4809821857692701E-2</v>
      </c>
      <c r="F23" s="119">
        <v>2.6996545999883201E-2</v>
      </c>
      <c r="G23" s="119">
        <v>2.9202348173524E-2</v>
      </c>
      <c r="H23" s="119">
        <v>3.1971019218079003E-2</v>
      </c>
      <c r="I23" s="119">
        <v>3.4374096799884797E-2</v>
      </c>
      <c r="J23" s="119">
        <v>3.6912310949918897E-2</v>
      </c>
      <c r="K23" s="119">
        <v>3.9655198591067503E-2</v>
      </c>
      <c r="L23" s="119">
        <v>4.2706601823497302E-2</v>
      </c>
      <c r="M23" s="119">
        <v>4.5891259344558198E-2</v>
      </c>
      <c r="N23" s="119">
        <v>4.8850409971556E-2</v>
      </c>
      <c r="O23" s="119">
        <v>5.2216537409921E-2</v>
      </c>
      <c r="P23" s="119">
        <v>5.5390152149784697E-2</v>
      </c>
      <c r="Q23" s="119">
        <v>5.9353997630370303E-2</v>
      </c>
      <c r="R23" s="119">
        <v>6.1975246782409503E-2</v>
      </c>
      <c r="S23" s="119">
        <v>6.5477742924286E-2</v>
      </c>
      <c r="T23" s="119">
        <v>6.86213648572188E-2</v>
      </c>
      <c r="U23" s="119">
        <v>7.1571147783166006E-2</v>
      </c>
      <c r="V23" s="119">
        <v>7.5178978950904904E-2</v>
      </c>
      <c r="W23" s="119">
        <v>7.9385226864147104E-2</v>
      </c>
      <c r="X23" s="119">
        <v>8.6388813905748693E-2</v>
      </c>
      <c r="Y23" s="119">
        <v>9.4531604621023502E-2</v>
      </c>
      <c r="Z23" s="119">
        <v>0.102776325038165</v>
      </c>
      <c r="AA23" s="119">
        <v>0.111257740010841</v>
      </c>
      <c r="AB23" s="119">
        <v>0.120444079540973</v>
      </c>
      <c r="AC23" s="119">
        <v>0.130994539910706</v>
      </c>
      <c r="AD23" s="119">
        <v>0.14220019758135899</v>
      </c>
      <c r="AE23" s="119">
        <v>0.15293555219388399</v>
      </c>
      <c r="AF23" s="119">
        <v>0.16478655005260501</v>
      </c>
      <c r="AG23" s="119">
        <v>0.179029164413714</v>
      </c>
      <c r="AH23" s="119">
        <v>0.19357116288323301</v>
      </c>
      <c r="AI23" s="119">
        <v>0.20698690069813699</v>
      </c>
      <c r="AJ23" s="119">
        <v>0.220301499979247</v>
      </c>
      <c r="AK23" s="119">
        <v>0.231984544822574</v>
      </c>
      <c r="AL23" s="119">
        <v>0.23580907473499399</v>
      </c>
      <c r="AM23" s="119">
        <v>0.23887879270437101</v>
      </c>
      <c r="AN23" s="119">
        <v>0.24084840890846501</v>
      </c>
      <c r="AO23" s="119">
        <v>0.24310435452554899</v>
      </c>
      <c r="AP23" s="119">
        <v>0.24527409107516299</v>
      </c>
      <c r="AQ23" s="119">
        <v>0.25340463213476599</v>
      </c>
      <c r="AR23" s="119">
        <v>0.26246446094361803</v>
      </c>
      <c r="AS23" s="119">
        <v>0.27192099132067699</v>
      </c>
      <c r="AT23" s="119">
        <v>0.28115610572319699</v>
      </c>
      <c r="AU23" s="119">
        <v>0.29075945747091397</v>
      </c>
      <c r="AV23" s="119">
        <v>0.29931463015124699</v>
      </c>
      <c r="AW23" s="119">
        <v>0.30916566327362199</v>
      </c>
      <c r="AX23" s="119">
        <v>0.31836546090409501</v>
      </c>
      <c r="AY23" s="119">
        <v>0.32559383251532997</v>
      </c>
      <c r="AZ23" s="119">
        <v>0.33288544867952902</v>
      </c>
      <c r="BA23" s="119">
        <v>0.33939727862131103</v>
      </c>
      <c r="BB23" s="119">
        <v>0.34671543909373997</v>
      </c>
      <c r="BC23" s="119">
        <v>0.35284198825131502</v>
      </c>
      <c r="BD23" s="119">
        <v>0.359671528001267</v>
      </c>
      <c r="BE23" s="119">
        <v>0.36703027093523199</v>
      </c>
      <c r="BF23" s="119">
        <v>0.37259865949356602</v>
      </c>
      <c r="BG23" s="119">
        <v>0.38073834846403898</v>
      </c>
      <c r="BH23" s="119">
        <v>0.385347889564013</v>
      </c>
      <c r="BI23" s="119">
        <v>0.39204393025331302</v>
      </c>
      <c r="BJ23" s="119">
        <v>0.39770982087342699</v>
      </c>
      <c r="BK23" s="119">
        <v>0.40194809298185102</v>
      </c>
      <c r="BL23" s="119">
        <v>0.40605535200659298</v>
      </c>
    </row>
    <row r="24" spans="1:64" x14ac:dyDescent="0.25">
      <c r="A24" s="860" t="s">
        <v>369</v>
      </c>
      <c r="B24" s="1">
        <v>70</v>
      </c>
      <c r="C24" s="119">
        <v>0.5</v>
      </c>
      <c r="D24" s="119">
        <v>2.2738813674743698E-2</v>
      </c>
      <c r="E24" s="119">
        <v>2.45750651106788E-2</v>
      </c>
      <c r="F24" s="119">
        <v>2.6166656547791999E-2</v>
      </c>
      <c r="G24" s="119">
        <v>2.76324977848296E-2</v>
      </c>
      <c r="H24" s="119">
        <v>2.95612782332118E-2</v>
      </c>
      <c r="I24" s="119">
        <v>3.1700777416471301E-2</v>
      </c>
      <c r="J24" s="119">
        <v>3.3579688561055802E-2</v>
      </c>
      <c r="K24" s="119">
        <v>3.5984064214278001E-2</v>
      </c>
      <c r="L24" s="119">
        <v>3.8331100704132599E-2</v>
      </c>
      <c r="M24" s="119">
        <v>4.0848923240197302E-2</v>
      </c>
      <c r="N24" s="119">
        <v>4.3005099522696197E-2</v>
      </c>
      <c r="O24" s="119">
        <v>4.6106339630304097E-2</v>
      </c>
      <c r="P24" s="119">
        <v>4.86663950037984E-2</v>
      </c>
      <c r="Q24" s="119">
        <v>5.2326218478631302E-2</v>
      </c>
      <c r="R24" s="119">
        <v>5.5823425434693499E-2</v>
      </c>
      <c r="S24" s="119">
        <v>5.9517282771898501E-2</v>
      </c>
      <c r="T24" s="119">
        <v>6.2528814702788496E-2</v>
      </c>
      <c r="U24" s="119">
        <v>6.6429251805440098E-2</v>
      </c>
      <c r="V24" s="119">
        <v>7.0778902780414807E-2</v>
      </c>
      <c r="W24" s="119">
        <v>7.4545867763419094E-2</v>
      </c>
      <c r="X24" s="119">
        <v>7.82658844791006E-2</v>
      </c>
      <c r="Y24" s="119">
        <v>8.2566517265685105E-2</v>
      </c>
      <c r="Z24" s="119">
        <v>8.5842848960302004E-2</v>
      </c>
      <c r="AA24" s="119">
        <v>8.8904703067277893E-2</v>
      </c>
      <c r="AB24" s="119">
        <v>9.2158902346659896E-2</v>
      </c>
      <c r="AC24" s="119">
        <v>9.5847428024251904E-2</v>
      </c>
      <c r="AD24" s="119">
        <v>9.8671644272487896E-2</v>
      </c>
      <c r="AE24" s="119">
        <v>0.10134334640142099</v>
      </c>
      <c r="AF24" s="119">
        <v>0.104358100111832</v>
      </c>
      <c r="AG24" s="119">
        <v>0.106810405014074</v>
      </c>
      <c r="AH24" s="119">
        <v>0.108892560233586</v>
      </c>
      <c r="AI24" s="119">
        <v>0.10839649265715</v>
      </c>
      <c r="AJ24" s="119">
        <v>0.107933556483003</v>
      </c>
      <c r="AK24" s="119">
        <v>0.106769662616802</v>
      </c>
      <c r="AL24" s="119">
        <v>0.105977882917209</v>
      </c>
      <c r="AM24" s="119">
        <v>0.104673186282805</v>
      </c>
      <c r="AN24" s="119">
        <v>0.10471573416468399</v>
      </c>
      <c r="AO24" s="119">
        <v>0.108055478006403</v>
      </c>
      <c r="AP24" s="119">
        <v>0.110892584939357</v>
      </c>
      <c r="AQ24" s="119">
        <v>0.11464731016747801</v>
      </c>
      <c r="AR24" s="119">
        <v>0.119110582299588</v>
      </c>
      <c r="AS24" s="119">
        <v>0.12275336648636299</v>
      </c>
      <c r="AT24" s="119">
        <v>0.12752001431233101</v>
      </c>
      <c r="AU24" s="119">
        <v>0.132696071745905</v>
      </c>
      <c r="AV24" s="119">
        <v>0.13941522190810099</v>
      </c>
      <c r="AW24" s="119">
        <v>0.14584690692116001</v>
      </c>
      <c r="AX24" s="119">
        <v>0.15239724840856</v>
      </c>
      <c r="AY24" s="119">
        <v>0.15921822799301899</v>
      </c>
      <c r="AZ24" s="119">
        <v>0.16563931583716901</v>
      </c>
      <c r="BA24" s="119">
        <v>0.171801608614746</v>
      </c>
      <c r="BB24" s="119">
        <v>0.17778141860160701</v>
      </c>
      <c r="BC24" s="119">
        <v>0.18404742285734599</v>
      </c>
      <c r="BD24" s="119">
        <v>0.18985252559612001</v>
      </c>
      <c r="BE24" s="119">
        <v>0.19767825178159101</v>
      </c>
      <c r="BF24" s="119">
        <v>0.20419524977628001</v>
      </c>
      <c r="BG24" s="119">
        <v>0.209475951291127</v>
      </c>
      <c r="BH24" s="119">
        <v>0.215156772549911</v>
      </c>
      <c r="BI24" s="119">
        <v>0.221546942718826</v>
      </c>
      <c r="BJ24" s="119">
        <v>0.22857026173224701</v>
      </c>
      <c r="BK24" s="119">
        <v>0.234401840297948</v>
      </c>
      <c r="BL24" s="119">
        <v>0.241465289809773</v>
      </c>
    </row>
    <row r="25" spans="1:64" x14ac:dyDescent="0.25">
      <c r="A25" s="860" t="s">
        <v>151</v>
      </c>
      <c r="B25" s="1">
        <v>72</v>
      </c>
      <c r="C25" s="119">
        <v>0.5</v>
      </c>
      <c r="D25" s="119">
        <v>3.56377539259677E-2</v>
      </c>
      <c r="E25" s="119">
        <v>4.01316781037983E-2</v>
      </c>
      <c r="F25" s="119">
        <v>4.4936712980908303E-2</v>
      </c>
      <c r="G25" s="119">
        <v>5.0653387570941302E-2</v>
      </c>
      <c r="H25" s="119">
        <v>5.6402560279799799E-2</v>
      </c>
      <c r="I25" s="119">
        <v>6.2945221243890098E-2</v>
      </c>
      <c r="J25" s="119">
        <v>7.0175210726228898E-2</v>
      </c>
      <c r="K25" s="119">
        <v>7.81158880630861E-2</v>
      </c>
      <c r="L25" s="119">
        <v>8.7423329545501693E-2</v>
      </c>
      <c r="M25" s="119">
        <v>9.6764459188336899E-2</v>
      </c>
      <c r="N25" s="119">
        <v>0.107008542469485</v>
      </c>
      <c r="O25" s="119">
        <v>0.118298908256216</v>
      </c>
      <c r="P25" s="119">
        <v>0.13192944923213601</v>
      </c>
      <c r="Q25" s="119">
        <v>0.14660476762742</v>
      </c>
      <c r="R25" s="119">
        <v>0.16389508562952501</v>
      </c>
      <c r="S25" s="119">
        <v>0.184843547624709</v>
      </c>
      <c r="T25" s="119">
        <v>0.20959562554403399</v>
      </c>
      <c r="U25" s="119">
        <v>0.23520718254046599</v>
      </c>
      <c r="V25" s="119">
        <v>0.26086742094333198</v>
      </c>
      <c r="W25" s="119">
        <v>0.28092644654703602</v>
      </c>
      <c r="X25" s="119">
        <v>0.30046603376262698</v>
      </c>
      <c r="Y25" s="119">
        <v>0.318771380119732</v>
      </c>
      <c r="Z25" s="119">
        <v>0.33662261497324197</v>
      </c>
      <c r="AA25" s="119">
        <v>0.353021719745859</v>
      </c>
      <c r="AB25" s="119">
        <v>0.36928609402823298</v>
      </c>
      <c r="AC25" s="119">
        <v>0.38438909747699002</v>
      </c>
      <c r="AD25" s="119">
        <v>0.39879755222952201</v>
      </c>
      <c r="AE25" s="119">
        <v>0.41322300027952102</v>
      </c>
      <c r="AF25" s="119">
        <v>0.42420889029084302</v>
      </c>
      <c r="AG25" s="119">
        <v>0.43480351900292302</v>
      </c>
      <c r="AH25" s="119">
        <v>0.44642083655140402</v>
      </c>
      <c r="AI25" s="119">
        <v>0.459337097241524</v>
      </c>
      <c r="AJ25" s="119">
        <v>0.47100124039239699</v>
      </c>
      <c r="AK25" s="119">
        <v>0.48300103308300602</v>
      </c>
      <c r="AL25" s="119">
        <v>0.49694985754139298</v>
      </c>
      <c r="AM25" s="119">
        <v>0.508511305240537</v>
      </c>
      <c r="AN25" s="119">
        <v>0.51869874321712295</v>
      </c>
      <c r="AO25" s="119">
        <v>0.52727993901487902</v>
      </c>
      <c r="AP25" s="119">
        <v>0.53368737794800802</v>
      </c>
      <c r="AQ25" s="119">
        <v>0.54009898641460097</v>
      </c>
      <c r="AR25" s="119">
        <v>0.54277145029183604</v>
      </c>
      <c r="AS25" s="119">
        <v>0.54674256998628801</v>
      </c>
      <c r="AT25" s="119">
        <v>0.54935288774429203</v>
      </c>
      <c r="AU25" s="119">
        <v>0.55106205474067405</v>
      </c>
      <c r="AV25" s="119">
        <v>0.55347912051468995</v>
      </c>
      <c r="AW25" s="119">
        <v>0.55678649607652697</v>
      </c>
      <c r="AX25" s="119">
        <v>0.55958198249658897</v>
      </c>
      <c r="AY25" s="119">
        <v>0.56287639766661701</v>
      </c>
      <c r="AZ25" s="119">
        <v>0.56456330498323504</v>
      </c>
      <c r="BA25" s="119">
        <v>0.56610393844375795</v>
      </c>
      <c r="BB25" s="119">
        <v>0.56947820940816596</v>
      </c>
      <c r="BC25" s="119">
        <v>0.57126090260777695</v>
      </c>
      <c r="BD25" s="119">
        <v>0.57529532764459801</v>
      </c>
      <c r="BE25" s="119">
        <v>0.57856171974960002</v>
      </c>
      <c r="BF25" s="119">
        <v>0.58224056421789105</v>
      </c>
      <c r="BG25" s="119">
        <v>0.58375006195506896</v>
      </c>
      <c r="BH25" s="119">
        <v>0.58622385301899604</v>
      </c>
      <c r="BI25" s="119">
        <v>0.58733300315390802</v>
      </c>
      <c r="BJ25" s="119">
        <v>0.58849368253239598</v>
      </c>
      <c r="BK25" s="119">
        <v>0.59065914898677996</v>
      </c>
      <c r="BL25" s="119">
        <v>0.59350614263178203</v>
      </c>
    </row>
    <row r="26" spans="1:64" x14ac:dyDescent="0.25">
      <c r="A26" s="860" t="s">
        <v>152</v>
      </c>
      <c r="B26" s="1">
        <v>76</v>
      </c>
      <c r="C26" s="119">
        <v>0.5</v>
      </c>
      <c r="D26" s="119">
        <v>0.25452228269733801</v>
      </c>
      <c r="E26" s="119">
        <v>0.26297712394824302</v>
      </c>
      <c r="F26" s="119">
        <v>0.27269133375770999</v>
      </c>
      <c r="G26" s="119">
        <v>0.27928983638715199</v>
      </c>
      <c r="H26" s="119">
        <v>0.28604549671224999</v>
      </c>
      <c r="I26" s="119">
        <v>0.29316292763483798</v>
      </c>
      <c r="J26" s="119">
        <v>0.30153418393150699</v>
      </c>
      <c r="K26" s="119">
        <v>0.30865581476958498</v>
      </c>
      <c r="L26" s="119">
        <v>0.31680167747754101</v>
      </c>
      <c r="M26" s="119">
        <v>0.32579828759691298</v>
      </c>
      <c r="N26" s="119">
        <v>0.33439602709487298</v>
      </c>
      <c r="O26" s="119">
        <v>0.34289632009218302</v>
      </c>
      <c r="P26" s="119">
        <v>0.35156866224272398</v>
      </c>
      <c r="Q26" s="119">
        <v>0.36040037719427298</v>
      </c>
      <c r="R26" s="119">
        <v>0.37094647924961699</v>
      </c>
      <c r="S26" s="119">
        <v>0.38116506255390697</v>
      </c>
      <c r="T26" s="119">
        <v>0.391906461394049</v>
      </c>
      <c r="U26" s="119">
        <v>0.40195339126584101</v>
      </c>
      <c r="V26" s="119">
        <v>0.41298754674095001</v>
      </c>
      <c r="W26" s="119">
        <v>0.42488029187852799</v>
      </c>
      <c r="X26" s="119">
        <v>0.43509012752451798</v>
      </c>
      <c r="Y26" s="119">
        <v>0.447855857951793</v>
      </c>
      <c r="Z26" s="119">
        <v>0.46175014673922699</v>
      </c>
      <c r="AA26" s="119">
        <v>0.47500869393126199</v>
      </c>
      <c r="AB26" s="119">
        <v>0.48816753777101601</v>
      </c>
      <c r="AC26" s="119">
        <v>0.50066060040362403</v>
      </c>
      <c r="AD26" s="119">
        <v>0.51339516587696998</v>
      </c>
      <c r="AE26" s="119">
        <v>0.52495927630297001</v>
      </c>
      <c r="AF26" s="119">
        <v>0.53704607804912696</v>
      </c>
      <c r="AG26" s="119">
        <v>0.54869478373413505</v>
      </c>
      <c r="AH26" s="119">
        <v>0.55976467933852803</v>
      </c>
      <c r="AI26" s="119">
        <v>0.56829771779349003</v>
      </c>
      <c r="AJ26" s="119">
        <v>0.57590967075486599</v>
      </c>
      <c r="AK26" s="119">
        <v>0.58405697441264703</v>
      </c>
      <c r="AL26" s="119">
        <v>0.59335327255145998</v>
      </c>
      <c r="AM26" s="119">
        <v>0.60008827010055898</v>
      </c>
      <c r="AN26" s="119">
        <v>0.60760639425474205</v>
      </c>
      <c r="AO26" s="119">
        <v>0.61342413172493704</v>
      </c>
      <c r="AP26" s="119">
        <v>0.61678448921836904</v>
      </c>
      <c r="AQ26" s="119">
        <v>0.62075081692777001</v>
      </c>
      <c r="AR26" s="119">
        <v>0.622104574086075</v>
      </c>
      <c r="AS26" s="119">
        <v>0.62397020004036097</v>
      </c>
      <c r="AT26" s="119">
        <v>0.62568357640972905</v>
      </c>
      <c r="AU26" s="119">
        <v>0.62706634614347601</v>
      </c>
      <c r="AV26" s="119">
        <v>0.62771964960920401</v>
      </c>
      <c r="AW26" s="119">
        <v>0.62967382123151805</v>
      </c>
      <c r="AX26" s="119">
        <v>0.62979164824803902</v>
      </c>
      <c r="AY26" s="119">
        <v>0.63025780747750904</v>
      </c>
      <c r="AZ26" s="119">
        <v>0.63130416091824304</v>
      </c>
      <c r="BA26" s="119">
        <v>0.63130007988871795</v>
      </c>
      <c r="BB26" s="119">
        <v>0.6323530958436</v>
      </c>
      <c r="BC26" s="119">
        <v>0.63349211049001997</v>
      </c>
      <c r="BD26" s="119">
        <v>0.63479412817051994</v>
      </c>
      <c r="BE26" s="119">
        <v>0.635852040449154</v>
      </c>
      <c r="BF26" s="119">
        <v>0.63839103389499097</v>
      </c>
      <c r="BG26" s="119">
        <v>0.64065178491694597</v>
      </c>
      <c r="BH26" s="119">
        <v>0.64049747061581996</v>
      </c>
      <c r="BI26" s="119">
        <v>0.64092006333729401</v>
      </c>
      <c r="BJ26" s="119">
        <v>0.64271472734353796</v>
      </c>
      <c r="BK26" s="119">
        <v>0.64311984979396397</v>
      </c>
      <c r="BL26" s="119">
        <v>0.64324029508498604</v>
      </c>
    </row>
    <row r="27" spans="1:64" x14ac:dyDescent="0.25">
      <c r="A27" s="860" t="s">
        <v>155</v>
      </c>
      <c r="B27" s="1">
        <v>100</v>
      </c>
      <c r="C27" s="119">
        <v>0.5</v>
      </c>
      <c r="D27" s="119">
        <v>6.7310249245162296E-2</v>
      </c>
      <c r="E27" s="119">
        <v>6.9783198380720807E-2</v>
      </c>
      <c r="F27" s="119">
        <v>7.2845334489936603E-2</v>
      </c>
      <c r="G27" s="119">
        <v>7.5627166144687993E-2</v>
      </c>
      <c r="H27" s="119">
        <v>7.7735567741494802E-2</v>
      </c>
      <c r="I27" s="119">
        <v>8.1201088981630296E-2</v>
      </c>
      <c r="J27" s="119">
        <v>8.4064328149595496E-2</v>
      </c>
      <c r="K27" s="119">
        <v>9.1010754192194093E-2</v>
      </c>
      <c r="L27" s="119">
        <v>9.8642388489648999E-2</v>
      </c>
      <c r="M27" s="119">
        <v>0.10762683454366399</v>
      </c>
      <c r="N27" s="119">
        <v>0.11647741110285301</v>
      </c>
      <c r="O27" s="119">
        <v>0.12545780906994</v>
      </c>
      <c r="P27" s="119">
        <v>0.135092472771012</v>
      </c>
      <c r="Q27" s="119">
        <v>0.14540345691001999</v>
      </c>
      <c r="R27" s="119">
        <v>0.156775471724415</v>
      </c>
      <c r="S27" s="119">
        <v>0.16676927437254699</v>
      </c>
      <c r="T27" s="119">
        <v>0.178533586472441</v>
      </c>
      <c r="U27" s="119">
        <v>0.19140551305147499</v>
      </c>
      <c r="V27" s="119">
        <v>0.20579764042557699</v>
      </c>
      <c r="W27" s="119">
        <v>0.221220621822278</v>
      </c>
      <c r="X27" s="119">
        <v>0.239142276732218</v>
      </c>
      <c r="Y27" s="119">
        <v>0.256542149969547</v>
      </c>
      <c r="Z27" s="119">
        <v>0.27571874621735298</v>
      </c>
      <c r="AA27" s="119">
        <v>0.29528675106351598</v>
      </c>
      <c r="AB27" s="119">
        <v>0.31614669707023602</v>
      </c>
      <c r="AC27" s="119">
        <v>0.33509448547318099</v>
      </c>
      <c r="AD27" s="119">
        <v>0.33624417428803199</v>
      </c>
      <c r="AE27" s="119">
        <v>0.33812138136688802</v>
      </c>
      <c r="AF27" s="119">
        <v>0.33783911506810699</v>
      </c>
      <c r="AG27" s="119">
        <v>0.34122600372941098</v>
      </c>
      <c r="AH27" s="119">
        <v>0.34606440532633198</v>
      </c>
      <c r="AI27" s="119">
        <v>0.34929182339376302</v>
      </c>
      <c r="AJ27" s="119">
        <v>0.352270124001552</v>
      </c>
      <c r="AK27" s="119">
        <v>0.35543499537238799</v>
      </c>
      <c r="AL27" s="119">
        <v>0.35914518358214897</v>
      </c>
      <c r="AM27" s="119">
        <v>0.37030695101691702</v>
      </c>
      <c r="AN27" s="119">
        <v>0.379878812282683</v>
      </c>
      <c r="AO27" s="119">
        <v>0.389295130367598</v>
      </c>
      <c r="AP27" s="119">
        <v>0.40041392181902602</v>
      </c>
      <c r="AQ27" s="119">
        <v>0.41074893970670301</v>
      </c>
      <c r="AR27" s="119">
        <v>0.41964379647213501</v>
      </c>
      <c r="AS27" s="119">
        <v>0.429736244164384</v>
      </c>
      <c r="AT27" s="119">
        <v>0.43742700206444202</v>
      </c>
      <c r="AU27" s="119">
        <v>0.44686303083943002</v>
      </c>
      <c r="AV27" s="119">
        <v>0.45568973956961101</v>
      </c>
      <c r="AW27" s="119">
        <v>0.46270497839177099</v>
      </c>
      <c r="AX27" s="119">
        <v>0.47096979274658402</v>
      </c>
      <c r="AY27" s="119">
        <v>0.47637873475781001</v>
      </c>
      <c r="AZ27" s="119">
        <v>0.48644366166457897</v>
      </c>
      <c r="BA27" s="119">
        <v>0.49057579380308503</v>
      </c>
      <c r="BB27" s="119">
        <v>0.49656739292809698</v>
      </c>
      <c r="BC27" s="119">
        <v>0.50439347026102299</v>
      </c>
      <c r="BD27" s="119">
        <v>0.50755835499519197</v>
      </c>
      <c r="BE27" s="119">
        <v>0.51566671672126096</v>
      </c>
      <c r="BF27" s="119">
        <v>0.51692483800696898</v>
      </c>
      <c r="BG27" s="119">
        <v>0.52108831459919203</v>
      </c>
      <c r="BH27" s="119">
        <v>0.52642278946263099</v>
      </c>
      <c r="BI27" s="119">
        <v>0.53164953090780498</v>
      </c>
      <c r="BJ27" s="119">
        <v>0.53619582535205501</v>
      </c>
      <c r="BK27" s="119">
        <v>0.54093945854002501</v>
      </c>
      <c r="BL27" s="119">
        <v>0.54274304004514096</v>
      </c>
    </row>
    <row r="28" spans="1:64" x14ac:dyDescent="0.25">
      <c r="A28" s="860" t="s">
        <v>16</v>
      </c>
      <c r="B28" s="1">
        <v>854</v>
      </c>
      <c r="C28" s="119">
        <v>0.5</v>
      </c>
      <c r="D28" s="119">
        <v>3.1621432243173699E-3</v>
      </c>
      <c r="E28" s="119">
        <v>3.6029385496235298E-3</v>
      </c>
      <c r="F28" s="119">
        <v>4.0771549911205801E-3</v>
      </c>
      <c r="G28" s="119">
        <v>4.6371498444967496E-3</v>
      </c>
      <c r="H28" s="119">
        <v>5.2777412058393897E-3</v>
      </c>
      <c r="I28" s="119">
        <v>5.8977825327437301E-3</v>
      </c>
      <c r="J28" s="119">
        <v>6.5852141124570097E-3</v>
      </c>
      <c r="K28" s="119">
        <v>7.5019838086709603E-3</v>
      </c>
      <c r="L28" s="119">
        <v>8.4390109104255304E-3</v>
      </c>
      <c r="M28" s="119">
        <v>9.5095406176303795E-3</v>
      </c>
      <c r="N28" s="119">
        <v>1.07169334174017E-2</v>
      </c>
      <c r="O28" s="119">
        <v>1.1922488101482699E-2</v>
      </c>
      <c r="P28" s="119">
        <v>1.32873447419071E-2</v>
      </c>
      <c r="Q28" s="119">
        <v>1.4715459685450899E-2</v>
      </c>
      <c r="R28" s="119">
        <v>1.6503773724892801E-2</v>
      </c>
      <c r="S28" s="119">
        <v>1.8452548691603E-2</v>
      </c>
      <c r="T28" s="119">
        <v>2.0734589800863502E-2</v>
      </c>
      <c r="U28" s="119">
        <v>2.3126433769099501E-2</v>
      </c>
      <c r="V28" s="119">
        <v>2.56646655737582E-2</v>
      </c>
      <c r="W28" s="119">
        <v>2.8361135431368201E-2</v>
      </c>
      <c r="X28" s="119">
        <v>3.11508178808244E-2</v>
      </c>
      <c r="Y28" s="119">
        <v>3.41104624625077E-2</v>
      </c>
      <c r="Z28" s="119">
        <v>3.7436546729603899E-2</v>
      </c>
      <c r="AA28" s="119">
        <v>4.06641866384298E-2</v>
      </c>
      <c r="AB28" s="119">
        <v>4.3416880058909799E-2</v>
      </c>
      <c r="AC28" s="119">
        <v>4.6390657394016398E-2</v>
      </c>
      <c r="AD28" s="119">
        <v>4.9472880427734199E-2</v>
      </c>
      <c r="AE28" s="119">
        <v>5.3117900983740397E-2</v>
      </c>
      <c r="AF28" s="119">
        <v>5.70101825884997E-2</v>
      </c>
      <c r="AG28" s="119">
        <v>6.1130244520420401E-2</v>
      </c>
      <c r="AH28" s="119">
        <v>6.8569011874655098E-2</v>
      </c>
      <c r="AI28" s="119">
        <v>7.6686803614772203E-2</v>
      </c>
      <c r="AJ28" s="119">
        <v>8.5530808113109397E-2</v>
      </c>
      <c r="AK28" s="119">
        <v>9.4323320161610602E-2</v>
      </c>
      <c r="AL28" s="119">
        <v>0.103147239465445</v>
      </c>
      <c r="AM28" s="119">
        <v>0.111672523379286</v>
      </c>
      <c r="AN28" s="119">
        <v>0.119704957491499</v>
      </c>
      <c r="AO28" s="119">
        <v>0.12594300065870601</v>
      </c>
      <c r="AP28" s="119">
        <v>0.13193911784742701</v>
      </c>
      <c r="AQ28" s="119">
        <v>0.13799571794802901</v>
      </c>
      <c r="AR28" s="119">
        <v>0.14455362749476</v>
      </c>
      <c r="AS28" s="119">
        <v>0.152135792838345</v>
      </c>
      <c r="AT28" s="119">
        <v>0.16186522600843201</v>
      </c>
      <c r="AU28" s="119">
        <v>0.17309513510070701</v>
      </c>
      <c r="AV28" s="119">
        <v>0.186083647659777</v>
      </c>
      <c r="AW28" s="119">
        <v>0.20268057348212001</v>
      </c>
      <c r="AX28" s="119">
        <v>0.22599396189767501</v>
      </c>
      <c r="AY28" s="119">
        <v>0.24923630214258199</v>
      </c>
      <c r="AZ28" s="119">
        <v>0.26162703551556998</v>
      </c>
      <c r="BA28" s="119">
        <v>0.264892322970812</v>
      </c>
      <c r="BB28" s="119">
        <v>0.266575225613367</v>
      </c>
      <c r="BC28" s="119">
        <v>0.27518593681466902</v>
      </c>
      <c r="BD28" s="119">
        <v>0.28354170944837298</v>
      </c>
      <c r="BE28" s="119">
        <v>0.291413743646734</v>
      </c>
      <c r="BF28" s="119">
        <v>0.29806742582408302</v>
      </c>
      <c r="BG28" s="119">
        <v>0.30385550956053498</v>
      </c>
      <c r="BH28" s="119">
        <v>0.31064366385709102</v>
      </c>
      <c r="BI28" s="119">
        <v>0.31733095693056901</v>
      </c>
      <c r="BJ28" s="119">
        <v>0.32536630838865699</v>
      </c>
      <c r="BK28" s="119">
        <v>0.33330652156294299</v>
      </c>
      <c r="BL28" s="119">
        <v>0.33962380298612799</v>
      </c>
    </row>
    <row r="29" spans="1:64" x14ac:dyDescent="0.25">
      <c r="A29" s="860" t="s">
        <v>17</v>
      </c>
      <c r="B29" s="1">
        <v>108</v>
      </c>
      <c r="C29" s="119">
        <v>0.5</v>
      </c>
      <c r="D29" s="119">
        <v>1.07082077581673E-3</v>
      </c>
      <c r="E29" s="119">
        <v>1.2224406311639E-3</v>
      </c>
      <c r="F29" s="119">
        <v>1.4064876500005301E-3</v>
      </c>
      <c r="G29" s="119">
        <v>1.6348088927013E-3</v>
      </c>
      <c r="H29" s="119">
        <v>1.83296922724594E-3</v>
      </c>
      <c r="I29" s="119">
        <v>2.1127062084110599E-3</v>
      </c>
      <c r="J29" s="119">
        <v>2.4277270423785002E-3</v>
      </c>
      <c r="K29" s="119">
        <v>2.7687650328177401E-3</v>
      </c>
      <c r="L29" s="119">
        <v>3.1554612958049799E-3</v>
      </c>
      <c r="M29" s="119">
        <v>3.5905321563549199E-3</v>
      </c>
      <c r="N29" s="119">
        <v>4.09070693070395E-3</v>
      </c>
      <c r="O29" s="119">
        <v>4.7051987652518001E-3</v>
      </c>
      <c r="P29" s="119">
        <v>5.3741336138347301E-3</v>
      </c>
      <c r="Q29" s="119">
        <v>6.0906724616354201E-3</v>
      </c>
      <c r="R29" s="119">
        <v>6.96496700166125E-3</v>
      </c>
      <c r="S29" s="119">
        <v>7.9297045726186097E-3</v>
      </c>
      <c r="T29" s="119">
        <v>9.0254398640780796E-3</v>
      </c>
      <c r="U29" s="119">
        <v>1.02345679624862E-2</v>
      </c>
      <c r="V29" s="119">
        <v>1.22676006929221E-2</v>
      </c>
      <c r="W29" s="119">
        <v>1.45151702237259E-2</v>
      </c>
      <c r="X29" s="119">
        <v>1.7090729123367499E-2</v>
      </c>
      <c r="Y29" s="119">
        <v>1.9952444022431799E-2</v>
      </c>
      <c r="Z29" s="119">
        <v>2.29986706212797E-2</v>
      </c>
      <c r="AA29" s="119">
        <v>2.63156916168319E-2</v>
      </c>
      <c r="AB29" s="119">
        <v>2.9769695124452499E-2</v>
      </c>
      <c r="AC29" s="119">
        <v>3.39374589191518E-2</v>
      </c>
      <c r="AD29" s="119">
        <v>3.8446572991630103E-2</v>
      </c>
      <c r="AE29" s="119">
        <v>4.3131840407518898E-2</v>
      </c>
      <c r="AF29" s="119">
        <v>4.78941006317724E-2</v>
      </c>
      <c r="AG29" s="119">
        <v>5.2670115835895502E-2</v>
      </c>
      <c r="AH29" s="119">
        <v>5.6945772979144701E-2</v>
      </c>
      <c r="AI29" s="119">
        <v>5.9622103200821702E-2</v>
      </c>
      <c r="AJ29" s="119">
        <v>6.1568274878963901E-2</v>
      </c>
      <c r="AK29" s="119">
        <v>6.5472066550541705E-2</v>
      </c>
      <c r="AL29" s="119">
        <v>6.9548194143508005E-2</v>
      </c>
      <c r="AM29" s="119">
        <v>7.4276451661395099E-2</v>
      </c>
      <c r="AN29" s="119">
        <v>8.0646704220924501E-2</v>
      </c>
      <c r="AO29" s="119">
        <v>8.8789983083937901E-2</v>
      </c>
      <c r="AP29" s="119">
        <v>9.8217006731065801E-2</v>
      </c>
      <c r="AQ29" s="119">
        <v>0.1089830788749</v>
      </c>
      <c r="AR29" s="119">
        <v>0.118249744019301</v>
      </c>
      <c r="AS29" s="119">
        <v>0.13241530773274199</v>
      </c>
      <c r="AT29" s="119">
        <v>0.14667452535612799</v>
      </c>
      <c r="AU29" s="119">
        <v>0.150263953312613</v>
      </c>
      <c r="AV29" s="119">
        <v>0.15048416095783201</v>
      </c>
      <c r="AW29" s="119">
        <v>0.14916150053261401</v>
      </c>
      <c r="AX29" s="119">
        <v>0.14839927443988599</v>
      </c>
      <c r="AY29" s="119">
        <v>0.15240212650068399</v>
      </c>
      <c r="AZ29" s="119">
        <v>0.157506360932543</v>
      </c>
      <c r="BA29" s="119">
        <v>0.16350705265657001</v>
      </c>
      <c r="BB29" s="119">
        <v>0.169030856520415</v>
      </c>
      <c r="BC29" s="119">
        <v>0.17514248405499599</v>
      </c>
      <c r="BD29" s="119">
        <v>0.18113803452157901</v>
      </c>
      <c r="BE29" s="119">
        <v>0.18757386758316899</v>
      </c>
      <c r="BF29" s="119">
        <v>0.193061653376634</v>
      </c>
      <c r="BG29" s="119">
        <v>0.19847968721710499</v>
      </c>
      <c r="BH29" s="119">
        <v>0.20436593258513</v>
      </c>
      <c r="BI29" s="119">
        <v>0.209016954606385</v>
      </c>
      <c r="BJ29" s="119">
        <v>0.21414923487332199</v>
      </c>
      <c r="BK29" s="119">
        <v>0.21949711425066201</v>
      </c>
      <c r="BL29" s="119">
        <v>0.22461601437687301</v>
      </c>
    </row>
    <row r="30" spans="1:64" x14ac:dyDescent="0.25">
      <c r="A30" s="860" t="s">
        <v>156</v>
      </c>
      <c r="B30" s="1">
        <v>132</v>
      </c>
      <c r="C30" s="119">
        <v>0.5</v>
      </c>
      <c r="D30" s="119">
        <v>3.45597839816323E-2</v>
      </c>
      <c r="E30" s="119">
        <v>3.8477967819589801E-2</v>
      </c>
      <c r="F30" s="119">
        <v>4.2871991587737399E-2</v>
      </c>
      <c r="G30" s="119">
        <v>4.76584898569858E-2</v>
      </c>
      <c r="H30" s="119">
        <v>5.22625011627477E-2</v>
      </c>
      <c r="I30" s="119">
        <v>5.7973096310807902E-2</v>
      </c>
      <c r="J30" s="119">
        <v>6.3169654565950306E-2</v>
      </c>
      <c r="K30" s="119">
        <v>6.9325055931839394E-2</v>
      </c>
      <c r="L30" s="119">
        <v>7.5839848592061596E-2</v>
      </c>
      <c r="M30" s="119">
        <v>8.2981122027318499E-2</v>
      </c>
      <c r="N30" s="119">
        <v>9.0194839353975195E-2</v>
      </c>
      <c r="O30" s="119">
        <v>9.7974136094274605E-2</v>
      </c>
      <c r="P30" s="119">
        <v>0.10536113791941699</v>
      </c>
      <c r="Q30" s="119">
        <v>0.114557777383407</v>
      </c>
      <c r="R30" s="119">
        <v>0.122804840412884</v>
      </c>
      <c r="S30" s="119">
        <v>0.131954569129757</v>
      </c>
      <c r="T30" s="119">
        <v>0.14169382840743</v>
      </c>
      <c r="U30" s="119">
        <v>0.15068552355253101</v>
      </c>
      <c r="V30" s="119">
        <v>0.16099004750467399</v>
      </c>
      <c r="W30" s="119">
        <v>0.17213970201259601</v>
      </c>
      <c r="X30" s="119">
        <v>0.18538476916004601</v>
      </c>
      <c r="Y30" s="119">
        <v>0.20109981992124101</v>
      </c>
      <c r="Z30" s="119">
        <v>0.21640058734307899</v>
      </c>
      <c r="AA30" s="119">
        <v>0.233633879670617</v>
      </c>
      <c r="AB30" s="119">
        <v>0.25162903621021099</v>
      </c>
      <c r="AC30" s="119">
        <v>0.26912052207929699</v>
      </c>
      <c r="AD30" s="119">
        <v>0.28613988290402798</v>
      </c>
      <c r="AE30" s="119">
        <v>0.302905388734032</v>
      </c>
      <c r="AF30" s="119">
        <v>0.31769160690149501</v>
      </c>
      <c r="AG30" s="119">
        <v>0.33113848265658002</v>
      </c>
      <c r="AH30" s="119">
        <v>0.34372985522069899</v>
      </c>
      <c r="AI30" s="119">
        <v>0.35595914807368401</v>
      </c>
      <c r="AJ30" s="119">
        <v>0.36696213908491498</v>
      </c>
      <c r="AK30" s="119">
        <v>0.37795384829269102</v>
      </c>
      <c r="AL30" s="119">
        <v>0.38804959312701098</v>
      </c>
      <c r="AM30" s="119">
        <v>0.39713917572242702</v>
      </c>
      <c r="AN30" s="119">
        <v>0.40232761264003303</v>
      </c>
      <c r="AO30" s="119">
        <v>0.40506679894243702</v>
      </c>
      <c r="AP30" s="119">
        <v>0.40717443672187398</v>
      </c>
      <c r="AQ30" s="119">
        <v>0.40826535122802199</v>
      </c>
      <c r="AR30" s="119">
        <v>0.408128037538104</v>
      </c>
      <c r="AS30" s="119">
        <v>0.40986720421666301</v>
      </c>
      <c r="AT30" s="119">
        <v>0.41084430949904499</v>
      </c>
      <c r="AU30" s="119">
        <v>0.413084825034153</v>
      </c>
      <c r="AV30" s="119">
        <v>0.414375300640627</v>
      </c>
      <c r="AW30" s="119">
        <v>0.41506322650710298</v>
      </c>
      <c r="AX30" s="119">
        <v>0.41645579837024099</v>
      </c>
      <c r="AY30" s="119">
        <v>0.41728691625360698</v>
      </c>
      <c r="AZ30" s="119">
        <v>0.41802325837454601</v>
      </c>
      <c r="BA30" s="119">
        <v>0.42093684443262402</v>
      </c>
      <c r="BB30" s="119">
        <v>0.42371134261163801</v>
      </c>
      <c r="BC30" s="119">
        <v>0.42787526377947699</v>
      </c>
      <c r="BD30" s="119">
        <v>0.43209680674133799</v>
      </c>
      <c r="BE30" s="119">
        <v>0.43696692246664098</v>
      </c>
      <c r="BF30" s="119">
        <v>0.43967937266651802</v>
      </c>
      <c r="BG30" s="119">
        <v>0.44426794509234901</v>
      </c>
      <c r="BH30" s="119">
        <v>0.447090616790708</v>
      </c>
      <c r="BI30" s="119">
        <v>0.45063343138157802</v>
      </c>
      <c r="BJ30" s="119">
        <v>0.452040200335939</v>
      </c>
      <c r="BK30" s="119">
        <v>0.45502706103520801</v>
      </c>
      <c r="BL30" s="119">
        <v>0.45840666476602399</v>
      </c>
    </row>
    <row r="31" spans="1:64" x14ac:dyDescent="0.25">
      <c r="A31" s="860" t="s">
        <v>18</v>
      </c>
      <c r="B31" s="1">
        <v>116</v>
      </c>
      <c r="C31" s="119">
        <v>0.5</v>
      </c>
      <c r="D31" s="119">
        <v>7.9924575491705108E-3</v>
      </c>
      <c r="E31" s="119">
        <v>8.6085836797110508E-3</v>
      </c>
      <c r="F31" s="119">
        <v>9.2315329613522606E-3</v>
      </c>
      <c r="G31" s="119">
        <v>1.00788567425246E-2</v>
      </c>
      <c r="H31" s="119">
        <v>1.1042549616936501E-2</v>
      </c>
      <c r="I31" s="119">
        <v>1.1958042599786001E-2</v>
      </c>
      <c r="J31" s="119">
        <v>1.2974847985738801E-2</v>
      </c>
      <c r="K31" s="119">
        <v>1.4372508401573E-2</v>
      </c>
      <c r="L31" s="119">
        <v>1.5888756087654599E-2</v>
      </c>
      <c r="M31" s="119">
        <v>1.7598523099362801E-2</v>
      </c>
      <c r="N31" s="119">
        <v>1.9322452648599799E-2</v>
      </c>
      <c r="O31" s="119">
        <v>2.12037628601589E-2</v>
      </c>
      <c r="P31" s="119">
        <v>2.3361787025467699E-2</v>
      </c>
      <c r="Q31" s="119">
        <v>2.5619661335220398E-2</v>
      </c>
      <c r="R31" s="119">
        <v>2.8429402092857801E-2</v>
      </c>
      <c r="S31" s="119">
        <v>3.1239138928408901E-2</v>
      </c>
      <c r="T31" s="119">
        <v>3.4668273356532803E-2</v>
      </c>
      <c r="U31" s="119">
        <v>3.7947490315850201E-2</v>
      </c>
      <c r="V31" s="119">
        <v>4.14666450786257E-2</v>
      </c>
      <c r="W31" s="119">
        <v>4.5657549909225603E-2</v>
      </c>
      <c r="X31" s="119">
        <v>4.9754138023626999E-2</v>
      </c>
      <c r="Y31" s="119">
        <v>5.3809421265386403E-2</v>
      </c>
      <c r="Z31" s="119">
        <v>5.77579374122335E-2</v>
      </c>
      <c r="AA31" s="119">
        <v>6.23814456841809E-2</v>
      </c>
      <c r="AB31" s="119">
        <v>6.7135961405434597E-2</v>
      </c>
      <c r="AC31" s="119">
        <v>7.3086102339896694E-2</v>
      </c>
      <c r="AD31" s="119">
        <v>8.2188556803376001E-2</v>
      </c>
      <c r="AE31" s="119">
        <v>9.2341866900739603E-2</v>
      </c>
      <c r="AF31" s="119">
        <v>0.10272813621888</v>
      </c>
      <c r="AG31" s="119">
        <v>0.111137306413464</v>
      </c>
      <c r="AH31" s="119">
        <v>0.120590496641635</v>
      </c>
      <c r="AI31" s="119">
        <v>0.13025555750870699</v>
      </c>
      <c r="AJ31" s="119">
        <v>0.141297239416972</v>
      </c>
      <c r="AK31" s="119">
        <v>0.15315755544049101</v>
      </c>
      <c r="AL31" s="119">
        <v>0.16530301268040601</v>
      </c>
      <c r="AM31" s="119">
        <v>0.17660537374669799</v>
      </c>
      <c r="AN31" s="119">
        <v>0.18874204177953899</v>
      </c>
      <c r="AO31" s="119">
        <v>0.19953084780823599</v>
      </c>
      <c r="AP31" s="119">
        <v>0.21079187877952901</v>
      </c>
      <c r="AQ31" s="119">
        <v>0.22094238788426299</v>
      </c>
      <c r="AR31" s="119">
        <v>0.230353339371351</v>
      </c>
      <c r="AS31" s="119">
        <v>0.239336994265539</v>
      </c>
      <c r="AT31" s="119">
        <v>0.247096086533513</v>
      </c>
      <c r="AU31" s="119">
        <v>0.25557720036504</v>
      </c>
      <c r="AV31" s="119">
        <v>0.26272513797748198</v>
      </c>
      <c r="AW31" s="119">
        <v>0.272636175636635</v>
      </c>
      <c r="AX31" s="119">
        <v>0.28027937716731799</v>
      </c>
      <c r="AY31" s="119">
        <v>0.28789545930949301</v>
      </c>
      <c r="AZ31" s="119">
        <v>0.296488529699305</v>
      </c>
      <c r="BA31" s="119">
        <v>0.30348569195234298</v>
      </c>
      <c r="BB31" s="119">
        <v>0.30811334377518601</v>
      </c>
      <c r="BC31" s="119">
        <v>0.31359974350016101</v>
      </c>
      <c r="BD31" s="119">
        <v>0.31923506831568399</v>
      </c>
      <c r="BE31" s="119">
        <v>0.323511175636432</v>
      </c>
      <c r="BF31" s="119">
        <v>0.32643944096196997</v>
      </c>
      <c r="BG31" s="119">
        <v>0.32999072129967899</v>
      </c>
      <c r="BH31" s="119">
        <v>0.33319629479855201</v>
      </c>
      <c r="BI31" s="119">
        <v>0.33604722094991402</v>
      </c>
      <c r="BJ31" s="119">
        <v>0.33961304423009703</v>
      </c>
      <c r="BK31" s="119">
        <v>0.34064348385104698</v>
      </c>
      <c r="BL31" s="119">
        <v>0.34309346391608597</v>
      </c>
    </row>
    <row r="32" spans="1:64" x14ac:dyDescent="0.25">
      <c r="A32" s="860" t="s">
        <v>19</v>
      </c>
      <c r="B32" s="1">
        <v>120</v>
      </c>
      <c r="C32" s="119">
        <v>0.5</v>
      </c>
      <c r="D32" s="119">
        <v>4.1207102076059902E-3</v>
      </c>
      <c r="E32" s="119">
        <v>4.4963218508011901E-3</v>
      </c>
      <c r="F32" s="119">
        <v>4.8930796898050601E-3</v>
      </c>
      <c r="G32" s="119">
        <v>5.3605143759949498E-3</v>
      </c>
      <c r="H32" s="119">
        <v>5.8774461923341396E-3</v>
      </c>
      <c r="I32" s="119">
        <v>6.4693118266097001E-3</v>
      </c>
      <c r="J32" s="119">
        <v>7.0904284953409603E-3</v>
      </c>
      <c r="K32" s="119">
        <v>7.8156653768300197E-3</v>
      </c>
      <c r="L32" s="119">
        <v>8.6531341235408406E-3</v>
      </c>
      <c r="M32" s="119">
        <v>9.8417999143076505E-3</v>
      </c>
      <c r="N32" s="119">
        <v>1.1112490382161701E-2</v>
      </c>
      <c r="O32" s="119">
        <v>1.27236729838432E-2</v>
      </c>
      <c r="P32" s="119">
        <v>1.45692155396969E-2</v>
      </c>
      <c r="Q32" s="119">
        <v>1.6537789781036299E-2</v>
      </c>
      <c r="R32" s="119">
        <v>1.8653939696740701E-2</v>
      </c>
      <c r="S32" s="119">
        <v>2.1090803003257101E-2</v>
      </c>
      <c r="T32" s="119">
        <v>2.38212734355061E-2</v>
      </c>
      <c r="U32" s="119">
        <v>2.6948186493783499E-2</v>
      </c>
      <c r="V32" s="119">
        <v>3.02921460018056E-2</v>
      </c>
      <c r="W32" s="119">
        <v>3.3720704510420703E-2</v>
      </c>
      <c r="X32" s="119">
        <v>3.7860887743292701E-2</v>
      </c>
      <c r="Y32" s="119">
        <v>4.1540143291342403E-2</v>
      </c>
      <c r="Z32" s="119">
        <v>4.6200974751429397E-2</v>
      </c>
      <c r="AA32" s="119">
        <v>5.1321205459369801E-2</v>
      </c>
      <c r="AB32" s="119">
        <v>5.67780857439125E-2</v>
      </c>
      <c r="AC32" s="119">
        <v>6.2035332337166002E-2</v>
      </c>
      <c r="AD32" s="119">
        <v>6.7963348764954606E-2</v>
      </c>
      <c r="AE32" s="119">
        <v>7.4153973664796605E-2</v>
      </c>
      <c r="AF32" s="119">
        <v>8.0356653628903804E-2</v>
      </c>
      <c r="AG32" s="119">
        <v>8.8331248388071104E-2</v>
      </c>
      <c r="AH32" s="119">
        <v>9.7398186159011205E-2</v>
      </c>
      <c r="AI32" s="119">
        <v>0.106710299668487</v>
      </c>
      <c r="AJ32" s="119">
        <v>0.11727261798484299</v>
      </c>
      <c r="AK32" s="119">
        <v>0.12800493113310801</v>
      </c>
      <c r="AL32" s="119">
        <v>0.138648523732747</v>
      </c>
      <c r="AM32" s="119">
        <v>0.14792692254711001</v>
      </c>
      <c r="AN32" s="119">
        <v>0.15469432936159</v>
      </c>
      <c r="AO32" s="119">
        <v>0.15767444703099801</v>
      </c>
      <c r="AP32" s="119">
        <v>0.160175633481172</v>
      </c>
      <c r="AQ32" s="119">
        <v>0.16144301612366499</v>
      </c>
      <c r="AR32" s="119">
        <v>0.16288512813881201</v>
      </c>
      <c r="AS32" s="119">
        <v>0.16545757943498501</v>
      </c>
      <c r="AT32" s="119">
        <v>0.16936432632120299</v>
      </c>
      <c r="AU32" s="119">
        <v>0.17257987111376899</v>
      </c>
      <c r="AV32" s="119">
        <v>0.17532829017578899</v>
      </c>
      <c r="AW32" s="119">
        <v>0.17534753023803401</v>
      </c>
      <c r="AX32" s="119">
        <v>0.17450478840049899</v>
      </c>
      <c r="AY32" s="119">
        <v>0.173378835291147</v>
      </c>
      <c r="AZ32" s="119">
        <v>0.17304267257584899</v>
      </c>
      <c r="BA32" s="119">
        <v>0.175576409645543</v>
      </c>
      <c r="BB32" s="119">
        <v>0.178909936688252</v>
      </c>
      <c r="BC32" s="119">
        <v>0.184105020733145</v>
      </c>
      <c r="BD32" s="119">
        <v>0.18956909405109401</v>
      </c>
      <c r="BE32" s="119">
        <v>0.19459630106690201</v>
      </c>
      <c r="BF32" s="119">
        <v>0.19959155794500399</v>
      </c>
      <c r="BG32" s="119">
        <v>0.20412969287220301</v>
      </c>
      <c r="BH32" s="119">
        <v>0.209073164682161</v>
      </c>
      <c r="BI32" s="119">
        <v>0.21415300766926201</v>
      </c>
      <c r="BJ32" s="119">
        <v>0.22048000396238801</v>
      </c>
      <c r="BK32" s="119">
        <v>0.225038271569724</v>
      </c>
      <c r="BL32" s="119">
        <v>0.230602660035331</v>
      </c>
    </row>
    <row r="33" spans="1:64" x14ac:dyDescent="0.25">
      <c r="A33" s="860" t="s">
        <v>157</v>
      </c>
      <c r="B33" s="1">
        <v>124</v>
      </c>
      <c r="C33" s="119">
        <v>0.5</v>
      </c>
      <c r="D33" s="119">
        <v>0.61544103993232502</v>
      </c>
      <c r="E33" s="119">
        <v>0.61985095289111403</v>
      </c>
      <c r="F33" s="119">
        <v>0.62274405043466097</v>
      </c>
      <c r="G33" s="119">
        <v>0.62448314584736897</v>
      </c>
      <c r="H33" s="119">
        <v>0.62777220210930096</v>
      </c>
      <c r="I33" s="119">
        <v>0.62953722286297098</v>
      </c>
      <c r="J33" s="119">
        <v>0.63355697736757299</v>
      </c>
      <c r="K33" s="119">
        <v>0.635375918643168</v>
      </c>
      <c r="L33" s="119">
        <v>0.63633391700110398</v>
      </c>
      <c r="M33" s="119">
        <v>0.64056743045031495</v>
      </c>
      <c r="N33" s="119">
        <v>0.64255467145468603</v>
      </c>
      <c r="O33" s="119">
        <v>0.64441660921390798</v>
      </c>
      <c r="P33" s="119">
        <v>0.647178356187599</v>
      </c>
      <c r="Q33" s="119">
        <v>0.64924491918784399</v>
      </c>
      <c r="R33" s="119">
        <v>0.65239922845928899</v>
      </c>
      <c r="S33" s="119">
        <v>0.65278087539854401</v>
      </c>
      <c r="T33" s="119">
        <v>0.65388955948137595</v>
      </c>
      <c r="U33" s="119">
        <v>0.65555367110140295</v>
      </c>
      <c r="V33" s="119">
        <v>0.65717662936267096</v>
      </c>
      <c r="W33" s="119">
        <v>0.65704325924979401</v>
      </c>
      <c r="X33" s="119">
        <v>0.65882939293771503</v>
      </c>
      <c r="Y33" s="119">
        <v>0.66279221287155698</v>
      </c>
      <c r="Z33" s="119">
        <v>0.66689740676083398</v>
      </c>
      <c r="AA33" s="119">
        <v>0.671119321111323</v>
      </c>
      <c r="AB33" s="119">
        <v>0.67582939138840603</v>
      </c>
      <c r="AC33" s="119">
        <v>0.678866484704582</v>
      </c>
      <c r="AD33" s="119">
        <v>0.68305666204249305</v>
      </c>
      <c r="AE33" s="119">
        <v>0.68635085034585797</v>
      </c>
      <c r="AF33" s="119">
        <v>0.68765937176286196</v>
      </c>
      <c r="AG33" s="119">
        <v>0.68729511475924498</v>
      </c>
      <c r="AH33" s="119">
        <v>0.68604184739038798</v>
      </c>
      <c r="AI33" s="119">
        <v>0.68452573731364197</v>
      </c>
      <c r="AJ33" s="119">
        <v>0.68583811535697103</v>
      </c>
      <c r="AK33" s="119">
        <v>0.69058224059602102</v>
      </c>
      <c r="AL33" s="119">
        <v>0.69633724576215805</v>
      </c>
      <c r="AM33" s="119">
        <v>0.70185078676113299</v>
      </c>
      <c r="AN33" s="119">
        <v>0.70606842038497897</v>
      </c>
      <c r="AO33" s="119">
        <v>0.70773591732338403</v>
      </c>
      <c r="AP33" s="119">
        <v>0.70835568927381498</v>
      </c>
      <c r="AQ33" s="119">
        <v>0.70902859563454601</v>
      </c>
      <c r="AR33" s="119">
        <v>0.70916159073753404</v>
      </c>
      <c r="AS33" s="119">
        <v>0.70648505874067202</v>
      </c>
      <c r="AT33" s="119">
        <v>0.70674172699524496</v>
      </c>
      <c r="AU33" s="119">
        <v>0.70649361172324399</v>
      </c>
      <c r="AV33" s="119">
        <v>0.70463684371613899</v>
      </c>
      <c r="AW33" s="119">
        <v>0.70441539034214695</v>
      </c>
      <c r="AX33" s="119">
        <v>0.704692497867901</v>
      </c>
      <c r="AY33" s="119">
        <v>0.703958707908238</v>
      </c>
      <c r="AZ33" s="119">
        <v>0.704359096475907</v>
      </c>
      <c r="BA33" s="119">
        <v>0.70431124857421801</v>
      </c>
      <c r="BB33" s="119">
        <v>0.70439741407159095</v>
      </c>
      <c r="BC33" s="119">
        <v>0.70548118718844</v>
      </c>
      <c r="BD33" s="119">
        <v>0.70397308421833404</v>
      </c>
      <c r="BE33" s="119">
        <v>0.705544923225632</v>
      </c>
      <c r="BF33" s="119">
        <v>0.70495103070201903</v>
      </c>
      <c r="BG33" s="119">
        <v>0.70464651672644196</v>
      </c>
      <c r="BH33" s="119">
        <v>0.70424977177366399</v>
      </c>
      <c r="BI33" s="119">
        <v>0.70524145140842298</v>
      </c>
      <c r="BJ33" s="119">
        <v>0.70536631055757004</v>
      </c>
      <c r="BK33" s="119">
        <v>0.70504579605293505</v>
      </c>
      <c r="BL33" s="119">
        <v>0.70681796833014499</v>
      </c>
    </row>
    <row r="34" spans="1:64" x14ac:dyDescent="0.25">
      <c r="A34" s="860" t="s">
        <v>2012</v>
      </c>
      <c r="B34" s="1">
        <v>140</v>
      </c>
      <c r="C34" s="119">
        <v>0.5</v>
      </c>
      <c r="D34" s="119">
        <v>4.8767506649341199E-3</v>
      </c>
      <c r="E34" s="119">
        <v>5.2059245625712099E-3</v>
      </c>
      <c r="F34" s="119">
        <v>5.7618902743020901E-3</v>
      </c>
      <c r="G34" s="119">
        <v>6.2986701194463297E-3</v>
      </c>
      <c r="H34" s="119">
        <v>6.7734023791923498E-3</v>
      </c>
      <c r="I34" s="119">
        <v>7.3850686843797801E-3</v>
      </c>
      <c r="J34" s="119">
        <v>8.0313461198089405E-3</v>
      </c>
      <c r="K34" s="119">
        <v>8.7744904612989498E-3</v>
      </c>
      <c r="L34" s="119">
        <v>9.5629589722817498E-3</v>
      </c>
      <c r="M34" s="119">
        <v>1.03675345220378E-2</v>
      </c>
      <c r="N34" s="119">
        <v>1.13010388793961E-2</v>
      </c>
      <c r="O34" s="119">
        <v>1.22595659184138E-2</v>
      </c>
      <c r="P34" s="119">
        <v>1.3447772048954899E-2</v>
      </c>
      <c r="Q34" s="119">
        <v>1.4318464061993901E-2</v>
      </c>
      <c r="R34" s="119">
        <v>1.56199072569865E-2</v>
      </c>
      <c r="S34" s="119">
        <v>1.6889806286024E-2</v>
      </c>
      <c r="T34" s="119">
        <v>1.8392834380581501E-2</v>
      </c>
      <c r="U34" s="119">
        <v>1.9991760032362402E-2</v>
      </c>
      <c r="V34" s="119">
        <v>2.1663357038237699E-2</v>
      </c>
      <c r="W34" s="119">
        <v>2.3458827028068799E-2</v>
      </c>
      <c r="X34" s="119">
        <v>2.54876593562889E-2</v>
      </c>
      <c r="Y34" s="119">
        <v>2.7027974206909399E-2</v>
      </c>
      <c r="Z34" s="119">
        <v>2.9314447275636799E-2</v>
      </c>
      <c r="AA34" s="119">
        <v>3.16086083039352E-2</v>
      </c>
      <c r="AB34" s="119">
        <v>3.4294119971544301E-2</v>
      </c>
      <c r="AC34" s="119">
        <v>3.8084238192684403E-2</v>
      </c>
      <c r="AD34" s="119">
        <v>4.2011528070241201E-2</v>
      </c>
      <c r="AE34" s="119">
        <v>4.6530703884513698E-2</v>
      </c>
      <c r="AF34" s="119">
        <v>5.11836677415545E-2</v>
      </c>
      <c r="AG34" s="119">
        <v>5.5572568312152897E-2</v>
      </c>
      <c r="AH34" s="119">
        <v>6.0073195913884103E-2</v>
      </c>
      <c r="AI34" s="119">
        <v>6.3611008741654804E-2</v>
      </c>
      <c r="AJ34" s="119">
        <v>6.7122813307307794E-2</v>
      </c>
      <c r="AK34" s="119">
        <v>7.0175359430917003E-2</v>
      </c>
      <c r="AL34" s="119">
        <v>7.3350431477844105E-2</v>
      </c>
      <c r="AM34" s="119">
        <v>7.6296786735537997E-2</v>
      </c>
      <c r="AN34" s="119">
        <v>7.9517025951376594E-2</v>
      </c>
      <c r="AO34" s="119">
        <v>8.2404331942740494E-2</v>
      </c>
      <c r="AP34" s="119">
        <v>8.4669564284485604E-2</v>
      </c>
      <c r="AQ34" s="119">
        <v>8.7462888185983398E-2</v>
      </c>
      <c r="AR34" s="119">
        <v>9.0390941461416296E-2</v>
      </c>
      <c r="AS34" s="119">
        <v>9.3331463384377603E-2</v>
      </c>
      <c r="AT34" s="119">
        <v>9.7401078194212301E-2</v>
      </c>
      <c r="AU34" s="119">
        <v>0.101134517434586</v>
      </c>
      <c r="AV34" s="119">
        <v>0.104880035873353</v>
      </c>
      <c r="AW34" s="119">
        <v>0.10845407869334101</v>
      </c>
      <c r="AX34" s="119">
        <v>0.11274104283206</v>
      </c>
      <c r="AY34" s="119">
        <v>0.11648218370143</v>
      </c>
      <c r="AZ34" s="119">
        <v>0.120378324134697</v>
      </c>
      <c r="BA34" s="119">
        <v>0.124888093840305</v>
      </c>
      <c r="BB34" s="119">
        <v>0.129591160863015</v>
      </c>
      <c r="BC34" s="119">
        <v>0.13440831384977001</v>
      </c>
      <c r="BD34" s="119">
        <v>0.14015857050734101</v>
      </c>
      <c r="BE34" s="119">
        <v>0.14605864224832901</v>
      </c>
      <c r="BF34" s="119">
        <v>0.15155681919251901</v>
      </c>
      <c r="BG34" s="119">
        <v>0.157791126587879</v>
      </c>
      <c r="BH34" s="119">
        <v>0.161869247328678</v>
      </c>
      <c r="BI34" s="119">
        <v>0.16704088936322001</v>
      </c>
      <c r="BJ34" s="119">
        <v>0.172909371200304</v>
      </c>
      <c r="BK34" s="119">
        <v>0.177855764897106</v>
      </c>
      <c r="BL34" s="119">
        <v>0.184144418989409</v>
      </c>
    </row>
    <row r="35" spans="1:64" x14ac:dyDescent="0.25">
      <c r="A35" s="860" t="s">
        <v>20</v>
      </c>
      <c r="B35" s="1">
        <v>148</v>
      </c>
      <c r="C35" s="119">
        <v>0.5</v>
      </c>
      <c r="D35" s="119">
        <v>1.2304726930182301E-3</v>
      </c>
      <c r="E35" s="119">
        <v>1.37066930512546E-3</v>
      </c>
      <c r="F35" s="119">
        <v>1.5195225622513301E-3</v>
      </c>
      <c r="G35" s="119">
        <v>1.6664859119617599E-3</v>
      </c>
      <c r="H35" s="119">
        <v>1.85828291618601E-3</v>
      </c>
      <c r="I35" s="119">
        <v>2.04717842902423E-3</v>
      </c>
      <c r="J35" s="119">
        <v>2.2494584426790902E-3</v>
      </c>
      <c r="K35" s="119">
        <v>2.5315282987370198E-3</v>
      </c>
      <c r="L35" s="119">
        <v>2.8082405122131101E-3</v>
      </c>
      <c r="M35" s="119">
        <v>3.1104123429249301E-3</v>
      </c>
      <c r="N35" s="119">
        <v>3.4228833469002102E-3</v>
      </c>
      <c r="O35" s="119">
        <v>3.7800185259002101E-3</v>
      </c>
      <c r="P35" s="119">
        <v>4.1897385772598598E-3</v>
      </c>
      <c r="Q35" s="119">
        <v>4.5377929539086696E-3</v>
      </c>
      <c r="R35" s="119">
        <v>5.0304894650366003E-3</v>
      </c>
      <c r="S35" s="119">
        <v>5.5829939394003202E-3</v>
      </c>
      <c r="T35" s="119">
        <v>6.1204851951613404E-3</v>
      </c>
      <c r="U35" s="119">
        <v>6.7639026465629096E-3</v>
      </c>
      <c r="V35" s="119">
        <v>7.4785663950047102E-3</v>
      </c>
      <c r="W35" s="119">
        <v>8.0546661758773407E-3</v>
      </c>
      <c r="X35" s="119">
        <v>8.7218160596830591E-3</v>
      </c>
      <c r="Y35" s="119">
        <v>9.2015629392056403E-3</v>
      </c>
      <c r="Z35" s="119">
        <v>9.8175759190443808E-3</v>
      </c>
      <c r="AA35" s="119">
        <v>1.04029090662918E-2</v>
      </c>
      <c r="AB35" s="119">
        <v>1.0944818880789299E-2</v>
      </c>
      <c r="AC35" s="119">
        <v>1.1578467910376899E-2</v>
      </c>
      <c r="AD35" s="119">
        <v>1.21282207566992E-2</v>
      </c>
      <c r="AE35" s="119">
        <v>1.2697226262586301E-2</v>
      </c>
      <c r="AF35" s="119">
        <v>1.38946874894194E-2</v>
      </c>
      <c r="AG35" s="119">
        <v>1.49190127015742E-2</v>
      </c>
      <c r="AH35" s="119">
        <v>1.5913487862954601E-2</v>
      </c>
      <c r="AI35" s="119">
        <v>1.6321532741310402E-2</v>
      </c>
      <c r="AJ35" s="119">
        <v>1.6775939056654102E-2</v>
      </c>
      <c r="AK35" s="119">
        <v>1.7164886486327999E-2</v>
      </c>
      <c r="AL35" s="119">
        <v>1.7589805194005499E-2</v>
      </c>
      <c r="AM35" s="119">
        <v>1.8408514948104901E-2</v>
      </c>
      <c r="AN35" s="119">
        <v>1.9483124970600299E-2</v>
      </c>
      <c r="AO35" s="119">
        <v>2.0677429798485001E-2</v>
      </c>
      <c r="AP35" s="119">
        <v>2.1938482432930902E-2</v>
      </c>
      <c r="AQ35" s="119">
        <v>2.33737933456712E-2</v>
      </c>
      <c r="AR35" s="119">
        <v>2.5092063928754599E-2</v>
      </c>
      <c r="AS35" s="119">
        <v>2.73506528874921E-2</v>
      </c>
      <c r="AT35" s="119">
        <v>2.9930939325909001E-2</v>
      </c>
      <c r="AU35" s="119">
        <v>3.2981551804249602E-2</v>
      </c>
      <c r="AV35" s="119">
        <v>3.6131599188989602E-2</v>
      </c>
      <c r="AW35" s="119">
        <v>3.9302622092751698E-2</v>
      </c>
      <c r="AX35" s="119">
        <v>4.12978109809772E-2</v>
      </c>
      <c r="AY35" s="119">
        <v>4.3279782894823197E-2</v>
      </c>
      <c r="AZ35" s="119">
        <v>4.4977863186367699E-2</v>
      </c>
      <c r="BA35" s="119">
        <v>4.7037961015122302E-2</v>
      </c>
      <c r="BB35" s="119">
        <v>4.9197559525577701E-2</v>
      </c>
      <c r="BC35" s="119">
        <v>5.1312013953618597E-2</v>
      </c>
      <c r="BD35" s="119">
        <v>5.3326764847037002E-2</v>
      </c>
      <c r="BE35" s="119">
        <v>5.51617897603216E-2</v>
      </c>
      <c r="BF35" s="119">
        <v>5.7135052871860603E-2</v>
      </c>
      <c r="BG35" s="119">
        <v>5.9247523914622402E-2</v>
      </c>
      <c r="BH35" s="119">
        <v>6.1271996427153197E-2</v>
      </c>
      <c r="BI35" s="119">
        <v>6.4016854612818905E-2</v>
      </c>
      <c r="BJ35" s="119">
        <v>6.6307578568438594E-2</v>
      </c>
      <c r="BK35" s="119">
        <v>6.8653827765704306E-2</v>
      </c>
      <c r="BL35" s="119">
        <v>7.1160824608162601E-2</v>
      </c>
    </row>
    <row r="36" spans="1:64" x14ac:dyDescent="0.25">
      <c r="A36" s="860" t="s">
        <v>159</v>
      </c>
      <c r="B36" s="1">
        <v>152</v>
      </c>
      <c r="C36" s="119">
        <v>0.5</v>
      </c>
      <c r="D36" s="119">
        <v>0.111265896119814</v>
      </c>
      <c r="E36" s="119">
        <v>0.11790599980317901</v>
      </c>
      <c r="F36" s="119">
        <v>0.123253986138443</v>
      </c>
      <c r="G36" s="119">
        <v>0.13026477848193499</v>
      </c>
      <c r="H36" s="119">
        <v>0.13710297579087499</v>
      </c>
      <c r="I36" s="119">
        <v>0.14465410996700101</v>
      </c>
      <c r="J36" s="119">
        <v>0.15148269088456301</v>
      </c>
      <c r="K36" s="119">
        <v>0.15976991894881101</v>
      </c>
      <c r="L36" s="119">
        <v>0.167887487309751</v>
      </c>
      <c r="M36" s="119">
        <v>0.17551829407533201</v>
      </c>
      <c r="N36" s="119">
        <v>0.183330102435667</v>
      </c>
      <c r="O36" s="119">
        <v>0.190613638494226</v>
      </c>
      <c r="P36" s="119">
        <v>0.200524682004184</v>
      </c>
      <c r="Q36" s="119">
        <v>0.20964671073893401</v>
      </c>
      <c r="R36" s="119">
        <v>0.21886133904756</v>
      </c>
      <c r="S36" s="119">
        <v>0.228491576395977</v>
      </c>
      <c r="T36" s="119">
        <v>0.23679652325019601</v>
      </c>
      <c r="U36" s="119">
        <v>0.24695681331383301</v>
      </c>
      <c r="V36" s="119">
        <v>0.25853376385403098</v>
      </c>
      <c r="W36" s="119">
        <v>0.26891550976342599</v>
      </c>
      <c r="X36" s="119">
        <v>0.27923883913322001</v>
      </c>
      <c r="Y36" s="119">
        <v>0.28802416440296003</v>
      </c>
      <c r="Z36" s="119">
        <v>0.29796720898798701</v>
      </c>
      <c r="AA36" s="119">
        <v>0.30756132888486198</v>
      </c>
      <c r="AB36" s="119">
        <v>0.31924384786874499</v>
      </c>
      <c r="AC36" s="119">
        <v>0.33003608270965601</v>
      </c>
      <c r="AD36" s="119">
        <v>0.34181147345470803</v>
      </c>
      <c r="AE36" s="119">
        <v>0.35342754642130902</v>
      </c>
      <c r="AF36" s="119">
        <v>0.36388006601134898</v>
      </c>
      <c r="AG36" s="119">
        <v>0.37572073815333001</v>
      </c>
      <c r="AH36" s="119">
        <v>0.38760708432626001</v>
      </c>
      <c r="AI36" s="119">
        <v>0.399908023943853</v>
      </c>
      <c r="AJ36" s="119">
        <v>0.412639756163861</v>
      </c>
      <c r="AK36" s="119">
        <v>0.42522330352916898</v>
      </c>
      <c r="AL36" s="119">
        <v>0.435560358024211</v>
      </c>
      <c r="AM36" s="119">
        <v>0.445947244831922</v>
      </c>
      <c r="AN36" s="119">
        <v>0.45834364641550701</v>
      </c>
      <c r="AO36" s="119">
        <v>0.46943453630319099</v>
      </c>
      <c r="AP36" s="119">
        <v>0.482712372243424</v>
      </c>
      <c r="AQ36" s="119">
        <v>0.49455084446484698</v>
      </c>
      <c r="AR36" s="119">
        <v>0.50633266473036098</v>
      </c>
      <c r="AS36" s="119">
        <v>0.51779555894693796</v>
      </c>
      <c r="AT36" s="119">
        <v>0.53018588215397999</v>
      </c>
      <c r="AU36" s="119">
        <v>0.54211798811134104</v>
      </c>
      <c r="AV36" s="119">
        <v>0.55323525551641495</v>
      </c>
      <c r="AW36" s="119">
        <v>0.562502647979638</v>
      </c>
      <c r="AX36" s="119">
        <v>0.569106265405942</v>
      </c>
      <c r="AY36" s="119">
        <v>0.57425728163933598</v>
      </c>
      <c r="AZ36" s="119">
        <v>0.577344321582825</v>
      </c>
      <c r="BA36" s="119">
        <v>0.58142400567098995</v>
      </c>
      <c r="BB36" s="119">
        <v>0.584324316462839</v>
      </c>
      <c r="BC36" s="119">
        <v>0.58633754084552103</v>
      </c>
      <c r="BD36" s="119">
        <v>0.58979508203003195</v>
      </c>
      <c r="BE36" s="119">
        <v>0.59435363956059095</v>
      </c>
      <c r="BF36" s="119">
        <v>0.59767904575770503</v>
      </c>
      <c r="BG36" s="119">
        <v>0.59996845883761196</v>
      </c>
      <c r="BH36" s="119">
        <v>0.60250027008333396</v>
      </c>
      <c r="BI36" s="119">
        <v>0.603451567088093</v>
      </c>
      <c r="BJ36" s="119">
        <v>0.60611930046490803</v>
      </c>
      <c r="BK36" s="119">
        <v>0.60892319336051803</v>
      </c>
      <c r="BL36" s="119">
        <v>0.61174446706352903</v>
      </c>
    </row>
    <row r="37" spans="1:64" x14ac:dyDescent="0.25">
      <c r="A37" s="860" t="s">
        <v>160</v>
      </c>
      <c r="B37" s="1">
        <v>156</v>
      </c>
      <c r="C37" s="119">
        <v>0.5</v>
      </c>
      <c r="D37" s="119">
        <v>0.110157201874097</v>
      </c>
      <c r="E37" s="119">
        <v>0.13371124261742601</v>
      </c>
      <c r="F37" s="119">
        <v>0.16618359724551299</v>
      </c>
      <c r="G37" s="119">
        <v>0.204671436311884</v>
      </c>
      <c r="H37" s="119">
        <v>0.245341487030869</v>
      </c>
      <c r="I37" s="119">
        <v>0.28600826313634797</v>
      </c>
      <c r="J37" s="119">
        <v>0.32027003596704401</v>
      </c>
      <c r="K37" s="119">
        <v>0.34724292030893</v>
      </c>
      <c r="L37" s="119">
        <v>0.36854897667700098</v>
      </c>
      <c r="M37" s="119">
        <v>0.38632258968261401</v>
      </c>
      <c r="N37" s="119">
        <v>0.40168050118535398</v>
      </c>
      <c r="O37" s="119">
        <v>0.41794633052814101</v>
      </c>
      <c r="P37" s="119">
        <v>0.43744000674338601</v>
      </c>
      <c r="Q37" s="119">
        <v>0.45384460196049697</v>
      </c>
      <c r="R37" s="119">
        <v>0.46556313905389002</v>
      </c>
      <c r="S37" s="119">
        <v>0.474137292039706</v>
      </c>
      <c r="T37" s="119">
        <v>0.483145362731976</v>
      </c>
      <c r="U37" s="119">
        <v>0.49678344428639298</v>
      </c>
      <c r="V37" s="119">
        <v>0.51364968324881899</v>
      </c>
      <c r="W37" s="119">
        <v>0.53548237977652202</v>
      </c>
      <c r="X37" s="119">
        <v>0.55677016060395002</v>
      </c>
      <c r="Y37" s="119">
        <v>0.57766128274731798</v>
      </c>
      <c r="Z37" s="119">
        <v>0.59657182076582504</v>
      </c>
      <c r="AA37" s="119">
        <v>0.61163300682769195</v>
      </c>
      <c r="AB37" s="119">
        <v>0.62392128816874803</v>
      </c>
      <c r="AC37" s="119">
        <v>0.63364891081875996</v>
      </c>
      <c r="AD37" s="119">
        <v>0.642962417430335</v>
      </c>
      <c r="AE37" s="119">
        <v>0.65160410854725204</v>
      </c>
      <c r="AF37" s="119">
        <v>0.65906779484596001</v>
      </c>
      <c r="AG37" s="119">
        <v>0.66382968637876805</v>
      </c>
      <c r="AH37" s="119">
        <v>0.66737904226825295</v>
      </c>
      <c r="AI37" s="119">
        <v>0.66769017067894598</v>
      </c>
      <c r="AJ37" s="119">
        <v>0.66384693795525795</v>
      </c>
      <c r="AK37" s="119">
        <v>0.65659924951341497</v>
      </c>
      <c r="AL37" s="119">
        <v>0.65119233766257001</v>
      </c>
      <c r="AM37" s="119">
        <v>0.64837536324398004</v>
      </c>
      <c r="AN37" s="119">
        <v>0.64678361235777904</v>
      </c>
      <c r="AO37" s="119">
        <v>0.64796763061692597</v>
      </c>
      <c r="AP37" s="119">
        <v>0.65126585921723801</v>
      </c>
      <c r="AQ37" s="119">
        <v>0.65427469167804797</v>
      </c>
      <c r="AR37" s="119">
        <v>0.65660145847612805</v>
      </c>
      <c r="AS37" s="119">
        <v>0.65966651276559995</v>
      </c>
      <c r="AT37" s="119">
        <v>0.66186284398351103</v>
      </c>
      <c r="AU37" s="119">
        <v>0.66393457137308598</v>
      </c>
      <c r="AV37" s="119">
        <v>0.66567185734275902</v>
      </c>
      <c r="AW37" s="119">
        <v>0.66552709593114301</v>
      </c>
      <c r="AX37" s="119">
        <v>0.66512547419257695</v>
      </c>
      <c r="AY37" s="119">
        <v>0.66493673741928405</v>
      </c>
      <c r="AZ37" s="119">
        <v>0.66480895698435605</v>
      </c>
      <c r="BA37" s="119">
        <v>0.665332513362629</v>
      </c>
      <c r="BB37" s="119">
        <v>0.66502375633645505</v>
      </c>
      <c r="BC37" s="119">
        <v>0.66526122642905205</v>
      </c>
      <c r="BD37" s="119">
        <v>0.66491553919200397</v>
      </c>
      <c r="BE37" s="119">
        <v>0.66333754095478603</v>
      </c>
      <c r="BF37" s="119">
        <v>0.66172217338856498</v>
      </c>
      <c r="BG37" s="119">
        <v>0.66145331162506404</v>
      </c>
      <c r="BH37" s="119">
        <v>0.66039757105614505</v>
      </c>
      <c r="BI37" s="119">
        <v>0.65969350212927003</v>
      </c>
      <c r="BJ37" s="119">
        <v>0.65791137713424896</v>
      </c>
      <c r="BK37" s="119">
        <v>0.65598584050846498</v>
      </c>
      <c r="BL37" s="119">
        <v>0.65566134326425896</v>
      </c>
    </row>
    <row r="38" spans="1:64" x14ac:dyDescent="0.25">
      <c r="A38" s="860" t="s">
        <v>161</v>
      </c>
      <c r="B38" s="1">
        <v>344</v>
      </c>
      <c r="C38" s="119">
        <v>0.5</v>
      </c>
      <c r="D38" s="119">
        <v>0.26539023749887802</v>
      </c>
      <c r="E38" s="119">
        <v>0.27308330568711597</v>
      </c>
      <c r="F38" s="119">
        <v>0.28094356976215301</v>
      </c>
      <c r="G38" s="119">
        <v>0.29331876700274701</v>
      </c>
      <c r="H38" s="119">
        <v>0.30706632827674102</v>
      </c>
      <c r="I38" s="119">
        <v>0.32025127638444401</v>
      </c>
      <c r="J38" s="119">
        <v>0.33341912264887402</v>
      </c>
      <c r="K38" s="119">
        <v>0.34607109951430698</v>
      </c>
      <c r="L38" s="119">
        <v>0.35452472195238099</v>
      </c>
      <c r="M38" s="119">
        <v>0.36262082949636698</v>
      </c>
      <c r="N38" s="119">
        <v>0.37055333230355503</v>
      </c>
      <c r="O38" s="119">
        <v>0.38031586074701601</v>
      </c>
      <c r="P38" s="119">
        <v>0.39105444953430202</v>
      </c>
      <c r="Q38" s="119">
        <v>0.40433637036676801</v>
      </c>
      <c r="R38" s="119">
        <v>0.41651109230644801</v>
      </c>
      <c r="S38" s="119">
        <v>0.42960261656385801</v>
      </c>
      <c r="T38" s="119">
        <v>0.43922300121031699</v>
      </c>
      <c r="U38" s="119">
        <v>0.44703696613597699</v>
      </c>
      <c r="V38" s="119">
        <v>0.45610665030356901</v>
      </c>
      <c r="W38" s="119">
        <v>0.46596889312966899</v>
      </c>
      <c r="X38" s="119">
        <v>0.47514708012491502</v>
      </c>
      <c r="Y38" s="119">
        <v>0.483491030198761</v>
      </c>
      <c r="Z38" s="119">
        <v>0.49170582565915899</v>
      </c>
      <c r="AA38" s="119">
        <v>0.498087708101422</v>
      </c>
      <c r="AB38" s="119">
        <v>0.50480707958114601</v>
      </c>
      <c r="AC38" s="119">
        <v>0.50971534437607802</v>
      </c>
      <c r="AD38" s="119">
        <v>0.50998657884147802</v>
      </c>
      <c r="AE38" s="119">
        <v>0.50816780791349303</v>
      </c>
      <c r="AF38" s="119">
        <v>0.50667438058234404</v>
      </c>
      <c r="AG38" s="119">
        <v>0.50468709716383597</v>
      </c>
      <c r="AH38" s="119">
        <v>0.50307479324835602</v>
      </c>
      <c r="AI38" s="119">
        <v>0.50033716852893095</v>
      </c>
      <c r="AJ38" s="119">
        <v>0.49691211956203901</v>
      </c>
      <c r="AK38" s="119">
        <v>0.49328820939762502</v>
      </c>
      <c r="AL38" s="119">
        <v>0.49047812981783201</v>
      </c>
      <c r="AM38" s="119">
        <v>0.486286481472751</v>
      </c>
      <c r="AN38" s="119">
        <v>0.480022576802416</v>
      </c>
      <c r="AO38" s="119">
        <v>0.47325447207359</v>
      </c>
      <c r="AP38" s="119">
        <v>0.46708188996918498</v>
      </c>
      <c r="AQ38" s="119">
        <v>0.46139577561072098</v>
      </c>
      <c r="AR38" s="119">
        <v>0.45623561291500803</v>
      </c>
      <c r="AS38" s="119">
        <v>0.45069093329232102</v>
      </c>
      <c r="AT38" s="119">
        <v>0.44322830218272902</v>
      </c>
      <c r="AU38" s="119">
        <v>0.43623202988892901</v>
      </c>
      <c r="AV38" s="119">
        <v>0.42997700111429998</v>
      </c>
      <c r="AW38" s="119">
        <v>0.42485454442597897</v>
      </c>
      <c r="AX38" s="119">
        <v>0.42135725799790802</v>
      </c>
      <c r="AY38" s="119">
        <v>0.41867919801501302</v>
      </c>
      <c r="AZ38" s="119">
        <v>0.41928199099270602</v>
      </c>
      <c r="BA38" s="119">
        <v>0.42316062718345698</v>
      </c>
      <c r="BB38" s="119">
        <v>0.42705437002327801</v>
      </c>
      <c r="BC38" s="119">
        <v>0.42749018931924299</v>
      </c>
      <c r="BD38" s="119">
        <v>0.43079468109486002</v>
      </c>
      <c r="BE38" s="119">
        <v>0.43315810006164801</v>
      </c>
      <c r="BF38" s="119">
        <v>0.43523796304436102</v>
      </c>
      <c r="BG38" s="119">
        <v>0.43859661737979799</v>
      </c>
      <c r="BH38" s="119">
        <v>0.44276165532332401</v>
      </c>
      <c r="BI38" s="119">
        <v>0.44477478652727698</v>
      </c>
      <c r="BJ38" s="119">
        <v>0.44806070446818402</v>
      </c>
      <c r="BK38" s="119">
        <v>0.45108821255234799</v>
      </c>
      <c r="BL38" s="119">
        <v>0.45245386675645599</v>
      </c>
    </row>
    <row r="39" spans="1:64" x14ac:dyDescent="0.25">
      <c r="A39" s="860" t="s">
        <v>662</v>
      </c>
      <c r="B39" s="1">
        <v>158</v>
      </c>
      <c r="C39" s="119">
        <v>0.5</v>
      </c>
      <c r="D39" s="119">
        <v>0.19264735283572601</v>
      </c>
      <c r="E39" s="119">
        <v>0.21342008017662101</v>
      </c>
      <c r="F39" s="119">
        <v>0.23717352618304199</v>
      </c>
      <c r="G39" s="119">
        <v>0.26084992332747298</v>
      </c>
      <c r="H39" s="119">
        <v>0.28065260455049401</v>
      </c>
      <c r="I39" s="119">
        <v>0.298989401167369</v>
      </c>
      <c r="J39" s="119">
        <v>0.314883104777612</v>
      </c>
      <c r="K39" s="119">
        <v>0.33288409530104401</v>
      </c>
      <c r="L39" s="119">
        <v>0.34765118261035699</v>
      </c>
      <c r="M39" s="119">
        <v>0.361322117745426</v>
      </c>
      <c r="N39" s="119">
        <v>0.37241174623339401</v>
      </c>
      <c r="O39" s="119">
        <v>0.38091559753479898</v>
      </c>
      <c r="P39" s="119">
        <v>0.38861978886169801</v>
      </c>
      <c r="Q39" s="119">
        <v>0.39448477928900899</v>
      </c>
      <c r="R39" s="119">
        <v>0.40237081252983398</v>
      </c>
      <c r="S39" s="119">
        <v>0.40797857413428401</v>
      </c>
      <c r="T39" s="119">
        <v>0.41409943961906198</v>
      </c>
      <c r="U39" s="119">
        <v>0.420036112191152</v>
      </c>
      <c r="V39" s="119">
        <v>0.42752530667734201</v>
      </c>
      <c r="W39" s="119">
        <v>0.43178669008350901</v>
      </c>
      <c r="X39" s="119">
        <v>0.43730650942375199</v>
      </c>
      <c r="Y39" s="119">
        <v>0.44278636062049997</v>
      </c>
      <c r="Z39" s="119">
        <v>0.44962864102505701</v>
      </c>
      <c r="AA39" s="119">
        <v>0.45444387373517597</v>
      </c>
      <c r="AB39" s="119">
        <v>0.460498814316321</v>
      </c>
      <c r="AC39" s="119">
        <v>0.46412057739224699</v>
      </c>
      <c r="AD39" s="119">
        <v>0.46884817642064402</v>
      </c>
      <c r="AE39" s="119">
        <v>0.470993261703961</v>
      </c>
      <c r="AF39" s="119">
        <v>0.471818993594738</v>
      </c>
      <c r="AG39" s="119">
        <v>0.46810303637656497</v>
      </c>
      <c r="AH39" s="119">
        <v>0.46310339477085899</v>
      </c>
      <c r="AI39" s="119">
        <v>0.45808712367864102</v>
      </c>
      <c r="AJ39" s="119">
        <v>0.45225851532106298</v>
      </c>
      <c r="AK39" s="119">
        <v>0.44685434255874501</v>
      </c>
      <c r="AL39" s="119">
        <v>0.44212841817219201</v>
      </c>
      <c r="AM39" s="119">
        <v>0.44146364392524601</v>
      </c>
      <c r="AN39" s="119">
        <v>0.44047980805238002</v>
      </c>
      <c r="AO39" s="119">
        <v>0.44213238217300499</v>
      </c>
      <c r="AP39" s="119">
        <v>0.44236176243606001</v>
      </c>
      <c r="AQ39" s="119">
        <v>0.44328118952582801</v>
      </c>
      <c r="AR39" s="119">
        <v>0.44361657843283298</v>
      </c>
      <c r="AS39" s="119">
        <v>0.44439574782066998</v>
      </c>
      <c r="AT39" s="119">
        <v>0.441298501335255</v>
      </c>
      <c r="AU39" s="119">
        <v>0.43795046834313001</v>
      </c>
      <c r="AV39" s="119">
        <v>0.43641218623570399</v>
      </c>
      <c r="AW39" s="119">
        <v>0.43399193063385899</v>
      </c>
      <c r="AX39" s="119">
        <v>0.433731908462752</v>
      </c>
      <c r="AY39" s="119">
        <v>0.43525260080852102</v>
      </c>
      <c r="AZ39" s="119">
        <v>0.43652222553223102</v>
      </c>
      <c r="BA39" s="119">
        <v>0.43806512950972698</v>
      </c>
      <c r="BB39" s="119">
        <v>0.44158272689010197</v>
      </c>
      <c r="BC39" s="119">
        <v>0.44676398798415101</v>
      </c>
      <c r="BD39" s="119">
        <v>0.45182704161853798</v>
      </c>
      <c r="BE39" s="119">
        <v>0.455570774017725</v>
      </c>
      <c r="BF39" s="119">
        <v>0.45968886459889102</v>
      </c>
      <c r="BG39" s="119">
        <v>0.46417078125226102</v>
      </c>
      <c r="BH39" s="119">
        <v>0.46777324242912399</v>
      </c>
      <c r="BI39" s="119">
        <v>0.47043357632876798</v>
      </c>
      <c r="BJ39" s="119">
        <v>0.47321037197578503</v>
      </c>
      <c r="BK39" s="119">
        <v>0.47532180910815103</v>
      </c>
      <c r="BL39" s="119">
        <v>0.478787212054259</v>
      </c>
    </row>
    <row r="40" spans="1:64" x14ac:dyDescent="0.25">
      <c r="A40" s="860" t="s">
        <v>163</v>
      </c>
      <c r="B40" s="1">
        <v>170</v>
      </c>
      <c r="C40" s="119">
        <v>0.5</v>
      </c>
      <c r="D40" s="119">
        <v>6.4537371847606703E-2</v>
      </c>
      <c r="E40" s="119">
        <v>7.5051426470056498E-2</v>
      </c>
      <c r="F40" s="119">
        <v>8.7349311464027996E-2</v>
      </c>
      <c r="G40" s="119">
        <v>0.101080199565349</v>
      </c>
      <c r="H40" s="119">
        <v>0.114942287084523</v>
      </c>
      <c r="I40" s="119">
        <v>0.130928367103159</v>
      </c>
      <c r="J40" s="119">
        <v>0.14684227641934</v>
      </c>
      <c r="K40" s="119">
        <v>0.162446345340648</v>
      </c>
      <c r="L40" s="119">
        <v>0.17856733970873601</v>
      </c>
      <c r="M40" s="119">
        <v>0.19711354431450001</v>
      </c>
      <c r="N40" s="119">
        <v>0.216061701974051</v>
      </c>
      <c r="O40" s="119">
        <v>0.23339533090758399</v>
      </c>
      <c r="P40" s="119">
        <v>0.24902264779142</v>
      </c>
      <c r="Q40" s="119">
        <v>0.26521497083626</v>
      </c>
      <c r="R40" s="119">
        <v>0.28045146021537998</v>
      </c>
      <c r="S40" s="119">
        <v>0.29420418952749899</v>
      </c>
      <c r="T40" s="119">
        <v>0.30753087159102299</v>
      </c>
      <c r="U40" s="119">
        <v>0.315914275712327</v>
      </c>
      <c r="V40" s="119">
        <v>0.32199508037729602</v>
      </c>
      <c r="W40" s="119">
        <v>0.32811866791963501</v>
      </c>
      <c r="X40" s="119">
        <v>0.33452510541552699</v>
      </c>
      <c r="Y40" s="119">
        <v>0.34452059173262101</v>
      </c>
      <c r="Z40" s="119">
        <v>0.35508991895654901</v>
      </c>
      <c r="AA40" s="119">
        <v>0.36715130678697</v>
      </c>
      <c r="AB40" s="119">
        <v>0.37875298130971502</v>
      </c>
      <c r="AC40" s="119">
        <v>0.39079774576415399</v>
      </c>
      <c r="AD40" s="119">
        <v>0.40243443970034398</v>
      </c>
      <c r="AE40" s="119">
        <v>0.41344336122358399</v>
      </c>
      <c r="AF40" s="119">
        <v>0.42534767667214901</v>
      </c>
      <c r="AG40" s="119">
        <v>0.43606696377815501</v>
      </c>
      <c r="AH40" s="119">
        <v>0.44501206502707802</v>
      </c>
      <c r="AI40" s="119">
        <v>0.45514274827119999</v>
      </c>
      <c r="AJ40" s="119">
        <v>0.46278617689678098</v>
      </c>
      <c r="AK40" s="119">
        <v>0.47148719938057798</v>
      </c>
      <c r="AL40" s="119">
        <v>0.478883041341573</v>
      </c>
      <c r="AM40" s="119">
        <v>0.48688461017582202</v>
      </c>
      <c r="AN40" s="119">
        <v>0.49698941240272798</v>
      </c>
      <c r="AO40" s="119">
        <v>0.50754224726814801</v>
      </c>
      <c r="AP40" s="119">
        <v>0.518132228403549</v>
      </c>
      <c r="AQ40" s="119">
        <v>0.52843787391739905</v>
      </c>
      <c r="AR40" s="119">
        <v>0.53824223252188497</v>
      </c>
      <c r="AS40" s="119">
        <v>0.54718458105089196</v>
      </c>
      <c r="AT40" s="119">
        <v>0.55586436768567304</v>
      </c>
      <c r="AU40" s="119">
        <v>0.56547435844240801</v>
      </c>
      <c r="AV40" s="119">
        <v>0.57449045179247804</v>
      </c>
      <c r="AW40" s="119">
        <v>0.58249704961809301</v>
      </c>
      <c r="AX40" s="119">
        <v>0.58706905168679802</v>
      </c>
      <c r="AY40" s="119">
        <v>0.59082657568181696</v>
      </c>
      <c r="AZ40" s="119">
        <v>0.59428565246476694</v>
      </c>
      <c r="BA40" s="119">
        <v>0.59667499461764995</v>
      </c>
      <c r="BB40" s="119">
        <v>0.59983869710661297</v>
      </c>
      <c r="BC40" s="119">
        <v>0.60362798797598105</v>
      </c>
      <c r="BD40" s="119">
        <v>0.60681293597622199</v>
      </c>
      <c r="BE40" s="119">
        <v>0.60991164679019905</v>
      </c>
      <c r="BF40" s="119">
        <v>0.61390024882119898</v>
      </c>
      <c r="BG40" s="119">
        <v>0.61641214168404002</v>
      </c>
      <c r="BH40" s="119">
        <v>0.61974555310422796</v>
      </c>
      <c r="BI40" s="119">
        <v>0.62203545664281001</v>
      </c>
      <c r="BJ40" s="119">
        <v>0.62491608051223002</v>
      </c>
      <c r="BK40" s="119">
        <v>0.62604514985178705</v>
      </c>
      <c r="BL40" s="119">
        <v>0.62934940402679995</v>
      </c>
    </row>
    <row r="41" spans="1:64" x14ac:dyDescent="0.25">
      <c r="A41" s="860" t="s">
        <v>21</v>
      </c>
      <c r="B41" s="1">
        <v>174</v>
      </c>
      <c r="C41" s="119">
        <v>0.5</v>
      </c>
      <c r="D41" s="119">
        <v>1.0636961373273199E-2</v>
      </c>
      <c r="E41" s="119">
        <v>1.15789504947606E-2</v>
      </c>
      <c r="F41" s="119">
        <v>1.27911282381983E-2</v>
      </c>
      <c r="G41" s="119">
        <v>1.41205983994426E-2</v>
      </c>
      <c r="H41" s="119">
        <v>1.54762225559745E-2</v>
      </c>
      <c r="I41" s="119">
        <v>1.6785384424995099E-2</v>
      </c>
      <c r="J41" s="119">
        <v>1.8358809355614798E-2</v>
      </c>
      <c r="K41" s="119">
        <v>2.0191057709706701E-2</v>
      </c>
      <c r="L41" s="119">
        <v>2.2016779691842899E-2</v>
      </c>
      <c r="M41" s="119">
        <v>2.4011275382168299E-2</v>
      </c>
      <c r="N41" s="119">
        <v>2.61585572275649E-2</v>
      </c>
      <c r="O41" s="119">
        <v>2.87132311297E-2</v>
      </c>
      <c r="P41" s="119">
        <v>3.0960112587728902E-2</v>
      </c>
      <c r="Q41" s="119">
        <v>3.3691957210634199E-2</v>
      </c>
      <c r="R41" s="119">
        <v>3.6729233984281101E-2</v>
      </c>
      <c r="S41" s="119">
        <v>3.9849162019812798E-2</v>
      </c>
      <c r="T41" s="119">
        <v>4.3299511240511901E-2</v>
      </c>
      <c r="U41" s="119">
        <v>4.6582196541251099E-2</v>
      </c>
      <c r="V41" s="119">
        <v>5.0449460396382602E-2</v>
      </c>
      <c r="W41" s="119">
        <v>5.42723352525794E-2</v>
      </c>
      <c r="X41" s="119">
        <v>5.8526767432216603E-2</v>
      </c>
      <c r="Y41" s="119">
        <v>6.26567647927148E-2</v>
      </c>
      <c r="Z41" s="119">
        <v>6.74501193028436E-2</v>
      </c>
      <c r="AA41" s="119">
        <v>7.2611106848306101E-2</v>
      </c>
      <c r="AB41" s="119">
        <v>7.7850140388908307E-2</v>
      </c>
      <c r="AC41" s="119">
        <v>8.3128801115670906E-2</v>
      </c>
      <c r="AD41" s="119">
        <v>8.84098180418489E-2</v>
      </c>
      <c r="AE41" s="119">
        <v>9.4865339088063994E-2</v>
      </c>
      <c r="AF41" s="119">
        <v>0.101882268807531</v>
      </c>
      <c r="AG41" s="119">
        <v>0.10848338634591</v>
      </c>
      <c r="AH41" s="119">
        <v>0.113786559188856</v>
      </c>
      <c r="AI41" s="119">
        <v>0.11512445765276801</v>
      </c>
      <c r="AJ41" s="119">
        <v>0.114279405228341</v>
      </c>
      <c r="AK41" s="119">
        <v>0.1139497066298</v>
      </c>
      <c r="AL41" s="119">
        <v>0.113103911732616</v>
      </c>
      <c r="AM41" s="119">
        <v>0.111963077490038</v>
      </c>
      <c r="AN41" s="119">
        <v>0.110623084565693</v>
      </c>
      <c r="AO41" s="119">
        <v>0.109868219207111</v>
      </c>
      <c r="AP41" s="119">
        <v>0.108336200890656</v>
      </c>
      <c r="AQ41" s="119">
        <v>0.106932074010296</v>
      </c>
      <c r="AR41" s="119">
        <v>0.106051027947053</v>
      </c>
      <c r="AS41" s="119">
        <v>0.10606137096397</v>
      </c>
      <c r="AT41" s="119">
        <v>0.106831345141083</v>
      </c>
      <c r="AU41" s="119">
        <v>0.11054904507971799</v>
      </c>
      <c r="AV41" s="119">
        <v>0.115544106775576</v>
      </c>
      <c r="AW41" s="119">
        <v>0.121557046960549</v>
      </c>
      <c r="AX41" s="119">
        <v>0.127250430791325</v>
      </c>
      <c r="AY41" s="119">
        <v>0.13329828055773099</v>
      </c>
      <c r="AZ41" s="119">
        <v>0.139156617342066</v>
      </c>
      <c r="BA41" s="119">
        <v>0.14588758853023601</v>
      </c>
      <c r="BB41" s="119">
        <v>0.15283000176667699</v>
      </c>
      <c r="BC41" s="119">
        <v>0.15984838862454201</v>
      </c>
      <c r="BD41" s="119">
        <v>0.16635347310242299</v>
      </c>
      <c r="BE41" s="119">
        <v>0.17323992661971499</v>
      </c>
      <c r="BF41" s="119">
        <v>0.17969615558100399</v>
      </c>
      <c r="BG41" s="119">
        <v>0.18666187688984101</v>
      </c>
      <c r="BH41" s="119">
        <v>0.19204238285938599</v>
      </c>
      <c r="BI41" s="119">
        <v>0.198991154482482</v>
      </c>
      <c r="BJ41" s="119">
        <v>0.20495279895940199</v>
      </c>
      <c r="BK41" s="119">
        <v>0.211684393175262</v>
      </c>
      <c r="BL41" s="119">
        <v>0.21653500415663199</v>
      </c>
    </row>
    <row r="42" spans="1:64" x14ac:dyDescent="0.25">
      <c r="A42" s="860" t="s">
        <v>22</v>
      </c>
      <c r="B42" s="1">
        <v>178</v>
      </c>
      <c r="C42" s="119">
        <v>0.5</v>
      </c>
      <c r="D42" s="119">
        <v>9.7135275690683302E-3</v>
      </c>
      <c r="E42" s="119">
        <v>1.03048631937133E-2</v>
      </c>
      <c r="F42" s="119">
        <v>1.1185232393461799E-2</v>
      </c>
      <c r="G42" s="119">
        <v>1.20623364032837E-2</v>
      </c>
      <c r="H42" s="119">
        <v>1.2780773081487101E-2</v>
      </c>
      <c r="I42" s="119">
        <v>1.40323809956575E-2</v>
      </c>
      <c r="J42" s="119">
        <v>1.50780440977422E-2</v>
      </c>
      <c r="K42" s="119">
        <v>1.6870993955014599E-2</v>
      </c>
      <c r="L42" s="119">
        <v>1.7941375449883602E-2</v>
      </c>
      <c r="M42" s="119">
        <v>1.9453393799140999E-2</v>
      </c>
      <c r="N42" s="119">
        <v>2.1138686571187702E-2</v>
      </c>
      <c r="O42" s="119">
        <v>2.27224449999716E-2</v>
      </c>
      <c r="P42" s="119">
        <v>2.4641123367803001E-2</v>
      </c>
      <c r="Q42" s="119">
        <v>2.65501914299494E-2</v>
      </c>
      <c r="R42" s="119">
        <v>2.8527376257041801E-2</v>
      </c>
      <c r="S42" s="119">
        <v>3.0705189448737302E-2</v>
      </c>
      <c r="T42" s="119">
        <v>3.31095794684459E-2</v>
      </c>
      <c r="U42" s="119">
        <v>3.5546557407596699E-2</v>
      </c>
      <c r="V42" s="119">
        <v>3.8342263271087203E-2</v>
      </c>
      <c r="W42" s="119">
        <v>4.1257226645709098E-2</v>
      </c>
      <c r="X42" s="119">
        <v>4.4502971099064398E-2</v>
      </c>
      <c r="Y42" s="119">
        <v>4.7916274937568497E-2</v>
      </c>
      <c r="Z42" s="119">
        <v>5.1921289566055198E-2</v>
      </c>
      <c r="AA42" s="119">
        <v>5.5965830891507903E-2</v>
      </c>
      <c r="AB42" s="119">
        <v>6.0751388402802302E-2</v>
      </c>
      <c r="AC42" s="119">
        <v>6.5406263144438204E-2</v>
      </c>
      <c r="AD42" s="119">
        <v>7.1126465576119305E-2</v>
      </c>
      <c r="AE42" s="119">
        <v>7.7020871649134001E-2</v>
      </c>
      <c r="AF42" s="119">
        <v>8.3538762820878701E-2</v>
      </c>
      <c r="AG42" s="119">
        <v>9.0247300441579595E-2</v>
      </c>
      <c r="AH42" s="119">
        <v>9.8290728266423905E-2</v>
      </c>
      <c r="AI42" s="119">
        <v>0.105710170130092</v>
      </c>
      <c r="AJ42" s="119">
        <v>0.112998540701996</v>
      </c>
      <c r="AK42" s="119">
        <v>0.121543270555637</v>
      </c>
      <c r="AL42" s="119">
        <v>0.13051314006528</v>
      </c>
      <c r="AM42" s="119">
        <v>0.139122989863183</v>
      </c>
      <c r="AN42" s="119">
        <v>0.153072845043946</v>
      </c>
      <c r="AO42" s="119">
        <v>0.16639034881520501</v>
      </c>
      <c r="AP42" s="119">
        <v>0.17983985926950999</v>
      </c>
      <c r="AQ42" s="119">
        <v>0.19258708376025399</v>
      </c>
      <c r="AR42" s="119">
        <v>0.205794034823052</v>
      </c>
      <c r="AS42" s="119">
        <v>0.216723326967876</v>
      </c>
      <c r="AT42" s="119">
        <v>0.22155974288588101</v>
      </c>
      <c r="AU42" s="119">
        <v>0.22644692585333101</v>
      </c>
      <c r="AV42" s="119">
        <v>0.230312698876108</v>
      </c>
      <c r="AW42" s="119">
        <v>0.237225239661568</v>
      </c>
      <c r="AX42" s="119">
        <v>0.24707109112859299</v>
      </c>
      <c r="AY42" s="119">
        <v>0.25626853705281599</v>
      </c>
      <c r="AZ42" s="119">
        <v>0.26515050901040599</v>
      </c>
      <c r="BA42" s="119">
        <v>0.27407415122178402</v>
      </c>
      <c r="BB42" s="119">
        <v>0.28336371800409699</v>
      </c>
      <c r="BC42" s="119">
        <v>0.29186410992141398</v>
      </c>
      <c r="BD42" s="119">
        <v>0.300568408169747</v>
      </c>
      <c r="BE42" s="119">
        <v>0.30971965442836302</v>
      </c>
      <c r="BF42" s="119">
        <v>0.31761997177507301</v>
      </c>
      <c r="BG42" s="119">
        <v>0.325059202850011</v>
      </c>
      <c r="BH42" s="119">
        <v>0.33269615431938598</v>
      </c>
      <c r="BI42" s="119">
        <v>0.33961017980205499</v>
      </c>
      <c r="BJ42" s="119">
        <v>0.34693738487704301</v>
      </c>
      <c r="BK42" s="119">
        <v>0.35390605128719399</v>
      </c>
      <c r="BL42" s="119">
        <v>0.36067917053848703</v>
      </c>
    </row>
    <row r="43" spans="1:64" x14ac:dyDescent="0.25">
      <c r="A43" s="860" t="s">
        <v>164</v>
      </c>
      <c r="B43" s="1">
        <v>184</v>
      </c>
      <c r="C43" s="119">
        <v>0.5</v>
      </c>
      <c r="D43" s="119">
        <v>0.31250526397941403</v>
      </c>
      <c r="E43" s="119">
        <v>0.31651939850949501</v>
      </c>
      <c r="F43" s="119">
        <v>0.31705153607706898</v>
      </c>
      <c r="G43" s="119">
        <v>0.31890028869003501</v>
      </c>
      <c r="H43" s="119">
        <v>0.31840091598560999</v>
      </c>
      <c r="I43" s="119">
        <v>0.31753842533430499</v>
      </c>
      <c r="J43" s="119">
        <v>0.31972767167584398</v>
      </c>
      <c r="K43" s="119">
        <v>0.32157657892434399</v>
      </c>
      <c r="L43" s="119">
        <v>0.32210611582309301</v>
      </c>
      <c r="M43" s="119">
        <v>0.32341071392701298</v>
      </c>
      <c r="N43" s="119">
        <v>0.32399478242123098</v>
      </c>
      <c r="O43" s="119">
        <v>0.32402423247512202</v>
      </c>
      <c r="P43" s="119">
        <v>0.324498943159858</v>
      </c>
      <c r="Q43" s="119">
        <v>0.32591060622646401</v>
      </c>
      <c r="R43" s="119">
        <v>0.32831319508998802</v>
      </c>
      <c r="S43" s="119">
        <v>0.32920415133665798</v>
      </c>
      <c r="T43" s="119">
        <v>0.32952924268739803</v>
      </c>
      <c r="U43" s="119">
        <v>0.33090368364224698</v>
      </c>
      <c r="V43" s="119">
        <v>0.33212513180842501</v>
      </c>
      <c r="W43" s="119">
        <v>0.33468777983936798</v>
      </c>
      <c r="X43" s="119">
        <v>0.33875435074622401</v>
      </c>
      <c r="Y43" s="119">
        <v>0.34567474579408403</v>
      </c>
      <c r="Z43" s="119">
        <v>0.35259358813812602</v>
      </c>
      <c r="AA43" s="119">
        <v>0.362761425949017</v>
      </c>
      <c r="AB43" s="119">
        <v>0.37119880320823201</v>
      </c>
      <c r="AC43" s="119">
        <v>0.379534370432969</v>
      </c>
      <c r="AD43" s="119">
        <v>0.38391217438957798</v>
      </c>
      <c r="AE43" s="119">
        <v>0.39015999054271999</v>
      </c>
      <c r="AF43" s="119">
        <v>0.39279977560852503</v>
      </c>
      <c r="AG43" s="119">
        <v>0.39612039237218699</v>
      </c>
      <c r="AH43" s="119">
        <v>0.39683818577126201</v>
      </c>
      <c r="AI43" s="119">
        <v>0.398297120499572</v>
      </c>
      <c r="AJ43" s="119">
        <v>0.400256806992416</v>
      </c>
      <c r="AK43" s="119">
        <v>0.40015409454096601</v>
      </c>
      <c r="AL43" s="119">
        <v>0.401081513049864</v>
      </c>
      <c r="AM43" s="119">
        <v>0.40345512259439398</v>
      </c>
      <c r="AN43" s="119">
        <v>0.40617233567941302</v>
      </c>
      <c r="AO43" s="119">
        <v>0.40882907040205002</v>
      </c>
      <c r="AP43" s="119">
        <v>0.410866771061694</v>
      </c>
      <c r="AQ43" s="119">
        <v>0.41387557899354699</v>
      </c>
      <c r="AR43" s="119">
        <v>0.41586404200740601</v>
      </c>
      <c r="AS43" s="119">
        <v>0.41728967359442898</v>
      </c>
      <c r="AT43" s="119">
        <v>0.419657198054394</v>
      </c>
      <c r="AU43" s="119">
        <v>0.422402075965082</v>
      </c>
      <c r="AV43" s="119">
        <v>0.42351884141318302</v>
      </c>
      <c r="AW43" s="119">
        <v>0.42482913144161699</v>
      </c>
      <c r="AX43" s="119">
        <v>0.42760085285594901</v>
      </c>
      <c r="AY43" s="119">
        <v>0.42713181352525997</v>
      </c>
      <c r="AZ43" s="119">
        <v>0.42881226571547099</v>
      </c>
      <c r="BA43" s="119">
        <v>0.43053037751880402</v>
      </c>
      <c r="BB43" s="119">
        <v>0.43093940808949399</v>
      </c>
      <c r="BC43" s="119">
        <v>0.432238143344641</v>
      </c>
      <c r="BD43" s="119">
        <v>0.43490892654583002</v>
      </c>
      <c r="BE43" s="119">
        <v>0.43858821263347803</v>
      </c>
      <c r="BF43" s="119">
        <v>0.44037754664080597</v>
      </c>
      <c r="BG43" s="119">
        <v>0.44121960879496702</v>
      </c>
      <c r="BH43" s="119">
        <v>0.44344617182589002</v>
      </c>
      <c r="BI43" s="119">
        <v>0.44586983588970702</v>
      </c>
      <c r="BJ43" s="119">
        <v>0.44838420853308197</v>
      </c>
      <c r="BK43" s="119">
        <v>0.45154453428014002</v>
      </c>
      <c r="BL43" s="119">
        <v>0.44975539204387099</v>
      </c>
    </row>
    <row r="44" spans="1:64" x14ac:dyDescent="0.25">
      <c r="A44" s="860" t="s">
        <v>165</v>
      </c>
      <c r="B44" s="1">
        <v>188</v>
      </c>
      <c r="C44" s="119">
        <v>0.5</v>
      </c>
      <c r="D44" s="119">
        <v>0.29959491132893301</v>
      </c>
      <c r="E44" s="119">
        <v>0.30514983596412298</v>
      </c>
      <c r="F44" s="119">
        <v>0.30819311635407298</v>
      </c>
      <c r="G44" s="119">
        <v>0.31307438612843702</v>
      </c>
      <c r="H44" s="119">
        <v>0.31586245407464802</v>
      </c>
      <c r="I44" s="119">
        <v>0.31886783359193899</v>
      </c>
      <c r="J44" s="119">
        <v>0.32023309704957598</v>
      </c>
      <c r="K44" s="119">
        <v>0.32292112611509699</v>
      </c>
      <c r="L44" s="119">
        <v>0.32591290507848097</v>
      </c>
      <c r="M44" s="119">
        <v>0.33025948048484299</v>
      </c>
      <c r="N44" s="119">
        <v>0.33643827686231698</v>
      </c>
      <c r="O44" s="119">
        <v>0.34231280735519198</v>
      </c>
      <c r="P44" s="119">
        <v>0.34848741337705302</v>
      </c>
      <c r="Q44" s="119">
        <v>0.354633064933914</v>
      </c>
      <c r="R44" s="119">
        <v>0.36076612853382201</v>
      </c>
      <c r="S44" s="119">
        <v>0.36604968970378798</v>
      </c>
      <c r="T44" s="119">
        <v>0.37418641092781302</v>
      </c>
      <c r="U44" s="119">
        <v>0.38237179182201098</v>
      </c>
      <c r="V44" s="119">
        <v>0.38994213647155801</v>
      </c>
      <c r="W44" s="119">
        <v>0.39896322287255598</v>
      </c>
      <c r="X44" s="119">
        <v>0.40677168930707802</v>
      </c>
      <c r="Y44" s="119">
        <v>0.415950226236311</v>
      </c>
      <c r="Z44" s="119">
        <v>0.42441015538855098</v>
      </c>
      <c r="AA44" s="119">
        <v>0.432162148102885</v>
      </c>
      <c r="AB44" s="119">
        <v>0.439287388244543</v>
      </c>
      <c r="AC44" s="119">
        <v>0.44807242394083102</v>
      </c>
      <c r="AD44" s="119">
        <v>0.454614898810007</v>
      </c>
      <c r="AE44" s="119">
        <v>0.46136451947896601</v>
      </c>
      <c r="AF44" s="119">
        <v>0.46656055712954603</v>
      </c>
      <c r="AG44" s="119">
        <v>0.473451554576103</v>
      </c>
      <c r="AH44" s="119">
        <v>0.48016065015953002</v>
      </c>
      <c r="AI44" s="119">
        <v>0.48700882002312601</v>
      </c>
      <c r="AJ44" s="119">
        <v>0.49232982563682498</v>
      </c>
      <c r="AK44" s="119">
        <v>0.49880353941151301</v>
      </c>
      <c r="AL44" s="119">
        <v>0.50509460652600202</v>
      </c>
      <c r="AM44" s="119">
        <v>0.51223164553963596</v>
      </c>
      <c r="AN44" s="119">
        <v>0.51813691339915402</v>
      </c>
      <c r="AO44" s="119">
        <v>0.52438599403389097</v>
      </c>
      <c r="AP44" s="119">
        <v>0.52938333886657396</v>
      </c>
      <c r="AQ44" s="119">
        <v>0.53485144707892596</v>
      </c>
      <c r="AR44" s="119">
        <v>0.539546073569656</v>
      </c>
      <c r="AS44" s="119">
        <v>0.54189337515758795</v>
      </c>
      <c r="AT44" s="119">
        <v>0.54079586482397402</v>
      </c>
      <c r="AU44" s="119">
        <v>0.54139395428701298</v>
      </c>
      <c r="AV44" s="119">
        <v>0.54129553909581996</v>
      </c>
      <c r="AW44" s="119">
        <v>0.54084725956817803</v>
      </c>
      <c r="AX44" s="119">
        <v>0.540085047264386</v>
      </c>
      <c r="AY44" s="119">
        <v>0.53882733540056804</v>
      </c>
      <c r="AZ44" s="119">
        <v>0.53862986981539196</v>
      </c>
      <c r="BA44" s="119">
        <v>0.53963462445939203</v>
      </c>
      <c r="BB44" s="119">
        <v>0.54206869000795899</v>
      </c>
      <c r="BC44" s="119">
        <v>0.54331380244057803</v>
      </c>
      <c r="BD44" s="119">
        <v>0.546155272444935</v>
      </c>
      <c r="BE44" s="119">
        <v>0.54730696286208202</v>
      </c>
      <c r="BF44" s="119">
        <v>0.55090791884315804</v>
      </c>
      <c r="BG44" s="119">
        <v>0.55253111094076102</v>
      </c>
      <c r="BH44" s="119">
        <v>0.55448753193931299</v>
      </c>
      <c r="BI44" s="119">
        <v>0.55706808603157698</v>
      </c>
      <c r="BJ44" s="119">
        <v>0.55894070601179402</v>
      </c>
      <c r="BK44" s="119">
        <v>0.56057948066849295</v>
      </c>
      <c r="BL44" s="119">
        <v>0.56243554288474096</v>
      </c>
    </row>
    <row r="45" spans="1:64" x14ac:dyDescent="0.25">
      <c r="A45" s="860" t="s">
        <v>2014</v>
      </c>
      <c r="B45" s="1">
        <v>384</v>
      </c>
      <c r="C45" s="119">
        <v>0.5</v>
      </c>
      <c r="D45" s="119">
        <v>4.0352199563044597E-3</v>
      </c>
      <c r="E45" s="119">
        <v>4.5061047162334696E-3</v>
      </c>
      <c r="F45" s="119">
        <v>5.03879069674904E-3</v>
      </c>
      <c r="G45" s="119">
        <v>5.5387939686409003E-3</v>
      </c>
      <c r="H45" s="119">
        <v>6.06825358210348E-3</v>
      </c>
      <c r="I45" s="119">
        <v>6.7616315533628102E-3</v>
      </c>
      <c r="J45" s="119">
        <v>7.4493584358392801E-3</v>
      </c>
      <c r="K45" s="119">
        <v>8.3062990674701003E-3</v>
      </c>
      <c r="L45" s="119">
        <v>9.1001635068179501E-3</v>
      </c>
      <c r="M45" s="119">
        <v>1.0207484480583199E-2</v>
      </c>
      <c r="N45" s="119">
        <v>1.14441241973012E-2</v>
      </c>
      <c r="O45" s="119">
        <v>1.29516850579746E-2</v>
      </c>
      <c r="P45" s="119">
        <v>1.47357642934807E-2</v>
      </c>
      <c r="Q45" s="119">
        <v>1.6769182577779401E-2</v>
      </c>
      <c r="R45" s="119">
        <v>1.8970733232485101E-2</v>
      </c>
      <c r="S45" s="119">
        <v>2.1467408639224399E-2</v>
      </c>
      <c r="T45" s="119">
        <v>2.3878298350054901E-2</v>
      </c>
      <c r="U45" s="119">
        <v>2.7053959428463802E-2</v>
      </c>
      <c r="V45" s="119">
        <v>3.0202402794281099E-2</v>
      </c>
      <c r="W45" s="119">
        <v>3.37078208516721E-2</v>
      </c>
      <c r="X45" s="119">
        <v>3.7638852660553598E-2</v>
      </c>
      <c r="Y45" s="119">
        <v>4.2032245214474503E-2</v>
      </c>
      <c r="Z45" s="119">
        <v>4.7102002491935503E-2</v>
      </c>
      <c r="AA45" s="119">
        <v>5.2297855752768997E-2</v>
      </c>
      <c r="AB45" s="119">
        <v>5.8060184615390399E-2</v>
      </c>
      <c r="AC45" s="119">
        <v>6.5989649516069906E-2</v>
      </c>
      <c r="AD45" s="119">
        <v>7.4558481552391004E-2</v>
      </c>
      <c r="AE45" s="119">
        <v>8.3816526146937298E-2</v>
      </c>
      <c r="AF45" s="119">
        <v>9.2738281266203496E-2</v>
      </c>
      <c r="AG45" s="119">
        <v>9.8976121604274603E-2</v>
      </c>
      <c r="AH45" s="119">
        <v>0.105193773320632</v>
      </c>
      <c r="AI45" s="119">
        <v>0.11073406860441801</v>
      </c>
      <c r="AJ45" s="119">
        <v>0.115976354756748</v>
      </c>
      <c r="AK45" s="119">
        <v>0.121192275852586</v>
      </c>
      <c r="AL45" s="119">
        <v>0.12611531874436599</v>
      </c>
      <c r="AM45" s="119">
        <v>0.13173087745534601</v>
      </c>
      <c r="AN45" s="119">
        <v>0.13628367468567901</v>
      </c>
      <c r="AO45" s="119">
        <v>0.13867946087751101</v>
      </c>
      <c r="AP45" s="119">
        <v>0.141168387751131</v>
      </c>
      <c r="AQ45" s="119">
        <v>0.14315654033810701</v>
      </c>
      <c r="AR45" s="119">
        <v>0.145252499544681</v>
      </c>
      <c r="AS45" s="119">
        <v>0.147557724974475</v>
      </c>
      <c r="AT45" s="119">
        <v>0.151638141212147</v>
      </c>
      <c r="AU45" s="119">
        <v>0.15904689804281499</v>
      </c>
      <c r="AV45" s="119">
        <v>0.167382180172612</v>
      </c>
      <c r="AW45" s="119">
        <v>0.176958098594759</v>
      </c>
      <c r="AX45" s="119">
        <v>0.18762611449956601</v>
      </c>
      <c r="AY45" s="119">
        <v>0.199711754812706</v>
      </c>
      <c r="AZ45" s="119">
        <v>0.20755238003649401</v>
      </c>
      <c r="BA45" s="119">
        <v>0.215055587873618</v>
      </c>
      <c r="BB45" s="119">
        <v>0.22134009116758999</v>
      </c>
      <c r="BC45" s="119">
        <v>0.22957209598006301</v>
      </c>
      <c r="BD45" s="119">
        <v>0.23617537321443</v>
      </c>
      <c r="BE45" s="119">
        <v>0.243301502625177</v>
      </c>
      <c r="BF45" s="119">
        <v>0.25037271304987802</v>
      </c>
      <c r="BG45" s="119">
        <v>0.257300783145468</v>
      </c>
      <c r="BH45" s="119">
        <v>0.26568666764628102</v>
      </c>
      <c r="BI45" s="119">
        <v>0.27160792395423</v>
      </c>
      <c r="BJ45" s="119">
        <v>0.27740875130149301</v>
      </c>
      <c r="BK45" s="119">
        <v>0.28466027420192602</v>
      </c>
      <c r="BL45" s="119">
        <v>0.291513043329445</v>
      </c>
    </row>
    <row r="46" spans="1:64" x14ac:dyDescent="0.25">
      <c r="A46" s="860" t="s">
        <v>166</v>
      </c>
      <c r="B46" s="1">
        <v>191</v>
      </c>
      <c r="C46" s="119">
        <v>0.5</v>
      </c>
      <c r="D46" s="119">
        <v>5.5543564725756799E-2</v>
      </c>
      <c r="E46" s="119">
        <v>5.91993522683976E-2</v>
      </c>
      <c r="F46" s="119">
        <v>6.2644398659950598E-2</v>
      </c>
      <c r="G46" s="119">
        <v>6.6203235135989705E-2</v>
      </c>
      <c r="H46" s="119">
        <v>7.0811584367305294E-2</v>
      </c>
      <c r="I46" s="119">
        <v>7.6246697659345705E-2</v>
      </c>
      <c r="J46" s="119">
        <v>8.0665556813778599E-2</v>
      </c>
      <c r="K46" s="119">
        <v>8.4906402560335201E-2</v>
      </c>
      <c r="L46" s="119">
        <v>9.0372805580488699E-2</v>
      </c>
      <c r="M46" s="119">
        <v>9.6094259026395498E-2</v>
      </c>
      <c r="N46" s="119">
        <v>0.101576712849391</v>
      </c>
      <c r="O46" s="119">
        <v>0.10739735271855699</v>
      </c>
      <c r="P46" s="119">
        <v>0.113578718616677</v>
      </c>
      <c r="Q46" s="119">
        <v>0.119834767458033</v>
      </c>
      <c r="R46" s="119">
        <v>0.12635258660991999</v>
      </c>
      <c r="S46" s="119">
        <v>0.13374496198531299</v>
      </c>
      <c r="T46" s="119">
        <v>0.13982478130383399</v>
      </c>
      <c r="U46" s="119">
        <v>0.148730483349825</v>
      </c>
      <c r="V46" s="119">
        <v>0.15393067160020499</v>
      </c>
      <c r="W46" s="119">
        <v>0.159461300256485</v>
      </c>
      <c r="X46" s="119">
        <v>0.16584312022859701</v>
      </c>
      <c r="Y46" s="119">
        <v>0.17374105593790301</v>
      </c>
      <c r="Z46" s="119">
        <v>0.18082182685686399</v>
      </c>
      <c r="AA46" s="119">
        <v>0.18524036053851001</v>
      </c>
      <c r="AB46" s="119">
        <v>0.19567940205857701</v>
      </c>
      <c r="AC46" s="119">
        <v>0.20016046993855</v>
      </c>
      <c r="AD46" s="119">
        <v>0.206623711116797</v>
      </c>
      <c r="AE46" s="119">
        <v>0.214667231681994</v>
      </c>
      <c r="AF46" s="119">
        <v>0.220417700353606</v>
      </c>
      <c r="AG46" s="119">
        <v>0.22759573573703101</v>
      </c>
      <c r="AH46" s="119">
        <v>0.23428978004560799</v>
      </c>
      <c r="AI46" s="119">
        <v>0.24220450452480899</v>
      </c>
      <c r="AJ46" s="119">
        <v>0.24937738672541601</v>
      </c>
      <c r="AK46" s="119">
        <v>0.25545739046731802</v>
      </c>
      <c r="AL46" s="119">
        <v>0.25892252212362799</v>
      </c>
      <c r="AM46" s="119">
        <v>0.26568856805629598</v>
      </c>
      <c r="AN46" s="119">
        <v>0.27163667367293298</v>
      </c>
      <c r="AO46" s="119">
        <v>0.28012969924018399</v>
      </c>
      <c r="AP46" s="119">
        <v>0.28385092865453099</v>
      </c>
      <c r="AQ46" s="119">
        <v>0.28931886106462601</v>
      </c>
      <c r="AR46" s="119">
        <v>0.29464290907202201</v>
      </c>
      <c r="AS46" s="119">
        <v>0.30109524138102001</v>
      </c>
      <c r="AT46" s="119">
        <v>0.30682186397720002</v>
      </c>
      <c r="AU46" s="119">
        <v>0.30958727743048198</v>
      </c>
      <c r="AV46" s="119">
        <v>0.31295372487138201</v>
      </c>
      <c r="AW46" s="119">
        <v>0.318078398800343</v>
      </c>
      <c r="AX46" s="119">
        <v>0.325016800052076</v>
      </c>
      <c r="AY46" s="119">
        <v>0.33010340611646299</v>
      </c>
      <c r="AZ46" s="119">
        <v>0.33547034711551399</v>
      </c>
      <c r="BA46" s="119">
        <v>0.338181846563747</v>
      </c>
      <c r="BB46" s="119">
        <v>0.34556417626018399</v>
      </c>
      <c r="BC46" s="119">
        <v>0.35123076446698398</v>
      </c>
      <c r="BD46" s="119">
        <v>0.35686216548058503</v>
      </c>
      <c r="BE46" s="119">
        <v>0.36031811356397597</v>
      </c>
      <c r="BF46" s="119">
        <v>0.36596523368253298</v>
      </c>
      <c r="BG46" s="119">
        <v>0.36913898314830601</v>
      </c>
      <c r="BH46" s="119">
        <v>0.371967166773359</v>
      </c>
      <c r="BI46" s="119">
        <v>0.37617009035189702</v>
      </c>
      <c r="BJ46" s="119">
        <v>0.37839660291316801</v>
      </c>
      <c r="BK46" s="119">
        <v>0.38347589359503398</v>
      </c>
      <c r="BL46" s="119">
        <v>0.38851704337103998</v>
      </c>
    </row>
    <row r="47" spans="1:64" x14ac:dyDescent="0.25">
      <c r="A47" s="860" t="s">
        <v>167</v>
      </c>
      <c r="B47" s="1">
        <v>192</v>
      </c>
      <c r="C47" s="119">
        <v>0.5</v>
      </c>
      <c r="D47" s="119">
        <v>0.45340286372615501</v>
      </c>
      <c r="E47" s="119">
        <v>0.45710375972528</v>
      </c>
      <c r="F47" s="119">
        <v>0.46212395350749902</v>
      </c>
      <c r="G47" s="119">
        <v>0.46673639979084403</v>
      </c>
      <c r="H47" s="119">
        <v>0.47085919824587902</v>
      </c>
      <c r="I47" s="119">
        <v>0.47202911103195</v>
      </c>
      <c r="J47" s="119">
        <v>0.47440713280618402</v>
      </c>
      <c r="K47" s="119">
        <v>0.47323649107209398</v>
      </c>
      <c r="L47" s="119">
        <v>0.473838025259187</v>
      </c>
      <c r="M47" s="119">
        <v>0.47286494302766302</v>
      </c>
      <c r="N47" s="119">
        <v>0.47502913932715002</v>
      </c>
      <c r="O47" s="119">
        <v>0.476017816226043</v>
      </c>
      <c r="P47" s="119">
        <v>0.48076236551940599</v>
      </c>
      <c r="Q47" s="119">
        <v>0.48388337416892102</v>
      </c>
      <c r="R47" s="119">
        <v>0.487255556494395</v>
      </c>
      <c r="S47" s="119">
        <v>0.49233324612698898</v>
      </c>
      <c r="T47" s="119">
        <v>0.49758055934569401</v>
      </c>
      <c r="U47" s="119">
        <v>0.50347022997495094</v>
      </c>
      <c r="V47" s="119">
        <v>0.50795348819904795</v>
      </c>
      <c r="W47" s="119">
        <v>0.51220553038512195</v>
      </c>
      <c r="X47" s="119">
        <v>0.51880133603031497</v>
      </c>
      <c r="Y47" s="119">
        <v>0.52663654452450703</v>
      </c>
      <c r="Z47" s="119">
        <v>0.53605383101874104</v>
      </c>
      <c r="AA47" s="119">
        <v>0.54436942509195196</v>
      </c>
      <c r="AB47" s="119">
        <v>0.55383056311807599</v>
      </c>
      <c r="AC47" s="119">
        <v>0.56342776728183996</v>
      </c>
      <c r="AD47" s="119">
        <v>0.57145652124066604</v>
      </c>
      <c r="AE47" s="119">
        <v>0.57982575295389605</v>
      </c>
      <c r="AF47" s="119">
        <v>0.58675095105311703</v>
      </c>
      <c r="AG47" s="119">
        <v>0.59568360283648003</v>
      </c>
      <c r="AH47" s="119">
        <v>0.60307152278437304</v>
      </c>
      <c r="AI47" s="119">
        <v>0.60988038771925901</v>
      </c>
      <c r="AJ47" s="119">
        <v>0.616480982426999</v>
      </c>
      <c r="AK47" s="119">
        <v>0.62279069274286303</v>
      </c>
      <c r="AL47" s="119">
        <v>0.62874667882213198</v>
      </c>
      <c r="AM47" s="119">
        <v>0.63472099304162599</v>
      </c>
      <c r="AN47" s="119">
        <v>0.64070353922346102</v>
      </c>
      <c r="AO47" s="119">
        <v>0.64790522400486095</v>
      </c>
      <c r="AP47" s="119">
        <v>0.65464096780520797</v>
      </c>
      <c r="AQ47" s="119">
        <v>0.66178051830322504</v>
      </c>
      <c r="AR47" s="119">
        <v>0.66867526811052203</v>
      </c>
      <c r="AS47" s="119">
        <v>0.67398166564491402</v>
      </c>
      <c r="AT47" s="119">
        <v>0.67700817542860903</v>
      </c>
      <c r="AU47" s="119">
        <v>0.67868639058144498</v>
      </c>
      <c r="AV47" s="119">
        <v>0.68065328245716095</v>
      </c>
      <c r="AW47" s="119">
        <v>0.68032925934720101</v>
      </c>
      <c r="AX47" s="119">
        <v>0.678483028637623</v>
      </c>
      <c r="AY47" s="119">
        <v>0.676830825060179</v>
      </c>
      <c r="AZ47" s="119">
        <v>0.67531819930246295</v>
      </c>
      <c r="BA47" s="119">
        <v>0.67335615993229003</v>
      </c>
      <c r="BB47" s="119">
        <v>0.67305368966019696</v>
      </c>
      <c r="BC47" s="119">
        <v>0.67262106294117596</v>
      </c>
      <c r="BD47" s="119">
        <v>0.67283756176538301</v>
      </c>
      <c r="BE47" s="119">
        <v>0.67490361552023104</v>
      </c>
      <c r="BF47" s="119">
        <v>0.67512005728108304</v>
      </c>
      <c r="BG47" s="119">
        <v>0.67574371799837196</v>
      </c>
      <c r="BH47" s="119">
        <v>0.67675362512542803</v>
      </c>
      <c r="BI47" s="119">
        <v>0.67700349612593802</v>
      </c>
      <c r="BJ47" s="119">
        <v>0.67807076577555103</v>
      </c>
      <c r="BK47" s="119">
        <v>0.67998050899128804</v>
      </c>
      <c r="BL47" s="119">
        <v>0.68004841117303405</v>
      </c>
    </row>
    <row r="48" spans="1:64" x14ac:dyDescent="0.25">
      <c r="A48" s="860" t="s">
        <v>664</v>
      </c>
      <c r="B48" s="1">
        <v>203</v>
      </c>
      <c r="C48" s="119">
        <v>0.5</v>
      </c>
      <c r="D48" s="119">
        <v>0.22149073862326599</v>
      </c>
      <c r="E48" s="119">
        <v>0.23036228443818699</v>
      </c>
      <c r="F48" s="119">
        <v>0.24010759294046199</v>
      </c>
      <c r="G48" s="119">
        <v>0.24827450341540599</v>
      </c>
      <c r="H48" s="119">
        <v>0.25862089073212802</v>
      </c>
      <c r="I48" s="119">
        <v>0.26887667672003801</v>
      </c>
      <c r="J48" s="119">
        <v>0.27473201870876202</v>
      </c>
      <c r="K48" s="119">
        <v>0.284715150424529</v>
      </c>
      <c r="L48" s="119">
        <v>0.29457207561062898</v>
      </c>
      <c r="M48" s="119">
        <v>0.30805527647416198</v>
      </c>
      <c r="N48" s="119">
        <v>0.31918158361468701</v>
      </c>
      <c r="O48" s="119">
        <v>0.32754476629461698</v>
      </c>
      <c r="P48" s="119">
        <v>0.33431173922507401</v>
      </c>
      <c r="Q48" s="119">
        <v>0.34383259222649798</v>
      </c>
      <c r="R48" s="119">
        <v>0.35117215472687402</v>
      </c>
      <c r="S48" s="119">
        <v>0.361369731450916</v>
      </c>
      <c r="T48" s="119">
        <v>0.36888259339254198</v>
      </c>
      <c r="U48" s="119">
        <v>0.37472084742726902</v>
      </c>
      <c r="V48" s="119">
        <v>0.38262062486499099</v>
      </c>
      <c r="W48" s="119">
        <v>0.38943857327470599</v>
      </c>
      <c r="X48" s="119">
        <v>0.39521064283200102</v>
      </c>
      <c r="Y48" s="119">
        <v>0.40164863258959999</v>
      </c>
      <c r="Z48" s="119">
        <v>0.40677983239481502</v>
      </c>
      <c r="AA48" s="119">
        <v>0.41030741552745098</v>
      </c>
      <c r="AB48" s="119">
        <v>0.42166227483303598</v>
      </c>
      <c r="AC48" s="119">
        <v>0.43158113365394402</v>
      </c>
      <c r="AD48" s="119">
        <v>0.44352021989243001</v>
      </c>
      <c r="AE48" s="119">
        <v>0.455099044092725</v>
      </c>
      <c r="AF48" s="119">
        <v>0.46247472815624702</v>
      </c>
      <c r="AG48" s="119">
        <v>0.470676228054076</v>
      </c>
      <c r="AH48" s="119">
        <v>0.47556357404252703</v>
      </c>
      <c r="AI48" s="119">
        <v>0.48339612037561902</v>
      </c>
      <c r="AJ48" s="119">
        <v>0.489375249015577</v>
      </c>
      <c r="AK48" s="119">
        <v>0.49448667114988998</v>
      </c>
      <c r="AL48" s="119">
        <v>0.49960242129344001</v>
      </c>
      <c r="AM48" s="119">
        <v>0.50626943834647398</v>
      </c>
      <c r="AN48" s="119">
        <v>0.51391209997604503</v>
      </c>
      <c r="AO48" s="119">
        <v>0.52041442770722601</v>
      </c>
      <c r="AP48" s="119">
        <v>0.52659095146196999</v>
      </c>
      <c r="AQ48" s="119">
        <v>0.52807529684327503</v>
      </c>
      <c r="AR48" s="119">
        <v>0.53042959048319005</v>
      </c>
      <c r="AS48" s="119">
        <v>0.53171357629873695</v>
      </c>
      <c r="AT48" s="119">
        <v>0.53409490195654297</v>
      </c>
      <c r="AU48" s="119">
        <v>0.53803882717653295</v>
      </c>
      <c r="AV48" s="119">
        <v>0.54136512386734903</v>
      </c>
      <c r="AW48" s="119">
        <v>0.544045883866764</v>
      </c>
      <c r="AX48" s="119">
        <v>0.54523236874690595</v>
      </c>
      <c r="AY48" s="119">
        <v>0.54761575375310501</v>
      </c>
      <c r="AZ48" s="119">
        <v>0.54829621125314398</v>
      </c>
      <c r="BA48" s="119">
        <v>0.550667148239816</v>
      </c>
      <c r="BB48" s="119">
        <v>0.55046773814974703</v>
      </c>
      <c r="BC48" s="119">
        <v>0.55175698977781695</v>
      </c>
      <c r="BD48" s="119">
        <v>0.55089119725716196</v>
      </c>
      <c r="BE48" s="119">
        <v>0.54985808643630896</v>
      </c>
      <c r="BF48" s="119">
        <v>0.55029735907079702</v>
      </c>
      <c r="BG48" s="119">
        <v>0.54957038888177501</v>
      </c>
      <c r="BH48" s="119">
        <v>0.54916683880642003</v>
      </c>
      <c r="BI48" s="119">
        <v>0.55069110632837504</v>
      </c>
      <c r="BJ48" s="119">
        <v>0.55060655254568702</v>
      </c>
      <c r="BK48" s="119">
        <v>0.55036692871596404</v>
      </c>
      <c r="BL48" s="119">
        <v>0.55063178935692203</v>
      </c>
    </row>
    <row r="49" spans="1:64" x14ac:dyDescent="0.25">
      <c r="A49" s="860" t="s">
        <v>25</v>
      </c>
      <c r="B49" s="1">
        <v>408</v>
      </c>
      <c r="C49" s="119">
        <v>0.5</v>
      </c>
      <c r="D49" s="119">
        <v>0.18468853424631301</v>
      </c>
      <c r="E49" s="119">
        <v>0.19865331770729699</v>
      </c>
      <c r="F49" s="119">
        <v>0.207137797532984</v>
      </c>
      <c r="G49" s="119">
        <v>0.21805392517904601</v>
      </c>
      <c r="H49" s="119">
        <v>0.226785781105585</v>
      </c>
      <c r="I49" s="119">
        <v>0.23713322544604501</v>
      </c>
      <c r="J49" s="119">
        <v>0.24825961927888501</v>
      </c>
      <c r="K49" s="119">
        <v>0.258137897499503</v>
      </c>
      <c r="L49" s="119">
        <v>0.26960819999440599</v>
      </c>
      <c r="M49" s="119">
        <v>0.27879783326051499</v>
      </c>
      <c r="N49" s="119">
        <v>0.28982118451956301</v>
      </c>
      <c r="O49" s="119">
        <v>0.29685514333485102</v>
      </c>
      <c r="P49" s="119">
        <v>0.30522020178880399</v>
      </c>
      <c r="Q49" s="119">
        <v>0.31088141521203899</v>
      </c>
      <c r="R49" s="119">
        <v>0.31816942129365799</v>
      </c>
      <c r="S49" s="119">
        <v>0.324245787945388</v>
      </c>
      <c r="T49" s="119">
        <v>0.32968162869633499</v>
      </c>
      <c r="U49" s="119">
        <v>0.33632384277892802</v>
      </c>
      <c r="V49" s="119">
        <v>0.34109467853759901</v>
      </c>
      <c r="W49" s="119">
        <v>0.34690503131886702</v>
      </c>
      <c r="X49" s="119">
        <v>0.35553019919531298</v>
      </c>
      <c r="Y49" s="119">
        <v>0.36410551862458501</v>
      </c>
      <c r="Z49" s="119">
        <v>0.37269694496457401</v>
      </c>
      <c r="AA49" s="119">
        <v>0.38173772379576698</v>
      </c>
      <c r="AB49" s="119">
        <v>0.39164841257698102</v>
      </c>
      <c r="AC49" s="119">
        <v>0.39991820935646</v>
      </c>
      <c r="AD49" s="119">
        <v>0.406430888220563</v>
      </c>
      <c r="AE49" s="119">
        <v>0.41187754703930402</v>
      </c>
      <c r="AF49" s="119">
        <v>0.41715200439031902</v>
      </c>
      <c r="AG49" s="119">
        <v>0.42074667583673903</v>
      </c>
      <c r="AH49" s="119">
        <v>0.426038626947429</v>
      </c>
      <c r="AI49" s="119">
        <v>0.43030290033919699</v>
      </c>
      <c r="AJ49" s="119">
        <v>0.43170657700024401</v>
      </c>
      <c r="AK49" s="119">
        <v>0.43430794978072701</v>
      </c>
      <c r="AL49" s="119">
        <v>0.43720892839583603</v>
      </c>
      <c r="AM49" s="119">
        <v>0.44313891217525703</v>
      </c>
      <c r="AN49" s="119">
        <v>0.44865691157001503</v>
      </c>
      <c r="AO49" s="119">
        <v>0.45753939981642899</v>
      </c>
      <c r="AP49" s="119">
        <v>0.46640787276751</v>
      </c>
      <c r="AQ49" s="119">
        <v>0.47535784590990199</v>
      </c>
      <c r="AR49" s="119">
        <v>0.48549604214059799</v>
      </c>
      <c r="AS49" s="119">
        <v>0.49891709690158698</v>
      </c>
      <c r="AT49" s="119">
        <v>0.51388964671011395</v>
      </c>
      <c r="AU49" s="119">
        <v>0.52547909326980802</v>
      </c>
      <c r="AV49" s="119">
        <v>0.53449302538321197</v>
      </c>
      <c r="AW49" s="119">
        <v>0.53713957036720605</v>
      </c>
      <c r="AX49" s="119">
        <v>0.53743330746052198</v>
      </c>
      <c r="AY49" s="119">
        <v>0.53631256957505302</v>
      </c>
      <c r="AZ49" s="119">
        <v>0.53567789378750297</v>
      </c>
      <c r="BA49" s="119">
        <v>0.53677995438170301</v>
      </c>
      <c r="BB49" s="119">
        <v>0.53679320437862499</v>
      </c>
      <c r="BC49" s="119">
        <v>0.53809464784559202</v>
      </c>
      <c r="BD49" s="119">
        <v>0.539346685072573</v>
      </c>
      <c r="BE49" s="119">
        <v>0.54068920061825798</v>
      </c>
      <c r="BF49" s="119">
        <v>0.54304890508275205</v>
      </c>
      <c r="BG49" s="119">
        <v>0.54536821703611404</v>
      </c>
      <c r="BH49" s="119">
        <v>0.54702974661367898</v>
      </c>
      <c r="BI49" s="119">
        <v>0.54801191594406795</v>
      </c>
      <c r="BJ49" s="119">
        <v>0.55085720066360899</v>
      </c>
      <c r="BK49" s="119">
        <v>0.554581197561691</v>
      </c>
      <c r="BL49" s="119">
        <v>0.556008904712601</v>
      </c>
    </row>
    <row r="50" spans="1:64" x14ac:dyDescent="0.25">
      <c r="A50" s="860" t="s">
        <v>26</v>
      </c>
      <c r="B50" s="1">
        <v>180</v>
      </c>
      <c r="C50" s="119">
        <v>0.5</v>
      </c>
      <c r="D50" s="119">
        <v>1.3118820774361301E-2</v>
      </c>
      <c r="E50" s="119">
        <v>1.39053690734423E-2</v>
      </c>
      <c r="F50" s="119">
        <v>1.5006593653368001E-2</v>
      </c>
      <c r="G50" s="119">
        <v>1.6222264320545601E-2</v>
      </c>
      <c r="H50" s="119">
        <v>1.7388826644898599E-2</v>
      </c>
      <c r="I50" s="119">
        <v>1.88331498511011E-2</v>
      </c>
      <c r="J50" s="119">
        <v>2.0114874389674402E-2</v>
      </c>
      <c r="K50" s="119">
        <v>2.1525784522926399E-2</v>
      </c>
      <c r="L50" s="119">
        <v>2.3338837606022199E-2</v>
      </c>
      <c r="M50" s="119">
        <v>2.5078776874056002E-2</v>
      </c>
      <c r="N50" s="119">
        <v>2.6920144858601301E-2</v>
      </c>
      <c r="O50" s="119">
        <v>2.8550206016549701E-2</v>
      </c>
      <c r="P50" s="119">
        <v>3.0113929650636799E-2</v>
      </c>
      <c r="Q50" s="119">
        <v>3.1766609450939801E-2</v>
      </c>
      <c r="R50" s="119">
        <v>3.1820108766475799E-2</v>
      </c>
      <c r="S50" s="119">
        <v>3.1821125147468099E-2</v>
      </c>
      <c r="T50" s="119">
        <v>3.1298654739152401E-2</v>
      </c>
      <c r="U50" s="119">
        <v>3.1150183801930902E-2</v>
      </c>
      <c r="V50" s="119">
        <v>3.08210057128444E-2</v>
      </c>
      <c r="W50" s="119">
        <v>3.0405243111061998E-2</v>
      </c>
      <c r="X50" s="119">
        <v>3.06812877528982E-2</v>
      </c>
      <c r="Y50" s="119">
        <v>3.1187797971584601E-2</v>
      </c>
      <c r="Z50" s="119">
        <v>3.3877685276284299E-2</v>
      </c>
      <c r="AA50" s="119">
        <v>3.6862322921722999E-2</v>
      </c>
      <c r="AB50" s="119">
        <v>4.0411603090442998E-2</v>
      </c>
      <c r="AC50" s="119">
        <v>4.4216164092217597E-2</v>
      </c>
      <c r="AD50" s="119">
        <v>4.8149163745590702E-2</v>
      </c>
      <c r="AE50" s="119">
        <v>5.2271335970703901E-2</v>
      </c>
      <c r="AF50" s="119">
        <v>5.6912917953804099E-2</v>
      </c>
      <c r="AG50" s="119">
        <v>6.1655467624624899E-2</v>
      </c>
      <c r="AH50" s="119">
        <v>6.5843427972227295E-2</v>
      </c>
      <c r="AI50" s="119">
        <v>7.0001829248699299E-2</v>
      </c>
      <c r="AJ50" s="119">
        <v>7.0689933959693294E-2</v>
      </c>
      <c r="AK50" s="119">
        <v>7.0146038936901897E-2</v>
      </c>
      <c r="AL50" s="119">
        <v>6.8919831394383596E-2</v>
      </c>
      <c r="AM50" s="119">
        <v>6.8527545744217003E-2</v>
      </c>
      <c r="AN50" s="119">
        <v>6.7853470835110494E-2</v>
      </c>
      <c r="AO50" s="119">
        <v>6.68909094230659E-2</v>
      </c>
      <c r="AP50" s="119">
        <v>6.8074280543198903E-2</v>
      </c>
      <c r="AQ50" s="119">
        <v>6.9022094756799199E-2</v>
      </c>
      <c r="AR50" s="119">
        <v>7.0082903028822793E-2</v>
      </c>
      <c r="AS50" s="119">
        <v>7.3490853266160505E-2</v>
      </c>
      <c r="AT50" s="119">
        <v>7.7364750000694094E-2</v>
      </c>
      <c r="AU50" s="119">
        <v>8.2270202495635894E-2</v>
      </c>
      <c r="AV50" s="119">
        <v>9.1110371597150103E-2</v>
      </c>
      <c r="AW50" s="119">
        <v>0.10109778946129</v>
      </c>
      <c r="AX50" s="119">
        <v>0.111416642234747</v>
      </c>
      <c r="AY50" s="119">
        <v>0.122266548019899</v>
      </c>
      <c r="AZ50" s="119">
        <v>0.13299165523372</v>
      </c>
      <c r="BA50" s="119">
        <v>0.140351930192645</v>
      </c>
      <c r="BB50" s="119">
        <v>0.14822899300494</v>
      </c>
      <c r="BC50" s="119">
        <v>0.154309110015456</v>
      </c>
      <c r="BD50" s="119">
        <v>0.16084624394684999</v>
      </c>
      <c r="BE50" s="119">
        <v>0.16740599476577001</v>
      </c>
      <c r="BF50" s="119">
        <v>0.17404874832127801</v>
      </c>
      <c r="BG50" s="119">
        <v>0.17969577738814699</v>
      </c>
      <c r="BH50" s="119">
        <v>0.18684691479899501</v>
      </c>
      <c r="BI50" s="119">
        <v>0.19418798288829101</v>
      </c>
      <c r="BJ50" s="119">
        <v>0.20030896494240799</v>
      </c>
      <c r="BK50" s="119">
        <v>0.206322019234149</v>
      </c>
      <c r="BL50" s="119">
        <v>0.212154835223031</v>
      </c>
    </row>
    <row r="51" spans="1:64" x14ac:dyDescent="0.25">
      <c r="A51" s="860" t="s">
        <v>170</v>
      </c>
      <c r="B51" s="1">
        <v>208</v>
      </c>
      <c r="C51" s="119">
        <v>0.5</v>
      </c>
      <c r="D51" s="119">
        <v>0.47936791228183401</v>
      </c>
      <c r="E51" s="119">
        <v>0.48568295654342403</v>
      </c>
      <c r="F51" s="119">
        <v>0.49208157296782501</v>
      </c>
      <c r="G51" s="119">
        <v>0.500102267266334</v>
      </c>
      <c r="H51" s="119">
        <v>0.50695073730298501</v>
      </c>
      <c r="I51" s="119">
        <v>0.51495395876916805</v>
      </c>
      <c r="J51" s="119">
        <v>0.52117274414105896</v>
      </c>
      <c r="K51" s="119">
        <v>0.52710586320868302</v>
      </c>
      <c r="L51" s="119">
        <v>0.53108759075856204</v>
      </c>
      <c r="M51" s="119">
        <v>0.53696440609315998</v>
      </c>
      <c r="N51" s="119">
        <v>0.54605487965474697</v>
      </c>
      <c r="O51" s="119">
        <v>0.55014889034912295</v>
      </c>
      <c r="P51" s="119">
        <v>0.55662614971527602</v>
      </c>
      <c r="Q51" s="119">
        <v>0.56203622117617902</v>
      </c>
      <c r="R51" s="119">
        <v>0.56927925966683701</v>
      </c>
      <c r="S51" s="119">
        <v>0.57477842186751205</v>
      </c>
      <c r="T51" s="119">
        <v>0.58147739601621096</v>
      </c>
      <c r="U51" s="119">
        <v>0.58406602160830501</v>
      </c>
      <c r="V51" s="119">
        <v>0.58806875491194599</v>
      </c>
      <c r="W51" s="119">
        <v>0.58960559433586501</v>
      </c>
      <c r="X51" s="119">
        <v>0.59236134818853503</v>
      </c>
      <c r="Y51" s="119">
        <v>0.59461291452165499</v>
      </c>
      <c r="Z51" s="119">
        <v>0.59436162187071995</v>
      </c>
      <c r="AA51" s="119">
        <v>0.59612940447815699</v>
      </c>
      <c r="AB51" s="119">
        <v>0.59791416074590398</v>
      </c>
      <c r="AC51" s="119">
        <v>0.59873239405293099</v>
      </c>
      <c r="AD51" s="119">
        <v>0.59904823911763805</v>
      </c>
      <c r="AE51" s="119">
        <v>0.60088297894147102</v>
      </c>
      <c r="AF51" s="119">
        <v>0.59964493032194299</v>
      </c>
      <c r="AG51" s="119">
        <v>0.60128959987272901</v>
      </c>
      <c r="AH51" s="119">
        <v>0.60157474919049303</v>
      </c>
      <c r="AI51" s="119">
        <v>0.60318256157082895</v>
      </c>
      <c r="AJ51" s="119">
        <v>0.60262901454888895</v>
      </c>
      <c r="AK51" s="119">
        <v>0.60419759237148896</v>
      </c>
      <c r="AL51" s="119">
        <v>0.60450266568650002</v>
      </c>
      <c r="AM51" s="119">
        <v>0.60483271311755704</v>
      </c>
      <c r="AN51" s="119">
        <v>0.60369790394213596</v>
      </c>
      <c r="AO51" s="119">
        <v>0.60136133693643301</v>
      </c>
      <c r="AP51" s="119">
        <v>0.60167656851427997</v>
      </c>
      <c r="AQ51" s="119">
        <v>0.60060553755211399</v>
      </c>
      <c r="AR51" s="119">
        <v>0.60091470106011702</v>
      </c>
      <c r="AS51" s="119">
        <v>0.59719780763527597</v>
      </c>
      <c r="AT51" s="119">
        <v>0.59683050416797601</v>
      </c>
      <c r="AU51" s="119">
        <v>0.59511567605333904</v>
      </c>
      <c r="AV51" s="119">
        <v>0.59361808866209498</v>
      </c>
      <c r="AW51" s="119">
        <v>0.59238133618265199</v>
      </c>
      <c r="AX51" s="119">
        <v>0.59267615629956605</v>
      </c>
      <c r="AY51" s="119">
        <v>0.59064066167333795</v>
      </c>
      <c r="AZ51" s="119">
        <v>0.59090091068913497</v>
      </c>
      <c r="BA51" s="119">
        <v>0.59027777779880597</v>
      </c>
      <c r="BB51" s="119">
        <v>0.58821549233039505</v>
      </c>
      <c r="BC51" s="119">
        <v>0.58828528102202804</v>
      </c>
      <c r="BD51" s="119">
        <v>0.58895309134070895</v>
      </c>
      <c r="BE51" s="119">
        <v>0.58830588867135603</v>
      </c>
      <c r="BF51" s="119">
        <v>0.58986617952571896</v>
      </c>
      <c r="BG51" s="119">
        <v>0.59200859891721902</v>
      </c>
      <c r="BH51" s="119">
        <v>0.59200104212435101</v>
      </c>
      <c r="BI51" s="119">
        <v>0.59103861645992095</v>
      </c>
      <c r="BJ51" s="119">
        <v>0.59407094300165297</v>
      </c>
      <c r="BK51" s="119">
        <v>0.59547094341853501</v>
      </c>
      <c r="BL51" s="119">
        <v>0.59561172156230202</v>
      </c>
    </row>
    <row r="52" spans="1:64" x14ac:dyDescent="0.25">
      <c r="A52" s="860" t="s">
        <v>24</v>
      </c>
      <c r="B52" s="1">
        <v>262</v>
      </c>
      <c r="C52" s="119">
        <v>0.5</v>
      </c>
      <c r="D52" s="119">
        <v>6.37563760388487E-3</v>
      </c>
      <c r="E52" s="119">
        <v>6.6890020527428304E-3</v>
      </c>
      <c r="F52" s="119">
        <v>6.9578501656898297E-3</v>
      </c>
      <c r="G52" s="119">
        <v>7.2457469080285403E-3</v>
      </c>
      <c r="H52" s="119">
        <v>7.5438908091892297E-3</v>
      </c>
      <c r="I52" s="119">
        <v>7.8764308704378505E-3</v>
      </c>
      <c r="J52" s="119">
        <v>8.3949874744278404E-3</v>
      </c>
      <c r="K52" s="119">
        <v>9.0193562060488595E-3</v>
      </c>
      <c r="L52" s="119">
        <v>9.44502104128115E-3</v>
      </c>
      <c r="M52" s="119">
        <v>1.0107413538380801E-2</v>
      </c>
      <c r="N52" s="119">
        <v>1.08190056913744E-2</v>
      </c>
      <c r="O52" s="119">
        <v>1.1412453220747999E-2</v>
      </c>
      <c r="P52" s="119">
        <v>1.21743396011422E-2</v>
      </c>
      <c r="Q52" s="119">
        <v>1.2926544430415601E-2</v>
      </c>
      <c r="R52" s="119">
        <v>1.39755692338024E-2</v>
      </c>
      <c r="S52" s="119">
        <v>1.50068703107171E-2</v>
      </c>
      <c r="T52" s="119">
        <v>1.6073686773326198E-2</v>
      </c>
      <c r="U52" s="119">
        <v>1.7235247912632E-2</v>
      </c>
      <c r="V52" s="119">
        <v>1.8537261853365999E-2</v>
      </c>
      <c r="W52" s="119">
        <v>1.9844796265031502E-2</v>
      </c>
      <c r="X52" s="119">
        <v>2.1355549907203002E-2</v>
      </c>
      <c r="Y52" s="119">
        <v>2.2879087693101301E-2</v>
      </c>
      <c r="Z52" s="119">
        <v>2.4622061624906402E-2</v>
      </c>
      <c r="AA52" s="119">
        <v>2.6203406628179899E-2</v>
      </c>
      <c r="AB52" s="119">
        <v>2.83358989965415E-2</v>
      </c>
      <c r="AC52" s="119">
        <v>3.0470884249389402E-2</v>
      </c>
      <c r="AD52" s="119">
        <v>3.2226753674684097E-2</v>
      </c>
      <c r="AE52" s="119">
        <v>3.4347059427445203E-2</v>
      </c>
      <c r="AF52" s="119">
        <v>3.6551342597409497E-2</v>
      </c>
      <c r="AG52" s="119">
        <v>3.8847377940967202E-2</v>
      </c>
      <c r="AH52" s="119">
        <v>4.1312675883747998E-2</v>
      </c>
      <c r="AI52" s="119">
        <v>4.4041083510562802E-2</v>
      </c>
      <c r="AJ52" s="119">
        <v>4.7014829303433002E-2</v>
      </c>
      <c r="AK52" s="119">
        <v>5.1569393421982197E-2</v>
      </c>
      <c r="AL52" s="119">
        <v>5.6712411888200198E-2</v>
      </c>
      <c r="AM52" s="119">
        <v>6.2372024072070299E-2</v>
      </c>
      <c r="AN52" s="119">
        <v>6.8415252934166601E-2</v>
      </c>
      <c r="AO52" s="119">
        <v>7.3826140259026105E-2</v>
      </c>
      <c r="AP52" s="119">
        <v>7.9499058183126595E-2</v>
      </c>
      <c r="AQ52" s="119">
        <v>8.4749419724848493E-2</v>
      </c>
      <c r="AR52" s="119">
        <v>9.0521706712841002E-2</v>
      </c>
      <c r="AS52" s="119">
        <v>9.5636552548209006E-2</v>
      </c>
      <c r="AT52" s="119">
        <v>0.10128450871731</v>
      </c>
      <c r="AU52" s="119">
        <v>0.10681234168599001</v>
      </c>
      <c r="AV52" s="119">
        <v>0.11283747908472801</v>
      </c>
      <c r="AW52" s="119">
        <v>0.118967414005613</v>
      </c>
      <c r="AX52" s="119">
        <v>0.12519777497102699</v>
      </c>
      <c r="AY52" s="119">
        <v>0.13092660979066501</v>
      </c>
      <c r="AZ52" s="119">
        <v>0.13760298170972199</v>
      </c>
      <c r="BA52" s="119">
        <v>0.14390676374090799</v>
      </c>
      <c r="BB52" s="119">
        <v>0.149187076916035</v>
      </c>
      <c r="BC52" s="119">
        <v>0.15593715375270201</v>
      </c>
      <c r="BD52" s="119">
        <v>0.16306105319151301</v>
      </c>
      <c r="BE52" s="119">
        <v>0.170573149093668</v>
      </c>
      <c r="BF52" s="119">
        <v>0.17685492629246399</v>
      </c>
      <c r="BG52" s="119">
        <v>0.18391573747766801</v>
      </c>
      <c r="BH52" s="119">
        <v>0.19072024474180099</v>
      </c>
      <c r="BI52" s="119">
        <v>0.19582823246153599</v>
      </c>
      <c r="BJ52" s="119">
        <v>0.20029991785314499</v>
      </c>
      <c r="BK52" s="119">
        <v>0.20611150373807599</v>
      </c>
      <c r="BL52" s="119">
        <v>0.21206382033843099</v>
      </c>
    </row>
    <row r="53" spans="1:64" x14ac:dyDescent="0.25">
      <c r="A53" s="860" t="s">
        <v>171</v>
      </c>
      <c r="B53" s="1">
        <v>212</v>
      </c>
      <c r="C53" s="119">
        <v>0.5</v>
      </c>
      <c r="D53" s="119">
        <v>0.207642487523824</v>
      </c>
      <c r="E53" s="119">
        <v>0.210342113326101</v>
      </c>
      <c r="F53" s="119">
        <v>0.21206834911078801</v>
      </c>
      <c r="G53" s="119">
        <v>0.21389299635631401</v>
      </c>
      <c r="H53" s="119">
        <v>0.21627822282317999</v>
      </c>
      <c r="I53" s="119">
        <v>0.216700053263747</v>
      </c>
      <c r="J53" s="119">
        <v>0.21773965046983099</v>
      </c>
      <c r="K53" s="119">
        <v>0.21726505609161201</v>
      </c>
      <c r="L53" s="119">
        <v>0.21606557235965501</v>
      </c>
      <c r="M53" s="119">
        <v>0.21546032833732501</v>
      </c>
      <c r="N53" s="119">
        <v>0.21367464849301501</v>
      </c>
      <c r="O53" s="119">
        <v>0.216719373487715</v>
      </c>
      <c r="P53" s="119">
        <v>0.21999774576018799</v>
      </c>
      <c r="Q53" s="119">
        <v>0.222954577286675</v>
      </c>
      <c r="R53" s="119">
        <v>0.22544604123812001</v>
      </c>
      <c r="S53" s="119">
        <v>0.22851974524274599</v>
      </c>
      <c r="T53" s="119">
        <v>0.23303900170726999</v>
      </c>
      <c r="U53" s="119">
        <v>0.238191966181346</v>
      </c>
      <c r="V53" s="119">
        <v>0.24313747442999201</v>
      </c>
      <c r="W53" s="119">
        <v>0.24916848315568699</v>
      </c>
      <c r="X53" s="119">
        <v>0.25333203867353399</v>
      </c>
      <c r="Y53" s="119">
        <v>0.25773825598079397</v>
      </c>
      <c r="Z53" s="119">
        <v>0.26313448925007799</v>
      </c>
      <c r="AA53" s="119">
        <v>0.26993644680589501</v>
      </c>
      <c r="AB53" s="119">
        <v>0.27643744488352501</v>
      </c>
      <c r="AC53" s="119">
        <v>0.28344950606504299</v>
      </c>
      <c r="AD53" s="119">
        <v>0.29377523071252998</v>
      </c>
      <c r="AE53" s="119">
        <v>0.30216721668767499</v>
      </c>
      <c r="AF53" s="119">
        <v>0.31161200077412599</v>
      </c>
      <c r="AG53" s="119">
        <v>0.31757326335592501</v>
      </c>
      <c r="AH53" s="119">
        <v>0.32395813354296799</v>
      </c>
      <c r="AI53" s="119">
        <v>0.32931927886522999</v>
      </c>
      <c r="AJ53" s="119">
        <v>0.33382473841823801</v>
      </c>
      <c r="AK53" s="119">
        <v>0.337787887956982</v>
      </c>
      <c r="AL53" s="119">
        <v>0.34378847719327199</v>
      </c>
      <c r="AM53" s="119">
        <v>0.34692637311431301</v>
      </c>
      <c r="AN53" s="119">
        <v>0.35077404353505698</v>
      </c>
      <c r="AO53" s="119">
        <v>0.35583012571097999</v>
      </c>
      <c r="AP53" s="119">
        <v>0.35890947477152002</v>
      </c>
      <c r="AQ53" s="119">
        <v>0.36206429761331299</v>
      </c>
      <c r="AR53" s="119">
        <v>0.36666773733862601</v>
      </c>
      <c r="AS53" s="119">
        <v>0.37225565800972199</v>
      </c>
      <c r="AT53" s="119">
        <v>0.37721379994252602</v>
      </c>
      <c r="AU53" s="119">
        <v>0.38188297320841003</v>
      </c>
      <c r="AV53" s="119">
        <v>0.38728432556348302</v>
      </c>
      <c r="AW53" s="119">
        <v>0.39314077069139902</v>
      </c>
      <c r="AX53" s="119">
        <v>0.39787634158212098</v>
      </c>
      <c r="AY53" s="119">
        <v>0.40256620552349198</v>
      </c>
      <c r="AZ53" s="119">
        <v>0.40624251906446501</v>
      </c>
      <c r="BA53" s="119">
        <v>0.412225869675857</v>
      </c>
      <c r="BB53" s="119">
        <v>0.41770235932212102</v>
      </c>
      <c r="BC53" s="119">
        <v>0.42357579736527501</v>
      </c>
      <c r="BD53" s="119">
        <v>0.428745575109024</v>
      </c>
      <c r="BE53" s="119">
        <v>0.43785055160874398</v>
      </c>
      <c r="BF53" s="119">
        <v>0.44335830873550902</v>
      </c>
      <c r="BG53" s="119">
        <v>0.45041032146911802</v>
      </c>
      <c r="BH53" s="119">
        <v>0.45679376349376899</v>
      </c>
      <c r="BI53" s="119">
        <v>0.46252802747538602</v>
      </c>
      <c r="BJ53" s="119">
        <v>0.46796473557061502</v>
      </c>
      <c r="BK53" s="119">
        <v>0.47535775768648397</v>
      </c>
      <c r="BL53" s="119">
        <v>0.48024812601498601</v>
      </c>
    </row>
    <row r="54" spans="1:64" x14ac:dyDescent="0.25">
      <c r="A54" s="860" t="s">
        <v>172</v>
      </c>
      <c r="B54" s="1">
        <v>214</v>
      </c>
      <c r="C54" s="119">
        <v>0.5</v>
      </c>
      <c r="D54" s="119">
        <v>0.149634296473379</v>
      </c>
      <c r="E54" s="119">
        <v>0.15506909961391199</v>
      </c>
      <c r="F54" s="119">
        <v>0.159665415838953</v>
      </c>
      <c r="G54" s="119">
        <v>0.16497371774643199</v>
      </c>
      <c r="H54" s="119">
        <v>0.17285274620595301</v>
      </c>
      <c r="I54" s="119">
        <v>0.17886259472374599</v>
      </c>
      <c r="J54" s="119">
        <v>0.18667909423631501</v>
      </c>
      <c r="K54" s="119">
        <v>0.19526596349263201</v>
      </c>
      <c r="L54" s="119">
        <v>0.20424259375362899</v>
      </c>
      <c r="M54" s="119">
        <v>0.21444871061453399</v>
      </c>
      <c r="N54" s="119">
        <v>0.22371916780446899</v>
      </c>
      <c r="O54" s="119">
        <v>0.234451073304489</v>
      </c>
      <c r="P54" s="119">
        <v>0.24624967549585</v>
      </c>
      <c r="Q54" s="119">
        <v>0.25834325316864298</v>
      </c>
      <c r="R54" s="119">
        <v>0.27165124265070401</v>
      </c>
      <c r="S54" s="119">
        <v>0.28578569203174597</v>
      </c>
      <c r="T54" s="119">
        <v>0.29929833856595101</v>
      </c>
      <c r="U54" s="119">
        <v>0.30948695956789601</v>
      </c>
      <c r="V54" s="119">
        <v>0.31869951099215199</v>
      </c>
      <c r="W54" s="119">
        <v>0.32807013409160801</v>
      </c>
      <c r="X54" s="119">
        <v>0.33632559255886502</v>
      </c>
      <c r="Y54" s="119">
        <v>0.346036919861337</v>
      </c>
      <c r="Z54" s="119">
        <v>0.35792929648383798</v>
      </c>
      <c r="AA54" s="119">
        <v>0.37146264015064101</v>
      </c>
      <c r="AB54" s="119">
        <v>0.38570978102883902</v>
      </c>
      <c r="AC54" s="119">
        <v>0.39885821032039398</v>
      </c>
      <c r="AD54" s="119">
        <v>0.41152085668305599</v>
      </c>
      <c r="AE54" s="119">
        <v>0.42498959204995901</v>
      </c>
      <c r="AF54" s="119">
        <v>0.43690336689794901</v>
      </c>
      <c r="AG54" s="119">
        <v>0.448824366874161</v>
      </c>
      <c r="AH54" s="119">
        <v>0.45672133257255099</v>
      </c>
      <c r="AI54" s="119">
        <v>0.46418032094490103</v>
      </c>
      <c r="AJ54" s="119">
        <v>0.47036423827186302</v>
      </c>
      <c r="AK54" s="119">
        <v>0.47516031531938901</v>
      </c>
      <c r="AL54" s="119">
        <v>0.47899886979345302</v>
      </c>
      <c r="AM54" s="119">
        <v>0.48414357066418301</v>
      </c>
      <c r="AN54" s="119">
        <v>0.49245275280701001</v>
      </c>
      <c r="AO54" s="119">
        <v>0.50616668462606995</v>
      </c>
      <c r="AP54" s="119">
        <v>0.51339313449581503</v>
      </c>
      <c r="AQ54" s="119">
        <v>0.51943781345603401</v>
      </c>
      <c r="AR54" s="119">
        <v>0.52298384800828202</v>
      </c>
      <c r="AS54" s="119">
        <v>0.52620400860432504</v>
      </c>
      <c r="AT54" s="119">
        <v>0.52774876873542598</v>
      </c>
      <c r="AU54" s="119">
        <v>0.52757993652300095</v>
      </c>
      <c r="AV54" s="119">
        <v>0.52774463617329304</v>
      </c>
      <c r="AW54" s="119">
        <v>0.52544879917536003</v>
      </c>
      <c r="AX54" s="119">
        <v>0.52244369528535906</v>
      </c>
      <c r="AY54" s="119">
        <v>0.52037532226149297</v>
      </c>
      <c r="AZ54" s="119">
        <v>0.51750079005134697</v>
      </c>
      <c r="BA54" s="119">
        <v>0.51616572772811997</v>
      </c>
      <c r="BB54" s="119">
        <v>0.51671916792881101</v>
      </c>
      <c r="BC54" s="119">
        <v>0.517570714837991</v>
      </c>
      <c r="BD54" s="119">
        <v>0.51976894593940703</v>
      </c>
      <c r="BE54" s="119">
        <v>0.52261343740858102</v>
      </c>
      <c r="BF54" s="119">
        <v>0.52481702080162795</v>
      </c>
      <c r="BG54" s="119">
        <v>0.52756203190290096</v>
      </c>
      <c r="BH54" s="119">
        <v>0.529878578882645</v>
      </c>
      <c r="BI54" s="119">
        <v>0.53266009216125099</v>
      </c>
      <c r="BJ54" s="119">
        <v>0.53650053887082805</v>
      </c>
      <c r="BK54" s="119">
        <v>0.53664650338807596</v>
      </c>
      <c r="BL54" s="119">
        <v>0.53904705991213597</v>
      </c>
    </row>
    <row r="55" spans="1:64" x14ac:dyDescent="0.25">
      <c r="A55" s="860" t="s">
        <v>173</v>
      </c>
      <c r="B55" s="1">
        <v>218</v>
      </c>
      <c r="C55" s="119">
        <v>0.5</v>
      </c>
      <c r="D55" s="119">
        <v>8.5419450294847196E-2</v>
      </c>
      <c r="E55" s="119">
        <v>9.1992388835891906E-2</v>
      </c>
      <c r="F55" s="119">
        <v>9.8104464978966896E-2</v>
      </c>
      <c r="G55" s="119">
        <v>0.105975985783668</v>
      </c>
      <c r="H55" s="119">
        <v>0.113164789065489</v>
      </c>
      <c r="I55" s="119">
        <v>0.120744955476368</v>
      </c>
      <c r="J55" s="119">
        <v>0.12838506124604199</v>
      </c>
      <c r="K55" s="119">
        <v>0.13647468188259501</v>
      </c>
      <c r="L55" s="119">
        <v>0.14516799766931601</v>
      </c>
      <c r="M55" s="119">
        <v>0.153685110784124</v>
      </c>
      <c r="N55" s="119">
        <v>0.16130771640543801</v>
      </c>
      <c r="O55" s="119">
        <v>0.16918951824539999</v>
      </c>
      <c r="P55" s="119">
        <v>0.17755239156967501</v>
      </c>
      <c r="Q55" s="119">
        <v>0.18495063854329299</v>
      </c>
      <c r="R55" s="119">
        <v>0.193005969864876</v>
      </c>
      <c r="S55" s="119">
        <v>0.20144421512146601</v>
      </c>
      <c r="T55" s="119">
        <v>0.21117474354954199</v>
      </c>
      <c r="U55" s="119">
        <v>0.221222963226055</v>
      </c>
      <c r="V55" s="119">
        <v>0.231545295217743</v>
      </c>
      <c r="W55" s="119">
        <v>0.24348261173142099</v>
      </c>
      <c r="X55" s="119">
        <v>0.25408213960401199</v>
      </c>
      <c r="Y55" s="119">
        <v>0.26478492086926098</v>
      </c>
      <c r="Z55" s="119">
        <v>0.27541228080340902</v>
      </c>
      <c r="AA55" s="119">
        <v>0.28474747540025003</v>
      </c>
      <c r="AB55" s="119">
        <v>0.29552343903807099</v>
      </c>
      <c r="AC55" s="119">
        <v>0.30628792080084599</v>
      </c>
      <c r="AD55" s="119">
        <v>0.315709553130257</v>
      </c>
      <c r="AE55" s="119">
        <v>0.32733915373223799</v>
      </c>
      <c r="AF55" s="119">
        <v>0.336777526955019</v>
      </c>
      <c r="AG55" s="119">
        <v>0.34763078473483799</v>
      </c>
      <c r="AH55" s="119">
        <v>0.35892661632415102</v>
      </c>
      <c r="AI55" s="119">
        <v>0.369907944308137</v>
      </c>
      <c r="AJ55" s="119">
        <v>0.37976629362340503</v>
      </c>
      <c r="AK55" s="119">
        <v>0.38897283129166799</v>
      </c>
      <c r="AL55" s="119">
        <v>0.39993951177734099</v>
      </c>
      <c r="AM55" s="119">
        <v>0.41123997711320298</v>
      </c>
      <c r="AN55" s="119">
        <v>0.42116789874643101</v>
      </c>
      <c r="AO55" s="119">
        <v>0.43246108365848801</v>
      </c>
      <c r="AP55" s="119">
        <v>0.44277016068719399</v>
      </c>
      <c r="AQ55" s="119">
        <v>0.45168816440267701</v>
      </c>
      <c r="AR55" s="119">
        <v>0.461877981341904</v>
      </c>
      <c r="AS55" s="119">
        <v>0.47017999768920299</v>
      </c>
      <c r="AT55" s="119">
        <v>0.47817757125849902</v>
      </c>
      <c r="AU55" s="119">
        <v>0.481884487735252</v>
      </c>
      <c r="AV55" s="119">
        <v>0.48464337462554902</v>
      </c>
      <c r="AW55" s="119">
        <v>0.49201492128527402</v>
      </c>
      <c r="AX55" s="119">
        <v>0.50074661428550804</v>
      </c>
      <c r="AY55" s="119">
        <v>0.507639986042976</v>
      </c>
      <c r="AZ55" s="119">
        <v>0.51593668537826598</v>
      </c>
      <c r="BA55" s="119">
        <v>0.52369188796669197</v>
      </c>
      <c r="BB55" s="119">
        <v>0.52965504605590796</v>
      </c>
      <c r="BC55" s="119">
        <v>0.53368927080582695</v>
      </c>
      <c r="BD55" s="119">
        <v>0.53739608208581902</v>
      </c>
      <c r="BE55" s="119">
        <v>0.54129677659536402</v>
      </c>
      <c r="BF55" s="119">
        <v>0.54379195965880101</v>
      </c>
      <c r="BG55" s="119">
        <v>0.54633579105420405</v>
      </c>
      <c r="BH55" s="119">
        <v>0.54926189020792504</v>
      </c>
      <c r="BI55" s="119">
        <v>0.55153109078933704</v>
      </c>
      <c r="BJ55" s="119">
        <v>0.55334256227313205</v>
      </c>
      <c r="BK55" s="119">
        <v>0.55539515909690096</v>
      </c>
      <c r="BL55" s="119">
        <v>0.55789672751757402</v>
      </c>
    </row>
    <row r="56" spans="1:64" x14ac:dyDescent="0.25">
      <c r="A56" s="860" t="s">
        <v>27</v>
      </c>
      <c r="B56" s="1">
        <v>818</v>
      </c>
      <c r="C56" s="119">
        <v>0.5</v>
      </c>
      <c r="D56" s="119">
        <v>0.124321950752956</v>
      </c>
      <c r="E56" s="119">
        <v>0.13004928005890601</v>
      </c>
      <c r="F56" s="119">
        <v>0.135637270759081</v>
      </c>
      <c r="G56" s="119">
        <v>0.14145051852388801</v>
      </c>
      <c r="H56" s="119">
        <v>0.14645096807147401</v>
      </c>
      <c r="I56" s="119">
        <v>0.15228595857549199</v>
      </c>
      <c r="J56" s="119">
        <v>0.15673779132447899</v>
      </c>
      <c r="K56" s="119">
        <v>0.161583363973128</v>
      </c>
      <c r="L56" s="119">
        <v>0.16632788350675601</v>
      </c>
      <c r="M56" s="119">
        <v>0.171366524996869</v>
      </c>
      <c r="N56" s="119">
        <v>0.17642044372829199</v>
      </c>
      <c r="O56" s="119">
        <v>0.18051822412457999</v>
      </c>
      <c r="P56" s="119">
        <v>0.18629429796074901</v>
      </c>
      <c r="Q56" s="119">
        <v>0.192139565103045</v>
      </c>
      <c r="R56" s="119">
        <v>0.19891679977993201</v>
      </c>
      <c r="S56" s="119">
        <v>0.20645248937174299</v>
      </c>
      <c r="T56" s="119">
        <v>0.21576627714037999</v>
      </c>
      <c r="U56" s="119">
        <v>0.225518916528783</v>
      </c>
      <c r="V56" s="119">
        <v>0.236241651971031</v>
      </c>
      <c r="W56" s="119">
        <v>0.249861634953087</v>
      </c>
      <c r="X56" s="119">
        <v>0.26393419534510598</v>
      </c>
      <c r="Y56" s="119">
        <v>0.277499429748509</v>
      </c>
      <c r="Z56" s="119">
        <v>0.28870304391131502</v>
      </c>
      <c r="AA56" s="119">
        <v>0.29338238129619199</v>
      </c>
      <c r="AB56" s="119">
        <v>0.29727716264534398</v>
      </c>
      <c r="AC56" s="119">
        <v>0.30251903925861301</v>
      </c>
      <c r="AD56" s="119">
        <v>0.31319633142637698</v>
      </c>
      <c r="AE56" s="119">
        <v>0.32417964852198999</v>
      </c>
      <c r="AF56" s="119">
        <v>0.33163755643791198</v>
      </c>
      <c r="AG56" s="119">
        <v>0.33945034288837</v>
      </c>
      <c r="AH56" s="119">
        <v>0.34653050368745902</v>
      </c>
      <c r="AI56" s="119">
        <v>0.35359581287535402</v>
      </c>
      <c r="AJ56" s="119">
        <v>0.35969064283498797</v>
      </c>
      <c r="AK56" s="119">
        <v>0.36557389505479598</v>
      </c>
      <c r="AL56" s="119">
        <v>0.36885722300630402</v>
      </c>
      <c r="AM56" s="119">
        <v>0.37234273686555902</v>
      </c>
      <c r="AN56" s="119">
        <v>0.37767648679449201</v>
      </c>
      <c r="AO56" s="119">
        <v>0.38409152045577999</v>
      </c>
      <c r="AP56" s="119">
        <v>0.388769588610618</v>
      </c>
      <c r="AQ56" s="119">
        <v>0.39273656166090198</v>
      </c>
      <c r="AR56" s="119">
        <v>0.39606804835310899</v>
      </c>
      <c r="AS56" s="119">
        <v>0.39864345239461402</v>
      </c>
      <c r="AT56" s="119">
        <v>0.40050455191642997</v>
      </c>
      <c r="AU56" s="119">
        <v>0.40201464933203601</v>
      </c>
      <c r="AV56" s="119">
        <v>0.404364262980416</v>
      </c>
      <c r="AW56" s="119">
        <v>0.40851407972308201</v>
      </c>
      <c r="AX56" s="119">
        <v>0.41317466907374101</v>
      </c>
      <c r="AY56" s="119">
        <v>0.41845430883596701</v>
      </c>
      <c r="AZ56" s="119">
        <v>0.42313131315681402</v>
      </c>
      <c r="BA56" s="119">
        <v>0.42712525270066398</v>
      </c>
      <c r="BB56" s="119">
        <v>0.430620711492051</v>
      </c>
      <c r="BC56" s="119">
        <v>0.43563234141034202</v>
      </c>
      <c r="BD56" s="119">
        <v>0.43879016472952498</v>
      </c>
      <c r="BE56" s="119">
        <v>0.440368720169874</v>
      </c>
      <c r="BF56" s="119">
        <v>0.44212212814195301</v>
      </c>
      <c r="BG56" s="119">
        <v>0.44249066923198599</v>
      </c>
      <c r="BH56" s="119">
        <v>0.44378661844689399</v>
      </c>
      <c r="BI56" s="119">
        <v>0.44209789953873802</v>
      </c>
      <c r="BJ56" s="119">
        <v>0.43962975582775199</v>
      </c>
      <c r="BK56" s="119">
        <v>0.43628149055434801</v>
      </c>
      <c r="BL56" s="119">
        <v>0.43727092118246402</v>
      </c>
    </row>
    <row r="57" spans="1:64" x14ac:dyDescent="0.25">
      <c r="A57" s="860" t="s">
        <v>174</v>
      </c>
      <c r="B57" s="1">
        <v>222</v>
      </c>
      <c r="C57" s="119">
        <v>0.5</v>
      </c>
      <c r="D57" s="119">
        <v>0.117284073125281</v>
      </c>
      <c r="E57" s="119">
        <v>0.12435721883951401</v>
      </c>
      <c r="F57" s="119">
        <v>0.132089072094493</v>
      </c>
      <c r="G57" s="119">
        <v>0.140235988695426</v>
      </c>
      <c r="H57" s="119">
        <v>0.14890809428924801</v>
      </c>
      <c r="I57" s="119">
        <v>0.15889733005291301</v>
      </c>
      <c r="J57" s="119">
        <v>0.17060881326618499</v>
      </c>
      <c r="K57" s="119">
        <v>0.183271374828407</v>
      </c>
      <c r="L57" s="119">
        <v>0.19774483254241901</v>
      </c>
      <c r="M57" s="119">
        <v>0.21035583918064499</v>
      </c>
      <c r="N57" s="119">
        <v>0.222273446545634</v>
      </c>
      <c r="O57" s="119">
        <v>0.235153963544947</v>
      </c>
      <c r="P57" s="119">
        <v>0.248019729511122</v>
      </c>
      <c r="Q57" s="119">
        <v>0.260349026690125</v>
      </c>
      <c r="R57" s="119">
        <v>0.272204112454836</v>
      </c>
      <c r="S57" s="119">
        <v>0.28393099093775498</v>
      </c>
      <c r="T57" s="119">
        <v>0.29256126697061702</v>
      </c>
      <c r="U57" s="119">
        <v>0.30104446294721698</v>
      </c>
      <c r="V57" s="119">
        <v>0.308334114998495</v>
      </c>
      <c r="W57" s="119">
        <v>0.31579851745068099</v>
      </c>
      <c r="X57" s="119">
        <v>0.32323586744955402</v>
      </c>
      <c r="Y57" s="119">
        <v>0.32987609203934998</v>
      </c>
      <c r="Z57" s="119">
        <v>0.33744441922978902</v>
      </c>
      <c r="AA57" s="119">
        <v>0.34479535587673099</v>
      </c>
      <c r="AB57" s="119">
        <v>0.35202026220406601</v>
      </c>
      <c r="AC57" s="119">
        <v>0.36053466011576601</v>
      </c>
      <c r="AD57" s="119">
        <v>0.36934438685255</v>
      </c>
      <c r="AE57" s="119">
        <v>0.37741607312118303</v>
      </c>
      <c r="AF57" s="119">
        <v>0.38483366054686902</v>
      </c>
      <c r="AG57" s="119">
        <v>0.39320616417732301</v>
      </c>
      <c r="AH57" s="119">
        <v>0.40142887509251801</v>
      </c>
      <c r="AI57" s="119">
        <v>0.40882315378539902</v>
      </c>
      <c r="AJ57" s="119">
        <v>0.41603359977282001</v>
      </c>
      <c r="AK57" s="119">
        <v>0.42294456803185598</v>
      </c>
      <c r="AL57" s="119">
        <v>0.42826233634564798</v>
      </c>
      <c r="AM57" s="119">
        <v>0.43302466055517802</v>
      </c>
      <c r="AN57" s="119">
        <v>0.43721547879303102</v>
      </c>
      <c r="AO57" s="119">
        <v>0.43586773880792201</v>
      </c>
      <c r="AP57" s="119">
        <v>0.44394938503064402</v>
      </c>
      <c r="AQ57" s="119">
        <v>0.44638655841375102</v>
      </c>
      <c r="AR57" s="119">
        <v>0.44886994219035398</v>
      </c>
      <c r="AS57" s="119">
        <v>0.45171471414090802</v>
      </c>
      <c r="AT57" s="119">
        <v>0.45426025188929398</v>
      </c>
      <c r="AU57" s="119">
        <v>0.45763558746694799</v>
      </c>
      <c r="AV57" s="119">
        <v>0.45964342398605901</v>
      </c>
      <c r="AW57" s="119">
        <v>0.463073476093673</v>
      </c>
      <c r="AX57" s="119">
        <v>0.46664417845562101</v>
      </c>
      <c r="AY57" s="119">
        <v>0.47129817232471799</v>
      </c>
      <c r="AZ57" s="119">
        <v>0.47415651106579898</v>
      </c>
      <c r="BA57" s="119">
        <v>0.47908726760049603</v>
      </c>
      <c r="BB57" s="119">
        <v>0.48352135832746201</v>
      </c>
      <c r="BC57" s="119">
        <v>0.48756714653914102</v>
      </c>
      <c r="BD57" s="119">
        <v>0.49278089403109898</v>
      </c>
      <c r="BE57" s="119">
        <v>0.49755134818708302</v>
      </c>
      <c r="BF57" s="119">
        <v>0.500596235507073</v>
      </c>
      <c r="BG57" s="119">
        <v>0.50425189771762502</v>
      </c>
      <c r="BH57" s="119">
        <v>0.50785091406532701</v>
      </c>
      <c r="BI57" s="119">
        <v>0.51073274416724002</v>
      </c>
      <c r="BJ57" s="119">
        <v>0.51458283645988401</v>
      </c>
      <c r="BK57" s="119">
        <v>0.51666304635277704</v>
      </c>
      <c r="BL57" s="119">
        <v>0.51965295629327901</v>
      </c>
    </row>
    <row r="58" spans="1:64" x14ac:dyDescent="0.25">
      <c r="A58" s="860" t="s">
        <v>175</v>
      </c>
      <c r="B58" s="1">
        <v>226</v>
      </c>
      <c r="C58" s="119">
        <v>0.5</v>
      </c>
      <c r="D58" s="119">
        <v>7.1370662841468103E-3</v>
      </c>
      <c r="E58" s="119">
        <v>7.8427595564046493E-3</v>
      </c>
      <c r="F58" s="119">
        <v>8.63827818043977E-3</v>
      </c>
      <c r="G58" s="119">
        <v>9.5014848761961895E-3</v>
      </c>
      <c r="H58" s="119">
        <v>1.0267034195490301E-2</v>
      </c>
      <c r="I58" s="119">
        <v>1.12081311659659E-2</v>
      </c>
      <c r="J58" s="119">
        <v>1.2237467408627301E-2</v>
      </c>
      <c r="K58" s="119">
        <v>1.3279529657129901E-2</v>
      </c>
      <c r="L58" s="119">
        <v>1.4403378135171899E-2</v>
      </c>
      <c r="M58" s="119">
        <v>1.5909670969941201E-2</v>
      </c>
      <c r="N58" s="119">
        <v>1.71517315932221E-2</v>
      </c>
      <c r="O58" s="119">
        <v>1.8701456010549001E-2</v>
      </c>
      <c r="P58" s="119">
        <v>2.0306144589103799E-2</v>
      </c>
      <c r="Q58" s="119">
        <v>2.2284691154533E-2</v>
      </c>
      <c r="R58" s="119">
        <v>2.4135467733265199E-2</v>
      </c>
      <c r="S58" s="119">
        <v>2.5940482408416701E-2</v>
      </c>
      <c r="T58" s="119">
        <v>2.7928344073943501E-2</v>
      </c>
      <c r="U58" s="119">
        <v>3.0229533250450601E-2</v>
      </c>
      <c r="V58" s="119">
        <v>3.3102703322910897E-2</v>
      </c>
      <c r="W58" s="119">
        <v>3.54835806508952E-2</v>
      </c>
      <c r="X58" s="119">
        <v>3.8238919761371899E-2</v>
      </c>
      <c r="Y58" s="119">
        <v>4.0984156414271201E-2</v>
      </c>
      <c r="Z58" s="119">
        <v>4.3425370648357602E-2</v>
      </c>
      <c r="AA58" s="119">
        <v>4.6325771267224897E-2</v>
      </c>
      <c r="AB58" s="119">
        <v>4.9431401890432498E-2</v>
      </c>
      <c r="AC58" s="119">
        <v>5.2524787474248803E-2</v>
      </c>
      <c r="AD58" s="119">
        <v>5.5556013439448403E-2</v>
      </c>
      <c r="AE58" s="119">
        <v>5.89044533104887E-2</v>
      </c>
      <c r="AF58" s="119">
        <v>6.2315452947550101E-2</v>
      </c>
      <c r="AG58" s="119">
        <v>6.6026797767317305E-2</v>
      </c>
      <c r="AH58" s="119">
        <v>6.8646775193020995E-2</v>
      </c>
      <c r="AI58" s="119">
        <v>7.2467601884030106E-2</v>
      </c>
      <c r="AJ58" s="119">
        <v>7.6380817699005996E-2</v>
      </c>
      <c r="AK58" s="119">
        <v>7.9995855575091396E-2</v>
      </c>
      <c r="AL58" s="119">
        <v>8.3331362111137106E-2</v>
      </c>
      <c r="AM58" s="119">
        <v>8.6819818102512797E-2</v>
      </c>
      <c r="AN58" s="119">
        <v>9.0413939147196198E-2</v>
      </c>
      <c r="AO58" s="119">
        <v>9.4326254585499897E-2</v>
      </c>
      <c r="AP58" s="119">
        <v>9.8220909262026701E-2</v>
      </c>
      <c r="AQ58" s="119">
        <v>0.10213934932358699</v>
      </c>
      <c r="AR58" s="119">
        <v>0.105028089300071</v>
      </c>
      <c r="AS58" s="119">
        <v>0.109268844387961</v>
      </c>
      <c r="AT58" s="119">
        <v>0.113375617719431</v>
      </c>
      <c r="AU58" s="119">
        <v>0.11741885485933801</v>
      </c>
      <c r="AV58" s="119">
        <v>0.121478745188</v>
      </c>
      <c r="AW58" s="119">
        <v>0.125286028258598</v>
      </c>
      <c r="AX58" s="119">
        <v>0.12954566296154599</v>
      </c>
      <c r="AY58" s="119">
        <v>0.13388172270208901</v>
      </c>
      <c r="AZ58" s="119">
        <v>0.13868153953600801</v>
      </c>
      <c r="BA58" s="119">
        <v>0.142401267394589</v>
      </c>
      <c r="BB58" s="119">
        <v>0.14671275929568101</v>
      </c>
      <c r="BC58" s="119">
        <v>0.15192348241917999</v>
      </c>
      <c r="BD58" s="119">
        <v>0.15658517068115399</v>
      </c>
      <c r="BE58" s="119">
        <v>0.16046194901570299</v>
      </c>
      <c r="BF58" s="119">
        <v>0.16476803373388901</v>
      </c>
      <c r="BG58" s="119">
        <v>0.16953458142247399</v>
      </c>
      <c r="BH58" s="119">
        <v>0.174472124546137</v>
      </c>
      <c r="BI58" s="119">
        <v>0.17928370760051801</v>
      </c>
      <c r="BJ58" s="119">
        <v>0.18377517543108501</v>
      </c>
      <c r="BK58" s="119">
        <v>0.187660348330182</v>
      </c>
      <c r="BL58" s="119">
        <v>0.19264627086304101</v>
      </c>
    </row>
    <row r="59" spans="1:64" x14ac:dyDescent="0.25">
      <c r="A59" s="860" t="s">
        <v>28</v>
      </c>
      <c r="B59" s="1">
        <v>232</v>
      </c>
      <c r="C59" s="119">
        <v>0.5</v>
      </c>
      <c r="D59" s="119">
        <v>2.2849097509381102E-3</v>
      </c>
      <c r="E59" s="119">
        <v>2.58467080146881E-3</v>
      </c>
      <c r="F59" s="119">
        <v>2.9675448610583101E-3</v>
      </c>
      <c r="G59" s="119">
        <v>3.2979952463914101E-3</v>
      </c>
      <c r="H59" s="119">
        <v>3.6986926455181601E-3</v>
      </c>
      <c r="I59" s="119">
        <v>4.2029857921315602E-3</v>
      </c>
      <c r="J59" s="119">
        <v>4.7340327024434697E-3</v>
      </c>
      <c r="K59" s="119">
        <v>5.3055934080595696E-3</v>
      </c>
      <c r="L59" s="119">
        <v>5.9775871804231802E-3</v>
      </c>
      <c r="M59" s="119">
        <v>6.64138423376573E-3</v>
      </c>
      <c r="N59" s="119">
        <v>7.41455156249393E-3</v>
      </c>
      <c r="O59" s="119">
        <v>8.5179458535531802E-3</v>
      </c>
      <c r="P59" s="119">
        <v>9.4863734259267706E-3</v>
      </c>
      <c r="Q59" s="119">
        <v>1.06019662413395E-2</v>
      </c>
      <c r="R59" s="119">
        <v>1.18285008474303E-2</v>
      </c>
      <c r="S59" s="119">
        <v>1.32359652284049E-2</v>
      </c>
      <c r="T59" s="119">
        <v>1.4697094683671899E-2</v>
      </c>
      <c r="U59" s="119">
        <v>1.6245239531016899E-2</v>
      </c>
      <c r="V59" s="119">
        <v>1.78499896985185E-2</v>
      </c>
      <c r="W59" s="119">
        <v>1.9813655881812799E-2</v>
      </c>
      <c r="X59" s="119">
        <v>2.14956617505608E-2</v>
      </c>
      <c r="Y59" s="119">
        <v>2.3358425150565701E-2</v>
      </c>
      <c r="Z59" s="119">
        <v>2.5274314539896099E-2</v>
      </c>
      <c r="AA59" s="119">
        <v>2.7123027140294801E-2</v>
      </c>
      <c r="AB59" s="119">
        <v>2.87371392194402E-2</v>
      </c>
      <c r="AC59" s="119">
        <v>3.0420315609898701E-2</v>
      </c>
      <c r="AD59" s="119">
        <v>3.3127716290053302E-2</v>
      </c>
      <c r="AE59" s="119">
        <v>3.5861408944088402E-2</v>
      </c>
      <c r="AF59" s="119">
        <v>3.8560736987934899E-2</v>
      </c>
      <c r="AG59" s="119">
        <v>4.1229922258696698E-2</v>
      </c>
      <c r="AH59" s="119">
        <v>4.3820070482599401E-2</v>
      </c>
      <c r="AI59" s="119">
        <v>4.6352381139005597E-2</v>
      </c>
      <c r="AJ59" s="119">
        <v>4.8673981200726003E-2</v>
      </c>
      <c r="AK59" s="119">
        <v>4.9224684796352003E-2</v>
      </c>
      <c r="AL59" s="119">
        <v>4.9782379379445699E-2</v>
      </c>
      <c r="AM59" s="119">
        <v>4.9980108489144297E-2</v>
      </c>
      <c r="AN59" s="119">
        <v>5.0262906610692999E-2</v>
      </c>
      <c r="AO59" s="119">
        <v>5.0535932400393301E-2</v>
      </c>
      <c r="AP59" s="119">
        <v>5.0826723432277801E-2</v>
      </c>
      <c r="AQ59" s="119">
        <v>5.1413764236946498E-2</v>
      </c>
      <c r="AR59" s="119">
        <v>5.22610601614499E-2</v>
      </c>
      <c r="AS59" s="119">
        <v>5.4641887717971502E-2</v>
      </c>
      <c r="AT59" s="119">
        <v>5.7390684570384799E-2</v>
      </c>
      <c r="AU59" s="119">
        <v>6.0630351614899797E-2</v>
      </c>
      <c r="AV59" s="119">
        <v>6.4009787430593296E-2</v>
      </c>
      <c r="AW59" s="119">
        <v>6.7049650229989197E-2</v>
      </c>
      <c r="AX59" s="119">
        <v>7.0486420948796605E-2</v>
      </c>
      <c r="AY59" s="119">
        <v>7.3663058877924806E-2</v>
      </c>
      <c r="AZ59" s="119">
        <v>7.6804876954994994E-2</v>
      </c>
      <c r="BA59" s="119">
        <v>7.9920014182550306E-2</v>
      </c>
      <c r="BB59" s="119">
        <v>8.3414858698272004E-2</v>
      </c>
      <c r="BC59" s="119">
        <v>8.7724199775730802E-2</v>
      </c>
      <c r="BD59" s="119">
        <v>9.1014294916597294E-2</v>
      </c>
      <c r="BE59" s="119">
        <v>9.4003262575970206E-2</v>
      </c>
      <c r="BF59" s="119">
        <v>9.8077828371218603E-2</v>
      </c>
      <c r="BG59" s="119">
        <v>0.102355206566361</v>
      </c>
      <c r="BH59" s="119">
        <v>0.106795908107528</v>
      </c>
      <c r="BI59" s="119">
        <v>0.111689577349136</v>
      </c>
      <c r="BJ59" s="119">
        <v>0.116201887433178</v>
      </c>
      <c r="BK59" s="119">
        <v>0.12087750912853799</v>
      </c>
      <c r="BL59" s="119">
        <v>0.125169860467017</v>
      </c>
    </row>
    <row r="60" spans="1:64" x14ac:dyDescent="0.25">
      <c r="A60" s="860" t="s">
        <v>176</v>
      </c>
      <c r="B60" s="1">
        <v>233</v>
      </c>
      <c r="C60" s="119">
        <v>0.5</v>
      </c>
      <c r="D60" s="119">
        <v>0.32748744851280798</v>
      </c>
      <c r="E60" s="119">
        <v>0.33269842029098501</v>
      </c>
      <c r="F60" s="119">
        <v>0.33591781149812899</v>
      </c>
      <c r="G60" s="119">
        <v>0.340303961676239</v>
      </c>
      <c r="H60" s="119">
        <v>0.34594579114479201</v>
      </c>
      <c r="I60" s="119">
        <v>0.34795762594083002</v>
      </c>
      <c r="J60" s="119">
        <v>0.351882781314314</v>
      </c>
      <c r="K60" s="119">
        <v>0.35489311676254898</v>
      </c>
      <c r="L60" s="119">
        <v>0.36040423574236402</v>
      </c>
      <c r="M60" s="119">
        <v>0.36612614778938302</v>
      </c>
      <c r="N60" s="119">
        <v>0.36860694886406598</v>
      </c>
      <c r="O60" s="119">
        <v>0.370413597657962</v>
      </c>
      <c r="P60" s="119">
        <v>0.37479693644679701</v>
      </c>
      <c r="Q60" s="119">
        <v>0.37984374016128902</v>
      </c>
      <c r="R60" s="119">
        <v>0.38280561429927101</v>
      </c>
      <c r="S60" s="119">
        <v>0.38539240143612702</v>
      </c>
      <c r="T60" s="119">
        <v>0.38603481564159597</v>
      </c>
      <c r="U60" s="119">
        <v>0.38940072254083002</v>
      </c>
      <c r="V60" s="119">
        <v>0.39213240647529701</v>
      </c>
      <c r="W60" s="119">
        <v>0.395522373220488</v>
      </c>
      <c r="X60" s="119">
        <v>0.39624332587115202</v>
      </c>
      <c r="Y60" s="119">
        <v>0.39612889005908403</v>
      </c>
      <c r="Z60" s="119">
        <v>0.39492138186070402</v>
      </c>
      <c r="AA60" s="119">
        <v>0.39375773955372201</v>
      </c>
      <c r="AB60" s="119">
        <v>0.39365765354590798</v>
      </c>
      <c r="AC60" s="119">
        <v>0.39502906587881897</v>
      </c>
      <c r="AD60" s="119">
        <v>0.39796915874019401</v>
      </c>
      <c r="AE60" s="119">
        <v>0.39948036007386201</v>
      </c>
      <c r="AF60" s="119">
        <v>0.40079675573699303</v>
      </c>
      <c r="AG60" s="119">
        <v>0.40175466892213302</v>
      </c>
      <c r="AH60" s="119">
        <v>0.40364120089157601</v>
      </c>
      <c r="AI60" s="119">
        <v>0.40561904919451203</v>
      </c>
      <c r="AJ60" s="119">
        <v>0.40662281591321803</v>
      </c>
      <c r="AK60" s="119">
        <v>0.40709520246869801</v>
      </c>
      <c r="AL60" s="119">
        <v>0.40937477526757998</v>
      </c>
      <c r="AM60" s="119">
        <v>0.410458808272048</v>
      </c>
      <c r="AN60" s="119">
        <v>0.41239824974989198</v>
      </c>
      <c r="AO60" s="119">
        <v>0.41540220934481698</v>
      </c>
      <c r="AP60" s="119">
        <v>0.42009313055762898</v>
      </c>
      <c r="AQ60" s="119">
        <v>0.425741148147111</v>
      </c>
      <c r="AR60" s="119">
        <v>0.43142556628164203</v>
      </c>
      <c r="AS60" s="119">
        <v>0.44069462639885698</v>
      </c>
      <c r="AT60" s="119">
        <v>0.45009705527766403</v>
      </c>
      <c r="AU60" s="119">
        <v>0.45926120832307799</v>
      </c>
      <c r="AV60" s="119">
        <v>0.46769129093394401</v>
      </c>
      <c r="AW60" s="119">
        <v>0.47210515304110801</v>
      </c>
      <c r="AX60" s="119">
        <v>0.47471295614165998</v>
      </c>
      <c r="AY60" s="119">
        <v>0.47686184952883598</v>
      </c>
      <c r="AZ60" s="119">
        <v>0.47879338515418202</v>
      </c>
      <c r="BA60" s="119">
        <v>0.48001058191623702</v>
      </c>
      <c r="BB60" s="119">
        <v>0.48254275382849598</v>
      </c>
      <c r="BC60" s="119">
        <v>0.481988001091887</v>
      </c>
      <c r="BD60" s="119">
        <v>0.48292691648296299</v>
      </c>
      <c r="BE60" s="119">
        <v>0.48484124888723201</v>
      </c>
      <c r="BF60" s="119">
        <v>0.48585809703580102</v>
      </c>
      <c r="BG60" s="119">
        <v>0.48669998652364399</v>
      </c>
      <c r="BH60" s="119">
        <v>0.48787133956092199</v>
      </c>
      <c r="BI60" s="119">
        <v>0.48660231690113098</v>
      </c>
      <c r="BJ60" s="119">
        <v>0.48921645145136</v>
      </c>
      <c r="BK60" s="119">
        <v>0.48896878242067399</v>
      </c>
      <c r="BL60" s="119">
        <v>0.49011921073070203</v>
      </c>
    </row>
    <row r="61" spans="1:64" x14ac:dyDescent="0.25">
      <c r="A61" s="860" t="s">
        <v>1037</v>
      </c>
      <c r="B61" s="1">
        <v>748</v>
      </c>
      <c r="C61" s="119">
        <v>0.5</v>
      </c>
      <c r="D61" s="119">
        <v>1.0644338709844299E-2</v>
      </c>
      <c r="E61" s="119">
        <v>1.21496928386522E-2</v>
      </c>
      <c r="F61" s="119">
        <v>1.3829149559092899E-2</v>
      </c>
      <c r="G61" s="119">
        <v>1.6128044102801699E-2</v>
      </c>
      <c r="H61" s="119">
        <v>1.8517288028150999E-2</v>
      </c>
      <c r="I61" s="119">
        <v>2.10874876235276E-2</v>
      </c>
      <c r="J61" s="119">
        <v>2.4340395160738802E-2</v>
      </c>
      <c r="K61" s="119">
        <v>2.7593591190008301E-2</v>
      </c>
      <c r="L61" s="119">
        <v>3.1522789630357199E-2</v>
      </c>
      <c r="M61" s="119">
        <v>3.5751692884910001E-2</v>
      </c>
      <c r="N61" s="119">
        <v>4.0631623487549999E-2</v>
      </c>
      <c r="O61" s="119">
        <v>4.5850781916447703E-2</v>
      </c>
      <c r="P61" s="119">
        <v>5.1665907692463403E-2</v>
      </c>
      <c r="Q61" s="119">
        <v>5.8763546023532898E-2</v>
      </c>
      <c r="R61" s="119">
        <v>6.5785200728407697E-2</v>
      </c>
      <c r="S61" s="119">
        <v>7.3487593117995395E-2</v>
      </c>
      <c r="T61" s="119">
        <v>8.2504099315794194E-2</v>
      </c>
      <c r="U61" s="119">
        <v>9.1884541913520607E-2</v>
      </c>
      <c r="V61" s="119">
        <v>0.102560012098555</v>
      </c>
      <c r="W61" s="119">
        <v>0.114692631492889</v>
      </c>
      <c r="X61" s="119">
        <v>0.127242993281724</v>
      </c>
      <c r="Y61" s="119">
        <v>0.13976765062461899</v>
      </c>
      <c r="Z61" s="119">
        <v>0.15355034241239501</v>
      </c>
      <c r="AA61" s="119">
        <v>0.16765155825146499</v>
      </c>
      <c r="AB61" s="119">
        <v>0.181910075951706</v>
      </c>
      <c r="AC61" s="119">
        <v>0.19596293675468801</v>
      </c>
      <c r="AD61" s="119">
        <v>0.21072962754332999</v>
      </c>
      <c r="AE61" s="119">
        <v>0.225450893432002</v>
      </c>
      <c r="AF61" s="119">
        <v>0.240029318616307</v>
      </c>
      <c r="AG61" s="119">
        <v>0.25477552671812698</v>
      </c>
      <c r="AH61" s="119">
        <v>0.271277397713097</v>
      </c>
      <c r="AI61" s="119">
        <v>0.28857213386803099</v>
      </c>
      <c r="AJ61" s="119">
        <v>0.305857485544343</v>
      </c>
      <c r="AK61" s="119">
        <v>0.324256045217165</v>
      </c>
      <c r="AL61" s="119">
        <v>0.34260153714508301</v>
      </c>
      <c r="AM61" s="119">
        <v>0.36021410015674399</v>
      </c>
      <c r="AN61" s="119">
        <v>0.378054153400883</v>
      </c>
      <c r="AO61" s="119">
        <v>0.39784537175837598</v>
      </c>
      <c r="AP61" s="119">
        <v>0.41691023064811</v>
      </c>
      <c r="AQ61" s="119">
        <v>0.435772054705169</v>
      </c>
      <c r="AR61" s="119">
        <v>0.451209045627258</v>
      </c>
      <c r="AS61" s="119">
        <v>0.465425258722718</v>
      </c>
      <c r="AT61" s="119">
        <v>0.47787256709404102</v>
      </c>
      <c r="AU61" s="119">
        <v>0.48893298914475303</v>
      </c>
      <c r="AV61" s="119">
        <v>0.49915537724735698</v>
      </c>
      <c r="AW61" s="119">
        <v>0.50603787731030503</v>
      </c>
      <c r="AX61" s="119">
        <v>0.51051745467209497</v>
      </c>
      <c r="AY61" s="119">
        <v>0.51539639969432904</v>
      </c>
      <c r="AZ61" s="119">
        <v>0.52138404319952303</v>
      </c>
      <c r="BA61" s="119">
        <v>0.52569134094818304</v>
      </c>
      <c r="BB61" s="119">
        <v>0.52958622252722698</v>
      </c>
      <c r="BC61" s="119">
        <v>0.53326375753838995</v>
      </c>
      <c r="BD61" s="119">
        <v>0.53518367029244096</v>
      </c>
      <c r="BE61" s="119">
        <v>0.53853356967853405</v>
      </c>
      <c r="BF61" s="119">
        <v>0.54132676678374003</v>
      </c>
      <c r="BG61" s="119">
        <v>0.54615161994205397</v>
      </c>
      <c r="BH61" s="119">
        <v>0.54886249661502196</v>
      </c>
      <c r="BI61" s="119">
        <v>0.55111093492727103</v>
      </c>
      <c r="BJ61" s="119">
        <v>0.55512989383258804</v>
      </c>
      <c r="BK61" s="119">
        <v>0.55853025702489401</v>
      </c>
      <c r="BL61" s="119">
        <v>0.56079629498398798</v>
      </c>
    </row>
    <row r="62" spans="1:64" x14ac:dyDescent="0.25">
      <c r="A62" s="860" t="s">
        <v>29</v>
      </c>
      <c r="B62" s="1">
        <v>231</v>
      </c>
      <c r="C62" s="119">
        <v>0.5</v>
      </c>
      <c r="D62" s="119">
        <v>3.1586690515400602E-3</v>
      </c>
      <c r="E62" s="119">
        <v>3.5626257055986102E-3</v>
      </c>
      <c r="F62" s="119">
        <v>4.0465176051906297E-3</v>
      </c>
      <c r="G62" s="119">
        <v>4.6422026650257296E-3</v>
      </c>
      <c r="H62" s="119">
        <v>5.2953273751697597E-3</v>
      </c>
      <c r="I62" s="119">
        <v>6.0224410857875601E-3</v>
      </c>
      <c r="J62" s="119">
        <v>6.7400233902419797E-3</v>
      </c>
      <c r="K62" s="119">
        <v>7.6770425443351302E-3</v>
      </c>
      <c r="L62" s="119">
        <v>8.5717873033579299E-3</v>
      </c>
      <c r="M62" s="119">
        <v>9.65446168380143E-3</v>
      </c>
      <c r="N62" s="119">
        <v>1.0860976325957001E-2</v>
      </c>
      <c r="O62" s="119">
        <v>1.21487615275402E-2</v>
      </c>
      <c r="P62" s="119">
        <v>1.35332338676098E-2</v>
      </c>
      <c r="Q62" s="119">
        <v>1.51771666999274E-2</v>
      </c>
      <c r="R62" s="119">
        <v>1.6914208389212499E-2</v>
      </c>
      <c r="S62" s="119">
        <v>1.8783876013105601E-2</v>
      </c>
      <c r="T62" s="119">
        <v>2.07972153115355E-2</v>
      </c>
      <c r="U62" s="119">
        <v>2.3088955946066601E-2</v>
      </c>
      <c r="V62" s="119">
        <v>2.5190900731207701E-2</v>
      </c>
      <c r="W62" s="119">
        <v>2.72587864685815E-2</v>
      </c>
      <c r="X62" s="119">
        <v>2.9267685837280899E-2</v>
      </c>
      <c r="Y62" s="119">
        <v>3.0257885482507099E-2</v>
      </c>
      <c r="Z62" s="119">
        <v>3.09363729113649E-2</v>
      </c>
      <c r="AA62" s="119">
        <v>3.1334596730732397E-2</v>
      </c>
      <c r="AB62" s="119">
        <v>3.1810957277260403E-2</v>
      </c>
      <c r="AC62" s="119">
        <v>3.2223711139861999E-2</v>
      </c>
      <c r="AD62" s="119">
        <v>3.3138095021242001E-2</v>
      </c>
      <c r="AE62" s="119">
        <v>3.4798258601443803E-2</v>
      </c>
      <c r="AF62" s="119">
        <v>3.8357281336327598E-2</v>
      </c>
      <c r="AG62" s="119">
        <v>4.3144232942303302E-2</v>
      </c>
      <c r="AH62" s="119">
        <v>4.9139722413996501E-2</v>
      </c>
      <c r="AI62" s="119">
        <v>5.6949785408325897E-2</v>
      </c>
      <c r="AJ62" s="119">
        <v>6.5822109069476206E-2</v>
      </c>
      <c r="AK62" s="119">
        <v>7.5880900633937307E-2</v>
      </c>
      <c r="AL62" s="119">
        <v>8.7005215649796006E-2</v>
      </c>
      <c r="AM62" s="119">
        <v>9.9311982282467307E-2</v>
      </c>
      <c r="AN62" s="119">
        <v>0.112277417984817</v>
      </c>
      <c r="AO62" s="119">
        <v>0.125764421317864</v>
      </c>
      <c r="AP62" s="119">
        <v>0.13902087059533499</v>
      </c>
      <c r="AQ62" s="119">
        <v>0.153609918333457</v>
      </c>
      <c r="AR62" s="119">
        <v>0.16834546169783801</v>
      </c>
      <c r="AS62" s="119">
        <v>0.18309274078099</v>
      </c>
      <c r="AT62" s="119">
        <v>0.198728852175796</v>
      </c>
      <c r="AU62" s="119">
        <v>0.21350493294647599</v>
      </c>
      <c r="AV62" s="119">
        <v>0.226849912413848</v>
      </c>
      <c r="AW62" s="119">
        <v>0.23585030603816401</v>
      </c>
      <c r="AX62" s="119">
        <v>0.24238531481073899</v>
      </c>
      <c r="AY62" s="119">
        <v>0.24839074418985399</v>
      </c>
      <c r="AZ62" s="119">
        <v>0.25410270086077902</v>
      </c>
      <c r="BA62" s="119">
        <v>0.25763442855552399</v>
      </c>
      <c r="BB62" s="119">
        <v>0.256740298284581</v>
      </c>
      <c r="BC62" s="119">
        <v>0.26123454802478002</v>
      </c>
      <c r="BD62" s="119">
        <v>0.26908875292089102</v>
      </c>
      <c r="BE62" s="119">
        <v>0.27614381769146801</v>
      </c>
      <c r="BF62" s="119">
        <v>0.28429974375434303</v>
      </c>
      <c r="BG62" s="119">
        <v>0.29382412197896102</v>
      </c>
      <c r="BH62" s="119">
        <v>0.30260656799817198</v>
      </c>
      <c r="BI62" s="119">
        <v>0.30986552247051902</v>
      </c>
      <c r="BJ62" s="119">
        <v>0.317797471131058</v>
      </c>
      <c r="BK62" s="119">
        <v>0.32558428108799697</v>
      </c>
      <c r="BL62" s="119">
        <v>0.332110425125416</v>
      </c>
    </row>
    <row r="63" spans="1:64" x14ac:dyDescent="0.25">
      <c r="A63" s="860" t="s">
        <v>179</v>
      </c>
      <c r="B63" s="1">
        <v>242</v>
      </c>
      <c r="C63" s="119">
        <v>0.5</v>
      </c>
      <c r="D63" s="119">
        <v>0.20974271266356501</v>
      </c>
      <c r="E63" s="119">
        <v>0.21297555025342399</v>
      </c>
      <c r="F63" s="119">
        <v>0.21541065065869799</v>
      </c>
      <c r="G63" s="119">
        <v>0.21816284387512599</v>
      </c>
      <c r="H63" s="119">
        <v>0.22049235856834501</v>
      </c>
      <c r="I63" s="119">
        <v>0.22162474695291901</v>
      </c>
      <c r="J63" s="119">
        <v>0.22369896754106999</v>
      </c>
      <c r="K63" s="119">
        <v>0.22310888951687599</v>
      </c>
      <c r="L63" s="119">
        <v>0.223536226764803</v>
      </c>
      <c r="M63" s="119">
        <v>0.22430673194033199</v>
      </c>
      <c r="N63" s="119">
        <v>0.22473834241990701</v>
      </c>
      <c r="O63" s="119">
        <v>0.22639769939728399</v>
      </c>
      <c r="P63" s="119">
        <v>0.22716928411298501</v>
      </c>
      <c r="Q63" s="119">
        <v>0.22877211927771501</v>
      </c>
      <c r="R63" s="119">
        <v>0.230934875492977</v>
      </c>
      <c r="S63" s="119">
        <v>0.23340333840557201</v>
      </c>
      <c r="T63" s="119">
        <v>0.23432921743438201</v>
      </c>
      <c r="U63" s="119">
        <v>0.23676097247205</v>
      </c>
      <c r="V63" s="119">
        <v>0.237369993695492</v>
      </c>
      <c r="W63" s="119">
        <v>0.237580476069815</v>
      </c>
      <c r="X63" s="119">
        <v>0.238147263648646</v>
      </c>
      <c r="Y63" s="119">
        <v>0.24028795709470799</v>
      </c>
      <c r="Z63" s="119">
        <v>0.24131465015141401</v>
      </c>
      <c r="AA63" s="119">
        <v>0.242818275955096</v>
      </c>
      <c r="AB63" s="119">
        <v>0.24236497660328901</v>
      </c>
      <c r="AC63" s="119">
        <v>0.24523359574133999</v>
      </c>
      <c r="AD63" s="119">
        <v>0.24744184594988999</v>
      </c>
      <c r="AE63" s="119">
        <v>0.247442897798656</v>
      </c>
      <c r="AF63" s="119">
        <v>0.24777534104274099</v>
      </c>
      <c r="AG63" s="119">
        <v>0.24896442506827601</v>
      </c>
      <c r="AH63" s="119">
        <v>0.25087983970272398</v>
      </c>
      <c r="AI63" s="119">
        <v>0.25414505138911703</v>
      </c>
      <c r="AJ63" s="119">
        <v>0.25824467601992501</v>
      </c>
      <c r="AK63" s="119">
        <v>0.26345581473893398</v>
      </c>
      <c r="AL63" s="119">
        <v>0.26749353963292799</v>
      </c>
      <c r="AM63" s="119">
        <v>0.26923596101457897</v>
      </c>
      <c r="AN63" s="119">
        <v>0.26977251231913402</v>
      </c>
      <c r="AO63" s="119">
        <v>0.26986471088244202</v>
      </c>
      <c r="AP63" s="119">
        <v>0.27198804600874399</v>
      </c>
      <c r="AQ63" s="119">
        <v>0.27311292923417302</v>
      </c>
      <c r="AR63" s="119">
        <v>0.27467364419673501</v>
      </c>
      <c r="AS63" s="119">
        <v>0.27710563043588998</v>
      </c>
      <c r="AT63" s="119">
        <v>0.27936766411522401</v>
      </c>
      <c r="AU63" s="119">
        <v>0.28152074481170403</v>
      </c>
      <c r="AV63" s="119">
        <v>0.28387599021388199</v>
      </c>
      <c r="AW63" s="119">
        <v>0.28468481963318898</v>
      </c>
      <c r="AX63" s="119">
        <v>0.28605065622077702</v>
      </c>
      <c r="AY63" s="119">
        <v>0.28787009307053502</v>
      </c>
      <c r="AZ63" s="119">
        <v>0.29185206279734899</v>
      </c>
      <c r="BA63" s="119">
        <v>0.29386247735724902</v>
      </c>
      <c r="BB63" s="119">
        <v>0.29529561377310398</v>
      </c>
      <c r="BC63" s="119">
        <v>0.29582641142537602</v>
      </c>
      <c r="BD63" s="119">
        <v>0.29781095237834998</v>
      </c>
      <c r="BE63" s="119">
        <v>0.29924374526213698</v>
      </c>
      <c r="BF63" s="119">
        <v>0.30244951081669103</v>
      </c>
      <c r="BG63" s="119">
        <v>0.30394154325255901</v>
      </c>
      <c r="BH63" s="119">
        <v>0.30642367959820699</v>
      </c>
      <c r="BI63" s="119">
        <v>0.30772166153521202</v>
      </c>
      <c r="BJ63" s="119">
        <v>0.307678563466872</v>
      </c>
      <c r="BK63" s="119">
        <v>0.30870824782233602</v>
      </c>
      <c r="BL63" s="119">
        <v>0.30942404964138498</v>
      </c>
    </row>
    <row r="64" spans="1:64" x14ac:dyDescent="0.25">
      <c r="A64" s="860" t="s">
        <v>180</v>
      </c>
      <c r="B64" s="1">
        <v>246</v>
      </c>
      <c r="C64" s="119">
        <v>0.5</v>
      </c>
      <c r="D64" s="119">
        <v>0.60064525675755998</v>
      </c>
      <c r="E64" s="119">
        <v>0.60710470471966804</v>
      </c>
      <c r="F64" s="119">
        <v>0.61478512573481003</v>
      </c>
      <c r="G64" s="119">
        <v>0.62352213513947496</v>
      </c>
      <c r="H64" s="119">
        <v>0.63176217558144898</v>
      </c>
      <c r="I64" s="119">
        <v>0.63759921193938196</v>
      </c>
      <c r="J64" s="119">
        <v>0.64475473029498998</v>
      </c>
      <c r="K64" s="119">
        <v>0.65105166334931597</v>
      </c>
      <c r="L64" s="119">
        <v>0.65225541459068404</v>
      </c>
      <c r="M64" s="119">
        <v>0.65361354485592704</v>
      </c>
      <c r="N64" s="119">
        <v>0.65518288482721598</v>
      </c>
      <c r="O64" s="119">
        <v>0.65650647237460702</v>
      </c>
      <c r="P64" s="119">
        <v>0.65900068947468604</v>
      </c>
      <c r="Q64" s="119">
        <v>0.65984061789054405</v>
      </c>
      <c r="R64" s="119">
        <v>0.66164869578275698</v>
      </c>
      <c r="S64" s="119">
        <v>0.662352320102921</v>
      </c>
      <c r="T64" s="119">
        <v>0.66206552570235</v>
      </c>
      <c r="U64" s="119">
        <v>0.66501558536195804</v>
      </c>
      <c r="V64" s="119">
        <v>0.66722038263438899</v>
      </c>
      <c r="W64" s="119">
        <v>0.66984300831102705</v>
      </c>
      <c r="X64" s="119">
        <v>0.67055166895365803</v>
      </c>
      <c r="Y64" s="119">
        <v>0.67498489051204602</v>
      </c>
      <c r="Z64" s="119">
        <v>0.67933167900246705</v>
      </c>
      <c r="AA64" s="119">
        <v>0.67877405013454095</v>
      </c>
      <c r="AB64" s="119">
        <v>0.67738178915496605</v>
      </c>
      <c r="AC64" s="119">
        <v>0.67677393789653695</v>
      </c>
      <c r="AD64" s="119">
        <v>0.67677704356935198</v>
      </c>
      <c r="AE64" s="119">
        <v>0.67516518070964804</v>
      </c>
      <c r="AF64" s="119">
        <v>0.67278940720529301</v>
      </c>
      <c r="AG64" s="119">
        <v>0.67131631828072602</v>
      </c>
      <c r="AH64" s="119">
        <v>0.66951066582415497</v>
      </c>
      <c r="AI64" s="119">
        <v>0.66723175315421202</v>
      </c>
      <c r="AJ64" s="119">
        <v>0.66511703611783102</v>
      </c>
      <c r="AK64" s="119">
        <v>0.66311087729172602</v>
      </c>
      <c r="AL64" s="119">
        <v>0.66227147783013895</v>
      </c>
      <c r="AM64" s="119">
        <v>0.66045888835901401</v>
      </c>
      <c r="AN64" s="119">
        <v>0.660332857398641</v>
      </c>
      <c r="AO64" s="119">
        <v>0.66289484112457298</v>
      </c>
      <c r="AP64" s="119">
        <v>0.66839262027564095</v>
      </c>
      <c r="AQ64" s="119">
        <v>0.67783198111738696</v>
      </c>
      <c r="AR64" s="119">
        <v>0.68548605080958402</v>
      </c>
      <c r="AS64" s="119">
        <v>0.69503269194497896</v>
      </c>
      <c r="AT64" s="119">
        <v>0.70500222753738195</v>
      </c>
      <c r="AU64" s="119">
        <v>0.71379057358682896</v>
      </c>
      <c r="AV64" s="119">
        <v>0.72146928743155003</v>
      </c>
      <c r="AW64" s="119">
        <v>0.72819896092402103</v>
      </c>
      <c r="AX64" s="119">
        <v>0.73067901780480704</v>
      </c>
      <c r="AY64" s="119">
        <v>0.73144758895230699</v>
      </c>
      <c r="AZ64" s="119">
        <v>0.73235285588357801</v>
      </c>
      <c r="BA64" s="119">
        <v>0.73293856044912098</v>
      </c>
      <c r="BB64" s="119">
        <v>0.73307833654642096</v>
      </c>
      <c r="BC64" s="119">
        <v>0.73271836711976601</v>
      </c>
      <c r="BD64" s="119">
        <v>0.73257978206200702</v>
      </c>
      <c r="BE64" s="119">
        <v>0.73320580204621</v>
      </c>
      <c r="BF64" s="119">
        <v>0.73324991471615097</v>
      </c>
      <c r="BG64" s="119">
        <v>0.73335792451501103</v>
      </c>
      <c r="BH64" s="119">
        <v>0.73384381316901803</v>
      </c>
      <c r="BI64" s="119">
        <v>0.73340024164776096</v>
      </c>
      <c r="BJ64" s="119">
        <v>0.73241144192697205</v>
      </c>
      <c r="BK64" s="119">
        <v>0.73255068931998102</v>
      </c>
      <c r="BL64" s="119">
        <v>0.73270584780501802</v>
      </c>
    </row>
    <row r="65" spans="1:64" x14ac:dyDescent="0.25">
      <c r="A65" s="860" t="s">
        <v>181</v>
      </c>
      <c r="B65" s="1">
        <v>250</v>
      </c>
      <c r="C65" s="119">
        <v>0.5</v>
      </c>
      <c r="D65" s="119">
        <v>0.26799265326190902</v>
      </c>
      <c r="E65" s="119">
        <v>0.28172865710173201</v>
      </c>
      <c r="F65" s="119">
        <v>0.30019658634322199</v>
      </c>
      <c r="G65" s="119">
        <v>0.32232402661569898</v>
      </c>
      <c r="H65" s="119">
        <v>0.34285295856159598</v>
      </c>
      <c r="I65" s="119">
        <v>0.36462318220564899</v>
      </c>
      <c r="J65" s="119">
        <v>0.38632286281008998</v>
      </c>
      <c r="K65" s="119">
        <v>0.40726250916235701</v>
      </c>
      <c r="L65" s="119">
        <v>0.426235221209531</v>
      </c>
      <c r="M65" s="119">
        <v>0.443430036215128</v>
      </c>
      <c r="N65" s="119">
        <v>0.46043831148021502</v>
      </c>
      <c r="O65" s="119">
        <v>0.47771559331041302</v>
      </c>
      <c r="P65" s="119">
        <v>0.493747926655207</v>
      </c>
      <c r="Q65" s="119">
        <v>0.50788990204107898</v>
      </c>
      <c r="R65" s="119">
        <v>0.52046724018166202</v>
      </c>
      <c r="S65" s="119">
        <v>0.53235182069378395</v>
      </c>
      <c r="T65" s="119">
        <v>0.54324464991508703</v>
      </c>
      <c r="U65" s="119">
        <v>0.55267855251341103</v>
      </c>
      <c r="V65" s="119">
        <v>0.56211842241328103</v>
      </c>
      <c r="W65" s="119">
        <v>0.56814826658075801</v>
      </c>
      <c r="X65" s="119">
        <v>0.57319426748394497</v>
      </c>
      <c r="Y65" s="119">
        <v>0.57934357963535799</v>
      </c>
      <c r="Z65" s="119">
        <v>0.58438489325301701</v>
      </c>
      <c r="AA65" s="119">
        <v>0.58924072063139399</v>
      </c>
      <c r="AB65" s="119">
        <v>0.59436003039594199</v>
      </c>
      <c r="AC65" s="119">
        <v>0.59820236967985596</v>
      </c>
      <c r="AD65" s="119">
        <v>0.601462578287148</v>
      </c>
      <c r="AE65" s="119">
        <v>0.60366843335170295</v>
      </c>
      <c r="AF65" s="119">
        <v>0.60361373610021696</v>
      </c>
      <c r="AG65" s="119">
        <v>0.60590344045207201</v>
      </c>
      <c r="AH65" s="119">
        <v>0.60719187202726299</v>
      </c>
      <c r="AI65" s="119">
        <v>0.60781535230317696</v>
      </c>
      <c r="AJ65" s="119">
        <v>0.60799825595010304</v>
      </c>
      <c r="AK65" s="119">
        <v>0.60780405261922299</v>
      </c>
      <c r="AL65" s="119">
        <v>0.60862989276720103</v>
      </c>
      <c r="AM65" s="119">
        <v>0.60913301166479406</v>
      </c>
      <c r="AN65" s="119">
        <v>0.61087929482838299</v>
      </c>
      <c r="AO65" s="119">
        <v>0.615983376077756</v>
      </c>
      <c r="AP65" s="119">
        <v>0.62062286651252796</v>
      </c>
      <c r="AQ65" s="119">
        <v>0.62580746250340402</v>
      </c>
      <c r="AR65" s="119">
        <v>0.630048410591735</v>
      </c>
      <c r="AS65" s="119">
        <v>0.63309192374738199</v>
      </c>
      <c r="AT65" s="119">
        <v>0.63437575786985201</v>
      </c>
      <c r="AU65" s="119">
        <v>0.63541399537883003</v>
      </c>
      <c r="AV65" s="119">
        <v>0.63597561035992001</v>
      </c>
      <c r="AW65" s="119">
        <v>0.63587835530092995</v>
      </c>
      <c r="AX65" s="119">
        <v>0.63621825558918599</v>
      </c>
      <c r="AY65" s="119">
        <v>0.63626549865933701</v>
      </c>
      <c r="AZ65" s="119">
        <v>0.63700502670812698</v>
      </c>
      <c r="BA65" s="119">
        <v>0.63667971823064295</v>
      </c>
      <c r="BB65" s="119">
        <v>0.63496456055141204</v>
      </c>
      <c r="BC65" s="119">
        <v>0.63334486584413396</v>
      </c>
      <c r="BD65" s="119">
        <v>0.63333419618115605</v>
      </c>
      <c r="BE65" s="119">
        <v>0.63362156063380104</v>
      </c>
      <c r="BF65" s="119">
        <v>0.63278629585552704</v>
      </c>
      <c r="BG65" s="119">
        <v>0.63315639765216902</v>
      </c>
      <c r="BH65" s="119">
        <v>0.63150097411440598</v>
      </c>
      <c r="BI65" s="119">
        <v>0.63266241969884596</v>
      </c>
      <c r="BJ65" s="119">
        <v>0.63358888966258697</v>
      </c>
      <c r="BK65" s="119">
        <v>0.63252472512402202</v>
      </c>
      <c r="BL65" s="119">
        <v>0.63290968143613402</v>
      </c>
    </row>
    <row r="66" spans="1:64" x14ac:dyDescent="0.25">
      <c r="A66" s="860" t="s">
        <v>184</v>
      </c>
      <c r="B66" s="1">
        <v>266</v>
      </c>
      <c r="C66" s="119">
        <v>0.5</v>
      </c>
      <c r="D66" s="119">
        <v>1.7048203222750399E-2</v>
      </c>
      <c r="E66" s="119">
        <v>1.8887004671678101E-2</v>
      </c>
      <c r="F66" s="119">
        <v>2.0185658866243E-2</v>
      </c>
      <c r="G66" s="119">
        <v>2.1943380960367999E-2</v>
      </c>
      <c r="H66" s="119">
        <v>2.32454577868717E-2</v>
      </c>
      <c r="I66" s="119">
        <v>2.5198911581971899E-2</v>
      </c>
      <c r="J66" s="119">
        <v>2.7329350089806401E-2</v>
      </c>
      <c r="K66" s="119">
        <v>2.94620948665145E-2</v>
      </c>
      <c r="L66" s="119">
        <v>3.1741143924723499E-2</v>
      </c>
      <c r="M66" s="119">
        <v>3.4406617076224E-2</v>
      </c>
      <c r="N66" s="119">
        <v>3.6678405575348398E-2</v>
      </c>
      <c r="O66" s="119">
        <v>3.8951080560096801E-2</v>
      </c>
      <c r="P66" s="119">
        <v>4.1600388326127398E-2</v>
      </c>
      <c r="Q66" s="119">
        <v>4.4900495541927002E-2</v>
      </c>
      <c r="R66" s="119">
        <v>4.8180395124450701E-2</v>
      </c>
      <c r="S66" s="119">
        <v>5.1859806595054903E-2</v>
      </c>
      <c r="T66" s="119">
        <v>5.5301451725149699E-2</v>
      </c>
      <c r="U66" s="119">
        <v>5.9370726463933397E-2</v>
      </c>
      <c r="V66" s="119">
        <v>6.2932949836155605E-2</v>
      </c>
      <c r="W66" s="119">
        <v>6.7666898774940198E-2</v>
      </c>
      <c r="X66" s="119">
        <v>7.2298806922947698E-2</v>
      </c>
      <c r="Y66" s="119">
        <v>7.7524060133475403E-2</v>
      </c>
      <c r="Z66" s="119">
        <v>8.3675759669665895E-2</v>
      </c>
      <c r="AA66" s="119">
        <v>9.0321475698840401E-2</v>
      </c>
      <c r="AB66" s="119">
        <v>9.8260429142988007E-2</v>
      </c>
      <c r="AC66" s="119">
        <v>0.10595509500104699</v>
      </c>
      <c r="AD66" s="119">
        <v>0.113000852491346</v>
      </c>
      <c r="AE66" s="119">
        <v>0.123040516530713</v>
      </c>
      <c r="AF66" s="119">
        <v>0.13276516973688199</v>
      </c>
      <c r="AG66" s="119">
        <v>0.14244386225268499</v>
      </c>
      <c r="AH66" s="119">
        <v>0.15159453754657001</v>
      </c>
      <c r="AI66" s="119">
        <v>0.161893073314165</v>
      </c>
      <c r="AJ66" s="119">
        <v>0.170186456930845</v>
      </c>
      <c r="AK66" s="119">
        <v>0.17885536668841101</v>
      </c>
      <c r="AL66" s="119">
        <v>0.18564119323762099</v>
      </c>
      <c r="AM66" s="119">
        <v>0.19246953896362001</v>
      </c>
      <c r="AN66" s="119">
        <v>0.20026341207190401</v>
      </c>
      <c r="AO66" s="119">
        <v>0.2068425750616</v>
      </c>
      <c r="AP66" s="119">
        <v>0.21357292181401499</v>
      </c>
      <c r="AQ66" s="119">
        <v>0.22056747079206299</v>
      </c>
      <c r="AR66" s="119">
        <v>0.227591612353189</v>
      </c>
      <c r="AS66" s="119">
        <v>0.233255358092087</v>
      </c>
      <c r="AT66" s="119">
        <v>0.24000365023154799</v>
      </c>
      <c r="AU66" s="119">
        <v>0.247225843489532</v>
      </c>
      <c r="AV66" s="119">
        <v>0.25402503111347402</v>
      </c>
      <c r="AW66" s="119">
        <v>0.25995448784896802</v>
      </c>
      <c r="AX66" s="119">
        <v>0.26707396201357803</v>
      </c>
      <c r="AY66" s="119">
        <v>0.27308546833051001</v>
      </c>
      <c r="AZ66" s="119">
        <v>0.27836345493014197</v>
      </c>
      <c r="BA66" s="119">
        <v>0.28635276811174598</v>
      </c>
      <c r="BB66" s="119">
        <v>0.29133273478715099</v>
      </c>
      <c r="BC66" s="119">
        <v>0.29815339126012902</v>
      </c>
      <c r="BD66" s="119">
        <v>0.30522303233785197</v>
      </c>
      <c r="BE66" s="119">
        <v>0.31062495870634699</v>
      </c>
      <c r="BF66" s="119">
        <v>0.31750440414414</v>
      </c>
      <c r="BG66" s="119">
        <v>0.32470522249351802</v>
      </c>
      <c r="BH66" s="119">
        <v>0.33014358565179402</v>
      </c>
      <c r="BI66" s="119">
        <v>0.33550066118639699</v>
      </c>
      <c r="BJ66" s="119">
        <v>0.33904774544260802</v>
      </c>
      <c r="BK66" s="119">
        <v>0.343199148554997</v>
      </c>
      <c r="BL66" s="119">
        <v>0.34844434014671499</v>
      </c>
    </row>
    <row r="67" spans="1:64" x14ac:dyDescent="0.25">
      <c r="A67" s="860" t="s">
        <v>30</v>
      </c>
      <c r="B67" s="1">
        <v>270</v>
      </c>
      <c r="C67" s="119">
        <v>0.5</v>
      </c>
      <c r="D67" s="119">
        <v>1.0791939752049499E-2</v>
      </c>
      <c r="E67" s="119">
        <v>1.19386037823274E-2</v>
      </c>
      <c r="F67" s="119">
        <v>1.30701067385299E-2</v>
      </c>
      <c r="G67" s="119">
        <v>1.43718767311305E-2</v>
      </c>
      <c r="H67" s="119">
        <v>1.5838078219075399E-2</v>
      </c>
      <c r="I67" s="119">
        <v>1.7529904046585401E-2</v>
      </c>
      <c r="J67" s="119">
        <v>1.9181133498795602E-2</v>
      </c>
      <c r="K67" s="119">
        <v>2.1315494727214401E-2</v>
      </c>
      <c r="L67" s="119">
        <v>2.3545665182823701E-2</v>
      </c>
      <c r="M67" s="119">
        <v>2.58638317926034E-2</v>
      </c>
      <c r="N67" s="119">
        <v>2.8231923945109701E-2</v>
      </c>
      <c r="O67" s="119">
        <v>3.0657085571585599E-2</v>
      </c>
      <c r="P67" s="119">
        <v>3.3480431580493498E-2</v>
      </c>
      <c r="Q67" s="119">
        <v>3.66167309179194E-2</v>
      </c>
      <c r="R67" s="119">
        <v>3.9583040665889899E-2</v>
      </c>
      <c r="S67" s="119">
        <v>4.2816095695482198E-2</v>
      </c>
      <c r="T67" s="119">
        <v>4.5987739220445099E-2</v>
      </c>
      <c r="U67" s="119">
        <v>4.9309737025165501E-2</v>
      </c>
      <c r="V67" s="119">
        <v>5.28621605768817E-2</v>
      </c>
      <c r="W67" s="119">
        <v>5.6452710849903297E-2</v>
      </c>
      <c r="X67" s="119">
        <v>6.0644825148502501E-2</v>
      </c>
      <c r="Y67" s="119">
        <v>6.4246958698107204E-2</v>
      </c>
      <c r="Z67" s="119">
        <v>6.7972486415156103E-2</v>
      </c>
      <c r="AA67" s="119">
        <v>7.1116598994358501E-2</v>
      </c>
      <c r="AB67" s="119">
        <v>7.5250101103765496E-2</v>
      </c>
      <c r="AC67" s="119">
        <v>7.8874955470532304E-2</v>
      </c>
      <c r="AD67" s="119">
        <v>8.2126816602609801E-2</v>
      </c>
      <c r="AE67" s="119">
        <v>8.5710395516498894E-2</v>
      </c>
      <c r="AF67" s="119">
        <v>8.9203120621781207E-2</v>
      </c>
      <c r="AG67" s="119">
        <v>9.3150555284949602E-2</v>
      </c>
      <c r="AH67" s="119">
        <v>9.6739400720835395E-2</v>
      </c>
      <c r="AI67" s="119">
        <v>9.9538485162889004E-2</v>
      </c>
      <c r="AJ67" s="119">
        <v>9.8977357579357703E-2</v>
      </c>
      <c r="AK67" s="119">
        <v>9.72027009689026E-2</v>
      </c>
      <c r="AL67" s="119">
        <v>9.5066896229131406E-2</v>
      </c>
      <c r="AM67" s="119">
        <v>9.2606009709882794E-2</v>
      </c>
      <c r="AN67" s="119">
        <v>8.9957173223831996E-2</v>
      </c>
      <c r="AO67" s="119">
        <v>8.7088630564630107E-2</v>
      </c>
      <c r="AP67" s="119">
        <v>8.4084969509293506E-2</v>
      </c>
      <c r="AQ67" s="119">
        <v>8.1280530349547297E-2</v>
      </c>
      <c r="AR67" s="119">
        <v>7.7701306373010204E-2</v>
      </c>
      <c r="AS67" s="119">
        <v>7.5106291250917404E-2</v>
      </c>
      <c r="AT67" s="119">
        <v>7.2760176027353698E-2</v>
      </c>
      <c r="AU67" s="119">
        <v>7.2150605998964196E-2</v>
      </c>
      <c r="AV67" s="119">
        <v>7.5268447657200394E-2</v>
      </c>
      <c r="AW67" s="119">
        <v>8.0929286630137903E-2</v>
      </c>
      <c r="AX67" s="119">
        <v>8.7773140906365801E-2</v>
      </c>
      <c r="AY67" s="119">
        <v>9.5927427049538203E-2</v>
      </c>
      <c r="AZ67" s="119">
        <v>0.10460613707772801</v>
      </c>
      <c r="BA67" s="119">
        <v>0.11315256660547</v>
      </c>
      <c r="BB67" s="119">
        <v>0.120272245095219</v>
      </c>
      <c r="BC67" s="119">
        <v>0.12611760235595301</v>
      </c>
      <c r="BD67" s="119">
        <v>0.130810569884656</v>
      </c>
      <c r="BE67" s="119">
        <v>0.135813932328814</v>
      </c>
      <c r="BF67" s="119">
        <v>0.139287011152777</v>
      </c>
      <c r="BG67" s="119">
        <v>0.143580980226588</v>
      </c>
      <c r="BH67" s="119">
        <v>0.14813821726776299</v>
      </c>
      <c r="BI67" s="119">
        <v>0.15145574262775099</v>
      </c>
      <c r="BJ67" s="119">
        <v>0.154535500255636</v>
      </c>
      <c r="BK67" s="119">
        <v>0.15810329141919199</v>
      </c>
      <c r="BL67" s="119">
        <v>0.16254713527581199</v>
      </c>
    </row>
    <row r="68" spans="1:64" x14ac:dyDescent="0.25">
      <c r="A68" s="860" t="s">
        <v>185</v>
      </c>
      <c r="B68" s="1">
        <v>268</v>
      </c>
      <c r="C68" s="119">
        <v>0.5</v>
      </c>
      <c r="D68" s="119">
        <v>5.1960159882100301E-2</v>
      </c>
      <c r="E68" s="119">
        <v>5.3881268805728903E-2</v>
      </c>
      <c r="F68" s="119">
        <v>5.5663092203210002E-2</v>
      </c>
      <c r="G68" s="119">
        <v>5.8497052637968797E-2</v>
      </c>
      <c r="H68" s="119">
        <v>6.0042742538512703E-2</v>
      </c>
      <c r="I68" s="119">
        <v>6.1611517998130701E-2</v>
      </c>
      <c r="J68" s="119">
        <v>6.3539780705441307E-2</v>
      </c>
      <c r="K68" s="119">
        <v>6.5656858112814201E-2</v>
      </c>
      <c r="L68" s="119">
        <v>6.8445858445170801E-2</v>
      </c>
      <c r="M68" s="119">
        <v>7.0004766604714802E-2</v>
      </c>
      <c r="N68" s="119">
        <v>7.2666152724557898E-2</v>
      </c>
      <c r="O68" s="119">
        <v>7.5984830657584296E-2</v>
      </c>
      <c r="P68" s="119">
        <v>7.8532655256747394E-2</v>
      </c>
      <c r="Q68" s="119">
        <v>8.1965337238309094E-2</v>
      </c>
      <c r="R68" s="119">
        <v>8.5697978444361306E-2</v>
      </c>
      <c r="S68" s="119">
        <v>8.8219607064830702E-2</v>
      </c>
      <c r="T68" s="119">
        <v>9.0946452470182099E-2</v>
      </c>
      <c r="U68" s="119">
        <v>9.5596580440552095E-2</v>
      </c>
      <c r="V68" s="119">
        <v>9.9524291405776094E-2</v>
      </c>
      <c r="W68" s="119">
        <v>0.10259386552670501</v>
      </c>
      <c r="X68" s="119">
        <v>0.105439128962308</v>
      </c>
      <c r="Y68" s="119">
        <v>0.107725694071097</v>
      </c>
      <c r="Z68" s="119">
        <v>0.111387758116924</v>
      </c>
      <c r="AA68" s="119">
        <v>0.11282210190320099</v>
      </c>
      <c r="AB68" s="119">
        <v>0.11623070473878699</v>
      </c>
      <c r="AC68" s="119">
        <v>0.11786727001976199</v>
      </c>
      <c r="AD68" s="119">
        <v>0.12110548312521301</v>
      </c>
      <c r="AE68" s="119">
        <v>0.124438025035815</v>
      </c>
      <c r="AF68" s="119">
        <v>0.128001045197879</v>
      </c>
      <c r="AG68" s="119">
        <v>0.13043864254705501</v>
      </c>
      <c r="AH68" s="119">
        <v>0.133761281324806</v>
      </c>
      <c r="AI68" s="119">
        <v>0.14003297927953401</v>
      </c>
      <c r="AJ68" s="119">
        <v>0.144920157394132</v>
      </c>
      <c r="AK68" s="119">
        <v>0.14995589799519601</v>
      </c>
      <c r="AL68" s="119">
        <v>0.15482499368071401</v>
      </c>
      <c r="AM68" s="119">
        <v>0.16078182975439101</v>
      </c>
      <c r="AN68" s="119">
        <v>0.16742525022014201</v>
      </c>
      <c r="AO68" s="119">
        <v>0.173161982656661</v>
      </c>
      <c r="AP68" s="119">
        <v>0.17812251608667201</v>
      </c>
      <c r="AQ68" s="119">
        <v>0.18465225169430699</v>
      </c>
      <c r="AR68" s="119">
        <v>0.19207303796837399</v>
      </c>
      <c r="AS68" s="119">
        <v>0.19651920885590399</v>
      </c>
      <c r="AT68" s="119">
        <v>0.20143961842518299</v>
      </c>
      <c r="AU68" s="119">
        <v>0.20539909096290401</v>
      </c>
      <c r="AV68" s="119">
        <v>0.20940892933362701</v>
      </c>
      <c r="AW68" s="119">
        <v>0.211619445441873</v>
      </c>
      <c r="AX68" s="119">
        <v>0.21526294284040601</v>
      </c>
      <c r="AY68" s="119">
        <v>0.21830675758561899</v>
      </c>
      <c r="AZ68" s="119">
        <v>0.22062878948600001</v>
      </c>
      <c r="BA68" s="119">
        <v>0.22324230459979499</v>
      </c>
      <c r="BB68" s="119">
        <v>0.226853272256681</v>
      </c>
      <c r="BC68" s="119">
        <v>0.23035792876591701</v>
      </c>
      <c r="BD68" s="119">
        <v>0.23360208886137401</v>
      </c>
      <c r="BE68" s="119">
        <v>0.23650216756303499</v>
      </c>
      <c r="BF68" s="119">
        <v>0.23835287245502901</v>
      </c>
      <c r="BG68" s="119">
        <v>0.24052130292379501</v>
      </c>
      <c r="BH68" s="119">
        <v>0.242215070534746</v>
      </c>
      <c r="BI68" s="119">
        <v>0.24522284796487301</v>
      </c>
      <c r="BJ68" s="119">
        <v>0.24578476086177201</v>
      </c>
      <c r="BK68" s="119">
        <v>0.247626799487418</v>
      </c>
      <c r="BL68" s="119">
        <v>0.249634222927968</v>
      </c>
    </row>
    <row r="69" spans="1:64" x14ac:dyDescent="0.25">
      <c r="A69" s="860" t="s">
        <v>186</v>
      </c>
      <c r="B69" s="1">
        <v>276</v>
      </c>
      <c r="C69" s="119">
        <v>0.5</v>
      </c>
      <c r="D69" s="119">
        <v>0.465326546922194</v>
      </c>
      <c r="E69" s="119">
        <v>0.49005105796725301</v>
      </c>
      <c r="F69" s="119">
        <v>0.51173339695664899</v>
      </c>
      <c r="G69" s="119">
        <v>0.52525652556189995</v>
      </c>
      <c r="H69" s="119">
        <v>0.53471059904309604</v>
      </c>
      <c r="I69" s="119">
        <v>0.543736726065288</v>
      </c>
      <c r="J69" s="119">
        <v>0.55101422272991596</v>
      </c>
      <c r="K69" s="119">
        <v>0.55869551804560502</v>
      </c>
      <c r="L69" s="119">
        <v>0.56547718037688</v>
      </c>
      <c r="M69" s="119">
        <v>0.57324338348373804</v>
      </c>
      <c r="N69" s="119">
        <v>0.57946010811472404</v>
      </c>
      <c r="O69" s="119">
        <v>0.58382669948649502</v>
      </c>
      <c r="P69" s="119">
        <v>0.58968030170227004</v>
      </c>
      <c r="Q69" s="119">
        <v>0.59414760984780401</v>
      </c>
      <c r="R69" s="119">
        <v>0.59766727474018499</v>
      </c>
      <c r="S69" s="119">
        <v>0.599533445458036</v>
      </c>
      <c r="T69" s="119">
        <v>0.60086984453155801</v>
      </c>
      <c r="U69" s="119">
        <v>0.59880523125096796</v>
      </c>
      <c r="V69" s="119">
        <v>0.59664522509878204</v>
      </c>
      <c r="W69" s="119">
        <v>0.59308815868845799</v>
      </c>
      <c r="X69" s="119">
        <v>0.59019839387055095</v>
      </c>
      <c r="Y69" s="119">
        <v>0.58796381636822004</v>
      </c>
      <c r="Z69" s="119">
        <v>0.58480147954800799</v>
      </c>
      <c r="AA69" s="119">
        <v>0.58301362830523595</v>
      </c>
      <c r="AB69" s="119">
        <v>0.58092899855710101</v>
      </c>
      <c r="AC69" s="119">
        <v>0.57848647886307403</v>
      </c>
      <c r="AD69" s="119">
        <v>0.57557788180093095</v>
      </c>
      <c r="AE69" s="119">
        <v>0.573154400795996</v>
      </c>
      <c r="AF69" s="119">
        <v>0.56927039827098402</v>
      </c>
      <c r="AG69" s="119">
        <v>0.56601889433438002</v>
      </c>
      <c r="AH69" s="119">
        <v>0.56289020900724096</v>
      </c>
      <c r="AI69" s="119">
        <v>0.55951145606298103</v>
      </c>
      <c r="AJ69" s="119">
        <v>0.55575138609606101</v>
      </c>
      <c r="AK69" s="119">
        <v>0.551082125459321</v>
      </c>
      <c r="AL69" s="119">
        <v>0.54751047373850803</v>
      </c>
      <c r="AM69" s="119">
        <v>0.54557404698396605</v>
      </c>
      <c r="AN69" s="119">
        <v>0.54875480564557799</v>
      </c>
      <c r="AO69" s="119">
        <v>0.55364789819922</v>
      </c>
      <c r="AP69" s="119">
        <v>0.55944708893140205</v>
      </c>
      <c r="AQ69" s="119">
        <v>0.57116574850906698</v>
      </c>
      <c r="AR69" s="119">
        <v>0.58040443118173501</v>
      </c>
      <c r="AS69" s="119">
        <v>0.58654558646825505</v>
      </c>
      <c r="AT69" s="119">
        <v>0.58505096647182897</v>
      </c>
      <c r="AU69" s="119">
        <v>0.57957542205218204</v>
      </c>
      <c r="AV69" s="119">
        <v>0.57181911403348695</v>
      </c>
      <c r="AW69" s="119">
        <v>0.56511059971657995</v>
      </c>
      <c r="AX69" s="119">
        <v>0.555863603691376</v>
      </c>
      <c r="AY69" s="119">
        <v>0.54855948155956402</v>
      </c>
      <c r="AZ69" s="119">
        <v>0.54329941039302998</v>
      </c>
      <c r="BA69" s="119">
        <v>0.54100246587928003</v>
      </c>
      <c r="BB69" s="119">
        <v>0.53921374037816705</v>
      </c>
      <c r="BC69" s="119">
        <v>0.53705009583843</v>
      </c>
      <c r="BD69" s="119">
        <v>0.53755078319733995</v>
      </c>
      <c r="BE69" s="119">
        <v>0.53773433287903105</v>
      </c>
      <c r="BF69" s="119">
        <v>0.53931342373114499</v>
      </c>
      <c r="BG69" s="119">
        <v>0.54035280844053002</v>
      </c>
      <c r="BH69" s="119">
        <v>0.54059043073787305</v>
      </c>
      <c r="BI69" s="119">
        <v>0.54373775033782501</v>
      </c>
      <c r="BJ69" s="119">
        <v>0.54421001420807402</v>
      </c>
      <c r="BK69" s="119">
        <v>0.54545113922914501</v>
      </c>
      <c r="BL69" s="119">
        <v>0.54620230700014605</v>
      </c>
    </row>
    <row r="70" spans="1:64" x14ac:dyDescent="0.25">
      <c r="A70" s="860" t="s">
        <v>31</v>
      </c>
      <c r="B70" s="1">
        <v>288</v>
      </c>
      <c r="C70" s="119">
        <v>0.5</v>
      </c>
      <c r="D70" s="119">
        <v>1.8690009957249901E-2</v>
      </c>
      <c r="E70" s="119">
        <v>2.0364143741722698E-2</v>
      </c>
      <c r="F70" s="119">
        <v>2.2231644715979802E-2</v>
      </c>
      <c r="G70" s="119">
        <v>2.3982992431334501E-2</v>
      </c>
      <c r="H70" s="119">
        <v>2.60348645597239E-2</v>
      </c>
      <c r="I70" s="119">
        <v>2.8316486135053501E-2</v>
      </c>
      <c r="J70" s="119">
        <v>3.0584327959351999E-2</v>
      </c>
      <c r="K70" s="119">
        <v>3.2959571721286898E-2</v>
      </c>
      <c r="L70" s="119">
        <v>3.54117202200427E-2</v>
      </c>
      <c r="M70" s="119">
        <v>3.8069791306086502E-2</v>
      </c>
      <c r="N70" s="119">
        <v>3.9047919368091301E-2</v>
      </c>
      <c r="O70" s="119">
        <v>3.9945863362880599E-2</v>
      </c>
      <c r="P70" s="119">
        <v>4.0655107290622598E-2</v>
      </c>
      <c r="Q70" s="119">
        <v>4.1774299460691403E-2</v>
      </c>
      <c r="R70" s="119">
        <v>4.2586054484257202E-2</v>
      </c>
      <c r="S70" s="119">
        <v>4.3709622597376603E-2</v>
      </c>
      <c r="T70" s="119">
        <v>4.4803775533511003E-2</v>
      </c>
      <c r="U70" s="119">
        <v>4.64077665826539E-2</v>
      </c>
      <c r="V70" s="119">
        <v>4.8443288982612603E-2</v>
      </c>
      <c r="W70" s="119">
        <v>5.4394965667741199E-2</v>
      </c>
      <c r="X70" s="119">
        <v>6.1655460816219802E-2</v>
      </c>
      <c r="Y70" s="119">
        <v>7.0269139508430306E-2</v>
      </c>
      <c r="Z70" s="119">
        <v>7.7792518433884406E-2</v>
      </c>
      <c r="AA70" s="119">
        <v>8.5494948684337005E-2</v>
      </c>
      <c r="AB70" s="119">
        <v>9.0948216855819497E-2</v>
      </c>
      <c r="AC70" s="119">
        <v>9.5867304723396204E-2</v>
      </c>
      <c r="AD70" s="119">
        <v>0.100642038845037</v>
      </c>
      <c r="AE70" s="119">
        <v>0.10504948686299</v>
      </c>
      <c r="AF70" s="119">
        <v>0.109585408752535</v>
      </c>
      <c r="AG70" s="119">
        <v>0.116624781918388</v>
      </c>
      <c r="AH70" s="119">
        <v>0.124154917484378</v>
      </c>
      <c r="AI70" s="119">
        <v>0.131530162077443</v>
      </c>
      <c r="AJ70" s="119">
        <v>0.13855640389881599</v>
      </c>
      <c r="AK70" s="119">
        <v>0.14401348009398299</v>
      </c>
      <c r="AL70" s="119">
        <v>0.14276322480589199</v>
      </c>
      <c r="AM70" s="119">
        <v>0.14071888919356901</v>
      </c>
      <c r="AN70" s="119">
        <v>0.13909838482860701</v>
      </c>
      <c r="AO70" s="119">
        <v>0.13903127536874599</v>
      </c>
      <c r="AP70" s="119">
        <v>0.14141293614018</v>
      </c>
      <c r="AQ70" s="119">
        <v>0.149742430326708</v>
      </c>
      <c r="AR70" s="119">
        <v>0.159916426952321</v>
      </c>
      <c r="AS70" s="119">
        <v>0.16985953874759399</v>
      </c>
      <c r="AT70" s="119">
        <v>0.176617283274694</v>
      </c>
      <c r="AU70" s="119">
        <v>0.18297962368574899</v>
      </c>
      <c r="AV70" s="119">
        <v>0.189715108543803</v>
      </c>
      <c r="AW70" s="119">
        <v>0.20399161378450001</v>
      </c>
      <c r="AX70" s="119">
        <v>0.20584817294576899</v>
      </c>
      <c r="AY70" s="119">
        <v>0.20402656872084801</v>
      </c>
      <c r="AZ70" s="119">
        <v>0.20738812044431701</v>
      </c>
      <c r="BA70" s="119">
        <v>0.21137081523917201</v>
      </c>
      <c r="BB70" s="119">
        <v>0.21623505611726701</v>
      </c>
      <c r="BC70" s="119">
        <v>0.222135422637947</v>
      </c>
      <c r="BD70" s="119">
        <v>0.227647431687209</v>
      </c>
      <c r="BE70" s="119">
        <v>0.232937358710432</v>
      </c>
      <c r="BF70" s="119">
        <v>0.239839190815863</v>
      </c>
      <c r="BG70" s="119">
        <v>0.244519928968155</v>
      </c>
      <c r="BH70" s="119">
        <v>0.25019919813327002</v>
      </c>
      <c r="BI70" s="119">
        <v>0.254932326425022</v>
      </c>
      <c r="BJ70" s="119">
        <v>0.260061145048602</v>
      </c>
      <c r="BK70" s="119">
        <v>0.265446516412911</v>
      </c>
      <c r="BL70" s="119">
        <v>0.27062284615687998</v>
      </c>
    </row>
    <row r="71" spans="1:64" x14ac:dyDescent="0.25">
      <c r="A71" s="860" t="s">
        <v>188</v>
      </c>
      <c r="B71" s="1">
        <v>300</v>
      </c>
      <c r="C71" s="119">
        <v>0.5</v>
      </c>
      <c r="D71" s="119">
        <v>0.12800681173446199</v>
      </c>
      <c r="E71" s="119">
        <v>0.13182318014330199</v>
      </c>
      <c r="F71" s="119">
        <v>0.136059766864145</v>
      </c>
      <c r="G71" s="119">
        <v>0.14010903383543899</v>
      </c>
      <c r="H71" s="119">
        <v>0.14217439537225601</v>
      </c>
      <c r="I71" s="119">
        <v>0.14890287474612099</v>
      </c>
      <c r="J71" s="119">
        <v>0.153461935012175</v>
      </c>
      <c r="K71" s="119">
        <v>0.15849391717328101</v>
      </c>
      <c r="L71" s="119">
        <v>0.16361255726628199</v>
      </c>
      <c r="M71" s="119">
        <v>0.16894493024389201</v>
      </c>
      <c r="N71" s="119">
        <v>0.17360667761524801</v>
      </c>
      <c r="O71" s="119">
        <v>0.17959588797059201</v>
      </c>
      <c r="P71" s="119">
        <v>0.18275225372760301</v>
      </c>
      <c r="Q71" s="119">
        <v>0.18660109843407099</v>
      </c>
      <c r="R71" s="119">
        <v>0.188361112387218</v>
      </c>
      <c r="S71" s="119">
        <v>0.192908572430112</v>
      </c>
      <c r="T71" s="119">
        <v>0.19590232484512099</v>
      </c>
      <c r="U71" s="119">
        <v>0.199077144604179</v>
      </c>
      <c r="V71" s="119">
        <v>0.20189676332151599</v>
      </c>
      <c r="W71" s="119">
        <v>0.20459529092766601</v>
      </c>
      <c r="X71" s="119">
        <v>0.20607444761923799</v>
      </c>
      <c r="Y71" s="119">
        <v>0.209590371919293</v>
      </c>
      <c r="Z71" s="119">
        <v>0.21481511620941299</v>
      </c>
      <c r="AA71" s="119">
        <v>0.219014855366191</v>
      </c>
      <c r="AB71" s="119">
        <v>0.22183955842518199</v>
      </c>
      <c r="AC71" s="119">
        <v>0.226093891790623</v>
      </c>
      <c r="AD71" s="119">
        <v>0.231778168507417</v>
      </c>
      <c r="AE71" s="119">
        <v>0.23621705214368599</v>
      </c>
      <c r="AF71" s="119">
        <v>0.24088741965704599</v>
      </c>
      <c r="AG71" s="119">
        <v>0.246998600130311</v>
      </c>
      <c r="AH71" s="119">
        <v>0.25882566662121997</v>
      </c>
      <c r="AI71" s="119">
        <v>0.27095843047733698</v>
      </c>
      <c r="AJ71" s="119">
        <v>0.27894084895488402</v>
      </c>
      <c r="AK71" s="119">
        <v>0.28515244587921901</v>
      </c>
      <c r="AL71" s="119">
        <v>0.290524020928767</v>
      </c>
      <c r="AM71" s="119">
        <v>0.29741667813299499</v>
      </c>
      <c r="AN71" s="119">
        <v>0.30395981132309302</v>
      </c>
      <c r="AO71" s="119">
        <v>0.30777804356530802</v>
      </c>
      <c r="AP71" s="119">
        <v>0.31517968696302001</v>
      </c>
      <c r="AQ71" s="119">
        <v>0.32218869127350702</v>
      </c>
      <c r="AR71" s="119">
        <v>0.328251641350705</v>
      </c>
      <c r="AS71" s="119">
        <v>0.33439004566264002</v>
      </c>
      <c r="AT71" s="119">
        <v>0.34178355025188401</v>
      </c>
      <c r="AU71" s="119">
        <v>0.34677137792469798</v>
      </c>
      <c r="AV71" s="119">
        <v>0.35234844221566902</v>
      </c>
      <c r="AW71" s="119">
        <v>0.35654848916700599</v>
      </c>
      <c r="AX71" s="119">
        <v>0.36012136726771898</v>
      </c>
      <c r="AY71" s="119">
        <v>0.36477554265108703</v>
      </c>
      <c r="AZ71" s="119">
        <v>0.36772419737803802</v>
      </c>
      <c r="BA71" s="119">
        <v>0.36999646515437101</v>
      </c>
      <c r="BB71" s="119">
        <v>0.37530074475735697</v>
      </c>
      <c r="BC71" s="119">
        <v>0.378001201099325</v>
      </c>
      <c r="BD71" s="119">
        <v>0.38371403440337798</v>
      </c>
      <c r="BE71" s="119">
        <v>0.38636491490151598</v>
      </c>
      <c r="BF71" s="119">
        <v>0.39011754106934499</v>
      </c>
      <c r="BG71" s="119">
        <v>0.39412339150113701</v>
      </c>
      <c r="BH71" s="119">
        <v>0.39598231551082402</v>
      </c>
      <c r="BI71" s="119">
        <v>0.40099470274141202</v>
      </c>
      <c r="BJ71" s="119">
        <v>0.40481087532879001</v>
      </c>
      <c r="BK71" s="119">
        <v>0.40772133794979598</v>
      </c>
      <c r="BL71" s="119">
        <v>0.41408353139258502</v>
      </c>
    </row>
    <row r="72" spans="1:64" x14ac:dyDescent="0.25">
      <c r="A72" s="860" t="s">
        <v>190</v>
      </c>
      <c r="B72" s="1">
        <v>308</v>
      </c>
      <c r="C72" s="119">
        <v>0.5</v>
      </c>
      <c r="D72" s="119">
        <v>0.103842319327032</v>
      </c>
      <c r="E72" s="119">
        <v>0.106903911146234</v>
      </c>
      <c r="F72" s="119">
        <v>0.10834451741212101</v>
      </c>
      <c r="G72" s="119">
        <v>0.11058401748121199</v>
      </c>
      <c r="H72" s="119">
        <v>0.11351369075745001</v>
      </c>
      <c r="I72" s="119">
        <v>0.11837003937606499</v>
      </c>
      <c r="J72" s="119">
        <v>0.12172211787685</v>
      </c>
      <c r="K72" s="119">
        <v>0.12353914399056901</v>
      </c>
      <c r="L72" s="119">
        <v>0.12771943976389899</v>
      </c>
      <c r="M72" s="119">
        <v>0.13229523510095301</v>
      </c>
      <c r="N72" s="119">
        <v>0.13637777078860899</v>
      </c>
      <c r="O72" s="119">
        <v>0.140255696095136</v>
      </c>
      <c r="P72" s="119">
        <v>0.14681759141452899</v>
      </c>
      <c r="Q72" s="119">
        <v>0.15272387724279601</v>
      </c>
      <c r="R72" s="119">
        <v>0.15816459438886599</v>
      </c>
      <c r="S72" s="119">
        <v>0.167087109855282</v>
      </c>
      <c r="T72" s="119">
        <v>0.17881746195975001</v>
      </c>
      <c r="U72" s="119">
        <v>0.19012261485264101</v>
      </c>
      <c r="V72" s="119">
        <v>0.20240054347658601</v>
      </c>
      <c r="W72" s="119">
        <v>0.21467459875546099</v>
      </c>
      <c r="X72" s="119">
        <v>0.22486059715064899</v>
      </c>
      <c r="Y72" s="119">
        <v>0.234042456756311</v>
      </c>
      <c r="Z72" s="119">
        <v>0.24238588602574901</v>
      </c>
      <c r="AA72" s="119">
        <v>0.24996808572344001</v>
      </c>
      <c r="AB72" s="119">
        <v>0.25778860229545703</v>
      </c>
      <c r="AC72" s="119">
        <v>0.26561221796759499</v>
      </c>
      <c r="AD72" s="119">
        <v>0.273556117320708</v>
      </c>
      <c r="AE72" s="119">
        <v>0.27974624866578102</v>
      </c>
      <c r="AF72" s="119">
        <v>0.28448112977027701</v>
      </c>
      <c r="AG72" s="119">
        <v>0.29060419801887599</v>
      </c>
      <c r="AH72" s="119">
        <v>0.29576301635548802</v>
      </c>
      <c r="AI72" s="119">
        <v>0.30161035134424302</v>
      </c>
      <c r="AJ72" s="119">
        <v>0.306147761727111</v>
      </c>
      <c r="AK72" s="119">
        <v>0.312859026355993</v>
      </c>
      <c r="AL72" s="119">
        <v>0.319173412204524</v>
      </c>
      <c r="AM72" s="119">
        <v>0.32784722026517299</v>
      </c>
      <c r="AN72" s="119">
        <v>0.33421312429095101</v>
      </c>
      <c r="AO72" s="119">
        <v>0.34209641917325001</v>
      </c>
      <c r="AP72" s="119">
        <v>0.347813375869443</v>
      </c>
      <c r="AQ72" s="119">
        <v>0.35303814762179903</v>
      </c>
      <c r="AR72" s="119">
        <v>0.35890371836141999</v>
      </c>
      <c r="AS72" s="119">
        <v>0.36400734136957302</v>
      </c>
      <c r="AT72" s="119">
        <v>0.368047586946254</v>
      </c>
      <c r="AU72" s="119">
        <v>0.371054298279891</v>
      </c>
      <c r="AV72" s="119">
        <v>0.37767255630037</v>
      </c>
      <c r="AW72" s="119">
        <v>0.38366437304850298</v>
      </c>
      <c r="AX72" s="119">
        <v>0.39180043170687501</v>
      </c>
      <c r="AY72" s="119">
        <v>0.39844028889540001</v>
      </c>
      <c r="AZ72" s="119">
        <v>0.40436661510777999</v>
      </c>
      <c r="BA72" s="119">
        <v>0.412196855968681</v>
      </c>
      <c r="BB72" s="119">
        <v>0.41896813032517</v>
      </c>
      <c r="BC72" s="119">
        <v>0.424868973550864</v>
      </c>
      <c r="BD72" s="119">
        <v>0.43062127281544699</v>
      </c>
      <c r="BE72" s="119">
        <v>0.43531576044154702</v>
      </c>
      <c r="BF72" s="119">
        <v>0.43910866732939302</v>
      </c>
      <c r="BG72" s="119">
        <v>0.44476999213276203</v>
      </c>
      <c r="BH72" s="119">
        <v>0.44817283987961098</v>
      </c>
      <c r="BI72" s="119">
        <v>0.455320351892185</v>
      </c>
      <c r="BJ72" s="119">
        <v>0.458309403810571</v>
      </c>
      <c r="BK72" s="119">
        <v>0.46434329337572</v>
      </c>
      <c r="BL72" s="119">
        <v>0.46910392014500701</v>
      </c>
    </row>
    <row r="73" spans="1:64" x14ac:dyDescent="0.25">
      <c r="A73" s="860" t="s">
        <v>191</v>
      </c>
      <c r="B73" s="1">
        <v>312</v>
      </c>
      <c r="C73" s="119">
        <v>0.5</v>
      </c>
      <c r="D73" s="119">
        <v>0.107361379944552</v>
      </c>
      <c r="E73" s="119">
        <v>0.112385696169556</v>
      </c>
      <c r="F73" s="119">
        <v>0.116240617864504</v>
      </c>
      <c r="G73" s="119">
        <v>0.120045353234214</v>
      </c>
      <c r="H73" s="119">
        <v>0.123064771382601</v>
      </c>
      <c r="I73" s="119">
        <v>0.125745086574896</v>
      </c>
      <c r="J73" s="119">
        <v>0.13083294059864101</v>
      </c>
      <c r="K73" s="119">
        <v>0.13667937543118999</v>
      </c>
      <c r="L73" s="119">
        <v>0.14255936313412401</v>
      </c>
      <c r="M73" s="119">
        <v>0.147598021108683</v>
      </c>
      <c r="N73" s="119">
        <v>0.15384217437275599</v>
      </c>
      <c r="O73" s="119">
        <v>0.16029238573164101</v>
      </c>
      <c r="P73" s="119">
        <v>0.16842086997226799</v>
      </c>
      <c r="Q73" s="119">
        <v>0.175663210629879</v>
      </c>
      <c r="R73" s="119">
        <v>0.18268113214934301</v>
      </c>
      <c r="S73" s="119">
        <v>0.190499186454302</v>
      </c>
      <c r="T73" s="119">
        <v>0.20008637817621699</v>
      </c>
      <c r="U73" s="119">
        <v>0.207494268886113</v>
      </c>
      <c r="V73" s="119">
        <v>0.21628882984417699</v>
      </c>
      <c r="W73" s="119">
        <v>0.225788430549928</v>
      </c>
      <c r="X73" s="119">
        <v>0.233938868064444</v>
      </c>
      <c r="Y73" s="119">
        <v>0.24307465277458001</v>
      </c>
      <c r="Z73" s="119">
        <v>0.25218328471580198</v>
      </c>
      <c r="AA73" s="119">
        <v>0.26129639301165303</v>
      </c>
      <c r="AB73" s="119">
        <v>0.26671682864954299</v>
      </c>
      <c r="AC73" s="119">
        <v>0.27550018112094898</v>
      </c>
      <c r="AD73" s="119">
        <v>0.283815149893556</v>
      </c>
      <c r="AE73" s="119">
        <v>0.292623639707915</v>
      </c>
      <c r="AF73" s="119">
        <v>0.29975641953285798</v>
      </c>
      <c r="AG73" s="119">
        <v>0.30720445316633999</v>
      </c>
      <c r="AH73" s="119">
        <v>0.312462895696341</v>
      </c>
      <c r="AI73" s="119">
        <v>0.31986493134302202</v>
      </c>
      <c r="AJ73" s="119">
        <v>0.32663349075530002</v>
      </c>
      <c r="AK73" s="119">
        <v>0.334845818965048</v>
      </c>
      <c r="AL73" s="119">
        <v>0.341731812363048</v>
      </c>
      <c r="AM73" s="119">
        <v>0.34899756799799497</v>
      </c>
      <c r="AN73" s="119">
        <v>0.35464493118393903</v>
      </c>
      <c r="AO73" s="119">
        <v>0.35954645611724201</v>
      </c>
      <c r="AP73" s="119">
        <v>0.36606148289031298</v>
      </c>
      <c r="AQ73" s="119">
        <v>0.37005231774913999</v>
      </c>
      <c r="AR73" s="119">
        <v>0.37455973766300199</v>
      </c>
      <c r="AS73" s="119">
        <v>0.37847430129531601</v>
      </c>
      <c r="AT73" s="119">
        <v>0.38436320940549701</v>
      </c>
      <c r="AU73" s="119">
        <v>0.38872632239884403</v>
      </c>
      <c r="AV73" s="119">
        <v>0.39128976182782599</v>
      </c>
      <c r="AW73" s="119">
        <v>0.39483066402051098</v>
      </c>
      <c r="AX73" s="119">
        <v>0.39668632195193099</v>
      </c>
      <c r="AY73" s="119">
        <v>0.40072661953063399</v>
      </c>
      <c r="AZ73" s="119">
        <v>0.40465408890614502</v>
      </c>
      <c r="BA73" s="119">
        <v>0.40686905402763901</v>
      </c>
      <c r="BB73" s="119">
        <v>0.41010381706673998</v>
      </c>
      <c r="BC73" s="119">
        <v>0.412166662573409</v>
      </c>
      <c r="BD73" s="119">
        <v>0.41595586093505699</v>
      </c>
      <c r="BE73" s="119">
        <v>0.42102245729006199</v>
      </c>
      <c r="BF73" s="119">
        <v>0.42422136397639398</v>
      </c>
      <c r="BG73" s="119">
        <v>0.42949053925328601</v>
      </c>
      <c r="BH73" s="119">
        <v>0.43333734871249502</v>
      </c>
      <c r="BI73" s="119">
        <v>0.43738411478820099</v>
      </c>
      <c r="BJ73" s="119">
        <v>0.44184089104589203</v>
      </c>
      <c r="BK73" s="119">
        <v>0.44714711156530501</v>
      </c>
      <c r="BL73" s="119">
        <v>0.45280965428032899</v>
      </c>
    </row>
    <row r="74" spans="1:64" x14ac:dyDescent="0.25">
      <c r="A74" s="860" t="s">
        <v>192</v>
      </c>
      <c r="B74" s="1">
        <v>316</v>
      </c>
      <c r="C74" s="119">
        <v>0.5</v>
      </c>
      <c r="D74" s="119">
        <v>0.27453287873458199</v>
      </c>
      <c r="E74" s="119">
        <v>0.27732071597949798</v>
      </c>
      <c r="F74" s="119">
        <v>0.27981544451338303</v>
      </c>
      <c r="G74" s="119">
        <v>0.28365966627144101</v>
      </c>
      <c r="H74" s="119">
        <v>0.287132915735481</v>
      </c>
      <c r="I74" s="119">
        <v>0.29084367495559199</v>
      </c>
      <c r="J74" s="119">
        <v>0.29442736121612001</v>
      </c>
      <c r="K74" s="119">
        <v>0.29533295358051997</v>
      </c>
      <c r="L74" s="119">
        <v>0.29629446221578698</v>
      </c>
      <c r="M74" s="119">
        <v>0.29919697941523199</v>
      </c>
      <c r="N74" s="119">
        <v>0.30358796426552898</v>
      </c>
      <c r="O74" s="119">
        <v>0.30403228235895002</v>
      </c>
      <c r="P74" s="119">
        <v>0.304578393318162</v>
      </c>
      <c r="Q74" s="119">
        <v>0.30582793124018198</v>
      </c>
      <c r="R74" s="119">
        <v>0.306240772182652</v>
      </c>
      <c r="S74" s="119">
        <v>0.30677115119925402</v>
      </c>
      <c r="T74" s="119">
        <v>0.30835881205263399</v>
      </c>
      <c r="U74" s="119">
        <v>0.30984849263071901</v>
      </c>
      <c r="V74" s="119">
        <v>0.31065558754101802</v>
      </c>
      <c r="W74" s="119">
        <v>0.31400223370161501</v>
      </c>
      <c r="X74" s="119">
        <v>0.31519606357921298</v>
      </c>
      <c r="Y74" s="119">
        <v>0.31696062114779999</v>
      </c>
      <c r="Z74" s="119">
        <v>0.31989530573938602</v>
      </c>
      <c r="AA74" s="119">
        <v>0.323151768059245</v>
      </c>
      <c r="AB74" s="119">
        <v>0.326607234156429</v>
      </c>
      <c r="AC74" s="119">
        <v>0.32957650037791802</v>
      </c>
      <c r="AD74" s="119">
        <v>0.33340393537645102</v>
      </c>
      <c r="AE74" s="119">
        <v>0.33757143690908797</v>
      </c>
      <c r="AF74" s="119">
        <v>0.34067296761412202</v>
      </c>
      <c r="AG74" s="119">
        <v>0.343347701239267</v>
      </c>
      <c r="AH74" s="119">
        <v>0.34518749436402901</v>
      </c>
      <c r="AI74" s="119">
        <v>0.34486806462602498</v>
      </c>
      <c r="AJ74" s="119">
        <v>0.34771571985628802</v>
      </c>
      <c r="AK74" s="119">
        <v>0.34692774625634099</v>
      </c>
      <c r="AL74" s="119">
        <v>0.34742558314287803</v>
      </c>
      <c r="AM74" s="119">
        <v>0.34679619477968598</v>
      </c>
      <c r="AN74" s="119">
        <v>0.34608512563573601</v>
      </c>
      <c r="AO74" s="119">
        <v>0.34584786696991898</v>
      </c>
      <c r="AP74" s="119">
        <v>0.34575670909447398</v>
      </c>
      <c r="AQ74" s="119">
        <v>0.34536982748239597</v>
      </c>
      <c r="AR74" s="119">
        <v>0.34646431020504698</v>
      </c>
      <c r="AS74" s="119">
        <v>0.34674640855948202</v>
      </c>
      <c r="AT74" s="119">
        <v>0.346410923258272</v>
      </c>
      <c r="AU74" s="119">
        <v>0.346327628654507</v>
      </c>
      <c r="AV74" s="119">
        <v>0.34516828632222701</v>
      </c>
      <c r="AW74" s="119">
        <v>0.34490893386856197</v>
      </c>
      <c r="AX74" s="119">
        <v>0.344365884568759</v>
      </c>
      <c r="AY74" s="119">
        <v>0.34562606485918701</v>
      </c>
      <c r="AZ74" s="119">
        <v>0.34781741932643401</v>
      </c>
      <c r="BA74" s="119">
        <v>0.34687006228856798</v>
      </c>
      <c r="BB74" s="119">
        <v>0.34941886948260398</v>
      </c>
      <c r="BC74" s="119">
        <v>0.35099647154399399</v>
      </c>
      <c r="BD74" s="119">
        <v>0.353511442832187</v>
      </c>
      <c r="BE74" s="119">
        <v>0.35565353884038797</v>
      </c>
      <c r="BF74" s="119">
        <v>0.357786502226628</v>
      </c>
      <c r="BG74" s="119">
        <v>0.35916144777243197</v>
      </c>
      <c r="BH74" s="119">
        <v>0.36126285770164301</v>
      </c>
      <c r="BI74" s="119">
        <v>0.36370938094796101</v>
      </c>
      <c r="BJ74" s="119">
        <v>0.36755512511884503</v>
      </c>
      <c r="BK74" s="119">
        <v>0.36980089384067799</v>
      </c>
      <c r="BL74" s="119">
        <v>0.37214059598557298</v>
      </c>
    </row>
    <row r="75" spans="1:64" x14ac:dyDescent="0.25">
      <c r="A75" s="860" t="s">
        <v>193</v>
      </c>
      <c r="B75" s="1">
        <v>320</v>
      </c>
      <c r="C75" s="119">
        <v>0.5</v>
      </c>
      <c r="D75" s="119">
        <v>6.3668179780988293E-2</v>
      </c>
      <c r="E75" s="119">
        <v>6.8283823511692099E-2</v>
      </c>
      <c r="F75" s="119">
        <v>7.3059495200643906E-2</v>
      </c>
      <c r="G75" s="119">
        <v>7.78177604606064E-2</v>
      </c>
      <c r="H75" s="119">
        <v>8.3057937416794E-2</v>
      </c>
      <c r="I75" s="119">
        <v>8.8217280267158693E-2</v>
      </c>
      <c r="J75" s="119">
        <v>9.34803322552549E-2</v>
      </c>
      <c r="K75" s="119">
        <v>9.8737135771578804E-2</v>
      </c>
      <c r="L75" s="119">
        <v>0.1033827209515</v>
      </c>
      <c r="M75" s="119">
        <v>0.107777001005637</v>
      </c>
      <c r="N75" s="119">
        <v>0.11295608811353</v>
      </c>
      <c r="O75" s="119">
        <v>0.117750921200606</v>
      </c>
      <c r="P75" s="119">
        <v>0.122208074754088</v>
      </c>
      <c r="Q75" s="119">
        <v>0.12640554119814901</v>
      </c>
      <c r="R75" s="119">
        <v>0.128587677848925</v>
      </c>
      <c r="S75" s="119">
        <v>0.13136037512655299</v>
      </c>
      <c r="T75" s="119">
        <v>0.13344286604285199</v>
      </c>
      <c r="U75" s="119">
        <v>0.13713326487900701</v>
      </c>
      <c r="V75" s="119">
        <v>0.141709957698198</v>
      </c>
      <c r="W75" s="119">
        <v>0.14734293321067801</v>
      </c>
      <c r="X75" s="119">
        <v>0.15284839761208499</v>
      </c>
      <c r="Y75" s="119">
        <v>0.15871131865513699</v>
      </c>
      <c r="Z75" s="119">
        <v>0.163315808398311</v>
      </c>
      <c r="AA75" s="119">
        <v>0.168498211642958</v>
      </c>
      <c r="AB75" s="119">
        <v>0.17383756125369901</v>
      </c>
      <c r="AC75" s="119">
        <v>0.17912896991072899</v>
      </c>
      <c r="AD75" s="119">
        <v>0.185354005290635</v>
      </c>
      <c r="AE75" s="119">
        <v>0.19221312714499</v>
      </c>
      <c r="AF75" s="119">
        <v>0.200437451270605</v>
      </c>
      <c r="AG75" s="119">
        <v>0.20744455136312001</v>
      </c>
      <c r="AH75" s="119">
        <v>0.214905151645468</v>
      </c>
      <c r="AI75" s="119">
        <v>0.222733856401124</v>
      </c>
      <c r="AJ75" s="119">
        <v>0.23108732160408399</v>
      </c>
      <c r="AK75" s="119">
        <v>0.239608079783797</v>
      </c>
      <c r="AL75" s="119">
        <v>0.24768357963006399</v>
      </c>
      <c r="AM75" s="119">
        <v>0.256831353486495</v>
      </c>
      <c r="AN75" s="119">
        <v>0.26494327978570098</v>
      </c>
      <c r="AO75" s="119">
        <v>0.27350932424630398</v>
      </c>
      <c r="AP75" s="119">
        <v>0.28169806931671598</v>
      </c>
      <c r="AQ75" s="119">
        <v>0.28911981103401002</v>
      </c>
      <c r="AR75" s="119">
        <v>0.29631653816071302</v>
      </c>
      <c r="AS75" s="119">
        <v>0.30195877715119901</v>
      </c>
      <c r="AT75" s="119">
        <v>0.30874237691112499</v>
      </c>
      <c r="AU75" s="119">
        <v>0.31624745921768499</v>
      </c>
      <c r="AV75" s="119">
        <v>0.32239380304443199</v>
      </c>
      <c r="AW75" s="119">
        <v>0.32769106260766101</v>
      </c>
      <c r="AX75" s="119">
        <v>0.333699119586987</v>
      </c>
      <c r="AY75" s="119">
        <v>0.33841569789390202</v>
      </c>
      <c r="AZ75" s="119">
        <v>0.34374566729481298</v>
      </c>
      <c r="BA75" s="119">
        <v>0.34839081072470002</v>
      </c>
      <c r="BB75" s="119">
        <v>0.35243068280123502</v>
      </c>
      <c r="BC75" s="119">
        <v>0.35817503077068802</v>
      </c>
      <c r="BD75" s="119">
        <v>0.36209370100393701</v>
      </c>
      <c r="BE75" s="119">
        <v>0.366599411649014</v>
      </c>
      <c r="BF75" s="119">
        <v>0.37183031352712997</v>
      </c>
      <c r="BG75" s="119">
        <v>0.37717618611979398</v>
      </c>
      <c r="BH75" s="119">
        <v>0.38092294185234299</v>
      </c>
      <c r="BI75" s="119">
        <v>0.38491432724534103</v>
      </c>
      <c r="BJ75" s="119">
        <v>0.38888085776950798</v>
      </c>
      <c r="BK75" s="119">
        <v>0.39337802396968502</v>
      </c>
      <c r="BL75" s="119">
        <v>0.39615394004557197</v>
      </c>
    </row>
    <row r="76" spans="1:64" x14ac:dyDescent="0.25">
      <c r="A76" s="860" t="s">
        <v>32</v>
      </c>
      <c r="B76" s="1">
        <v>324</v>
      </c>
      <c r="C76" s="119">
        <v>0.5</v>
      </c>
      <c r="D76" s="119">
        <v>2.4055415247757599E-3</v>
      </c>
      <c r="E76" s="119">
        <v>2.6538771679787201E-3</v>
      </c>
      <c r="F76" s="119">
        <v>2.9382627796179202E-3</v>
      </c>
      <c r="G76" s="119">
        <v>3.2664201524711901E-3</v>
      </c>
      <c r="H76" s="119">
        <v>3.5852689603490802E-3</v>
      </c>
      <c r="I76" s="119">
        <v>3.9797517922159501E-3</v>
      </c>
      <c r="J76" s="119">
        <v>4.4541430441848596E-3</v>
      </c>
      <c r="K76" s="119">
        <v>4.8568393448500304E-3</v>
      </c>
      <c r="L76" s="119">
        <v>5.4056024972238903E-3</v>
      </c>
      <c r="M76" s="119">
        <v>5.9307669011316603E-3</v>
      </c>
      <c r="N76" s="119">
        <v>6.5540660774933198E-3</v>
      </c>
      <c r="O76" s="119">
        <v>7.2594504167264899E-3</v>
      </c>
      <c r="P76" s="119">
        <v>7.9545522476295403E-3</v>
      </c>
      <c r="Q76" s="119">
        <v>8.6754974202495495E-3</v>
      </c>
      <c r="R76" s="119">
        <v>9.4844387482950192E-3</v>
      </c>
      <c r="S76" s="119">
        <v>1.0460748968855099E-2</v>
      </c>
      <c r="T76" s="119">
        <v>1.1442756128952999E-2</v>
      </c>
      <c r="U76" s="119">
        <v>1.25514837498675E-2</v>
      </c>
      <c r="V76" s="119">
        <v>1.35961975315617E-2</v>
      </c>
      <c r="W76" s="119">
        <v>1.4700526071111599E-2</v>
      </c>
      <c r="X76" s="119">
        <v>1.6043642971598399E-2</v>
      </c>
      <c r="Y76" s="119">
        <v>1.75551178937986E-2</v>
      </c>
      <c r="Z76" s="119">
        <v>1.9377347096029299E-2</v>
      </c>
      <c r="AA76" s="119">
        <v>2.1524363915512001E-2</v>
      </c>
      <c r="AB76" s="119">
        <v>2.44743738196668E-2</v>
      </c>
      <c r="AC76" s="119">
        <v>2.8135782399681199E-2</v>
      </c>
      <c r="AD76" s="119">
        <v>3.23157857011898E-2</v>
      </c>
      <c r="AE76" s="119">
        <v>3.68143107364899E-2</v>
      </c>
      <c r="AF76" s="119">
        <v>4.18399957920568E-2</v>
      </c>
      <c r="AG76" s="119">
        <v>4.7177045718926697E-2</v>
      </c>
      <c r="AH76" s="119">
        <v>5.1553223861996698E-2</v>
      </c>
      <c r="AI76" s="119">
        <v>5.5444089581564701E-2</v>
      </c>
      <c r="AJ76" s="119">
        <v>5.9152325911413603E-2</v>
      </c>
      <c r="AK76" s="119">
        <v>6.2467468349283101E-2</v>
      </c>
      <c r="AL76" s="119">
        <v>6.5743686402500501E-2</v>
      </c>
      <c r="AM76" s="119">
        <v>6.8089383161743997E-2</v>
      </c>
      <c r="AN76" s="119">
        <v>6.9778719542198206E-2</v>
      </c>
      <c r="AO76" s="119">
        <v>7.06820105138289E-2</v>
      </c>
      <c r="AP76" s="119">
        <v>7.1267414996856002E-2</v>
      </c>
      <c r="AQ76" s="119">
        <v>7.1931726757191797E-2</v>
      </c>
      <c r="AR76" s="119">
        <v>7.2462863202738703E-2</v>
      </c>
      <c r="AS76" s="119">
        <v>7.3550372603491704E-2</v>
      </c>
      <c r="AT76" s="119">
        <v>7.5097292899907603E-2</v>
      </c>
      <c r="AU76" s="119">
        <v>7.8299103948148999E-2</v>
      </c>
      <c r="AV76" s="119">
        <v>8.2930829380018306E-2</v>
      </c>
      <c r="AW76" s="119">
        <v>8.8193361895903294E-2</v>
      </c>
      <c r="AX76" s="119">
        <v>9.3837275559983599E-2</v>
      </c>
      <c r="AY76" s="119">
        <v>0.100518483646306</v>
      </c>
      <c r="AZ76" s="119">
        <v>0.10782389658312</v>
      </c>
      <c r="BA76" s="119">
        <v>0.113373373071346</v>
      </c>
      <c r="BB76" s="119">
        <v>0.118621183177474</v>
      </c>
      <c r="BC76" s="119">
        <v>0.124245706470913</v>
      </c>
      <c r="BD76" s="119">
        <v>0.129309254055127</v>
      </c>
      <c r="BE76" s="119">
        <v>0.13435404547472801</v>
      </c>
      <c r="BF76" s="119">
        <v>0.139142861667574</v>
      </c>
      <c r="BG76" s="119">
        <v>0.144129349325235</v>
      </c>
      <c r="BH76" s="119">
        <v>0.149531763441037</v>
      </c>
      <c r="BI76" s="119">
        <v>0.15472041662886099</v>
      </c>
      <c r="BJ76" s="119">
        <v>0.15999581279722899</v>
      </c>
      <c r="BK76" s="119">
        <v>0.16531351293532301</v>
      </c>
      <c r="BL76" s="119">
        <v>0.17161713296967501</v>
      </c>
    </row>
    <row r="77" spans="1:64" x14ac:dyDescent="0.25">
      <c r="A77" s="860" t="s">
        <v>33</v>
      </c>
      <c r="B77" s="1">
        <v>624</v>
      </c>
      <c r="C77" s="119">
        <v>0.5</v>
      </c>
      <c r="D77" s="119">
        <v>4.7848181069010797E-3</v>
      </c>
      <c r="E77" s="119">
        <v>5.3220124747363302E-3</v>
      </c>
      <c r="F77" s="119">
        <v>5.9615697050623096E-3</v>
      </c>
      <c r="G77" s="119">
        <v>6.6340632655085803E-3</v>
      </c>
      <c r="H77" s="119">
        <v>7.4639029750217601E-3</v>
      </c>
      <c r="I77" s="119">
        <v>8.2933388172694005E-3</v>
      </c>
      <c r="J77" s="119">
        <v>9.1922115589040208E-3</v>
      </c>
      <c r="K77" s="119">
        <v>1.04334220631548E-2</v>
      </c>
      <c r="L77" s="119">
        <v>1.16682160699883E-2</v>
      </c>
      <c r="M77" s="119">
        <v>1.2935382149885899E-2</v>
      </c>
      <c r="N77" s="119">
        <v>1.44130668471854E-2</v>
      </c>
      <c r="O77" s="119">
        <v>1.5419672763915E-2</v>
      </c>
      <c r="P77" s="119">
        <v>1.7074179524557299E-2</v>
      </c>
      <c r="Q77" s="119">
        <v>1.8681367365602601E-2</v>
      </c>
      <c r="R77" s="119">
        <v>2.04245273685171E-2</v>
      </c>
      <c r="S77" s="119">
        <v>2.2161038528012399E-2</v>
      </c>
      <c r="T77" s="119">
        <v>2.4411187925637599E-2</v>
      </c>
      <c r="U77" s="119">
        <v>2.6781920412737699E-2</v>
      </c>
      <c r="V77" s="119">
        <v>2.9475662398302599E-2</v>
      </c>
      <c r="W77" s="119">
        <v>3.2280867248582902E-2</v>
      </c>
      <c r="X77" s="119">
        <v>3.48454613018905E-2</v>
      </c>
      <c r="Y77" s="119">
        <v>3.7746256661205797E-2</v>
      </c>
      <c r="Z77" s="119">
        <v>4.0990124705746298E-2</v>
      </c>
      <c r="AA77" s="119">
        <v>4.4238942281833497E-2</v>
      </c>
      <c r="AB77" s="119">
        <v>4.75659545976094E-2</v>
      </c>
      <c r="AC77" s="119">
        <v>5.1264365978459799E-2</v>
      </c>
      <c r="AD77" s="119">
        <v>5.5417538718988101E-2</v>
      </c>
      <c r="AE77" s="119">
        <v>5.9462368047162303E-2</v>
      </c>
      <c r="AF77" s="119">
        <v>6.3865818938613095E-2</v>
      </c>
      <c r="AG77" s="119">
        <v>6.9089622030050896E-2</v>
      </c>
      <c r="AH77" s="119">
        <v>7.5173700389830803E-2</v>
      </c>
      <c r="AI77" s="119">
        <v>8.3290554205403794E-2</v>
      </c>
      <c r="AJ77" s="119">
        <v>9.3229227120325706E-2</v>
      </c>
      <c r="AK77" s="119">
        <v>0.104436067779203</v>
      </c>
      <c r="AL77" s="119">
        <v>0.116071000297007</v>
      </c>
      <c r="AM77" s="119">
        <v>0.12819790748352899</v>
      </c>
      <c r="AN77" s="119">
        <v>0.14148859116196699</v>
      </c>
      <c r="AO77" s="119">
        <v>0.15294230202016801</v>
      </c>
      <c r="AP77" s="119">
        <v>0.16523653362864099</v>
      </c>
      <c r="AQ77" s="119">
        <v>0.17640939245644699</v>
      </c>
      <c r="AR77" s="119">
        <v>0.18913767011368399</v>
      </c>
      <c r="AS77" s="119">
        <v>0.20126745764228299</v>
      </c>
      <c r="AT77" s="119">
        <v>0.215323048350964</v>
      </c>
      <c r="AU77" s="119">
        <v>0.22843064198557</v>
      </c>
      <c r="AV77" s="119">
        <v>0.24134225983625801</v>
      </c>
      <c r="AW77" s="119">
        <v>0.25319157681279297</v>
      </c>
      <c r="AX77" s="119">
        <v>0.26295173781805398</v>
      </c>
      <c r="AY77" s="119">
        <v>0.27287399529835299</v>
      </c>
      <c r="AZ77" s="119">
        <v>0.28192848232026202</v>
      </c>
      <c r="BA77" s="119">
        <v>0.28979181115656899</v>
      </c>
      <c r="BB77" s="119">
        <v>0.296082504634891</v>
      </c>
      <c r="BC77" s="119">
        <v>0.30244994848469098</v>
      </c>
      <c r="BD77" s="119">
        <v>0.30867594104201501</v>
      </c>
      <c r="BE77" s="119">
        <v>0.313514374288835</v>
      </c>
      <c r="BF77" s="119">
        <v>0.32033355029275201</v>
      </c>
      <c r="BG77" s="119">
        <v>0.326882128719719</v>
      </c>
      <c r="BH77" s="119">
        <v>0.33291303347469497</v>
      </c>
      <c r="BI77" s="119">
        <v>0.33779350205505898</v>
      </c>
      <c r="BJ77" s="119">
        <v>0.34226250811980802</v>
      </c>
      <c r="BK77" s="119">
        <v>0.34896310024147398</v>
      </c>
      <c r="BL77" s="119">
        <v>0.35386472515783801</v>
      </c>
    </row>
    <row r="78" spans="1:64" x14ac:dyDescent="0.25">
      <c r="A78" s="860" t="s">
        <v>194</v>
      </c>
      <c r="B78" s="1">
        <v>328</v>
      </c>
      <c r="C78" s="119">
        <v>0.5</v>
      </c>
      <c r="D78" s="119">
        <v>0.101412721973749</v>
      </c>
      <c r="E78" s="119">
        <v>0.106406038720921</v>
      </c>
      <c r="F78" s="119">
        <v>0.111641593687467</v>
      </c>
      <c r="G78" s="119">
        <v>0.117119760465745</v>
      </c>
      <c r="H78" s="119">
        <v>0.122307306468526</v>
      </c>
      <c r="I78" s="119">
        <v>0.12756452490997999</v>
      </c>
      <c r="J78" s="119">
        <v>0.13443176839026899</v>
      </c>
      <c r="K78" s="119">
        <v>0.14039738315547401</v>
      </c>
      <c r="L78" s="119">
        <v>0.14672158039899799</v>
      </c>
      <c r="M78" s="119">
        <v>0.15115542784049399</v>
      </c>
      <c r="N78" s="119">
        <v>0.15647868801874801</v>
      </c>
      <c r="O78" s="119">
        <v>0.16148817990773601</v>
      </c>
      <c r="P78" s="119">
        <v>0.167113476700674</v>
      </c>
      <c r="Q78" s="119">
        <v>0.17214683257654401</v>
      </c>
      <c r="R78" s="119">
        <v>0.17770452196820899</v>
      </c>
      <c r="S78" s="119">
        <v>0.18393248892001501</v>
      </c>
      <c r="T78" s="119">
        <v>0.19036717358493699</v>
      </c>
      <c r="U78" s="119">
        <v>0.19638816222116001</v>
      </c>
      <c r="V78" s="119">
        <v>0.20391707224695099</v>
      </c>
      <c r="W78" s="119">
        <v>0.21071400300581999</v>
      </c>
      <c r="X78" s="119">
        <v>0.216402175785043</v>
      </c>
      <c r="Y78" s="119">
        <v>0.22139521412822299</v>
      </c>
      <c r="Z78" s="119">
        <v>0.225682262292072</v>
      </c>
      <c r="AA78" s="119">
        <v>0.22936176863143001</v>
      </c>
      <c r="AB78" s="119">
        <v>0.23296918851763199</v>
      </c>
      <c r="AC78" s="119">
        <v>0.236421336530027</v>
      </c>
      <c r="AD78" s="119">
        <v>0.23924730890972201</v>
      </c>
      <c r="AE78" s="119">
        <v>0.24319477567853501</v>
      </c>
      <c r="AF78" s="119">
        <v>0.24530133258664899</v>
      </c>
      <c r="AG78" s="119">
        <v>0.24776713992375499</v>
      </c>
      <c r="AH78" s="119">
        <v>0.250401962548155</v>
      </c>
      <c r="AI78" s="119">
        <v>0.252853271784167</v>
      </c>
      <c r="AJ78" s="119">
        <v>0.25482119566551897</v>
      </c>
      <c r="AK78" s="119">
        <v>0.25636754908340598</v>
      </c>
      <c r="AL78" s="119">
        <v>0.25786599439943703</v>
      </c>
      <c r="AM78" s="119">
        <v>0.26124122712679898</v>
      </c>
      <c r="AN78" s="119">
        <v>0.26766385552791799</v>
      </c>
      <c r="AO78" s="119">
        <v>0.27795161522547202</v>
      </c>
      <c r="AP78" s="119">
        <v>0.28753789167054999</v>
      </c>
      <c r="AQ78" s="119">
        <v>0.29405889245962902</v>
      </c>
      <c r="AR78" s="119">
        <v>0.29004240073298199</v>
      </c>
      <c r="AS78" s="119">
        <v>0.28212998847057702</v>
      </c>
      <c r="AT78" s="119">
        <v>0.27254306971060099</v>
      </c>
      <c r="AU78" s="119">
        <v>0.26316108738830601</v>
      </c>
      <c r="AV78" s="119">
        <v>0.25458589870943799</v>
      </c>
      <c r="AW78" s="119">
        <v>0.25067311492835098</v>
      </c>
      <c r="AX78" s="119">
        <v>0.24892557589787101</v>
      </c>
      <c r="AY78" s="119">
        <v>0.24762994874559299</v>
      </c>
      <c r="AZ78" s="119">
        <v>0.24809811312917501</v>
      </c>
      <c r="BA78" s="119">
        <v>0.249036538071601</v>
      </c>
      <c r="BB78" s="119">
        <v>0.25301676502104498</v>
      </c>
      <c r="BC78" s="119">
        <v>0.25868078160924701</v>
      </c>
      <c r="BD78" s="119">
        <v>0.26571089639669998</v>
      </c>
      <c r="BE78" s="119">
        <v>0.27358883385105398</v>
      </c>
      <c r="BF78" s="119">
        <v>0.28056863491907202</v>
      </c>
      <c r="BG78" s="119">
        <v>0.28746342371635403</v>
      </c>
      <c r="BH78" s="119">
        <v>0.29429542837070499</v>
      </c>
      <c r="BI78" s="119">
        <v>0.30106075574283597</v>
      </c>
      <c r="BJ78" s="119">
        <v>0.30765658585709899</v>
      </c>
      <c r="BK78" s="119">
        <v>0.31372803758321399</v>
      </c>
      <c r="BL78" s="119">
        <v>0.31838177926705002</v>
      </c>
    </row>
    <row r="79" spans="1:64" x14ac:dyDescent="0.25">
      <c r="A79" s="860" t="s">
        <v>34</v>
      </c>
      <c r="B79" s="1">
        <v>332</v>
      </c>
      <c r="C79" s="119">
        <v>0.5</v>
      </c>
      <c r="D79" s="119">
        <v>2.0506244365250399E-2</v>
      </c>
      <c r="E79" s="119">
        <v>2.1496805451442301E-2</v>
      </c>
      <c r="F79" s="119">
        <v>2.2544917318758802E-2</v>
      </c>
      <c r="G79" s="119">
        <v>2.36012041808745E-2</v>
      </c>
      <c r="H79" s="119">
        <v>2.47076398102677E-2</v>
      </c>
      <c r="I79" s="119">
        <v>2.5769474821091799E-2</v>
      </c>
      <c r="J79" s="119">
        <v>2.64731109782421E-2</v>
      </c>
      <c r="K79" s="119">
        <v>2.73260699802132E-2</v>
      </c>
      <c r="L79" s="119">
        <v>2.8354167783857201E-2</v>
      </c>
      <c r="M79" s="119">
        <v>2.9138394881822301E-2</v>
      </c>
      <c r="N79" s="119">
        <v>2.9894812094042399E-2</v>
      </c>
      <c r="O79" s="119">
        <v>3.0725535131920601E-2</v>
      </c>
      <c r="P79" s="119">
        <v>3.1418533992162101E-2</v>
      </c>
      <c r="Q79" s="119">
        <v>3.2212195103309298E-2</v>
      </c>
      <c r="R79" s="119">
        <v>3.3816795492125698E-2</v>
      </c>
      <c r="S79" s="119">
        <v>3.55704313756455E-2</v>
      </c>
      <c r="T79" s="119">
        <v>3.8142959337884398E-2</v>
      </c>
      <c r="U79" s="119">
        <v>4.17382531643673E-2</v>
      </c>
      <c r="V79" s="119">
        <v>4.7861266702614702E-2</v>
      </c>
      <c r="W79" s="119">
        <v>5.5632196315344398E-2</v>
      </c>
      <c r="X79" s="119">
        <v>6.2412599928216697E-2</v>
      </c>
      <c r="Y79" s="119">
        <v>6.9226131071163197E-2</v>
      </c>
      <c r="Z79" s="119">
        <v>7.5863563221831604E-2</v>
      </c>
      <c r="AA79" s="119">
        <v>8.2981122273952504E-2</v>
      </c>
      <c r="AB79" s="119">
        <v>9.0768217417359104E-2</v>
      </c>
      <c r="AC79" s="119">
        <v>0.100393940058303</v>
      </c>
      <c r="AD79" s="119">
        <v>0.110630709005153</v>
      </c>
      <c r="AE79" s="119">
        <v>0.120763569406791</v>
      </c>
      <c r="AF79" s="119">
        <v>0.13141936585394401</v>
      </c>
      <c r="AG79" s="119">
        <v>0.142468263274907</v>
      </c>
      <c r="AH79" s="119">
        <v>0.152618898132207</v>
      </c>
      <c r="AI79" s="119">
        <v>0.158817332914998</v>
      </c>
      <c r="AJ79" s="119">
        <v>0.16467232350828401</v>
      </c>
      <c r="AK79" s="119">
        <v>0.16964479043663799</v>
      </c>
      <c r="AL79" s="119">
        <v>0.174179518950867</v>
      </c>
      <c r="AM79" s="119">
        <v>0.17942416311981799</v>
      </c>
      <c r="AN79" s="119">
        <v>0.184352679878658</v>
      </c>
      <c r="AO79" s="119">
        <v>0.19073564398066301</v>
      </c>
      <c r="AP79" s="119">
        <v>0.197742053285868</v>
      </c>
      <c r="AQ79" s="119">
        <v>0.20369413215379101</v>
      </c>
      <c r="AR79" s="119">
        <v>0.210708822423987</v>
      </c>
      <c r="AS79" s="119">
        <v>0.21609983279669201</v>
      </c>
      <c r="AT79" s="119">
        <v>0.22096794267292499</v>
      </c>
      <c r="AU79" s="119">
        <v>0.22304976365874099</v>
      </c>
      <c r="AV79" s="119">
        <v>0.22499091538433499</v>
      </c>
      <c r="AW79" s="119">
        <v>0.227026922742323</v>
      </c>
      <c r="AX79" s="119">
        <v>0.228867349155363</v>
      </c>
      <c r="AY79" s="119">
        <v>0.23149643120723001</v>
      </c>
      <c r="AZ79" s="119">
        <v>0.23682119236759899</v>
      </c>
      <c r="BA79" s="119">
        <v>0.24168042248086699</v>
      </c>
      <c r="BB79" s="119">
        <v>0.24712531346574601</v>
      </c>
      <c r="BC79" s="119">
        <v>0.25383037144255499</v>
      </c>
      <c r="BD79" s="119">
        <v>0.25898508554975203</v>
      </c>
      <c r="BE79" s="119">
        <v>0.26543429780302102</v>
      </c>
      <c r="BF79" s="119">
        <v>0.27204482927354201</v>
      </c>
      <c r="BG79" s="119">
        <v>0.27765337294185</v>
      </c>
      <c r="BH79" s="119">
        <v>0.28395014609513097</v>
      </c>
      <c r="BI79" s="119">
        <v>0.29039658578335098</v>
      </c>
      <c r="BJ79" s="119">
        <v>0.29644959580984298</v>
      </c>
      <c r="BK79" s="119">
        <v>0.30319237002049398</v>
      </c>
      <c r="BL79" s="119">
        <v>0.30920745599556398</v>
      </c>
    </row>
    <row r="80" spans="1:64" x14ac:dyDescent="0.25">
      <c r="A80" s="860" t="s">
        <v>35</v>
      </c>
      <c r="B80" s="1">
        <v>340</v>
      </c>
      <c r="C80" s="119">
        <v>0.5</v>
      </c>
      <c r="D80" s="119">
        <v>8.3623312425486998E-2</v>
      </c>
      <c r="E80" s="119">
        <v>8.9725843729893603E-2</v>
      </c>
      <c r="F80" s="119">
        <v>9.6073555511418898E-2</v>
      </c>
      <c r="G80" s="119">
        <v>0.102641329592791</v>
      </c>
      <c r="H80" s="119">
        <v>0.109712943421581</v>
      </c>
      <c r="I80" s="119">
        <v>0.11686638328907301</v>
      </c>
      <c r="J80" s="119">
        <v>0.124336296245181</v>
      </c>
      <c r="K80" s="119">
        <v>0.131886754196019</v>
      </c>
      <c r="L80" s="119">
        <v>0.140092132410154</v>
      </c>
      <c r="M80" s="119">
        <v>0.14900506283673801</v>
      </c>
      <c r="N80" s="119">
        <v>0.15831060009148201</v>
      </c>
      <c r="O80" s="119">
        <v>0.16767411497568199</v>
      </c>
      <c r="P80" s="119">
        <v>0.17775043866904</v>
      </c>
      <c r="Q80" s="119">
        <v>0.18828487619593701</v>
      </c>
      <c r="R80" s="119">
        <v>0.19810346731989101</v>
      </c>
      <c r="S80" s="119">
        <v>0.20662113986514</v>
      </c>
      <c r="T80" s="119">
        <v>0.214323905663066</v>
      </c>
      <c r="U80" s="119">
        <v>0.22207763938001701</v>
      </c>
      <c r="V80" s="119">
        <v>0.230475927074793</v>
      </c>
      <c r="W80" s="119">
        <v>0.23842789052386101</v>
      </c>
      <c r="X80" s="119">
        <v>0.24499501832300799</v>
      </c>
      <c r="Y80" s="119">
        <v>0.25119765384224502</v>
      </c>
      <c r="Z80" s="119">
        <v>0.25965879766244399</v>
      </c>
      <c r="AA80" s="119">
        <v>0.26739693686782001</v>
      </c>
      <c r="AB80" s="119">
        <v>0.27489219739741799</v>
      </c>
      <c r="AC80" s="119">
        <v>0.28254631564329002</v>
      </c>
      <c r="AD80" s="119">
        <v>0.29189473361940799</v>
      </c>
      <c r="AE80" s="119">
        <v>0.302398220697918</v>
      </c>
      <c r="AF80" s="119">
        <v>0.31231283370240998</v>
      </c>
      <c r="AG80" s="119">
        <v>0.32214842336973598</v>
      </c>
      <c r="AH80" s="119">
        <v>0.33119359102027102</v>
      </c>
      <c r="AI80" s="119">
        <v>0.340110528919293</v>
      </c>
      <c r="AJ80" s="119">
        <v>0.34743442239461902</v>
      </c>
      <c r="AK80" s="119">
        <v>0.35348083806848402</v>
      </c>
      <c r="AL80" s="119">
        <v>0.359847554876769</v>
      </c>
      <c r="AM80" s="119">
        <v>0.36664249098545698</v>
      </c>
      <c r="AN80" s="119">
        <v>0.374099245412223</v>
      </c>
      <c r="AO80" s="119">
        <v>0.38309971703117401</v>
      </c>
      <c r="AP80" s="119">
        <v>0.39362855950822401</v>
      </c>
      <c r="AQ80" s="119">
        <v>0.40472279023937902</v>
      </c>
      <c r="AR80" s="119">
        <v>0.415317593811036</v>
      </c>
      <c r="AS80" s="119">
        <v>0.42498458326328697</v>
      </c>
      <c r="AT80" s="119">
        <v>0.43252970018643899</v>
      </c>
      <c r="AU80" s="119">
        <v>0.43886952787362898</v>
      </c>
      <c r="AV80" s="119">
        <v>0.44422423681205198</v>
      </c>
      <c r="AW80" s="119">
        <v>0.44899581714694797</v>
      </c>
      <c r="AX80" s="119">
        <v>0.45270514732680101</v>
      </c>
      <c r="AY80" s="119">
        <v>0.45696223494700999</v>
      </c>
      <c r="AZ80" s="119">
        <v>0.461323937015166</v>
      </c>
      <c r="BA80" s="119">
        <v>0.465177846545624</v>
      </c>
      <c r="BB80" s="119">
        <v>0.46869940330440502</v>
      </c>
      <c r="BC80" s="119">
        <v>0.47173173426216097</v>
      </c>
      <c r="BD80" s="119">
        <v>0.474189116399717</v>
      </c>
      <c r="BE80" s="119">
        <v>0.47704221305425798</v>
      </c>
      <c r="BF80" s="119">
        <v>0.48090983801982201</v>
      </c>
      <c r="BG80" s="119">
        <v>0.483643704592923</v>
      </c>
      <c r="BH80" s="119">
        <v>0.48745529643838398</v>
      </c>
      <c r="BI80" s="119">
        <v>0.48946643708782001</v>
      </c>
      <c r="BJ80" s="119">
        <v>0.49419349667260498</v>
      </c>
      <c r="BK80" s="119">
        <v>0.49807235902824099</v>
      </c>
      <c r="BL80" s="119">
        <v>0.50071397029883302</v>
      </c>
    </row>
    <row r="81" spans="1:64" x14ac:dyDescent="0.25">
      <c r="A81" s="860" t="s">
        <v>195</v>
      </c>
      <c r="B81" s="1">
        <v>348</v>
      </c>
      <c r="C81" s="119">
        <v>0.5</v>
      </c>
      <c r="D81" s="119">
        <v>0.246836678587499</v>
      </c>
      <c r="E81" s="119">
        <v>0.27040954695896002</v>
      </c>
      <c r="F81" s="119">
        <v>0.29272534220450702</v>
      </c>
      <c r="G81" s="119">
        <v>0.31606940524577598</v>
      </c>
      <c r="H81" s="119">
        <v>0.33871878465849298</v>
      </c>
      <c r="I81" s="119">
        <v>0.36301592017314799</v>
      </c>
      <c r="J81" s="119">
        <v>0.37525789062187698</v>
      </c>
      <c r="K81" s="119">
        <v>0.38787555593761303</v>
      </c>
      <c r="L81" s="119">
        <v>0.40062040339469701</v>
      </c>
      <c r="M81" s="119">
        <v>0.40909642932850598</v>
      </c>
      <c r="N81" s="119">
        <v>0.41904654646803502</v>
      </c>
      <c r="O81" s="119">
        <v>0.42380229663739799</v>
      </c>
      <c r="P81" s="119">
        <v>0.428167182184574</v>
      </c>
      <c r="Q81" s="119">
        <v>0.43082026222312098</v>
      </c>
      <c r="R81" s="119">
        <v>0.43264876152089898</v>
      </c>
      <c r="S81" s="119">
        <v>0.43519874179821899</v>
      </c>
      <c r="T81" s="119">
        <v>0.43806274149636998</v>
      </c>
      <c r="U81" s="119">
        <v>0.43889840869982799</v>
      </c>
      <c r="V81" s="119">
        <v>0.43814953558403402</v>
      </c>
      <c r="W81" s="119">
        <v>0.43829480641549601</v>
      </c>
      <c r="X81" s="119">
        <v>0.438060713232928</v>
      </c>
      <c r="Y81" s="119">
        <v>0.43976066394797497</v>
      </c>
      <c r="Z81" s="119">
        <v>0.43997107750139303</v>
      </c>
      <c r="AA81" s="119">
        <v>0.440438416499779</v>
      </c>
      <c r="AB81" s="119">
        <v>0.43714095208223602</v>
      </c>
      <c r="AC81" s="119">
        <v>0.43489843798094302</v>
      </c>
      <c r="AD81" s="119">
        <v>0.430490626351346</v>
      </c>
      <c r="AE81" s="119">
        <v>0.426805716823143</v>
      </c>
      <c r="AF81" s="119">
        <v>0.42431828880557798</v>
      </c>
      <c r="AG81" s="119">
        <v>0.42230478874440702</v>
      </c>
      <c r="AH81" s="119">
        <v>0.42027305085319799</v>
      </c>
      <c r="AI81" s="119">
        <v>0.41751991115020198</v>
      </c>
      <c r="AJ81" s="119">
        <v>0.41316440877051103</v>
      </c>
      <c r="AK81" s="119">
        <v>0.40942089862766901</v>
      </c>
      <c r="AL81" s="119">
        <v>0.405854720927667</v>
      </c>
      <c r="AM81" s="119">
        <v>0.40279690207797197</v>
      </c>
      <c r="AN81" s="119">
        <v>0.402451789437904</v>
      </c>
      <c r="AO81" s="119">
        <v>0.39874011161079298</v>
      </c>
      <c r="AP81" s="119">
        <v>0.39641614153760801</v>
      </c>
      <c r="AQ81" s="119">
        <v>0.39642169385897003</v>
      </c>
      <c r="AR81" s="119">
        <v>0.397148203800542</v>
      </c>
      <c r="AS81" s="119">
        <v>0.40105686259350498</v>
      </c>
      <c r="AT81" s="119">
        <v>0.40644863170612799</v>
      </c>
      <c r="AU81" s="119">
        <v>0.41169009791750699</v>
      </c>
      <c r="AV81" s="119">
        <v>0.41790414555726002</v>
      </c>
      <c r="AW81" s="119">
        <v>0.42232981999668801</v>
      </c>
      <c r="AX81" s="119">
        <v>0.42797261815975002</v>
      </c>
      <c r="AY81" s="119">
        <v>0.43134361015232497</v>
      </c>
      <c r="AZ81" s="119">
        <v>0.43533156479430302</v>
      </c>
      <c r="BA81" s="119">
        <v>0.44002352481634899</v>
      </c>
      <c r="BB81" s="119">
        <v>0.44187039898434599</v>
      </c>
      <c r="BC81" s="119">
        <v>0.44438068895717903</v>
      </c>
      <c r="BD81" s="119">
        <v>0.44780161375599098</v>
      </c>
      <c r="BE81" s="119">
        <v>0.452365806784438</v>
      </c>
      <c r="BF81" s="119">
        <v>0.45598147525246502</v>
      </c>
      <c r="BG81" s="119">
        <v>0.45700777738348602</v>
      </c>
      <c r="BH81" s="119">
        <v>0.46032079830492501</v>
      </c>
      <c r="BI81" s="119">
        <v>0.46405176577424201</v>
      </c>
      <c r="BJ81" s="119">
        <v>0.46733443206987202</v>
      </c>
      <c r="BK81" s="119">
        <v>0.47016849710582398</v>
      </c>
      <c r="BL81" s="119">
        <v>0.47334733487756703</v>
      </c>
    </row>
    <row r="82" spans="1:64" x14ac:dyDescent="0.25">
      <c r="A82" s="860" t="s">
        <v>36</v>
      </c>
      <c r="B82" s="1">
        <v>356</v>
      </c>
      <c r="C82" s="119">
        <v>0.5</v>
      </c>
      <c r="D82" s="119">
        <v>8.4663743559694998E-2</v>
      </c>
      <c r="E82" s="119">
        <v>9.4072022322961801E-2</v>
      </c>
      <c r="F82" s="119">
        <v>0.104276785709163</v>
      </c>
      <c r="G82" s="119">
        <v>0.115688459421873</v>
      </c>
      <c r="H82" s="119">
        <v>0.12831595700821</v>
      </c>
      <c r="I82" s="119">
        <v>0.141587588659879</v>
      </c>
      <c r="J82" s="119">
        <v>0.15674232130413501</v>
      </c>
      <c r="K82" s="119">
        <v>0.17157160696586601</v>
      </c>
      <c r="L82" s="119">
        <v>0.18768023955746899</v>
      </c>
      <c r="M82" s="119">
        <v>0.203732296050114</v>
      </c>
      <c r="N82" s="119">
        <v>0.21738856295602799</v>
      </c>
      <c r="O82" s="119">
        <v>0.22825043457604899</v>
      </c>
      <c r="P82" s="119">
        <v>0.23691216106511101</v>
      </c>
      <c r="Q82" s="119">
        <v>0.244799015585244</v>
      </c>
      <c r="R82" s="119">
        <v>0.25263718106981797</v>
      </c>
      <c r="S82" s="119">
        <v>0.26067271123448799</v>
      </c>
      <c r="T82" s="119">
        <v>0.26760202079807099</v>
      </c>
      <c r="U82" s="119">
        <v>0.274993699338763</v>
      </c>
      <c r="V82" s="119">
        <v>0.27978081956879303</v>
      </c>
      <c r="W82" s="119">
        <v>0.28173073790469499</v>
      </c>
      <c r="X82" s="119">
        <v>0.28307036021981302</v>
      </c>
      <c r="Y82" s="119">
        <v>0.28527004355817798</v>
      </c>
      <c r="Z82" s="119">
        <v>0.28901100821283698</v>
      </c>
      <c r="AA82" s="119">
        <v>0.29436659229628698</v>
      </c>
      <c r="AB82" s="119">
        <v>0.30065594958272401</v>
      </c>
      <c r="AC82" s="119">
        <v>0.30802444225331899</v>
      </c>
      <c r="AD82" s="119">
        <v>0.31488481531045398</v>
      </c>
      <c r="AE82" s="119">
        <v>0.32198916809649297</v>
      </c>
      <c r="AF82" s="119">
        <v>0.32885423687936499</v>
      </c>
      <c r="AG82" s="119">
        <v>0.33501096730026902</v>
      </c>
      <c r="AH82" s="119">
        <v>0.33973636408394398</v>
      </c>
      <c r="AI82" s="119">
        <v>0.34588714466614101</v>
      </c>
      <c r="AJ82" s="119">
        <v>0.35228926880674299</v>
      </c>
      <c r="AK82" s="119">
        <v>0.359504016293343</v>
      </c>
      <c r="AL82" s="119">
        <v>0.36671508038478801</v>
      </c>
      <c r="AM82" s="119">
        <v>0.37187527449589702</v>
      </c>
      <c r="AN82" s="119">
        <v>0.375879716369595</v>
      </c>
      <c r="AO82" s="119">
        <v>0.37577376928362</v>
      </c>
      <c r="AP82" s="119">
        <v>0.37494831839557002</v>
      </c>
      <c r="AQ82" s="119">
        <v>0.37325449235823899</v>
      </c>
      <c r="AR82" s="119">
        <v>0.371917251325106</v>
      </c>
      <c r="AS82" s="119">
        <v>0.370796979802201</v>
      </c>
      <c r="AT82" s="119">
        <v>0.369056220927867</v>
      </c>
      <c r="AU82" s="119">
        <v>0.36896224318168602</v>
      </c>
      <c r="AV82" s="119">
        <v>0.370940776312221</v>
      </c>
      <c r="AW82" s="119">
        <v>0.37489010602258299</v>
      </c>
      <c r="AX82" s="119">
        <v>0.38514461477520401</v>
      </c>
      <c r="AY82" s="119">
        <v>0.39672348482022501</v>
      </c>
      <c r="AZ82" s="119">
        <v>0.40973285271227899</v>
      </c>
      <c r="BA82" s="119">
        <v>0.42170424535050199</v>
      </c>
      <c r="BB82" s="119">
        <v>0.430818164918925</v>
      </c>
      <c r="BC82" s="119">
        <v>0.43665555866813299</v>
      </c>
      <c r="BD82" s="119">
        <v>0.43972579701678599</v>
      </c>
      <c r="BE82" s="119">
        <v>0.44201268560592899</v>
      </c>
      <c r="BF82" s="119">
        <v>0.44284105899602599</v>
      </c>
      <c r="BG82" s="119">
        <v>0.44459370218660599</v>
      </c>
      <c r="BH82" s="119">
        <v>0.444132006197208</v>
      </c>
      <c r="BI82" s="119">
        <v>0.446182810128466</v>
      </c>
      <c r="BJ82" s="119">
        <v>0.44879342947299</v>
      </c>
      <c r="BK82" s="119">
        <v>0.45080867751620801</v>
      </c>
      <c r="BL82" s="119">
        <v>0.45039044925926902</v>
      </c>
    </row>
    <row r="83" spans="1:64" x14ac:dyDescent="0.25">
      <c r="A83" s="860" t="s">
        <v>37</v>
      </c>
      <c r="B83" s="1">
        <v>360</v>
      </c>
      <c r="C83" s="119">
        <v>0.5</v>
      </c>
      <c r="D83" s="119">
        <v>3.9796237572369102E-2</v>
      </c>
      <c r="E83" s="119">
        <v>4.5119826068469399E-2</v>
      </c>
      <c r="F83" s="119">
        <v>5.1386389017420799E-2</v>
      </c>
      <c r="G83" s="119">
        <v>5.9765756154988602E-2</v>
      </c>
      <c r="H83" s="119">
        <v>7.2047856032587801E-2</v>
      </c>
      <c r="I83" s="119">
        <v>8.7519991620555806E-2</v>
      </c>
      <c r="J83" s="119">
        <v>0.105920721305377</v>
      </c>
      <c r="K83" s="119">
        <v>0.12477643414028</v>
      </c>
      <c r="L83" s="119">
        <v>0.144775930098587</v>
      </c>
      <c r="M83" s="119">
        <v>0.16409726312827699</v>
      </c>
      <c r="N83" s="119">
        <v>0.18141852653097901</v>
      </c>
      <c r="O83" s="119">
        <v>0.197424982041495</v>
      </c>
      <c r="P83" s="119">
        <v>0.213611735954188</v>
      </c>
      <c r="Q83" s="119">
        <v>0.228685511188809</v>
      </c>
      <c r="R83" s="119">
        <v>0.24397914117900801</v>
      </c>
      <c r="S83" s="119">
        <v>0.26085416789702898</v>
      </c>
      <c r="T83" s="119">
        <v>0.27804244474003798</v>
      </c>
      <c r="U83" s="119">
        <v>0.29381255428070302</v>
      </c>
      <c r="V83" s="119">
        <v>0.30422266710465701</v>
      </c>
      <c r="W83" s="119">
        <v>0.31164286770156202</v>
      </c>
      <c r="X83" s="119">
        <v>0.31847997755662</v>
      </c>
      <c r="Y83" s="119">
        <v>0.32601069466767402</v>
      </c>
      <c r="Z83" s="119">
        <v>0.33683716583972001</v>
      </c>
      <c r="AA83" s="119">
        <v>0.348051094308168</v>
      </c>
      <c r="AB83" s="119">
        <v>0.35825004231135898</v>
      </c>
      <c r="AC83" s="119">
        <v>0.36557196725014901</v>
      </c>
      <c r="AD83" s="119">
        <v>0.37191614177183802</v>
      </c>
      <c r="AE83" s="119">
        <v>0.37716275424138002</v>
      </c>
      <c r="AF83" s="119">
        <v>0.37828583099150698</v>
      </c>
      <c r="AG83" s="119">
        <v>0.37767608200326502</v>
      </c>
      <c r="AH83" s="119">
        <v>0.377146944127981</v>
      </c>
      <c r="AI83" s="119">
        <v>0.37970953223690201</v>
      </c>
      <c r="AJ83" s="119">
        <v>0.38697707299107897</v>
      </c>
      <c r="AK83" s="119">
        <v>0.39598768900819198</v>
      </c>
      <c r="AL83" s="119">
        <v>0.40024134740597</v>
      </c>
      <c r="AM83" s="119">
        <v>0.40363774222092702</v>
      </c>
      <c r="AN83" s="119">
        <v>0.40559456355525803</v>
      </c>
      <c r="AO83" s="119">
        <v>0.40825703075177899</v>
      </c>
      <c r="AP83" s="119">
        <v>0.41162870519417499</v>
      </c>
      <c r="AQ83" s="119">
        <v>0.418456257087156</v>
      </c>
      <c r="AR83" s="119">
        <v>0.42369157779724997</v>
      </c>
      <c r="AS83" s="119">
        <v>0.42714408176699797</v>
      </c>
      <c r="AT83" s="119">
        <v>0.42840932633513101</v>
      </c>
      <c r="AU83" s="119">
        <v>0.42921119687709097</v>
      </c>
      <c r="AV83" s="119">
        <v>0.42812449413532799</v>
      </c>
      <c r="AW83" s="119">
        <v>0.42458925514698698</v>
      </c>
      <c r="AX83" s="119">
        <v>0.41985053077958701</v>
      </c>
      <c r="AY83" s="119">
        <v>0.41646596505432099</v>
      </c>
      <c r="AZ83" s="119">
        <v>0.41686793750810303</v>
      </c>
      <c r="BA83" s="119">
        <v>0.41773286617640898</v>
      </c>
      <c r="BB83" s="119">
        <v>0.4190981252673</v>
      </c>
      <c r="BC83" s="119">
        <v>0.420312423935569</v>
      </c>
      <c r="BD83" s="119">
        <v>0.42283830639255898</v>
      </c>
      <c r="BE83" s="119">
        <v>0.42467234865671999</v>
      </c>
      <c r="BF83" s="119">
        <v>0.42652136884046199</v>
      </c>
      <c r="BG83" s="119">
        <v>0.42789661492111902</v>
      </c>
      <c r="BH83" s="119">
        <v>0.42802794525539101</v>
      </c>
      <c r="BI83" s="119">
        <v>0.42816155948476298</v>
      </c>
      <c r="BJ83" s="119">
        <v>0.42929553753865701</v>
      </c>
      <c r="BK83" s="119">
        <v>0.43072948035987801</v>
      </c>
      <c r="BL83" s="119">
        <v>0.42918898162171798</v>
      </c>
    </row>
    <row r="84" spans="1:64" x14ac:dyDescent="0.25">
      <c r="A84" s="860" t="s">
        <v>197</v>
      </c>
      <c r="B84" s="1">
        <v>364</v>
      </c>
      <c r="C84" s="119">
        <v>0.5</v>
      </c>
      <c r="D84" s="119">
        <v>0.143160836244214</v>
      </c>
      <c r="E84" s="119">
        <v>0.15106809902506299</v>
      </c>
      <c r="F84" s="119">
        <v>0.15819344639355401</v>
      </c>
      <c r="G84" s="119">
        <v>0.165977213249553</v>
      </c>
      <c r="H84" s="119">
        <v>0.17311639025078901</v>
      </c>
      <c r="I84" s="119">
        <v>0.181165352065915</v>
      </c>
      <c r="J84" s="119">
        <v>0.188863912611692</v>
      </c>
      <c r="K84" s="119">
        <v>0.19374375093639201</v>
      </c>
      <c r="L84" s="119">
        <v>0.198303086008421</v>
      </c>
      <c r="M84" s="119">
        <v>0.202794535495566</v>
      </c>
      <c r="N84" s="119">
        <v>0.20645058539098299</v>
      </c>
      <c r="O84" s="119">
        <v>0.211444711898432</v>
      </c>
      <c r="P84" s="119">
        <v>0.214616325867095</v>
      </c>
      <c r="Q84" s="119">
        <v>0.21959580027127301</v>
      </c>
      <c r="R84" s="119">
        <v>0.22379292207474599</v>
      </c>
      <c r="S84" s="119">
        <v>0.22792259925</v>
      </c>
      <c r="T84" s="119">
        <v>0.23312925653632499</v>
      </c>
      <c r="U84" s="119">
        <v>0.23698187598856801</v>
      </c>
      <c r="V84" s="119">
        <v>0.24197303340048501</v>
      </c>
      <c r="W84" s="119">
        <v>0.25007919420054597</v>
      </c>
      <c r="X84" s="119">
        <v>0.27159087004816801</v>
      </c>
      <c r="Y84" s="119">
        <v>0.29710688459413298</v>
      </c>
      <c r="Z84" s="119">
        <v>0.32250424473327599</v>
      </c>
      <c r="AA84" s="119">
        <v>0.34327265003993102</v>
      </c>
      <c r="AB84" s="119">
        <v>0.35898485727181401</v>
      </c>
      <c r="AC84" s="119">
        <v>0.37013617140404498</v>
      </c>
      <c r="AD84" s="119">
        <v>0.37662399519419698</v>
      </c>
      <c r="AE84" s="119">
        <v>0.37627047037128902</v>
      </c>
      <c r="AF84" s="119">
        <v>0.37457900403586197</v>
      </c>
      <c r="AG84" s="119">
        <v>0.37205420375894799</v>
      </c>
      <c r="AH84" s="119">
        <v>0.369545107289249</v>
      </c>
      <c r="AI84" s="119">
        <v>0.368116993952955</v>
      </c>
      <c r="AJ84" s="119">
        <v>0.36931394642009902</v>
      </c>
      <c r="AK84" s="119">
        <v>0.37051001529379302</v>
      </c>
      <c r="AL84" s="119">
        <v>0.374529665305468</v>
      </c>
      <c r="AM84" s="119">
        <v>0.37936699604295698</v>
      </c>
      <c r="AN84" s="119">
        <v>0.38384058206667399</v>
      </c>
      <c r="AO84" s="119">
        <v>0.39380773303649103</v>
      </c>
      <c r="AP84" s="119">
        <v>0.40248273445177601</v>
      </c>
      <c r="AQ84" s="119">
        <v>0.411621231175612</v>
      </c>
      <c r="AR84" s="119">
        <v>0.41901452918988902</v>
      </c>
      <c r="AS84" s="119">
        <v>0.42830341073398398</v>
      </c>
      <c r="AT84" s="119">
        <v>0.43596164737659499</v>
      </c>
      <c r="AU84" s="119">
        <v>0.44229963880296802</v>
      </c>
      <c r="AV84" s="119">
        <v>0.448938714747391</v>
      </c>
      <c r="AW84" s="119">
        <v>0.45267693688550997</v>
      </c>
      <c r="AX84" s="119">
        <v>0.45698983594514198</v>
      </c>
      <c r="AY84" s="119">
        <v>0.460219488597781</v>
      </c>
      <c r="AZ84" s="119">
        <v>0.46336454759811502</v>
      </c>
      <c r="BA84" s="119">
        <v>0.46646646211263498</v>
      </c>
      <c r="BB84" s="119">
        <v>0.46716100309727299</v>
      </c>
      <c r="BC84" s="119">
        <v>0.46786175261507101</v>
      </c>
      <c r="BD84" s="119">
        <v>0.46782904504485101</v>
      </c>
      <c r="BE84" s="119">
        <v>0.467404249213213</v>
      </c>
      <c r="BF84" s="119">
        <v>0.46798194597916398</v>
      </c>
      <c r="BG84" s="119">
        <v>0.466912902079268</v>
      </c>
      <c r="BH84" s="119">
        <v>0.46586366018087499</v>
      </c>
      <c r="BI84" s="119">
        <v>0.464547101050926</v>
      </c>
      <c r="BJ84" s="119">
        <v>0.46302325353528301</v>
      </c>
      <c r="BK84" s="119">
        <v>0.46078879812318901</v>
      </c>
      <c r="BL84" s="119">
        <v>0.45791423325571501</v>
      </c>
    </row>
    <row r="85" spans="1:64" x14ac:dyDescent="0.25">
      <c r="A85" s="860" t="s">
        <v>38</v>
      </c>
      <c r="B85" s="1">
        <v>368</v>
      </c>
      <c r="C85" s="119">
        <v>0.5</v>
      </c>
      <c r="D85" s="119">
        <v>7.4091928577850893E-2</v>
      </c>
      <c r="E85" s="119">
        <v>7.7703771172616801E-2</v>
      </c>
      <c r="F85" s="119">
        <v>8.1694004456399905E-2</v>
      </c>
      <c r="G85" s="119">
        <v>8.5635542183367594E-2</v>
      </c>
      <c r="H85" s="119">
        <v>8.9472608162593295E-2</v>
      </c>
      <c r="I85" s="119">
        <v>9.1227399483034197E-2</v>
      </c>
      <c r="J85" s="119">
        <v>9.2610712745298807E-2</v>
      </c>
      <c r="K85" s="119">
        <v>9.3543343560777495E-2</v>
      </c>
      <c r="L85" s="119">
        <v>9.3848153687594402E-2</v>
      </c>
      <c r="M85" s="119">
        <v>9.4495139490550606E-2</v>
      </c>
      <c r="N85" s="119">
        <v>9.5030287715509601E-2</v>
      </c>
      <c r="O85" s="119">
        <v>9.4311693435464194E-2</v>
      </c>
      <c r="P85" s="119">
        <v>9.4959775175300298E-2</v>
      </c>
      <c r="Q85" s="119">
        <v>9.4316081200301896E-2</v>
      </c>
      <c r="R85" s="119">
        <v>9.4489824861646698E-2</v>
      </c>
      <c r="S85" s="119">
        <v>9.4165237731975202E-2</v>
      </c>
      <c r="T85" s="119">
        <v>9.3987537987436698E-2</v>
      </c>
      <c r="U85" s="119">
        <v>9.5175012910149501E-2</v>
      </c>
      <c r="V85" s="119">
        <v>9.6099209344865794E-2</v>
      </c>
      <c r="W85" s="119">
        <v>9.8468881420809104E-2</v>
      </c>
      <c r="X85" s="119">
        <v>0.10292937162721499</v>
      </c>
      <c r="Y85" s="119">
        <v>0.108640712649114</v>
      </c>
      <c r="Z85" s="119">
        <v>0.114554402892125</v>
      </c>
      <c r="AA85" s="119">
        <v>0.121129391866974</v>
      </c>
      <c r="AB85" s="119">
        <v>0.12739203568895999</v>
      </c>
      <c r="AC85" s="119">
        <v>0.134731474140346</v>
      </c>
      <c r="AD85" s="119">
        <v>0.14104062715973301</v>
      </c>
      <c r="AE85" s="119">
        <v>0.14730847311561299</v>
      </c>
      <c r="AF85" s="119">
        <v>0.15356152051876601</v>
      </c>
      <c r="AG85" s="119">
        <v>0.160426965353899</v>
      </c>
      <c r="AH85" s="119">
        <v>0.166371024471312</v>
      </c>
      <c r="AI85" s="119">
        <v>0.173032883097788</v>
      </c>
      <c r="AJ85" s="119">
        <v>0.17869201587306099</v>
      </c>
      <c r="AK85" s="119">
        <v>0.18578690759084299</v>
      </c>
      <c r="AL85" s="119">
        <v>0.191442690270305</v>
      </c>
      <c r="AM85" s="119">
        <v>0.19585693832847201</v>
      </c>
      <c r="AN85" s="119">
        <v>0.20060621153880601</v>
      </c>
      <c r="AO85" s="119">
        <v>0.206899464331254</v>
      </c>
      <c r="AP85" s="119">
        <v>0.212712719515356</v>
      </c>
      <c r="AQ85" s="119">
        <v>0.21631056470391</v>
      </c>
      <c r="AR85" s="119">
        <v>0.22001742181474701</v>
      </c>
      <c r="AS85" s="119">
        <v>0.22416613435166199</v>
      </c>
      <c r="AT85" s="119">
        <v>0.22955279025252801</v>
      </c>
      <c r="AU85" s="119">
        <v>0.232600238330717</v>
      </c>
      <c r="AV85" s="119">
        <v>0.23637081795084</v>
      </c>
      <c r="AW85" s="119">
        <v>0.24036101521791201</v>
      </c>
      <c r="AX85" s="119">
        <v>0.24325019105751799</v>
      </c>
      <c r="AY85" s="119">
        <v>0.247518726181434</v>
      </c>
      <c r="AZ85" s="119">
        <v>0.252109444627999</v>
      </c>
      <c r="BA85" s="119">
        <v>0.25744060843488498</v>
      </c>
      <c r="BB85" s="119">
        <v>0.26290642565127798</v>
      </c>
      <c r="BC85" s="119">
        <v>0.266626438419581</v>
      </c>
      <c r="BD85" s="119">
        <v>0.27034404415931801</v>
      </c>
      <c r="BE85" s="119">
        <v>0.27505982332934598</v>
      </c>
      <c r="BF85" s="119">
        <v>0.278281507212715</v>
      </c>
      <c r="BG85" s="119">
        <v>0.28241657052452701</v>
      </c>
      <c r="BH85" s="119">
        <v>0.28552407567579802</v>
      </c>
      <c r="BI85" s="119">
        <v>0.28853566108784801</v>
      </c>
      <c r="BJ85" s="119">
        <v>0.289801493553006</v>
      </c>
      <c r="BK85" s="119">
        <v>0.292489143939898</v>
      </c>
      <c r="BL85" s="119">
        <v>0.29530911994589898</v>
      </c>
    </row>
    <row r="86" spans="1:64" x14ac:dyDescent="0.25">
      <c r="A86" s="860" t="s">
        <v>198</v>
      </c>
      <c r="B86" s="1">
        <v>372</v>
      </c>
      <c r="C86" s="119">
        <v>0.5</v>
      </c>
      <c r="D86" s="119">
        <v>0.47675022547559998</v>
      </c>
      <c r="E86" s="119">
        <v>0.48235444639820502</v>
      </c>
      <c r="F86" s="119">
        <v>0.48580520017871998</v>
      </c>
      <c r="G86" s="119">
        <v>0.49249334216414598</v>
      </c>
      <c r="H86" s="119">
        <v>0.49965178269390498</v>
      </c>
      <c r="I86" s="119">
        <v>0.50306817177042695</v>
      </c>
      <c r="J86" s="119">
        <v>0.50847183526100304</v>
      </c>
      <c r="K86" s="119">
        <v>0.51306431716719603</v>
      </c>
      <c r="L86" s="119">
        <v>0.51701878537754398</v>
      </c>
      <c r="M86" s="119">
        <v>0.51942051166938097</v>
      </c>
      <c r="N86" s="119">
        <v>0.52665420606872504</v>
      </c>
      <c r="O86" s="119">
        <v>0.52895503062139404</v>
      </c>
      <c r="P86" s="119">
        <v>0.53240874044259201</v>
      </c>
      <c r="Q86" s="119">
        <v>0.53649639253982195</v>
      </c>
      <c r="R86" s="119">
        <v>0.54091422060279504</v>
      </c>
      <c r="S86" s="119">
        <v>0.54443938941584602</v>
      </c>
      <c r="T86" s="119">
        <v>0.54907025664499098</v>
      </c>
      <c r="U86" s="119">
        <v>0.551690359384992</v>
      </c>
      <c r="V86" s="119">
        <v>0.55322522731227797</v>
      </c>
      <c r="W86" s="119">
        <v>0.557453950218608</v>
      </c>
      <c r="X86" s="119">
        <v>0.56193590848105501</v>
      </c>
      <c r="Y86" s="119">
        <v>0.56543419017749996</v>
      </c>
      <c r="Z86" s="119">
        <v>0.57149877988268405</v>
      </c>
      <c r="AA86" s="119">
        <v>0.57632618458731399</v>
      </c>
      <c r="AB86" s="119">
        <v>0.58198891789898499</v>
      </c>
      <c r="AC86" s="119">
        <v>0.58658244697388995</v>
      </c>
      <c r="AD86" s="119">
        <v>0.59120081210201603</v>
      </c>
      <c r="AE86" s="119">
        <v>0.59512939775488705</v>
      </c>
      <c r="AF86" s="119">
        <v>0.59892671769402195</v>
      </c>
      <c r="AG86" s="119">
        <v>0.60061524097305596</v>
      </c>
      <c r="AH86" s="119">
        <v>0.60183071916592901</v>
      </c>
      <c r="AI86" s="119">
        <v>0.60237681164205503</v>
      </c>
      <c r="AJ86" s="119">
        <v>0.60303273216378295</v>
      </c>
      <c r="AK86" s="119">
        <v>0.60278507194725095</v>
      </c>
      <c r="AL86" s="119">
        <v>0.60069805697769396</v>
      </c>
      <c r="AM86" s="119">
        <v>0.602265178706478</v>
      </c>
      <c r="AN86" s="119">
        <v>0.60558312397292502</v>
      </c>
      <c r="AO86" s="119">
        <v>0.60916970203816501</v>
      </c>
      <c r="AP86" s="119">
        <v>0.61428434725451897</v>
      </c>
      <c r="AQ86" s="119">
        <v>0.61730884355077797</v>
      </c>
      <c r="AR86" s="119">
        <v>0.621324415719683</v>
      </c>
      <c r="AS86" s="119">
        <v>0.62280956362997997</v>
      </c>
      <c r="AT86" s="119">
        <v>0.62356809899390697</v>
      </c>
      <c r="AU86" s="119">
        <v>0.62461748205739998</v>
      </c>
      <c r="AV86" s="119">
        <v>0.62365914619132201</v>
      </c>
      <c r="AW86" s="119">
        <v>0.62429447641828895</v>
      </c>
      <c r="AX86" s="119">
        <v>0.62428892690457105</v>
      </c>
      <c r="AY86" s="119">
        <v>0.624585019093718</v>
      </c>
      <c r="AZ86" s="119">
        <v>0.62656811249903699</v>
      </c>
      <c r="BA86" s="119">
        <v>0.62543430340527195</v>
      </c>
      <c r="BB86" s="119">
        <v>0.62624480643504998</v>
      </c>
      <c r="BC86" s="119">
        <v>0.62797420736604503</v>
      </c>
      <c r="BD86" s="119">
        <v>0.627599841025272</v>
      </c>
      <c r="BE86" s="119">
        <v>0.62787348015215805</v>
      </c>
      <c r="BF86" s="119">
        <v>0.62646123005148702</v>
      </c>
      <c r="BG86" s="119">
        <v>0.626241029712724</v>
      </c>
      <c r="BH86" s="119">
        <v>0.626197479021811</v>
      </c>
      <c r="BI86" s="119">
        <v>0.62691903677585104</v>
      </c>
      <c r="BJ86" s="119">
        <v>0.62848297361760097</v>
      </c>
      <c r="BK86" s="119">
        <v>0.62967701635928797</v>
      </c>
      <c r="BL86" s="119">
        <v>0.62947336558750799</v>
      </c>
    </row>
    <row r="87" spans="1:64" x14ac:dyDescent="0.25">
      <c r="A87" s="860" t="s">
        <v>199</v>
      </c>
      <c r="B87" s="1">
        <v>376</v>
      </c>
      <c r="C87" s="119">
        <v>0.5</v>
      </c>
      <c r="D87" s="119">
        <v>0.25498598033883701</v>
      </c>
      <c r="E87" s="119">
        <v>0.25895330056182803</v>
      </c>
      <c r="F87" s="119">
        <v>0.26360265409664402</v>
      </c>
      <c r="G87" s="119">
        <v>0.26813933268725798</v>
      </c>
      <c r="H87" s="119">
        <v>0.27063391122605901</v>
      </c>
      <c r="I87" s="119">
        <v>0.27424367291593799</v>
      </c>
      <c r="J87" s="119">
        <v>0.27791510246860701</v>
      </c>
      <c r="K87" s="119">
        <v>0.28141788498055897</v>
      </c>
      <c r="L87" s="119">
        <v>0.28464097000194799</v>
      </c>
      <c r="M87" s="119">
        <v>0.28895689820277898</v>
      </c>
      <c r="N87" s="119">
        <v>0.29312310762118798</v>
      </c>
      <c r="O87" s="119">
        <v>0.29494206879236701</v>
      </c>
      <c r="P87" s="119">
        <v>0.29858181449522497</v>
      </c>
      <c r="Q87" s="119">
        <v>0.30150866533544801</v>
      </c>
      <c r="R87" s="119">
        <v>0.30524906221536602</v>
      </c>
      <c r="S87" s="119">
        <v>0.30730600500049399</v>
      </c>
      <c r="T87" s="119">
        <v>0.30703965818249002</v>
      </c>
      <c r="U87" s="119">
        <v>0.30679201683280599</v>
      </c>
      <c r="V87" s="119">
        <v>0.30463172606558098</v>
      </c>
      <c r="W87" s="119">
        <v>0.30108102898612399</v>
      </c>
      <c r="X87" s="119">
        <v>0.297788360716635</v>
      </c>
      <c r="Y87" s="119">
        <v>0.29661630735602001</v>
      </c>
      <c r="Z87" s="119">
        <v>0.29602829067041098</v>
      </c>
      <c r="AA87" s="119">
        <v>0.29639983861029301</v>
      </c>
      <c r="AB87" s="119">
        <v>0.29672283355012502</v>
      </c>
      <c r="AC87" s="119">
        <v>0.29577159637746298</v>
      </c>
      <c r="AD87" s="119">
        <v>0.29586290034611901</v>
      </c>
      <c r="AE87" s="119">
        <v>0.29524021662578498</v>
      </c>
      <c r="AF87" s="119">
        <v>0.29593933932997102</v>
      </c>
      <c r="AG87" s="119">
        <v>0.29615065378283201</v>
      </c>
      <c r="AH87" s="119">
        <v>0.29513062760132902</v>
      </c>
      <c r="AI87" s="119">
        <v>0.29383797928593902</v>
      </c>
      <c r="AJ87" s="119">
        <v>0.294118906209138</v>
      </c>
      <c r="AK87" s="119">
        <v>0.29449657436357701</v>
      </c>
      <c r="AL87" s="119">
        <v>0.29462672709152998</v>
      </c>
      <c r="AM87" s="119">
        <v>0.294056653328922</v>
      </c>
      <c r="AN87" s="119">
        <v>0.29489047294973098</v>
      </c>
      <c r="AO87" s="119">
        <v>0.29549543216869101</v>
      </c>
      <c r="AP87" s="119">
        <v>0.29673099744461501</v>
      </c>
      <c r="AQ87" s="119">
        <v>0.29846890026818801</v>
      </c>
      <c r="AR87" s="119">
        <v>0.30006801171772701</v>
      </c>
      <c r="AS87" s="119">
        <v>0.301339004607933</v>
      </c>
      <c r="AT87" s="119">
        <v>0.30074137261243</v>
      </c>
      <c r="AU87" s="119">
        <v>0.30171084901157302</v>
      </c>
      <c r="AV87" s="119">
        <v>0.30009864687573301</v>
      </c>
      <c r="AW87" s="119">
        <v>0.29969891121733899</v>
      </c>
      <c r="AX87" s="119">
        <v>0.298105789653409</v>
      </c>
      <c r="AY87" s="119">
        <v>0.29817876081403699</v>
      </c>
      <c r="AZ87" s="119">
        <v>0.29634051045062998</v>
      </c>
      <c r="BA87" s="119">
        <v>0.29661079068250801</v>
      </c>
      <c r="BB87" s="119">
        <v>0.29681323155005301</v>
      </c>
      <c r="BC87" s="119">
        <v>0.29741287225540303</v>
      </c>
      <c r="BD87" s="119">
        <v>0.29715609353363998</v>
      </c>
      <c r="BE87" s="119">
        <v>0.29722821890120099</v>
      </c>
      <c r="BF87" s="119">
        <v>0.29689659342457297</v>
      </c>
      <c r="BG87" s="119">
        <v>0.29687271729877002</v>
      </c>
      <c r="BH87" s="119">
        <v>0.298110472470071</v>
      </c>
      <c r="BI87" s="119">
        <v>0.29845742625470401</v>
      </c>
      <c r="BJ87" s="119">
        <v>0.298690116556039</v>
      </c>
      <c r="BK87" s="119">
        <v>0.30037514603066401</v>
      </c>
      <c r="BL87" s="119">
        <v>0.300551880859247</v>
      </c>
    </row>
    <row r="88" spans="1:64" x14ac:dyDescent="0.25">
      <c r="A88" s="860" t="s">
        <v>200</v>
      </c>
      <c r="B88" s="1">
        <v>380</v>
      </c>
      <c r="C88" s="119">
        <v>0.5</v>
      </c>
      <c r="D88" s="119">
        <v>0.13409098651950899</v>
      </c>
      <c r="E88" s="119">
        <v>0.13844960704183901</v>
      </c>
      <c r="F88" s="119">
        <v>0.14265063018267801</v>
      </c>
      <c r="G88" s="119">
        <v>0.14823346071476101</v>
      </c>
      <c r="H88" s="119">
        <v>0.15313623385335101</v>
      </c>
      <c r="I88" s="119">
        <v>0.15946467882790299</v>
      </c>
      <c r="J88" s="119">
        <v>0.164077018156504</v>
      </c>
      <c r="K88" s="119">
        <v>0.171650705105657</v>
      </c>
      <c r="L88" s="119">
        <v>0.17575424646995799</v>
      </c>
      <c r="M88" s="119">
        <v>0.182112032800616</v>
      </c>
      <c r="N88" s="119">
        <v>0.19030883527998299</v>
      </c>
      <c r="O88" s="119">
        <v>0.19687102754052799</v>
      </c>
      <c r="P88" s="119">
        <v>0.20381443630304599</v>
      </c>
      <c r="Q88" s="119">
        <v>0.208678573150406</v>
      </c>
      <c r="R88" s="119">
        <v>0.215879829655655</v>
      </c>
      <c r="S88" s="119">
        <v>0.22256848111830899</v>
      </c>
      <c r="T88" s="119">
        <v>0.22890063468441299</v>
      </c>
      <c r="U88" s="119">
        <v>0.234290151603813</v>
      </c>
      <c r="V88" s="119">
        <v>0.24465621266152901</v>
      </c>
      <c r="W88" s="119">
        <v>0.25087277883620002</v>
      </c>
      <c r="X88" s="119">
        <v>0.25912458429711399</v>
      </c>
      <c r="Y88" s="119">
        <v>0.26685472901079998</v>
      </c>
      <c r="Z88" s="119">
        <v>0.27431493774765803</v>
      </c>
      <c r="AA88" s="119">
        <v>0.28229826806965602</v>
      </c>
      <c r="AB88" s="119">
        <v>0.29172355484439899</v>
      </c>
      <c r="AC88" s="119">
        <v>0.298749306201889</v>
      </c>
      <c r="AD88" s="119">
        <v>0.30586374691079998</v>
      </c>
      <c r="AE88" s="119">
        <v>0.31275817760962499</v>
      </c>
      <c r="AF88" s="119">
        <v>0.32057009882045601</v>
      </c>
      <c r="AG88" s="119">
        <v>0.33037355000895402</v>
      </c>
      <c r="AH88" s="119">
        <v>0.33875706927057903</v>
      </c>
      <c r="AI88" s="119">
        <v>0.34844274424763699</v>
      </c>
      <c r="AJ88" s="119">
        <v>0.35476259919723802</v>
      </c>
      <c r="AK88" s="119">
        <v>0.36571488105039601</v>
      </c>
      <c r="AL88" s="119">
        <v>0.37395120202169002</v>
      </c>
      <c r="AM88" s="119">
        <v>0.38295762488106899</v>
      </c>
      <c r="AN88" s="119">
        <v>0.390503044708222</v>
      </c>
      <c r="AO88" s="119">
        <v>0.400755793107272</v>
      </c>
      <c r="AP88" s="119">
        <v>0.40893147795724599</v>
      </c>
      <c r="AQ88" s="119">
        <v>0.41844128013465298</v>
      </c>
      <c r="AR88" s="119">
        <v>0.42589526471334299</v>
      </c>
      <c r="AS88" s="119">
        <v>0.43398173329627499</v>
      </c>
      <c r="AT88" s="119">
        <v>0.44236843621151001</v>
      </c>
      <c r="AU88" s="119">
        <v>0.45024660911837899</v>
      </c>
      <c r="AV88" s="119">
        <v>0.45400919697721298</v>
      </c>
      <c r="AW88" s="119">
        <v>0.45752113684096901</v>
      </c>
      <c r="AX88" s="119">
        <v>0.461342674496099</v>
      </c>
      <c r="AY88" s="119">
        <v>0.46629631225048401</v>
      </c>
      <c r="AZ88" s="119">
        <v>0.46900115110986501</v>
      </c>
      <c r="BA88" s="119">
        <v>0.47356133844673398</v>
      </c>
      <c r="BB88" s="119">
        <v>0.47555352644328802</v>
      </c>
      <c r="BC88" s="119">
        <v>0.47788490217826601</v>
      </c>
      <c r="BD88" s="119">
        <v>0.48163674589584698</v>
      </c>
      <c r="BE88" s="119">
        <v>0.486003933881132</v>
      </c>
      <c r="BF88" s="119">
        <v>0.48660608550519002</v>
      </c>
      <c r="BG88" s="119">
        <v>0.490492920625277</v>
      </c>
      <c r="BH88" s="119">
        <v>0.49333110211391201</v>
      </c>
      <c r="BI88" s="119">
        <v>0.49840573369497099</v>
      </c>
      <c r="BJ88" s="119">
        <v>0.50025586986038695</v>
      </c>
      <c r="BK88" s="119">
        <v>0.50418831657387198</v>
      </c>
      <c r="BL88" s="119">
        <v>0.50892949393564701</v>
      </c>
    </row>
    <row r="89" spans="1:64" x14ac:dyDescent="0.25">
      <c r="A89" s="860" t="s">
        <v>201</v>
      </c>
      <c r="B89" s="1">
        <v>388</v>
      </c>
      <c r="C89" s="119">
        <v>0.5</v>
      </c>
      <c r="D89" s="119">
        <v>0.22472881623282501</v>
      </c>
      <c r="E89" s="119">
        <v>0.227275624411929</v>
      </c>
      <c r="F89" s="119">
        <v>0.22935572325105599</v>
      </c>
      <c r="G89" s="119">
        <v>0.23252639589326199</v>
      </c>
      <c r="H89" s="119">
        <v>0.23565708309973599</v>
      </c>
      <c r="I89" s="119">
        <v>0.24000319881173501</v>
      </c>
      <c r="J89" s="119">
        <v>0.246266211631886</v>
      </c>
      <c r="K89" s="119">
        <v>0.25275164144622297</v>
      </c>
      <c r="L89" s="119">
        <v>0.26137179278109202</v>
      </c>
      <c r="M89" s="119">
        <v>0.269011782028862</v>
      </c>
      <c r="N89" s="119">
        <v>0.274621582533568</v>
      </c>
      <c r="O89" s="119">
        <v>0.27735776025716902</v>
      </c>
      <c r="P89" s="119">
        <v>0.28180137530955102</v>
      </c>
      <c r="Q89" s="119">
        <v>0.284845879539391</v>
      </c>
      <c r="R89" s="119">
        <v>0.28808851982657901</v>
      </c>
      <c r="S89" s="119">
        <v>0.29162050457484501</v>
      </c>
      <c r="T89" s="119">
        <v>0.29646168668319201</v>
      </c>
      <c r="U89" s="119">
        <v>0.30113466394264798</v>
      </c>
      <c r="V89" s="119">
        <v>0.30553587411112398</v>
      </c>
      <c r="W89" s="119">
        <v>0.309704326810752</v>
      </c>
      <c r="X89" s="119">
        <v>0.31492679750101099</v>
      </c>
      <c r="Y89" s="119">
        <v>0.32030440047632203</v>
      </c>
      <c r="Z89" s="119">
        <v>0.327309997358259</v>
      </c>
      <c r="AA89" s="119">
        <v>0.33276089457098101</v>
      </c>
      <c r="AB89" s="119">
        <v>0.33932644931052203</v>
      </c>
      <c r="AC89" s="119">
        <v>0.34593041334070901</v>
      </c>
      <c r="AD89" s="119">
        <v>0.35188952502918103</v>
      </c>
      <c r="AE89" s="119">
        <v>0.35659721854912002</v>
      </c>
      <c r="AF89" s="119">
        <v>0.36058847181061199</v>
      </c>
      <c r="AG89" s="119">
        <v>0.36456883874300799</v>
      </c>
      <c r="AH89" s="119">
        <v>0.36890000046233701</v>
      </c>
      <c r="AI89" s="119">
        <v>0.37169590297576899</v>
      </c>
      <c r="AJ89" s="119">
        <v>0.37479338715624999</v>
      </c>
      <c r="AK89" s="119">
        <v>0.37847443939664699</v>
      </c>
      <c r="AL89" s="119">
        <v>0.38168860174730701</v>
      </c>
      <c r="AM89" s="119">
        <v>0.384741196337956</v>
      </c>
      <c r="AN89" s="119">
        <v>0.38492027121919897</v>
      </c>
      <c r="AO89" s="119">
        <v>0.386331890352406</v>
      </c>
      <c r="AP89" s="119">
        <v>0.38706249574260498</v>
      </c>
      <c r="AQ89" s="119">
        <v>0.38903376210852098</v>
      </c>
      <c r="AR89" s="119">
        <v>0.39011192655017801</v>
      </c>
      <c r="AS89" s="119">
        <v>0.39298605241893902</v>
      </c>
      <c r="AT89" s="119">
        <v>0.39534163672554501</v>
      </c>
      <c r="AU89" s="119">
        <v>0.39639824740259</v>
      </c>
      <c r="AV89" s="119">
        <v>0.39810665715904697</v>
      </c>
      <c r="AW89" s="119">
        <v>0.39919087379361701</v>
      </c>
      <c r="AX89" s="119">
        <v>0.40245706495227701</v>
      </c>
      <c r="AY89" s="119">
        <v>0.40465519049666498</v>
      </c>
      <c r="AZ89" s="119">
        <v>0.40640616058807399</v>
      </c>
      <c r="BA89" s="119">
        <v>0.40877742030019099</v>
      </c>
      <c r="BB89" s="119">
        <v>0.41157852829316299</v>
      </c>
      <c r="BC89" s="119">
        <v>0.41571304283286498</v>
      </c>
      <c r="BD89" s="119">
        <v>0.41989163645854599</v>
      </c>
      <c r="BE89" s="119">
        <v>0.42409483301159501</v>
      </c>
      <c r="BF89" s="119">
        <v>0.428530518999725</v>
      </c>
      <c r="BG89" s="119">
        <v>0.43211926413943003</v>
      </c>
      <c r="BH89" s="119">
        <v>0.436190865472939</v>
      </c>
      <c r="BI89" s="119">
        <v>0.438841023000136</v>
      </c>
      <c r="BJ89" s="119">
        <v>0.44374965755458801</v>
      </c>
      <c r="BK89" s="119">
        <v>0.45039553426738199</v>
      </c>
      <c r="BL89" s="119">
        <v>0.45387742098843598</v>
      </c>
    </row>
    <row r="90" spans="1:64" x14ac:dyDescent="0.25">
      <c r="A90" s="860" t="s">
        <v>202</v>
      </c>
      <c r="B90" s="1">
        <v>392</v>
      </c>
      <c r="C90" s="119">
        <v>0.5</v>
      </c>
      <c r="D90" s="119">
        <v>0.26754235009017602</v>
      </c>
      <c r="E90" s="119">
        <v>0.275276998895016</v>
      </c>
      <c r="F90" s="119">
        <v>0.28477974740302098</v>
      </c>
      <c r="G90" s="119">
        <v>0.29337469482252398</v>
      </c>
      <c r="H90" s="119">
        <v>0.300887571506952</v>
      </c>
      <c r="I90" s="119">
        <v>0.30963032950366398</v>
      </c>
      <c r="J90" s="119">
        <v>0.31539735636866301</v>
      </c>
      <c r="K90" s="119">
        <v>0.31759453509049801</v>
      </c>
      <c r="L90" s="119">
        <v>0.32092110340950902</v>
      </c>
      <c r="M90" s="119">
        <v>0.32330367586404402</v>
      </c>
      <c r="N90" s="119">
        <v>0.324095616852354</v>
      </c>
      <c r="O90" s="119">
        <v>0.32422944334009102</v>
      </c>
      <c r="P90" s="119">
        <v>0.32489748089340997</v>
      </c>
      <c r="Q90" s="119">
        <v>0.32509870454700701</v>
      </c>
      <c r="R90" s="119">
        <v>0.325499499642113</v>
      </c>
      <c r="S90" s="119">
        <v>0.32645588562711197</v>
      </c>
      <c r="T90" s="119">
        <v>0.329136612106877</v>
      </c>
      <c r="U90" s="119">
        <v>0.32765312375947497</v>
      </c>
      <c r="V90" s="119">
        <v>0.326500203061101</v>
      </c>
      <c r="W90" s="119">
        <v>0.32726457012710197</v>
      </c>
      <c r="X90" s="119">
        <v>0.32807770346735099</v>
      </c>
      <c r="Y90" s="119">
        <v>0.33227778917630402</v>
      </c>
      <c r="Z90" s="119">
        <v>0.33448658311283103</v>
      </c>
      <c r="AA90" s="119">
        <v>0.33519790217051998</v>
      </c>
      <c r="AB90" s="119">
        <v>0.33491586176198301</v>
      </c>
      <c r="AC90" s="119">
        <v>0.33511602406173502</v>
      </c>
      <c r="AD90" s="119">
        <v>0.33503622243859099</v>
      </c>
      <c r="AE90" s="119">
        <v>0.33661834503628302</v>
      </c>
      <c r="AF90" s="119">
        <v>0.336920427705384</v>
      </c>
      <c r="AG90" s="119">
        <v>0.33877795789431497</v>
      </c>
      <c r="AH90" s="119">
        <v>0.33942757853116801</v>
      </c>
      <c r="AI90" s="119">
        <v>0.34364964285090199</v>
      </c>
      <c r="AJ90" s="119">
        <v>0.34562483280864298</v>
      </c>
      <c r="AK90" s="119">
        <v>0.34873410853737802</v>
      </c>
      <c r="AL90" s="119">
        <v>0.35374341759605299</v>
      </c>
      <c r="AM90" s="119">
        <v>0.35820624660338701</v>
      </c>
      <c r="AN90" s="119">
        <v>0.35987335534596199</v>
      </c>
      <c r="AO90" s="119">
        <v>0.36071032013528498</v>
      </c>
      <c r="AP90" s="119">
        <v>0.36248817279305701</v>
      </c>
      <c r="AQ90" s="119">
        <v>0.363501600216806</v>
      </c>
      <c r="AR90" s="119">
        <v>0.364882061293683</v>
      </c>
      <c r="AS90" s="119">
        <v>0.36449745726447302</v>
      </c>
      <c r="AT90" s="119">
        <v>0.36444082576597198</v>
      </c>
      <c r="AU90" s="119">
        <v>0.36308058775757002</v>
      </c>
      <c r="AV90" s="119">
        <v>0.36010406578632198</v>
      </c>
      <c r="AW90" s="119">
        <v>0.35487482667251802</v>
      </c>
      <c r="AX90" s="119">
        <v>0.35682328199746799</v>
      </c>
      <c r="AY90" s="119">
        <v>0.36100312005679203</v>
      </c>
      <c r="AZ90" s="119">
        <v>0.36605531373469602</v>
      </c>
      <c r="BA90" s="119">
        <v>0.37045162874745602</v>
      </c>
      <c r="BB90" s="119">
        <v>0.37657225243834302</v>
      </c>
      <c r="BC90" s="119">
        <v>0.38035672044271401</v>
      </c>
      <c r="BD90" s="119">
        <v>0.38564853400917898</v>
      </c>
      <c r="BE90" s="119">
        <v>0.38993131736439302</v>
      </c>
      <c r="BF90" s="119">
        <v>0.39253633029245</v>
      </c>
      <c r="BG90" s="119">
        <v>0.39752768182007497</v>
      </c>
      <c r="BH90" s="119">
        <v>0.39982426614996402</v>
      </c>
      <c r="BI90" s="119">
        <v>0.40550598931250298</v>
      </c>
      <c r="BJ90" s="119">
        <v>0.41020798194624097</v>
      </c>
      <c r="BK90" s="119">
        <v>0.413149409950821</v>
      </c>
      <c r="BL90" s="119">
        <v>0.417524982947515</v>
      </c>
    </row>
    <row r="91" spans="1:64" x14ac:dyDescent="0.25">
      <c r="A91" s="860" t="s">
        <v>203</v>
      </c>
      <c r="B91" s="1">
        <v>400</v>
      </c>
      <c r="C91" s="119">
        <v>0.5</v>
      </c>
      <c r="D91" s="119">
        <v>0.113530491235468</v>
      </c>
      <c r="E91" s="119">
        <v>0.11777985717091199</v>
      </c>
      <c r="F91" s="119">
        <v>0.12017696640710999</v>
      </c>
      <c r="G91" s="119">
        <v>0.121868834666665</v>
      </c>
      <c r="H91" s="119">
        <v>0.123065428609196</v>
      </c>
      <c r="I91" s="119">
        <v>0.124433443979071</v>
      </c>
      <c r="J91" s="119">
        <v>0.124852955681498</v>
      </c>
      <c r="K91" s="119">
        <v>0.12588170609608201</v>
      </c>
      <c r="L91" s="119">
        <v>0.12654191425563299</v>
      </c>
      <c r="M91" s="119">
        <v>0.12720639798911401</v>
      </c>
      <c r="N91" s="119">
        <v>0.12793299387464199</v>
      </c>
      <c r="O91" s="119">
        <v>0.13042347683507299</v>
      </c>
      <c r="P91" s="119">
        <v>0.132310590554094</v>
      </c>
      <c r="Q91" s="119">
        <v>0.135874826108875</v>
      </c>
      <c r="R91" s="119">
        <v>0.13917832491788201</v>
      </c>
      <c r="S91" s="119">
        <v>0.14213517212467</v>
      </c>
      <c r="T91" s="119">
        <v>0.14444871186251099</v>
      </c>
      <c r="U91" s="119">
        <v>0.14758921091728</v>
      </c>
      <c r="V91" s="119">
        <v>0.15127898513261201</v>
      </c>
      <c r="W91" s="119">
        <v>0.15501347101313601</v>
      </c>
      <c r="X91" s="119">
        <v>0.15887355067886799</v>
      </c>
      <c r="Y91" s="119">
        <v>0.165928545319561</v>
      </c>
      <c r="Z91" s="119">
        <v>0.174111612869946</v>
      </c>
      <c r="AA91" s="119">
        <v>0.18304948850246</v>
      </c>
      <c r="AB91" s="119">
        <v>0.19225639884805801</v>
      </c>
      <c r="AC91" s="119">
        <v>0.200866709510997</v>
      </c>
      <c r="AD91" s="119">
        <v>0.20886916026322899</v>
      </c>
      <c r="AE91" s="119">
        <v>0.21561832352411001</v>
      </c>
      <c r="AF91" s="119">
        <v>0.218867406283828</v>
      </c>
      <c r="AG91" s="119">
        <v>0.22181927214955499</v>
      </c>
      <c r="AH91" s="119">
        <v>0.224821945032294</v>
      </c>
      <c r="AI91" s="119">
        <v>0.22732200245480899</v>
      </c>
      <c r="AJ91" s="119">
        <v>0.22996042684314399</v>
      </c>
      <c r="AK91" s="119">
        <v>0.230759335381402</v>
      </c>
      <c r="AL91" s="119">
        <v>0.231254233824816</v>
      </c>
      <c r="AM91" s="119">
        <v>0.23263221131005901</v>
      </c>
      <c r="AN91" s="119">
        <v>0.23439131845271699</v>
      </c>
      <c r="AO91" s="119">
        <v>0.235880328771158</v>
      </c>
      <c r="AP91" s="119">
        <v>0.23787962710209001</v>
      </c>
      <c r="AQ91" s="119">
        <v>0.23964878290192601</v>
      </c>
      <c r="AR91" s="119">
        <v>0.24189531449800999</v>
      </c>
      <c r="AS91" s="119">
        <v>0.24189525760914399</v>
      </c>
      <c r="AT91" s="119">
        <v>0.24166542049204401</v>
      </c>
      <c r="AU91" s="119">
        <v>0.23662399281457</v>
      </c>
      <c r="AV91" s="119">
        <v>0.22982615021271499</v>
      </c>
      <c r="AW91" s="119">
        <v>0.22240930048393101</v>
      </c>
      <c r="AX91" s="119">
        <v>0.215694171083464</v>
      </c>
      <c r="AY91" s="119">
        <v>0.210486701847064</v>
      </c>
      <c r="AZ91" s="119">
        <v>0.210325967779735</v>
      </c>
      <c r="BA91" s="119">
        <v>0.21162078297005499</v>
      </c>
      <c r="BB91" s="119">
        <v>0.21331088808724299</v>
      </c>
      <c r="BC91" s="119">
        <v>0.215133020462385</v>
      </c>
      <c r="BD91" s="119">
        <v>0.217978730898511</v>
      </c>
      <c r="BE91" s="119">
        <v>0.221021190245689</v>
      </c>
      <c r="BF91" s="119">
        <v>0.222826850858205</v>
      </c>
      <c r="BG91" s="119">
        <v>0.22566240357068901</v>
      </c>
      <c r="BH91" s="119">
        <v>0.22755706150982699</v>
      </c>
      <c r="BI91" s="119">
        <v>0.22955074249541299</v>
      </c>
      <c r="BJ91" s="119">
        <v>0.232488422031222</v>
      </c>
      <c r="BK91" s="119">
        <v>0.23350276247231899</v>
      </c>
      <c r="BL91" s="119">
        <v>0.23681656855843999</v>
      </c>
    </row>
    <row r="92" spans="1:64" x14ac:dyDescent="0.25">
      <c r="A92" s="860" t="s">
        <v>204</v>
      </c>
      <c r="B92" s="1">
        <v>398</v>
      </c>
      <c r="C92" s="119">
        <v>0.5</v>
      </c>
      <c r="D92" s="119">
        <v>0.22071987848432401</v>
      </c>
      <c r="E92" s="119">
        <v>0.224920500885748</v>
      </c>
      <c r="F92" s="119">
        <v>0.22683222916887499</v>
      </c>
      <c r="G92" s="119">
        <v>0.22908151362127499</v>
      </c>
      <c r="H92" s="119">
        <v>0.232013111170361</v>
      </c>
      <c r="I92" s="119">
        <v>0.23753360864009199</v>
      </c>
      <c r="J92" s="119">
        <v>0.242649317181825</v>
      </c>
      <c r="K92" s="119">
        <v>0.24691498036710599</v>
      </c>
      <c r="L92" s="119">
        <v>0.25374586734356502</v>
      </c>
      <c r="M92" s="119">
        <v>0.258114093836323</v>
      </c>
      <c r="N92" s="119">
        <v>0.26288478353871703</v>
      </c>
      <c r="O92" s="119">
        <v>0.26736210615468903</v>
      </c>
      <c r="P92" s="119">
        <v>0.27189869318182203</v>
      </c>
      <c r="Q92" s="119">
        <v>0.277380317534344</v>
      </c>
      <c r="R92" s="119">
        <v>0.28336261523529799</v>
      </c>
      <c r="S92" s="119">
        <v>0.28893246008661799</v>
      </c>
      <c r="T92" s="119">
        <v>0.29407656511720898</v>
      </c>
      <c r="U92" s="119">
        <v>0.29891223462997402</v>
      </c>
      <c r="V92" s="119">
        <v>0.30423606750655402</v>
      </c>
      <c r="W92" s="119">
        <v>0.30845916935533202</v>
      </c>
      <c r="X92" s="119">
        <v>0.31403604471484498</v>
      </c>
      <c r="Y92" s="119">
        <v>0.31893921539168901</v>
      </c>
      <c r="Z92" s="119">
        <v>0.32401005546392098</v>
      </c>
      <c r="AA92" s="119">
        <v>0.32951922295230601</v>
      </c>
      <c r="AB92" s="119">
        <v>0.335176509528815</v>
      </c>
      <c r="AC92" s="119">
        <v>0.34247241214457103</v>
      </c>
      <c r="AD92" s="119">
        <v>0.35625597659605501</v>
      </c>
      <c r="AE92" s="119">
        <v>0.371901952137903</v>
      </c>
      <c r="AF92" s="119">
        <v>0.38596905373309898</v>
      </c>
      <c r="AG92" s="119">
        <v>0.39642873636190301</v>
      </c>
      <c r="AH92" s="119">
        <v>0.39991278482473402</v>
      </c>
      <c r="AI92" s="119">
        <v>0.39790823612244403</v>
      </c>
      <c r="AJ92" s="119">
        <v>0.39351226298728298</v>
      </c>
      <c r="AK92" s="119">
        <v>0.38789019955008303</v>
      </c>
      <c r="AL92" s="119">
        <v>0.38094596408478598</v>
      </c>
      <c r="AM92" s="119">
        <v>0.37544514013024199</v>
      </c>
      <c r="AN92" s="119">
        <v>0.37095556323794499</v>
      </c>
      <c r="AO92" s="119">
        <v>0.36865635007549902</v>
      </c>
      <c r="AP92" s="119">
        <v>0.36915812260252501</v>
      </c>
      <c r="AQ92" s="119">
        <v>0.36994701918256301</v>
      </c>
      <c r="AR92" s="119">
        <v>0.372590783797142</v>
      </c>
      <c r="AS92" s="119">
        <v>0.37599892111103</v>
      </c>
      <c r="AT92" s="119">
        <v>0.37974197528759501</v>
      </c>
      <c r="AU92" s="119">
        <v>0.38535247502196501</v>
      </c>
      <c r="AV92" s="119">
        <v>0.389615171145756</v>
      </c>
      <c r="AW92" s="119">
        <v>0.39398046500572997</v>
      </c>
      <c r="AX92" s="119">
        <v>0.39568238400305999</v>
      </c>
      <c r="AY92" s="119">
        <v>0.397243621442464</v>
      </c>
      <c r="AZ92" s="119">
        <v>0.39937159984419002</v>
      </c>
      <c r="BA92" s="119">
        <v>0.40105861033138401</v>
      </c>
      <c r="BB92" s="119">
        <v>0.40291498336834503</v>
      </c>
      <c r="BC92" s="119">
        <v>0.40494613962046799</v>
      </c>
      <c r="BD92" s="119">
        <v>0.40446984635369798</v>
      </c>
      <c r="BE92" s="119">
        <v>0.40480640007102398</v>
      </c>
      <c r="BF92" s="119">
        <v>0.40574445792220698</v>
      </c>
      <c r="BG92" s="119">
        <v>0.40696040066373002</v>
      </c>
      <c r="BH92" s="119">
        <v>0.40646353939364399</v>
      </c>
      <c r="BI92" s="119">
        <v>0.40579115133793298</v>
      </c>
      <c r="BJ92" s="119">
        <v>0.40697081858241502</v>
      </c>
      <c r="BK92" s="119">
        <v>0.406849937712434</v>
      </c>
      <c r="BL92" s="119">
        <v>0.40959849570425999</v>
      </c>
    </row>
    <row r="93" spans="1:64" x14ac:dyDescent="0.25">
      <c r="A93" s="860" t="s">
        <v>39</v>
      </c>
      <c r="B93" s="1">
        <v>404</v>
      </c>
      <c r="C93" s="119">
        <v>0.5</v>
      </c>
      <c r="D93" s="119">
        <v>1.89971055368202E-2</v>
      </c>
      <c r="E93" s="119">
        <v>2.13355125500501E-2</v>
      </c>
      <c r="F93" s="119">
        <v>2.3919849718635901E-2</v>
      </c>
      <c r="G93" s="119">
        <v>2.68343747278539E-2</v>
      </c>
      <c r="H93" s="119">
        <v>2.9662620166933901E-2</v>
      </c>
      <c r="I93" s="119">
        <v>3.2982185492937501E-2</v>
      </c>
      <c r="J93" s="119">
        <v>3.6737409811783903E-2</v>
      </c>
      <c r="K93" s="119">
        <v>4.0965129272080403E-2</v>
      </c>
      <c r="L93" s="119">
        <v>4.49423677167489E-2</v>
      </c>
      <c r="M93" s="119">
        <v>5.0365419310492002E-2</v>
      </c>
      <c r="N93" s="119">
        <v>5.5672500836876297E-2</v>
      </c>
      <c r="O93" s="119">
        <v>6.1210518666828202E-2</v>
      </c>
      <c r="P93" s="119">
        <v>6.8154824300617298E-2</v>
      </c>
      <c r="Q93" s="119">
        <v>7.58517382787917E-2</v>
      </c>
      <c r="R93" s="119">
        <v>8.3872734926184397E-2</v>
      </c>
      <c r="S93" s="119">
        <v>9.3461304499961304E-2</v>
      </c>
      <c r="T93" s="119">
        <v>0.103883525394643</v>
      </c>
      <c r="U93" s="119">
        <v>0.116113238688936</v>
      </c>
      <c r="V93" s="119">
        <v>0.12866944352831</v>
      </c>
      <c r="W93" s="119">
        <v>0.14190556756084499</v>
      </c>
      <c r="X93" s="119">
        <v>0.15653031064946801</v>
      </c>
      <c r="Y93" s="119">
        <v>0.17105794718925699</v>
      </c>
      <c r="Z93" s="119">
        <v>0.18619380556380399</v>
      </c>
      <c r="AA93" s="119">
        <v>0.200649120102672</v>
      </c>
      <c r="AB93" s="119">
        <v>0.209705024210983</v>
      </c>
      <c r="AC93" s="119">
        <v>0.21719337277752701</v>
      </c>
      <c r="AD93" s="119">
        <v>0.22369883217817099</v>
      </c>
      <c r="AE93" s="119">
        <v>0.229042081810859</v>
      </c>
      <c r="AF93" s="119">
        <v>0.23337595884672499</v>
      </c>
      <c r="AG93" s="119">
        <v>0.234189396162375</v>
      </c>
      <c r="AH93" s="119">
        <v>0.234659239515698</v>
      </c>
      <c r="AI93" s="119">
        <v>0.234292193217643</v>
      </c>
      <c r="AJ93" s="119">
        <v>0.234643269925741</v>
      </c>
      <c r="AK93" s="119">
        <v>0.235743557269008</v>
      </c>
      <c r="AL93" s="119">
        <v>0.24406950292124999</v>
      </c>
      <c r="AM93" s="119">
        <v>0.25387406187893902</v>
      </c>
      <c r="AN93" s="119">
        <v>0.26494981025043501</v>
      </c>
      <c r="AO93" s="119">
        <v>0.27626548568044401</v>
      </c>
      <c r="AP93" s="119">
        <v>0.28957607237800098</v>
      </c>
      <c r="AQ93" s="119">
        <v>0.30741712808807398</v>
      </c>
      <c r="AR93" s="119">
        <v>0.32616356688785603</v>
      </c>
      <c r="AS93" s="119">
        <v>0.34562097649752799</v>
      </c>
      <c r="AT93" s="119">
        <v>0.36489371769066198</v>
      </c>
      <c r="AU93" s="119">
        <v>0.38549442423052899</v>
      </c>
      <c r="AV93" s="119">
        <v>0.40660063496497401</v>
      </c>
      <c r="AW93" s="119">
        <v>0.43107034527248</v>
      </c>
      <c r="AX93" s="119">
        <v>0.43739622391031302</v>
      </c>
      <c r="AY93" s="119">
        <v>0.43768784381630599</v>
      </c>
      <c r="AZ93" s="119">
        <v>0.43596727167326599</v>
      </c>
      <c r="BA93" s="119">
        <v>0.433670119739274</v>
      </c>
      <c r="BB93" s="119">
        <v>0.43940250428542998</v>
      </c>
      <c r="BC93" s="119">
        <v>0.44400358453495897</v>
      </c>
      <c r="BD93" s="119">
        <v>0.44778992766322401</v>
      </c>
      <c r="BE93" s="119">
        <v>0.45189537507288902</v>
      </c>
      <c r="BF93" s="119">
        <v>0.45415861078063402</v>
      </c>
      <c r="BG93" s="119">
        <v>0.457545980649738</v>
      </c>
      <c r="BH93" s="119">
        <v>0.46065154736603098</v>
      </c>
      <c r="BI93" s="119">
        <v>0.46470902879487602</v>
      </c>
      <c r="BJ93" s="119">
        <v>0.46676118876480399</v>
      </c>
      <c r="BK93" s="119">
        <v>0.46982947840738498</v>
      </c>
      <c r="BL93" s="119">
        <v>0.47392596413185201</v>
      </c>
    </row>
    <row r="94" spans="1:64" x14ac:dyDescent="0.25">
      <c r="A94" s="860" t="s">
        <v>205</v>
      </c>
      <c r="B94" s="1">
        <v>296</v>
      </c>
      <c r="C94" s="119">
        <v>0.5</v>
      </c>
      <c r="D94" s="119">
        <v>0.16909196172778701</v>
      </c>
      <c r="E94" s="119">
        <v>0.171909501087496</v>
      </c>
      <c r="F94" s="119">
        <v>0.173615175322378</v>
      </c>
      <c r="G94" s="119">
        <v>0.17497448995940901</v>
      </c>
      <c r="H94" s="119">
        <v>0.17729713166758301</v>
      </c>
      <c r="I94" s="119">
        <v>0.17960828504135901</v>
      </c>
      <c r="J94" s="119">
        <v>0.181083064750381</v>
      </c>
      <c r="K94" s="119">
        <v>0.18363734739871199</v>
      </c>
      <c r="L94" s="119">
        <v>0.18675339120805601</v>
      </c>
      <c r="M94" s="119">
        <v>0.18819999923529299</v>
      </c>
      <c r="N94" s="119">
        <v>0.189623506498907</v>
      </c>
      <c r="O94" s="119">
        <v>0.19169844793465701</v>
      </c>
      <c r="P94" s="119">
        <v>0.19391847237000201</v>
      </c>
      <c r="Q94" s="119">
        <v>0.19704861552353101</v>
      </c>
      <c r="R94" s="119">
        <v>0.19911069203823201</v>
      </c>
      <c r="S94" s="119">
        <v>0.200974528261952</v>
      </c>
      <c r="T94" s="119">
        <v>0.204379776643943</v>
      </c>
      <c r="U94" s="119">
        <v>0.20742155876319099</v>
      </c>
      <c r="V94" s="119">
        <v>0.21033865814407399</v>
      </c>
      <c r="W94" s="119">
        <v>0.21340532859673</v>
      </c>
      <c r="X94" s="119">
        <v>0.217038987852024</v>
      </c>
      <c r="Y94" s="119">
        <v>0.21975288027822701</v>
      </c>
      <c r="Z94" s="119">
        <v>0.22189466275132499</v>
      </c>
      <c r="AA94" s="119">
        <v>0.22424792825779599</v>
      </c>
      <c r="AB94" s="119">
        <v>0.22705908535381</v>
      </c>
      <c r="AC94" s="119">
        <v>0.23009250151586</v>
      </c>
      <c r="AD94" s="119">
        <v>0.233043757421107</v>
      </c>
      <c r="AE94" s="119">
        <v>0.234955714371789</v>
      </c>
      <c r="AF94" s="119">
        <v>0.236604826192301</v>
      </c>
      <c r="AG94" s="119">
        <v>0.236787938399173</v>
      </c>
      <c r="AH94" s="119">
        <v>0.23281204420179699</v>
      </c>
      <c r="AI94" s="119">
        <v>0.22247855736995201</v>
      </c>
      <c r="AJ94" s="119">
        <v>0.20969774973965399</v>
      </c>
      <c r="AK94" s="119">
        <v>0.19664091176596499</v>
      </c>
      <c r="AL94" s="119">
        <v>0.18243632530094001</v>
      </c>
      <c r="AM94" s="119">
        <v>0.16936876261938999</v>
      </c>
      <c r="AN94" s="119">
        <v>0.157352058387706</v>
      </c>
      <c r="AO94" s="119">
        <v>0.14843747062632501</v>
      </c>
      <c r="AP94" s="119">
        <v>0.14112925616251801</v>
      </c>
      <c r="AQ94" s="119">
        <v>0.13827041284091399</v>
      </c>
      <c r="AR94" s="119">
        <v>0.13908353194317899</v>
      </c>
      <c r="AS94" s="119">
        <v>0.14223656340415</v>
      </c>
      <c r="AT94" s="119">
        <v>0.14632965977705201</v>
      </c>
      <c r="AU94" s="119">
        <v>0.15096052114651001</v>
      </c>
      <c r="AV94" s="119">
        <v>0.15570533398049599</v>
      </c>
      <c r="AW94" s="119">
        <v>0.16137057705633601</v>
      </c>
      <c r="AX94" s="119">
        <v>0.16611958071535901</v>
      </c>
      <c r="AY94" s="119">
        <v>0.171604836692962</v>
      </c>
      <c r="AZ94" s="119">
        <v>0.177153469552815</v>
      </c>
      <c r="BA94" s="119">
        <v>0.180942905403224</v>
      </c>
      <c r="BB94" s="119">
        <v>0.18387411360961201</v>
      </c>
      <c r="BC94" s="119">
        <v>0.18658942378384399</v>
      </c>
      <c r="BD94" s="119">
        <v>0.18850392044407099</v>
      </c>
      <c r="BE94" s="119">
        <v>0.189282966524257</v>
      </c>
      <c r="BF94" s="119">
        <v>0.19136609557413201</v>
      </c>
      <c r="BG94" s="119">
        <v>0.19353367283496301</v>
      </c>
      <c r="BH94" s="119">
        <v>0.195862083120138</v>
      </c>
      <c r="BI94" s="119">
        <v>0.19739195595881001</v>
      </c>
      <c r="BJ94" s="119">
        <v>0.19949825430974</v>
      </c>
      <c r="BK94" s="119">
        <v>0.20049322794463401</v>
      </c>
      <c r="BL94" s="119">
        <v>0.20201275683554701</v>
      </c>
    </row>
    <row r="95" spans="1:64" x14ac:dyDescent="0.25">
      <c r="A95" s="860" t="s">
        <v>206</v>
      </c>
      <c r="B95" s="1">
        <v>414</v>
      </c>
      <c r="C95" s="119">
        <v>0.5</v>
      </c>
      <c r="D95" s="119">
        <v>0.15391128609400601</v>
      </c>
      <c r="E95" s="119">
        <v>0.15731637810002799</v>
      </c>
      <c r="F95" s="119">
        <v>0.16148135695052501</v>
      </c>
      <c r="G95" s="119">
        <v>0.16519967754994899</v>
      </c>
      <c r="H95" s="119">
        <v>0.16904477405193399</v>
      </c>
      <c r="I95" s="119">
        <v>0.17440891923532001</v>
      </c>
      <c r="J95" s="119">
        <v>0.17828562627602501</v>
      </c>
      <c r="K95" s="119">
        <v>0.18290738816473501</v>
      </c>
      <c r="L95" s="119">
        <v>0.18760270064954801</v>
      </c>
      <c r="M95" s="119">
        <v>0.191974524439881</v>
      </c>
      <c r="N95" s="119">
        <v>0.195929160147399</v>
      </c>
      <c r="O95" s="119">
        <v>0.19974463930772701</v>
      </c>
      <c r="P95" s="119">
        <v>0.20472111159237</v>
      </c>
      <c r="Q95" s="119">
        <v>0.20951907887333701</v>
      </c>
      <c r="R95" s="119">
        <v>0.21367702716987999</v>
      </c>
      <c r="S95" s="119">
        <v>0.21539260475135999</v>
      </c>
      <c r="T95" s="119">
        <v>0.21335988164830699</v>
      </c>
      <c r="U95" s="119">
        <v>0.21230026052638301</v>
      </c>
      <c r="V95" s="119">
        <v>0.213494753821797</v>
      </c>
      <c r="W95" s="119">
        <v>0.214454664040587</v>
      </c>
      <c r="X95" s="119">
        <v>0.21674068514073699</v>
      </c>
      <c r="Y95" s="119">
        <v>0.21880385432142399</v>
      </c>
      <c r="Z95" s="119">
        <v>0.22127168398793201</v>
      </c>
      <c r="AA95" s="119">
        <v>0.22480280011657</v>
      </c>
      <c r="AB95" s="119">
        <v>0.22964834706789999</v>
      </c>
      <c r="AC95" s="119">
        <v>0.23122368182400599</v>
      </c>
      <c r="AD95" s="119">
        <v>0.229404713203337</v>
      </c>
      <c r="AE95" s="119">
        <v>0.227344404602975</v>
      </c>
      <c r="AF95" s="119">
        <v>0.225137913712668</v>
      </c>
      <c r="AG95" s="119">
        <v>0.223410304030915</v>
      </c>
      <c r="AH95" s="119">
        <v>0.223217487619216</v>
      </c>
      <c r="AI95" s="119">
        <v>0.221020413007291</v>
      </c>
      <c r="AJ95" s="119">
        <v>0.22003485771603801</v>
      </c>
      <c r="AK95" s="119">
        <v>0.21983340887578501</v>
      </c>
      <c r="AL95" s="119">
        <v>0.22096173081032999</v>
      </c>
      <c r="AM95" s="119">
        <v>0.22243836882895299</v>
      </c>
      <c r="AN95" s="119">
        <v>0.22667089678291599</v>
      </c>
      <c r="AO95" s="119">
        <v>0.23344551763313301</v>
      </c>
      <c r="AP95" s="119">
        <v>0.239686263912055</v>
      </c>
      <c r="AQ95" s="119">
        <v>0.24833609391481001</v>
      </c>
      <c r="AR95" s="119">
        <v>0.25780392776933603</v>
      </c>
      <c r="AS95" s="119">
        <v>0.26725323703401099</v>
      </c>
      <c r="AT95" s="119">
        <v>0.27717881971422298</v>
      </c>
      <c r="AU95" s="119">
        <v>0.28682849266613197</v>
      </c>
      <c r="AV95" s="119">
        <v>0.29574646044819802</v>
      </c>
      <c r="AW95" s="119">
        <v>0.30470266865751999</v>
      </c>
      <c r="AX95" s="119">
        <v>0.31045892318932</v>
      </c>
      <c r="AY95" s="119">
        <v>0.31918851938398002</v>
      </c>
      <c r="AZ95" s="119">
        <v>0.32447479090447601</v>
      </c>
      <c r="BA95" s="119">
        <v>0.32889985062311899</v>
      </c>
      <c r="BB95" s="119">
        <v>0.33059663264511202</v>
      </c>
      <c r="BC95" s="119">
        <v>0.33118563653271399</v>
      </c>
      <c r="BD95" s="119">
        <v>0.328791329155601</v>
      </c>
      <c r="BE95" s="119">
        <v>0.327150846344191</v>
      </c>
      <c r="BF95" s="119">
        <v>0.32533758738368301</v>
      </c>
      <c r="BG95" s="119">
        <v>0.32425677375369899</v>
      </c>
      <c r="BH95" s="119">
        <v>0.32433962163590402</v>
      </c>
      <c r="BI95" s="119">
        <v>0.32209275537626703</v>
      </c>
      <c r="BJ95" s="119">
        <v>0.32278320229246599</v>
      </c>
      <c r="BK95" s="119">
        <v>0.32282363042233198</v>
      </c>
      <c r="BL95" s="119">
        <v>0.32270579385859</v>
      </c>
    </row>
    <row r="96" spans="1:64" x14ac:dyDescent="0.25">
      <c r="A96" s="860" t="s">
        <v>2018</v>
      </c>
      <c r="B96" s="1">
        <v>417</v>
      </c>
      <c r="C96" s="119">
        <v>0.5</v>
      </c>
      <c r="D96" s="119">
        <v>0.24549152270836</v>
      </c>
      <c r="E96" s="119">
        <v>0.25006024397905502</v>
      </c>
      <c r="F96" s="119">
        <v>0.24923114636816901</v>
      </c>
      <c r="G96" s="119">
        <v>0.25094994822802003</v>
      </c>
      <c r="H96" s="119">
        <v>0.25366722703656103</v>
      </c>
      <c r="I96" s="119">
        <v>0.25717454726234501</v>
      </c>
      <c r="J96" s="119">
        <v>0.25900357966901599</v>
      </c>
      <c r="K96" s="119">
        <v>0.26167181288830299</v>
      </c>
      <c r="L96" s="119">
        <v>0.26529891215767298</v>
      </c>
      <c r="M96" s="119">
        <v>0.26946265805002301</v>
      </c>
      <c r="N96" s="119">
        <v>0.27446541564251298</v>
      </c>
      <c r="O96" s="119">
        <v>0.27772264200107299</v>
      </c>
      <c r="P96" s="119">
        <v>0.28259238414188198</v>
      </c>
      <c r="Q96" s="119">
        <v>0.28698458110995301</v>
      </c>
      <c r="R96" s="119">
        <v>0.29414730741509298</v>
      </c>
      <c r="S96" s="119">
        <v>0.29845865049539499</v>
      </c>
      <c r="T96" s="119">
        <v>0.30251556748321601</v>
      </c>
      <c r="U96" s="119">
        <v>0.30876306557066102</v>
      </c>
      <c r="V96" s="119">
        <v>0.312323585947612</v>
      </c>
      <c r="W96" s="119">
        <v>0.31603520981487698</v>
      </c>
      <c r="X96" s="119">
        <v>0.320734614023025</v>
      </c>
      <c r="Y96" s="119">
        <v>0.324618834838381</v>
      </c>
      <c r="Z96" s="119">
        <v>0.32891920894613202</v>
      </c>
      <c r="AA96" s="119">
        <v>0.33300633906462102</v>
      </c>
      <c r="AB96" s="119">
        <v>0.33698140808344901</v>
      </c>
      <c r="AC96" s="119">
        <v>0.338270979551684</v>
      </c>
      <c r="AD96" s="119">
        <v>0.34013786038850602</v>
      </c>
      <c r="AE96" s="119">
        <v>0.33964559050447102</v>
      </c>
      <c r="AF96" s="119">
        <v>0.337446846945896</v>
      </c>
      <c r="AG96" s="119">
        <v>0.333095341581503</v>
      </c>
      <c r="AH96" s="119">
        <v>0.32828475412449099</v>
      </c>
      <c r="AI96" s="119">
        <v>0.32181428920903199</v>
      </c>
      <c r="AJ96" s="119">
        <v>0.31531505009653799</v>
      </c>
      <c r="AK96" s="119">
        <v>0.308551635492465</v>
      </c>
      <c r="AL96" s="119">
        <v>0.30097879648044701</v>
      </c>
      <c r="AM96" s="119">
        <v>0.29302387507845701</v>
      </c>
      <c r="AN96" s="119">
        <v>0.28515908881574398</v>
      </c>
      <c r="AO96" s="119">
        <v>0.27408609725652999</v>
      </c>
      <c r="AP96" s="119">
        <v>0.26440118888801001</v>
      </c>
      <c r="AQ96" s="119">
        <v>0.25479597839378598</v>
      </c>
      <c r="AR96" s="119">
        <v>0.24597408393352199</v>
      </c>
      <c r="AS96" s="119">
        <v>0.24056457184454499</v>
      </c>
      <c r="AT96" s="119">
        <v>0.23712252292633801</v>
      </c>
      <c r="AU96" s="119">
        <v>0.239634191647877</v>
      </c>
      <c r="AV96" s="119">
        <v>0.24367315028595901</v>
      </c>
      <c r="AW96" s="119">
        <v>0.24744798938526799</v>
      </c>
      <c r="AX96" s="119">
        <v>0.25159193873422903</v>
      </c>
      <c r="AY96" s="119">
        <v>0.25618752644748599</v>
      </c>
      <c r="AZ96" s="119">
        <v>0.26015009361703201</v>
      </c>
      <c r="BA96" s="119">
        <v>0.26394159245728099</v>
      </c>
      <c r="BB96" s="119">
        <v>0.26817354700252399</v>
      </c>
      <c r="BC96" s="119">
        <v>0.27250890090886298</v>
      </c>
      <c r="BD96" s="119">
        <v>0.27378137912896</v>
      </c>
      <c r="BE96" s="119">
        <v>0.27606122305773001</v>
      </c>
      <c r="BF96" s="119">
        <v>0.27885473413860201</v>
      </c>
      <c r="BG96" s="119">
        <v>0.280519952614733</v>
      </c>
      <c r="BH96" s="119">
        <v>0.28171474428395699</v>
      </c>
      <c r="BI96" s="119">
        <v>0.28188729106556898</v>
      </c>
      <c r="BJ96" s="119">
        <v>0.28253849353124799</v>
      </c>
      <c r="BK96" s="119">
        <v>0.28184440025778501</v>
      </c>
      <c r="BL96" s="119">
        <v>0.28223007425511698</v>
      </c>
    </row>
    <row r="97" spans="1:64" x14ac:dyDescent="0.25">
      <c r="A97" s="860" t="s">
        <v>41</v>
      </c>
      <c r="B97" s="1">
        <v>418</v>
      </c>
      <c r="C97" s="119">
        <v>0.5</v>
      </c>
      <c r="D97" s="119">
        <v>1.68021463357821E-2</v>
      </c>
      <c r="E97" s="119">
        <v>1.80885952882366E-2</v>
      </c>
      <c r="F97" s="119">
        <v>1.9600025565829099E-2</v>
      </c>
      <c r="G97" s="119">
        <v>2.15595974056772E-2</v>
      </c>
      <c r="H97" s="119">
        <v>2.31810317226466E-2</v>
      </c>
      <c r="I97" s="119">
        <v>2.5148648086277599E-2</v>
      </c>
      <c r="J97" s="119">
        <v>2.7378824585041699E-2</v>
      </c>
      <c r="K97" s="119">
        <v>2.96313709052047E-2</v>
      </c>
      <c r="L97" s="119">
        <v>3.22410681069785E-2</v>
      </c>
      <c r="M97" s="119">
        <v>3.5068132383690998E-2</v>
      </c>
      <c r="N97" s="119">
        <v>3.8259654650874601E-2</v>
      </c>
      <c r="O97" s="119">
        <v>4.1585348695764697E-2</v>
      </c>
      <c r="P97" s="119">
        <v>4.5304281558423899E-2</v>
      </c>
      <c r="Q97" s="119">
        <v>4.9630596030840399E-2</v>
      </c>
      <c r="R97" s="119">
        <v>5.3893335112006197E-2</v>
      </c>
      <c r="S97" s="119">
        <v>5.8626593063189E-2</v>
      </c>
      <c r="T97" s="119">
        <v>6.3967489366241997E-2</v>
      </c>
      <c r="U97" s="119">
        <v>6.9380448657642396E-2</v>
      </c>
      <c r="V97" s="119">
        <v>7.5285758066419795E-2</v>
      </c>
      <c r="W97" s="119">
        <v>8.0972866657456802E-2</v>
      </c>
      <c r="X97" s="119">
        <v>8.72829871882215E-2</v>
      </c>
      <c r="Y97" s="119">
        <v>9.38801570564647E-2</v>
      </c>
      <c r="Z97" s="119">
        <v>0.10065091299595399</v>
      </c>
      <c r="AA97" s="119">
        <v>0.107802508038724</v>
      </c>
      <c r="AB97" s="119">
        <v>0.117235538354719</v>
      </c>
      <c r="AC97" s="119">
        <v>0.127868348760345</v>
      </c>
      <c r="AD97" s="119">
        <v>0.13843123956848799</v>
      </c>
      <c r="AE97" s="119">
        <v>0.15017501605631101</v>
      </c>
      <c r="AF97" s="119">
        <v>0.161971835637785</v>
      </c>
      <c r="AG97" s="119">
        <v>0.17386933482376599</v>
      </c>
      <c r="AH97" s="119">
        <v>0.184195776970868</v>
      </c>
      <c r="AI97" s="119">
        <v>0.192733645215237</v>
      </c>
      <c r="AJ97" s="119">
        <v>0.20092160078881099</v>
      </c>
      <c r="AK97" s="119">
        <v>0.20820916507435</v>
      </c>
      <c r="AL97" s="119">
        <v>0.21545369168049899</v>
      </c>
      <c r="AM97" s="119">
        <v>0.22347739666327199</v>
      </c>
      <c r="AN97" s="119">
        <v>0.23078747387384499</v>
      </c>
      <c r="AO97" s="119">
        <v>0.2385916625916</v>
      </c>
      <c r="AP97" s="119">
        <v>0.245044486305492</v>
      </c>
      <c r="AQ97" s="119">
        <v>0.25317211980551202</v>
      </c>
      <c r="AR97" s="119">
        <v>0.26090254043818001</v>
      </c>
      <c r="AS97" s="119">
        <v>0.26874139768774802</v>
      </c>
      <c r="AT97" s="119">
        <v>0.27810679096263702</v>
      </c>
      <c r="AU97" s="119">
        <v>0.28713207943063901</v>
      </c>
      <c r="AV97" s="119">
        <v>0.29514164906813001</v>
      </c>
      <c r="AW97" s="119">
        <v>0.30301243861081201</v>
      </c>
      <c r="AX97" s="119">
        <v>0.31031284853903301</v>
      </c>
      <c r="AY97" s="119">
        <v>0.31860833948431699</v>
      </c>
      <c r="AZ97" s="119">
        <v>0.32405763109454999</v>
      </c>
      <c r="BA97" s="119">
        <v>0.32970135540753098</v>
      </c>
      <c r="BB97" s="119">
        <v>0.33367854755559301</v>
      </c>
      <c r="BC97" s="119">
        <v>0.33740552600179202</v>
      </c>
      <c r="BD97" s="119">
        <v>0.34099753743232403</v>
      </c>
      <c r="BE97" s="119">
        <v>0.34425248145567799</v>
      </c>
      <c r="BF97" s="119">
        <v>0.34772524888366901</v>
      </c>
      <c r="BG97" s="119">
        <v>0.34928970202352799</v>
      </c>
      <c r="BH97" s="119">
        <v>0.35163195148917997</v>
      </c>
      <c r="BI97" s="119">
        <v>0.35354616874880002</v>
      </c>
      <c r="BJ97" s="119">
        <v>0.35628692617719299</v>
      </c>
      <c r="BK97" s="119">
        <v>0.35861937806201899</v>
      </c>
      <c r="BL97" s="119">
        <v>0.36119562287310097</v>
      </c>
    </row>
    <row r="98" spans="1:64" x14ac:dyDescent="0.25">
      <c r="A98" s="860" t="s">
        <v>207</v>
      </c>
      <c r="B98" s="1">
        <v>428</v>
      </c>
      <c r="C98" s="119">
        <v>0.5</v>
      </c>
      <c r="D98" s="119">
        <v>0.39212448989402898</v>
      </c>
      <c r="E98" s="119">
        <v>0.39729829523617599</v>
      </c>
      <c r="F98" s="119">
        <v>0.39916516226156001</v>
      </c>
      <c r="G98" s="119">
        <v>0.40607444483539301</v>
      </c>
      <c r="H98" s="119">
        <v>0.410127859523083</v>
      </c>
      <c r="I98" s="119">
        <v>0.413053026364539</v>
      </c>
      <c r="J98" s="119">
        <v>0.41817319261532099</v>
      </c>
      <c r="K98" s="119">
        <v>0.424158855141472</v>
      </c>
      <c r="L98" s="119">
        <v>0.42637501582128901</v>
      </c>
      <c r="M98" s="119">
        <v>0.43162217977683998</v>
      </c>
      <c r="N98" s="119">
        <v>0.43824758438744699</v>
      </c>
      <c r="O98" s="119">
        <v>0.44079204631122798</v>
      </c>
      <c r="P98" s="119">
        <v>0.44466810008108498</v>
      </c>
      <c r="Q98" s="119">
        <v>0.44701356211404703</v>
      </c>
      <c r="R98" s="119">
        <v>0.45325284996742299</v>
      </c>
      <c r="S98" s="119">
        <v>0.45557712663441802</v>
      </c>
      <c r="T98" s="119">
        <v>0.460057823574609</v>
      </c>
      <c r="U98" s="119">
        <v>0.463120753723889</v>
      </c>
      <c r="V98" s="119">
        <v>0.46660254157748199</v>
      </c>
      <c r="W98" s="119">
        <v>0.46887660803125097</v>
      </c>
      <c r="X98" s="119">
        <v>0.47115234330211397</v>
      </c>
      <c r="Y98" s="119">
        <v>0.47368979337025302</v>
      </c>
      <c r="Z98" s="119">
        <v>0.47561411026370098</v>
      </c>
      <c r="AA98" s="119">
        <v>0.476975668614529</v>
      </c>
      <c r="AB98" s="119">
        <v>0.47742259380377899</v>
      </c>
      <c r="AC98" s="119">
        <v>0.48038809526884102</v>
      </c>
      <c r="AD98" s="119">
        <v>0.48210081111130199</v>
      </c>
      <c r="AE98" s="119">
        <v>0.48390154776948402</v>
      </c>
      <c r="AF98" s="119">
        <v>0.487224620051042</v>
      </c>
      <c r="AG98" s="119">
        <v>0.48849813205645298</v>
      </c>
      <c r="AH98" s="119">
        <v>0.49019719278009699</v>
      </c>
      <c r="AI98" s="119">
        <v>0.49302141127025101</v>
      </c>
      <c r="AJ98" s="119">
        <v>0.49580715337222298</v>
      </c>
      <c r="AK98" s="119">
        <v>0.49803568643150797</v>
      </c>
      <c r="AL98" s="119">
        <v>0.49934373138980298</v>
      </c>
      <c r="AM98" s="119">
        <v>0.499800103763957</v>
      </c>
      <c r="AN98" s="119">
        <v>0.50035832925938295</v>
      </c>
      <c r="AO98" s="119">
        <v>0.50163187874808202</v>
      </c>
      <c r="AP98" s="119">
        <v>0.50431128467163799</v>
      </c>
      <c r="AQ98" s="119">
        <v>0.50554110260209395</v>
      </c>
      <c r="AR98" s="119">
        <v>0.505303315008228</v>
      </c>
      <c r="AS98" s="119">
        <v>0.50674385149693602</v>
      </c>
      <c r="AT98" s="119">
        <v>0.50682682723098904</v>
      </c>
      <c r="AU98" s="119">
        <v>0.50828480268384801</v>
      </c>
      <c r="AV98" s="119">
        <v>0.50944325752754105</v>
      </c>
      <c r="AW98" s="119">
        <v>0.51058971028909195</v>
      </c>
      <c r="AX98" s="119">
        <v>0.51114219508312797</v>
      </c>
      <c r="AY98" s="119">
        <v>0.51332286679913697</v>
      </c>
      <c r="AZ98" s="119">
        <v>0.51684150427935904</v>
      </c>
      <c r="BA98" s="119">
        <v>0.519553921346397</v>
      </c>
      <c r="BB98" s="119">
        <v>0.52031937970472997</v>
      </c>
      <c r="BC98" s="119">
        <v>0.52279893659733101</v>
      </c>
      <c r="BD98" s="119">
        <v>0.52339400798417202</v>
      </c>
      <c r="BE98" s="119">
        <v>0.52400929070059299</v>
      </c>
      <c r="BF98" s="119">
        <v>0.52357599778203101</v>
      </c>
      <c r="BG98" s="119">
        <v>0.52436850529048495</v>
      </c>
      <c r="BH98" s="119">
        <v>0.52449989926055096</v>
      </c>
      <c r="BI98" s="119">
        <v>0.52589328017452597</v>
      </c>
      <c r="BJ98" s="119">
        <v>0.52784527409148396</v>
      </c>
      <c r="BK98" s="119">
        <v>0.530752482921936</v>
      </c>
      <c r="BL98" s="119">
        <v>0.53041119267675096</v>
      </c>
    </row>
    <row r="99" spans="1:64" x14ac:dyDescent="0.25">
      <c r="A99" s="860" t="s">
        <v>208</v>
      </c>
      <c r="B99" s="1">
        <v>422</v>
      </c>
      <c r="C99" s="119">
        <v>0.5</v>
      </c>
      <c r="D99" s="119">
        <v>0.18565771974088899</v>
      </c>
      <c r="E99" s="119">
        <v>0.18659947223669901</v>
      </c>
      <c r="F99" s="119">
        <v>0.187331232741308</v>
      </c>
      <c r="G99" s="119">
        <v>0.18867680083584301</v>
      </c>
      <c r="H99" s="119">
        <v>0.19023263914699501</v>
      </c>
      <c r="I99" s="119">
        <v>0.191046505296671</v>
      </c>
      <c r="J99" s="119">
        <v>0.19103238102123399</v>
      </c>
      <c r="K99" s="119">
        <v>0.192629325442045</v>
      </c>
      <c r="L99" s="119">
        <v>0.194389669516114</v>
      </c>
      <c r="M99" s="119">
        <v>0.19514005591039099</v>
      </c>
      <c r="N99" s="119">
        <v>0.19710778148368499</v>
      </c>
      <c r="O99" s="119">
        <v>0.199004171961843</v>
      </c>
      <c r="P99" s="119">
        <v>0.20028194140129801</v>
      </c>
      <c r="Q99" s="119">
        <v>0.20042331851401199</v>
      </c>
      <c r="R99" s="119">
        <v>0.19969946472476599</v>
      </c>
      <c r="S99" s="119">
        <v>0.19751820785052401</v>
      </c>
      <c r="T99" s="119">
        <v>0.196258695846102</v>
      </c>
      <c r="U99" s="119">
        <v>0.19476587445164401</v>
      </c>
      <c r="V99" s="119">
        <v>0.192997371929994</v>
      </c>
      <c r="W99" s="119">
        <v>0.190995778172944</v>
      </c>
      <c r="X99" s="119">
        <v>0.18996801796878501</v>
      </c>
      <c r="Y99" s="119">
        <v>0.18971988559074099</v>
      </c>
      <c r="Z99" s="119">
        <v>0.190120155010776</v>
      </c>
      <c r="AA99" s="119">
        <v>0.19010009554692001</v>
      </c>
      <c r="AB99" s="119">
        <v>0.19306356837750399</v>
      </c>
      <c r="AC99" s="119">
        <v>0.19450945511765899</v>
      </c>
      <c r="AD99" s="119">
        <v>0.19572146544181901</v>
      </c>
      <c r="AE99" s="119">
        <v>0.19786792647144499</v>
      </c>
      <c r="AF99" s="119">
        <v>0.20037503308186499</v>
      </c>
      <c r="AG99" s="119">
        <v>0.20253858457156801</v>
      </c>
      <c r="AH99" s="119">
        <v>0.20417111288054601</v>
      </c>
      <c r="AI99" s="119">
        <v>0.201296070257694</v>
      </c>
      <c r="AJ99" s="119">
        <v>0.19808477379148501</v>
      </c>
      <c r="AK99" s="119">
        <v>0.19393683602075401</v>
      </c>
      <c r="AL99" s="119">
        <v>0.19030717042605799</v>
      </c>
      <c r="AM99" s="119">
        <v>0.189106822283266</v>
      </c>
      <c r="AN99" s="119">
        <v>0.19103294411490199</v>
      </c>
      <c r="AO99" s="119">
        <v>0.19263134952011601</v>
      </c>
      <c r="AP99" s="119">
        <v>0.19427480317899301</v>
      </c>
      <c r="AQ99" s="119">
        <v>0.19613749586155599</v>
      </c>
      <c r="AR99" s="119">
        <v>0.19608757106514299</v>
      </c>
      <c r="AS99" s="119">
        <v>0.19787007398064299</v>
      </c>
      <c r="AT99" s="119">
        <v>0.19887031771810901</v>
      </c>
      <c r="AU99" s="119">
        <v>0.200431341935947</v>
      </c>
      <c r="AV99" s="119">
        <v>0.203251097914458</v>
      </c>
      <c r="AW99" s="119">
        <v>0.20464180138277399</v>
      </c>
      <c r="AX99" s="119">
        <v>0.20752995544706301</v>
      </c>
      <c r="AY99" s="119">
        <v>0.209755244280595</v>
      </c>
      <c r="AZ99" s="119">
        <v>0.212148150169328</v>
      </c>
      <c r="BA99" s="119">
        <v>0.214526960027772</v>
      </c>
      <c r="BB99" s="119">
        <v>0.21711738587826401</v>
      </c>
      <c r="BC99" s="119">
        <v>0.22063813468950599</v>
      </c>
      <c r="BD99" s="119">
        <v>0.224131352931948</v>
      </c>
      <c r="BE99" s="119">
        <v>0.227465597283386</v>
      </c>
      <c r="BF99" s="119">
        <v>0.23206830698622999</v>
      </c>
      <c r="BG99" s="119">
        <v>0.236221181778728</v>
      </c>
      <c r="BH99" s="119">
        <v>0.23883421178226599</v>
      </c>
      <c r="BI99" s="119">
        <v>0.24239845024533699</v>
      </c>
      <c r="BJ99" s="119">
        <v>0.24508313512487201</v>
      </c>
      <c r="BK99" s="119">
        <v>0.24917616581999799</v>
      </c>
      <c r="BL99" s="119">
        <v>0.25267574560126099</v>
      </c>
    </row>
    <row r="100" spans="1:64" x14ac:dyDescent="0.25">
      <c r="A100" s="860" t="s">
        <v>42</v>
      </c>
      <c r="B100" s="1">
        <v>426</v>
      </c>
      <c r="C100" s="119">
        <v>0.5</v>
      </c>
      <c r="D100" s="119">
        <v>1.4937231514889199E-2</v>
      </c>
      <c r="E100" s="119">
        <v>1.7321630931679599E-2</v>
      </c>
      <c r="F100" s="119">
        <v>2.00385837999397E-2</v>
      </c>
      <c r="G100" s="119">
        <v>2.3034821585577299E-2</v>
      </c>
      <c r="H100" s="119">
        <v>2.6618523306761899E-2</v>
      </c>
      <c r="I100" s="119">
        <v>3.0561013169300499E-2</v>
      </c>
      <c r="J100" s="119">
        <v>3.5060978244159297E-2</v>
      </c>
      <c r="K100" s="119">
        <v>4.0048191406520398E-2</v>
      </c>
      <c r="L100" s="119">
        <v>4.7071349358446E-2</v>
      </c>
      <c r="M100" s="119">
        <v>5.4223344434239998E-2</v>
      </c>
      <c r="N100" s="119">
        <v>6.2413677355137601E-2</v>
      </c>
      <c r="O100" s="119">
        <v>7.0556639632747498E-2</v>
      </c>
      <c r="P100" s="119">
        <v>8.0383908134380996E-2</v>
      </c>
      <c r="Q100" s="119">
        <v>8.9761754264735205E-2</v>
      </c>
      <c r="R100" s="119">
        <v>9.9834748932718306E-2</v>
      </c>
      <c r="S100" s="119">
        <v>0.11044317044487</v>
      </c>
      <c r="T100" s="119">
        <v>0.12284893721058</v>
      </c>
      <c r="U100" s="119">
        <v>0.13557332300498101</v>
      </c>
      <c r="V100" s="119">
        <v>0.14828096166201199</v>
      </c>
      <c r="W100" s="119">
        <v>0.16157080723560899</v>
      </c>
      <c r="X100" s="119">
        <v>0.17432720001243401</v>
      </c>
      <c r="Y100" s="119">
        <v>0.186154956293377</v>
      </c>
      <c r="Z100" s="119">
        <v>0.198763046336662</v>
      </c>
      <c r="AA100" s="119">
        <v>0.210264217204749</v>
      </c>
      <c r="AB100" s="119">
        <v>0.22253281181165099</v>
      </c>
      <c r="AC100" s="119">
        <v>0.232938401853441</v>
      </c>
      <c r="AD100" s="119">
        <v>0.23957074516834401</v>
      </c>
      <c r="AE100" s="119">
        <v>0.24461272032857001</v>
      </c>
      <c r="AF100" s="119">
        <v>0.25010692700008202</v>
      </c>
      <c r="AG100" s="119">
        <v>0.25523435107137299</v>
      </c>
      <c r="AH100" s="119">
        <v>0.26016525129805301</v>
      </c>
      <c r="AI100" s="119">
        <v>0.26607237317096</v>
      </c>
      <c r="AJ100" s="119">
        <v>0.27363840950245699</v>
      </c>
      <c r="AK100" s="119">
        <v>0.28257382836304801</v>
      </c>
      <c r="AL100" s="119">
        <v>0.29231846702352499</v>
      </c>
      <c r="AM100" s="119">
        <v>0.304587555483602</v>
      </c>
      <c r="AN100" s="119">
        <v>0.31818972524245998</v>
      </c>
      <c r="AO100" s="119">
        <v>0.33224459517851401</v>
      </c>
      <c r="AP100" s="119">
        <v>0.34869563634369799</v>
      </c>
      <c r="AQ100" s="119">
        <v>0.367916600625252</v>
      </c>
      <c r="AR100" s="119">
        <v>0.39475571248650398</v>
      </c>
      <c r="AS100" s="119">
        <v>0.42208263612158298</v>
      </c>
      <c r="AT100" s="119">
        <v>0.44342814668142599</v>
      </c>
      <c r="AU100" s="119">
        <v>0.46042498306881802</v>
      </c>
      <c r="AV100" s="119">
        <v>0.474592323845413</v>
      </c>
      <c r="AW100" s="119">
        <v>0.481906728550342</v>
      </c>
      <c r="AX100" s="119">
        <v>0.486261518437823</v>
      </c>
      <c r="AY100" s="119">
        <v>0.48995428756258402</v>
      </c>
      <c r="AZ100" s="119">
        <v>0.49354642887651701</v>
      </c>
      <c r="BA100" s="119">
        <v>0.49761132743268399</v>
      </c>
      <c r="BB100" s="119">
        <v>0.50014529298880706</v>
      </c>
      <c r="BC100" s="119">
        <v>0.50422801992718402</v>
      </c>
      <c r="BD100" s="119">
        <v>0.50738046097150802</v>
      </c>
      <c r="BE100" s="119">
        <v>0.51085400932830405</v>
      </c>
      <c r="BF100" s="119">
        <v>0.51458353853362604</v>
      </c>
      <c r="BG100" s="119">
        <v>0.51781969440319997</v>
      </c>
      <c r="BH100" s="119">
        <v>0.52111875439302402</v>
      </c>
      <c r="BI100" s="119">
        <v>0.524826367715019</v>
      </c>
      <c r="BJ100" s="119">
        <v>0.526636562859496</v>
      </c>
      <c r="BK100" s="119">
        <v>0.52947999623516095</v>
      </c>
      <c r="BL100" s="119">
        <v>0.53195550448223194</v>
      </c>
    </row>
    <row r="101" spans="1:64" x14ac:dyDescent="0.25">
      <c r="A101" s="860" t="s">
        <v>43</v>
      </c>
      <c r="B101" s="1">
        <v>430</v>
      </c>
      <c r="C101" s="119">
        <v>0.5</v>
      </c>
      <c r="D101" s="119">
        <v>2.11819428335293E-2</v>
      </c>
      <c r="E101" s="119">
        <v>2.33823114541819E-2</v>
      </c>
      <c r="F101" s="119">
        <v>2.5279913266429199E-2</v>
      </c>
      <c r="G101" s="119">
        <v>2.77230185932518E-2</v>
      </c>
      <c r="H101" s="119">
        <v>3.0076256736134802E-2</v>
      </c>
      <c r="I101" s="119">
        <v>3.2534794627603898E-2</v>
      </c>
      <c r="J101" s="119">
        <v>3.5030532276467498E-2</v>
      </c>
      <c r="K101" s="119">
        <v>3.7625749148111703E-2</v>
      </c>
      <c r="L101" s="119">
        <v>4.07888659110896E-2</v>
      </c>
      <c r="M101" s="119">
        <v>4.3515069461355402E-2</v>
      </c>
      <c r="N101" s="119">
        <v>4.6760734500419801E-2</v>
      </c>
      <c r="O101" s="119">
        <v>5.0135393963159101E-2</v>
      </c>
      <c r="P101" s="119">
        <v>5.3953650743085203E-2</v>
      </c>
      <c r="Q101" s="119">
        <v>5.7801317307383998E-2</v>
      </c>
      <c r="R101" s="119">
        <v>6.1330209341803298E-2</v>
      </c>
      <c r="S101" s="119">
        <v>6.5004206967879896E-2</v>
      </c>
      <c r="T101" s="119">
        <v>6.9006179030194501E-2</v>
      </c>
      <c r="U101" s="119">
        <v>7.1263899693162602E-2</v>
      </c>
      <c r="V101" s="119">
        <v>7.3510507280234103E-2</v>
      </c>
      <c r="W101" s="119">
        <v>7.6059826693297E-2</v>
      </c>
      <c r="X101" s="119">
        <v>7.8634328152932698E-2</v>
      </c>
      <c r="Y101" s="119">
        <v>8.1270540320551796E-2</v>
      </c>
      <c r="Z101" s="119">
        <v>8.4118104915624894E-2</v>
      </c>
      <c r="AA101" s="119">
        <v>8.6840078644865606E-2</v>
      </c>
      <c r="AB101" s="119">
        <v>8.9970865541307093E-2</v>
      </c>
      <c r="AC101" s="119">
        <v>9.2621416828860395E-2</v>
      </c>
      <c r="AD101" s="119">
        <v>9.5603535372467699E-2</v>
      </c>
      <c r="AE101" s="119">
        <v>9.8062820007104104E-2</v>
      </c>
      <c r="AF101" s="119">
        <v>0.101490688965307</v>
      </c>
      <c r="AG101" s="119">
        <v>0.103794171857599</v>
      </c>
      <c r="AH101" s="119">
        <v>0.10653622033497499</v>
      </c>
      <c r="AI101" s="119">
        <v>0.110032084333856</v>
      </c>
      <c r="AJ101" s="119">
        <v>0.112834161568375</v>
      </c>
      <c r="AK101" s="119">
        <v>0.115396765337398</v>
      </c>
      <c r="AL101" s="119">
        <v>0.11884356423159199</v>
      </c>
      <c r="AM101" s="119">
        <v>0.122237650073264</v>
      </c>
      <c r="AN101" s="119">
        <v>0.12575787506990299</v>
      </c>
      <c r="AO101" s="119">
        <v>0.13065953466507299</v>
      </c>
      <c r="AP101" s="119">
        <v>0.13973051604492601</v>
      </c>
      <c r="AQ101" s="119">
        <v>0.150564004637393</v>
      </c>
      <c r="AR101" s="119">
        <v>0.16177374087184501</v>
      </c>
      <c r="AS101" s="119">
        <v>0.17406309176647999</v>
      </c>
      <c r="AT101" s="119">
        <v>0.18730673922072399</v>
      </c>
      <c r="AU101" s="119">
        <v>0.198905220651582</v>
      </c>
      <c r="AV101" s="119">
        <v>0.20931022196797899</v>
      </c>
      <c r="AW101" s="119">
        <v>0.219092984826737</v>
      </c>
      <c r="AX101" s="119">
        <v>0.22770225361531601</v>
      </c>
      <c r="AY101" s="119">
        <v>0.233389896999499</v>
      </c>
      <c r="AZ101" s="119">
        <v>0.23863926736000601</v>
      </c>
      <c r="BA101" s="119">
        <v>0.244446592375899</v>
      </c>
      <c r="BB101" s="119">
        <v>0.24965359810744001</v>
      </c>
      <c r="BC101" s="119">
        <v>0.25478065561369301</v>
      </c>
      <c r="BD101" s="119">
        <v>0.26048255376451801</v>
      </c>
      <c r="BE101" s="119">
        <v>0.26564102839257397</v>
      </c>
      <c r="BF101" s="119">
        <v>0.27030140931330998</v>
      </c>
      <c r="BG101" s="119">
        <v>0.27551178418771699</v>
      </c>
      <c r="BH101" s="119">
        <v>0.28193553793376402</v>
      </c>
      <c r="BI101" s="119">
        <v>0.28744578756356498</v>
      </c>
      <c r="BJ101" s="119">
        <v>0.29342713319274999</v>
      </c>
      <c r="BK101" s="119">
        <v>0.29929217605305902</v>
      </c>
      <c r="BL101" s="119">
        <v>0.30462964547307902</v>
      </c>
    </row>
    <row r="102" spans="1:64" x14ac:dyDescent="0.25">
      <c r="A102" s="860" t="s">
        <v>209</v>
      </c>
      <c r="B102" s="1">
        <v>434</v>
      </c>
      <c r="C102" s="119">
        <v>0.5</v>
      </c>
      <c r="D102" s="119">
        <v>7.4637781330258293E-2</v>
      </c>
      <c r="E102" s="119">
        <v>7.6819415569029201E-2</v>
      </c>
      <c r="F102" s="119">
        <v>7.8885160172581306E-2</v>
      </c>
      <c r="G102" s="119">
        <v>8.1996486488094295E-2</v>
      </c>
      <c r="H102" s="119">
        <v>8.5141740880534694E-2</v>
      </c>
      <c r="I102" s="119">
        <v>8.7451755076733598E-2</v>
      </c>
      <c r="J102" s="119">
        <v>8.92265177341241E-2</v>
      </c>
      <c r="K102" s="119">
        <v>9.09757320574648E-2</v>
      </c>
      <c r="L102" s="119">
        <v>9.4098103769845703E-2</v>
      </c>
      <c r="M102" s="119">
        <v>9.7717630027898003E-2</v>
      </c>
      <c r="N102" s="119">
        <v>9.9674034186385305E-2</v>
      </c>
      <c r="O102" s="119">
        <v>0.102000049304537</v>
      </c>
      <c r="P102" s="119">
        <v>0.10483083369250799</v>
      </c>
      <c r="Q102" s="119">
        <v>0.106501682584614</v>
      </c>
      <c r="R102" s="119">
        <v>0.109723561470878</v>
      </c>
      <c r="S102" s="119">
        <v>0.111708401788315</v>
      </c>
      <c r="T102" s="119">
        <v>0.114402045652179</v>
      </c>
      <c r="U102" s="119">
        <v>0.11697710448656801</v>
      </c>
      <c r="V102" s="119">
        <v>0.119586895454954</v>
      </c>
      <c r="W102" s="119">
        <v>0.12246006768180601</v>
      </c>
      <c r="X102" s="119">
        <v>0.12529717723686401</v>
      </c>
      <c r="Y102" s="119">
        <v>0.12807690817985901</v>
      </c>
      <c r="Z102" s="119">
        <v>0.131633722521491</v>
      </c>
      <c r="AA102" s="119">
        <v>0.134713344033532</v>
      </c>
      <c r="AB102" s="119">
        <v>0.13841248235654999</v>
      </c>
      <c r="AC102" s="119">
        <v>0.14160244042863801</v>
      </c>
      <c r="AD102" s="119">
        <v>0.14289177906988301</v>
      </c>
      <c r="AE102" s="119">
        <v>0.143755258748516</v>
      </c>
      <c r="AF102" s="119">
        <v>0.145326031710209</v>
      </c>
      <c r="AG102" s="119">
        <v>0.145769818860599</v>
      </c>
      <c r="AH102" s="119">
        <v>0.145696235362268</v>
      </c>
      <c r="AI102" s="119">
        <v>0.14545887188295201</v>
      </c>
      <c r="AJ102" s="119">
        <v>0.14564550994460601</v>
      </c>
      <c r="AK102" s="119">
        <v>0.14461229380434301</v>
      </c>
      <c r="AL102" s="119">
        <v>0.143693124492806</v>
      </c>
      <c r="AM102" s="119">
        <v>0.142482627342635</v>
      </c>
      <c r="AN102" s="119">
        <v>0.13961066714310399</v>
      </c>
      <c r="AO102" s="119">
        <v>0.13765444114289899</v>
      </c>
      <c r="AP102" s="119">
        <v>0.13743099368064299</v>
      </c>
      <c r="AQ102" s="119">
        <v>0.13736942632638499</v>
      </c>
      <c r="AR102" s="119">
        <v>0.13704210951808399</v>
      </c>
      <c r="AS102" s="119">
        <v>0.13682169195845401</v>
      </c>
      <c r="AT102" s="119">
        <v>0.13613897786838999</v>
      </c>
      <c r="AU102" s="119">
        <v>0.13534838583491199</v>
      </c>
      <c r="AV102" s="119">
        <v>0.13549388966336701</v>
      </c>
      <c r="AW102" s="119">
        <v>0.13896645119710199</v>
      </c>
      <c r="AX102" s="119">
        <v>0.14394979598907101</v>
      </c>
      <c r="AY102" s="119">
        <v>0.14843616938090201</v>
      </c>
      <c r="AZ102" s="119">
        <v>0.153311284246574</v>
      </c>
      <c r="BA102" s="119">
        <v>0.159008959506171</v>
      </c>
      <c r="BB102" s="119">
        <v>0.162564825941514</v>
      </c>
      <c r="BC102" s="119">
        <v>0.166679214651827</v>
      </c>
      <c r="BD102" s="119">
        <v>0.17070738429694601</v>
      </c>
      <c r="BE102" s="119">
        <v>0.17584059023836099</v>
      </c>
      <c r="BF102" s="119">
        <v>0.17933021507826399</v>
      </c>
      <c r="BG102" s="119">
        <v>0.18321410375789601</v>
      </c>
      <c r="BH102" s="119">
        <v>0.18720044370232899</v>
      </c>
      <c r="BI102" s="119">
        <v>0.19095272662698901</v>
      </c>
      <c r="BJ102" s="119">
        <v>0.19385455428915599</v>
      </c>
      <c r="BK102" s="119">
        <v>0.19836621103086299</v>
      </c>
      <c r="BL102" s="119">
        <v>0.20171490162657801</v>
      </c>
    </row>
    <row r="103" spans="1:64" x14ac:dyDescent="0.25">
      <c r="A103" s="860" t="s">
        <v>211</v>
      </c>
      <c r="B103" s="1">
        <v>440</v>
      </c>
      <c r="C103" s="119">
        <v>0.5</v>
      </c>
      <c r="D103" s="119">
        <v>0.25861756099554101</v>
      </c>
      <c r="E103" s="119">
        <v>0.261870512633955</v>
      </c>
      <c r="F103" s="119">
        <v>0.26456732592242399</v>
      </c>
      <c r="G103" s="119">
        <v>0.26773546889788802</v>
      </c>
      <c r="H103" s="119">
        <v>0.27181096895255202</v>
      </c>
      <c r="I103" s="119">
        <v>0.27580567532085398</v>
      </c>
      <c r="J103" s="119">
        <v>0.27596574263717499</v>
      </c>
      <c r="K103" s="119">
        <v>0.27842062725317102</v>
      </c>
      <c r="L103" s="119">
        <v>0.280488022714037</v>
      </c>
      <c r="M103" s="119">
        <v>0.28340385628410902</v>
      </c>
      <c r="N103" s="119">
        <v>0.28521838082040701</v>
      </c>
      <c r="O103" s="119">
        <v>0.28728642245258601</v>
      </c>
      <c r="P103" s="119">
        <v>0.29151570319359799</v>
      </c>
      <c r="Q103" s="119">
        <v>0.29209293014341398</v>
      </c>
      <c r="R103" s="119">
        <v>0.29633956842905601</v>
      </c>
      <c r="S103" s="119">
        <v>0.300129512656512</v>
      </c>
      <c r="T103" s="119">
        <v>0.30394802438646001</v>
      </c>
      <c r="U103" s="119">
        <v>0.30647340429687397</v>
      </c>
      <c r="V103" s="119">
        <v>0.30892546897101297</v>
      </c>
      <c r="W103" s="119">
        <v>0.311417748285027</v>
      </c>
      <c r="X103" s="119">
        <v>0.31111524146695002</v>
      </c>
      <c r="Y103" s="119">
        <v>0.30733092564735498</v>
      </c>
      <c r="Z103" s="119">
        <v>0.30480690191937299</v>
      </c>
      <c r="AA103" s="119">
        <v>0.30225295516713901</v>
      </c>
      <c r="AB103" s="119">
        <v>0.29943406534348399</v>
      </c>
      <c r="AC103" s="119">
        <v>0.29798799664230202</v>
      </c>
      <c r="AD103" s="119">
        <v>0.30115863148432997</v>
      </c>
      <c r="AE103" s="119">
        <v>0.30488153121546202</v>
      </c>
      <c r="AF103" s="119">
        <v>0.31018124423172699</v>
      </c>
      <c r="AG103" s="119">
        <v>0.314469601584835</v>
      </c>
      <c r="AH103" s="119">
        <v>0.319366277595593</v>
      </c>
      <c r="AI103" s="119">
        <v>0.32474889418632902</v>
      </c>
      <c r="AJ103" s="119">
        <v>0.32837909991686098</v>
      </c>
      <c r="AK103" s="119">
        <v>0.33200329896459002</v>
      </c>
      <c r="AL103" s="119">
        <v>0.33524490544908297</v>
      </c>
      <c r="AM103" s="119">
        <v>0.33718074353708999</v>
      </c>
      <c r="AN103" s="119">
        <v>0.34147598239383498</v>
      </c>
      <c r="AO103" s="119">
        <v>0.34603806151601701</v>
      </c>
      <c r="AP103" s="119">
        <v>0.34889359817028898</v>
      </c>
      <c r="AQ103" s="119">
        <v>0.35247501374585599</v>
      </c>
      <c r="AR103" s="119">
        <v>0.35600400241058799</v>
      </c>
      <c r="AS103" s="119">
        <v>0.35892034745155899</v>
      </c>
      <c r="AT103" s="119">
        <v>0.36165644692289101</v>
      </c>
      <c r="AU103" s="119">
        <v>0.36319846124328897</v>
      </c>
      <c r="AV103" s="119">
        <v>0.36500722280849301</v>
      </c>
      <c r="AW103" s="119">
        <v>0.36778223750568101</v>
      </c>
      <c r="AX103" s="119">
        <v>0.37138440461338701</v>
      </c>
      <c r="AY103" s="119">
        <v>0.375961000097706</v>
      </c>
      <c r="AZ103" s="119">
        <v>0.38068628140083699</v>
      </c>
      <c r="BA103" s="119">
        <v>0.38550103195840202</v>
      </c>
      <c r="BB103" s="119">
        <v>0.38949958983108901</v>
      </c>
      <c r="BC103" s="119">
        <v>0.392028800161491</v>
      </c>
      <c r="BD103" s="119">
        <v>0.39495603615845698</v>
      </c>
      <c r="BE103" s="119">
        <v>0.39817754642418302</v>
      </c>
      <c r="BF103" s="119">
        <v>0.40091335907949899</v>
      </c>
      <c r="BG103" s="119">
        <v>0.402499427179073</v>
      </c>
      <c r="BH103" s="119">
        <v>0.40296288879223902</v>
      </c>
      <c r="BI103" s="119">
        <v>0.40310081518194202</v>
      </c>
      <c r="BJ103" s="119">
        <v>0.402504728478217</v>
      </c>
      <c r="BK103" s="119">
        <v>0.40295048323770699</v>
      </c>
      <c r="BL103" s="119">
        <v>0.402046506776365</v>
      </c>
    </row>
    <row r="104" spans="1:64" x14ac:dyDescent="0.25">
      <c r="A104" s="860" t="s">
        <v>44</v>
      </c>
      <c r="B104" s="1">
        <v>450</v>
      </c>
      <c r="C104" s="119">
        <v>0.5</v>
      </c>
      <c r="D104" s="119">
        <v>2.5529020053594699E-3</v>
      </c>
      <c r="E104" s="119">
        <v>2.9422391647741298E-3</v>
      </c>
      <c r="F104" s="119">
        <v>3.2538740378229799E-3</v>
      </c>
      <c r="G104" s="119">
        <v>3.6830618998703298E-3</v>
      </c>
      <c r="H104" s="119">
        <v>4.2506909005649704E-3</v>
      </c>
      <c r="I104" s="119">
        <v>4.8291832816910298E-3</v>
      </c>
      <c r="J104" s="119">
        <v>5.5823800830838797E-3</v>
      </c>
      <c r="K104" s="119">
        <v>6.30676893835548E-3</v>
      </c>
      <c r="L104" s="119">
        <v>7.1600227790991396E-3</v>
      </c>
      <c r="M104" s="119">
        <v>8.0814341078335201E-3</v>
      </c>
      <c r="N104" s="119">
        <v>9.1746112288497196E-3</v>
      </c>
      <c r="O104" s="119">
        <v>1.05339217618066E-2</v>
      </c>
      <c r="P104" s="119">
        <v>1.19167957530198E-2</v>
      </c>
      <c r="Q104" s="119">
        <v>1.3628283885436099E-2</v>
      </c>
      <c r="R104" s="119">
        <v>1.54466683343854E-2</v>
      </c>
      <c r="S104" s="119">
        <v>1.7480543785424001E-2</v>
      </c>
      <c r="T104" s="119">
        <v>1.9755786732649602E-2</v>
      </c>
      <c r="U104" s="119">
        <v>2.2122698397783101E-2</v>
      </c>
      <c r="V104" s="119">
        <v>2.5052993622949198E-2</v>
      </c>
      <c r="W104" s="119">
        <v>2.8209269703617101E-2</v>
      </c>
      <c r="X104" s="119">
        <v>3.1449813994820101E-2</v>
      </c>
      <c r="Y104" s="119">
        <v>3.5167635152167101E-2</v>
      </c>
      <c r="Z104" s="119">
        <v>3.9261845023504098E-2</v>
      </c>
      <c r="AA104" s="119">
        <v>4.5448849828973702E-2</v>
      </c>
      <c r="AB104" s="119">
        <v>5.2250017503859603E-2</v>
      </c>
      <c r="AC104" s="119">
        <v>5.9833645316385999E-2</v>
      </c>
      <c r="AD104" s="119">
        <v>6.80756634801956E-2</v>
      </c>
      <c r="AE104" s="119">
        <v>7.7101822926329694E-2</v>
      </c>
      <c r="AF104" s="119">
        <v>8.68537623749462E-2</v>
      </c>
      <c r="AG104" s="119">
        <v>9.70837019162646E-2</v>
      </c>
      <c r="AH104" s="119">
        <v>0.105584185708228</v>
      </c>
      <c r="AI104" s="119">
        <v>0.114890642303402</v>
      </c>
      <c r="AJ104" s="119">
        <v>0.12513741254470401</v>
      </c>
      <c r="AK104" s="119">
        <v>0.136534356800454</v>
      </c>
      <c r="AL104" s="119">
        <v>0.14857498622262399</v>
      </c>
      <c r="AM104" s="119">
        <v>0.16295361125462801</v>
      </c>
      <c r="AN104" s="119">
        <v>0.17916645690553101</v>
      </c>
      <c r="AO104" s="119">
        <v>0.19637941039741799</v>
      </c>
      <c r="AP104" s="119">
        <v>0.213651675483649</v>
      </c>
      <c r="AQ104" s="119">
        <v>0.229926031027504</v>
      </c>
      <c r="AR104" s="119">
        <v>0.24399344936641901</v>
      </c>
      <c r="AS104" s="119">
        <v>0.25631514262458499</v>
      </c>
      <c r="AT104" s="119">
        <v>0.26885540064809199</v>
      </c>
      <c r="AU104" s="119">
        <v>0.28092627739029102</v>
      </c>
      <c r="AV104" s="119">
        <v>0.29237456519420502</v>
      </c>
      <c r="AW104" s="119">
        <v>0.30384247490076699</v>
      </c>
      <c r="AX104" s="119">
        <v>0.31554830428216901</v>
      </c>
      <c r="AY104" s="119">
        <v>0.32690245031133303</v>
      </c>
      <c r="AZ104" s="119">
        <v>0.338282486229804</v>
      </c>
      <c r="BA104" s="119">
        <v>0.34697973263106002</v>
      </c>
      <c r="BB104" s="119">
        <v>0.35673120734434099</v>
      </c>
      <c r="BC104" s="119">
        <v>0.36686290312141101</v>
      </c>
      <c r="BD104" s="119">
        <v>0.375365481734107</v>
      </c>
      <c r="BE104" s="119">
        <v>0.38354502972409299</v>
      </c>
      <c r="BF104" s="119">
        <v>0.39163982445353601</v>
      </c>
      <c r="BG104" s="119">
        <v>0.39803752067193798</v>
      </c>
      <c r="BH104" s="119">
        <v>0.40490158203311499</v>
      </c>
      <c r="BI104" s="119">
        <v>0.41158827133050901</v>
      </c>
      <c r="BJ104" s="119">
        <v>0.41827692394261001</v>
      </c>
      <c r="BK104" s="119">
        <v>0.42476282489184802</v>
      </c>
      <c r="BL104" s="119">
        <v>0.431232832373321</v>
      </c>
    </row>
    <row r="105" spans="1:64" x14ac:dyDescent="0.25">
      <c r="A105" s="860" t="s">
        <v>45</v>
      </c>
      <c r="B105" s="1">
        <v>454</v>
      </c>
      <c r="C105" s="119">
        <v>0.5</v>
      </c>
      <c r="D105" s="119">
        <v>3.8713182571731E-3</v>
      </c>
      <c r="E105" s="119">
        <v>4.5116925988429001E-3</v>
      </c>
      <c r="F105" s="119">
        <v>5.2587398006389797E-3</v>
      </c>
      <c r="G105" s="119">
        <v>6.1911322405365701E-3</v>
      </c>
      <c r="H105" s="119">
        <v>7.2226547292423803E-3</v>
      </c>
      <c r="I105" s="119">
        <v>8.3330777920620196E-3</v>
      </c>
      <c r="J105" s="119">
        <v>9.7000265748014604E-3</v>
      </c>
      <c r="K105" s="119">
        <v>1.12945577980931E-2</v>
      </c>
      <c r="L105" s="119">
        <v>1.30017270361004E-2</v>
      </c>
      <c r="M105" s="119">
        <v>1.5052520988090399E-2</v>
      </c>
      <c r="N105" s="119">
        <v>1.72690737230453E-2</v>
      </c>
      <c r="O105" s="119">
        <v>1.9789693296944001E-2</v>
      </c>
      <c r="P105" s="119">
        <v>2.2704659011744101E-2</v>
      </c>
      <c r="Q105" s="119">
        <v>2.5911014384748899E-2</v>
      </c>
      <c r="R105" s="119">
        <v>2.94558661584358E-2</v>
      </c>
      <c r="S105" s="119">
        <v>3.2925921700524198E-2</v>
      </c>
      <c r="T105" s="119">
        <v>3.6860068126830403E-2</v>
      </c>
      <c r="U105" s="119">
        <v>4.0916443012134103E-2</v>
      </c>
      <c r="V105" s="119">
        <v>4.5166499517174601E-2</v>
      </c>
      <c r="W105" s="119">
        <v>4.9830654312699597E-2</v>
      </c>
      <c r="X105" s="119">
        <v>5.4798265177247299E-2</v>
      </c>
      <c r="Y105" s="119">
        <v>6.0440732062708502E-2</v>
      </c>
      <c r="Z105" s="119">
        <v>6.7298964252733504E-2</v>
      </c>
      <c r="AA105" s="119">
        <v>7.8408534400454394E-2</v>
      </c>
      <c r="AB105" s="119">
        <v>9.0713797020350095E-2</v>
      </c>
      <c r="AC105" s="119">
        <v>0.105281968845055</v>
      </c>
      <c r="AD105" s="119">
        <v>0.122618601375467</v>
      </c>
      <c r="AE105" s="119">
        <v>0.14194878140033201</v>
      </c>
      <c r="AF105" s="119">
        <v>0.16223212418184699</v>
      </c>
      <c r="AG105" s="119">
        <v>0.18292619789357201</v>
      </c>
      <c r="AH105" s="119">
        <v>0.200642799766935</v>
      </c>
      <c r="AI105" s="119">
        <v>0.20871100442402299</v>
      </c>
      <c r="AJ105" s="119">
        <v>0.214236857659001</v>
      </c>
      <c r="AK105" s="119">
        <v>0.218765733901161</v>
      </c>
      <c r="AL105" s="119">
        <v>0.22544220603576101</v>
      </c>
      <c r="AM105" s="119">
        <v>0.239058490129259</v>
      </c>
      <c r="AN105" s="119">
        <v>0.25568596482337302</v>
      </c>
      <c r="AO105" s="119">
        <v>0.27200330023208802</v>
      </c>
      <c r="AP105" s="119">
        <v>0.28925523938098302</v>
      </c>
      <c r="AQ105" s="119">
        <v>0.306610317315551</v>
      </c>
      <c r="AR105" s="119">
        <v>0.325378836112864</v>
      </c>
      <c r="AS105" s="119">
        <v>0.34954480547657701</v>
      </c>
      <c r="AT105" s="119">
        <v>0.37454010337580201</v>
      </c>
      <c r="AU105" s="119">
        <v>0.39922554976049501</v>
      </c>
      <c r="AV105" s="119">
        <v>0.42204581313727302</v>
      </c>
      <c r="AW105" s="119">
        <v>0.44069658862022698</v>
      </c>
      <c r="AX105" s="119">
        <v>0.45298880946926101</v>
      </c>
      <c r="AY105" s="119">
        <v>0.46278441888147098</v>
      </c>
      <c r="AZ105" s="119">
        <v>0.470691510876175</v>
      </c>
      <c r="BA105" s="119">
        <v>0.477758824416327</v>
      </c>
      <c r="BB105" s="119">
        <v>0.48374340477379901</v>
      </c>
      <c r="BC105" s="119">
        <v>0.48841298714431503</v>
      </c>
      <c r="BD105" s="119">
        <v>0.49163715385156298</v>
      </c>
      <c r="BE105" s="119">
        <v>0.49427464568697099</v>
      </c>
      <c r="BF105" s="119">
        <v>0.49740159876031398</v>
      </c>
      <c r="BG105" s="119">
        <v>0.500409546512536</v>
      </c>
      <c r="BH105" s="119">
        <v>0.50256514215564596</v>
      </c>
      <c r="BI105" s="119">
        <v>0.50548339875923498</v>
      </c>
      <c r="BJ105" s="119">
        <v>0.50865196692862402</v>
      </c>
      <c r="BK105" s="119">
        <v>0.51018092650967595</v>
      </c>
      <c r="BL105" s="119">
        <v>0.51193487902811297</v>
      </c>
    </row>
    <row r="106" spans="1:64" x14ac:dyDescent="0.25">
      <c r="A106" s="860" t="s">
        <v>213</v>
      </c>
      <c r="B106" s="1">
        <v>458</v>
      </c>
      <c r="C106" s="119">
        <v>0.5</v>
      </c>
      <c r="D106" s="119">
        <v>8.20984118390823E-2</v>
      </c>
      <c r="E106" s="119">
        <v>9.2139078563353294E-2</v>
      </c>
      <c r="F106" s="119">
        <v>0.10303202644057601</v>
      </c>
      <c r="G106" s="119">
        <v>0.115546598447407</v>
      </c>
      <c r="H106" s="119">
        <v>0.12803694088332901</v>
      </c>
      <c r="I106" s="119">
        <v>0.136306988530742</v>
      </c>
      <c r="J106" s="119">
        <v>0.14462346781885699</v>
      </c>
      <c r="K106" s="119">
        <v>0.15248132665260899</v>
      </c>
      <c r="L106" s="119">
        <v>0.15909659624987499</v>
      </c>
      <c r="M106" s="119">
        <v>0.165909578799812</v>
      </c>
      <c r="N106" s="119">
        <v>0.172766648507516</v>
      </c>
      <c r="O106" s="119">
        <v>0.17835416407212301</v>
      </c>
      <c r="P106" s="119">
        <v>0.184530287521881</v>
      </c>
      <c r="Q106" s="119">
        <v>0.190576935745989</v>
      </c>
      <c r="R106" s="119">
        <v>0.194995642843482</v>
      </c>
      <c r="S106" s="119">
        <v>0.19698154892921799</v>
      </c>
      <c r="T106" s="119">
        <v>0.19936959468349499</v>
      </c>
      <c r="U106" s="119">
        <v>0.199658277864668</v>
      </c>
      <c r="V106" s="119">
        <v>0.20000617156689601</v>
      </c>
      <c r="W106" s="119">
        <v>0.20074587399322399</v>
      </c>
      <c r="X106" s="119">
        <v>0.201676577653641</v>
      </c>
      <c r="Y106" s="119">
        <v>0.20199203613199199</v>
      </c>
      <c r="Z106" s="119">
        <v>0.20264170184856301</v>
      </c>
      <c r="AA106" s="119">
        <v>0.203521127310725</v>
      </c>
      <c r="AB106" s="119">
        <v>0.20392931053240401</v>
      </c>
      <c r="AC106" s="119">
        <v>0.205548885297684</v>
      </c>
      <c r="AD106" s="119">
        <v>0.20633577627242</v>
      </c>
      <c r="AE106" s="119">
        <v>0.206478955395133</v>
      </c>
      <c r="AF106" s="119">
        <v>0.206327166686161</v>
      </c>
      <c r="AG106" s="119">
        <v>0.20575201103951099</v>
      </c>
      <c r="AH106" s="119">
        <v>0.206686529583166</v>
      </c>
      <c r="AI106" s="119">
        <v>0.20457114707065299</v>
      </c>
      <c r="AJ106" s="119">
        <v>0.20324267554240699</v>
      </c>
      <c r="AK106" s="119">
        <v>0.201599647204036</v>
      </c>
      <c r="AL106" s="119">
        <v>0.20096093403654999</v>
      </c>
      <c r="AM106" s="119">
        <v>0.201774222963957</v>
      </c>
      <c r="AN106" s="119">
        <v>0.202406861914775</v>
      </c>
      <c r="AO106" s="119">
        <v>0.20317721843904701</v>
      </c>
      <c r="AP106" s="119">
        <v>0.20448809082031699</v>
      </c>
      <c r="AQ106" s="119">
        <v>0.20394850965275699</v>
      </c>
      <c r="AR106" s="119">
        <v>0.20390710283001301</v>
      </c>
      <c r="AS106" s="119">
        <v>0.205970494114152</v>
      </c>
      <c r="AT106" s="119">
        <v>0.20698058126066099</v>
      </c>
      <c r="AU106" s="119">
        <v>0.208601905273814</v>
      </c>
      <c r="AV106" s="119">
        <v>0.21120343808494399</v>
      </c>
      <c r="AW106" s="119">
        <v>0.216213064178712</v>
      </c>
      <c r="AX106" s="119">
        <v>0.22131677157346899</v>
      </c>
      <c r="AY106" s="119">
        <v>0.22586181121275001</v>
      </c>
      <c r="AZ106" s="119">
        <v>0.23194830051516599</v>
      </c>
      <c r="BA106" s="119">
        <v>0.23736286275895199</v>
      </c>
      <c r="BB106" s="119">
        <v>0.24285145103389499</v>
      </c>
      <c r="BC106" s="119">
        <v>0.24662352364675699</v>
      </c>
      <c r="BD106" s="119">
        <v>0.252579112720552</v>
      </c>
      <c r="BE106" s="119">
        <v>0.25731644035283502</v>
      </c>
      <c r="BF106" s="119">
        <v>0.26301751377220101</v>
      </c>
      <c r="BG106" s="119">
        <v>0.26791895604747801</v>
      </c>
      <c r="BH106" s="119">
        <v>0.27193709655560599</v>
      </c>
      <c r="BI106" s="119">
        <v>0.27550710949943902</v>
      </c>
      <c r="BJ106" s="119">
        <v>0.28005226635483099</v>
      </c>
      <c r="BK106" s="119">
        <v>0.28389798623644202</v>
      </c>
      <c r="BL106" s="119">
        <v>0.28766093795904701</v>
      </c>
    </row>
    <row r="107" spans="1:64" x14ac:dyDescent="0.25">
      <c r="A107" s="860" t="s">
        <v>214</v>
      </c>
      <c r="B107" s="1">
        <v>462</v>
      </c>
      <c r="C107" s="119">
        <v>0.5</v>
      </c>
      <c r="D107" s="119">
        <v>6.4526119585683994E-2</v>
      </c>
      <c r="E107" s="119">
        <v>6.7792893625742395E-2</v>
      </c>
      <c r="F107" s="119">
        <v>7.0659044962195397E-2</v>
      </c>
      <c r="G107" s="119">
        <v>7.4000873571050799E-2</v>
      </c>
      <c r="H107" s="119">
        <v>7.6468993955614101E-2</v>
      </c>
      <c r="I107" s="119">
        <v>7.9179019661345801E-2</v>
      </c>
      <c r="J107" s="119">
        <v>8.3062684689666696E-2</v>
      </c>
      <c r="K107" s="119">
        <v>8.5892293484988294E-2</v>
      </c>
      <c r="L107" s="119">
        <v>8.9376441517709196E-2</v>
      </c>
      <c r="M107" s="119">
        <v>9.3116386300028706E-2</v>
      </c>
      <c r="N107" s="119">
        <v>9.6434169948851595E-2</v>
      </c>
      <c r="O107" s="119">
        <v>0.100067514212241</v>
      </c>
      <c r="P107" s="119">
        <v>0.103295295256424</v>
      </c>
      <c r="Q107" s="119">
        <v>0.106951156831911</v>
      </c>
      <c r="R107" s="119">
        <v>0.1095349207043</v>
      </c>
      <c r="S107" s="119">
        <v>0.113604715745927</v>
      </c>
      <c r="T107" s="119">
        <v>0.116416509185607</v>
      </c>
      <c r="U107" s="119">
        <v>0.12082714919127301</v>
      </c>
      <c r="V107" s="119">
        <v>0.12483938043265699</v>
      </c>
      <c r="W107" s="119">
        <v>0.12863798902450699</v>
      </c>
      <c r="X107" s="119">
        <v>0.13369805675952301</v>
      </c>
      <c r="Y107" s="119">
        <v>0.139423405502868</v>
      </c>
      <c r="Z107" s="119">
        <v>0.14762348876054199</v>
      </c>
      <c r="AA107" s="119">
        <v>0.15721676671234699</v>
      </c>
      <c r="AB107" s="119">
        <v>0.16729639106861099</v>
      </c>
      <c r="AC107" s="119">
        <v>0.17738456280985801</v>
      </c>
      <c r="AD107" s="119">
        <v>0.18672557452404401</v>
      </c>
      <c r="AE107" s="119">
        <v>0.19545123051779201</v>
      </c>
      <c r="AF107" s="119">
        <v>0.20250095154664499</v>
      </c>
      <c r="AG107" s="119">
        <v>0.20847600710636999</v>
      </c>
      <c r="AH107" s="119">
        <v>0.21030117009099999</v>
      </c>
      <c r="AI107" s="119">
        <v>0.210346641689448</v>
      </c>
      <c r="AJ107" s="119">
        <v>0.20997387385570099</v>
      </c>
      <c r="AK107" s="119">
        <v>0.20900887243889599</v>
      </c>
      <c r="AL107" s="119">
        <v>0.20717438601160301</v>
      </c>
      <c r="AM107" s="119">
        <v>0.201819917879446</v>
      </c>
      <c r="AN107" s="119">
        <v>0.19569431852593999</v>
      </c>
      <c r="AO107" s="119">
        <v>0.189449261574447</v>
      </c>
      <c r="AP107" s="119">
        <v>0.18315582680319101</v>
      </c>
      <c r="AQ107" s="119">
        <v>0.17552097141557499</v>
      </c>
      <c r="AR107" s="119">
        <v>0.166528996356228</v>
      </c>
      <c r="AS107" s="119">
        <v>0.157302592221294</v>
      </c>
      <c r="AT107" s="119">
        <v>0.14784456123230399</v>
      </c>
      <c r="AU107" s="119">
        <v>0.138336203926786</v>
      </c>
      <c r="AV107" s="119">
        <v>0.12974428604330901</v>
      </c>
      <c r="AW107" s="119">
        <v>0.121311383578041</v>
      </c>
      <c r="AX107" s="119">
        <v>0.114847668644585</v>
      </c>
      <c r="AY107" s="119">
        <v>0.110310017172951</v>
      </c>
      <c r="AZ107" s="119">
        <v>0.110598431493656</v>
      </c>
      <c r="BA107" s="119">
        <v>0.113328027530221</v>
      </c>
      <c r="BB107" s="119">
        <v>0.116844325433373</v>
      </c>
      <c r="BC107" s="119">
        <v>0.12093362283315801</v>
      </c>
      <c r="BD107" s="119">
        <v>0.12331371155652</v>
      </c>
      <c r="BE107" s="119">
        <v>0.12712609212814399</v>
      </c>
      <c r="BF107" s="119">
        <v>0.12977422028383301</v>
      </c>
      <c r="BG107" s="119">
        <v>0.133621788696907</v>
      </c>
      <c r="BH107" s="119">
        <v>0.13710710115032501</v>
      </c>
      <c r="BI107" s="119">
        <v>0.14121590479056201</v>
      </c>
      <c r="BJ107" s="119">
        <v>0.146238505378744</v>
      </c>
      <c r="BK107" s="119">
        <v>0.15109425049295799</v>
      </c>
      <c r="BL107" s="119">
        <v>0.15557159868790801</v>
      </c>
    </row>
    <row r="108" spans="1:64" x14ac:dyDescent="0.25">
      <c r="A108" s="860" t="s">
        <v>46</v>
      </c>
      <c r="B108" s="1">
        <v>466</v>
      </c>
      <c r="C108" s="119">
        <v>0.5</v>
      </c>
      <c r="D108" s="119">
        <v>1.0518977407974099E-3</v>
      </c>
      <c r="E108" s="119">
        <v>1.21636683854957E-3</v>
      </c>
      <c r="F108" s="119">
        <v>1.4062651753408901E-3</v>
      </c>
      <c r="G108" s="119">
        <v>1.64374175327342E-3</v>
      </c>
      <c r="H108" s="119">
        <v>1.94140197983165E-3</v>
      </c>
      <c r="I108" s="119">
        <v>2.2289960964723202E-3</v>
      </c>
      <c r="J108" s="119">
        <v>2.57709580360996E-3</v>
      </c>
      <c r="K108" s="119">
        <v>2.9801620432523298E-3</v>
      </c>
      <c r="L108" s="119">
        <v>3.4781665471018399E-3</v>
      </c>
      <c r="M108" s="119">
        <v>3.9959184719174498E-3</v>
      </c>
      <c r="N108" s="119">
        <v>4.6366019399452004E-3</v>
      </c>
      <c r="O108" s="119">
        <v>5.3335179456306002E-3</v>
      </c>
      <c r="P108" s="119">
        <v>6.1164997340259599E-3</v>
      </c>
      <c r="Q108" s="119">
        <v>7.0121937832820199E-3</v>
      </c>
      <c r="R108" s="119">
        <v>8.0883038387977793E-3</v>
      </c>
      <c r="S108" s="119">
        <v>9.2236065297305395E-3</v>
      </c>
      <c r="T108" s="119">
        <v>1.05275240352063E-2</v>
      </c>
      <c r="U108" s="119">
        <v>1.2087242006241301E-2</v>
      </c>
      <c r="V108" s="119">
        <v>1.44477988962016E-2</v>
      </c>
      <c r="W108" s="119">
        <v>1.7348974076861201E-2</v>
      </c>
      <c r="X108" s="119">
        <v>2.04653795929138E-2</v>
      </c>
      <c r="Y108" s="119">
        <v>2.4221450049149499E-2</v>
      </c>
      <c r="Z108" s="119">
        <v>2.8308251846448799E-2</v>
      </c>
      <c r="AA108" s="119">
        <v>3.2789198125760102E-2</v>
      </c>
      <c r="AB108" s="119">
        <v>3.79403417738884E-2</v>
      </c>
      <c r="AC108" s="119">
        <v>4.3213336719290001E-2</v>
      </c>
      <c r="AD108" s="119">
        <v>4.8581545431717797E-2</v>
      </c>
      <c r="AE108" s="119">
        <v>5.2728975191572297E-2</v>
      </c>
      <c r="AF108" s="119">
        <v>5.6730830297181303E-2</v>
      </c>
      <c r="AG108" s="119">
        <v>6.0703155531857497E-2</v>
      </c>
      <c r="AH108" s="119">
        <v>6.3963393926212198E-2</v>
      </c>
      <c r="AI108" s="119">
        <v>6.6718931467405804E-2</v>
      </c>
      <c r="AJ108" s="119">
        <v>6.7242307512265606E-2</v>
      </c>
      <c r="AK108" s="119">
        <v>6.6836983972865499E-2</v>
      </c>
      <c r="AL108" s="119">
        <v>6.6097515478016705E-2</v>
      </c>
      <c r="AM108" s="119">
        <v>6.5942713037437803E-2</v>
      </c>
      <c r="AN108" s="119">
        <v>6.6521125796415198E-2</v>
      </c>
      <c r="AO108" s="119">
        <v>6.9979695788872601E-2</v>
      </c>
      <c r="AP108" s="119">
        <v>7.4744478185012397E-2</v>
      </c>
      <c r="AQ108" s="119">
        <v>7.9497617237403895E-2</v>
      </c>
      <c r="AR108" s="119">
        <v>8.4808508557704096E-2</v>
      </c>
      <c r="AS108" s="119">
        <v>9.0460661364915096E-2</v>
      </c>
      <c r="AT108" s="119">
        <v>9.7141827675888998E-2</v>
      </c>
      <c r="AU108" s="119">
        <v>0.104644964898787</v>
      </c>
      <c r="AV108" s="119">
        <v>0.11356298339821499</v>
      </c>
      <c r="AW108" s="119">
        <v>0.12339651044149599</v>
      </c>
      <c r="AX108" s="119">
        <v>0.13225391466942199</v>
      </c>
      <c r="AY108" s="119">
        <v>0.14102090431085301</v>
      </c>
      <c r="AZ108" s="119">
        <v>0.14889791885454501</v>
      </c>
      <c r="BA108" s="119">
        <v>0.15623836364349999</v>
      </c>
      <c r="BB108" s="119">
        <v>0.16297019870469001</v>
      </c>
      <c r="BC108" s="119">
        <v>0.16871392822584599</v>
      </c>
      <c r="BD108" s="119">
        <v>0.17564541685601201</v>
      </c>
      <c r="BE108" s="119">
        <v>0.18232752366021601</v>
      </c>
      <c r="BF108" s="119">
        <v>0.18802901982175599</v>
      </c>
      <c r="BG108" s="119">
        <v>0.19405649625641</v>
      </c>
      <c r="BH108" s="119">
        <v>0.199336487852767</v>
      </c>
      <c r="BI108" s="119">
        <v>0.20609537038742601</v>
      </c>
      <c r="BJ108" s="119">
        <v>0.21066149128843201</v>
      </c>
      <c r="BK108" s="119">
        <v>0.21633297923167399</v>
      </c>
      <c r="BL108" s="119">
        <v>0.223256838688247</v>
      </c>
    </row>
    <row r="109" spans="1:64" x14ac:dyDescent="0.25">
      <c r="A109" s="860" t="s">
        <v>215</v>
      </c>
      <c r="B109" s="1">
        <v>470</v>
      </c>
      <c r="C109" s="119">
        <v>0.5</v>
      </c>
      <c r="D109" s="119">
        <v>0.21755795250231399</v>
      </c>
      <c r="E109" s="119">
        <v>0.22530678999383899</v>
      </c>
      <c r="F109" s="119">
        <v>0.23184281427121201</v>
      </c>
      <c r="G109" s="119">
        <v>0.237140488894901</v>
      </c>
      <c r="H109" s="119">
        <v>0.24332023221139601</v>
      </c>
      <c r="I109" s="119">
        <v>0.248913881027329</v>
      </c>
      <c r="J109" s="119">
        <v>0.25214618943039102</v>
      </c>
      <c r="K109" s="119">
        <v>0.25592929368644102</v>
      </c>
      <c r="L109" s="119">
        <v>0.25855125945354901</v>
      </c>
      <c r="M109" s="119">
        <v>0.26548844582596698</v>
      </c>
      <c r="N109" s="119">
        <v>0.27134665932728202</v>
      </c>
      <c r="O109" s="119">
        <v>0.27654988406340503</v>
      </c>
      <c r="P109" s="119">
        <v>0.28280562673619802</v>
      </c>
      <c r="Q109" s="119">
        <v>0.28588068892448898</v>
      </c>
      <c r="R109" s="119">
        <v>0.29229353699514499</v>
      </c>
      <c r="S109" s="119">
        <v>0.29748583030528603</v>
      </c>
      <c r="T109" s="119">
        <v>0.30108297636264703</v>
      </c>
      <c r="U109" s="119">
        <v>0.30463383457075199</v>
      </c>
      <c r="V109" s="119">
        <v>0.30900708242040398</v>
      </c>
      <c r="W109" s="119">
        <v>0.31207114587787299</v>
      </c>
      <c r="X109" s="119">
        <v>0.31682340141532001</v>
      </c>
      <c r="Y109" s="119">
        <v>0.32165593240109502</v>
      </c>
      <c r="Z109" s="119">
        <v>0.327524867349968</v>
      </c>
      <c r="AA109" s="119">
        <v>0.33268580112757301</v>
      </c>
      <c r="AB109" s="119">
        <v>0.33706775266448502</v>
      </c>
      <c r="AC109" s="119">
        <v>0.34173278209360203</v>
      </c>
      <c r="AD109" s="119">
        <v>0.34462324306237802</v>
      </c>
      <c r="AE109" s="119">
        <v>0.34781364275749699</v>
      </c>
      <c r="AF109" s="119">
        <v>0.35111223437375799</v>
      </c>
      <c r="AG109" s="119">
        <v>0.35488403474267799</v>
      </c>
      <c r="AH109" s="119">
        <v>0.35781629695582501</v>
      </c>
      <c r="AI109" s="119">
        <v>0.35910024584871902</v>
      </c>
      <c r="AJ109" s="119">
        <v>0.364324373508355</v>
      </c>
      <c r="AK109" s="119">
        <v>0.36688171523030999</v>
      </c>
      <c r="AL109" s="119">
        <v>0.371580312447922</v>
      </c>
      <c r="AM109" s="119">
        <v>0.37573755497772499</v>
      </c>
      <c r="AN109" s="119">
        <v>0.37789102799945801</v>
      </c>
      <c r="AO109" s="119">
        <v>0.383475036584638</v>
      </c>
      <c r="AP109" s="119">
        <v>0.38738345920633099</v>
      </c>
      <c r="AQ109" s="119">
        <v>0.391725780221859</v>
      </c>
      <c r="AR109" s="119">
        <v>0.39704537456148598</v>
      </c>
      <c r="AS109" s="119">
        <v>0.40143504450748801</v>
      </c>
      <c r="AT109" s="119">
        <v>0.40723914570923597</v>
      </c>
      <c r="AU109" s="119">
        <v>0.41052613242817798</v>
      </c>
      <c r="AV109" s="119">
        <v>0.41641720378590502</v>
      </c>
      <c r="AW109" s="119">
        <v>0.42106622785396203</v>
      </c>
      <c r="AX109" s="119">
        <v>0.42569082833137301</v>
      </c>
      <c r="AY109" s="119">
        <v>0.43198231699782802</v>
      </c>
      <c r="AZ109" s="119">
        <v>0.43761872149504399</v>
      </c>
      <c r="BA109" s="119">
        <v>0.44448729117614599</v>
      </c>
      <c r="BB109" s="119">
        <v>0.44711235403898603</v>
      </c>
      <c r="BC109" s="119">
        <v>0.45174973443253702</v>
      </c>
      <c r="BD109" s="119">
        <v>0.45988829152795602</v>
      </c>
      <c r="BE109" s="119">
        <v>0.462286609401869</v>
      </c>
      <c r="BF109" s="119">
        <v>0.46853978924037998</v>
      </c>
      <c r="BG109" s="119">
        <v>0.47400747051102998</v>
      </c>
      <c r="BH109" s="119">
        <v>0.47658252814996099</v>
      </c>
      <c r="BI109" s="119">
        <v>0.48087127106241501</v>
      </c>
      <c r="BJ109" s="119">
        <v>0.48235286197646199</v>
      </c>
      <c r="BK109" s="119">
        <v>0.48574222707882603</v>
      </c>
      <c r="BL109" s="119">
        <v>0.488372889431053</v>
      </c>
    </row>
    <row r="110" spans="1:64" x14ac:dyDescent="0.25">
      <c r="A110" s="860" t="s">
        <v>216</v>
      </c>
      <c r="B110" s="1">
        <v>584</v>
      </c>
      <c r="C110" s="119">
        <v>0.5</v>
      </c>
      <c r="D110" s="119">
        <v>0.160548580653984</v>
      </c>
      <c r="E110" s="119">
        <v>0.16232127059214799</v>
      </c>
      <c r="F110" s="119">
        <v>0.16348284015220499</v>
      </c>
      <c r="G110" s="119">
        <v>0.16539169596381501</v>
      </c>
      <c r="H110" s="119">
        <v>0.168013799729017</v>
      </c>
      <c r="I110" s="119">
        <v>0.16955548157953901</v>
      </c>
      <c r="J110" s="119">
        <v>0.171807788762918</v>
      </c>
      <c r="K110" s="119">
        <v>0.173646918089717</v>
      </c>
      <c r="L110" s="119">
        <v>0.17743850944766201</v>
      </c>
      <c r="M110" s="119">
        <v>0.17864710535454301</v>
      </c>
      <c r="N110" s="119">
        <v>0.18039307732224999</v>
      </c>
      <c r="O110" s="119">
        <v>0.183583145308018</v>
      </c>
      <c r="P110" s="119">
        <v>0.18543422357150999</v>
      </c>
      <c r="Q110" s="119">
        <v>0.18767843631467901</v>
      </c>
      <c r="R110" s="119">
        <v>0.189149183628188</v>
      </c>
      <c r="S110" s="119">
        <v>0.19268937521887899</v>
      </c>
      <c r="T110" s="119">
        <v>0.19734051198497199</v>
      </c>
      <c r="U110" s="119">
        <v>0.20259750450192199</v>
      </c>
      <c r="V110" s="119">
        <v>0.207100424126205</v>
      </c>
      <c r="W110" s="119">
        <v>0.21350162418583199</v>
      </c>
      <c r="X110" s="119">
        <v>0.219000741502001</v>
      </c>
      <c r="Y110" s="119">
        <v>0.22655912231924699</v>
      </c>
      <c r="Z110" s="119">
        <v>0.23204060282300701</v>
      </c>
      <c r="AA110" s="119">
        <v>0.23762822606138601</v>
      </c>
      <c r="AB110" s="119">
        <v>0.244248427589147</v>
      </c>
      <c r="AC110" s="119">
        <v>0.24988844209008801</v>
      </c>
      <c r="AD110" s="119">
        <v>0.25681158752127697</v>
      </c>
      <c r="AE110" s="119">
        <v>0.26229381954209702</v>
      </c>
      <c r="AF110" s="119">
        <v>0.26788478314216202</v>
      </c>
      <c r="AG110" s="119">
        <v>0.272764957033931</v>
      </c>
      <c r="AH110" s="119">
        <v>0.27957187366492697</v>
      </c>
      <c r="AI110" s="119">
        <v>0.285773478509532</v>
      </c>
      <c r="AJ110" s="119">
        <v>0.29371663851417601</v>
      </c>
      <c r="AK110" s="119">
        <v>0.30069257969390301</v>
      </c>
      <c r="AL110" s="119">
        <v>0.30916618740891999</v>
      </c>
      <c r="AM110" s="119">
        <v>0.31705289907379702</v>
      </c>
      <c r="AN110" s="119">
        <v>0.32583271647553702</v>
      </c>
      <c r="AO110" s="119">
        <v>0.33440204944466201</v>
      </c>
      <c r="AP110" s="119">
        <v>0.34157374258740902</v>
      </c>
      <c r="AQ110" s="119">
        <v>0.34648773121604798</v>
      </c>
      <c r="AR110" s="119">
        <v>0.350935411227357</v>
      </c>
      <c r="AS110" s="119">
        <v>0.35606866660908798</v>
      </c>
      <c r="AT110" s="119">
        <v>0.35901170622121098</v>
      </c>
      <c r="AU110" s="119">
        <v>0.36184897937851801</v>
      </c>
      <c r="AV110" s="119">
        <v>0.36493260279584999</v>
      </c>
      <c r="AW110" s="119">
        <v>0.36711694417796897</v>
      </c>
      <c r="AX110" s="119">
        <v>0.37003186183886899</v>
      </c>
      <c r="AY110" s="119">
        <v>0.37090017231891698</v>
      </c>
      <c r="AZ110" s="119">
        <v>0.37154833282372002</v>
      </c>
      <c r="BA110" s="119">
        <v>0.37395112529769398</v>
      </c>
      <c r="BB110" s="119">
        <v>0.37574665896367598</v>
      </c>
      <c r="BC110" s="119">
        <v>0.37753985827958297</v>
      </c>
      <c r="BD110" s="119">
        <v>0.37851781240735699</v>
      </c>
      <c r="BE110" s="119">
        <v>0.38120465832021</v>
      </c>
      <c r="BF110" s="119">
        <v>0.38249913924178502</v>
      </c>
      <c r="BG110" s="119">
        <v>0.38504306427507001</v>
      </c>
      <c r="BH110" s="119">
        <v>0.387173842616863</v>
      </c>
      <c r="BI110" s="119">
        <v>0.39067789519672802</v>
      </c>
      <c r="BJ110" s="119">
        <v>0.39175581721673702</v>
      </c>
      <c r="BK110" s="119">
        <v>0.39345597009693201</v>
      </c>
      <c r="BL110" s="119">
        <v>0.394991973900022</v>
      </c>
    </row>
    <row r="111" spans="1:64" x14ac:dyDescent="0.25">
      <c r="A111" s="860" t="s">
        <v>217</v>
      </c>
      <c r="B111" s="1">
        <v>474</v>
      </c>
      <c r="C111" s="119">
        <v>0.5</v>
      </c>
      <c r="D111" s="119">
        <v>0.118075020011691</v>
      </c>
      <c r="E111" s="119">
        <v>0.122970061029346</v>
      </c>
      <c r="F111" s="119">
        <v>0.127720640454308</v>
      </c>
      <c r="G111" s="119">
        <v>0.131081738817762</v>
      </c>
      <c r="H111" s="119">
        <v>0.13355432346929899</v>
      </c>
      <c r="I111" s="119">
        <v>0.13612973820628299</v>
      </c>
      <c r="J111" s="119">
        <v>0.139790732140571</v>
      </c>
      <c r="K111" s="119">
        <v>0.14497709555532801</v>
      </c>
      <c r="L111" s="119">
        <v>0.151636231478184</v>
      </c>
      <c r="M111" s="119">
        <v>0.157816515037176</v>
      </c>
      <c r="N111" s="119">
        <v>0.164648726982844</v>
      </c>
      <c r="O111" s="119">
        <v>0.171995925318883</v>
      </c>
      <c r="P111" s="119">
        <v>0.17850183552510901</v>
      </c>
      <c r="Q111" s="119">
        <v>0.186485146185669</v>
      </c>
      <c r="R111" s="119">
        <v>0.19407082062689601</v>
      </c>
      <c r="S111" s="119">
        <v>0.20091160462504001</v>
      </c>
      <c r="T111" s="119">
        <v>0.208995802192177</v>
      </c>
      <c r="U111" s="119">
        <v>0.21588432243483599</v>
      </c>
      <c r="V111" s="119">
        <v>0.22367916997156201</v>
      </c>
      <c r="W111" s="119">
        <v>0.230353996390534</v>
      </c>
      <c r="X111" s="119">
        <v>0.23870665352422299</v>
      </c>
      <c r="Y111" s="119">
        <v>0.24775591162708199</v>
      </c>
      <c r="Z111" s="119">
        <v>0.25621411499873797</v>
      </c>
      <c r="AA111" s="119">
        <v>0.26414880606150298</v>
      </c>
      <c r="AB111" s="119">
        <v>0.27188729117590499</v>
      </c>
      <c r="AC111" s="119">
        <v>0.280003292781005</v>
      </c>
      <c r="AD111" s="119">
        <v>0.28853872078926102</v>
      </c>
      <c r="AE111" s="119">
        <v>0.29599830939847799</v>
      </c>
      <c r="AF111" s="119">
        <v>0.304844104872801</v>
      </c>
      <c r="AG111" s="119">
        <v>0.31309259071023299</v>
      </c>
      <c r="AH111" s="119">
        <v>0.32228940749324497</v>
      </c>
      <c r="AI111" s="119">
        <v>0.33017632135588298</v>
      </c>
      <c r="AJ111" s="119">
        <v>0.33746857703341798</v>
      </c>
      <c r="AK111" s="119">
        <v>0.34081056510929197</v>
      </c>
      <c r="AL111" s="119">
        <v>0.34886859365135098</v>
      </c>
      <c r="AM111" s="119">
        <v>0.35519798007359998</v>
      </c>
      <c r="AN111" s="119">
        <v>0.36126443742890901</v>
      </c>
      <c r="AO111" s="119">
        <v>0.366653903822659</v>
      </c>
      <c r="AP111" s="119">
        <v>0.371885992796818</v>
      </c>
      <c r="AQ111" s="119">
        <v>0.37824012296251502</v>
      </c>
      <c r="AR111" s="119">
        <v>0.38487802271004401</v>
      </c>
      <c r="AS111" s="119">
        <v>0.38951094708982098</v>
      </c>
      <c r="AT111" s="119">
        <v>0.39521877020842699</v>
      </c>
      <c r="AU111" s="119">
        <v>0.40016680125523801</v>
      </c>
      <c r="AV111" s="119">
        <v>0.40370628542340697</v>
      </c>
      <c r="AW111" s="119">
        <v>0.40837654281869801</v>
      </c>
      <c r="AX111" s="119">
        <v>0.41388813921488199</v>
      </c>
      <c r="AY111" s="119">
        <v>0.418433063778405</v>
      </c>
      <c r="AZ111" s="119">
        <v>0.42288409557494999</v>
      </c>
      <c r="BA111" s="119">
        <v>0.426674699228626</v>
      </c>
      <c r="BB111" s="119">
        <v>0.42946536306653899</v>
      </c>
      <c r="BC111" s="119">
        <v>0.43106407517913398</v>
      </c>
      <c r="BD111" s="119">
        <v>0.43362152907110701</v>
      </c>
      <c r="BE111" s="119">
        <v>0.43786524213914002</v>
      </c>
      <c r="BF111" s="119">
        <v>0.44116437871971698</v>
      </c>
      <c r="BG111" s="119">
        <v>0.44517735213850201</v>
      </c>
      <c r="BH111" s="119">
        <v>0.45059259964710502</v>
      </c>
      <c r="BI111" s="119">
        <v>0.45440989840186202</v>
      </c>
      <c r="BJ111" s="119">
        <v>0.460973163916364</v>
      </c>
      <c r="BK111" s="119">
        <v>0.46645544677379303</v>
      </c>
      <c r="BL111" s="119">
        <v>0.47063006813424002</v>
      </c>
    </row>
    <row r="112" spans="1:64" x14ac:dyDescent="0.25">
      <c r="A112" s="860" t="s">
        <v>47</v>
      </c>
      <c r="B112" s="1">
        <v>478</v>
      </c>
      <c r="C112" s="119">
        <v>0.5</v>
      </c>
      <c r="D112" s="119">
        <v>4.0511460452760202E-3</v>
      </c>
      <c r="E112" s="119">
        <v>4.2143932170583404E-3</v>
      </c>
      <c r="F112" s="119">
        <v>4.2914003805453599E-3</v>
      </c>
      <c r="G112" s="119">
        <v>4.4324335691644503E-3</v>
      </c>
      <c r="H112" s="119">
        <v>4.6344470296907003E-3</v>
      </c>
      <c r="I112" s="119">
        <v>4.8177247338867697E-3</v>
      </c>
      <c r="J112" s="119">
        <v>4.9953634559930602E-3</v>
      </c>
      <c r="K112" s="119">
        <v>5.2279479670161496E-3</v>
      </c>
      <c r="L112" s="119">
        <v>5.5700101613260196E-3</v>
      </c>
      <c r="M112" s="119">
        <v>5.8645892162973202E-3</v>
      </c>
      <c r="N112" s="119">
        <v>6.21376501508348E-3</v>
      </c>
      <c r="O112" s="119">
        <v>6.5383295031493996E-3</v>
      </c>
      <c r="P112" s="119">
        <v>6.9999311781721698E-3</v>
      </c>
      <c r="Q112" s="119">
        <v>7.5269754743341301E-3</v>
      </c>
      <c r="R112" s="119">
        <v>8.1494200538824602E-3</v>
      </c>
      <c r="S112" s="119">
        <v>8.8127696280202502E-3</v>
      </c>
      <c r="T112" s="119">
        <v>9.5451940659269496E-3</v>
      </c>
      <c r="U112" s="119">
        <v>1.03438452354183E-2</v>
      </c>
      <c r="V112" s="119">
        <v>1.13210116013943E-2</v>
      </c>
      <c r="W112" s="119">
        <v>1.24715301950599E-2</v>
      </c>
      <c r="X112" s="119">
        <v>1.3568327050737501E-2</v>
      </c>
      <c r="Y112" s="119">
        <v>1.49506470581227E-2</v>
      </c>
      <c r="Z112" s="119">
        <v>1.6712324619036701E-2</v>
      </c>
      <c r="AA112" s="119">
        <v>1.87261547720548E-2</v>
      </c>
      <c r="AB112" s="119">
        <v>2.0707442394797E-2</v>
      </c>
      <c r="AC112" s="119">
        <v>2.31727396240697E-2</v>
      </c>
      <c r="AD112" s="119">
        <v>2.56831446330383E-2</v>
      </c>
      <c r="AE112" s="119">
        <v>2.85758200724529E-2</v>
      </c>
      <c r="AF112" s="119">
        <v>3.1436652518571397E-2</v>
      </c>
      <c r="AG112" s="119">
        <v>3.46634271781638E-2</v>
      </c>
      <c r="AH112" s="119">
        <v>3.7738425463801101E-2</v>
      </c>
      <c r="AI112" s="119">
        <v>4.03827102914373E-2</v>
      </c>
      <c r="AJ112" s="119">
        <v>4.2964965372368401E-2</v>
      </c>
      <c r="AK112" s="119">
        <v>4.5535043157844103E-2</v>
      </c>
      <c r="AL112" s="119">
        <v>4.8039539635465998E-2</v>
      </c>
      <c r="AM112" s="119">
        <v>5.0659541839057902E-2</v>
      </c>
      <c r="AN112" s="119">
        <v>5.3050503125579102E-2</v>
      </c>
      <c r="AO112" s="119">
        <v>5.6042385547322403E-2</v>
      </c>
      <c r="AP112" s="119">
        <v>5.9041052077634402E-2</v>
      </c>
      <c r="AQ112" s="119">
        <v>6.1780916836214797E-2</v>
      </c>
      <c r="AR112" s="119">
        <v>6.4490443916362897E-2</v>
      </c>
      <c r="AS112" s="119">
        <v>6.7270827427961394E-2</v>
      </c>
      <c r="AT112" s="119">
        <v>7.0017484109749298E-2</v>
      </c>
      <c r="AU112" s="119">
        <v>7.2806052878089E-2</v>
      </c>
      <c r="AV112" s="119">
        <v>7.5353927082005195E-2</v>
      </c>
      <c r="AW112" s="119">
        <v>7.6755665859116307E-2</v>
      </c>
      <c r="AX112" s="119">
        <v>7.6547842158767698E-2</v>
      </c>
      <c r="AY112" s="119">
        <v>7.5684778666279595E-2</v>
      </c>
      <c r="AZ112" s="119">
        <v>7.48064118505542E-2</v>
      </c>
      <c r="BA112" s="119">
        <v>7.4617930764248705E-2</v>
      </c>
      <c r="BB112" s="119">
        <v>7.6774232638358003E-2</v>
      </c>
      <c r="BC112" s="119">
        <v>7.9905742934004306E-2</v>
      </c>
      <c r="BD112" s="119">
        <v>8.3546294601957893E-2</v>
      </c>
      <c r="BE112" s="119">
        <v>8.72279670153433E-2</v>
      </c>
      <c r="BF112" s="119">
        <v>9.0864598351671294E-2</v>
      </c>
      <c r="BG112" s="119">
        <v>9.4928877717379997E-2</v>
      </c>
      <c r="BH112" s="119">
        <v>9.9265562297403506E-2</v>
      </c>
      <c r="BI112" s="119">
        <v>0.10309408221827</v>
      </c>
      <c r="BJ112" s="119">
        <v>0.107161708677428</v>
      </c>
      <c r="BK112" s="119">
        <v>0.110916293607703</v>
      </c>
      <c r="BL112" s="119">
        <v>0.11544553258267599</v>
      </c>
    </row>
    <row r="113" spans="1:64" x14ac:dyDescent="0.25">
      <c r="A113" s="860" t="s">
        <v>218</v>
      </c>
      <c r="B113" s="1">
        <v>480</v>
      </c>
      <c r="C113" s="119">
        <v>0.5</v>
      </c>
      <c r="D113" s="119">
        <v>0.100024582506273</v>
      </c>
      <c r="E113" s="119">
        <v>0.106002581399462</v>
      </c>
      <c r="F113" s="119">
        <v>0.11254730801905501</v>
      </c>
      <c r="G113" s="119">
        <v>0.11988247537807301</v>
      </c>
      <c r="H113" s="119">
        <v>0.127528841048589</v>
      </c>
      <c r="I113" s="119">
        <v>0.13574641612053501</v>
      </c>
      <c r="J113" s="119">
        <v>0.14378412361663401</v>
      </c>
      <c r="K113" s="119">
        <v>0.15302972970335599</v>
      </c>
      <c r="L113" s="119">
        <v>0.16420089030051299</v>
      </c>
      <c r="M113" s="119">
        <v>0.17364265666524401</v>
      </c>
      <c r="N113" s="119">
        <v>0.18659294883581801</v>
      </c>
      <c r="O113" s="119">
        <v>0.196733378092522</v>
      </c>
      <c r="P113" s="119">
        <v>0.20756519058807699</v>
      </c>
      <c r="Q113" s="119">
        <v>0.21805904086427799</v>
      </c>
      <c r="R113" s="119">
        <v>0.22691999826123099</v>
      </c>
      <c r="S113" s="119">
        <v>0.23507087970982801</v>
      </c>
      <c r="T113" s="119">
        <v>0.239181779338936</v>
      </c>
      <c r="U113" s="119">
        <v>0.24095629566876101</v>
      </c>
      <c r="V113" s="119">
        <v>0.24350145812938201</v>
      </c>
      <c r="W113" s="119">
        <v>0.24394733449804901</v>
      </c>
      <c r="X113" s="119">
        <v>0.24623949505772999</v>
      </c>
      <c r="Y113" s="119">
        <v>0.248975512955774</v>
      </c>
      <c r="Z113" s="119">
        <v>0.251729812168553</v>
      </c>
      <c r="AA113" s="119">
        <v>0.25479059083174399</v>
      </c>
      <c r="AB113" s="119">
        <v>0.25687966579028099</v>
      </c>
      <c r="AC113" s="119">
        <v>0.25828484031783799</v>
      </c>
      <c r="AD113" s="119">
        <v>0.25947423317437901</v>
      </c>
      <c r="AE113" s="119">
        <v>0.261809675115736</v>
      </c>
      <c r="AF113" s="119">
        <v>0.26163605047862398</v>
      </c>
      <c r="AG113" s="119">
        <v>0.26280616554365799</v>
      </c>
      <c r="AH113" s="119">
        <v>0.265433493558695</v>
      </c>
      <c r="AI113" s="119">
        <v>0.26536653912378899</v>
      </c>
      <c r="AJ113" s="119">
        <v>0.26534864315214501</v>
      </c>
      <c r="AK113" s="119">
        <v>0.26532623184999798</v>
      </c>
      <c r="AL113" s="119">
        <v>0.26384700692386998</v>
      </c>
      <c r="AM113" s="119">
        <v>0.26283651950227299</v>
      </c>
      <c r="AN113" s="119">
        <v>0.26246215606273798</v>
      </c>
      <c r="AO113" s="119">
        <v>0.25826858285843002</v>
      </c>
      <c r="AP113" s="119">
        <v>0.25638241891788</v>
      </c>
      <c r="AQ113" s="119">
        <v>0.25367257486774902</v>
      </c>
      <c r="AR113" s="119">
        <v>0.25016015714887202</v>
      </c>
      <c r="AS113" s="119">
        <v>0.24805201253571199</v>
      </c>
      <c r="AT113" s="119">
        <v>0.244639295264481</v>
      </c>
      <c r="AU113" s="119">
        <v>0.24331840205136299</v>
      </c>
      <c r="AV113" s="119">
        <v>0.2414311328149</v>
      </c>
      <c r="AW113" s="119">
        <v>0.24528492149643399</v>
      </c>
      <c r="AX113" s="119">
        <v>0.25193920233822698</v>
      </c>
      <c r="AY113" s="119">
        <v>0.25788239279269698</v>
      </c>
      <c r="AZ113" s="119">
        <v>0.26414446772185801</v>
      </c>
      <c r="BA113" s="119">
        <v>0.27120625321170699</v>
      </c>
      <c r="BB113" s="119">
        <v>0.278643185109054</v>
      </c>
      <c r="BC113" s="119">
        <v>0.28470148214375801</v>
      </c>
      <c r="BD113" s="119">
        <v>0.29222052787360198</v>
      </c>
      <c r="BE113" s="119">
        <v>0.29932270638429098</v>
      </c>
      <c r="BF113" s="119">
        <v>0.30677540810276699</v>
      </c>
      <c r="BG113" s="119">
        <v>0.31413648062427502</v>
      </c>
      <c r="BH113" s="119">
        <v>0.32042905034132901</v>
      </c>
      <c r="BI113" s="119">
        <v>0.32725625953073001</v>
      </c>
      <c r="BJ113" s="119">
        <v>0.33413795181099998</v>
      </c>
      <c r="BK113" s="119">
        <v>0.34156930015349701</v>
      </c>
      <c r="BL113" s="119">
        <v>0.34900932437350701</v>
      </c>
    </row>
    <row r="114" spans="1:64" x14ac:dyDescent="0.25">
      <c r="A114" s="860" t="s">
        <v>220</v>
      </c>
      <c r="B114" s="1">
        <v>484</v>
      </c>
      <c r="C114" s="119">
        <v>0.5</v>
      </c>
      <c r="D114" s="119">
        <v>0.12450451273959499</v>
      </c>
      <c r="E114" s="119">
        <v>0.131231266357661</v>
      </c>
      <c r="F114" s="119">
        <v>0.13871145537007001</v>
      </c>
      <c r="G114" s="119">
        <v>0.14749403711962</v>
      </c>
      <c r="H114" s="119">
        <v>0.15618807399079701</v>
      </c>
      <c r="I114" s="119">
        <v>0.16445517565123699</v>
      </c>
      <c r="J114" s="119">
        <v>0.17347524830487801</v>
      </c>
      <c r="K114" s="119">
        <v>0.18613794733533701</v>
      </c>
      <c r="L114" s="119">
        <v>0.20023158604223501</v>
      </c>
      <c r="M114" s="119">
        <v>0.21314626365310199</v>
      </c>
      <c r="N114" s="119">
        <v>0.22630308692055601</v>
      </c>
      <c r="O114" s="119">
        <v>0.23912475161962499</v>
      </c>
      <c r="P114" s="119">
        <v>0.250390725593367</v>
      </c>
      <c r="Q114" s="119">
        <v>0.25831448008608898</v>
      </c>
      <c r="R114" s="119">
        <v>0.26540359828511401</v>
      </c>
      <c r="S114" s="119">
        <v>0.27224529135490499</v>
      </c>
      <c r="T114" s="119">
        <v>0.27951501686552899</v>
      </c>
      <c r="U114" s="119">
        <v>0.2870567030849</v>
      </c>
      <c r="V114" s="119">
        <v>0.29841147944135199</v>
      </c>
      <c r="W114" s="119">
        <v>0.31051356071408298</v>
      </c>
      <c r="X114" s="119">
        <v>0.32388556661119799</v>
      </c>
      <c r="Y114" s="119">
        <v>0.33760432017287001</v>
      </c>
      <c r="Z114" s="119">
        <v>0.35040675247480402</v>
      </c>
      <c r="AA114" s="119">
        <v>0.36232119217828401</v>
      </c>
      <c r="AB114" s="119">
        <v>0.37226423890941801</v>
      </c>
      <c r="AC114" s="119">
        <v>0.38163953018004998</v>
      </c>
      <c r="AD114" s="119">
        <v>0.39180368586345998</v>
      </c>
      <c r="AE114" s="119">
        <v>0.40151592846400802</v>
      </c>
      <c r="AF114" s="119">
        <v>0.41208280882145298</v>
      </c>
      <c r="AG114" s="119">
        <v>0.42264168770100902</v>
      </c>
      <c r="AH114" s="119">
        <v>0.433302840788722</v>
      </c>
      <c r="AI114" s="119">
        <v>0.44325450236286201</v>
      </c>
      <c r="AJ114" s="119">
        <v>0.45213778338140398</v>
      </c>
      <c r="AK114" s="119">
        <v>0.45985357975198698</v>
      </c>
      <c r="AL114" s="119">
        <v>0.46375502228659099</v>
      </c>
      <c r="AM114" s="119">
        <v>0.46612140149567599</v>
      </c>
      <c r="AN114" s="119">
        <v>0.468548486885627</v>
      </c>
      <c r="AO114" s="119">
        <v>0.47251277937837799</v>
      </c>
      <c r="AP114" s="119">
        <v>0.47729271024881698</v>
      </c>
      <c r="AQ114" s="119">
        <v>0.48148235624922903</v>
      </c>
      <c r="AR114" s="119">
        <v>0.48609292574518498</v>
      </c>
      <c r="AS114" s="119">
        <v>0.490516188079759</v>
      </c>
      <c r="AT114" s="119">
        <v>0.49425730851522198</v>
      </c>
      <c r="AU114" s="119">
        <v>0.49976345093832902</v>
      </c>
      <c r="AV114" s="119">
        <v>0.50385734107228797</v>
      </c>
      <c r="AW114" s="119">
        <v>0.50865065399379705</v>
      </c>
      <c r="AX114" s="119">
        <v>0.51191760637781503</v>
      </c>
      <c r="AY114" s="119">
        <v>0.516560267044608</v>
      </c>
      <c r="AZ114" s="119">
        <v>0.52021628218774396</v>
      </c>
      <c r="BA114" s="119">
        <v>0.52347764273720498</v>
      </c>
      <c r="BB114" s="119">
        <v>0.526801044647218</v>
      </c>
      <c r="BC114" s="119">
        <v>0.52949841015829702</v>
      </c>
      <c r="BD114" s="119">
        <v>0.53324544708086397</v>
      </c>
      <c r="BE114" s="119">
        <v>0.53459215279584305</v>
      </c>
      <c r="BF114" s="119">
        <v>0.53703362379611996</v>
      </c>
      <c r="BG114" s="119">
        <v>0.53839709861254303</v>
      </c>
      <c r="BH114" s="119">
        <v>0.54025001937401995</v>
      </c>
      <c r="BI114" s="119">
        <v>0.54143224947272905</v>
      </c>
      <c r="BJ114" s="119">
        <v>0.54388824900378996</v>
      </c>
      <c r="BK114" s="119">
        <v>0.54568678565918505</v>
      </c>
      <c r="BL114" s="119">
        <v>0.54794051923440301</v>
      </c>
    </row>
    <row r="115" spans="1:64" x14ac:dyDescent="0.25">
      <c r="A115" s="860" t="s">
        <v>48</v>
      </c>
      <c r="B115" s="1">
        <v>496</v>
      </c>
      <c r="C115" s="119">
        <v>0.5</v>
      </c>
      <c r="D115" s="119">
        <v>0.10452902475333101</v>
      </c>
      <c r="E115" s="119">
        <v>0.111111523228392</v>
      </c>
      <c r="F115" s="119">
        <v>0.11898525695413099</v>
      </c>
      <c r="G115" s="119">
        <v>0.12771980128040999</v>
      </c>
      <c r="H115" s="119">
        <v>0.13498767356609301</v>
      </c>
      <c r="I115" s="119">
        <v>0.14394884745911901</v>
      </c>
      <c r="J115" s="119">
        <v>0.15132324786536999</v>
      </c>
      <c r="K115" s="119">
        <v>0.159327380778957</v>
      </c>
      <c r="L115" s="119">
        <v>0.16733406818714799</v>
      </c>
      <c r="M115" s="119">
        <v>0.175103767998391</v>
      </c>
      <c r="N115" s="119">
        <v>0.18326513665916699</v>
      </c>
      <c r="O115" s="119">
        <v>0.19158210614208199</v>
      </c>
      <c r="P115" s="119">
        <v>0.201526925373118</v>
      </c>
      <c r="Q115" s="119">
        <v>0.209186364161596</v>
      </c>
      <c r="R115" s="119">
        <v>0.21673697031160599</v>
      </c>
      <c r="S115" s="119">
        <v>0.22632477292929401</v>
      </c>
      <c r="T115" s="119">
        <v>0.23519561190640201</v>
      </c>
      <c r="U115" s="119">
        <v>0.24240833841319401</v>
      </c>
      <c r="V115" s="119">
        <v>0.25121340068706199</v>
      </c>
      <c r="W115" s="119">
        <v>0.25822797340209602</v>
      </c>
      <c r="X115" s="119">
        <v>0.26590117294423099</v>
      </c>
      <c r="Y115" s="119">
        <v>0.27219616339063302</v>
      </c>
      <c r="Z115" s="119">
        <v>0.27976492586310597</v>
      </c>
      <c r="AA115" s="119">
        <v>0.28569917488434998</v>
      </c>
      <c r="AB115" s="119">
        <v>0.29238684248900598</v>
      </c>
      <c r="AC115" s="119">
        <v>0.29872950084310002</v>
      </c>
      <c r="AD115" s="119">
        <v>0.30626100259290401</v>
      </c>
      <c r="AE115" s="119">
        <v>0.317656670545722</v>
      </c>
      <c r="AF115" s="119">
        <v>0.33121038059728602</v>
      </c>
      <c r="AG115" s="119">
        <v>0.34832575725436898</v>
      </c>
      <c r="AH115" s="119">
        <v>0.36510905267250698</v>
      </c>
      <c r="AI115" s="119">
        <v>0.37718594580459103</v>
      </c>
      <c r="AJ115" s="119">
        <v>0.38715311972897098</v>
      </c>
      <c r="AK115" s="119">
        <v>0.39368047225733599</v>
      </c>
      <c r="AL115" s="119">
        <v>0.39309690424362698</v>
      </c>
      <c r="AM115" s="119">
        <v>0.38963828510631299</v>
      </c>
      <c r="AN115" s="119">
        <v>0.381506733517745</v>
      </c>
      <c r="AO115" s="119">
        <v>0.37353878338866597</v>
      </c>
      <c r="AP115" s="119">
        <v>0.36655853099181301</v>
      </c>
      <c r="AQ115" s="119">
        <v>0.36230464879420399</v>
      </c>
      <c r="AR115" s="119">
        <v>0.360457835387057</v>
      </c>
      <c r="AS115" s="119">
        <v>0.35930837813821598</v>
      </c>
      <c r="AT115" s="119">
        <v>0.35868580803060801</v>
      </c>
      <c r="AU115" s="119">
        <v>0.35859218588314701</v>
      </c>
      <c r="AV115" s="119">
        <v>0.35954676690341802</v>
      </c>
      <c r="AW115" s="119">
        <v>0.36072888702204697</v>
      </c>
      <c r="AX115" s="119">
        <v>0.36107569227518399</v>
      </c>
      <c r="AY115" s="119">
        <v>0.36307042529003403</v>
      </c>
      <c r="AZ115" s="119">
        <v>0.36427721181744699</v>
      </c>
      <c r="BA115" s="119">
        <v>0.36850617534451502</v>
      </c>
      <c r="BB115" s="119">
        <v>0.37199326573682701</v>
      </c>
      <c r="BC115" s="119">
        <v>0.37497018032337398</v>
      </c>
      <c r="BD115" s="119">
        <v>0.377740633897858</v>
      </c>
      <c r="BE115" s="119">
        <v>0.37976339575373202</v>
      </c>
      <c r="BF115" s="119">
        <v>0.381161330380824</v>
      </c>
      <c r="BG115" s="119">
        <v>0.38384932029031299</v>
      </c>
      <c r="BH115" s="119">
        <v>0.38488978168783899</v>
      </c>
      <c r="BI115" s="119">
        <v>0.38663120575328302</v>
      </c>
      <c r="BJ115" s="119">
        <v>0.38720629357667702</v>
      </c>
      <c r="BK115" s="119">
        <v>0.38691126207476401</v>
      </c>
      <c r="BL115" s="119">
        <v>0.38805524895670501</v>
      </c>
    </row>
    <row r="116" spans="1:64" x14ac:dyDescent="0.25">
      <c r="A116" s="860" t="s">
        <v>221</v>
      </c>
      <c r="B116" s="1">
        <v>499</v>
      </c>
      <c r="C116" s="119">
        <v>0.5</v>
      </c>
      <c r="D116" s="119">
        <v>5.6397582286910497E-2</v>
      </c>
      <c r="E116" s="119">
        <v>5.9939016371318203E-2</v>
      </c>
      <c r="F116" s="119">
        <v>6.4397128220467906E-2</v>
      </c>
      <c r="G116" s="119">
        <v>6.8833003160332099E-2</v>
      </c>
      <c r="H116" s="119">
        <v>7.3926178167844206E-2</v>
      </c>
      <c r="I116" s="119">
        <v>7.8179853654744294E-2</v>
      </c>
      <c r="J116" s="119">
        <v>8.2505938587426497E-2</v>
      </c>
      <c r="K116" s="119">
        <v>8.7341388967827602E-2</v>
      </c>
      <c r="L116" s="119">
        <v>9.3138348952469502E-2</v>
      </c>
      <c r="M116" s="119">
        <v>9.8195299643349998E-2</v>
      </c>
      <c r="N116" s="119">
        <v>0.104522490406757</v>
      </c>
      <c r="O116" s="119">
        <v>0.110953962075779</v>
      </c>
      <c r="P116" s="119">
        <v>0.116182991311678</v>
      </c>
      <c r="Q116" s="119">
        <v>0.122027231818013</v>
      </c>
      <c r="R116" s="119">
        <v>0.128569190268951</v>
      </c>
      <c r="S116" s="119">
        <v>0.13411174293702299</v>
      </c>
      <c r="T116" s="119">
        <v>0.13940113292836601</v>
      </c>
      <c r="U116" s="119">
        <v>0.14503773087035399</v>
      </c>
      <c r="V116" s="119">
        <v>0.15267300955626201</v>
      </c>
      <c r="W116" s="119">
        <v>0.15916149331521201</v>
      </c>
      <c r="X116" s="119">
        <v>0.16271711814481801</v>
      </c>
      <c r="Y116" s="119">
        <v>0.16815070945146501</v>
      </c>
      <c r="Z116" s="119">
        <v>0.17084059975564</v>
      </c>
      <c r="AA116" s="119">
        <v>0.175906363821248</v>
      </c>
      <c r="AB116" s="119">
        <v>0.17935273676868099</v>
      </c>
      <c r="AC116" s="119">
        <v>0.18157103588034099</v>
      </c>
      <c r="AD116" s="119">
        <v>0.18522643917110701</v>
      </c>
      <c r="AE116" s="119">
        <v>0.18827471927331599</v>
      </c>
      <c r="AF116" s="119">
        <v>0.190046823294093</v>
      </c>
      <c r="AG116" s="119">
        <v>0.19187463894364801</v>
      </c>
      <c r="AH116" s="119">
        <v>0.19298447955369599</v>
      </c>
      <c r="AI116" s="119">
        <v>0.189110870927926</v>
      </c>
      <c r="AJ116" s="119">
        <v>0.18241242811529701</v>
      </c>
      <c r="AK116" s="119">
        <v>0.177274129668957</v>
      </c>
      <c r="AL116" s="119">
        <v>0.171670323987277</v>
      </c>
      <c r="AM116" s="119">
        <v>0.16796847795759401</v>
      </c>
      <c r="AN116" s="119">
        <v>0.165965226283705</v>
      </c>
      <c r="AO116" s="119">
        <v>0.16510426614770399</v>
      </c>
      <c r="AP116" s="119">
        <v>0.165126243730778</v>
      </c>
      <c r="AQ116" s="119">
        <v>0.16386029055510801</v>
      </c>
      <c r="AR116" s="119">
        <v>0.163433950540089</v>
      </c>
      <c r="AS116" s="119">
        <v>0.162430983561486</v>
      </c>
      <c r="AT116" s="119">
        <v>0.161500445164834</v>
      </c>
      <c r="AU116" s="119">
        <v>0.16008420189408001</v>
      </c>
      <c r="AV116" s="119">
        <v>0.15642335354110401</v>
      </c>
      <c r="AW116" s="119">
        <v>0.15251345774184899</v>
      </c>
      <c r="AX116" s="119">
        <v>0.14973963950309499</v>
      </c>
      <c r="AY116" s="119">
        <v>0.14677384195924401</v>
      </c>
      <c r="AZ116" s="119">
        <v>0.145017312921467</v>
      </c>
      <c r="BA116" s="119">
        <v>0.147004308484776</v>
      </c>
      <c r="BB116" s="119">
        <v>0.15041775960891399</v>
      </c>
      <c r="BC116" s="119">
        <v>0.15399758027947499</v>
      </c>
      <c r="BD116" s="119">
        <v>0.15819341926550301</v>
      </c>
      <c r="BE116" s="119">
        <v>0.16191123292234499</v>
      </c>
      <c r="BF116" s="119">
        <v>0.16578269063328599</v>
      </c>
      <c r="BG116" s="119">
        <v>0.16977039563576701</v>
      </c>
      <c r="BH116" s="119">
        <v>0.173305908429009</v>
      </c>
      <c r="BI116" s="119">
        <v>0.178460803923915</v>
      </c>
      <c r="BJ116" s="119">
        <v>0.18449839470954199</v>
      </c>
      <c r="BK116" s="119">
        <v>0.18882599378690801</v>
      </c>
      <c r="BL116" s="119">
        <v>0.19282431181765899</v>
      </c>
    </row>
    <row r="117" spans="1:64" x14ac:dyDescent="0.25">
      <c r="A117" s="860" t="s">
        <v>222</v>
      </c>
      <c r="B117" s="1">
        <v>500</v>
      </c>
      <c r="C117" s="119">
        <v>0.5</v>
      </c>
      <c r="D117" s="119">
        <v>0.138769075145908</v>
      </c>
      <c r="E117" s="119">
        <v>0.144638512710104</v>
      </c>
      <c r="F117" s="119">
        <v>0.150491552525824</v>
      </c>
      <c r="G117" s="119">
        <v>0.155287660162888</v>
      </c>
      <c r="H117" s="119">
        <v>0.16013374263569999</v>
      </c>
      <c r="I117" s="119">
        <v>0.16566961072549</v>
      </c>
      <c r="J117" s="119">
        <v>0.17102483409435701</v>
      </c>
      <c r="K117" s="119">
        <v>0.17586511386078801</v>
      </c>
      <c r="L117" s="119">
        <v>0.18152906403272301</v>
      </c>
      <c r="M117" s="119">
        <v>0.18705483596941999</v>
      </c>
      <c r="N117" s="119">
        <v>0.19247267722263001</v>
      </c>
      <c r="O117" s="119">
        <v>0.196872805439742</v>
      </c>
      <c r="P117" s="119">
        <v>0.201584281278093</v>
      </c>
      <c r="Q117" s="119">
        <v>0.20550631714748299</v>
      </c>
      <c r="R117" s="119">
        <v>0.21012821154804201</v>
      </c>
      <c r="S117" s="119">
        <v>0.214684039008704</v>
      </c>
      <c r="T117" s="119">
        <v>0.219519791771661</v>
      </c>
      <c r="U117" s="119">
        <v>0.225182873777478</v>
      </c>
      <c r="V117" s="119">
        <v>0.23154301360232701</v>
      </c>
      <c r="W117" s="119">
        <v>0.23844698812874701</v>
      </c>
      <c r="X117" s="119">
        <v>0.24600423965735499</v>
      </c>
      <c r="Y117" s="119">
        <v>0.25389703999683699</v>
      </c>
      <c r="Z117" s="119">
        <v>0.26135807235540198</v>
      </c>
      <c r="AA117" s="119">
        <v>0.26804832619704699</v>
      </c>
      <c r="AB117" s="119">
        <v>0.27540460555784102</v>
      </c>
      <c r="AC117" s="119">
        <v>0.28168282071540302</v>
      </c>
      <c r="AD117" s="119">
        <v>0.288673505189668</v>
      </c>
      <c r="AE117" s="119">
        <v>0.29418448250057799</v>
      </c>
      <c r="AF117" s="119">
        <v>0.30213782049663901</v>
      </c>
      <c r="AG117" s="119">
        <v>0.30967474244156601</v>
      </c>
      <c r="AH117" s="119">
        <v>0.31736036936075401</v>
      </c>
      <c r="AI117" s="119">
        <v>0.32409749156488199</v>
      </c>
      <c r="AJ117" s="119">
        <v>0.33145429975125401</v>
      </c>
      <c r="AK117" s="119">
        <v>0.33641891130516599</v>
      </c>
      <c r="AL117" s="119">
        <v>0.343915236319149</v>
      </c>
      <c r="AM117" s="119">
        <v>0.350422013527461</v>
      </c>
      <c r="AN117" s="119">
        <v>0.354950914802872</v>
      </c>
      <c r="AO117" s="119">
        <v>0.36168371908663999</v>
      </c>
      <c r="AP117" s="119">
        <v>0.3665800713947</v>
      </c>
      <c r="AQ117" s="119">
        <v>0.37124968368616201</v>
      </c>
      <c r="AR117" s="119">
        <v>0.37866259434272198</v>
      </c>
      <c r="AS117" s="119">
        <v>0.38376863038036302</v>
      </c>
      <c r="AT117" s="119">
        <v>0.38837360006577398</v>
      </c>
      <c r="AU117" s="119">
        <v>0.39349842390213202</v>
      </c>
      <c r="AV117" s="119">
        <v>0.39969025452722901</v>
      </c>
      <c r="AW117" s="119">
        <v>0.40410210731884399</v>
      </c>
      <c r="AX117" s="119">
        <v>0.40853722317692598</v>
      </c>
      <c r="AY117" s="119">
        <v>0.41285079547724302</v>
      </c>
      <c r="AZ117" s="119">
        <v>0.41496585433854699</v>
      </c>
      <c r="BA117" s="119">
        <v>0.41840126546819301</v>
      </c>
      <c r="BB117" s="119">
        <v>0.42149759282518201</v>
      </c>
      <c r="BC117" s="119">
        <v>0.42449184940227802</v>
      </c>
      <c r="BD117" s="119">
        <v>0.42995778459117001</v>
      </c>
      <c r="BE117" s="119">
        <v>0.43045351605978099</v>
      </c>
      <c r="BF117" s="119">
        <v>0.43381593840705102</v>
      </c>
      <c r="BG117" s="119">
        <v>0.43801509374140002</v>
      </c>
      <c r="BH117" s="119">
        <v>0.44253704108113801</v>
      </c>
      <c r="BI117" s="119">
        <v>0.44828695780704297</v>
      </c>
      <c r="BJ117" s="119">
        <v>0.45173669248794102</v>
      </c>
      <c r="BK117" s="119">
        <v>0.45580825911756101</v>
      </c>
      <c r="BL117" s="119">
        <v>0.46075138843861102</v>
      </c>
    </row>
    <row r="118" spans="1:64" x14ac:dyDescent="0.25">
      <c r="A118" s="860" t="s">
        <v>223</v>
      </c>
      <c r="B118" s="1">
        <v>504</v>
      </c>
      <c r="C118" s="119">
        <v>0.5</v>
      </c>
      <c r="D118" s="119">
        <v>7.9968547511745702E-2</v>
      </c>
      <c r="E118" s="119">
        <v>8.47971531484802E-2</v>
      </c>
      <c r="F118" s="119">
        <v>8.7268182844769004E-2</v>
      </c>
      <c r="G118" s="119">
        <v>9.1837623053013004E-2</v>
      </c>
      <c r="H118" s="119">
        <v>9.5633383561931296E-2</v>
      </c>
      <c r="I118" s="119">
        <v>9.9477980064160906E-2</v>
      </c>
      <c r="J118" s="119">
        <v>0.104146437551819</v>
      </c>
      <c r="K118" s="119">
        <v>0.108080386670464</v>
      </c>
      <c r="L118" s="119">
        <v>0.113237432098811</v>
      </c>
      <c r="M118" s="119">
        <v>0.118359701111899</v>
      </c>
      <c r="N118" s="119">
        <v>0.12405521927381601</v>
      </c>
      <c r="O118" s="119">
        <v>0.129916031488649</v>
      </c>
      <c r="P118" s="119">
        <v>0.137757894361654</v>
      </c>
      <c r="Q118" s="119">
        <v>0.144998932202548</v>
      </c>
      <c r="R118" s="119">
        <v>0.15285906621065301</v>
      </c>
      <c r="S118" s="119">
        <v>0.16172978996240001</v>
      </c>
      <c r="T118" s="119">
        <v>0.16985398774629201</v>
      </c>
      <c r="U118" s="119">
        <v>0.178546196477019</v>
      </c>
      <c r="V118" s="119">
        <v>0.185705897081031</v>
      </c>
      <c r="W118" s="119">
        <v>0.19189178436114099</v>
      </c>
      <c r="X118" s="119">
        <v>0.19796561235927601</v>
      </c>
      <c r="Y118" s="119">
        <v>0.20554868818439601</v>
      </c>
      <c r="Z118" s="119">
        <v>0.21407680620594599</v>
      </c>
      <c r="AA118" s="119">
        <v>0.22430457559747499</v>
      </c>
      <c r="AB118" s="119">
        <v>0.234828626900976</v>
      </c>
      <c r="AC118" s="119">
        <v>0.24597222142935199</v>
      </c>
      <c r="AD118" s="119">
        <v>0.25585595975703601</v>
      </c>
      <c r="AE118" s="119">
        <v>0.264103961543738</v>
      </c>
      <c r="AF118" s="119">
        <v>0.27140679153497699</v>
      </c>
      <c r="AG118" s="119">
        <v>0.27738523685278699</v>
      </c>
      <c r="AH118" s="119">
        <v>0.282619581954063</v>
      </c>
      <c r="AI118" s="119">
        <v>0.28789210092015399</v>
      </c>
      <c r="AJ118" s="119">
        <v>0.29269122317846602</v>
      </c>
      <c r="AK118" s="119">
        <v>0.29688249120798899</v>
      </c>
      <c r="AL118" s="119">
        <v>0.29900547243338099</v>
      </c>
      <c r="AM118" s="119">
        <v>0.30490161397294002</v>
      </c>
      <c r="AN118" s="119">
        <v>0.30996418223453198</v>
      </c>
      <c r="AO118" s="119">
        <v>0.315203185955029</v>
      </c>
      <c r="AP118" s="119">
        <v>0.319385365495513</v>
      </c>
      <c r="AQ118" s="119">
        <v>0.323457811803048</v>
      </c>
      <c r="AR118" s="119">
        <v>0.327883619322622</v>
      </c>
      <c r="AS118" s="119">
        <v>0.33233559070721203</v>
      </c>
      <c r="AT118" s="119">
        <v>0.33642352822124</v>
      </c>
      <c r="AU118" s="119">
        <v>0.34061688651069599</v>
      </c>
      <c r="AV118" s="119">
        <v>0.34478253141107401</v>
      </c>
      <c r="AW118" s="119">
        <v>0.34830634868566901</v>
      </c>
      <c r="AX118" s="119">
        <v>0.35232897936767599</v>
      </c>
      <c r="AY118" s="119">
        <v>0.35595086711595098</v>
      </c>
      <c r="AZ118" s="119">
        <v>0.358962013869291</v>
      </c>
      <c r="BA118" s="119">
        <v>0.36333447603220898</v>
      </c>
      <c r="BB118" s="119">
        <v>0.366999391610767</v>
      </c>
      <c r="BC118" s="119">
        <v>0.36951617561414801</v>
      </c>
      <c r="BD118" s="119">
        <v>0.37279382504383801</v>
      </c>
      <c r="BE118" s="119">
        <v>0.37504272857995802</v>
      </c>
      <c r="BF118" s="119">
        <v>0.37850692140252901</v>
      </c>
      <c r="BG118" s="119">
        <v>0.38045418671922399</v>
      </c>
      <c r="BH118" s="119">
        <v>0.381886120539767</v>
      </c>
      <c r="BI118" s="119">
        <v>0.38232716845491199</v>
      </c>
      <c r="BJ118" s="119">
        <v>0.38409976438459098</v>
      </c>
      <c r="BK118" s="119">
        <v>0.38488793640866098</v>
      </c>
      <c r="BL118" s="119">
        <v>0.38653461015698998</v>
      </c>
    </row>
    <row r="119" spans="1:64" x14ac:dyDescent="0.25">
      <c r="A119" s="860" t="s">
        <v>49</v>
      </c>
      <c r="B119" s="1">
        <v>508</v>
      </c>
      <c r="C119" s="119">
        <v>0.5</v>
      </c>
      <c r="D119" s="119">
        <v>5.4071047800709196E-3</v>
      </c>
      <c r="E119" s="119">
        <v>6.22364710023231E-3</v>
      </c>
      <c r="F119" s="119">
        <v>6.9534747708899303E-3</v>
      </c>
      <c r="G119" s="119">
        <v>7.9235992271132795E-3</v>
      </c>
      <c r="H119" s="119">
        <v>8.8718399883483297E-3</v>
      </c>
      <c r="I119" s="119">
        <v>9.9360190184419103E-3</v>
      </c>
      <c r="J119" s="119">
        <v>1.10271950963722E-2</v>
      </c>
      <c r="K119" s="119">
        <v>1.22300697950422E-2</v>
      </c>
      <c r="L119" s="119">
        <v>1.3628408423546901E-2</v>
      </c>
      <c r="M119" s="119">
        <v>1.50658245232117E-2</v>
      </c>
      <c r="N119" s="119">
        <v>1.67347006069603E-2</v>
      </c>
      <c r="O119" s="119">
        <v>1.8736368946118701E-2</v>
      </c>
      <c r="P119" s="119">
        <v>2.0581288435391299E-2</v>
      </c>
      <c r="Q119" s="119">
        <v>2.2475274287039E-2</v>
      </c>
      <c r="R119" s="119">
        <v>2.4623351622692798E-2</v>
      </c>
      <c r="S119" s="119">
        <v>2.70643908575935E-2</v>
      </c>
      <c r="T119" s="119">
        <v>2.9416394261052799E-2</v>
      </c>
      <c r="U119" s="119">
        <v>3.2336955549392102E-2</v>
      </c>
      <c r="V119" s="119">
        <v>3.5148270287570497E-2</v>
      </c>
      <c r="W119" s="119">
        <v>3.8493388901316997E-2</v>
      </c>
      <c r="X119" s="119">
        <v>4.1501049492175202E-2</v>
      </c>
      <c r="Y119" s="119">
        <v>4.4821466761467602E-2</v>
      </c>
      <c r="Z119" s="119">
        <v>4.81416630905745E-2</v>
      </c>
      <c r="AA119" s="119">
        <v>5.1331709615746401E-2</v>
      </c>
      <c r="AB119" s="119">
        <v>5.4705815124410903E-2</v>
      </c>
      <c r="AC119" s="119">
        <v>5.81948616968401E-2</v>
      </c>
      <c r="AD119" s="119">
        <v>6.23738804993062E-2</v>
      </c>
      <c r="AE119" s="119">
        <v>6.81861169050368E-2</v>
      </c>
      <c r="AF119" s="119">
        <v>7.6035871289356405E-2</v>
      </c>
      <c r="AG119" s="119">
        <v>8.6435556434159302E-2</v>
      </c>
      <c r="AH119" s="119">
        <v>9.82219819913627E-2</v>
      </c>
      <c r="AI119" s="119">
        <v>0.111587897209296</v>
      </c>
      <c r="AJ119" s="119">
        <v>0.12493775066172701</v>
      </c>
      <c r="AK119" s="119">
        <v>0.13601726109110099</v>
      </c>
      <c r="AL119" s="119">
        <v>0.142246768631554</v>
      </c>
      <c r="AM119" s="119">
        <v>0.144880616567479</v>
      </c>
      <c r="AN119" s="119">
        <v>0.14579388635125101</v>
      </c>
      <c r="AO119" s="119">
        <v>0.14563076851697099</v>
      </c>
      <c r="AP119" s="119">
        <v>0.14434072335663001</v>
      </c>
      <c r="AQ119" s="119">
        <v>0.14225084095030599</v>
      </c>
      <c r="AR119" s="119">
        <v>0.14110361092591001</v>
      </c>
      <c r="AS119" s="119">
        <v>0.14454215068532</v>
      </c>
      <c r="AT119" s="119">
        <v>0.15927719131669901</v>
      </c>
      <c r="AU119" s="119">
        <v>0.18028704218137501</v>
      </c>
      <c r="AV119" s="119">
        <v>0.205510325249561</v>
      </c>
      <c r="AW119" s="119">
        <v>0.23024941354422601</v>
      </c>
      <c r="AX119" s="119">
        <v>0.248252584117479</v>
      </c>
      <c r="AY119" s="119">
        <v>0.26149129769106699</v>
      </c>
      <c r="AZ119" s="119">
        <v>0.27228107113821198</v>
      </c>
      <c r="BA119" s="119">
        <v>0.28284060561411201</v>
      </c>
      <c r="BB119" s="119">
        <v>0.29396723220319998</v>
      </c>
      <c r="BC119" s="119">
        <v>0.30227326480257799</v>
      </c>
      <c r="BD119" s="119">
        <v>0.309936343573611</v>
      </c>
      <c r="BE119" s="119">
        <v>0.31931844015715199</v>
      </c>
      <c r="BF119" s="119">
        <v>0.32680347460426001</v>
      </c>
      <c r="BG119" s="119">
        <v>0.33668465017893101</v>
      </c>
      <c r="BH119" s="119">
        <v>0.34535760348390099</v>
      </c>
      <c r="BI119" s="119">
        <v>0.353600701463334</v>
      </c>
      <c r="BJ119" s="119">
        <v>0.35997439457167402</v>
      </c>
      <c r="BK119" s="119">
        <v>0.367340058015175</v>
      </c>
      <c r="BL119" s="119">
        <v>0.37478752799592802</v>
      </c>
    </row>
    <row r="120" spans="1:64" x14ac:dyDescent="0.25">
      <c r="A120" s="860" t="s">
        <v>50</v>
      </c>
      <c r="B120" s="1">
        <v>104</v>
      </c>
      <c r="C120" s="119">
        <v>0.5</v>
      </c>
      <c r="D120" s="119">
        <v>1.6646077529536799E-2</v>
      </c>
      <c r="E120" s="119">
        <v>1.7818556799071399E-2</v>
      </c>
      <c r="F120" s="119">
        <v>1.9388563513959001E-2</v>
      </c>
      <c r="G120" s="119">
        <v>2.09726684569825E-2</v>
      </c>
      <c r="H120" s="119">
        <v>2.26520578251403E-2</v>
      </c>
      <c r="I120" s="119">
        <v>2.4483544633380001E-2</v>
      </c>
      <c r="J120" s="119">
        <v>2.6600361488960899E-2</v>
      </c>
      <c r="K120" s="119">
        <v>2.9012085140204001E-2</v>
      </c>
      <c r="L120" s="119">
        <v>3.1572680163834001E-2</v>
      </c>
      <c r="M120" s="119">
        <v>3.4639007447133698E-2</v>
      </c>
      <c r="N120" s="119">
        <v>3.76628350130499E-2</v>
      </c>
      <c r="O120" s="119">
        <v>4.0846523698376401E-2</v>
      </c>
      <c r="P120" s="119">
        <v>4.4421111114975403E-2</v>
      </c>
      <c r="Q120" s="119">
        <v>4.81427943524542E-2</v>
      </c>
      <c r="R120" s="119">
        <v>5.3034298912654397E-2</v>
      </c>
      <c r="S120" s="119">
        <v>5.7099684891591403E-2</v>
      </c>
      <c r="T120" s="119">
        <v>6.1958967299144102E-2</v>
      </c>
      <c r="U120" s="119">
        <v>6.7296341331698303E-2</v>
      </c>
      <c r="V120" s="119">
        <v>7.3088991240456799E-2</v>
      </c>
      <c r="W120" s="119">
        <v>7.9210807228081798E-2</v>
      </c>
      <c r="X120" s="119">
        <v>8.5344800872507107E-2</v>
      </c>
      <c r="Y120" s="119">
        <v>9.2739832595168895E-2</v>
      </c>
      <c r="Z120" s="119">
        <v>0.102165355197307</v>
      </c>
      <c r="AA120" s="119">
        <v>0.113487830108115</v>
      </c>
      <c r="AB120" s="119">
        <v>0.126229738039491</v>
      </c>
      <c r="AC120" s="119">
        <v>0.13884980343436201</v>
      </c>
      <c r="AD120" s="119">
        <v>0.15151524895547699</v>
      </c>
      <c r="AE120" s="119">
        <v>0.16269049664919399</v>
      </c>
      <c r="AF120" s="119">
        <v>0.170776227607359</v>
      </c>
      <c r="AG120" s="119">
        <v>0.17587041493073899</v>
      </c>
      <c r="AH120" s="119">
        <v>0.180375703209564</v>
      </c>
      <c r="AI120" s="119">
        <v>0.18550224823677999</v>
      </c>
      <c r="AJ120" s="119">
        <v>0.19273930520163701</v>
      </c>
      <c r="AK120" s="119">
        <v>0.20089011282038399</v>
      </c>
      <c r="AL120" s="119">
        <v>0.20931675594993801</v>
      </c>
      <c r="AM120" s="119">
        <v>0.21794978330922801</v>
      </c>
      <c r="AN120" s="119">
        <v>0.22640107410556201</v>
      </c>
      <c r="AO120" s="119">
        <v>0.235062281658761</v>
      </c>
      <c r="AP120" s="119">
        <v>0.24425305792397001</v>
      </c>
      <c r="AQ120" s="119">
        <v>0.25267380557513602</v>
      </c>
      <c r="AR120" s="119">
        <v>0.26078417146878902</v>
      </c>
      <c r="AS120" s="119">
        <v>0.26928401514082201</v>
      </c>
      <c r="AT120" s="119">
        <v>0.27692204878983101</v>
      </c>
      <c r="AU120" s="119">
        <v>0.28419545277035402</v>
      </c>
      <c r="AV120" s="119">
        <v>0.290688958838761</v>
      </c>
      <c r="AW120" s="119">
        <v>0.29712796396059199</v>
      </c>
      <c r="AX120" s="119">
        <v>0.303604803958273</v>
      </c>
      <c r="AY120" s="119">
        <v>0.30857061527149898</v>
      </c>
      <c r="AZ120" s="119">
        <v>0.31290815159702101</v>
      </c>
      <c r="BA120" s="119">
        <v>0.316678721338499</v>
      </c>
      <c r="BB120" s="119">
        <v>0.32016987477671199</v>
      </c>
      <c r="BC120" s="119">
        <v>0.32356413757246699</v>
      </c>
      <c r="BD120" s="119">
        <v>0.32792236502486999</v>
      </c>
      <c r="BE120" s="119">
        <v>0.33216668922616399</v>
      </c>
      <c r="BF120" s="119">
        <v>0.33463567154450402</v>
      </c>
      <c r="BG120" s="119">
        <v>0.33647681050880202</v>
      </c>
      <c r="BH120" s="119">
        <v>0.340016575102909</v>
      </c>
      <c r="BI120" s="119">
        <v>0.34334279537080697</v>
      </c>
      <c r="BJ120" s="119">
        <v>0.346267559885028</v>
      </c>
      <c r="BK120" s="119">
        <v>0.34886282580495598</v>
      </c>
      <c r="BL120" s="119">
        <v>0.35180367366327198</v>
      </c>
    </row>
    <row r="121" spans="1:64" x14ac:dyDescent="0.25">
      <c r="A121" s="860" t="s">
        <v>224</v>
      </c>
      <c r="B121" s="1">
        <v>516</v>
      </c>
      <c r="C121" s="119">
        <v>0.5</v>
      </c>
      <c r="D121" s="119">
        <v>2.9695272409581201E-2</v>
      </c>
      <c r="E121" s="119">
        <v>3.3973297267009803E-2</v>
      </c>
      <c r="F121" s="119">
        <v>3.8617479937934199E-2</v>
      </c>
      <c r="G121" s="119">
        <v>4.3592665010293803E-2</v>
      </c>
      <c r="H121" s="119">
        <v>4.9303320600741302E-2</v>
      </c>
      <c r="I121" s="119">
        <v>5.5047165864185503E-2</v>
      </c>
      <c r="J121" s="119">
        <v>6.1419087899003598E-2</v>
      </c>
      <c r="K121" s="119">
        <v>6.8549640690269503E-2</v>
      </c>
      <c r="L121" s="119">
        <v>7.5928016130300993E-2</v>
      </c>
      <c r="M121" s="119">
        <v>8.3756397911892794E-2</v>
      </c>
      <c r="N121" s="119">
        <v>9.2426913578878694E-2</v>
      </c>
      <c r="O121" s="119">
        <v>0.101219591716316</v>
      </c>
      <c r="P121" s="119">
        <v>0.11119279702764701</v>
      </c>
      <c r="Q121" s="119">
        <v>0.121651646835245</v>
      </c>
      <c r="R121" s="119">
        <v>0.132723350179618</v>
      </c>
      <c r="S121" s="119">
        <v>0.14484491150822101</v>
      </c>
      <c r="T121" s="119">
        <v>0.15649486409737601</v>
      </c>
      <c r="U121" s="119">
        <v>0.16887878969634201</v>
      </c>
      <c r="V121" s="119">
        <v>0.182304436198892</v>
      </c>
      <c r="W121" s="119">
        <v>0.19435832320803501</v>
      </c>
      <c r="X121" s="119">
        <v>0.20478420704703301</v>
      </c>
      <c r="Y121" s="119">
        <v>0.21413362214374099</v>
      </c>
      <c r="Z121" s="119">
        <v>0.225774501039751</v>
      </c>
      <c r="AA121" s="119">
        <v>0.242963851556764</v>
      </c>
      <c r="AB121" s="119">
        <v>0.26053329104963502</v>
      </c>
      <c r="AC121" s="119">
        <v>0.279549773922386</v>
      </c>
      <c r="AD121" s="119">
        <v>0.30068628052358698</v>
      </c>
      <c r="AE121" s="119">
        <v>0.32080168551000698</v>
      </c>
      <c r="AF121" s="119">
        <v>0.33905836518826898</v>
      </c>
      <c r="AG121" s="119">
        <v>0.35616568971828799</v>
      </c>
      <c r="AH121" s="119">
        <v>0.37324902819505901</v>
      </c>
      <c r="AI121" s="119">
        <v>0.38816012531330601</v>
      </c>
      <c r="AJ121" s="119">
        <v>0.40188777497740602</v>
      </c>
      <c r="AK121" s="119">
        <v>0.41453733563808298</v>
      </c>
      <c r="AL121" s="119">
        <v>0.42599549959492</v>
      </c>
      <c r="AM121" s="119">
        <v>0.43768495099313398</v>
      </c>
      <c r="AN121" s="119">
        <v>0.44805499821488798</v>
      </c>
      <c r="AO121" s="119">
        <v>0.45742366016128699</v>
      </c>
      <c r="AP121" s="119">
        <v>0.466301182919996</v>
      </c>
      <c r="AQ121" s="119">
        <v>0.47231301500726902</v>
      </c>
      <c r="AR121" s="119">
        <v>0.47736191901625702</v>
      </c>
      <c r="AS121" s="119">
        <v>0.48306495716971698</v>
      </c>
      <c r="AT121" s="119">
        <v>0.48762671173819699</v>
      </c>
      <c r="AU121" s="119">
        <v>0.49281158574077899</v>
      </c>
      <c r="AV121" s="119">
        <v>0.49571313472215101</v>
      </c>
      <c r="AW121" s="119">
        <v>0.499558854310025</v>
      </c>
      <c r="AX121" s="119">
        <v>0.50165721132473196</v>
      </c>
      <c r="AY121" s="119">
        <v>0.50581441070647004</v>
      </c>
      <c r="AZ121" s="119">
        <v>0.50978425070245603</v>
      </c>
      <c r="BA121" s="119">
        <v>0.51433951628056396</v>
      </c>
      <c r="BB121" s="119">
        <v>0.51662993207512498</v>
      </c>
      <c r="BC121" s="119">
        <v>0.51963265313843299</v>
      </c>
      <c r="BD121" s="119">
        <v>0.52282513685745202</v>
      </c>
      <c r="BE121" s="119">
        <v>0.52539231462307701</v>
      </c>
      <c r="BF121" s="119">
        <v>0.52958500228618099</v>
      </c>
      <c r="BG121" s="119">
        <v>0.53270556341443598</v>
      </c>
      <c r="BH121" s="119">
        <v>0.53685669183790896</v>
      </c>
      <c r="BI121" s="119">
        <v>0.53924233269120403</v>
      </c>
      <c r="BJ121" s="119">
        <v>0.54199338593442103</v>
      </c>
      <c r="BK121" s="119">
        <v>0.54435378595932105</v>
      </c>
      <c r="BL121" s="119">
        <v>0.54655073938704501</v>
      </c>
    </row>
    <row r="122" spans="1:64" x14ac:dyDescent="0.25">
      <c r="A122" s="860" t="s">
        <v>225</v>
      </c>
      <c r="B122" s="1">
        <v>520</v>
      </c>
      <c r="C122" s="119">
        <v>0.5</v>
      </c>
      <c r="D122" s="119">
        <v>0.151921606649386</v>
      </c>
      <c r="E122" s="119">
        <v>0.152918176709683</v>
      </c>
      <c r="F122" s="119">
        <v>0.155561687606808</v>
      </c>
      <c r="G122" s="119">
        <v>0.15936458158237701</v>
      </c>
      <c r="H122" s="119">
        <v>0.160966271766563</v>
      </c>
      <c r="I122" s="119">
        <v>0.16286536471813301</v>
      </c>
      <c r="J122" s="119">
        <v>0.16429521110562501</v>
      </c>
      <c r="K122" s="119">
        <v>0.16670182691619301</v>
      </c>
      <c r="L122" s="119">
        <v>0.16709807159482301</v>
      </c>
      <c r="M122" s="119">
        <v>0.170919867223358</v>
      </c>
      <c r="N122" s="119">
        <v>0.17369473023522899</v>
      </c>
      <c r="O122" s="119">
        <v>0.175517649973326</v>
      </c>
      <c r="P122" s="119">
        <v>0.17681777187585301</v>
      </c>
      <c r="Q122" s="119">
        <v>0.17954401797042099</v>
      </c>
      <c r="R122" s="119">
        <v>0.18234902982790099</v>
      </c>
      <c r="S122" s="119">
        <v>0.184112276105414</v>
      </c>
      <c r="T122" s="119">
        <v>0.18508478116124299</v>
      </c>
      <c r="U122" s="119">
        <v>0.18728890458832301</v>
      </c>
      <c r="V122" s="119">
        <v>0.187832806898694</v>
      </c>
      <c r="W122" s="119">
        <v>0.189126076080568</v>
      </c>
      <c r="X122" s="119">
        <v>0.191319443994491</v>
      </c>
      <c r="Y122" s="119">
        <v>0.19348460128789699</v>
      </c>
      <c r="Z122" s="119">
        <v>0.19622699439286401</v>
      </c>
      <c r="AA122" s="119">
        <v>0.19751165852702801</v>
      </c>
      <c r="AB122" s="119">
        <v>0.199339282269797</v>
      </c>
      <c r="AC122" s="119">
        <v>0.199728616141118</v>
      </c>
      <c r="AD122" s="119">
        <v>0.20272703668661901</v>
      </c>
      <c r="AE122" s="119">
        <v>0.203543130722975</v>
      </c>
      <c r="AF122" s="119">
        <v>0.20478162770483199</v>
      </c>
      <c r="AG122" s="119">
        <v>0.20548204037475201</v>
      </c>
      <c r="AH122" s="119">
        <v>0.20660804633749599</v>
      </c>
      <c r="AI122" s="119">
        <v>0.208595367796758</v>
      </c>
      <c r="AJ122" s="119">
        <v>0.211185192293282</v>
      </c>
      <c r="AK122" s="119">
        <v>0.21271050601456901</v>
      </c>
      <c r="AL122" s="119">
        <v>0.21455764132185801</v>
      </c>
      <c r="AM122" s="119">
        <v>0.216448176789094</v>
      </c>
      <c r="AN122" s="119">
        <v>0.21777443634555099</v>
      </c>
      <c r="AO122" s="119">
        <v>0.219996740413679</v>
      </c>
      <c r="AP122" s="119">
        <v>0.223505996732274</v>
      </c>
      <c r="AQ122" s="119">
        <v>0.22631439562244601</v>
      </c>
      <c r="AR122" s="119">
        <v>0.22880827524901501</v>
      </c>
      <c r="AS122" s="119">
        <v>0.23244280802956499</v>
      </c>
      <c r="AT122" s="119">
        <v>0.23494693557330201</v>
      </c>
      <c r="AU122" s="119">
        <v>0.237874334031905</v>
      </c>
      <c r="AV122" s="119">
        <v>0.24070922540329401</v>
      </c>
      <c r="AW122" s="119">
        <v>0.24391349209836199</v>
      </c>
      <c r="AX122" s="119">
        <v>0.245233645393793</v>
      </c>
      <c r="AY122" s="119">
        <v>0.24865767990378401</v>
      </c>
      <c r="AZ122" s="119">
        <v>0.25131591819506699</v>
      </c>
      <c r="BA122" s="119">
        <v>0.25520499432966298</v>
      </c>
      <c r="BB122" s="119">
        <v>0.25758813252855101</v>
      </c>
      <c r="BC122" s="119">
        <v>0.25806917151783298</v>
      </c>
      <c r="BD122" s="119">
        <v>0.26105134588684797</v>
      </c>
      <c r="BE122" s="119">
        <v>0.262689432624787</v>
      </c>
      <c r="BF122" s="119">
        <v>0.26360211325222299</v>
      </c>
      <c r="BG122" s="119">
        <v>0.26682986094287903</v>
      </c>
      <c r="BH122" s="119">
        <v>0.26832626844559099</v>
      </c>
      <c r="BI122" s="119">
        <v>0.26943574310942803</v>
      </c>
      <c r="BJ122" s="119">
        <v>0.27157326352122402</v>
      </c>
      <c r="BK122" s="119">
        <v>0.27289023154935499</v>
      </c>
      <c r="BL122" s="119">
        <v>0.27663605790236501</v>
      </c>
    </row>
    <row r="123" spans="1:64" x14ac:dyDescent="0.25">
      <c r="A123" s="860" t="s">
        <v>51</v>
      </c>
      <c r="B123" s="1">
        <v>524</v>
      </c>
      <c r="C123" s="119">
        <v>0.5</v>
      </c>
      <c r="D123" s="119">
        <v>1.6513284875531099E-2</v>
      </c>
      <c r="E123" s="119">
        <v>1.8022714914921099E-2</v>
      </c>
      <c r="F123" s="119">
        <v>1.9728558089250701E-2</v>
      </c>
      <c r="G123" s="119">
        <v>2.1560016462959599E-2</v>
      </c>
      <c r="H123" s="119">
        <v>2.3463740608072301E-2</v>
      </c>
      <c r="I123" s="119">
        <v>2.58079559357688E-2</v>
      </c>
      <c r="J123" s="119">
        <v>2.8743131207335699E-2</v>
      </c>
      <c r="K123" s="119">
        <v>3.22138323600785E-2</v>
      </c>
      <c r="L123" s="119">
        <v>3.6775048656661702E-2</v>
      </c>
      <c r="M123" s="119">
        <v>4.19930629881781E-2</v>
      </c>
      <c r="N123" s="119">
        <v>4.8035780622503702E-2</v>
      </c>
      <c r="O123" s="119">
        <v>5.5032548849745601E-2</v>
      </c>
      <c r="P123" s="119">
        <v>6.2791540941755097E-2</v>
      </c>
      <c r="Q123" s="119">
        <v>7.1543930939629602E-2</v>
      </c>
      <c r="R123" s="119">
        <v>8.1160743642428895E-2</v>
      </c>
      <c r="S123" s="119">
        <v>9.1353703760229998E-2</v>
      </c>
      <c r="T123" s="119">
        <v>0.10149029153962601</v>
      </c>
      <c r="U123" s="119">
        <v>0.111666713526481</v>
      </c>
      <c r="V123" s="119">
        <v>0.12200472705741</v>
      </c>
      <c r="W123" s="119">
        <v>0.13305174888486601</v>
      </c>
      <c r="X123" s="119">
        <v>0.14434838489348301</v>
      </c>
      <c r="Y123" s="119">
        <v>0.15537053840245801</v>
      </c>
      <c r="Z123" s="119">
        <v>0.16637471949552399</v>
      </c>
      <c r="AA123" s="119">
        <v>0.177225236932399</v>
      </c>
      <c r="AB123" s="119">
        <v>0.18824397388202399</v>
      </c>
      <c r="AC123" s="119">
        <v>0.199538536315367</v>
      </c>
      <c r="AD123" s="119">
        <v>0.21080454889903499</v>
      </c>
      <c r="AE123" s="119">
        <v>0.22326552284385301</v>
      </c>
      <c r="AF123" s="119">
        <v>0.236525760855336</v>
      </c>
      <c r="AG123" s="119">
        <v>0.25119890736431699</v>
      </c>
      <c r="AH123" s="119">
        <v>0.26618948127179298</v>
      </c>
      <c r="AI123" s="119">
        <v>0.281113910918525</v>
      </c>
      <c r="AJ123" s="119">
        <v>0.29631672408652798</v>
      </c>
      <c r="AK123" s="119">
        <v>0.31164780770184197</v>
      </c>
      <c r="AL123" s="119">
        <v>0.32379314088621303</v>
      </c>
      <c r="AM123" s="119">
        <v>0.33483608515496399</v>
      </c>
      <c r="AN123" s="119">
        <v>0.34267469737782602</v>
      </c>
      <c r="AO123" s="119">
        <v>0.34620754525906799</v>
      </c>
      <c r="AP123" s="119">
        <v>0.346903040596373</v>
      </c>
      <c r="AQ123" s="119">
        <v>0.34547296055747301</v>
      </c>
      <c r="AR123" s="119">
        <v>0.34292221457869998</v>
      </c>
      <c r="AS123" s="119">
        <v>0.33932542873385901</v>
      </c>
      <c r="AT123" s="119">
        <v>0.33893329353901602</v>
      </c>
      <c r="AU123" s="119">
        <v>0.33944429109013002</v>
      </c>
      <c r="AV123" s="119">
        <v>0.33961658150194901</v>
      </c>
      <c r="AW123" s="119">
        <v>0.33942475052176102</v>
      </c>
      <c r="AX123" s="119">
        <v>0.33956063990756002</v>
      </c>
      <c r="AY123" s="119">
        <v>0.34510195708206398</v>
      </c>
      <c r="AZ123" s="119">
        <v>0.35113500763030098</v>
      </c>
      <c r="BA123" s="119">
        <v>0.35802989344609198</v>
      </c>
      <c r="BB123" s="119">
        <v>0.36308435823476898</v>
      </c>
      <c r="BC123" s="119">
        <v>0.37028880804151099</v>
      </c>
      <c r="BD123" s="119">
        <v>0.37563641956039201</v>
      </c>
      <c r="BE123" s="119">
        <v>0.38195410572216898</v>
      </c>
      <c r="BF123" s="119">
        <v>0.38708411192619502</v>
      </c>
      <c r="BG123" s="119">
        <v>0.39446005089191299</v>
      </c>
      <c r="BH123" s="119">
        <v>0.399026736138061</v>
      </c>
      <c r="BI123" s="119">
        <v>0.40483177504246298</v>
      </c>
      <c r="BJ123" s="119">
        <v>0.40942608295127098</v>
      </c>
      <c r="BK123" s="119">
        <v>0.41411552822984699</v>
      </c>
      <c r="BL123" s="119">
        <v>0.41691766102532102</v>
      </c>
    </row>
    <row r="124" spans="1:64" x14ac:dyDescent="0.25">
      <c r="A124" s="860" t="s">
        <v>226</v>
      </c>
      <c r="B124" s="1">
        <v>528</v>
      </c>
      <c r="C124" s="119">
        <v>0.5</v>
      </c>
      <c r="D124" s="119">
        <v>0.447206834434903</v>
      </c>
      <c r="E124" s="119">
        <v>0.47170868518759901</v>
      </c>
      <c r="F124" s="119">
        <v>0.49447479820745699</v>
      </c>
      <c r="G124" s="119">
        <v>0.51643310561691302</v>
      </c>
      <c r="H124" s="119">
        <v>0.53775576341506803</v>
      </c>
      <c r="I124" s="119">
        <v>0.55554977883243695</v>
      </c>
      <c r="J124" s="119">
        <v>0.56791585730895</v>
      </c>
      <c r="K124" s="119">
        <v>0.57690176175660601</v>
      </c>
      <c r="L124" s="119">
        <v>0.58558124857595095</v>
      </c>
      <c r="M124" s="119">
        <v>0.59185216750470104</v>
      </c>
      <c r="N124" s="119">
        <v>0.59849900339912199</v>
      </c>
      <c r="O124" s="119">
        <v>0.60475381968402797</v>
      </c>
      <c r="P124" s="119">
        <v>0.60956105883527301</v>
      </c>
      <c r="Q124" s="119">
        <v>0.61126952455341399</v>
      </c>
      <c r="R124" s="119">
        <v>0.61239335791302596</v>
      </c>
      <c r="S124" s="119">
        <v>0.61409484143397997</v>
      </c>
      <c r="T124" s="119">
        <v>0.61479942760807205</v>
      </c>
      <c r="U124" s="119">
        <v>0.61597411868021701</v>
      </c>
      <c r="V124" s="119">
        <v>0.61711057227820698</v>
      </c>
      <c r="W124" s="119">
        <v>0.61506505109304799</v>
      </c>
      <c r="X124" s="119">
        <v>0.61345956918855005</v>
      </c>
      <c r="Y124" s="119">
        <v>0.61325815361285396</v>
      </c>
      <c r="Z124" s="119">
        <v>0.61320754034842295</v>
      </c>
      <c r="AA124" s="119">
        <v>0.61157541824827699</v>
      </c>
      <c r="AB124" s="119">
        <v>0.610071152894192</v>
      </c>
      <c r="AC124" s="119">
        <v>0.60755122361420899</v>
      </c>
      <c r="AD124" s="119">
        <v>0.60324508266880195</v>
      </c>
      <c r="AE124" s="119">
        <v>0.59979689109133405</v>
      </c>
      <c r="AF124" s="119">
        <v>0.59728438928940997</v>
      </c>
      <c r="AG124" s="119">
        <v>0.597080651637794</v>
      </c>
      <c r="AH124" s="119">
        <v>0.59701050484987706</v>
      </c>
      <c r="AI124" s="119">
        <v>0.59774744960622805</v>
      </c>
      <c r="AJ124" s="119">
        <v>0.59818847319051505</v>
      </c>
      <c r="AK124" s="119">
        <v>0.60008516752066599</v>
      </c>
      <c r="AL124" s="119">
        <v>0.60261876761218103</v>
      </c>
      <c r="AM124" s="119">
        <v>0.60390854225934998</v>
      </c>
      <c r="AN124" s="119">
        <v>0.60568128967767398</v>
      </c>
      <c r="AO124" s="119">
        <v>0.60912338261481802</v>
      </c>
      <c r="AP124" s="119">
        <v>0.61039224412228898</v>
      </c>
      <c r="AQ124" s="119">
        <v>0.61210904257749899</v>
      </c>
      <c r="AR124" s="119">
        <v>0.613058660700738</v>
      </c>
      <c r="AS124" s="119">
        <v>0.613475448103877</v>
      </c>
      <c r="AT124" s="119">
        <v>0.61346309405112798</v>
      </c>
      <c r="AU124" s="119">
        <v>0.61402996767381601</v>
      </c>
      <c r="AV124" s="119">
        <v>0.61318716207520996</v>
      </c>
      <c r="AW124" s="119">
        <v>0.61122253288661998</v>
      </c>
      <c r="AX124" s="119">
        <v>0.61035425438880997</v>
      </c>
      <c r="AY124" s="119">
        <v>0.61017180663834703</v>
      </c>
      <c r="AZ124" s="119">
        <v>0.609813707512326</v>
      </c>
      <c r="BA124" s="119">
        <v>0.60835485348336404</v>
      </c>
      <c r="BB124" s="119">
        <v>0.60809705397493796</v>
      </c>
      <c r="BC124" s="119">
        <v>0.60758656919853704</v>
      </c>
      <c r="BD124" s="119">
        <v>0.60714047804704996</v>
      </c>
      <c r="BE124" s="119">
        <v>0.60744100862225503</v>
      </c>
      <c r="BF124" s="119">
        <v>0.60741032346456503</v>
      </c>
      <c r="BG124" s="119">
        <v>0.60898230719899205</v>
      </c>
      <c r="BH124" s="119">
        <v>0.60836785089100698</v>
      </c>
      <c r="BI124" s="119">
        <v>0.60761963077507597</v>
      </c>
      <c r="BJ124" s="119">
        <v>0.60852404618209899</v>
      </c>
      <c r="BK124" s="119">
        <v>0.60935911363844297</v>
      </c>
      <c r="BL124" s="119">
        <v>0.61002608046846296</v>
      </c>
    </row>
    <row r="125" spans="1:64" x14ac:dyDescent="0.25">
      <c r="A125" s="860" t="s">
        <v>229</v>
      </c>
      <c r="B125" s="1">
        <v>554</v>
      </c>
      <c r="C125" s="119">
        <v>0.5</v>
      </c>
      <c r="D125" s="119">
        <v>0.49713444462258499</v>
      </c>
      <c r="E125" s="119">
        <v>0.50040032713696903</v>
      </c>
      <c r="F125" s="119">
        <v>0.50204401576440805</v>
      </c>
      <c r="G125" s="119">
        <v>0.50332934324366496</v>
      </c>
      <c r="H125" s="119">
        <v>0.50579449048813996</v>
      </c>
      <c r="I125" s="119">
        <v>0.50842422949902599</v>
      </c>
      <c r="J125" s="119">
        <v>0.51107933371845404</v>
      </c>
      <c r="K125" s="119">
        <v>0.51149423945821504</v>
      </c>
      <c r="L125" s="119">
        <v>0.51298499953003895</v>
      </c>
      <c r="M125" s="119">
        <v>0.51414871527419204</v>
      </c>
      <c r="N125" s="119">
        <v>0.516508069434231</v>
      </c>
      <c r="O125" s="119">
        <v>0.52003135113912202</v>
      </c>
      <c r="P125" s="119">
        <v>0.52335396629795305</v>
      </c>
      <c r="Q125" s="119">
        <v>0.52534376719723996</v>
      </c>
      <c r="R125" s="119">
        <v>0.52737089150737804</v>
      </c>
      <c r="S125" s="119">
        <v>0.52998921569693702</v>
      </c>
      <c r="T125" s="119">
        <v>0.53249586661310999</v>
      </c>
      <c r="U125" s="119">
        <v>0.53470134989240903</v>
      </c>
      <c r="V125" s="119">
        <v>0.53710042874422703</v>
      </c>
      <c r="W125" s="119">
        <v>0.53893698627353503</v>
      </c>
      <c r="X125" s="119">
        <v>0.54388378200625798</v>
      </c>
      <c r="Y125" s="119">
        <v>0.54789324159384201</v>
      </c>
      <c r="Z125" s="119">
        <v>0.55164871111012204</v>
      </c>
      <c r="AA125" s="119">
        <v>0.55624686306789495</v>
      </c>
      <c r="AB125" s="119">
        <v>0.56107025998958404</v>
      </c>
      <c r="AC125" s="119">
        <v>0.56497014121516598</v>
      </c>
      <c r="AD125" s="119">
        <v>0.56890221941256702</v>
      </c>
      <c r="AE125" s="119">
        <v>0.56974508785572098</v>
      </c>
      <c r="AF125" s="119">
        <v>0.57158979033742097</v>
      </c>
      <c r="AG125" s="119">
        <v>0.57341877632693095</v>
      </c>
      <c r="AH125" s="119">
        <v>0.57596991966619904</v>
      </c>
      <c r="AI125" s="119">
        <v>0.576550066851371</v>
      </c>
      <c r="AJ125" s="119">
        <v>0.57793040615158997</v>
      </c>
      <c r="AK125" s="119">
        <v>0.57999725619380404</v>
      </c>
      <c r="AL125" s="119">
        <v>0.58263685573846802</v>
      </c>
      <c r="AM125" s="119">
        <v>0.58614869776817602</v>
      </c>
      <c r="AN125" s="119">
        <v>0.58815899077734102</v>
      </c>
      <c r="AO125" s="119">
        <v>0.58886140874725101</v>
      </c>
      <c r="AP125" s="119">
        <v>0.58952226371343097</v>
      </c>
      <c r="AQ125" s="119">
        <v>0.59200112789771897</v>
      </c>
      <c r="AR125" s="119">
        <v>0.59390167469542099</v>
      </c>
      <c r="AS125" s="119">
        <v>0.59660901553059198</v>
      </c>
      <c r="AT125" s="119">
        <v>0.59752574376781598</v>
      </c>
      <c r="AU125" s="119">
        <v>0.59953642958262299</v>
      </c>
      <c r="AV125" s="119">
        <v>0.60027474460015895</v>
      </c>
      <c r="AW125" s="119">
        <v>0.602466805974882</v>
      </c>
      <c r="AX125" s="119">
        <v>0.60151462191500205</v>
      </c>
      <c r="AY125" s="119">
        <v>0.60445972525630598</v>
      </c>
      <c r="AZ125" s="119">
        <v>0.605321240424608</v>
      </c>
      <c r="BA125" s="119">
        <v>0.60575730184298004</v>
      </c>
      <c r="BB125" s="119">
        <v>0.60734814889097799</v>
      </c>
      <c r="BC125" s="119">
        <v>0.60785662371271398</v>
      </c>
      <c r="BD125" s="119">
        <v>0.60809063857691303</v>
      </c>
      <c r="BE125" s="119">
        <v>0.60720821510816902</v>
      </c>
      <c r="BF125" s="119">
        <v>0.60723572676548099</v>
      </c>
      <c r="BG125" s="119">
        <v>0.60629737452879895</v>
      </c>
      <c r="BH125" s="119">
        <v>0.60387313010434196</v>
      </c>
      <c r="BI125" s="119">
        <v>0.60391762657473003</v>
      </c>
      <c r="BJ125" s="119">
        <v>0.60374865207516104</v>
      </c>
      <c r="BK125" s="119">
        <v>0.60494642173193203</v>
      </c>
      <c r="BL125" s="119">
        <v>0.607128838239266</v>
      </c>
    </row>
    <row r="126" spans="1:64" x14ac:dyDescent="0.25">
      <c r="A126" s="860" t="s">
        <v>52</v>
      </c>
      <c r="B126" s="1">
        <v>558</v>
      </c>
      <c r="C126" s="119">
        <v>0.5</v>
      </c>
      <c r="D126" s="119">
        <v>7.9995200236079395E-2</v>
      </c>
      <c r="E126" s="119">
        <v>8.5779834491082105E-2</v>
      </c>
      <c r="F126" s="119">
        <v>9.1962558709094797E-2</v>
      </c>
      <c r="G126" s="119">
        <v>9.8721174366638006E-2</v>
      </c>
      <c r="H126" s="119">
        <v>0.10582746703752199</v>
      </c>
      <c r="I126" s="119">
        <v>0.11365195571745</v>
      </c>
      <c r="J126" s="119">
        <v>0.12140460864587301</v>
      </c>
      <c r="K126" s="119">
        <v>0.12927208797915199</v>
      </c>
      <c r="L126" s="119">
        <v>0.13802027473321499</v>
      </c>
      <c r="M126" s="119">
        <v>0.14675862389453301</v>
      </c>
      <c r="N126" s="119">
        <v>0.15539475395740099</v>
      </c>
      <c r="O126" s="119">
        <v>0.16580355487270801</v>
      </c>
      <c r="P126" s="119">
        <v>0.17660922510775201</v>
      </c>
      <c r="Q126" s="119">
        <v>0.188858865235354</v>
      </c>
      <c r="R126" s="119">
        <v>0.20134407217179701</v>
      </c>
      <c r="S126" s="119">
        <v>0.214496726881684</v>
      </c>
      <c r="T126" s="119">
        <v>0.22723537222053999</v>
      </c>
      <c r="U126" s="119">
        <v>0.23982372611941499</v>
      </c>
      <c r="V126" s="119">
        <v>0.25319291567547098</v>
      </c>
      <c r="W126" s="119">
        <v>0.26647041612884498</v>
      </c>
      <c r="X126" s="119">
        <v>0.27955925165825901</v>
      </c>
      <c r="Y126" s="119">
        <v>0.29125010000086599</v>
      </c>
      <c r="Z126" s="119">
        <v>0.30366863414852502</v>
      </c>
      <c r="AA126" s="119">
        <v>0.31624138319288397</v>
      </c>
      <c r="AB126" s="119">
        <v>0.32905165815308501</v>
      </c>
      <c r="AC126" s="119">
        <v>0.34172758509677298</v>
      </c>
      <c r="AD126" s="119">
        <v>0.35433170062473701</v>
      </c>
      <c r="AE126" s="119">
        <v>0.36684629260870399</v>
      </c>
      <c r="AF126" s="119">
        <v>0.38129058788397702</v>
      </c>
      <c r="AG126" s="119">
        <v>0.39799067391294501</v>
      </c>
      <c r="AH126" s="119">
        <v>0.41505065746227499</v>
      </c>
      <c r="AI126" s="119">
        <v>0.43114983995867701</v>
      </c>
      <c r="AJ126" s="119">
        <v>0.44269340172940302</v>
      </c>
      <c r="AK126" s="119">
        <v>0.45210174015348698</v>
      </c>
      <c r="AL126" s="119">
        <v>0.46092667514198699</v>
      </c>
      <c r="AM126" s="119">
        <v>0.470283905530131</v>
      </c>
      <c r="AN126" s="119">
        <v>0.478735921156769</v>
      </c>
      <c r="AO126" s="119">
        <v>0.48740520758215</v>
      </c>
      <c r="AP126" s="119">
        <v>0.49661119204321003</v>
      </c>
      <c r="AQ126" s="119">
        <v>0.50619673630759798</v>
      </c>
      <c r="AR126" s="119">
        <v>0.51486670622762298</v>
      </c>
      <c r="AS126" s="119">
        <v>0.52339617784079495</v>
      </c>
      <c r="AT126" s="119">
        <v>0.53075566940262597</v>
      </c>
      <c r="AU126" s="119">
        <v>0.53609196772128498</v>
      </c>
      <c r="AV126" s="119">
        <v>0.54019762397441395</v>
      </c>
      <c r="AW126" s="119">
        <v>0.544314826309791</v>
      </c>
      <c r="AX126" s="119">
        <v>0.54797279015463596</v>
      </c>
      <c r="AY126" s="119">
        <v>0.55197028617091104</v>
      </c>
      <c r="AZ126" s="119">
        <v>0.554840946005694</v>
      </c>
      <c r="BA126" s="119">
        <v>0.55703701685695695</v>
      </c>
      <c r="BB126" s="119">
        <v>0.55897495017953602</v>
      </c>
      <c r="BC126" s="119">
        <v>0.56125232068752695</v>
      </c>
      <c r="BD126" s="119">
        <v>0.56338684279819795</v>
      </c>
      <c r="BE126" s="119">
        <v>0.56660822388195797</v>
      </c>
      <c r="BF126" s="119">
        <v>0.56796544667218596</v>
      </c>
      <c r="BG126" s="119">
        <v>0.569463544564349</v>
      </c>
      <c r="BH126" s="119">
        <v>0.56951329133695905</v>
      </c>
      <c r="BI126" s="119">
        <v>0.57115635884645399</v>
      </c>
      <c r="BJ126" s="119">
        <v>0.57268518664208901</v>
      </c>
      <c r="BK126" s="119">
        <v>0.57434096736002604</v>
      </c>
      <c r="BL126" s="119">
        <v>0.57653288952673698</v>
      </c>
    </row>
    <row r="127" spans="1:64" x14ac:dyDescent="0.25">
      <c r="A127" s="860" t="s">
        <v>53</v>
      </c>
      <c r="B127" s="1">
        <v>562</v>
      </c>
      <c r="C127" s="119">
        <v>0.5</v>
      </c>
      <c r="D127" s="119">
        <v>4.4988101184100099E-3</v>
      </c>
      <c r="E127" s="119">
        <v>4.8416082678919298E-3</v>
      </c>
      <c r="F127" s="119">
        <v>5.12532691924324E-3</v>
      </c>
      <c r="G127" s="119">
        <v>5.4976264051673704E-3</v>
      </c>
      <c r="H127" s="119">
        <v>5.8573937650988599E-3</v>
      </c>
      <c r="I127" s="119">
        <v>6.2960057225099298E-3</v>
      </c>
      <c r="J127" s="119">
        <v>6.6584726775660097E-3</v>
      </c>
      <c r="K127" s="119">
        <v>7.1356757911810202E-3</v>
      </c>
      <c r="L127" s="119">
        <v>7.7637901859136799E-3</v>
      </c>
      <c r="M127" s="119">
        <v>8.3759689357206409E-3</v>
      </c>
      <c r="N127" s="119">
        <v>9.0216016977088705E-3</v>
      </c>
      <c r="O127" s="119">
        <v>9.6985801432438803E-3</v>
      </c>
      <c r="P127" s="119">
        <v>1.0661003968388099E-2</v>
      </c>
      <c r="Q127" s="119">
        <v>1.15397488825654E-2</v>
      </c>
      <c r="R127" s="119">
        <v>1.2513354175841301E-2</v>
      </c>
      <c r="S127" s="119">
        <v>1.3558077127630099E-2</v>
      </c>
      <c r="T127" s="119">
        <v>1.47916112630068E-2</v>
      </c>
      <c r="U127" s="119">
        <v>1.59414978884019E-2</v>
      </c>
      <c r="V127" s="119">
        <v>1.7049330011745599E-2</v>
      </c>
      <c r="W127" s="119">
        <v>1.84412293683653E-2</v>
      </c>
      <c r="X127" s="119">
        <v>2.0076322407986E-2</v>
      </c>
      <c r="Y127" s="119">
        <v>2.1710150126417801E-2</v>
      </c>
      <c r="Z127" s="119">
        <v>2.3716228682930801E-2</v>
      </c>
      <c r="AA127" s="119">
        <v>2.6416672752494999E-2</v>
      </c>
      <c r="AB127" s="119">
        <v>2.9487581024719999E-2</v>
      </c>
      <c r="AC127" s="119">
        <v>3.3072070919768499E-2</v>
      </c>
      <c r="AD127" s="119">
        <v>3.6994759503841797E-2</v>
      </c>
      <c r="AE127" s="119">
        <v>4.1322771573707701E-2</v>
      </c>
      <c r="AF127" s="119">
        <v>4.6305168438181998E-2</v>
      </c>
      <c r="AG127" s="119">
        <v>5.3460510535157699E-2</v>
      </c>
      <c r="AH127" s="119">
        <v>6.0499668748199897E-2</v>
      </c>
      <c r="AI127" s="119">
        <v>6.5251649308026599E-2</v>
      </c>
      <c r="AJ127" s="119">
        <v>6.94775896358963E-2</v>
      </c>
      <c r="AK127" s="119">
        <v>7.4029528780786794E-2</v>
      </c>
      <c r="AL127" s="119">
        <v>7.7829477437664399E-2</v>
      </c>
      <c r="AM127" s="119">
        <v>8.1811088338336696E-2</v>
      </c>
      <c r="AN127" s="119">
        <v>8.5773102160863299E-2</v>
      </c>
      <c r="AO127" s="119">
        <v>8.8667539926376104E-2</v>
      </c>
      <c r="AP127" s="119">
        <v>9.2199370512421705E-2</v>
      </c>
      <c r="AQ127" s="119">
        <v>9.5416308646826098E-2</v>
      </c>
      <c r="AR127" s="119">
        <v>9.9399397569215994E-2</v>
      </c>
      <c r="AS127" s="119">
        <v>0.103230734334918</v>
      </c>
      <c r="AT127" s="119">
        <v>0.107290104424932</v>
      </c>
      <c r="AU127" s="119">
        <v>0.111602435022271</v>
      </c>
      <c r="AV127" s="119">
        <v>0.116232849806119</v>
      </c>
      <c r="AW127" s="119">
        <v>0.12146090694218301</v>
      </c>
      <c r="AX127" s="119">
        <v>0.12650890684119101</v>
      </c>
      <c r="AY127" s="119">
        <v>0.13018836381035601</v>
      </c>
      <c r="AZ127" s="119">
        <v>0.12559184307962701</v>
      </c>
      <c r="BA127" s="119">
        <v>0.118550206096403</v>
      </c>
      <c r="BB127" s="119">
        <v>0.11070497007232</v>
      </c>
      <c r="BC127" s="119">
        <v>0.10518171308482201</v>
      </c>
      <c r="BD127" s="119">
        <v>0.104627779345942</v>
      </c>
      <c r="BE127" s="119">
        <v>0.10649045318103501</v>
      </c>
      <c r="BF127" s="119">
        <v>0.10943923973651699</v>
      </c>
      <c r="BG127" s="119">
        <v>0.112672529164353</v>
      </c>
      <c r="BH127" s="119">
        <v>0.11659048078932301</v>
      </c>
      <c r="BI127" s="119">
        <v>0.120436515193795</v>
      </c>
      <c r="BJ127" s="119">
        <v>0.123302780853058</v>
      </c>
      <c r="BK127" s="119">
        <v>0.12767351964226201</v>
      </c>
      <c r="BL127" s="119">
        <v>0.131672510457393</v>
      </c>
    </row>
    <row r="128" spans="1:64" x14ac:dyDescent="0.25">
      <c r="A128" s="860" t="s">
        <v>54</v>
      </c>
      <c r="B128" s="1">
        <v>566</v>
      </c>
      <c r="C128" s="119">
        <v>0.5</v>
      </c>
      <c r="D128" s="119">
        <v>4.7732673511135604E-3</v>
      </c>
      <c r="E128" s="119">
        <v>5.2346260059473798E-3</v>
      </c>
      <c r="F128" s="119">
        <v>5.65570801366342E-3</v>
      </c>
      <c r="G128" s="119">
        <v>6.1912800665657602E-3</v>
      </c>
      <c r="H128" s="119">
        <v>6.8137713943051698E-3</v>
      </c>
      <c r="I128" s="119">
        <v>7.4662812705850101E-3</v>
      </c>
      <c r="J128" s="119">
        <v>8.1812433593710307E-3</v>
      </c>
      <c r="K128" s="119">
        <v>8.8680353190260294E-3</v>
      </c>
      <c r="L128" s="119">
        <v>9.6315749615792506E-3</v>
      </c>
      <c r="M128" s="119">
        <v>1.05296018808997E-2</v>
      </c>
      <c r="N128" s="119">
        <v>1.14567464489592E-2</v>
      </c>
      <c r="O128" s="119">
        <v>1.2488217207737099E-2</v>
      </c>
      <c r="P128" s="119">
        <v>1.3533733553355701E-2</v>
      </c>
      <c r="Q128" s="119">
        <v>1.54121802380422E-2</v>
      </c>
      <c r="R128" s="119">
        <v>1.75781075789102E-2</v>
      </c>
      <c r="S128" s="119">
        <v>2.0232283083253599E-2</v>
      </c>
      <c r="T128" s="119">
        <v>2.2732806880182001E-2</v>
      </c>
      <c r="U128" s="119">
        <v>2.5932876561388499E-2</v>
      </c>
      <c r="V128" s="119">
        <v>2.93080660804385E-2</v>
      </c>
      <c r="W128" s="119">
        <v>3.3252113091652699E-2</v>
      </c>
      <c r="X128" s="119">
        <v>3.7606142606382897E-2</v>
      </c>
      <c r="Y128" s="119">
        <v>4.2107432882878902E-2</v>
      </c>
      <c r="Z128" s="119">
        <v>4.7211747734604001E-2</v>
      </c>
      <c r="AA128" s="119">
        <v>5.2896521185989101E-2</v>
      </c>
      <c r="AB128" s="119">
        <v>5.8775383212093399E-2</v>
      </c>
      <c r="AC128" s="119">
        <v>6.2911908998717306E-2</v>
      </c>
      <c r="AD128" s="119">
        <v>6.6960719891038703E-2</v>
      </c>
      <c r="AE128" s="119">
        <v>7.0988831063968902E-2</v>
      </c>
      <c r="AF128" s="119">
        <v>7.4956497837407696E-2</v>
      </c>
      <c r="AG128" s="119">
        <v>7.8280325329046094E-2</v>
      </c>
      <c r="AH128" s="119">
        <v>8.1113302235965204E-2</v>
      </c>
      <c r="AI128" s="119">
        <v>8.3615611445802498E-2</v>
      </c>
      <c r="AJ128" s="119">
        <v>8.6546832311769795E-2</v>
      </c>
      <c r="AK128" s="119">
        <v>9.0132060741819994E-2</v>
      </c>
      <c r="AL128" s="119">
        <v>9.3285196017442507E-2</v>
      </c>
      <c r="AM128" s="119">
        <v>9.6909638749966706E-2</v>
      </c>
      <c r="AN128" s="119">
        <v>0.100559788262643</v>
      </c>
      <c r="AO128" s="119">
        <v>0.10382013541537501</v>
      </c>
      <c r="AP128" s="119">
        <v>0.10529087365023899</v>
      </c>
      <c r="AQ128" s="119">
        <v>0.107005264966682</v>
      </c>
      <c r="AR128" s="119">
        <v>0.10843046584639</v>
      </c>
      <c r="AS128" s="119">
        <v>0.10915499695769799</v>
      </c>
      <c r="AT128" s="119">
        <v>0.108436128317559</v>
      </c>
      <c r="AU128" s="119">
        <v>0.105110416762854</v>
      </c>
      <c r="AV128" s="119">
        <v>0.104061907833726</v>
      </c>
      <c r="AW128" s="119">
        <v>0.104122357896814</v>
      </c>
      <c r="AX128" s="119">
        <v>0.10479655030269899</v>
      </c>
      <c r="AY128" s="119">
        <v>0.106585486997682</v>
      </c>
      <c r="AZ128" s="119">
        <v>0.10913076534579801</v>
      </c>
      <c r="BA128" s="119">
        <v>0.11342801474315301</v>
      </c>
      <c r="BB128" s="119">
        <v>0.118438254560443</v>
      </c>
      <c r="BC128" s="119">
        <v>0.123780014214332</v>
      </c>
      <c r="BD128" s="119">
        <v>0.12981932652216199</v>
      </c>
      <c r="BE128" s="119">
        <v>0.13517691902867901</v>
      </c>
      <c r="BF128" s="119">
        <v>0.14054388039408999</v>
      </c>
      <c r="BG128" s="119">
        <v>0.14656680587786899</v>
      </c>
      <c r="BH128" s="119">
        <v>0.15206564359309799</v>
      </c>
      <c r="BI128" s="119">
        <v>0.157746900604292</v>
      </c>
      <c r="BJ128" s="119">
        <v>0.16190088906106201</v>
      </c>
      <c r="BK128" s="119">
        <v>0.16748640642754001</v>
      </c>
      <c r="BL128" s="119">
        <v>0.17323918110784201</v>
      </c>
    </row>
    <row r="129" spans="1:64" x14ac:dyDescent="0.25">
      <c r="A129" s="860" t="s">
        <v>1163</v>
      </c>
      <c r="B129" s="1">
        <v>807</v>
      </c>
      <c r="C129" s="119">
        <v>0.5</v>
      </c>
      <c r="D129" s="119">
        <v>2.81787254867586E-2</v>
      </c>
      <c r="E129" s="119">
        <v>3.02462381384551E-2</v>
      </c>
      <c r="F129" s="119">
        <v>3.1968545019833997E-2</v>
      </c>
      <c r="G129" s="119">
        <v>3.4411584542560603E-2</v>
      </c>
      <c r="H129" s="119">
        <v>3.6825848513224603E-2</v>
      </c>
      <c r="I129" s="119">
        <v>3.9415338905361301E-2</v>
      </c>
      <c r="J129" s="119">
        <v>4.1470405775480203E-2</v>
      </c>
      <c r="K129" s="119">
        <v>4.4335474706172801E-2</v>
      </c>
      <c r="L129" s="119">
        <v>4.6876108081998498E-2</v>
      </c>
      <c r="M129" s="119">
        <v>4.9473012057311597E-2</v>
      </c>
      <c r="N129" s="119">
        <v>5.21699008354225E-2</v>
      </c>
      <c r="O129" s="119">
        <v>5.6055099135065602E-2</v>
      </c>
      <c r="P129" s="119">
        <v>5.8852744658924802E-2</v>
      </c>
      <c r="Q129" s="119">
        <v>6.19249096951556E-2</v>
      </c>
      <c r="R129" s="119">
        <v>6.4601113221375697E-2</v>
      </c>
      <c r="S129" s="119">
        <v>6.8887659359028394E-2</v>
      </c>
      <c r="T129" s="119">
        <v>7.2597694654994896E-2</v>
      </c>
      <c r="U129" s="119">
        <v>7.5283852858311698E-2</v>
      </c>
      <c r="V129" s="119">
        <v>7.8386860125416402E-2</v>
      </c>
      <c r="W129" s="119">
        <v>8.2370399292829494E-2</v>
      </c>
      <c r="X129" s="119">
        <v>8.6250937413939702E-2</v>
      </c>
      <c r="Y129" s="119">
        <v>8.9163569826903905E-2</v>
      </c>
      <c r="Z129" s="119">
        <v>9.1366488345966904E-2</v>
      </c>
      <c r="AA129" s="119">
        <v>9.3383190343851202E-2</v>
      </c>
      <c r="AB129" s="119">
        <v>9.6689147369184894E-2</v>
      </c>
      <c r="AC129" s="119">
        <v>9.9437384274437504E-2</v>
      </c>
      <c r="AD129" s="119">
        <v>0.10198127139284199</v>
      </c>
      <c r="AE129" s="119">
        <v>0.10493538858391099</v>
      </c>
      <c r="AF129" s="119">
        <v>0.105671755273485</v>
      </c>
      <c r="AG129" s="119">
        <v>0.108071630432874</v>
      </c>
      <c r="AH129" s="119">
        <v>0.11108844388408901</v>
      </c>
      <c r="AI129" s="119">
        <v>0.112172002684403</v>
      </c>
      <c r="AJ129" s="119">
        <v>0.115818194258641</v>
      </c>
      <c r="AK129" s="119">
        <v>0.116891227587123</v>
      </c>
      <c r="AL129" s="119">
        <v>0.120008289818201</v>
      </c>
      <c r="AM129" s="119">
        <v>0.122794102462252</v>
      </c>
      <c r="AN129" s="119">
        <v>0.12509798678101999</v>
      </c>
      <c r="AO129" s="119">
        <v>0.12775859455784999</v>
      </c>
      <c r="AP129" s="119">
        <v>0.12999330249746499</v>
      </c>
      <c r="AQ129" s="119">
        <v>0.13271398302064</v>
      </c>
      <c r="AR129" s="119">
        <v>0.13546277266280399</v>
      </c>
      <c r="AS129" s="119">
        <v>0.138404818900531</v>
      </c>
      <c r="AT129" s="119">
        <v>0.14192039803745299</v>
      </c>
      <c r="AU129" s="119">
        <v>0.14624314899139901</v>
      </c>
      <c r="AV129" s="119">
        <v>0.15053992404956501</v>
      </c>
      <c r="AW129" s="119">
        <v>0.15536056690831601</v>
      </c>
      <c r="AX129" s="119">
        <v>0.160679321924588</v>
      </c>
      <c r="AY129" s="119">
        <v>0.16536195329352699</v>
      </c>
      <c r="AZ129" s="119">
        <v>0.170429068874525</v>
      </c>
      <c r="BA129" s="119">
        <v>0.175341741090866</v>
      </c>
      <c r="BB129" s="119">
        <v>0.180883797147253</v>
      </c>
      <c r="BC129" s="119">
        <v>0.188348593323795</v>
      </c>
      <c r="BD129" s="119">
        <v>0.194384788040983</v>
      </c>
      <c r="BE129" s="119">
        <v>0.20029666093491999</v>
      </c>
      <c r="BF129" s="119">
        <v>0.20664422901901899</v>
      </c>
      <c r="BG129" s="119">
        <v>0.213425660586396</v>
      </c>
      <c r="BH129" s="119">
        <v>0.21958042078081599</v>
      </c>
      <c r="BI129" s="119">
        <v>0.226332903471231</v>
      </c>
      <c r="BJ129" s="119">
        <v>0.23235495313537</v>
      </c>
      <c r="BK129" s="119">
        <v>0.24034509493890299</v>
      </c>
      <c r="BL129" s="119">
        <v>0.245878143747459</v>
      </c>
    </row>
    <row r="130" spans="1:64" x14ac:dyDescent="0.25">
      <c r="A130" s="860" t="s">
        <v>230</v>
      </c>
      <c r="B130" s="1">
        <v>578</v>
      </c>
      <c r="C130" s="119">
        <v>0.5</v>
      </c>
      <c r="D130" s="119">
        <v>0.48494507522211699</v>
      </c>
      <c r="E130" s="119">
        <v>0.48920893308273899</v>
      </c>
      <c r="F130" s="119">
        <v>0.49277848564653598</v>
      </c>
      <c r="G130" s="119">
        <v>0.49467251530928802</v>
      </c>
      <c r="H130" s="119">
        <v>0.49838109464434799</v>
      </c>
      <c r="I130" s="119">
        <v>0.50170332340033796</v>
      </c>
      <c r="J130" s="119">
        <v>0.50540367767364702</v>
      </c>
      <c r="K130" s="119">
        <v>0.51044854823257202</v>
      </c>
      <c r="L130" s="119">
        <v>0.51372894199811103</v>
      </c>
      <c r="M130" s="119">
        <v>0.517212196175308</v>
      </c>
      <c r="N130" s="119">
        <v>0.52159487734024901</v>
      </c>
      <c r="O130" s="119">
        <v>0.52522156147836296</v>
      </c>
      <c r="P130" s="119">
        <v>0.53012714466922295</v>
      </c>
      <c r="Q130" s="119">
        <v>0.53365022081388602</v>
      </c>
      <c r="R130" s="119">
        <v>0.53600419889196105</v>
      </c>
      <c r="S130" s="119">
        <v>0.54029865139650202</v>
      </c>
      <c r="T130" s="119">
        <v>0.54348268557588797</v>
      </c>
      <c r="U130" s="119">
        <v>0.54629667455372399</v>
      </c>
      <c r="V130" s="119">
        <v>0.54967817430437904</v>
      </c>
      <c r="W130" s="119">
        <v>0.55533634190589198</v>
      </c>
      <c r="X130" s="119">
        <v>0.559659170353483</v>
      </c>
      <c r="Y130" s="119">
        <v>0.56426847882884101</v>
      </c>
      <c r="Z130" s="119">
        <v>0.57101252198748298</v>
      </c>
      <c r="AA130" s="119">
        <v>0.57717120969929203</v>
      </c>
      <c r="AB130" s="119">
        <v>0.58389360679402302</v>
      </c>
      <c r="AC130" s="119">
        <v>0.58818915955547901</v>
      </c>
      <c r="AD130" s="119">
        <v>0.59530628405622199</v>
      </c>
      <c r="AE130" s="119">
        <v>0.59959241350899695</v>
      </c>
      <c r="AF130" s="119">
        <v>0.602144020224893</v>
      </c>
      <c r="AG130" s="119">
        <v>0.60691287305198605</v>
      </c>
      <c r="AH130" s="119">
        <v>0.61005558205707699</v>
      </c>
      <c r="AI130" s="119">
        <v>0.61109523385901998</v>
      </c>
      <c r="AJ130" s="119">
        <v>0.612816478470114</v>
      </c>
      <c r="AK130" s="119">
        <v>0.61711187929773903</v>
      </c>
      <c r="AL130" s="119">
        <v>0.61658984367946301</v>
      </c>
      <c r="AM130" s="119">
        <v>0.61832934838294995</v>
      </c>
      <c r="AN130" s="119">
        <v>0.61745173741606096</v>
      </c>
      <c r="AO130" s="119">
        <v>0.61726184837149101</v>
      </c>
      <c r="AP130" s="119">
        <v>0.61413412524181898</v>
      </c>
      <c r="AQ130" s="119">
        <v>0.61167056422858901</v>
      </c>
      <c r="AR130" s="119">
        <v>0.61142190367494398</v>
      </c>
      <c r="AS130" s="119">
        <v>0.60995350821489203</v>
      </c>
      <c r="AT130" s="119">
        <v>0.60813835969798502</v>
      </c>
      <c r="AU130" s="119">
        <v>0.60660842802519999</v>
      </c>
      <c r="AV130" s="119">
        <v>0.60593248239845199</v>
      </c>
      <c r="AW130" s="119">
        <v>0.60466617077286899</v>
      </c>
      <c r="AX130" s="119">
        <v>0.60508545372314604</v>
      </c>
      <c r="AY130" s="119">
        <v>0.60466085226361699</v>
      </c>
      <c r="AZ130" s="119">
        <v>0.60618682598755602</v>
      </c>
      <c r="BA130" s="119">
        <v>0.60376824022975595</v>
      </c>
      <c r="BB130" s="119">
        <v>0.60355005024212605</v>
      </c>
      <c r="BC130" s="119">
        <v>0.60328284525871001</v>
      </c>
      <c r="BD130" s="119">
        <v>0.60316739881618897</v>
      </c>
      <c r="BE130" s="119">
        <v>0.60492930389446198</v>
      </c>
      <c r="BF130" s="119">
        <v>0.60369695530858603</v>
      </c>
      <c r="BG130" s="119">
        <v>0.60191535370438998</v>
      </c>
      <c r="BH130" s="119">
        <v>0.60293897613330905</v>
      </c>
      <c r="BI130" s="119">
        <v>0.60708221519198402</v>
      </c>
      <c r="BJ130" s="119">
        <v>0.60720729581103705</v>
      </c>
      <c r="BK130" s="119">
        <v>0.61003420135999198</v>
      </c>
      <c r="BL130" s="119">
        <v>0.60940681774064098</v>
      </c>
    </row>
    <row r="131" spans="1:64" x14ac:dyDescent="0.25">
      <c r="A131" s="860" t="s">
        <v>231</v>
      </c>
      <c r="B131" s="1">
        <v>512</v>
      </c>
      <c r="C131" s="119">
        <v>0.5</v>
      </c>
      <c r="D131" s="119">
        <v>2.9867798398067299E-2</v>
      </c>
      <c r="E131" s="119">
        <v>3.1261127232464103E-2</v>
      </c>
      <c r="F131" s="119">
        <v>3.31467021844669E-2</v>
      </c>
      <c r="G131" s="119">
        <v>3.5149704624244597E-2</v>
      </c>
      <c r="H131" s="119">
        <v>3.66774171474527E-2</v>
      </c>
      <c r="I131" s="119">
        <v>3.8176227884438703E-2</v>
      </c>
      <c r="J131" s="119">
        <v>4.0478071478394301E-2</v>
      </c>
      <c r="K131" s="119">
        <v>4.2647583028969101E-2</v>
      </c>
      <c r="L131" s="119">
        <v>4.4626880267400797E-2</v>
      </c>
      <c r="M131" s="119">
        <v>4.7015196951128602E-2</v>
      </c>
      <c r="N131" s="119">
        <v>4.98156680892992E-2</v>
      </c>
      <c r="O131" s="119">
        <v>5.2404890814726497E-2</v>
      </c>
      <c r="P131" s="119">
        <v>5.5344175255709602E-2</v>
      </c>
      <c r="Q131" s="119">
        <v>5.7667000111961499E-2</v>
      </c>
      <c r="R131" s="119">
        <v>6.04530361153615E-2</v>
      </c>
      <c r="S131" s="119">
        <v>6.3758470414388896E-2</v>
      </c>
      <c r="T131" s="119">
        <v>6.7058725075413494E-2</v>
      </c>
      <c r="U131" s="119">
        <v>7.1408201841608704E-2</v>
      </c>
      <c r="V131" s="119">
        <v>7.6542595279157799E-2</v>
      </c>
      <c r="W131" s="119">
        <v>8.26312489957549E-2</v>
      </c>
      <c r="X131" s="119">
        <v>8.9365949850574597E-2</v>
      </c>
      <c r="Y131" s="119">
        <v>9.6295418014976403E-2</v>
      </c>
      <c r="Z131" s="119">
        <v>0.10334528704594299</v>
      </c>
      <c r="AA131" s="119">
        <v>0.11026434601893401</v>
      </c>
      <c r="AB131" s="119">
        <v>0.11702862068629501</v>
      </c>
      <c r="AC131" s="119">
        <v>0.122638213896699</v>
      </c>
      <c r="AD131" s="119">
        <v>0.127934299291635</v>
      </c>
      <c r="AE131" s="119">
        <v>0.13237109264514699</v>
      </c>
      <c r="AF131" s="119">
        <v>0.13692263668013899</v>
      </c>
      <c r="AG131" s="119">
        <v>0.14064123814031801</v>
      </c>
      <c r="AH131" s="119">
        <v>0.14265384033819301</v>
      </c>
      <c r="AI131" s="119">
        <v>0.13836526954671</v>
      </c>
      <c r="AJ131" s="119">
        <v>0.13256277424094101</v>
      </c>
      <c r="AK131" s="119">
        <v>0.12590402753112401</v>
      </c>
      <c r="AL131" s="119">
        <v>0.118904772562935</v>
      </c>
      <c r="AM131" s="119">
        <v>0.112433216347111</v>
      </c>
      <c r="AN131" s="119">
        <v>0.107577151766884</v>
      </c>
      <c r="AO131" s="119">
        <v>0.103527797915292</v>
      </c>
      <c r="AP131" s="119">
        <v>0.10357401132951601</v>
      </c>
      <c r="AQ131" s="119">
        <v>0.10547489225833299</v>
      </c>
      <c r="AR131" s="119">
        <v>0.107762970143329</v>
      </c>
      <c r="AS131" s="119">
        <v>0.108776064420271</v>
      </c>
      <c r="AT131" s="119">
        <v>0.110461023500526</v>
      </c>
      <c r="AU131" s="119">
        <v>0.11333552425821</v>
      </c>
      <c r="AV131" s="119">
        <v>0.117101624748581</v>
      </c>
      <c r="AW131" s="119">
        <v>0.12165372816474999</v>
      </c>
      <c r="AX131" s="119">
        <v>0.125276741573175</v>
      </c>
      <c r="AY131" s="119">
        <v>0.129502341439486</v>
      </c>
      <c r="AZ131" s="119">
        <v>0.133889822519281</v>
      </c>
      <c r="BA131" s="119">
        <v>0.13781451907168801</v>
      </c>
      <c r="BB131" s="119">
        <v>0.14242024360842301</v>
      </c>
      <c r="BC131" s="119">
        <v>0.14610440384308199</v>
      </c>
      <c r="BD131" s="119">
        <v>0.150217417501017</v>
      </c>
      <c r="BE131" s="119">
        <v>0.15400031422618601</v>
      </c>
      <c r="BF131" s="119">
        <v>0.157733698561285</v>
      </c>
      <c r="BG131" s="119">
        <v>0.16138341676072701</v>
      </c>
      <c r="BH131" s="119">
        <v>0.163302258031643</v>
      </c>
      <c r="BI131" s="119">
        <v>0.16553897418584501</v>
      </c>
      <c r="BJ131" s="119">
        <v>0.16812566074399901</v>
      </c>
      <c r="BK131" s="119">
        <v>0.16972935313038801</v>
      </c>
      <c r="BL131" s="119">
        <v>0.170522637957882</v>
      </c>
    </row>
    <row r="132" spans="1:64" x14ac:dyDescent="0.25">
      <c r="A132" s="860" t="s">
        <v>55</v>
      </c>
      <c r="B132" s="1">
        <v>586</v>
      </c>
      <c r="C132" s="119">
        <v>0.5</v>
      </c>
      <c r="D132" s="119">
        <v>2.9099592044683601E-2</v>
      </c>
      <c r="E132" s="119">
        <v>2.9132086558774799E-2</v>
      </c>
      <c r="F132" s="119">
        <v>2.9070618944885E-2</v>
      </c>
      <c r="G132" s="119">
        <v>2.8767357765927599E-2</v>
      </c>
      <c r="H132" s="119">
        <v>2.85007493246325E-2</v>
      </c>
      <c r="I132" s="119">
        <v>2.8195719995344599E-2</v>
      </c>
      <c r="J132" s="119">
        <v>2.7705934546007699E-2</v>
      </c>
      <c r="K132" s="119">
        <v>2.7399207096081998E-2</v>
      </c>
      <c r="L132" s="119">
        <v>2.7437594493771599E-2</v>
      </c>
      <c r="M132" s="119">
        <v>2.7853510451096099E-2</v>
      </c>
      <c r="N132" s="119">
        <v>2.9385577583171101E-2</v>
      </c>
      <c r="O132" s="119">
        <v>3.1751841262338203E-2</v>
      </c>
      <c r="P132" s="119">
        <v>3.4837711762461802E-2</v>
      </c>
      <c r="Q132" s="119">
        <v>3.7946267961729598E-2</v>
      </c>
      <c r="R132" s="119">
        <v>4.1190661298527297E-2</v>
      </c>
      <c r="S132" s="119">
        <v>4.4091646150067901E-2</v>
      </c>
      <c r="T132" s="119">
        <v>4.7030290476378002E-2</v>
      </c>
      <c r="U132" s="119">
        <v>5.0306963132408199E-2</v>
      </c>
      <c r="V132" s="119">
        <v>5.33476828145312E-2</v>
      </c>
      <c r="W132" s="119">
        <v>5.6784552201529601E-2</v>
      </c>
      <c r="X132" s="119">
        <v>6.04607404808035E-2</v>
      </c>
      <c r="Y132" s="119">
        <v>6.4920829249020595E-2</v>
      </c>
      <c r="Z132" s="119">
        <v>7.1691846437165696E-2</v>
      </c>
      <c r="AA132" s="119">
        <v>7.9478852361841199E-2</v>
      </c>
      <c r="AB132" s="119">
        <v>8.58003103894866E-2</v>
      </c>
      <c r="AC132" s="119">
        <v>9.2053699198812594E-2</v>
      </c>
      <c r="AD132" s="119">
        <v>0.10027893420390099</v>
      </c>
      <c r="AE132" s="119">
        <v>0.10703426716009801</v>
      </c>
      <c r="AF132" s="119">
        <v>0.114203342732439</v>
      </c>
      <c r="AG132" s="119">
        <v>0.12371801454332</v>
      </c>
      <c r="AH132" s="119">
        <v>0.13401988389575401</v>
      </c>
      <c r="AI132" s="119">
        <v>0.14242600622284701</v>
      </c>
      <c r="AJ132" s="119">
        <v>0.149259248511529</v>
      </c>
      <c r="AK132" s="119">
        <v>0.153476519431134</v>
      </c>
      <c r="AL132" s="119">
        <v>0.151356676462409</v>
      </c>
      <c r="AM132" s="119">
        <v>0.14755362237625599</v>
      </c>
      <c r="AN132" s="119">
        <v>0.145684631637408</v>
      </c>
      <c r="AO132" s="119">
        <v>0.14586466219503699</v>
      </c>
      <c r="AP132" s="119">
        <v>0.148246939938464</v>
      </c>
      <c r="AQ132" s="119">
        <v>0.15195066469381499</v>
      </c>
      <c r="AR132" s="119">
        <v>0.15611997213266399</v>
      </c>
      <c r="AS132" s="119">
        <v>0.16090660001488499</v>
      </c>
      <c r="AT132" s="119">
        <v>0.167052014680418</v>
      </c>
      <c r="AU132" s="119">
        <v>0.17168341841409801</v>
      </c>
      <c r="AV132" s="119">
        <v>0.172971508535397</v>
      </c>
      <c r="AW132" s="119">
        <v>0.17242763565293501</v>
      </c>
      <c r="AX132" s="119">
        <v>0.17165177102844301</v>
      </c>
      <c r="AY132" s="119">
        <v>0.17211381570616199</v>
      </c>
      <c r="AZ132" s="119">
        <v>0.176910281427265</v>
      </c>
      <c r="BA132" s="119">
        <v>0.18326154836466399</v>
      </c>
      <c r="BB132" s="119">
        <v>0.189016319730755</v>
      </c>
      <c r="BC132" s="119">
        <v>0.195287448782239</v>
      </c>
      <c r="BD132" s="119">
        <v>0.20035635218069101</v>
      </c>
      <c r="BE132" s="119">
        <v>0.207896368472858</v>
      </c>
      <c r="BF132" s="119">
        <v>0.21334992939411901</v>
      </c>
      <c r="BG132" s="119">
        <v>0.21917982409530101</v>
      </c>
      <c r="BH132" s="119">
        <v>0.22587966069703</v>
      </c>
      <c r="BI132" s="119">
        <v>0.23081692512405999</v>
      </c>
      <c r="BJ132" s="119">
        <v>0.235715409746692</v>
      </c>
      <c r="BK132" s="119">
        <v>0.24114638548595599</v>
      </c>
      <c r="BL132" s="119">
        <v>0.24612684288460099</v>
      </c>
    </row>
    <row r="133" spans="1:64" x14ac:dyDescent="0.25">
      <c r="A133" s="860" t="s">
        <v>232</v>
      </c>
      <c r="B133" s="1">
        <v>585</v>
      </c>
      <c r="C133" s="119">
        <v>0.5</v>
      </c>
      <c r="D133" s="119">
        <v>0.153782769605011</v>
      </c>
      <c r="E133" s="119">
        <v>0.15545738872031301</v>
      </c>
      <c r="F133" s="119">
        <v>0.15868309208518999</v>
      </c>
      <c r="G133" s="119">
        <v>0.15990346946564299</v>
      </c>
      <c r="H133" s="119">
        <v>0.16321186419071301</v>
      </c>
      <c r="I133" s="119">
        <v>0.165133248813112</v>
      </c>
      <c r="J133" s="119">
        <v>0.16853845468516301</v>
      </c>
      <c r="K133" s="119">
        <v>0.16963346192054601</v>
      </c>
      <c r="L133" s="119">
        <v>0.17142008210426399</v>
      </c>
      <c r="M133" s="119">
        <v>0.17251227286360099</v>
      </c>
      <c r="N133" s="119">
        <v>0.175338050941658</v>
      </c>
      <c r="O133" s="119">
        <v>0.17692621127538499</v>
      </c>
      <c r="P133" s="119">
        <v>0.178576643465822</v>
      </c>
      <c r="Q133" s="119">
        <v>0.182104619825564</v>
      </c>
      <c r="R133" s="119">
        <v>0.18393490600378401</v>
      </c>
      <c r="S133" s="119">
        <v>0.18697175474099001</v>
      </c>
      <c r="T133" s="119">
        <v>0.18820986128689299</v>
      </c>
      <c r="U133" s="119">
        <v>0.18887738312369401</v>
      </c>
      <c r="V133" s="119">
        <v>0.19167052245493499</v>
      </c>
      <c r="W133" s="119">
        <v>0.19492174292193501</v>
      </c>
      <c r="X133" s="119">
        <v>0.19739673167475799</v>
      </c>
      <c r="Y133" s="119">
        <v>0.19860306122447899</v>
      </c>
      <c r="Z133" s="119">
        <v>0.20062240875899801</v>
      </c>
      <c r="AA133" s="119">
        <v>0.20296452326602701</v>
      </c>
      <c r="AB133" s="119">
        <v>0.20623201505300201</v>
      </c>
      <c r="AC133" s="119">
        <v>0.20911260585701699</v>
      </c>
      <c r="AD133" s="119">
        <v>0.21069334164733899</v>
      </c>
      <c r="AE133" s="119">
        <v>0.21349896427248199</v>
      </c>
      <c r="AF133" s="119">
        <v>0.21604400000316001</v>
      </c>
      <c r="AG133" s="119">
        <v>0.219140541551298</v>
      </c>
      <c r="AH133" s="119">
        <v>0.22103107872967301</v>
      </c>
      <c r="AI133" s="119">
        <v>0.223741309901069</v>
      </c>
      <c r="AJ133" s="119">
        <v>0.22437989009328299</v>
      </c>
      <c r="AK133" s="119">
        <v>0.225795703280152</v>
      </c>
      <c r="AL133" s="119">
        <v>0.228227582488263</v>
      </c>
      <c r="AM133" s="119">
        <v>0.228550082943491</v>
      </c>
      <c r="AN133" s="119">
        <v>0.22936058504005</v>
      </c>
      <c r="AO133" s="119">
        <v>0.23079674381745499</v>
      </c>
      <c r="AP133" s="119">
        <v>0.231754662976911</v>
      </c>
      <c r="AQ133" s="119">
        <v>0.23456682161627801</v>
      </c>
      <c r="AR133" s="119">
        <v>0.23486773040664399</v>
      </c>
      <c r="AS133" s="119">
        <v>0.23886487434717499</v>
      </c>
      <c r="AT133" s="119">
        <v>0.241421542963935</v>
      </c>
      <c r="AU133" s="119">
        <v>0.246071270613585</v>
      </c>
      <c r="AV133" s="119">
        <v>0.24707280602085199</v>
      </c>
      <c r="AW133" s="119">
        <v>0.24957517776021601</v>
      </c>
      <c r="AX133" s="119">
        <v>0.25058403674761998</v>
      </c>
      <c r="AY133" s="119">
        <v>0.25247185711599202</v>
      </c>
      <c r="AZ133" s="119">
        <v>0.25428930477938799</v>
      </c>
      <c r="BA133" s="119">
        <v>0.25721956749408198</v>
      </c>
      <c r="BB133" s="119">
        <v>0.25895327254355799</v>
      </c>
      <c r="BC133" s="119">
        <v>0.259947735379148</v>
      </c>
      <c r="BD133" s="119">
        <v>0.26130423879332698</v>
      </c>
      <c r="BE133" s="119">
        <v>0.26275459432640202</v>
      </c>
      <c r="BF133" s="119">
        <v>0.26486282024269397</v>
      </c>
      <c r="BG133" s="119">
        <v>0.26646167154966199</v>
      </c>
      <c r="BH133" s="119">
        <v>0.268322717519277</v>
      </c>
      <c r="BI133" s="119">
        <v>0.26796627528477501</v>
      </c>
      <c r="BJ133" s="119">
        <v>0.26806417781487402</v>
      </c>
      <c r="BK133" s="119">
        <v>0.27105947936896402</v>
      </c>
      <c r="BL133" s="119">
        <v>0.27269729374937601</v>
      </c>
    </row>
    <row r="134" spans="1:64" x14ac:dyDescent="0.25">
      <c r="A134" s="860" t="s">
        <v>233</v>
      </c>
      <c r="B134" s="1">
        <v>591</v>
      </c>
      <c r="C134" s="119">
        <v>0.5</v>
      </c>
      <c r="D134" s="119">
        <v>0.27847930585257402</v>
      </c>
      <c r="E134" s="119">
        <v>0.284915881802215</v>
      </c>
      <c r="F134" s="119">
        <v>0.28821912737098199</v>
      </c>
      <c r="G134" s="119">
        <v>0.29234063038623398</v>
      </c>
      <c r="H134" s="119">
        <v>0.29888979960414302</v>
      </c>
      <c r="I134" s="119">
        <v>0.303115251347436</v>
      </c>
      <c r="J134" s="119">
        <v>0.30953797443787701</v>
      </c>
      <c r="K134" s="119">
        <v>0.314408902536849</v>
      </c>
      <c r="L134" s="119">
        <v>0.32005234248079301</v>
      </c>
      <c r="M134" s="119">
        <v>0.324290195812513</v>
      </c>
      <c r="N134" s="119">
        <v>0.32801535546306199</v>
      </c>
      <c r="O134" s="119">
        <v>0.33113770363579298</v>
      </c>
      <c r="P134" s="119">
        <v>0.33369137866244603</v>
      </c>
      <c r="Q134" s="119">
        <v>0.33725650788108702</v>
      </c>
      <c r="R134" s="119">
        <v>0.34087374219402899</v>
      </c>
      <c r="S134" s="119">
        <v>0.34448869943167898</v>
      </c>
      <c r="T134" s="119">
        <v>0.347104407820296</v>
      </c>
      <c r="U134" s="119">
        <v>0.35003481671412001</v>
      </c>
      <c r="V134" s="119">
        <v>0.35196275845493002</v>
      </c>
      <c r="W134" s="119">
        <v>0.35431054174385801</v>
      </c>
      <c r="X134" s="119">
        <v>0.35688842294337703</v>
      </c>
      <c r="Y134" s="119">
        <v>0.36062511667707398</v>
      </c>
      <c r="Z134" s="119">
        <v>0.36446204419772299</v>
      </c>
      <c r="AA134" s="119">
        <v>0.36874886215026897</v>
      </c>
      <c r="AB134" s="119">
        <v>0.37255068574342198</v>
      </c>
      <c r="AC134" s="119">
        <v>0.377691382916228</v>
      </c>
      <c r="AD134" s="119">
        <v>0.38173075583778698</v>
      </c>
      <c r="AE134" s="119">
        <v>0.38527472056484902</v>
      </c>
      <c r="AF134" s="119">
        <v>0.38874989088768602</v>
      </c>
      <c r="AG134" s="119">
        <v>0.39318275730191798</v>
      </c>
      <c r="AH134" s="119">
        <v>0.39741982465169101</v>
      </c>
      <c r="AI134" s="119">
        <v>0.402465020205657</v>
      </c>
      <c r="AJ134" s="119">
        <v>0.40612421395077303</v>
      </c>
      <c r="AK134" s="119">
        <v>0.41005474638594402</v>
      </c>
      <c r="AL134" s="119">
        <v>0.41423131973142302</v>
      </c>
      <c r="AM134" s="119">
        <v>0.41843111112697001</v>
      </c>
      <c r="AN134" s="119">
        <v>0.42206030279243001</v>
      </c>
      <c r="AO134" s="119">
        <v>0.42505750185433899</v>
      </c>
      <c r="AP134" s="119">
        <v>0.428669691528417</v>
      </c>
      <c r="AQ134" s="119">
        <v>0.43095388435024301</v>
      </c>
      <c r="AR134" s="119">
        <v>0.43240774318148001</v>
      </c>
      <c r="AS134" s="119">
        <v>0.43354825339985797</v>
      </c>
      <c r="AT134" s="119">
        <v>0.433972290967237</v>
      </c>
      <c r="AU134" s="119">
        <v>0.43276565175461401</v>
      </c>
      <c r="AV134" s="119">
        <v>0.43021329307578099</v>
      </c>
      <c r="AW134" s="119">
        <v>0.42846307133963701</v>
      </c>
      <c r="AX134" s="119">
        <v>0.42909379137565801</v>
      </c>
      <c r="AY134" s="119">
        <v>0.43190635394067201</v>
      </c>
      <c r="AZ134" s="119">
        <v>0.43437710200908303</v>
      </c>
      <c r="BA134" s="119">
        <v>0.43781814158102</v>
      </c>
      <c r="BB134" s="119">
        <v>0.44097212577374101</v>
      </c>
      <c r="BC134" s="119">
        <v>0.445447061376746</v>
      </c>
      <c r="BD134" s="119">
        <v>0.44945176995380598</v>
      </c>
      <c r="BE134" s="119">
        <v>0.45280490296526998</v>
      </c>
      <c r="BF134" s="119">
        <v>0.455343841299436</v>
      </c>
      <c r="BG134" s="119">
        <v>0.45791443186314401</v>
      </c>
      <c r="BH134" s="119">
        <v>0.46139819854298603</v>
      </c>
      <c r="BI134" s="119">
        <v>0.46405069210664002</v>
      </c>
      <c r="BJ134" s="119">
        <v>0.46679681806331702</v>
      </c>
      <c r="BK134" s="119">
        <v>0.46922927232955097</v>
      </c>
      <c r="BL134" s="119">
        <v>0.47277771182024297</v>
      </c>
    </row>
    <row r="135" spans="1:64" x14ac:dyDescent="0.25">
      <c r="A135" s="860" t="s">
        <v>56</v>
      </c>
      <c r="B135" s="1">
        <v>598</v>
      </c>
      <c r="C135" s="119">
        <v>0.5</v>
      </c>
      <c r="D135" s="119">
        <v>9.4253695842714494E-2</v>
      </c>
      <c r="E135" s="119">
        <v>9.5553697746804403E-2</v>
      </c>
      <c r="F135" s="119">
        <v>9.8074957620893299E-2</v>
      </c>
      <c r="G135" s="119">
        <v>9.95033873205763E-2</v>
      </c>
      <c r="H135" s="119">
        <v>0.100308589684056</v>
      </c>
      <c r="I135" s="119">
        <v>0.10352621740840801</v>
      </c>
      <c r="J135" s="119">
        <v>0.105364498191356</v>
      </c>
      <c r="K135" s="119">
        <v>0.106901759020385</v>
      </c>
      <c r="L135" s="119">
        <v>0.10942994107934401</v>
      </c>
      <c r="M135" s="119">
        <v>0.111123954175142</v>
      </c>
      <c r="N135" s="119">
        <v>0.113435608386753</v>
      </c>
      <c r="O135" s="119">
        <v>0.115071454409906</v>
      </c>
      <c r="P135" s="119">
        <v>0.11646727920300699</v>
      </c>
      <c r="Q135" s="119">
        <v>0.11851182898849701</v>
      </c>
      <c r="R135" s="119">
        <v>0.119710955010534</v>
      </c>
      <c r="S135" s="119">
        <v>0.121417319739493</v>
      </c>
      <c r="T135" s="119">
        <v>0.123646578428384</v>
      </c>
      <c r="U135" s="119">
        <v>0.126272410938982</v>
      </c>
      <c r="V135" s="119">
        <v>0.12831427330331899</v>
      </c>
      <c r="W135" s="119">
        <v>0.130670533552949</v>
      </c>
      <c r="X135" s="119">
        <v>0.13146222084380199</v>
      </c>
      <c r="Y135" s="119">
        <v>0.13244442130360501</v>
      </c>
      <c r="Z135" s="119">
        <v>0.13324384096131101</v>
      </c>
      <c r="AA135" s="119">
        <v>0.13560796300700001</v>
      </c>
      <c r="AB135" s="119">
        <v>0.137073456288934</v>
      </c>
      <c r="AC135" s="119">
        <v>0.13797515122149201</v>
      </c>
      <c r="AD135" s="119">
        <v>0.13962742195477101</v>
      </c>
      <c r="AE135" s="119">
        <v>0.14183105108729899</v>
      </c>
      <c r="AF135" s="119">
        <v>0.14517954544172401</v>
      </c>
      <c r="AG135" s="119">
        <v>0.14851960122500499</v>
      </c>
      <c r="AH135" s="119">
        <v>0.15188322892219</v>
      </c>
      <c r="AI135" s="119">
        <v>0.15545410774392401</v>
      </c>
      <c r="AJ135" s="119">
        <v>0.16003345627211199</v>
      </c>
      <c r="AK135" s="119">
        <v>0.16342565520966301</v>
      </c>
      <c r="AL135" s="119">
        <v>0.167786528728367</v>
      </c>
      <c r="AM135" s="119">
        <v>0.171555131759597</v>
      </c>
      <c r="AN135" s="119">
        <v>0.17567120639183301</v>
      </c>
      <c r="AO135" s="119">
        <v>0.179978112799171</v>
      </c>
      <c r="AP135" s="119">
        <v>0.18495053556684399</v>
      </c>
      <c r="AQ135" s="119">
        <v>0.18912209237227801</v>
      </c>
      <c r="AR135" s="119">
        <v>0.19324327783378201</v>
      </c>
      <c r="AS135" s="119">
        <v>0.19698764975570701</v>
      </c>
      <c r="AT135" s="119">
        <v>0.20156033468019599</v>
      </c>
      <c r="AU135" s="119">
        <v>0.20496644531675701</v>
      </c>
      <c r="AV135" s="119">
        <v>0.208482327917038</v>
      </c>
      <c r="AW135" s="119">
        <v>0.211891761228722</v>
      </c>
      <c r="AX135" s="119">
        <v>0.217174551204627</v>
      </c>
      <c r="AY135" s="119">
        <v>0.21998455129951899</v>
      </c>
      <c r="AZ135" s="119">
        <v>0.22254934384191499</v>
      </c>
      <c r="BA135" s="119">
        <v>0.224964481298564</v>
      </c>
      <c r="BB135" s="119">
        <v>0.22643062441994399</v>
      </c>
      <c r="BC135" s="119">
        <v>0.228730133603499</v>
      </c>
      <c r="BD135" s="119">
        <v>0.231418324649385</v>
      </c>
      <c r="BE135" s="119">
        <v>0.233930495936986</v>
      </c>
      <c r="BF135" s="119">
        <v>0.23643237143526699</v>
      </c>
      <c r="BG135" s="119">
        <v>0.236330018269163</v>
      </c>
      <c r="BH135" s="119">
        <v>0.23849846334872499</v>
      </c>
      <c r="BI135" s="119">
        <v>0.24086294301897901</v>
      </c>
      <c r="BJ135" s="119">
        <v>0.24287263930082101</v>
      </c>
      <c r="BK135" s="119">
        <v>0.244317496875051</v>
      </c>
      <c r="BL135" s="119">
        <v>0.24740303061327201</v>
      </c>
    </row>
    <row r="136" spans="1:64" x14ac:dyDescent="0.25">
      <c r="A136" s="860" t="s">
        <v>234</v>
      </c>
      <c r="B136" s="1">
        <v>600</v>
      </c>
      <c r="C136" s="119">
        <v>0.5</v>
      </c>
      <c r="D136" s="119">
        <v>7.2586899324850102E-2</v>
      </c>
      <c r="E136" s="119">
        <v>7.7856645081088305E-2</v>
      </c>
      <c r="F136" s="119">
        <v>8.3620593278975697E-2</v>
      </c>
      <c r="G136" s="119">
        <v>8.9216515309478994E-2</v>
      </c>
      <c r="H136" s="119">
        <v>9.5382935068913904E-2</v>
      </c>
      <c r="I136" s="119">
        <v>0.10166622389313699</v>
      </c>
      <c r="J136" s="119">
        <v>0.108613943454787</v>
      </c>
      <c r="K136" s="119">
        <v>0.11561423004006501</v>
      </c>
      <c r="L136" s="119">
        <v>0.120808305509741</v>
      </c>
      <c r="M136" s="119">
        <v>0.12636667977777399</v>
      </c>
      <c r="N136" s="119">
        <v>0.13173792041245999</v>
      </c>
      <c r="O136" s="119">
        <v>0.137752515692038</v>
      </c>
      <c r="P136" s="119">
        <v>0.143162681782601</v>
      </c>
      <c r="Q136" s="119">
        <v>0.14812050300868301</v>
      </c>
      <c r="R136" s="119">
        <v>0.153450816778302</v>
      </c>
      <c r="S136" s="119">
        <v>0.159773382873801</v>
      </c>
      <c r="T136" s="119">
        <v>0.16612853642976999</v>
      </c>
      <c r="U136" s="119">
        <v>0.17369933617802399</v>
      </c>
      <c r="V136" s="119">
        <v>0.18459012287360599</v>
      </c>
      <c r="W136" s="119">
        <v>0.19699644307388001</v>
      </c>
      <c r="X136" s="119">
        <v>0.210660334381016</v>
      </c>
      <c r="Y136" s="119">
        <v>0.22212145928258101</v>
      </c>
      <c r="Z136" s="119">
        <v>0.23404127157528401</v>
      </c>
      <c r="AA136" s="119">
        <v>0.24657119110433101</v>
      </c>
      <c r="AB136" s="119">
        <v>0.259526023901473</v>
      </c>
      <c r="AC136" s="119">
        <v>0.27197863219486701</v>
      </c>
      <c r="AD136" s="119">
        <v>0.285757858389248</v>
      </c>
      <c r="AE136" s="119">
        <v>0.29859038017755302</v>
      </c>
      <c r="AF136" s="119">
        <v>0.31177733430197102</v>
      </c>
      <c r="AG136" s="119">
        <v>0.32860649497679401</v>
      </c>
      <c r="AH136" s="119">
        <v>0.34694074790843499</v>
      </c>
      <c r="AI136" s="119">
        <v>0.36414523502687401</v>
      </c>
      <c r="AJ136" s="119">
        <v>0.38246307120631101</v>
      </c>
      <c r="AK136" s="119">
        <v>0.40011645816403801</v>
      </c>
      <c r="AL136" s="119">
        <v>0.41887329342352198</v>
      </c>
      <c r="AM136" s="119">
        <v>0.43510747496447499</v>
      </c>
      <c r="AN136" s="119">
        <v>0.45119623534325598</v>
      </c>
      <c r="AO136" s="119">
        <v>0.46749957575630802</v>
      </c>
      <c r="AP136" s="119">
        <v>0.48282360957555898</v>
      </c>
      <c r="AQ136" s="119">
        <v>0.49104946366790198</v>
      </c>
      <c r="AR136" s="119">
        <v>0.49762203908453201</v>
      </c>
      <c r="AS136" s="119">
        <v>0.50360690292227905</v>
      </c>
      <c r="AT136" s="119">
        <v>0.50892569630440998</v>
      </c>
      <c r="AU136" s="119">
        <v>0.51422695035059196</v>
      </c>
      <c r="AV136" s="119">
        <v>0.51879081952969897</v>
      </c>
      <c r="AW136" s="119">
        <v>0.52298551075854105</v>
      </c>
      <c r="AX136" s="119">
        <v>0.52782985076212596</v>
      </c>
      <c r="AY136" s="119">
        <v>0.53147828646242501</v>
      </c>
      <c r="AZ136" s="119">
        <v>0.53583346470084403</v>
      </c>
      <c r="BA136" s="119">
        <v>0.54039995164052901</v>
      </c>
      <c r="BB136" s="119">
        <v>0.54604803048478301</v>
      </c>
      <c r="BC136" s="119">
        <v>0.54953035652668802</v>
      </c>
      <c r="BD136" s="119">
        <v>0.552642126475963</v>
      </c>
      <c r="BE136" s="119">
        <v>0.55622569487950302</v>
      </c>
      <c r="BF136" s="119">
        <v>0.56002451516045104</v>
      </c>
      <c r="BG136" s="119">
        <v>0.56370493420991796</v>
      </c>
      <c r="BH136" s="119">
        <v>0.56764947007365896</v>
      </c>
      <c r="BI136" s="119">
        <v>0.57152169376671103</v>
      </c>
      <c r="BJ136" s="119">
        <v>0.57446645523647399</v>
      </c>
      <c r="BK136" s="119">
        <v>0.57784022097961896</v>
      </c>
      <c r="BL136" s="119">
        <v>0.58007901024195196</v>
      </c>
    </row>
    <row r="137" spans="1:64" x14ac:dyDescent="0.25">
      <c r="A137" s="860" t="s">
        <v>235</v>
      </c>
      <c r="B137" s="1">
        <v>604</v>
      </c>
      <c r="C137" s="119">
        <v>0.5</v>
      </c>
      <c r="D137" s="119">
        <v>6.2306145265302697E-2</v>
      </c>
      <c r="E137" s="119">
        <v>6.4722160654121702E-2</v>
      </c>
      <c r="F137" s="119">
        <v>6.6695326047434306E-2</v>
      </c>
      <c r="G137" s="119">
        <v>6.8637639915340096E-2</v>
      </c>
      <c r="H137" s="119">
        <v>7.0135129837630997E-2</v>
      </c>
      <c r="I137" s="119">
        <v>7.2215572425900307E-2</v>
      </c>
      <c r="J137" s="119">
        <v>7.5092813908535297E-2</v>
      </c>
      <c r="K137" s="119">
        <v>7.78605164696307E-2</v>
      </c>
      <c r="L137" s="119">
        <v>8.3215688423521603E-2</v>
      </c>
      <c r="M137" s="119">
        <v>8.8786137761139E-2</v>
      </c>
      <c r="N137" s="119">
        <v>9.5616815293265697E-2</v>
      </c>
      <c r="O137" s="119">
        <v>0.102467727020914</v>
      </c>
      <c r="P137" s="119">
        <v>0.109161260548052</v>
      </c>
      <c r="Q137" s="119">
        <v>0.11539665556051899</v>
      </c>
      <c r="R137" s="119">
        <v>0.123441047790181</v>
      </c>
      <c r="S137" s="119">
        <v>0.130949540883076</v>
      </c>
      <c r="T137" s="119">
        <v>0.13959275618490799</v>
      </c>
      <c r="U137" s="119">
        <v>0.15134415600578099</v>
      </c>
      <c r="V137" s="119">
        <v>0.16446928356298701</v>
      </c>
      <c r="W137" s="119">
        <v>0.177295279144836</v>
      </c>
      <c r="X137" s="119">
        <v>0.19127114091799699</v>
      </c>
      <c r="Y137" s="119">
        <v>0.204628663536675</v>
      </c>
      <c r="Z137" s="119">
        <v>0.216693437850972</v>
      </c>
      <c r="AA137" s="119">
        <v>0.227133959288741</v>
      </c>
      <c r="AB137" s="119">
        <v>0.23788629423354701</v>
      </c>
      <c r="AC137" s="119">
        <v>0.24831508200279201</v>
      </c>
      <c r="AD137" s="119">
        <v>0.25828296955690599</v>
      </c>
      <c r="AE137" s="119">
        <v>0.271074552489319</v>
      </c>
      <c r="AF137" s="119">
        <v>0.28399649123477799</v>
      </c>
      <c r="AG137" s="119">
        <v>0.29713624918577802</v>
      </c>
      <c r="AH137" s="119">
        <v>0.30859016978522402</v>
      </c>
      <c r="AI137" s="119">
        <v>0.31145134441406402</v>
      </c>
      <c r="AJ137" s="119">
        <v>0.311878472275681</v>
      </c>
      <c r="AK137" s="119">
        <v>0.31304776345992502</v>
      </c>
      <c r="AL137" s="119">
        <v>0.31400233166374902</v>
      </c>
      <c r="AM137" s="119">
        <v>0.315156189845816</v>
      </c>
      <c r="AN137" s="119">
        <v>0.31643563572503403</v>
      </c>
      <c r="AO137" s="119">
        <v>0.32527657686577399</v>
      </c>
      <c r="AP137" s="119">
        <v>0.332322613380513</v>
      </c>
      <c r="AQ137" s="119">
        <v>0.33916338880317898</v>
      </c>
      <c r="AR137" s="119">
        <v>0.346813131701591</v>
      </c>
      <c r="AS137" s="119">
        <v>0.35455825537256702</v>
      </c>
      <c r="AT137" s="119">
        <v>0.35834633884199102</v>
      </c>
      <c r="AU137" s="119">
        <v>0.35869940357844099</v>
      </c>
      <c r="AV137" s="119">
        <v>0.36399775851345201</v>
      </c>
      <c r="AW137" s="119">
        <v>0.37274169149188302</v>
      </c>
      <c r="AX137" s="119">
        <v>0.38207243787487899</v>
      </c>
      <c r="AY137" s="119">
        <v>0.388322189029287</v>
      </c>
      <c r="AZ137" s="119">
        <v>0.39449557218758202</v>
      </c>
      <c r="BA137" s="119">
        <v>0.39920392609991101</v>
      </c>
      <c r="BB137" s="119">
        <v>0.404540633449332</v>
      </c>
      <c r="BC137" s="119">
        <v>0.40983864262601399</v>
      </c>
      <c r="BD137" s="119">
        <v>0.41525926145587999</v>
      </c>
      <c r="BE137" s="119">
        <v>0.420278179132272</v>
      </c>
      <c r="BF137" s="119">
        <v>0.425679316669965</v>
      </c>
      <c r="BG137" s="119">
        <v>0.42915078275829999</v>
      </c>
      <c r="BH137" s="119">
        <v>0.43518189604761298</v>
      </c>
      <c r="BI137" s="119">
        <v>0.43920943286500103</v>
      </c>
      <c r="BJ137" s="119">
        <v>0.443972116743937</v>
      </c>
      <c r="BK137" s="119">
        <v>0.44851283829750899</v>
      </c>
      <c r="BL137" s="119">
        <v>0.45164891047751898</v>
      </c>
    </row>
    <row r="138" spans="1:64" x14ac:dyDescent="0.25">
      <c r="A138" s="860" t="s">
        <v>57</v>
      </c>
      <c r="B138" s="1">
        <v>608</v>
      </c>
      <c r="C138" s="119">
        <v>0.5</v>
      </c>
      <c r="D138" s="119">
        <v>6.3067599383119094E-2</v>
      </c>
      <c r="E138" s="119">
        <v>6.6414346115526504E-2</v>
      </c>
      <c r="F138" s="119">
        <v>7.0446851762521204E-2</v>
      </c>
      <c r="G138" s="119">
        <v>7.5278232081022106E-2</v>
      </c>
      <c r="H138" s="119">
        <v>7.9326463013359799E-2</v>
      </c>
      <c r="I138" s="119">
        <v>8.4503437625597103E-2</v>
      </c>
      <c r="J138" s="119">
        <v>8.9486530305075002E-2</v>
      </c>
      <c r="K138" s="119">
        <v>9.3820283544275698E-2</v>
      </c>
      <c r="L138" s="119">
        <v>9.8226764665013094E-2</v>
      </c>
      <c r="M138" s="119">
        <v>0.102578195816646</v>
      </c>
      <c r="N138" s="119">
        <v>0.106749685896611</v>
      </c>
      <c r="O138" s="119">
        <v>0.110562760930558</v>
      </c>
      <c r="P138" s="119">
        <v>0.11361493242184301</v>
      </c>
      <c r="Q138" s="119">
        <v>0.116926700730556</v>
      </c>
      <c r="R138" s="119">
        <v>0.121051757375189</v>
      </c>
      <c r="S138" s="119">
        <v>0.12448386267054901</v>
      </c>
      <c r="T138" s="119">
        <v>0.12806051527982601</v>
      </c>
      <c r="U138" s="119">
        <v>0.13124438706328001</v>
      </c>
      <c r="V138" s="119">
        <v>0.13522001069876999</v>
      </c>
      <c r="W138" s="119">
        <v>0.139221199640024</v>
      </c>
      <c r="X138" s="119">
        <v>0.14279589221229</v>
      </c>
      <c r="Y138" s="119">
        <v>0.14634007517074599</v>
      </c>
      <c r="Z138" s="119">
        <v>0.15091058497424301</v>
      </c>
      <c r="AA138" s="119">
        <v>0.156955087278148</v>
      </c>
      <c r="AB138" s="119">
        <v>0.16702409080208999</v>
      </c>
      <c r="AC138" s="119">
        <v>0.17641570260172201</v>
      </c>
      <c r="AD138" s="119">
        <v>0.186117724434785</v>
      </c>
      <c r="AE138" s="119">
        <v>0.18882828453574499</v>
      </c>
      <c r="AF138" s="119">
        <v>0.185433613867552</v>
      </c>
      <c r="AG138" s="119">
        <v>0.19716689087249301</v>
      </c>
      <c r="AH138" s="119">
        <v>0.203492093466765</v>
      </c>
      <c r="AI138" s="119">
        <v>0.20809848875852099</v>
      </c>
      <c r="AJ138" s="119">
        <v>0.210974145172481</v>
      </c>
      <c r="AK138" s="119">
        <v>0.20968864991636199</v>
      </c>
      <c r="AL138" s="119">
        <v>0.21604730314708401</v>
      </c>
      <c r="AM138" s="119">
        <v>0.22096125689957499</v>
      </c>
      <c r="AN138" s="119">
        <v>0.22265246533084199</v>
      </c>
      <c r="AO138" s="119">
        <v>0.21976704609727099</v>
      </c>
      <c r="AP138" s="119">
        <v>0.21813005411198899</v>
      </c>
      <c r="AQ138" s="119">
        <v>0.22006041664030901</v>
      </c>
      <c r="AR138" s="119">
        <v>0.22388851363541301</v>
      </c>
      <c r="AS138" s="119">
        <v>0.22837093871348499</v>
      </c>
      <c r="AT138" s="119">
        <v>0.23303554154768399</v>
      </c>
      <c r="AU138" s="119">
        <v>0.237390877415046</v>
      </c>
      <c r="AV138" s="119">
        <v>0.241656031583243</v>
      </c>
      <c r="AW138" s="119">
        <v>0.24413697775149501</v>
      </c>
      <c r="AX138" s="119">
        <v>0.24769583188446501</v>
      </c>
      <c r="AY138" s="119">
        <v>0.24995460628093299</v>
      </c>
      <c r="AZ138" s="119">
        <v>0.25342516098421197</v>
      </c>
      <c r="BA138" s="119">
        <v>0.25632497541272398</v>
      </c>
      <c r="BB138" s="119">
        <v>0.25985620297277401</v>
      </c>
      <c r="BC138" s="119">
        <v>0.263839741337628</v>
      </c>
      <c r="BD138" s="119">
        <v>0.26783063895263098</v>
      </c>
      <c r="BE138" s="119">
        <v>0.27094035234498898</v>
      </c>
      <c r="BF138" s="119">
        <v>0.27470280391507002</v>
      </c>
      <c r="BG138" s="119">
        <v>0.278329271911886</v>
      </c>
      <c r="BH138" s="119">
        <v>0.28041984889524602</v>
      </c>
      <c r="BI138" s="119">
        <v>0.28409258584395097</v>
      </c>
      <c r="BJ138" s="119">
        <v>0.28525038909918898</v>
      </c>
      <c r="BK138" s="119">
        <v>0.28733337939075398</v>
      </c>
      <c r="BL138" s="119">
        <v>0.29056032375386398</v>
      </c>
    </row>
    <row r="139" spans="1:64" x14ac:dyDescent="0.25">
      <c r="A139" s="860" t="s">
        <v>236</v>
      </c>
      <c r="B139" s="1">
        <v>616</v>
      </c>
      <c r="C139" s="119">
        <v>0.5</v>
      </c>
      <c r="D139" s="119">
        <v>9.4116566662022297E-2</v>
      </c>
      <c r="E139" s="119">
        <v>9.7105102217388606E-2</v>
      </c>
      <c r="F139" s="119">
        <v>0.101250410767392</v>
      </c>
      <c r="G139" s="119">
        <v>0.111649601155352</v>
      </c>
      <c r="H139" s="119">
        <v>0.12478808300105999</v>
      </c>
      <c r="I139" s="119">
        <v>0.137195493327948</v>
      </c>
      <c r="J139" s="119">
        <v>0.15175590829511901</v>
      </c>
      <c r="K139" s="119">
        <v>0.16754771052320899</v>
      </c>
      <c r="L139" s="119">
        <v>0.17504077883016</v>
      </c>
      <c r="M139" s="119">
        <v>0.18026776043208301</v>
      </c>
      <c r="N139" s="119">
        <v>0.18742465937755601</v>
      </c>
      <c r="O139" s="119">
        <v>0.194394889035887</v>
      </c>
      <c r="P139" s="119">
        <v>0.19888704972570601</v>
      </c>
      <c r="Q139" s="119">
        <v>0.20435012304680999</v>
      </c>
      <c r="R139" s="119">
        <v>0.20968597931878599</v>
      </c>
      <c r="S139" s="119">
        <v>0.21486265642726299</v>
      </c>
      <c r="T139" s="119">
        <v>0.22208487821473299</v>
      </c>
      <c r="U139" s="119">
        <v>0.22671094144682899</v>
      </c>
      <c r="V139" s="119">
        <v>0.23255032296550299</v>
      </c>
      <c r="W139" s="119">
        <v>0.236238805290066</v>
      </c>
      <c r="X139" s="119">
        <v>0.24124211594418901</v>
      </c>
      <c r="Y139" s="119">
        <v>0.246896026583872</v>
      </c>
      <c r="Z139" s="119">
        <v>0.25297146893252298</v>
      </c>
      <c r="AA139" s="119">
        <v>0.26063737821239003</v>
      </c>
      <c r="AB139" s="119">
        <v>0.26606616064779098</v>
      </c>
      <c r="AC139" s="119">
        <v>0.27198574350472898</v>
      </c>
      <c r="AD139" s="119">
        <v>0.278054186734914</v>
      </c>
      <c r="AE139" s="119">
        <v>0.282927263544483</v>
      </c>
      <c r="AF139" s="119">
        <v>0.28944025387726102</v>
      </c>
      <c r="AG139" s="119">
        <v>0.294992012043094</v>
      </c>
      <c r="AH139" s="119">
        <v>0.299800831701309</v>
      </c>
      <c r="AI139" s="119">
        <v>0.30349843863190901</v>
      </c>
      <c r="AJ139" s="119">
        <v>0.30881563468058698</v>
      </c>
      <c r="AK139" s="119">
        <v>0.31422946683623298</v>
      </c>
      <c r="AL139" s="119">
        <v>0.320629579804386</v>
      </c>
      <c r="AM139" s="119">
        <v>0.32594166941670399</v>
      </c>
      <c r="AN139" s="119">
        <v>0.32981433567451901</v>
      </c>
      <c r="AO139" s="119">
        <v>0.33558412773517898</v>
      </c>
      <c r="AP139" s="119">
        <v>0.34149647284913598</v>
      </c>
      <c r="AQ139" s="119">
        <v>0.34744802656026502</v>
      </c>
      <c r="AR139" s="119">
        <v>0.35483397231484598</v>
      </c>
      <c r="AS139" s="119">
        <v>0.363409397583496</v>
      </c>
      <c r="AT139" s="119">
        <v>0.37332007596779199</v>
      </c>
      <c r="AU139" s="119">
        <v>0.382717823398882</v>
      </c>
      <c r="AV139" s="119">
        <v>0.39176356123746597</v>
      </c>
      <c r="AW139" s="119">
        <v>0.398837364070733</v>
      </c>
      <c r="AX139" s="119">
        <v>0.40597151020486499</v>
      </c>
      <c r="AY139" s="119">
        <v>0.41204600474284803</v>
      </c>
      <c r="AZ139" s="119">
        <v>0.41725859962919198</v>
      </c>
      <c r="BA139" s="119">
        <v>0.424035068416453</v>
      </c>
      <c r="BB139" s="119">
        <v>0.427628540907323</v>
      </c>
      <c r="BC139" s="119">
        <v>0.43267602813853401</v>
      </c>
      <c r="BD139" s="119">
        <v>0.43581215336504697</v>
      </c>
      <c r="BE139" s="119">
        <v>0.44046713999593401</v>
      </c>
      <c r="BF139" s="119">
        <v>0.44426641787779803</v>
      </c>
      <c r="BG139" s="119">
        <v>0.44711343999415598</v>
      </c>
      <c r="BH139" s="119">
        <v>0.44858741583842798</v>
      </c>
      <c r="BI139" s="119">
        <v>0.45162073719039098</v>
      </c>
      <c r="BJ139" s="119">
        <v>0.45413588765583401</v>
      </c>
      <c r="BK139" s="119">
        <v>0.454712250846733</v>
      </c>
      <c r="BL139" s="119">
        <v>0.45683086338377399</v>
      </c>
    </row>
    <row r="140" spans="1:64" x14ac:dyDescent="0.25">
      <c r="A140" s="860" t="s">
        <v>237</v>
      </c>
      <c r="B140" s="1">
        <v>620</v>
      </c>
      <c r="C140" s="119">
        <v>0.5</v>
      </c>
      <c r="D140" s="119">
        <v>0.19776700126478799</v>
      </c>
      <c r="E140" s="119">
        <v>0.20355177713949099</v>
      </c>
      <c r="F140" s="119">
        <v>0.21157744634233899</v>
      </c>
      <c r="G140" s="119">
        <v>0.21931432577155899</v>
      </c>
      <c r="H140" s="119">
        <v>0.225869545475443</v>
      </c>
      <c r="I140" s="119">
        <v>0.23379341585055499</v>
      </c>
      <c r="J140" s="119">
        <v>0.24232299196761301</v>
      </c>
      <c r="K140" s="119">
        <v>0.248799240452448</v>
      </c>
      <c r="L140" s="119">
        <v>0.25992369564812001</v>
      </c>
      <c r="M140" s="119">
        <v>0.268218836602577</v>
      </c>
      <c r="N140" s="119">
        <v>0.27417274632811001</v>
      </c>
      <c r="O140" s="119">
        <v>0.28191445542690902</v>
      </c>
      <c r="P140" s="119">
        <v>0.29032871337239202</v>
      </c>
      <c r="Q140" s="119">
        <v>0.29488512805886002</v>
      </c>
      <c r="R140" s="119">
        <v>0.300896380001547</v>
      </c>
      <c r="S140" s="119">
        <v>0.306781975277715</v>
      </c>
      <c r="T140" s="119">
        <v>0.31693249885820102</v>
      </c>
      <c r="U140" s="119">
        <v>0.32468254003185598</v>
      </c>
      <c r="V140" s="119">
        <v>0.329621228005607</v>
      </c>
      <c r="W140" s="119">
        <v>0.33732734268549602</v>
      </c>
      <c r="X140" s="119">
        <v>0.34413283923073801</v>
      </c>
      <c r="Y140" s="119">
        <v>0.35251894380247301</v>
      </c>
      <c r="Z140" s="119">
        <v>0.361721071722368</v>
      </c>
      <c r="AA140" s="119">
        <v>0.37252213260601702</v>
      </c>
      <c r="AB140" s="119">
        <v>0.381592011392408</v>
      </c>
      <c r="AC140" s="119">
        <v>0.39251412088578003</v>
      </c>
      <c r="AD140" s="119">
        <v>0.404299115725272</v>
      </c>
      <c r="AE140" s="119">
        <v>0.41474888492029299</v>
      </c>
      <c r="AF140" s="119">
        <v>0.42011808243896298</v>
      </c>
      <c r="AG140" s="119">
        <v>0.42602580574125898</v>
      </c>
      <c r="AH140" s="119">
        <v>0.43322997856022399</v>
      </c>
      <c r="AI140" s="119">
        <v>0.43835460554433697</v>
      </c>
      <c r="AJ140" s="119">
        <v>0.44661427538784398</v>
      </c>
      <c r="AK140" s="119">
        <v>0.45312777976799301</v>
      </c>
      <c r="AL140" s="119">
        <v>0.45836753996802798</v>
      </c>
      <c r="AM140" s="119">
        <v>0.46439019917531499</v>
      </c>
      <c r="AN140" s="119">
        <v>0.46812085549939703</v>
      </c>
      <c r="AO140" s="119">
        <v>0.47224838416207399</v>
      </c>
      <c r="AP140" s="119">
        <v>0.47615173244103498</v>
      </c>
      <c r="AQ140" s="119">
        <v>0.47898512955369998</v>
      </c>
      <c r="AR140" s="119">
        <v>0.48131182423705299</v>
      </c>
      <c r="AS140" s="119">
        <v>0.48416840235502201</v>
      </c>
      <c r="AT140" s="119">
        <v>0.48594602519151803</v>
      </c>
      <c r="AU140" s="119">
        <v>0.48990799675318702</v>
      </c>
      <c r="AV140" s="119">
        <v>0.49406642273594598</v>
      </c>
      <c r="AW140" s="119">
        <v>0.49467074644106301</v>
      </c>
      <c r="AX140" s="119">
        <v>0.49544444586174002</v>
      </c>
      <c r="AY140" s="119">
        <v>0.4987708696373</v>
      </c>
      <c r="AZ140" s="119">
        <v>0.49976660900810099</v>
      </c>
      <c r="BA140" s="119">
        <v>0.50309140064030999</v>
      </c>
      <c r="BB140" s="119">
        <v>0.50305429231462695</v>
      </c>
      <c r="BC140" s="119">
        <v>0.50463609528320097</v>
      </c>
      <c r="BD140" s="119">
        <v>0.50744376432984994</v>
      </c>
      <c r="BE140" s="119">
        <v>0.51067499407277195</v>
      </c>
      <c r="BF140" s="119">
        <v>0.51327227932295005</v>
      </c>
      <c r="BG140" s="119">
        <v>0.514972381792005</v>
      </c>
      <c r="BH140" s="119">
        <v>0.51693994328285198</v>
      </c>
      <c r="BI140" s="119">
        <v>0.51956385251583304</v>
      </c>
      <c r="BJ140" s="119">
        <v>0.522542931248418</v>
      </c>
      <c r="BK140" s="119">
        <v>0.52476042894078101</v>
      </c>
      <c r="BL140" s="119">
        <v>0.52693882959930505</v>
      </c>
    </row>
    <row r="141" spans="1:64" x14ac:dyDescent="0.25">
      <c r="A141" s="860" t="s">
        <v>238</v>
      </c>
      <c r="B141" s="1">
        <v>630</v>
      </c>
      <c r="C141" s="119">
        <v>0.5</v>
      </c>
      <c r="D141" s="119">
        <v>0.29178149475662501</v>
      </c>
      <c r="E141" s="119">
        <v>0.29535177882221803</v>
      </c>
      <c r="F141" s="119">
        <v>0.29786552285032902</v>
      </c>
      <c r="G141" s="119">
        <v>0.30266021715346703</v>
      </c>
      <c r="H141" s="119">
        <v>0.307012727552535</v>
      </c>
      <c r="I141" s="119">
        <v>0.31259942794080198</v>
      </c>
      <c r="J141" s="119">
        <v>0.32130358141014298</v>
      </c>
      <c r="K141" s="119">
        <v>0.32694612039710302</v>
      </c>
      <c r="L141" s="119">
        <v>0.33266326438718902</v>
      </c>
      <c r="M141" s="119">
        <v>0.33697287209062798</v>
      </c>
      <c r="N141" s="119">
        <v>0.34065265002040201</v>
      </c>
      <c r="O141" s="119">
        <v>0.34630301315955497</v>
      </c>
      <c r="P141" s="119">
        <v>0.351347805554866</v>
      </c>
      <c r="Q141" s="119">
        <v>0.35573206733997698</v>
      </c>
      <c r="R141" s="119">
        <v>0.35947072779637401</v>
      </c>
      <c r="S141" s="119">
        <v>0.361957713526465</v>
      </c>
      <c r="T141" s="119">
        <v>0.36710091593184702</v>
      </c>
      <c r="U141" s="119">
        <v>0.37275650969629298</v>
      </c>
      <c r="V141" s="119">
        <v>0.37811224860530601</v>
      </c>
      <c r="W141" s="119">
        <v>0.383181340886107</v>
      </c>
      <c r="X141" s="119">
        <v>0.38844821015924702</v>
      </c>
      <c r="Y141" s="119">
        <v>0.39361579687014697</v>
      </c>
      <c r="Z141" s="119">
        <v>0.39990939058360597</v>
      </c>
      <c r="AA141" s="119">
        <v>0.40461043614674702</v>
      </c>
      <c r="AB141" s="119">
        <v>0.41153600446994998</v>
      </c>
      <c r="AC141" s="119">
        <v>0.41582170888605102</v>
      </c>
      <c r="AD141" s="119">
        <v>0.42091859728598502</v>
      </c>
      <c r="AE141" s="119">
        <v>0.426974299320724</v>
      </c>
      <c r="AF141" s="119">
        <v>0.43294892043155903</v>
      </c>
      <c r="AG141" s="119">
        <v>0.43813342895617802</v>
      </c>
      <c r="AH141" s="119">
        <v>0.44388629676726299</v>
      </c>
      <c r="AI141" s="119">
        <v>0.44821713965125198</v>
      </c>
      <c r="AJ141" s="119">
        <v>0.45247320775259398</v>
      </c>
      <c r="AK141" s="119">
        <v>0.45774875566494799</v>
      </c>
      <c r="AL141" s="119">
        <v>0.461768939556642</v>
      </c>
      <c r="AM141" s="119">
        <v>0.464515677242963</v>
      </c>
      <c r="AN141" s="119">
        <v>0.46848881363181499</v>
      </c>
      <c r="AO141" s="119">
        <v>0.47049903086456302</v>
      </c>
      <c r="AP141" s="119">
        <v>0.47342794504560998</v>
      </c>
      <c r="AQ141" s="119">
        <v>0.47759171450906002</v>
      </c>
      <c r="AR141" s="119">
        <v>0.48059259056997899</v>
      </c>
      <c r="AS141" s="119">
        <v>0.484454109235397</v>
      </c>
      <c r="AT141" s="119">
        <v>0.48953427250029402</v>
      </c>
      <c r="AU141" s="119">
        <v>0.49231485960443</v>
      </c>
      <c r="AV141" s="119">
        <v>0.49609567545669903</v>
      </c>
      <c r="AW141" s="119">
        <v>0.50061183530662801</v>
      </c>
      <c r="AX141" s="119">
        <v>0.50553551867058</v>
      </c>
      <c r="AY141" s="119">
        <v>0.50972407125001695</v>
      </c>
      <c r="AZ141" s="119">
        <v>0.51346316592810703</v>
      </c>
      <c r="BA141" s="119">
        <v>0.51790153982578602</v>
      </c>
      <c r="BB141" s="119">
        <v>0.52021369203537504</v>
      </c>
      <c r="BC141" s="119">
        <v>0.51907887257156504</v>
      </c>
      <c r="BD141" s="119">
        <v>0.51924362717109596</v>
      </c>
      <c r="BE141" s="119">
        <v>0.51921418490331805</v>
      </c>
      <c r="BF141" s="119">
        <v>0.52031671557646697</v>
      </c>
      <c r="BG141" s="119">
        <v>0.52125460963816805</v>
      </c>
      <c r="BH141" s="119">
        <v>0.52438704924704804</v>
      </c>
      <c r="BI141" s="119">
        <v>0.52533632276231002</v>
      </c>
      <c r="BJ141" s="119">
        <v>0.52974663619388995</v>
      </c>
      <c r="BK141" s="119">
        <v>0.535225185177996</v>
      </c>
      <c r="BL141" s="119">
        <v>0.54146921004121795</v>
      </c>
    </row>
    <row r="142" spans="1:64" x14ac:dyDescent="0.25">
      <c r="A142" s="860" t="s">
        <v>239</v>
      </c>
      <c r="B142" s="1">
        <v>634</v>
      </c>
      <c r="C142" s="119">
        <v>0.5</v>
      </c>
      <c r="D142" s="119">
        <v>9.8295235887069399E-2</v>
      </c>
      <c r="E142" s="119">
        <v>0.101871018702925</v>
      </c>
      <c r="F142" s="119">
        <v>0.106536719175297</v>
      </c>
      <c r="G142" s="119">
        <v>0.111223700579831</v>
      </c>
      <c r="H142" s="119">
        <v>0.115107908089104</v>
      </c>
      <c r="I142" s="119">
        <v>0.12021367867607199</v>
      </c>
      <c r="J142" s="119">
        <v>0.123968453183667</v>
      </c>
      <c r="K142" s="119">
        <v>0.12876693264563299</v>
      </c>
      <c r="L142" s="119">
        <v>0.13483725589513201</v>
      </c>
      <c r="M142" s="119">
        <v>0.141865255346806</v>
      </c>
      <c r="N142" s="119">
        <v>0.14862554840578199</v>
      </c>
      <c r="O142" s="119">
        <v>0.15491227818520301</v>
      </c>
      <c r="P142" s="119">
        <v>0.16203416132148199</v>
      </c>
      <c r="Q142" s="119">
        <v>0.167467864135974</v>
      </c>
      <c r="R142" s="119">
        <v>0.17340178008278501</v>
      </c>
      <c r="S142" s="119">
        <v>0.18042332830117999</v>
      </c>
      <c r="T142" s="119">
        <v>0.18629292457219901</v>
      </c>
      <c r="U142" s="119">
        <v>0.19252673163629899</v>
      </c>
      <c r="V142" s="119">
        <v>0.196467117299234</v>
      </c>
      <c r="W142" s="119">
        <v>0.20064089369930599</v>
      </c>
      <c r="X142" s="119">
        <v>0.20381538613705599</v>
      </c>
      <c r="Y142" s="119">
        <v>0.20676789433406201</v>
      </c>
      <c r="Z142" s="119">
        <v>0.21004430101965901</v>
      </c>
      <c r="AA142" s="119">
        <v>0.213041809719965</v>
      </c>
      <c r="AB142" s="119">
        <v>0.21528978010788899</v>
      </c>
      <c r="AC142" s="119">
        <v>0.218104342124982</v>
      </c>
      <c r="AD142" s="119">
        <v>0.21834642186676501</v>
      </c>
      <c r="AE142" s="119">
        <v>0.21760225295611499</v>
      </c>
      <c r="AF142" s="119">
        <v>0.216453604668184</v>
      </c>
      <c r="AG142" s="119">
        <v>0.217490884354055</v>
      </c>
      <c r="AH142" s="119">
        <v>0.21821122359519199</v>
      </c>
      <c r="AI142" s="119">
        <v>0.218651738440828</v>
      </c>
      <c r="AJ142" s="119">
        <v>0.218986305235708</v>
      </c>
      <c r="AK142" s="119">
        <v>0.21946592110697799</v>
      </c>
      <c r="AL142" s="119">
        <v>0.22234905639414701</v>
      </c>
      <c r="AM142" s="119">
        <v>0.22494924972237201</v>
      </c>
      <c r="AN142" s="119">
        <v>0.22326006891510999</v>
      </c>
      <c r="AO142" s="119">
        <v>0.22151237197488199</v>
      </c>
      <c r="AP142" s="119">
        <v>0.22414643376875501</v>
      </c>
      <c r="AQ142" s="119">
        <v>0.227578027937203</v>
      </c>
      <c r="AR142" s="119">
        <v>0.232288143434532</v>
      </c>
      <c r="AS142" s="119">
        <v>0.23216875475628701</v>
      </c>
      <c r="AT142" s="119">
        <v>0.23396224005041599</v>
      </c>
      <c r="AU142" s="119">
        <v>0.23568961572716601</v>
      </c>
      <c r="AV142" s="119">
        <v>0.24091722067704699</v>
      </c>
      <c r="AW142" s="119">
        <v>0.24554932251889</v>
      </c>
      <c r="AX142" s="119">
        <v>0.24897137049086701</v>
      </c>
      <c r="AY142" s="119">
        <v>0.25040792149818702</v>
      </c>
      <c r="AZ142" s="119">
        <v>0.25229346883235299</v>
      </c>
      <c r="BA142" s="119">
        <v>0.25340246217746298</v>
      </c>
      <c r="BB142" s="119">
        <v>0.25784850971378798</v>
      </c>
      <c r="BC142" s="119">
        <v>0.258190543463376</v>
      </c>
      <c r="BD142" s="119">
        <v>0.258674607291491</v>
      </c>
      <c r="BE142" s="119">
        <v>0.26020432631136298</v>
      </c>
      <c r="BF142" s="119">
        <v>0.26221886506179298</v>
      </c>
      <c r="BG142" s="119">
        <v>0.26487428337700802</v>
      </c>
      <c r="BH142" s="119">
        <v>0.26668070132645899</v>
      </c>
      <c r="BI142" s="119">
        <v>0.27024328514382001</v>
      </c>
      <c r="BJ142" s="119">
        <v>0.27173246982063398</v>
      </c>
      <c r="BK142" s="119">
        <v>0.27396212346127902</v>
      </c>
      <c r="BL142" s="119">
        <v>0.27794046370692499</v>
      </c>
    </row>
    <row r="143" spans="1:64" x14ac:dyDescent="0.25">
      <c r="A143" s="860" t="s">
        <v>240</v>
      </c>
      <c r="B143" s="1">
        <v>410</v>
      </c>
      <c r="C143" s="119">
        <v>0.5</v>
      </c>
      <c r="D143" s="119">
        <v>0.12704357842063599</v>
      </c>
      <c r="E143" s="119">
        <v>0.13657477732298301</v>
      </c>
      <c r="F143" s="119">
        <v>0.14909985520928601</v>
      </c>
      <c r="G143" s="119">
        <v>0.16311733515916699</v>
      </c>
      <c r="H143" s="119">
        <v>0.17761166233852299</v>
      </c>
      <c r="I143" s="119">
        <v>0.19402812603236599</v>
      </c>
      <c r="J143" s="119">
        <v>0.20949042919482899</v>
      </c>
      <c r="K143" s="119">
        <v>0.22525739019622301</v>
      </c>
      <c r="L143" s="119">
        <v>0.23878666574232299</v>
      </c>
      <c r="M143" s="119">
        <v>0.25365890328200003</v>
      </c>
      <c r="N143" s="119">
        <v>0.26694076208671003</v>
      </c>
      <c r="O143" s="119">
        <v>0.27958329352681399</v>
      </c>
      <c r="P143" s="119">
        <v>0.29152295996989103</v>
      </c>
      <c r="Q143" s="119">
        <v>0.309181059477253</v>
      </c>
      <c r="R143" s="119">
        <v>0.32702036028220199</v>
      </c>
      <c r="S143" s="119">
        <v>0.34308973423725903</v>
      </c>
      <c r="T143" s="119">
        <v>0.35808085859723099</v>
      </c>
      <c r="U143" s="119">
        <v>0.370323993907681</v>
      </c>
      <c r="V143" s="119">
        <v>0.38248233966492701</v>
      </c>
      <c r="W143" s="119">
        <v>0.39219744458781602</v>
      </c>
      <c r="X143" s="119">
        <v>0.400691726677538</v>
      </c>
      <c r="Y143" s="119">
        <v>0.40849745776027901</v>
      </c>
      <c r="Z143" s="119">
        <v>0.41379660509471899</v>
      </c>
      <c r="AA143" s="119">
        <v>0.41787052695218302</v>
      </c>
      <c r="AB143" s="119">
        <v>0.42215807524335103</v>
      </c>
      <c r="AC143" s="119">
        <v>0.42639443605518601</v>
      </c>
      <c r="AD143" s="119">
        <v>0.43051621284696601</v>
      </c>
      <c r="AE143" s="119">
        <v>0.43496590935552998</v>
      </c>
      <c r="AF143" s="119">
        <v>0.43774362407260797</v>
      </c>
      <c r="AG143" s="119">
        <v>0.442969813587066</v>
      </c>
      <c r="AH143" s="119">
        <v>0.44696993097079002</v>
      </c>
      <c r="AI143" s="119">
        <v>0.45325313928669497</v>
      </c>
      <c r="AJ143" s="119">
        <v>0.45951385807175998</v>
      </c>
      <c r="AK143" s="119">
        <v>0.46556456817551201</v>
      </c>
      <c r="AL143" s="119">
        <v>0.46842550120939203</v>
      </c>
      <c r="AM143" s="119">
        <v>0.46909474723096201</v>
      </c>
      <c r="AN143" s="119">
        <v>0.46932854063524698</v>
      </c>
      <c r="AO143" s="119">
        <v>0.46942218560909099</v>
      </c>
      <c r="AP143" s="119">
        <v>0.46884329172237299</v>
      </c>
      <c r="AQ143" s="119">
        <v>0.46789044405602997</v>
      </c>
      <c r="AR143" s="119">
        <v>0.46645382272064501</v>
      </c>
      <c r="AS143" s="119">
        <v>0.46645379442831297</v>
      </c>
      <c r="AT143" s="119">
        <v>0.46492171015349298</v>
      </c>
      <c r="AU143" s="119">
        <v>0.466346182847169</v>
      </c>
      <c r="AV143" s="119">
        <v>0.46851372835506799</v>
      </c>
      <c r="AW143" s="119">
        <v>0.471339614580011</v>
      </c>
      <c r="AX143" s="119">
        <v>0.47631607559563499</v>
      </c>
      <c r="AY143" s="119">
        <v>0.47980373561862399</v>
      </c>
      <c r="AZ143" s="119">
        <v>0.48429684523105998</v>
      </c>
      <c r="BA143" s="119">
        <v>0.48612367311361399</v>
      </c>
      <c r="BB143" s="119">
        <v>0.48755320527254897</v>
      </c>
      <c r="BC143" s="119">
        <v>0.48903513575701701</v>
      </c>
      <c r="BD143" s="119">
        <v>0.49193714026144297</v>
      </c>
      <c r="BE143" s="119">
        <v>0.49517263503059</v>
      </c>
      <c r="BF143" s="119">
        <v>0.49724945444536001</v>
      </c>
      <c r="BG143" s="119">
        <v>0.49824451960548399</v>
      </c>
      <c r="BH143" s="119">
        <v>0.50099209895980401</v>
      </c>
      <c r="BI143" s="119">
        <v>0.50535931280926305</v>
      </c>
      <c r="BJ143" s="119">
        <v>0.50691932841972698</v>
      </c>
      <c r="BK143" s="119">
        <v>0.50897670357094205</v>
      </c>
      <c r="BL143" s="119">
        <v>0.51125554886291402</v>
      </c>
    </row>
    <row r="144" spans="1:64" x14ac:dyDescent="0.25">
      <c r="A144" s="860" t="s">
        <v>241</v>
      </c>
      <c r="B144" s="1">
        <v>498</v>
      </c>
      <c r="C144" s="119">
        <v>0.5</v>
      </c>
      <c r="D144" s="119">
        <v>0.15524884905560901</v>
      </c>
      <c r="E144" s="119">
        <v>0.16140295610743499</v>
      </c>
      <c r="F144" s="119">
        <v>0.16666495985551</v>
      </c>
      <c r="G144" s="119">
        <v>0.17147139461935401</v>
      </c>
      <c r="H144" s="119">
        <v>0.17870288693306899</v>
      </c>
      <c r="I144" s="119">
        <v>0.18469873044381699</v>
      </c>
      <c r="J144" s="119">
        <v>0.18973675754230501</v>
      </c>
      <c r="K144" s="119">
        <v>0.19563003162387499</v>
      </c>
      <c r="L144" s="119">
        <v>0.202715661417603</v>
      </c>
      <c r="M144" s="119">
        <v>0.21236854879153699</v>
      </c>
      <c r="N144" s="119">
        <v>0.21802220760657501</v>
      </c>
      <c r="O144" s="119">
        <v>0.22594740727372101</v>
      </c>
      <c r="P144" s="119">
        <v>0.23424756245787801</v>
      </c>
      <c r="Q144" s="119">
        <v>0.240411721347872</v>
      </c>
      <c r="R144" s="119">
        <v>0.248125595606731</v>
      </c>
      <c r="S144" s="119">
        <v>0.25597762228716198</v>
      </c>
      <c r="T144" s="119">
        <v>0.26520002286723399</v>
      </c>
      <c r="U144" s="119">
        <v>0.27316354575859197</v>
      </c>
      <c r="V144" s="119">
        <v>0.28210452947363501</v>
      </c>
      <c r="W144" s="119">
        <v>0.28772905802614301</v>
      </c>
      <c r="X144" s="119">
        <v>0.29253527466309198</v>
      </c>
      <c r="Y144" s="119">
        <v>0.29967522904916799</v>
      </c>
      <c r="Z144" s="119">
        <v>0.30578270104521399</v>
      </c>
      <c r="AA144" s="119">
        <v>0.31085493394514702</v>
      </c>
      <c r="AB144" s="119">
        <v>0.31704949346699302</v>
      </c>
      <c r="AC144" s="119">
        <v>0.32317676467395301</v>
      </c>
      <c r="AD144" s="119">
        <v>0.32751954743531297</v>
      </c>
      <c r="AE144" s="119">
        <v>0.33040283712748902</v>
      </c>
      <c r="AF144" s="119">
        <v>0.33173905128737802</v>
      </c>
      <c r="AG144" s="119">
        <v>0.33125436734522101</v>
      </c>
      <c r="AH144" s="119">
        <v>0.32904431332737999</v>
      </c>
      <c r="AI144" s="119">
        <v>0.33057261140348898</v>
      </c>
      <c r="AJ144" s="119">
        <v>0.331828159969903</v>
      </c>
      <c r="AK144" s="119">
        <v>0.333404903747201</v>
      </c>
      <c r="AL144" s="119">
        <v>0.33523707490732302</v>
      </c>
      <c r="AM144" s="119">
        <v>0.33677099536883698</v>
      </c>
      <c r="AN144" s="119">
        <v>0.34079078862715001</v>
      </c>
      <c r="AO144" s="119">
        <v>0.343856773477758</v>
      </c>
      <c r="AP144" s="119">
        <v>0.34911042065178399</v>
      </c>
      <c r="AQ144" s="119">
        <v>0.352146219288345</v>
      </c>
      <c r="AR144" s="119">
        <v>0.35664462029286198</v>
      </c>
      <c r="AS144" s="119">
        <v>0.35948567810309801</v>
      </c>
      <c r="AT144" s="119">
        <v>0.36255992491050598</v>
      </c>
      <c r="AU144" s="119">
        <v>0.36738131068400298</v>
      </c>
      <c r="AV144" s="119">
        <v>0.371564473250106</v>
      </c>
      <c r="AW144" s="119">
        <v>0.37464073075291798</v>
      </c>
      <c r="AX144" s="119">
        <v>0.37922412418401702</v>
      </c>
      <c r="AY144" s="119">
        <v>0.38382862098662801</v>
      </c>
      <c r="AZ144" s="119">
        <v>0.38868483526471498</v>
      </c>
      <c r="BA144" s="119">
        <v>0.39180090758995401</v>
      </c>
      <c r="BB144" s="119">
        <v>0.39504020603734802</v>
      </c>
      <c r="BC144" s="119">
        <v>0.39877617466994802</v>
      </c>
      <c r="BD144" s="119">
        <v>0.40196032806274801</v>
      </c>
      <c r="BE144" s="119">
        <v>0.40504518145852603</v>
      </c>
      <c r="BF144" s="119">
        <v>0.41020111335805898</v>
      </c>
      <c r="BG144" s="119">
        <v>0.413914693759733</v>
      </c>
      <c r="BH144" s="119">
        <v>0.41704714840380402</v>
      </c>
      <c r="BI144" s="119">
        <v>0.42147532568972101</v>
      </c>
      <c r="BJ144" s="119">
        <v>0.42459937990692898</v>
      </c>
      <c r="BK144" s="119">
        <v>0.42771048659371902</v>
      </c>
      <c r="BL144" s="119">
        <v>0.42987163175054299</v>
      </c>
    </row>
    <row r="145" spans="1:64" x14ac:dyDescent="0.25">
      <c r="A145" s="860" t="s">
        <v>242</v>
      </c>
      <c r="B145" s="1">
        <v>638</v>
      </c>
      <c r="C145" s="119">
        <v>0.5</v>
      </c>
      <c r="D145" s="119">
        <v>0.18966847681062399</v>
      </c>
      <c r="E145" s="119">
        <v>0.20415498626332701</v>
      </c>
      <c r="F145" s="119">
        <v>0.21776503455780699</v>
      </c>
      <c r="G145" s="119">
        <v>0.23328383724416499</v>
      </c>
      <c r="H145" s="119">
        <v>0.24852665765946</v>
      </c>
      <c r="I145" s="119">
        <v>0.26458604728676499</v>
      </c>
      <c r="J145" s="119">
        <v>0.27675252631602798</v>
      </c>
      <c r="K145" s="119">
        <v>0.29134085260272802</v>
      </c>
      <c r="L145" s="119">
        <v>0.303137780246858</v>
      </c>
      <c r="M145" s="119">
        <v>0.313750790646737</v>
      </c>
      <c r="N145" s="119">
        <v>0.32580172943330099</v>
      </c>
      <c r="O145" s="119">
        <v>0.337912292916067</v>
      </c>
      <c r="P145" s="119">
        <v>0.34859623906036702</v>
      </c>
      <c r="Q145" s="119">
        <v>0.35822984797927898</v>
      </c>
      <c r="R145" s="119">
        <v>0.36787469259817901</v>
      </c>
      <c r="S145" s="119">
        <v>0.37870326195146198</v>
      </c>
      <c r="T145" s="119">
        <v>0.38826825648126401</v>
      </c>
      <c r="U145" s="119">
        <v>0.396156009544886</v>
      </c>
      <c r="V145" s="119">
        <v>0.40619749489814</v>
      </c>
      <c r="W145" s="119">
        <v>0.41434168194413201</v>
      </c>
      <c r="X145" s="119">
        <v>0.42294230851141601</v>
      </c>
      <c r="Y145" s="119">
        <v>0.42831271712082503</v>
      </c>
      <c r="Z145" s="119">
        <v>0.43254262706220997</v>
      </c>
      <c r="AA145" s="119">
        <v>0.43844097998118098</v>
      </c>
      <c r="AB145" s="119">
        <v>0.44226083975691999</v>
      </c>
      <c r="AC145" s="119">
        <v>0.44457591055699702</v>
      </c>
      <c r="AD145" s="119">
        <v>0.44741162751983998</v>
      </c>
      <c r="AE145" s="119">
        <v>0.45210843040375998</v>
      </c>
      <c r="AF145" s="119">
        <v>0.45368739712577499</v>
      </c>
      <c r="AG145" s="119">
        <v>0.45674214006703001</v>
      </c>
      <c r="AH145" s="119">
        <v>0.45745762569068399</v>
      </c>
      <c r="AI145" s="119">
        <v>0.45979888783585299</v>
      </c>
      <c r="AJ145" s="119">
        <v>0.46054564219641803</v>
      </c>
      <c r="AK145" s="119">
        <v>0.45897598534059098</v>
      </c>
      <c r="AL145" s="119">
        <v>0.45839011443405098</v>
      </c>
      <c r="AM145" s="119">
        <v>0.45825317012955502</v>
      </c>
      <c r="AN145" s="119">
        <v>0.45986736943775303</v>
      </c>
      <c r="AO145" s="119">
        <v>0.46158019916155002</v>
      </c>
      <c r="AP145" s="119">
        <v>0.462984116480602</v>
      </c>
      <c r="AQ145" s="119">
        <v>0.463011421047475</v>
      </c>
      <c r="AR145" s="119">
        <v>0.46277955651178398</v>
      </c>
      <c r="AS145" s="119">
        <v>0.46371369313817501</v>
      </c>
      <c r="AT145" s="119">
        <v>0.46536939753447898</v>
      </c>
      <c r="AU145" s="119">
        <v>0.46845395135263102</v>
      </c>
      <c r="AV145" s="119">
        <v>0.46772225666080203</v>
      </c>
      <c r="AW145" s="119">
        <v>0.469330286384186</v>
      </c>
      <c r="AX145" s="119">
        <v>0.46836527434664399</v>
      </c>
      <c r="AY145" s="119">
        <v>0.46861776201098398</v>
      </c>
      <c r="AZ145" s="119">
        <v>0.468748307428763</v>
      </c>
      <c r="BA145" s="119">
        <v>0.46924553567017502</v>
      </c>
      <c r="BB145" s="119">
        <v>0.469318356598804</v>
      </c>
      <c r="BC145" s="119">
        <v>0.47046590929470999</v>
      </c>
      <c r="BD145" s="119">
        <v>0.47250022852686202</v>
      </c>
      <c r="BE145" s="119">
        <v>0.47410987749092798</v>
      </c>
      <c r="BF145" s="119">
        <v>0.47783435910609501</v>
      </c>
      <c r="BG145" s="119">
        <v>0.478913880334983</v>
      </c>
      <c r="BH145" s="119">
        <v>0.48070332671020299</v>
      </c>
      <c r="BI145" s="119">
        <v>0.47974485019818103</v>
      </c>
      <c r="BJ145" s="119">
        <v>0.48210158450389101</v>
      </c>
      <c r="BK145" s="119">
        <v>0.48556565538993501</v>
      </c>
      <c r="BL145" s="119">
        <v>0.48704929415834802</v>
      </c>
    </row>
    <row r="146" spans="1:64" x14ac:dyDescent="0.25">
      <c r="A146" s="860" t="s">
        <v>243</v>
      </c>
      <c r="B146" s="1">
        <v>642</v>
      </c>
      <c r="C146" s="119">
        <v>0.5</v>
      </c>
      <c r="D146" s="119">
        <v>4.42843236880128E-2</v>
      </c>
      <c r="E146" s="119">
        <v>4.7157924813545297E-2</v>
      </c>
      <c r="F146" s="119">
        <v>4.9689624570917801E-2</v>
      </c>
      <c r="G146" s="119">
        <v>5.25574866987078E-2</v>
      </c>
      <c r="H146" s="119">
        <v>5.5666868597185303E-2</v>
      </c>
      <c r="I146" s="119">
        <v>5.84628103323582E-2</v>
      </c>
      <c r="J146" s="119">
        <v>6.1408647725056401E-2</v>
      </c>
      <c r="K146" s="119">
        <v>6.4617522782926401E-2</v>
      </c>
      <c r="L146" s="119">
        <v>6.7768298204073305E-2</v>
      </c>
      <c r="M146" s="119">
        <v>7.3401065750110003E-2</v>
      </c>
      <c r="N146" s="119">
        <v>7.9023693952950197E-2</v>
      </c>
      <c r="O146" s="119">
        <v>8.5341174204344297E-2</v>
      </c>
      <c r="P146" s="119">
        <v>9.12633373005729E-2</v>
      </c>
      <c r="Q146" s="119">
        <v>9.7628995394117193E-2</v>
      </c>
      <c r="R146" s="119">
        <v>0.10555239690055999</v>
      </c>
      <c r="S146" s="119">
        <v>0.112859497102537</v>
      </c>
      <c r="T146" s="119">
        <v>0.119716916958359</v>
      </c>
      <c r="U146" s="119">
        <v>0.12691177264954601</v>
      </c>
      <c r="V146" s="119">
        <v>0.13744403707446101</v>
      </c>
      <c r="W146" s="119">
        <v>0.14570952397467599</v>
      </c>
      <c r="X146" s="119">
        <v>0.15272884223525701</v>
      </c>
      <c r="Y146" s="119">
        <v>0.16107408321186101</v>
      </c>
      <c r="Z146" s="119">
        <v>0.16853276350345001</v>
      </c>
      <c r="AA146" s="119">
        <v>0.17626957807676599</v>
      </c>
      <c r="AB146" s="119">
        <v>0.19012974692458001</v>
      </c>
      <c r="AC146" s="119">
        <v>0.204764338504592</v>
      </c>
      <c r="AD146" s="119">
        <v>0.22070658639947199</v>
      </c>
      <c r="AE146" s="119">
        <v>0.237270652644027</v>
      </c>
      <c r="AF146" s="119">
        <v>0.25410920385740299</v>
      </c>
      <c r="AG146" s="119">
        <v>0.27101198068030402</v>
      </c>
      <c r="AH146" s="119">
        <v>0.28207887734606402</v>
      </c>
      <c r="AI146" s="119">
        <v>0.295222953008417</v>
      </c>
      <c r="AJ146" s="119">
        <v>0.307239049936679</v>
      </c>
      <c r="AK146" s="119">
        <v>0.31941617186108701</v>
      </c>
      <c r="AL146" s="119">
        <v>0.33087140556413103</v>
      </c>
      <c r="AM146" s="119">
        <v>0.34420968533581198</v>
      </c>
      <c r="AN146" s="119">
        <v>0.35225073215473401</v>
      </c>
      <c r="AO146" s="119">
        <v>0.36055665713148299</v>
      </c>
      <c r="AP146" s="119">
        <v>0.37080329290603398</v>
      </c>
      <c r="AQ146" s="119">
        <v>0.380150066168433</v>
      </c>
      <c r="AR146" s="119">
        <v>0.38856048093765799</v>
      </c>
      <c r="AS146" s="119">
        <v>0.39570843369050601</v>
      </c>
      <c r="AT146" s="119">
        <v>0.40323246507704602</v>
      </c>
      <c r="AU146" s="119">
        <v>0.40634986880964702</v>
      </c>
      <c r="AV146" s="119">
        <v>0.41302341994243402</v>
      </c>
      <c r="AW146" s="119">
        <v>0.41911544004282397</v>
      </c>
      <c r="AX146" s="119">
        <v>0.42457068186816299</v>
      </c>
      <c r="AY146" s="119">
        <v>0.43027524228642799</v>
      </c>
      <c r="AZ146" s="119">
        <v>0.434350743142498</v>
      </c>
      <c r="BA146" s="119">
        <v>0.43876567837729702</v>
      </c>
      <c r="BB146" s="119">
        <v>0.44450146086425701</v>
      </c>
      <c r="BC146" s="119">
        <v>0.44801802943205998</v>
      </c>
      <c r="BD146" s="119">
        <v>0.45092034721171098</v>
      </c>
      <c r="BE146" s="119">
        <v>0.45501303669418602</v>
      </c>
      <c r="BF146" s="119">
        <v>0.458716394464037</v>
      </c>
      <c r="BG146" s="119">
        <v>0.461604683041346</v>
      </c>
      <c r="BH146" s="119">
        <v>0.464831218826537</v>
      </c>
      <c r="BI146" s="119">
        <v>0.46719104569221998</v>
      </c>
      <c r="BJ146" s="119">
        <v>0.47008328338502098</v>
      </c>
      <c r="BK146" s="119">
        <v>0.47203964584682201</v>
      </c>
      <c r="BL146" s="119">
        <v>0.47721819804221899</v>
      </c>
    </row>
    <row r="147" spans="1:64" x14ac:dyDescent="0.25">
      <c r="A147" s="860" t="s">
        <v>244</v>
      </c>
      <c r="B147" s="1">
        <v>643</v>
      </c>
      <c r="C147" s="119">
        <v>0.5</v>
      </c>
      <c r="D147" s="119">
        <v>0.171606227324586</v>
      </c>
      <c r="E147" s="119">
        <v>0.17630253159619599</v>
      </c>
      <c r="F147" s="119">
        <v>0.18233095558957299</v>
      </c>
      <c r="G147" s="119">
        <v>0.18740356538502201</v>
      </c>
      <c r="H147" s="119">
        <v>0.19335192808989701</v>
      </c>
      <c r="I147" s="119">
        <v>0.20092659175820801</v>
      </c>
      <c r="J147" s="119">
        <v>0.20987392115304099</v>
      </c>
      <c r="K147" s="119">
        <v>0.216296203832305</v>
      </c>
      <c r="L147" s="119">
        <v>0.22246480759297299</v>
      </c>
      <c r="M147" s="119">
        <v>0.23126709165072801</v>
      </c>
      <c r="N147" s="119">
        <v>0.239556699992722</v>
      </c>
      <c r="O147" s="119">
        <v>0.249614040901291</v>
      </c>
      <c r="P147" s="119">
        <v>0.258028744909367</v>
      </c>
      <c r="Q147" s="119">
        <v>0.26652487274898401</v>
      </c>
      <c r="R147" s="119">
        <v>0.274393340174511</v>
      </c>
      <c r="S147" s="119">
        <v>0.28229069122521699</v>
      </c>
      <c r="T147" s="119">
        <v>0.29113077554029798</v>
      </c>
      <c r="U147" s="119">
        <v>0.29952303066964198</v>
      </c>
      <c r="V147" s="119">
        <v>0.30729741289689</v>
      </c>
      <c r="W147" s="119">
        <v>0.31547520673537199</v>
      </c>
      <c r="X147" s="119">
        <v>0.31839198573866001</v>
      </c>
      <c r="Y147" s="119">
        <v>0.32243177173224102</v>
      </c>
      <c r="Z147" s="119">
        <v>0.32565786998038898</v>
      </c>
      <c r="AA147" s="119">
        <v>0.33212688099295001</v>
      </c>
      <c r="AB147" s="119">
        <v>0.33877374124015802</v>
      </c>
      <c r="AC147" s="119">
        <v>0.33988610040012901</v>
      </c>
      <c r="AD147" s="119">
        <v>0.34165952201857702</v>
      </c>
      <c r="AE147" s="119">
        <v>0.34282824125610301</v>
      </c>
      <c r="AF147" s="119">
        <v>0.344345989607657</v>
      </c>
      <c r="AG147" s="119">
        <v>0.34608981460633398</v>
      </c>
      <c r="AH147" s="119">
        <v>0.348272929472562</v>
      </c>
      <c r="AI147" s="119">
        <v>0.35102901919949098</v>
      </c>
      <c r="AJ147" s="119">
        <v>0.35354593317691002</v>
      </c>
      <c r="AK147" s="119">
        <v>0.35659599711873702</v>
      </c>
      <c r="AL147" s="119">
        <v>0.35898384393051103</v>
      </c>
      <c r="AM147" s="119">
        <v>0.36236546451881702</v>
      </c>
      <c r="AN147" s="119">
        <v>0.36593136952929101</v>
      </c>
      <c r="AO147" s="119">
        <v>0.36907243989368099</v>
      </c>
      <c r="AP147" s="119">
        <v>0.37299501720436401</v>
      </c>
      <c r="AQ147" s="119">
        <v>0.37684044711468101</v>
      </c>
      <c r="AR147" s="119">
        <v>0.38033102757592402</v>
      </c>
      <c r="AS147" s="119">
        <v>0.38501920042297999</v>
      </c>
      <c r="AT147" s="119">
        <v>0.38855696344358598</v>
      </c>
      <c r="AU147" s="119">
        <v>0.39246787620125501</v>
      </c>
      <c r="AV147" s="119">
        <v>0.396671679272525</v>
      </c>
      <c r="AW147" s="119">
        <v>0.39989738680022902</v>
      </c>
      <c r="AX147" s="119">
        <v>0.40194882802277598</v>
      </c>
      <c r="AY147" s="119">
        <v>0.40517001241436601</v>
      </c>
      <c r="AZ147" s="119">
        <v>0.40890134525074801</v>
      </c>
      <c r="BA147" s="119">
        <v>0.41273418861806299</v>
      </c>
      <c r="BB147" s="119">
        <v>0.41520029840466</v>
      </c>
      <c r="BC147" s="119">
        <v>0.41734958182749299</v>
      </c>
      <c r="BD147" s="119">
        <v>0.41847228717245799</v>
      </c>
      <c r="BE147" s="119">
        <v>0.420605883797323</v>
      </c>
      <c r="BF147" s="119">
        <v>0.421764405409013</v>
      </c>
      <c r="BG147" s="119">
        <v>0.42261091517619298</v>
      </c>
      <c r="BH147" s="119">
        <v>0.42591353773943402</v>
      </c>
      <c r="BI147" s="119">
        <v>0.42867188983695698</v>
      </c>
      <c r="BJ147" s="119">
        <v>0.429432454477506</v>
      </c>
      <c r="BK147" s="119">
        <v>0.43079689838544699</v>
      </c>
      <c r="BL147" s="119">
        <v>0.43302672486949001</v>
      </c>
    </row>
    <row r="148" spans="1:64" x14ac:dyDescent="0.25">
      <c r="A148" s="860" t="s">
        <v>58</v>
      </c>
      <c r="B148" s="1">
        <v>646</v>
      </c>
      <c r="C148" s="119">
        <v>0.5</v>
      </c>
      <c r="D148" s="119">
        <v>2.1866965922458801E-3</v>
      </c>
      <c r="E148" s="119">
        <v>2.52088414063548E-3</v>
      </c>
      <c r="F148" s="119">
        <v>2.8693675812547698E-3</v>
      </c>
      <c r="G148" s="119">
        <v>3.2342936570324602E-3</v>
      </c>
      <c r="H148" s="119">
        <v>3.71842135981355E-3</v>
      </c>
      <c r="I148" s="119">
        <v>4.2388341715802304E-3</v>
      </c>
      <c r="J148" s="119">
        <v>4.8220638210964102E-3</v>
      </c>
      <c r="K148" s="119">
        <v>5.4524171306112599E-3</v>
      </c>
      <c r="L148" s="119">
        <v>6.1689760362914998E-3</v>
      </c>
      <c r="M148" s="119">
        <v>7.0326661211289696E-3</v>
      </c>
      <c r="N148" s="119">
        <v>7.9010319858004094E-3</v>
      </c>
      <c r="O148" s="119">
        <v>8.9326489806597908E-3</v>
      </c>
      <c r="P148" s="119">
        <v>1.02260379706215E-2</v>
      </c>
      <c r="Q148" s="119">
        <v>1.165949393554E-2</v>
      </c>
      <c r="R148" s="119">
        <v>1.47181125351731E-2</v>
      </c>
      <c r="S148" s="119">
        <v>1.8459462022619898E-2</v>
      </c>
      <c r="T148" s="119">
        <v>2.3078541420206801E-2</v>
      </c>
      <c r="U148" s="119">
        <v>2.9004687880200199E-2</v>
      </c>
      <c r="V148" s="119">
        <v>3.5900881338838599E-2</v>
      </c>
      <c r="W148" s="119">
        <v>4.4272147200918897E-2</v>
      </c>
      <c r="X148" s="119">
        <v>5.3491325826716403E-2</v>
      </c>
      <c r="Y148" s="119">
        <v>6.3155771644752903E-2</v>
      </c>
      <c r="Z148" s="119">
        <v>7.1505663746512904E-2</v>
      </c>
      <c r="AA148" s="119">
        <v>6.7104578176226698E-2</v>
      </c>
      <c r="AB148" s="119">
        <v>6.0879519143464497E-2</v>
      </c>
      <c r="AC148" s="119">
        <v>5.4659979579214799E-2</v>
      </c>
      <c r="AD148" s="119">
        <v>4.9281914849803501E-2</v>
      </c>
      <c r="AE148" s="119">
        <v>4.5277564251408303E-2</v>
      </c>
      <c r="AF148" s="119">
        <v>4.1741296555884301E-2</v>
      </c>
      <c r="AG148" s="119">
        <v>3.8987004628203301E-2</v>
      </c>
      <c r="AH148" s="119">
        <v>3.6995719080070003E-2</v>
      </c>
      <c r="AI148" s="119">
        <v>3.91241699867775E-2</v>
      </c>
      <c r="AJ148" s="119">
        <v>4.2276818239646803E-2</v>
      </c>
      <c r="AK148" s="119">
        <v>4.6384704653551503E-2</v>
      </c>
      <c r="AL148" s="119">
        <v>5.2105754282510998E-2</v>
      </c>
      <c r="AM148" s="119">
        <v>6.0763529709427201E-2</v>
      </c>
      <c r="AN148" s="119">
        <v>8.23643076514637E-2</v>
      </c>
      <c r="AO148" s="119">
        <v>0.112032529689557</v>
      </c>
      <c r="AP148" s="119">
        <v>0.14894058233826599</v>
      </c>
      <c r="AQ148" s="119">
        <v>0.191099643295988</v>
      </c>
      <c r="AR148" s="119">
        <v>0.22893380490128701</v>
      </c>
      <c r="AS148" s="119">
        <v>0.246754626423801</v>
      </c>
      <c r="AT148" s="119">
        <v>0.25709182114404799</v>
      </c>
      <c r="AU148" s="119">
        <v>0.26421173047796598</v>
      </c>
      <c r="AV148" s="119">
        <v>0.27010669877458898</v>
      </c>
      <c r="AW148" s="119">
        <v>0.27739303198679699</v>
      </c>
      <c r="AX148" s="119">
        <v>0.28821229336267201</v>
      </c>
      <c r="AY148" s="119">
        <v>0.30109600026462502</v>
      </c>
      <c r="AZ148" s="119">
        <v>0.31521036758173598</v>
      </c>
      <c r="BA148" s="119">
        <v>0.32867157650002199</v>
      </c>
      <c r="BB148" s="119">
        <v>0.34052560277155403</v>
      </c>
      <c r="BC148" s="119">
        <v>0.34910062822217902</v>
      </c>
      <c r="BD148" s="119">
        <v>0.35691368387865802</v>
      </c>
      <c r="BE148" s="119">
        <v>0.363434445388019</v>
      </c>
      <c r="BF148" s="119">
        <v>0.36909845008852898</v>
      </c>
      <c r="BG148" s="119">
        <v>0.37549826347739801</v>
      </c>
      <c r="BH148" s="119">
        <v>0.38078277719823</v>
      </c>
      <c r="BI148" s="119">
        <v>0.38587208618637198</v>
      </c>
      <c r="BJ148" s="119">
        <v>0.39157504951785899</v>
      </c>
      <c r="BK148" s="119">
        <v>0.39625309648658402</v>
      </c>
      <c r="BL148" s="119">
        <v>0.40132998223266902</v>
      </c>
    </row>
    <row r="149" spans="1:64" x14ac:dyDescent="0.25">
      <c r="A149" s="860" t="s">
        <v>245</v>
      </c>
      <c r="B149" s="1">
        <v>659</v>
      </c>
      <c r="C149" s="119">
        <v>0.5</v>
      </c>
      <c r="D149" s="119">
        <v>0.13650478978865699</v>
      </c>
      <c r="E149" s="119">
        <v>0.13877206446016199</v>
      </c>
      <c r="F149" s="119">
        <v>0.14220214548458801</v>
      </c>
      <c r="G149" s="119">
        <v>0.14679463172078999</v>
      </c>
      <c r="H149" s="119">
        <v>0.150833292134154</v>
      </c>
      <c r="I149" s="119">
        <v>0.1564866534362</v>
      </c>
      <c r="J149" s="119">
        <v>0.160561566598835</v>
      </c>
      <c r="K149" s="119">
        <v>0.164650488277853</v>
      </c>
      <c r="L149" s="119">
        <v>0.16870333814576</v>
      </c>
      <c r="M149" s="119">
        <v>0.17354029391348599</v>
      </c>
      <c r="N149" s="119">
        <v>0.17875428373828101</v>
      </c>
      <c r="O149" s="119">
        <v>0.18705382503341</v>
      </c>
      <c r="P149" s="119">
        <v>0.19529234200029499</v>
      </c>
      <c r="Q149" s="119">
        <v>0.20369671583336099</v>
      </c>
      <c r="R149" s="119">
        <v>0.212025874451096</v>
      </c>
      <c r="S149" s="119">
        <v>0.21887991499616499</v>
      </c>
      <c r="T149" s="119">
        <v>0.22798718377186999</v>
      </c>
      <c r="U149" s="119">
        <v>0.23791561229632699</v>
      </c>
      <c r="V149" s="119">
        <v>0.24844330722970601</v>
      </c>
      <c r="W149" s="119">
        <v>0.25812369066152302</v>
      </c>
      <c r="X149" s="119">
        <v>0.26674502407744399</v>
      </c>
      <c r="Y149" s="119">
        <v>0.27521037382123198</v>
      </c>
      <c r="Z149" s="119">
        <v>0.28344387405392302</v>
      </c>
      <c r="AA149" s="119">
        <v>0.29093901138454997</v>
      </c>
      <c r="AB149" s="119">
        <v>0.29942856883454699</v>
      </c>
      <c r="AC149" s="119">
        <v>0.30665956410673201</v>
      </c>
      <c r="AD149" s="119">
        <v>0.31407701642272901</v>
      </c>
      <c r="AE149" s="119">
        <v>0.32079646588468202</v>
      </c>
      <c r="AF149" s="119">
        <v>0.328741901205584</v>
      </c>
      <c r="AG149" s="119">
        <v>0.33494440816281701</v>
      </c>
      <c r="AH149" s="119">
        <v>0.34412270824742103</v>
      </c>
      <c r="AI149" s="119">
        <v>0.35049721609400403</v>
      </c>
      <c r="AJ149" s="119">
        <v>0.35760924376005399</v>
      </c>
      <c r="AK149" s="119">
        <v>0.36535349241306397</v>
      </c>
      <c r="AL149" s="119">
        <v>0.37323389590782702</v>
      </c>
      <c r="AM149" s="119">
        <v>0.37950999955304399</v>
      </c>
      <c r="AN149" s="119">
        <v>0.38658016839221798</v>
      </c>
      <c r="AO149" s="119">
        <v>0.39379479504034598</v>
      </c>
      <c r="AP149" s="119">
        <v>0.400153039420717</v>
      </c>
      <c r="AQ149" s="119">
        <v>0.40737333649848501</v>
      </c>
      <c r="AR149" s="119">
        <v>0.41387338168153098</v>
      </c>
      <c r="AS149" s="119">
        <v>0.419532930337284</v>
      </c>
      <c r="AT149" s="119">
        <v>0.423156039823261</v>
      </c>
      <c r="AU149" s="119">
        <v>0.42771157332047099</v>
      </c>
      <c r="AV149" s="119">
        <v>0.43263191086804198</v>
      </c>
      <c r="AW149" s="119">
        <v>0.43676027398549599</v>
      </c>
      <c r="AX149" s="119">
        <v>0.43973465748005403</v>
      </c>
      <c r="AY149" s="119">
        <v>0.44450170478887502</v>
      </c>
      <c r="AZ149" s="119">
        <v>0.45008060488019103</v>
      </c>
      <c r="BA149" s="119">
        <v>0.455044275359345</v>
      </c>
      <c r="BB149" s="119">
        <v>0.45937576557216098</v>
      </c>
      <c r="BC149" s="119">
        <v>0.46293732434938101</v>
      </c>
      <c r="BD149" s="119">
        <v>0.46728728474827003</v>
      </c>
      <c r="BE149" s="119">
        <v>0.47236997847271001</v>
      </c>
      <c r="BF149" s="119">
        <v>0.475405142239892</v>
      </c>
      <c r="BG149" s="119">
        <v>0.48051325235077902</v>
      </c>
      <c r="BH149" s="119">
        <v>0.48489193906564898</v>
      </c>
      <c r="BI149" s="119">
        <v>0.48848136212431797</v>
      </c>
      <c r="BJ149" s="119">
        <v>0.49074278195750998</v>
      </c>
      <c r="BK149" s="119">
        <v>0.49308964879537498</v>
      </c>
      <c r="BL149" s="119">
        <v>0.49670741747700298</v>
      </c>
    </row>
    <row r="150" spans="1:64" x14ac:dyDescent="0.25">
      <c r="A150" s="860" t="s">
        <v>246</v>
      </c>
      <c r="B150" s="1">
        <v>662</v>
      </c>
      <c r="C150" s="119">
        <v>0.5</v>
      </c>
      <c r="D150" s="119">
        <v>0.21745095503881601</v>
      </c>
      <c r="E150" s="119">
        <v>0.218434567315304</v>
      </c>
      <c r="F150" s="119">
        <v>0.22280798334665</v>
      </c>
      <c r="G150" s="119">
        <v>0.225995700971721</v>
      </c>
      <c r="H150" s="119">
        <v>0.22944529822758999</v>
      </c>
      <c r="I150" s="119">
        <v>0.23242633438254801</v>
      </c>
      <c r="J150" s="119">
        <v>0.235601407233134</v>
      </c>
      <c r="K150" s="119">
        <v>0.23997737307669401</v>
      </c>
      <c r="L150" s="119">
        <v>0.242762368092546</v>
      </c>
      <c r="M150" s="119">
        <v>0.245769172549621</v>
      </c>
      <c r="N150" s="119">
        <v>0.24675305707894199</v>
      </c>
      <c r="O150" s="119">
        <v>0.251933992224259</v>
      </c>
      <c r="P150" s="119">
        <v>0.25690488923690702</v>
      </c>
      <c r="Q150" s="119">
        <v>0.26125683811130301</v>
      </c>
      <c r="R150" s="119">
        <v>0.26494939925824601</v>
      </c>
      <c r="S150" s="119">
        <v>0.26731737465143102</v>
      </c>
      <c r="T150" s="119">
        <v>0.27125410062863697</v>
      </c>
      <c r="U150" s="119">
        <v>0.27574492449156801</v>
      </c>
      <c r="V150" s="119">
        <v>0.280797458984888</v>
      </c>
      <c r="W150" s="119">
        <v>0.28500844016244198</v>
      </c>
      <c r="X150" s="119">
        <v>0.29141981509354098</v>
      </c>
      <c r="Y150" s="119">
        <v>0.298984133851592</v>
      </c>
      <c r="Z150" s="119">
        <v>0.30549112654893801</v>
      </c>
      <c r="AA150" s="119">
        <v>0.31406344214017201</v>
      </c>
      <c r="AB150" s="119">
        <v>0.321292653399053</v>
      </c>
      <c r="AC150" s="119">
        <v>0.32854676347732198</v>
      </c>
      <c r="AD150" s="119">
        <v>0.334209649589785</v>
      </c>
      <c r="AE150" s="119">
        <v>0.33942632523681099</v>
      </c>
      <c r="AF150" s="119">
        <v>0.34429943617908199</v>
      </c>
      <c r="AG150" s="119">
        <v>0.34964623829688801</v>
      </c>
      <c r="AH150" s="119">
        <v>0.35399883445212099</v>
      </c>
      <c r="AI150" s="119">
        <v>0.35991198856191198</v>
      </c>
      <c r="AJ150" s="119">
        <v>0.36480753935869198</v>
      </c>
      <c r="AK150" s="119">
        <v>0.369783882490826</v>
      </c>
      <c r="AL150" s="119">
        <v>0.37574600148904502</v>
      </c>
      <c r="AM150" s="119">
        <v>0.37982663484336998</v>
      </c>
      <c r="AN150" s="119">
        <v>0.38582972415036099</v>
      </c>
      <c r="AO150" s="119">
        <v>0.39261630815692899</v>
      </c>
      <c r="AP150" s="119">
        <v>0.398568559959455</v>
      </c>
      <c r="AQ150" s="119">
        <v>0.40366758414019699</v>
      </c>
      <c r="AR150" s="119">
        <v>0.40842773307821101</v>
      </c>
      <c r="AS150" s="119">
        <v>0.41357156128468298</v>
      </c>
      <c r="AT150" s="119">
        <v>0.41741417046019502</v>
      </c>
      <c r="AU150" s="119">
        <v>0.42068790200502598</v>
      </c>
      <c r="AV150" s="119">
        <v>0.42475159891247</v>
      </c>
      <c r="AW150" s="119">
        <v>0.42877926249716197</v>
      </c>
      <c r="AX150" s="119">
        <v>0.43366255859992198</v>
      </c>
      <c r="AY150" s="119">
        <v>0.43773443376315002</v>
      </c>
      <c r="AZ150" s="119">
        <v>0.44193350874306198</v>
      </c>
      <c r="BA150" s="119">
        <v>0.44651229311115098</v>
      </c>
      <c r="BB150" s="119">
        <v>0.44913088997511003</v>
      </c>
      <c r="BC150" s="119">
        <v>0.45359708261475601</v>
      </c>
      <c r="BD150" s="119">
        <v>0.45726660411449799</v>
      </c>
      <c r="BE150" s="119">
        <v>0.462268231975907</v>
      </c>
      <c r="BF150" s="119">
        <v>0.46703544786206302</v>
      </c>
      <c r="BG150" s="119">
        <v>0.47039250648869901</v>
      </c>
      <c r="BH150" s="119">
        <v>0.47515176675082799</v>
      </c>
      <c r="BI150" s="119">
        <v>0.47702340471050703</v>
      </c>
      <c r="BJ150" s="119">
        <v>0.47915378130068498</v>
      </c>
      <c r="BK150" s="119">
        <v>0.48182053741554698</v>
      </c>
      <c r="BL150" s="119">
        <v>0.48578246379389101</v>
      </c>
    </row>
    <row r="151" spans="1:64" x14ac:dyDescent="0.25">
      <c r="A151" s="860" t="s">
        <v>247</v>
      </c>
      <c r="B151" s="1">
        <v>670</v>
      </c>
      <c r="C151" s="119">
        <v>0.5</v>
      </c>
      <c r="D151" s="119">
        <v>0.23682977560833901</v>
      </c>
      <c r="E151" s="119">
        <v>0.24094834482520899</v>
      </c>
      <c r="F151" s="119">
        <v>0.246004072375135</v>
      </c>
      <c r="G151" s="119">
        <v>0.250528570598399</v>
      </c>
      <c r="H151" s="119">
        <v>0.25576139406068799</v>
      </c>
      <c r="I151" s="119">
        <v>0.26050431444204297</v>
      </c>
      <c r="J151" s="119">
        <v>0.267783830010419</v>
      </c>
      <c r="K151" s="119">
        <v>0.272228472189179</v>
      </c>
      <c r="L151" s="119">
        <v>0.276621665926224</v>
      </c>
      <c r="M151" s="119">
        <v>0.28272196513765402</v>
      </c>
      <c r="N151" s="119">
        <v>0.28717680849163402</v>
      </c>
      <c r="O151" s="119">
        <v>0.29316772806543401</v>
      </c>
      <c r="P151" s="119">
        <v>0.29837052169200201</v>
      </c>
      <c r="Q151" s="119">
        <v>0.304914482550184</v>
      </c>
      <c r="R151" s="119">
        <v>0.310667439915915</v>
      </c>
      <c r="S151" s="119">
        <v>0.31613785399542099</v>
      </c>
      <c r="T151" s="119">
        <v>0.32286936971060798</v>
      </c>
      <c r="U151" s="119">
        <v>0.33025489135848002</v>
      </c>
      <c r="V151" s="119">
        <v>0.33622756236059298</v>
      </c>
      <c r="W151" s="119">
        <v>0.34239783543948299</v>
      </c>
      <c r="X151" s="119">
        <v>0.34998941863574901</v>
      </c>
      <c r="Y151" s="119">
        <v>0.35522311487208502</v>
      </c>
      <c r="Z151" s="119">
        <v>0.36075778690691301</v>
      </c>
      <c r="AA151" s="119">
        <v>0.36544982014451799</v>
      </c>
      <c r="AB151" s="119">
        <v>0.36974269100872897</v>
      </c>
      <c r="AC151" s="119">
        <v>0.376152692106485</v>
      </c>
      <c r="AD151" s="119">
        <v>0.38193878886514498</v>
      </c>
      <c r="AE151" s="119">
        <v>0.38775158934342802</v>
      </c>
      <c r="AF151" s="119">
        <v>0.39175397920236599</v>
      </c>
      <c r="AG151" s="119">
        <v>0.39720584954999399</v>
      </c>
      <c r="AH151" s="119">
        <v>0.402051108282938</v>
      </c>
      <c r="AI151" s="119">
        <v>0.40760089681141598</v>
      </c>
      <c r="AJ151" s="119">
        <v>0.41204405474646699</v>
      </c>
      <c r="AK151" s="119">
        <v>0.417271275311906</v>
      </c>
      <c r="AL151" s="119">
        <v>0.42178157857673998</v>
      </c>
      <c r="AM151" s="119">
        <v>0.42627887804911802</v>
      </c>
      <c r="AN151" s="119">
        <v>0.42985087266305699</v>
      </c>
      <c r="AO151" s="119">
        <v>0.43469853025389499</v>
      </c>
      <c r="AP151" s="119">
        <v>0.43925792932926899</v>
      </c>
      <c r="AQ151" s="119">
        <v>0.44180976478155498</v>
      </c>
      <c r="AR151" s="119">
        <v>0.444526674899549</v>
      </c>
      <c r="AS151" s="119">
        <v>0.44653446499162203</v>
      </c>
      <c r="AT151" s="119">
        <v>0.44953344139310503</v>
      </c>
      <c r="AU151" s="119">
        <v>0.45364709634943601</v>
      </c>
      <c r="AV151" s="119">
        <v>0.45775014465550801</v>
      </c>
      <c r="AW151" s="119">
        <v>0.45874426317972999</v>
      </c>
      <c r="AX151" s="119">
        <v>0.46379729736189401</v>
      </c>
      <c r="AY151" s="119">
        <v>0.46618098656746199</v>
      </c>
      <c r="AZ151" s="119">
        <v>0.46968146891652401</v>
      </c>
      <c r="BA151" s="119">
        <v>0.47313994186761898</v>
      </c>
      <c r="BB151" s="119">
        <v>0.47547120678581201</v>
      </c>
      <c r="BC151" s="119">
        <v>0.478612333988996</v>
      </c>
      <c r="BD151" s="119">
        <v>0.48472853897622198</v>
      </c>
      <c r="BE151" s="119">
        <v>0.48614775435334701</v>
      </c>
      <c r="BF151" s="119">
        <v>0.49061494597001998</v>
      </c>
      <c r="BG151" s="119">
        <v>0.493506960169454</v>
      </c>
      <c r="BH151" s="119">
        <v>0.49601972422734703</v>
      </c>
      <c r="BI151" s="119">
        <v>0.49760868872547698</v>
      </c>
      <c r="BJ151" s="119">
        <v>0.50009963712105299</v>
      </c>
      <c r="BK151" s="119">
        <v>0.504392349717668</v>
      </c>
      <c r="BL151" s="119">
        <v>0.505813522107467</v>
      </c>
    </row>
    <row r="152" spans="1:64" x14ac:dyDescent="0.25">
      <c r="A152" s="860" t="s">
        <v>249</v>
      </c>
      <c r="B152" s="1">
        <v>882</v>
      </c>
      <c r="C152" s="119">
        <v>0.5</v>
      </c>
      <c r="D152" s="119">
        <v>0.101206175790371</v>
      </c>
      <c r="E152" s="119">
        <v>0.103341176143846</v>
      </c>
      <c r="F152" s="119">
        <v>0.10440713448399799</v>
      </c>
      <c r="G152" s="119">
        <v>0.10487300784355801</v>
      </c>
      <c r="H152" s="119">
        <v>0.10698923892415201</v>
      </c>
      <c r="I152" s="119">
        <v>0.107105338618924</v>
      </c>
      <c r="J152" s="119">
        <v>0.107589197552864</v>
      </c>
      <c r="K152" s="119">
        <v>0.10940121570756001</v>
      </c>
      <c r="L152" s="119">
        <v>0.11104398987260999</v>
      </c>
      <c r="M152" s="119">
        <v>0.11202246804426801</v>
      </c>
      <c r="N152" s="119">
        <v>0.113436170164373</v>
      </c>
      <c r="O152" s="119">
        <v>0.114562625317842</v>
      </c>
      <c r="P152" s="119">
        <v>0.116318305131561</v>
      </c>
      <c r="Q152" s="119">
        <v>0.11860778293124399</v>
      </c>
      <c r="R152" s="119">
        <v>0.120351115263452</v>
      </c>
      <c r="S152" s="119">
        <v>0.122995238094605</v>
      </c>
      <c r="T152" s="119">
        <v>0.12567195083683</v>
      </c>
      <c r="U152" s="119">
        <v>0.12863004157987601</v>
      </c>
      <c r="V152" s="119">
        <v>0.13143445881993299</v>
      </c>
      <c r="W152" s="119">
        <v>0.132392651709315</v>
      </c>
      <c r="X152" s="119">
        <v>0.13407627754132101</v>
      </c>
      <c r="Y152" s="119">
        <v>0.13586200367226001</v>
      </c>
      <c r="Z152" s="119">
        <v>0.13807929061021901</v>
      </c>
      <c r="AA152" s="119">
        <v>0.14007130680680499</v>
      </c>
      <c r="AB152" s="119">
        <v>0.14190909974195101</v>
      </c>
      <c r="AC152" s="119">
        <v>0.14210064729157501</v>
      </c>
      <c r="AD152" s="119">
        <v>0.143371715446593</v>
      </c>
      <c r="AE152" s="119">
        <v>0.14569875897481599</v>
      </c>
      <c r="AF152" s="119">
        <v>0.14736423565322801</v>
      </c>
      <c r="AG152" s="119">
        <v>0.14964176827703901</v>
      </c>
      <c r="AH152" s="119">
        <v>0.15072341671162401</v>
      </c>
      <c r="AI152" s="119">
        <v>0.15285782222385</v>
      </c>
      <c r="AJ152" s="119">
        <v>0.15463211564340101</v>
      </c>
      <c r="AK152" s="119">
        <v>0.157317446327012</v>
      </c>
      <c r="AL152" s="119">
        <v>0.1591307996837</v>
      </c>
      <c r="AM152" s="119">
        <v>0.16068439050129801</v>
      </c>
      <c r="AN152" s="119">
        <v>0.16179460840079701</v>
      </c>
      <c r="AO152" s="119">
        <v>0.162136666812848</v>
      </c>
      <c r="AP152" s="119">
        <v>0.16255486517989801</v>
      </c>
      <c r="AQ152" s="119">
        <v>0.16218331725699001</v>
      </c>
      <c r="AR152" s="119">
        <v>0.159548075489959</v>
      </c>
      <c r="AS152" s="119">
        <v>0.15701306194832901</v>
      </c>
      <c r="AT152" s="119">
        <v>0.153795864101439</v>
      </c>
      <c r="AU152" s="119">
        <v>0.15028349016072401</v>
      </c>
      <c r="AV152" s="119">
        <v>0.14568810017353501</v>
      </c>
      <c r="AW152" s="119">
        <v>0.140412773849628</v>
      </c>
      <c r="AX152" s="119">
        <v>0.13463160886314701</v>
      </c>
      <c r="AY152" s="119">
        <v>0.12960107766809401</v>
      </c>
      <c r="AZ152" s="119">
        <v>0.12478396860574099</v>
      </c>
      <c r="BA152" s="119">
        <v>0.121358263457733</v>
      </c>
      <c r="BB152" s="119">
        <v>0.11943830783513699</v>
      </c>
      <c r="BC152" s="119">
        <v>0.118876108207648</v>
      </c>
      <c r="BD152" s="119">
        <v>0.11984752312814</v>
      </c>
      <c r="BE152" s="119">
        <v>0.119866146865044</v>
      </c>
      <c r="BF152" s="119">
        <v>0.12030416014563999</v>
      </c>
      <c r="BG152" s="119">
        <v>0.120909333503203</v>
      </c>
      <c r="BH152" s="119">
        <v>0.122563137974586</v>
      </c>
      <c r="BI152" s="119">
        <v>0.12307291497451101</v>
      </c>
      <c r="BJ152" s="119">
        <v>0.123430838889989</v>
      </c>
      <c r="BK152" s="119">
        <v>0.124432646053318</v>
      </c>
      <c r="BL152" s="119">
        <v>0.12527692757403899</v>
      </c>
    </row>
    <row r="153" spans="1:64" x14ac:dyDescent="0.25">
      <c r="A153" s="860" t="s">
        <v>59</v>
      </c>
      <c r="B153" s="1">
        <v>678</v>
      </c>
      <c r="C153" s="119">
        <v>0.5</v>
      </c>
      <c r="D153" s="119">
        <v>2.7293107908175299E-2</v>
      </c>
      <c r="E153" s="119">
        <v>2.94938903982239E-2</v>
      </c>
      <c r="F153" s="119">
        <v>3.2513667649340099E-2</v>
      </c>
      <c r="G153" s="119">
        <v>3.5345532354687403E-2</v>
      </c>
      <c r="H153" s="119">
        <v>3.7890745797509999E-2</v>
      </c>
      <c r="I153" s="119">
        <v>4.0994142949847198E-2</v>
      </c>
      <c r="J153" s="119">
        <v>4.4462991274011897E-2</v>
      </c>
      <c r="K153" s="119">
        <v>4.8100985617960799E-2</v>
      </c>
      <c r="L153" s="119">
        <v>5.2339427006089297E-2</v>
      </c>
      <c r="M153" s="119">
        <v>5.64671803363253E-2</v>
      </c>
      <c r="N153" s="119">
        <v>6.0177441096936297E-2</v>
      </c>
      <c r="O153" s="119">
        <v>6.51519267463046E-2</v>
      </c>
      <c r="P153" s="119">
        <v>6.9723689143214099E-2</v>
      </c>
      <c r="Q153" s="119">
        <v>7.5829729324437795E-2</v>
      </c>
      <c r="R153" s="119">
        <v>8.0640569678978494E-2</v>
      </c>
      <c r="S153" s="119">
        <v>8.6407701398638598E-2</v>
      </c>
      <c r="T153" s="119">
        <v>9.2031380640505298E-2</v>
      </c>
      <c r="U153" s="119">
        <v>9.8374251334269705E-2</v>
      </c>
      <c r="V153" s="119">
        <v>0.10533718825263701</v>
      </c>
      <c r="W153" s="119">
        <v>0.111607070356956</v>
      </c>
      <c r="X153" s="119">
        <v>0.118426421514811</v>
      </c>
      <c r="Y153" s="119">
        <v>0.12592830449082801</v>
      </c>
      <c r="Z153" s="119">
        <v>0.13318498295351999</v>
      </c>
      <c r="AA153" s="119">
        <v>0.140559625249017</v>
      </c>
      <c r="AB153" s="119">
        <v>0.14803862592779801</v>
      </c>
      <c r="AC153" s="119">
        <v>0.15540074191251399</v>
      </c>
      <c r="AD153" s="119">
        <v>0.16230416874859399</v>
      </c>
      <c r="AE153" s="119">
        <v>0.17056367413753001</v>
      </c>
      <c r="AF153" s="119">
        <v>0.178753352748802</v>
      </c>
      <c r="AG153" s="119">
        <v>0.18639553516888599</v>
      </c>
      <c r="AH153" s="119">
        <v>0.195246540741186</v>
      </c>
      <c r="AI153" s="119">
        <v>0.201477028106027</v>
      </c>
      <c r="AJ153" s="119">
        <v>0.20914593501381601</v>
      </c>
      <c r="AK153" s="119">
        <v>0.216397799718232</v>
      </c>
      <c r="AL153" s="119">
        <v>0.22332436683408999</v>
      </c>
      <c r="AM153" s="119">
        <v>0.230802080288427</v>
      </c>
      <c r="AN153" s="119">
        <v>0.23866502467653999</v>
      </c>
      <c r="AO153" s="119">
        <v>0.24784054709680201</v>
      </c>
      <c r="AP153" s="119">
        <v>0.25689023226333302</v>
      </c>
      <c r="AQ153" s="119">
        <v>0.266002232633263</v>
      </c>
      <c r="AR153" s="119">
        <v>0.27494379376671901</v>
      </c>
      <c r="AS153" s="119">
        <v>0.283468373268081</v>
      </c>
      <c r="AT153" s="119">
        <v>0.29202732807076898</v>
      </c>
      <c r="AU153" s="119">
        <v>0.29997789940055197</v>
      </c>
      <c r="AV153" s="119">
        <v>0.308883723276275</v>
      </c>
      <c r="AW153" s="119">
        <v>0.31643143233579901</v>
      </c>
      <c r="AX153" s="119">
        <v>0.32313354381449599</v>
      </c>
      <c r="AY153" s="119">
        <v>0.32989217409704302</v>
      </c>
      <c r="AZ153" s="119">
        <v>0.33712095036645101</v>
      </c>
      <c r="BA153" s="119">
        <v>0.34197569041947801</v>
      </c>
      <c r="BB153" s="119">
        <v>0.34759735387285401</v>
      </c>
      <c r="BC153" s="119">
        <v>0.35174543781291201</v>
      </c>
      <c r="BD153" s="119">
        <v>0.35651140857074898</v>
      </c>
      <c r="BE153" s="119">
        <v>0.36122744512955501</v>
      </c>
      <c r="BF153" s="119">
        <v>0.36427478808742603</v>
      </c>
      <c r="BG153" s="119">
        <v>0.36806434847828101</v>
      </c>
      <c r="BH153" s="119">
        <v>0.37276979089851098</v>
      </c>
      <c r="BI153" s="119">
        <v>0.37555949181745701</v>
      </c>
      <c r="BJ153" s="119">
        <v>0.37944123629607002</v>
      </c>
      <c r="BK153" s="119">
        <v>0.382534003378523</v>
      </c>
      <c r="BL153" s="119">
        <v>0.38528513049153601</v>
      </c>
    </row>
    <row r="154" spans="1:64" x14ac:dyDescent="0.25">
      <c r="A154" s="860" t="s">
        <v>251</v>
      </c>
      <c r="B154" s="1">
        <v>682</v>
      </c>
      <c r="C154" s="119">
        <v>0.5</v>
      </c>
      <c r="D154" s="119">
        <v>5.8847325363048299E-2</v>
      </c>
      <c r="E154" s="119">
        <v>6.1672102517392198E-2</v>
      </c>
      <c r="F154" s="119">
        <v>6.3846149613788303E-2</v>
      </c>
      <c r="G154" s="119">
        <v>6.71638542515859E-2</v>
      </c>
      <c r="H154" s="119">
        <v>6.9529888823114602E-2</v>
      </c>
      <c r="I154" s="119">
        <v>7.2408154414920906E-2</v>
      </c>
      <c r="J154" s="119">
        <v>7.5265098777112197E-2</v>
      </c>
      <c r="K154" s="119">
        <v>7.9237150914979598E-2</v>
      </c>
      <c r="L154" s="119">
        <v>8.1710697291728099E-2</v>
      </c>
      <c r="M154" s="119">
        <v>8.5288446185458999E-2</v>
      </c>
      <c r="N154" s="119">
        <v>8.8864553958681494E-2</v>
      </c>
      <c r="O154" s="119">
        <v>9.1522326867413406E-2</v>
      </c>
      <c r="P154" s="119">
        <v>9.5938219852386306E-2</v>
      </c>
      <c r="Q154" s="119">
        <v>0.10095009267029501</v>
      </c>
      <c r="R154" s="119">
        <v>0.10526347735713699</v>
      </c>
      <c r="S154" s="119">
        <v>0.109358122135278</v>
      </c>
      <c r="T154" s="119">
        <v>0.11289510067009099</v>
      </c>
      <c r="U154" s="119">
        <v>0.117438082550787</v>
      </c>
      <c r="V154" s="119">
        <v>0.121557696726868</v>
      </c>
      <c r="W154" s="119">
        <v>0.125713339865239</v>
      </c>
      <c r="X154" s="119">
        <v>0.129582352754436</v>
      </c>
      <c r="Y154" s="119">
        <v>0.13285462013737301</v>
      </c>
      <c r="Z154" s="119">
        <v>0.13534747818723</v>
      </c>
      <c r="AA154" s="119">
        <v>0.13749934548345</v>
      </c>
      <c r="AB154" s="119">
        <v>0.13890263639822401</v>
      </c>
      <c r="AC154" s="119">
        <v>0.13901963463984299</v>
      </c>
      <c r="AD154" s="119">
        <v>0.13925421496145701</v>
      </c>
      <c r="AE154" s="119">
        <v>0.13532475954076501</v>
      </c>
      <c r="AF154" s="119">
        <v>0.13203026968002901</v>
      </c>
      <c r="AG154" s="119">
        <v>0.12933834997820401</v>
      </c>
      <c r="AH154" s="119">
        <v>0.12899342918684001</v>
      </c>
      <c r="AI154" s="119">
        <v>0.12876434156504099</v>
      </c>
      <c r="AJ154" s="119">
        <v>0.128495424108683</v>
      </c>
      <c r="AK154" s="119">
        <v>0.12856755448790699</v>
      </c>
      <c r="AL154" s="119">
        <v>0.12943852464005901</v>
      </c>
      <c r="AM154" s="119">
        <v>0.129981974530511</v>
      </c>
      <c r="AN154" s="119">
        <v>0.129927788206361</v>
      </c>
      <c r="AO154" s="119">
        <v>0.130613011931932</v>
      </c>
      <c r="AP154" s="119">
        <v>0.130892624777565</v>
      </c>
      <c r="AQ154" s="119">
        <v>0.13074926082815</v>
      </c>
      <c r="AR154" s="119">
        <v>0.13167937233469401</v>
      </c>
      <c r="AS154" s="119">
        <v>0.13284035350214601</v>
      </c>
      <c r="AT154" s="119">
        <v>0.13451063506973199</v>
      </c>
      <c r="AU154" s="119">
        <v>0.13673032804809199</v>
      </c>
      <c r="AV154" s="119">
        <v>0.13944013236050401</v>
      </c>
      <c r="AW154" s="119">
        <v>0.14166404897231899</v>
      </c>
      <c r="AX154" s="119">
        <v>0.14231855133138799</v>
      </c>
      <c r="AY154" s="119">
        <v>0.146552931287247</v>
      </c>
      <c r="AZ154" s="119">
        <v>0.150200721079114</v>
      </c>
      <c r="BA154" s="119">
        <v>0.155057189283035</v>
      </c>
      <c r="BB154" s="119">
        <v>0.15952499079809199</v>
      </c>
      <c r="BC154" s="119">
        <v>0.16212759559279499</v>
      </c>
      <c r="BD154" s="119">
        <v>0.16545425655027601</v>
      </c>
      <c r="BE154" s="119">
        <v>0.16840444498696899</v>
      </c>
      <c r="BF154" s="119">
        <v>0.17040446577805099</v>
      </c>
      <c r="BG154" s="119">
        <v>0.172436447110835</v>
      </c>
      <c r="BH154" s="119">
        <v>0.17329110163651501</v>
      </c>
      <c r="BI154" s="119">
        <v>0.175408378586171</v>
      </c>
      <c r="BJ154" s="119">
        <v>0.17637045833993101</v>
      </c>
      <c r="BK154" s="119">
        <v>0.17755426050579301</v>
      </c>
      <c r="BL154" s="119">
        <v>0.17996045326711799</v>
      </c>
    </row>
    <row r="155" spans="1:64" x14ac:dyDescent="0.25">
      <c r="A155" s="860" t="s">
        <v>60</v>
      </c>
      <c r="B155" s="1">
        <v>686</v>
      </c>
      <c r="C155" s="119">
        <v>0.5</v>
      </c>
      <c r="D155" s="119">
        <v>3.8183409091080501E-3</v>
      </c>
      <c r="E155" s="119">
        <v>4.27835939908984E-3</v>
      </c>
      <c r="F155" s="119">
        <v>4.8052939701588903E-3</v>
      </c>
      <c r="G155" s="119">
        <v>5.4421518204787198E-3</v>
      </c>
      <c r="H155" s="119">
        <v>6.0937793282242903E-3</v>
      </c>
      <c r="I155" s="119">
        <v>6.9040860099215499E-3</v>
      </c>
      <c r="J155" s="119">
        <v>7.7476671519374702E-3</v>
      </c>
      <c r="K155" s="119">
        <v>8.6043461412303301E-3</v>
      </c>
      <c r="L155" s="119">
        <v>9.6251670966182104E-3</v>
      </c>
      <c r="M155" s="119">
        <v>1.10196666305573E-2</v>
      </c>
      <c r="N155" s="119">
        <v>1.2664704460678401E-2</v>
      </c>
      <c r="O155" s="119">
        <v>1.45475821344407E-2</v>
      </c>
      <c r="P155" s="119">
        <v>1.6547933480971298E-2</v>
      </c>
      <c r="Q155" s="119">
        <v>1.8967690503757802E-2</v>
      </c>
      <c r="R155" s="119">
        <v>2.1321666557553201E-2</v>
      </c>
      <c r="S155" s="119">
        <v>2.4126513977832099E-2</v>
      </c>
      <c r="T155" s="119">
        <v>2.71975204008553E-2</v>
      </c>
      <c r="U155" s="119">
        <v>2.9419418527719999E-2</v>
      </c>
      <c r="V155" s="119">
        <v>3.1919787179707199E-2</v>
      </c>
      <c r="W155" s="119">
        <v>3.4501507095867301E-2</v>
      </c>
      <c r="X155" s="119">
        <v>3.7424860551158401E-2</v>
      </c>
      <c r="Y155" s="119">
        <v>4.0366307632895899E-2</v>
      </c>
      <c r="Z155" s="119">
        <v>4.3211678729471001E-2</v>
      </c>
      <c r="AA155" s="119">
        <v>4.6680185171472301E-2</v>
      </c>
      <c r="AB155" s="119">
        <v>5.1279141754361997E-2</v>
      </c>
      <c r="AC155" s="119">
        <v>5.6161798685113402E-2</v>
      </c>
      <c r="AD155" s="119">
        <v>6.1015995591047499E-2</v>
      </c>
      <c r="AE155" s="119">
        <v>6.5371380716515395E-2</v>
      </c>
      <c r="AF155" s="119">
        <v>6.8484030983583993E-2</v>
      </c>
      <c r="AG155" s="119">
        <v>7.0486432196560297E-2</v>
      </c>
      <c r="AH155" s="119">
        <v>7.1717914273247405E-2</v>
      </c>
      <c r="AI155" s="119">
        <v>7.2674560909206001E-2</v>
      </c>
      <c r="AJ155" s="119">
        <v>7.3894395367484503E-2</v>
      </c>
      <c r="AK155" s="119">
        <v>7.4944205151534798E-2</v>
      </c>
      <c r="AL155" s="119">
        <v>7.61720851289171E-2</v>
      </c>
      <c r="AM155" s="119">
        <v>7.7796650438285306E-2</v>
      </c>
      <c r="AN155" s="119">
        <v>7.94415742126061E-2</v>
      </c>
      <c r="AO155" s="119">
        <v>8.1086652932680803E-2</v>
      </c>
      <c r="AP155" s="119">
        <v>8.3104770694895996E-2</v>
      </c>
      <c r="AQ155" s="119">
        <v>8.5720442202264796E-2</v>
      </c>
      <c r="AR155" s="119">
        <v>8.9287303954681194E-2</v>
      </c>
      <c r="AS155" s="119">
        <v>9.5394698100473505E-2</v>
      </c>
      <c r="AT155" s="119">
        <v>0.106957979110715</v>
      </c>
      <c r="AU155" s="119">
        <v>0.12224946135787</v>
      </c>
      <c r="AV155" s="119">
        <v>0.14058010728643799</v>
      </c>
      <c r="AW155" s="119">
        <v>0.15627913110436101</v>
      </c>
      <c r="AX155" s="119">
        <v>0.17065309531964501</v>
      </c>
      <c r="AY155" s="119">
        <v>0.18322090856233</v>
      </c>
      <c r="AZ155" s="119">
        <v>0.186541260270353</v>
      </c>
      <c r="BA155" s="119">
        <v>0.18926573785751699</v>
      </c>
      <c r="BB155" s="119">
        <v>0.19354728623293199</v>
      </c>
      <c r="BC155" s="119">
        <v>0.19865240361953099</v>
      </c>
      <c r="BD155" s="119">
        <v>0.20398709824543901</v>
      </c>
      <c r="BE155" s="119">
        <v>0.21090607598049399</v>
      </c>
      <c r="BF155" s="119">
        <v>0.21713402052365599</v>
      </c>
      <c r="BG155" s="119">
        <v>0.22268716102820199</v>
      </c>
      <c r="BH155" s="119">
        <v>0.22898773519026899</v>
      </c>
      <c r="BI155" s="119">
        <v>0.23540926072034499</v>
      </c>
      <c r="BJ155" s="119">
        <v>0.241721807640283</v>
      </c>
      <c r="BK155" s="119">
        <v>0.24713103422062499</v>
      </c>
      <c r="BL155" s="119">
        <v>0.25254311611095498</v>
      </c>
    </row>
    <row r="156" spans="1:64" x14ac:dyDescent="0.25">
      <c r="A156" s="860" t="s">
        <v>252</v>
      </c>
      <c r="B156" s="1">
        <v>688</v>
      </c>
      <c r="C156" s="119">
        <v>0.5</v>
      </c>
      <c r="D156" s="119">
        <v>4.7118671221376598E-2</v>
      </c>
      <c r="E156" s="119">
        <v>5.03139528714222E-2</v>
      </c>
      <c r="F156" s="119">
        <v>5.4408334096285399E-2</v>
      </c>
      <c r="G156" s="119">
        <v>5.8348704130744097E-2</v>
      </c>
      <c r="H156" s="119">
        <v>6.3062478472798195E-2</v>
      </c>
      <c r="I156" s="119">
        <v>6.7384272299393394E-2</v>
      </c>
      <c r="J156" s="119">
        <v>7.3076741539328194E-2</v>
      </c>
      <c r="K156" s="119">
        <v>7.7331922974044801E-2</v>
      </c>
      <c r="L156" s="119">
        <v>8.3325197147365998E-2</v>
      </c>
      <c r="M156" s="119">
        <v>8.7944597106409006E-2</v>
      </c>
      <c r="N156" s="119">
        <v>9.3981188651755102E-2</v>
      </c>
      <c r="O156" s="119">
        <v>0.100139785643757</v>
      </c>
      <c r="P156" s="119">
        <v>0.107016271979269</v>
      </c>
      <c r="Q156" s="119">
        <v>0.11282297982553</v>
      </c>
      <c r="R156" s="119">
        <v>0.11878051579368</v>
      </c>
      <c r="S156" s="119">
        <v>0.12618855882433999</v>
      </c>
      <c r="T156" s="119">
        <v>0.13136527681480001</v>
      </c>
      <c r="U156" s="119">
        <v>0.13987466983708699</v>
      </c>
      <c r="V156" s="119">
        <v>0.146635912662372</v>
      </c>
      <c r="W156" s="119">
        <v>0.152998653969179</v>
      </c>
      <c r="X156" s="119">
        <v>0.16256572398588601</v>
      </c>
      <c r="Y156" s="119">
        <v>0.16912915969303399</v>
      </c>
      <c r="Z156" s="119">
        <v>0.17752707630644099</v>
      </c>
      <c r="AA156" s="119">
        <v>0.185784160021394</v>
      </c>
      <c r="AB156" s="119">
        <v>0.19437806364601201</v>
      </c>
      <c r="AC156" s="119">
        <v>0.20307069478259601</v>
      </c>
      <c r="AD156" s="119">
        <v>0.211083979861659</v>
      </c>
      <c r="AE156" s="119">
        <v>0.22044709274268201</v>
      </c>
      <c r="AF156" s="119">
        <v>0.229766849211575</v>
      </c>
      <c r="AG156" s="119">
        <v>0.237530132147562</v>
      </c>
      <c r="AH156" s="119">
        <v>0.24612232334126799</v>
      </c>
      <c r="AI156" s="119">
        <v>0.246243417354957</v>
      </c>
      <c r="AJ156" s="119">
        <v>0.246093795096479</v>
      </c>
      <c r="AK156" s="119">
        <v>0.24675006167703301</v>
      </c>
      <c r="AL156" s="119">
        <v>0.24784496435655901</v>
      </c>
      <c r="AM156" s="119">
        <v>0.250493775115055</v>
      </c>
      <c r="AN156" s="119">
        <v>0.25572323932770202</v>
      </c>
      <c r="AO156" s="119">
        <v>0.26254545324844097</v>
      </c>
      <c r="AP156" s="119">
        <v>0.26797989069899802</v>
      </c>
      <c r="AQ156" s="119">
        <v>0.274328526782398</v>
      </c>
      <c r="AR156" s="119">
        <v>0.27842356436044302</v>
      </c>
      <c r="AS156" s="119">
        <v>0.27498055149551498</v>
      </c>
      <c r="AT156" s="119">
        <v>0.27172625931963401</v>
      </c>
      <c r="AU156" s="119">
        <v>0.26579976596434901</v>
      </c>
      <c r="AV156" s="119">
        <v>0.26099115217566499</v>
      </c>
      <c r="AW156" s="119">
        <v>0.25991347374307899</v>
      </c>
      <c r="AX156" s="119">
        <v>0.261676057407632</v>
      </c>
      <c r="AY156" s="119">
        <v>0.26418596650107501</v>
      </c>
      <c r="AZ156" s="119">
        <v>0.26368932595393302</v>
      </c>
      <c r="BA156" s="119">
        <v>0.264775059800614</v>
      </c>
      <c r="BB156" s="119">
        <v>0.27193843665717499</v>
      </c>
      <c r="BC156" s="119">
        <v>0.278278125305082</v>
      </c>
      <c r="BD156" s="119">
        <v>0.28526191971097498</v>
      </c>
      <c r="BE156" s="119">
        <v>0.29283272755517797</v>
      </c>
      <c r="BF156" s="119">
        <v>0.29821028572009101</v>
      </c>
      <c r="BG156" s="119">
        <v>0.30508308074399698</v>
      </c>
      <c r="BH156" s="119">
        <v>0.30958070638395102</v>
      </c>
      <c r="BI156" s="119">
        <v>0.317706777628251</v>
      </c>
      <c r="BJ156" s="119">
        <v>0.32402378305002699</v>
      </c>
      <c r="BK156" s="119">
        <v>0.33055811110155697</v>
      </c>
      <c r="BL156" s="119">
        <v>0.33557175797500999</v>
      </c>
    </row>
    <row r="157" spans="1:64" x14ac:dyDescent="0.25">
      <c r="A157" s="860" t="s">
        <v>61</v>
      </c>
      <c r="B157" s="1">
        <v>694</v>
      </c>
      <c r="C157" s="119">
        <v>0.5</v>
      </c>
      <c r="D157" s="119">
        <v>4.81878359578227E-3</v>
      </c>
      <c r="E157" s="119">
        <v>5.4409439775400699E-3</v>
      </c>
      <c r="F157" s="119">
        <v>6.03067500678524E-3</v>
      </c>
      <c r="G157" s="119">
        <v>6.6554056722833302E-3</v>
      </c>
      <c r="H157" s="119">
        <v>7.4395522884931602E-3</v>
      </c>
      <c r="I157" s="119">
        <v>8.2977019549885095E-3</v>
      </c>
      <c r="J157" s="119">
        <v>9.2364691578921201E-3</v>
      </c>
      <c r="K157" s="119">
        <v>1.00170469464198E-2</v>
      </c>
      <c r="L157" s="119">
        <v>1.1085179774770901E-2</v>
      </c>
      <c r="M157" s="119">
        <v>1.22043009987541E-2</v>
      </c>
      <c r="N157" s="119">
        <v>1.32244343749935E-2</v>
      </c>
      <c r="O157" s="119">
        <v>1.46853428700891E-2</v>
      </c>
      <c r="P157" s="119">
        <v>1.5891361760829399E-2</v>
      </c>
      <c r="Q157" s="119">
        <v>1.7344789799577199E-2</v>
      </c>
      <c r="R157" s="119">
        <v>1.8967838204248098E-2</v>
      </c>
      <c r="S157" s="119">
        <v>2.0430968281329401E-2</v>
      </c>
      <c r="T157" s="119">
        <v>2.2123192560574999E-2</v>
      </c>
      <c r="U157" s="119">
        <v>2.4060209054270799E-2</v>
      </c>
      <c r="V157" s="119">
        <v>2.6001947100218602E-2</v>
      </c>
      <c r="W157" s="119">
        <v>2.8177973357108099E-2</v>
      </c>
      <c r="X157" s="119">
        <v>3.04061027525553E-2</v>
      </c>
      <c r="Y157" s="119">
        <v>3.27743956267086E-2</v>
      </c>
      <c r="Z157" s="119">
        <v>3.5141177277411603E-2</v>
      </c>
      <c r="AA157" s="119">
        <v>3.7716259820471498E-2</v>
      </c>
      <c r="AB157" s="119">
        <v>4.0279554003768099E-2</v>
      </c>
      <c r="AC157" s="119">
        <v>4.3488832623675797E-2</v>
      </c>
      <c r="AD157" s="119">
        <v>4.6597285150782701E-2</v>
      </c>
      <c r="AE157" s="119">
        <v>5.0155587708209E-2</v>
      </c>
      <c r="AF157" s="119">
        <v>5.36297338238403E-2</v>
      </c>
      <c r="AG157" s="119">
        <v>5.7523819897368302E-2</v>
      </c>
      <c r="AH157" s="119">
        <v>6.1441221707943798E-2</v>
      </c>
      <c r="AI157" s="119">
        <v>6.5358517285451001E-2</v>
      </c>
      <c r="AJ157" s="119">
        <v>7.0158604419542303E-2</v>
      </c>
      <c r="AK157" s="119">
        <v>7.4773416928312797E-2</v>
      </c>
      <c r="AL157" s="119">
        <v>7.9665040551191807E-2</v>
      </c>
      <c r="AM157" s="119">
        <v>8.5537636030322703E-2</v>
      </c>
      <c r="AN157" s="119">
        <v>9.0547138290452897E-2</v>
      </c>
      <c r="AO157" s="119">
        <v>9.6629197780555495E-2</v>
      </c>
      <c r="AP157" s="119">
        <v>0.10397162564201499</v>
      </c>
      <c r="AQ157" s="119">
        <v>0.119473165311875</v>
      </c>
      <c r="AR157" s="119">
        <v>0.13726739341442301</v>
      </c>
      <c r="AS157" s="119">
        <v>0.15496617835269799</v>
      </c>
      <c r="AT157" s="119">
        <v>0.17384386229359</v>
      </c>
      <c r="AU157" s="119">
        <v>0.19119258193202701</v>
      </c>
      <c r="AV157" s="119">
        <v>0.203000704544572</v>
      </c>
      <c r="AW157" s="119">
        <v>0.213544216745472</v>
      </c>
      <c r="AX157" s="119">
        <v>0.22226894496840299</v>
      </c>
      <c r="AY157" s="119">
        <v>0.22988805768312201</v>
      </c>
      <c r="AZ157" s="119">
        <v>0.23600502805984599</v>
      </c>
      <c r="BA157" s="119">
        <v>0.241437218674357</v>
      </c>
      <c r="BB157" s="119">
        <v>0.247568119201514</v>
      </c>
      <c r="BC157" s="119">
        <v>0.25320823517487301</v>
      </c>
      <c r="BD157" s="119">
        <v>0.26071502224528098</v>
      </c>
      <c r="BE157" s="119">
        <v>0.26818687996052099</v>
      </c>
      <c r="BF157" s="119">
        <v>0.275002101175856</v>
      </c>
      <c r="BG157" s="119">
        <v>0.28099495754424397</v>
      </c>
      <c r="BH157" s="119">
        <v>0.28754296201759799</v>
      </c>
      <c r="BI157" s="119">
        <v>0.29331016958835499</v>
      </c>
      <c r="BJ157" s="119">
        <v>0.30017238863107298</v>
      </c>
      <c r="BK157" s="119">
        <v>0.30801266752801099</v>
      </c>
      <c r="BL157" s="119">
        <v>0.31382638728392398</v>
      </c>
    </row>
    <row r="158" spans="1:64" x14ac:dyDescent="0.25">
      <c r="A158" s="860" t="s">
        <v>254</v>
      </c>
      <c r="B158" s="1">
        <v>702</v>
      </c>
      <c r="C158" s="119">
        <v>0.5</v>
      </c>
      <c r="D158" s="119">
        <v>0.27784804495960602</v>
      </c>
      <c r="E158" s="119">
        <v>0.279668223557823</v>
      </c>
      <c r="F158" s="119">
        <v>0.28261392588543499</v>
      </c>
      <c r="G158" s="119">
        <v>0.287346477606849</v>
      </c>
      <c r="H158" s="119">
        <v>0.29478320908061401</v>
      </c>
      <c r="I158" s="119">
        <v>0.30356499680252003</v>
      </c>
      <c r="J158" s="119">
        <v>0.31238295207836297</v>
      </c>
      <c r="K158" s="119">
        <v>0.32085241613904197</v>
      </c>
      <c r="L158" s="119">
        <v>0.32511897667064399</v>
      </c>
      <c r="M158" s="119">
        <v>0.32875899228231797</v>
      </c>
      <c r="N158" s="119">
        <v>0.33194450374207002</v>
      </c>
      <c r="O158" s="119">
        <v>0.334732009984055</v>
      </c>
      <c r="P158" s="119">
        <v>0.33689635778946803</v>
      </c>
      <c r="Q158" s="119">
        <v>0.33672403428046299</v>
      </c>
      <c r="R158" s="119">
        <v>0.33605623936906598</v>
      </c>
      <c r="S158" s="119">
        <v>0.33367564796629001</v>
      </c>
      <c r="T158" s="119">
        <v>0.32659279339055403</v>
      </c>
      <c r="U158" s="119">
        <v>0.32105207184944601</v>
      </c>
      <c r="V158" s="119">
        <v>0.31859591838958901</v>
      </c>
      <c r="W158" s="119">
        <v>0.31747529124142199</v>
      </c>
      <c r="X158" s="119">
        <v>0.318368547272115</v>
      </c>
      <c r="Y158" s="119">
        <v>0.320867065373098</v>
      </c>
      <c r="Z158" s="119">
        <v>0.322836669993811</v>
      </c>
      <c r="AA158" s="119">
        <v>0.32555667393355098</v>
      </c>
      <c r="AB158" s="119">
        <v>0.327952681398197</v>
      </c>
      <c r="AC158" s="119">
        <v>0.32943677396672499</v>
      </c>
      <c r="AD158" s="119">
        <v>0.33116083609187102</v>
      </c>
      <c r="AE158" s="119">
        <v>0.33213266839787497</v>
      </c>
      <c r="AF158" s="119">
        <v>0.332446010152598</v>
      </c>
      <c r="AG158" s="119">
        <v>0.33379996902752002</v>
      </c>
      <c r="AH158" s="119">
        <v>0.33636669317869999</v>
      </c>
      <c r="AI158" s="119">
        <v>0.33771512595464698</v>
      </c>
      <c r="AJ158" s="119">
        <v>0.33933661186241698</v>
      </c>
      <c r="AK158" s="119">
        <v>0.33867950969447902</v>
      </c>
      <c r="AL158" s="119">
        <v>0.338885899398507</v>
      </c>
      <c r="AM158" s="119">
        <v>0.33889562908148002</v>
      </c>
      <c r="AN158" s="119">
        <v>0.33820739005314099</v>
      </c>
      <c r="AO158" s="119">
        <v>0.33779398418519502</v>
      </c>
      <c r="AP158" s="119">
        <v>0.33784177615785399</v>
      </c>
      <c r="AQ158" s="119">
        <v>0.33639636588537403</v>
      </c>
      <c r="AR158" s="119">
        <v>0.33531182089258899</v>
      </c>
      <c r="AS158" s="119">
        <v>0.33601027982334603</v>
      </c>
      <c r="AT158" s="119">
        <v>0.33659663367277598</v>
      </c>
      <c r="AU158" s="119">
        <v>0.336263269821031</v>
      </c>
      <c r="AV158" s="119">
        <v>0.33741178927614701</v>
      </c>
      <c r="AW158" s="119">
        <v>0.33849015664884302</v>
      </c>
      <c r="AX158" s="119">
        <v>0.34128603282299802</v>
      </c>
      <c r="AY158" s="119">
        <v>0.34392784839628898</v>
      </c>
      <c r="AZ158" s="119">
        <v>0.346135668397969</v>
      </c>
      <c r="BA158" s="119">
        <v>0.34915095231210103</v>
      </c>
      <c r="BB158" s="119">
        <v>0.35333402782676698</v>
      </c>
      <c r="BC158" s="119">
        <v>0.356356365164819</v>
      </c>
      <c r="BD158" s="119">
        <v>0.35674607886466198</v>
      </c>
      <c r="BE158" s="119">
        <v>0.35958048571564699</v>
      </c>
      <c r="BF158" s="119">
        <v>0.36324877127482802</v>
      </c>
      <c r="BG158" s="119">
        <v>0.366404500024401</v>
      </c>
      <c r="BH158" s="119">
        <v>0.36855958638383002</v>
      </c>
      <c r="BI158" s="119">
        <v>0.370978378566862</v>
      </c>
      <c r="BJ158" s="119">
        <v>0.374982493653993</v>
      </c>
      <c r="BK158" s="119">
        <v>0.37793686443625901</v>
      </c>
      <c r="BL158" s="119">
        <v>0.37914842706871599</v>
      </c>
    </row>
    <row r="159" spans="1:64" x14ac:dyDescent="0.25">
      <c r="A159" s="860" t="s">
        <v>255</v>
      </c>
      <c r="B159" s="1">
        <v>703</v>
      </c>
      <c r="C159" s="119">
        <v>0.5</v>
      </c>
      <c r="D159" s="119">
        <v>0.160105395601814</v>
      </c>
      <c r="E159" s="119">
        <v>0.167323249176516</v>
      </c>
      <c r="F159" s="119">
        <v>0.17542850222506401</v>
      </c>
      <c r="G159" s="119">
        <v>0.18302328983917701</v>
      </c>
      <c r="H159" s="119">
        <v>0.19053450801772401</v>
      </c>
      <c r="I159" s="119">
        <v>0.19823519553744601</v>
      </c>
      <c r="J159" s="119">
        <v>0.206425450045189</v>
      </c>
      <c r="K159" s="119">
        <v>0.21177821973186101</v>
      </c>
      <c r="L159" s="119">
        <v>0.21880729445959901</v>
      </c>
      <c r="M159" s="119">
        <v>0.225816798955605</v>
      </c>
      <c r="N159" s="119">
        <v>0.23510857502605301</v>
      </c>
      <c r="O159" s="119">
        <v>0.24434040932156001</v>
      </c>
      <c r="P159" s="119">
        <v>0.25137665186523001</v>
      </c>
      <c r="Q159" s="119">
        <v>0.25555029040844401</v>
      </c>
      <c r="R159" s="119">
        <v>0.263938915624082</v>
      </c>
      <c r="S159" s="119">
        <v>0.270891821226381</v>
      </c>
      <c r="T159" s="119">
        <v>0.27818052875312899</v>
      </c>
      <c r="U159" s="119">
        <v>0.28277080519235698</v>
      </c>
      <c r="V159" s="119">
        <v>0.29083000974931</v>
      </c>
      <c r="W159" s="119">
        <v>0.29597021535072998</v>
      </c>
      <c r="X159" s="119">
        <v>0.30223147886228602</v>
      </c>
      <c r="Y159" s="119">
        <v>0.30722523853046502</v>
      </c>
      <c r="Z159" s="119">
        <v>0.317169169309655</v>
      </c>
      <c r="AA159" s="119">
        <v>0.32943228330701002</v>
      </c>
      <c r="AB159" s="119">
        <v>0.34054203200223898</v>
      </c>
      <c r="AC159" s="119">
        <v>0.35248992595824702</v>
      </c>
      <c r="AD159" s="119">
        <v>0.362614416921542</v>
      </c>
      <c r="AE159" s="119">
        <v>0.37290518503238301</v>
      </c>
      <c r="AF159" s="119">
        <v>0.379853439379925</v>
      </c>
      <c r="AG159" s="119">
        <v>0.38468799488625999</v>
      </c>
      <c r="AH159" s="119">
        <v>0.38999457609718902</v>
      </c>
      <c r="AI159" s="119">
        <v>0.392818867502706</v>
      </c>
      <c r="AJ159" s="119">
        <v>0.39654947164684701</v>
      </c>
      <c r="AK159" s="119">
        <v>0.39967636258806499</v>
      </c>
      <c r="AL159" s="119">
        <v>0.40129279456306899</v>
      </c>
      <c r="AM159" s="119">
        <v>0.40584179935546799</v>
      </c>
      <c r="AN159" s="119">
        <v>0.407793637698244</v>
      </c>
      <c r="AO159" s="119">
        <v>0.41019644518969001</v>
      </c>
      <c r="AP159" s="119">
        <v>0.41436237527407199</v>
      </c>
      <c r="AQ159" s="119">
        <v>0.41743148585387801</v>
      </c>
      <c r="AR159" s="119">
        <v>0.42194187611989298</v>
      </c>
      <c r="AS159" s="119">
        <v>0.42296368119205502</v>
      </c>
      <c r="AT159" s="119">
        <v>0.42775064283438902</v>
      </c>
      <c r="AU159" s="119">
        <v>0.43210796210316099</v>
      </c>
      <c r="AV159" s="119">
        <v>0.436673307816004</v>
      </c>
      <c r="AW159" s="119">
        <v>0.44210593443600199</v>
      </c>
      <c r="AX159" s="119">
        <v>0.44565239441201199</v>
      </c>
      <c r="AY159" s="119">
        <v>0.45115144796413198</v>
      </c>
      <c r="AZ159" s="119">
        <v>0.45454296667803401</v>
      </c>
      <c r="BA159" s="119">
        <v>0.45911597887796102</v>
      </c>
      <c r="BB159" s="119">
        <v>0.463145780659454</v>
      </c>
      <c r="BC159" s="119">
        <v>0.469831867120236</v>
      </c>
      <c r="BD159" s="119">
        <v>0.47347192490572398</v>
      </c>
      <c r="BE159" s="119">
        <v>0.47678070946797901</v>
      </c>
      <c r="BF159" s="119">
        <v>0.47860871849860098</v>
      </c>
      <c r="BG159" s="119">
        <v>0.48131302879413501</v>
      </c>
      <c r="BH159" s="119">
        <v>0.48524838486638699</v>
      </c>
      <c r="BI159" s="119">
        <v>0.48672508033879502</v>
      </c>
      <c r="BJ159" s="119">
        <v>0.48806961966678802</v>
      </c>
      <c r="BK159" s="119">
        <v>0.490093258109699</v>
      </c>
      <c r="BL159" s="119">
        <v>0.49036505603054398</v>
      </c>
    </row>
    <row r="160" spans="1:64" x14ac:dyDescent="0.25">
      <c r="A160" s="860" t="s">
        <v>256</v>
      </c>
      <c r="B160" s="1">
        <v>705</v>
      </c>
      <c r="C160" s="119">
        <v>0.5</v>
      </c>
      <c r="D160" s="119">
        <v>9.7880088029054096E-2</v>
      </c>
      <c r="E160" s="119">
        <v>0.104854248982577</v>
      </c>
      <c r="F160" s="119">
        <v>0.113458145476828</v>
      </c>
      <c r="G160" s="119">
        <v>0.123287303138124</v>
      </c>
      <c r="H160" s="119">
        <v>0.131602991520757</v>
      </c>
      <c r="I160" s="119">
        <v>0.14208246006985401</v>
      </c>
      <c r="J160" s="119">
        <v>0.15158067485816001</v>
      </c>
      <c r="K160" s="119">
        <v>0.16203138006635601</v>
      </c>
      <c r="L160" s="119">
        <v>0.17308754681474001</v>
      </c>
      <c r="M160" s="119">
        <v>0.18220262682452701</v>
      </c>
      <c r="N160" s="119">
        <v>0.19079118057302299</v>
      </c>
      <c r="O160" s="119">
        <v>0.203306413272314</v>
      </c>
      <c r="P160" s="119">
        <v>0.213381652966318</v>
      </c>
      <c r="Q160" s="119">
        <v>0.22460586535735899</v>
      </c>
      <c r="R160" s="119">
        <v>0.235388074576978</v>
      </c>
      <c r="S160" s="119">
        <v>0.24798182505529101</v>
      </c>
      <c r="T160" s="119">
        <v>0.26044675265733902</v>
      </c>
      <c r="U160" s="119">
        <v>0.27176938860142602</v>
      </c>
      <c r="V160" s="119">
        <v>0.28518097522060099</v>
      </c>
      <c r="W160" s="119">
        <v>0.29633600680417799</v>
      </c>
      <c r="X160" s="119">
        <v>0.308582027454675</v>
      </c>
      <c r="Y160" s="119">
        <v>0.32207545471766602</v>
      </c>
      <c r="Z160" s="119">
        <v>0.33203975020897297</v>
      </c>
      <c r="AA160" s="119">
        <v>0.34090784309968603</v>
      </c>
      <c r="AB160" s="119">
        <v>0.35074805879333398</v>
      </c>
      <c r="AC160" s="119">
        <v>0.358964119337285</v>
      </c>
      <c r="AD160" s="119">
        <v>0.36163510564256501</v>
      </c>
      <c r="AE160" s="119">
        <v>0.36533064700742801</v>
      </c>
      <c r="AF160" s="119">
        <v>0.36735841373580902</v>
      </c>
      <c r="AG160" s="119">
        <v>0.37085794220822799</v>
      </c>
      <c r="AH160" s="119">
        <v>0.37412656904831998</v>
      </c>
      <c r="AI160" s="119">
        <v>0.37547816694918201</v>
      </c>
      <c r="AJ160" s="119">
        <v>0.37856268438180302</v>
      </c>
      <c r="AK160" s="119">
        <v>0.381541541154157</v>
      </c>
      <c r="AL160" s="119">
        <v>0.38248894170415698</v>
      </c>
      <c r="AM160" s="119">
        <v>0.38500208659504198</v>
      </c>
      <c r="AN160" s="119">
        <v>0.38655143127192998</v>
      </c>
      <c r="AO160" s="119">
        <v>0.39045584693825403</v>
      </c>
      <c r="AP160" s="119">
        <v>0.39358455261757802</v>
      </c>
      <c r="AQ160" s="119">
        <v>0.39685284855250402</v>
      </c>
      <c r="AR160" s="119">
        <v>0.39952739238474</v>
      </c>
      <c r="AS160" s="119">
        <v>0.402436709127651</v>
      </c>
      <c r="AT160" s="119">
        <v>0.406273858753047</v>
      </c>
      <c r="AU160" s="119">
        <v>0.41029602798258702</v>
      </c>
      <c r="AV160" s="119">
        <v>0.41598139635533299</v>
      </c>
      <c r="AW160" s="119">
        <v>0.420732196865579</v>
      </c>
      <c r="AX160" s="119">
        <v>0.42457450836174898</v>
      </c>
      <c r="AY160" s="119">
        <v>0.42825599479669602</v>
      </c>
      <c r="AZ160" s="119">
        <v>0.43175148398187901</v>
      </c>
      <c r="BA160" s="119">
        <v>0.43423442904788401</v>
      </c>
      <c r="BB160" s="119">
        <v>0.43783312403689201</v>
      </c>
      <c r="BC160" s="119">
        <v>0.44057451157100702</v>
      </c>
      <c r="BD160" s="119">
        <v>0.44462776025211698</v>
      </c>
      <c r="BE160" s="119">
        <v>0.446371195080003</v>
      </c>
      <c r="BF160" s="119">
        <v>0.44742758456405202</v>
      </c>
      <c r="BG160" s="119">
        <v>0.45072278549664302</v>
      </c>
      <c r="BH160" s="119">
        <v>0.45220445381753599</v>
      </c>
      <c r="BI160" s="119">
        <v>0.45410163767323602</v>
      </c>
      <c r="BJ160" s="119">
        <v>0.45513897910927797</v>
      </c>
      <c r="BK160" s="119">
        <v>0.45922701657611997</v>
      </c>
      <c r="BL160" s="119">
        <v>0.46221797138134701</v>
      </c>
    </row>
    <row r="161" spans="1:64" x14ac:dyDescent="0.25">
      <c r="A161" s="860" t="s">
        <v>62</v>
      </c>
      <c r="B161" s="1">
        <v>90</v>
      </c>
      <c r="C161" s="119">
        <v>0.5</v>
      </c>
      <c r="D161" s="119">
        <v>0.1145276602622</v>
      </c>
      <c r="E161" s="119">
        <v>0.116449548277818</v>
      </c>
      <c r="F161" s="119">
        <v>0.117445321340142</v>
      </c>
      <c r="G161" s="119">
        <v>0.120424460451079</v>
      </c>
      <c r="H161" s="119">
        <v>0.121941910894377</v>
      </c>
      <c r="I161" s="119">
        <v>0.1240669985203</v>
      </c>
      <c r="J161" s="119">
        <v>0.12759383051468901</v>
      </c>
      <c r="K161" s="119">
        <v>0.12850186936627001</v>
      </c>
      <c r="L161" s="119">
        <v>0.13088356365149401</v>
      </c>
      <c r="M161" s="119">
        <v>0.13346540406048499</v>
      </c>
      <c r="N161" s="119">
        <v>0.13631526357016599</v>
      </c>
      <c r="O161" s="119">
        <v>0.13789718958143299</v>
      </c>
      <c r="P161" s="119">
        <v>0.14045373416721901</v>
      </c>
      <c r="Q161" s="119">
        <v>0.14187817290538901</v>
      </c>
      <c r="R161" s="119">
        <v>0.143396315346559</v>
      </c>
      <c r="S161" s="119">
        <v>0.14573970401001801</v>
      </c>
      <c r="T161" s="119">
        <v>0.14745458378680501</v>
      </c>
      <c r="U161" s="119">
        <v>0.14807905076349501</v>
      </c>
      <c r="V161" s="119">
        <v>0.14918663672430801</v>
      </c>
      <c r="W161" s="119">
        <v>0.15017234437083701</v>
      </c>
      <c r="X161" s="119">
        <v>0.15116160565738301</v>
      </c>
      <c r="Y161" s="119">
        <v>0.15288925306986501</v>
      </c>
      <c r="Z161" s="119">
        <v>0.155479715443437</v>
      </c>
      <c r="AA161" s="119">
        <v>0.158001327941686</v>
      </c>
      <c r="AB161" s="119">
        <v>0.16000073280588001</v>
      </c>
      <c r="AC161" s="119">
        <v>0.16207983023619199</v>
      </c>
      <c r="AD161" s="119">
        <v>0.16616727125939099</v>
      </c>
      <c r="AE161" s="119">
        <v>0.16897710138659</v>
      </c>
      <c r="AF161" s="119">
        <v>0.17268601213422999</v>
      </c>
      <c r="AG161" s="119">
        <v>0.17546412598335201</v>
      </c>
      <c r="AH161" s="119">
        <v>0.17822790620604501</v>
      </c>
      <c r="AI161" s="119">
        <v>0.18143816839465299</v>
      </c>
      <c r="AJ161" s="119">
        <v>0.185128306700443</v>
      </c>
      <c r="AK161" s="119">
        <v>0.188661970533435</v>
      </c>
      <c r="AL161" s="119">
        <v>0.19098362167639499</v>
      </c>
      <c r="AM161" s="119">
        <v>0.194168594639477</v>
      </c>
      <c r="AN161" s="119">
        <v>0.195792236133005</v>
      </c>
      <c r="AO161" s="119">
        <v>0.19754645934800599</v>
      </c>
      <c r="AP161" s="119">
        <v>0.196610129605052</v>
      </c>
      <c r="AQ161" s="119">
        <v>0.19496951485365899</v>
      </c>
      <c r="AR161" s="119">
        <v>0.19417323982736401</v>
      </c>
      <c r="AS161" s="119">
        <v>0.191816558444588</v>
      </c>
      <c r="AT161" s="119">
        <v>0.18969788534631399</v>
      </c>
      <c r="AU161" s="119">
        <v>0.18655938936991801</v>
      </c>
      <c r="AV161" s="119">
        <v>0.18477959846817399</v>
      </c>
      <c r="AW161" s="119">
        <v>0.183103588023483</v>
      </c>
      <c r="AX161" s="119">
        <v>0.18424728879292099</v>
      </c>
      <c r="AY161" s="119">
        <v>0.185722858366237</v>
      </c>
      <c r="AZ161" s="119">
        <v>0.187098268331298</v>
      </c>
      <c r="BA161" s="119">
        <v>0.18936271693265599</v>
      </c>
      <c r="BB161" s="119">
        <v>0.192420839197534</v>
      </c>
      <c r="BC161" s="119">
        <v>0.19458083087137301</v>
      </c>
      <c r="BD161" s="119">
        <v>0.19723398707451301</v>
      </c>
      <c r="BE161" s="119">
        <v>0.199428684097047</v>
      </c>
      <c r="BF161" s="119">
        <v>0.20125687424122199</v>
      </c>
      <c r="BG161" s="119">
        <v>0.203199801139689</v>
      </c>
      <c r="BH161" s="119">
        <v>0.20566921325735499</v>
      </c>
      <c r="BI161" s="119">
        <v>0.20794056533043401</v>
      </c>
      <c r="BJ161" s="119">
        <v>0.208383822255443</v>
      </c>
      <c r="BK161" s="119">
        <v>0.21140564568178899</v>
      </c>
      <c r="BL161" s="119">
        <v>0.21280776825935099</v>
      </c>
    </row>
    <row r="162" spans="1:64" x14ac:dyDescent="0.25">
      <c r="A162" s="860" t="s">
        <v>63</v>
      </c>
      <c r="B162" s="1">
        <v>706</v>
      </c>
      <c r="C162" s="119">
        <v>0.5</v>
      </c>
      <c r="D162" s="119">
        <v>4.15048013174863E-3</v>
      </c>
      <c r="E162" s="119">
        <v>4.2271430941003404E-3</v>
      </c>
      <c r="F162" s="119">
        <v>4.37238757971249E-3</v>
      </c>
      <c r="G162" s="119">
        <v>4.5508407434210101E-3</v>
      </c>
      <c r="H162" s="119">
        <v>4.7743431650455097E-3</v>
      </c>
      <c r="I162" s="119">
        <v>4.8757902574609298E-3</v>
      </c>
      <c r="J162" s="119">
        <v>5.02442014109816E-3</v>
      </c>
      <c r="K162" s="119">
        <v>5.2240671401311903E-3</v>
      </c>
      <c r="L162" s="119">
        <v>5.5187266863101301E-3</v>
      </c>
      <c r="M162" s="119">
        <v>5.7803886486968896E-3</v>
      </c>
      <c r="N162" s="119">
        <v>6.0449355622382104E-3</v>
      </c>
      <c r="O162" s="119">
        <v>6.26076348029547E-3</v>
      </c>
      <c r="P162" s="119">
        <v>6.4978080696237103E-3</v>
      </c>
      <c r="Q162" s="119">
        <v>6.76089114878369E-3</v>
      </c>
      <c r="R162" s="119">
        <v>7.0715054402543899E-3</v>
      </c>
      <c r="S162" s="119">
        <v>7.3394941941825297E-3</v>
      </c>
      <c r="T162" s="119">
        <v>7.6534771964097796E-3</v>
      </c>
      <c r="U162" s="119">
        <v>7.9328922119969794E-3</v>
      </c>
      <c r="V162" s="119">
        <v>8.2509766347422693E-3</v>
      </c>
      <c r="W162" s="119">
        <v>8.6567761426878196E-3</v>
      </c>
      <c r="X162" s="119">
        <v>8.8957945090022399E-3</v>
      </c>
      <c r="Y162" s="119">
        <v>9.2267561008228006E-3</v>
      </c>
      <c r="Z162" s="119">
        <v>9.4118226489224195E-3</v>
      </c>
      <c r="AA162" s="119">
        <v>9.65638565119545E-3</v>
      </c>
      <c r="AB162" s="119">
        <v>9.8885656020899406E-3</v>
      </c>
      <c r="AC162" s="119">
        <v>1.0018528452554199E-2</v>
      </c>
      <c r="AD162" s="119">
        <v>1.02197913819452E-2</v>
      </c>
      <c r="AE162" s="119">
        <v>1.03747470374424E-2</v>
      </c>
      <c r="AF162" s="119">
        <v>1.0686284832738801E-2</v>
      </c>
      <c r="AG162" s="119">
        <v>1.0892978821707301E-2</v>
      </c>
      <c r="AH162" s="119">
        <v>1.10255649807113E-2</v>
      </c>
      <c r="AI162" s="119">
        <v>1.120106687507E-2</v>
      </c>
      <c r="AJ162" s="119">
        <v>1.1421657422731799E-2</v>
      </c>
      <c r="AK162" s="119">
        <v>1.1694272827266001E-2</v>
      </c>
      <c r="AL162" s="119">
        <v>1.1760248728732201E-2</v>
      </c>
      <c r="AM162" s="119">
        <v>1.1879005097986201E-2</v>
      </c>
      <c r="AN162" s="119">
        <v>1.1967777684707699E-2</v>
      </c>
      <c r="AO162" s="119">
        <v>1.1980688146048E-2</v>
      </c>
      <c r="AP162" s="119">
        <v>1.17992108110926E-2</v>
      </c>
      <c r="AQ162" s="119">
        <v>1.1620826688785399E-2</v>
      </c>
      <c r="AR162" s="119">
        <v>1.1462826572640901E-2</v>
      </c>
      <c r="AS162" s="119">
        <v>1.13172418755872E-2</v>
      </c>
      <c r="AT162" s="119">
        <v>1.13605488707309E-2</v>
      </c>
      <c r="AU162" s="119">
        <v>1.1494918335413299E-2</v>
      </c>
      <c r="AV162" s="119">
        <v>1.1563803175001001E-2</v>
      </c>
      <c r="AW162" s="119">
        <v>1.15195889396888E-2</v>
      </c>
      <c r="AX162" s="119">
        <v>1.15770950719072E-2</v>
      </c>
      <c r="AY162" s="119">
        <v>1.16552101092137E-2</v>
      </c>
      <c r="AZ162" s="119">
        <v>1.17982343504105E-2</v>
      </c>
      <c r="BA162" s="119">
        <v>1.2406977530826001E-2</v>
      </c>
      <c r="BB162" s="119">
        <v>1.30976298146655E-2</v>
      </c>
      <c r="BC162" s="119">
        <v>1.3780060417437401E-2</v>
      </c>
      <c r="BD162" s="119">
        <v>1.4703297293644399E-2</v>
      </c>
      <c r="BE162" s="119">
        <v>1.5546694879236701E-2</v>
      </c>
      <c r="BF162" s="119">
        <v>1.6556101883823001E-2</v>
      </c>
      <c r="BG162" s="119">
        <v>1.7655602572325301E-2</v>
      </c>
      <c r="BH162" s="119">
        <v>1.8782041389492399E-2</v>
      </c>
      <c r="BI162" s="119">
        <v>1.9942342931609399E-2</v>
      </c>
      <c r="BJ162" s="119">
        <v>2.1346963539803199E-2</v>
      </c>
      <c r="BK162" s="119">
        <v>2.27294109885696E-2</v>
      </c>
      <c r="BL162" s="119">
        <v>2.40789410570336E-2</v>
      </c>
    </row>
    <row r="163" spans="1:64" x14ac:dyDescent="0.25">
      <c r="A163" s="860" t="s">
        <v>64</v>
      </c>
      <c r="B163" s="1">
        <v>710</v>
      </c>
      <c r="C163" s="119">
        <v>0.5</v>
      </c>
      <c r="D163" s="119">
        <v>0.135684743925581</v>
      </c>
      <c r="E163" s="119">
        <v>0.14953644651654899</v>
      </c>
      <c r="F163" s="119">
        <v>0.161247709088849</v>
      </c>
      <c r="G163" s="119">
        <v>0.17040957185595201</v>
      </c>
      <c r="H163" s="119">
        <v>0.18331353441815401</v>
      </c>
      <c r="I163" s="119">
        <v>0.195032610097127</v>
      </c>
      <c r="J163" s="119">
        <v>0.20757340957426701</v>
      </c>
      <c r="K163" s="119">
        <v>0.221424970993811</v>
      </c>
      <c r="L163" s="119">
        <v>0.234254491680841</v>
      </c>
      <c r="M163" s="119">
        <v>0.24727059615205199</v>
      </c>
      <c r="N163" s="119">
        <v>0.26245548999106999</v>
      </c>
      <c r="O163" s="119">
        <v>0.27235864181421499</v>
      </c>
      <c r="P163" s="119">
        <v>0.285845505022219</v>
      </c>
      <c r="Q163" s="119">
        <v>0.29891118151976898</v>
      </c>
      <c r="R163" s="119">
        <v>0.31348756635778202</v>
      </c>
      <c r="S163" s="119">
        <v>0.32608290118785499</v>
      </c>
      <c r="T163" s="119">
        <v>0.34038022371999499</v>
      </c>
      <c r="U163" s="119">
        <v>0.35410663071139098</v>
      </c>
      <c r="V163" s="119">
        <v>0.36784271829599102</v>
      </c>
      <c r="W163" s="119">
        <v>0.38072575162253602</v>
      </c>
      <c r="X163" s="119">
        <v>0.39114477260834102</v>
      </c>
      <c r="Y163" s="119">
        <v>0.40292096974213798</v>
      </c>
      <c r="Z163" s="119">
        <v>0.41724226644048001</v>
      </c>
      <c r="AA163" s="119">
        <v>0.428225853763125</v>
      </c>
      <c r="AB163" s="119">
        <v>0.44012015519110897</v>
      </c>
      <c r="AC163" s="119">
        <v>0.45233135313454798</v>
      </c>
      <c r="AD163" s="119">
        <v>0.46233762345510099</v>
      </c>
      <c r="AE163" s="119">
        <v>0.471850468820942</v>
      </c>
      <c r="AF163" s="119">
        <v>0.48107072462646899</v>
      </c>
      <c r="AG163" s="119">
        <v>0.48618493309831501</v>
      </c>
      <c r="AH163" s="119">
        <v>0.49033759270574501</v>
      </c>
      <c r="AI163" s="119">
        <v>0.49324776657114999</v>
      </c>
      <c r="AJ163" s="119">
        <v>0.49417560284104101</v>
      </c>
      <c r="AK163" s="119">
        <v>0.49670912445890503</v>
      </c>
      <c r="AL163" s="119">
        <v>0.49733588081788999</v>
      </c>
      <c r="AM163" s="119">
        <v>0.49708412527110402</v>
      </c>
      <c r="AN163" s="119">
        <v>0.49660456862131203</v>
      </c>
      <c r="AO163" s="119">
        <v>0.49471378911216202</v>
      </c>
      <c r="AP163" s="119">
        <v>0.49297944973953001</v>
      </c>
      <c r="AQ163" s="119">
        <v>0.49245396577783701</v>
      </c>
      <c r="AR163" s="119">
        <v>0.49063143398499698</v>
      </c>
      <c r="AS163" s="119">
        <v>0.48917474609668898</v>
      </c>
      <c r="AT163" s="119">
        <v>0.487919573601727</v>
      </c>
      <c r="AU163" s="119">
        <v>0.48717436746424603</v>
      </c>
      <c r="AV163" s="119">
        <v>0.48570085837988097</v>
      </c>
      <c r="AW163" s="119">
        <v>0.484772481530449</v>
      </c>
      <c r="AX163" s="119">
        <v>0.48373949231358399</v>
      </c>
      <c r="AY163" s="119">
        <v>0.48660918151059801</v>
      </c>
      <c r="AZ163" s="119">
        <v>0.48949214626529303</v>
      </c>
      <c r="BA163" s="119">
        <v>0.49372716214662499</v>
      </c>
      <c r="BB163" s="119">
        <v>0.49646919746443202</v>
      </c>
      <c r="BC163" s="119">
        <v>0.50021718747629695</v>
      </c>
      <c r="BD163" s="119">
        <v>0.50279374226042495</v>
      </c>
      <c r="BE163" s="119">
        <v>0.506053353890905</v>
      </c>
      <c r="BF163" s="119">
        <v>0.50840349027115805</v>
      </c>
      <c r="BG163" s="119">
        <v>0.51110588046351502</v>
      </c>
      <c r="BH163" s="119">
        <v>0.51336013499506405</v>
      </c>
      <c r="BI163" s="119">
        <v>0.51655629510877998</v>
      </c>
      <c r="BJ163" s="119">
        <v>0.51947906197760296</v>
      </c>
      <c r="BK163" s="119">
        <v>0.52245304970454098</v>
      </c>
      <c r="BL163" s="119">
        <v>0.52652160580270402</v>
      </c>
    </row>
    <row r="164" spans="1:64" x14ac:dyDescent="0.25">
      <c r="A164" s="860" t="s">
        <v>65</v>
      </c>
      <c r="B164" s="1">
        <v>728</v>
      </c>
      <c r="C164" s="119">
        <v>0.5</v>
      </c>
      <c r="D164" s="119">
        <v>4.8592093261486001E-3</v>
      </c>
      <c r="E164" s="119">
        <v>5.0978204134672399E-3</v>
      </c>
      <c r="F164" s="119">
        <v>5.4085104560382801E-3</v>
      </c>
      <c r="G164" s="119">
        <v>5.7100910502408102E-3</v>
      </c>
      <c r="H164" s="119">
        <v>6.0901946302743598E-3</v>
      </c>
      <c r="I164" s="119">
        <v>6.4337720349194197E-3</v>
      </c>
      <c r="J164" s="119">
        <v>6.7888820110998697E-3</v>
      </c>
      <c r="K164" s="119">
        <v>7.2288327451545597E-3</v>
      </c>
      <c r="L164" s="119">
        <v>7.5999525715586703E-3</v>
      </c>
      <c r="M164" s="119">
        <v>8.1411047044243692E-3</v>
      </c>
      <c r="N164" s="119">
        <v>8.5802334680700094E-3</v>
      </c>
      <c r="O164" s="119">
        <v>9.1185193344998101E-3</v>
      </c>
      <c r="P164" s="119">
        <v>9.6895484685706693E-3</v>
      </c>
      <c r="Q164" s="119">
        <v>1.03723921052642E-2</v>
      </c>
      <c r="R164" s="119">
        <v>1.10751476228113E-2</v>
      </c>
      <c r="S164" s="119">
        <v>1.1750083436846401E-2</v>
      </c>
      <c r="T164" s="119">
        <v>1.2417139701606799E-2</v>
      </c>
      <c r="U164" s="119">
        <v>1.3310695089101701E-2</v>
      </c>
      <c r="V164" s="119">
        <v>1.4095652707932799E-2</v>
      </c>
      <c r="W164" s="119">
        <v>1.48936380385737E-2</v>
      </c>
      <c r="X164" s="119">
        <v>1.5794654368895999E-2</v>
      </c>
      <c r="Y164" s="119">
        <v>1.6664937547114698E-2</v>
      </c>
      <c r="Z164" s="119">
        <v>1.7525937553124999E-2</v>
      </c>
      <c r="AA164" s="119">
        <v>1.8126863468377399E-2</v>
      </c>
      <c r="AB164" s="119">
        <v>1.8735485519105598E-2</v>
      </c>
      <c r="AC164" s="119">
        <v>1.9435498932514901E-2</v>
      </c>
      <c r="AD164" s="119">
        <v>1.99449943721829E-2</v>
      </c>
      <c r="AE164" s="119">
        <v>2.0575127697147699E-2</v>
      </c>
      <c r="AF164" s="119">
        <v>2.13127365520406E-2</v>
      </c>
      <c r="AG164" s="119">
        <v>2.2105112691747499E-2</v>
      </c>
      <c r="AH164" s="119">
        <v>2.2732706040106399E-2</v>
      </c>
      <c r="AI164" s="119">
        <v>2.3545977624755399E-2</v>
      </c>
      <c r="AJ164" s="119">
        <v>2.4155150331905999E-2</v>
      </c>
      <c r="AK164" s="119">
        <v>2.4655377728843901E-2</v>
      </c>
      <c r="AL164" s="119">
        <v>2.53372813817185E-2</v>
      </c>
      <c r="AM164" s="119">
        <v>2.6000742446696298E-2</v>
      </c>
      <c r="AN164" s="119">
        <v>2.6850552011686998E-2</v>
      </c>
      <c r="AO164" s="119">
        <v>2.7303309813079601E-2</v>
      </c>
      <c r="AP164" s="119">
        <v>2.7999623087269901E-2</v>
      </c>
      <c r="AQ164" s="119">
        <v>2.8586809900257699E-2</v>
      </c>
      <c r="AR164" s="119">
        <v>2.9439041486953602E-2</v>
      </c>
      <c r="AS164" s="119">
        <v>3.0834968146309798E-2</v>
      </c>
      <c r="AT164" s="119">
        <v>3.0688548149350101E-2</v>
      </c>
      <c r="AU164" s="119">
        <v>3.0306767377993499E-2</v>
      </c>
      <c r="AV164" s="119">
        <v>2.9830922590320001E-2</v>
      </c>
      <c r="AW164" s="119">
        <v>2.9687030404673801E-2</v>
      </c>
      <c r="AX164" s="119">
        <v>3.0398118863455701E-2</v>
      </c>
      <c r="AY164" s="119">
        <v>3.1669002189688697E-2</v>
      </c>
      <c r="AZ164" s="119">
        <v>3.30437551290092E-2</v>
      </c>
      <c r="BA164" s="119">
        <v>3.4599595700269097E-2</v>
      </c>
      <c r="BB164" s="119">
        <v>3.6230270151300599E-2</v>
      </c>
      <c r="BC164" s="119">
        <v>3.7925327211555802E-2</v>
      </c>
      <c r="BD164" s="119">
        <v>3.99123679452957E-2</v>
      </c>
      <c r="BE164" s="119">
        <v>4.1888041156624901E-2</v>
      </c>
      <c r="BF164" s="119">
        <v>4.3595738344150599E-2</v>
      </c>
      <c r="BG164" s="119">
        <v>4.5404240567667099E-2</v>
      </c>
      <c r="BH164" s="119">
        <v>4.7717686146595897E-2</v>
      </c>
      <c r="BI164" s="119">
        <v>4.9846184041668198E-2</v>
      </c>
      <c r="BJ164" s="119">
        <v>5.17145689285302E-2</v>
      </c>
      <c r="BK164" s="119">
        <v>5.4040629387122702E-2</v>
      </c>
      <c r="BL164" s="119">
        <v>5.63249742248342E-2</v>
      </c>
    </row>
    <row r="165" spans="1:64" x14ac:dyDescent="0.25">
      <c r="A165" s="860" t="s">
        <v>257</v>
      </c>
      <c r="B165" s="1">
        <v>724</v>
      </c>
      <c r="C165" s="119">
        <v>0.5</v>
      </c>
      <c r="D165" s="119">
        <v>9.2522579071539601E-2</v>
      </c>
      <c r="E165" s="119">
        <v>9.9356287099384599E-2</v>
      </c>
      <c r="F165" s="119">
        <v>0.105402154392011</v>
      </c>
      <c r="G165" s="119">
        <v>0.11271285200504</v>
      </c>
      <c r="H165" s="119">
        <v>0.11971675212039599</v>
      </c>
      <c r="I165" s="119">
        <v>0.127848886194525</v>
      </c>
      <c r="J165" s="119">
        <v>0.135986640611513</v>
      </c>
      <c r="K165" s="119">
        <v>0.145617558278054</v>
      </c>
      <c r="L165" s="119">
        <v>0.158092660579671</v>
      </c>
      <c r="M165" s="119">
        <v>0.172515543734619</v>
      </c>
      <c r="N165" s="119">
        <v>0.18791158216134399</v>
      </c>
      <c r="O165" s="119">
        <v>0.203624934379836</v>
      </c>
      <c r="P165" s="119">
        <v>0.220743956737004</v>
      </c>
      <c r="Q165" s="119">
        <v>0.23709739329992299</v>
      </c>
      <c r="R165" s="119">
        <v>0.25460515557087399</v>
      </c>
      <c r="S165" s="119">
        <v>0.27265918909081899</v>
      </c>
      <c r="T165" s="119">
        <v>0.29064844985305399</v>
      </c>
      <c r="U165" s="119">
        <v>0.30876254292402799</v>
      </c>
      <c r="V165" s="119">
        <v>0.32758395269373902</v>
      </c>
      <c r="W165" s="119">
        <v>0.345719166503548</v>
      </c>
      <c r="X165" s="119">
        <v>0.36441561137409401</v>
      </c>
      <c r="Y165" s="119">
        <v>0.38353906531348197</v>
      </c>
      <c r="Z165" s="119">
        <v>0.40231982095546198</v>
      </c>
      <c r="AA165" s="119">
        <v>0.42054765104529901</v>
      </c>
      <c r="AB165" s="119">
        <v>0.43905473273121298</v>
      </c>
      <c r="AC165" s="119">
        <v>0.45691250016177998</v>
      </c>
      <c r="AD165" s="119">
        <v>0.47337153167286999</v>
      </c>
      <c r="AE165" s="119">
        <v>0.48896765278141202</v>
      </c>
      <c r="AF165" s="119">
        <v>0.50285100911169101</v>
      </c>
      <c r="AG165" s="119">
        <v>0.51663234597048602</v>
      </c>
      <c r="AH165" s="119">
        <v>0.52591009603818595</v>
      </c>
      <c r="AI165" s="119">
        <v>0.53503989900587001</v>
      </c>
      <c r="AJ165" s="119">
        <v>0.54336822583584699</v>
      </c>
      <c r="AK165" s="119">
        <v>0.55007515849484401</v>
      </c>
      <c r="AL165" s="119">
        <v>0.55829063846615201</v>
      </c>
      <c r="AM165" s="119">
        <v>0.56590409734486902</v>
      </c>
      <c r="AN165" s="119">
        <v>0.57585167557208305</v>
      </c>
      <c r="AO165" s="119">
        <v>0.58678821535013503</v>
      </c>
      <c r="AP165" s="119">
        <v>0.59714003076543598</v>
      </c>
      <c r="AQ165" s="119">
        <v>0.59961749293114497</v>
      </c>
      <c r="AR165" s="119">
        <v>0.60043601970578497</v>
      </c>
      <c r="AS165" s="119">
        <v>0.59995160156213201</v>
      </c>
      <c r="AT165" s="119">
        <v>0.599501336629779</v>
      </c>
      <c r="AU165" s="119">
        <v>0.59915326677222502</v>
      </c>
      <c r="AV165" s="119">
        <v>0.59740558895759199</v>
      </c>
      <c r="AW165" s="119">
        <v>0.59478439573186703</v>
      </c>
      <c r="AX165" s="119">
        <v>0.59347315505555498</v>
      </c>
      <c r="AY165" s="119">
        <v>0.59165146212513098</v>
      </c>
      <c r="AZ165" s="119">
        <v>0.59098801561822001</v>
      </c>
      <c r="BA165" s="119">
        <v>0.59056020436968704</v>
      </c>
      <c r="BB165" s="119">
        <v>0.59156858982414995</v>
      </c>
      <c r="BC165" s="119">
        <v>0.59277269419018097</v>
      </c>
      <c r="BD165" s="119">
        <v>0.59345131410486396</v>
      </c>
      <c r="BE165" s="119">
        <v>0.59263337144030204</v>
      </c>
      <c r="BF165" s="119">
        <v>0.59380482464726203</v>
      </c>
      <c r="BG165" s="119">
        <v>0.59560021632009996</v>
      </c>
      <c r="BH165" s="119">
        <v>0.59615918640526799</v>
      </c>
      <c r="BI165" s="119">
        <v>0.59506857713148797</v>
      </c>
      <c r="BJ165" s="119">
        <v>0.59548723384546898</v>
      </c>
      <c r="BK165" s="119">
        <v>0.59794445087445303</v>
      </c>
      <c r="BL165" s="119">
        <v>0.59868337327997101</v>
      </c>
    </row>
    <row r="166" spans="1:64" x14ac:dyDescent="0.25">
      <c r="A166" s="860" t="s">
        <v>66</v>
      </c>
      <c r="B166" s="1">
        <v>144</v>
      </c>
      <c r="C166" s="119">
        <v>0.5</v>
      </c>
      <c r="D166" s="119">
        <v>0.121426191976495</v>
      </c>
      <c r="E166" s="119">
        <v>0.12650907167786901</v>
      </c>
      <c r="F166" s="119">
        <v>0.13135113432613901</v>
      </c>
      <c r="G166" s="119">
        <v>0.135953180636188</v>
      </c>
      <c r="H166" s="119">
        <v>0.141831160358206</v>
      </c>
      <c r="I166" s="119">
        <v>0.14798549260900201</v>
      </c>
      <c r="J166" s="119">
        <v>0.15660876824436201</v>
      </c>
      <c r="K166" s="119">
        <v>0.16666311115448601</v>
      </c>
      <c r="L166" s="119">
        <v>0.17619264398753101</v>
      </c>
      <c r="M166" s="119">
        <v>0.18516879271867401</v>
      </c>
      <c r="N166" s="119">
        <v>0.19428910905456301</v>
      </c>
      <c r="O166" s="119">
        <v>0.20269349569737199</v>
      </c>
      <c r="P166" s="119">
        <v>0.20974053518285099</v>
      </c>
      <c r="Q166" s="119">
        <v>0.221029918543131</v>
      </c>
      <c r="R166" s="119">
        <v>0.230960047710145</v>
      </c>
      <c r="S166" s="119">
        <v>0.23997740747129701</v>
      </c>
      <c r="T166" s="119">
        <v>0.25066967346248198</v>
      </c>
      <c r="U166" s="119">
        <v>0.25944550212547401</v>
      </c>
      <c r="V166" s="119">
        <v>0.26615239783228001</v>
      </c>
      <c r="W166" s="119">
        <v>0.27063299961293602</v>
      </c>
      <c r="X166" s="119">
        <v>0.27569606296434701</v>
      </c>
      <c r="Y166" s="119">
        <v>0.28291259697945298</v>
      </c>
      <c r="Z166" s="119">
        <v>0.28840189974089298</v>
      </c>
      <c r="AA166" s="119">
        <v>0.29333077043705902</v>
      </c>
      <c r="AB166" s="119">
        <v>0.299266458403325</v>
      </c>
      <c r="AC166" s="119">
        <v>0.30438463779529701</v>
      </c>
      <c r="AD166" s="119">
        <v>0.30918994751352302</v>
      </c>
      <c r="AE166" s="119">
        <v>0.314218454530661</v>
      </c>
      <c r="AF166" s="119">
        <v>0.31839216383004199</v>
      </c>
      <c r="AG166" s="119">
        <v>0.32240665215560999</v>
      </c>
      <c r="AH166" s="119">
        <v>0.326999825943667</v>
      </c>
      <c r="AI166" s="119">
        <v>0.33021725170961402</v>
      </c>
      <c r="AJ166" s="119">
        <v>0.33508983763040601</v>
      </c>
      <c r="AK166" s="119">
        <v>0.33942682151013298</v>
      </c>
      <c r="AL166" s="119">
        <v>0.34415867464773697</v>
      </c>
      <c r="AM166" s="119">
        <v>0.34899260229614798</v>
      </c>
      <c r="AN166" s="119">
        <v>0.352086702085598</v>
      </c>
      <c r="AO166" s="119">
        <v>0.355317065005682</v>
      </c>
      <c r="AP166" s="119">
        <v>0.35633312743690299</v>
      </c>
      <c r="AQ166" s="119">
        <v>0.35790171442248497</v>
      </c>
      <c r="AR166" s="119">
        <v>0.35872085944355397</v>
      </c>
      <c r="AS166" s="119">
        <v>0.358516627583915</v>
      </c>
      <c r="AT166" s="119">
        <v>0.35954878513845701</v>
      </c>
      <c r="AU166" s="119">
        <v>0.36048371324676798</v>
      </c>
      <c r="AV166" s="119">
        <v>0.36124895844801602</v>
      </c>
      <c r="AW166" s="119">
        <v>0.36196821339240998</v>
      </c>
      <c r="AX166" s="119">
        <v>0.36243288538333102</v>
      </c>
      <c r="AY166" s="119">
        <v>0.36445370016116901</v>
      </c>
      <c r="AZ166" s="119">
        <v>0.36614408109920699</v>
      </c>
      <c r="BA166" s="119">
        <v>0.36772208276398</v>
      </c>
      <c r="BB166" s="119">
        <v>0.36934925862766799</v>
      </c>
      <c r="BC166" s="119">
        <v>0.37119607392478798</v>
      </c>
      <c r="BD166" s="119">
        <v>0.37244646754646099</v>
      </c>
      <c r="BE166" s="119">
        <v>0.37348806661080097</v>
      </c>
      <c r="BF166" s="119">
        <v>0.375476139201738</v>
      </c>
      <c r="BG166" s="119">
        <v>0.37501081834722499</v>
      </c>
      <c r="BH166" s="119">
        <v>0.37542076354827297</v>
      </c>
      <c r="BI166" s="119">
        <v>0.37651811399012403</v>
      </c>
      <c r="BJ166" s="119">
        <v>0.37726509205282299</v>
      </c>
      <c r="BK166" s="119">
        <v>0.37936312570144798</v>
      </c>
      <c r="BL166" s="119">
        <v>0.379116787119744</v>
      </c>
    </row>
    <row r="167" spans="1:64" x14ac:dyDescent="0.25">
      <c r="A167" s="860" t="s">
        <v>67</v>
      </c>
      <c r="B167" s="1">
        <v>275</v>
      </c>
      <c r="C167" s="119">
        <v>0.5</v>
      </c>
      <c r="D167" s="119">
        <v>8.7079288428184506E-2</v>
      </c>
      <c r="E167" s="119">
        <v>9.0392982775747796E-2</v>
      </c>
      <c r="F167" s="119">
        <v>9.46651732625991E-2</v>
      </c>
      <c r="G167" s="119">
        <v>9.8973502258735704E-2</v>
      </c>
      <c r="H167" s="119">
        <v>0.10288811349513401</v>
      </c>
      <c r="I167" s="119">
        <v>0.105878107518612</v>
      </c>
      <c r="J167" s="119">
        <v>0.110349263484461</v>
      </c>
      <c r="K167" s="119">
        <v>0.113980754977677</v>
      </c>
      <c r="L167" s="119">
        <v>0.11796647882305999</v>
      </c>
      <c r="M167" s="119">
        <v>0.122856875842574</v>
      </c>
      <c r="N167" s="119">
        <v>0.127073113329289</v>
      </c>
      <c r="O167" s="119">
        <v>0.13137237760664999</v>
      </c>
      <c r="P167" s="119">
        <v>0.13653700596758001</v>
      </c>
      <c r="Q167" s="119">
        <v>0.141331585928196</v>
      </c>
      <c r="R167" s="119">
        <v>0.14517042353276</v>
      </c>
      <c r="S167" s="119">
        <v>0.15051254823438001</v>
      </c>
      <c r="T167" s="119">
        <v>0.15639834554965701</v>
      </c>
      <c r="U167" s="119">
        <v>0.16155988917345501</v>
      </c>
      <c r="V167" s="119">
        <v>0.165554160171828</v>
      </c>
      <c r="W167" s="119">
        <v>0.17158762072946601</v>
      </c>
      <c r="X167" s="119">
        <v>0.176468914484573</v>
      </c>
      <c r="Y167" s="119">
        <v>0.18115344382027601</v>
      </c>
      <c r="Z167" s="119">
        <v>0.186888287032351</v>
      </c>
      <c r="AA167" s="119">
        <v>0.19221211127377899</v>
      </c>
      <c r="AB167" s="119">
        <v>0.19880054080651499</v>
      </c>
      <c r="AC167" s="119">
        <v>0.20509851341066501</v>
      </c>
      <c r="AD167" s="119">
        <v>0.21194170100045601</v>
      </c>
      <c r="AE167" s="119">
        <v>0.219735842509238</v>
      </c>
      <c r="AF167" s="119">
        <v>0.226285672258422</v>
      </c>
      <c r="AG167" s="119">
        <v>0.232783279618233</v>
      </c>
      <c r="AH167" s="119">
        <v>0.237923792324853</v>
      </c>
      <c r="AI167" s="119">
        <v>0.242799301047811</v>
      </c>
      <c r="AJ167" s="119">
        <v>0.245083010168135</v>
      </c>
      <c r="AK167" s="119">
        <v>0.24807681104076201</v>
      </c>
      <c r="AL167" s="119">
        <v>0.251028050587565</v>
      </c>
      <c r="AM167" s="119">
        <v>0.25418924952706301</v>
      </c>
      <c r="AN167" s="119">
        <v>0.257524594579844</v>
      </c>
      <c r="AO167" s="119">
        <v>0.26041404359987802</v>
      </c>
      <c r="AP167" s="119">
        <v>0.26350578902549998</v>
      </c>
      <c r="AQ167" s="119">
        <v>0.266583033548353</v>
      </c>
      <c r="AR167" s="119">
        <v>0.269210645324302</v>
      </c>
      <c r="AS167" s="119">
        <v>0.27375154802292101</v>
      </c>
      <c r="AT167" s="119">
        <v>0.27746665453363001</v>
      </c>
      <c r="AU167" s="119">
        <v>0.28123302518348098</v>
      </c>
      <c r="AV167" s="119">
        <v>0.28363353113798201</v>
      </c>
      <c r="AW167" s="119">
        <v>0.28655501849922899</v>
      </c>
      <c r="AX167" s="119">
        <v>0.28909572164675201</v>
      </c>
      <c r="AY167" s="119">
        <v>0.292159776629076</v>
      </c>
      <c r="AZ167" s="119">
        <v>0.29558789992062501</v>
      </c>
      <c r="BA167" s="119">
        <v>0.29866032963293898</v>
      </c>
      <c r="BB167" s="119">
        <v>0.30118349793794902</v>
      </c>
      <c r="BC167" s="119">
        <v>0.30382436211018199</v>
      </c>
      <c r="BD167" s="119">
        <v>0.30650091674576702</v>
      </c>
      <c r="BE167" s="119">
        <v>0.30790863785101102</v>
      </c>
      <c r="BF167" s="119">
        <v>0.31029800485849601</v>
      </c>
      <c r="BG167" s="119">
        <v>0.31093335635215202</v>
      </c>
      <c r="BH167" s="119">
        <v>0.31268897846920801</v>
      </c>
      <c r="BI167" s="119">
        <v>0.314278938801418</v>
      </c>
      <c r="BJ167" s="119">
        <v>0.31540130940549799</v>
      </c>
      <c r="BK167" s="119">
        <v>0.314992309858175</v>
      </c>
      <c r="BL167" s="119">
        <v>0.31621810647607601</v>
      </c>
    </row>
    <row r="168" spans="1:64" x14ac:dyDescent="0.25">
      <c r="A168" s="860" t="s">
        <v>68</v>
      </c>
      <c r="B168" s="1">
        <v>729</v>
      </c>
      <c r="C168" s="119">
        <v>0.5</v>
      </c>
      <c r="D168" s="119">
        <v>2.1268564729677801E-2</v>
      </c>
      <c r="E168" s="119">
        <v>2.2336675196035799E-2</v>
      </c>
      <c r="F168" s="119">
        <v>2.31749399619645E-2</v>
      </c>
      <c r="G168" s="119">
        <v>2.4545116980338899E-2</v>
      </c>
      <c r="H168" s="119">
        <v>2.5666967513606399E-2</v>
      </c>
      <c r="I168" s="119">
        <v>2.66888909248678E-2</v>
      </c>
      <c r="J168" s="119">
        <v>2.8026265133711301E-2</v>
      </c>
      <c r="K168" s="119">
        <v>2.9105702598137599E-2</v>
      </c>
      <c r="L168" s="119">
        <v>3.0385556747474601E-2</v>
      </c>
      <c r="M168" s="119">
        <v>3.1473198886469697E-2</v>
      </c>
      <c r="N168" s="119">
        <v>3.2293136236442498E-2</v>
      </c>
      <c r="O168" s="119">
        <v>3.3559540321099E-2</v>
      </c>
      <c r="P168" s="119">
        <v>3.4497725642687202E-2</v>
      </c>
      <c r="Q168" s="119">
        <v>3.55377202057897E-2</v>
      </c>
      <c r="R168" s="119">
        <v>3.6469095543961001E-2</v>
      </c>
      <c r="S168" s="119">
        <v>3.7686729336997397E-2</v>
      </c>
      <c r="T168" s="119">
        <v>3.8735950048150697E-2</v>
      </c>
      <c r="U168" s="119">
        <v>3.9821690419880297E-2</v>
      </c>
      <c r="V168" s="119">
        <v>4.0901052130501402E-2</v>
      </c>
      <c r="W168" s="119">
        <v>4.1636255637912199E-2</v>
      </c>
      <c r="X168" s="119">
        <v>4.21287154645026E-2</v>
      </c>
      <c r="Y168" s="119">
        <v>4.3298665267938997E-2</v>
      </c>
      <c r="Z168" s="119">
        <v>4.3991793144885799E-2</v>
      </c>
      <c r="AA168" s="119">
        <v>4.4010716906028001E-2</v>
      </c>
      <c r="AB168" s="119">
        <v>4.3965813264777102E-2</v>
      </c>
      <c r="AC168" s="119">
        <v>4.3846592001296099E-2</v>
      </c>
      <c r="AD168" s="119">
        <v>4.3454338469998202E-2</v>
      </c>
      <c r="AE168" s="119">
        <v>4.3165951912463897E-2</v>
      </c>
      <c r="AF168" s="119">
        <v>4.2874922779934002E-2</v>
      </c>
      <c r="AG168" s="119">
        <v>4.3535440045188202E-2</v>
      </c>
      <c r="AH168" s="119">
        <v>4.4930071926222698E-2</v>
      </c>
      <c r="AI168" s="119">
        <v>4.6729888527689098E-2</v>
      </c>
      <c r="AJ168" s="119">
        <v>4.8753235608834697E-2</v>
      </c>
      <c r="AK168" s="119">
        <v>5.0983563345552402E-2</v>
      </c>
      <c r="AL168" s="119">
        <v>5.3056311244891199E-2</v>
      </c>
      <c r="AM168" s="119">
        <v>5.5244615003306199E-2</v>
      </c>
      <c r="AN168" s="119">
        <v>5.7511736410811302E-2</v>
      </c>
      <c r="AO168" s="119">
        <v>5.90974586509143E-2</v>
      </c>
      <c r="AP168" s="119">
        <v>6.1199824530488403E-2</v>
      </c>
      <c r="AQ168" s="119">
        <v>6.3088300773803396E-2</v>
      </c>
      <c r="AR168" s="119">
        <v>6.5318924552030894E-2</v>
      </c>
      <c r="AS168" s="119">
        <v>6.77793070123133E-2</v>
      </c>
      <c r="AT168" s="119">
        <v>7.0411903151392896E-2</v>
      </c>
      <c r="AU168" s="119">
        <v>7.3399863829184703E-2</v>
      </c>
      <c r="AV168" s="119">
        <v>7.6590432358269595E-2</v>
      </c>
      <c r="AW168" s="119">
        <v>7.9158922235131199E-2</v>
      </c>
      <c r="AX168" s="119">
        <v>8.2519924554151497E-2</v>
      </c>
      <c r="AY168" s="119">
        <v>8.4634113445080497E-2</v>
      </c>
      <c r="AZ168" s="119">
        <v>8.8005194934289099E-2</v>
      </c>
      <c r="BA168" s="119">
        <v>9.0745954089701694E-2</v>
      </c>
      <c r="BB168" s="119">
        <v>9.37415961876263E-2</v>
      </c>
      <c r="BC168" s="119">
        <v>9.6370714989163705E-2</v>
      </c>
      <c r="BD168" s="119">
        <v>9.9536539353141495E-2</v>
      </c>
      <c r="BE168" s="119">
        <v>0.102645008580177</v>
      </c>
      <c r="BF168" s="119">
        <v>0.105838506100508</v>
      </c>
      <c r="BG168" s="119">
        <v>0.108286384238334</v>
      </c>
      <c r="BH168" s="119">
        <v>0.112436561518095</v>
      </c>
      <c r="BI168" s="119">
        <v>0.116269587655716</v>
      </c>
      <c r="BJ168" s="119">
        <v>0.119933201792007</v>
      </c>
      <c r="BK168" s="119">
        <v>0.12270198495948099</v>
      </c>
      <c r="BL168" s="119">
        <v>0.12549680726397699</v>
      </c>
    </row>
    <row r="169" spans="1:64" x14ac:dyDescent="0.25">
      <c r="A169" s="860" t="s">
        <v>258</v>
      </c>
      <c r="B169" s="1">
        <v>740</v>
      </c>
      <c r="C169" s="119">
        <v>0.5</v>
      </c>
      <c r="D169" s="119">
        <v>0.12027261491138</v>
      </c>
      <c r="E169" s="119">
        <v>0.12513581762985901</v>
      </c>
      <c r="F169" s="119">
        <v>0.131074169700862</v>
      </c>
      <c r="G169" s="119">
        <v>0.13652983815922801</v>
      </c>
      <c r="H169" s="119">
        <v>0.14296321508485299</v>
      </c>
      <c r="I169" s="119">
        <v>0.14791255964227201</v>
      </c>
      <c r="J169" s="119">
        <v>0.15392498361157</v>
      </c>
      <c r="K169" s="119">
        <v>0.15887666201949899</v>
      </c>
      <c r="L169" s="119">
        <v>0.16350318799542901</v>
      </c>
      <c r="M169" s="119">
        <v>0.16889557333404101</v>
      </c>
      <c r="N169" s="119">
        <v>0.17638650779409501</v>
      </c>
      <c r="O169" s="119">
        <v>0.182641811829621</v>
      </c>
      <c r="P169" s="119">
        <v>0.190501723867603</v>
      </c>
      <c r="Q169" s="119">
        <v>0.19881723002469001</v>
      </c>
      <c r="R169" s="119">
        <v>0.20802671252751201</v>
      </c>
      <c r="S169" s="119">
        <v>0.21626533046825999</v>
      </c>
      <c r="T169" s="119">
        <v>0.22464235871588001</v>
      </c>
      <c r="U169" s="119">
        <v>0.23175439006708701</v>
      </c>
      <c r="V169" s="119">
        <v>0.239269281524462</v>
      </c>
      <c r="W169" s="119">
        <v>0.24707794287985499</v>
      </c>
      <c r="X169" s="119">
        <v>0.25394265875541999</v>
      </c>
      <c r="Y169" s="119">
        <v>0.25996327747401299</v>
      </c>
      <c r="Z169" s="119">
        <v>0.26731700017812099</v>
      </c>
      <c r="AA169" s="119">
        <v>0.272485003426717</v>
      </c>
      <c r="AB169" s="119">
        <v>0.27617086725066797</v>
      </c>
      <c r="AC169" s="119">
        <v>0.28021629558887101</v>
      </c>
      <c r="AD169" s="119">
        <v>0.283249320660932</v>
      </c>
      <c r="AE169" s="119">
        <v>0.285115383338715</v>
      </c>
      <c r="AF169" s="119">
        <v>0.28804540514284299</v>
      </c>
      <c r="AG169" s="119">
        <v>0.29051872033443898</v>
      </c>
      <c r="AH169" s="119">
        <v>0.29395376543854002</v>
      </c>
      <c r="AI169" s="119">
        <v>0.29889980583465597</v>
      </c>
      <c r="AJ169" s="119">
        <v>0.30455242294110901</v>
      </c>
      <c r="AK169" s="119">
        <v>0.30971265389981201</v>
      </c>
      <c r="AL169" s="119">
        <v>0.31479077647516801</v>
      </c>
      <c r="AM169" s="119">
        <v>0.31935524825414702</v>
      </c>
      <c r="AN169" s="119">
        <v>0.32398609076863399</v>
      </c>
      <c r="AO169" s="119">
        <v>0.32788300281536298</v>
      </c>
      <c r="AP169" s="119">
        <v>0.33063966658009197</v>
      </c>
      <c r="AQ169" s="119">
        <v>0.33250799760824901</v>
      </c>
      <c r="AR169" s="119">
        <v>0.332650011483411</v>
      </c>
      <c r="AS169" s="119">
        <v>0.33267930208511398</v>
      </c>
      <c r="AT169" s="119">
        <v>0.330541691164212</v>
      </c>
      <c r="AU169" s="119">
        <v>0.32881937609066503</v>
      </c>
      <c r="AV169" s="119">
        <v>0.32557268946985102</v>
      </c>
      <c r="AW169" s="119">
        <v>0.323549049012403</v>
      </c>
      <c r="AX169" s="119">
        <v>0.32155241506170501</v>
      </c>
      <c r="AY169" s="119">
        <v>0.31827710266210701</v>
      </c>
      <c r="AZ169" s="119">
        <v>0.31843103028107</v>
      </c>
      <c r="BA169" s="119">
        <v>0.32211804450424097</v>
      </c>
      <c r="BB169" s="119">
        <v>0.32746386562763402</v>
      </c>
      <c r="BC169" s="119">
        <v>0.332407958725699</v>
      </c>
      <c r="BD169" s="119">
        <v>0.33796878888882398</v>
      </c>
      <c r="BE169" s="119">
        <v>0.345028581158216</v>
      </c>
      <c r="BF169" s="119">
        <v>0.35147056033372598</v>
      </c>
      <c r="BG169" s="119">
        <v>0.356331901435326</v>
      </c>
      <c r="BH169" s="119">
        <v>0.36137324525404602</v>
      </c>
      <c r="BI169" s="119">
        <v>0.36667788768231802</v>
      </c>
      <c r="BJ169" s="119">
        <v>0.37237241692009099</v>
      </c>
      <c r="BK169" s="119">
        <v>0.37698850231471798</v>
      </c>
      <c r="BL169" s="119">
        <v>0.37984499346908601</v>
      </c>
    </row>
    <row r="170" spans="1:64" x14ac:dyDescent="0.25">
      <c r="A170" s="860" t="s">
        <v>260</v>
      </c>
      <c r="B170" s="1">
        <v>752</v>
      </c>
      <c r="C170" s="119">
        <v>0.5</v>
      </c>
      <c r="D170" s="119">
        <v>0.50589743139333299</v>
      </c>
      <c r="E170" s="119">
        <v>0.51226171202395199</v>
      </c>
      <c r="F170" s="119">
        <v>0.515757250862383</v>
      </c>
      <c r="G170" s="119">
        <v>0.52064187865365896</v>
      </c>
      <c r="H170" s="119">
        <v>0.52547289258539598</v>
      </c>
      <c r="I170" s="119">
        <v>0.52875532484398902</v>
      </c>
      <c r="J170" s="119">
        <v>0.53303224084464296</v>
      </c>
      <c r="K170" s="119">
        <v>0.53787543949258398</v>
      </c>
      <c r="L170" s="119">
        <v>0.54119901011779203</v>
      </c>
      <c r="M170" s="119">
        <v>0.544548906025483</v>
      </c>
      <c r="N170" s="119">
        <v>0.54562321825882398</v>
      </c>
      <c r="O170" s="119">
        <v>0.54981017792694598</v>
      </c>
      <c r="P170" s="119">
        <v>0.54966833342333299</v>
      </c>
      <c r="Q170" s="119">
        <v>0.55057136115243799</v>
      </c>
      <c r="R170" s="119">
        <v>0.54808917389862</v>
      </c>
      <c r="S170" s="119">
        <v>0.54795692469094504</v>
      </c>
      <c r="T170" s="119">
        <v>0.54671496132348096</v>
      </c>
      <c r="U170" s="119">
        <v>0.54378620307303605</v>
      </c>
      <c r="V170" s="119">
        <v>0.54364095855832195</v>
      </c>
      <c r="W170" s="119">
        <v>0.54353569333923402</v>
      </c>
      <c r="X170" s="119">
        <v>0.54309638778559799</v>
      </c>
      <c r="Y170" s="119">
        <v>0.54367580907762303</v>
      </c>
      <c r="Z170" s="119">
        <v>0.54361749677415805</v>
      </c>
      <c r="AA170" s="119">
        <v>0.54315791345020903</v>
      </c>
      <c r="AB170" s="119">
        <v>0.54447926085467302</v>
      </c>
      <c r="AC170" s="119">
        <v>0.54463309998835097</v>
      </c>
      <c r="AD170" s="119">
        <v>0.54443522783964604</v>
      </c>
      <c r="AE170" s="119">
        <v>0.54736286452140903</v>
      </c>
      <c r="AF170" s="119">
        <v>0.54845462921412402</v>
      </c>
      <c r="AG170" s="119">
        <v>0.54833308611192899</v>
      </c>
      <c r="AH170" s="119">
        <v>0.55039595829189403</v>
      </c>
      <c r="AI170" s="119">
        <v>0.55041961711901899</v>
      </c>
      <c r="AJ170" s="119">
        <v>0.55320582808793795</v>
      </c>
      <c r="AK170" s="119">
        <v>0.55461053726557097</v>
      </c>
      <c r="AL170" s="119">
        <v>0.55635922912053504</v>
      </c>
      <c r="AM170" s="119">
        <v>0.55780116681206204</v>
      </c>
      <c r="AN170" s="119">
        <v>0.55765572992907297</v>
      </c>
      <c r="AO170" s="119">
        <v>0.55696676098198905</v>
      </c>
      <c r="AP170" s="119">
        <v>0.557495678248486</v>
      </c>
      <c r="AQ170" s="119">
        <v>0.55752457272823697</v>
      </c>
      <c r="AR170" s="119">
        <v>0.55818735335527803</v>
      </c>
      <c r="AS170" s="119">
        <v>0.55910556969019498</v>
      </c>
      <c r="AT170" s="119">
        <v>0.56022611662013899</v>
      </c>
      <c r="AU170" s="119">
        <v>0.558672128596996</v>
      </c>
      <c r="AV170" s="119">
        <v>0.55963300901170798</v>
      </c>
      <c r="AW170" s="119">
        <v>0.56182832633271795</v>
      </c>
      <c r="AX170" s="119">
        <v>0.56128685149885305</v>
      </c>
      <c r="AY170" s="119">
        <v>0.55989443417514795</v>
      </c>
      <c r="AZ170" s="119">
        <v>0.56191603702716497</v>
      </c>
      <c r="BA170" s="119">
        <v>0.56371639785697902</v>
      </c>
      <c r="BB170" s="119">
        <v>0.56411982312476705</v>
      </c>
      <c r="BC170" s="119">
        <v>0.56433614259531195</v>
      </c>
      <c r="BD170" s="119">
        <v>0.56280469954483203</v>
      </c>
      <c r="BE170" s="119">
        <v>0.56115008340017702</v>
      </c>
      <c r="BF170" s="119">
        <v>0.56116840753641895</v>
      </c>
      <c r="BG170" s="119">
        <v>0.56160857411591203</v>
      </c>
      <c r="BH170" s="119">
        <v>0.56093690551145303</v>
      </c>
      <c r="BI170" s="119">
        <v>0.56293973502916395</v>
      </c>
      <c r="BJ170" s="119">
        <v>0.56402408940087401</v>
      </c>
      <c r="BK170" s="119">
        <v>0.56693676610325705</v>
      </c>
      <c r="BL170" s="119">
        <v>0.56612078692328005</v>
      </c>
    </row>
    <row r="171" spans="1:64" x14ac:dyDescent="0.25">
      <c r="A171" s="860" t="s">
        <v>261</v>
      </c>
      <c r="B171" s="1">
        <v>756</v>
      </c>
      <c r="C171" s="119">
        <v>0.5</v>
      </c>
      <c r="D171" s="119">
        <v>0.49171356618418999</v>
      </c>
      <c r="E171" s="119">
        <v>0.50131649020200197</v>
      </c>
      <c r="F171" s="119">
        <v>0.511549873373358</v>
      </c>
      <c r="G171" s="119">
        <v>0.52305361115911098</v>
      </c>
      <c r="H171" s="119">
        <v>0.53199998814850902</v>
      </c>
      <c r="I171" s="119">
        <v>0.54065862199414205</v>
      </c>
      <c r="J171" s="119">
        <v>0.54695014431794797</v>
      </c>
      <c r="K171" s="119">
        <v>0.55564747394758696</v>
      </c>
      <c r="L171" s="119">
        <v>0.564320325951712</v>
      </c>
      <c r="M171" s="119">
        <v>0.57023234005748502</v>
      </c>
      <c r="N171" s="119">
        <v>0.57837135103939596</v>
      </c>
      <c r="O171" s="119">
        <v>0.58399602274235196</v>
      </c>
      <c r="P171" s="119">
        <v>0.58749173562085999</v>
      </c>
      <c r="Q171" s="119">
        <v>0.59330997363315796</v>
      </c>
      <c r="R171" s="119">
        <v>0.59766809948672694</v>
      </c>
      <c r="S171" s="119">
        <v>0.60148149352510105</v>
      </c>
      <c r="T171" s="119">
        <v>0.60583190643181495</v>
      </c>
      <c r="U171" s="119">
        <v>0.60838991923334496</v>
      </c>
      <c r="V171" s="119">
        <v>0.61297539353216302</v>
      </c>
      <c r="W171" s="119">
        <v>0.61663294930600399</v>
      </c>
      <c r="X171" s="119">
        <v>0.62215058838813297</v>
      </c>
      <c r="Y171" s="119">
        <v>0.62768249273695698</v>
      </c>
      <c r="Z171" s="119">
        <v>0.63426810850771598</v>
      </c>
      <c r="AA171" s="119">
        <v>0.64071368238174697</v>
      </c>
      <c r="AB171" s="119">
        <v>0.64750873061723702</v>
      </c>
      <c r="AC171" s="119">
        <v>0.65322969085873595</v>
      </c>
      <c r="AD171" s="119">
        <v>0.656647822594155</v>
      </c>
      <c r="AE171" s="119">
        <v>0.65874333445051902</v>
      </c>
      <c r="AF171" s="119">
        <v>0.66125193717610897</v>
      </c>
      <c r="AG171" s="119">
        <v>0.66345413026127398</v>
      </c>
      <c r="AH171" s="119">
        <v>0.66504586705364399</v>
      </c>
      <c r="AI171" s="119">
        <v>0.66599884124943898</v>
      </c>
      <c r="AJ171" s="119">
        <v>0.66788974385821898</v>
      </c>
      <c r="AK171" s="119">
        <v>0.67036502141823695</v>
      </c>
      <c r="AL171" s="119">
        <v>0.671262110988047</v>
      </c>
      <c r="AM171" s="119">
        <v>0.67482952616182301</v>
      </c>
      <c r="AN171" s="119">
        <v>0.67640863113910799</v>
      </c>
      <c r="AO171" s="119">
        <v>0.67744569492303297</v>
      </c>
      <c r="AP171" s="119">
        <v>0.679735438842338</v>
      </c>
      <c r="AQ171" s="119">
        <v>0.68175706166486305</v>
      </c>
      <c r="AR171" s="119">
        <v>0.68418099566853097</v>
      </c>
      <c r="AS171" s="119">
        <v>0.68560695306067099</v>
      </c>
      <c r="AT171" s="119">
        <v>0.68557137158472004</v>
      </c>
      <c r="AU171" s="119">
        <v>0.68493573400568897</v>
      </c>
      <c r="AV171" s="119">
        <v>0.68380689120803695</v>
      </c>
      <c r="AW171" s="119">
        <v>0.68294902482976205</v>
      </c>
      <c r="AX171" s="119">
        <v>0.68204286643737499</v>
      </c>
      <c r="AY171" s="119">
        <v>0.68127865312205305</v>
      </c>
      <c r="AZ171" s="119">
        <v>0.680957735967606</v>
      </c>
      <c r="BA171" s="119">
        <v>0.67977715505283398</v>
      </c>
      <c r="BB171" s="119">
        <v>0.680485531771852</v>
      </c>
      <c r="BC171" s="119">
        <v>0.67967940518650904</v>
      </c>
      <c r="BD171" s="119">
        <v>0.67902669426002904</v>
      </c>
      <c r="BE171" s="119">
        <v>0.67936293029240102</v>
      </c>
      <c r="BF171" s="119">
        <v>0.68069098551572105</v>
      </c>
      <c r="BG171" s="119">
        <v>0.68148240065630805</v>
      </c>
      <c r="BH171" s="119">
        <v>0.68238331524665097</v>
      </c>
      <c r="BI171" s="119">
        <v>0.68236368409293602</v>
      </c>
      <c r="BJ171" s="119">
        <v>0.68274392363324898</v>
      </c>
      <c r="BK171" s="119">
        <v>0.68272905316216503</v>
      </c>
      <c r="BL171" s="119">
        <v>0.68321696235328899</v>
      </c>
    </row>
    <row r="172" spans="1:64" x14ac:dyDescent="0.25">
      <c r="A172" s="860" t="s">
        <v>1234</v>
      </c>
      <c r="B172" s="1">
        <v>760</v>
      </c>
      <c r="C172" s="119">
        <v>0.5</v>
      </c>
      <c r="D172" s="119">
        <v>9.7215810345298498E-2</v>
      </c>
      <c r="E172" s="119">
        <v>0.100688273129397</v>
      </c>
      <c r="F172" s="119">
        <v>0.104467778792305</v>
      </c>
      <c r="G172" s="119">
        <v>0.10782706997767</v>
      </c>
      <c r="H172" s="119">
        <v>0.111797550665162</v>
      </c>
      <c r="I172" s="119">
        <v>0.11502007048643501</v>
      </c>
      <c r="J172" s="119">
        <v>0.118797285216661</v>
      </c>
      <c r="K172" s="119">
        <v>0.12214878819699</v>
      </c>
      <c r="L172" s="119">
        <v>0.12585189357791801</v>
      </c>
      <c r="M172" s="119">
        <v>0.12785689596442201</v>
      </c>
      <c r="N172" s="119">
        <v>0.131221629038652</v>
      </c>
      <c r="O172" s="119">
        <v>0.134725328019766</v>
      </c>
      <c r="P172" s="119">
        <v>0.13756443843853899</v>
      </c>
      <c r="Q172" s="119">
        <v>0.14046917135867701</v>
      </c>
      <c r="R172" s="119">
        <v>0.144322406930604</v>
      </c>
      <c r="S172" s="119">
        <v>0.14646636249910699</v>
      </c>
      <c r="T172" s="119">
        <v>0.14903937671899001</v>
      </c>
      <c r="U172" s="119">
        <v>0.15202623619281</v>
      </c>
      <c r="V172" s="119">
        <v>0.155459102047943</v>
      </c>
      <c r="W172" s="119">
        <v>0.15809819726700799</v>
      </c>
      <c r="X172" s="119">
        <v>0.161258760245239</v>
      </c>
      <c r="Y172" s="119">
        <v>0.16438624785023101</v>
      </c>
      <c r="Z172" s="119">
        <v>0.167673122756026</v>
      </c>
      <c r="AA172" s="119">
        <v>0.17166979179313599</v>
      </c>
      <c r="AB172" s="119">
        <v>0.175579412859832</v>
      </c>
      <c r="AC172" s="119">
        <v>0.179487560179734</v>
      </c>
      <c r="AD172" s="119">
        <v>0.183164607477839</v>
      </c>
      <c r="AE172" s="119">
        <v>0.18654628415023999</v>
      </c>
      <c r="AF172" s="119">
        <v>0.19225211465227501</v>
      </c>
      <c r="AG172" s="119">
        <v>0.196381322687851</v>
      </c>
      <c r="AH172" s="119">
        <v>0.199930085269129</v>
      </c>
      <c r="AI172" s="119">
        <v>0.204553969869013</v>
      </c>
      <c r="AJ172" s="119">
        <v>0.209996037943733</v>
      </c>
      <c r="AK172" s="119">
        <v>0.215388472177725</v>
      </c>
      <c r="AL172" s="119">
        <v>0.22170689274192501</v>
      </c>
      <c r="AM172" s="119">
        <v>0.22691938442456699</v>
      </c>
      <c r="AN172" s="119">
        <v>0.23219324604320099</v>
      </c>
      <c r="AO172" s="119">
        <v>0.23528769459506199</v>
      </c>
      <c r="AP172" s="119">
        <v>0.23722805946297201</v>
      </c>
      <c r="AQ172" s="119">
        <v>0.23870999591169001</v>
      </c>
      <c r="AR172" s="119">
        <v>0.24276666860490601</v>
      </c>
      <c r="AS172" s="119">
        <v>0.245250755843264</v>
      </c>
      <c r="AT172" s="119">
        <v>0.24989088324538999</v>
      </c>
      <c r="AU172" s="119">
        <v>0.25281776447936499</v>
      </c>
      <c r="AV172" s="119">
        <v>0.256411325346804</v>
      </c>
      <c r="AW172" s="119">
        <v>0.25985603682789898</v>
      </c>
      <c r="AX172" s="119">
        <v>0.264130472880929</v>
      </c>
      <c r="AY172" s="119">
        <v>0.26906058382460102</v>
      </c>
      <c r="AZ172" s="119">
        <v>0.27161535937503101</v>
      </c>
      <c r="BA172" s="119">
        <v>0.27319764672434699</v>
      </c>
      <c r="BB172" s="119">
        <v>0.27742886781929299</v>
      </c>
      <c r="BC172" s="119">
        <v>0.28160623273637903</v>
      </c>
      <c r="BD172" s="119">
        <v>0.28715502746035798</v>
      </c>
      <c r="BE172" s="119">
        <v>0.29125334403536401</v>
      </c>
      <c r="BF172" s="119">
        <v>0.29488099016781899</v>
      </c>
      <c r="BG172" s="119">
        <v>0.29801222173358</v>
      </c>
      <c r="BH172" s="119">
        <v>0.29852093522906498</v>
      </c>
      <c r="BI172" s="119">
        <v>0.29990678680510602</v>
      </c>
      <c r="BJ172" s="119">
        <v>0.30086993810983698</v>
      </c>
      <c r="BK172" s="119">
        <v>0.30198947461257403</v>
      </c>
      <c r="BL172" s="119">
        <v>0.30048351729272799</v>
      </c>
    </row>
    <row r="173" spans="1:64" x14ac:dyDescent="0.25">
      <c r="A173" s="860" t="s">
        <v>69</v>
      </c>
      <c r="B173" s="1">
        <v>762</v>
      </c>
      <c r="C173" s="119">
        <v>0.5</v>
      </c>
      <c r="D173" s="119">
        <v>9.7282785909748204E-2</v>
      </c>
      <c r="E173" s="119">
        <v>9.9781275038641995E-2</v>
      </c>
      <c r="F173" s="119">
        <v>0.103394286264841</v>
      </c>
      <c r="G173" s="119">
        <v>0.106671347712908</v>
      </c>
      <c r="H173" s="119">
        <v>0.110630134427449</v>
      </c>
      <c r="I173" s="119">
        <v>0.113496473788468</v>
      </c>
      <c r="J173" s="119">
        <v>0.11598110464653499</v>
      </c>
      <c r="K173" s="119">
        <v>0.118599594322136</v>
      </c>
      <c r="L173" s="119">
        <v>0.122307587245715</v>
      </c>
      <c r="M173" s="119">
        <v>0.12564275371793701</v>
      </c>
      <c r="N173" s="119">
        <v>0.13001909367971801</v>
      </c>
      <c r="O173" s="119">
        <v>0.13337101611033</v>
      </c>
      <c r="P173" s="119">
        <v>0.13829848035735301</v>
      </c>
      <c r="Q173" s="119">
        <v>0.142621097107479</v>
      </c>
      <c r="R173" s="119">
        <v>0.14874007543033599</v>
      </c>
      <c r="S173" s="119">
        <v>0.152164408436885</v>
      </c>
      <c r="T173" s="119">
        <v>0.156957665008023</v>
      </c>
      <c r="U173" s="119">
        <v>0.16117070037301201</v>
      </c>
      <c r="V173" s="119">
        <v>0.16547097787590501</v>
      </c>
      <c r="W173" s="119">
        <v>0.17157630369899801</v>
      </c>
      <c r="X173" s="119">
        <v>0.17486127502179699</v>
      </c>
      <c r="Y173" s="119">
        <v>0.17946814830712901</v>
      </c>
      <c r="Z173" s="119">
        <v>0.182889165669403</v>
      </c>
      <c r="AA173" s="119">
        <v>0.186858854918689</v>
      </c>
      <c r="AB173" s="119">
        <v>0.19068470893081901</v>
      </c>
      <c r="AC173" s="119">
        <v>0.19213273799149899</v>
      </c>
      <c r="AD173" s="119">
        <v>0.195846958051211</v>
      </c>
      <c r="AE173" s="119">
        <v>0.19838263307337001</v>
      </c>
      <c r="AF173" s="119">
        <v>0.20144826416630501</v>
      </c>
      <c r="AG173" s="119">
        <v>0.20238071589687301</v>
      </c>
      <c r="AH173" s="119">
        <v>0.20422050312978099</v>
      </c>
      <c r="AI173" s="119">
        <v>0.20652650298847999</v>
      </c>
      <c r="AJ173" s="119">
        <v>0.208296516246091</v>
      </c>
      <c r="AK173" s="119">
        <v>0.20943221754742</v>
      </c>
      <c r="AL173" s="119">
        <v>0.210331031320689</v>
      </c>
      <c r="AM173" s="119">
        <v>0.21074692084677901</v>
      </c>
      <c r="AN173" s="119">
        <v>0.20830800790068801</v>
      </c>
      <c r="AO173" s="119">
        <v>0.204750727340829</v>
      </c>
      <c r="AP173" s="119">
        <v>0.20204865018030399</v>
      </c>
      <c r="AQ173" s="119">
        <v>0.197700520053399</v>
      </c>
      <c r="AR173" s="119">
        <v>0.19372067421774999</v>
      </c>
      <c r="AS173" s="119">
        <v>0.18950039343532199</v>
      </c>
      <c r="AT173" s="119">
        <v>0.187125811250521</v>
      </c>
      <c r="AU173" s="119">
        <v>0.18780127054705201</v>
      </c>
      <c r="AV173" s="119">
        <v>0.189639759564733</v>
      </c>
      <c r="AW173" s="119">
        <v>0.19244714574880101</v>
      </c>
      <c r="AX173" s="119">
        <v>0.19594997514365101</v>
      </c>
      <c r="AY173" s="119">
        <v>0.19966429586797699</v>
      </c>
      <c r="AZ173" s="119">
        <v>0.203769476803834</v>
      </c>
      <c r="BA173" s="119">
        <v>0.20850411935367499</v>
      </c>
      <c r="BB173" s="119">
        <v>0.21257825334977301</v>
      </c>
      <c r="BC173" s="119">
        <v>0.21718073591808401</v>
      </c>
      <c r="BD173" s="119">
        <v>0.22092117417836399</v>
      </c>
      <c r="BE173" s="119">
        <v>0.22410407502801699</v>
      </c>
      <c r="BF173" s="119">
        <v>0.22712889131367101</v>
      </c>
      <c r="BG173" s="119">
        <v>0.22882190320629001</v>
      </c>
      <c r="BH173" s="119">
        <v>0.232196988916092</v>
      </c>
      <c r="BI173" s="119">
        <v>0.235256656706092</v>
      </c>
      <c r="BJ173" s="119">
        <v>0.237419002980612</v>
      </c>
      <c r="BK173" s="119">
        <v>0.239595375026802</v>
      </c>
      <c r="BL173" s="119">
        <v>0.24218245399271399</v>
      </c>
    </row>
    <row r="174" spans="1:64" x14ac:dyDescent="0.25">
      <c r="A174" s="860" t="s">
        <v>262</v>
      </c>
      <c r="B174" s="1">
        <v>764</v>
      </c>
      <c r="C174" s="119">
        <v>0.5</v>
      </c>
      <c r="D174" s="119">
        <v>0.11669647463118001</v>
      </c>
      <c r="E174" s="119">
        <v>0.13461492964705801</v>
      </c>
      <c r="F174" s="119">
        <v>0.154694326397711</v>
      </c>
      <c r="G174" s="119">
        <v>0.17399927045762001</v>
      </c>
      <c r="H174" s="119">
        <v>0.193626364775217</v>
      </c>
      <c r="I174" s="119">
        <v>0.213807723178014</v>
      </c>
      <c r="J174" s="119">
        <v>0.235607092881887</v>
      </c>
      <c r="K174" s="119">
        <v>0.25840830866289299</v>
      </c>
      <c r="L174" s="119">
        <v>0.28019282157005498</v>
      </c>
      <c r="M174" s="119">
        <v>0.30030911305734898</v>
      </c>
      <c r="N174" s="119">
        <v>0.31883707508491599</v>
      </c>
      <c r="O174" s="119">
        <v>0.33667039493465101</v>
      </c>
      <c r="P174" s="119">
        <v>0.35042773110425901</v>
      </c>
      <c r="Q174" s="119">
        <v>0.36347543266681898</v>
      </c>
      <c r="R174" s="119">
        <v>0.37483155061552897</v>
      </c>
      <c r="S174" s="119">
        <v>0.38460477229762902</v>
      </c>
      <c r="T174" s="119">
        <v>0.39416003298920999</v>
      </c>
      <c r="U174" s="119">
        <v>0.403313235814173</v>
      </c>
      <c r="V174" s="119">
        <v>0.41045009708830399</v>
      </c>
      <c r="W174" s="119">
        <v>0.41746446838277301</v>
      </c>
      <c r="X174" s="119">
        <v>0.42737806247686</v>
      </c>
      <c r="Y174" s="119">
        <v>0.43812249665575997</v>
      </c>
      <c r="Z174" s="119">
        <v>0.44966624436417701</v>
      </c>
      <c r="AA174" s="119">
        <v>0.45929755931456501</v>
      </c>
      <c r="AB174" s="119">
        <v>0.46600595204322098</v>
      </c>
      <c r="AC174" s="119">
        <v>0.471353335895907</v>
      </c>
      <c r="AD174" s="119">
        <v>0.47873629956761599</v>
      </c>
      <c r="AE174" s="119">
        <v>0.48676854494583699</v>
      </c>
      <c r="AF174" s="119">
        <v>0.49443628626971198</v>
      </c>
      <c r="AG174" s="119">
        <v>0.50204098483932502</v>
      </c>
      <c r="AH174" s="119">
        <v>0.50816965067949904</v>
      </c>
      <c r="AI174" s="119">
        <v>0.51168124209714605</v>
      </c>
      <c r="AJ174" s="119">
        <v>0.51207262339389004</v>
      </c>
      <c r="AK174" s="119">
        <v>0.51220909753198496</v>
      </c>
      <c r="AL174" s="119">
        <v>0.51311961787438498</v>
      </c>
      <c r="AM174" s="119">
        <v>0.51527729743025896</v>
      </c>
      <c r="AN174" s="119">
        <v>0.51983087527382899</v>
      </c>
      <c r="AO174" s="119">
        <v>0.52342440722836203</v>
      </c>
      <c r="AP174" s="119">
        <v>0.52691368859769105</v>
      </c>
      <c r="AQ174" s="119">
        <v>0.52964789514763599</v>
      </c>
      <c r="AR174" s="119">
        <v>0.53172216783582205</v>
      </c>
      <c r="AS174" s="119">
        <v>0.532735735519139</v>
      </c>
      <c r="AT174" s="119">
        <v>0.53254008886463</v>
      </c>
      <c r="AU174" s="119">
        <v>0.53147425150760896</v>
      </c>
      <c r="AV174" s="119">
        <v>0.529392435658399</v>
      </c>
      <c r="AW174" s="119">
        <v>0.52685448601733298</v>
      </c>
      <c r="AX174" s="119">
        <v>0.52429704809755795</v>
      </c>
      <c r="AY174" s="119">
        <v>0.521862581473857</v>
      </c>
      <c r="AZ174" s="119">
        <v>0.51941678533139002</v>
      </c>
      <c r="BA174" s="119">
        <v>0.51707578856409397</v>
      </c>
      <c r="BB174" s="119">
        <v>0.516245925700481</v>
      </c>
      <c r="BC174" s="119">
        <v>0.516212057892807</v>
      </c>
      <c r="BD174" s="119">
        <v>0.51682555707987499</v>
      </c>
      <c r="BE174" s="119">
        <v>0.51832534408490905</v>
      </c>
      <c r="BF174" s="119">
        <v>0.51797979809810402</v>
      </c>
      <c r="BG174" s="119">
        <v>0.51782170171355602</v>
      </c>
      <c r="BH174" s="119">
        <v>0.51837622398279304</v>
      </c>
      <c r="BI174" s="119">
        <v>0.51842028075838598</v>
      </c>
      <c r="BJ174" s="119">
        <v>0.51940053731663005</v>
      </c>
      <c r="BK174" s="119">
        <v>0.51924019824406198</v>
      </c>
      <c r="BL174" s="119">
        <v>0.51927896441255394</v>
      </c>
    </row>
    <row r="175" spans="1:64" x14ac:dyDescent="0.25">
      <c r="A175" s="860" t="s">
        <v>71</v>
      </c>
      <c r="B175" s="1">
        <v>626</v>
      </c>
      <c r="C175" s="119">
        <v>0.5</v>
      </c>
      <c r="D175" s="119">
        <v>4.6725316695080198E-2</v>
      </c>
      <c r="E175" s="119">
        <v>5.0272446736313599E-2</v>
      </c>
      <c r="F175" s="119">
        <v>5.3473932302798899E-2</v>
      </c>
      <c r="G175" s="119">
        <v>5.7333343688155701E-2</v>
      </c>
      <c r="H175" s="119">
        <v>6.04392224521055E-2</v>
      </c>
      <c r="I175" s="119">
        <v>6.4404904807984997E-2</v>
      </c>
      <c r="J175" s="119">
        <v>6.7755361510908399E-2</v>
      </c>
      <c r="K175" s="119">
        <v>7.1894681197565702E-2</v>
      </c>
      <c r="L175" s="119">
        <v>7.6467543115574493E-2</v>
      </c>
      <c r="M175" s="119">
        <v>8.01358802908924E-2</v>
      </c>
      <c r="N175" s="119">
        <v>8.3740087196384996E-2</v>
      </c>
      <c r="O175" s="119">
        <v>8.7805208413468394E-2</v>
      </c>
      <c r="P175" s="119">
        <v>9.3101371973184105E-2</v>
      </c>
      <c r="Q175" s="119">
        <v>9.7592765577517004E-2</v>
      </c>
      <c r="R175" s="119">
        <v>0.102822281240563</v>
      </c>
      <c r="S175" s="119">
        <v>0.109189353108124</v>
      </c>
      <c r="T175" s="119">
        <v>0.115350100721908</v>
      </c>
      <c r="U175" s="119">
        <v>0.121359687232068</v>
      </c>
      <c r="V175" s="119">
        <v>0.127441711995815</v>
      </c>
      <c r="W175" s="119">
        <v>0.13403313320750099</v>
      </c>
      <c r="X175" s="119">
        <v>0.14004307694953799</v>
      </c>
      <c r="Y175" s="119">
        <v>0.14526821422918701</v>
      </c>
      <c r="Z175" s="119">
        <v>0.149404221358201</v>
      </c>
      <c r="AA175" s="119">
        <v>0.15357635183728199</v>
      </c>
      <c r="AB175" s="119">
        <v>0.15828098105383601</v>
      </c>
      <c r="AC175" s="119">
        <v>0.164103876864404</v>
      </c>
      <c r="AD175" s="119">
        <v>0.16750225149624701</v>
      </c>
      <c r="AE175" s="119">
        <v>0.16546902164902599</v>
      </c>
      <c r="AF175" s="119">
        <v>0.147531173182812</v>
      </c>
      <c r="AG175" s="119">
        <v>0.12596162153751</v>
      </c>
      <c r="AH175" s="119">
        <v>0.105984203990687</v>
      </c>
      <c r="AI175" s="119">
        <v>9.1192484741592195E-2</v>
      </c>
      <c r="AJ175" s="119">
        <v>8.3002403477400497E-2</v>
      </c>
      <c r="AK175" s="119">
        <v>7.9931276739037202E-2</v>
      </c>
      <c r="AL175" s="119">
        <v>8.3522286636482701E-2</v>
      </c>
      <c r="AM175" s="119">
        <v>9.0871994025103806E-2</v>
      </c>
      <c r="AN175" s="119">
        <v>0.10045778085419001</v>
      </c>
      <c r="AO175" s="119">
        <v>0.11107311531459101</v>
      </c>
      <c r="AP175" s="119">
        <v>0.123159328023941</v>
      </c>
      <c r="AQ175" s="119">
        <v>0.134193060858878</v>
      </c>
      <c r="AR175" s="119">
        <v>0.139260639872544</v>
      </c>
      <c r="AS175" s="119">
        <v>0.14273212619732101</v>
      </c>
      <c r="AT175" s="119">
        <v>0.144387837607766</v>
      </c>
      <c r="AU175" s="119">
        <v>0.145936700170921</v>
      </c>
      <c r="AV175" s="119">
        <v>0.14622546920623999</v>
      </c>
      <c r="AW175" s="119">
        <v>0.147392942779598</v>
      </c>
      <c r="AX175" s="119">
        <v>0.14914454512832101</v>
      </c>
      <c r="AY175" s="119">
        <v>0.15232487460114499</v>
      </c>
      <c r="AZ175" s="119">
        <v>0.155844803071884</v>
      </c>
      <c r="BA175" s="119">
        <v>0.159383867703703</v>
      </c>
      <c r="BB175" s="119">
        <v>0.164732661137373</v>
      </c>
      <c r="BC175" s="119">
        <v>0.16960484961324701</v>
      </c>
      <c r="BD175" s="119">
        <v>0.17389239294890799</v>
      </c>
      <c r="BE175" s="119">
        <v>0.17835939704527601</v>
      </c>
      <c r="BF175" s="119">
        <v>0.18415384564861501</v>
      </c>
      <c r="BG175" s="119">
        <v>0.18977998330331999</v>
      </c>
      <c r="BH175" s="119">
        <v>0.19523236769251801</v>
      </c>
      <c r="BI175" s="119">
        <v>0.20043097934065099</v>
      </c>
      <c r="BJ175" s="119">
        <v>0.206611681045787</v>
      </c>
      <c r="BK175" s="119">
        <v>0.212387441475512</v>
      </c>
      <c r="BL175" s="119">
        <v>0.216512723792609</v>
      </c>
    </row>
    <row r="176" spans="1:64" x14ac:dyDescent="0.25">
      <c r="A176" s="860" t="s">
        <v>72</v>
      </c>
      <c r="B176" s="1">
        <v>768</v>
      </c>
      <c r="C176" s="119">
        <v>0.5</v>
      </c>
      <c r="D176" s="119">
        <v>4.4719118136306501E-3</v>
      </c>
      <c r="E176" s="119">
        <v>5.1320594744222901E-3</v>
      </c>
      <c r="F176" s="119">
        <v>5.76163715237594E-3</v>
      </c>
      <c r="G176" s="119">
        <v>6.4972454132013703E-3</v>
      </c>
      <c r="H176" s="119">
        <v>7.3633927599266796E-3</v>
      </c>
      <c r="I176" s="119">
        <v>8.1941399965708497E-3</v>
      </c>
      <c r="J176" s="119">
        <v>9.2387479914820703E-3</v>
      </c>
      <c r="K176" s="119">
        <v>1.0395057548187699E-2</v>
      </c>
      <c r="L176" s="119">
        <v>1.17205553227851E-2</v>
      </c>
      <c r="M176" s="119">
        <v>1.29786784074031E-2</v>
      </c>
      <c r="N176" s="119">
        <v>1.48596857094206E-2</v>
      </c>
      <c r="O176" s="119">
        <v>1.6324638423842099E-2</v>
      </c>
      <c r="P176" s="119">
        <v>1.8205994647871999E-2</v>
      </c>
      <c r="Q176" s="119">
        <v>2.0399924846228101E-2</v>
      </c>
      <c r="R176" s="119">
        <v>2.29742619967702E-2</v>
      </c>
      <c r="S176" s="119">
        <v>2.54592245239223E-2</v>
      </c>
      <c r="T176" s="119">
        <v>2.8232909792548201E-2</v>
      </c>
      <c r="U176" s="119">
        <v>3.1266682567581701E-2</v>
      </c>
      <c r="V176" s="119">
        <v>3.4461926670524598E-2</v>
      </c>
      <c r="W176" s="119">
        <v>3.8059757028729498E-2</v>
      </c>
      <c r="X176" s="119">
        <v>4.1866800769488802E-2</v>
      </c>
      <c r="Y176" s="119">
        <v>4.5799231105387798E-2</v>
      </c>
      <c r="Z176" s="119">
        <v>5.00269953757655E-2</v>
      </c>
      <c r="AA176" s="119">
        <v>5.4616052882730699E-2</v>
      </c>
      <c r="AB176" s="119">
        <v>5.9276975672156902E-2</v>
      </c>
      <c r="AC176" s="119">
        <v>6.4419868612615894E-2</v>
      </c>
      <c r="AD176" s="119">
        <v>6.9725998876201498E-2</v>
      </c>
      <c r="AE176" s="119">
        <v>7.5641005059559799E-2</v>
      </c>
      <c r="AF176" s="119">
        <v>8.1802227345393094E-2</v>
      </c>
      <c r="AG176" s="119">
        <v>9.2361282422750005E-2</v>
      </c>
      <c r="AH176" s="119">
        <v>0.103157965317281</v>
      </c>
      <c r="AI176" s="119">
        <v>0.111958248726812</v>
      </c>
      <c r="AJ176" s="119">
        <v>0.119891016206413</v>
      </c>
      <c r="AK176" s="119">
        <v>0.12656501653154001</v>
      </c>
      <c r="AL176" s="119">
        <v>0.13376708082882699</v>
      </c>
      <c r="AM176" s="119">
        <v>0.139983289222081</v>
      </c>
      <c r="AN176" s="119">
        <v>0.145186724341895</v>
      </c>
      <c r="AO176" s="119">
        <v>0.14812271942525301</v>
      </c>
      <c r="AP176" s="119">
        <v>0.15045444905789501</v>
      </c>
      <c r="AQ176" s="119">
        <v>0.15292591247489901</v>
      </c>
      <c r="AR176" s="119">
        <v>0.155567650070254</v>
      </c>
      <c r="AS176" s="119">
        <v>0.15839459325748301</v>
      </c>
      <c r="AT176" s="119">
        <v>0.16146733947001601</v>
      </c>
      <c r="AU176" s="119">
        <v>0.165412544330959</v>
      </c>
      <c r="AV176" s="119">
        <v>0.16966758808639801</v>
      </c>
      <c r="AW176" s="119">
        <v>0.17598121356783</v>
      </c>
      <c r="AX176" s="119">
        <v>0.18329573746378799</v>
      </c>
      <c r="AY176" s="119">
        <v>0.19007295026162399</v>
      </c>
      <c r="AZ176" s="119">
        <v>0.19650598840765099</v>
      </c>
      <c r="BA176" s="119">
        <v>0.20325468725964799</v>
      </c>
      <c r="BB176" s="119">
        <v>0.21029996188115399</v>
      </c>
      <c r="BC176" s="119">
        <v>0.21655591742393199</v>
      </c>
      <c r="BD176" s="119">
        <v>0.22233420458865</v>
      </c>
      <c r="BE176" s="119">
        <v>0.228135320107311</v>
      </c>
      <c r="BF176" s="119">
        <v>0.23360632767433101</v>
      </c>
      <c r="BG176" s="119">
        <v>0.23941560849260399</v>
      </c>
      <c r="BH176" s="119">
        <v>0.244772773563107</v>
      </c>
      <c r="BI176" s="119">
        <v>0.25069151209777402</v>
      </c>
      <c r="BJ176" s="119">
        <v>0.25655182359242001</v>
      </c>
      <c r="BK176" s="119">
        <v>0.261364026071988</v>
      </c>
      <c r="BL176" s="119">
        <v>0.26591260651201798</v>
      </c>
    </row>
    <row r="177" spans="1:64" x14ac:dyDescent="0.25">
      <c r="A177" s="860" t="s">
        <v>265</v>
      </c>
      <c r="B177" s="1">
        <v>776</v>
      </c>
      <c r="C177" s="119">
        <v>0.5</v>
      </c>
      <c r="D177" s="119">
        <v>0.109034338604708</v>
      </c>
      <c r="E177" s="119">
        <v>0.110575376961523</v>
      </c>
      <c r="F177" s="119">
        <v>0.111648776016482</v>
      </c>
      <c r="G177" s="119">
        <v>0.11250769111751301</v>
      </c>
      <c r="H177" s="119">
        <v>0.113147915384335</v>
      </c>
      <c r="I177" s="119">
        <v>0.114765969344229</v>
      </c>
      <c r="J177" s="119">
        <v>0.11462481149845601</v>
      </c>
      <c r="K177" s="119">
        <v>0.115296573162968</v>
      </c>
      <c r="L177" s="119">
        <v>0.116447580400366</v>
      </c>
      <c r="M177" s="119">
        <v>0.11750019158628799</v>
      </c>
      <c r="N177" s="119">
        <v>0.11890090949903</v>
      </c>
      <c r="O177" s="119">
        <v>0.120115413159688</v>
      </c>
      <c r="P177" s="119">
        <v>0.12152392020635699</v>
      </c>
      <c r="Q177" s="119">
        <v>0.12085093207261501</v>
      </c>
      <c r="R177" s="119">
        <v>0.121511160013522</v>
      </c>
      <c r="S177" s="119">
        <v>0.122152583493584</v>
      </c>
      <c r="T177" s="119">
        <v>0.12578978570857</v>
      </c>
      <c r="U177" s="119">
        <v>0.12677406766134</v>
      </c>
      <c r="V177" s="119">
        <v>0.12849762077645499</v>
      </c>
      <c r="W177" s="119">
        <v>0.131286138927207</v>
      </c>
      <c r="X177" s="119">
        <v>0.13368449172816901</v>
      </c>
      <c r="Y177" s="119">
        <v>0.136231974474606</v>
      </c>
      <c r="Z177" s="119">
        <v>0.13899639079106499</v>
      </c>
      <c r="AA177" s="119">
        <v>0.14070858080259299</v>
      </c>
      <c r="AB177" s="119">
        <v>0.142941698074739</v>
      </c>
      <c r="AC177" s="119">
        <v>0.144322234057738</v>
      </c>
      <c r="AD177" s="119">
        <v>0.14390916363741099</v>
      </c>
      <c r="AE177" s="119">
        <v>0.14381657934863401</v>
      </c>
      <c r="AF177" s="119">
        <v>0.14411607131356599</v>
      </c>
      <c r="AG177" s="119">
        <v>0.14433645520878499</v>
      </c>
      <c r="AH177" s="119">
        <v>0.144148425357288</v>
      </c>
      <c r="AI177" s="119">
        <v>0.14623200077099399</v>
      </c>
      <c r="AJ177" s="119">
        <v>0.14905675692928</v>
      </c>
      <c r="AK177" s="119">
        <v>0.150586711215174</v>
      </c>
      <c r="AL177" s="119">
        <v>0.15278047992676</v>
      </c>
      <c r="AM177" s="119">
        <v>0.153772950913622</v>
      </c>
      <c r="AN177" s="119">
        <v>0.15514999010046701</v>
      </c>
      <c r="AO177" s="119">
        <v>0.155898811000626</v>
      </c>
      <c r="AP177" s="119">
        <v>0.15616422536935401</v>
      </c>
      <c r="AQ177" s="119">
        <v>0.156027867841706</v>
      </c>
      <c r="AR177" s="119">
        <v>0.156765522015725</v>
      </c>
      <c r="AS177" s="119">
        <v>0.15764667697086401</v>
      </c>
      <c r="AT177" s="119">
        <v>0.15774808122015099</v>
      </c>
      <c r="AU177" s="119">
        <v>0.157674961345075</v>
      </c>
      <c r="AV177" s="119">
        <v>0.156455309815942</v>
      </c>
      <c r="AW177" s="119">
        <v>0.15554032401210699</v>
      </c>
      <c r="AX177" s="119">
        <v>0.15422552431452299</v>
      </c>
      <c r="AY177" s="119">
        <v>0.15316337557305901</v>
      </c>
      <c r="AZ177" s="119">
        <v>0.15249460253278099</v>
      </c>
      <c r="BA177" s="119">
        <v>0.15183180753578099</v>
      </c>
      <c r="BB177" s="119">
        <v>0.15228065964013601</v>
      </c>
      <c r="BC177" s="119">
        <v>0.1537810488435</v>
      </c>
      <c r="BD177" s="119">
        <v>0.15563798908707299</v>
      </c>
      <c r="BE177" s="119">
        <v>0.15851347576043401</v>
      </c>
      <c r="BF177" s="119">
        <v>0.160211605183044</v>
      </c>
      <c r="BG177" s="119">
        <v>0.16113142861882099</v>
      </c>
      <c r="BH177" s="119">
        <v>0.16399418157850401</v>
      </c>
      <c r="BI177" s="119">
        <v>0.16519872353928999</v>
      </c>
      <c r="BJ177" s="119">
        <v>0.166934187421794</v>
      </c>
      <c r="BK177" s="119">
        <v>0.16866188672492399</v>
      </c>
      <c r="BL177" s="119">
        <v>0.17027931550103501</v>
      </c>
    </row>
    <row r="178" spans="1:64" x14ac:dyDescent="0.25">
      <c r="A178" s="860" t="s">
        <v>266</v>
      </c>
      <c r="B178" s="1">
        <v>780</v>
      </c>
      <c r="C178" s="119">
        <v>0.5</v>
      </c>
      <c r="D178" s="119">
        <v>0.19064960739214401</v>
      </c>
      <c r="E178" s="119">
        <v>0.19501670287338199</v>
      </c>
      <c r="F178" s="119">
        <v>0.199290523907793</v>
      </c>
      <c r="G178" s="119">
        <v>0.20372675254174</v>
      </c>
      <c r="H178" s="119">
        <v>0.20900501744841199</v>
      </c>
      <c r="I178" s="119">
        <v>0.21275362814930901</v>
      </c>
      <c r="J178" s="119">
        <v>0.217101252700833</v>
      </c>
      <c r="K178" s="119">
        <v>0.22138063493792101</v>
      </c>
      <c r="L178" s="119">
        <v>0.223622574863621</v>
      </c>
      <c r="M178" s="119">
        <v>0.22646197592748299</v>
      </c>
      <c r="N178" s="119">
        <v>0.22995324044808799</v>
      </c>
      <c r="O178" s="119">
        <v>0.233733884137104</v>
      </c>
      <c r="P178" s="119">
        <v>0.237929081837322</v>
      </c>
      <c r="Q178" s="119">
        <v>0.24257918028252701</v>
      </c>
      <c r="R178" s="119">
        <v>0.24690603088256899</v>
      </c>
      <c r="S178" s="119">
        <v>0.25056478578181801</v>
      </c>
      <c r="T178" s="119">
        <v>0.25444347538170498</v>
      </c>
      <c r="U178" s="119">
        <v>0.25651695801845398</v>
      </c>
      <c r="V178" s="119">
        <v>0.256114995765305</v>
      </c>
      <c r="W178" s="119">
        <v>0.25514862194427301</v>
      </c>
      <c r="X178" s="119">
        <v>0.253156482847745</v>
      </c>
      <c r="Y178" s="119">
        <v>0.25187689320333001</v>
      </c>
      <c r="Z178" s="119">
        <v>0.248932704422336</v>
      </c>
      <c r="AA178" s="119">
        <v>0.24708546559282901</v>
      </c>
      <c r="AB178" s="119">
        <v>0.24453000764993399</v>
      </c>
      <c r="AC178" s="119">
        <v>0.24331804942945101</v>
      </c>
      <c r="AD178" s="119">
        <v>0.240314995943569</v>
      </c>
      <c r="AE178" s="119">
        <v>0.238464400992353</v>
      </c>
      <c r="AF178" s="119">
        <v>0.23633199612446801</v>
      </c>
      <c r="AG178" s="119">
        <v>0.235422685304681</v>
      </c>
      <c r="AH178" s="119">
        <v>0.23552557167535401</v>
      </c>
      <c r="AI178" s="119">
        <v>0.23806593636494899</v>
      </c>
      <c r="AJ178" s="119">
        <v>0.24182653012299499</v>
      </c>
      <c r="AK178" s="119">
        <v>0.24698812563786801</v>
      </c>
      <c r="AL178" s="119">
        <v>0.25356169715257598</v>
      </c>
      <c r="AM178" s="119">
        <v>0.25908415359092801</v>
      </c>
      <c r="AN178" s="119">
        <v>0.265197274906112</v>
      </c>
      <c r="AO178" s="119">
        <v>0.27208945067600498</v>
      </c>
      <c r="AP178" s="119">
        <v>0.27904905168557798</v>
      </c>
      <c r="AQ178" s="119">
        <v>0.28620418977452899</v>
      </c>
      <c r="AR178" s="119">
        <v>0.29311399807342198</v>
      </c>
      <c r="AS178" s="119">
        <v>0.30003624609782098</v>
      </c>
      <c r="AT178" s="119">
        <v>0.30657952464600602</v>
      </c>
      <c r="AU178" s="119">
        <v>0.313458786670608</v>
      </c>
      <c r="AV178" s="119">
        <v>0.32035960757186399</v>
      </c>
      <c r="AW178" s="119">
        <v>0.32850304650191797</v>
      </c>
      <c r="AX178" s="119">
        <v>0.335186319183648</v>
      </c>
      <c r="AY178" s="119">
        <v>0.34090339295282002</v>
      </c>
      <c r="AZ178" s="119">
        <v>0.34760425211475399</v>
      </c>
      <c r="BA178" s="119">
        <v>0.35325554319218599</v>
      </c>
      <c r="BB178" s="119">
        <v>0.35855267796606499</v>
      </c>
      <c r="BC178" s="119">
        <v>0.36424908351878699</v>
      </c>
      <c r="BD178" s="119">
        <v>0.36907224189114302</v>
      </c>
      <c r="BE178" s="119">
        <v>0.37485827005177902</v>
      </c>
      <c r="BF178" s="119">
        <v>0.37823689287524098</v>
      </c>
      <c r="BG178" s="119">
        <v>0.38294792548025802</v>
      </c>
      <c r="BH178" s="119">
        <v>0.39019365815943602</v>
      </c>
      <c r="BI178" s="119">
        <v>0.394403557779056</v>
      </c>
      <c r="BJ178" s="119">
        <v>0.397869624337301</v>
      </c>
      <c r="BK178" s="119">
        <v>0.39929970462273101</v>
      </c>
      <c r="BL178" s="119">
        <v>0.40357173277723102</v>
      </c>
    </row>
    <row r="179" spans="1:64" x14ac:dyDescent="0.25">
      <c r="A179" s="860" t="s">
        <v>267</v>
      </c>
      <c r="B179" s="1">
        <v>788</v>
      </c>
      <c r="C179" s="119">
        <v>0.5</v>
      </c>
      <c r="D179" s="119">
        <v>0.12535119360609001</v>
      </c>
      <c r="E179" s="119">
        <v>0.12903542600298101</v>
      </c>
      <c r="F179" s="119">
        <v>0.133797571430362</v>
      </c>
      <c r="G179" s="119">
        <v>0.13881365395165701</v>
      </c>
      <c r="H179" s="119">
        <v>0.14450158121033199</v>
      </c>
      <c r="I179" s="119">
        <v>0.14931419697395101</v>
      </c>
      <c r="J179" s="119">
        <v>0.154164378795596</v>
      </c>
      <c r="K179" s="119">
        <v>0.160358767540727</v>
      </c>
      <c r="L179" s="119">
        <v>0.164770902381945</v>
      </c>
      <c r="M179" s="119">
        <v>0.17073231286627</v>
      </c>
      <c r="N179" s="119">
        <v>0.176695917083417</v>
      </c>
      <c r="O179" s="119">
        <v>0.184678786611051</v>
      </c>
      <c r="P179" s="119">
        <v>0.191565337668402</v>
      </c>
      <c r="Q179" s="119">
        <v>0.199638703172629</v>
      </c>
      <c r="R179" s="119">
        <v>0.20657791546753401</v>
      </c>
      <c r="S179" s="119">
        <v>0.21329443260262701</v>
      </c>
      <c r="T179" s="119">
        <v>0.22037018705752501</v>
      </c>
      <c r="U179" s="119">
        <v>0.22622870727661901</v>
      </c>
      <c r="V179" s="119">
        <v>0.232825895661221</v>
      </c>
      <c r="W179" s="119">
        <v>0.238622046410219</v>
      </c>
      <c r="X179" s="119">
        <v>0.244166271663708</v>
      </c>
      <c r="Y179" s="119">
        <v>0.25045884072098101</v>
      </c>
      <c r="Z179" s="119">
        <v>0.25552202574745703</v>
      </c>
      <c r="AA179" s="119">
        <v>0.25999238984119899</v>
      </c>
      <c r="AB179" s="119">
        <v>0.26516161007896999</v>
      </c>
      <c r="AC179" s="119">
        <v>0.269202912180668</v>
      </c>
      <c r="AD179" s="119">
        <v>0.27253584085882698</v>
      </c>
      <c r="AE179" s="119">
        <v>0.27651409008742101</v>
      </c>
      <c r="AF179" s="119">
        <v>0.27936622664775601</v>
      </c>
      <c r="AG179" s="119">
        <v>0.281499557030225</v>
      </c>
      <c r="AH179" s="119">
        <v>0.28224026992302198</v>
      </c>
      <c r="AI179" s="119">
        <v>0.28130786499711702</v>
      </c>
      <c r="AJ179" s="119">
        <v>0.279431108959038</v>
      </c>
      <c r="AK179" s="119">
        <v>0.27788624860801098</v>
      </c>
      <c r="AL179" s="119">
        <v>0.275473020666885</v>
      </c>
      <c r="AM179" s="119">
        <v>0.27432976111442597</v>
      </c>
      <c r="AN179" s="119">
        <v>0.273516219880508</v>
      </c>
      <c r="AO179" s="119">
        <v>0.273245056674213</v>
      </c>
      <c r="AP179" s="119">
        <v>0.27128776565453699</v>
      </c>
      <c r="AQ179" s="119">
        <v>0.27075055901438</v>
      </c>
      <c r="AR179" s="119">
        <v>0.27136592248162</v>
      </c>
      <c r="AS179" s="119">
        <v>0.27144976057381598</v>
      </c>
      <c r="AT179" s="119">
        <v>0.270316213249229</v>
      </c>
      <c r="AU179" s="119">
        <v>0.26956257105543402</v>
      </c>
      <c r="AV179" s="119">
        <v>0.26750464484275599</v>
      </c>
      <c r="AW179" s="119">
        <v>0.26570327685012501</v>
      </c>
      <c r="AX179" s="119">
        <v>0.26490030280344601</v>
      </c>
      <c r="AY179" s="119">
        <v>0.26352965759561903</v>
      </c>
      <c r="AZ179" s="119">
        <v>0.26228322832697798</v>
      </c>
      <c r="BA179" s="119">
        <v>0.26447192748628401</v>
      </c>
      <c r="BB179" s="119">
        <v>0.266129264546551</v>
      </c>
      <c r="BC179" s="119">
        <v>0.26786031938756899</v>
      </c>
      <c r="BD179" s="119">
        <v>0.269857973819639</v>
      </c>
      <c r="BE179" s="119">
        <v>0.27177638174157198</v>
      </c>
      <c r="BF179" s="119">
        <v>0.27453542200611297</v>
      </c>
      <c r="BG179" s="119">
        <v>0.27622856463279699</v>
      </c>
      <c r="BH179" s="119">
        <v>0.27690585343164098</v>
      </c>
      <c r="BI179" s="119">
        <v>0.27854165005574799</v>
      </c>
      <c r="BJ179" s="119">
        <v>0.279008904825014</v>
      </c>
      <c r="BK179" s="119">
        <v>0.27906208309687902</v>
      </c>
      <c r="BL179" s="119">
        <v>0.279337199214309</v>
      </c>
    </row>
    <row r="180" spans="1:64" x14ac:dyDescent="0.25">
      <c r="A180" s="860" t="s">
        <v>268</v>
      </c>
      <c r="B180" s="1">
        <v>792</v>
      </c>
      <c r="C180" s="119">
        <v>0.5</v>
      </c>
      <c r="D180" s="119">
        <v>8.3641152578788597E-2</v>
      </c>
      <c r="E180" s="119">
        <v>8.5503159832309106E-2</v>
      </c>
      <c r="F180" s="119">
        <v>8.8035870598739005E-2</v>
      </c>
      <c r="G180" s="119">
        <v>8.9728044387848496E-2</v>
      </c>
      <c r="H180" s="119">
        <v>9.5451510905480805E-2</v>
      </c>
      <c r="I180" s="119">
        <v>0.102725571250126</v>
      </c>
      <c r="J180" s="119">
        <v>0.109989652063084</v>
      </c>
      <c r="K180" s="119">
        <v>0.11777027816744</v>
      </c>
      <c r="L180" s="119">
        <v>0.12522017816098999</v>
      </c>
      <c r="M180" s="119">
        <v>0.134315064195138</v>
      </c>
      <c r="N180" s="119">
        <v>0.14293954454806801</v>
      </c>
      <c r="O180" s="119">
        <v>0.15085403039588</v>
      </c>
      <c r="P180" s="119">
        <v>0.159749777137941</v>
      </c>
      <c r="Q180" s="119">
        <v>0.16892752124219901</v>
      </c>
      <c r="R180" s="119">
        <v>0.17863700778217301</v>
      </c>
      <c r="S180" s="119">
        <v>0.18949727969147501</v>
      </c>
      <c r="T180" s="119">
        <v>0.20049550426405599</v>
      </c>
      <c r="U180" s="119">
        <v>0.21007354675526099</v>
      </c>
      <c r="V180" s="119">
        <v>0.21856090607930601</v>
      </c>
      <c r="W180" s="119">
        <v>0.223006527848681</v>
      </c>
      <c r="X180" s="119">
        <v>0.22802317704164199</v>
      </c>
      <c r="Y180" s="119">
        <v>0.232359948073629</v>
      </c>
      <c r="Z180" s="119">
        <v>0.23788535899219301</v>
      </c>
      <c r="AA180" s="119">
        <v>0.24168908324032101</v>
      </c>
      <c r="AB180" s="119">
        <v>0.245328737299082</v>
      </c>
      <c r="AC180" s="119">
        <v>0.248045624937028</v>
      </c>
      <c r="AD180" s="119">
        <v>0.251515147642212</v>
      </c>
      <c r="AE180" s="119">
        <v>0.25595064714705301</v>
      </c>
      <c r="AF180" s="119">
        <v>0.26011619485293902</v>
      </c>
      <c r="AG180" s="119">
        <v>0.26652307488626398</v>
      </c>
      <c r="AH180" s="119">
        <v>0.274264944447556</v>
      </c>
      <c r="AI180" s="119">
        <v>0.28178714817569001</v>
      </c>
      <c r="AJ180" s="119">
        <v>0.28879651262647699</v>
      </c>
      <c r="AK180" s="119">
        <v>0.29754331450086802</v>
      </c>
      <c r="AL180" s="119">
        <v>0.30525784997835498</v>
      </c>
      <c r="AM180" s="119">
        <v>0.30904702834974501</v>
      </c>
      <c r="AN180" s="119">
        <v>0.31370115297003298</v>
      </c>
      <c r="AO180" s="119">
        <v>0.31659586789382799</v>
      </c>
      <c r="AP180" s="119">
        <v>0.31986820165519803</v>
      </c>
      <c r="AQ180" s="119">
        <v>0.32232539869232002</v>
      </c>
      <c r="AR180" s="119">
        <v>0.323959068918518</v>
      </c>
      <c r="AS180" s="119">
        <v>0.32536320550755399</v>
      </c>
      <c r="AT180" s="119">
        <v>0.32750578560607402</v>
      </c>
      <c r="AU180" s="119">
        <v>0.32760588534233598</v>
      </c>
      <c r="AV180" s="119">
        <v>0.32896199382115598</v>
      </c>
      <c r="AW180" s="119">
        <v>0.32812521176494203</v>
      </c>
      <c r="AX180" s="119">
        <v>0.32776622677571599</v>
      </c>
      <c r="AY180" s="119">
        <v>0.32749850619871801</v>
      </c>
      <c r="AZ180" s="119">
        <v>0.32741651005375</v>
      </c>
      <c r="BA180" s="119">
        <v>0.32837098665237202</v>
      </c>
      <c r="BB180" s="119">
        <v>0.33075264813935401</v>
      </c>
      <c r="BC180" s="119">
        <v>0.33207086431413801</v>
      </c>
      <c r="BD180" s="119">
        <v>0.333362737401871</v>
      </c>
      <c r="BE180" s="119">
        <v>0.33540312129357702</v>
      </c>
      <c r="BF180" s="119">
        <v>0.33700080219849798</v>
      </c>
      <c r="BG180" s="119">
        <v>0.33799118824493801</v>
      </c>
      <c r="BH180" s="119">
        <v>0.33793989782661199</v>
      </c>
      <c r="BI180" s="119">
        <v>0.340671272635302</v>
      </c>
      <c r="BJ180" s="119">
        <v>0.34039190006971498</v>
      </c>
      <c r="BK180" s="119">
        <v>0.34275102266323099</v>
      </c>
      <c r="BL180" s="119">
        <v>0.345502184073747</v>
      </c>
    </row>
    <row r="181" spans="1:64" x14ac:dyDescent="0.25">
      <c r="A181" s="860" t="s">
        <v>269</v>
      </c>
      <c r="B181" s="1">
        <v>795</v>
      </c>
      <c r="C181" s="119">
        <v>0.5</v>
      </c>
      <c r="D181" s="119">
        <v>0.182365344832424</v>
      </c>
      <c r="E181" s="119">
        <v>0.184581381340582</v>
      </c>
      <c r="F181" s="119">
        <v>0.187396735593096</v>
      </c>
      <c r="G181" s="119">
        <v>0.189651503493215</v>
      </c>
      <c r="H181" s="119">
        <v>0.19250427359738201</v>
      </c>
      <c r="I181" s="119">
        <v>0.196555068604714</v>
      </c>
      <c r="J181" s="119">
        <v>0.20072423654713201</v>
      </c>
      <c r="K181" s="119">
        <v>0.20206796437101701</v>
      </c>
      <c r="L181" s="119">
        <v>0.207364928908814</v>
      </c>
      <c r="M181" s="119">
        <v>0.21230704705192299</v>
      </c>
      <c r="N181" s="119">
        <v>0.21718584061094001</v>
      </c>
      <c r="O181" s="119">
        <v>0.22218913560218001</v>
      </c>
      <c r="P181" s="119">
        <v>0.227408350834159</v>
      </c>
      <c r="Q181" s="119">
        <v>0.23285938958831601</v>
      </c>
      <c r="R181" s="119">
        <v>0.23755428396380299</v>
      </c>
      <c r="S181" s="119">
        <v>0.24257934097897799</v>
      </c>
      <c r="T181" s="119">
        <v>0.24710155206536799</v>
      </c>
      <c r="U181" s="119">
        <v>0.25085664298666699</v>
      </c>
      <c r="V181" s="119">
        <v>0.257933197033829</v>
      </c>
      <c r="W181" s="119">
        <v>0.26118590848999501</v>
      </c>
      <c r="X181" s="119">
        <v>0.266818472256665</v>
      </c>
      <c r="Y181" s="119">
        <v>0.27060352052373698</v>
      </c>
      <c r="Z181" s="119">
        <v>0.27462189633189299</v>
      </c>
      <c r="AA181" s="119">
        <v>0.27831218946034297</v>
      </c>
      <c r="AB181" s="119">
        <v>0.28271744485630002</v>
      </c>
      <c r="AC181" s="119">
        <v>0.28577505421322302</v>
      </c>
      <c r="AD181" s="119">
        <v>0.28972855378510398</v>
      </c>
      <c r="AE181" s="119">
        <v>0.29314240819975501</v>
      </c>
      <c r="AF181" s="119">
        <v>0.29669194912545199</v>
      </c>
      <c r="AG181" s="119">
        <v>0.29989573469824099</v>
      </c>
      <c r="AH181" s="119">
        <v>0.29802317043422899</v>
      </c>
      <c r="AI181" s="119">
        <v>0.30240891764995398</v>
      </c>
      <c r="AJ181" s="119">
        <v>0.302065207300935</v>
      </c>
      <c r="AK181" s="119">
        <v>0.30108607817530503</v>
      </c>
      <c r="AL181" s="119">
        <v>0.30045477023674</v>
      </c>
      <c r="AM181" s="119">
        <v>0.300121542898732</v>
      </c>
      <c r="AN181" s="119">
        <v>0.30020485775521899</v>
      </c>
      <c r="AO181" s="119">
        <v>0.29941403283644902</v>
      </c>
      <c r="AP181" s="119">
        <v>0.29949991572809798</v>
      </c>
      <c r="AQ181" s="119">
        <v>0.30078142624616899</v>
      </c>
      <c r="AR181" s="119">
        <v>0.30362835028462298</v>
      </c>
      <c r="AS181" s="119">
        <v>0.30613632114800499</v>
      </c>
      <c r="AT181" s="119">
        <v>0.30877068470194802</v>
      </c>
      <c r="AU181" s="119">
        <v>0.31239978246716898</v>
      </c>
      <c r="AV181" s="119">
        <v>0.31569436550667401</v>
      </c>
      <c r="AW181" s="119">
        <v>0.31768701556995799</v>
      </c>
      <c r="AX181" s="119">
        <v>0.32037243313539998</v>
      </c>
      <c r="AY181" s="119">
        <v>0.32297990365791501</v>
      </c>
      <c r="AZ181" s="119">
        <v>0.32477335401750701</v>
      </c>
      <c r="BA181" s="119">
        <v>0.32769631794218201</v>
      </c>
      <c r="BB181" s="119">
        <v>0.33021658471965698</v>
      </c>
      <c r="BC181" s="119">
        <v>0.33228435812811302</v>
      </c>
      <c r="BD181" s="119">
        <v>0.334847570917506</v>
      </c>
      <c r="BE181" s="119">
        <v>0.33709921270604898</v>
      </c>
      <c r="BF181" s="119">
        <v>0.33775583958650901</v>
      </c>
      <c r="BG181" s="119">
        <v>0.33820409747274799</v>
      </c>
      <c r="BH181" s="119">
        <v>0.33702056424142202</v>
      </c>
      <c r="BI181" s="119">
        <v>0.33661932932930799</v>
      </c>
      <c r="BJ181" s="119">
        <v>0.33502938995875398</v>
      </c>
      <c r="BK181" s="119">
        <v>0.33448060072986002</v>
      </c>
      <c r="BL181" s="119">
        <v>0.33518463044473801</v>
      </c>
    </row>
    <row r="182" spans="1:64" x14ac:dyDescent="0.25">
      <c r="A182" s="860" t="s">
        <v>271</v>
      </c>
      <c r="B182" s="1">
        <v>798</v>
      </c>
      <c r="C182" s="119">
        <v>0.5</v>
      </c>
      <c r="D182" s="119">
        <v>8.8352368365707104E-2</v>
      </c>
      <c r="E182" s="119">
        <v>8.9251726077753904E-2</v>
      </c>
      <c r="F182" s="119">
        <v>8.9811886967680499E-2</v>
      </c>
      <c r="G182" s="119">
        <v>9.0750890701555703E-2</v>
      </c>
      <c r="H182" s="119">
        <v>9.2369673014457407E-2</v>
      </c>
      <c r="I182" s="119">
        <v>9.3922786034790998E-2</v>
      </c>
      <c r="J182" s="119">
        <v>9.5062702058318599E-2</v>
      </c>
      <c r="K182" s="119">
        <v>9.6765109991267403E-2</v>
      </c>
      <c r="L182" s="119">
        <v>9.9412231495049602E-2</v>
      </c>
      <c r="M182" s="119">
        <v>0.101930018018733</v>
      </c>
      <c r="N182" s="119">
        <v>0.105482355897321</v>
      </c>
      <c r="O182" s="119">
        <v>0.10918451892910599</v>
      </c>
      <c r="P182" s="119">
        <v>0.11362864203038101</v>
      </c>
      <c r="Q182" s="119">
        <v>0.11812331452910201</v>
      </c>
      <c r="R182" s="119">
        <v>0.122204964217481</v>
      </c>
      <c r="S182" s="119">
        <v>0.12668700318555301</v>
      </c>
      <c r="T182" s="119">
        <v>0.13054525811464501</v>
      </c>
      <c r="U182" s="119">
        <v>0.133992504703455</v>
      </c>
      <c r="V182" s="119">
        <v>0.138861746475022</v>
      </c>
      <c r="W182" s="119">
        <v>0.143272168437792</v>
      </c>
      <c r="X182" s="119">
        <v>0.14704831634385701</v>
      </c>
      <c r="Y182" s="119">
        <v>0.14815306405714801</v>
      </c>
      <c r="Z182" s="119">
        <v>0.15105990003571401</v>
      </c>
      <c r="AA182" s="119">
        <v>0.15292989748774599</v>
      </c>
      <c r="AB182" s="119">
        <v>0.154456221229401</v>
      </c>
      <c r="AC182" s="119">
        <v>0.154518763885377</v>
      </c>
      <c r="AD182" s="119">
        <v>0.15448915689850301</v>
      </c>
      <c r="AE182" s="119">
        <v>0.15454871505024001</v>
      </c>
      <c r="AF182" s="119">
        <v>0.15546462056268101</v>
      </c>
      <c r="AG182" s="119">
        <v>0.157215002078609</v>
      </c>
      <c r="AH182" s="119">
        <v>0.15949528338305499</v>
      </c>
      <c r="AI182" s="119">
        <v>0.160343826934496</v>
      </c>
      <c r="AJ182" s="119">
        <v>0.16065369627728501</v>
      </c>
      <c r="AK182" s="119">
        <v>0.161257377583297</v>
      </c>
      <c r="AL182" s="119">
        <v>0.16231809471957101</v>
      </c>
      <c r="AM182" s="119">
        <v>0.163885136969766</v>
      </c>
      <c r="AN182" s="119">
        <v>0.16492085574436099</v>
      </c>
      <c r="AO182" s="119">
        <v>0.16625371965291799</v>
      </c>
      <c r="AP182" s="119">
        <v>0.16832759110611401</v>
      </c>
      <c r="AQ182" s="119">
        <v>0.17007581881910599</v>
      </c>
      <c r="AR182" s="119">
        <v>0.171939714262559</v>
      </c>
      <c r="AS182" s="119">
        <v>0.17348798195103099</v>
      </c>
      <c r="AT182" s="119">
        <v>0.17492413461626999</v>
      </c>
      <c r="AU182" s="119">
        <v>0.17586853229827301</v>
      </c>
      <c r="AV182" s="119">
        <v>0.17614985790260801</v>
      </c>
      <c r="AW182" s="119">
        <v>0.17615420866425999</v>
      </c>
      <c r="AX182" s="119">
        <v>0.17715821738964199</v>
      </c>
      <c r="AY182" s="119">
        <v>0.17814929131773299</v>
      </c>
      <c r="AZ182" s="119">
        <v>0.17812245688617201</v>
      </c>
      <c r="BA182" s="119">
        <v>0.178724093208046</v>
      </c>
      <c r="BB182" s="119">
        <v>0.17987402106904399</v>
      </c>
      <c r="BC182" s="119">
        <v>0.18087030939575699</v>
      </c>
      <c r="BD182" s="119">
        <v>0.18392503157538301</v>
      </c>
      <c r="BE182" s="119">
        <v>0.18658950955312301</v>
      </c>
      <c r="BF182" s="119">
        <v>0.18889083701185999</v>
      </c>
      <c r="BG182" s="119">
        <v>0.190800983990495</v>
      </c>
      <c r="BH182" s="119">
        <v>0.19257447921410301</v>
      </c>
      <c r="BI182" s="119">
        <v>0.19462105819945</v>
      </c>
      <c r="BJ182" s="119">
        <v>0.19757417006849501</v>
      </c>
      <c r="BK182" s="119">
        <v>0.199987519088131</v>
      </c>
      <c r="BL182" s="119">
        <v>0.201310238308856</v>
      </c>
    </row>
    <row r="183" spans="1:64" x14ac:dyDescent="0.25">
      <c r="A183" s="860" t="s">
        <v>73</v>
      </c>
      <c r="B183" s="1">
        <v>800</v>
      </c>
      <c r="C183" s="119">
        <v>0.5</v>
      </c>
      <c r="D183" s="119">
        <v>3.40881077158324E-3</v>
      </c>
      <c r="E183" s="119">
        <v>3.8708488931057899E-3</v>
      </c>
      <c r="F183" s="119">
        <v>4.3622034797836497E-3</v>
      </c>
      <c r="G183" s="119">
        <v>4.8878500471268597E-3</v>
      </c>
      <c r="H183" s="119">
        <v>5.5759540858584299E-3</v>
      </c>
      <c r="I183" s="119">
        <v>6.1609474234566499E-3</v>
      </c>
      <c r="J183" s="119">
        <v>6.9986391057969598E-3</v>
      </c>
      <c r="K183" s="119">
        <v>7.8917665483356596E-3</v>
      </c>
      <c r="L183" s="119">
        <v>8.9748630887147001E-3</v>
      </c>
      <c r="M183" s="119">
        <v>1.0101616768480899E-2</v>
      </c>
      <c r="N183" s="119">
        <v>1.12991587478792E-2</v>
      </c>
      <c r="O183" s="119">
        <v>1.27255105920991E-2</v>
      </c>
      <c r="P183" s="119">
        <v>1.4238491583338101E-2</v>
      </c>
      <c r="Q183" s="119">
        <v>1.59350832193156E-2</v>
      </c>
      <c r="R183" s="119">
        <v>1.78661265420333E-2</v>
      </c>
      <c r="S183" s="119">
        <v>1.9835118222144101E-2</v>
      </c>
      <c r="T183" s="119">
        <v>2.2044554648399599E-2</v>
      </c>
      <c r="U183" s="119">
        <v>2.4656027422356501E-2</v>
      </c>
      <c r="V183" s="119">
        <v>2.7515842758500199E-2</v>
      </c>
      <c r="W183" s="119">
        <v>3.2004720377058003E-2</v>
      </c>
      <c r="X183" s="119">
        <v>3.7192641838372897E-2</v>
      </c>
      <c r="Y183" s="119">
        <v>4.3141219524076201E-2</v>
      </c>
      <c r="Z183" s="119">
        <v>4.99157409088372E-2</v>
      </c>
      <c r="AA183" s="119">
        <v>5.7504884991740501E-2</v>
      </c>
      <c r="AB183" s="119">
        <v>6.6015781352562197E-2</v>
      </c>
      <c r="AC183" s="119">
        <v>7.5314838176327101E-2</v>
      </c>
      <c r="AD183" s="119">
        <v>8.8739777919045096E-2</v>
      </c>
      <c r="AE183" s="119">
        <v>0.10339561842381</v>
      </c>
      <c r="AF183" s="119">
        <v>0.11935202903303301</v>
      </c>
      <c r="AG183" s="119">
        <v>0.13505145848511799</v>
      </c>
      <c r="AH183" s="119">
        <v>0.148455775428675</v>
      </c>
      <c r="AI183" s="119">
        <v>0.15432725751097001</v>
      </c>
      <c r="AJ183" s="119">
        <v>0.157040126499597</v>
      </c>
      <c r="AK183" s="119">
        <v>0.15837885153839601</v>
      </c>
      <c r="AL183" s="119">
        <v>0.16017442406823801</v>
      </c>
      <c r="AM183" s="119">
        <v>0.159189006997043</v>
      </c>
      <c r="AN183" s="119">
        <v>0.16029776024147999</v>
      </c>
      <c r="AO183" s="119">
        <v>0.16753799626593399</v>
      </c>
      <c r="AP183" s="119">
        <v>0.176708252292954</v>
      </c>
      <c r="AQ183" s="119">
        <v>0.18667449378839099</v>
      </c>
      <c r="AR183" s="119">
        <v>0.19712025906063599</v>
      </c>
      <c r="AS183" s="119">
        <v>0.208369279842301</v>
      </c>
      <c r="AT183" s="119">
        <v>0.21926591797573</v>
      </c>
      <c r="AU183" s="119">
        <v>0.230061358618248</v>
      </c>
      <c r="AV183" s="119">
        <v>0.24104446994193801</v>
      </c>
      <c r="AW183" s="119">
        <v>0.25258449064470601</v>
      </c>
      <c r="AX183" s="119">
        <v>0.265348402694838</v>
      </c>
      <c r="AY183" s="119">
        <v>0.27426763700800899</v>
      </c>
      <c r="AZ183" s="119">
        <v>0.28195324176050002</v>
      </c>
      <c r="BA183" s="119">
        <v>0.28652768263190698</v>
      </c>
      <c r="BB183" s="119">
        <v>0.29756970108721298</v>
      </c>
      <c r="BC183" s="119">
        <v>0.31505750458731002</v>
      </c>
      <c r="BD183" s="119">
        <v>0.32733452039445998</v>
      </c>
      <c r="BE183" s="119">
        <v>0.33789307655842699</v>
      </c>
      <c r="BF183" s="119">
        <v>0.34650093487163702</v>
      </c>
      <c r="BG183" s="119">
        <v>0.35432826359846298</v>
      </c>
      <c r="BH183" s="119">
        <v>0.36160018237465202</v>
      </c>
      <c r="BI183" s="119">
        <v>0.36864806705036501</v>
      </c>
      <c r="BJ183" s="119">
        <v>0.37557319071334799</v>
      </c>
      <c r="BK183" s="119">
        <v>0.38214630320731002</v>
      </c>
      <c r="BL183" s="119">
        <v>0.38764510114786599</v>
      </c>
    </row>
    <row r="184" spans="1:64" x14ac:dyDescent="0.25">
      <c r="A184" s="860" t="s">
        <v>272</v>
      </c>
      <c r="B184" s="1">
        <v>804</v>
      </c>
      <c r="C184" s="119">
        <v>0.5</v>
      </c>
      <c r="D184" s="119">
        <v>0.16785992326980001</v>
      </c>
      <c r="E184" s="119">
        <v>0.17233520159906199</v>
      </c>
      <c r="F184" s="119">
        <v>0.17746389408590599</v>
      </c>
      <c r="G184" s="119">
        <v>0.18460410652904899</v>
      </c>
      <c r="H184" s="119">
        <v>0.19099376233457499</v>
      </c>
      <c r="I184" s="119">
        <v>0.19967176828204899</v>
      </c>
      <c r="J184" s="119">
        <v>0.20487680729969099</v>
      </c>
      <c r="K184" s="119">
        <v>0.21156067599810299</v>
      </c>
      <c r="L184" s="119">
        <v>0.21906074043920101</v>
      </c>
      <c r="M184" s="119">
        <v>0.226036544454531</v>
      </c>
      <c r="N184" s="119">
        <v>0.23464787638033599</v>
      </c>
      <c r="O184" s="119">
        <v>0.243112425916543</v>
      </c>
      <c r="P184" s="119">
        <v>0.25175521275471302</v>
      </c>
      <c r="Q184" s="119">
        <v>0.26007648887528401</v>
      </c>
      <c r="R184" s="119">
        <v>0.26662151367264803</v>
      </c>
      <c r="S184" s="119">
        <v>0.27390994843772198</v>
      </c>
      <c r="T184" s="119">
        <v>0.28356003697163101</v>
      </c>
      <c r="U184" s="119">
        <v>0.29002603834754898</v>
      </c>
      <c r="V184" s="119">
        <v>0.29753550787024802</v>
      </c>
      <c r="W184" s="119">
        <v>0.30536961855927103</v>
      </c>
      <c r="X184" s="119">
        <v>0.31122788448043998</v>
      </c>
      <c r="Y184" s="119">
        <v>0.31716167381113303</v>
      </c>
      <c r="Z184" s="119">
        <v>0.32372662498042198</v>
      </c>
      <c r="AA184" s="119">
        <v>0.32835443346061299</v>
      </c>
      <c r="AB184" s="119">
        <v>0.334894975044083</v>
      </c>
      <c r="AC184" s="119">
        <v>0.34112046076222302</v>
      </c>
      <c r="AD184" s="119">
        <v>0.34715345022057698</v>
      </c>
      <c r="AE184" s="119">
        <v>0.35343713277245098</v>
      </c>
      <c r="AF184" s="119">
        <v>0.35974185148829502</v>
      </c>
      <c r="AG184" s="119">
        <v>0.36468219028464499</v>
      </c>
      <c r="AH184" s="119">
        <v>0.37525649457312199</v>
      </c>
      <c r="AI184" s="119">
        <v>0.38012593821757201</v>
      </c>
      <c r="AJ184" s="119">
        <v>0.38567825817925799</v>
      </c>
      <c r="AK184" s="119">
        <v>0.38908906509164698</v>
      </c>
      <c r="AL184" s="119">
        <v>0.39187459394818203</v>
      </c>
      <c r="AM184" s="119">
        <v>0.39485667625502202</v>
      </c>
      <c r="AN184" s="119">
        <v>0.39284700344697698</v>
      </c>
      <c r="AO184" s="119">
        <v>0.39070110531049002</v>
      </c>
      <c r="AP184" s="119">
        <v>0.39272258986166703</v>
      </c>
      <c r="AQ184" s="119">
        <v>0.396024945057879</v>
      </c>
      <c r="AR184" s="119">
        <v>0.40068983261595498</v>
      </c>
      <c r="AS184" s="119">
        <v>0.403744340590241</v>
      </c>
      <c r="AT184" s="119">
        <v>0.407891512379571</v>
      </c>
      <c r="AU184" s="119">
        <v>0.413931491060965</v>
      </c>
      <c r="AV184" s="119">
        <v>0.41823735990156502</v>
      </c>
      <c r="AW184" s="119">
        <v>0.421896161122638</v>
      </c>
      <c r="AX184" s="119">
        <v>0.42601113019888598</v>
      </c>
      <c r="AY184" s="119">
        <v>0.42888720341257702</v>
      </c>
      <c r="AZ184" s="119">
        <v>0.433446423955268</v>
      </c>
      <c r="BA184" s="119">
        <v>0.43815530916608703</v>
      </c>
      <c r="BB184" s="119">
        <v>0.44137521650579498</v>
      </c>
      <c r="BC184" s="119">
        <v>0.44378919132962502</v>
      </c>
      <c r="BD184" s="119">
        <v>0.44713118964736798</v>
      </c>
      <c r="BE184" s="119">
        <v>0.44957906186312102</v>
      </c>
      <c r="BF184" s="119">
        <v>0.45216624818830597</v>
      </c>
      <c r="BG184" s="119">
        <v>0.454252009836557</v>
      </c>
      <c r="BH184" s="119">
        <v>0.45534537788341001</v>
      </c>
      <c r="BI184" s="119">
        <v>0.45819128122569702</v>
      </c>
      <c r="BJ184" s="119">
        <v>0.46021022784386101</v>
      </c>
      <c r="BK184" s="119">
        <v>0.46110446511518999</v>
      </c>
      <c r="BL184" s="119">
        <v>0.46291700699690602</v>
      </c>
    </row>
    <row r="185" spans="1:64" x14ac:dyDescent="0.25">
      <c r="A185" s="860" t="s">
        <v>273</v>
      </c>
      <c r="B185" s="1">
        <v>784</v>
      </c>
      <c r="C185" s="119">
        <v>0.5</v>
      </c>
      <c r="D185" s="119">
        <v>6.8862289743279195E-2</v>
      </c>
      <c r="E185" s="119">
        <v>7.1851701520515301E-2</v>
      </c>
      <c r="F185" s="119">
        <v>7.5152630421430194E-2</v>
      </c>
      <c r="G185" s="119">
        <v>7.8870157448359304E-2</v>
      </c>
      <c r="H185" s="119">
        <v>8.2919658904830607E-2</v>
      </c>
      <c r="I185" s="119">
        <v>8.6805785412304395E-2</v>
      </c>
      <c r="J185" s="119">
        <v>8.9220141592701904E-2</v>
      </c>
      <c r="K185" s="119">
        <v>9.2255183829739296E-2</v>
      </c>
      <c r="L185" s="119">
        <v>9.61139885295062E-2</v>
      </c>
      <c r="M185" s="119">
        <v>9.9727527086604595E-2</v>
      </c>
      <c r="N185" s="119">
        <v>0.103972386387993</v>
      </c>
      <c r="O185" s="119">
        <v>0.10552453920787901</v>
      </c>
      <c r="P185" s="119">
        <v>0.10871798378993899</v>
      </c>
      <c r="Q185" s="119">
        <v>0.113546239777577</v>
      </c>
      <c r="R185" s="119">
        <v>0.117494347575716</v>
      </c>
      <c r="S185" s="119">
        <v>0.121465979741257</v>
      </c>
      <c r="T185" s="119">
        <v>0.12517125389685299</v>
      </c>
      <c r="U185" s="119">
        <v>0.129351551309494</v>
      </c>
      <c r="V185" s="119">
        <v>0.131622679152336</v>
      </c>
      <c r="W185" s="119">
        <v>0.134949896722699</v>
      </c>
      <c r="X185" s="119">
        <v>0.138117070552467</v>
      </c>
      <c r="Y185" s="119">
        <v>0.140179273994231</v>
      </c>
      <c r="Z185" s="119">
        <v>0.14210669961321501</v>
      </c>
      <c r="AA185" s="119">
        <v>0.14568030119044201</v>
      </c>
      <c r="AB185" s="119">
        <v>0.148693817915166</v>
      </c>
      <c r="AC185" s="119">
        <v>0.151942869181209</v>
      </c>
      <c r="AD185" s="119">
        <v>0.15479203658444199</v>
      </c>
      <c r="AE185" s="119">
        <v>0.157998486751111</v>
      </c>
      <c r="AF185" s="119">
        <v>0.161403490342588</v>
      </c>
      <c r="AG185" s="119">
        <v>0.16665974481578</v>
      </c>
      <c r="AH185" s="119">
        <v>0.17368898126503099</v>
      </c>
      <c r="AI185" s="119">
        <v>0.17614081471603299</v>
      </c>
      <c r="AJ185" s="119">
        <v>0.180842609031234</v>
      </c>
      <c r="AK185" s="119">
        <v>0.18628610158307399</v>
      </c>
      <c r="AL185" s="119">
        <v>0.19342877192952601</v>
      </c>
      <c r="AM185" s="119">
        <v>0.20004989337759499</v>
      </c>
      <c r="AN185" s="119">
        <v>0.20400747477779799</v>
      </c>
      <c r="AO185" s="119">
        <v>0.20991615445815001</v>
      </c>
      <c r="AP185" s="119">
        <v>0.21671111582982699</v>
      </c>
      <c r="AQ185" s="119">
        <v>0.22605827637062401</v>
      </c>
      <c r="AR185" s="119">
        <v>0.23359269804242699</v>
      </c>
      <c r="AS185" s="119">
        <v>0.240709486815844</v>
      </c>
      <c r="AT185" s="119">
        <v>0.24507177689799101</v>
      </c>
      <c r="AU185" s="119">
        <v>0.25134750259647898</v>
      </c>
      <c r="AV185" s="119">
        <v>0.25898916774806102</v>
      </c>
      <c r="AW185" s="119">
        <v>0.266798101125228</v>
      </c>
      <c r="AX185" s="119">
        <v>0.27011252930384799</v>
      </c>
      <c r="AY185" s="119">
        <v>0.275370146033801</v>
      </c>
      <c r="AZ185" s="119">
        <v>0.278445601381828</v>
      </c>
      <c r="BA185" s="119">
        <v>0.28059107555289697</v>
      </c>
      <c r="BB185" s="119">
        <v>0.28675571408345302</v>
      </c>
      <c r="BC185" s="119">
        <v>0.28944988712838099</v>
      </c>
      <c r="BD185" s="119">
        <v>0.29125545471056602</v>
      </c>
      <c r="BE185" s="119">
        <v>0.29281130144019402</v>
      </c>
      <c r="BF185" s="119">
        <v>0.29646262826678899</v>
      </c>
      <c r="BG185" s="119">
        <v>0.30027792839953898</v>
      </c>
      <c r="BH185" s="119">
        <v>0.30171446975197602</v>
      </c>
      <c r="BI185" s="119">
        <v>0.301262445582823</v>
      </c>
      <c r="BJ185" s="119">
        <v>0.29953814372185</v>
      </c>
      <c r="BK185" s="119">
        <v>0.30114789634363698</v>
      </c>
      <c r="BL185" s="119">
        <v>0.30294237976080701</v>
      </c>
    </row>
    <row r="186" spans="1:64" x14ac:dyDescent="0.25">
      <c r="A186" s="860" t="s">
        <v>274</v>
      </c>
      <c r="B186" s="1">
        <v>826</v>
      </c>
      <c r="C186" s="119">
        <v>0.5</v>
      </c>
      <c r="D186" s="119">
        <v>0.55943438851348304</v>
      </c>
      <c r="E186" s="119">
        <v>0.56337052198576199</v>
      </c>
      <c r="F186" s="119">
        <v>0.56899303510546695</v>
      </c>
      <c r="G186" s="119">
        <v>0.57410781038671799</v>
      </c>
      <c r="H186" s="119">
        <v>0.57968875812129095</v>
      </c>
      <c r="I186" s="119">
        <v>0.58415086687234596</v>
      </c>
      <c r="J186" s="119">
        <v>0.585703684110916</v>
      </c>
      <c r="K186" s="119">
        <v>0.591185737134022</v>
      </c>
      <c r="L186" s="119">
        <v>0.59498045726363702</v>
      </c>
      <c r="M186" s="119">
        <v>0.59827368775692102</v>
      </c>
      <c r="N186" s="119">
        <v>0.60235596086653498</v>
      </c>
      <c r="O186" s="119">
        <v>0.60586565011618498</v>
      </c>
      <c r="P186" s="119">
        <v>0.60902718826816304</v>
      </c>
      <c r="Q186" s="119">
        <v>0.61395694565363101</v>
      </c>
      <c r="R186" s="119">
        <v>0.617503452137389</v>
      </c>
      <c r="S186" s="119">
        <v>0.62185048674679</v>
      </c>
      <c r="T186" s="119">
        <v>0.62236821576851697</v>
      </c>
      <c r="U186" s="119">
        <v>0.623610508998101</v>
      </c>
      <c r="V186" s="119">
        <v>0.62297297451871303</v>
      </c>
      <c r="W186" s="119">
        <v>0.62339403602209298</v>
      </c>
      <c r="X186" s="119">
        <v>0.62590223591916105</v>
      </c>
      <c r="Y186" s="119">
        <v>0.63163268344951295</v>
      </c>
      <c r="Z186" s="119">
        <v>0.63817721198721</v>
      </c>
      <c r="AA186" s="119">
        <v>0.64633946198280301</v>
      </c>
      <c r="AB186" s="119">
        <v>0.65184607187015497</v>
      </c>
      <c r="AC186" s="119">
        <v>0.65720542993673603</v>
      </c>
      <c r="AD186" s="119">
        <v>0.65800092470137395</v>
      </c>
      <c r="AE186" s="119">
        <v>0.659934991907135</v>
      </c>
      <c r="AF186" s="119">
        <v>0.66110592869053297</v>
      </c>
      <c r="AG186" s="119">
        <v>0.66169966236161903</v>
      </c>
      <c r="AH186" s="119">
        <v>0.66862676315699299</v>
      </c>
      <c r="AI186" s="119">
        <v>0.67133055830323896</v>
      </c>
      <c r="AJ186" s="119">
        <v>0.67255876224529099</v>
      </c>
      <c r="AK186" s="119">
        <v>0.67412129072579796</v>
      </c>
      <c r="AL186" s="119">
        <v>0.66986376804395698</v>
      </c>
      <c r="AM186" s="119">
        <v>0.66667518360645694</v>
      </c>
      <c r="AN186" s="119">
        <v>0.66494745193846205</v>
      </c>
      <c r="AO186" s="119">
        <v>0.663413454519866</v>
      </c>
      <c r="AP186" s="119">
        <v>0.66177265824775</v>
      </c>
      <c r="AQ186" s="119">
        <v>0.65952624663067805</v>
      </c>
      <c r="AR186" s="119">
        <v>0.65687128831538899</v>
      </c>
      <c r="AS186" s="119">
        <v>0.65423148070509995</v>
      </c>
      <c r="AT186" s="119">
        <v>0.65189360975153599</v>
      </c>
      <c r="AU186" s="119">
        <v>0.65086709823848399</v>
      </c>
      <c r="AV186" s="119">
        <v>0.64947286517005998</v>
      </c>
      <c r="AW186" s="119">
        <v>0.65044018707763995</v>
      </c>
      <c r="AX186" s="119">
        <v>0.65052538313227604</v>
      </c>
      <c r="AY186" s="119">
        <v>0.64965981250502303</v>
      </c>
      <c r="AZ186" s="119">
        <v>0.65109825582573899</v>
      </c>
      <c r="BA186" s="119">
        <v>0.65136630306933396</v>
      </c>
      <c r="BB186" s="119">
        <v>0.65209185548097004</v>
      </c>
      <c r="BC186" s="119">
        <v>0.65306840855594395</v>
      </c>
      <c r="BD186" s="119">
        <v>0.65324981600366405</v>
      </c>
      <c r="BE186" s="119">
        <v>0.65498292499380495</v>
      </c>
      <c r="BF186" s="119">
        <v>0.65533953080627305</v>
      </c>
      <c r="BG186" s="119">
        <v>0.65603691931420205</v>
      </c>
      <c r="BH186" s="119">
        <v>0.656048434195599</v>
      </c>
      <c r="BI186" s="119">
        <v>0.65709363696261702</v>
      </c>
      <c r="BJ186" s="119">
        <v>0.65806967527080096</v>
      </c>
      <c r="BK186" s="119">
        <v>0.65748178201295204</v>
      </c>
      <c r="BL186" s="119">
        <v>0.658086686214163</v>
      </c>
    </row>
    <row r="187" spans="1:64" x14ac:dyDescent="0.25">
      <c r="A187" s="860" t="s">
        <v>70</v>
      </c>
      <c r="B187" s="1">
        <v>834</v>
      </c>
      <c r="C187" s="119">
        <v>0.5</v>
      </c>
      <c r="D187" s="119">
        <v>7.9803772340835306E-3</v>
      </c>
      <c r="E187" s="119">
        <v>8.9129633589197094E-3</v>
      </c>
      <c r="F187" s="119">
        <v>9.92128887104291E-3</v>
      </c>
      <c r="G187" s="119">
        <v>1.1163155377094201E-2</v>
      </c>
      <c r="H187" s="119">
        <v>1.24169683318122E-2</v>
      </c>
      <c r="I187" s="119">
        <v>1.3836301960959901E-2</v>
      </c>
      <c r="J187" s="119">
        <v>1.55818996741984E-2</v>
      </c>
      <c r="K187" s="119">
        <v>1.7173045339771199E-2</v>
      </c>
      <c r="L187" s="119">
        <v>1.8889943928911201E-2</v>
      </c>
      <c r="M187" s="119">
        <v>2.09397196604592E-2</v>
      </c>
      <c r="N187" s="119">
        <v>2.31577791022235E-2</v>
      </c>
      <c r="O187" s="119">
        <v>2.5545306070803801E-2</v>
      </c>
      <c r="P187" s="119">
        <v>2.8321920617966099E-2</v>
      </c>
      <c r="Q187" s="119">
        <v>3.1252585141703301E-2</v>
      </c>
      <c r="R187" s="119">
        <v>3.4290460222279898E-2</v>
      </c>
      <c r="S187" s="119">
        <v>3.75256911704843E-2</v>
      </c>
      <c r="T187" s="119">
        <v>4.1020361864176597E-2</v>
      </c>
      <c r="U187" s="119">
        <v>4.4684898240139902E-2</v>
      </c>
      <c r="V187" s="119">
        <v>4.9028003769884497E-2</v>
      </c>
      <c r="W187" s="119">
        <v>5.3669885978386199E-2</v>
      </c>
      <c r="X187" s="119">
        <v>5.90004546122887E-2</v>
      </c>
      <c r="Y187" s="119">
        <v>6.5489974148972105E-2</v>
      </c>
      <c r="Z187" s="119">
        <v>7.5817736975676606E-2</v>
      </c>
      <c r="AA187" s="119">
        <v>8.7889483357112302E-2</v>
      </c>
      <c r="AB187" s="119">
        <v>0.10135514141536101</v>
      </c>
      <c r="AC187" s="119">
        <v>0.111248405594062</v>
      </c>
      <c r="AD187" s="119">
        <v>0.121018777722641</v>
      </c>
      <c r="AE187" s="119">
        <v>0.131846183950657</v>
      </c>
      <c r="AF187" s="119">
        <v>0.143249399166094</v>
      </c>
      <c r="AG187" s="119">
        <v>0.154259248342837</v>
      </c>
      <c r="AH187" s="119">
        <v>0.16121192961181299</v>
      </c>
      <c r="AI187" s="119">
        <v>0.166442000033142</v>
      </c>
      <c r="AJ187" s="119">
        <v>0.171057912308651</v>
      </c>
      <c r="AK187" s="119">
        <v>0.17613753823624601</v>
      </c>
      <c r="AL187" s="119">
        <v>0.18188972649700899</v>
      </c>
      <c r="AM187" s="119">
        <v>0.18896304425203</v>
      </c>
      <c r="AN187" s="119">
        <v>0.197274355424645</v>
      </c>
      <c r="AO187" s="119">
        <v>0.206653810655378</v>
      </c>
      <c r="AP187" s="119">
        <v>0.21610865661735701</v>
      </c>
      <c r="AQ187" s="119">
        <v>0.22538368780211299</v>
      </c>
      <c r="AR187" s="119">
        <v>0.234164516926327</v>
      </c>
      <c r="AS187" s="119">
        <v>0.24211718574640601</v>
      </c>
      <c r="AT187" s="119">
        <v>0.24962582184618401</v>
      </c>
      <c r="AU187" s="119">
        <v>0.25665538095516599</v>
      </c>
      <c r="AV187" s="119">
        <v>0.263655300504129</v>
      </c>
      <c r="AW187" s="119">
        <v>0.270696734716942</v>
      </c>
      <c r="AX187" s="119">
        <v>0.278947354598439</v>
      </c>
      <c r="AY187" s="119">
        <v>0.28763703539825097</v>
      </c>
      <c r="AZ187" s="119">
        <v>0.295270523743633</v>
      </c>
      <c r="BA187" s="119">
        <v>0.30438863471778699</v>
      </c>
      <c r="BB187" s="119">
        <v>0.31225928900260502</v>
      </c>
      <c r="BC187" s="119">
        <v>0.31926516304226799</v>
      </c>
      <c r="BD187" s="119">
        <v>0.327721918481166</v>
      </c>
      <c r="BE187" s="119">
        <v>0.33494428398543702</v>
      </c>
      <c r="BF187" s="119">
        <v>0.343010779993149</v>
      </c>
      <c r="BG187" s="119">
        <v>0.35075988247889101</v>
      </c>
      <c r="BH187" s="119">
        <v>0.35746233163824898</v>
      </c>
      <c r="BI187" s="119">
        <v>0.36388707822225902</v>
      </c>
      <c r="BJ187" s="119">
        <v>0.37029070153510002</v>
      </c>
      <c r="BK187" s="119">
        <v>0.37602706664031799</v>
      </c>
      <c r="BL187" s="119">
        <v>0.382094883820493</v>
      </c>
    </row>
    <row r="188" spans="1:64" x14ac:dyDescent="0.25">
      <c r="A188" s="860" t="s">
        <v>275</v>
      </c>
      <c r="B188" s="1">
        <v>840</v>
      </c>
      <c r="C188" s="119">
        <v>0.5</v>
      </c>
      <c r="D188" s="119">
        <v>0.46472783531595302</v>
      </c>
      <c r="E188" s="119">
        <v>0.47762399771853298</v>
      </c>
      <c r="F188" s="119">
        <v>0.48904767019586198</v>
      </c>
      <c r="G188" s="119">
        <v>0.50057074102654997</v>
      </c>
      <c r="H188" s="119">
        <v>0.51166698149942502</v>
      </c>
      <c r="I188" s="119">
        <v>0.51775294624595203</v>
      </c>
      <c r="J188" s="119">
        <v>0.51126181311558905</v>
      </c>
      <c r="K188" s="119">
        <v>0.50932527788624704</v>
      </c>
      <c r="L188" s="119">
        <v>0.50714735910089204</v>
      </c>
      <c r="M188" s="119">
        <v>0.50735927613686005</v>
      </c>
      <c r="N188" s="119">
        <v>0.50794978251451295</v>
      </c>
      <c r="O188" s="119">
        <v>0.50840530566948905</v>
      </c>
      <c r="P188" s="119">
        <v>0.51043551318332403</v>
      </c>
      <c r="Q188" s="119">
        <v>0.51368973832298903</v>
      </c>
      <c r="R188" s="119">
        <v>0.51820801098456204</v>
      </c>
      <c r="S188" s="119">
        <v>0.52347144673657597</v>
      </c>
      <c r="T188" s="119">
        <v>0.52671968559945603</v>
      </c>
      <c r="U188" s="119">
        <v>0.53069288187342101</v>
      </c>
      <c r="V188" s="119">
        <v>0.53288314039706297</v>
      </c>
      <c r="W188" s="119">
        <v>0.53334583717866002</v>
      </c>
      <c r="X188" s="119">
        <v>0.53380044720374298</v>
      </c>
      <c r="Y188" s="119">
        <v>0.53680968808544705</v>
      </c>
      <c r="Z188" s="119">
        <v>0.54169682108730499</v>
      </c>
      <c r="AA188" s="119">
        <v>0.54633114714667796</v>
      </c>
      <c r="AB188" s="119">
        <v>0.55265258911684501</v>
      </c>
      <c r="AC188" s="119">
        <v>0.5561079084403</v>
      </c>
      <c r="AD188" s="119">
        <v>0.55580517976206301</v>
      </c>
      <c r="AE188" s="119">
        <v>0.55283075836479401</v>
      </c>
      <c r="AF188" s="119">
        <v>0.54910997425419905</v>
      </c>
      <c r="AG188" s="119">
        <v>0.545603548551571</v>
      </c>
      <c r="AH188" s="119">
        <v>0.541963218279501</v>
      </c>
      <c r="AI188" s="119">
        <v>0.53999851732068305</v>
      </c>
      <c r="AJ188" s="119">
        <v>0.53768711959165105</v>
      </c>
      <c r="AK188" s="119">
        <v>0.53767882883690699</v>
      </c>
      <c r="AL188" s="119">
        <v>0.538139020842201</v>
      </c>
      <c r="AM188" s="119">
        <v>0.53845767349195395</v>
      </c>
      <c r="AN188" s="119">
        <v>0.53848403370673303</v>
      </c>
      <c r="AO188" s="119">
        <v>0.53872247751482705</v>
      </c>
      <c r="AP188" s="119">
        <v>0.53908317763593705</v>
      </c>
      <c r="AQ188" s="119">
        <v>0.53871509282443197</v>
      </c>
      <c r="AR188" s="119">
        <v>0.53743774533726096</v>
      </c>
      <c r="AS188" s="119">
        <v>0.53616722779445802</v>
      </c>
      <c r="AT188" s="119">
        <v>0.53563159809829797</v>
      </c>
      <c r="AU188" s="119">
        <v>0.53271164216145805</v>
      </c>
      <c r="AV188" s="119">
        <v>0.53148153094008399</v>
      </c>
      <c r="AW188" s="119">
        <v>0.53283929520470896</v>
      </c>
      <c r="AX188" s="119">
        <v>0.53457644225671397</v>
      </c>
      <c r="AY188" s="119">
        <v>0.53465675617405695</v>
      </c>
      <c r="AZ188" s="119">
        <v>0.53428668999761098</v>
      </c>
      <c r="BA188" s="119">
        <v>0.53498512705849499</v>
      </c>
      <c r="BB188" s="119">
        <v>0.53630666104633495</v>
      </c>
      <c r="BC188" s="119">
        <v>0.53620682981812096</v>
      </c>
      <c r="BD188" s="119">
        <v>0.53878178421589096</v>
      </c>
      <c r="BE188" s="119">
        <v>0.53909274619557301</v>
      </c>
      <c r="BF188" s="119">
        <v>0.53966148150506799</v>
      </c>
      <c r="BG188" s="119">
        <v>0.54122530344876896</v>
      </c>
      <c r="BH188" s="119">
        <v>0.543061995633774</v>
      </c>
      <c r="BI188" s="119">
        <v>0.54477464020599398</v>
      </c>
      <c r="BJ188" s="119">
        <v>0.54726702409789496</v>
      </c>
      <c r="BK188" s="119">
        <v>0.54851367369658599</v>
      </c>
      <c r="BL188" s="119">
        <v>0.54998879874784301</v>
      </c>
    </row>
    <row r="189" spans="1:64" x14ac:dyDescent="0.25">
      <c r="A189" s="860" t="s">
        <v>276</v>
      </c>
      <c r="B189" s="1">
        <v>850</v>
      </c>
      <c r="C189" s="119">
        <v>0.5</v>
      </c>
      <c r="D189" s="119">
        <v>0.19880422390600799</v>
      </c>
      <c r="E189" s="119">
        <v>0.20240354310723899</v>
      </c>
      <c r="F189" s="119">
        <v>0.206474618163732</v>
      </c>
      <c r="G189" s="119">
        <v>0.21108996039844999</v>
      </c>
      <c r="H189" s="119">
        <v>0.21509537183272001</v>
      </c>
      <c r="I189" s="119">
        <v>0.21913103684395299</v>
      </c>
      <c r="J189" s="119">
        <v>0.222525018148686</v>
      </c>
      <c r="K189" s="119">
        <v>0.22568504707252501</v>
      </c>
      <c r="L189" s="119">
        <v>0.22952871200887201</v>
      </c>
      <c r="M189" s="119">
        <v>0.230947132005526</v>
      </c>
      <c r="N189" s="119">
        <v>0.233633024190678</v>
      </c>
      <c r="O189" s="119">
        <v>0.23761752962145899</v>
      </c>
      <c r="P189" s="119">
        <v>0.24300298937392301</v>
      </c>
      <c r="Q189" s="119">
        <v>0.24723478674826899</v>
      </c>
      <c r="R189" s="119">
        <v>0.25325605893328101</v>
      </c>
      <c r="S189" s="119">
        <v>0.260319759353908</v>
      </c>
      <c r="T189" s="119">
        <v>0.26697870948125502</v>
      </c>
      <c r="U189" s="119">
        <v>0.273769843781005</v>
      </c>
      <c r="V189" s="119">
        <v>0.27913066618872101</v>
      </c>
      <c r="W189" s="119">
        <v>0.285495981555695</v>
      </c>
      <c r="X189" s="119">
        <v>0.29184481920522998</v>
      </c>
      <c r="Y189" s="119">
        <v>0.29964541944342399</v>
      </c>
      <c r="Z189" s="119">
        <v>0.30918758974611299</v>
      </c>
      <c r="AA189" s="119">
        <v>0.31833305741948198</v>
      </c>
      <c r="AB189" s="119">
        <v>0.32838802024521002</v>
      </c>
      <c r="AC189" s="119">
        <v>0.33738917173862498</v>
      </c>
      <c r="AD189" s="119">
        <v>0.34527046654697202</v>
      </c>
      <c r="AE189" s="119">
        <v>0.352790661333094</v>
      </c>
      <c r="AF189" s="119">
        <v>0.36155201621660299</v>
      </c>
      <c r="AG189" s="119">
        <v>0.36953260557809497</v>
      </c>
      <c r="AH189" s="119">
        <v>0.37675220730332298</v>
      </c>
      <c r="AI189" s="119">
        <v>0.38450352447682701</v>
      </c>
      <c r="AJ189" s="119">
        <v>0.39074796816157298</v>
      </c>
      <c r="AK189" s="119">
        <v>0.39761563219547402</v>
      </c>
      <c r="AL189" s="119">
        <v>0.40411837281686802</v>
      </c>
      <c r="AM189" s="119">
        <v>0.410078803237792</v>
      </c>
      <c r="AN189" s="119">
        <v>0.41565966629476298</v>
      </c>
      <c r="AO189" s="119">
        <v>0.42176696963759502</v>
      </c>
      <c r="AP189" s="119">
        <v>0.42721356043701603</v>
      </c>
      <c r="AQ189" s="119">
        <v>0.43268919769896202</v>
      </c>
      <c r="AR189" s="119">
        <v>0.43820650189216898</v>
      </c>
      <c r="AS189" s="119">
        <v>0.44412345159393901</v>
      </c>
      <c r="AT189" s="119">
        <v>0.44871992569949598</v>
      </c>
      <c r="AU189" s="119">
        <v>0.45259783360142197</v>
      </c>
      <c r="AV189" s="119">
        <v>0.456930394556405</v>
      </c>
      <c r="AW189" s="119">
        <v>0.46234740281128101</v>
      </c>
      <c r="AX189" s="119">
        <v>0.46661790554024402</v>
      </c>
      <c r="AY189" s="119">
        <v>0.46965600726624601</v>
      </c>
      <c r="AZ189" s="119">
        <v>0.47341537550298002</v>
      </c>
      <c r="BA189" s="119">
        <v>0.47892997578719698</v>
      </c>
      <c r="BB189" s="119">
        <v>0.48156383295264599</v>
      </c>
      <c r="BC189" s="119">
        <v>0.48372905458964999</v>
      </c>
      <c r="BD189" s="119">
        <v>0.486945676358011</v>
      </c>
      <c r="BE189" s="119">
        <v>0.48942258547335399</v>
      </c>
      <c r="BF189" s="119">
        <v>0.49237566288636497</v>
      </c>
      <c r="BG189" s="119">
        <v>0.49432448420005298</v>
      </c>
      <c r="BH189" s="119">
        <v>0.49886718672144698</v>
      </c>
      <c r="BI189" s="119">
        <v>0.50005962235055901</v>
      </c>
      <c r="BJ189" s="119">
        <v>0.50476213694227501</v>
      </c>
      <c r="BK189" s="119">
        <v>0.50870460028442999</v>
      </c>
      <c r="BL189" s="119">
        <v>0.51289094410160696</v>
      </c>
    </row>
    <row r="190" spans="1:64" x14ac:dyDescent="0.25">
      <c r="A190" s="860" t="s">
        <v>277</v>
      </c>
      <c r="B190" s="1">
        <v>858</v>
      </c>
      <c r="C190" s="119">
        <v>0.5</v>
      </c>
      <c r="D190" s="119">
        <v>0.40423496744177601</v>
      </c>
      <c r="E190" s="119">
        <v>0.40678762819765302</v>
      </c>
      <c r="F190" s="119">
        <v>0.40937388881259401</v>
      </c>
      <c r="G190" s="119">
        <v>0.41598585097219398</v>
      </c>
      <c r="H190" s="119">
        <v>0.41938481037187902</v>
      </c>
      <c r="I190" s="119">
        <v>0.42214579513865602</v>
      </c>
      <c r="J190" s="119">
        <v>0.425784914734961</v>
      </c>
      <c r="K190" s="119">
        <v>0.42680763846357</v>
      </c>
      <c r="L190" s="119">
        <v>0.42894985725018098</v>
      </c>
      <c r="M190" s="119">
        <v>0.43119457624617702</v>
      </c>
      <c r="N190" s="119">
        <v>0.433974296883198</v>
      </c>
      <c r="O190" s="119">
        <v>0.43658546970676998</v>
      </c>
      <c r="P190" s="119">
        <v>0.439696903023991</v>
      </c>
      <c r="Q190" s="119">
        <v>0.44290030168096101</v>
      </c>
      <c r="R190" s="119">
        <v>0.44654608714296001</v>
      </c>
      <c r="S190" s="119">
        <v>0.44871814227825702</v>
      </c>
      <c r="T190" s="119">
        <v>0.44997163676868202</v>
      </c>
      <c r="U190" s="119">
        <v>0.45126648041526701</v>
      </c>
      <c r="V190" s="119">
        <v>0.45095726420158899</v>
      </c>
      <c r="W190" s="119">
        <v>0.45037436660630098</v>
      </c>
      <c r="X190" s="119">
        <v>0.45139055568907799</v>
      </c>
      <c r="Y190" s="119">
        <v>0.45217097158994002</v>
      </c>
      <c r="Z190" s="119">
        <v>0.45412600345891202</v>
      </c>
      <c r="AA190" s="119">
        <v>0.45651182862635598</v>
      </c>
      <c r="AB190" s="119">
        <v>0.45874571772369199</v>
      </c>
      <c r="AC190" s="119">
        <v>0.46209252659305</v>
      </c>
      <c r="AD190" s="119">
        <v>0.464796294361081</v>
      </c>
      <c r="AE190" s="119">
        <v>0.4683728243086</v>
      </c>
      <c r="AF190" s="119">
        <v>0.471929867713624</v>
      </c>
      <c r="AG190" s="119">
        <v>0.476823226383635</v>
      </c>
      <c r="AH190" s="119">
        <v>0.479341294616762</v>
      </c>
      <c r="AI190" s="119">
        <v>0.48295661994830003</v>
      </c>
      <c r="AJ190" s="119">
        <v>0.48682716619989302</v>
      </c>
      <c r="AK190" s="119">
        <v>0.49009352992791</v>
      </c>
      <c r="AL190" s="119">
        <v>0.49448444632558303</v>
      </c>
      <c r="AM190" s="119">
        <v>0.49738170241269403</v>
      </c>
      <c r="AN190" s="119">
        <v>0.50072654451600696</v>
      </c>
      <c r="AO190" s="119">
        <v>0.50518652787811702</v>
      </c>
      <c r="AP190" s="119">
        <v>0.50866768350408897</v>
      </c>
      <c r="AQ190" s="119">
        <v>0.51168291155616197</v>
      </c>
      <c r="AR190" s="119">
        <v>0.515332151355132</v>
      </c>
      <c r="AS190" s="119">
        <v>0.51709007767307003</v>
      </c>
      <c r="AT190" s="119">
        <v>0.52135466166831801</v>
      </c>
      <c r="AU190" s="119">
        <v>0.52518360348306203</v>
      </c>
      <c r="AV190" s="119">
        <v>0.52930301040983596</v>
      </c>
      <c r="AW190" s="119">
        <v>0.53277117131882301</v>
      </c>
      <c r="AX190" s="119">
        <v>0.53577559886639803</v>
      </c>
      <c r="AY190" s="119">
        <v>0.53908534891304605</v>
      </c>
      <c r="AZ190" s="119">
        <v>0.54247656271997502</v>
      </c>
      <c r="BA190" s="119">
        <v>0.54700585836960103</v>
      </c>
      <c r="BB190" s="119">
        <v>0.55015154419300105</v>
      </c>
      <c r="BC190" s="119">
        <v>0.55275091754605599</v>
      </c>
      <c r="BD190" s="119">
        <v>0.55510533291434105</v>
      </c>
      <c r="BE190" s="119">
        <v>0.55703404214832597</v>
      </c>
      <c r="BF190" s="119">
        <v>0.55996472425122201</v>
      </c>
      <c r="BG190" s="119">
        <v>0.56353878903513999</v>
      </c>
      <c r="BH190" s="119">
        <v>0.56505919670843696</v>
      </c>
      <c r="BI190" s="119">
        <v>0.56805459387295798</v>
      </c>
      <c r="BJ190" s="119">
        <v>0.56840519791505395</v>
      </c>
      <c r="BK190" s="119">
        <v>0.56995914820410098</v>
      </c>
      <c r="BL190" s="119">
        <v>0.57322755055586005</v>
      </c>
    </row>
    <row r="191" spans="1:64" x14ac:dyDescent="0.25">
      <c r="A191" s="860" t="s">
        <v>74</v>
      </c>
      <c r="B191" s="1">
        <v>860</v>
      </c>
      <c r="C191" s="119">
        <v>0.5</v>
      </c>
      <c r="D191" s="119">
        <v>0.210549976962809</v>
      </c>
      <c r="E191" s="119">
        <v>0.214458353848232</v>
      </c>
      <c r="F191" s="119">
        <v>0.21776862966156599</v>
      </c>
      <c r="G191" s="119">
        <v>0.22181119329156601</v>
      </c>
      <c r="H191" s="119">
        <v>0.22684151801876501</v>
      </c>
      <c r="I191" s="119">
        <v>0.22889501752921401</v>
      </c>
      <c r="J191" s="119">
        <v>0.23185619388796</v>
      </c>
      <c r="K191" s="119">
        <v>0.23542440107614401</v>
      </c>
      <c r="L191" s="119">
        <v>0.241051892412221</v>
      </c>
      <c r="M191" s="119">
        <v>0.24638477732907699</v>
      </c>
      <c r="N191" s="119">
        <v>0.25230449075833</v>
      </c>
      <c r="O191" s="119">
        <v>0.258696393965823</v>
      </c>
      <c r="P191" s="119">
        <v>0.26602269534858503</v>
      </c>
      <c r="Q191" s="119">
        <v>0.27323331006127999</v>
      </c>
      <c r="R191" s="119">
        <v>0.28161466453259298</v>
      </c>
      <c r="S191" s="119">
        <v>0.28772233996249202</v>
      </c>
      <c r="T191" s="119">
        <v>0.292786644868749</v>
      </c>
      <c r="U191" s="119">
        <v>0.29859201335827101</v>
      </c>
      <c r="V191" s="119">
        <v>0.305015345995309</v>
      </c>
      <c r="W191" s="119">
        <v>0.30924787262276598</v>
      </c>
      <c r="X191" s="119">
        <v>0.315438765927127</v>
      </c>
      <c r="Y191" s="119">
        <v>0.32068807623532503</v>
      </c>
      <c r="Z191" s="119">
        <v>0.32606300048424602</v>
      </c>
      <c r="AA191" s="119">
        <v>0.331403121503625</v>
      </c>
      <c r="AB191" s="119">
        <v>0.33657433531914499</v>
      </c>
      <c r="AC191" s="119">
        <v>0.34331819888352</v>
      </c>
      <c r="AD191" s="119">
        <v>0.35153341292837298</v>
      </c>
      <c r="AE191" s="119">
        <v>0.36246919765808699</v>
      </c>
      <c r="AF191" s="119">
        <v>0.37482742394811303</v>
      </c>
      <c r="AG191" s="119">
        <v>0.38695479163671798</v>
      </c>
      <c r="AH191" s="119">
        <v>0.39696276001974501</v>
      </c>
      <c r="AI191" s="119">
        <v>0.40502816428989402</v>
      </c>
      <c r="AJ191" s="119">
        <v>0.41091179089076701</v>
      </c>
      <c r="AK191" s="119">
        <v>0.412963977359664</v>
      </c>
      <c r="AL191" s="119">
        <v>0.41343641851256802</v>
      </c>
      <c r="AM191" s="119">
        <v>0.41400649147285001</v>
      </c>
      <c r="AN191" s="119">
        <v>0.41446947706260601</v>
      </c>
      <c r="AO191" s="119">
        <v>0.41543536632605599</v>
      </c>
      <c r="AP191" s="119">
        <v>0.41780255947491202</v>
      </c>
      <c r="AQ191" s="119">
        <v>0.420076098537285</v>
      </c>
      <c r="AR191" s="119">
        <v>0.42218673396756101</v>
      </c>
      <c r="AS191" s="119">
        <v>0.426003147686909</v>
      </c>
      <c r="AT191" s="119">
        <v>0.42916438330509399</v>
      </c>
      <c r="AU191" s="119">
        <v>0.43428674658391597</v>
      </c>
      <c r="AV191" s="119">
        <v>0.43887454830474398</v>
      </c>
      <c r="AW191" s="119">
        <v>0.443901337610906</v>
      </c>
      <c r="AX191" s="119">
        <v>0.44847691655491301</v>
      </c>
      <c r="AY191" s="119">
        <v>0.453666292762825</v>
      </c>
      <c r="AZ191" s="119">
        <v>0.456457476577181</v>
      </c>
      <c r="BA191" s="119">
        <v>0.46029214718153799</v>
      </c>
      <c r="BB191" s="119">
        <v>0.46413448359133902</v>
      </c>
      <c r="BC191" s="119">
        <v>0.464379297224845</v>
      </c>
      <c r="BD191" s="119">
        <v>0.46571870550307298</v>
      </c>
      <c r="BE191" s="119">
        <v>0.46702687323654302</v>
      </c>
      <c r="BF191" s="119">
        <v>0.46573862638193197</v>
      </c>
      <c r="BG191" s="119">
        <v>0.46237956813544201</v>
      </c>
      <c r="BH191" s="119">
        <v>0.460296365924311</v>
      </c>
      <c r="BI191" s="119">
        <v>0.45857471320136201</v>
      </c>
      <c r="BJ191" s="119">
        <v>0.45744504800218899</v>
      </c>
      <c r="BK191" s="119">
        <v>0.45480307162994899</v>
      </c>
      <c r="BL191" s="119">
        <v>0.45368161540622398</v>
      </c>
    </row>
    <row r="192" spans="1:64" x14ac:dyDescent="0.25">
      <c r="A192" s="860" t="s">
        <v>278</v>
      </c>
      <c r="B192" s="1">
        <v>548</v>
      </c>
      <c r="C192" s="119">
        <v>0.5</v>
      </c>
      <c r="D192" s="119">
        <v>0.116935665581879</v>
      </c>
      <c r="E192" s="119">
        <v>0.118374534487879</v>
      </c>
      <c r="F192" s="119">
        <v>0.120399488614183</v>
      </c>
      <c r="G192" s="119">
        <v>0.12245796224429301</v>
      </c>
      <c r="H192" s="119">
        <v>0.12553896496959399</v>
      </c>
      <c r="I192" s="119">
        <v>0.127835006967257</v>
      </c>
      <c r="J192" s="119">
        <v>0.129397830213658</v>
      </c>
      <c r="K192" s="119">
        <v>0.13199967866029699</v>
      </c>
      <c r="L192" s="119">
        <v>0.134223511115</v>
      </c>
      <c r="M192" s="119">
        <v>0.136467151808809</v>
      </c>
      <c r="N192" s="119">
        <v>0.13907837496796899</v>
      </c>
      <c r="O192" s="119">
        <v>0.141668547149852</v>
      </c>
      <c r="P192" s="119">
        <v>0.14491843810739899</v>
      </c>
      <c r="Q192" s="119">
        <v>0.148743474680647</v>
      </c>
      <c r="R192" s="119">
        <v>0.151603536028736</v>
      </c>
      <c r="S192" s="119">
        <v>0.15498998405764899</v>
      </c>
      <c r="T192" s="119">
        <v>0.157601945037705</v>
      </c>
      <c r="U192" s="119">
        <v>0.159737622977185</v>
      </c>
      <c r="V192" s="119">
        <v>0.16277546019230299</v>
      </c>
      <c r="W192" s="119">
        <v>0.16633157354823</v>
      </c>
      <c r="X192" s="119">
        <v>0.16935857478878899</v>
      </c>
      <c r="Y192" s="119">
        <v>0.171533249359406</v>
      </c>
      <c r="Z192" s="119">
        <v>0.174795917428163</v>
      </c>
      <c r="AA192" s="119">
        <v>0.17794211883856501</v>
      </c>
      <c r="AB192" s="119">
        <v>0.18152778601493899</v>
      </c>
      <c r="AC192" s="119">
        <v>0.18480734553866399</v>
      </c>
      <c r="AD192" s="119">
        <v>0.18981388404399499</v>
      </c>
      <c r="AE192" s="119">
        <v>0.19454093951354701</v>
      </c>
      <c r="AF192" s="119">
        <v>0.19982494160109601</v>
      </c>
      <c r="AG192" s="119">
        <v>0.20578969656983401</v>
      </c>
      <c r="AH192" s="119">
        <v>0.21136043185984299</v>
      </c>
      <c r="AI192" s="119">
        <v>0.21768407293333999</v>
      </c>
      <c r="AJ192" s="119">
        <v>0.22437186845740401</v>
      </c>
      <c r="AK192" s="119">
        <v>0.230058126979099</v>
      </c>
      <c r="AL192" s="119">
        <v>0.23698758588861299</v>
      </c>
      <c r="AM192" s="119">
        <v>0.24377395640637201</v>
      </c>
      <c r="AN192" s="119">
        <v>0.24977999448215801</v>
      </c>
      <c r="AO192" s="119">
        <v>0.25694325766348602</v>
      </c>
      <c r="AP192" s="119">
        <v>0.26305392812554601</v>
      </c>
      <c r="AQ192" s="119">
        <v>0.26898107288781098</v>
      </c>
      <c r="AR192" s="119">
        <v>0.274458783058452</v>
      </c>
      <c r="AS192" s="119">
        <v>0.278125849748041</v>
      </c>
      <c r="AT192" s="119">
        <v>0.28173554070281098</v>
      </c>
      <c r="AU192" s="119">
        <v>0.28575941743115202</v>
      </c>
      <c r="AV192" s="119">
        <v>0.29062434264217801</v>
      </c>
      <c r="AW192" s="119">
        <v>0.29435134572093002</v>
      </c>
      <c r="AX192" s="119">
        <v>0.29826605231258801</v>
      </c>
      <c r="AY192" s="119">
        <v>0.30172940764252998</v>
      </c>
      <c r="AZ192" s="119">
        <v>0.30468664036755</v>
      </c>
      <c r="BA192" s="119">
        <v>0.30797943262864402</v>
      </c>
      <c r="BB192" s="119">
        <v>0.30885462215040399</v>
      </c>
      <c r="BC192" s="119">
        <v>0.31075401746718101</v>
      </c>
      <c r="BD192" s="119">
        <v>0.31286772732948998</v>
      </c>
      <c r="BE192" s="119">
        <v>0.313909447533813</v>
      </c>
      <c r="BF192" s="119">
        <v>0.31509725349811002</v>
      </c>
      <c r="BG192" s="119">
        <v>0.31621890354436999</v>
      </c>
      <c r="BH192" s="119">
        <v>0.31854384141622</v>
      </c>
      <c r="BI192" s="119">
        <v>0.319577915702977</v>
      </c>
      <c r="BJ192" s="119">
        <v>0.32110208802403001</v>
      </c>
      <c r="BK192" s="119">
        <v>0.32311190828896502</v>
      </c>
      <c r="BL192" s="119">
        <v>0.32495110483199502</v>
      </c>
    </row>
    <row r="193" spans="1:64" x14ac:dyDescent="0.25">
      <c r="A193" s="860" t="s">
        <v>279</v>
      </c>
      <c r="B193" s="1">
        <v>862</v>
      </c>
      <c r="C193" s="119">
        <v>0.5</v>
      </c>
      <c r="D193" s="119">
        <v>0.16375029368597299</v>
      </c>
      <c r="E193" s="119">
        <v>0.17124106450830601</v>
      </c>
      <c r="F193" s="119">
        <v>0.17899155157441099</v>
      </c>
      <c r="G193" s="119">
        <v>0.18556282982177799</v>
      </c>
      <c r="H193" s="119">
        <v>0.19360954200666</v>
      </c>
      <c r="I193" s="119">
        <v>0.19987578263394701</v>
      </c>
      <c r="J193" s="119">
        <v>0.20672323039679899</v>
      </c>
      <c r="K193" s="119">
        <v>0.21500853328821401</v>
      </c>
      <c r="L193" s="119">
        <v>0.222009723237241</v>
      </c>
      <c r="M193" s="119">
        <v>0.228713747092258</v>
      </c>
      <c r="N193" s="119">
        <v>0.235216180292487</v>
      </c>
      <c r="O193" s="119">
        <v>0.241222774750698</v>
      </c>
      <c r="P193" s="119">
        <v>0.24868858167083199</v>
      </c>
      <c r="Q193" s="119">
        <v>0.25638312320235002</v>
      </c>
      <c r="R193" s="119">
        <v>0.26415067955044802</v>
      </c>
      <c r="S193" s="119">
        <v>0.27171499295321</v>
      </c>
      <c r="T193" s="119">
        <v>0.27918152989658801</v>
      </c>
      <c r="U193" s="119">
        <v>0.28647044940945099</v>
      </c>
      <c r="V193" s="119">
        <v>0.29439595266797097</v>
      </c>
      <c r="W193" s="119">
        <v>0.30345671989482398</v>
      </c>
      <c r="X193" s="119">
        <v>0.311220959935818</v>
      </c>
      <c r="Y193" s="119">
        <v>0.31973730182009902</v>
      </c>
      <c r="Z193" s="119">
        <v>0.328939519692872</v>
      </c>
      <c r="AA193" s="119">
        <v>0.33925172842552898</v>
      </c>
      <c r="AB193" s="119">
        <v>0.35042097451705201</v>
      </c>
      <c r="AC193" s="119">
        <v>0.36313560446451898</v>
      </c>
      <c r="AD193" s="119">
        <v>0.37538164080682102</v>
      </c>
      <c r="AE193" s="119">
        <v>0.38679662024831502</v>
      </c>
      <c r="AF193" s="119">
        <v>0.39800811133962799</v>
      </c>
      <c r="AG193" s="119">
        <v>0.40672189194428299</v>
      </c>
      <c r="AH193" s="119">
        <v>0.41563044158652102</v>
      </c>
      <c r="AI193" s="119">
        <v>0.42379250104169502</v>
      </c>
      <c r="AJ193" s="119">
        <v>0.43130195573527003</v>
      </c>
      <c r="AK193" s="119">
        <v>0.437378228583233</v>
      </c>
      <c r="AL193" s="119">
        <v>0.443614307973556</v>
      </c>
      <c r="AM193" s="119">
        <v>0.45026759055097798</v>
      </c>
      <c r="AN193" s="119">
        <v>0.45799248091994699</v>
      </c>
      <c r="AO193" s="119">
        <v>0.46392069855325102</v>
      </c>
      <c r="AP193" s="119">
        <v>0.46934267173861699</v>
      </c>
      <c r="AQ193" s="119">
        <v>0.47550417945143703</v>
      </c>
      <c r="AR193" s="119">
        <v>0.48137660270621702</v>
      </c>
      <c r="AS193" s="119">
        <v>0.48667169706277003</v>
      </c>
      <c r="AT193" s="119">
        <v>0.49012934644123801</v>
      </c>
      <c r="AU193" s="119">
        <v>0.49578869346665</v>
      </c>
      <c r="AV193" s="119">
        <v>0.50044674540752498</v>
      </c>
      <c r="AW193" s="119">
        <v>0.50427248219014997</v>
      </c>
      <c r="AX193" s="119">
        <v>0.50761257709397101</v>
      </c>
      <c r="AY193" s="119">
        <v>0.51158664685961996</v>
      </c>
      <c r="AZ193" s="119">
        <v>0.51494601097913695</v>
      </c>
      <c r="BA193" s="119">
        <v>0.51609948257622795</v>
      </c>
      <c r="BB193" s="119">
        <v>0.51980285739902898</v>
      </c>
      <c r="BC193" s="119">
        <v>0.52169631314685505</v>
      </c>
      <c r="BD193" s="119">
        <v>0.52354331301283796</v>
      </c>
      <c r="BE193" s="119">
        <v>0.52567177997852599</v>
      </c>
      <c r="BF193" s="119">
        <v>0.52881419597713297</v>
      </c>
      <c r="BG193" s="119">
        <v>0.530735514571404</v>
      </c>
      <c r="BH193" s="119">
        <v>0.53320019780099803</v>
      </c>
      <c r="BI193" s="119">
        <v>0.53703119937323596</v>
      </c>
      <c r="BJ193" s="119">
        <v>0.54055654066832004</v>
      </c>
      <c r="BK193" s="119">
        <v>0.543091665870851</v>
      </c>
      <c r="BL193" s="119">
        <v>0.54439406913798505</v>
      </c>
    </row>
    <row r="194" spans="1:64" x14ac:dyDescent="0.25">
      <c r="A194" s="860" t="s">
        <v>75</v>
      </c>
      <c r="B194" s="1">
        <v>704</v>
      </c>
      <c r="C194" s="119">
        <v>0.5</v>
      </c>
      <c r="D194" s="119">
        <v>7.2210959169332095E-2</v>
      </c>
      <c r="E194" s="119">
        <v>7.7976556911900197E-2</v>
      </c>
      <c r="F194" s="119">
        <v>8.3700219867922296E-2</v>
      </c>
      <c r="G194" s="119">
        <v>8.9821236438020799E-2</v>
      </c>
      <c r="H194" s="119">
        <v>9.6993307838051102E-2</v>
      </c>
      <c r="I194" s="119">
        <v>0.10425883948966</v>
      </c>
      <c r="J194" s="119">
        <v>0.113072627039335</v>
      </c>
      <c r="K194" s="119">
        <v>0.12079670908670501</v>
      </c>
      <c r="L194" s="119">
        <v>0.12955105261817801</v>
      </c>
      <c r="M194" s="119">
        <v>0.138514186513014</v>
      </c>
      <c r="N194" s="119">
        <v>0.14787284557569</v>
      </c>
      <c r="O194" s="119">
        <v>0.15941562421242</v>
      </c>
      <c r="P194" s="119">
        <v>0.16995927224826499</v>
      </c>
      <c r="Q194" s="119">
        <v>0.180895355234305</v>
      </c>
      <c r="R194" s="119">
        <v>0.19072834935609601</v>
      </c>
      <c r="S194" s="119">
        <v>0.20144313537832101</v>
      </c>
      <c r="T194" s="119">
        <v>0.21139115109564499</v>
      </c>
      <c r="U194" s="119">
        <v>0.222077493534208</v>
      </c>
      <c r="V194" s="119">
        <v>0.23174195803174799</v>
      </c>
      <c r="W194" s="119">
        <v>0.242567647503143</v>
      </c>
      <c r="X194" s="119">
        <v>0.25433267125820302</v>
      </c>
      <c r="Y194" s="119">
        <v>0.26507500154107499</v>
      </c>
      <c r="Z194" s="119">
        <v>0.27764770841800901</v>
      </c>
      <c r="AA194" s="119">
        <v>0.288913630410847</v>
      </c>
      <c r="AB194" s="119">
        <v>0.303140690953069</v>
      </c>
      <c r="AC194" s="119">
        <v>0.32496764349377699</v>
      </c>
      <c r="AD194" s="119">
        <v>0.344550778252462</v>
      </c>
      <c r="AE194" s="119">
        <v>0.36228913766669901</v>
      </c>
      <c r="AF194" s="119">
        <v>0.37290953222015299</v>
      </c>
      <c r="AG194" s="119">
        <v>0.38220194451384298</v>
      </c>
      <c r="AH194" s="119">
        <v>0.39120392291553902</v>
      </c>
      <c r="AI194" s="119">
        <v>0.39861799534227499</v>
      </c>
      <c r="AJ194" s="119">
        <v>0.40463489292447302</v>
      </c>
      <c r="AK194" s="119">
        <v>0.41533485796005898</v>
      </c>
      <c r="AL194" s="119">
        <v>0.42562957307927601</v>
      </c>
      <c r="AM194" s="119">
        <v>0.43599889139513498</v>
      </c>
      <c r="AN194" s="119">
        <v>0.44428358213424302</v>
      </c>
      <c r="AO194" s="119">
        <v>0.45181394747088999</v>
      </c>
      <c r="AP194" s="119">
        <v>0.45600647074017697</v>
      </c>
      <c r="AQ194" s="119">
        <v>0.45719716870162302</v>
      </c>
      <c r="AR194" s="119">
        <v>0.458799797180518</v>
      </c>
      <c r="AS194" s="119">
        <v>0.46177583055719901</v>
      </c>
      <c r="AT194" s="119">
        <v>0.46283743550289702</v>
      </c>
      <c r="AU194" s="119">
        <v>0.46486567893974001</v>
      </c>
      <c r="AV194" s="119">
        <v>0.466206971905955</v>
      </c>
      <c r="AW194" s="119">
        <v>0.47064481543223502</v>
      </c>
      <c r="AX194" s="119">
        <v>0.47595679215333703</v>
      </c>
      <c r="AY194" s="119">
        <v>0.479108316499743</v>
      </c>
      <c r="AZ194" s="119">
        <v>0.48152844086126101</v>
      </c>
      <c r="BA194" s="119">
        <v>0.48224553660109098</v>
      </c>
      <c r="BB194" s="119">
        <v>0.482268622055193</v>
      </c>
      <c r="BC194" s="119">
        <v>0.48470389788580998</v>
      </c>
      <c r="BD194" s="119">
        <v>0.48767047220411802</v>
      </c>
      <c r="BE194" s="119">
        <v>0.48824153628723499</v>
      </c>
      <c r="BF194" s="119">
        <v>0.48889198469235601</v>
      </c>
      <c r="BG194" s="119">
        <v>0.48944979250328202</v>
      </c>
      <c r="BH194" s="119">
        <v>0.49016964544603697</v>
      </c>
      <c r="BI194" s="119">
        <v>0.49072112526290501</v>
      </c>
      <c r="BJ194" s="119">
        <v>0.48988250715481002</v>
      </c>
      <c r="BK194" s="119">
        <v>0.48875578195542801</v>
      </c>
      <c r="BL194" s="119">
        <v>0.48636699089851398</v>
      </c>
    </row>
    <row r="195" spans="1:64" x14ac:dyDescent="0.25">
      <c r="A195" s="860" t="s">
        <v>77</v>
      </c>
      <c r="B195" s="1">
        <v>887</v>
      </c>
      <c r="C195" s="119">
        <v>0.5</v>
      </c>
      <c r="D195" s="119">
        <v>9.1848120610720906E-3</v>
      </c>
      <c r="E195" s="119">
        <v>9.6520258234457298E-3</v>
      </c>
      <c r="F195" s="119">
        <v>1.02795257631482E-2</v>
      </c>
      <c r="G195" s="119">
        <v>1.09051087094614E-2</v>
      </c>
      <c r="H195" s="119">
        <v>1.1462783488302E-2</v>
      </c>
      <c r="I195" s="119">
        <v>1.21636744497101E-2</v>
      </c>
      <c r="J195" s="119">
        <v>1.2889097737559099E-2</v>
      </c>
      <c r="K195" s="119">
        <v>1.37491548043143E-2</v>
      </c>
      <c r="L195" s="119">
        <v>1.4768632135532801E-2</v>
      </c>
      <c r="M195" s="119">
        <v>1.6005043859659999E-2</v>
      </c>
      <c r="N195" s="119">
        <v>1.7333165211398899E-2</v>
      </c>
      <c r="O195" s="119">
        <v>1.8977589258529201E-2</v>
      </c>
      <c r="P195" s="119">
        <v>2.0841367913535001E-2</v>
      </c>
      <c r="Q195" s="119">
        <v>2.2817744768859199E-2</v>
      </c>
      <c r="R195" s="119">
        <v>2.5160909556182599E-2</v>
      </c>
      <c r="S195" s="119">
        <v>2.7595538386940899E-2</v>
      </c>
      <c r="T195" s="119">
        <v>3.0324781347892699E-2</v>
      </c>
      <c r="U195" s="119">
        <v>3.3336014009346299E-2</v>
      </c>
      <c r="V195" s="119">
        <v>3.6550554446073101E-2</v>
      </c>
      <c r="W195" s="119">
        <v>4.0069031547329499E-2</v>
      </c>
      <c r="X195" s="119">
        <v>4.3680574243354302E-2</v>
      </c>
      <c r="Y195" s="119">
        <v>4.7388540714035303E-2</v>
      </c>
      <c r="Z195" s="119">
        <v>5.1485352030413198E-2</v>
      </c>
      <c r="AA195" s="119">
        <v>5.5728254150748197E-2</v>
      </c>
      <c r="AB195" s="119">
        <v>6.0282277768740802E-2</v>
      </c>
      <c r="AC195" s="119">
        <v>6.4312831030174294E-2</v>
      </c>
      <c r="AD195" s="119">
        <v>6.8102032685478694E-2</v>
      </c>
      <c r="AE195" s="119">
        <v>7.1875251071607096E-2</v>
      </c>
      <c r="AF195" s="119">
        <v>7.6557312049493606E-2</v>
      </c>
      <c r="AG195" s="119">
        <v>8.1447414676428506E-2</v>
      </c>
      <c r="AH195" s="119">
        <v>8.5787293724157901E-2</v>
      </c>
      <c r="AI195" s="119">
        <v>9.0184481431418606E-2</v>
      </c>
      <c r="AJ195" s="119">
        <v>9.5214874786905296E-2</v>
      </c>
      <c r="AK195" s="119">
        <v>0.10056752051133</v>
      </c>
      <c r="AL195" s="119">
        <v>0.106770565440986</v>
      </c>
      <c r="AM195" s="119">
        <v>0.11250343035871101</v>
      </c>
      <c r="AN195" s="119">
        <v>0.11802236215748201</v>
      </c>
      <c r="AO195" s="119">
        <v>0.12398780139137699</v>
      </c>
      <c r="AP195" s="119">
        <v>0.12958101249263401</v>
      </c>
      <c r="AQ195" s="119">
        <v>0.13526593689229599</v>
      </c>
      <c r="AR195" s="119">
        <v>0.14104657360581699</v>
      </c>
      <c r="AS195" s="119">
        <v>0.14804509865683399</v>
      </c>
      <c r="AT195" s="119">
        <v>0.15432671620587499</v>
      </c>
      <c r="AU195" s="119">
        <v>0.160738763959617</v>
      </c>
      <c r="AV195" s="119">
        <v>0.167717683724183</v>
      </c>
      <c r="AW195" s="119">
        <v>0.17336158041852401</v>
      </c>
      <c r="AX195" s="119">
        <v>0.18006110040064599</v>
      </c>
      <c r="AY195" s="119">
        <v>0.185034345483582</v>
      </c>
      <c r="AZ195" s="119">
        <v>0.19141735467751</v>
      </c>
      <c r="BA195" s="119">
        <v>0.19699468242874299</v>
      </c>
      <c r="BB195" s="119">
        <v>0.20287138706439301</v>
      </c>
      <c r="BC195" s="119">
        <v>0.20870776748938699</v>
      </c>
      <c r="BD195" s="119">
        <v>0.213617822708104</v>
      </c>
      <c r="BE195" s="119">
        <v>0.21803685628938499</v>
      </c>
      <c r="BF195" s="119">
        <v>0.22347308420709699</v>
      </c>
      <c r="BG195" s="119">
        <v>0.22817822210866101</v>
      </c>
      <c r="BH195" s="119">
        <v>0.231013545354086</v>
      </c>
      <c r="BI195" s="119">
        <v>0.23593388080736299</v>
      </c>
      <c r="BJ195" s="119">
        <v>0.24054023870867</v>
      </c>
      <c r="BK195" s="119">
        <v>0.244674845724457</v>
      </c>
      <c r="BL195" s="119">
        <v>0.24851660286673499</v>
      </c>
    </row>
    <row r="196" spans="1:64" x14ac:dyDescent="0.25">
      <c r="A196" s="860" t="s">
        <v>78</v>
      </c>
      <c r="B196" s="1">
        <v>894</v>
      </c>
      <c r="C196" s="119">
        <v>0.5</v>
      </c>
      <c r="D196" s="119">
        <v>4.7515456717139304E-3</v>
      </c>
      <c r="E196" s="119">
        <v>5.6052414974372203E-3</v>
      </c>
      <c r="F196" s="119">
        <v>6.4275699260459198E-3</v>
      </c>
      <c r="G196" s="119">
        <v>7.4241925193431696E-3</v>
      </c>
      <c r="H196" s="119">
        <v>8.6468475350317195E-3</v>
      </c>
      <c r="I196" s="119">
        <v>9.9769074729984496E-3</v>
      </c>
      <c r="J196" s="119">
        <v>1.1443496116156001E-2</v>
      </c>
      <c r="K196" s="119">
        <v>1.2893667905152E-2</v>
      </c>
      <c r="L196" s="119">
        <v>1.48348218223347E-2</v>
      </c>
      <c r="M196" s="119">
        <v>1.6941012555876801E-2</v>
      </c>
      <c r="N196" s="119">
        <v>1.92010328180355E-2</v>
      </c>
      <c r="O196" s="119">
        <v>2.15655828498434E-2</v>
      </c>
      <c r="P196" s="119">
        <v>2.4446076733968099E-2</v>
      </c>
      <c r="Q196" s="119">
        <v>2.7398720708833001E-2</v>
      </c>
      <c r="R196" s="119">
        <v>3.05136806689182E-2</v>
      </c>
      <c r="S196" s="119">
        <v>3.4217738877359197E-2</v>
      </c>
      <c r="T196" s="119">
        <v>3.8582125006048899E-2</v>
      </c>
      <c r="U196" s="119">
        <v>4.32339450114557E-2</v>
      </c>
      <c r="V196" s="119">
        <v>4.79334233607236E-2</v>
      </c>
      <c r="W196" s="119">
        <v>5.3389365421827699E-2</v>
      </c>
      <c r="X196" s="119">
        <v>5.9322258742647703E-2</v>
      </c>
      <c r="Y196" s="119">
        <v>6.5725271961841206E-2</v>
      </c>
      <c r="Z196" s="119">
        <v>7.3180574052791297E-2</v>
      </c>
      <c r="AA196" s="119">
        <v>8.1894324158102702E-2</v>
      </c>
      <c r="AB196" s="119">
        <v>9.1925477438737996E-2</v>
      </c>
      <c r="AC196" s="119">
        <v>0.103083433525701</v>
      </c>
      <c r="AD196" s="119">
        <v>0.11410957358564899</v>
      </c>
      <c r="AE196" s="119">
        <v>0.126461206166507</v>
      </c>
      <c r="AF196" s="119">
        <v>0.13834997805459401</v>
      </c>
      <c r="AG196" s="119">
        <v>0.15093454177337301</v>
      </c>
      <c r="AH196" s="119">
        <v>0.16340397017699301</v>
      </c>
      <c r="AI196" s="119">
        <v>0.17660372319124601</v>
      </c>
      <c r="AJ196" s="119">
        <v>0.18968362200709701</v>
      </c>
      <c r="AK196" s="119">
        <v>0.20127504043112601</v>
      </c>
      <c r="AL196" s="119">
        <v>0.21246390313264199</v>
      </c>
      <c r="AM196" s="119">
        <v>0.22300179562390199</v>
      </c>
      <c r="AN196" s="119">
        <v>0.23417089036007199</v>
      </c>
      <c r="AO196" s="119">
        <v>0.245580643186009</v>
      </c>
      <c r="AP196" s="119">
        <v>0.25887046374003703</v>
      </c>
      <c r="AQ196" s="119">
        <v>0.27218721312858701</v>
      </c>
      <c r="AR196" s="119">
        <v>0.28616599815652699</v>
      </c>
      <c r="AS196" s="119">
        <v>0.29855569455465703</v>
      </c>
      <c r="AT196" s="119">
        <v>0.31005063387502502</v>
      </c>
      <c r="AU196" s="119">
        <v>0.31989336556220799</v>
      </c>
      <c r="AV196" s="119">
        <v>0.32710219017495101</v>
      </c>
      <c r="AW196" s="119">
        <v>0.33280002985219698</v>
      </c>
      <c r="AX196" s="119">
        <v>0.33737790297905201</v>
      </c>
      <c r="AY196" s="119">
        <v>0.341676095104815</v>
      </c>
      <c r="AZ196" s="119">
        <v>0.34590445885015197</v>
      </c>
      <c r="BA196" s="119">
        <v>0.35056965305399401</v>
      </c>
      <c r="BB196" s="119">
        <v>0.35603667830739499</v>
      </c>
      <c r="BC196" s="119">
        <v>0.36137279419131402</v>
      </c>
      <c r="BD196" s="119">
        <v>0.367795633039249</v>
      </c>
      <c r="BE196" s="119">
        <v>0.37334426366192702</v>
      </c>
      <c r="BF196" s="119">
        <v>0.37846544618459399</v>
      </c>
      <c r="BG196" s="119">
        <v>0.38350209541493102</v>
      </c>
      <c r="BH196" s="119">
        <v>0.387467175194317</v>
      </c>
      <c r="BI196" s="119">
        <v>0.39271780443464099</v>
      </c>
      <c r="BJ196" s="119">
        <v>0.397754987185786</v>
      </c>
      <c r="BK196" s="119">
        <v>0.40171916062325203</v>
      </c>
      <c r="BL196" s="119">
        <v>0.40681511322009201</v>
      </c>
    </row>
    <row r="197" spans="1:64" x14ac:dyDescent="0.25">
      <c r="A197" s="860" t="s">
        <v>79</v>
      </c>
      <c r="B197" s="1">
        <v>716</v>
      </c>
      <c r="C197" s="119">
        <v>0.5</v>
      </c>
      <c r="D197" s="119">
        <v>5.7442210050336201E-2</v>
      </c>
      <c r="E197" s="119">
        <v>6.5023020985640598E-2</v>
      </c>
      <c r="F197" s="119">
        <v>7.2979864612327805E-2</v>
      </c>
      <c r="G197" s="119">
        <v>8.2577551260355694E-2</v>
      </c>
      <c r="H197" s="119">
        <v>9.2017289319223303E-2</v>
      </c>
      <c r="I197" s="119">
        <v>0.101913691134495</v>
      </c>
      <c r="J197" s="119">
        <v>0.112536890203738</v>
      </c>
      <c r="K197" s="119">
        <v>0.12328353453157</v>
      </c>
      <c r="L197" s="119">
        <v>0.13647604250060999</v>
      </c>
      <c r="M197" s="119">
        <v>0.148823690427762</v>
      </c>
      <c r="N197" s="119">
        <v>0.161121583867118</v>
      </c>
      <c r="O197" s="119">
        <v>0.17535935320054299</v>
      </c>
      <c r="P197" s="119">
        <v>0.188329845811714</v>
      </c>
      <c r="Q197" s="119">
        <v>0.20169637214200301</v>
      </c>
      <c r="R197" s="119">
        <v>0.215185501421194</v>
      </c>
      <c r="S197" s="119">
        <v>0.22969216256344199</v>
      </c>
      <c r="T197" s="119">
        <v>0.244193355584259</v>
      </c>
      <c r="U197" s="119">
        <v>0.25771667709746199</v>
      </c>
      <c r="V197" s="119">
        <v>0.27037929863430299</v>
      </c>
      <c r="W197" s="119">
        <v>0.27769938106490799</v>
      </c>
      <c r="X197" s="119">
        <v>0.28482393055233701</v>
      </c>
      <c r="Y197" s="119">
        <v>0.29305634970288602</v>
      </c>
      <c r="Z197" s="119">
        <v>0.30173568294824699</v>
      </c>
      <c r="AA197" s="119">
        <v>0.31014037201623901</v>
      </c>
      <c r="AB197" s="119">
        <v>0.31823744426018002</v>
      </c>
      <c r="AC197" s="119">
        <v>0.32699831293923498</v>
      </c>
      <c r="AD197" s="119">
        <v>0.33628044147345898</v>
      </c>
      <c r="AE197" s="119">
        <v>0.34541682652188899</v>
      </c>
      <c r="AF197" s="119">
        <v>0.35407841204682899</v>
      </c>
      <c r="AG197" s="119">
        <v>0.36322733084143399</v>
      </c>
      <c r="AH197" s="119">
        <v>0.371774464882836</v>
      </c>
      <c r="AI197" s="119">
        <v>0.37892802006563497</v>
      </c>
      <c r="AJ197" s="119">
        <v>0.38640935492725098</v>
      </c>
      <c r="AK197" s="119">
        <v>0.39325376437496201</v>
      </c>
      <c r="AL197" s="119">
        <v>0.39826432372703802</v>
      </c>
      <c r="AM197" s="119">
        <v>0.40205851095366801</v>
      </c>
      <c r="AN197" s="119">
        <v>0.40529762410173198</v>
      </c>
      <c r="AO197" s="119">
        <v>0.40685461155518599</v>
      </c>
      <c r="AP197" s="119">
        <v>0.40861207122033799</v>
      </c>
      <c r="AQ197" s="119">
        <v>0.40978439188881899</v>
      </c>
      <c r="AR197" s="119">
        <v>0.41382531074249901</v>
      </c>
      <c r="AS197" s="119">
        <v>0.42404060843373298</v>
      </c>
      <c r="AT197" s="119">
        <v>0.43743766533176798</v>
      </c>
      <c r="AU197" s="119">
        <v>0.45171738175333298</v>
      </c>
      <c r="AV197" s="119">
        <v>0.46418464082559502</v>
      </c>
      <c r="AW197" s="119">
        <v>0.47258525994553702</v>
      </c>
      <c r="AX197" s="119">
        <v>0.478463140755227</v>
      </c>
      <c r="AY197" s="119">
        <v>0.48298469408650802</v>
      </c>
      <c r="AZ197" s="119">
        <v>0.48515797639841801</v>
      </c>
      <c r="BA197" s="119">
        <v>0.48715800751228899</v>
      </c>
      <c r="BB197" s="119">
        <v>0.48756296423133799</v>
      </c>
      <c r="BC197" s="119">
        <v>0.48847177631202199</v>
      </c>
      <c r="BD197" s="119">
        <v>0.488243792604381</v>
      </c>
      <c r="BE197" s="119">
        <v>0.48941595296488899</v>
      </c>
      <c r="BF197" s="119">
        <v>0.48924349203965001</v>
      </c>
      <c r="BG197" s="119">
        <v>0.490086306531753</v>
      </c>
      <c r="BH197" s="119">
        <v>0.49045546372690901</v>
      </c>
      <c r="BI197" s="119">
        <v>0.48871199880022098</v>
      </c>
      <c r="BJ197" s="119">
        <v>0.49110355646995701</v>
      </c>
      <c r="BK197" s="119">
        <v>0.49194688798862701</v>
      </c>
      <c r="BL197" s="119">
        <v>0.49239454299831897</v>
      </c>
    </row>
    <row r="198" spans="1:64" x14ac:dyDescent="0.25">
      <c r="A198" s="1141"/>
      <c r="B198" s="1141"/>
      <c r="C198" s="1141"/>
      <c r="D198" s="1142"/>
      <c r="E198" s="1142"/>
      <c r="F198" s="1142"/>
      <c r="G198" s="1142"/>
      <c r="H198" s="1142"/>
      <c r="I198" s="1142"/>
      <c r="J198" s="1142"/>
      <c r="K198" s="1142"/>
      <c r="L198" s="1142"/>
      <c r="M198" s="1142"/>
      <c r="N198" s="1142"/>
      <c r="O198" s="1142"/>
      <c r="P198" s="1142"/>
      <c r="Q198" s="1142"/>
      <c r="R198" s="1142"/>
      <c r="S198" s="1142"/>
      <c r="T198" s="1142"/>
      <c r="U198" s="1142"/>
      <c r="V198" s="1142"/>
      <c r="W198" s="1142"/>
      <c r="X198" s="1142"/>
      <c r="Y198" s="1142"/>
      <c r="Z198" s="1142"/>
      <c r="AA198" s="1142"/>
      <c r="AB198" s="1142"/>
      <c r="AC198" s="1142"/>
      <c r="AD198" s="1142"/>
      <c r="AE198" s="1142"/>
      <c r="AF198" s="1142"/>
      <c r="AG198" s="1142"/>
      <c r="AH198" s="1142"/>
      <c r="AI198" s="1142"/>
      <c r="AJ198" s="1142"/>
      <c r="AK198" s="1142"/>
      <c r="AL198" s="1142"/>
      <c r="AM198" s="1142"/>
      <c r="AN198" s="1142"/>
      <c r="AO198" s="1142"/>
      <c r="AP198" s="1142"/>
      <c r="AQ198" s="1142"/>
      <c r="AR198" s="1142"/>
      <c r="AS198" s="1142"/>
      <c r="AT198" s="1142"/>
      <c r="AU198" s="1142"/>
      <c r="AV198" s="1142"/>
      <c r="AW198" s="1142"/>
      <c r="AX198" s="1142"/>
      <c r="AY198" s="1142"/>
      <c r="AZ198" s="1142"/>
      <c r="BA198" s="1142"/>
      <c r="BB198" s="1142"/>
      <c r="BC198" s="1142"/>
      <c r="BD198" s="1142"/>
      <c r="BE198" s="1142"/>
      <c r="BF198" s="1142"/>
      <c r="BG198" s="1142"/>
      <c r="BH198" s="1142"/>
      <c r="BI198" s="1142"/>
      <c r="BJ198" s="1142"/>
      <c r="BK198" s="1142"/>
      <c r="BL198" s="1142"/>
    </row>
  </sheetData>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theme="8"/>
    <pageSetUpPr autoPageBreaks="0"/>
  </sheetPr>
  <dimension ref="A1:AM36"/>
  <sheetViews>
    <sheetView showGridLines="0" topLeftCell="A10" zoomScale="80" zoomScaleNormal="80" workbookViewId="0">
      <selection activeCell="N33" sqref="N33:P33"/>
    </sheetView>
  </sheetViews>
  <sheetFormatPr defaultRowHeight="15" x14ac:dyDescent="0.25"/>
  <cols>
    <col min="1" max="1" width="3.5703125" customWidth="1"/>
    <col min="2" max="2" width="17.28515625" customWidth="1"/>
    <col min="3" max="3" width="23.85546875" customWidth="1"/>
    <col min="4" max="13" width="12.140625" customWidth="1"/>
    <col min="20" max="20" width="9.140625" hidden="1" customWidth="1"/>
    <col min="21" max="21" width="16.28515625" hidden="1" customWidth="1"/>
    <col min="22" max="31" width="9.140625" hidden="1" customWidth="1"/>
    <col min="32" max="32" width="15.85546875" hidden="1" customWidth="1"/>
    <col min="33" max="33" width="3.42578125" style="489" customWidth="1"/>
    <col min="34" max="35" width="9.140625" hidden="1" customWidth="1"/>
    <col min="36" max="38" width="30.5703125" hidden="1" customWidth="1"/>
    <col min="39" max="39" width="9.140625" hidden="1" customWidth="1"/>
  </cols>
  <sheetData>
    <row r="1" spans="1:38" ht="28.5" x14ac:dyDescent="0.45">
      <c r="A1" s="591"/>
      <c r="B1" s="590" t="str">
        <f>IF(Language="English",AJ2,IF(Language="Francais",AL2,AK2))</f>
        <v>Configuration : Entrez les Données Générales</v>
      </c>
      <c r="C1" s="592"/>
      <c r="D1" s="592"/>
      <c r="E1" s="592"/>
      <c r="F1" s="592"/>
      <c r="G1" s="592"/>
      <c r="H1" s="592"/>
      <c r="I1" s="592"/>
      <c r="J1" s="592"/>
      <c r="K1" s="592"/>
      <c r="L1" s="592"/>
      <c r="M1" s="287"/>
      <c r="N1" s="592"/>
      <c r="O1" s="592"/>
      <c r="P1" s="592"/>
      <c r="Q1" s="592"/>
      <c r="R1" s="591"/>
      <c r="S1" s="600" t="str">
        <f>IF(W2="Yes", W1&amp;" : "&amp;W3, W1&amp;" : "&amp;"National")</f>
        <v>0 : National</v>
      </c>
      <c r="V1" s="30" t="s">
        <v>10</v>
      </c>
      <c r="W1">
        <f>Country_Selected</f>
        <v>0</v>
      </c>
      <c r="AJ1" s="338" t="s">
        <v>628</v>
      </c>
      <c r="AK1" s="338" t="s">
        <v>656</v>
      </c>
      <c r="AL1" s="338" t="s">
        <v>740</v>
      </c>
    </row>
    <row r="2" spans="1:38" ht="3.75" customHeight="1" x14ac:dyDescent="0.45">
      <c r="A2" s="42"/>
      <c r="B2" s="287"/>
      <c r="C2" s="590"/>
      <c r="D2" s="590"/>
      <c r="E2" s="590"/>
      <c r="F2" s="590"/>
      <c r="G2" s="590"/>
      <c r="H2" s="590"/>
      <c r="I2" s="590"/>
      <c r="J2" s="590"/>
      <c r="K2" s="590"/>
      <c r="L2" s="590"/>
      <c r="M2" s="590"/>
      <c r="N2" s="590"/>
      <c r="O2" s="590"/>
      <c r="P2" s="590"/>
      <c r="Q2" s="590"/>
      <c r="R2" s="42"/>
      <c r="S2" s="42"/>
      <c r="V2" s="30" t="s">
        <v>798</v>
      </c>
      <c r="W2" t="str">
        <f>Subnational_YN</f>
        <v>No</v>
      </c>
      <c r="AJ2" s="338" t="s">
        <v>960</v>
      </c>
      <c r="AK2" s="338"/>
      <c r="AL2" s="338" t="s">
        <v>809</v>
      </c>
    </row>
    <row r="3" spans="1:38" ht="8.25" customHeight="1" x14ac:dyDescent="0.25">
      <c r="V3" s="30" t="s">
        <v>807</v>
      </c>
      <c r="W3" t="str">
        <f>IF(Subnational_YN="Yes", '1. Country_Language Set Up'!$G$8, "National")</f>
        <v>National</v>
      </c>
      <c r="AJ3" s="435" t="s">
        <v>314</v>
      </c>
      <c r="AK3" s="338" t="s">
        <v>711</v>
      </c>
      <c r="AL3" s="338" t="s">
        <v>766</v>
      </c>
    </row>
    <row r="4" spans="1:38" ht="24.75" customHeight="1" x14ac:dyDescent="0.25">
      <c r="B4" s="1319" t="str">
        <f>IF(W2="Yes", "If you have Subnational WRA population values, enter those below. If you do not have that data available, enter an estimate of the % of National WRA that live in the subnational region in the box to the right.*", "")</f>
        <v/>
      </c>
      <c r="C4" s="1319"/>
      <c r="D4" s="1319"/>
      <c r="E4" s="1319"/>
      <c r="F4" s="1319"/>
      <c r="G4" s="438"/>
      <c r="V4" s="30" t="s">
        <v>122</v>
      </c>
      <c r="W4" t="str">
        <f>Population</f>
        <v>AW</v>
      </c>
      <c r="AJ4" s="338" t="s">
        <v>127</v>
      </c>
      <c r="AK4" s="338" t="s">
        <v>690</v>
      </c>
      <c r="AL4" s="338" t="s">
        <v>767</v>
      </c>
    </row>
    <row r="5" spans="1:38" ht="24.75" customHeight="1" x14ac:dyDescent="0.25">
      <c r="B5" s="1319"/>
      <c r="C5" s="1319"/>
      <c r="D5" s="1319"/>
      <c r="E5" s="1319"/>
      <c r="F5" s="1319"/>
      <c r="AJ5" s="338" t="s">
        <v>792</v>
      </c>
      <c r="AK5" s="338" t="s">
        <v>794</v>
      </c>
      <c r="AL5" s="338" t="s">
        <v>796</v>
      </c>
    </row>
    <row r="6" spans="1:38" ht="33.75" hidden="1" customHeight="1" x14ac:dyDescent="0.25">
      <c r="B6" s="1320" t="s">
        <v>316</v>
      </c>
      <c r="C6" s="1320"/>
      <c r="D6" s="1320"/>
      <c r="E6" s="1320"/>
      <c r="F6" s="1320"/>
      <c r="G6" s="1320"/>
      <c r="H6" s="1320"/>
      <c r="I6" s="1320"/>
      <c r="J6" s="1320"/>
      <c r="K6" s="1320"/>
      <c r="L6" s="1320"/>
      <c r="M6" s="1320"/>
      <c r="N6" s="1320"/>
      <c r="O6" s="1320"/>
      <c r="P6" s="1320"/>
      <c r="Q6" s="1320"/>
      <c r="AJ6" s="338"/>
      <c r="AK6" s="338"/>
      <c r="AL6" s="338"/>
    </row>
    <row r="7" spans="1:38" ht="9" customHeight="1" x14ac:dyDescent="0.25">
      <c r="B7" s="173"/>
      <c r="C7" s="173"/>
      <c r="D7" s="173"/>
      <c r="E7" s="173"/>
      <c r="F7" s="173"/>
      <c r="G7" s="173"/>
      <c r="H7" s="173"/>
      <c r="I7" s="173"/>
      <c r="J7" s="173"/>
      <c r="K7" s="173"/>
      <c r="L7" s="173"/>
      <c r="M7" s="173"/>
      <c r="N7" s="173"/>
      <c r="O7" s="173"/>
      <c r="P7" s="173"/>
      <c r="Q7" s="173"/>
      <c r="AJ7" s="338" t="s">
        <v>793</v>
      </c>
      <c r="AK7" s="338" t="s">
        <v>795</v>
      </c>
      <c r="AL7" s="338" t="s">
        <v>797</v>
      </c>
    </row>
    <row r="8" spans="1:38" ht="14.25" customHeight="1" thickBot="1" x14ac:dyDescent="0.3">
      <c r="B8" s="1326" t="str">
        <f>IF(Language="English", AJ3, IF(Language="Francais", AL3, AK3))</f>
        <v>Données démographiques et de prévalence</v>
      </c>
      <c r="C8" s="1326"/>
      <c r="D8" s="1326"/>
      <c r="E8" s="1326"/>
      <c r="F8" s="1326"/>
      <c r="G8" s="1326"/>
      <c r="H8" s="1326"/>
      <c r="I8" s="1326"/>
      <c r="J8" s="1326"/>
      <c r="K8" s="1326"/>
      <c r="L8" s="1326"/>
      <c r="M8" s="1326"/>
      <c r="AJ8" s="338" t="str">
        <f>IF($W$4="AW", "Women of Reproductive Age", "Married Women of Reproductive Age")</f>
        <v>Women of Reproductive Age</v>
      </c>
      <c r="AK8" s="338" t="str">
        <f>IF($W$4="AW", "Mujeres en Edad Reproductiva", "Mujeres Casadas en Edad Reproductiva")</f>
        <v>Mujeres en Edad Reproductiva</v>
      </c>
      <c r="AL8" s="338" t="str">
        <f>IF($W$4="AW", "Femmes en Âge de Procréer", "Femmes Mariées en Âge de Procréer")</f>
        <v>Femmes en Âge de Procréer</v>
      </c>
    </row>
    <row r="9" spans="1:38" s="119" customFormat="1" ht="48.75" customHeight="1" thickBot="1" x14ac:dyDescent="0.3">
      <c r="B9" s="1333" t="str">
        <f>IF(Language="English", AJ9, AL9)</f>
        <v>Passez en revue les données et ajoutez tous les sondages ou points de données manquants:</v>
      </c>
      <c r="C9" s="1334"/>
      <c r="D9" s="1321" t="s">
        <v>992</v>
      </c>
      <c r="E9" s="1322"/>
      <c r="F9" s="1321" t="s">
        <v>962</v>
      </c>
      <c r="G9" s="1322"/>
      <c r="H9" s="1321" t="s">
        <v>963</v>
      </c>
      <c r="I9" s="1322"/>
      <c r="J9" s="1323"/>
      <c r="K9" s="1324"/>
      <c r="L9" s="1321" t="s">
        <v>2507</v>
      </c>
      <c r="M9" s="1322"/>
      <c r="AG9" s="806"/>
      <c r="AJ9" s="372" t="s">
        <v>1115</v>
      </c>
      <c r="AK9" s="372"/>
      <c r="AL9" s="372" t="s">
        <v>1114</v>
      </c>
    </row>
    <row r="10" spans="1:38" ht="44.25" customHeight="1" x14ac:dyDescent="0.25">
      <c r="B10" s="795"/>
      <c r="C10" s="796" t="str">
        <f>IF(Language="English", AJ10, IF(Language="Francais", AL10, AK10))&amp;" : "&amp;IF(Language="English", AJ8, IF(Language="Francais", AL8, AK8))</f>
        <v>Population : Femmes en Âge de Procréer</v>
      </c>
      <c r="D10" s="793" t="str">
        <f>IF(Language="English", $AJ$5&amp;": "&amp;D9, IF(Language="Francais", $AL$5&amp;": "&amp;D9,$AK$5&amp;": "&amp;D9))</f>
        <v>TPCm (FM): DHS</v>
      </c>
      <c r="E10" s="794" t="str">
        <f>IF(Language="English", $AJ$7&amp;": "&amp;D9, IF(Language="Francais", $AL$7&amp;": "&amp;D9,$AK$7&amp;": "&amp;D9))</f>
        <v>TPCm (TF): DHS</v>
      </c>
      <c r="F10" s="641" t="str">
        <f>IF(Language="English", $AJ$5&amp;": "&amp;F9, IF(Language="Francais", $AL$5&amp;": "&amp;F9,$AK$5&amp;": "&amp;F9))</f>
        <v>TPCm (FM): MICS</v>
      </c>
      <c r="G10" s="642" t="str">
        <f>IF(Language="English", $AJ$7&amp;": "&amp;F9, IF(Language="Francais", $AL$7&amp;": "&amp;F9,$AK$7&amp;": "&amp;F9))</f>
        <v>TPCm (TF): MICS</v>
      </c>
      <c r="H10" s="641" t="str">
        <f>IF(Language="English", $AJ$5&amp;": "&amp;H9, IF(Language="Francais", $AL$5&amp;": "&amp;H9,$AK$5&amp;": "&amp;H9))</f>
        <v>TPCm (FM): PMA</v>
      </c>
      <c r="I10" s="642" t="str">
        <f>IF(Language="English", $AJ$7&amp;": "&amp;H9, IF(Language="Francais", $AL$7&amp;": "&amp;H9,$AK$7&amp;": "&amp;H9))</f>
        <v>TPCm (TF): PMA</v>
      </c>
      <c r="J10" s="641" t="str">
        <f>IF(J9="", "", IF(Language="English", $AJ$5&amp;": "&amp;J9, IF(Language="Francais", $AL$5&amp;": "&amp;J9,$AK$5&amp;": "&amp;J9)))</f>
        <v/>
      </c>
      <c r="K10" s="642" t="str">
        <f>IF(J9="", "", IF(Language="English", $AJ$7&amp;": "&amp;J9, IF(Language="Francais", $AL$7&amp;": "&amp;J9,$AK$7&amp;": "&amp;J9)))</f>
        <v/>
      </c>
      <c r="L10" s="793" t="str">
        <f>IF(Language="English", $AJ$5&amp;": "&amp;L9, IF(Language="Francais", $AL$5&amp;": "&amp;L9,$AK$5&amp;": "&amp;L9))</f>
        <v>TPCm (FM): FPET Global Run (2022)</v>
      </c>
      <c r="M10" s="794" t="str">
        <f>IF(Language="English", $AJ$7&amp;": "&amp;L9, IF(Language="Francais", $AL$7&amp;": "&amp;L9,$AK$7&amp;": "&amp;L9))</f>
        <v>TPCm (TF): FPET Global Run (2022)</v>
      </c>
      <c r="O10" s="608"/>
      <c r="P10" s="608"/>
      <c r="Q10" s="608"/>
      <c r="R10" s="608"/>
      <c r="S10" s="608"/>
      <c r="U10" s="119" t="str">
        <f t="shared" ref="U10:AA10" si="0">C10</f>
        <v>Population : Femmes en Âge de Procréer</v>
      </c>
      <c r="V10" s="172" t="str">
        <f t="shared" si="0"/>
        <v>TPCm (FM): DHS</v>
      </c>
      <c r="W10" s="172" t="str">
        <f t="shared" si="0"/>
        <v>TPCm (TF): DHS</v>
      </c>
      <c r="X10" s="172" t="str">
        <f t="shared" si="0"/>
        <v>TPCm (FM): MICS</v>
      </c>
      <c r="Y10" s="172" t="str">
        <f t="shared" si="0"/>
        <v>TPCm (TF): MICS</v>
      </c>
      <c r="Z10" s="172" t="str">
        <f t="shared" si="0"/>
        <v>TPCm (FM): PMA</v>
      </c>
      <c r="AA10" s="172" t="str">
        <f t="shared" si="0"/>
        <v>TPCm (TF): PMA</v>
      </c>
      <c r="AB10" s="172" t="str">
        <f>IF(J10=0, "", J10)</f>
        <v/>
      </c>
      <c r="AC10" s="172" t="str">
        <f>IF(K10=0, "", K10)</f>
        <v/>
      </c>
      <c r="AD10" s="172" t="str">
        <f>L10</f>
        <v>TPCm (FM): FPET Global Run (2022)</v>
      </c>
      <c r="AE10" s="172" t="str">
        <f>M10</f>
        <v>TPCm (TF): FPET Global Run (2022)</v>
      </c>
      <c r="AF10" s="119" t="str">
        <f>"National Population : "&amp;IF($C$8="Married Women","mWRA","WRA")</f>
        <v>National Population : WRA</v>
      </c>
      <c r="AJ10" s="338" t="s">
        <v>122</v>
      </c>
      <c r="AK10" s="338" t="s">
        <v>634</v>
      </c>
      <c r="AL10" s="338" t="s">
        <v>122</v>
      </c>
    </row>
    <row r="11" spans="1:38" x14ac:dyDescent="0.25">
      <c r="B11" s="797">
        <v>2006</v>
      </c>
      <c r="C11" s="798" t="e">
        <f t="shared" ref="C11:C28" si="1">IF(B11="", "", IF($W$2="Yes", $AF11*$G$4, $AF11))</f>
        <v>#N/A</v>
      </c>
      <c r="D11" s="827" t="str">
        <f>IFERROR(VLOOKUP($W$1&amp;$B11, 'mCPR - MW - AW- DHS'!$E$2:$H$503, 3, FALSE), "")</f>
        <v/>
      </c>
      <c r="E11" s="828" t="str">
        <f>IFERROR(VLOOKUP($W$1&amp;$B11, 'mCPR - MW - AW- DHS'!$E$2:$H$503, 4, FALSE), "")</f>
        <v/>
      </c>
      <c r="F11" s="827" t="str">
        <f>IFERROR(VLOOKUP($W$1&amp;$B11, 'mCPR - MW - AW- MICS'!$E$2:$H$223, 3, FALSE), "")</f>
        <v/>
      </c>
      <c r="G11" s="828" t="str">
        <f>IFERROR(VLOOKUP($W$1&amp;$B11, 'mCPR - MW - AW- MICS'!$E$2:$H$223, 4, FALSE), "")</f>
        <v/>
      </c>
      <c r="H11" s="827" t="str">
        <f>IFERROR(VLOOKUP($W$1&amp;$B11,'mCPR - MW - AW - PMA'!$D$2:$G$41, 3, FALSE), "")</f>
        <v/>
      </c>
      <c r="I11" s="828" t="str">
        <f>IFERROR(VLOOKUP($W$1&amp;$B11,'mCPR - MW - AW - PMA'!$D$2:$G$41, 4, FALSE), "")</f>
        <v/>
      </c>
      <c r="J11" s="827"/>
      <c r="K11" s="828"/>
      <c r="L11" s="827" t="str">
        <f>IFERROR(VLOOKUP($W$1, 'mCPR (MW) 2022 FPET'!$A$3:$BL$197, MATCH($B11, 'mCPR (MW) 2022 FPET'!$A$2:$BL$2,0), FALSE), "")</f>
        <v/>
      </c>
      <c r="M11" s="828" t="str">
        <f>IFERROR(VLOOKUP($W$1, 'mCPR (AW) 2022 FPET'!$A$3:$BL$197, MATCH($B11, 'mCPR (AW) 2022 FPET'!$A$2:$BL$2,0), FALSE), "")</f>
        <v/>
      </c>
      <c r="T11" s="24">
        <f t="shared" ref="T11:T28" si="2">B11</f>
        <v>2006</v>
      </c>
      <c r="U11" s="168" t="e">
        <f t="shared" ref="U11:U28" si="3">C11</f>
        <v>#N/A</v>
      </c>
      <c r="V11" s="193" t="e">
        <f t="shared" ref="V11:AA11" si="4">IF(D11="", NA(),IF(D11&lt;1, D11, D11/100))</f>
        <v>#N/A</v>
      </c>
      <c r="W11" s="193" t="e">
        <f t="shared" si="4"/>
        <v>#N/A</v>
      </c>
      <c r="X11" s="193" t="e">
        <f t="shared" si="4"/>
        <v>#N/A</v>
      </c>
      <c r="Y11" s="193" t="e">
        <f t="shared" si="4"/>
        <v>#N/A</v>
      </c>
      <c r="Z11" s="193" t="e">
        <f t="shared" si="4"/>
        <v>#N/A</v>
      </c>
      <c r="AA11" s="193" t="e">
        <f t="shared" si="4"/>
        <v>#N/A</v>
      </c>
      <c r="AB11" s="193" t="e">
        <f>IF(J11="", NA(),IF(J11&lt;1, J11, J11/100))</f>
        <v>#N/A</v>
      </c>
      <c r="AC11" s="193" t="e">
        <f>IF(K11="", NA(),IF(K11&lt;1, K11, K11/100))</f>
        <v>#N/A</v>
      </c>
      <c r="AD11" s="194" t="str">
        <f t="shared" ref="AD11:AD28" si="5">IF(L11="", "",IF(L11&lt;1, L11, L11/100))</f>
        <v/>
      </c>
      <c r="AE11" s="195" t="str">
        <f t="shared" ref="AE11:AE28" si="6">IF(M11="", "",IF(M11&lt;1, M11, M11/100))</f>
        <v/>
      </c>
      <c r="AF11" s="168" t="e">
        <f>IF($B11="", "", IF($W$4="MW", VLOOKUP($W$1, 'mWRA WPP 2022'!$A$3:$AF$224, MATCH($B11, 'mWRA WPP 2022'!$A$2:$AF$2,0), FALSE), VLOOKUP($W$1, 'WRA WPP 2022'!$A$3:$AF$203, MATCH($B11, 'WRA WPP 2022'!$A$2:$AF$2,0), FALSE)))</f>
        <v>#N/A</v>
      </c>
      <c r="AJ11" s="338" t="s">
        <v>770</v>
      </c>
      <c r="AK11" s="338" t="s">
        <v>771</v>
      </c>
      <c r="AL11" s="338" t="s">
        <v>772</v>
      </c>
    </row>
    <row r="12" spans="1:38" x14ac:dyDescent="0.25">
      <c r="B12" s="797" t="str">
        <f>IFERROR(IF(B11+1&lt;='1. Country_Language Set Up'!$C$12, B11+1, ""), "")</f>
        <v/>
      </c>
      <c r="C12" s="798" t="str">
        <f t="shared" si="1"/>
        <v/>
      </c>
      <c r="D12" s="827" t="str">
        <f>IFERROR(VLOOKUP($W$1&amp;$B12, 'mCPR - MW - AW- DHS'!$E$2:$H$503, 3, FALSE), "")</f>
        <v/>
      </c>
      <c r="E12" s="828" t="str">
        <f>IFERROR(VLOOKUP($W$1&amp;$B12, 'mCPR - MW - AW- DHS'!$E$2:$H$503, 4, FALSE), "")</f>
        <v/>
      </c>
      <c r="F12" s="827" t="str">
        <f>IFERROR(VLOOKUP($W$1&amp;$B12, 'mCPR - MW - AW- MICS'!$E$2:$H$223, 3, FALSE), "")</f>
        <v/>
      </c>
      <c r="G12" s="828" t="str">
        <f>IFERROR(VLOOKUP($W$1&amp;$B12, 'mCPR - MW - AW- MICS'!$E$2:$H$223, 4, FALSE), "")</f>
        <v/>
      </c>
      <c r="H12" s="827" t="str">
        <f>IFERROR(VLOOKUP($W$1&amp;$B12,'mCPR - MW - AW - PMA'!$D$2:$G$41, 3, FALSE), "")</f>
        <v/>
      </c>
      <c r="I12" s="828" t="str">
        <f>IFERROR(VLOOKUP($W$1&amp;$B12,'mCPR - MW - AW - PMA'!$D$2:$G$41, 4, FALSE), "")</f>
        <v/>
      </c>
      <c r="J12" s="827"/>
      <c r="K12" s="828"/>
      <c r="L12" s="827" t="str">
        <f>IFERROR(VLOOKUP($W$1, 'mCPR (MW) 2022 FPET'!$A$3:$BL$197, MATCH($B12, 'mCPR (MW) 2022 FPET'!$A$2:$BL$2,0), FALSE), "")</f>
        <v/>
      </c>
      <c r="M12" s="828" t="str">
        <f>IFERROR(VLOOKUP($W$1, 'mCPR (AW) 2022 FPET'!$A$3:$BL$197, MATCH($B12, 'mCPR (AW) 2022 FPET'!$A$2:$BL$2,0), FALSE), "")</f>
        <v/>
      </c>
      <c r="T12" s="24" t="str">
        <f t="shared" si="2"/>
        <v/>
      </c>
      <c r="U12" s="168" t="str">
        <f t="shared" si="3"/>
        <v/>
      </c>
      <c r="V12" s="193" t="e">
        <f t="shared" ref="V12:V28" si="7">IF(D12="", NA(),IF(D12&lt;1, D12, D12/100))</f>
        <v>#N/A</v>
      </c>
      <c r="W12" s="193" t="e">
        <f t="shared" ref="W12:W28" si="8">IF(E12="", NA(),IF(E12&lt;1, E12, E12/100))</f>
        <v>#N/A</v>
      </c>
      <c r="X12" s="193" t="e">
        <f t="shared" ref="X12:X28" si="9">IF(F12="", NA(),IF(F12&lt;1, F12, F12/100))</f>
        <v>#N/A</v>
      </c>
      <c r="Y12" s="193" t="e">
        <f t="shared" ref="Y12:Y28" si="10">IF(G12="", NA(),IF(G12&lt;1, G12, G12/100))</f>
        <v>#N/A</v>
      </c>
      <c r="Z12" s="193" t="e">
        <f t="shared" ref="Z12:Z28" si="11">IF(H12="", NA(),IF(H12&lt;1, H12, H12/100))</f>
        <v>#N/A</v>
      </c>
      <c r="AA12" s="193" t="e">
        <f t="shared" ref="AA12:AA28" si="12">IF(I12="", NA(),IF(I12&lt;1, I12, I12/100))</f>
        <v>#N/A</v>
      </c>
      <c r="AB12" s="193" t="e">
        <f t="shared" ref="AB12:AB28" si="13">IF(J12="", NA(),IF(J12&lt;1, J12, J12/100))</f>
        <v>#N/A</v>
      </c>
      <c r="AC12" s="193" t="e">
        <f t="shared" ref="AC12:AC28" si="14">IF(K12="", NA(),IF(K12&lt;1, K12, K12/100))</f>
        <v>#N/A</v>
      </c>
      <c r="AD12" s="194" t="str">
        <f t="shared" si="5"/>
        <v/>
      </c>
      <c r="AE12" s="195" t="str">
        <f t="shared" si="6"/>
        <v/>
      </c>
      <c r="AF12" s="168" t="str">
        <f>IF($B12="", "", IF($W$4="MW", VLOOKUP($W$1, 'mWRA WPP 2022'!$A$3:$AF$224, MATCH($B12, 'mWRA WPP 2022'!$A$2:$AF$2,0), FALSE), VLOOKUP($W$1, 'WRA WPP 2022'!$A$3:$AF$203, MATCH($B12, 'WRA WPP 2022'!$A$2:$AF$2,0), FALSE)))</f>
        <v/>
      </c>
      <c r="AJ12" s="184" t="s">
        <v>687</v>
      </c>
      <c r="AK12" s="184" t="s">
        <v>688</v>
      </c>
      <c r="AL12" s="184" t="s">
        <v>768</v>
      </c>
    </row>
    <row r="13" spans="1:38" x14ac:dyDescent="0.25">
      <c r="B13" s="797" t="str">
        <f>IFERROR(IF(B12+1&lt;='1. Country_Language Set Up'!$C$12, B12+1, ""), "")</f>
        <v/>
      </c>
      <c r="C13" s="798" t="str">
        <f t="shared" si="1"/>
        <v/>
      </c>
      <c r="D13" s="827" t="str">
        <f>IFERROR(VLOOKUP($W$1&amp;$B13, 'mCPR - MW - AW- DHS'!$E$2:$H$503, 3, FALSE), "")</f>
        <v/>
      </c>
      <c r="E13" s="828" t="str">
        <f>IFERROR(VLOOKUP($W$1&amp;$B13, 'mCPR - MW - AW- DHS'!$E$2:$H$503, 4, FALSE), "")</f>
        <v/>
      </c>
      <c r="F13" s="827" t="str">
        <f>IFERROR(VLOOKUP($W$1&amp;$B13, 'mCPR - MW - AW- MICS'!$E$2:$H$223, 3, FALSE), "")</f>
        <v/>
      </c>
      <c r="G13" s="828" t="str">
        <f>IFERROR(VLOOKUP($W$1&amp;$B13, 'mCPR - MW - AW- MICS'!$E$2:$H$223, 4, FALSE), "")</f>
        <v/>
      </c>
      <c r="H13" s="827" t="str">
        <f>IFERROR(VLOOKUP($W$1&amp;$B13,'mCPR - MW - AW - PMA'!$D$2:$G$41, 3, FALSE), "")</f>
        <v/>
      </c>
      <c r="I13" s="828" t="str">
        <f>IFERROR(VLOOKUP($W$1&amp;$B13,'mCPR - MW - AW - PMA'!$D$2:$G$41, 4, FALSE), "")</f>
        <v/>
      </c>
      <c r="J13" s="827"/>
      <c r="K13" s="828"/>
      <c r="L13" s="827" t="str">
        <f>IFERROR(VLOOKUP($W$1, 'mCPR (MW) 2022 FPET'!$A$3:$BL$197, MATCH($B13, 'mCPR (MW) 2022 FPET'!$A$2:$BL$2,0), FALSE), "")</f>
        <v/>
      </c>
      <c r="M13" s="828" t="str">
        <f>IFERROR(VLOOKUP($W$1, 'mCPR (AW) 2022 FPET'!$A$3:$BL$197, MATCH($B13, 'mCPR (AW) 2022 FPET'!$A$2:$BL$2,0), FALSE), "")</f>
        <v/>
      </c>
      <c r="T13" s="24" t="str">
        <f t="shared" si="2"/>
        <v/>
      </c>
      <c r="U13" s="168" t="str">
        <f t="shared" si="3"/>
        <v/>
      </c>
      <c r="V13" s="193" t="e">
        <f t="shared" si="7"/>
        <v>#N/A</v>
      </c>
      <c r="W13" s="193" t="e">
        <f t="shared" si="8"/>
        <v>#N/A</v>
      </c>
      <c r="X13" s="193" t="e">
        <f t="shared" si="9"/>
        <v>#N/A</v>
      </c>
      <c r="Y13" s="193" t="e">
        <f t="shared" si="10"/>
        <v>#N/A</v>
      </c>
      <c r="Z13" s="193" t="e">
        <f t="shared" si="11"/>
        <v>#N/A</v>
      </c>
      <c r="AA13" s="193" t="e">
        <f t="shared" si="12"/>
        <v>#N/A</v>
      </c>
      <c r="AB13" s="193" t="e">
        <f t="shared" si="13"/>
        <v>#N/A</v>
      </c>
      <c r="AC13" s="193" t="e">
        <f t="shared" si="14"/>
        <v>#N/A</v>
      </c>
      <c r="AD13" s="194" t="str">
        <f t="shared" si="5"/>
        <v/>
      </c>
      <c r="AE13" s="195" t="str">
        <f t="shared" si="6"/>
        <v/>
      </c>
      <c r="AF13" s="168" t="str">
        <f>IF($B13="", "", IF($W$4="MW", VLOOKUP($W$1, 'mWRA WPP 2022'!$A$3:$AF$224, MATCH($B13, 'mWRA WPP 2022'!$A$2:$AF$2,0), FALSE), VLOOKUP($W$1, 'WRA WPP 2022'!$A$3:$AF$203, MATCH($B13, 'WRA WPP 2022'!$A$2:$AF$2,0), FALSE)))</f>
        <v/>
      </c>
      <c r="AI13" s="336" t="s">
        <v>1311</v>
      </c>
      <c r="AJ13" s="338" t="s">
        <v>1311</v>
      </c>
      <c r="AK13" s="338" t="s">
        <v>725</v>
      </c>
      <c r="AL13" s="338" t="s">
        <v>802</v>
      </c>
    </row>
    <row r="14" spans="1:38" x14ac:dyDescent="0.25">
      <c r="B14" s="797" t="str">
        <f>IFERROR(IF(B13+1&lt;='1. Country_Language Set Up'!$C$12, B13+1, ""), "")</f>
        <v/>
      </c>
      <c r="C14" s="798" t="str">
        <f t="shared" si="1"/>
        <v/>
      </c>
      <c r="D14" s="827" t="str">
        <f>IFERROR(VLOOKUP($W$1&amp;$B14, 'mCPR - MW - AW- DHS'!$E$2:$H$503, 3, FALSE), "")</f>
        <v/>
      </c>
      <c r="E14" s="828" t="str">
        <f>IFERROR(VLOOKUP($W$1&amp;$B14, 'mCPR - MW - AW- DHS'!$E$2:$H$503, 4, FALSE), "")</f>
        <v/>
      </c>
      <c r="F14" s="827" t="str">
        <f>IFERROR(VLOOKUP($W$1&amp;$B14, 'mCPR - MW - AW- MICS'!$E$2:$H$223, 3, FALSE), "")</f>
        <v/>
      </c>
      <c r="G14" s="828" t="str">
        <f>IFERROR(VLOOKUP($W$1&amp;$B14, 'mCPR - MW - AW- MICS'!$E$2:$H$223, 4, FALSE), "")</f>
        <v/>
      </c>
      <c r="H14" s="827" t="str">
        <f>IFERROR(VLOOKUP($W$1&amp;$B14,'mCPR - MW - AW - PMA'!$D$2:$G$41, 3, FALSE), "")</f>
        <v/>
      </c>
      <c r="I14" s="828" t="str">
        <f>IFERROR(VLOOKUP($W$1&amp;$B14,'mCPR - MW - AW - PMA'!$D$2:$G$41, 4, FALSE), "")</f>
        <v/>
      </c>
      <c r="J14" s="827"/>
      <c r="K14" s="828"/>
      <c r="L14" s="827" t="str">
        <f>IFERROR(VLOOKUP($W$1, 'mCPR (MW) 2022 FPET'!$A$3:$BL$197, MATCH($B14, 'mCPR (MW) 2022 FPET'!$A$2:$BL$2,0), FALSE), "")</f>
        <v/>
      </c>
      <c r="M14" s="828" t="str">
        <f>IFERROR(VLOOKUP($W$1, 'mCPR (AW) 2022 FPET'!$A$3:$BL$197, MATCH($B14, 'mCPR (AW) 2022 FPET'!$A$2:$BL$2,0), FALSE), "")</f>
        <v/>
      </c>
      <c r="T14" s="24" t="str">
        <f t="shared" si="2"/>
        <v/>
      </c>
      <c r="U14" s="168" t="str">
        <f t="shared" si="3"/>
        <v/>
      </c>
      <c r="V14" s="193" t="e">
        <f t="shared" si="7"/>
        <v>#N/A</v>
      </c>
      <c r="W14" s="193" t="e">
        <f t="shared" si="8"/>
        <v>#N/A</v>
      </c>
      <c r="X14" s="193" t="e">
        <f t="shared" si="9"/>
        <v>#N/A</v>
      </c>
      <c r="Y14" s="193" t="e">
        <f t="shared" si="10"/>
        <v>#N/A</v>
      </c>
      <c r="Z14" s="193" t="e">
        <f t="shared" si="11"/>
        <v>#N/A</v>
      </c>
      <c r="AA14" s="193" t="e">
        <f t="shared" si="12"/>
        <v>#N/A</v>
      </c>
      <c r="AB14" s="193" t="e">
        <f t="shared" si="13"/>
        <v>#N/A</v>
      </c>
      <c r="AC14" s="193" t="e">
        <f t="shared" si="14"/>
        <v>#N/A</v>
      </c>
      <c r="AD14" s="194" t="str">
        <f t="shared" si="5"/>
        <v/>
      </c>
      <c r="AE14" s="195" t="str">
        <f t="shared" si="6"/>
        <v/>
      </c>
      <c r="AF14" s="168" t="str">
        <f>IF($B14="", "", IF($W$4="MW", VLOOKUP($W$1, 'mWRA WPP 2022'!$A$3:$AF$224, MATCH($B14, 'mWRA WPP 2022'!$A$2:$AF$2,0), FALSE), VLOOKUP($W$1, 'WRA WPP 2022'!$A$3:$AF$203, MATCH($B14, 'WRA WPP 2022'!$A$2:$AF$2,0), FALSE)))</f>
        <v/>
      </c>
      <c r="AI14" s="337" t="s">
        <v>1312</v>
      </c>
      <c r="AJ14" s="338" t="s">
        <v>1312</v>
      </c>
      <c r="AK14" s="338" t="s">
        <v>726</v>
      </c>
      <c r="AL14" s="338" t="s">
        <v>803</v>
      </c>
    </row>
    <row r="15" spans="1:38" x14ac:dyDescent="0.25">
      <c r="B15" s="797" t="str">
        <f>IFERROR(IF(B14+1&lt;='1. Country_Language Set Up'!$C$12, B14+1, ""), "")</f>
        <v/>
      </c>
      <c r="C15" s="798" t="str">
        <f t="shared" si="1"/>
        <v/>
      </c>
      <c r="D15" s="827" t="str">
        <f>IFERROR(VLOOKUP($W$1&amp;$B15, 'mCPR - MW - AW- DHS'!$E$2:$H$503, 3, FALSE), "")</f>
        <v/>
      </c>
      <c r="E15" s="828" t="str">
        <f>IFERROR(VLOOKUP($W$1&amp;$B15, 'mCPR - MW - AW- DHS'!$E$2:$H$503, 4, FALSE), "")</f>
        <v/>
      </c>
      <c r="F15" s="827" t="str">
        <f>IFERROR(VLOOKUP($W$1&amp;$B15, 'mCPR - MW - AW- MICS'!$E$2:$H$223, 3, FALSE), "")</f>
        <v/>
      </c>
      <c r="G15" s="828" t="str">
        <f>IFERROR(VLOOKUP($W$1&amp;$B15, 'mCPR - MW - AW- MICS'!$E$2:$H$223, 4, FALSE), "")</f>
        <v/>
      </c>
      <c r="H15" s="827" t="str">
        <f>IFERROR(VLOOKUP($W$1&amp;$B15,'mCPR - MW - AW - PMA'!$D$2:$G$41, 3, FALSE), "")</f>
        <v/>
      </c>
      <c r="I15" s="828" t="str">
        <f>IFERROR(VLOOKUP($W$1&amp;$B15,'mCPR - MW - AW - PMA'!$D$2:$G$41, 4, FALSE), "")</f>
        <v/>
      </c>
      <c r="J15" s="827"/>
      <c r="K15" s="828"/>
      <c r="L15" s="827" t="str">
        <f>IFERROR(VLOOKUP($W$1, 'mCPR (MW) 2022 FPET'!$A$3:$BL$197, MATCH($B15, 'mCPR (MW) 2022 FPET'!$A$2:$BL$2,0), FALSE), "")</f>
        <v/>
      </c>
      <c r="M15" s="828" t="str">
        <f>IFERROR(VLOOKUP($W$1, 'mCPR (AW) 2022 FPET'!$A$3:$BL$197, MATCH($B15, 'mCPR (AW) 2022 FPET'!$A$2:$BL$2,0), FALSE), "")</f>
        <v/>
      </c>
      <c r="T15" s="24" t="str">
        <f t="shared" si="2"/>
        <v/>
      </c>
      <c r="U15" s="168" t="str">
        <f t="shared" si="3"/>
        <v/>
      </c>
      <c r="V15" s="193" t="e">
        <f t="shared" si="7"/>
        <v>#N/A</v>
      </c>
      <c r="W15" s="193" t="e">
        <f t="shared" si="8"/>
        <v>#N/A</v>
      </c>
      <c r="X15" s="193" t="e">
        <f t="shared" si="9"/>
        <v>#N/A</v>
      </c>
      <c r="Y15" s="193" t="e">
        <f t="shared" si="10"/>
        <v>#N/A</v>
      </c>
      <c r="Z15" s="193" t="e">
        <f t="shared" si="11"/>
        <v>#N/A</v>
      </c>
      <c r="AA15" s="193" t="e">
        <f t="shared" si="12"/>
        <v>#N/A</v>
      </c>
      <c r="AB15" s="193" t="e">
        <f t="shared" si="13"/>
        <v>#N/A</v>
      </c>
      <c r="AC15" s="193" t="e">
        <f t="shared" si="14"/>
        <v>#N/A</v>
      </c>
      <c r="AD15" s="194" t="str">
        <f t="shared" si="5"/>
        <v/>
      </c>
      <c r="AE15" s="195" t="str">
        <f t="shared" si="6"/>
        <v/>
      </c>
      <c r="AF15" s="168" t="str">
        <f>IF($B15="", "", IF($W$4="MW", VLOOKUP($W$1, 'mWRA WPP 2022'!$A$3:$AF$224, MATCH($B15, 'mWRA WPP 2022'!$A$2:$AF$2,0), FALSE), VLOOKUP($W$1, 'WRA WPP 2022'!$A$3:$AF$203, MATCH($B15, 'WRA WPP 2022'!$A$2:$AF$2,0), FALSE)))</f>
        <v/>
      </c>
      <c r="AI15" s="337" t="s">
        <v>5</v>
      </c>
      <c r="AJ15" s="338" t="s">
        <v>5</v>
      </c>
      <c r="AK15" s="338" t="s">
        <v>641</v>
      </c>
      <c r="AL15" s="338" t="s">
        <v>641</v>
      </c>
    </row>
    <row r="16" spans="1:38" x14ac:dyDescent="0.25">
      <c r="B16" s="797" t="str">
        <f>IFERROR(IF(B15+1&lt;='1. Country_Language Set Up'!$C$12, B15+1, ""), "")</f>
        <v/>
      </c>
      <c r="C16" s="798" t="str">
        <f t="shared" si="1"/>
        <v/>
      </c>
      <c r="D16" s="827" t="str">
        <f>IFERROR(VLOOKUP($W$1&amp;$B16, 'mCPR - MW - AW- DHS'!$E$2:$H$503, 3, FALSE), "")</f>
        <v/>
      </c>
      <c r="E16" s="828" t="str">
        <f>IFERROR(VLOOKUP($W$1&amp;$B16, 'mCPR - MW - AW- DHS'!$E$2:$H$503, 4, FALSE), "")</f>
        <v/>
      </c>
      <c r="F16" s="827" t="str">
        <f>IFERROR(VLOOKUP($W$1&amp;$B16, 'mCPR - MW - AW- MICS'!$E$2:$H$223, 3, FALSE), "")</f>
        <v/>
      </c>
      <c r="G16" s="828" t="str">
        <f>IFERROR(VLOOKUP($W$1&amp;$B16, 'mCPR - MW - AW- MICS'!$E$2:$H$223, 4, FALSE), "")</f>
        <v/>
      </c>
      <c r="H16" s="827" t="str">
        <f>IFERROR(VLOOKUP($W$1&amp;$B16,'mCPR - MW - AW - PMA'!$D$2:$G$41, 3, FALSE), "")</f>
        <v/>
      </c>
      <c r="I16" s="828" t="str">
        <f>IFERROR(VLOOKUP($W$1&amp;$B16,'mCPR - MW - AW - PMA'!$D$2:$G$41, 4, FALSE), "")</f>
        <v/>
      </c>
      <c r="J16" s="827"/>
      <c r="K16" s="828"/>
      <c r="L16" s="827" t="str">
        <f>IFERROR(VLOOKUP($W$1, 'mCPR (MW) 2022 FPET'!$A$3:$BL$197, MATCH($B16, 'mCPR (MW) 2022 FPET'!$A$2:$BL$2,0), FALSE), "")</f>
        <v/>
      </c>
      <c r="M16" s="828" t="str">
        <f>IFERROR(VLOOKUP($W$1, 'mCPR (AW) 2022 FPET'!$A$3:$BL$197, MATCH($B16, 'mCPR (AW) 2022 FPET'!$A$2:$BL$2,0), FALSE), "")</f>
        <v/>
      </c>
      <c r="T16" s="24" t="str">
        <f t="shared" si="2"/>
        <v/>
      </c>
      <c r="U16" s="168" t="str">
        <f t="shared" si="3"/>
        <v/>
      </c>
      <c r="V16" s="193" t="e">
        <f t="shared" si="7"/>
        <v>#N/A</v>
      </c>
      <c r="W16" s="193" t="e">
        <f t="shared" si="8"/>
        <v>#N/A</v>
      </c>
      <c r="X16" s="193" t="e">
        <f t="shared" si="9"/>
        <v>#N/A</v>
      </c>
      <c r="Y16" s="193" t="e">
        <f t="shared" si="10"/>
        <v>#N/A</v>
      </c>
      <c r="Z16" s="193" t="e">
        <f t="shared" si="11"/>
        <v>#N/A</v>
      </c>
      <c r="AA16" s="193" t="e">
        <f t="shared" si="12"/>
        <v>#N/A</v>
      </c>
      <c r="AB16" s="193" t="e">
        <f t="shared" si="13"/>
        <v>#N/A</v>
      </c>
      <c r="AC16" s="193" t="e">
        <f t="shared" si="14"/>
        <v>#N/A</v>
      </c>
      <c r="AD16" s="194" t="str">
        <f t="shared" si="5"/>
        <v/>
      </c>
      <c r="AE16" s="195" t="str">
        <f t="shared" si="6"/>
        <v/>
      </c>
      <c r="AF16" s="168" t="str">
        <f>IF($B16="", "", IF($W$4="MW", VLOOKUP($W$1, 'mWRA WPP 2022'!$A$3:$AF$224, MATCH($B16, 'mWRA WPP 2022'!$A$2:$AF$2,0), FALSE), VLOOKUP($W$1, 'WRA WPP 2022'!$A$3:$AF$203, MATCH($B16, 'WRA WPP 2022'!$A$2:$AF$2,0), FALSE)))</f>
        <v/>
      </c>
      <c r="AI16" s="337" t="s">
        <v>3</v>
      </c>
      <c r="AJ16" s="338" t="s">
        <v>3</v>
      </c>
      <c r="AK16" s="338" t="s">
        <v>643</v>
      </c>
      <c r="AL16" s="338" t="s">
        <v>3</v>
      </c>
    </row>
    <row r="17" spans="2:38" x14ac:dyDescent="0.25">
      <c r="B17" s="797" t="str">
        <f>IFERROR(IF(B16+1&lt;='1. Country_Language Set Up'!$C$12, B16+1, ""), "")</f>
        <v/>
      </c>
      <c r="C17" s="798" t="str">
        <f t="shared" si="1"/>
        <v/>
      </c>
      <c r="D17" s="827" t="str">
        <f>IFERROR(VLOOKUP($W$1&amp;$B17, 'mCPR - MW - AW- DHS'!$E$2:$H$503, 3, FALSE), "")</f>
        <v/>
      </c>
      <c r="E17" s="828" t="str">
        <f>IFERROR(VLOOKUP($W$1&amp;$B17, 'mCPR - MW - AW- DHS'!$E$2:$H$503, 4, FALSE), "")</f>
        <v/>
      </c>
      <c r="F17" s="827" t="str">
        <f>IFERROR(VLOOKUP($W$1&amp;$B17, 'mCPR - MW - AW- MICS'!$E$2:$H$223, 3, FALSE), "")</f>
        <v/>
      </c>
      <c r="G17" s="828" t="str">
        <f>IFERROR(VLOOKUP($W$1&amp;$B17, 'mCPR - MW - AW- MICS'!$E$2:$H$223, 4, FALSE), "")</f>
        <v/>
      </c>
      <c r="H17" s="827" t="str">
        <f>IFERROR(VLOOKUP($W$1&amp;$B17,'mCPR - MW - AW - PMA'!$D$2:$G$41, 3, FALSE), "")</f>
        <v/>
      </c>
      <c r="I17" s="828" t="str">
        <f>IFERROR(VLOOKUP($W$1&amp;$B17,'mCPR - MW - AW - PMA'!$D$2:$G$41, 4, FALSE), "")</f>
        <v/>
      </c>
      <c r="J17" s="827"/>
      <c r="K17" s="828"/>
      <c r="L17" s="827" t="str">
        <f>IFERROR(VLOOKUP($W$1, 'mCPR (MW) 2022 FPET'!$A$3:$BL$197, MATCH($B17, 'mCPR (MW) 2022 FPET'!$A$2:$BL$2,0), FALSE), "")</f>
        <v/>
      </c>
      <c r="M17" s="828" t="str">
        <f>IFERROR(VLOOKUP($W$1, 'mCPR (AW) 2022 FPET'!$A$3:$BL$197, MATCH($B17, 'mCPR (AW) 2022 FPET'!$A$2:$BL$2,0), FALSE), "")</f>
        <v/>
      </c>
      <c r="T17" s="24" t="str">
        <f t="shared" si="2"/>
        <v/>
      </c>
      <c r="U17" s="168" t="str">
        <f t="shared" si="3"/>
        <v/>
      </c>
      <c r="V17" s="193" t="e">
        <f t="shared" si="7"/>
        <v>#N/A</v>
      </c>
      <c r="W17" s="193" t="e">
        <f t="shared" si="8"/>
        <v>#N/A</v>
      </c>
      <c r="X17" s="193" t="e">
        <f t="shared" si="9"/>
        <v>#N/A</v>
      </c>
      <c r="Y17" s="193" t="e">
        <f t="shared" si="10"/>
        <v>#N/A</v>
      </c>
      <c r="Z17" s="193" t="e">
        <f t="shared" si="11"/>
        <v>#N/A</v>
      </c>
      <c r="AA17" s="193" t="e">
        <f t="shared" si="12"/>
        <v>#N/A</v>
      </c>
      <c r="AB17" s="193" t="e">
        <f t="shared" si="13"/>
        <v>#N/A</v>
      </c>
      <c r="AC17" s="193" t="e">
        <f t="shared" si="14"/>
        <v>#N/A</v>
      </c>
      <c r="AD17" s="194" t="str">
        <f t="shared" si="5"/>
        <v/>
      </c>
      <c r="AE17" s="195" t="str">
        <f t="shared" si="6"/>
        <v/>
      </c>
      <c r="AF17" s="168" t="str">
        <f>IF($B17="", "", IF($W$4="MW", VLOOKUP($W$1, 'mWRA WPP 2022'!$A$3:$AF$224, MATCH($B17, 'mWRA WPP 2022'!$A$2:$AF$2,0), FALSE), VLOOKUP($W$1, 'WRA WPP 2022'!$A$3:$AF$203, MATCH($B17, 'WRA WPP 2022'!$A$2:$AF$2,0), FALSE)))</f>
        <v/>
      </c>
      <c r="AI17" s="337" t="s">
        <v>2</v>
      </c>
      <c r="AJ17" s="338" t="s">
        <v>2</v>
      </c>
      <c r="AK17" s="338" t="s">
        <v>645</v>
      </c>
      <c r="AL17" s="338" t="s">
        <v>781</v>
      </c>
    </row>
    <row r="18" spans="2:38" x14ac:dyDescent="0.25">
      <c r="B18" s="797" t="str">
        <f>IFERROR(IF(B17+1&lt;='1. Country_Language Set Up'!$C$12, B17+1, ""), "")</f>
        <v/>
      </c>
      <c r="C18" s="798" t="str">
        <f t="shared" si="1"/>
        <v/>
      </c>
      <c r="D18" s="827" t="str">
        <f>IFERROR(VLOOKUP($W$1&amp;$B18, 'mCPR - MW - AW- DHS'!$E$2:$H$503, 3, FALSE), "")</f>
        <v/>
      </c>
      <c r="E18" s="828" t="str">
        <f>IFERROR(VLOOKUP($W$1&amp;$B18, 'mCPR - MW - AW- DHS'!$E$2:$H$503, 4, FALSE), "")</f>
        <v/>
      </c>
      <c r="F18" s="827" t="str">
        <f>IFERROR(VLOOKUP($W$1&amp;$B18, 'mCPR - MW - AW- MICS'!$E$2:$H$223, 3, FALSE), "")</f>
        <v/>
      </c>
      <c r="G18" s="828" t="str">
        <f>IFERROR(VLOOKUP($W$1&amp;$B18, 'mCPR - MW - AW- MICS'!$E$2:$H$223, 4, FALSE), "")</f>
        <v/>
      </c>
      <c r="H18" s="827" t="str">
        <f>IFERROR(VLOOKUP($W$1&amp;$B18,'mCPR - MW - AW - PMA'!$D$2:$G$41, 3, FALSE), "")</f>
        <v/>
      </c>
      <c r="I18" s="828" t="str">
        <f>IFERROR(VLOOKUP($W$1&amp;$B18,'mCPR - MW - AW - PMA'!$D$2:$G$41, 4, FALSE), "")</f>
        <v/>
      </c>
      <c r="J18" s="827"/>
      <c r="K18" s="828"/>
      <c r="L18" s="827" t="str">
        <f>IFERROR(VLOOKUP($W$1, 'mCPR (MW) 2022 FPET'!$A$3:$BL$197, MATCH($B18, 'mCPR (MW) 2022 FPET'!$A$2:$BL$2,0), FALSE), "")</f>
        <v/>
      </c>
      <c r="M18" s="828" t="str">
        <f>IFERROR(VLOOKUP($W$1, 'mCPR (AW) 2022 FPET'!$A$3:$BL$197, MATCH($B18, 'mCPR (AW) 2022 FPET'!$A$2:$BL$2,0), FALSE), "")</f>
        <v/>
      </c>
      <c r="T18" s="24" t="str">
        <f t="shared" si="2"/>
        <v/>
      </c>
      <c r="U18" s="168" t="str">
        <f t="shared" si="3"/>
        <v/>
      </c>
      <c r="V18" s="193" t="e">
        <f t="shared" si="7"/>
        <v>#N/A</v>
      </c>
      <c r="W18" s="193" t="e">
        <f t="shared" si="8"/>
        <v>#N/A</v>
      </c>
      <c r="X18" s="193" t="e">
        <f t="shared" si="9"/>
        <v>#N/A</v>
      </c>
      <c r="Y18" s="193" t="e">
        <f t="shared" si="10"/>
        <v>#N/A</v>
      </c>
      <c r="Z18" s="193" t="e">
        <f t="shared" si="11"/>
        <v>#N/A</v>
      </c>
      <c r="AA18" s="193" t="e">
        <f t="shared" si="12"/>
        <v>#N/A</v>
      </c>
      <c r="AB18" s="193" t="e">
        <f t="shared" si="13"/>
        <v>#N/A</v>
      </c>
      <c r="AC18" s="193" t="e">
        <f t="shared" si="14"/>
        <v>#N/A</v>
      </c>
      <c r="AD18" s="194" t="str">
        <f t="shared" si="5"/>
        <v/>
      </c>
      <c r="AE18" s="195" t="str">
        <f t="shared" si="6"/>
        <v/>
      </c>
      <c r="AF18" s="168" t="str">
        <f>IF($B18="", "", IF($W$4="MW", VLOOKUP($W$1, 'mWRA WPP 2022'!$A$3:$AF$224, MATCH($B18, 'mWRA WPP 2022'!$A$2:$AF$2,0), FALSE), VLOOKUP($W$1, 'WRA WPP 2022'!$A$3:$AF$203, MATCH($B18, 'WRA WPP 2022'!$A$2:$AF$2,0), FALSE)))</f>
        <v/>
      </c>
      <c r="AI18" s="336" t="s">
        <v>110</v>
      </c>
      <c r="AJ18" s="338" t="s">
        <v>110</v>
      </c>
      <c r="AK18" s="338" t="s">
        <v>646</v>
      </c>
      <c r="AL18" s="338" t="s">
        <v>783</v>
      </c>
    </row>
    <row r="19" spans="2:38" x14ac:dyDescent="0.25">
      <c r="B19" s="797" t="str">
        <f>IFERROR(IF(B18+1&lt;='1. Country_Language Set Up'!$C$12, B18+1, ""), "")</f>
        <v/>
      </c>
      <c r="C19" s="798" t="str">
        <f t="shared" si="1"/>
        <v/>
      </c>
      <c r="D19" s="827" t="str">
        <f>IFERROR(VLOOKUP($W$1&amp;$B19, 'mCPR - MW - AW- DHS'!$E$2:$H$503, 3, FALSE), "")</f>
        <v/>
      </c>
      <c r="E19" s="828" t="str">
        <f>IFERROR(VLOOKUP($W$1&amp;$B19, 'mCPR - MW - AW- DHS'!$E$2:$H$503, 4, FALSE), "")</f>
        <v/>
      </c>
      <c r="F19" s="827" t="str">
        <f>IFERROR(VLOOKUP($W$1&amp;$B19, 'mCPR - MW - AW- MICS'!$E$2:$H$223, 3, FALSE), "")</f>
        <v/>
      </c>
      <c r="G19" s="828" t="str">
        <f>IFERROR(VLOOKUP($W$1&amp;$B19, 'mCPR - MW - AW- MICS'!$E$2:$H$223, 4, FALSE), "")</f>
        <v/>
      </c>
      <c r="H19" s="827" t="str">
        <f>IFERROR(VLOOKUP($W$1&amp;$B19,'mCPR - MW - AW - PMA'!$D$2:$G$41, 3, FALSE), "")</f>
        <v/>
      </c>
      <c r="I19" s="828" t="str">
        <f>IFERROR(VLOOKUP($W$1&amp;$B19,'mCPR - MW - AW - PMA'!$D$2:$G$41, 4, FALSE), "")</f>
        <v/>
      </c>
      <c r="J19" s="827"/>
      <c r="K19" s="828"/>
      <c r="L19" s="827" t="str">
        <f>IFERROR(VLOOKUP($W$1, 'mCPR (MW) 2022 FPET'!$A$3:$BL$197, MATCH($B19, 'mCPR (MW) 2022 FPET'!$A$2:$BL$2,0), FALSE), "")</f>
        <v/>
      </c>
      <c r="M19" s="828" t="str">
        <f>IFERROR(VLOOKUP($W$1, 'mCPR (AW) 2022 FPET'!$A$3:$BL$197, MATCH($B19, 'mCPR (AW) 2022 FPET'!$A$2:$BL$2,0), FALSE), "")</f>
        <v/>
      </c>
      <c r="T19" s="24" t="str">
        <f t="shared" si="2"/>
        <v/>
      </c>
      <c r="U19" s="168" t="str">
        <f t="shared" si="3"/>
        <v/>
      </c>
      <c r="V19" s="193" t="e">
        <f t="shared" si="7"/>
        <v>#N/A</v>
      </c>
      <c r="W19" s="193" t="e">
        <f t="shared" si="8"/>
        <v>#N/A</v>
      </c>
      <c r="X19" s="193" t="e">
        <f t="shared" si="9"/>
        <v>#N/A</v>
      </c>
      <c r="Y19" s="193" t="e">
        <f t="shared" si="10"/>
        <v>#N/A</v>
      </c>
      <c r="Z19" s="193" t="e">
        <f t="shared" si="11"/>
        <v>#N/A</v>
      </c>
      <c r="AA19" s="193" t="e">
        <f t="shared" si="12"/>
        <v>#N/A</v>
      </c>
      <c r="AB19" s="193" t="e">
        <f t="shared" si="13"/>
        <v>#N/A</v>
      </c>
      <c r="AC19" s="193" t="e">
        <f t="shared" si="14"/>
        <v>#N/A</v>
      </c>
      <c r="AD19" s="194" t="str">
        <f t="shared" si="5"/>
        <v/>
      </c>
      <c r="AE19" s="195" t="str">
        <f t="shared" si="6"/>
        <v/>
      </c>
      <c r="AF19" s="168" t="str">
        <f>IF($B19="", "", IF($W$4="MW", VLOOKUP($W$1, 'mWRA WPP 2022'!$A$3:$AF$224, MATCH($B19, 'mWRA WPP 2022'!$A$2:$AF$2,0), FALSE), VLOOKUP($W$1, 'WRA WPP 2022'!$A$3:$AF$203, MATCH($B19, 'WRA WPP 2022'!$A$2:$AF$2,0), FALSE)))</f>
        <v/>
      </c>
      <c r="AI19" s="337" t="s">
        <v>727</v>
      </c>
      <c r="AJ19" s="338" t="s">
        <v>727</v>
      </c>
      <c r="AK19" s="338" t="s">
        <v>728</v>
      </c>
      <c r="AL19" s="338" t="s">
        <v>804</v>
      </c>
    </row>
    <row r="20" spans="2:38" x14ac:dyDescent="0.25">
      <c r="B20" s="797" t="str">
        <f>IFERROR(IF(B19+1&lt;='1. Country_Language Set Up'!$C$12, B19+1, ""), "")</f>
        <v/>
      </c>
      <c r="C20" s="798" t="str">
        <f t="shared" si="1"/>
        <v/>
      </c>
      <c r="D20" s="827" t="str">
        <f>IFERROR(VLOOKUP($W$1&amp;$B20, 'mCPR - MW - AW- DHS'!$E$2:$H$503, 3, FALSE), "")</f>
        <v/>
      </c>
      <c r="E20" s="828" t="str">
        <f>IFERROR(VLOOKUP($W$1&amp;$B20, 'mCPR - MW - AW- DHS'!$E$2:$H$503, 4, FALSE), "")</f>
        <v/>
      </c>
      <c r="F20" s="827" t="str">
        <f>IFERROR(VLOOKUP($W$1&amp;$B20, 'mCPR - MW - AW- MICS'!$E$2:$H$223, 3, FALSE), "")</f>
        <v/>
      </c>
      <c r="G20" s="828" t="str">
        <f>IFERROR(VLOOKUP($W$1&amp;$B20, 'mCPR - MW - AW- MICS'!$E$2:$H$223, 4, FALSE), "")</f>
        <v/>
      </c>
      <c r="H20" s="827" t="str">
        <f>IFERROR(VLOOKUP($W$1&amp;$B20,'mCPR - MW - AW - PMA'!$D$2:$G$41, 3, FALSE), "")</f>
        <v/>
      </c>
      <c r="I20" s="828" t="str">
        <f>IFERROR(VLOOKUP($W$1&amp;$B20,'mCPR - MW - AW - PMA'!$D$2:$G$41, 4, FALSE), "")</f>
        <v/>
      </c>
      <c r="J20" s="827"/>
      <c r="K20" s="828"/>
      <c r="L20" s="827" t="str">
        <f>IFERROR(VLOOKUP($W$1, 'mCPR (MW) 2022 FPET'!$A$3:$BL$197, MATCH($B20, 'mCPR (MW) 2022 FPET'!$A$2:$BL$2,0), FALSE), "")</f>
        <v/>
      </c>
      <c r="M20" s="828" t="str">
        <f>IFERROR(VLOOKUP($W$1, 'mCPR (AW) 2022 FPET'!$A$3:$BL$197, MATCH($B20, 'mCPR (AW) 2022 FPET'!$A$2:$BL$2,0), FALSE), "")</f>
        <v/>
      </c>
      <c r="T20" s="24" t="str">
        <f t="shared" si="2"/>
        <v/>
      </c>
      <c r="U20" s="168" t="str">
        <f t="shared" si="3"/>
        <v/>
      </c>
      <c r="V20" s="193" t="e">
        <f t="shared" si="7"/>
        <v>#N/A</v>
      </c>
      <c r="W20" s="193" t="e">
        <f t="shared" si="8"/>
        <v>#N/A</v>
      </c>
      <c r="X20" s="193" t="e">
        <f t="shared" si="9"/>
        <v>#N/A</v>
      </c>
      <c r="Y20" s="193" t="e">
        <f t="shared" si="10"/>
        <v>#N/A</v>
      </c>
      <c r="Z20" s="193" t="e">
        <f t="shared" si="11"/>
        <v>#N/A</v>
      </c>
      <c r="AA20" s="193" t="e">
        <f t="shared" si="12"/>
        <v>#N/A</v>
      </c>
      <c r="AB20" s="193" t="e">
        <f t="shared" si="13"/>
        <v>#N/A</v>
      </c>
      <c r="AC20" s="193" t="e">
        <f t="shared" si="14"/>
        <v>#N/A</v>
      </c>
      <c r="AD20" s="194" t="str">
        <f t="shared" si="5"/>
        <v/>
      </c>
      <c r="AE20" s="195" t="str">
        <f t="shared" si="6"/>
        <v/>
      </c>
      <c r="AF20" s="168" t="str">
        <f>IF($B20="", "", IF($W$4="MW", VLOOKUP($W$1, 'mWRA WPP 2022'!$A$3:$AF$224, MATCH($B20, 'mWRA WPP 2022'!$A$2:$AF$2,0), FALSE), VLOOKUP($W$1, 'WRA WPP 2022'!$A$3:$AF$203, MATCH($B20, 'WRA WPP 2022'!$A$2:$AF$2,0), FALSE)))</f>
        <v/>
      </c>
      <c r="AI20" s="337" t="s">
        <v>104</v>
      </c>
      <c r="AJ20" s="338" t="s">
        <v>104</v>
      </c>
      <c r="AK20" s="338" t="s">
        <v>651</v>
      </c>
      <c r="AL20" s="338" t="s">
        <v>787</v>
      </c>
    </row>
    <row r="21" spans="2:38" x14ac:dyDescent="0.25">
      <c r="B21" s="797" t="str">
        <f>IFERROR(IF(B20+1&lt;='1. Country_Language Set Up'!$C$12, B20+1, ""), "")</f>
        <v/>
      </c>
      <c r="C21" s="798" t="str">
        <f t="shared" si="1"/>
        <v/>
      </c>
      <c r="D21" s="827" t="str">
        <f>IFERROR(VLOOKUP($W$1&amp;$B21, 'mCPR - MW - AW- DHS'!$E$2:$H$503, 3, FALSE), "")</f>
        <v/>
      </c>
      <c r="E21" s="828" t="str">
        <f>IFERROR(VLOOKUP($W$1&amp;$B21, 'mCPR - MW - AW- DHS'!$E$2:$H$503, 4, FALSE), "")</f>
        <v/>
      </c>
      <c r="F21" s="827" t="str">
        <f>IFERROR(VLOOKUP($W$1&amp;$B21, 'mCPR - MW - AW- MICS'!$E$2:$H$223, 3, FALSE), "")</f>
        <v/>
      </c>
      <c r="G21" s="828" t="str">
        <f>IFERROR(VLOOKUP($W$1&amp;$B21, 'mCPR - MW - AW- MICS'!$E$2:$H$223, 4, FALSE), "")</f>
        <v/>
      </c>
      <c r="H21" s="827" t="str">
        <f>IFERROR(VLOOKUP($W$1&amp;$B21,'mCPR - MW - AW - PMA'!$D$2:$G$41, 3, FALSE), "")</f>
        <v/>
      </c>
      <c r="I21" s="828" t="str">
        <f>IFERROR(VLOOKUP($W$1&amp;$B21,'mCPR - MW - AW - PMA'!$D$2:$G$41, 4, FALSE), "")</f>
        <v/>
      </c>
      <c r="J21" s="827"/>
      <c r="K21" s="828"/>
      <c r="L21" s="827" t="str">
        <f>IFERROR(VLOOKUP($W$1, 'mCPR (MW) 2022 FPET'!$A$3:$BL$197, MATCH($B21, 'mCPR (MW) 2022 FPET'!$A$2:$BL$2,0), FALSE), "")</f>
        <v/>
      </c>
      <c r="M21" s="828" t="str">
        <f>IFERROR(VLOOKUP($W$1, 'mCPR (AW) 2022 FPET'!$A$3:$BL$197, MATCH($B21, 'mCPR (AW) 2022 FPET'!$A$2:$BL$2,0), FALSE), "")</f>
        <v/>
      </c>
      <c r="T21" s="24" t="str">
        <f t="shared" si="2"/>
        <v/>
      </c>
      <c r="U21" s="168" t="str">
        <f t="shared" si="3"/>
        <v/>
      </c>
      <c r="V21" s="193" t="e">
        <f t="shared" si="7"/>
        <v>#N/A</v>
      </c>
      <c r="W21" s="193" t="e">
        <f t="shared" si="8"/>
        <v>#N/A</v>
      </c>
      <c r="X21" s="193" t="e">
        <f t="shared" si="9"/>
        <v>#N/A</v>
      </c>
      <c r="Y21" s="193" t="e">
        <f t="shared" si="10"/>
        <v>#N/A</v>
      </c>
      <c r="Z21" s="193" t="e">
        <f t="shared" si="11"/>
        <v>#N/A</v>
      </c>
      <c r="AA21" s="193" t="e">
        <f t="shared" si="12"/>
        <v>#N/A</v>
      </c>
      <c r="AB21" s="193" t="e">
        <f t="shared" si="13"/>
        <v>#N/A</v>
      </c>
      <c r="AC21" s="193" t="e">
        <f t="shared" si="14"/>
        <v>#N/A</v>
      </c>
      <c r="AD21" s="194" t="str">
        <f t="shared" si="5"/>
        <v/>
      </c>
      <c r="AE21" s="195" t="str">
        <f t="shared" si="6"/>
        <v/>
      </c>
      <c r="AF21" s="168" t="str">
        <f>IF($B21="", "", IF($W$4="MW", VLOOKUP($W$1, 'mWRA WPP 2022'!$A$3:$AF$224, MATCH($B21, 'mWRA WPP 2022'!$A$2:$AF$2,0), FALSE), VLOOKUP($W$1, 'WRA WPP 2022'!$A$3:$AF$203, MATCH($B21, 'WRA WPP 2022'!$A$2:$AF$2,0), FALSE)))</f>
        <v/>
      </c>
      <c r="AI21" s="337" t="s">
        <v>130</v>
      </c>
      <c r="AJ21" s="338" t="s">
        <v>130</v>
      </c>
      <c r="AK21" s="338" t="s">
        <v>689</v>
      </c>
      <c r="AL21" s="338" t="s">
        <v>805</v>
      </c>
    </row>
    <row r="22" spans="2:38" x14ac:dyDescent="0.25">
      <c r="B22" s="797" t="str">
        <f>IFERROR(IF(B21+1&lt;='1. Country_Language Set Up'!$C$12, B21+1, ""), "")</f>
        <v/>
      </c>
      <c r="C22" s="798" t="str">
        <f t="shared" si="1"/>
        <v/>
      </c>
      <c r="D22" s="827" t="str">
        <f>IFERROR(VLOOKUP($W$1&amp;$B22, 'mCPR - MW - AW- DHS'!$E$2:$H$503, 3, FALSE), "")</f>
        <v/>
      </c>
      <c r="E22" s="828" t="str">
        <f>IFERROR(VLOOKUP($W$1&amp;$B22, 'mCPR - MW - AW- DHS'!$E$2:$H$503, 4, FALSE), "")</f>
        <v/>
      </c>
      <c r="F22" s="827" t="str">
        <f>IFERROR(VLOOKUP($W$1&amp;$B22, 'mCPR - MW - AW- MICS'!$E$2:$H$223, 3, FALSE), "")</f>
        <v/>
      </c>
      <c r="G22" s="828" t="str">
        <f>IFERROR(VLOOKUP($W$1&amp;$B22, 'mCPR - MW - AW- MICS'!$E$2:$H$223, 4, FALSE), "")</f>
        <v/>
      </c>
      <c r="H22" s="827" t="str">
        <f>IFERROR(VLOOKUP($W$1&amp;$B22,'mCPR - MW - AW - PMA'!$D$2:$G$41, 3, FALSE), "")</f>
        <v/>
      </c>
      <c r="I22" s="828" t="str">
        <f>IFERROR(VLOOKUP($W$1&amp;$B22,'mCPR - MW - AW - PMA'!$D$2:$G$41, 4, FALSE), "")</f>
        <v/>
      </c>
      <c r="J22" s="827"/>
      <c r="K22" s="828"/>
      <c r="L22" s="827" t="str">
        <f>IFERROR(VLOOKUP($W$1, 'mCPR (MW) 2022 FPET'!$A$3:$BL$197, MATCH($B22, 'mCPR (MW) 2022 FPET'!$A$2:$BL$2,0), FALSE), "")</f>
        <v/>
      </c>
      <c r="M22" s="828" t="str">
        <f>IFERROR(VLOOKUP($W$1, 'mCPR (AW) 2022 FPET'!$A$3:$BL$197, MATCH($B22, 'mCPR (AW) 2022 FPET'!$A$2:$BL$2,0), FALSE), "")</f>
        <v/>
      </c>
      <c r="T22" s="24" t="str">
        <f t="shared" si="2"/>
        <v/>
      </c>
      <c r="U22" s="168" t="str">
        <f t="shared" si="3"/>
        <v/>
      </c>
      <c r="V22" s="193" t="e">
        <f t="shared" si="7"/>
        <v>#N/A</v>
      </c>
      <c r="W22" s="193" t="e">
        <f t="shared" si="8"/>
        <v>#N/A</v>
      </c>
      <c r="X22" s="193" t="e">
        <f t="shared" si="9"/>
        <v>#N/A</v>
      </c>
      <c r="Y22" s="193" t="e">
        <f t="shared" si="10"/>
        <v>#N/A</v>
      </c>
      <c r="Z22" s="193" t="e">
        <f t="shared" si="11"/>
        <v>#N/A</v>
      </c>
      <c r="AA22" s="193" t="e">
        <f t="shared" si="12"/>
        <v>#N/A</v>
      </c>
      <c r="AB22" s="193" t="e">
        <f t="shared" si="13"/>
        <v>#N/A</v>
      </c>
      <c r="AC22" s="193" t="e">
        <f t="shared" si="14"/>
        <v>#N/A</v>
      </c>
      <c r="AD22" s="194" t="str">
        <f t="shared" si="5"/>
        <v/>
      </c>
      <c r="AE22" s="195" t="str">
        <f t="shared" si="6"/>
        <v/>
      </c>
      <c r="AF22" s="168" t="str">
        <f>IF($B22="", "", IF($W$4="MW", VLOOKUP($W$1, 'mWRA WPP 2022'!$A$3:$AF$224, MATCH($B22, 'mWRA WPP 2022'!$A$2:$AF$2,0), FALSE), VLOOKUP($W$1, 'WRA WPP 2022'!$A$3:$AF$203, MATCH($B22, 'WRA WPP 2022'!$A$2:$AF$2,0), FALSE)))</f>
        <v/>
      </c>
      <c r="AI22" s="337"/>
      <c r="AJ22" s="338"/>
      <c r="AK22" s="338"/>
      <c r="AL22" s="338"/>
    </row>
    <row r="23" spans="2:38" x14ac:dyDescent="0.25">
      <c r="B23" s="797" t="str">
        <f>IFERROR(IF(B22+1&lt;='1. Country_Language Set Up'!$C$12, B22+1, ""), "")</f>
        <v/>
      </c>
      <c r="C23" s="798" t="str">
        <f t="shared" si="1"/>
        <v/>
      </c>
      <c r="D23" s="827" t="str">
        <f>IFERROR(VLOOKUP($W$1&amp;$B23, 'mCPR - MW - AW- DHS'!$E$2:$H$503, 3, FALSE), "")</f>
        <v/>
      </c>
      <c r="E23" s="828" t="str">
        <f>IFERROR(VLOOKUP($W$1&amp;$B23, 'mCPR - MW - AW- DHS'!$E$2:$H$503, 4, FALSE), "")</f>
        <v/>
      </c>
      <c r="F23" s="827" t="str">
        <f>IFERROR(VLOOKUP($W$1&amp;$B23, 'mCPR - MW - AW- MICS'!$E$2:$H$223, 3, FALSE), "")</f>
        <v/>
      </c>
      <c r="G23" s="828" t="str">
        <f>IFERROR(VLOOKUP($W$1&amp;$B23, 'mCPR - MW - AW- MICS'!$E$2:$H$223, 4, FALSE), "")</f>
        <v/>
      </c>
      <c r="H23" s="827" t="str">
        <f>IFERROR(VLOOKUP($W$1&amp;$B23,'mCPR - MW - AW - PMA'!$D$2:$G$41, 3, FALSE), "")</f>
        <v/>
      </c>
      <c r="I23" s="828" t="str">
        <f>IFERROR(VLOOKUP($W$1&amp;$B23,'mCPR - MW - AW - PMA'!$D$2:$G$41, 4, FALSE), "")</f>
        <v/>
      </c>
      <c r="J23" s="827"/>
      <c r="K23" s="828"/>
      <c r="L23" s="827" t="str">
        <f>IFERROR(VLOOKUP($W$1, 'mCPR (MW) 2022 FPET'!$A$3:$BL$197, MATCH($B23, 'mCPR (MW) 2022 FPET'!$A$2:$BL$2,0), FALSE), "")</f>
        <v/>
      </c>
      <c r="M23" s="828" t="str">
        <f>IFERROR(VLOOKUP($W$1, 'mCPR (AW) 2022 FPET'!$A$3:$BL$197, MATCH($B23, 'mCPR (AW) 2022 FPET'!$A$2:$BL$2,0), FALSE), "")</f>
        <v/>
      </c>
      <c r="T23" s="24" t="str">
        <f t="shared" si="2"/>
        <v/>
      </c>
      <c r="U23" s="168" t="str">
        <f t="shared" si="3"/>
        <v/>
      </c>
      <c r="V23" s="193" t="e">
        <f t="shared" si="7"/>
        <v>#N/A</v>
      </c>
      <c r="W23" s="193" t="e">
        <f t="shared" si="8"/>
        <v>#N/A</v>
      </c>
      <c r="X23" s="193" t="e">
        <f t="shared" si="9"/>
        <v>#N/A</v>
      </c>
      <c r="Y23" s="193" t="e">
        <f t="shared" si="10"/>
        <v>#N/A</v>
      </c>
      <c r="Z23" s="193" t="e">
        <f t="shared" si="11"/>
        <v>#N/A</v>
      </c>
      <c r="AA23" s="193" t="e">
        <f t="shared" si="12"/>
        <v>#N/A</v>
      </c>
      <c r="AB23" s="193" t="e">
        <f t="shared" si="13"/>
        <v>#N/A</v>
      </c>
      <c r="AC23" s="193" t="e">
        <f t="shared" si="14"/>
        <v>#N/A</v>
      </c>
      <c r="AD23" s="194" t="str">
        <f t="shared" si="5"/>
        <v/>
      </c>
      <c r="AE23" s="195" t="str">
        <f t="shared" si="6"/>
        <v/>
      </c>
      <c r="AF23" s="168" t="str">
        <f>IF($B23="", "", IF($W$4="MW", VLOOKUP($W$1, 'mWRA WPP 2022'!$A$3:$AF$224, MATCH($B23, 'mWRA WPP 2022'!$A$2:$AF$2,0), FALSE), VLOOKUP($W$1, 'WRA WPP 2022'!$A$3:$AF$203, MATCH($B23, 'WRA WPP 2022'!$A$2:$AF$2,0), FALSE)))</f>
        <v/>
      </c>
      <c r="AJ23" s="184" t="s">
        <v>929</v>
      </c>
      <c r="AK23" s="184"/>
      <c r="AL23" s="184" t="s">
        <v>930</v>
      </c>
    </row>
    <row r="24" spans="2:38" x14ac:dyDescent="0.25">
      <c r="B24" s="797" t="str">
        <f>IFERROR(IF(B23+1&lt;='1. Country_Language Set Up'!$C$12, B23+1, ""), "")</f>
        <v/>
      </c>
      <c r="C24" s="798" t="str">
        <f t="shared" si="1"/>
        <v/>
      </c>
      <c r="D24" s="827" t="str">
        <f>IFERROR(VLOOKUP($W$1&amp;$B24, 'mCPR - MW - AW- DHS'!$E$2:$H$503, 3, FALSE), "")</f>
        <v/>
      </c>
      <c r="E24" s="828" t="str">
        <f>IFERROR(VLOOKUP($W$1&amp;$B24, 'mCPR - MW - AW- DHS'!$E$2:$H$503, 4, FALSE), "")</f>
        <v/>
      </c>
      <c r="F24" s="827" t="str">
        <f>IFERROR(VLOOKUP($W$1&amp;$B24, 'mCPR - MW - AW- MICS'!$E$2:$H$223, 3, FALSE), "")</f>
        <v/>
      </c>
      <c r="G24" s="828" t="str">
        <f>IFERROR(VLOOKUP($W$1&amp;$B24, 'mCPR - MW - AW- MICS'!$E$2:$H$223, 4, FALSE), "")</f>
        <v/>
      </c>
      <c r="H24" s="827" t="str">
        <f>IFERROR(VLOOKUP($W$1&amp;$B24,'mCPR - MW - AW - PMA'!$D$2:$G$41, 3, FALSE), "")</f>
        <v/>
      </c>
      <c r="I24" s="828" t="str">
        <f>IFERROR(VLOOKUP($W$1&amp;$B24,'mCPR - MW - AW - PMA'!$D$2:$G$41, 4, FALSE), "")</f>
        <v/>
      </c>
      <c r="J24" s="827"/>
      <c r="K24" s="828"/>
      <c r="L24" s="827" t="str">
        <f>IFERROR(VLOOKUP($W$1, 'mCPR (MW) 2022 FPET'!$A$3:$BL$197, MATCH($B24, 'mCPR (MW) 2022 FPET'!$A$2:$BL$2,0), FALSE), "")</f>
        <v/>
      </c>
      <c r="M24" s="828" t="str">
        <f>IFERROR(VLOOKUP($W$1, 'mCPR (AW) 2022 FPET'!$A$3:$BL$197, MATCH($B24, 'mCPR (AW) 2022 FPET'!$A$2:$BL$2,0), FALSE), "")</f>
        <v/>
      </c>
      <c r="T24" s="24" t="str">
        <f t="shared" si="2"/>
        <v/>
      </c>
      <c r="U24" s="168" t="str">
        <f t="shared" si="3"/>
        <v/>
      </c>
      <c r="V24" s="193" t="e">
        <f t="shared" si="7"/>
        <v>#N/A</v>
      </c>
      <c r="W24" s="193" t="e">
        <f t="shared" si="8"/>
        <v>#N/A</v>
      </c>
      <c r="X24" s="193" t="e">
        <f t="shared" si="9"/>
        <v>#N/A</v>
      </c>
      <c r="Y24" s="193" t="e">
        <f t="shared" si="10"/>
        <v>#N/A</v>
      </c>
      <c r="Z24" s="193" t="e">
        <f t="shared" si="11"/>
        <v>#N/A</v>
      </c>
      <c r="AA24" s="193" t="e">
        <f t="shared" si="12"/>
        <v>#N/A</v>
      </c>
      <c r="AB24" s="193" t="e">
        <f t="shared" si="13"/>
        <v>#N/A</v>
      </c>
      <c r="AC24" s="193" t="e">
        <f t="shared" si="14"/>
        <v>#N/A</v>
      </c>
      <c r="AD24" s="194" t="str">
        <f t="shared" si="5"/>
        <v/>
      </c>
      <c r="AE24" s="195" t="str">
        <f t="shared" si="6"/>
        <v/>
      </c>
      <c r="AF24" s="168" t="str">
        <f>IF($B24="", "", IF($W$4="MW", VLOOKUP($W$1, 'mWRA WPP 2022'!$A$3:$AF$224, MATCH($B24, 'mWRA WPP 2022'!$A$2:$AF$2,0), FALSE), VLOOKUP($W$1, 'WRA WPP 2022'!$A$3:$AF$203, MATCH($B24, 'WRA WPP 2022'!$A$2:$AF$2,0), FALSE)))</f>
        <v/>
      </c>
      <c r="AJ24" s="338" t="s">
        <v>769</v>
      </c>
      <c r="AK24" s="338"/>
      <c r="AL24" s="338"/>
    </row>
    <row r="25" spans="2:38" x14ac:dyDescent="0.25">
      <c r="B25" s="797" t="str">
        <f>IFERROR(IF(B24+1&lt;='1. Country_Language Set Up'!$C$12, B24+1, ""), "")</f>
        <v/>
      </c>
      <c r="C25" s="798" t="str">
        <f t="shared" si="1"/>
        <v/>
      </c>
      <c r="D25" s="827" t="str">
        <f>IFERROR(VLOOKUP($W$1&amp;$B25, 'mCPR - MW - AW- DHS'!$E$2:$H$503, 3, FALSE), "")</f>
        <v/>
      </c>
      <c r="E25" s="828" t="str">
        <f>IFERROR(VLOOKUP($W$1&amp;$B25, 'mCPR - MW - AW- DHS'!$E$2:$H$503, 4, FALSE), "")</f>
        <v/>
      </c>
      <c r="F25" s="827" t="str">
        <f>IFERROR(VLOOKUP($W$1&amp;$B25, 'mCPR - MW - AW- MICS'!$E$2:$H$223, 3, FALSE), "")</f>
        <v/>
      </c>
      <c r="G25" s="828" t="str">
        <f>IFERROR(VLOOKUP($W$1&amp;$B25, 'mCPR - MW - AW- MICS'!$E$2:$H$223, 4, FALSE), "")</f>
        <v/>
      </c>
      <c r="H25" s="827" t="str">
        <f>IFERROR(VLOOKUP($W$1&amp;$B25,'mCPR - MW - AW - PMA'!$D$2:$G$41, 3, FALSE), "")</f>
        <v/>
      </c>
      <c r="I25" s="828" t="str">
        <f>IFERROR(VLOOKUP($W$1&amp;$B25,'mCPR - MW - AW - PMA'!$D$2:$G$41, 4, FALSE), "")</f>
        <v/>
      </c>
      <c r="J25" s="827"/>
      <c r="K25" s="828"/>
      <c r="L25" s="827" t="str">
        <f>IFERROR(VLOOKUP($W$1, 'mCPR (MW) 2022 FPET'!$A$3:$BL$197, MATCH($B25, 'mCPR (MW) 2022 FPET'!$A$2:$BL$2,0), FALSE), "")</f>
        <v/>
      </c>
      <c r="M25" s="828" t="str">
        <f>IFERROR(VLOOKUP($W$1, 'mCPR (AW) 2022 FPET'!$A$3:$BL$197, MATCH($B25, 'mCPR (AW) 2022 FPET'!$A$2:$BL$2,0), FALSE), "")</f>
        <v/>
      </c>
      <c r="T25" s="24" t="str">
        <f t="shared" si="2"/>
        <v/>
      </c>
      <c r="U25" s="168" t="str">
        <f t="shared" si="3"/>
        <v/>
      </c>
      <c r="V25" s="193" t="e">
        <f t="shared" si="7"/>
        <v>#N/A</v>
      </c>
      <c r="W25" s="193" t="e">
        <f t="shared" si="8"/>
        <v>#N/A</v>
      </c>
      <c r="X25" s="193" t="e">
        <f t="shared" si="9"/>
        <v>#N/A</v>
      </c>
      <c r="Y25" s="193" t="e">
        <f t="shared" si="10"/>
        <v>#N/A</v>
      </c>
      <c r="Z25" s="193" t="e">
        <f t="shared" si="11"/>
        <v>#N/A</v>
      </c>
      <c r="AA25" s="193" t="e">
        <f t="shared" si="12"/>
        <v>#N/A</v>
      </c>
      <c r="AB25" s="193" t="e">
        <f t="shared" si="13"/>
        <v>#N/A</v>
      </c>
      <c r="AC25" s="193" t="e">
        <f t="shared" si="14"/>
        <v>#N/A</v>
      </c>
      <c r="AD25" s="194" t="str">
        <f t="shared" si="5"/>
        <v/>
      </c>
      <c r="AE25" s="195" t="str">
        <f t="shared" si="6"/>
        <v/>
      </c>
      <c r="AF25" s="168" t="str">
        <f>IF($B25="", "", IF($W$4="MW", VLOOKUP($W$1, 'mWRA WPP 2022'!$A$3:$AF$224, MATCH($B25, 'mWRA WPP 2022'!$A$2:$AF$2,0), FALSE), VLOOKUP($W$1, 'WRA WPP 2022'!$A$3:$AF$203, MATCH($B25, 'WRA WPP 2022'!$A$2:$AF$2,0), FALSE)))</f>
        <v/>
      </c>
      <c r="AI25" t="str">
        <f>IF(Language="English", AJ25, AL25)</f>
        <v>Les cases en jaune clair indiquent où les données sont automatiquement renseignées ou calculées, mais vous pouvez les remplacer si vous disposez de données plus récentes.
Veuillez documenter toute modification des données par défaut</v>
      </c>
      <c r="AJ25" s="184" t="s">
        <v>1106</v>
      </c>
      <c r="AK25" s="184"/>
      <c r="AL25" t="s">
        <v>1105</v>
      </c>
    </row>
    <row r="26" spans="2:38" x14ac:dyDescent="0.25">
      <c r="B26" s="797" t="str">
        <f>IFERROR(IF(B25+1&lt;='1. Country_Language Set Up'!$C$12, B25+1, ""), "")</f>
        <v/>
      </c>
      <c r="C26" s="798" t="str">
        <f t="shared" si="1"/>
        <v/>
      </c>
      <c r="D26" s="827" t="str">
        <f>IFERROR(VLOOKUP($W$1&amp;$B26, 'mCPR - MW - AW- DHS'!$E$2:$H$503, 3, FALSE), "")</f>
        <v/>
      </c>
      <c r="E26" s="828" t="str">
        <f>IFERROR(VLOOKUP($W$1&amp;$B26, 'mCPR - MW - AW- DHS'!$E$2:$H$503, 4, FALSE), "")</f>
        <v/>
      </c>
      <c r="F26" s="827" t="str">
        <f>IFERROR(VLOOKUP($W$1&amp;$B26, 'mCPR - MW - AW- MICS'!$E$2:$H$223, 3, FALSE), "")</f>
        <v/>
      </c>
      <c r="G26" s="828" t="str">
        <f>IFERROR(VLOOKUP($W$1&amp;$B26, 'mCPR - MW - AW- MICS'!$E$2:$H$223, 4, FALSE), "")</f>
        <v/>
      </c>
      <c r="H26" s="827" t="str">
        <f>IFERROR(VLOOKUP($W$1&amp;$B26,'mCPR - MW - AW - PMA'!$D$2:$G$41, 3, FALSE), "")</f>
        <v/>
      </c>
      <c r="I26" s="828" t="str">
        <f>IFERROR(VLOOKUP($W$1&amp;$B26,'mCPR - MW - AW - PMA'!$D$2:$G$41, 4, FALSE), "")</f>
        <v/>
      </c>
      <c r="J26" s="827"/>
      <c r="K26" s="828"/>
      <c r="L26" s="827" t="str">
        <f>IFERROR(VLOOKUP($W$1, 'mCPR (MW) 2022 FPET'!$A$3:$BL$197, MATCH($B26, 'mCPR (MW) 2022 FPET'!$A$2:$BL$2,0), FALSE), "")</f>
        <v/>
      </c>
      <c r="M26" s="828" t="str">
        <f>IFERROR(VLOOKUP($W$1, 'mCPR (AW) 2022 FPET'!$A$3:$BL$197, MATCH($B26, 'mCPR (AW) 2022 FPET'!$A$2:$BL$2,0), FALSE), "")</f>
        <v/>
      </c>
      <c r="T26" s="24" t="str">
        <f t="shared" si="2"/>
        <v/>
      </c>
      <c r="U26" s="168" t="str">
        <f t="shared" si="3"/>
        <v/>
      </c>
      <c r="V26" s="193" t="e">
        <f t="shared" si="7"/>
        <v>#N/A</v>
      </c>
      <c r="W26" s="193" t="e">
        <f t="shared" si="8"/>
        <v>#N/A</v>
      </c>
      <c r="X26" s="193" t="e">
        <f t="shared" si="9"/>
        <v>#N/A</v>
      </c>
      <c r="Y26" s="193" t="e">
        <f t="shared" si="10"/>
        <v>#N/A</v>
      </c>
      <c r="Z26" s="193" t="e">
        <f t="shared" si="11"/>
        <v>#N/A</v>
      </c>
      <c r="AA26" s="193" t="e">
        <f t="shared" si="12"/>
        <v>#N/A</v>
      </c>
      <c r="AB26" s="193" t="e">
        <f t="shared" si="13"/>
        <v>#N/A</v>
      </c>
      <c r="AC26" s="193" t="e">
        <f t="shared" si="14"/>
        <v>#N/A</v>
      </c>
      <c r="AD26" s="194" t="str">
        <f t="shared" si="5"/>
        <v/>
      </c>
      <c r="AE26" s="195" t="str">
        <f t="shared" si="6"/>
        <v/>
      </c>
      <c r="AF26" s="168" t="str">
        <f>IF($B26="", "", IF($W$4="MW", VLOOKUP($W$1, 'mWRA WPP 2022'!$A$3:$AF$224, MATCH($B26, 'mWRA WPP 2022'!$A$2:$AF$2,0), FALSE), VLOOKUP($W$1, 'WRA WPP 2022'!$A$3:$AF$203, MATCH($B26, 'WRA WPP 2022'!$A$2:$AF$2,0), FALSE)))</f>
        <v/>
      </c>
      <c r="AJ26" s="184"/>
      <c r="AK26" s="184"/>
      <c r="AL26" s="184"/>
    </row>
    <row r="27" spans="2:38" ht="15" customHeight="1" x14ac:dyDescent="0.25">
      <c r="B27" s="797" t="str">
        <f>IFERROR(IF(B26+1&lt;='1. Country_Language Set Up'!$C$12, B26+1, ""), "")</f>
        <v/>
      </c>
      <c r="C27" s="798" t="str">
        <f t="shared" si="1"/>
        <v/>
      </c>
      <c r="D27" s="827" t="str">
        <f>IFERROR(VLOOKUP($W$1&amp;$B27, 'mCPR - MW - AW- DHS'!$E$2:$H$503, 3, FALSE), "")</f>
        <v/>
      </c>
      <c r="E27" s="828" t="str">
        <f>IFERROR(VLOOKUP($W$1&amp;$B27, 'mCPR - MW - AW- DHS'!$E$2:$H$503, 4, FALSE), "")</f>
        <v/>
      </c>
      <c r="F27" s="827" t="str">
        <f>IFERROR(VLOOKUP($W$1&amp;$B27, 'mCPR - MW - AW- MICS'!$E$2:$H$223, 3, FALSE), "")</f>
        <v/>
      </c>
      <c r="G27" s="828" t="str">
        <f>IFERROR(VLOOKUP($W$1&amp;$B27, 'mCPR - MW - AW- MICS'!$E$2:$H$223, 4, FALSE), "")</f>
        <v/>
      </c>
      <c r="H27" s="827" t="str">
        <f>IFERROR(VLOOKUP($W$1&amp;$B27,'mCPR - MW - AW - PMA'!$D$2:$G$41, 3, FALSE), "")</f>
        <v/>
      </c>
      <c r="I27" s="828" t="str">
        <f>IFERROR(VLOOKUP($W$1&amp;$B27,'mCPR - MW - AW - PMA'!$D$2:$G$41, 4, FALSE), "")</f>
        <v/>
      </c>
      <c r="J27" s="827"/>
      <c r="K27" s="828"/>
      <c r="L27" s="827" t="str">
        <f>IFERROR(VLOOKUP($W$1, 'mCPR (MW) 2022 FPET'!$A$3:$BL$197, MATCH($B27, 'mCPR (MW) 2022 FPET'!$A$2:$BL$2,0), FALSE), "")</f>
        <v/>
      </c>
      <c r="M27" s="828" t="str">
        <f>IFERROR(VLOOKUP($W$1, 'mCPR (AW) 2022 FPET'!$A$3:$BL$197, MATCH($B27, 'mCPR (AW) 2022 FPET'!$A$2:$BL$2,0), FALSE), "")</f>
        <v/>
      </c>
      <c r="T27" s="24" t="str">
        <f t="shared" si="2"/>
        <v/>
      </c>
      <c r="U27" s="168" t="str">
        <f t="shared" si="3"/>
        <v/>
      </c>
      <c r="V27" s="193" t="e">
        <f t="shared" si="7"/>
        <v>#N/A</v>
      </c>
      <c r="W27" s="193" t="e">
        <f t="shared" si="8"/>
        <v>#N/A</v>
      </c>
      <c r="X27" s="193" t="e">
        <f t="shared" si="9"/>
        <v>#N/A</v>
      </c>
      <c r="Y27" s="193" t="e">
        <f t="shared" si="10"/>
        <v>#N/A</v>
      </c>
      <c r="Z27" s="193" t="e">
        <f t="shared" si="11"/>
        <v>#N/A</v>
      </c>
      <c r="AA27" s="193" t="e">
        <f t="shared" si="12"/>
        <v>#N/A</v>
      </c>
      <c r="AB27" s="193" t="e">
        <f t="shared" si="13"/>
        <v>#N/A</v>
      </c>
      <c r="AC27" s="193" t="e">
        <f t="shared" si="14"/>
        <v>#N/A</v>
      </c>
      <c r="AD27" s="194" t="str">
        <f t="shared" si="5"/>
        <v/>
      </c>
      <c r="AE27" s="195" t="str">
        <f t="shared" si="6"/>
        <v/>
      </c>
      <c r="AF27" s="168" t="str">
        <f>IF($B27="", "", IF($W$4="MW", VLOOKUP($W$1, 'mWRA WPP 2022'!$A$3:$AF$224, MATCH($B27, 'mWRA WPP 2022'!$A$2:$AF$2,0), FALSE), VLOOKUP($W$1, 'WRA WPP 2022'!$A$3:$AF$203, MATCH($B27, 'WRA WPP 2022'!$A$2:$AF$2,0), FALSE)))</f>
        <v/>
      </c>
      <c r="AJ27" s="184"/>
      <c r="AK27" s="184"/>
      <c r="AL27" s="184"/>
    </row>
    <row r="28" spans="2:38" ht="15" customHeight="1" thickBot="1" x14ac:dyDescent="0.3">
      <c r="B28" s="799" t="str">
        <f>IFERROR(IF(B27+1&lt;='1. Country_Language Set Up'!$C$12, B27+1, ""), "")</f>
        <v/>
      </c>
      <c r="C28" s="800" t="str">
        <f t="shared" si="1"/>
        <v/>
      </c>
      <c r="D28" s="829" t="str">
        <f>IFERROR(VLOOKUP($W$1&amp;$B28, 'mCPR - MW - AW- DHS'!$E$2:$H$503, 3, FALSE), "")</f>
        <v/>
      </c>
      <c r="E28" s="830" t="str">
        <f>IFERROR(VLOOKUP($W$1&amp;$B28, 'mCPR - MW - AW- DHS'!$E$2:$H$503, 4, FALSE), "")</f>
        <v/>
      </c>
      <c r="F28" s="829" t="str">
        <f>IFERROR(VLOOKUP($W$1&amp;$B28, 'mCPR - MW - AW- MICS'!$E$2:$H$223, 3, FALSE), "")</f>
        <v/>
      </c>
      <c r="G28" s="830" t="str">
        <f>IFERROR(VLOOKUP($W$1&amp;$B28, 'mCPR - MW - AW- MICS'!$E$2:$H$223, 4, FALSE), "")</f>
        <v/>
      </c>
      <c r="H28" s="829" t="str">
        <f>IFERROR(VLOOKUP($W$1&amp;$B28,'mCPR - MW - AW - PMA'!$D$2:$G$41, 3, FALSE), "")</f>
        <v/>
      </c>
      <c r="I28" s="830" t="str">
        <f>IFERROR(VLOOKUP($W$1&amp;$B28,'mCPR - MW - AW - PMA'!$D$2:$G$41, 4, FALSE), "")</f>
        <v/>
      </c>
      <c r="J28" s="829"/>
      <c r="K28" s="830"/>
      <c r="L28" s="829" t="str">
        <f>IFERROR(VLOOKUP($W$1, 'mCPR (MW) 2022 FPET'!$A$3:$BL$197, MATCH($B28, 'mCPR (MW) 2022 FPET'!$A$2:$BL$2,0), FALSE), "")</f>
        <v/>
      </c>
      <c r="M28" s="830" t="str">
        <f>IFERROR(VLOOKUP($W$1, 'mCPR (AW) 2022 FPET'!$A$3:$BL$197, MATCH($B28, 'mCPR (AW) 2022 FPET'!$A$2:$BL$2,0), FALSE), "")</f>
        <v/>
      </c>
      <c r="T28" s="24" t="str">
        <f t="shared" si="2"/>
        <v/>
      </c>
      <c r="U28" s="168" t="str">
        <f t="shared" si="3"/>
        <v/>
      </c>
      <c r="V28" s="193" t="e">
        <f t="shared" si="7"/>
        <v>#N/A</v>
      </c>
      <c r="W28" s="193" t="e">
        <f t="shared" si="8"/>
        <v>#N/A</v>
      </c>
      <c r="X28" s="193" t="e">
        <f t="shared" si="9"/>
        <v>#N/A</v>
      </c>
      <c r="Y28" s="193" t="e">
        <f t="shared" si="10"/>
        <v>#N/A</v>
      </c>
      <c r="Z28" s="193" t="e">
        <f t="shared" si="11"/>
        <v>#N/A</v>
      </c>
      <c r="AA28" s="193" t="e">
        <f t="shared" si="12"/>
        <v>#N/A</v>
      </c>
      <c r="AB28" s="193" t="e">
        <f t="shared" si="13"/>
        <v>#N/A</v>
      </c>
      <c r="AC28" s="193" t="e">
        <f t="shared" si="14"/>
        <v>#N/A</v>
      </c>
      <c r="AD28" s="194" t="str">
        <f t="shared" si="5"/>
        <v/>
      </c>
      <c r="AE28" s="195" t="str">
        <f t="shared" si="6"/>
        <v/>
      </c>
      <c r="AF28" s="168" t="str">
        <f>IF($B28="", "", IF($W$4="MW", VLOOKUP($W$1, 'mWRA WPP 2022'!$A$3:$AF$224, MATCH($B28, 'mWRA WPP 2022'!$A$2:$AF$2,0), FALSE), VLOOKUP($W$1, 'WRA WPP 2022'!$A$3:$AF$203, MATCH($B28, 'WRA WPP 2022'!$A$2:$AF$2,0), FALSE)))</f>
        <v/>
      </c>
      <c r="AJ28" s="184"/>
      <c r="AK28" s="184"/>
      <c r="AL28" s="184"/>
    </row>
    <row r="29" spans="2:38" x14ac:dyDescent="0.25">
      <c r="T29" s="24"/>
      <c r="U29" s="307"/>
      <c r="V29" s="308"/>
      <c r="W29" s="308"/>
      <c r="X29" s="308"/>
      <c r="Y29" s="308"/>
      <c r="Z29" s="308"/>
      <c r="AA29" s="308"/>
      <c r="AB29" s="308"/>
      <c r="AC29" s="308"/>
      <c r="AD29" s="308"/>
      <c r="AE29" s="308"/>
      <c r="AJ29" s="184"/>
      <c r="AK29" s="184"/>
      <c r="AL29" s="184"/>
    </row>
    <row r="30" spans="2:38" ht="15.75" hidden="1" customHeight="1" thickBot="1" x14ac:dyDescent="0.3">
      <c r="AJ30" s="184" t="s">
        <v>578</v>
      </c>
      <c r="AK30" s="184"/>
      <c r="AL30" s="570" t="s">
        <v>943</v>
      </c>
    </row>
    <row r="31" spans="2:38" ht="43.5" hidden="1" customHeight="1" thickBot="1" x14ac:dyDescent="0.3">
      <c r="B31" s="1329" t="str">
        <f>IF(Language="English",AJ30,IF(Language="Francais",AL30,AJ30))</f>
        <v>Saisissez ici votre rapport Femmes mariées et Toutes les femmes. Si vous avez le TPCM pour Toutes les femmes et les Femmes mariées à partir d'une enquête récente, saisissez les valeurs de Toutes les femmes / Femmes mariées. Si vous supposez qu'il n'y a pas d'utilisation chez les non mariées, saisissez le pourcentage pour les Mariées.</v>
      </c>
      <c r="C31" s="1330"/>
      <c r="D31" s="1330"/>
      <c r="E31" s="567"/>
      <c r="F31" s="1331"/>
      <c r="G31" s="1332"/>
      <c r="H31" s="38" t="s">
        <v>586</v>
      </c>
      <c r="AJ31" s="184"/>
      <c r="AK31" s="184"/>
      <c r="AL31" s="38" t="s">
        <v>816</v>
      </c>
    </row>
    <row r="32" spans="2:38" ht="15.75" customHeight="1" thickBot="1" x14ac:dyDescent="0.3">
      <c r="AJ32" s="184"/>
      <c r="AK32" s="184"/>
      <c r="AL32" s="184"/>
    </row>
    <row r="33" spans="2:38" ht="30.75" thickBot="1" x14ac:dyDescent="0.3">
      <c r="B33" s="1328" t="str">
        <f>IF(Language="English",AJ33,IF(Language="Francais",AL33,AJ33))</f>
        <v>Source pour la population, si différente :</v>
      </c>
      <c r="C33" s="1328"/>
      <c r="D33" s="1328"/>
      <c r="E33" s="1327"/>
      <c r="F33" s="1327"/>
      <c r="G33" s="1327"/>
      <c r="N33" s="1325" t="str">
        <f>IF(Language="Francais", AL23, AJ23)</f>
        <v>Prochain</v>
      </c>
      <c r="O33" s="1325"/>
      <c r="P33" s="1325"/>
      <c r="AJ33" s="174" t="s">
        <v>315</v>
      </c>
      <c r="AK33" s="184"/>
      <c r="AL33" s="444" t="s">
        <v>815</v>
      </c>
    </row>
    <row r="34" spans="2:38" x14ac:dyDescent="0.25">
      <c r="AJ34" s="238"/>
      <c r="AK34" s="184"/>
      <c r="AL34" s="1086"/>
    </row>
    <row r="35" spans="2:38" ht="66.75" customHeight="1" x14ac:dyDescent="0.25">
      <c r="B35" s="1057" t="str">
        <f>IF(Language="English",AJ35,IF(Language="Francais",AL35,AJ35))</f>
        <v>Remarque - Si non édité, les données démographiques proviennent de Perspectives de la population mondiale 2022 de l'UNPD</v>
      </c>
      <c r="AJ35" s="1087" t="s">
        <v>2508</v>
      </c>
      <c r="AL35" s="1086" t="s">
        <v>2509</v>
      </c>
    </row>
    <row r="36" spans="2:38" x14ac:dyDescent="0.25">
      <c r="B36" s="238"/>
    </row>
  </sheetData>
  <mergeCells count="14">
    <mergeCell ref="N33:P33"/>
    <mergeCell ref="B8:M8"/>
    <mergeCell ref="E33:G33"/>
    <mergeCell ref="B33:D33"/>
    <mergeCell ref="B31:D31"/>
    <mergeCell ref="F31:G31"/>
    <mergeCell ref="B9:C9"/>
    <mergeCell ref="B4:F5"/>
    <mergeCell ref="B6:Q6"/>
    <mergeCell ref="D9:E9"/>
    <mergeCell ref="F9:G9"/>
    <mergeCell ref="H9:I9"/>
    <mergeCell ref="L9:M9"/>
    <mergeCell ref="J9:K9"/>
  </mergeCells>
  <conditionalFormatting sqref="G4">
    <cfRule type="expression" dxfId="285" priority="1">
      <formula>$W$2="Yes"</formula>
    </cfRule>
  </conditionalFormatting>
  <hyperlinks>
    <hyperlink ref="N33:P33" location="'3. ServiceStats Set Up'!A1" tooltip="Next Step / L'étape suivante" display="'3. ServiceStats Set Up'!A1" xr:uid="{70EFEA5E-E77B-4B75-AE08-191FE0FC8EAE}"/>
  </hyperlink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00000000-0002-0000-0500-000000000000}">
          <x14:formula1>
            <xm:f>'Language Look Ups'!$B$26:$B$27</xm:f>
          </x14:formula1>
          <xm:sqref>F31:G31</xm:sqref>
        </x14:dataValidation>
        <x14:dataValidation type="list" allowBlank="1" showInputMessage="1" showErrorMessage="1" xr:uid="{81983956-AB75-47D6-862A-D818DE72C95A}">
          <x14:formula1>
            <xm:f>'Language Look Ups'!$B$50:$B$54</xm:f>
          </x14:formula1>
          <xm:sqref>H9:K9</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dimension ref="C1:E205"/>
  <sheetViews>
    <sheetView showGridLines="0" topLeftCell="A37" workbookViewId="0">
      <selection activeCell="F51" sqref="F51"/>
    </sheetView>
  </sheetViews>
  <sheetFormatPr defaultRowHeight="15" x14ac:dyDescent="0.25"/>
  <cols>
    <col min="3" max="4" width="12.140625" customWidth="1"/>
    <col min="5" max="5" width="12.140625" style="152" customWidth="1"/>
  </cols>
  <sheetData>
    <row r="1" spans="3:5" ht="30" x14ac:dyDescent="0.25">
      <c r="C1" s="119" t="s">
        <v>10</v>
      </c>
      <c r="D1" s="119" t="s">
        <v>330</v>
      </c>
      <c r="E1" s="211" t="s">
        <v>331</v>
      </c>
    </row>
    <row r="2" spans="3:5" ht="16.5" customHeight="1" x14ac:dyDescent="0.25">
      <c r="C2" s="119" t="s">
        <v>11</v>
      </c>
      <c r="D2" s="119" t="s">
        <v>347</v>
      </c>
      <c r="E2" s="173">
        <v>4</v>
      </c>
    </row>
    <row r="3" spans="3:5" ht="16.5" customHeight="1" x14ac:dyDescent="0.25">
      <c r="C3" s="119" t="s">
        <v>131</v>
      </c>
      <c r="D3" s="119" t="s">
        <v>348</v>
      </c>
      <c r="E3" s="173">
        <v>8</v>
      </c>
    </row>
    <row r="4" spans="3:5" ht="16.5" customHeight="1" x14ac:dyDescent="0.25">
      <c r="C4" s="119" t="s">
        <v>132</v>
      </c>
      <c r="D4" s="119" t="s">
        <v>349</v>
      </c>
      <c r="E4" s="173">
        <v>12</v>
      </c>
    </row>
    <row r="5" spans="3:5" ht="16.5" customHeight="1" x14ac:dyDescent="0.25">
      <c r="C5" s="119" t="s">
        <v>134</v>
      </c>
      <c r="D5" s="119" t="s">
        <v>350</v>
      </c>
      <c r="E5" s="173">
        <v>24</v>
      </c>
    </row>
    <row r="6" spans="3:5" ht="16.5" customHeight="1" x14ac:dyDescent="0.25">
      <c r="C6" s="119" t="s">
        <v>135</v>
      </c>
      <c r="D6" s="119" t="s">
        <v>351</v>
      </c>
      <c r="E6" s="173">
        <v>660</v>
      </c>
    </row>
    <row r="7" spans="3:5" ht="16.5" customHeight="1" x14ac:dyDescent="0.25">
      <c r="C7" s="119" t="s">
        <v>136</v>
      </c>
      <c r="D7" s="119" t="s">
        <v>352</v>
      </c>
      <c r="E7" s="173">
        <v>28</v>
      </c>
    </row>
    <row r="8" spans="3:5" ht="16.5" customHeight="1" x14ac:dyDescent="0.25">
      <c r="C8" s="119" t="s">
        <v>137</v>
      </c>
      <c r="D8" s="119" t="s">
        <v>353</v>
      </c>
      <c r="E8" s="173">
        <v>32</v>
      </c>
    </row>
    <row r="9" spans="3:5" ht="16.5" customHeight="1" x14ac:dyDescent="0.25">
      <c r="C9" s="119" t="s">
        <v>138</v>
      </c>
      <c r="D9" s="119" t="s">
        <v>354</v>
      </c>
      <c r="E9" s="173">
        <v>51</v>
      </c>
    </row>
    <row r="10" spans="3:5" ht="16.5" customHeight="1" x14ac:dyDescent="0.25">
      <c r="C10" s="119" t="s">
        <v>140</v>
      </c>
      <c r="D10" s="119" t="s">
        <v>355</v>
      </c>
      <c r="E10" s="173">
        <v>36</v>
      </c>
    </row>
    <row r="11" spans="3:5" ht="16.5" customHeight="1" x14ac:dyDescent="0.25">
      <c r="C11" s="119" t="s">
        <v>141</v>
      </c>
      <c r="D11" s="119" t="s">
        <v>356</v>
      </c>
      <c r="E11" s="173">
        <v>40</v>
      </c>
    </row>
    <row r="12" spans="3:5" ht="16.5" customHeight="1" x14ac:dyDescent="0.25">
      <c r="C12" s="119" t="s">
        <v>142</v>
      </c>
      <c r="D12" s="119" t="s">
        <v>357</v>
      </c>
      <c r="E12" s="173">
        <v>31</v>
      </c>
    </row>
    <row r="13" spans="3:5" ht="16.5" customHeight="1" x14ac:dyDescent="0.25">
      <c r="C13" s="119" t="s">
        <v>143</v>
      </c>
      <c r="D13" s="119" t="s">
        <v>358</v>
      </c>
      <c r="E13" s="173">
        <v>44</v>
      </c>
    </row>
    <row r="14" spans="3:5" ht="16.5" customHeight="1" x14ac:dyDescent="0.25">
      <c r="C14" s="119" t="s">
        <v>144</v>
      </c>
      <c r="D14" s="119" t="s">
        <v>359</v>
      </c>
      <c r="E14" s="173">
        <v>48</v>
      </c>
    </row>
    <row r="15" spans="3:5" ht="16.5" customHeight="1" x14ac:dyDescent="0.25">
      <c r="C15" s="119" t="s">
        <v>12</v>
      </c>
      <c r="D15" s="119" t="s">
        <v>360</v>
      </c>
      <c r="E15" s="173">
        <v>50</v>
      </c>
    </row>
    <row r="16" spans="3:5" ht="16.5" customHeight="1" x14ac:dyDescent="0.25">
      <c r="C16" s="119" t="s">
        <v>145</v>
      </c>
      <c r="D16" s="119" t="s">
        <v>361</v>
      </c>
      <c r="E16" s="173">
        <v>52</v>
      </c>
    </row>
    <row r="17" spans="3:5" ht="16.5" customHeight="1" x14ac:dyDescent="0.25">
      <c r="C17" s="119" t="s">
        <v>146</v>
      </c>
      <c r="D17" s="119" t="s">
        <v>362</v>
      </c>
      <c r="E17" s="173">
        <v>112</v>
      </c>
    </row>
    <row r="18" spans="3:5" ht="16.5" customHeight="1" x14ac:dyDescent="0.25">
      <c r="C18" s="119" t="s">
        <v>147</v>
      </c>
      <c r="D18" s="119" t="s">
        <v>363</v>
      </c>
      <c r="E18" s="173">
        <v>56</v>
      </c>
    </row>
    <row r="19" spans="3:5" ht="16.5" customHeight="1" x14ac:dyDescent="0.25">
      <c r="C19" s="119" t="s">
        <v>148</v>
      </c>
      <c r="D19" s="119" t="s">
        <v>364</v>
      </c>
      <c r="E19" s="173">
        <v>84</v>
      </c>
    </row>
    <row r="20" spans="3:5" ht="16.5" customHeight="1" x14ac:dyDescent="0.25">
      <c r="C20" s="119" t="s">
        <v>13</v>
      </c>
      <c r="D20" s="119" t="s">
        <v>365</v>
      </c>
      <c r="E20" s="173">
        <v>204</v>
      </c>
    </row>
    <row r="21" spans="3:5" ht="16.5" customHeight="1" x14ac:dyDescent="0.25">
      <c r="C21" s="119" t="s">
        <v>14</v>
      </c>
      <c r="D21" s="119" t="s">
        <v>366</v>
      </c>
      <c r="E21" s="173">
        <v>64</v>
      </c>
    </row>
    <row r="22" spans="3:5" ht="16.5" customHeight="1" x14ac:dyDescent="0.25">
      <c r="C22" s="119" t="s">
        <v>367</v>
      </c>
      <c r="D22" s="119" t="s">
        <v>368</v>
      </c>
      <c r="E22" s="173">
        <v>68</v>
      </c>
    </row>
    <row r="23" spans="3:5" ht="16.5" customHeight="1" x14ac:dyDescent="0.25">
      <c r="C23" s="119" t="s">
        <v>369</v>
      </c>
      <c r="D23" s="119" t="s">
        <v>370</v>
      </c>
      <c r="E23" s="173">
        <v>70</v>
      </c>
    </row>
    <row r="24" spans="3:5" ht="16.5" customHeight="1" x14ac:dyDescent="0.25">
      <c r="C24" s="119" t="s">
        <v>151</v>
      </c>
      <c r="D24" s="119" t="s">
        <v>371</v>
      </c>
      <c r="E24" s="173">
        <v>72</v>
      </c>
    </row>
    <row r="25" spans="3:5" ht="16.5" customHeight="1" x14ac:dyDescent="0.25">
      <c r="C25" s="119" t="s">
        <v>152</v>
      </c>
      <c r="D25" s="119" t="s">
        <v>372</v>
      </c>
      <c r="E25" s="173">
        <v>76</v>
      </c>
    </row>
    <row r="26" spans="3:5" ht="16.5" customHeight="1" x14ac:dyDescent="0.25">
      <c r="C26" s="119" t="s">
        <v>155</v>
      </c>
      <c r="D26" s="119" t="s">
        <v>373</v>
      </c>
      <c r="E26" s="173">
        <v>100</v>
      </c>
    </row>
    <row r="27" spans="3:5" ht="16.5" customHeight="1" x14ac:dyDescent="0.25">
      <c r="C27" s="119" t="s">
        <v>16</v>
      </c>
      <c r="D27" s="119" t="s">
        <v>374</v>
      </c>
      <c r="E27" s="173">
        <v>854</v>
      </c>
    </row>
    <row r="28" spans="3:5" ht="16.5" customHeight="1" x14ac:dyDescent="0.25">
      <c r="C28" s="119" t="s">
        <v>16</v>
      </c>
      <c r="D28" s="119" t="s">
        <v>375</v>
      </c>
      <c r="E28" s="212" t="s">
        <v>375</v>
      </c>
    </row>
    <row r="29" spans="3:5" ht="16.5" customHeight="1" x14ac:dyDescent="0.25">
      <c r="C29" s="119" t="s">
        <v>17</v>
      </c>
      <c r="D29" s="119" t="s">
        <v>376</v>
      </c>
      <c r="E29" s="173">
        <v>108</v>
      </c>
    </row>
    <row r="30" spans="3:5" ht="16.5" customHeight="1" x14ac:dyDescent="0.25">
      <c r="C30" s="119" t="s">
        <v>156</v>
      </c>
      <c r="D30" s="119" t="s">
        <v>377</v>
      </c>
      <c r="E30" s="173">
        <v>132</v>
      </c>
    </row>
    <row r="31" spans="3:5" ht="16.5" customHeight="1" x14ac:dyDescent="0.25">
      <c r="C31" s="119" t="s">
        <v>18</v>
      </c>
      <c r="D31" s="119" t="s">
        <v>378</v>
      </c>
      <c r="E31" s="173">
        <v>116</v>
      </c>
    </row>
    <row r="32" spans="3:5" ht="16.5" customHeight="1" x14ac:dyDescent="0.25">
      <c r="C32" s="119" t="s">
        <v>19</v>
      </c>
      <c r="D32" s="119" t="s">
        <v>379</v>
      </c>
      <c r="E32" s="173">
        <v>120</v>
      </c>
    </row>
    <row r="33" spans="3:5" ht="16.5" customHeight="1" x14ac:dyDescent="0.25">
      <c r="C33" s="119" t="s">
        <v>19</v>
      </c>
      <c r="D33" s="119" t="s">
        <v>375</v>
      </c>
      <c r="E33" s="212" t="s">
        <v>375</v>
      </c>
    </row>
    <row r="34" spans="3:5" ht="16.5" customHeight="1" x14ac:dyDescent="0.25">
      <c r="C34" s="119" t="s">
        <v>157</v>
      </c>
      <c r="D34" s="119" t="s">
        <v>380</v>
      </c>
      <c r="E34" s="173">
        <v>124</v>
      </c>
    </row>
    <row r="35" spans="3:5" ht="16.5" customHeight="1" x14ac:dyDescent="0.25">
      <c r="C35" s="119" t="s">
        <v>2012</v>
      </c>
      <c r="D35" s="119" t="s">
        <v>381</v>
      </c>
      <c r="E35" s="173">
        <v>140</v>
      </c>
    </row>
    <row r="36" spans="3:5" ht="16.5" customHeight="1" x14ac:dyDescent="0.25">
      <c r="C36" s="119" t="s">
        <v>20</v>
      </c>
      <c r="D36" s="119" t="s">
        <v>382</v>
      </c>
      <c r="E36" s="173">
        <v>148</v>
      </c>
    </row>
    <row r="37" spans="3:5" ht="16.5" customHeight="1" x14ac:dyDescent="0.25">
      <c r="C37" s="119" t="s">
        <v>20</v>
      </c>
      <c r="D37" s="119" t="s">
        <v>375</v>
      </c>
      <c r="E37" s="212" t="s">
        <v>375</v>
      </c>
    </row>
    <row r="38" spans="3:5" ht="16.5" customHeight="1" x14ac:dyDescent="0.25">
      <c r="C38" s="119" t="s">
        <v>159</v>
      </c>
      <c r="D38" s="119" t="s">
        <v>383</v>
      </c>
      <c r="E38" s="173">
        <v>152</v>
      </c>
    </row>
    <row r="39" spans="3:5" ht="16.5" customHeight="1" x14ac:dyDescent="0.25">
      <c r="C39" s="119" t="s">
        <v>160</v>
      </c>
      <c r="D39" s="119" t="s">
        <v>384</v>
      </c>
      <c r="E39" s="173">
        <v>156</v>
      </c>
    </row>
    <row r="40" spans="3:5" ht="16.5" customHeight="1" x14ac:dyDescent="0.25">
      <c r="C40" s="119" t="s">
        <v>161</v>
      </c>
      <c r="D40" s="119" t="s">
        <v>385</v>
      </c>
      <c r="E40" s="173">
        <v>344</v>
      </c>
    </row>
    <row r="41" spans="3:5" ht="16.5" customHeight="1" x14ac:dyDescent="0.25">
      <c r="C41" s="119" t="s">
        <v>163</v>
      </c>
      <c r="D41" s="119" t="s">
        <v>386</v>
      </c>
      <c r="E41" s="173">
        <v>170</v>
      </c>
    </row>
    <row r="42" spans="3:5" ht="16.5" customHeight="1" x14ac:dyDescent="0.25">
      <c r="C42" s="119" t="s">
        <v>21</v>
      </c>
      <c r="D42" s="119" t="s">
        <v>387</v>
      </c>
      <c r="E42" s="173">
        <v>174</v>
      </c>
    </row>
    <row r="43" spans="3:5" ht="16.5" customHeight="1" x14ac:dyDescent="0.25">
      <c r="C43" s="119" t="s">
        <v>22</v>
      </c>
      <c r="D43" s="119" t="s">
        <v>388</v>
      </c>
      <c r="E43" s="173">
        <v>178</v>
      </c>
    </row>
    <row r="44" spans="3:5" ht="16.5" customHeight="1" x14ac:dyDescent="0.25">
      <c r="C44" s="119" t="s">
        <v>22</v>
      </c>
      <c r="D44" s="119" t="s">
        <v>375</v>
      </c>
      <c r="E44" s="212" t="s">
        <v>375</v>
      </c>
    </row>
    <row r="45" spans="3:5" ht="16.5" customHeight="1" x14ac:dyDescent="0.25">
      <c r="C45" s="119" t="s">
        <v>164</v>
      </c>
      <c r="D45" s="119" t="s">
        <v>389</v>
      </c>
      <c r="E45" s="173">
        <v>184</v>
      </c>
    </row>
    <row r="46" spans="3:5" ht="16.5" customHeight="1" x14ac:dyDescent="0.25">
      <c r="C46" s="119" t="s">
        <v>165</v>
      </c>
      <c r="D46" s="119" t="s">
        <v>390</v>
      </c>
      <c r="E46" s="173">
        <v>188</v>
      </c>
    </row>
    <row r="47" spans="3:5" ht="16.5" customHeight="1" x14ac:dyDescent="0.25">
      <c r="C47" s="119" t="s">
        <v>2014</v>
      </c>
      <c r="D47" s="119" t="s">
        <v>391</v>
      </c>
      <c r="E47" s="173">
        <v>384</v>
      </c>
    </row>
    <row r="48" spans="3:5" ht="16.5" customHeight="1" x14ac:dyDescent="0.25">
      <c r="C48" s="119" t="s">
        <v>166</v>
      </c>
      <c r="D48" s="119" t="s">
        <v>392</v>
      </c>
      <c r="E48" s="173">
        <v>191</v>
      </c>
    </row>
    <row r="49" spans="3:5" ht="16.5" customHeight="1" x14ac:dyDescent="0.25">
      <c r="C49" s="119" t="s">
        <v>167</v>
      </c>
      <c r="D49" s="119" t="s">
        <v>393</v>
      </c>
      <c r="E49" s="173">
        <v>192</v>
      </c>
    </row>
    <row r="50" spans="3:5" ht="16.5" customHeight="1" x14ac:dyDescent="0.25">
      <c r="C50" s="119" t="s">
        <v>169</v>
      </c>
      <c r="D50" s="119" t="s">
        <v>394</v>
      </c>
      <c r="E50" s="173">
        <v>203</v>
      </c>
    </row>
    <row r="51" spans="3:5" ht="16.5" customHeight="1" x14ac:dyDescent="0.25">
      <c r="C51" s="119" t="s">
        <v>395</v>
      </c>
      <c r="D51" s="119" t="s">
        <v>396</v>
      </c>
      <c r="E51" s="173">
        <v>408</v>
      </c>
    </row>
    <row r="52" spans="3:5" ht="16.5" customHeight="1" x14ac:dyDescent="0.25">
      <c r="C52" s="119" t="s">
        <v>397</v>
      </c>
      <c r="D52" s="119" t="s">
        <v>398</v>
      </c>
      <c r="E52" s="173">
        <v>180</v>
      </c>
    </row>
    <row r="53" spans="3:5" ht="16.5" customHeight="1" x14ac:dyDescent="0.25">
      <c r="C53" s="119" t="s">
        <v>170</v>
      </c>
      <c r="D53" s="119" t="s">
        <v>399</v>
      </c>
      <c r="E53" s="173">
        <v>208</v>
      </c>
    </row>
    <row r="54" spans="3:5" ht="16.5" customHeight="1" x14ac:dyDescent="0.25">
      <c r="C54" s="119" t="s">
        <v>24</v>
      </c>
      <c r="D54" s="119" t="s">
        <v>400</v>
      </c>
      <c r="E54" s="173">
        <v>262</v>
      </c>
    </row>
    <row r="55" spans="3:5" ht="16.5" customHeight="1" x14ac:dyDescent="0.25">
      <c r="C55" s="119" t="s">
        <v>171</v>
      </c>
      <c r="D55" s="119" t="s">
        <v>401</v>
      </c>
      <c r="E55" s="173">
        <v>212</v>
      </c>
    </row>
    <row r="56" spans="3:5" ht="16.5" customHeight="1" x14ac:dyDescent="0.25">
      <c r="C56" s="119" t="s">
        <v>172</v>
      </c>
      <c r="D56" s="119" t="s">
        <v>402</v>
      </c>
      <c r="E56" s="173">
        <v>214</v>
      </c>
    </row>
    <row r="57" spans="3:5" ht="16.5" customHeight="1" x14ac:dyDescent="0.25">
      <c r="C57" s="119" t="s">
        <v>173</v>
      </c>
      <c r="D57" s="119" t="s">
        <v>403</v>
      </c>
      <c r="E57" s="173">
        <v>218</v>
      </c>
    </row>
    <row r="58" spans="3:5" ht="16.5" customHeight="1" x14ac:dyDescent="0.25">
      <c r="C58" s="119" t="s">
        <v>27</v>
      </c>
      <c r="D58" s="119" t="s">
        <v>404</v>
      </c>
      <c r="E58" s="173">
        <v>818</v>
      </c>
    </row>
    <row r="59" spans="3:5" ht="16.5" customHeight="1" x14ac:dyDescent="0.25">
      <c r="C59" s="119" t="s">
        <v>174</v>
      </c>
      <c r="D59" s="119" t="s">
        <v>405</v>
      </c>
      <c r="E59" s="173">
        <v>222</v>
      </c>
    </row>
    <row r="60" spans="3:5" ht="16.5" customHeight="1" x14ac:dyDescent="0.25">
      <c r="C60" s="119" t="s">
        <v>175</v>
      </c>
      <c r="D60" s="119" t="s">
        <v>406</v>
      </c>
      <c r="E60" s="173">
        <v>226</v>
      </c>
    </row>
    <row r="61" spans="3:5" ht="16.5" customHeight="1" x14ac:dyDescent="0.25">
      <c r="C61" s="119" t="s">
        <v>28</v>
      </c>
      <c r="D61" s="119" t="s">
        <v>407</v>
      </c>
      <c r="E61" s="173">
        <v>232</v>
      </c>
    </row>
    <row r="62" spans="3:5" ht="16.5" customHeight="1" x14ac:dyDescent="0.25">
      <c r="C62" s="119" t="s">
        <v>176</v>
      </c>
      <c r="D62" s="119" t="s">
        <v>408</v>
      </c>
      <c r="E62" s="173">
        <v>233</v>
      </c>
    </row>
    <row r="63" spans="3:5" ht="16.5" customHeight="1" x14ac:dyDescent="0.25">
      <c r="C63" s="119" t="s">
        <v>29</v>
      </c>
      <c r="D63" s="119" t="s">
        <v>409</v>
      </c>
      <c r="E63" s="173">
        <v>231</v>
      </c>
    </row>
    <row r="64" spans="3:5" ht="16.5" customHeight="1" x14ac:dyDescent="0.25">
      <c r="C64" s="119" t="s">
        <v>179</v>
      </c>
      <c r="D64" s="119" t="s">
        <v>410</v>
      </c>
      <c r="E64" s="173">
        <v>242</v>
      </c>
    </row>
    <row r="65" spans="3:5" ht="16.5" customHeight="1" x14ac:dyDescent="0.25">
      <c r="C65" s="119" t="s">
        <v>180</v>
      </c>
      <c r="D65" s="119" t="s">
        <v>411</v>
      </c>
      <c r="E65" s="173">
        <v>246</v>
      </c>
    </row>
    <row r="66" spans="3:5" ht="16.5" customHeight="1" x14ac:dyDescent="0.25">
      <c r="C66" s="119" t="s">
        <v>181</v>
      </c>
      <c r="D66" s="119" t="s">
        <v>412</v>
      </c>
      <c r="E66" s="173">
        <v>250</v>
      </c>
    </row>
    <row r="67" spans="3:5" ht="16.5" customHeight="1" x14ac:dyDescent="0.25">
      <c r="C67" s="119" t="s">
        <v>184</v>
      </c>
      <c r="D67" s="119" t="s">
        <v>413</v>
      </c>
      <c r="E67" s="173">
        <v>266</v>
      </c>
    </row>
    <row r="68" spans="3:5" ht="16.5" customHeight="1" x14ac:dyDescent="0.25">
      <c r="C68" s="119" t="s">
        <v>30</v>
      </c>
      <c r="D68" s="119" t="s">
        <v>414</v>
      </c>
      <c r="E68" s="173">
        <v>270</v>
      </c>
    </row>
    <row r="69" spans="3:5" ht="16.5" customHeight="1" x14ac:dyDescent="0.25">
      <c r="C69" s="119" t="s">
        <v>185</v>
      </c>
      <c r="D69" s="119" t="s">
        <v>415</v>
      </c>
      <c r="E69" s="173">
        <v>268</v>
      </c>
    </row>
    <row r="70" spans="3:5" ht="16.5" customHeight="1" x14ac:dyDescent="0.25">
      <c r="C70" s="119" t="s">
        <v>186</v>
      </c>
      <c r="D70" s="119" t="s">
        <v>416</v>
      </c>
      <c r="E70" s="173">
        <v>276</v>
      </c>
    </row>
    <row r="71" spans="3:5" ht="16.5" customHeight="1" x14ac:dyDescent="0.25">
      <c r="C71" s="119" t="s">
        <v>31</v>
      </c>
      <c r="D71" s="119" t="s">
        <v>417</v>
      </c>
      <c r="E71" s="173">
        <v>288</v>
      </c>
    </row>
    <row r="72" spans="3:5" ht="16.5" customHeight="1" x14ac:dyDescent="0.25">
      <c r="C72" s="119" t="s">
        <v>188</v>
      </c>
      <c r="D72" s="119" t="s">
        <v>418</v>
      </c>
      <c r="E72" s="173">
        <v>300</v>
      </c>
    </row>
    <row r="73" spans="3:5" ht="16.5" customHeight="1" x14ac:dyDescent="0.25">
      <c r="C73" s="119" t="s">
        <v>190</v>
      </c>
      <c r="D73" s="119" t="s">
        <v>419</v>
      </c>
      <c r="E73" s="173">
        <v>308</v>
      </c>
    </row>
    <row r="74" spans="3:5" ht="16.5" customHeight="1" x14ac:dyDescent="0.25">
      <c r="C74" s="119" t="s">
        <v>191</v>
      </c>
      <c r="D74" s="119" t="s">
        <v>420</v>
      </c>
      <c r="E74" s="173">
        <v>312</v>
      </c>
    </row>
    <row r="75" spans="3:5" ht="16.5" customHeight="1" x14ac:dyDescent="0.25">
      <c r="C75" s="119" t="s">
        <v>192</v>
      </c>
      <c r="D75" s="119" t="s">
        <v>421</v>
      </c>
      <c r="E75" s="173">
        <v>316</v>
      </c>
    </row>
    <row r="76" spans="3:5" ht="16.5" customHeight="1" x14ac:dyDescent="0.25">
      <c r="C76" s="119" t="s">
        <v>193</v>
      </c>
      <c r="D76" s="119" t="s">
        <v>422</v>
      </c>
      <c r="E76" s="173">
        <v>320</v>
      </c>
    </row>
    <row r="77" spans="3:5" ht="16.5" customHeight="1" x14ac:dyDescent="0.25">
      <c r="C77" s="119" t="s">
        <v>32</v>
      </c>
      <c r="D77" s="119" t="s">
        <v>423</v>
      </c>
      <c r="E77" s="173">
        <v>324</v>
      </c>
    </row>
    <row r="78" spans="3:5" ht="16.5" customHeight="1" x14ac:dyDescent="0.25">
      <c r="C78" s="119" t="s">
        <v>33</v>
      </c>
      <c r="D78" s="119" t="s">
        <v>424</v>
      </c>
      <c r="E78" s="173">
        <v>624</v>
      </c>
    </row>
    <row r="79" spans="3:5" ht="16.5" customHeight="1" x14ac:dyDescent="0.25">
      <c r="C79" s="119" t="s">
        <v>194</v>
      </c>
      <c r="D79" s="119" t="s">
        <v>425</v>
      </c>
      <c r="E79" s="173">
        <v>328</v>
      </c>
    </row>
    <row r="80" spans="3:5" ht="16.5" customHeight="1" x14ac:dyDescent="0.25">
      <c r="C80" s="119" t="s">
        <v>34</v>
      </c>
      <c r="D80" s="119" t="s">
        <v>426</v>
      </c>
      <c r="E80" s="173">
        <v>332</v>
      </c>
    </row>
    <row r="81" spans="3:5" ht="16.5" customHeight="1" x14ac:dyDescent="0.25">
      <c r="C81" s="119" t="s">
        <v>35</v>
      </c>
      <c r="D81" s="119" t="s">
        <v>427</v>
      </c>
      <c r="E81" s="173">
        <v>340</v>
      </c>
    </row>
    <row r="82" spans="3:5" ht="16.5" customHeight="1" x14ac:dyDescent="0.25">
      <c r="C82" s="119" t="s">
        <v>195</v>
      </c>
      <c r="D82" s="119" t="s">
        <v>428</v>
      </c>
      <c r="E82" s="173">
        <v>348</v>
      </c>
    </row>
    <row r="83" spans="3:5" ht="16.5" customHeight="1" x14ac:dyDescent="0.25">
      <c r="C83" s="119" t="s">
        <v>36</v>
      </c>
      <c r="D83" s="119" t="s">
        <v>429</v>
      </c>
      <c r="E83" s="173">
        <v>356</v>
      </c>
    </row>
    <row r="84" spans="3:5" ht="16.5" customHeight="1" x14ac:dyDescent="0.25">
      <c r="C84" s="119" t="s">
        <v>37</v>
      </c>
      <c r="D84" s="119" t="s">
        <v>430</v>
      </c>
      <c r="E84" s="173">
        <v>360</v>
      </c>
    </row>
    <row r="85" spans="3:5" ht="16.5" customHeight="1" x14ac:dyDescent="0.25">
      <c r="C85" s="119" t="s">
        <v>37</v>
      </c>
      <c r="D85" s="119" t="s">
        <v>375</v>
      </c>
      <c r="E85" s="212" t="s">
        <v>375</v>
      </c>
    </row>
    <row r="86" spans="3:5" ht="16.5" customHeight="1" x14ac:dyDescent="0.25">
      <c r="C86" s="119" t="s">
        <v>197</v>
      </c>
      <c r="D86" s="119" t="s">
        <v>431</v>
      </c>
      <c r="E86" s="173">
        <v>364</v>
      </c>
    </row>
    <row r="87" spans="3:5" ht="16.5" customHeight="1" x14ac:dyDescent="0.25">
      <c r="C87" s="119" t="s">
        <v>38</v>
      </c>
      <c r="D87" s="119" t="s">
        <v>432</v>
      </c>
      <c r="E87" s="173">
        <v>368</v>
      </c>
    </row>
    <row r="88" spans="3:5" ht="16.5" customHeight="1" x14ac:dyDescent="0.25">
      <c r="C88" s="119" t="s">
        <v>198</v>
      </c>
      <c r="D88" s="119" t="s">
        <v>433</v>
      </c>
      <c r="E88" s="173">
        <v>372</v>
      </c>
    </row>
    <row r="89" spans="3:5" ht="16.5" customHeight="1" x14ac:dyDescent="0.25">
      <c r="C89" s="119" t="s">
        <v>199</v>
      </c>
      <c r="D89" s="119" t="s">
        <v>434</v>
      </c>
      <c r="E89" s="173">
        <v>376</v>
      </c>
    </row>
    <row r="90" spans="3:5" ht="16.5" customHeight="1" x14ac:dyDescent="0.25">
      <c r="C90" s="119" t="s">
        <v>200</v>
      </c>
      <c r="D90" s="119" t="s">
        <v>435</v>
      </c>
      <c r="E90" s="173">
        <v>380</v>
      </c>
    </row>
    <row r="91" spans="3:5" ht="16.5" customHeight="1" x14ac:dyDescent="0.25">
      <c r="C91" s="119" t="s">
        <v>201</v>
      </c>
      <c r="D91" s="119" t="s">
        <v>436</v>
      </c>
      <c r="E91" s="173">
        <v>388</v>
      </c>
    </row>
    <row r="92" spans="3:5" ht="16.5" customHeight="1" x14ac:dyDescent="0.25">
      <c r="C92" s="119" t="s">
        <v>202</v>
      </c>
      <c r="D92" s="119" t="s">
        <v>437</v>
      </c>
      <c r="E92" s="173">
        <v>392</v>
      </c>
    </row>
    <row r="93" spans="3:5" ht="16.5" customHeight="1" x14ac:dyDescent="0.25">
      <c r="C93" s="119" t="s">
        <v>203</v>
      </c>
      <c r="D93" s="119" t="s">
        <v>438</v>
      </c>
      <c r="E93" s="173">
        <v>400</v>
      </c>
    </row>
    <row r="94" spans="3:5" ht="16.5" customHeight="1" x14ac:dyDescent="0.25">
      <c r="C94" s="119" t="s">
        <v>204</v>
      </c>
      <c r="D94" s="119" t="s">
        <v>439</v>
      </c>
      <c r="E94" s="173">
        <v>398</v>
      </c>
    </row>
    <row r="95" spans="3:5" ht="16.5" customHeight="1" x14ac:dyDescent="0.25">
      <c r="C95" s="119" t="s">
        <v>39</v>
      </c>
      <c r="D95" s="119" t="s">
        <v>440</v>
      </c>
      <c r="E95" s="173">
        <v>404</v>
      </c>
    </row>
    <row r="96" spans="3:5" ht="16.5" customHeight="1" x14ac:dyDescent="0.25">
      <c r="C96" s="119" t="s">
        <v>39</v>
      </c>
      <c r="D96" s="119" t="s">
        <v>375</v>
      </c>
      <c r="E96" s="212" t="s">
        <v>375</v>
      </c>
    </row>
    <row r="97" spans="3:5" ht="16.5" customHeight="1" x14ac:dyDescent="0.25">
      <c r="C97" s="119" t="s">
        <v>205</v>
      </c>
      <c r="D97" s="119" t="s">
        <v>441</v>
      </c>
      <c r="E97" s="173">
        <v>296</v>
      </c>
    </row>
    <row r="98" spans="3:5" ht="16.5" customHeight="1" x14ac:dyDescent="0.25">
      <c r="C98" s="119" t="s">
        <v>206</v>
      </c>
      <c r="D98" s="119" t="s">
        <v>442</v>
      </c>
      <c r="E98" s="173">
        <v>414</v>
      </c>
    </row>
    <row r="99" spans="3:5" ht="16.5" customHeight="1" x14ac:dyDescent="0.25">
      <c r="C99" s="119" t="s">
        <v>40</v>
      </c>
      <c r="D99" s="119" t="s">
        <v>443</v>
      </c>
      <c r="E99" s="173">
        <v>417</v>
      </c>
    </row>
    <row r="100" spans="3:5" ht="16.5" customHeight="1" x14ac:dyDescent="0.25">
      <c r="C100" s="119" t="s">
        <v>444</v>
      </c>
      <c r="D100" s="119" t="s">
        <v>445</v>
      </c>
      <c r="E100" s="173">
        <v>418</v>
      </c>
    </row>
    <row r="101" spans="3:5" ht="16.5" customHeight="1" x14ac:dyDescent="0.25">
      <c r="C101" s="119" t="s">
        <v>207</v>
      </c>
      <c r="D101" s="119" t="s">
        <v>446</v>
      </c>
      <c r="E101" s="173">
        <v>428</v>
      </c>
    </row>
    <row r="102" spans="3:5" ht="16.5" customHeight="1" x14ac:dyDescent="0.25">
      <c r="C102" s="119" t="s">
        <v>208</v>
      </c>
      <c r="D102" s="119" t="s">
        <v>447</v>
      </c>
      <c r="E102" s="173">
        <v>422</v>
      </c>
    </row>
    <row r="103" spans="3:5" ht="16.5" customHeight="1" x14ac:dyDescent="0.25">
      <c r="C103" s="119" t="s">
        <v>42</v>
      </c>
      <c r="D103" s="119" t="s">
        <v>448</v>
      </c>
      <c r="E103" s="173">
        <v>426</v>
      </c>
    </row>
    <row r="104" spans="3:5" ht="16.5" customHeight="1" x14ac:dyDescent="0.25">
      <c r="C104" s="119" t="s">
        <v>43</v>
      </c>
      <c r="D104" s="119" t="s">
        <v>449</v>
      </c>
      <c r="E104" s="173">
        <v>430</v>
      </c>
    </row>
    <row r="105" spans="3:5" ht="16.5" customHeight="1" x14ac:dyDescent="0.25">
      <c r="C105" s="119" t="s">
        <v>209</v>
      </c>
      <c r="D105" s="119" t="s">
        <v>450</v>
      </c>
      <c r="E105" s="173">
        <v>434</v>
      </c>
    </row>
    <row r="106" spans="3:5" ht="16.5" customHeight="1" x14ac:dyDescent="0.25">
      <c r="C106" s="119" t="s">
        <v>211</v>
      </c>
      <c r="D106" s="119" t="s">
        <v>451</v>
      </c>
      <c r="E106" s="173">
        <v>440</v>
      </c>
    </row>
    <row r="107" spans="3:5" ht="16.5" customHeight="1" x14ac:dyDescent="0.25">
      <c r="C107" s="119" t="s">
        <v>44</v>
      </c>
      <c r="D107" s="119" t="s">
        <v>452</v>
      </c>
      <c r="E107" s="173">
        <v>450</v>
      </c>
    </row>
    <row r="108" spans="3:5" ht="16.5" customHeight="1" x14ac:dyDescent="0.25">
      <c r="C108" s="119" t="s">
        <v>45</v>
      </c>
      <c r="D108" s="119" t="s">
        <v>453</v>
      </c>
      <c r="E108" s="173">
        <v>454</v>
      </c>
    </row>
    <row r="109" spans="3:5" ht="16.5" customHeight="1" x14ac:dyDescent="0.25">
      <c r="C109" s="119" t="s">
        <v>213</v>
      </c>
      <c r="D109" s="119" t="s">
        <v>454</v>
      </c>
      <c r="E109" s="173">
        <v>458</v>
      </c>
    </row>
    <row r="110" spans="3:5" ht="16.5" customHeight="1" x14ac:dyDescent="0.25">
      <c r="C110" s="119" t="s">
        <v>214</v>
      </c>
      <c r="D110" s="119" t="s">
        <v>455</v>
      </c>
      <c r="E110" s="173">
        <v>462</v>
      </c>
    </row>
    <row r="111" spans="3:5" ht="16.5" customHeight="1" x14ac:dyDescent="0.25">
      <c r="C111" s="119" t="s">
        <v>46</v>
      </c>
      <c r="D111" s="119" t="s">
        <v>456</v>
      </c>
      <c r="E111" s="173">
        <v>466</v>
      </c>
    </row>
    <row r="112" spans="3:5" ht="16.5" customHeight="1" x14ac:dyDescent="0.25">
      <c r="C112" s="119" t="s">
        <v>215</v>
      </c>
      <c r="D112" s="119" t="s">
        <v>457</v>
      </c>
      <c r="E112" s="173">
        <v>470</v>
      </c>
    </row>
    <row r="113" spans="3:5" ht="16.5" customHeight="1" x14ac:dyDescent="0.25">
      <c r="C113" s="119" t="s">
        <v>216</v>
      </c>
      <c r="D113" s="119" t="s">
        <v>458</v>
      </c>
      <c r="E113" s="173">
        <v>584</v>
      </c>
    </row>
    <row r="114" spans="3:5" ht="16.5" customHeight="1" x14ac:dyDescent="0.25">
      <c r="C114" s="119" t="s">
        <v>217</v>
      </c>
      <c r="D114" s="119" t="s">
        <v>459</v>
      </c>
      <c r="E114" s="173">
        <v>474</v>
      </c>
    </row>
    <row r="115" spans="3:5" ht="16.5" customHeight="1" x14ac:dyDescent="0.25">
      <c r="C115" s="119" t="s">
        <v>47</v>
      </c>
      <c r="D115" s="119" t="s">
        <v>460</v>
      </c>
      <c r="E115" s="173">
        <v>478</v>
      </c>
    </row>
    <row r="116" spans="3:5" ht="16.5" customHeight="1" x14ac:dyDescent="0.25">
      <c r="C116" s="119" t="s">
        <v>218</v>
      </c>
      <c r="D116" s="119" t="s">
        <v>461</v>
      </c>
      <c r="E116" s="173">
        <v>480</v>
      </c>
    </row>
    <row r="117" spans="3:5" ht="16.5" customHeight="1" x14ac:dyDescent="0.25">
      <c r="C117" s="119" t="s">
        <v>220</v>
      </c>
      <c r="D117" s="119" t="s">
        <v>462</v>
      </c>
      <c r="E117" s="173">
        <v>484</v>
      </c>
    </row>
    <row r="118" spans="3:5" ht="16.5" customHeight="1" x14ac:dyDescent="0.25">
      <c r="C118" s="119" t="s">
        <v>48</v>
      </c>
      <c r="D118" s="119" t="s">
        <v>463</v>
      </c>
      <c r="E118" s="173">
        <v>496</v>
      </c>
    </row>
    <row r="119" spans="3:5" ht="16.5" customHeight="1" x14ac:dyDescent="0.25">
      <c r="C119" s="119" t="s">
        <v>221</v>
      </c>
      <c r="D119" s="119" t="s">
        <v>464</v>
      </c>
      <c r="E119" s="173">
        <v>499</v>
      </c>
    </row>
    <row r="120" spans="3:5" ht="16.5" customHeight="1" x14ac:dyDescent="0.25">
      <c r="C120" s="119" t="s">
        <v>222</v>
      </c>
      <c r="D120" s="119" t="s">
        <v>465</v>
      </c>
      <c r="E120" s="173">
        <v>500</v>
      </c>
    </row>
    <row r="121" spans="3:5" ht="16.5" customHeight="1" x14ac:dyDescent="0.25">
      <c r="C121" s="119" t="s">
        <v>223</v>
      </c>
      <c r="D121" s="119" t="s">
        <v>466</v>
      </c>
      <c r="E121" s="173">
        <v>504</v>
      </c>
    </row>
    <row r="122" spans="3:5" ht="16.5" customHeight="1" x14ac:dyDescent="0.25">
      <c r="C122" s="119" t="s">
        <v>49</v>
      </c>
      <c r="D122" s="119" t="s">
        <v>467</v>
      </c>
      <c r="E122" s="173">
        <v>508</v>
      </c>
    </row>
    <row r="123" spans="3:5" ht="16.5" customHeight="1" x14ac:dyDescent="0.25">
      <c r="C123" s="119" t="s">
        <v>50</v>
      </c>
      <c r="D123" s="119" t="s">
        <v>468</v>
      </c>
      <c r="E123" s="173">
        <v>104</v>
      </c>
    </row>
    <row r="124" spans="3:5" ht="16.5" customHeight="1" x14ac:dyDescent="0.25">
      <c r="C124" s="119" t="s">
        <v>224</v>
      </c>
      <c r="D124" s="119" t="s">
        <v>469</v>
      </c>
      <c r="E124" s="173">
        <v>516</v>
      </c>
    </row>
    <row r="125" spans="3:5" ht="16.5" customHeight="1" x14ac:dyDescent="0.25">
      <c r="C125" s="119" t="s">
        <v>225</v>
      </c>
      <c r="D125" s="119" t="s">
        <v>470</v>
      </c>
      <c r="E125" s="173">
        <v>520</v>
      </c>
    </row>
    <row r="126" spans="3:5" ht="16.5" customHeight="1" x14ac:dyDescent="0.25">
      <c r="C126" s="119" t="s">
        <v>51</v>
      </c>
      <c r="D126" s="119" t="s">
        <v>471</v>
      </c>
      <c r="E126" s="173">
        <v>524</v>
      </c>
    </row>
    <row r="127" spans="3:5" ht="16.5" customHeight="1" x14ac:dyDescent="0.25">
      <c r="C127" s="119" t="s">
        <v>226</v>
      </c>
      <c r="D127" s="119" t="s">
        <v>472</v>
      </c>
      <c r="E127" s="173">
        <v>528</v>
      </c>
    </row>
    <row r="128" spans="3:5" ht="16.5" customHeight="1" x14ac:dyDescent="0.25">
      <c r="C128" s="119" t="s">
        <v>229</v>
      </c>
      <c r="D128" s="119" t="s">
        <v>473</v>
      </c>
      <c r="E128" s="173">
        <v>554</v>
      </c>
    </row>
    <row r="129" spans="3:5" ht="16.5" customHeight="1" x14ac:dyDescent="0.25">
      <c r="C129" s="119" t="s">
        <v>52</v>
      </c>
      <c r="D129" s="119" t="s">
        <v>474</v>
      </c>
      <c r="E129" s="173">
        <v>558</v>
      </c>
    </row>
    <row r="130" spans="3:5" ht="16.5" customHeight="1" x14ac:dyDescent="0.25">
      <c r="C130" s="119" t="s">
        <v>53</v>
      </c>
      <c r="D130" s="119" t="s">
        <v>475</v>
      </c>
      <c r="E130" s="173">
        <v>562</v>
      </c>
    </row>
    <row r="131" spans="3:5" ht="16.5" customHeight="1" x14ac:dyDescent="0.25">
      <c r="C131" s="119" t="s">
        <v>54</v>
      </c>
      <c r="D131" s="119" t="s">
        <v>476</v>
      </c>
      <c r="E131" s="173">
        <v>566</v>
      </c>
    </row>
    <row r="132" spans="3:5" ht="16.5" customHeight="1" x14ac:dyDescent="0.25">
      <c r="C132" s="119" t="s">
        <v>477</v>
      </c>
      <c r="D132" s="119" t="s">
        <v>478</v>
      </c>
      <c r="E132" s="173">
        <v>580</v>
      </c>
    </row>
    <row r="133" spans="3:5" ht="16.5" customHeight="1" x14ac:dyDescent="0.25">
      <c r="C133" s="119" t="s">
        <v>230</v>
      </c>
      <c r="D133" s="119" t="s">
        <v>479</v>
      </c>
      <c r="E133" s="173">
        <v>578</v>
      </c>
    </row>
    <row r="134" spans="3:5" ht="16.5" customHeight="1" x14ac:dyDescent="0.25">
      <c r="C134" s="119" t="s">
        <v>231</v>
      </c>
      <c r="D134" s="119" t="s">
        <v>480</v>
      </c>
      <c r="E134" s="173">
        <v>512</v>
      </c>
    </row>
    <row r="135" spans="3:5" ht="16.5" customHeight="1" x14ac:dyDescent="0.25">
      <c r="C135" s="119" t="s">
        <v>55</v>
      </c>
      <c r="D135" s="119" t="s">
        <v>481</v>
      </c>
      <c r="E135" s="173">
        <v>586</v>
      </c>
    </row>
    <row r="136" spans="3:5" ht="16.5" customHeight="1" x14ac:dyDescent="0.25">
      <c r="C136" s="119" t="s">
        <v>232</v>
      </c>
      <c r="D136" s="119" t="s">
        <v>482</v>
      </c>
      <c r="E136" s="173">
        <v>585</v>
      </c>
    </row>
    <row r="137" spans="3:5" ht="16.5" customHeight="1" x14ac:dyDescent="0.25">
      <c r="C137" s="119" t="s">
        <v>233</v>
      </c>
      <c r="D137" s="119" t="s">
        <v>483</v>
      </c>
      <c r="E137" s="173">
        <v>591</v>
      </c>
    </row>
    <row r="138" spans="3:5" ht="16.5" customHeight="1" x14ac:dyDescent="0.25">
      <c r="C138" s="119" t="s">
        <v>56</v>
      </c>
      <c r="D138" s="119" t="s">
        <v>484</v>
      </c>
      <c r="E138" s="173">
        <v>598</v>
      </c>
    </row>
    <row r="139" spans="3:5" ht="16.5" customHeight="1" x14ac:dyDescent="0.25">
      <c r="C139" s="119" t="s">
        <v>234</v>
      </c>
      <c r="D139" s="119" t="s">
        <v>485</v>
      </c>
      <c r="E139" s="173">
        <v>600</v>
      </c>
    </row>
    <row r="140" spans="3:5" ht="16.5" customHeight="1" x14ac:dyDescent="0.25">
      <c r="C140" s="119" t="s">
        <v>235</v>
      </c>
      <c r="D140" s="119" t="s">
        <v>486</v>
      </c>
      <c r="E140" s="173">
        <v>604</v>
      </c>
    </row>
    <row r="141" spans="3:5" ht="16.5" customHeight="1" x14ac:dyDescent="0.25">
      <c r="C141" s="119" t="s">
        <v>57</v>
      </c>
      <c r="D141" s="119" t="s">
        <v>487</v>
      </c>
      <c r="E141" s="173">
        <v>608</v>
      </c>
    </row>
    <row r="142" spans="3:5" ht="16.5" customHeight="1" x14ac:dyDescent="0.25">
      <c r="C142" s="119" t="s">
        <v>236</v>
      </c>
      <c r="D142" s="119" t="s">
        <v>488</v>
      </c>
      <c r="E142" s="173">
        <v>616</v>
      </c>
    </row>
    <row r="143" spans="3:5" ht="16.5" customHeight="1" x14ac:dyDescent="0.25">
      <c r="C143" s="119" t="s">
        <v>237</v>
      </c>
      <c r="D143" s="119" t="s">
        <v>489</v>
      </c>
      <c r="E143" s="173">
        <v>620</v>
      </c>
    </row>
    <row r="144" spans="3:5" ht="16.5" customHeight="1" x14ac:dyDescent="0.25">
      <c r="C144" s="119" t="s">
        <v>238</v>
      </c>
      <c r="D144" s="119" t="s">
        <v>490</v>
      </c>
      <c r="E144" s="173">
        <v>630</v>
      </c>
    </row>
    <row r="145" spans="3:5" ht="16.5" customHeight="1" x14ac:dyDescent="0.25">
      <c r="C145" s="119" t="s">
        <v>239</v>
      </c>
      <c r="D145" s="119" t="s">
        <v>491</v>
      </c>
      <c r="E145" s="173">
        <v>634</v>
      </c>
    </row>
    <row r="146" spans="3:5" ht="16.5" customHeight="1" x14ac:dyDescent="0.25">
      <c r="C146" s="119" t="s">
        <v>240</v>
      </c>
      <c r="D146" s="119" t="s">
        <v>492</v>
      </c>
      <c r="E146" s="173">
        <v>410</v>
      </c>
    </row>
    <row r="147" spans="3:5" ht="16.5" customHeight="1" x14ac:dyDescent="0.25">
      <c r="C147" s="119" t="s">
        <v>241</v>
      </c>
      <c r="D147" s="119" t="s">
        <v>493</v>
      </c>
      <c r="E147" s="173">
        <v>498</v>
      </c>
    </row>
    <row r="148" spans="3:5" ht="16.5" customHeight="1" x14ac:dyDescent="0.25">
      <c r="C148" s="119" t="s">
        <v>494</v>
      </c>
      <c r="D148" s="119" t="s">
        <v>495</v>
      </c>
      <c r="E148" s="173">
        <v>638</v>
      </c>
    </row>
    <row r="149" spans="3:5" ht="16.5" customHeight="1" x14ac:dyDescent="0.25">
      <c r="C149" s="119" t="s">
        <v>243</v>
      </c>
      <c r="D149" s="119" t="s">
        <v>496</v>
      </c>
      <c r="E149" s="173">
        <v>642</v>
      </c>
    </row>
    <row r="150" spans="3:5" ht="16.5" customHeight="1" x14ac:dyDescent="0.25">
      <c r="C150" s="119" t="s">
        <v>244</v>
      </c>
      <c r="D150" s="119" t="s">
        <v>497</v>
      </c>
      <c r="E150" s="173">
        <v>643</v>
      </c>
    </row>
    <row r="151" spans="3:5" ht="16.5" customHeight="1" x14ac:dyDescent="0.25">
      <c r="C151" s="119" t="s">
        <v>58</v>
      </c>
      <c r="D151" s="119" t="s">
        <v>498</v>
      </c>
      <c r="E151" s="173">
        <v>646</v>
      </c>
    </row>
    <row r="152" spans="3:5" ht="16.5" customHeight="1" x14ac:dyDescent="0.25">
      <c r="C152" s="119" t="s">
        <v>58</v>
      </c>
      <c r="D152" s="119" t="s">
        <v>375</v>
      </c>
      <c r="E152" s="212" t="s">
        <v>375</v>
      </c>
    </row>
    <row r="153" spans="3:5" ht="16.5" customHeight="1" x14ac:dyDescent="0.25">
      <c r="C153" s="119" t="s">
        <v>245</v>
      </c>
      <c r="D153" s="119" t="s">
        <v>499</v>
      </c>
      <c r="E153" s="173">
        <v>659</v>
      </c>
    </row>
    <row r="154" spans="3:5" ht="16.5" customHeight="1" x14ac:dyDescent="0.25">
      <c r="C154" s="119" t="s">
        <v>246</v>
      </c>
      <c r="D154" s="119" t="s">
        <v>500</v>
      </c>
      <c r="E154" s="173">
        <v>662</v>
      </c>
    </row>
    <row r="155" spans="3:5" ht="16.5" customHeight="1" x14ac:dyDescent="0.25">
      <c r="C155" s="119" t="s">
        <v>247</v>
      </c>
      <c r="D155" s="119" t="s">
        <v>501</v>
      </c>
      <c r="E155" s="173">
        <v>670</v>
      </c>
    </row>
    <row r="156" spans="3:5" ht="16.5" customHeight="1" x14ac:dyDescent="0.25">
      <c r="C156" s="119" t="s">
        <v>249</v>
      </c>
      <c r="D156" s="119" t="s">
        <v>502</v>
      </c>
      <c r="E156" s="173">
        <v>882</v>
      </c>
    </row>
    <row r="157" spans="3:5" ht="16.5" customHeight="1" x14ac:dyDescent="0.25">
      <c r="C157" s="119" t="s">
        <v>59</v>
      </c>
      <c r="D157" s="119" t="s">
        <v>503</v>
      </c>
      <c r="E157" s="173">
        <v>678</v>
      </c>
    </row>
    <row r="158" spans="3:5" ht="16.5" customHeight="1" x14ac:dyDescent="0.25">
      <c r="C158" s="119" t="s">
        <v>59</v>
      </c>
      <c r="D158" s="119" t="s">
        <v>375</v>
      </c>
      <c r="E158" s="212" t="s">
        <v>375</v>
      </c>
    </row>
    <row r="159" spans="3:5" ht="16.5" customHeight="1" x14ac:dyDescent="0.25">
      <c r="C159" s="119" t="s">
        <v>251</v>
      </c>
      <c r="D159" s="119" t="s">
        <v>504</v>
      </c>
      <c r="E159" s="173">
        <v>682</v>
      </c>
    </row>
    <row r="160" spans="3:5" ht="16.5" customHeight="1" x14ac:dyDescent="0.25">
      <c r="C160" s="119" t="s">
        <v>60</v>
      </c>
      <c r="D160" s="119" t="s">
        <v>505</v>
      </c>
      <c r="E160" s="173">
        <v>686</v>
      </c>
    </row>
    <row r="161" spans="3:5" ht="16.5" customHeight="1" x14ac:dyDescent="0.25">
      <c r="C161" s="119" t="s">
        <v>252</v>
      </c>
      <c r="D161" s="119" t="s">
        <v>506</v>
      </c>
      <c r="E161" s="173">
        <v>688</v>
      </c>
    </row>
    <row r="162" spans="3:5" ht="16.5" customHeight="1" x14ac:dyDescent="0.25">
      <c r="C162" s="119" t="s">
        <v>61</v>
      </c>
      <c r="D162" s="119" t="s">
        <v>507</v>
      </c>
      <c r="E162" s="173">
        <v>694</v>
      </c>
    </row>
    <row r="163" spans="3:5" ht="16.5" customHeight="1" x14ac:dyDescent="0.25">
      <c r="C163" s="119" t="s">
        <v>254</v>
      </c>
      <c r="D163" s="119" t="s">
        <v>508</v>
      </c>
      <c r="E163" s="173">
        <v>702</v>
      </c>
    </row>
    <row r="164" spans="3:5" ht="16.5" customHeight="1" x14ac:dyDescent="0.25">
      <c r="C164" s="119" t="s">
        <v>255</v>
      </c>
      <c r="D164" s="119" t="s">
        <v>509</v>
      </c>
      <c r="E164" s="173">
        <v>703</v>
      </c>
    </row>
    <row r="165" spans="3:5" ht="16.5" customHeight="1" x14ac:dyDescent="0.25">
      <c r="C165" s="119" t="s">
        <v>256</v>
      </c>
      <c r="D165" s="119" t="s">
        <v>510</v>
      </c>
      <c r="E165" s="173">
        <v>705</v>
      </c>
    </row>
    <row r="166" spans="3:5" ht="16.5" customHeight="1" x14ac:dyDescent="0.25">
      <c r="C166" s="119" t="s">
        <v>62</v>
      </c>
      <c r="D166" s="119" t="s">
        <v>511</v>
      </c>
      <c r="E166" s="173">
        <v>90</v>
      </c>
    </row>
    <row r="167" spans="3:5" ht="16.5" customHeight="1" x14ac:dyDescent="0.25">
      <c r="C167" s="119" t="s">
        <v>63</v>
      </c>
      <c r="D167" s="119" t="s">
        <v>512</v>
      </c>
      <c r="E167" s="173">
        <v>706</v>
      </c>
    </row>
    <row r="168" spans="3:5" ht="16.5" customHeight="1" x14ac:dyDescent="0.25">
      <c r="C168" s="119" t="s">
        <v>64</v>
      </c>
      <c r="D168" s="119" t="s">
        <v>513</v>
      </c>
      <c r="E168" s="173">
        <v>710</v>
      </c>
    </row>
    <row r="169" spans="3:5" ht="16.5" customHeight="1" x14ac:dyDescent="0.25">
      <c r="C169" s="119" t="s">
        <v>65</v>
      </c>
      <c r="D169" s="119" t="s">
        <v>514</v>
      </c>
      <c r="E169" s="173">
        <v>728</v>
      </c>
    </row>
    <row r="170" spans="3:5" ht="16.5" customHeight="1" x14ac:dyDescent="0.25">
      <c r="C170" s="119" t="s">
        <v>257</v>
      </c>
      <c r="D170" s="119" t="s">
        <v>515</v>
      </c>
      <c r="E170" s="173">
        <v>724</v>
      </c>
    </row>
    <row r="171" spans="3:5" ht="16.5" customHeight="1" x14ac:dyDescent="0.25">
      <c r="C171" s="119" t="s">
        <v>66</v>
      </c>
      <c r="D171" s="119" t="s">
        <v>516</v>
      </c>
      <c r="E171" s="173">
        <v>144</v>
      </c>
    </row>
    <row r="172" spans="3:5" ht="16.5" customHeight="1" x14ac:dyDescent="0.25">
      <c r="C172" s="119" t="s">
        <v>67</v>
      </c>
      <c r="D172" s="119" t="s">
        <v>517</v>
      </c>
      <c r="E172" s="173">
        <v>275</v>
      </c>
    </row>
    <row r="173" spans="3:5" ht="16.5" customHeight="1" x14ac:dyDescent="0.25">
      <c r="C173" s="119" t="s">
        <v>68</v>
      </c>
      <c r="D173" s="119" t="s">
        <v>518</v>
      </c>
      <c r="E173" s="173">
        <v>729</v>
      </c>
    </row>
    <row r="174" spans="3:5" ht="16.5" customHeight="1" x14ac:dyDescent="0.25">
      <c r="C174" s="119" t="s">
        <v>68</v>
      </c>
      <c r="D174" s="119" t="s">
        <v>375</v>
      </c>
      <c r="E174" s="212" t="s">
        <v>375</v>
      </c>
    </row>
    <row r="175" spans="3:5" ht="16.5" customHeight="1" x14ac:dyDescent="0.25">
      <c r="C175" s="119" t="s">
        <v>258</v>
      </c>
      <c r="D175" s="119" t="s">
        <v>519</v>
      </c>
      <c r="E175" s="173">
        <v>740</v>
      </c>
    </row>
    <row r="176" spans="3:5" ht="16.5" customHeight="1" x14ac:dyDescent="0.25">
      <c r="C176" s="119" t="s">
        <v>259</v>
      </c>
      <c r="D176" s="119" t="s">
        <v>520</v>
      </c>
      <c r="E176" s="173">
        <v>748</v>
      </c>
    </row>
    <row r="177" spans="3:5" ht="16.5" customHeight="1" x14ac:dyDescent="0.25">
      <c r="C177" s="119" t="s">
        <v>260</v>
      </c>
      <c r="D177" s="119" t="s">
        <v>521</v>
      </c>
      <c r="E177" s="173">
        <v>752</v>
      </c>
    </row>
    <row r="178" spans="3:5" ht="16.5" customHeight="1" x14ac:dyDescent="0.25">
      <c r="C178" s="119" t="s">
        <v>261</v>
      </c>
      <c r="D178" s="119" t="s">
        <v>522</v>
      </c>
      <c r="E178" s="173">
        <v>756</v>
      </c>
    </row>
    <row r="179" spans="3:5" ht="16.5" customHeight="1" x14ac:dyDescent="0.25">
      <c r="C179" s="119" t="s">
        <v>1234</v>
      </c>
      <c r="D179" s="119" t="s">
        <v>523</v>
      </c>
      <c r="E179" s="173">
        <v>760</v>
      </c>
    </row>
    <row r="180" spans="3:5" ht="16.5" customHeight="1" x14ac:dyDescent="0.25">
      <c r="C180" s="119" t="s">
        <v>69</v>
      </c>
      <c r="D180" s="119" t="s">
        <v>524</v>
      </c>
      <c r="E180" s="173">
        <v>762</v>
      </c>
    </row>
    <row r="181" spans="3:5" ht="16.5" customHeight="1" x14ac:dyDescent="0.25">
      <c r="C181" s="119" t="s">
        <v>262</v>
      </c>
      <c r="D181" s="119" t="s">
        <v>525</v>
      </c>
      <c r="E181" s="173">
        <v>764</v>
      </c>
    </row>
    <row r="182" spans="3:5" ht="16.5" customHeight="1" x14ac:dyDescent="0.25">
      <c r="C182" s="119" t="s">
        <v>263</v>
      </c>
      <c r="D182" s="119" t="s">
        <v>526</v>
      </c>
      <c r="E182" s="173">
        <v>807</v>
      </c>
    </row>
    <row r="183" spans="3:5" ht="16.5" customHeight="1" x14ac:dyDescent="0.25">
      <c r="C183" s="119" t="s">
        <v>71</v>
      </c>
      <c r="D183" s="119" t="s">
        <v>527</v>
      </c>
      <c r="E183" s="173">
        <v>626</v>
      </c>
    </row>
    <row r="184" spans="3:5" ht="16.5" customHeight="1" x14ac:dyDescent="0.25">
      <c r="C184" s="119" t="s">
        <v>72</v>
      </c>
      <c r="D184" s="119" t="s">
        <v>528</v>
      </c>
      <c r="E184" s="173">
        <v>768</v>
      </c>
    </row>
    <row r="185" spans="3:5" ht="16.5" customHeight="1" x14ac:dyDescent="0.25">
      <c r="C185" s="119" t="s">
        <v>265</v>
      </c>
      <c r="D185" s="119" t="s">
        <v>529</v>
      </c>
      <c r="E185" s="173">
        <v>776</v>
      </c>
    </row>
    <row r="186" spans="3:5" ht="16.5" customHeight="1" x14ac:dyDescent="0.25">
      <c r="C186" s="119" t="s">
        <v>266</v>
      </c>
      <c r="D186" s="119" t="s">
        <v>530</v>
      </c>
      <c r="E186" s="173">
        <v>780</v>
      </c>
    </row>
    <row r="187" spans="3:5" ht="16.5" customHeight="1" x14ac:dyDescent="0.25">
      <c r="C187" s="119" t="s">
        <v>267</v>
      </c>
      <c r="D187" s="119" t="s">
        <v>531</v>
      </c>
      <c r="E187" s="173">
        <v>788</v>
      </c>
    </row>
    <row r="188" spans="3:5" ht="16.5" customHeight="1" x14ac:dyDescent="0.25">
      <c r="C188" s="119" t="s">
        <v>268</v>
      </c>
      <c r="D188" s="119" t="s">
        <v>532</v>
      </c>
      <c r="E188" s="173">
        <v>792</v>
      </c>
    </row>
    <row r="189" spans="3:5" ht="16.5" customHeight="1" x14ac:dyDescent="0.25">
      <c r="C189" s="119" t="s">
        <v>269</v>
      </c>
      <c r="D189" s="119" t="s">
        <v>533</v>
      </c>
      <c r="E189" s="173">
        <v>795</v>
      </c>
    </row>
    <row r="190" spans="3:5" ht="16.5" customHeight="1" x14ac:dyDescent="0.25">
      <c r="C190" s="119" t="s">
        <v>271</v>
      </c>
      <c r="D190" s="119" t="s">
        <v>534</v>
      </c>
      <c r="E190" s="173">
        <v>798</v>
      </c>
    </row>
    <row r="191" spans="3:5" ht="16.5" customHeight="1" x14ac:dyDescent="0.25">
      <c r="C191" s="119" t="s">
        <v>73</v>
      </c>
      <c r="D191" s="119" t="s">
        <v>535</v>
      </c>
      <c r="E191" s="173">
        <v>800</v>
      </c>
    </row>
    <row r="192" spans="3:5" ht="16.5" customHeight="1" x14ac:dyDescent="0.25">
      <c r="C192" s="119" t="s">
        <v>272</v>
      </c>
      <c r="D192" s="119" t="s">
        <v>536</v>
      </c>
      <c r="E192" s="173">
        <v>804</v>
      </c>
    </row>
    <row r="193" spans="3:5" ht="16.5" customHeight="1" x14ac:dyDescent="0.25">
      <c r="C193" s="119" t="s">
        <v>273</v>
      </c>
      <c r="D193" s="119" t="s">
        <v>537</v>
      </c>
      <c r="E193" s="173">
        <v>784</v>
      </c>
    </row>
    <row r="194" spans="3:5" ht="16.5" customHeight="1" x14ac:dyDescent="0.25">
      <c r="C194" s="119" t="s">
        <v>274</v>
      </c>
      <c r="D194" s="119" t="s">
        <v>538</v>
      </c>
      <c r="E194" s="173">
        <v>826</v>
      </c>
    </row>
    <row r="195" spans="3:5" ht="16.5" customHeight="1" x14ac:dyDescent="0.25">
      <c r="C195" s="119" t="s">
        <v>539</v>
      </c>
      <c r="D195" s="119" t="s">
        <v>540</v>
      </c>
      <c r="E195" s="173">
        <v>834</v>
      </c>
    </row>
    <row r="196" spans="3:5" ht="16.5" customHeight="1" x14ac:dyDescent="0.25">
      <c r="C196" s="119" t="s">
        <v>275</v>
      </c>
      <c r="D196" s="119" t="s">
        <v>541</v>
      </c>
      <c r="E196" s="173">
        <v>840</v>
      </c>
    </row>
    <row r="197" spans="3:5" ht="16.5" customHeight="1" x14ac:dyDescent="0.25">
      <c r="C197" s="119" t="s">
        <v>276</v>
      </c>
      <c r="D197" s="119" t="s">
        <v>542</v>
      </c>
      <c r="E197" s="173">
        <v>850</v>
      </c>
    </row>
    <row r="198" spans="3:5" ht="16.5" customHeight="1" x14ac:dyDescent="0.25">
      <c r="C198" s="119" t="s">
        <v>277</v>
      </c>
      <c r="D198" s="119" t="s">
        <v>543</v>
      </c>
      <c r="E198" s="173">
        <v>858</v>
      </c>
    </row>
    <row r="199" spans="3:5" ht="16.5" customHeight="1" x14ac:dyDescent="0.25">
      <c r="C199" s="119" t="s">
        <v>74</v>
      </c>
      <c r="D199" s="119" t="s">
        <v>544</v>
      </c>
      <c r="E199" s="173">
        <v>860</v>
      </c>
    </row>
    <row r="200" spans="3:5" ht="16.5" customHeight="1" x14ac:dyDescent="0.25">
      <c r="C200" s="119" t="s">
        <v>278</v>
      </c>
      <c r="D200" s="119" t="s">
        <v>545</v>
      </c>
      <c r="E200" s="173">
        <v>548</v>
      </c>
    </row>
    <row r="201" spans="3:5" ht="16.5" customHeight="1" x14ac:dyDescent="0.25">
      <c r="C201" s="119" t="s">
        <v>279</v>
      </c>
      <c r="D201" s="119" t="s">
        <v>546</v>
      </c>
      <c r="E201" s="173">
        <v>862</v>
      </c>
    </row>
    <row r="202" spans="3:5" ht="16.5" customHeight="1" x14ac:dyDescent="0.25">
      <c r="C202" s="119" t="s">
        <v>75</v>
      </c>
      <c r="D202" s="119" t="s">
        <v>547</v>
      </c>
      <c r="E202" s="173">
        <v>704</v>
      </c>
    </row>
    <row r="203" spans="3:5" ht="16.5" customHeight="1" x14ac:dyDescent="0.25">
      <c r="C203" s="119" t="s">
        <v>77</v>
      </c>
      <c r="D203" s="119" t="s">
        <v>548</v>
      </c>
      <c r="E203" s="173">
        <v>887</v>
      </c>
    </row>
    <row r="204" spans="3:5" ht="16.5" customHeight="1" x14ac:dyDescent="0.25">
      <c r="C204" s="119" t="s">
        <v>78</v>
      </c>
      <c r="D204" s="119" t="s">
        <v>549</v>
      </c>
      <c r="E204" s="173">
        <v>894</v>
      </c>
    </row>
    <row r="205" spans="3:5" ht="16.5" customHeight="1" x14ac:dyDescent="0.25">
      <c r="C205" s="119" t="s">
        <v>79</v>
      </c>
      <c r="D205" s="119" t="s">
        <v>550</v>
      </c>
      <c r="E205" s="173">
        <v>716</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tabColor theme="7"/>
  </sheetPr>
  <dimension ref="A1:AF203"/>
  <sheetViews>
    <sheetView workbookViewId="0">
      <pane xSplit="1" ySplit="2" topLeftCell="B3" activePane="bottomRight" state="frozen"/>
      <selection activeCell="D16" sqref="D16"/>
      <selection pane="topRight" activeCell="D16" sqref="D16"/>
      <selection pane="bottomLeft" activeCell="D16" sqref="D16"/>
      <selection pane="bottomRight" activeCell="AE17" sqref="AE17"/>
    </sheetView>
  </sheetViews>
  <sheetFormatPr defaultRowHeight="15" x14ac:dyDescent="0.25"/>
  <cols>
    <col min="1" max="1" width="18.28515625" customWidth="1"/>
    <col min="2" max="2" width="14.140625" customWidth="1"/>
    <col min="3" max="5" width="15.7109375" customWidth="1"/>
    <col min="6" max="7" width="12.28515625" customWidth="1"/>
    <col min="8" max="8" width="14.85546875" customWidth="1"/>
    <col min="9" max="9" width="17" customWidth="1"/>
    <col min="10" max="11" width="13" customWidth="1"/>
    <col min="12" max="12" width="12.28515625" customWidth="1"/>
    <col min="13" max="14" width="14" customWidth="1"/>
    <col min="15" max="23" width="11" customWidth="1"/>
    <col min="24" max="32" width="11.7109375" customWidth="1"/>
    <col min="33" max="37" width="11.140625" customWidth="1"/>
  </cols>
  <sheetData>
    <row r="1" spans="1:32" x14ac:dyDescent="0.25">
      <c r="A1" s="6" t="s">
        <v>2504</v>
      </c>
      <c r="C1" s="6"/>
      <c r="D1" s="29"/>
    </row>
    <row r="2" spans="1:32" x14ac:dyDescent="0.25">
      <c r="A2" s="7" t="s">
        <v>660</v>
      </c>
      <c r="B2" s="310">
        <v>2000</v>
      </c>
      <c r="C2" s="310">
        <v>2001</v>
      </c>
      <c r="D2" s="310">
        <v>2002</v>
      </c>
      <c r="E2" s="310">
        <v>2003</v>
      </c>
      <c r="F2" s="310">
        <v>2004</v>
      </c>
      <c r="G2" s="310">
        <v>2005</v>
      </c>
      <c r="H2" s="310">
        <v>2006</v>
      </c>
      <c r="I2" s="310">
        <v>2007</v>
      </c>
      <c r="J2" s="310">
        <v>2008</v>
      </c>
      <c r="K2" s="310">
        <v>2009</v>
      </c>
      <c r="L2" s="310">
        <v>2010</v>
      </c>
      <c r="M2" s="310">
        <v>2011</v>
      </c>
      <c r="N2" s="310">
        <v>2012</v>
      </c>
      <c r="O2" s="310">
        <v>2013</v>
      </c>
      <c r="P2" s="310">
        <v>2014</v>
      </c>
      <c r="Q2" s="310">
        <v>2015</v>
      </c>
      <c r="R2" s="310">
        <v>2016</v>
      </c>
      <c r="S2" s="310">
        <v>2017</v>
      </c>
      <c r="T2" s="310">
        <v>2018</v>
      </c>
      <c r="U2" s="310">
        <v>2019</v>
      </c>
      <c r="V2" s="310">
        <v>2020</v>
      </c>
      <c r="W2" s="310">
        <v>2021</v>
      </c>
      <c r="X2" s="310">
        <v>2022</v>
      </c>
      <c r="Y2" s="310">
        <v>2023</v>
      </c>
      <c r="Z2" s="310">
        <v>2024</v>
      </c>
      <c r="AA2" s="310">
        <v>2025</v>
      </c>
      <c r="AB2" s="310">
        <v>2026</v>
      </c>
      <c r="AC2" s="310">
        <v>2027</v>
      </c>
      <c r="AD2" s="310">
        <v>2028</v>
      </c>
      <c r="AE2" s="310">
        <v>2029</v>
      </c>
      <c r="AF2" s="310">
        <v>2030</v>
      </c>
    </row>
    <row r="3" spans="1:32" x14ac:dyDescent="0.25">
      <c r="A3" s="6" t="s">
        <v>11</v>
      </c>
      <c r="B3" s="17">
        <v>4133768</v>
      </c>
      <c r="C3" s="17">
        <v>4152556.5000000005</v>
      </c>
      <c r="D3" s="17">
        <v>4421273.4999999991</v>
      </c>
      <c r="E3" s="17">
        <v>4764310.5</v>
      </c>
      <c r="F3" s="17">
        <v>4957973.4999999991</v>
      </c>
      <c r="G3" s="17">
        <v>5173294.9999999991</v>
      </c>
      <c r="H3" s="17">
        <v>5437916</v>
      </c>
      <c r="I3" s="17">
        <v>5469843</v>
      </c>
      <c r="J3" s="17">
        <v>5546635</v>
      </c>
      <c r="K3" s="17">
        <v>5818051.0000000009</v>
      </c>
      <c r="L3" s="17">
        <v>6028643.0000000009</v>
      </c>
      <c r="M3" s="17">
        <v>6349137.5</v>
      </c>
      <c r="N3" s="17">
        <v>6731095</v>
      </c>
      <c r="O3" s="17">
        <v>7046482.5</v>
      </c>
      <c r="P3" s="17">
        <v>7401142.5000000009</v>
      </c>
      <c r="Q3" s="17">
        <v>7696343</v>
      </c>
      <c r="R3" s="17">
        <v>7928861.5000000009</v>
      </c>
      <c r="S3" s="17">
        <v>8217609</v>
      </c>
      <c r="T3" s="17">
        <v>8522103.5000000019</v>
      </c>
      <c r="U3" s="17">
        <v>8839963</v>
      </c>
      <c r="V3" s="17">
        <v>9205854.5000000019</v>
      </c>
      <c r="W3" s="17">
        <v>9542908.5000000019</v>
      </c>
      <c r="X3" s="17">
        <v>9841095.5</v>
      </c>
      <c r="Y3" s="17">
        <v>10155971.5</v>
      </c>
      <c r="Z3" s="17">
        <v>10466129.5</v>
      </c>
      <c r="AA3" s="17">
        <v>10785714</v>
      </c>
      <c r="AB3" s="17">
        <v>11110433.500000002</v>
      </c>
      <c r="AC3" s="17">
        <v>11447628</v>
      </c>
      <c r="AD3" s="17">
        <v>11800734</v>
      </c>
      <c r="AE3" s="17">
        <v>12163624</v>
      </c>
      <c r="AF3" s="17">
        <v>12538077.5</v>
      </c>
    </row>
    <row r="4" spans="1:32" x14ac:dyDescent="0.25">
      <c r="A4" s="8" t="s">
        <v>131</v>
      </c>
      <c r="B4" s="17">
        <v>823290</v>
      </c>
      <c r="C4" s="17">
        <v>817562.49999999988</v>
      </c>
      <c r="D4" s="17">
        <v>811023.5</v>
      </c>
      <c r="E4" s="17">
        <v>803726.5</v>
      </c>
      <c r="F4" s="17">
        <v>795808.50000000012</v>
      </c>
      <c r="G4" s="17">
        <v>787322.5</v>
      </c>
      <c r="H4" s="17">
        <v>778117.5</v>
      </c>
      <c r="I4" s="17">
        <v>768567</v>
      </c>
      <c r="J4" s="17">
        <v>758892</v>
      </c>
      <c r="K4" s="17">
        <v>749315.5</v>
      </c>
      <c r="L4" s="17">
        <v>740444.50000000012</v>
      </c>
      <c r="M4" s="17">
        <v>732430.00000000012</v>
      </c>
      <c r="N4" s="17">
        <v>725081</v>
      </c>
      <c r="O4" s="17">
        <v>717909.00000000012</v>
      </c>
      <c r="P4" s="17">
        <v>711283.00000000012</v>
      </c>
      <c r="Q4" s="17">
        <v>705806.49999999988</v>
      </c>
      <c r="R4" s="17">
        <v>699897.5</v>
      </c>
      <c r="S4" s="17">
        <v>693329.5</v>
      </c>
      <c r="T4" s="17">
        <v>686854.50000000012</v>
      </c>
      <c r="U4" s="17">
        <v>680238.49999999988</v>
      </c>
      <c r="V4" s="17">
        <v>673726.5</v>
      </c>
      <c r="W4" s="17">
        <v>666453</v>
      </c>
      <c r="X4" s="17">
        <v>659952</v>
      </c>
      <c r="Y4" s="17">
        <v>654980</v>
      </c>
      <c r="Z4" s="17">
        <v>650383</v>
      </c>
      <c r="AA4" s="17">
        <v>646209.49999999988</v>
      </c>
      <c r="AB4" s="17">
        <v>641903</v>
      </c>
      <c r="AC4" s="17">
        <v>637954</v>
      </c>
      <c r="AD4" s="17">
        <v>634635.50000000012</v>
      </c>
      <c r="AE4" s="17">
        <v>631673.5</v>
      </c>
      <c r="AF4" s="17">
        <v>628531.5</v>
      </c>
    </row>
    <row r="5" spans="1:32" x14ac:dyDescent="0.25">
      <c r="A5" s="8" t="s">
        <v>132</v>
      </c>
      <c r="B5" s="17">
        <v>8178902.9999999991</v>
      </c>
      <c r="C5" s="17">
        <v>8424238.5000000019</v>
      </c>
      <c r="D5" s="17">
        <v>8657947.5</v>
      </c>
      <c r="E5" s="17">
        <v>8879000.4999999981</v>
      </c>
      <c r="F5" s="17">
        <v>9089189.5</v>
      </c>
      <c r="G5" s="17">
        <v>9273947.5</v>
      </c>
      <c r="H5" s="17">
        <v>9449314.5</v>
      </c>
      <c r="I5" s="17">
        <v>9630635.9999999981</v>
      </c>
      <c r="J5" s="17">
        <v>9801860.5</v>
      </c>
      <c r="K5" s="17">
        <v>9962552.5000000019</v>
      </c>
      <c r="L5" s="17">
        <v>10108466.999999998</v>
      </c>
      <c r="M5" s="17">
        <v>10236001.499999998</v>
      </c>
      <c r="N5" s="17">
        <v>10345241</v>
      </c>
      <c r="O5" s="17">
        <v>10431566</v>
      </c>
      <c r="P5" s="17">
        <v>10499169.5</v>
      </c>
      <c r="Q5" s="17">
        <v>10558967.5</v>
      </c>
      <c r="R5" s="17">
        <v>10612874</v>
      </c>
      <c r="S5" s="17">
        <v>10662331</v>
      </c>
      <c r="T5" s="17">
        <v>10713006.5</v>
      </c>
      <c r="U5" s="17">
        <v>10770179</v>
      </c>
      <c r="V5" s="17">
        <v>10837883.999999998</v>
      </c>
      <c r="W5" s="17">
        <v>10918499.500000002</v>
      </c>
      <c r="X5" s="17">
        <v>11012541.5</v>
      </c>
      <c r="Y5" s="17">
        <v>11120241.5</v>
      </c>
      <c r="Z5" s="17">
        <v>11239582</v>
      </c>
      <c r="AA5" s="17">
        <v>11367713</v>
      </c>
      <c r="AB5" s="17">
        <v>11502763.5</v>
      </c>
      <c r="AC5" s="17">
        <v>11645598.499999998</v>
      </c>
      <c r="AD5" s="17">
        <v>11790098.000000002</v>
      </c>
      <c r="AE5" s="17">
        <v>11932627.5</v>
      </c>
      <c r="AF5" s="17">
        <v>12075089.000000002</v>
      </c>
    </row>
    <row r="6" spans="1:32" x14ac:dyDescent="0.25">
      <c r="A6" s="6" t="s">
        <v>134</v>
      </c>
      <c r="B6" s="17">
        <v>3743788.0000000005</v>
      </c>
      <c r="C6" s="17">
        <v>3884771</v>
      </c>
      <c r="D6" s="17">
        <v>4032041.4999999995</v>
      </c>
      <c r="E6" s="17">
        <v>4184613.4999999995</v>
      </c>
      <c r="F6" s="17">
        <v>4343446.9999999991</v>
      </c>
      <c r="G6" s="17">
        <v>4507387.0000000009</v>
      </c>
      <c r="H6" s="17">
        <v>4675912.5</v>
      </c>
      <c r="I6" s="17">
        <v>4850217.5000000009</v>
      </c>
      <c r="J6" s="17">
        <v>5028974</v>
      </c>
      <c r="K6" s="17">
        <v>5212808</v>
      </c>
      <c r="L6" s="17">
        <v>5405014.5000000009</v>
      </c>
      <c r="M6" s="17">
        <v>5605913.5000000009</v>
      </c>
      <c r="N6" s="17">
        <v>5813654</v>
      </c>
      <c r="O6" s="17">
        <v>6026591.5</v>
      </c>
      <c r="P6" s="17">
        <v>6243947.4999999991</v>
      </c>
      <c r="Q6" s="17">
        <v>6466085</v>
      </c>
      <c r="R6" s="17">
        <v>6699073.4999999991</v>
      </c>
      <c r="S6" s="17">
        <v>6943208.5</v>
      </c>
      <c r="T6" s="17">
        <v>7192398</v>
      </c>
      <c r="U6" s="17">
        <v>7449500</v>
      </c>
      <c r="V6" s="17">
        <v>7708028.4999999981</v>
      </c>
      <c r="W6" s="17">
        <v>7973397.0000000009</v>
      </c>
      <c r="X6" s="17">
        <v>8249489</v>
      </c>
      <c r="Y6" s="17">
        <v>8531630.0000000019</v>
      </c>
      <c r="Z6" s="17">
        <v>8825658.0000000019</v>
      </c>
      <c r="AA6" s="17">
        <v>9130607.9999999981</v>
      </c>
      <c r="AB6" s="17">
        <v>9445543</v>
      </c>
      <c r="AC6" s="17">
        <v>9770652.0000000019</v>
      </c>
      <c r="AD6" s="17">
        <v>10105491.499999998</v>
      </c>
      <c r="AE6" s="17">
        <v>10448626</v>
      </c>
      <c r="AF6" s="17">
        <v>10798940.5</v>
      </c>
    </row>
    <row r="7" spans="1:32" x14ac:dyDescent="0.25">
      <c r="A7" s="6" t="s">
        <v>136</v>
      </c>
      <c r="B7" s="17">
        <v>22162.5</v>
      </c>
      <c r="C7" s="17">
        <v>22534.5</v>
      </c>
      <c r="D7" s="17">
        <v>22837.5</v>
      </c>
      <c r="E7" s="17">
        <v>23101</v>
      </c>
      <c r="F7" s="17">
        <v>23354</v>
      </c>
      <c r="G7" s="17">
        <v>23644.5</v>
      </c>
      <c r="H7" s="17">
        <v>23952.999999999996</v>
      </c>
      <c r="I7" s="17">
        <v>24244.5</v>
      </c>
      <c r="J7" s="17">
        <v>24518.5</v>
      </c>
      <c r="K7" s="17">
        <v>24756.999999999996</v>
      </c>
      <c r="L7" s="17">
        <v>24976.000000000004</v>
      </c>
      <c r="M7" s="17">
        <v>25166.999999999996</v>
      </c>
      <c r="N7" s="17">
        <v>25301.5</v>
      </c>
      <c r="O7" s="17">
        <v>25356.5</v>
      </c>
      <c r="P7" s="17">
        <v>25335</v>
      </c>
      <c r="Q7" s="17">
        <v>25297</v>
      </c>
      <c r="R7" s="17">
        <v>25236</v>
      </c>
      <c r="S7" s="17">
        <v>25131.5</v>
      </c>
      <c r="T7" s="17">
        <v>25006</v>
      </c>
      <c r="U7" s="17">
        <v>24859.5</v>
      </c>
      <c r="V7" s="17">
        <v>24695.999999999996</v>
      </c>
      <c r="W7" s="17">
        <v>24534.000000000004</v>
      </c>
      <c r="X7" s="17">
        <v>24418</v>
      </c>
      <c r="Y7" s="17">
        <v>24387.999999999996</v>
      </c>
      <c r="Z7" s="17">
        <v>24393.5</v>
      </c>
      <c r="AA7" s="17">
        <v>24339.499999999996</v>
      </c>
      <c r="AB7" s="17">
        <v>24229</v>
      </c>
      <c r="AC7" s="17">
        <v>24112.5</v>
      </c>
      <c r="AD7" s="17">
        <v>23988</v>
      </c>
      <c r="AE7" s="17">
        <v>23846.999999999996</v>
      </c>
      <c r="AF7" s="17">
        <v>23711.000000000004</v>
      </c>
    </row>
    <row r="8" spans="1:32" x14ac:dyDescent="0.25">
      <c r="A8" s="8" t="s">
        <v>137</v>
      </c>
      <c r="B8" s="17">
        <v>9055242</v>
      </c>
      <c r="C8" s="17">
        <v>9163032.5000000019</v>
      </c>
      <c r="D8" s="17">
        <v>9268928.5</v>
      </c>
      <c r="E8" s="17">
        <v>9372913</v>
      </c>
      <c r="F8" s="17">
        <v>9477304.4999999981</v>
      </c>
      <c r="G8" s="17">
        <v>9584879.5</v>
      </c>
      <c r="H8" s="17">
        <v>9695416.0000000019</v>
      </c>
      <c r="I8" s="17">
        <v>9806134.5</v>
      </c>
      <c r="J8" s="17">
        <v>9920374.5</v>
      </c>
      <c r="K8" s="17">
        <v>10040261.5</v>
      </c>
      <c r="L8" s="17">
        <v>10160783.000000002</v>
      </c>
      <c r="M8" s="17">
        <v>10278219.999999998</v>
      </c>
      <c r="N8" s="17">
        <v>10390630.5</v>
      </c>
      <c r="O8" s="17">
        <v>10499210.5</v>
      </c>
      <c r="P8" s="17">
        <v>10608166</v>
      </c>
      <c r="Q8" s="17">
        <v>10717066</v>
      </c>
      <c r="R8" s="17">
        <v>10822079</v>
      </c>
      <c r="S8" s="17">
        <v>10923121</v>
      </c>
      <c r="T8" s="17">
        <v>11020616.5</v>
      </c>
      <c r="U8" s="17">
        <v>11113925</v>
      </c>
      <c r="V8" s="17">
        <v>11201671.5</v>
      </c>
      <c r="W8" s="17">
        <v>11281299</v>
      </c>
      <c r="X8" s="17">
        <v>11353530</v>
      </c>
      <c r="Y8" s="17">
        <v>11419812</v>
      </c>
      <c r="Z8" s="17">
        <v>11480757</v>
      </c>
      <c r="AA8" s="17">
        <v>11538693.5</v>
      </c>
      <c r="AB8" s="17">
        <v>11593268</v>
      </c>
      <c r="AC8" s="17">
        <v>11643255.5</v>
      </c>
      <c r="AD8" s="17">
        <v>11690208</v>
      </c>
      <c r="AE8" s="17">
        <v>11735184.000000002</v>
      </c>
      <c r="AF8" s="17">
        <v>11779031.500000002</v>
      </c>
    </row>
    <row r="9" spans="1:32" x14ac:dyDescent="0.25">
      <c r="A9" s="6" t="s">
        <v>138</v>
      </c>
      <c r="B9" s="17">
        <v>884299.00000000012</v>
      </c>
      <c r="C9" s="17">
        <v>884059.5</v>
      </c>
      <c r="D9" s="17">
        <v>884347.5</v>
      </c>
      <c r="E9" s="17">
        <v>885862</v>
      </c>
      <c r="F9" s="17">
        <v>887410.5</v>
      </c>
      <c r="G9" s="17">
        <v>888608.99999999988</v>
      </c>
      <c r="H9" s="17">
        <v>888734.00000000012</v>
      </c>
      <c r="I9" s="17">
        <v>886407.5</v>
      </c>
      <c r="J9" s="17">
        <v>879779</v>
      </c>
      <c r="K9" s="17">
        <v>868463.5</v>
      </c>
      <c r="L9" s="17">
        <v>854057.00000000012</v>
      </c>
      <c r="M9" s="17">
        <v>838379.99999999988</v>
      </c>
      <c r="N9" s="17">
        <v>822883</v>
      </c>
      <c r="O9" s="17">
        <v>807498.49999999988</v>
      </c>
      <c r="P9" s="17">
        <v>792459.00000000012</v>
      </c>
      <c r="Q9" s="17">
        <v>778095</v>
      </c>
      <c r="R9" s="17">
        <v>764781.49999999988</v>
      </c>
      <c r="S9" s="17">
        <v>752927</v>
      </c>
      <c r="T9" s="17">
        <v>742490.5</v>
      </c>
      <c r="U9" s="17">
        <v>733490</v>
      </c>
      <c r="V9" s="17">
        <v>726974.99999999977</v>
      </c>
      <c r="W9" s="17">
        <v>721415.99999999988</v>
      </c>
      <c r="X9" s="17">
        <v>716333.50000000012</v>
      </c>
      <c r="Y9" s="17">
        <v>713082.00000000012</v>
      </c>
      <c r="Z9" s="17">
        <v>711516.99999999988</v>
      </c>
      <c r="AA9" s="17">
        <v>710328.50000000012</v>
      </c>
      <c r="AB9" s="17">
        <v>708446.99999999988</v>
      </c>
      <c r="AC9" s="17">
        <v>707576</v>
      </c>
      <c r="AD9" s="17">
        <v>706919.50000000012</v>
      </c>
      <c r="AE9" s="17">
        <v>705918</v>
      </c>
      <c r="AF9" s="17">
        <v>703620.50000000012</v>
      </c>
    </row>
    <row r="10" spans="1:32" x14ac:dyDescent="0.25">
      <c r="A10" s="6" t="s">
        <v>139</v>
      </c>
      <c r="B10" s="17">
        <v>25629</v>
      </c>
      <c r="C10" s="17">
        <v>26011.000000000004</v>
      </c>
      <c r="D10" s="17">
        <v>26181.5</v>
      </c>
      <c r="E10" s="17">
        <v>26279.500000000004</v>
      </c>
      <c r="F10" s="17">
        <v>26339.000000000004</v>
      </c>
      <c r="G10" s="17">
        <v>26339.000000000004</v>
      </c>
      <c r="H10" s="17">
        <v>26292.499999999996</v>
      </c>
      <c r="I10" s="17">
        <v>26207.5</v>
      </c>
      <c r="J10" s="17">
        <v>26092.5</v>
      </c>
      <c r="K10" s="17">
        <v>25966.5</v>
      </c>
      <c r="L10" s="17">
        <v>25853.5</v>
      </c>
      <c r="M10" s="17">
        <v>25785</v>
      </c>
      <c r="N10" s="17">
        <v>25715</v>
      </c>
      <c r="O10" s="17">
        <v>25589.499999999996</v>
      </c>
      <c r="P10" s="17">
        <v>25425</v>
      </c>
      <c r="Q10" s="17">
        <v>25244.999999999996</v>
      </c>
      <c r="R10" s="17">
        <v>25069.499999999996</v>
      </c>
      <c r="S10" s="17">
        <v>24910.5</v>
      </c>
      <c r="T10" s="17">
        <v>24773.000000000004</v>
      </c>
      <c r="U10" s="17">
        <v>24658.5</v>
      </c>
      <c r="V10" s="17">
        <v>24504.5</v>
      </c>
      <c r="W10" s="17">
        <v>24380</v>
      </c>
      <c r="X10" s="17">
        <v>24304.000000000004</v>
      </c>
      <c r="Y10" s="17">
        <v>24198</v>
      </c>
      <c r="Z10" s="17">
        <v>24091</v>
      </c>
      <c r="AA10" s="17">
        <v>23970.000000000004</v>
      </c>
      <c r="AB10" s="17">
        <v>23835</v>
      </c>
      <c r="AC10" s="17">
        <v>23693.5</v>
      </c>
      <c r="AD10" s="17">
        <v>23542</v>
      </c>
      <c r="AE10" s="17">
        <v>23379.5</v>
      </c>
      <c r="AF10" s="17">
        <v>23214</v>
      </c>
    </row>
    <row r="11" spans="1:32" x14ac:dyDescent="0.25">
      <c r="A11" s="6" t="s">
        <v>140</v>
      </c>
      <c r="B11" s="17">
        <v>4856658.5</v>
      </c>
      <c r="C11" s="17">
        <v>4889699.9999999991</v>
      </c>
      <c r="D11" s="17">
        <v>4924876</v>
      </c>
      <c r="E11" s="17">
        <v>4960354.4999999991</v>
      </c>
      <c r="F11" s="17">
        <v>4995723</v>
      </c>
      <c r="G11" s="17">
        <v>5035884.9999999991</v>
      </c>
      <c r="H11" s="17">
        <v>5089096.5000000009</v>
      </c>
      <c r="I11" s="17">
        <v>5161366</v>
      </c>
      <c r="J11" s="17">
        <v>5249641.5</v>
      </c>
      <c r="K11" s="17">
        <v>5335644.5</v>
      </c>
      <c r="L11" s="17">
        <v>5400313</v>
      </c>
      <c r="M11" s="17">
        <v>5454452.5</v>
      </c>
      <c r="N11" s="17">
        <v>5518336.5</v>
      </c>
      <c r="O11" s="17">
        <v>5587291.9999999991</v>
      </c>
      <c r="P11" s="17">
        <v>5654031.5</v>
      </c>
      <c r="Q11" s="17">
        <v>5723933.4999999991</v>
      </c>
      <c r="R11" s="17">
        <v>5803202.4999999991</v>
      </c>
      <c r="S11" s="17">
        <v>5888515</v>
      </c>
      <c r="T11" s="17">
        <v>5969595.5</v>
      </c>
      <c r="U11" s="17">
        <v>6042384.5</v>
      </c>
      <c r="V11" s="17">
        <v>6086849</v>
      </c>
      <c r="W11" s="17">
        <v>6107515</v>
      </c>
      <c r="X11" s="17">
        <v>6136975.5</v>
      </c>
      <c r="Y11" s="17">
        <v>6177320</v>
      </c>
      <c r="Z11" s="17">
        <v>6223048</v>
      </c>
      <c r="AA11" s="17">
        <v>6272872</v>
      </c>
      <c r="AB11" s="17">
        <v>6324431.5</v>
      </c>
      <c r="AC11" s="17">
        <v>6376298.0000000009</v>
      </c>
      <c r="AD11" s="17">
        <v>6426824.0000000009</v>
      </c>
      <c r="AE11" s="17">
        <v>6473053.5000000009</v>
      </c>
      <c r="AF11" s="17">
        <v>6513998</v>
      </c>
    </row>
    <row r="12" spans="1:32" x14ac:dyDescent="0.25">
      <c r="A12" s="6" t="s">
        <v>141</v>
      </c>
      <c r="B12" s="17">
        <v>1988429</v>
      </c>
      <c r="C12" s="17">
        <v>1993317.9999999998</v>
      </c>
      <c r="D12" s="17">
        <v>2002286.9999999998</v>
      </c>
      <c r="E12" s="17">
        <v>2013268.4999999998</v>
      </c>
      <c r="F12" s="17">
        <v>2026974.0000000002</v>
      </c>
      <c r="G12" s="17">
        <v>2039327.4999999998</v>
      </c>
      <c r="H12" s="17">
        <v>2044318.9999999998</v>
      </c>
      <c r="I12" s="17">
        <v>2044582.9999999998</v>
      </c>
      <c r="J12" s="17">
        <v>2044240.0000000002</v>
      </c>
      <c r="K12" s="17">
        <v>2039346</v>
      </c>
      <c r="L12" s="17">
        <v>2030068</v>
      </c>
      <c r="M12" s="17">
        <v>2020018.9999999998</v>
      </c>
      <c r="N12" s="17">
        <v>2011346.4999999998</v>
      </c>
      <c r="O12" s="17">
        <v>2003924</v>
      </c>
      <c r="P12" s="17">
        <v>1997761.0000000002</v>
      </c>
      <c r="Q12" s="17">
        <v>1996931.5000000002</v>
      </c>
      <c r="R12" s="17">
        <v>1994812.0000000002</v>
      </c>
      <c r="S12" s="17">
        <v>1985690</v>
      </c>
      <c r="T12" s="17">
        <v>1972821</v>
      </c>
      <c r="U12" s="17">
        <v>1959554.5000000002</v>
      </c>
      <c r="V12" s="17">
        <v>1945228.5000000002</v>
      </c>
      <c r="W12" s="17">
        <v>1928853.9999999998</v>
      </c>
      <c r="X12" s="17">
        <v>1913601.5</v>
      </c>
      <c r="Y12" s="17">
        <v>1900469.5</v>
      </c>
      <c r="Z12" s="17">
        <v>1888993.0000000002</v>
      </c>
      <c r="AA12" s="17">
        <v>1878702.9999999998</v>
      </c>
      <c r="AB12" s="17">
        <v>1870395.0000000002</v>
      </c>
      <c r="AC12" s="17">
        <v>1863187.0000000002</v>
      </c>
      <c r="AD12" s="17">
        <v>1856264.5000000002</v>
      </c>
      <c r="AE12" s="17">
        <v>1849361.5000000002</v>
      </c>
      <c r="AF12" s="17">
        <v>1841163</v>
      </c>
    </row>
    <row r="13" spans="1:32" x14ac:dyDescent="0.25">
      <c r="A13" s="6" t="s">
        <v>142</v>
      </c>
      <c r="B13" s="17">
        <v>2359067.5</v>
      </c>
      <c r="C13" s="17">
        <v>2415498.5</v>
      </c>
      <c r="D13" s="17">
        <v>2471449.4999999995</v>
      </c>
      <c r="E13" s="17">
        <v>2525904.4999999995</v>
      </c>
      <c r="F13" s="17">
        <v>2576889</v>
      </c>
      <c r="G13" s="17">
        <v>2623434.5000000005</v>
      </c>
      <c r="H13" s="17">
        <v>2665096.4999999995</v>
      </c>
      <c r="I13" s="17">
        <v>2700308.0000000005</v>
      </c>
      <c r="J13" s="17">
        <v>2728790</v>
      </c>
      <c r="K13" s="17">
        <v>2749064</v>
      </c>
      <c r="L13" s="17">
        <v>2760894</v>
      </c>
      <c r="M13" s="17">
        <v>2765951.5</v>
      </c>
      <c r="N13" s="17">
        <v>2764963.5</v>
      </c>
      <c r="O13" s="17">
        <v>2759594.5</v>
      </c>
      <c r="P13" s="17">
        <v>2751470.5000000005</v>
      </c>
      <c r="Q13" s="17">
        <v>2741355</v>
      </c>
      <c r="R13" s="17">
        <v>2729911.5</v>
      </c>
      <c r="S13" s="17">
        <v>2718111</v>
      </c>
      <c r="T13" s="17">
        <v>2707536</v>
      </c>
      <c r="U13" s="17">
        <v>2699314</v>
      </c>
      <c r="V13" s="17">
        <v>2693700.0000000005</v>
      </c>
      <c r="W13" s="17">
        <v>2692672.5</v>
      </c>
      <c r="X13" s="17">
        <v>2697681</v>
      </c>
      <c r="Y13" s="17">
        <v>2707408.0000000005</v>
      </c>
      <c r="Z13" s="17">
        <v>2720004</v>
      </c>
      <c r="AA13" s="17">
        <v>2734103</v>
      </c>
      <c r="AB13" s="17">
        <v>2749555.0000000005</v>
      </c>
      <c r="AC13" s="17">
        <v>2765786</v>
      </c>
      <c r="AD13" s="17">
        <v>2780977</v>
      </c>
      <c r="AE13" s="17">
        <v>2793184</v>
      </c>
      <c r="AF13" s="17">
        <v>2800433.9999999995</v>
      </c>
    </row>
    <row r="14" spans="1:32" x14ac:dyDescent="0.25">
      <c r="A14" s="6" t="s">
        <v>143</v>
      </c>
      <c r="B14" s="17">
        <v>91702.5</v>
      </c>
      <c r="C14" s="17">
        <v>93471.499999999985</v>
      </c>
      <c r="D14" s="17">
        <v>95060.499999999985</v>
      </c>
      <c r="E14" s="17">
        <v>96493</v>
      </c>
      <c r="F14" s="17">
        <v>97836.5</v>
      </c>
      <c r="G14" s="17">
        <v>99133.5</v>
      </c>
      <c r="H14" s="17">
        <v>100434.50000000001</v>
      </c>
      <c r="I14" s="17">
        <v>101787</v>
      </c>
      <c r="J14" s="17">
        <v>103108</v>
      </c>
      <c r="K14" s="17">
        <v>104235.99999999999</v>
      </c>
      <c r="L14" s="17">
        <v>105527</v>
      </c>
      <c r="M14" s="17">
        <v>106971.5</v>
      </c>
      <c r="N14" s="17">
        <v>108105.49999999999</v>
      </c>
      <c r="O14" s="17">
        <v>109065</v>
      </c>
      <c r="P14" s="17">
        <v>109950.00000000001</v>
      </c>
      <c r="Q14" s="17">
        <v>110818</v>
      </c>
      <c r="R14" s="17">
        <v>111734.5</v>
      </c>
      <c r="S14" s="17">
        <v>112604.5</v>
      </c>
      <c r="T14" s="17">
        <v>113437.5</v>
      </c>
      <c r="U14" s="17">
        <v>114175.5</v>
      </c>
      <c r="V14" s="17">
        <v>114425.00000000001</v>
      </c>
      <c r="W14" s="17">
        <v>114458.00000000001</v>
      </c>
      <c r="X14" s="17">
        <v>114815.99999999999</v>
      </c>
      <c r="Y14" s="17">
        <v>115369</v>
      </c>
      <c r="Z14" s="17">
        <v>115938.5</v>
      </c>
      <c r="AA14" s="17">
        <v>116267.49999999999</v>
      </c>
      <c r="AB14" s="17">
        <v>116289.5</v>
      </c>
      <c r="AC14" s="17">
        <v>116245.5</v>
      </c>
      <c r="AD14" s="17">
        <v>116089.99999999999</v>
      </c>
      <c r="AE14" s="17">
        <v>115934.5</v>
      </c>
      <c r="AF14" s="17">
        <v>115756.49999999999</v>
      </c>
    </row>
    <row r="15" spans="1:32" x14ac:dyDescent="0.25">
      <c r="A15" s="6" t="s">
        <v>144</v>
      </c>
      <c r="B15" s="17">
        <v>167518.5</v>
      </c>
      <c r="C15" s="17">
        <v>173523</v>
      </c>
      <c r="D15" s="17">
        <v>179325.49999999997</v>
      </c>
      <c r="E15" s="17">
        <v>187631.49999999997</v>
      </c>
      <c r="F15" s="17">
        <v>201254</v>
      </c>
      <c r="G15" s="17">
        <v>217572.50000000003</v>
      </c>
      <c r="H15" s="17">
        <v>233720.49999999997</v>
      </c>
      <c r="I15" s="17">
        <v>249552.00000000003</v>
      </c>
      <c r="J15" s="17">
        <v>265033.5</v>
      </c>
      <c r="K15" s="17">
        <v>280128.5</v>
      </c>
      <c r="L15" s="17">
        <v>285328.00000000006</v>
      </c>
      <c r="M15" s="17">
        <v>280726</v>
      </c>
      <c r="N15" s="17">
        <v>280337.5</v>
      </c>
      <c r="O15" s="17">
        <v>287840.00000000006</v>
      </c>
      <c r="P15" s="17">
        <v>299440.49999999994</v>
      </c>
      <c r="Q15" s="17">
        <v>308536</v>
      </c>
      <c r="R15" s="17">
        <v>314727.49999999994</v>
      </c>
      <c r="S15" s="17">
        <v>321246.49999999994</v>
      </c>
      <c r="T15" s="17">
        <v>326727.99999999994</v>
      </c>
      <c r="U15" s="17">
        <v>327212</v>
      </c>
      <c r="V15" s="17">
        <v>319930</v>
      </c>
      <c r="W15" s="17">
        <v>314132.5</v>
      </c>
      <c r="X15" s="17">
        <v>315634.5</v>
      </c>
      <c r="Y15" s="17">
        <v>319116</v>
      </c>
      <c r="Z15" s="17">
        <v>322787.49999999994</v>
      </c>
      <c r="AA15" s="17">
        <v>326410</v>
      </c>
      <c r="AB15" s="17">
        <v>329744.49999999994</v>
      </c>
      <c r="AC15" s="17">
        <v>332842.50000000006</v>
      </c>
      <c r="AD15" s="17">
        <v>336051.5</v>
      </c>
      <c r="AE15" s="17">
        <v>339409.5</v>
      </c>
      <c r="AF15" s="17">
        <v>342732.99999999994</v>
      </c>
    </row>
    <row r="16" spans="1:32" x14ac:dyDescent="0.25">
      <c r="A16" s="8" t="s">
        <v>12</v>
      </c>
      <c r="B16" s="17">
        <v>32884824.500000004</v>
      </c>
      <c r="C16" s="17">
        <v>33775288</v>
      </c>
      <c r="D16" s="17">
        <v>34617716</v>
      </c>
      <c r="E16" s="17">
        <v>35412966.5</v>
      </c>
      <c r="F16" s="17">
        <v>36181959</v>
      </c>
      <c r="G16" s="17">
        <v>36911229.499999993</v>
      </c>
      <c r="H16" s="17">
        <v>37521408.5</v>
      </c>
      <c r="I16" s="17">
        <v>38069590.5</v>
      </c>
      <c r="J16" s="17">
        <v>38564113.999999993</v>
      </c>
      <c r="K16" s="17">
        <v>39090108</v>
      </c>
      <c r="L16" s="17">
        <v>39757479.999999993</v>
      </c>
      <c r="M16" s="17">
        <v>40478944.000000007</v>
      </c>
      <c r="N16" s="17">
        <v>41252677.500000007</v>
      </c>
      <c r="O16" s="17">
        <v>42072437</v>
      </c>
      <c r="P16" s="17">
        <v>42898830</v>
      </c>
      <c r="Q16" s="17">
        <v>43711732</v>
      </c>
      <c r="R16" s="17">
        <v>44535706.000000007</v>
      </c>
      <c r="S16" s="17">
        <v>45343807.5</v>
      </c>
      <c r="T16" s="17">
        <v>46075488.000000007</v>
      </c>
      <c r="U16" s="17">
        <v>46743459.999999993</v>
      </c>
      <c r="V16" s="17">
        <v>47396172.999999993</v>
      </c>
      <c r="W16" s="17">
        <v>48002689</v>
      </c>
      <c r="X16" s="17">
        <v>48503846.5</v>
      </c>
      <c r="Y16" s="17">
        <v>48931396.999999993</v>
      </c>
      <c r="Z16" s="17">
        <v>49307724.5</v>
      </c>
      <c r="AA16" s="17">
        <v>49626690.5</v>
      </c>
      <c r="AB16" s="17">
        <v>49886031.999999993</v>
      </c>
      <c r="AC16" s="17">
        <v>50093527</v>
      </c>
      <c r="AD16" s="17">
        <v>50268397.499999993</v>
      </c>
      <c r="AE16" s="17">
        <v>50412150</v>
      </c>
      <c r="AF16" s="17">
        <v>50518691.000000007</v>
      </c>
    </row>
    <row r="17" spans="1:32" x14ac:dyDescent="0.25">
      <c r="A17" s="6" t="s">
        <v>145</v>
      </c>
      <c r="B17" s="17">
        <v>73167.999999999985</v>
      </c>
      <c r="C17" s="17">
        <v>73162</v>
      </c>
      <c r="D17" s="17">
        <v>73242.5</v>
      </c>
      <c r="E17" s="17">
        <v>73164.999999999985</v>
      </c>
      <c r="F17" s="17">
        <v>73028.5</v>
      </c>
      <c r="G17" s="17">
        <v>72873</v>
      </c>
      <c r="H17" s="17">
        <v>72683.5</v>
      </c>
      <c r="I17" s="17">
        <v>72437.5</v>
      </c>
      <c r="J17" s="17">
        <v>72140.999999999985</v>
      </c>
      <c r="K17" s="17">
        <v>71713.5</v>
      </c>
      <c r="L17" s="17">
        <v>71135.500000000015</v>
      </c>
      <c r="M17" s="17">
        <v>70538</v>
      </c>
      <c r="N17" s="17">
        <v>70010</v>
      </c>
      <c r="O17" s="17">
        <v>69532.000000000015</v>
      </c>
      <c r="P17" s="17">
        <v>69045</v>
      </c>
      <c r="Q17" s="17">
        <v>68587</v>
      </c>
      <c r="R17" s="17">
        <v>68193.000000000015</v>
      </c>
      <c r="S17" s="17">
        <v>67834</v>
      </c>
      <c r="T17" s="17">
        <v>67515</v>
      </c>
      <c r="U17" s="17">
        <v>67228</v>
      </c>
      <c r="V17" s="17">
        <v>66896.5</v>
      </c>
      <c r="W17" s="17">
        <v>66468.5</v>
      </c>
      <c r="X17" s="17">
        <v>65991.5</v>
      </c>
      <c r="Y17" s="17">
        <v>65615.5</v>
      </c>
      <c r="Z17" s="17">
        <v>65277</v>
      </c>
      <c r="AA17" s="17">
        <v>64842</v>
      </c>
      <c r="AB17" s="17">
        <v>64398.500000000015</v>
      </c>
      <c r="AC17" s="17">
        <v>63969.999999999993</v>
      </c>
      <c r="AD17" s="17">
        <v>63531.5</v>
      </c>
      <c r="AE17" s="17">
        <v>63100.500000000007</v>
      </c>
      <c r="AF17" s="17">
        <v>62670.999999999993</v>
      </c>
    </row>
    <row r="18" spans="1:32" x14ac:dyDescent="0.25">
      <c r="A18" s="6" t="s">
        <v>146</v>
      </c>
      <c r="B18" s="17">
        <v>2728355.4999999995</v>
      </c>
      <c r="C18" s="17">
        <v>2730776.5</v>
      </c>
      <c r="D18" s="17">
        <v>2729740.0000000005</v>
      </c>
      <c r="E18" s="17">
        <v>2722094</v>
      </c>
      <c r="F18" s="17">
        <v>2706363.5</v>
      </c>
      <c r="G18" s="17">
        <v>2682087.4999999995</v>
      </c>
      <c r="H18" s="17">
        <v>2651929.4999999995</v>
      </c>
      <c r="I18" s="17">
        <v>2617207.5</v>
      </c>
      <c r="J18" s="17">
        <v>2578183.9999999995</v>
      </c>
      <c r="K18" s="17">
        <v>2537109.4999999995</v>
      </c>
      <c r="L18" s="17">
        <v>2494765.5</v>
      </c>
      <c r="M18" s="17">
        <v>2452275.0000000005</v>
      </c>
      <c r="N18" s="17">
        <v>2412353</v>
      </c>
      <c r="O18" s="17">
        <v>2377613.0000000005</v>
      </c>
      <c r="P18" s="17">
        <v>2350444.5</v>
      </c>
      <c r="Q18" s="17">
        <v>2329753.5</v>
      </c>
      <c r="R18" s="17">
        <v>2312589</v>
      </c>
      <c r="S18" s="17">
        <v>2296610.5</v>
      </c>
      <c r="T18" s="17">
        <v>2280441.0000000005</v>
      </c>
      <c r="U18" s="17">
        <v>2262354.5000000005</v>
      </c>
      <c r="V18" s="17">
        <v>2242218.0000000005</v>
      </c>
      <c r="W18" s="17">
        <v>2222306.5</v>
      </c>
      <c r="X18" s="17">
        <v>2207521</v>
      </c>
      <c r="Y18" s="17">
        <v>2194129</v>
      </c>
      <c r="Z18" s="17">
        <v>2178602.9999999995</v>
      </c>
      <c r="AA18" s="17">
        <v>2164036</v>
      </c>
      <c r="AB18" s="17">
        <v>2149337.4999999995</v>
      </c>
      <c r="AC18" s="17">
        <v>2135091</v>
      </c>
      <c r="AD18" s="17">
        <v>2120635.5000000005</v>
      </c>
      <c r="AE18" s="17">
        <v>2105225</v>
      </c>
      <c r="AF18" s="17">
        <v>2089029</v>
      </c>
    </row>
    <row r="19" spans="1:32" x14ac:dyDescent="0.25">
      <c r="A19" s="9" t="s">
        <v>147</v>
      </c>
      <c r="B19" s="17">
        <v>2470247.4999999995</v>
      </c>
      <c r="C19" s="17">
        <v>2471799.4999999995</v>
      </c>
      <c r="D19" s="17">
        <v>2474990</v>
      </c>
      <c r="E19" s="17">
        <v>2478803.5</v>
      </c>
      <c r="F19" s="17">
        <v>2483376.5</v>
      </c>
      <c r="G19" s="17">
        <v>2488458.5</v>
      </c>
      <c r="H19" s="17">
        <v>2494521</v>
      </c>
      <c r="I19" s="17">
        <v>2500617.5</v>
      </c>
      <c r="J19" s="17">
        <v>2504828.0000000005</v>
      </c>
      <c r="K19" s="17">
        <v>2505810.5</v>
      </c>
      <c r="L19" s="17">
        <v>2505510.5</v>
      </c>
      <c r="M19" s="17">
        <v>2505394</v>
      </c>
      <c r="N19" s="17">
        <v>2505390.0000000005</v>
      </c>
      <c r="O19" s="17">
        <v>2504458.0000000005</v>
      </c>
      <c r="P19" s="17">
        <v>2501531.5</v>
      </c>
      <c r="Q19" s="17">
        <v>2499509</v>
      </c>
      <c r="R19" s="17">
        <v>2499677.5</v>
      </c>
      <c r="S19" s="17">
        <v>2500900</v>
      </c>
      <c r="T19" s="17">
        <v>2502893.5</v>
      </c>
      <c r="U19" s="17">
        <v>2505653</v>
      </c>
      <c r="V19" s="17">
        <v>2508853.0000000005</v>
      </c>
      <c r="W19" s="17">
        <v>2512787.0000000005</v>
      </c>
      <c r="X19" s="17">
        <v>2513916</v>
      </c>
      <c r="Y19" s="17">
        <v>2513502</v>
      </c>
      <c r="Z19" s="17">
        <v>2515895.9999999995</v>
      </c>
      <c r="AA19" s="17">
        <v>2520341.5</v>
      </c>
      <c r="AB19" s="17">
        <v>2524782.5000000005</v>
      </c>
      <c r="AC19" s="17">
        <v>2527091.5</v>
      </c>
      <c r="AD19" s="17">
        <v>2527068</v>
      </c>
      <c r="AE19" s="17">
        <v>2524803.0000000005</v>
      </c>
      <c r="AF19" s="17">
        <v>2520347.5000000005</v>
      </c>
    </row>
    <row r="20" spans="1:32" x14ac:dyDescent="0.25">
      <c r="A20" s="6" t="s">
        <v>148</v>
      </c>
      <c r="B20" s="17">
        <v>60003.999999999993</v>
      </c>
      <c r="C20" s="17">
        <v>62389</v>
      </c>
      <c r="D20" s="17">
        <v>64761.5</v>
      </c>
      <c r="E20" s="17">
        <v>67184.5</v>
      </c>
      <c r="F20" s="17">
        <v>69650</v>
      </c>
      <c r="G20" s="17">
        <v>72148</v>
      </c>
      <c r="H20" s="17">
        <v>74699.5</v>
      </c>
      <c r="I20" s="17">
        <v>77303.499999999985</v>
      </c>
      <c r="J20" s="17">
        <v>79935.5</v>
      </c>
      <c r="K20" s="17">
        <v>82611.5</v>
      </c>
      <c r="L20" s="17">
        <v>85274</v>
      </c>
      <c r="M20" s="17">
        <v>87877.000000000015</v>
      </c>
      <c r="N20" s="17">
        <v>90466.500000000015</v>
      </c>
      <c r="O20" s="17">
        <v>93075.499999999985</v>
      </c>
      <c r="P20" s="17">
        <v>95706</v>
      </c>
      <c r="Q20" s="17">
        <v>98321.500000000015</v>
      </c>
      <c r="R20" s="17">
        <v>100878.49999999999</v>
      </c>
      <c r="S20" s="17">
        <v>103339.5</v>
      </c>
      <c r="T20" s="17">
        <v>105689.50000000001</v>
      </c>
      <c r="U20" s="17">
        <v>107931.5</v>
      </c>
      <c r="V20" s="17">
        <v>109869.50000000001</v>
      </c>
      <c r="W20" s="17">
        <v>111564.5</v>
      </c>
      <c r="X20" s="17">
        <v>113233.49999999999</v>
      </c>
      <c r="Y20" s="17">
        <v>114870</v>
      </c>
      <c r="Z20" s="17">
        <v>116475.50000000001</v>
      </c>
      <c r="AA20" s="17">
        <v>117933</v>
      </c>
      <c r="AB20" s="17">
        <v>119285.5</v>
      </c>
      <c r="AC20" s="17">
        <v>120651.50000000001</v>
      </c>
      <c r="AD20" s="17">
        <v>122023.5</v>
      </c>
      <c r="AE20" s="17">
        <v>123390.49999999999</v>
      </c>
      <c r="AF20" s="17">
        <v>124703.50000000001</v>
      </c>
    </row>
    <row r="21" spans="1:32" x14ac:dyDescent="0.25">
      <c r="A21" s="6" t="s">
        <v>13</v>
      </c>
      <c r="B21" s="17">
        <v>1586818.5</v>
      </c>
      <c r="C21" s="17">
        <v>1642205.4999999998</v>
      </c>
      <c r="D21" s="17">
        <v>1699008</v>
      </c>
      <c r="E21" s="17">
        <v>1757253.5</v>
      </c>
      <c r="F21" s="17">
        <v>1816691.5</v>
      </c>
      <c r="G21" s="17">
        <v>1884326</v>
      </c>
      <c r="H21" s="17">
        <v>1949509.5</v>
      </c>
      <c r="I21" s="17">
        <v>2008044.5000000002</v>
      </c>
      <c r="J21" s="17">
        <v>2071996.5000000002</v>
      </c>
      <c r="K21" s="17">
        <v>2140692</v>
      </c>
      <c r="L21" s="17">
        <v>2211484</v>
      </c>
      <c r="M21" s="17">
        <v>2281380</v>
      </c>
      <c r="N21" s="17">
        <v>2350943.5</v>
      </c>
      <c r="O21" s="17">
        <v>2420341</v>
      </c>
      <c r="P21" s="17">
        <v>2491554.5</v>
      </c>
      <c r="Q21" s="17">
        <v>2565016.5</v>
      </c>
      <c r="R21" s="17">
        <v>2640124.5</v>
      </c>
      <c r="S21" s="17">
        <v>2717665.9999999995</v>
      </c>
      <c r="T21" s="17">
        <v>2798206.5</v>
      </c>
      <c r="U21" s="17">
        <v>2881684.5</v>
      </c>
      <c r="V21" s="17">
        <v>2967258.5</v>
      </c>
      <c r="W21" s="17">
        <v>3055194.0000000005</v>
      </c>
      <c r="X21" s="17">
        <v>3145115.0000000005</v>
      </c>
      <c r="Y21" s="17">
        <v>3236147</v>
      </c>
      <c r="Z21" s="17">
        <v>3329274</v>
      </c>
      <c r="AA21" s="17">
        <v>3424877.9999999995</v>
      </c>
      <c r="AB21" s="17">
        <v>3523080.5</v>
      </c>
      <c r="AC21" s="17">
        <v>3624330.4999999995</v>
      </c>
      <c r="AD21" s="17">
        <v>3729069.0000000005</v>
      </c>
      <c r="AE21" s="17">
        <v>3837436.9999999995</v>
      </c>
      <c r="AF21" s="17">
        <v>3948679.5</v>
      </c>
    </row>
    <row r="22" spans="1:32" x14ac:dyDescent="0.25">
      <c r="A22" s="9" t="s">
        <v>14</v>
      </c>
      <c r="B22" s="17">
        <v>136294</v>
      </c>
      <c r="C22" s="17">
        <v>140703.50000000003</v>
      </c>
      <c r="D22" s="17">
        <v>145414.00000000003</v>
      </c>
      <c r="E22" s="17">
        <v>150497.5</v>
      </c>
      <c r="F22" s="17">
        <v>155997</v>
      </c>
      <c r="G22" s="17">
        <v>161353.99999999997</v>
      </c>
      <c r="H22" s="17">
        <v>165949</v>
      </c>
      <c r="I22" s="17">
        <v>170043.5</v>
      </c>
      <c r="J22" s="17">
        <v>173928</v>
      </c>
      <c r="K22" s="17">
        <v>177578.00000000003</v>
      </c>
      <c r="L22" s="17">
        <v>180985.99999999997</v>
      </c>
      <c r="M22" s="17">
        <v>184144.5</v>
      </c>
      <c r="N22" s="17">
        <v>187037.00000000003</v>
      </c>
      <c r="O22" s="17">
        <v>189720</v>
      </c>
      <c r="P22" s="17">
        <v>192341.5</v>
      </c>
      <c r="Q22" s="17">
        <v>194980.5</v>
      </c>
      <c r="R22" s="17">
        <v>197628.50000000003</v>
      </c>
      <c r="S22" s="17">
        <v>200841.99999999997</v>
      </c>
      <c r="T22" s="17">
        <v>204597.00000000003</v>
      </c>
      <c r="U22" s="17">
        <v>208267</v>
      </c>
      <c r="V22" s="17">
        <v>211772.5</v>
      </c>
      <c r="W22" s="17">
        <v>215034</v>
      </c>
      <c r="X22" s="17">
        <v>217994</v>
      </c>
      <c r="Y22" s="17">
        <v>220672.99999999997</v>
      </c>
      <c r="Z22" s="17">
        <v>223146.00000000003</v>
      </c>
      <c r="AA22" s="17">
        <v>225415</v>
      </c>
      <c r="AB22" s="17">
        <v>227441.00000000003</v>
      </c>
      <c r="AC22" s="17">
        <v>229179.50000000003</v>
      </c>
      <c r="AD22" s="17">
        <v>230531.99999999997</v>
      </c>
      <c r="AE22" s="17">
        <v>231396</v>
      </c>
      <c r="AF22" s="17">
        <v>231722.5</v>
      </c>
    </row>
    <row r="23" spans="1:32" x14ac:dyDescent="0.25">
      <c r="A23" s="6" t="s">
        <v>15</v>
      </c>
      <c r="B23" s="17">
        <v>2022492</v>
      </c>
      <c r="C23" s="17">
        <v>2070191.5</v>
      </c>
      <c r="D23" s="17">
        <v>2123971.5</v>
      </c>
      <c r="E23" s="17">
        <v>2179670.4999999995</v>
      </c>
      <c r="F23" s="17">
        <v>2236756.5000000005</v>
      </c>
      <c r="G23" s="17">
        <v>2294922.4999999995</v>
      </c>
      <c r="H23" s="17">
        <v>2353872.0000000005</v>
      </c>
      <c r="I23" s="17">
        <v>2412958.4999999995</v>
      </c>
      <c r="J23" s="17">
        <v>2471524.0000000005</v>
      </c>
      <c r="K23" s="17">
        <v>2529438.5000000005</v>
      </c>
      <c r="L23" s="17">
        <v>2586987.4999999995</v>
      </c>
      <c r="M23" s="17">
        <v>2644538</v>
      </c>
      <c r="N23" s="17">
        <v>2701854.0000000005</v>
      </c>
      <c r="O23" s="17">
        <v>2759006.5</v>
      </c>
      <c r="P23" s="17">
        <v>2816641</v>
      </c>
      <c r="Q23" s="17">
        <v>2874145</v>
      </c>
      <c r="R23" s="17">
        <v>2930778</v>
      </c>
      <c r="S23" s="17">
        <v>2986621.5</v>
      </c>
      <c r="T23" s="17">
        <v>3041832</v>
      </c>
      <c r="U23" s="17">
        <v>3096347</v>
      </c>
      <c r="V23" s="17">
        <v>3150581</v>
      </c>
      <c r="W23" s="17">
        <v>3204921</v>
      </c>
      <c r="X23" s="17">
        <v>3259520.5</v>
      </c>
      <c r="Y23" s="17">
        <v>3314413</v>
      </c>
      <c r="Z23" s="17">
        <v>3368666.5</v>
      </c>
      <c r="AA23" s="17">
        <v>3421719.4999999995</v>
      </c>
      <c r="AB23" s="17">
        <v>3473424.9999999995</v>
      </c>
      <c r="AC23" s="17">
        <v>3523554.4999999995</v>
      </c>
      <c r="AD23" s="17">
        <v>3572166.5</v>
      </c>
      <c r="AE23" s="17">
        <v>3619236.5000000005</v>
      </c>
      <c r="AF23" s="17">
        <v>3664651</v>
      </c>
    </row>
    <row r="24" spans="1:32" x14ac:dyDescent="0.25">
      <c r="A24" s="6" t="s">
        <v>369</v>
      </c>
      <c r="B24" s="17">
        <v>1113468.9999999998</v>
      </c>
      <c r="C24" s="17">
        <v>1122947</v>
      </c>
      <c r="D24" s="17">
        <v>1125917</v>
      </c>
      <c r="E24" s="17">
        <v>1119495.9999999998</v>
      </c>
      <c r="F24" s="17">
        <v>1099898.0000000002</v>
      </c>
      <c r="G24" s="17">
        <v>1076771.0000000002</v>
      </c>
      <c r="H24" s="17">
        <v>1058995.0000000002</v>
      </c>
      <c r="I24" s="17">
        <v>1036662</v>
      </c>
      <c r="J24" s="17">
        <v>1008494.5</v>
      </c>
      <c r="K24" s="17">
        <v>978429.00000000023</v>
      </c>
      <c r="L24" s="17">
        <v>949313.50000000012</v>
      </c>
      <c r="M24" s="17">
        <v>922317</v>
      </c>
      <c r="N24" s="17">
        <v>897070.5</v>
      </c>
      <c r="O24" s="17">
        <v>874857</v>
      </c>
      <c r="P24" s="17">
        <v>854677.5</v>
      </c>
      <c r="Q24" s="17">
        <v>833880</v>
      </c>
      <c r="R24" s="17">
        <v>813245</v>
      </c>
      <c r="S24" s="17">
        <v>793419.5</v>
      </c>
      <c r="T24" s="17">
        <v>774502</v>
      </c>
      <c r="U24" s="17">
        <v>756632.00000000012</v>
      </c>
      <c r="V24" s="17">
        <v>739868</v>
      </c>
      <c r="W24" s="17">
        <v>723444.50000000012</v>
      </c>
      <c r="X24" s="17">
        <v>711838.50000000012</v>
      </c>
      <c r="Y24" s="17">
        <v>705483.49999999988</v>
      </c>
      <c r="Z24" s="17">
        <v>699380.00000000012</v>
      </c>
      <c r="AA24" s="17">
        <v>693089</v>
      </c>
      <c r="AB24" s="17">
        <v>686346</v>
      </c>
      <c r="AC24" s="17">
        <v>679663.5</v>
      </c>
      <c r="AD24" s="17">
        <v>673156.5</v>
      </c>
      <c r="AE24" s="17">
        <v>666182</v>
      </c>
      <c r="AF24" s="17">
        <v>658768.99999999988</v>
      </c>
    </row>
    <row r="25" spans="1:32" x14ac:dyDescent="0.25">
      <c r="A25" s="8" t="s">
        <v>151</v>
      </c>
      <c r="B25" s="17">
        <v>465130</v>
      </c>
      <c r="C25" s="17">
        <v>478477.00000000006</v>
      </c>
      <c r="D25" s="17">
        <v>491187.50000000006</v>
      </c>
      <c r="E25" s="17">
        <v>503197</v>
      </c>
      <c r="F25" s="17">
        <v>514770.50000000006</v>
      </c>
      <c r="G25" s="17">
        <v>526078</v>
      </c>
      <c r="H25" s="17">
        <v>537201.5</v>
      </c>
      <c r="I25" s="17">
        <v>548388.99999999988</v>
      </c>
      <c r="J25" s="17">
        <v>559918.5</v>
      </c>
      <c r="K25" s="17">
        <v>571647.99999999988</v>
      </c>
      <c r="L25" s="17">
        <v>583232.50000000012</v>
      </c>
      <c r="M25" s="17">
        <v>594238.5</v>
      </c>
      <c r="N25" s="17">
        <v>604534.50000000012</v>
      </c>
      <c r="O25" s="17">
        <v>614759</v>
      </c>
      <c r="P25" s="17">
        <v>625388.99999999988</v>
      </c>
      <c r="Q25" s="17">
        <v>636454</v>
      </c>
      <c r="R25" s="17">
        <v>648165.99999999988</v>
      </c>
      <c r="S25" s="17">
        <v>660374.49999999988</v>
      </c>
      <c r="T25" s="17">
        <v>672382.99999999988</v>
      </c>
      <c r="U25" s="17">
        <v>684136.50000000023</v>
      </c>
      <c r="V25" s="17">
        <v>696205.5</v>
      </c>
      <c r="W25" s="17">
        <v>708172</v>
      </c>
      <c r="X25" s="17">
        <v>720575</v>
      </c>
      <c r="Y25" s="17">
        <v>733641.00000000012</v>
      </c>
      <c r="Z25" s="17">
        <v>746361.5</v>
      </c>
      <c r="AA25" s="17">
        <v>758597.5</v>
      </c>
      <c r="AB25" s="17">
        <v>770252.5</v>
      </c>
      <c r="AC25" s="17">
        <v>781349.99999999988</v>
      </c>
      <c r="AD25" s="17">
        <v>791913.50000000012</v>
      </c>
      <c r="AE25" s="17">
        <v>801876</v>
      </c>
      <c r="AF25" s="17">
        <v>811232.5</v>
      </c>
    </row>
    <row r="26" spans="1:32" x14ac:dyDescent="0.25">
      <c r="A26" s="6" t="s">
        <v>152</v>
      </c>
      <c r="B26" s="17">
        <v>48287905</v>
      </c>
      <c r="C26" s="17">
        <v>49113142.5</v>
      </c>
      <c r="D26" s="17">
        <v>49902832.499999993</v>
      </c>
      <c r="E26" s="17">
        <v>50646062</v>
      </c>
      <c r="F26" s="17">
        <v>51339741.000000007</v>
      </c>
      <c r="G26" s="17">
        <v>51980295</v>
      </c>
      <c r="H26" s="17">
        <v>52565656</v>
      </c>
      <c r="I26" s="17">
        <v>53101649.5</v>
      </c>
      <c r="J26" s="17">
        <v>53595321.500000007</v>
      </c>
      <c r="K26" s="17">
        <v>54058294.000000007</v>
      </c>
      <c r="L26" s="17">
        <v>54504869.5</v>
      </c>
      <c r="M26" s="17">
        <v>54934346.000000007</v>
      </c>
      <c r="N26" s="17">
        <v>55336062.999999993</v>
      </c>
      <c r="O26" s="17">
        <v>55710583.5</v>
      </c>
      <c r="P26" s="17">
        <v>56048565</v>
      </c>
      <c r="Q26" s="17">
        <v>56346487.5</v>
      </c>
      <c r="R26" s="17">
        <v>56626909</v>
      </c>
      <c r="S26" s="17">
        <v>56884651.500000007</v>
      </c>
      <c r="T26" s="17">
        <v>57097830</v>
      </c>
      <c r="U26" s="17">
        <v>57284471.5</v>
      </c>
      <c r="V26" s="17">
        <v>57439613.000000007</v>
      </c>
      <c r="W26" s="17">
        <v>57529206.000000007</v>
      </c>
      <c r="X26" s="17">
        <v>57555218</v>
      </c>
      <c r="Y26" s="17">
        <v>57548222.000000007</v>
      </c>
      <c r="Z26" s="17">
        <v>57520576.5</v>
      </c>
      <c r="AA26" s="17">
        <v>57463678.5</v>
      </c>
      <c r="AB26" s="17">
        <v>57368754</v>
      </c>
      <c r="AC26" s="17">
        <v>57225647</v>
      </c>
      <c r="AD26" s="17">
        <v>57029784.500000007</v>
      </c>
      <c r="AE26" s="17">
        <v>56802233.499999993</v>
      </c>
      <c r="AF26" s="17">
        <v>56555504</v>
      </c>
    </row>
    <row r="27" spans="1:32" x14ac:dyDescent="0.25">
      <c r="A27" s="6" t="s">
        <v>154</v>
      </c>
      <c r="B27" s="17">
        <v>89171.500000000015</v>
      </c>
      <c r="C27" s="17">
        <v>92022.5</v>
      </c>
      <c r="D27" s="17">
        <v>94828</v>
      </c>
      <c r="E27" s="17">
        <v>97559.000000000015</v>
      </c>
      <c r="F27" s="17">
        <v>100180.5</v>
      </c>
      <c r="G27" s="17">
        <v>102681.99999999999</v>
      </c>
      <c r="H27" s="17">
        <v>105059.49999999999</v>
      </c>
      <c r="I27" s="17">
        <v>107322.49999999999</v>
      </c>
      <c r="J27" s="17">
        <v>109494.49999999999</v>
      </c>
      <c r="K27" s="17">
        <v>111576.5</v>
      </c>
      <c r="L27" s="17">
        <v>113586.50000000001</v>
      </c>
      <c r="M27" s="17">
        <v>115070.00000000001</v>
      </c>
      <c r="N27" s="17">
        <v>115963.5</v>
      </c>
      <c r="O27" s="17">
        <v>116714</v>
      </c>
      <c r="P27" s="17">
        <v>117420.50000000001</v>
      </c>
      <c r="Q27" s="17">
        <v>118089.5</v>
      </c>
      <c r="R27" s="17">
        <v>118613.5</v>
      </c>
      <c r="S27" s="17">
        <v>118974.00000000001</v>
      </c>
      <c r="T27" s="17">
        <v>119160.5</v>
      </c>
      <c r="U27" s="17">
        <v>119140.99999999999</v>
      </c>
      <c r="V27" s="17">
        <v>118991</v>
      </c>
      <c r="W27" s="17">
        <v>118810.5</v>
      </c>
      <c r="X27" s="17">
        <v>118645</v>
      </c>
      <c r="Y27" s="17">
        <v>118484.50000000003</v>
      </c>
      <c r="Z27" s="17">
        <v>118319</v>
      </c>
      <c r="AA27" s="17">
        <v>118182</v>
      </c>
      <c r="AB27" s="17">
        <v>118085.99999999999</v>
      </c>
      <c r="AC27" s="17">
        <v>118003.5</v>
      </c>
      <c r="AD27" s="17">
        <v>117889.99999999999</v>
      </c>
      <c r="AE27" s="17">
        <v>117714</v>
      </c>
      <c r="AF27" s="17">
        <v>117460.50000000001</v>
      </c>
    </row>
    <row r="28" spans="1:32" x14ac:dyDescent="0.25">
      <c r="A28" s="6" t="s">
        <v>155</v>
      </c>
      <c r="B28" s="17">
        <v>1979047.5000000002</v>
      </c>
      <c r="C28" s="17">
        <v>1960911</v>
      </c>
      <c r="D28" s="17">
        <v>1943283</v>
      </c>
      <c r="E28" s="17">
        <v>1923911.5</v>
      </c>
      <c r="F28" s="17">
        <v>1903795.9999999998</v>
      </c>
      <c r="G28" s="17">
        <v>1881555.0000000002</v>
      </c>
      <c r="H28" s="17">
        <v>1855405</v>
      </c>
      <c r="I28" s="17">
        <v>1826990</v>
      </c>
      <c r="J28" s="17">
        <v>1798191.5</v>
      </c>
      <c r="K28" s="17">
        <v>1769047.9999999998</v>
      </c>
      <c r="L28" s="17">
        <v>1737248.5000000002</v>
      </c>
      <c r="M28" s="17">
        <v>1703376.4999999998</v>
      </c>
      <c r="N28" s="17">
        <v>1669607.9999999998</v>
      </c>
      <c r="O28" s="17">
        <v>1636623</v>
      </c>
      <c r="P28" s="17">
        <v>1607295</v>
      </c>
      <c r="Q28" s="17">
        <v>1582843.9999999998</v>
      </c>
      <c r="R28" s="17">
        <v>1561011.0000000002</v>
      </c>
      <c r="S28" s="17">
        <v>1539511</v>
      </c>
      <c r="T28" s="17">
        <v>1513032.5</v>
      </c>
      <c r="U28" s="17">
        <v>1481843.5</v>
      </c>
      <c r="V28" s="17">
        <v>1452644.5</v>
      </c>
      <c r="W28" s="17">
        <v>1426626</v>
      </c>
      <c r="X28" s="17">
        <v>1405396.0000000002</v>
      </c>
      <c r="Y28" s="17">
        <v>1385138</v>
      </c>
      <c r="Z28" s="17">
        <v>1361405</v>
      </c>
      <c r="AA28" s="17">
        <v>1337145.0000000002</v>
      </c>
      <c r="AB28" s="17">
        <v>1312811.5</v>
      </c>
      <c r="AC28" s="17">
        <v>1288082.5</v>
      </c>
      <c r="AD28" s="17">
        <v>1264224.5000000002</v>
      </c>
      <c r="AE28" s="17">
        <v>1241187.9999999998</v>
      </c>
      <c r="AF28" s="17">
        <v>1220009.5</v>
      </c>
    </row>
    <row r="29" spans="1:32" x14ac:dyDescent="0.25">
      <c r="A29" s="9" t="s">
        <v>16</v>
      </c>
      <c r="B29" s="17">
        <v>2675597</v>
      </c>
      <c r="C29" s="17">
        <v>2774831.5</v>
      </c>
      <c r="D29" s="17">
        <v>2877394.5</v>
      </c>
      <c r="E29" s="17">
        <v>2981722.5</v>
      </c>
      <c r="F29" s="17">
        <v>3087434</v>
      </c>
      <c r="G29" s="17">
        <v>3194180.0000000005</v>
      </c>
      <c r="H29" s="17">
        <v>3300029.4999999995</v>
      </c>
      <c r="I29" s="17">
        <v>3402590.5000000005</v>
      </c>
      <c r="J29" s="17">
        <v>3502327.5</v>
      </c>
      <c r="K29" s="17">
        <v>3603141</v>
      </c>
      <c r="L29" s="17">
        <v>3707175.5</v>
      </c>
      <c r="M29" s="17">
        <v>3816313</v>
      </c>
      <c r="N29" s="17">
        <v>3932290.5</v>
      </c>
      <c r="O29" s="17">
        <v>4051468.9999999995</v>
      </c>
      <c r="P29" s="17">
        <v>4174782.4999999995</v>
      </c>
      <c r="Q29" s="17">
        <v>4304742</v>
      </c>
      <c r="R29" s="17">
        <v>4441019</v>
      </c>
      <c r="S29" s="17">
        <v>4582516.5</v>
      </c>
      <c r="T29" s="17">
        <v>4727349.5</v>
      </c>
      <c r="U29" s="17">
        <v>4877033.5</v>
      </c>
      <c r="V29" s="17">
        <v>5036092.0000000009</v>
      </c>
      <c r="W29" s="17">
        <v>5204315.0000000009</v>
      </c>
      <c r="X29" s="17">
        <v>5376584.5</v>
      </c>
      <c r="Y29" s="17">
        <v>5553377.0000000009</v>
      </c>
      <c r="Z29" s="17">
        <v>5735330.5</v>
      </c>
      <c r="AA29" s="17">
        <v>5921535</v>
      </c>
      <c r="AB29" s="17">
        <v>6111588.5</v>
      </c>
      <c r="AC29" s="17">
        <v>6304755.9999999991</v>
      </c>
      <c r="AD29" s="17">
        <v>6499882.0000000009</v>
      </c>
      <c r="AE29" s="17">
        <v>6695961</v>
      </c>
      <c r="AF29" s="17">
        <v>6892375</v>
      </c>
    </row>
    <row r="30" spans="1:32" x14ac:dyDescent="0.25">
      <c r="A30" s="9" t="s">
        <v>17</v>
      </c>
      <c r="B30" s="17">
        <v>1398271.0000000002</v>
      </c>
      <c r="C30" s="17">
        <v>1449526.5000000002</v>
      </c>
      <c r="D30" s="17">
        <v>1506917</v>
      </c>
      <c r="E30" s="17">
        <v>1571542.5</v>
      </c>
      <c r="F30" s="17">
        <v>1650894.5</v>
      </c>
      <c r="G30" s="17">
        <v>1727681</v>
      </c>
      <c r="H30" s="17">
        <v>1799006</v>
      </c>
      <c r="I30" s="17">
        <v>1872030.5</v>
      </c>
      <c r="J30" s="17">
        <v>1960547</v>
      </c>
      <c r="K30" s="17">
        <v>2074364.5000000002</v>
      </c>
      <c r="L30" s="17">
        <v>2173779.5</v>
      </c>
      <c r="M30" s="17">
        <v>2240748</v>
      </c>
      <c r="N30" s="17">
        <v>2307466</v>
      </c>
      <c r="O30" s="17">
        <v>2375691.5</v>
      </c>
      <c r="P30" s="17">
        <v>2440638.0000000005</v>
      </c>
      <c r="Q30" s="17">
        <v>2461627</v>
      </c>
      <c r="R30" s="17">
        <v>2465131.0000000005</v>
      </c>
      <c r="S30" s="17">
        <v>2508122.0000000005</v>
      </c>
      <c r="T30" s="17">
        <v>2593404</v>
      </c>
      <c r="U30" s="17">
        <v>2701928.5</v>
      </c>
      <c r="V30" s="17">
        <v>2801594</v>
      </c>
      <c r="W30" s="17">
        <v>2901550</v>
      </c>
      <c r="X30" s="17">
        <v>3009200.9999999995</v>
      </c>
      <c r="Y30" s="17">
        <v>3126518.5000000005</v>
      </c>
      <c r="Z30" s="17">
        <v>3250549</v>
      </c>
      <c r="AA30" s="17">
        <v>3380815.4999999995</v>
      </c>
      <c r="AB30" s="17">
        <v>3514310</v>
      </c>
      <c r="AC30" s="17">
        <v>3647211.4999999995</v>
      </c>
      <c r="AD30" s="17">
        <v>3779051.9999999995</v>
      </c>
      <c r="AE30" s="17">
        <v>3909341.5000000005</v>
      </c>
      <c r="AF30" s="17">
        <v>4037855</v>
      </c>
    </row>
    <row r="31" spans="1:32" x14ac:dyDescent="0.25">
      <c r="A31" s="6" t="s">
        <v>156</v>
      </c>
      <c r="B31" s="17">
        <v>113217.50000000001</v>
      </c>
      <c r="C31" s="17">
        <v>116337</v>
      </c>
      <c r="D31" s="17">
        <v>119294.5</v>
      </c>
      <c r="E31" s="17">
        <v>122072.5</v>
      </c>
      <c r="F31" s="17">
        <v>124671.49999999999</v>
      </c>
      <c r="G31" s="17">
        <v>127100.5</v>
      </c>
      <c r="H31" s="17">
        <v>129379.5</v>
      </c>
      <c r="I31" s="17">
        <v>131546</v>
      </c>
      <c r="J31" s="17">
        <v>133613.5</v>
      </c>
      <c r="K31" s="17">
        <v>135558.5</v>
      </c>
      <c r="L31" s="17">
        <v>137967.5</v>
      </c>
      <c r="M31" s="17">
        <v>140769</v>
      </c>
      <c r="N31" s="17">
        <v>143317</v>
      </c>
      <c r="O31" s="17">
        <v>145703.50000000003</v>
      </c>
      <c r="P31" s="17">
        <v>148013.50000000003</v>
      </c>
      <c r="Q31" s="17">
        <v>150210.99999999997</v>
      </c>
      <c r="R31" s="17">
        <v>152236.5</v>
      </c>
      <c r="S31" s="17">
        <v>154134</v>
      </c>
      <c r="T31" s="17">
        <v>155998.49999999997</v>
      </c>
      <c r="U31" s="17">
        <v>157893</v>
      </c>
      <c r="V31" s="17">
        <v>159866</v>
      </c>
      <c r="W31" s="17">
        <v>161932.5</v>
      </c>
      <c r="X31" s="17">
        <v>164023.5</v>
      </c>
      <c r="Y31" s="17">
        <v>166045.5</v>
      </c>
      <c r="Z31" s="17">
        <v>167948.49999999997</v>
      </c>
      <c r="AA31" s="17">
        <v>169812</v>
      </c>
      <c r="AB31" s="17">
        <v>171722</v>
      </c>
      <c r="AC31" s="17">
        <v>173425.5</v>
      </c>
      <c r="AD31" s="17">
        <v>174785.5</v>
      </c>
      <c r="AE31" s="17">
        <v>175981.5</v>
      </c>
      <c r="AF31" s="17">
        <v>177055.5</v>
      </c>
    </row>
    <row r="32" spans="1:32" x14ac:dyDescent="0.25">
      <c r="A32" s="9" t="s">
        <v>18</v>
      </c>
      <c r="B32" s="17">
        <v>3077142.5</v>
      </c>
      <c r="C32" s="17">
        <v>3170443.5000000005</v>
      </c>
      <c r="D32" s="17">
        <v>3264254.5</v>
      </c>
      <c r="E32" s="17">
        <v>3357281.9999999991</v>
      </c>
      <c r="F32" s="17">
        <v>3447092.5000000005</v>
      </c>
      <c r="G32" s="17">
        <v>3533091.9999999995</v>
      </c>
      <c r="H32" s="17">
        <v>3616870</v>
      </c>
      <c r="I32" s="17">
        <v>3698113.9999999995</v>
      </c>
      <c r="J32" s="17">
        <v>3772429</v>
      </c>
      <c r="K32" s="17">
        <v>3836576.5</v>
      </c>
      <c r="L32" s="17">
        <v>3892195.5</v>
      </c>
      <c r="M32" s="17">
        <v>3938968.5000000005</v>
      </c>
      <c r="N32" s="17">
        <v>3973672.4999999995</v>
      </c>
      <c r="O32" s="17">
        <v>4007557.4999999995</v>
      </c>
      <c r="P32" s="17">
        <v>4045236.9999999995</v>
      </c>
      <c r="Q32" s="17">
        <v>4078588.5000000005</v>
      </c>
      <c r="R32" s="17">
        <v>4111813.9999999995</v>
      </c>
      <c r="S32" s="17">
        <v>4146390.0000000005</v>
      </c>
      <c r="T32" s="17">
        <v>4178941.0000000009</v>
      </c>
      <c r="U32" s="17">
        <v>4209909.5</v>
      </c>
      <c r="V32" s="17">
        <v>4245704.5</v>
      </c>
      <c r="W32" s="17">
        <v>4287062</v>
      </c>
      <c r="X32" s="17">
        <v>4331000.5</v>
      </c>
      <c r="Y32" s="17">
        <v>4381268.5</v>
      </c>
      <c r="Z32" s="17">
        <v>4441380.5000000009</v>
      </c>
      <c r="AA32" s="17">
        <v>4510852</v>
      </c>
      <c r="AB32" s="17">
        <v>4586622</v>
      </c>
      <c r="AC32" s="17">
        <v>4671193.5</v>
      </c>
      <c r="AD32" s="17">
        <v>4756681.5</v>
      </c>
      <c r="AE32" s="17">
        <v>4826914.5</v>
      </c>
      <c r="AF32" s="17">
        <v>4874140.4999999991</v>
      </c>
    </row>
    <row r="33" spans="1:32" x14ac:dyDescent="0.25">
      <c r="A33" s="6" t="s">
        <v>19</v>
      </c>
      <c r="B33" s="17">
        <v>3410546.9999999995</v>
      </c>
      <c r="C33" s="17">
        <v>3526088.5000000005</v>
      </c>
      <c r="D33" s="17">
        <v>3648275</v>
      </c>
      <c r="E33" s="17">
        <v>3773950.5</v>
      </c>
      <c r="F33" s="17">
        <v>3900525.5</v>
      </c>
      <c r="G33" s="17">
        <v>4027570.9999999995</v>
      </c>
      <c r="H33" s="17">
        <v>4155358.9999999995</v>
      </c>
      <c r="I33" s="17">
        <v>4288972.5</v>
      </c>
      <c r="J33" s="17">
        <v>4428128</v>
      </c>
      <c r="K33" s="17">
        <v>4569288.5</v>
      </c>
      <c r="L33" s="17">
        <v>4712113</v>
      </c>
      <c r="M33" s="17">
        <v>4855324.5000000009</v>
      </c>
      <c r="N33" s="17">
        <v>5000357.5</v>
      </c>
      <c r="O33" s="17">
        <v>5150057</v>
      </c>
      <c r="P33" s="17">
        <v>5326777.9999999991</v>
      </c>
      <c r="Q33" s="17">
        <v>5518868</v>
      </c>
      <c r="R33" s="17">
        <v>5697558.0000000009</v>
      </c>
      <c r="S33" s="17">
        <v>5864905.4999999991</v>
      </c>
      <c r="T33" s="17">
        <v>6035144.9999999991</v>
      </c>
      <c r="U33" s="17">
        <v>6217861</v>
      </c>
      <c r="V33" s="17">
        <v>6406259.0000000009</v>
      </c>
      <c r="W33" s="17">
        <v>6599527.0000000009</v>
      </c>
      <c r="X33" s="17">
        <v>6798772.5000000009</v>
      </c>
      <c r="Y33" s="17">
        <v>7005442</v>
      </c>
      <c r="Z33" s="17">
        <v>7218243</v>
      </c>
      <c r="AA33" s="17">
        <v>7435940.5</v>
      </c>
      <c r="AB33" s="17">
        <v>7656525.5000000009</v>
      </c>
      <c r="AC33" s="17">
        <v>7878633</v>
      </c>
      <c r="AD33" s="17">
        <v>8102298.5</v>
      </c>
      <c r="AE33" s="17">
        <v>8328110.0000000009</v>
      </c>
      <c r="AF33" s="17">
        <v>8558787.5</v>
      </c>
    </row>
    <row r="34" spans="1:32" x14ac:dyDescent="0.25">
      <c r="A34" s="6" t="s">
        <v>157</v>
      </c>
      <c r="B34" s="17">
        <v>7975819.0000000009</v>
      </c>
      <c r="C34" s="17">
        <v>8020105.5</v>
      </c>
      <c r="D34" s="17">
        <v>8060400.5</v>
      </c>
      <c r="E34" s="17">
        <v>8088328.5</v>
      </c>
      <c r="F34" s="17">
        <v>8111797</v>
      </c>
      <c r="G34" s="17">
        <v>8138705.9999999991</v>
      </c>
      <c r="H34" s="17">
        <v>8166844.0000000009</v>
      </c>
      <c r="I34" s="17">
        <v>8194076.5000000009</v>
      </c>
      <c r="J34" s="17">
        <v>8222544.5</v>
      </c>
      <c r="K34" s="17">
        <v>8251147.4999999991</v>
      </c>
      <c r="L34" s="17">
        <v>8270237.5000000009</v>
      </c>
      <c r="M34" s="17">
        <v>8274327.4999999991</v>
      </c>
      <c r="N34" s="17">
        <v>8266702.5000000009</v>
      </c>
      <c r="O34" s="17">
        <v>8249995.9999999991</v>
      </c>
      <c r="P34" s="17">
        <v>8224224</v>
      </c>
      <c r="Q34" s="17">
        <v>8205479.4999999991</v>
      </c>
      <c r="R34" s="17">
        <v>8225032.9999999991</v>
      </c>
      <c r="S34" s="17">
        <v>8287909</v>
      </c>
      <c r="T34" s="17">
        <v>8378769.4999999981</v>
      </c>
      <c r="U34" s="17">
        <v>8475548</v>
      </c>
      <c r="V34" s="17">
        <v>8532650.5</v>
      </c>
      <c r="W34" s="17">
        <v>8559478</v>
      </c>
      <c r="X34" s="17">
        <v>8606771.9999999981</v>
      </c>
      <c r="Y34" s="17">
        <v>8672109.9999999981</v>
      </c>
      <c r="Z34" s="17">
        <v>8737232.5</v>
      </c>
      <c r="AA34" s="17">
        <v>8797727.5</v>
      </c>
      <c r="AB34" s="17">
        <v>8853813</v>
      </c>
      <c r="AC34" s="17">
        <v>8906684.5</v>
      </c>
      <c r="AD34" s="17">
        <v>8956029.9999999981</v>
      </c>
      <c r="AE34" s="17">
        <v>8999064.0000000019</v>
      </c>
      <c r="AF34" s="17">
        <v>9036608.5</v>
      </c>
    </row>
    <row r="35" spans="1:32" x14ac:dyDescent="0.25">
      <c r="A35" s="6" t="s">
        <v>2012</v>
      </c>
      <c r="B35" s="17">
        <v>879197</v>
      </c>
      <c r="C35" s="17">
        <v>900079.49999999977</v>
      </c>
      <c r="D35" s="17">
        <v>921225.5</v>
      </c>
      <c r="E35" s="17">
        <v>943448.5</v>
      </c>
      <c r="F35" s="17">
        <v>962053.00000000012</v>
      </c>
      <c r="G35" s="17">
        <v>982314.5</v>
      </c>
      <c r="H35" s="17">
        <v>998458.00000000012</v>
      </c>
      <c r="I35" s="17">
        <v>1012021.4999999999</v>
      </c>
      <c r="J35" s="17">
        <v>1029004.5</v>
      </c>
      <c r="K35" s="17">
        <v>1047425.9999999999</v>
      </c>
      <c r="L35" s="17">
        <v>1064389.5</v>
      </c>
      <c r="M35" s="17">
        <v>1070924.5</v>
      </c>
      <c r="N35" s="17">
        <v>1064483</v>
      </c>
      <c r="O35" s="17">
        <v>1054022</v>
      </c>
      <c r="P35" s="17">
        <v>1032432</v>
      </c>
      <c r="Q35" s="17">
        <v>1023190</v>
      </c>
      <c r="R35" s="17">
        <v>1041006.0000000001</v>
      </c>
      <c r="S35" s="17">
        <v>1061175.4999999998</v>
      </c>
      <c r="T35" s="17">
        <v>1082986.5</v>
      </c>
      <c r="U35" s="17">
        <v>1111066.5000000002</v>
      </c>
      <c r="V35" s="17">
        <v>1146753.4999999998</v>
      </c>
      <c r="W35" s="17">
        <v>1174502.4999999998</v>
      </c>
      <c r="X35" s="17">
        <v>1205714.0000000002</v>
      </c>
      <c r="Y35" s="17">
        <v>1253731.4999999998</v>
      </c>
      <c r="Z35" s="17">
        <v>1305194</v>
      </c>
      <c r="AA35" s="17">
        <v>1359982</v>
      </c>
      <c r="AB35" s="17">
        <v>1417499.5</v>
      </c>
      <c r="AC35" s="17">
        <v>1476502.9999999998</v>
      </c>
      <c r="AD35" s="17">
        <v>1535767.5000000002</v>
      </c>
      <c r="AE35" s="17">
        <v>1594698.5</v>
      </c>
      <c r="AF35" s="17">
        <v>1652741</v>
      </c>
    </row>
    <row r="36" spans="1:32" x14ac:dyDescent="0.25">
      <c r="A36" s="6" t="s">
        <v>20</v>
      </c>
      <c r="B36" s="17">
        <v>1791625</v>
      </c>
      <c r="C36" s="17">
        <v>1845390.5000000002</v>
      </c>
      <c r="D36" s="17">
        <v>1907447.5000000002</v>
      </c>
      <c r="E36" s="17">
        <v>1994889.9999999995</v>
      </c>
      <c r="F36" s="17">
        <v>2104651</v>
      </c>
      <c r="G36" s="17">
        <v>2199783.5</v>
      </c>
      <c r="H36" s="17">
        <v>2278711.0000000005</v>
      </c>
      <c r="I36" s="17">
        <v>2355249</v>
      </c>
      <c r="J36" s="17">
        <v>2439698</v>
      </c>
      <c r="K36" s="17">
        <v>2528580.5</v>
      </c>
      <c r="L36" s="17">
        <v>2612243</v>
      </c>
      <c r="M36" s="17">
        <v>2705470.0000000005</v>
      </c>
      <c r="N36" s="17">
        <v>2803513.5</v>
      </c>
      <c r="O36" s="17">
        <v>2908954.5000000005</v>
      </c>
      <c r="P36" s="17">
        <v>3019627.9999999995</v>
      </c>
      <c r="Q36" s="17">
        <v>3112623</v>
      </c>
      <c r="R36" s="17">
        <v>3209096</v>
      </c>
      <c r="S36" s="17">
        <v>3321726.5</v>
      </c>
      <c r="T36" s="17">
        <v>3442457.5</v>
      </c>
      <c r="U36" s="17">
        <v>3563474.5</v>
      </c>
      <c r="V36" s="17">
        <v>3683487.4999999995</v>
      </c>
      <c r="W36" s="17">
        <v>3811922</v>
      </c>
      <c r="X36" s="17">
        <v>3941654</v>
      </c>
      <c r="Y36" s="17">
        <v>4073239.0000000005</v>
      </c>
      <c r="Z36" s="17">
        <v>4209950</v>
      </c>
      <c r="AA36" s="17">
        <v>4352653.5</v>
      </c>
      <c r="AB36" s="17">
        <v>4501108.5</v>
      </c>
      <c r="AC36" s="17">
        <v>4655334.5</v>
      </c>
      <c r="AD36" s="17">
        <v>4815219.9999999991</v>
      </c>
      <c r="AE36" s="17">
        <v>4980690.5000000009</v>
      </c>
      <c r="AF36" s="17">
        <v>5151359.5</v>
      </c>
    </row>
    <row r="37" spans="1:32" x14ac:dyDescent="0.25">
      <c r="A37" s="6" t="s">
        <v>661</v>
      </c>
      <c r="B37" s="17" t="e">
        <v>#N/A</v>
      </c>
      <c r="C37" s="17" t="e">
        <v>#N/A</v>
      </c>
      <c r="D37" s="17" t="e">
        <v>#N/A</v>
      </c>
      <c r="E37" s="17" t="e">
        <v>#N/A</v>
      </c>
      <c r="F37" s="17" t="e">
        <v>#N/A</v>
      </c>
      <c r="G37" s="17" t="e">
        <v>#N/A</v>
      </c>
      <c r="H37" s="17" t="e">
        <v>#N/A</v>
      </c>
      <c r="I37" s="17" t="e">
        <v>#N/A</v>
      </c>
      <c r="J37" s="17" t="e">
        <v>#N/A</v>
      </c>
      <c r="K37" s="17" t="e">
        <v>#N/A</v>
      </c>
      <c r="L37" s="17" t="e">
        <v>#N/A</v>
      </c>
      <c r="M37" s="17" t="e">
        <v>#N/A</v>
      </c>
      <c r="N37" s="17" t="e">
        <v>#N/A</v>
      </c>
      <c r="O37" s="17" t="e">
        <v>#N/A</v>
      </c>
      <c r="P37" s="17" t="e">
        <v>#N/A</v>
      </c>
      <c r="Q37" s="17" t="e">
        <v>#N/A</v>
      </c>
      <c r="R37" s="17" t="e">
        <v>#N/A</v>
      </c>
      <c r="S37" s="17" t="e">
        <v>#N/A</v>
      </c>
      <c r="T37" s="17" t="e">
        <v>#N/A</v>
      </c>
      <c r="U37" s="17" t="e">
        <v>#N/A</v>
      </c>
      <c r="V37" s="17" t="e">
        <v>#N/A</v>
      </c>
      <c r="W37" s="17" t="e">
        <v>#N/A</v>
      </c>
      <c r="X37" s="17" t="e">
        <v>#N/A</v>
      </c>
      <c r="Y37" s="17" t="e">
        <v>#N/A</v>
      </c>
      <c r="Z37" s="17" t="e">
        <v>#N/A</v>
      </c>
      <c r="AA37" s="17" t="e">
        <v>#N/A</v>
      </c>
      <c r="AB37" s="17" t="e">
        <v>#N/A</v>
      </c>
      <c r="AC37" s="17" t="e">
        <v>#N/A</v>
      </c>
      <c r="AD37" s="17" t="e">
        <v>#N/A</v>
      </c>
      <c r="AE37" s="17" t="e">
        <v>#N/A</v>
      </c>
      <c r="AF37" s="17" t="e">
        <v>#N/A</v>
      </c>
    </row>
    <row r="38" spans="1:32" x14ac:dyDescent="0.25">
      <c r="A38" s="6" t="s">
        <v>159</v>
      </c>
      <c r="B38" s="17">
        <v>4077058.4999999995</v>
      </c>
      <c r="C38" s="17">
        <v>4124136.0000000005</v>
      </c>
      <c r="D38" s="17">
        <v>4171207.0000000005</v>
      </c>
      <c r="E38" s="17">
        <v>4218241.5</v>
      </c>
      <c r="F38" s="17">
        <v>4265191.0000000009</v>
      </c>
      <c r="G38" s="17">
        <v>4311949.0000000009</v>
      </c>
      <c r="H38" s="17">
        <v>4357517</v>
      </c>
      <c r="I38" s="17">
        <v>4400101</v>
      </c>
      <c r="J38" s="17">
        <v>4439405</v>
      </c>
      <c r="K38" s="17">
        <v>4475807.5</v>
      </c>
      <c r="L38" s="17">
        <v>4508012.0000000009</v>
      </c>
      <c r="M38" s="17">
        <v>4535755</v>
      </c>
      <c r="N38" s="17">
        <v>4559603.5</v>
      </c>
      <c r="O38" s="17">
        <v>4580122.5</v>
      </c>
      <c r="P38" s="17">
        <v>4600007</v>
      </c>
      <c r="Q38" s="17">
        <v>4619322</v>
      </c>
      <c r="R38" s="17">
        <v>4651411</v>
      </c>
      <c r="S38" s="17">
        <v>4714588</v>
      </c>
      <c r="T38" s="17">
        <v>4797082.5</v>
      </c>
      <c r="U38" s="17">
        <v>4879001</v>
      </c>
      <c r="V38" s="17">
        <v>4930518</v>
      </c>
      <c r="W38" s="17">
        <v>4957695</v>
      </c>
      <c r="X38" s="17">
        <v>4951907</v>
      </c>
      <c r="Y38" s="17">
        <v>4910268.5</v>
      </c>
      <c r="Z38" s="17">
        <v>4870533.5</v>
      </c>
      <c r="AA38" s="17">
        <v>4834165.5</v>
      </c>
      <c r="AB38" s="17">
        <v>4801264.9999999991</v>
      </c>
      <c r="AC38" s="17">
        <v>4771567.4999999991</v>
      </c>
      <c r="AD38" s="17">
        <v>4744971.5000000009</v>
      </c>
      <c r="AE38" s="17">
        <v>4722649</v>
      </c>
      <c r="AF38" s="17">
        <v>4705202</v>
      </c>
    </row>
    <row r="39" spans="1:32" x14ac:dyDescent="0.25">
      <c r="A39" s="8" t="s">
        <v>160</v>
      </c>
      <c r="B39" s="17">
        <v>353080783.5</v>
      </c>
      <c r="C39" s="17">
        <v>356149543</v>
      </c>
      <c r="D39" s="17">
        <v>359387391.5</v>
      </c>
      <c r="E39" s="17">
        <v>362255699.99999994</v>
      </c>
      <c r="F39" s="17">
        <v>364968146</v>
      </c>
      <c r="G39" s="17">
        <v>367753601.5</v>
      </c>
      <c r="H39" s="17">
        <v>369698920.00000006</v>
      </c>
      <c r="I39" s="17">
        <v>369913443.99999994</v>
      </c>
      <c r="J39" s="17">
        <v>369751450.50000006</v>
      </c>
      <c r="K39" s="17">
        <v>370585534.00000006</v>
      </c>
      <c r="L39" s="17">
        <v>371988756.5</v>
      </c>
      <c r="M39" s="17">
        <v>373357648</v>
      </c>
      <c r="N39" s="17">
        <v>372592908</v>
      </c>
      <c r="O39" s="17">
        <v>368252343</v>
      </c>
      <c r="P39" s="17">
        <v>363019921.5</v>
      </c>
      <c r="Q39" s="17">
        <v>358441151</v>
      </c>
      <c r="R39" s="17">
        <v>353919724.49999994</v>
      </c>
      <c r="S39" s="17">
        <v>349628173.50000006</v>
      </c>
      <c r="T39" s="17">
        <v>344725605</v>
      </c>
      <c r="U39" s="17">
        <v>339097363.5</v>
      </c>
      <c r="V39" s="17">
        <v>333573503</v>
      </c>
      <c r="W39" s="17">
        <v>328338066.5</v>
      </c>
      <c r="X39" s="17">
        <v>323735150</v>
      </c>
      <c r="Y39" s="17">
        <v>319681631</v>
      </c>
      <c r="Z39" s="17">
        <v>316352654.99999994</v>
      </c>
      <c r="AA39" s="17">
        <v>313986936.00000006</v>
      </c>
      <c r="AB39" s="17">
        <v>312318635.5</v>
      </c>
      <c r="AC39" s="17">
        <v>311498523.5</v>
      </c>
      <c r="AD39" s="17">
        <v>311122708.49999994</v>
      </c>
      <c r="AE39" s="17">
        <v>310394989.49999994</v>
      </c>
      <c r="AF39" s="17">
        <v>309090512.5</v>
      </c>
    </row>
    <row r="40" spans="1:32" x14ac:dyDescent="0.25">
      <c r="A40" s="8" t="s">
        <v>161</v>
      </c>
      <c r="B40" s="17">
        <v>2042926.0000000002</v>
      </c>
      <c r="C40" s="17">
        <v>2068051.0000000005</v>
      </c>
      <c r="D40" s="17">
        <v>2081363.5000000005</v>
      </c>
      <c r="E40" s="17">
        <v>2091365.5</v>
      </c>
      <c r="F40" s="17">
        <v>2099409.4999999995</v>
      </c>
      <c r="G40" s="17">
        <v>2103537.5</v>
      </c>
      <c r="H40" s="17">
        <v>2105393</v>
      </c>
      <c r="I40" s="17">
        <v>2107435.9999999995</v>
      </c>
      <c r="J40" s="17">
        <v>2109113.5</v>
      </c>
      <c r="K40" s="17">
        <v>2109326</v>
      </c>
      <c r="L40" s="17">
        <v>2108965.5</v>
      </c>
      <c r="M40" s="17">
        <v>2108591.5</v>
      </c>
      <c r="N40" s="17">
        <v>2104190.5</v>
      </c>
      <c r="O40" s="17">
        <v>2092393.5000000002</v>
      </c>
      <c r="P40" s="17">
        <v>2077380</v>
      </c>
      <c r="Q40" s="17">
        <v>2064610.4999999998</v>
      </c>
      <c r="R40" s="17">
        <v>2041681.5000000002</v>
      </c>
      <c r="S40" s="17">
        <v>2006207.5</v>
      </c>
      <c r="T40" s="17">
        <v>1968427.4999999998</v>
      </c>
      <c r="U40" s="17">
        <v>1927445.5</v>
      </c>
      <c r="V40" s="17">
        <v>1884789</v>
      </c>
      <c r="W40" s="17">
        <v>1842773.0000000002</v>
      </c>
      <c r="X40" s="17">
        <v>1807469</v>
      </c>
      <c r="Y40" s="17">
        <v>1777467.5</v>
      </c>
      <c r="Z40" s="17">
        <v>1747281.9999999998</v>
      </c>
      <c r="AA40" s="17">
        <v>1719105.5</v>
      </c>
      <c r="AB40" s="17">
        <v>1694202</v>
      </c>
      <c r="AC40" s="17">
        <v>1669598.5</v>
      </c>
      <c r="AD40" s="17">
        <v>1641836</v>
      </c>
      <c r="AE40" s="17">
        <v>1610743.5000000002</v>
      </c>
      <c r="AF40" s="17">
        <v>1577361</v>
      </c>
    </row>
    <row r="41" spans="1:32" x14ac:dyDescent="0.25">
      <c r="A41" s="6" t="s">
        <v>162</v>
      </c>
      <c r="B41" s="17">
        <v>137179.50000000003</v>
      </c>
      <c r="C41" s="17">
        <v>140707.49999999997</v>
      </c>
      <c r="D41" s="17">
        <v>145396</v>
      </c>
      <c r="E41" s="17">
        <v>150835.99999999997</v>
      </c>
      <c r="F41" s="17">
        <v>156211</v>
      </c>
      <c r="G41" s="17">
        <v>161253.49999999997</v>
      </c>
      <c r="H41" s="17">
        <v>165817.99999999997</v>
      </c>
      <c r="I41" s="17">
        <v>169981.5</v>
      </c>
      <c r="J41" s="17">
        <v>173867.00000000003</v>
      </c>
      <c r="K41" s="17">
        <v>177636.5</v>
      </c>
      <c r="L41" s="17">
        <v>181259</v>
      </c>
      <c r="M41" s="17">
        <v>184039.5</v>
      </c>
      <c r="N41" s="17">
        <v>185226.99999999997</v>
      </c>
      <c r="O41" s="17">
        <v>185600.99999999997</v>
      </c>
      <c r="P41" s="17">
        <v>186271.5</v>
      </c>
      <c r="Q41" s="17">
        <v>187265.00000000003</v>
      </c>
      <c r="R41" s="17">
        <v>188533.00000000003</v>
      </c>
      <c r="S41" s="17">
        <v>189896.49999999997</v>
      </c>
      <c r="T41" s="17">
        <v>191089</v>
      </c>
      <c r="U41" s="17">
        <v>192178</v>
      </c>
      <c r="V41" s="17">
        <v>193244</v>
      </c>
      <c r="W41" s="17">
        <v>192962.5</v>
      </c>
      <c r="X41" s="17">
        <v>191866</v>
      </c>
      <c r="Y41" s="17">
        <v>191312.50000000003</v>
      </c>
      <c r="Z41" s="17">
        <v>190835</v>
      </c>
      <c r="AA41" s="17">
        <v>190466.50000000003</v>
      </c>
      <c r="AB41" s="17">
        <v>190204.99999999997</v>
      </c>
      <c r="AC41" s="17">
        <v>190075.00000000003</v>
      </c>
      <c r="AD41" s="17">
        <v>190072.5</v>
      </c>
      <c r="AE41" s="17">
        <v>190159.5</v>
      </c>
      <c r="AF41" s="17">
        <v>190329.5</v>
      </c>
    </row>
    <row r="42" spans="1:32" x14ac:dyDescent="0.25">
      <c r="A42" s="6" t="s">
        <v>662</v>
      </c>
      <c r="B42" s="17">
        <v>6369212</v>
      </c>
      <c r="C42" s="17">
        <v>6398471</v>
      </c>
      <c r="D42" s="17">
        <v>6417978</v>
      </c>
      <c r="E42" s="17">
        <v>6423551.0000000009</v>
      </c>
      <c r="F42" s="17">
        <v>6419621</v>
      </c>
      <c r="G42" s="17">
        <v>6410683</v>
      </c>
      <c r="H42" s="17">
        <v>6400931.5</v>
      </c>
      <c r="I42" s="17">
        <v>6392107</v>
      </c>
      <c r="J42" s="17">
        <v>6383288.5</v>
      </c>
      <c r="K42" s="17">
        <v>6373097</v>
      </c>
      <c r="L42" s="17">
        <v>6360362</v>
      </c>
      <c r="M42" s="17">
        <v>6342588.5</v>
      </c>
      <c r="N42" s="17">
        <v>6317974.5</v>
      </c>
      <c r="O42" s="17">
        <v>6287001.5</v>
      </c>
      <c r="P42" s="17">
        <v>6249571.5</v>
      </c>
      <c r="Q42" s="17">
        <v>6204954</v>
      </c>
      <c r="R42" s="17">
        <v>6152652.5</v>
      </c>
      <c r="S42" s="17">
        <v>6093120.0000000009</v>
      </c>
      <c r="T42" s="17">
        <v>6027718.5</v>
      </c>
      <c r="U42" s="17">
        <v>5957981.5</v>
      </c>
      <c r="V42" s="17">
        <v>5885491</v>
      </c>
      <c r="W42" s="17">
        <v>5811872.5000000009</v>
      </c>
      <c r="X42" s="17">
        <v>5736878.5000000009</v>
      </c>
      <c r="Y42" s="17">
        <v>5658931</v>
      </c>
      <c r="Z42" s="17">
        <v>5576631.5</v>
      </c>
      <c r="AA42" s="17">
        <v>5488120</v>
      </c>
      <c r="AB42" s="17">
        <v>5394025</v>
      </c>
      <c r="AC42" s="17">
        <v>5299119</v>
      </c>
      <c r="AD42" s="17">
        <v>5202391.5</v>
      </c>
      <c r="AE42" s="17">
        <v>5102926.5000000009</v>
      </c>
      <c r="AF42" s="17">
        <v>5004040.9999999991</v>
      </c>
    </row>
    <row r="43" spans="1:32" x14ac:dyDescent="0.25">
      <c r="A43" s="6" t="s">
        <v>163</v>
      </c>
      <c r="B43" s="17">
        <v>10640859.500000002</v>
      </c>
      <c r="C43" s="17">
        <v>10835381.500000002</v>
      </c>
      <c r="D43" s="17">
        <v>11027307</v>
      </c>
      <c r="E43" s="17">
        <v>11213390</v>
      </c>
      <c r="F43" s="17">
        <v>11394479.500000002</v>
      </c>
      <c r="G43" s="17">
        <v>11568868</v>
      </c>
      <c r="H43" s="17">
        <v>11736934.500000002</v>
      </c>
      <c r="I43" s="17">
        <v>11898999</v>
      </c>
      <c r="J43" s="17">
        <v>12049019.999999998</v>
      </c>
      <c r="K43" s="17">
        <v>12189918.000000002</v>
      </c>
      <c r="L43" s="17">
        <v>12324266.5</v>
      </c>
      <c r="M43" s="17">
        <v>12447228.5</v>
      </c>
      <c r="N43" s="17">
        <v>12555518.5</v>
      </c>
      <c r="O43" s="17">
        <v>12650448.5</v>
      </c>
      <c r="P43" s="17">
        <v>12734516</v>
      </c>
      <c r="Q43" s="17">
        <v>12814742.000000002</v>
      </c>
      <c r="R43" s="17">
        <v>12915831</v>
      </c>
      <c r="S43" s="17">
        <v>13102866.999999998</v>
      </c>
      <c r="T43" s="17">
        <v>13369391</v>
      </c>
      <c r="U43" s="17">
        <v>13626652</v>
      </c>
      <c r="V43" s="17">
        <v>13823169.999999998</v>
      </c>
      <c r="W43" s="17">
        <v>13971895.5</v>
      </c>
      <c r="X43" s="17">
        <v>14030117.5</v>
      </c>
      <c r="Y43" s="17">
        <v>14004701.5</v>
      </c>
      <c r="Z43" s="17">
        <v>13977321.500000002</v>
      </c>
      <c r="AA43" s="17">
        <v>13954544.5</v>
      </c>
      <c r="AB43" s="17">
        <v>13938876.5</v>
      </c>
      <c r="AC43" s="17">
        <v>13928493.5</v>
      </c>
      <c r="AD43" s="17">
        <v>13917410.5</v>
      </c>
      <c r="AE43" s="17">
        <v>13900352.499999998</v>
      </c>
      <c r="AF43" s="17">
        <v>13877373</v>
      </c>
    </row>
    <row r="44" spans="1:32" x14ac:dyDescent="0.25">
      <c r="A44" s="6" t="s">
        <v>21</v>
      </c>
      <c r="B44" s="17">
        <v>121726</v>
      </c>
      <c r="C44" s="17">
        <v>123903</v>
      </c>
      <c r="D44" s="17">
        <v>126123</v>
      </c>
      <c r="E44" s="17">
        <v>129085.00000000001</v>
      </c>
      <c r="F44" s="17">
        <v>132664.00000000003</v>
      </c>
      <c r="G44" s="17">
        <v>136233.50000000003</v>
      </c>
      <c r="H44" s="17">
        <v>139921.5</v>
      </c>
      <c r="I44" s="17">
        <v>143667.50000000003</v>
      </c>
      <c r="J44" s="17">
        <v>147483.5</v>
      </c>
      <c r="K44" s="17">
        <v>151391.99999999997</v>
      </c>
      <c r="L44" s="17">
        <v>155400.5</v>
      </c>
      <c r="M44" s="17">
        <v>159511.5</v>
      </c>
      <c r="N44" s="17">
        <v>163720.5</v>
      </c>
      <c r="O44" s="17">
        <v>168013.5</v>
      </c>
      <c r="P44" s="17">
        <v>172380.5</v>
      </c>
      <c r="Q44" s="17">
        <v>176819.5</v>
      </c>
      <c r="R44" s="17">
        <v>181330.5</v>
      </c>
      <c r="S44" s="17">
        <v>185337.49999999997</v>
      </c>
      <c r="T44" s="17">
        <v>188748.99999999997</v>
      </c>
      <c r="U44" s="17">
        <v>192159.5</v>
      </c>
      <c r="V44" s="17">
        <v>196001.99999999997</v>
      </c>
      <c r="W44" s="17">
        <v>200236</v>
      </c>
      <c r="X44" s="17">
        <v>204463</v>
      </c>
      <c r="Y44" s="17">
        <v>208702</v>
      </c>
      <c r="Z44" s="17">
        <v>213032.50000000003</v>
      </c>
      <c r="AA44" s="17">
        <v>217468.00000000003</v>
      </c>
      <c r="AB44" s="17">
        <v>222010</v>
      </c>
      <c r="AC44" s="17">
        <v>226605.49999999997</v>
      </c>
      <c r="AD44" s="17">
        <v>231208.50000000003</v>
      </c>
      <c r="AE44" s="17">
        <v>235806.50000000003</v>
      </c>
      <c r="AF44" s="17">
        <v>240364.50000000003</v>
      </c>
    </row>
    <row r="45" spans="1:32" x14ac:dyDescent="0.25">
      <c r="A45" s="6" t="s">
        <v>22</v>
      </c>
      <c r="B45" s="17">
        <v>765617.00000000012</v>
      </c>
      <c r="C45" s="17">
        <v>804560.50000000012</v>
      </c>
      <c r="D45" s="17">
        <v>824270.50000000012</v>
      </c>
      <c r="E45" s="17">
        <v>849978.00000000012</v>
      </c>
      <c r="F45" s="17">
        <v>884576.50000000012</v>
      </c>
      <c r="G45" s="17">
        <v>921946.49999999988</v>
      </c>
      <c r="H45" s="17">
        <v>961637.5</v>
      </c>
      <c r="I45" s="17">
        <v>1000177</v>
      </c>
      <c r="J45" s="17">
        <v>1032223</v>
      </c>
      <c r="K45" s="17">
        <v>1075980</v>
      </c>
      <c r="L45" s="17">
        <v>1122369.0000000002</v>
      </c>
      <c r="M45" s="17">
        <v>1152557.5</v>
      </c>
      <c r="N45" s="17">
        <v>1175052.5</v>
      </c>
      <c r="O45" s="17">
        <v>1191652.5</v>
      </c>
      <c r="P45" s="17">
        <v>1209535.5</v>
      </c>
      <c r="Q45" s="17">
        <v>1228812.5</v>
      </c>
      <c r="R45" s="17">
        <v>1250717</v>
      </c>
      <c r="S45" s="17">
        <v>1275897.0000000002</v>
      </c>
      <c r="T45" s="17">
        <v>1303199</v>
      </c>
      <c r="U45" s="17">
        <v>1332448</v>
      </c>
      <c r="V45" s="17">
        <v>1364498</v>
      </c>
      <c r="W45" s="17">
        <v>1399264.5</v>
      </c>
      <c r="X45" s="17">
        <v>1436498</v>
      </c>
      <c r="Y45" s="17">
        <v>1476719.5000000002</v>
      </c>
      <c r="Z45" s="17">
        <v>1519290</v>
      </c>
      <c r="AA45" s="17">
        <v>1564169</v>
      </c>
      <c r="AB45" s="17">
        <v>1610760.0000000002</v>
      </c>
      <c r="AC45" s="17">
        <v>1657615.0000000002</v>
      </c>
      <c r="AD45" s="17">
        <v>1704260.9999999998</v>
      </c>
      <c r="AE45" s="17">
        <v>1750415.5</v>
      </c>
      <c r="AF45" s="17">
        <v>1795952.5</v>
      </c>
    </row>
    <row r="46" spans="1:32" x14ac:dyDescent="0.25">
      <c r="A46" s="9" t="s">
        <v>165</v>
      </c>
      <c r="B46" s="17">
        <v>1051962</v>
      </c>
      <c r="C46" s="17">
        <v>1077684</v>
      </c>
      <c r="D46" s="17">
        <v>1101878.5</v>
      </c>
      <c r="E46" s="17">
        <v>1124724.0000000002</v>
      </c>
      <c r="F46" s="17">
        <v>1146416.5</v>
      </c>
      <c r="G46" s="17">
        <v>1166964</v>
      </c>
      <c r="H46" s="17">
        <v>1186209</v>
      </c>
      <c r="I46" s="17">
        <v>1203962.5</v>
      </c>
      <c r="J46" s="17">
        <v>1220215.5</v>
      </c>
      <c r="K46" s="17">
        <v>1234992.4999999998</v>
      </c>
      <c r="L46" s="17">
        <v>1248275.5000000002</v>
      </c>
      <c r="M46" s="17">
        <v>1260053.5</v>
      </c>
      <c r="N46" s="17">
        <v>1270596.4999999998</v>
      </c>
      <c r="O46" s="17">
        <v>1280016.5</v>
      </c>
      <c r="P46" s="17">
        <v>1288620.0000000002</v>
      </c>
      <c r="Q46" s="17">
        <v>1296847.5</v>
      </c>
      <c r="R46" s="17">
        <v>1304534.5</v>
      </c>
      <c r="S46" s="17">
        <v>1311222.0000000002</v>
      </c>
      <c r="T46" s="17">
        <v>1317419.5000000002</v>
      </c>
      <c r="U46" s="17">
        <v>1323447.4999999998</v>
      </c>
      <c r="V46" s="17">
        <v>1328670</v>
      </c>
      <c r="W46" s="17">
        <v>1333303.5</v>
      </c>
      <c r="X46" s="17">
        <v>1338434.5</v>
      </c>
      <c r="Y46" s="17">
        <v>1344504.5</v>
      </c>
      <c r="Z46" s="17">
        <v>1350404</v>
      </c>
      <c r="AA46" s="17">
        <v>1355158.9999999998</v>
      </c>
      <c r="AB46" s="17">
        <v>1358736.5</v>
      </c>
      <c r="AC46" s="17">
        <v>1361236</v>
      </c>
      <c r="AD46" s="17">
        <v>1362428.9999999998</v>
      </c>
      <c r="AE46" s="17">
        <v>1362206.5</v>
      </c>
      <c r="AF46" s="17">
        <v>1360784</v>
      </c>
    </row>
    <row r="47" spans="1:32" x14ac:dyDescent="0.25">
      <c r="A47" s="9" t="s">
        <v>2014</v>
      </c>
      <c r="B47" s="17">
        <v>3960330.5000000005</v>
      </c>
      <c r="C47" s="17">
        <v>4041423</v>
      </c>
      <c r="D47" s="17">
        <v>4123564.5000000005</v>
      </c>
      <c r="E47" s="17">
        <v>4217944.5</v>
      </c>
      <c r="F47" s="17">
        <v>4321056.5000000009</v>
      </c>
      <c r="G47" s="17">
        <v>4428737.4999999991</v>
      </c>
      <c r="H47" s="17">
        <v>4539271.5</v>
      </c>
      <c r="I47" s="17">
        <v>4652705</v>
      </c>
      <c r="J47" s="17">
        <v>4768846</v>
      </c>
      <c r="K47" s="17">
        <v>4887578</v>
      </c>
      <c r="L47" s="17">
        <v>5009994.5</v>
      </c>
      <c r="M47" s="17">
        <v>5117602.0000000009</v>
      </c>
      <c r="N47" s="17">
        <v>5214063</v>
      </c>
      <c r="O47" s="17">
        <v>5319642.9999999991</v>
      </c>
      <c r="P47" s="17">
        <v>5456155.9999999991</v>
      </c>
      <c r="Q47" s="17">
        <v>5623706.9999999991</v>
      </c>
      <c r="R47" s="17">
        <v>5795477.0000000009</v>
      </c>
      <c r="S47" s="17">
        <v>5971433</v>
      </c>
      <c r="T47" s="17">
        <v>6153285.4999999991</v>
      </c>
      <c r="U47" s="17">
        <v>6339937</v>
      </c>
      <c r="V47" s="17">
        <v>6531092.0000000009</v>
      </c>
      <c r="W47" s="17">
        <v>6723548</v>
      </c>
      <c r="X47" s="17">
        <v>6921558</v>
      </c>
      <c r="Y47" s="17">
        <v>7128316.0000000009</v>
      </c>
      <c r="Z47" s="17">
        <v>7339022.5000000009</v>
      </c>
      <c r="AA47" s="17">
        <v>7554679.0000000009</v>
      </c>
      <c r="AB47" s="17">
        <v>7771685.5000000009</v>
      </c>
      <c r="AC47" s="17">
        <v>7984416.9999999991</v>
      </c>
      <c r="AD47" s="17">
        <v>8194135.0000000019</v>
      </c>
      <c r="AE47" s="17">
        <v>8403335</v>
      </c>
      <c r="AF47" s="17">
        <v>8614581.9999999981</v>
      </c>
    </row>
    <row r="48" spans="1:32" x14ac:dyDescent="0.25">
      <c r="A48" s="9" t="s">
        <v>166</v>
      </c>
      <c r="B48" s="17">
        <v>1117595</v>
      </c>
      <c r="C48" s="17">
        <v>1104594.5000000002</v>
      </c>
      <c r="D48" s="17">
        <v>1094043.5</v>
      </c>
      <c r="E48" s="17">
        <v>1083241.5</v>
      </c>
      <c r="F48" s="17">
        <v>1072250</v>
      </c>
      <c r="G48" s="17">
        <v>1060620.0000000002</v>
      </c>
      <c r="H48" s="17">
        <v>1048938.5</v>
      </c>
      <c r="I48" s="17">
        <v>1037104.4999999999</v>
      </c>
      <c r="J48" s="17">
        <v>1024944.9999999999</v>
      </c>
      <c r="K48" s="17">
        <v>1012680.0000000001</v>
      </c>
      <c r="L48" s="17">
        <v>1000351</v>
      </c>
      <c r="M48" s="17">
        <v>987771.50000000012</v>
      </c>
      <c r="N48" s="17">
        <v>974925.00000000012</v>
      </c>
      <c r="O48" s="17">
        <v>961661</v>
      </c>
      <c r="P48" s="17">
        <v>947674.00000000012</v>
      </c>
      <c r="Q48" s="17">
        <v>932325.5</v>
      </c>
      <c r="R48" s="17">
        <v>915567</v>
      </c>
      <c r="S48" s="17">
        <v>898654.5</v>
      </c>
      <c r="T48" s="17">
        <v>882550</v>
      </c>
      <c r="U48" s="17">
        <v>867508.49999999988</v>
      </c>
      <c r="V48" s="17">
        <v>854423.50000000012</v>
      </c>
      <c r="W48" s="17">
        <v>842388.5</v>
      </c>
      <c r="X48" s="17">
        <v>832027.49999999988</v>
      </c>
      <c r="Y48" s="17">
        <v>824013.5</v>
      </c>
      <c r="Z48" s="17">
        <v>816691</v>
      </c>
      <c r="AA48" s="17">
        <v>809501.50000000012</v>
      </c>
      <c r="AB48" s="17">
        <v>801454.5</v>
      </c>
      <c r="AC48" s="17">
        <v>792754.5</v>
      </c>
      <c r="AD48" s="17">
        <v>783577</v>
      </c>
      <c r="AE48" s="17">
        <v>773682.5</v>
      </c>
      <c r="AF48" s="17">
        <v>763172.50000000012</v>
      </c>
    </row>
    <row r="49" spans="1:32" x14ac:dyDescent="0.25">
      <c r="A49" s="6" t="s">
        <v>167</v>
      </c>
      <c r="B49" s="17">
        <v>2998313.9999999995</v>
      </c>
      <c r="C49" s="17">
        <v>2999049.5</v>
      </c>
      <c r="D49" s="17">
        <v>3000401.5</v>
      </c>
      <c r="E49" s="17">
        <v>3003057.5</v>
      </c>
      <c r="F49" s="17">
        <v>3007915</v>
      </c>
      <c r="G49" s="17">
        <v>3013683.5</v>
      </c>
      <c r="H49" s="17">
        <v>3016706</v>
      </c>
      <c r="I49" s="17">
        <v>3014959.5</v>
      </c>
      <c r="J49" s="17">
        <v>3008223</v>
      </c>
      <c r="K49" s="17">
        <v>2995287.5</v>
      </c>
      <c r="L49" s="17">
        <v>2975096</v>
      </c>
      <c r="M49" s="17">
        <v>2948259.4999999995</v>
      </c>
      <c r="N49" s="17">
        <v>2914102.5</v>
      </c>
      <c r="O49" s="17">
        <v>2873763.9999999995</v>
      </c>
      <c r="P49" s="17">
        <v>2830033.5</v>
      </c>
      <c r="Q49" s="17">
        <v>2784879</v>
      </c>
      <c r="R49" s="17">
        <v>2740012.5</v>
      </c>
      <c r="S49" s="17">
        <v>2695585</v>
      </c>
      <c r="T49" s="17">
        <v>2650680.5</v>
      </c>
      <c r="U49" s="17">
        <v>2604434.5000000005</v>
      </c>
      <c r="V49" s="17">
        <v>2557043</v>
      </c>
      <c r="W49" s="17">
        <v>2506231.5000000005</v>
      </c>
      <c r="X49" s="17">
        <v>2454048.5</v>
      </c>
      <c r="Y49" s="17">
        <v>2408992.5</v>
      </c>
      <c r="Z49" s="17">
        <v>2375197</v>
      </c>
      <c r="AA49" s="17">
        <v>2350351</v>
      </c>
      <c r="AB49" s="17">
        <v>2331623.5</v>
      </c>
      <c r="AC49" s="17">
        <v>2318276.5</v>
      </c>
      <c r="AD49" s="17">
        <v>2310652.4999999995</v>
      </c>
      <c r="AE49" s="17">
        <v>2306375</v>
      </c>
      <c r="AF49" s="17">
        <v>2303583.4999999995</v>
      </c>
    </row>
    <row r="50" spans="1:32" x14ac:dyDescent="0.25">
      <c r="A50" s="8" t="s">
        <v>663</v>
      </c>
      <c r="B50" s="17">
        <v>38177.5</v>
      </c>
      <c r="C50" s="17">
        <v>37840.5</v>
      </c>
      <c r="D50" s="17">
        <v>37926.500000000007</v>
      </c>
      <c r="E50" s="17">
        <v>38305</v>
      </c>
      <c r="F50" s="17">
        <v>38748.5</v>
      </c>
      <c r="G50" s="17">
        <v>39193.5</v>
      </c>
      <c r="H50" s="17">
        <v>39587</v>
      </c>
      <c r="I50" s="17">
        <v>39878</v>
      </c>
      <c r="J50" s="17">
        <v>40099.5</v>
      </c>
      <c r="K50" s="17">
        <v>40269.499999999993</v>
      </c>
      <c r="L50" s="17">
        <v>40394.000000000007</v>
      </c>
      <c r="M50" s="17">
        <v>40525.000000000007</v>
      </c>
      <c r="N50" s="17">
        <v>40575.999999999993</v>
      </c>
      <c r="O50" s="17">
        <v>40484.5</v>
      </c>
      <c r="P50" s="17">
        <v>40335.5</v>
      </c>
      <c r="Q50" s="17">
        <v>40171</v>
      </c>
      <c r="R50" s="17">
        <v>40037</v>
      </c>
      <c r="S50" s="17">
        <v>39957</v>
      </c>
      <c r="T50" s="17">
        <v>43539.500000000007</v>
      </c>
      <c r="U50" s="17">
        <v>45740</v>
      </c>
      <c r="V50" s="17">
        <v>44431</v>
      </c>
      <c r="W50" s="17">
        <v>44548</v>
      </c>
      <c r="X50" s="17">
        <v>44576.499999999993</v>
      </c>
      <c r="Y50" s="17">
        <v>44584</v>
      </c>
      <c r="Z50" s="17">
        <v>44574.5</v>
      </c>
      <c r="AA50" s="17">
        <v>44569.5</v>
      </c>
      <c r="AB50" s="17">
        <v>44575.500000000007</v>
      </c>
      <c r="AC50" s="17">
        <v>44632.000000000007</v>
      </c>
      <c r="AD50" s="17">
        <v>44735</v>
      </c>
      <c r="AE50" s="17">
        <v>44830.5</v>
      </c>
      <c r="AF50" s="17">
        <v>44898.500000000007</v>
      </c>
    </row>
    <row r="51" spans="1:32" x14ac:dyDescent="0.25">
      <c r="A51" s="6" t="s">
        <v>168</v>
      </c>
      <c r="B51" s="17">
        <v>246989.49999999997</v>
      </c>
      <c r="C51" s="17">
        <v>252635</v>
      </c>
      <c r="D51" s="17">
        <v>258406.99999999997</v>
      </c>
      <c r="E51" s="17">
        <v>264522</v>
      </c>
      <c r="F51" s="17">
        <v>270973</v>
      </c>
      <c r="G51" s="17">
        <v>277662.49999999994</v>
      </c>
      <c r="H51" s="17">
        <v>284438.5</v>
      </c>
      <c r="I51" s="17">
        <v>291118.00000000006</v>
      </c>
      <c r="J51" s="17">
        <v>297535.5</v>
      </c>
      <c r="K51" s="17">
        <v>303586.50000000006</v>
      </c>
      <c r="L51" s="17">
        <v>309227.5</v>
      </c>
      <c r="M51" s="17">
        <v>312841</v>
      </c>
      <c r="N51" s="17">
        <v>314215.5</v>
      </c>
      <c r="O51" s="17">
        <v>314949.00000000006</v>
      </c>
      <c r="P51" s="17">
        <v>315335.00000000006</v>
      </c>
      <c r="Q51" s="17">
        <v>315486.99999999994</v>
      </c>
      <c r="R51" s="17">
        <v>315447</v>
      </c>
      <c r="S51" s="17">
        <v>315229.50000000006</v>
      </c>
      <c r="T51" s="17">
        <v>314822</v>
      </c>
      <c r="U51" s="17">
        <v>314242.49999999994</v>
      </c>
      <c r="V51" s="17">
        <v>313153.5</v>
      </c>
      <c r="W51" s="17">
        <v>311415.50000000006</v>
      </c>
      <c r="X51" s="17">
        <v>310094</v>
      </c>
      <c r="Y51" s="17">
        <v>309404</v>
      </c>
      <c r="Z51" s="17">
        <v>308709</v>
      </c>
      <c r="AA51" s="17">
        <v>307982.5</v>
      </c>
      <c r="AB51" s="17">
        <v>307160.5</v>
      </c>
      <c r="AC51" s="17">
        <v>306231.5</v>
      </c>
      <c r="AD51" s="17">
        <v>304971.5</v>
      </c>
      <c r="AE51" s="17">
        <v>303336.5</v>
      </c>
      <c r="AF51" s="17">
        <v>301546</v>
      </c>
    </row>
    <row r="52" spans="1:32" x14ac:dyDescent="0.25">
      <c r="A52" s="6" t="s">
        <v>664</v>
      </c>
      <c r="B52" s="17">
        <v>2586185.0000000005</v>
      </c>
      <c r="C52" s="17">
        <v>2571047.4999999995</v>
      </c>
      <c r="D52" s="17">
        <v>2558527</v>
      </c>
      <c r="E52" s="17">
        <v>2548976.4999999995</v>
      </c>
      <c r="F52" s="17">
        <v>2540927.5</v>
      </c>
      <c r="G52" s="17">
        <v>2533801.5</v>
      </c>
      <c r="H52" s="17">
        <v>2527828.5</v>
      </c>
      <c r="I52" s="17">
        <v>2521854.5000000005</v>
      </c>
      <c r="J52" s="17">
        <v>2518446.0000000005</v>
      </c>
      <c r="K52" s="17">
        <v>2516962.4999999995</v>
      </c>
      <c r="L52" s="17">
        <v>2511993</v>
      </c>
      <c r="M52" s="17">
        <v>2501045.5</v>
      </c>
      <c r="N52" s="17">
        <v>2485472.5000000005</v>
      </c>
      <c r="O52" s="17">
        <v>2462956</v>
      </c>
      <c r="P52" s="17">
        <v>2434351</v>
      </c>
      <c r="Q52" s="17">
        <v>2407081.5</v>
      </c>
      <c r="R52" s="17">
        <v>2383541.5</v>
      </c>
      <c r="S52" s="17">
        <v>2362858</v>
      </c>
      <c r="T52" s="17">
        <v>2343448.5</v>
      </c>
      <c r="U52" s="17">
        <v>2323902.4999999995</v>
      </c>
      <c r="V52" s="17">
        <v>2303484.4999999995</v>
      </c>
      <c r="W52" s="17">
        <v>2282333.4999999995</v>
      </c>
      <c r="X52" s="17">
        <v>2264511</v>
      </c>
      <c r="Y52" s="17">
        <v>2248047.5</v>
      </c>
      <c r="Z52" s="17">
        <v>2226815</v>
      </c>
      <c r="AA52" s="17">
        <v>2202025.5</v>
      </c>
      <c r="AB52" s="17">
        <v>2175691.5</v>
      </c>
      <c r="AC52" s="17">
        <v>2149545.4999999995</v>
      </c>
      <c r="AD52" s="17">
        <v>2124943.5</v>
      </c>
      <c r="AE52" s="17">
        <v>2102793.5</v>
      </c>
      <c r="AF52" s="17">
        <v>2086000.9999999998</v>
      </c>
    </row>
    <row r="53" spans="1:32" x14ac:dyDescent="0.25">
      <c r="A53" s="9" t="s">
        <v>170</v>
      </c>
      <c r="B53" s="17">
        <v>1256509.5</v>
      </c>
      <c r="C53" s="17">
        <v>1252414</v>
      </c>
      <c r="D53" s="17">
        <v>1249367.4999999998</v>
      </c>
      <c r="E53" s="17">
        <v>1246725.5</v>
      </c>
      <c r="F53" s="17">
        <v>1245417.0000000002</v>
      </c>
      <c r="G53" s="17">
        <v>1245454.5</v>
      </c>
      <c r="H53" s="17">
        <v>1246027</v>
      </c>
      <c r="I53" s="17">
        <v>1247780</v>
      </c>
      <c r="J53" s="17">
        <v>1250741.0000000002</v>
      </c>
      <c r="K53" s="17">
        <v>1254626</v>
      </c>
      <c r="L53" s="17">
        <v>1258861.9999999998</v>
      </c>
      <c r="M53" s="17">
        <v>1262187.5</v>
      </c>
      <c r="N53" s="17">
        <v>1264642</v>
      </c>
      <c r="O53" s="17">
        <v>1265408</v>
      </c>
      <c r="P53" s="17">
        <v>1264645.4999999998</v>
      </c>
      <c r="Q53" s="17">
        <v>1263274.5</v>
      </c>
      <c r="R53" s="17">
        <v>1260536.9999999998</v>
      </c>
      <c r="S53" s="17">
        <v>1257975.5</v>
      </c>
      <c r="T53" s="17">
        <v>1258103.5</v>
      </c>
      <c r="U53" s="17">
        <v>1260489.5000000002</v>
      </c>
      <c r="V53" s="17">
        <v>1263384</v>
      </c>
      <c r="W53" s="17">
        <v>1265477.5</v>
      </c>
      <c r="X53" s="17">
        <v>1266519.0000000002</v>
      </c>
      <c r="Y53" s="17">
        <v>1267883</v>
      </c>
      <c r="Z53" s="17">
        <v>1269596</v>
      </c>
      <c r="AA53" s="17">
        <v>1270619.0000000002</v>
      </c>
      <c r="AB53" s="17">
        <v>1271800</v>
      </c>
      <c r="AC53" s="17">
        <v>1273674</v>
      </c>
      <c r="AD53" s="17">
        <v>1275145.5</v>
      </c>
      <c r="AE53" s="17">
        <v>1276469</v>
      </c>
      <c r="AF53" s="17">
        <v>1278828.4999999998</v>
      </c>
    </row>
    <row r="54" spans="1:32" x14ac:dyDescent="0.25">
      <c r="A54" s="6" t="s">
        <v>24</v>
      </c>
      <c r="B54" s="17">
        <v>186057.5</v>
      </c>
      <c r="C54" s="17">
        <v>193487.99999999997</v>
      </c>
      <c r="D54" s="17">
        <v>200954.50000000003</v>
      </c>
      <c r="E54" s="17">
        <v>205766</v>
      </c>
      <c r="F54" s="17">
        <v>208507.5</v>
      </c>
      <c r="G54" s="17">
        <v>211709</v>
      </c>
      <c r="H54" s="17">
        <v>216615.5</v>
      </c>
      <c r="I54" s="17">
        <v>222596</v>
      </c>
      <c r="J54" s="17">
        <v>228498.5</v>
      </c>
      <c r="K54" s="17">
        <v>234494</v>
      </c>
      <c r="L54" s="17">
        <v>240287.50000000003</v>
      </c>
      <c r="M54" s="17">
        <v>245917.49999999997</v>
      </c>
      <c r="N54" s="17">
        <v>251445.00000000006</v>
      </c>
      <c r="O54" s="17">
        <v>256981.49999999997</v>
      </c>
      <c r="P54" s="17">
        <v>262661.5</v>
      </c>
      <c r="Q54" s="17">
        <v>268477.5</v>
      </c>
      <c r="R54" s="17">
        <v>274366.50000000006</v>
      </c>
      <c r="S54" s="17">
        <v>280330.5</v>
      </c>
      <c r="T54" s="17">
        <v>286260.99999999994</v>
      </c>
      <c r="U54" s="17">
        <v>291931.99999999994</v>
      </c>
      <c r="V54" s="17">
        <v>297211.5</v>
      </c>
      <c r="W54" s="17">
        <v>302076.99999999994</v>
      </c>
      <c r="X54" s="17">
        <v>306643.49999999994</v>
      </c>
      <c r="Y54" s="17">
        <v>310992</v>
      </c>
      <c r="Z54" s="17">
        <v>315125</v>
      </c>
      <c r="AA54" s="17">
        <v>319054</v>
      </c>
      <c r="AB54" s="17">
        <v>322782.00000000006</v>
      </c>
      <c r="AC54" s="17">
        <v>326371.5</v>
      </c>
      <c r="AD54" s="17">
        <v>329873.50000000006</v>
      </c>
      <c r="AE54" s="17">
        <v>333301</v>
      </c>
      <c r="AF54" s="17">
        <v>336680</v>
      </c>
    </row>
    <row r="55" spans="1:32" x14ac:dyDescent="0.25">
      <c r="A55" s="6" t="s">
        <v>172</v>
      </c>
      <c r="B55" s="17">
        <v>2194569.5</v>
      </c>
      <c r="C55" s="17">
        <v>2226798</v>
      </c>
      <c r="D55" s="17">
        <v>2263542</v>
      </c>
      <c r="E55" s="17">
        <v>2305162.9999999995</v>
      </c>
      <c r="F55" s="17">
        <v>2346520.5</v>
      </c>
      <c r="G55" s="17">
        <v>2387332.5</v>
      </c>
      <c r="H55" s="17">
        <v>2427099.5000000005</v>
      </c>
      <c r="I55" s="17">
        <v>2465631.5</v>
      </c>
      <c r="J55" s="17">
        <v>2503013.4999999995</v>
      </c>
      <c r="K55" s="17">
        <v>2539159.4999999995</v>
      </c>
      <c r="L55" s="17">
        <v>2573564.5</v>
      </c>
      <c r="M55" s="17">
        <v>2606056.5</v>
      </c>
      <c r="N55" s="17">
        <v>2636509.4999999995</v>
      </c>
      <c r="O55" s="17">
        <v>2664644.5000000005</v>
      </c>
      <c r="P55" s="17">
        <v>2691702.5000000005</v>
      </c>
      <c r="Q55" s="17">
        <v>2719135.5</v>
      </c>
      <c r="R55" s="17">
        <v>2746211</v>
      </c>
      <c r="S55" s="17">
        <v>2772462.4999999995</v>
      </c>
      <c r="T55" s="17">
        <v>2798381.5</v>
      </c>
      <c r="U55" s="17">
        <v>2823650.4999999995</v>
      </c>
      <c r="V55" s="17">
        <v>2850634.4999999995</v>
      </c>
      <c r="W55" s="17">
        <v>2878473.0000000005</v>
      </c>
      <c r="X55" s="17">
        <v>2901735</v>
      </c>
      <c r="Y55" s="17">
        <v>2922217.4999999995</v>
      </c>
      <c r="Z55" s="17">
        <v>2943809.5000000005</v>
      </c>
      <c r="AA55" s="17">
        <v>2965969.4999999995</v>
      </c>
      <c r="AB55" s="17">
        <v>2987339</v>
      </c>
      <c r="AC55" s="17">
        <v>3007284.5</v>
      </c>
      <c r="AD55" s="17">
        <v>3025894</v>
      </c>
      <c r="AE55" s="17">
        <v>3043182</v>
      </c>
      <c r="AF55" s="17">
        <v>3059176.5</v>
      </c>
    </row>
    <row r="56" spans="1:32" x14ac:dyDescent="0.25">
      <c r="A56" s="6" t="s">
        <v>25</v>
      </c>
      <c r="B56" s="17">
        <v>6105263.5</v>
      </c>
      <c r="C56" s="17">
        <v>6170620</v>
      </c>
      <c r="D56" s="17">
        <v>6258351.5000000009</v>
      </c>
      <c r="E56" s="17">
        <v>6336154</v>
      </c>
      <c r="F56" s="17">
        <v>6398934.9999999991</v>
      </c>
      <c r="G56" s="17">
        <v>6448696</v>
      </c>
      <c r="H56" s="17">
        <v>6496885.4999999991</v>
      </c>
      <c r="I56" s="17">
        <v>6530392.0000000009</v>
      </c>
      <c r="J56" s="17">
        <v>6543949.5</v>
      </c>
      <c r="K56" s="17">
        <v>6563883.5000000009</v>
      </c>
      <c r="L56" s="17">
        <v>6589637.5</v>
      </c>
      <c r="M56" s="17">
        <v>6614796.4999999991</v>
      </c>
      <c r="N56" s="17">
        <v>6634969.5</v>
      </c>
      <c r="O56" s="17">
        <v>6638435.5000000009</v>
      </c>
      <c r="P56" s="17">
        <v>6631403</v>
      </c>
      <c r="Q56" s="17">
        <v>6615915.0000000009</v>
      </c>
      <c r="R56" s="17">
        <v>6587218.5</v>
      </c>
      <c r="S56" s="17">
        <v>6538176.5</v>
      </c>
      <c r="T56" s="17">
        <v>6476690.0000000009</v>
      </c>
      <c r="U56" s="17">
        <v>6414759.5</v>
      </c>
      <c r="V56" s="17">
        <v>6349108.9999999991</v>
      </c>
      <c r="W56" s="17">
        <v>6282847.5</v>
      </c>
      <c r="X56" s="17">
        <v>6213689</v>
      </c>
      <c r="Y56" s="17">
        <v>6156367.4999999991</v>
      </c>
      <c r="Z56" s="17">
        <v>6121235.5000000009</v>
      </c>
      <c r="AA56" s="17">
        <v>6090003.9999999991</v>
      </c>
      <c r="AB56" s="17">
        <v>6064237.5</v>
      </c>
      <c r="AC56" s="17">
        <v>6050002.5000000009</v>
      </c>
      <c r="AD56" s="17">
        <v>6041262.5000000009</v>
      </c>
      <c r="AE56" s="17">
        <v>6033779.5000000009</v>
      </c>
      <c r="AF56" s="17">
        <v>6026188.5</v>
      </c>
    </row>
    <row r="57" spans="1:32" x14ac:dyDescent="0.25">
      <c r="A57" s="6" t="s">
        <v>26</v>
      </c>
      <c r="B57" s="17">
        <v>10739123.499999998</v>
      </c>
      <c r="C57" s="17">
        <v>11075731.5</v>
      </c>
      <c r="D57" s="17">
        <v>11433746.500000002</v>
      </c>
      <c r="E57" s="17">
        <v>11776746.500000002</v>
      </c>
      <c r="F57" s="17">
        <v>12135240.000000002</v>
      </c>
      <c r="G57" s="17">
        <v>12531813.499999998</v>
      </c>
      <c r="H57" s="17">
        <v>12951181.5</v>
      </c>
      <c r="I57" s="17">
        <v>13384030</v>
      </c>
      <c r="J57" s="17">
        <v>13818111</v>
      </c>
      <c r="K57" s="17">
        <v>14258377.000000002</v>
      </c>
      <c r="L57" s="17">
        <v>14740892.499999998</v>
      </c>
      <c r="M57" s="17">
        <v>15274055</v>
      </c>
      <c r="N57" s="17">
        <v>15803431.5</v>
      </c>
      <c r="O57" s="17">
        <v>16347453.5</v>
      </c>
      <c r="P57" s="17">
        <v>16916123.499999996</v>
      </c>
      <c r="Q57" s="17">
        <v>17490060.5</v>
      </c>
      <c r="R57" s="17">
        <v>18113564.499999996</v>
      </c>
      <c r="S57" s="17">
        <v>18750682.5</v>
      </c>
      <c r="T57" s="17">
        <v>19349757.5</v>
      </c>
      <c r="U57" s="17">
        <v>19941355.999999996</v>
      </c>
      <c r="V57" s="17">
        <v>20583702.999999996</v>
      </c>
      <c r="W57" s="17">
        <v>21274539.5</v>
      </c>
      <c r="X57" s="17">
        <v>21998487.999999996</v>
      </c>
      <c r="Y57" s="17">
        <v>22771256.499999996</v>
      </c>
      <c r="Z57" s="17">
        <v>23585181</v>
      </c>
      <c r="AA57" s="17">
        <v>24437760</v>
      </c>
      <c r="AB57" s="17">
        <v>25330895.5</v>
      </c>
      <c r="AC57" s="17">
        <v>26266958.000000004</v>
      </c>
      <c r="AD57" s="17">
        <v>27236737</v>
      </c>
      <c r="AE57" s="17">
        <v>28234113</v>
      </c>
      <c r="AF57" s="17">
        <v>29257774.999999993</v>
      </c>
    </row>
    <row r="58" spans="1:32" x14ac:dyDescent="0.25">
      <c r="A58" s="6" t="s">
        <v>173</v>
      </c>
      <c r="B58" s="17">
        <v>3216123.5</v>
      </c>
      <c r="C58" s="17">
        <v>3278854.4999999995</v>
      </c>
      <c r="D58" s="17">
        <v>3344592.5000000005</v>
      </c>
      <c r="E58" s="17">
        <v>3412676.5</v>
      </c>
      <c r="F58" s="17">
        <v>3481928</v>
      </c>
      <c r="G58" s="17">
        <v>3551874.5</v>
      </c>
      <c r="H58" s="17">
        <v>3622920</v>
      </c>
      <c r="I58" s="17">
        <v>3694655.5</v>
      </c>
      <c r="J58" s="17">
        <v>3766383.4999999995</v>
      </c>
      <c r="K58" s="17">
        <v>3837719.5</v>
      </c>
      <c r="L58" s="17">
        <v>3908220.5</v>
      </c>
      <c r="M58" s="17">
        <v>3977402.4999999995</v>
      </c>
      <c r="N58" s="17">
        <v>4045092.5</v>
      </c>
      <c r="O58" s="17">
        <v>4111854.5000000005</v>
      </c>
      <c r="P58" s="17">
        <v>4179208.4999999995</v>
      </c>
      <c r="Q58" s="17">
        <v>4248780.5000000009</v>
      </c>
      <c r="R58" s="17">
        <v>4321417.5000000009</v>
      </c>
      <c r="S58" s="17">
        <v>4399329.5</v>
      </c>
      <c r="T58" s="17">
        <v>4501269.5</v>
      </c>
      <c r="U58" s="17">
        <v>4605923.5</v>
      </c>
      <c r="V58" s="17">
        <v>4684154.5</v>
      </c>
      <c r="W58" s="17">
        <v>4753248.0000000009</v>
      </c>
      <c r="X58" s="17">
        <v>4810405.5</v>
      </c>
      <c r="Y58" s="17">
        <v>4855116.5</v>
      </c>
      <c r="Z58" s="17">
        <v>4898848.5</v>
      </c>
      <c r="AA58" s="17">
        <v>4942506.4999999991</v>
      </c>
      <c r="AB58" s="17">
        <v>4986467</v>
      </c>
      <c r="AC58" s="17">
        <v>5028832.5</v>
      </c>
      <c r="AD58" s="17">
        <v>5066208.5000000009</v>
      </c>
      <c r="AE58" s="17">
        <v>5097528.4999999991</v>
      </c>
      <c r="AF58" s="17">
        <v>5123518.5</v>
      </c>
    </row>
    <row r="59" spans="1:32" x14ac:dyDescent="0.25">
      <c r="A59" s="6" t="s">
        <v>27</v>
      </c>
      <c r="B59" s="17">
        <v>17651487.5</v>
      </c>
      <c r="C59" s="17">
        <v>18178090.000000004</v>
      </c>
      <c r="D59" s="17">
        <v>18717585.5</v>
      </c>
      <c r="E59" s="17">
        <v>19258371.999999996</v>
      </c>
      <c r="F59" s="17">
        <v>19780306.5</v>
      </c>
      <c r="G59" s="17">
        <v>20275616.5</v>
      </c>
      <c r="H59" s="17">
        <v>20743901.5</v>
      </c>
      <c r="I59" s="17">
        <v>21204830</v>
      </c>
      <c r="J59" s="17">
        <v>21658793</v>
      </c>
      <c r="K59" s="17">
        <v>22096250</v>
      </c>
      <c r="L59" s="17">
        <v>22527034.499999996</v>
      </c>
      <c r="M59" s="17">
        <v>22979017.5</v>
      </c>
      <c r="N59" s="17">
        <v>23428742.000000004</v>
      </c>
      <c r="O59" s="17">
        <v>23891875</v>
      </c>
      <c r="P59" s="17">
        <v>24358152.5</v>
      </c>
      <c r="Q59" s="17">
        <v>24774167.5</v>
      </c>
      <c r="R59" s="17">
        <v>25193017.499999996</v>
      </c>
      <c r="S59" s="17">
        <v>25628736.5</v>
      </c>
      <c r="T59" s="17">
        <v>26060388.5</v>
      </c>
      <c r="U59" s="17">
        <v>26490060.5</v>
      </c>
      <c r="V59" s="17">
        <v>26934170.999999996</v>
      </c>
      <c r="W59" s="17">
        <v>27388826.499999996</v>
      </c>
      <c r="X59" s="17">
        <v>27847272.999999996</v>
      </c>
      <c r="Y59" s="17">
        <v>28318592.5</v>
      </c>
      <c r="Z59" s="17">
        <v>28799305.5</v>
      </c>
      <c r="AA59" s="17">
        <v>29304368.5</v>
      </c>
      <c r="AB59" s="17">
        <v>29835564.999999996</v>
      </c>
      <c r="AC59" s="17">
        <v>30390069.000000004</v>
      </c>
      <c r="AD59" s="17">
        <v>30972560</v>
      </c>
      <c r="AE59" s="17">
        <v>31567021.5</v>
      </c>
      <c r="AF59" s="17">
        <v>32160333.5</v>
      </c>
    </row>
    <row r="60" spans="1:32" x14ac:dyDescent="0.25">
      <c r="A60" s="6" t="s">
        <v>174</v>
      </c>
      <c r="B60" s="17">
        <v>1559395</v>
      </c>
      <c r="C60" s="17">
        <v>1569399.9999999998</v>
      </c>
      <c r="D60" s="17">
        <v>1578198.9999999998</v>
      </c>
      <c r="E60" s="17">
        <v>1586162</v>
      </c>
      <c r="F60" s="17">
        <v>1593197</v>
      </c>
      <c r="G60" s="17">
        <v>1599002.5</v>
      </c>
      <c r="H60" s="17">
        <v>1603663</v>
      </c>
      <c r="I60" s="17">
        <v>1613663.5</v>
      </c>
      <c r="J60" s="17">
        <v>1629956.5</v>
      </c>
      <c r="K60" s="17">
        <v>1647247</v>
      </c>
      <c r="L60" s="17">
        <v>1664999.0000000002</v>
      </c>
      <c r="M60" s="17">
        <v>1682666</v>
      </c>
      <c r="N60" s="17">
        <v>1700111.5000000002</v>
      </c>
      <c r="O60" s="17">
        <v>1717367.5</v>
      </c>
      <c r="P60" s="17">
        <v>1733374.5000000002</v>
      </c>
      <c r="Q60" s="17">
        <v>1746261</v>
      </c>
      <c r="R60" s="17">
        <v>1755903.5</v>
      </c>
      <c r="S60" s="17">
        <v>1761656.0000000002</v>
      </c>
      <c r="T60" s="17">
        <v>1762236.9999999998</v>
      </c>
      <c r="U60" s="17">
        <v>1759144.4999999998</v>
      </c>
      <c r="V60" s="17">
        <v>1759647.5000000002</v>
      </c>
      <c r="W60" s="17">
        <v>1763812.0000000002</v>
      </c>
      <c r="X60" s="17">
        <v>1767938</v>
      </c>
      <c r="Y60" s="17">
        <v>1772682</v>
      </c>
      <c r="Z60" s="17">
        <v>1776594.5000000002</v>
      </c>
      <c r="AA60" s="17">
        <v>1779693.0000000002</v>
      </c>
      <c r="AB60" s="17">
        <v>1782022.9999999998</v>
      </c>
      <c r="AC60" s="17">
        <v>1783583.5</v>
      </c>
      <c r="AD60" s="17">
        <v>1784351.5000000002</v>
      </c>
      <c r="AE60" s="17">
        <v>1784870.4999999998</v>
      </c>
      <c r="AF60" s="17">
        <v>1785214</v>
      </c>
    </row>
    <row r="61" spans="1:32" x14ac:dyDescent="0.25">
      <c r="A61" s="6" t="s">
        <v>175</v>
      </c>
      <c r="B61" s="17">
        <v>157394.50000000003</v>
      </c>
      <c r="C61" s="17">
        <v>164383.5</v>
      </c>
      <c r="D61" s="17">
        <v>172080.5</v>
      </c>
      <c r="E61" s="17">
        <v>180417.50000000003</v>
      </c>
      <c r="F61" s="17">
        <v>189367.00000000003</v>
      </c>
      <c r="G61" s="17">
        <v>198922.49999999997</v>
      </c>
      <c r="H61" s="17">
        <v>209063.5</v>
      </c>
      <c r="I61" s="17">
        <v>219715.00000000003</v>
      </c>
      <c r="J61" s="17">
        <v>230734.99999999997</v>
      </c>
      <c r="K61" s="17">
        <v>241923.00000000003</v>
      </c>
      <c r="L61" s="17">
        <v>253026.50000000003</v>
      </c>
      <c r="M61" s="17">
        <v>263817</v>
      </c>
      <c r="N61" s="17">
        <v>274282</v>
      </c>
      <c r="O61" s="17">
        <v>284548.5</v>
      </c>
      <c r="P61" s="17">
        <v>294702.5</v>
      </c>
      <c r="Q61" s="17">
        <v>304766</v>
      </c>
      <c r="R61" s="17">
        <v>314692.5</v>
      </c>
      <c r="S61" s="17">
        <v>324664.50000000006</v>
      </c>
      <c r="T61" s="17">
        <v>335019.5</v>
      </c>
      <c r="U61" s="17">
        <v>346054.5</v>
      </c>
      <c r="V61" s="17">
        <v>356102.00000000006</v>
      </c>
      <c r="W61" s="17">
        <v>366311.00000000006</v>
      </c>
      <c r="X61" s="17">
        <v>378347</v>
      </c>
      <c r="Y61" s="17">
        <v>391117.50000000006</v>
      </c>
      <c r="Z61" s="17">
        <v>404758.50000000006</v>
      </c>
      <c r="AA61" s="17">
        <v>419022.00000000006</v>
      </c>
      <c r="AB61" s="17">
        <v>432814.5</v>
      </c>
      <c r="AC61" s="17">
        <v>446072.50000000006</v>
      </c>
      <c r="AD61" s="17">
        <v>459611</v>
      </c>
      <c r="AE61" s="17">
        <v>473315.50000000006</v>
      </c>
      <c r="AF61" s="17">
        <v>487052</v>
      </c>
    </row>
    <row r="62" spans="1:32" x14ac:dyDescent="0.25">
      <c r="A62" s="6" t="s">
        <v>28</v>
      </c>
      <c r="B62" s="17">
        <v>553011.5</v>
      </c>
      <c r="C62" s="17">
        <v>572837.5</v>
      </c>
      <c r="D62" s="17">
        <v>598675.00000000012</v>
      </c>
      <c r="E62" s="17">
        <v>632272.00000000012</v>
      </c>
      <c r="F62" s="17">
        <v>666442.5</v>
      </c>
      <c r="G62" s="17">
        <v>682635</v>
      </c>
      <c r="H62" s="17">
        <v>690164</v>
      </c>
      <c r="I62" s="17">
        <v>697077</v>
      </c>
      <c r="J62" s="17">
        <v>718330.99999999988</v>
      </c>
      <c r="K62" s="17">
        <v>739371.00000000012</v>
      </c>
      <c r="L62" s="17">
        <v>754961.5</v>
      </c>
      <c r="M62" s="17">
        <v>770867.99999999988</v>
      </c>
      <c r="N62" s="17">
        <v>782085.49999999988</v>
      </c>
      <c r="O62" s="17">
        <v>792093.99999999988</v>
      </c>
      <c r="P62" s="17">
        <v>794797</v>
      </c>
      <c r="Q62" s="17">
        <v>793487</v>
      </c>
      <c r="R62" s="17">
        <v>796514.5</v>
      </c>
      <c r="S62" s="17">
        <v>803437.5</v>
      </c>
      <c r="T62" s="17">
        <v>818612</v>
      </c>
      <c r="U62" s="17">
        <v>837061.5</v>
      </c>
      <c r="V62" s="17">
        <v>858068.5</v>
      </c>
      <c r="W62" s="17">
        <v>882352</v>
      </c>
      <c r="X62" s="17">
        <v>906011</v>
      </c>
      <c r="Y62" s="17">
        <v>929245.50000000012</v>
      </c>
      <c r="Z62" s="17">
        <v>953517.5</v>
      </c>
      <c r="AA62" s="17">
        <v>978570.99999999988</v>
      </c>
      <c r="AB62" s="17">
        <v>1003932.5</v>
      </c>
      <c r="AC62" s="17">
        <v>1029516.5</v>
      </c>
      <c r="AD62" s="17">
        <v>1055060.4999999998</v>
      </c>
      <c r="AE62" s="17">
        <v>1080627</v>
      </c>
      <c r="AF62" s="17">
        <v>1105949.5000000002</v>
      </c>
    </row>
    <row r="63" spans="1:32" x14ac:dyDescent="0.25">
      <c r="A63" s="8" t="s">
        <v>176</v>
      </c>
      <c r="B63" s="17">
        <v>347294.00000000006</v>
      </c>
      <c r="C63" s="17">
        <v>345356.5</v>
      </c>
      <c r="D63" s="17">
        <v>343513</v>
      </c>
      <c r="E63" s="17">
        <v>342080.5</v>
      </c>
      <c r="F63" s="17">
        <v>340377</v>
      </c>
      <c r="G63" s="17">
        <v>337474.00000000006</v>
      </c>
      <c r="H63" s="17">
        <v>333486</v>
      </c>
      <c r="I63" s="17">
        <v>329537.99999999994</v>
      </c>
      <c r="J63" s="17">
        <v>325418.5</v>
      </c>
      <c r="K63" s="17">
        <v>320605.49999999994</v>
      </c>
      <c r="L63" s="17">
        <v>315138.5</v>
      </c>
      <c r="M63" s="17">
        <v>309171.5</v>
      </c>
      <c r="N63" s="17">
        <v>303427.5</v>
      </c>
      <c r="O63" s="17">
        <v>298308.00000000006</v>
      </c>
      <c r="P63" s="17">
        <v>293929.5</v>
      </c>
      <c r="Q63" s="17">
        <v>291296</v>
      </c>
      <c r="R63" s="17">
        <v>289272.50000000006</v>
      </c>
      <c r="S63" s="17">
        <v>287142.50000000006</v>
      </c>
      <c r="T63" s="17">
        <v>285809.49999999994</v>
      </c>
      <c r="U63" s="17">
        <v>284330.5</v>
      </c>
      <c r="V63" s="17">
        <v>282644</v>
      </c>
      <c r="W63" s="17">
        <v>281237</v>
      </c>
      <c r="X63" s="17">
        <v>279591</v>
      </c>
      <c r="Y63" s="17">
        <v>277809</v>
      </c>
      <c r="Z63" s="17">
        <v>276169</v>
      </c>
      <c r="AA63" s="17">
        <v>274510.5</v>
      </c>
      <c r="AB63" s="17">
        <v>272628.99999999994</v>
      </c>
      <c r="AC63" s="17">
        <v>270420</v>
      </c>
      <c r="AD63" s="17">
        <v>268231</v>
      </c>
      <c r="AE63" s="17">
        <v>266030.49999999994</v>
      </c>
      <c r="AF63" s="17">
        <v>263763.5</v>
      </c>
    </row>
    <row r="64" spans="1:32" x14ac:dyDescent="0.25">
      <c r="A64" s="6" t="s">
        <v>29</v>
      </c>
      <c r="B64" s="17">
        <v>14613935.500000002</v>
      </c>
      <c r="C64" s="17">
        <v>15052161</v>
      </c>
      <c r="D64" s="17">
        <v>15534722.5</v>
      </c>
      <c r="E64" s="17">
        <v>16047899.999999998</v>
      </c>
      <c r="F64" s="17">
        <v>16578457.5</v>
      </c>
      <c r="G64" s="17">
        <v>17128589.999999996</v>
      </c>
      <c r="H64" s="17">
        <v>17715174</v>
      </c>
      <c r="I64" s="17">
        <v>18339499.5</v>
      </c>
      <c r="J64" s="17">
        <v>18985307.5</v>
      </c>
      <c r="K64" s="17">
        <v>19657034.500000004</v>
      </c>
      <c r="L64" s="17">
        <v>20373575</v>
      </c>
      <c r="M64" s="17">
        <v>21138458.5</v>
      </c>
      <c r="N64" s="17">
        <v>21937350.5</v>
      </c>
      <c r="O64" s="17">
        <v>22749244.5</v>
      </c>
      <c r="P64" s="17">
        <v>23578892.499999996</v>
      </c>
      <c r="Q64" s="17">
        <v>24425527.999999996</v>
      </c>
      <c r="R64" s="17">
        <v>25299368.5</v>
      </c>
      <c r="S64" s="17">
        <v>26198386.5</v>
      </c>
      <c r="T64" s="17">
        <v>27087285</v>
      </c>
      <c r="U64" s="17">
        <v>27970799.500000004</v>
      </c>
      <c r="V64" s="17">
        <v>28875771</v>
      </c>
      <c r="W64" s="17">
        <v>29797571.5</v>
      </c>
      <c r="X64" s="17">
        <v>30725837.5</v>
      </c>
      <c r="Y64" s="17">
        <v>31664042.999999996</v>
      </c>
      <c r="Z64" s="17">
        <v>32599087.5</v>
      </c>
      <c r="AA64" s="17">
        <v>33527203.999999996</v>
      </c>
      <c r="AB64" s="17">
        <v>34453546</v>
      </c>
      <c r="AC64" s="17">
        <v>35373454</v>
      </c>
      <c r="AD64" s="17">
        <v>36281501</v>
      </c>
      <c r="AE64" s="17">
        <v>37188872.5</v>
      </c>
      <c r="AF64" s="17">
        <v>38112526.5</v>
      </c>
    </row>
    <row r="65" spans="1:32" x14ac:dyDescent="0.25">
      <c r="A65" s="8" t="s">
        <v>179</v>
      </c>
      <c r="B65" s="17">
        <v>217373.00000000003</v>
      </c>
      <c r="C65" s="17">
        <v>220748.00000000003</v>
      </c>
      <c r="D65" s="17">
        <v>223738</v>
      </c>
      <c r="E65" s="17">
        <v>226425</v>
      </c>
      <c r="F65" s="17">
        <v>228824.5</v>
      </c>
      <c r="G65" s="17">
        <v>230989.5</v>
      </c>
      <c r="H65" s="17">
        <v>232947.5</v>
      </c>
      <c r="I65" s="17">
        <v>234490</v>
      </c>
      <c r="J65" s="17">
        <v>235572</v>
      </c>
      <c r="K65" s="17">
        <v>236286.5</v>
      </c>
      <c r="L65" s="17">
        <v>236747.49999999997</v>
      </c>
      <c r="M65" s="17">
        <v>237120.5</v>
      </c>
      <c r="N65" s="17">
        <v>237229</v>
      </c>
      <c r="O65" s="17">
        <v>237022</v>
      </c>
      <c r="P65" s="17">
        <v>236734.99999999997</v>
      </c>
      <c r="Q65" s="17">
        <v>236465.49999999997</v>
      </c>
      <c r="R65" s="17">
        <v>236241</v>
      </c>
      <c r="S65" s="17">
        <v>236123.00000000003</v>
      </c>
      <c r="T65" s="17">
        <v>236095.50000000003</v>
      </c>
      <c r="U65" s="17">
        <v>236105</v>
      </c>
      <c r="V65" s="17">
        <v>236919</v>
      </c>
      <c r="W65" s="17">
        <v>238668.5</v>
      </c>
      <c r="X65" s="17">
        <v>241011.49999999997</v>
      </c>
      <c r="Y65" s="17">
        <v>243868.99999999997</v>
      </c>
      <c r="Z65" s="17">
        <v>246767.99999999997</v>
      </c>
      <c r="AA65" s="17">
        <v>249469</v>
      </c>
      <c r="AB65" s="17">
        <v>251838.49999999994</v>
      </c>
      <c r="AC65" s="17">
        <v>253991.5</v>
      </c>
      <c r="AD65" s="17">
        <v>256011.5</v>
      </c>
      <c r="AE65" s="17">
        <v>257874.00000000003</v>
      </c>
      <c r="AF65" s="17">
        <v>259568.50000000003</v>
      </c>
    </row>
    <row r="66" spans="1:32" x14ac:dyDescent="0.25">
      <c r="A66" s="8" t="s">
        <v>180</v>
      </c>
      <c r="B66" s="17">
        <v>1218480</v>
      </c>
      <c r="C66" s="17">
        <v>1209203.4999999998</v>
      </c>
      <c r="D66" s="17">
        <v>1200006</v>
      </c>
      <c r="E66" s="17">
        <v>1191737</v>
      </c>
      <c r="F66" s="17">
        <v>1185006.9999999998</v>
      </c>
      <c r="G66" s="17">
        <v>1179284.5</v>
      </c>
      <c r="H66" s="17">
        <v>1174985.5</v>
      </c>
      <c r="I66" s="17">
        <v>1172166.5</v>
      </c>
      <c r="J66" s="17">
        <v>1171274.5</v>
      </c>
      <c r="K66" s="17">
        <v>1170677.5</v>
      </c>
      <c r="L66" s="17">
        <v>1168898.5</v>
      </c>
      <c r="M66" s="17">
        <v>1166291</v>
      </c>
      <c r="N66" s="17">
        <v>1163681</v>
      </c>
      <c r="O66" s="17">
        <v>1160217.5</v>
      </c>
      <c r="P66" s="17">
        <v>1156144.4999999998</v>
      </c>
      <c r="Q66" s="17">
        <v>1151674</v>
      </c>
      <c r="R66" s="17">
        <v>1146874.5000000002</v>
      </c>
      <c r="S66" s="17">
        <v>1142066.5000000002</v>
      </c>
      <c r="T66" s="17">
        <v>1137617.4999999998</v>
      </c>
      <c r="U66" s="17">
        <v>1136136.5</v>
      </c>
      <c r="V66" s="17">
        <v>1137687.0000000002</v>
      </c>
      <c r="W66" s="17">
        <v>1141166</v>
      </c>
      <c r="X66" s="17">
        <v>1146201.5000000002</v>
      </c>
      <c r="Y66" s="17">
        <v>1152348.0000000002</v>
      </c>
      <c r="Z66" s="17">
        <v>1157875.5</v>
      </c>
      <c r="AA66" s="17">
        <v>1161493</v>
      </c>
      <c r="AB66" s="17">
        <v>1163922.5000000002</v>
      </c>
      <c r="AC66" s="17">
        <v>1165585</v>
      </c>
      <c r="AD66" s="17">
        <v>1166858</v>
      </c>
      <c r="AE66" s="17">
        <v>1167633</v>
      </c>
      <c r="AF66" s="17">
        <v>1167441.5</v>
      </c>
    </row>
    <row r="67" spans="1:32" x14ac:dyDescent="0.25">
      <c r="A67" s="6" t="s">
        <v>181</v>
      </c>
      <c r="B67" s="17">
        <v>14349048</v>
      </c>
      <c r="C67" s="17">
        <v>14324604.5</v>
      </c>
      <c r="D67" s="17">
        <v>14310514.500000002</v>
      </c>
      <c r="E67" s="17">
        <v>14303531.500000002</v>
      </c>
      <c r="F67" s="17">
        <v>14303457.999999998</v>
      </c>
      <c r="G67" s="17">
        <v>14302137.5</v>
      </c>
      <c r="H67" s="17">
        <v>14298917.000000002</v>
      </c>
      <c r="I67" s="17">
        <v>14289990.000000002</v>
      </c>
      <c r="J67" s="17">
        <v>14267832.5</v>
      </c>
      <c r="K67" s="17">
        <v>14231252.5</v>
      </c>
      <c r="L67" s="17">
        <v>14190988.5</v>
      </c>
      <c r="M67" s="17">
        <v>14149509.000000002</v>
      </c>
      <c r="N67" s="17">
        <v>14101886.999999998</v>
      </c>
      <c r="O67" s="17">
        <v>14047696</v>
      </c>
      <c r="P67" s="17">
        <v>13989620.5</v>
      </c>
      <c r="Q67" s="17">
        <v>13939180.000000002</v>
      </c>
      <c r="R67" s="17">
        <v>13896459</v>
      </c>
      <c r="S67" s="17">
        <v>13855993.999999998</v>
      </c>
      <c r="T67" s="17">
        <v>13816970</v>
      </c>
      <c r="U67" s="17">
        <v>13776501</v>
      </c>
      <c r="V67" s="17">
        <v>13732584.5</v>
      </c>
      <c r="W67" s="17">
        <v>13684502</v>
      </c>
      <c r="X67" s="17">
        <v>13640338</v>
      </c>
      <c r="Y67" s="17">
        <v>13611668</v>
      </c>
      <c r="Z67" s="17">
        <v>13602812.5</v>
      </c>
      <c r="AA67" s="17">
        <v>13617472.000000002</v>
      </c>
      <c r="AB67" s="17">
        <v>13648281.500000002</v>
      </c>
      <c r="AC67" s="17">
        <v>13675124.5</v>
      </c>
      <c r="AD67" s="17">
        <v>13693530.999999998</v>
      </c>
      <c r="AE67" s="17">
        <v>13705345</v>
      </c>
      <c r="AF67" s="17">
        <v>13698765.5</v>
      </c>
    </row>
    <row r="68" spans="1:32" x14ac:dyDescent="0.25">
      <c r="A68" s="6" t="s">
        <v>182</v>
      </c>
      <c r="B68" s="17">
        <v>42026.500000000007</v>
      </c>
      <c r="C68" s="17">
        <v>43915</v>
      </c>
      <c r="D68" s="17">
        <v>45889.5</v>
      </c>
      <c r="E68" s="17">
        <v>48011</v>
      </c>
      <c r="F68" s="17">
        <v>50240.5</v>
      </c>
      <c r="G68" s="17">
        <v>52552.499999999993</v>
      </c>
      <c r="H68" s="17">
        <v>54451.999999999993</v>
      </c>
      <c r="I68" s="17">
        <v>55892</v>
      </c>
      <c r="J68" s="17">
        <v>57202</v>
      </c>
      <c r="K68" s="17">
        <v>58258.500000000007</v>
      </c>
      <c r="L68" s="17">
        <v>59220.000000000007</v>
      </c>
      <c r="M68" s="17">
        <v>60280.500000000007</v>
      </c>
      <c r="N68" s="17">
        <v>61456.500000000007</v>
      </c>
      <c r="O68" s="17">
        <v>62930.499999999993</v>
      </c>
      <c r="P68" s="17">
        <v>64384</v>
      </c>
      <c r="Q68" s="17">
        <v>65594.5</v>
      </c>
      <c r="R68" s="17">
        <v>66845.000000000015</v>
      </c>
      <c r="S68" s="17">
        <v>68352.499999999985</v>
      </c>
      <c r="T68" s="17">
        <v>70081.5</v>
      </c>
      <c r="U68" s="17">
        <v>71739.499999999985</v>
      </c>
      <c r="V68" s="17">
        <v>73101</v>
      </c>
      <c r="W68" s="17">
        <v>74326.5</v>
      </c>
      <c r="X68" s="17">
        <v>75807.500000000015</v>
      </c>
      <c r="Y68" s="17">
        <v>77408.999999999985</v>
      </c>
      <c r="Z68" s="17">
        <v>78984</v>
      </c>
      <c r="AA68" s="17">
        <v>80516.500000000015</v>
      </c>
      <c r="AB68" s="17">
        <v>81962</v>
      </c>
      <c r="AC68" s="17">
        <v>83386</v>
      </c>
      <c r="AD68" s="17">
        <v>84866.999999999985</v>
      </c>
      <c r="AE68" s="17">
        <v>86481.499999999985</v>
      </c>
      <c r="AF68" s="17">
        <v>88241.999999999985</v>
      </c>
    </row>
    <row r="69" spans="1:32" x14ac:dyDescent="0.25">
      <c r="A69" s="6" t="s">
        <v>183</v>
      </c>
      <c r="B69" s="17">
        <v>65474.000000000007</v>
      </c>
      <c r="C69" s="17">
        <v>67240.000000000015</v>
      </c>
      <c r="D69" s="17">
        <v>68911.999999999985</v>
      </c>
      <c r="E69" s="17">
        <v>70523</v>
      </c>
      <c r="F69" s="17">
        <v>72030.999999999985</v>
      </c>
      <c r="G69" s="17">
        <v>73410</v>
      </c>
      <c r="H69" s="17">
        <v>74624</v>
      </c>
      <c r="I69" s="17">
        <v>75507.500000000015</v>
      </c>
      <c r="J69" s="17">
        <v>76118.5</v>
      </c>
      <c r="K69" s="17">
        <v>76534.500000000015</v>
      </c>
      <c r="L69" s="17">
        <v>76732.500000000015</v>
      </c>
      <c r="M69" s="17">
        <v>76795</v>
      </c>
      <c r="N69" s="17">
        <v>76744.5</v>
      </c>
      <c r="O69" s="17">
        <v>76649</v>
      </c>
      <c r="P69" s="17">
        <v>76675.5</v>
      </c>
      <c r="Q69" s="17">
        <v>76821.5</v>
      </c>
      <c r="R69" s="17">
        <v>76968.5</v>
      </c>
      <c r="S69" s="17">
        <v>77133.500000000015</v>
      </c>
      <c r="T69" s="17">
        <v>77277.5</v>
      </c>
      <c r="U69" s="17">
        <v>77331</v>
      </c>
      <c r="V69" s="17">
        <v>77411.5</v>
      </c>
      <c r="W69" s="17">
        <v>77600.000000000015</v>
      </c>
      <c r="X69" s="17">
        <v>77842</v>
      </c>
      <c r="Y69" s="17">
        <v>78140.499999999985</v>
      </c>
      <c r="Z69" s="17">
        <v>78475.500000000015</v>
      </c>
      <c r="AA69" s="17">
        <v>78817.5</v>
      </c>
      <c r="AB69" s="17">
        <v>79133.5</v>
      </c>
      <c r="AC69" s="17">
        <v>79363.5</v>
      </c>
      <c r="AD69" s="17">
        <v>79536</v>
      </c>
      <c r="AE69" s="17">
        <v>79649</v>
      </c>
      <c r="AF69" s="17">
        <v>79608.5</v>
      </c>
    </row>
    <row r="70" spans="1:32" x14ac:dyDescent="0.25">
      <c r="A70" s="6" t="s">
        <v>184</v>
      </c>
      <c r="B70" s="17">
        <v>295918.5</v>
      </c>
      <c r="C70" s="17">
        <v>306184.49999999994</v>
      </c>
      <c r="D70" s="17">
        <v>316959.50000000006</v>
      </c>
      <c r="E70" s="17">
        <v>328287.5</v>
      </c>
      <c r="F70" s="17">
        <v>340161.5</v>
      </c>
      <c r="G70" s="17">
        <v>352611.5</v>
      </c>
      <c r="H70" s="17">
        <v>365729.99999999994</v>
      </c>
      <c r="I70" s="17">
        <v>379500.49999999994</v>
      </c>
      <c r="J70" s="17">
        <v>393841.49999999994</v>
      </c>
      <c r="K70" s="17">
        <v>408643.5</v>
      </c>
      <c r="L70" s="17">
        <v>423888.49999999994</v>
      </c>
      <c r="M70" s="17">
        <v>439581</v>
      </c>
      <c r="N70" s="17">
        <v>455695.5</v>
      </c>
      <c r="O70" s="17">
        <v>472042.50000000006</v>
      </c>
      <c r="P70" s="17">
        <v>488014.50000000006</v>
      </c>
      <c r="Q70" s="17">
        <v>503107</v>
      </c>
      <c r="R70" s="17">
        <v>517100.5</v>
      </c>
      <c r="S70" s="17">
        <v>530141</v>
      </c>
      <c r="T70" s="17">
        <v>542737.50000000012</v>
      </c>
      <c r="U70" s="17">
        <v>555255.5</v>
      </c>
      <c r="V70" s="17">
        <v>567863</v>
      </c>
      <c r="W70" s="17">
        <v>580765.5</v>
      </c>
      <c r="X70" s="17">
        <v>593863.99999999988</v>
      </c>
      <c r="Y70" s="17">
        <v>607123.5</v>
      </c>
      <c r="Z70" s="17">
        <v>620907.49999999988</v>
      </c>
      <c r="AA70" s="17">
        <v>635345.5</v>
      </c>
      <c r="AB70" s="17">
        <v>650345.50000000012</v>
      </c>
      <c r="AC70" s="17">
        <v>665622.99999999988</v>
      </c>
      <c r="AD70" s="17">
        <v>680925.5</v>
      </c>
      <c r="AE70" s="17">
        <v>696220</v>
      </c>
      <c r="AF70" s="17">
        <v>711429.49999999988</v>
      </c>
    </row>
    <row r="71" spans="1:32" x14ac:dyDescent="0.25">
      <c r="A71" s="6" t="s">
        <v>30</v>
      </c>
      <c r="B71" s="17">
        <v>333251.5</v>
      </c>
      <c r="C71" s="17">
        <v>345127.50000000006</v>
      </c>
      <c r="D71" s="17">
        <v>357402.99999999994</v>
      </c>
      <c r="E71" s="17">
        <v>369477.5</v>
      </c>
      <c r="F71" s="17">
        <v>381282.00000000006</v>
      </c>
      <c r="G71" s="17">
        <v>393393</v>
      </c>
      <c r="H71" s="17">
        <v>405962.50000000006</v>
      </c>
      <c r="I71" s="17">
        <v>418929.00000000006</v>
      </c>
      <c r="J71" s="17">
        <v>432155</v>
      </c>
      <c r="K71" s="17">
        <v>445525.00000000006</v>
      </c>
      <c r="L71" s="17">
        <v>458915</v>
      </c>
      <c r="M71" s="17">
        <v>472483.49999999994</v>
      </c>
      <c r="N71" s="17">
        <v>486479.50000000006</v>
      </c>
      <c r="O71" s="17">
        <v>500874.5</v>
      </c>
      <c r="P71" s="17">
        <v>515520.49999999994</v>
      </c>
      <c r="Q71" s="17">
        <v>530314.5</v>
      </c>
      <c r="R71" s="17">
        <v>545402</v>
      </c>
      <c r="S71" s="17">
        <v>560845</v>
      </c>
      <c r="T71" s="17">
        <v>576805.5</v>
      </c>
      <c r="U71" s="17">
        <v>593497.99999999988</v>
      </c>
      <c r="V71" s="17">
        <v>611277.49999999988</v>
      </c>
      <c r="W71" s="17">
        <v>630210.49999999988</v>
      </c>
      <c r="X71" s="17">
        <v>649688.5</v>
      </c>
      <c r="Y71" s="17">
        <v>669689.99999999988</v>
      </c>
      <c r="Z71" s="17">
        <v>690420.00000000012</v>
      </c>
      <c r="AA71" s="17">
        <v>711768.5</v>
      </c>
      <c r="AB71" s="17">
        <v>733674.5</v>
      </c>
      <c r="AC71" s="17">
        <v>756099.99999999988</v>
      </c>
      <c r="AD71" s="17">
        <v>778878.5</v>
      </c>
      <c r="AE71" s="17">
        <v>801787.5</v>
      </c>
      <c r="AF71" s="17">
        <v>824682.49999999988</v>
      </c>
    </row>
    <row r="72" spans="1:32" x14ac:dyDescent="0.25">
      <c r="A72" s="6" t="s">
        <v>185</v>
      </c>
      <c r="B72" s="17">
        <v>1132462.5</v>
      </c>
      <c r="C72" s="17">
        <v>1108290.0000000002</v>
      </c>
      <c r="D72" s="17">
        <v>1094226</v>
      </c>
      <c r="E72" s="17">
        <v>1087777</v>
      </c>
      <c r="F72" s="17">
        <v>1082041.5</v>
      </c>
      <c r="G72" s="17">
        <v>1075756.5000000002</v>
      </c>
      <c r="H72" s="17">
        <v>1068299.5</v>
      </c>
      <c r="I72" s="17">
        <v>1058397.0000000002</v>
      </c>
      <c r="J72" s="17">
        <v>1044983.0000000002</v>
      </c>
      <c r="K72" s="17">
        <v>1027679.0000000001</v>
      </c>
      <c r="L72" s="17">
        <v>1006794</v>
      </c>
      <c r="M72" s="17">
        <v>984166</v>
      </c>
      <c r="N72" s="17">
        <v>961837</v>
      </c>
      <c r="O72" s="17">
        <v>940316</v>
      </c>
      <c r="P72" s="17">
        <v>922296.99999999977</v>
      </c>
      <c r="Q72" s="17">
        <v>908471</v>
      </c>
      <c r="R72" s="17">
        <v>896756</v>
      </c>
      <c r="S72" s="17">
        <v>886970.5</v>
      </c>
      <c r="T72" s="17">
        <v>878691</v>
      </c>
      <c r="U72" s="17">
        <v>871171</v>
      </c>
      <c r="V72" s="17">
        <v>864486.5</v>
      </c>
      <c r="W72" s="17">
        <v>858733.99999999988</v>
      </c>
      <c r="X72" s="17">
        <v>852198.00000000012</v>
      </c>
      <c r="Y72" s="17">
        <v>845626.50000000012</v>
      </c>
      <c r="Z72" s="17">
        <v>840935.99999999988</v>
      </c>
      <c r="AA72" s="17">
        <v>837311.49999999988</v>
      </c>
      <c r="AB72" s="17">
        <v>833535.00000000012</v>
      </c>
      <c r="AC72" s="17">
        <v>829459.49999999988</v>
      </c>
      <c r="AD72" s="17">
        <v>825760.50000000012</v>
      </c>
      <c r="AE72" s="17">
        <v>822896</v>
      </c>
      <c r="AF72" s="17">
        <v>820716.00000000012</v>
      </c>
    </row>
    <row r="73" spans="1:32" x14ac:dyDescent="0.25">
      <c r="A73" t="s">
        <v>186</v>
      </c>
      <c r="B73" s="17">
        <v>19575157</v>
      </c>
      <c r="C73" s="17">
        <v>19506200.500000004</v>
      </c>
      <c r="D73" s="17">
        <v>19442109</v>
      </c>
      <c r="E73" s="17">
        <v>19381482.5</v>
      </c>
      <c r="F73" s="17">
        <v>19317666</v>
      </c>
      <c r="G73" s="17">
        <v>19245638.5</v>
      </c>
      <c r="H73" s="17">
        <v>19153203</v>
      </c>
      <c r="I73" s="17">
        <v>19030670.000000004</v>
      </c>
      <c r="J73" s="17">
        <v>18888029.5</v>
      </c>
      <c r="K73" s="17">
        <v>18719084.5</v>
      </c>
      <c r="L73" s="17">
        <v>18524636</v>
      </c>
      <c r="M73" s="17">
        <v>18323707</v>
      </c>
      <c r="N73" s="17">
        <v>18127125</v>
      </c>
      <c r="O73" s="17">
        <v>17927270.500000004</v>
      </c>
      <c r="P73" s="17">
        <v>17723114.499999996</v>
      </c>
      <c r="Q73" s="17">
        <v>17534101.000000004</v>
      </c>
      <c r="R73" s="17">
        <v>17361095.5</v>
      </c>
      <c r="S73" s="17">
        <v>17196818.5</v>
      </c>
      <c r="T73" s="17">
        <v>17039860</v>
      </c>
      <c r="U73" s="17">
        <v>16894381</v>
      </c>
      <c r="V73" s="17">
        <v>16767907.500000002</v>
      </c>
      <c r="W73" s="17">
        <v>16659609</v>
      </c>
      <c r="X73" s="17">
        <v>16562706.5</v>
      </c>
      <c r="Y73" s="17">
        <v>16488570</v>
      </c>
      <c r="Z73" s="17">
        <v>16434328.5</v>
      </c>
      <c r="AA73" s="17">
        <v>16384487.000000002</v>
      </c>
      <c r="AB73" s="17">
        <v>16331727.499999998</v>
      </c>
      <c r="AC73" s="17">
        <v>16267496.000000002</v>
      </c>
      <c r="AD73" s="17">
        <v>16197465.499999998</v>
      </c>
      <c r="AE73" s="17">
        <v>16125990.5</v>
      </c>
      <c r="AF73" s="17">
        <v>16048814</v>
      </c>
    </row>
    <row r="74" spans="1:32" x14ac:dyDescent="0.25">
      <c r="A74" t="s">
        <v>31</v>
      </c>
      <c r="B74" s="17">
        <v>4840917.5</v>
      </c>
      <c r="C74" s="17">
        <v>5009853</v>
      </c>
      <c r="D74" s="17">
        <v>5187290</v>
      </c>
      <c r="E74" s="17">
        <v>5361876</v>
      </c>
      <c r="F74" s="17">
        <v>5532151.5</v>
      </c>
      <c r="G74" s="17">
        <v>5698409</v>
      </c>
      <c r="H74" s="17">
        <v>5861173.0000000009</v>
      </c>
      <c r="I74" s="17">
        <v>6023015.5</v>
      </c>
      <c r="J74" s="17">
        <v>6181458.4999999991</v>
      </c>
      <c r="K74" s="17">
        <v>6333294.5</v>
      </c>
      <c r="L74" s="17">
        <v>6474904.5</v>
      </c>
      <c r="M74" s="17">
        <v>6610757</v>
      </c>
      <c r="N74" s="17">
        <v>6750124.4999999991</v>
      </c>
      <c r="O74" s="17">
        <v>6894919.5</v>
      </c>
      <c r="P74" s="17">
        <v>7046832.5</v>
      </c>
      <c r="Q74" s="17">
        <v>7207973.5</v>
      </c>
      <c r="R74" s="17">
        <v>7382323.4999999991</v>
      </c>
      <c r="S74" s="17">
        <v>7565497</v>
      </c>
      <c r="T74" s="17">
        <v>7747457</v>
      </c>
      <c r="U74" s="17">
        <v>7929568.4999999991</v>
      </c>
      <c r="V74" s="17">
        <v>8122408.9999999991</v>
      </c>
      <c r="W74" s="17">
        <v>8321833.5000000009</v>
      </c>
      <c r="X74" s="17">
        <v>8517089</v>
      </c>
      <c r="Y74" s="17">
        <v>8710662</v>
      </c>
      <c r="Z74" s="17">
        <v>8905267</v>
      </c>
      <c r="AA74" s="17">
        <v>9103251.5</v>
      </c>
      <c r="AB74" s="17">
        <v>9305742</v>
      </c>
      <c r="AC74" s="17">
        <v>9508341.4999999981</v>
      </c>
      <c r="AD74" s="17">
        <v>9708382.9999999981</v>
      </c>
      <c r="AE74" s="17">
        <v>9905367</v>
      </c>
      <c r="AF74" s="17">
        <v>10100927.5</v>
      </c>
    </row>
    <row r="75" spans="1:32" x14ac:dyDescent="0.25">
      <c r="A75" t="s">
        <v>188</v>
      </c>
      <c r="B75" s="17">
        <v>2773634.5</v>
      </c>
      <c r="C75" s="17">
        <v>2777261</v>
      </c>
      <c r="D75" s="17">
        <v>2774549</v>
      </c>
      <c r="E75" s="17">
        <v>2767243.5</v>
      </c>
      <c r="F75" s="17">
        <v>2753739.5</v>
      </c>
      <c r="G75" s="17">
        <v>2731443</v>
      </c>
      <c r="H75" s="17">
        <v>2704037.0000000005</v>
      </c>
      <c r="I75" s="17">
        <v>2676382.4999999995</v>
      </c>
      <c r="J75" s="17">
        <v>2648328.0000000005</v>
      </c>
      <c r="K75" s="17">
        <v>2619018.5</v>
      </c>
      <c r="L75" s="17">
        <v>2589087.0000000005</v>
      </c>
      <c r="M75" s="17">
        <v>2559333</v>
      </c>
      <c r="N75" s="17">
        <v>2528393</v>
      </c>
      <c r="O75" s="17">
        <v>2495991</v>
      </c>
      <c r="P75" s="17">
        <v>2462879.9999999995</v>
      </c>
      <c r="Q75" s="17">
        <v>2429302.5000000005</v>
      </c>
      <c r="R75" s="17">
        <v>2393493.5</v>
      </c>
      <c r="S75" s="17">
        <v>2352931.4999999995</v>
      </c>
      <c r="T75" s="17">
        <v>2309945</v>
      </c>
      <c r="U75" s="17">
        <v>2267028</v>
      </c>
      <c r="V75" s="17">
        <v>2224104</v>
      </c>
      <c r="W75" s="17">
        <v>2183584</v>
      </c>
      <c r="X75" s="17">
        <v>2151789</v>
      </c>
      <c r="Y75" s="17">
        <v>2127827</v>
      </c>
      <c r="Z75" s="17">
        <v>2104338</v>
      </c>
      <c r="AA75" s="17">
        <v>2080014.0000000002</v>
      </c>
      <c r="AB75" s="17">
        <v>2054378.4999999998</v>
      </c>
      <c r="AC75" s="17">
        <v>2027785.5000000005</v>
      </c>
      <c r="AD75" s="17">
        <v>1999713.4999999998</v>
      </c>
      <c r="AE75" s="17">
        <v>1968493.0000000002</v>
      </c>
      <c r="AF75" s="17">
        <v>1935717.5</v>
      </c>
    </row>
    <row r="76" spans="1:32" x14ac:dyDescent="0.25">
      <c r="A76" t="s">
        <v>190</v>
      </c>
      <c r="B76" s="17">
        <v>25580</v>
      </c>
      <c r="C76" s="17">
        <v>26049.500000000004</v>
      </c>
      <c r="D76" s="17">
        <v>26570.999999999996</v>
      </c>
      <c r="E76" s="17">
        <v>27157.5</v>
      </c>
      <c r="F76" s="17">
        <v>27820.5</v>
      </c>
      <c r="G76" s="17">
        <v>28397</v>
      </c>
      <c r="H76" s="17">
        <v>28869</v>
      </c>
      <c r="I76" s="17">
        <v>29225.499999999996</v>
      </c>
      <c r="J76" s="17">
        <v>29474.999999999996</v>
      </c>
      <c r="K76" s="17">
        <v>29641.500000000004</v>
      </c>
      <c r="L76" s="17">
        <v>29744.5</v>
      </c>
      <c r="M76" s="17">
        <v>29852.999999999996</v>
      </c>
      <c r="N76" s="17">
        <v>30002.999999999996</v>
      </c>
      <c r="O76" s="17">
        <v>30155.5</v>
      </c>
      <c r="P76" s="17">
        <v>30308</v>
      </c>
      <c r="Q76" s="17">
        <v>30469</v>
      </c>
      <c r="R76" s="17">
        <v>30601.499999999996</v>
      </c>
      <c r="S76" s="17">
        <v>30712.500000000004</v>
      </c>
      <c r="T76" s="17">
        <v>30839.000000000004</v>
      </c>
      <c r="U76" s="17">
        <v>30984</v>
      </c>
      <c r="V76" s="17">
        <v>31184.000000000004</v>
      </c>
      <c r="W76" s="17">
        <v>31420.5</v>
      </c>
      <c r="X76" s="17">
        <v>31645.5</v>
      </c>
      <c r="Y76" s="17">
        <v>31874.000000000004</v>
      </c>
      <c r="Z76" s="17">
        <v>32120.5</v>
      </c>
      <c r="AA76" s="17">
        <v>32380.499999999996</v>
      </c>
      <c r="AB76" s="17">
        <v>32653</v>
      </c>
      <c r="AC76" s="17">
        <v>32926</v>
      </c>
      <c r="AD76" s="17">
        <v>33187.5</v>
      </c>
      <c r="AE76" s="17">
        <v>33422.000000000007</v>
      </c>
      <c r="AF76" s="17">
        <v>33601</v>
      </c>
    </row>
    <row r="77" spans="1:32" x14ac:dyDescent="0.25">
      <c r="A77" t="s">
        <v>191</v>
      </c>
      <c r="B77" s="17">
        <v>113453</v>
      </c>
      <c r="C77" s="17">
        <v>111835.00000000001</v>
      </c>
      <c r="D77" s="17">
        <v>110112</v>
      </c>
      <c r="E77" s="17">
        <v>108391</v>
      </c>
      <c r="F77" s="17">
        <v>106674</v>
      </c>
      <c r="G77" s="17">
        <v>104885.5</v>
      </c>
      <c r="H77" s="17">
        <v>103874.5</v>
      </c>
      <c r="I77" s="17">
        <v>103524.5</v>
      </c>
      <c r="J77" s="17">
        <v>103009.99999999999</v>
      </c>
      <c r="K77" s="17">
        <v>102256</v>
      </c>
      <c r="L77" s="17">
        <v>101207.00000000001</v>
      </c>
      <c r="M77" s="17">
        <v>99944.5</v>
      </c>
      <c r="N77" s="17">
        <v>98586.5</v>
      </c>
      <c r="O77" s="17">
        <v>97160</v>
      </c>
      <c r="P77" s="17">
        <v>95512.5</v>
      </c>
      <c r="Q77" s="17">
        <v>93820.500000000015</v>
      </c>
      <c r="R77" s="17">
        <v>92278.500000000015</v>
      </c>
      <c r="S77" s="17">
        <v>90923.5</v>
      </c>
      <c r="T77" s="17">
        <v>89663.5</v>
      </c>
      <c r="U77" s="17">
        <v>88403</v>
      </c>
      <c r="V77" s="17">
        <v>87473.5</v>
      </c>
      <c r="W77" s="17">
        <v>86773.5</v>
      </c>
      <c r="X77" s="17">
        <v>85927.500000000015</v>
      </c>
      <c r="Y77" s="17">
        <v>85007.5</v>
      </c>
      <c r="Z77" s="17">
        <v>84106.000000000015</v>
      </c>
      <c r="AA77" s="17">
        <v>83319</v>
      </c>
      <c r="AB77" s="17">
        <v>82637</v>
      </c>
      <c r="AC77" s="17">
        <v>82207</v>
      </c>
      <c r="AD77" s="17">
        <v>82053</v>
      </c>
      <c r="AE77" s="17">
        <v>81985</v>
      </c>
      <c r="AF77" s="17">
        <v>81952</v>
      </c>
    </row>
    <row r="78" spans="1:32" x14ac:dyDescent="0.25">
      <c r="A78" t="s">
        <v>192</v>
      </c>
      <c r="B78" s="17">
        <v>41933.000000000007</v>
      </c>
      <c r="C78" s="17">
        <v>41971.999999999993</v>
      </c>
      <c r="D78" s="17">
        <v>41929.999999999993</v>
      </c>
      <c r="E78" s="17">
        <v>41877.5</v>
      </c>
      <c r="F78" s="17">
        <v>41823.499999999993</v>
      </c>
      <c r="G78" s="17">
        <v>41768.499999999993</v>
      </c>
      <c r="H78" s="17">
        <v>41702.999999999993</v>
      </c>
      <c r="I78" s="17">
        <v>41642.000000000007</v>
      </c>
      <c r="J78" s="17">
        <v>41577.5</v>
      </c>
      <c r="K78" s="17">
        <v>41486</v>
      </c>
      <c r="L78" s="17">
        <v>41277.5</v>
      </c>
      <c r="M78" s="17">
        <v>40941.5</v>
      </c>
      <c r="N78" s="17">
        <v>40576.5</v>
      </c>
      <c r="O78" s="17">
        <v>40179.5</v>
      </c>
      <c r="P78" s="17">
        <v>39754.5</v>
      </c>
      <c r="Q78" s="17">
        <v>39313.500000000007</v>
      </c>
      <c r="R78" s="17">
        <v>38846.5</v>
      </c>
      <c r="S78" s="17">
        <v>38358.5</v>
      </c>
      <c r="T78" s="17">
        <v>37856.500000000007</v>
      </c>
      <c r="U78" s="17">
        <v>37351</v>
      </c>
      <c r="V78" s="17">
        <v>37172.5</v>
      </c>
      <c r="W78" s="17">
        <v>37332</v>
      </c>
      <c r="X78" s="17">
        <v>37471.999999999993</v>
      </c>
      <c r="Y78" s="17">
        <v>37598</v>
      </c>
      <c r="Z78" s="17">
        <v>37779</v>
      </c>
      <c r="AA78" s="17">
        <v>38078.5</v>
      </c>
      <c r="AB78" s="17">
        <v>38443.5</v>
      </c>
      <c r="AC78" s="17">
        <v>38868</v>
      </c>
      <c r="AD78" s="17">
        <v>39310</v>
      </c>
      <c r="AE78" s="17">
        <v>39706.5</v>
      </c>
      <c r="AF78" s="17">
        <v>40107</v>
      </c>
    </row>
    <row r="79" spans="1:32" x14ac:dyDescent="0.25">
      <c r="A79" t="s">
        <v>193</v>
      </c>
      <c r="B79" s="17">
        <v>2762910.5</v>
      </c>
      <c r="C79" s="17">
        <v>2833848.5</v>
      </c>
      <c r="D79" s="17">
        <v>2909696.0000000005</v>
      </c>
      <c r="E79" s="17">
        <v>2989895.5</v>
      </c>
      <c r="F79" s="17">
        <v>3074794.5</v>
      </c>
      <c r="G79" s="17">
        <v>3162418.5</v>
      </c>
      <c r="H79" s="17">
        <v>3252379.5</v>
      </c>
      <c r="I79" s="17">
        <v>3346265.0000000005</v>
      </c>
      <c r="J79" s="17">
        <v>3442371.5</v>
      </c>
      <c r="K79" s="17">
        <v>3540424.9999999995</v>
      </c>
      <c r="L79" s="17">
        <v>3642090</v>
      </c>
      <c r="M79" s="17">
        <v>3747131.5000000005</v>
      </c>
      <c r="N79" s="17">
        <v>3853861.9999999991</v>
      </c>
      <c r="O79" s="17">
        <v>3961146.5</v>
      </c>
      <c r="P79" s="17">
        <v>4066732.9999999995</v>
      </c>
      <c r="Q79" s="17">
        <v>4169648</v>
      </c>
      <c r="R79" s="17">
        <v>4273850.5</v>
      </c>
      <c r="S79" s="17">
        <v>4377607.5</v>
      </c>
      <c r="T79" s="17">
        <v>4475386.5</v>
      </c>
      <c r="U79" s="17">
        <v>4568699.0000000009</v>
      </c>
      <c r="V79" s="17">
        <v>4666281</v>
      </c>
      <c r="W79" s="17">
        <v>4765790</v>
      </c>
      <c r="X79" s="17">
        <v>4864858.5</v>
      </c>
      <c r="Y79" s="17">
        <v>4965591.5</v>
      </c>
      <c r="Z79" s="17">
        <v>5064277.4999999991</v>
      </c>
      <c r="AA79" s="17">
        <v>5161447.5</v>
      </c>
      <c r="AB79" s="17">
        <v>5256767.5</v>
      </c>
      <c r="AC79" s="17">
        <v>5350351.0000000009</v>
      </c>
      <c r="AD79" s="17">
        <v>5441150.5</v>
      </c>
      <c r="AE79" s="17">
        <v>5529153</v>
      </c>
      <c r="AF79" s="17">
        <v>5615125.9999999991</v>
      </c>
    </row>
    <row r="80" spans="1:32" x14ac:dyDescent="0.25">
      <c r="A80" t="s">
        <v>32</v>
      </c>
      <c r="B80" s="17">
        <v>1867441.5</v>
      </c>
      <c r="C80" s="17">
        <v>1889480.9999999998</v>
      </c>
      <c r="D80" s="17">
        <v>1920470.5</v>
      </c>
      <c r="E80" s="17">
        <v>1971173.4999999998</v>
      </c>
      <c r="F80" s="17">
        <v>2021505.5</v>
      </c>
      <c r="G80" s="17">
        <v>2069742.0000000002</v>
      </c>
      <c r="H80" s="17">
        <v>2122051.5</v>
      </c>
      <c r="I80" s="17">
        <v>2182636</v>
      </c>
      <c r="J80" s="17">
        <v>2248074</v>
      </c>
      <c r="K80" s="17">
        <v>2315368</v>
      </c>
      <c r="L80" s="17">
        <v>2384065</v>
      </c>
      <c r="M80" s="17">
        <v>2455386.9999999995</v>
      </c>
      <c r="N80" s="17">
        <v>2528956.5</v>
      </c>
      <c r="O80" s="17">
        <v>2603268.0000000005</v>
      </c>
      <c r="P80" s="17">
        <v>2679553.0000000005</v>
      </c>
      <c r="Q80" s="17">
        <v>2759297</v>
      </c>
      <c r="R80" s="17">
        <v>2841172</v>
      </c>
      <c r="S80" s="17">
        <v>2923893.5</v>
      </c>
      <c r="T80" s="17">
        <v>3008325.9999999995</v>
      </c>
      <c r="U80" s="17">
        <v>3096319</v>
      </c>
      <c r="V80" s="17">
        <v>3187831.5000000005</v>
      </c>
      <c r="W80" s="17">
        <v>3281337.9999999995</v>
      </c>
      <c r="X80" s="17">
        <v>3377377.9999999995</v>
      </c>
      <c r="Y80" s="17">
        <v>3476908.5</v>
      </c>
      <c r="Z80" s="17">
        <v>3579986.0000000005</v>
      </c>
      <c r="AA80" s="17">
        <v>3685903.0000000005</v>
      </c>
      <c r="AB80" s="17">
        <v>3793351.9999999995</v>
      </c>
      <c r="AC80" s="17">
        <v>3901900.4999999995</v>
      </c>
      <c r="AD80" s="17">
        <v>4011664.5</v>
      </c>
      <c r="AE80" s="17">
        <v>4122859.0000000005</v>
      </c>
      <c r="AF80" s="17">
        <v>4236323.4999999991</v>
      </c>
    </row>
    <row r="81" spans="1:32" x14ac:dyDescent="0.25">
      <c r="A81" t="s">
        <v>33</v>
      </c>
      <c r="B81" s="17">
        <v>297690</v>
      </c>
      <c r="C81" s="17">
        <v>305451</v>
      </c>
      <c r="D81" s="17">
        <v>313248</v>
      </c>
      <c r="E81" s="17">
        <v>321037.5</v>
      </c>
      <c r="F81" s="17">
        <v>328849</v>
      </c>
      <c r="G81" s="17">
        <v>336589.50000000006</v>
      </c>
      <c r="H81" s="17">
        <v>344362.5</v>
      </c>
      <c r="I81" s="17">
        <v>352548.00000000006</v>
      </c>
      <c r="J81" s="17">
        <v>361229.50000000006</v>
      </c>
      <c r="K81" s="17">
        <v>370459</v>
      </c>
      <c r="L81" s="17">
        <v>380281</v>
      </c>
      <c r="M81" s="17">
        <v>390661</v>
      </c>
      <c r="N81" s="17">
        <v>401626.99999999994</v>
      </c>
      <c r="O81" s="17">
        <v>413115.5</v>
      </c>
      <c r="P81" s="17">
        <v>425037.49999999994</v>
      </c>
      <c r="Q81" s="17">
        <v>437423</v>
      </c>
      <c r="R81" s="17">
        <v>450250</v>
      </c>
      <c r="S81" s="17">
        <v>463541.99999999994</v>
      </c>
      <c r="T81" s="17">
        <v>477284.99999999994</v>
      </c>
      <c r="U81" s="17">
        <v>491293.49999999994</v>
      </c>
      <c r="V81" s="17">
        <v>505503.99999999994</v>
      </c>
      <c r="W81" s="17">
        <v>519888.00000000006</v>
      </c>
      <c r="X81" s="17">
        <v>534502.5</v>
      </c>
      <c r="Y81" s="17">
        <v>549239.5</v>
      </c>
      <c r="Z81" s="17">
        <v>563900.5</v>
      </c>
      <c r="AA81" s="17">
        <v>578511.5</v>
      </c>
      <c r="AB81" s="17">
        <v>593296</v>
      </c>
      <c r="AC81" s="17">
        <v>608454.49999999988</v>
      </c>
      <c r="AD81" s="17">
        <v>624027.99999999988</v>
      </c>
      <c r="AE81" s="17">
        <v>639624</v>
      </c>
      <c r="AF81" s="17">
        <v>654772</v>
      </c>
    </row>
    <row r="82" spans="1:32" x14ac:dyDescent="0.25">
      <c r="A82" t="s">
        <v>194</v>
      </c>
      <c r="B82" s="17">
        <v>198435.50000000003</v>
      </c>
      <c r="C82" s="17">
        <v>197459.5</v>
      </c>
      <c r="D82" s="17">
        <v>196571.5</v>
      </c>
      <c r="E82" s="17">
        <v>196280.50000000003</v>
      </c>
      <c r="F82" s="17">
        <v>196567.5</v>
      </c>
      <c r="G82" s="17">
        <v>196900.99999999997</v>
      </c>
      <c r="H82" s="17">
        <v>197357</v>
      </c>
      <c r="I82" s="17">
        <v>197846.5</v>
      </c>
      <c r="J82" s="17">
        <v>198143</v>
      </c>
      <c r="K82" s="17">
        <v>198239.5</v>
      </c>
      <c r="L82" s="17">
        <v>198134</v>
      </c>
      <c r="M82" s="17">
        <v>197797.5</v>
      </c>
      <c r="N82" s="17">
        <v>198307</v>
      </c>
      <c r="O82" s="17">
        <v>199771</v>
      </c>
      <c r="P82" s="17">
        <v>201146</v>
      </c>
      <c r="Q82" s="17">
        <v>202370</v>
      </c>
      <c r="R82" s="17">
        <v>203414.00000000003</v>
      </c>
      <c r="S82" s="17">
        <v>204264.5</v>
      </c>
      <c r="T82" s="17">
        <v>210076.5</v>
      </c>
      <c r="U82" s="17">
        <v>213203.5</v>
      </c>
      <c r="V82" s="17">
        <v>212148.00000000003</v>
      </c>
      <c r="W82" s="17">
        <v>213333.99999999997</v>
      </c>
      <c r="X82" s="17">
        <v>213313.99999999997</v>
      </c>
      <c r="Y82" s="17">
        <v>213464.5</v>
      </c>
      <c r="Z82" s="17">
        <v>213676.5</v>
      </c>
      <c r="AA82" s="17">
        <v>213887</v>
      </c>
      <c r="AB82" s="17">
        <v>214116</v>
      </c>
      <c r="AC82" s="17">
        <v>214374.00000000003</v>
      </c>
      <c r="AD82" s="17">
        <v>214659.5</v>
      </c>
      <c r="AE82" s="17">
        <v>215002.5</v>
      </c>
      <c r="AF82" s="17">
        <v>215430</v>
      </c>
    </row>
    <row r="83" spans="1:32" x14ac:dyDescent="0.25">
      <c r="A83" t="s">
        <v>34</v>
      </c>
      <c r="B83" s="17">
        <v>2011335</v>
      </c>
      <c r="C83" s="17">
        <v>2061967.9999999998</v>
      </c>
      <c r="D83" s="17">
        <v>2114074.5</v>
      </c>
      <c r="E83" s="17">
        <v>2167634.5</v>
      </c>
      <c r="F83" s="17">
        <v>2222029.5</v>
      </c>
      <c r="G83" s="17">
        <v>2277478.5</v>
      </c>
      <c r="H83" s="17">
        <v>2333040.4999999995</v>
      </c>
      <c r="I83" s="17">
        <v>2387736.5</v>
      </c>
      <c r="J83" s="17">
        <v>2441886.9999999995</v>
      </c>
      <c r="K83" s="17">
        <v>2495314.0000000005</v>
      </c>
      <c r="L83" s="17">
        <v>2537778.5</v>
      </c>
      <c r="M83" s="17">
        <v>2579528.5000000005</v>
      </c>
      <c r="N83" s="17">
        <v>2631278.9999999995</v>
      </c>
      <c r="O83" s="17">
        <v>2682715</v>
      </c>
      <c r="P83" s="17">
        <v>2733647.5</v>
      </c>
      <c r="Q83" s="17">
        <v>2784589.5</v>
      </c>
      <c r="R83" s="17">
        <v>2834826</v>
      </c>
      <c r="S83" s="17">
        <v>2883462.5</v>
      </c>
      <c r="T83" s="17">
        <v>2931092</v>
      </c>
      <c r="U83" s="17">
        <v>2978363.5</v>
      </c>
      <c r="V83" s="17">
        <v>3025577.4999999995</v>
      </c>
      <c r="W83" s="17">
        <v>3072220</v>
      </c>
      <c r="X83" s="17">
        <v>3118214.4999999991</v>
      </c>
      <c r="Y83" s="17">
        <v>3164256.9999999995</v>
      </c>
      <c r="Z83" s="17">
        <v>3210077.9999999995</v>
      </c>
      <c r="AA83" s="17">
        <v>3255295.5</v>
      </c>
      <c r="AB83" s="17">
        <v>3299939</v>
      </c>
      <c r="AC83" s="17">
        <v>3342829.5000000005</v>
      </c>
      <c r="AD83" s="17">
        <v>3383229.5</v>
      </c>
      <c r="AE83" s="17">
        <v>3421816</v>
      </c>
      <c r="AF83" s="17">
        <v>3459129</v>
      </c>
    </row>
    <row r="84" spans="1:32" x14ac:dyDescent="0.25">
      <c r="A84" t="s">
        <v>35</v>
      </c>
      <c r="B84" s="17">
        <v>1591033.0000000002</v>
      </c>
      <c r="C84" s="17">
        <v>1643180.5</v>
      </c>
      <c r="D84" s="17">
        <v>1696268.0000000002</v>
      </c>
      <c r="E84" s="17">
        <v>1750266.5000000002</v>
      </c>
      <c r="F84" s="17">
        <v>1805460.5000000002</v>
      </c>
      <c r="G84" s="17">
        <v>1862025</v>
      </c>
      <c r="H84" s="17">
        <v>1919877</v>
      </c>
      <c r="I84" s="17">
        <v>1979044.5</v>
      </c>
      <c r="J84" s="17">
        <v>2039441.0000000002</v>
      </c>
      <c r="K84" s="17">
        <v>2100873.5</v>
      </c>
      <c r="L84" s="17">
        <v>2162946.5</v>
      </c>
      <c r="M84" s="17">
        <v>2225471.5</v>
      </c>
      <c r="N84" s="17">
        <v>2288516.5</v>
      </c>
      <c r="O84" s="17">
        <v>2352296.0000000005</v>
      </c>
      <c r="P84" s="17">
        <v>2417073.5</v>
      </c>
      <c r="Q84" s="17">
        <v>2482069.5</v>
      </c>
      <c r="R84" s="17">
        <v>2546247.9999999995</v>
      </c>
      <c r="S84" s="17">
        <v>2609082</v>
      </c>
      <c r="T84" s="17">
        <v>2670055.5000000005</v>
      </c>
      <c r="U84" s="17">
        <v>2728882</v>
      </c>
      <c r="V84" s="17">
        <v>2785374.4999999995</v>
      </c>
      <c r="W84" s="17">
        <v>2839079</v>
      </c>
      <c r="X84" s="17">
        <v>2890007.4999999995</v>
      </c>
      <c r="Y84" s="17">
        <v>2938858</v>
      </c>
      <c r="Z84" s="17">
        <v>2985538.5</v>
      </c>
      <c r="AA84" s="17">
        <v>3029256.5</v>
      </c>
      <c r="AB84" s="17">
        <v>3069896</v>
      </c>
      <c r="AC84" s="17">
        <v>3107882</v>
      </c>
      <c r="AD84" s="17">
        <v>3143437.5</v>
      </c>
      <c r="AE84" s="17">
        <v>3176715.5000000005</v>
      </c>
      <c r="AF84" s="17">
        <v>3208086.5000000005</v>
      </c>
    </row>
    <row r="85" spans="1:32" x14ac:dyDescent="0.25">
      <c r="A85" t="s">
        <v>195</v>
      </c>
      <c r="B85" s="17">
        <v>2553415</v>
      </c>
      <c r="C85" s="17">
        <v>2539872.0000000005</v>
      </c>
      <c r="D85" s="17">
        <v>2524126.5</v>
      </c>
      <c r="E85" s="17">
        <v>2502466.9999999995</v>
      </c>
      <c r="F85" s="17">
        <v>2475507.5</v>
      </c>
      <c r="G85" s="17">
        <v>2447794.5</v>
      </c>
      <c r="H85" s="17">
        <v>2426057</v>
      </c>
      <c r="I85" s="17">
        <v>2410356</v>
      </c>
      <c r="J85" s="17">
        <v>2398963.5000000005</v>
      </c>
      <c r="K85" s="17">
        <v>2389978.4999999995</v>
      </c>
      <c r="L85" s="17">
        <v>2380405.5</v>
      </c>
      <c r="M85" s="17">
        <v>2354490.5</v>
      </c>
      <c r="N85" s="17">
        <v>2330091.5</v>
      </c>
      <c r="O85" s="17">
        <v>2318789</v>
      </c>
      <c r="P85" s="17">
        <v>2303731.5</v>
      </c>
      <c r="Q85" s="17">
        <v>2289159.4999999995</v>
      </c>
      <c r="R85" s="17">
        <v>2272195</v>
      </c>
      <c r="S85" s="17">
        <v>2252886.5</v>
      </c>
      <c r="T85" s="17">
        <v>2234339</v>
      </c>
      <c r="U85" s="17">
        <v>2216481</v>
      </c>
      <c r="V85" s="17">
        <v>2196357</v>
      </c>
      <c r="W85" s="17">
        <v>2177669.5</v>
      </c>
      <c r="X85" s="17">
        <v>2284552</v>
      </c>
      <c r="Y85" s="17">
        <v>2354429.5</v>
      </c>
      <c r="Z85" s="17">
        <v>2266627.0000000005</v>
      </c>
      <c r="AA85" s="17">
        <v>2183995</v>
      </c>
      <c r="AB85" s="17">
        <v>2117755</v>
      </c>
      <c r="AC85" s="17">
        <v>2069559.5000000002</v>
      </c>
      <c r="AD85" s="17">
        <v>2031742.5</v>
      </c>
      <c r="AE85" s="17">
        <v>2000498.5</v>
      </c>
      <c r="AF85" s="17">
        <v>1973828</v>
      </c>
    </row>
    <row r="86" spans="1:32" x14ac:dyDescent="0.25">
      <c r="A86" t="s">
        <v>196</v>
      </c>
      <c r="B86" s="17">
        <v>71779.5</v>
      </c>
      <c r="C86" s="17">
        <v>72431</v>
      </c>
      <c r="D86" s="17">
        <v>72658.5</v>
      </c>
      <c r="E86" s="17">
        <v>72761.5</v>
      </c>
      <c r="F86" s="17">
        <v>72977.499999999985</v>
      </c>
      <c r="G86" s="17">
        <v>73697.5</v>
      </c>
      <c r="H86" s="17">
        <v>74813.5</v>
      </c>
      <c r="I86" s="17">
        <v>76328.499999999985</v>
      </c>
      <c r="J86" s="17">
        <v>77936</v>
      </c>
      <c r="K86" s="17">
        <v>78213</v>
      </c>
      <c r="L86" s="17">
        <v>77591.500000000015</v>
      </c>
      <c r="M86" s="17">
        <v>77244.999999999985</v>
      </c>
      <c r="N86" s="17">
        <v>77072</v>
      </c>
      <c r="O86" s="17">
        <v>77214.5</v>
      </c>
      <c r="P86" s="17">
        <v>77531.500000000015</v>
      </c>
      <c r="Q86" s="17">
        <v>77849.000000000015</v>
      </c>
      <c r="R86" s="17">
        <v>78425.5</v>
      </c>
      <c r="S86" s="17">
        <v>79831</v>
      </c>
      <c r="T86" s="17">
        <v>81970</v>
      </c>
      <c r="U86" s="17">
        <v>83928.5</v>
      </c>
      <c r="V86" s="17">
        <v>85404</v>
      </c>
      <c r="W86" s="17">
        <v>86175.000000000015</v>
      </c>
      <c r="X86" s="17">
        <v>86348.999999999985</v>
      </c>
      <c r="Y86" s="17">
        <v>86437.5</v>
      </c>
      <c r="Z86" s="17">
        <v>86733.499999999985</v>
      </c>
      <c r="AA86" s="17">
        <v>87086.5</v>
      </c>
      <c r="AB86" s="17">
        <v>87308.5</v>
      </c>
      <c r="AC86" s="17">
        <v>87486.5</v>
      </c>
      <c r="AD86" s="17">
        <v>87647</v>
      </c>
      <c r="AE86" s="17">
        <v>87647.5</v>
      </c>
      <c r="AF86" s="17">
        <v>87458.000000000015</v>
      </c>
    </row>
    <row r="87" spans="1:32" x14ac:dyDescent="0.25">
      <c r="A87" t="s">
        <v>36</v>
      </c>
      <c r="B87" s="17">
        <v>261842742.5</v>
      </c>
      <c r="C87" s="17">
        <v>267617544.99999997</v>
      </c>
      <c r="D87" s="17">
        <v>273372849.5</v>
      </c>
      <c r="E87" s="17">
        <v>279036787.5</v>
      </c>
      <c r="F87" s="17">
        <v>284656017.5</v>
      </c>
      <c r="G87" s="17">
        <v>290129501.5</v>
      </c>
      <c r="H87" s="17">
        <v>295452102.50000006</v>
      </c>
      <c r="I87" s="17">
        <v>300704510</v>
      </c>
      <c r="J87" s="17">
        <v>305850801.49999994</v>
      </c>
      <c r="K87" s="17">
        <v>310929898.49999994</v>
      </c>
      <c r="L87" s="17">
        <v>316053799.49999994</v>
      </c>
      <c r="M87" s="17">
        <v>321206764.50000006</v>
      </c>
      <c r="N87" s="17">
        <v>326314137.5</v>
      </c>
      <c r="O87" s="17">
        <v>331353040</v>
      </c>
      <c r="P87" s="17">
        <v>336299248</v>
      </c>
      <c r="Q87" s="17">
        <v>341191494</v>
      </c>
      <c r="R87" s="17">
        <v>346212309.50000006</v>
      </c>
      <c r="S87" s="17">
        <v>351215275.5</v>
      </c>
      <c r="T87" s="17">
        <v>355874232.99999994</v>
      </c>
      <c r="U87" s="17">
        <v>360234958</v>
      </c>
      <c r="V87" s="17">
        <v>364459974.49999994</v>
      </c>
      <c r="W87" s="17">
        <v>368336617.5</v>
      </c>
      <c r="X87" s="17">
        <v>371780785.49999994</v>
      </c>
      <c r="Y87" s="17">
        <v>375107367.5</v>
      </c>
      <c r="Z87" s="17">
        <v>378361069.99999994</v>
      </c>
      <c r="AA87" s="17">
        <v>381462878.50000006</v>
      </c>
      <c r="AB87" s="17">
        <v>384360469</v>
      </c>
      <c r="AC87" s="17">
        <v>387053373.5</v>
      </c>
      <c r="AD87" s="17">
        <v>389554273.49999994</v>
      </c>
      <c r="AE87" s="17">
        <v>391656407</v>
      </c>
      <c r="AF87" s="17">
        <v>393345958</v>
      </c>
    </row>
    <row r="88" spans="1:32" x14ac:dyDescent="0.25">
      <c r="A88" t="s">
        <v>37</v>
      </c>
      <c r="B88" s="17">
        <v>57701934.499999993</v>
      </c>
      <c r="C88" s="17">
        <v>58764178.5</v>
      </c>
      <c r="D88" s="17">
        <v>59759059</v>
      </c>
      <c r="E88" s="17">
        <v>60708846.000000007</v>
      </c>
      <c r="F88" s="17">
        <v>61588486.500000007</v>
      </c>
      <c r="G88" s="17">
        <v>62401419.000000007</v>
      </c>
      <c r="H88" s="17">
        <v>63192931.500000007</v>
      </c>
      <c r="I88" s="17">
        <v>63942063.500000007</v>
      </c>
      <c r="J88" s="17">
        <v>64632225.499999993</v>
      </c>
      <c r="K88" s="17">
        <v>65290900.499999993</v>
      </c>
      <c r="L88" s="17">
        <v>65927748.999999993</v>
      </c>
      <c r="M88" s="17">
        <v>66546872.999999993</v>
      </c>
      <c r="N88" s="17">
        <v>67153518</v>
      </c>
      <c r="O88" s="17">
        <v>67728012.5</v>
      </c>
      <c r="P88" s="17">
        <v>68244070</v>
      </c>
      <c r="Q88" s="17">
        <v>68707317.5</v>
      </c>
      <c r="R88" s="17">
        <v>69131410</v>
      </c>
      <c r="S88" s="17">
        <v>69516921</v>
      </c>
      <c r="T88" s="17">
        <v>69876782.5</v>
      </c>
      <c r="U88" s="17">
        <v>70220394.500000015</v>
      </c>
      <c r="V88" s="17">
        <v>70558054.5</v>
      </c>
      <c r="W88" s="17">
        <v>70900049</v>
      </c>
      <c r="X88" s="17">
        <v>71255239.500000015</v>
      </c>
      <c r="Y88" s="17">
        <v>71624179</v>
      </c>
      <c r="Z88" s="17">
        <v>71988046.999999985</v>
      </c>
      <c r="AA88" s="17">
        <v>72332811.500000015</v>
      </c>
      <c r="AB88" s="17">
        <v>72682661</v>
      </c>
      <c r="AC88" s="17">
        <v>73040510.5</v>
      </c>
      <c r="AD88" s="17">
        <v>73350018</v>
      </c>
      <c r="AE88" s="17">
        <v>73595440.999999985</v>
      </c>
      <c r="AF88" s="17">
        <v>73790451</v>
      </c>
    </row>
    <row r="89" spans="1:32" x14ac:dyDescent="0.25">
      <c r="A89" t="s">
        <v>665</v>
      </c>
      <c r="B89" s="17">
        <v>17537952.5</v>
      </c>
      <c r="C89" s="17">
        <v>18317139</v>
      </c>
      <c r="D89" s="17">
        <v>18876280</v>
      </c>
      <c r="E89" s="17">
        <v>19373407.499999996</v>
      </c>
      <c r="F89" s="17">
        <v>20008893.000000004</v>
      </c>
      <c r="G89" s="17">
        <v>20613173.000000004</v>
      </c>
      <c r="H89" s="17">
        <v>21177362</v>
      </c>
      <c r="I89" s="17">
        <v>21674355.499999996</v>
      </c>
      <c r="J89" s="17">
        <v>22082038</v>
      </c>
      <c r="K89" s="17">
        <v>22396540.500000004</v>
      </c>
      <c r="L89" s="17">
        <v>22636809.500000004</v>
      </c>
      <c r="M89" s="17">
        <v>22781259.499999996</v>
      </c>
      <c r="N89" s="17">
        <v>22871500</v>
      </c>
      <c r="O89" s="17">
        <v>22972862.999999996</v>
      </c>
      <c r="P89" s="17">
        <v>23138677.999999996</v>
      </c>
      <c r="Q89" s="17">
        <v>23382738.5</v>
      </c>
      <c r="R89" s="17">
        <v>23550664.000000004</v>
      </c>
      <c r="S89" s="17">
        <v>23633725</v>
      </c>
      <c r="T89" s="17">
        <v>23694662.5</v>
      </c>
      <c r="U89" s="17">
        <v>23732486.500000004</v>
      </c>
      <c r="V89" s="17">
        <v>23740979.000000004</v>
      </c>
      <c r="W89" s="17">
        <v>23760450</v>
      </c>
      <c r="X89" s="17">
        <v>23820653.5</v>
      </c>
      <c r="Y89" s="17">
        <v>23883278.000000004</v>
      </c>
      <c r="Z89" s="17">
        <v>23945424.499999996</v>
      </c>
      <c r="AA89" s="17">
        <v>24001176.5</v>
      </c>
      <c r="AB89" s="17">
        <v>24043914</v>
      </c>
      <c r="AC89" s="17">
        <v>24085932.999999993</v>
      </c>
      <c r="AD89" s="17">
        <v>24127018</v>
      </c>
      <c r="AE89" s="17">
        <v>24148252.5</v>
      </c>
      <c r="AF89" s="17">
        <v>24134971.5</v>
      </c>
    </row>
    <row r="90" spans="1:32" x14ac:dyDescent="0.25">
      <c r="A90" t="s">
        <v>38</v>
      </c>
      <c r="B90" s="17">
        <v>5844353.9999999991</v>
      </c>
      <c r="C90" s="17">
        <v>6045954.5</v>
      </c>
      <c r="D90" s="17">
        <v>6251642.5000000009</v>
      </c>
      <c r="E90" s="17">
        <v>6453986.5000000009</v>
      </c>
      <c r="F90" s="17">
        <v>6656536</v>
      </c>
      <c r="G90" s="17">
        <v>6883715</v>
      </c>
      <c r="H90" s="17">
        <v>6972999.0000000009</v>
      </c>
      <c r="I90" s="17">
        <v>6967547.5000000009</v>
      </c>
      <c r="J90" s="17">
        <v>7163986.5</v>
      </c>
      <c r="K90" s="17">
        <v>7475509.9999999991</v>
      </c>
      <c r="L90" s="17">
        <v>7752865.5000000009</v>
      </c>
      <c r="M90" s="17">
        <v>8049917</v>
      </c>
      <c r="N90" s="17">
        <v>8420643.5</v>
      </c>
      <c r="O90" s="17">
        <v>8816781.5</v>
      </c>
      <c r="P90" s="17">
        <v>9127232</v>
      </c>
      <c r="Q90" s="17">
        <v>9378505.0000000019</v>
      </c>
      <c r="R90" s="17">
        <v>9620928</v>
      </c>
      <c r="S90" s="17">
        <v>9865365.5</v>
      </c>
      <c r="T90" s="17">
        <v>10120076</v>
      </c>
      <c r="U90" s="17">
        <v>10375296.5</v>
      </c>
      <c r="V90" s="17">
        <v>10639793</v>
      </c>
      <c r="W90" s="17">
        <v>10902330</v>
      </c>
      <c r="X90" s="17">
        <v>11161170</v>
      </c>
      <c r="Y90" s="17">
        <v>11432530</v>
      </c>
      <c r="Z90" s="17">
        <v>11712788.5</v>
      </c>
      <c r="AA90" s="17">
        <v>12008347.5</v>
      </c>
      <c r="AB90" s="17">
        <v>12325499.5</v>
      </c>
      <c r="AC90" s="17">
        <v>12657314.5</v>
      </c>
      <c r="AD90" s="17">
        <v>12991164</v>
      </c>
      <c r="AE90" s="17">
        <v>13323781.5</v>
      </c>
      <c r="AF90" s="17">
        <v>13647706</v>
      </c>
    </row>
    <row r="91" spans="1:32" x14ac:dyDescent="0.25">
      <c r="A91" t="s">
        <v>198</v>
      </c>
      <c r="B91" s="17">
        <v>985784.5</v>
      </c>
      <c r="C91" s="17">
        <v>1005102</v>
      </c>
      <c r="D91" s="17">
        <v>1025656</v>
      </c>
      <c r="E91" s="17">
        <v>1042569</v>
      </c>
      <c r="F91" s="17">
        <v>1059782.5</v>
      </c>
      <c r="G91" s="17">
        <v>1082861.5</v>
      </c>
      <c r="H91" s="17">
        <v>1116681.5</v>
      </c>
      <c r="I91" s="17">
        <v>1154523</v>
      </c>
      <c r="J91" s="17">
        <v>1177938.5000000002</v>
      </c>
      <c r="K91" s="17">
        <v>1180870.5000000002</v>
      </c>
      <c r="L91" s="17">
        <v>1171769.4999999998</v>
      </c>
      <c r="M91" s="17">
        <v>1161200.5</v>
      </c>
      <c r="N91" s="17">
        <v>1152688.5</v>
      </c>
      <c r="O91" s="17">
        <v>1146982</v>
      </c>
      <c r="P91" s="17">
        <v>1146250</v>
      </c>
      <c r="Q91" s="17">
        <v>1149096.5</v>
      </c>
      <c r="R91" s="17">
        <v>1154572.5</v>
      </c>
      <c r="S91" s="17">
        <v>1163631.5</v>
      </c>
      <c r="T91" s="17">
        <v>1175383.5000000002</v>
      </c>
      <c r="U91" s="17">
        <v>1186745.5</v>
      </c>
      <c r="V91" s="17">
        <v>1193312</v>
      </c>
      <c r="W91" s="17">
        <v>1196296</v>
      </c>
      <c r="X91" s="17">
        <v>1198943.5</v>
      </c>
      <c r="Y91" s="17">
        <v>1201158</v>
      </c>
      <c r="Z91" s="17">
        <v>1203168</v>
      </c>
      <c r="AA91" s="17">
        <v>1204648.5</v>
      </c>
      <c r="AB91" s="17">
        <v>1205517</v>
      </c>
      <c r="AC91" s="17">
        <v>1205123.5</v>
      </c>
      <c r="AD91" s="17">
        <v>1202581</v>
      </c>
      <c r="AE91" s="17">
        <v>1197158</v>
      </c>
      <c r="AF91" s="17">
        <v>1189591.9999999998</v>
      </c>
    </row>
    <row r="92" spans="1:32" x14ac:dyDescent="0.25">
      <c r="A92" t="s">
        <v>199</v>
      </c>
      <c r="B92" s="17">
        <v>1533493.5</v>
      </c>
      <c r="C92" s="17">
        <v>1557890.5</v>
      </c>
      <c r="D92" s="17">
        <v>1580154.0000000002</v>
      </c>
      <c r="E92" s="17">
        <v>1601899.5</v>
      </c>
      <c r="F92" s="17">
        <v>1624822.5</v>
      </c>
      <c r="G92" s="17">
        <v>1647692.5</v>
      </c>
      <c r="H92" s="17">
        <v>1670429.5</v>
      </c>
      <c r="I92" s="17">
        <v>1692511</v>
      </c>
      <c r="J92" s="17">
        <v>1713367.0000000002</v>
      </c>
      <c r="K92" s="17">
        <v>1733442.0000000002</v>
      </c>
      <c r="L92" s="17">
        <v>1752569</v>
      </c>
      <c r="M92" s="17">
        <v>1774036.4999999998</v>
      </c>
      <c r="N92" s="17">
        <v>1798264</v>
      </c>
      <c r="O92" s="17">
        <v>1824270</v>
      </c>
      <c r="P92" s="17">
        <v>1851468.9999999998</v>
      </c>
      <c r="Q92" s="17">
        <v>1878761</v>
      </c>
      <c r="R92" s="17">
        <v>1906928</v>
      </c>
      <c r="S92" s="17">
        <v>1937206.5</v>
      </c>
      <c r="T92" s="17">
        <v>1969607.5</v>
      </c>
      <c r="U92" s="17">
        <v>2001321.5000000002</v>
      </c>
      <c r="V92" s="17">
        <v>2030326</v>
      </c>
      <c r="W92" s="17">
        <v>2057174.5</v>
      </c>
      <c r="X92" s="17">
        <v>2083576</v>
      </c>
      <c r="Y92" s="17">
        <v>2109910</v>
      </c>
      <c r="Z92" s="17">
        <v>2135297.5</v>
      </c>
      <c r="AA92" s="17">
        <v>2161680.4999999995</v>
      </c>
      <c r="AB92" s="17">
        <v>2189264.5</v>
      </c>
      <c r="AC92" s="17">
        <v>2218033.5</v>
      </c>
      <c r="AD92" s="17">
        <v>2248808.9999999995</v>
      </c>
      <c r="AE92" s="17">
        <v>2280106</v>
      </c>
      <c r="AF92" s="17">
        <v>2313603.5</v>
      </c>
    </row>
    <row r="93" spans="1:32" x14ac:dyDescent="0.25">
      <c r="A93" t="s">
        <v>200</v>
      </c>
      <c r="B93" s="17">
        <v>13849484</v>
      </c>
      <c r="C93" s="17">
        <v>13766751.5</v>
      </c>
      <c r="D93" s="17">
        <v>13706933</v>
      </c>
      <c r="E93" s="17">
        <v>13728838.499999998</v>
      </c>
      <c r="F93" s="17">
        <v>13787813</v>
      </c>
      <c r="G93" s="17">
        <v>13793534</v>
      </c>
      <c r="H93" s="17">
        <v>13764714.499999998</v>
      </c>
      <c r="I93" s="17">
        <v>13788924</v>
      </c>
      <c r="J93" s="17">
        <v>13849301</v>
      </c>
      <c r="K93" s="17">
        <v>13847704.000000002</v>
      </c>
      <c r="L93" s="17">
        <v>13805424</v>
      </c>
      <c r="M93" s="17">
        <v>13733418.5</v>
      </c>
      <c r="N93" s="17">
        <v>13633666.5</v>
      </c>
      <c r="O93" s="17">
        <v>13511131.000000002</v>
      </c>
      <c r="P93" s="17">
        <v>13334923.5</v>
      </c>
      <c r="Q93" s="17">
        <v>13126542.500000002</v>
      </c>
      <c r="R93" s="17">
        <v>12916143.5</v>
      </c>
      <c r="S93" s="17">
        <v>12705941</v>
      </c>
      <c r="T93" s="17">
        <v>12505066</v>
      </c>
      <c r="U93" s="17">
        <v>12308717.499999998</v>
      </c>
      <c r="V93" s="17">
        <v>12109536.499999998</v>
      </c>
      <c r="W93" s="17">
        <v>11908372</v>
      </c>
      <c r="X93" s="17">
        <v>11716301</v>
      </c>
      <c r="Y93" s="17">
        <v>11537194</v>
      </c>
      <c r="Z93" s="17">
        <v>11358614.5</v>
      </c>
      <c r="AA93" s="17">
        <v>11184818</v>
      </c>
      <c r="AB93" s="17">
        <v>11025093.499999998</v>
      </c>
      <c r="AC93" s="17">
        <v>10879555</v>
      </c>
      <c r="AD93" s="17">
        <v>10743024</v>
      </c>
      <c r="AE93" s="17">
        <v>10616070</v>
      </c>
      <c r="AF93" s="17">
        <v>10500153.5</v>
      </c>
    </row>
    <row r="94" spans="1:32" x14ac:dyDescent="0.25">
      <c r="A94" t="s">
        <v>201</v>
      </c>
      <c r="B94" s="17">
        <v>693960.5</v>
      </c>
      <c r="C94" s="17">
        <v>704606.50000000012</v>
      </c>
      <c r="D94" s="17">
        <v>714907.99999999988</v>
      </c>
      <c r="E94" s="17">
        <v>724811.99999999988</v>
      </c>
      <c r="F94" s="17">
        <v>733898.49999999988</v>
      </c>
      <c r="G94" s="17">
        <v>741735.50000000012</v>
      </c>
      <c r="H94" s="17">
        <v>748764.99999999988</v>
      </c>
      <c r="I94" s="17">
        <v>755717</v>
      </c>
      <c r="J94" s="17">
        <v>762249.50000000012</v>
      </c>
      <c r="K94" s="17">
        <v>768621.5</v>
      </c>
      <c r="L94" s="17">
        <v>774468.5</v>
      </c>
      <c r="M94" s="17">
        <v>779456</v>
      </c>
      <c r="N94" s="17">
        <v>784700.49999999988</v>
      </c>
      <c r="O94" s="17">
        <v>789908</v>
      </c>
      <c r="P94" s="17">
        <v>793547.5</v>
      </c>
      <c r="Q94" s="17">
        <v>794723.5</v>
      </c>
      <c r="R94" s="17">
        <v>794208.5</v>
      </c>
      <c r="S94" s="17">
        <v>793261.50000000012</v>
      </c>
      <c r="T94" s="17">
        <v>792249.5</v>
      </c>
      <c r="U94" s="17">
        <v>791417.99999999988</v>
      </c>
      <c r="V94" s="17">
        <v>792877.00000000012</v>
      </c>
      <c r="W94" s="17">
        <v>795300</v>
      </c>
      <c r="X94" s="17">
        <v>794607.50000000012</v>
      </c>
      <c r="Y94" s="17">
        <v>792152.99999999988</v>
      </c>
      <c r="Z94" s="17">
        <v>789867</v>
      </c>
      <c r="AA94" s="17">
        <v>787002.99999999988</v>
      </c>
      <c r="AB94" s="17">
        <v>783691.49999999988</v>
      </c>
      <c r="AC94" s="17">
        <v>780026.5</v>
      </c>
      <c r="AD94" s="17">
        <v>775375</v>
      </c>
      <c r="AE94" s="17">
        <v>769598.5</v>
      </c>
      <c r="AF94" s="17">
        <v>762985.5</v>
      </c>
    </row>
    <row r="95" spans="1:32" x14ac:dyDescent="0.25">
      <c r="A95" t="s">
        <v>202</v>
      </c>
      <c r="B95" s="17">
        <v>29018867.5</v>
      </c>
      <c r="C95" s="17">
        <v>28694592.5</v>
      </c>
      <c r="D95" s="17">
        <v>28421453.499999996</v>
      </c>
      <c r="E95" s="17">
        <v>28199117.000000004</v>
      </c>
      <c r="F95" s="17">
        <v>28001034</v>
      </c>
      <c r="G95" s="17">
        <v>27798383</v>
      </c>
      <c r="H95" s="17">
        <v>27607657</v>
      </c>
      <c r="I95" s="17">
        <v>27450557.500000004</v>
      </c>
      <c r="J95" s="17">
        <v>27286297</v>
      </c>
      <c r="K95" s="17">
        <v>27112995.5</v>
      </c>
      <c r="L95" s="17">
        <v>26943709</v>
      </c>
      <c r="M95" s="17">
        <v>26764482.5</v>
      </c>
      <c r="N95" s="17">
        <v>26575581.000000004</v>
      </c>
      <c r="O95" s="17">
        <v>26364659</v>
      </c>
      <c r="P95" s="17">
        <v>26119420.500000004</v>
      </c>
      <c r="Q95" s="17">
        <v>25849882.5</v>
      </c>
      <c r="R95" s="17">
        <v>25656179.5</v>
      </c>
      <c r="S95" s="17">
        <v>25416343.5</v>
      </c>
      <c r="T95" s="17">
        <v>25059738.5</v>
      </c>
      <c r="U95" s="17">
        <v>24705800.000000004</v>
      </c>
      <c r="V95" s="17">
        <v>24346728.5</v>
      </c>
      <c r="W95" s="17">
        <v>23978945.5</v>
      </c>
      <c r="X95" s="17">
        <v>23589567.5</v>
      </c>
      <c r="Y95" s="17">
        <v>23172313.000000004</v>
      </c>
      <c r="Z95" s="17">
        <v>22749919.5</v>
      </c>
      <c r="AA95" s="17">
        <v>22361152</v>
      </c>
      <c r="AB95" s="17">
        <v>22012542.999999996</v>
      </c>
      <c r="AC95" s="17">
        <v>21695651</v>
      </c>
      <c r="AD95" s="17">
        <v>21406384.5</v>
      </c>
      <c r="AE95" s="17">
        <v>21139325.5</v>
      </c>
      <c r="AF95" s="17">
        <v>20895031</v>
      </c>
    </row>
    <row r="96" spans="1:32" x14ac:dyDescent="0.25">
      <c r="A96" t="s">
        <v>203</v>
      </c>
      <c r="B96" s="17">
        <v>1209281.5</v>
      </c>
      <c r="C96" s="17">
        <v>1242552</v>
      </c>
      <c r="D96" s="17">
        <v>1277582.5</v>
      </c>
      <c r="E96" s="17">
        <v>1314580</v>
      </c>
      <c r="F96" s="17">
        <v>1355507.5</v>
      </c>
      <c r="G96" s="17">
        <v>1398467.5000000002</v>
      </c>
      <c r="H96" s="17">
        <v>1503044.5</v>
      </c>
      <c r="I96" s="17">
        <v>1608171.9999999998</v>
      </c>
      <c r="J96" s="17">
        <v>1654565.9999999998</v>
      </c>
      <c r="K96" s="17">
        <v>1698380</v>
      </c>
      <c r="L96" s="17">
        <v>1743395.4999999998</v>
      </c>
      <c r="M96" s="17">
        <v>1795149</v>
      </c>
      <c r="N96" s="17">
        <v>1826346.4999999995</v>
      </c>
      <c r="O96" s="17">
        <v>1946810</v>
      </c>
      <c r="P96" s="17">
        <v>2180454.5000000005</v>
      </c>
      <c r="Q96" s="17">
        <v>2387605.5</v>
      </c>
      <c r="R96" s="17">
        <v>2509304.5</v>
      </c>
      <c r="S96" s="17">
        <v>2574360</v>
      </c>
      <c r="T96" s="17">
        <v>2638782</v>
      </c>
      <c r="U96" s="17">
        <v>2702976.5</v>
      </c>
      <c r="V96" s="17">
        <v>2765934.5000000005</v>
      </c>
      <c r="W96" s="17">
        <v>2828104.5</v>
      </c>
      <c r="X96" s="17">
        <v>2873789.5</v>
      </c>
      <c r="Y96" s="17">
        <v>2900962</v>
      </c>
      <c r="Z96" s="17">
        <v>2926003</v>
      </c>
      <c r="AA96" s="17">
        <v>2953049</v>
      </c>
      <c r="AB96" s="17">
        <v>2982240</v>
      </c>
      <c r="AC96" s="17">
        <v>3010946</v>
      </c>
      <c r="AD96" s="17">
        <v>3038453.9999999995</v>
      </c>
      <c r="AE96" s="17">
        <v>3067923</v>
      </c>
      <c r="AF96" s="17">
        <v>3097873.5</v>
      </c>
    </row>
    <row r="97" spans="1:32" x14ac:dyDescent="0.25">
      <c r="A97" t="s">
        <v>204</v>
      </c>
      <c r="B97" s="17">
        <v>4214686.5000000009</v>
      </c>
      <c r="C97" s="17">
        <v>4261872.4999999991</v>
      </c>
      <c r="D97" s="17">
        <v>4317447</v>
      </c>
      <c r="E97" s="17">
        <v>4377601</v>
      </c>
      <c r="F97" s="17">
        <v>4436386</v>
      </c>
      <c r="G97" s="17">
        <v>4492143.5</v>
      </c>
      <c r="H97" s="17">
        <v>4545868.5000000009</v>
      </c>
      <c r="I97" s="17">
        <v>4588948</v>
      </c>
      <c r="J97" s="17">
        <v>4615376.9999999991</v>
      </c>
      <c r="K97" s="17">
        <v>4631422.5</v>
      </c>
      <c r="L97" s="17">
        <v>4642550</v>
      </c>
      <c r="M97" s="17">
        <v>4645836</v>
      </c>
      <c r="N97" s="17">
        <v>4639927.5</v>
      </c>
      <c r="O97" s="17">
        <v>4631566.5</v>
      </c>
      <c r="P97" s="17">
        <v>4622307.5</v>
      </c>
      <c r="Q97" s="17">
        <v>4612307.0000000009</v>
      </c>
      <c r="R97" s="17">
        <v>4604883.0000000009</v>
      </c>
      <c r="S97" s="17">
        <v>4599759</v>
      </c>
      <c r="T97" s="17">
        <v>4594785.5</v>
      </c>
      <c r="U97" s="17">
        <v>4591771</v>
      </c>
      <c r="V97" s="17">
        <v>4599037</v>
      </c>
      <c r="W97" s="17">
        <v>4617275</v>
      </c>
      <c r="X97" s="17">
        <v>4646849.4999999991</v>
      </c>
      <c r="Y97" s="17">
        <v>4689644.5</v>
      </c>
      <c r="Z97" s="17">
        <v>4738846</v>
      </c>
      <c r="AA97" s="17">
        <v>4790124.5</v>
      </c>
      <c r="AB97" s="17">
        <v>4842448</v>
      </c>
      <c r="AC97" s="17">
        <v>4896443.9999999991</v>
      </c>
      <c r="AD97" s="17">
        <v>4951595.5</v>
      </c>
      <c r="AE97" s="17">
        <v>5010026.5</v>
      </c>
      <c r="AF97" s="17">
        <v>5071225.5</v>
      </c>
    </row>
    <row r="98" spans="1:32" x14ac:dyDescent="0.25">
      <c r="A98" t="s">
        <v>39</v>
      </c>
      <c r="B98" s="17">
        <v>7329041.9999999991</v>
      </c>
      <c r="C98" s="17">
        <v>7628501.0000000009</v>
      </c>
      <c r="D98" s="17">
        <v>7933178.5</v>
      </c>
      <c r="E98" s="17">
        <v>8233566.5000000009</v>
      </c>
      <c r="F98" s="17">
        <v>8539009</v>
      </c>
      <c r="G98" s="17">
        <v>8840669</v>
      </c>
      <c r="H98" s="17">
        <v>9138359</v>
      </c>
      <c r="I98" s="17">
        <v>9431202.5000000019</v>
      </c>
      <c r="J98" s="17">
        <v>9726981.5000000019</v>
      </c>
      <c r="K98" s="17">
        <v>10030862.499999998</v>
      </c>
      <c r="L98" s="17">
        <v>10325210.000000002</v>
      </c>
      <c r="M98" s="17">
        <v>10607486.5</v>
      </c>
      <c r="N98" s="17">
        <v>10888174.5</v>
      </c>
      <c r="O98" s="17">
        <v>11173259</v>
      </c>
      <c r="P98" s="17">
        <v>11461633</v>
      </c>
      <c r="Q98" s="17">
        <v>11751366.5</v>
      </c>
      <c r="R98" s="17">
        <v>12058661.5</v>
      </c>
      <c r="S98" s="17">
        <v>12382495</v>
      </c>
      <c r="T98" s="17">
        <v>12699290.500000002</v>
      </c>
      <c r="U98" s="17">
        <v>13028497.5</v>
      </c>
      <c r="V98" s="17">
        <v>13388164</v>
      </c>
      <c r="W98" s="17">
        <v>13757981.500000002</v>
      </c>
      <c r="X98" s="17">
        <v>14142083.999999998</v>
      </c>
      <c r="Y98" s="17">
        <v>14547161.499999998</v>
      </c>
      <c r="Z98" s="17">
        <v>14955834.999999998</v>
      </c>
      <c r="AA98" s="17">
        <v>15356366.999999998</v>
      </c>
      <c r="AB98" s="17">
        <v>15742110.5</v>
      </c>
      <c r="AC98" s="17">
        <v>16114136</v>
      </c>
      <c r="AD98" s="17">
        <v>16472705.000000002</v>
      </c>
      <c r="AE98" s="17">
        <v>16817658.5</v>
      </c>
      <c r="AF98" s="17">
        <v>17155694.499999996</v>
      </c>
    </row>
    <row r="99" spans="1:32" x14ac:dyDescent="0.25">
      <c r="A99" t="s">
        <v>205</v>
      </c>
      <c r="B99" s="17">
        <v>22392.999999999996</v>
      </c>
      <c r="C99" s="17">
        <v>22963.5</v>
      </c>
      <c r="D99" s="17">
        <v>23575.5</v>
      </c>
      <c r="E99" s="17">
        <v>24215.499999999996</v>
      </c>
      <c r="F99" s="17">
        <v>24852.5</v>
      </c>
      <c r="G99" s="17">
        <v>25470.499999999996</v>
      </c>
      <c r="H99" s="17">
        <v>26132</v>
      </c>
      <c r="I99" s="17">
        <v>26840.500000000004</v>
      </c>
      <c r="J99" s="17">
        <v>27529.999999999996</v>
      </c>
      <c r="K99" s="17">
        <v>28214.5</v>
      </c>
      <c r="L99" s="17">
        <v>28917.999999999996</v>
      </c>
      <c r="M99" s="17">
        <v>29529</v>
      </c>
      <c r="N99" s="17">
        <v>30010.499999999996</v>
      </c>
      <c r="O99" s="17">
        <v>30459.500000000004</v>
      </c>
      <c r="P99" s="17">
        <v>30866.500000000004</v>
      </c>
      <c r="Q99" s="17">
        <v>31228.5</v>
      </c>
      <c r="R99" s="17">
        <v>31552.500000000004</v>
      </c>
      <c r="S99" s="17">
        <v>31837</v>
      </c>
      <c r="T99" s="17">
        <v>32102.999999999993</v>
      </c>
      <c r="U99" s="17">
        <v>32408</v>
      </c>
      <c r="V99" s="17">
        <v>32824</v>
      </c>
      <c r="W99" s="17">
        <v>33349.5</v>
      </c>
      <c r="X99" s="17">
        <v>33901.5</v>
      </c>
      <c r="Y99" s="17">
        <v>34467.5</v>
      </c>
      <c r="Z99" s="17">
        <v>35081</v>
      </c>
      <c r="AA99" s="17">
        <v>35725</v>
      </c>
      <c r="AB99" s="17">
        <v>36388.999999999993</v>
      </c>
      <c r="AC99" s="17">
        <v>37057</v>
      </c>
      <c r="AD99" s="17">
        <v>37714.000000000007</v>
      </c>
      <c r="AE99" s="17">
        <v>38337.5</v>
      </c>
      <c r="AF99" s="17">
        <v>38932</v>
      </c>
    </row>
    <row r="100" spans="1:32" x14ac:dyDescent="0.25">
      <c r="A100" t="s">
        <v>206</v>
      </c>
      <c r="B100" s="17">
        <v>473972.49999999994</v>
      </c>
      <c r="C100" s="17">
        <v>492142.50000000006</v>
      </c>
      <c r="D100" s="17">
        <v>509776.49999999994</v>
      </c>
      <c r="E100" s="17">
        <v>526487.00000000012</v>
      </c>
      <c r="F100" s="17">
        <v>542100.5</v>
      </c>
      <c r="G100" s="17">
        <v>569817</v>
      </c>
      <c r="H100" s="17">
        <v>615973.5</v>
      </c>
      <c r="I100" s="17">
        <v>667776.5</v>
      </c>
      <c r="J100" s="17">
        <v>719564.00000000012</v>
      </c>
      <c r="K100" s="17">
        <v>771545.50000000012</v>
      </c>
      <c r="L100" s="17">
        <v>823631.5</v>
      </c>
      <c r="M100" s="17">
        <v>880782.5</v>
      </c>
      <c r="N100" s="17">
        <v>942422</v>
      </c>
      <c r="O100" s="17">
        <v>1002784</v>
      </c>
      <c r="P100" s="17">
        <v>1008711.5</v>
      </c>
      <c r="Q100" s="17">
        <v>980329.00000000012</v>
      </c>
      <c r="R100" s="17">
        <v>973844</v>
      </c>
      <c r="S100" s="17">
        <v>978498.5</v>
      </c>
      <c r="T100" s="17">
        <v>991145.5</v>
      </c>
      <c r="U100" s="17">
        <v>1000927.0000000001</v>
      </c>
      <c r="V100" s="17">
        <v>965531.5</v>
      </c>
      <c r="W100" s="17">
        <v>917335</v>
      </c>
      <c r="X100" s="17">
        <v>906079.5</v>
      </c>
      <c r="Y100" s="17">
        <v>901787</v>
      </c>
      <c r="Z100" s="17">
        <v>898142.49999999988</v>
      </c>
      <c r="AA100" s="17">
        <v>895698.50000000012</v>
      </c>
      <c r="AB100" s="17">
        <v>894406</v>
      </c>
      <c r="AC100" s="17">
        <v>893584.49999999988</v>
      </c>
      <c r="AD100" s="17">
        <v>892502</v>
      </c>
      <c r="AE100" s="17">
        <v>890395.5</v>
      </c>
      <c r="AF100" s="17">
        <v>886592.49999999988</v>
      </c>
    </row>
    <row r="101" spans="1:32" x14ac:dyDescent="0.25">
      <c r="A101" t="s">
        <v>2018</v>
      </c>
      <c r="B101" s="17">
        <v>1306525</v>
      </c>
      <c r="C101" s="17">
        <v>1337358.5</v>
      </c>
      <c r="D101" s="17">
        <v>1369287</v>
      </c>
      <c r="E101" s="17">
        <v>1402783.9999999998</v>
      </c>
      <c r="F101" s="17">
        <v>1436352.5</v>
      </c>
      <c r="G101" s="17">
        <v>1466220.5</v>
      </c>
      <c r="H101" s="17">
        <v>1491927.0000000002</v>
      </c>
      <c r="I101" s="17">
        <v>1511226.5000000002</v>
      </c>
      <c r="J101" s="17">
        <v>1525831.4999999998</v>
      </c>
      <c r="K101" s="17">
        <v>1540491.5</v>
      </c>
      <c r="L101" s="17">
        <v>1550617.5</v>
      </c>
      <c r="M101" s="17">
        <v>1555743.5</v>
      </c>
      <c r="N101" s="17">
        <v>1560020</v>
      </c>
      <c r="O101" s="17">
        <v>1564546.5000000002</v>
      </c>
      <c r="P101" s="17">
        <v>1570318.0000000002</v>
      </c>
      <c r="Q101" s="17">
        <v>1576979.5000000005</v>
      </c>
      <c r="R101" s="17">
        <v>1585083.9999999995</v>
      </c>
      <c r="S101" s="17">
        <v>1594600.4999999998</v>
      </c>
      <c r="T101" s="17">
        <v>1604266.5</v>
      </c>
      <c r="U101" s="17">
        <v>1614608.0000000002</v>
      </c>
      <c r="V101" s="17">
        <v>1629498</v>
      </c>
      <c r="W101" s="17">
        <v>1648366</v>
      </c>
      <c r="X101" s="17">
        <v>1668947</v>
      </c>
      <c r="Y101" s="17">
        <v>1692541</v>
      </c>
      <c r="Z101" s="17">
        <v>1719495.0000000002</v>
      </c>
      <c r="AA101" s="17">
        <v>1750091.5</v>
      </c>
      <c r="AB101" s="17">
        <v>1783281</v>
      </c>
      <c r="AC101" s="17">
        <v>1818843.5</v>
      </c>
      <c r="AD101" s="17">
        <v>1856078.5</v>
      </c>
      <c r="AE101" s="17">
        <v>1893869.5</v>
      </c>
      <c r="AF101" s="17">
        <v>1931580.5</v>
      </c>
    </row>
    <row r="102" spans="1:32" x14ac:dyDescent="0.25">
      <c r="A102" t="s">
        <v>41</v>
      </c>
      <c r="B102" s="17">
        <v>1267544.5</v>
      </c>
      <c r="C102" s="17">
        <v>1299876</v>
      </c>
      <c r="D102" s="17">
        <v>1333630.5000000002</v>
      </c>
      <c r="E102" s="17">
        <v>1368522.5</v>
      </c>
      <c r="F102" s="17">
        <v>1404099.5</v>
      </c>
      <c r="G102" s="17">
        <v>1442423.4999999998</v>
      </c>
      <c r="H102" s="17">
        <v>1483562</v>
      </c>
      <c r="I102" s="17">
        <v>1524360</v>
      </c>
      <c r="J102" s="17">
        <v>1563763.5</v>
      </c>
      <c r="K102" s="17">
        <v>1601096.9999999998</v>
      </c>
      <c r="L102" s="17">
        <v>1636391</v>
      </c>
      <c r="M102" s="17">
        <v>1670016.5000000002</v>
      </c>
      <c r="N102" s="17">
        <v>1702078.5</v>
      </c>
      <c r="O102" s="17">
        <v>1733284.5</v>
      </c>
      <c r="P102" s="17">
        <v>1764099.5</v>
      </c>
      <c r="Q102" s="17">
        <v>1797094.5</v>
      </c>
      <c r="R102" s="17">
        <v>1832254.5000000002</v>
      </c>
      <c r="S102" s="17">
        <v>1866172.9999999998</v>
      </c>
      <c r="T102" s="17">
        <v>1898512</v>
      </c>
      <c r="U102" s="17">
        <v>1930388.5</v>
      </c>
      <c r="V102" s="17">
        <v>1962860.9999999998</v>
      </c>
      <c r="W102" s="17">
        <v>1995849.4999999998</v>
      </c>
      <c r="X102" s="17">
        <v>2028627</v>
      </c>
      <c r="Y102" s="17">
        <v>2060747.5</v>
      </c>
      <c r="Z102" s="17">
        <v>2091865.5000000002</v>
      </c>
      <c r="AA102" s="17">
        <v>2121676</v>
      </c>
      <c r="AB102" s="17">
        <v>2150171</v>
      </c>
      <c r="AC102" s="17">
        <v>2177594</v>
      </c>
      <c r="AD102" s="17">
        <v>2204173.5000000005</v>
      </c>
      <c r="AE102" s="17">
        <v>2230019</v>
      </c>
      <c r="AF102" s="17">
        <v>2255615.5000000005</v>
      </c>
    </row>
    <row r="103" spans="1:32" x14ac:dyDescent="0.25">
      <c r="A103" t="s">
        <v>207</v>
      </c>
      <c r="B103" s="17">
        <v>602237.50000000012</v>
      </c>
      <c r="C103" s="17">
        <v>596225</v>
      </c>
      <c r="D103" s="17">
        <v>590118.5</v>
      </c>
      <c r="E103" s="17">
        <v>583365.5</v>
      </c>
      <c r="F103" s="17">
        <v>575188.5</v>
      </c>
      <c r="G103" s="17">
        <v>566107.50000000012</v>
      </c>
      <c r="H103" s="17">
        <v>556897.49999999988</v>
      </c>
      <c r="I103" s="17">
        <v>546876.00000000012</v>
      </c>
      <c r="J103" s="17">
        <v>535386</v>
      </c>
      <c r="K103" s="17">
        <v>522428.5</v>
      </c>
      <c r="L103" s="17">
        <v>508394.50000000006</v>
      </c>
      <c r="M103" s="17">
        <v>493643.50000000006</v>
      </c>
      <c r="N103" s="17">
        <v>478955.00000000006</v>
      </c>
      <c r="O103" s="17">
        <v>465018.5</v>
      </c>
      <c r="P103" s="17">
        <v>452512</v>
      </c>
      <c r="Q103" s="17">
        <v>441738.5</v>
      </c>
      <c r="R103" s="17">
        <v>431376</v>
      </c>
      <c r="S103" s="17">
        <v>420932.49999999994</v>
      </c>
      <c r="T103" s="17">
        <v>411087</v>
      </c>
      <c r="U103" s="17">
        <v>401391.50000000006</v>
      </c>
      <c r="V103" s="17">
        <v>391993.50000000006</v>
      </c>
      <c r="W103" s="17">
        <v>383351.50000000006</v>
      </c>
      <c r="X103" s="17">
        <v>375659</v>
      </c>
      <c r="Y103" s="17">
        <v>369096.50000000006</v>
      </c>
      <c r="Z103" s="17">
        <v>362728.5</v>
      </c>
      <c r="AA103" s="17">
        <v>356088.49999999994</v>
      </c>
      <c r="AB103" s="17">
        <v>349807.49999999994</v>
      </c>
      <c r="AC103" s="17">
        <v>344431.5</v>
      </c>
      <c r="AD103" s="17">
        <v>340113</v>
      </c>
      <c r="AE103" s="17">
        <v>336645.99999999994</v>
      </c>
      <c r="AF103" s="17">
        <v>333807</v>
      </c>
    </row>
    <row r="104" spans="1:32" x14ac:dyDescent="0.25">
      <c r="A104" t="s">
        <v>208</v>
      </c>
      <c r="B104" s="17">
        <v>1180317.4999999998</v>
      </c>
      <c r="C104" s="17">
        <v>1200865.5</v>
      </c>
      <c r="D104" s="17">
        <v>1218071.5</v>
      </c>
      <c r="E104" s="17">
        <v>1235708</v>
      </c>
      <c r="F104" s="17">
        <v>1257379.5</v>
      </c>
      <c r="G104" s="17">
        <v>1278813.5</v>
      </c>
      <c r="H104" s="17">
        <v>1301907</v>
      </c>
      <c r="I104" s="17">
        <v>1327414.4999999998</v>
      </c>
      <c r="J104" s="17">
        <v>1348145</v>
      </c>
      <c r="K104" s="17">
        <v>1363140.5</v>
      </c>
      <c r="L104" s="17">
        <v>1371010.5</v>
      </c>
      <c r="M104" s="17">
        <v>1378561.4999999998</v>
      </c>
      <c r="N104" s="17">
        <v>1407828.4999999998</v>
      </c>
      <c r="O104" s="17">
        <v>1535394</v>
      </c>
      <c r="P104" s="17">
        <v>1686757.5000000002</v>
      </c>
      <c r="Q104" s="17">
        <v>1701878.5</v>
      </c>
      <c r="R104" s="17">
        <v>1638898.5</v>
      </c>
      <c r="S104" s="17">
        <v>1575469.5000000002</v>
      </c>
      <c r="T104" s="17">
        <v>1511916.5</v>
      </c>
      <c r="U104" s="17">
        <v>1449155.4999999998</v>
      </c>
      <c r="V104" s="17">
        <v>1401294.5</v>
      </c>
      <c r="W104" s="17">
        <v>1368167</v>
      </c>
      <c r="X104" s="17">
        <v>1326939.5</v>
      </c>
      <c r="Y104" s="17">
        <v>1274333</v>
      </c>
      <c r="Z104" s="17">
        <v>1221725.5</v>
      </c>
      <c r="AA104" s="17">
        <v>1175689.5</v>
      </c>
      <c r="AB104" s="17">
        <v>1137676</v>
      </c>
      <c r="AC104" s="17">
        <v>1109762</v>
      </c>
      <c r="AD104" s="17">
        <v>1090316.9999999998</v>
      </c>
      <c r="AE104" s="17">
        <v>1075807</v>
      </c>
      <c r="AF104" s="17">
        <v>1065774.5</v>
      </c>
    </row>
    <row r="105" spans="1:32" x14ac:dyDescent="0.25">
      <c r="A105" t="s">
        <v>42</v>
      </c>
      <c r="B105" s="17">
        <v>498821.99999999994</v>
      </c>
      <c r="C105" s="17">
        <v>503093</v>
      </c>
      <c r="D105" s="17">
        <v>506198.5</v>
      </c>
      <c r="E105" s="17">
        <v>508289.5</v>
      </c>
      <c r="F105" s="17">
        <v>509204.99999999994</v>
      </c>
      <c r="G105" s="17">
        <v>510006.49999999994</v>
      </c>
      <c r="H105" s="17">
        <v>513313.99999999994</v>
      </c>
      <c r="I105" s="17">
        <v>516614.00000000006</v>
      </c>
      <c r="J105" s="17">
        <v>520317.5</v>
      </c>
      <c r="K105" s="17">
        <v>525260.5</v>
      </c>
      <c r="L105" s="17">
        <v>528744.5</v>
      </c>
      <c r="M105" s="17">
        <v>531967.00000000012</v>
      </c>
      <c r="N105" s="17">
        <v>535366.5</v>
      </c>
      <c r="O105" s="17">
        <v>539125.5</v>
      </c>
      <c r="P105" s="17">
        <v>543458.5</v>
      </c>
      <c r="Q105" s="17">
        <v>548894.5</v>
      </c>
      <c r="R105" s="17">
        <v>555512</v>
      </c>
      <c r="S105" s="17">
        <v>563209.99999999988</v>
      </c>
      <c r="T105" s="17">
        <v>571742</v>
      </c>
      <c r="U105" s="17">
        <v>580490.50000000012</v>
      </c>
      <c r="V105" s="17">
        <v>589929.5</v>
      </c>
      <c r="W105" s="17">
        <v>599904</v>
      </c>
      <c r="X105" s="17">
        <v>609817.50000000012</v>
      </c>
      <c r="Y105" s="17">
        <v>619907.50000000012</v>
      </c>
      <c r="Z105" s="17">
        <v>629828</v>
      </c>
      <c r="AA105" s="17">
        <v>639305.00000000012</v>
      </c>
      <c r="AB105" s="17">
        <v>648771</v>
      </c>
      <c r="AC105" s="17">
        <v>658404.00000000012</v>
      </c>
      <c r="AD105" s="17">
        <v>668059.5</v>
      </c>
      <c r="AE105" s="17">
        <v>677514.5</v>
      </c>
      <c r="AF105" s="17">
        <v>686488</v>
      </c>
    </row>
    <row r="106" spans="1:32" x14ac:dyDescent="0.25">
      <c r="A106" t="s">
        <v>43</v>
      </c>
      <c r="B106" s="17">
        <v>687497.5</v>
      </c>
      <c r="C106" s="17">
        <v>707097.00000000012</v>
      </c>
      <c r="D106" s="17">
        <v>724590.5</v>
      </c>
      <c r="E106" s="17">
        <v>729129.49999999988</v>
      </c>
      <c r="F106" s="17">
        <v>736400.00000000023</v>
      </c>
      <c r="G106" s="17">
        <v>768302</v>
      </c>
      <c r="H106" s="17">
        <v>810600.99999999988</v>
      </c>
      <c r="I106" s="17">
        <v>850064</v>
      </c>
      <c r="J106" s="17">
        <v>885351.99999999988</v>
      </c>
      <c r="K106" s="17">
        <v>914558.5</v>
      </c>
      <c r="L106" s="17">
        <v>942057</v>
      </c>
      <c r="M106" s="17">
        <v>989491.5</v>
      </c>
      <c r="N106" s="17">
        <v>1032407.9999999999</v>
      </c>
      <c r="O106" s="17">
        <v>1053176.5</v>
      </c>
      <c r="P106" s="17">
        <v>1074615.5</v>
      </c>
      <c r="Q106" s="17">
        <v>1098222.0000000002</v>
      </c>
      <c r="R106" s="17">
        <v>1122845.5</v>
      </c>
      <c r="S106" s="17">
        <v>1146334.5000000002</v>
      </c>
      <c r="T106" s="17">
        <v>1171196.5</v>
      </c>
      <c r="U106" s="17">
        <v>1198019.4999999998</v>
      </c>
      <c r="V106" s="17">
        <v>1229025.5</v>
      </c>
      <c r="W106" s="17">
        <v>1263266.5000000002</v>
      </c>
      <c r="X106" s="17">
        <v>1299602.9999999998</v>
      </c>
      <c r="Y106" s="17">
        <v>1337711.5</v>
      </c>
      <c r="Z106" s="17">
        <v>1375764.0000000002</v>
      </c>
      <c r="AA106" s="17">
        <v>1413502</v>
      </c>
      <c r="AB106" s="17">
        <v>1451047.5000000002</v>
      </c>
      <c r="AC106" s="17">
        <v>1489578.5</v>
      </c>
      <c r="AD106" s="17">
        <v>1528381.4999999998</v>
      </c>
      <c r="AE106" s="17">
        <v>1566047.0000000002</v>
      </c>
      <c r="AF106" s="17">
        <v>1602917</v>
      </c>
    </row>
    <row r="107" spans="1:32" x14ac:dyDescent="0.25">
      <c r="A107" t="s">
        <v>209</v>
      </c>
      <c r="B107" s="17">
        <v>1328100.0000000002</v>
      </c>
      <c r="C107" s="17">
        <v>1392502</v>
      </c>
      <c r="D107" s="17">
        <v>1458609.5</v>
      </c>
      <c r="E107" s="17">
        <v>1526308.0000000002</v>
      </c>
      <c r="F107" s="17">
        <v>1595214.0000000002</v>
      </c>
      <c r="G107" s="17">
        <v>1664488.9999999998</v>
      </c>
      <c r="H107" s="17">
        <v>1720424</v>
      </c>
      <c r="I107" s="17">
        <v>1762963.4999999998</v>
      </c>
      <c r="J107" s="17">
        <v>1804550.4999999998</v>
      </c>
      <c r="K107" s="17">
        <v>1842800.0000000002</v>
      </c>
      <c r="L107" s="17">
        <v>1877167</v>
      </c>
      <c r="M107" s="17">
        <v>1727117.9999999998</v>
      </c>
      <c r="N107" s="17">
        <v>1574014.9999999998</v>
      </c>
      <c r="O107" s="17">
        <v>1605034.5</v>
      </c>
      <c r="P107" s="17">
        <v>1634466.5000000002</v>
      </c>
      <c r="Q107" s="17">
        <v>1656678</v>
      </c>
      <c r="R107" s="17">
        <v>1677836.5</v>
      </c>
      <c r="S107" s="17">
        <v>1701272.5000000002</v>
      </c>
      <c r="T107" s="17">
        <v>1725379.5</v>
      </c>
      <c r="U107" s="17">
        <v>1746206</v>
      </c>
      <c r="V107" s="17">
        <v>1765261.4999999998</v>
      </c>
      <c r="W107" s="17">
        <v>1784231</v>
      </c>
      <c r="X107" s="17">
        <v>1802034.5</v>
      </c>
      <c r="Y107" s="17">
        <v>1818504</v>
      </c>
      <c r="Z107" s="17">
        <v>1834459.5</v>
      </c>
      <c r="AA107" s="17">
        <v>1850292.5000000002</v>
      </c>
      <c r="AB107" s="17">
        <v>1866290.0000000002</v>
      </c>
      <c r="AC107" s="17">
        <v>1878896.5</v>
      </c>
      <c r="AD107" s="17">
        <v>1888033.9999999998</v>
      </c>
      <c r="AE107" s="17">
        <v>1897437.5</v>
      </c>
      <c r="AF107" s="17">
        <v>1907036</v>
      </c>
    </row>
    <row r="108" spans="1:32" x14ac:dyDescent="0.25">
      <c r="A108" t="s">
        <v>211</v>
      </c>
      <c r="B108" s="17">
        <v>920778.50000000012</v>
      </c>
      <c r="C108" s="17">
        <v>913529</v>
      </c>
      <c r="D108" s="17">
        <v>904982</v>
      </c>
      <c r="E108" s="17">
        <v>894920.5</v>
      </c>
      <c r="F108" s="17">
        <v>882855.5</v>
      </c>
      <c r="G108" s="17">
        <v>868977.50000000012</v>
      </c>
      <c r="H108" s="17">
        <v>853770.49999999988</v>
      </c>
      <c r="I108" s="17">
        <v>837019.5</v>
      </c>
      <c r="J108" s="17">
        <v>817718.00000000012</v>
      </c>
      <c r="K108" s="17">
        <v>795661.49999999988</v>
      </c>
      <c r="L108" s="17">
        <v>772460.49999999988</v>
      </c>
      <c r="M108" s="17">
        <v>749310.49999999988</v>
      </c>
      <c r="N108" s="17">
        <v>727011.5</v>
      </c>
      <c r="O108" s="17">
        <v>706240.5</v>
      </c>
      <c r="P108" s="17">
        <v>686723</v>
      </c>
      <c r="Q108" s="17">
        <v>667913.5</v>
      </c>
      <c r="R108" s="17">
        <v>649232</v>
      </c>
      <c r="S108" s="17">
        <v>630495.5</v>
      </c>
      <c r="T108" s="17">
        <v>612447.5</v>
      </c>
      <c r="U108" s="17">
        <v>595462</v>
      </c>
      <c r="V108" s="17">
        <v>579093</v>
      </c>
      <c r="W108" s="17">
        <v>563262.5</v>
      </c>
      <c r="X108" s="17">
        <v>548372.5</v>
      </c>
      <c r="Y108" s="17">
        <v>535489</v>
      </c>
      <c r="Z108" s="17">
        <v>524847.50000000012</v>
      </c>
      <c r="AA108" s="17">
        <v>515672</v>
      </c>
      <c r="AB108" s="17">
        <v>507837</v>
      </c>
      <c r="AC108" s="17">
        <v>501316.5</v>
      </c>
      <c r="AD108" s="17">
        <v>495678.5</v>
      </c>
      <c r="AE108" s="17">
        <v>490818</v>
      </c>
      <c r="AF108" s="17">
        <v>487246.50000000006</v>
      </c>
    </row>
    <row r="109" spans="1:32" x14ac:dyDescent="0.25">
      <c r="A109" t="s">
        <v>212</v>
      </c>
      <c r="B109" s="17">
        <v>109202.5</v>
      </c>
      <c r="C109" s="17">
        <v>111519.50000000001</v>
      </c>
      <c r="D109" s="17">
        <v>112367.49999999999</v>
      </c>
      <c r="E109" s="17">
        <v>113452.5</v>
      </c>
      <c r="F109" s="17">
        <v>114751</v>
      </c>
      <c r="G109" s="17">
        <v>116270</v>
      </c>
      <c r="H109" s="17">
        <v>118072.5</v>
      </c>
      <c r="I109" s="17">
        <v>119814</v>
      </c>
      <c r="J109" s="17">
        <v>121962.49999999999</v>
      </c>
      <c r="K109" s="17">
        <v>124164.49999999999</v>
      </c>
      <c r="L109" s="17">
        <v>126133.5</v>
      </c>
      <c r="M109" s="17">
        <v>128901.5</v>
      </c>
      <c r="N109" s="17">
        <v>132103.5</v>
      </c>
      <c r="O109" s="17">
        <v>134762.50000000003</v>
      </c>
      <c r="P109" s="17">
        <v>137535</v>
      </c>
      <c r="Q109" s="17">
        <v>140453.99999999997</v>
      </c>
      <c r="R109" s="17">
        <v>143609</v>
      </c>
      <c r="S109" s="17">
        <v>146454.5</v>
      </c>
      <c r="T109" s="17">
        <v>148811</v>
      </c>
      <c r="U109" s="17">
        <v>151362</v>
      </c>
      <c r="V109" s="17">
        <v>153263</v>
      </c>
      <c r="W109" s="17">
        <v>154604.5</v>
      </c>
      <c r="X109" s="17">
        <v>155820</v>
      </c>
      <c r="Y109" s="17">
        <v>156727.5</v>
      </c>
      <c r="Z109" s="17">
        <v>157459.5</v>
      </c>
      <c r="AA109" s="17">
        <v>158044</v>
      </c>
      <c r="AB109" s="17">
        <v>158494.50000000003</v>
      </c>
      <c r="AC109" s="17">
        <v>158720</v>
      </c>
      <c r="AD109" s="17">
        <v>158894.99999999997</v>
      </c>
      <c r="AE109" s="17">
        <v>159035.49999999997</v>
      </c>
      <c r="AF109" s="17">
        <v>159033.5</v>
      </c>
    </row>
    <row r="110" spans="1:32" x14ac:dyDescent="0.25">
      <c r="A110" t="s">
        <v>44</v>
      </c>
      <c r="B110" s="17">
        <v>3742119.5</v>
      </c>
      <c r="C110" s="17">
        <v>3852184.5000000005</v>
      </c>
      <c r="D110" s="17">
        <v>3966861.5</v>
      </c>
      <c r="E110" s="17">
        <v>4087384.5</v>
      </c>
      <c r="F110" s="17">
        <v>4213939.4999999991</v>
      </c>
      <c r="G110" s="17">
        <v>4346906.4999999991</v>
      </c>
      <c r="H110" s="17">
        <v>4486108.4999999991</v>
      </c>
      <c r="I110" s="17">
        <v>4631432</v>
      </c>
      <c r="J110" s="17">
        <v>4782978.5</v>
      </c>
      <c r="K110" s="17">
        <v>4941380.9999999991</v>
      </c>
      <c r="L110" s="17">
        <v>5106772.5</v>
      </c>
      <c r="M110" s="17">
        <v>5278520.5000000009</v>
      </c>
      <c r="N110" s="17">
        <v>5455221.5</v>
      </c>
      <c r="O110" s="17">
        <v>5635326</v>
      </c>
      <c r="P110" s="17">
        <v>5817877</v>
      </c>
      <c r="Q110" s="17">
        <v>6001205.5</v>
      </c>
      <c r="R110" s="17">
        <v>6186033</v>
      </c>
      <c r="S110" s="17">
        <v>6372805.4999999991</v>
      </c>
      <c r="T110" s="17">
        <v>6561108.5</v>
      </c>
      <c r="U110" s="17">
        <v>6752087</v>
      </c>
      <c r="V110" s="17">
        <v>6946320.4999999981</v>
      </c>
      <c r="W110" s="17">
        <v>7142867</v>
      </c>
      <c r="X110" s="17">
        <v>7342333.5</v>
      </c>
      <c r="Y110" s="17">
        <v>7546938</v>
      </c>
      <c r="Z110" s="17">
        <v>7756976</v>
      </c>
      <c r="AA110" s="17">
        <v>7969929.4999999991</v>
      </c>
      <c r="AB110" s="17">
        <v>8181898.5</v>
      </c>
      <c r="AC110" s="17">
        <v>8392139</v>
      </c>
      <c r="AD110" s="17">
        <v>8602353.5</v>
      </c>
      <c r="AE110" s="17">
        <v>8813391.5000000019</v>
      </c>
      <c r="AF110" s="17">
        <v>9026956.5</v>
      </c>
    </row>
    <row r="111" spans="1:32" x14ac:dyDescent="0.25">
      <c r="A111" t="s">
        <v>45</v>
      </c>
      <c r="B111" s="17">
        <v>2585997</v>
      </c>
      <c r="C111" s="17">
        <v>2648258.0000000005</v>
      </c>
      <c r="D111" s="17">
        <v>2711964</v>
      </c>
      <c r="E111" s="17">
        <v>2778571</v>
      </c>
      <c r="F111" s="17">
        <v>2849742.5000000005</v>
      </c>
      <c r="G111" s="17">
        <v>2925404.5</v>
      </c>
      <c r="H111" s="17">
        <v>3006620</v>
      </c>
      <c r="I111" s="17">
        <v>3094667.9999999995</v>
      </c>
      <c r="J111" s="17">
        <v>3192908.5</v>
      </c>
      <c r="K111" s="17">
        <v>3298708.9999999995</v>
      </c>
      <c r="L111" s="17">
        <v>3408030</v>
      </c>
      <c r="M111" s="17">
        <v>3521258</v>
      </c>
      <c r="N111" s="17">
        <v>3639037.5</v>
      </c>
      <c r="O111" s="17">
        <v>3763220.5</v>
      </c>
      <c r="P111" s="17">
        <v>3895514</v>
      </c>
      <c r="Q111" s="17">
        <v>4035379.0000000005</v>
      </c>
      <c r="R111" s="17">
        <v>4182482.5</v>
      </c>
      <c r="S111" s="17">
        <v>4338501.4999999991</v>
      </c>
      <c r="T111" s="17">
        <v>4503674.4999999991</v>
      </c>
      <c r="U111" s="17">
        <v>4678481.5</v>
      </c>
      <c r="V111" s="17">
        <v>4862633.5</v>
      </c>
      <c r="W111" s="17">
        <v>5053088.0000000009</v>
      </c>
      <c r="X111" s="17">
        <v>5245944</v>
      </c>
      <c r="Y111" s="17">
        <v>5439370.4999999991</v>
      </c>
      <c r="Z111" s="17">
        <v>5633602</v>
      </c>
      <c r="AA111" s="17">
        <v>5827097</v>
      </c>
      <c r="AB111" s="17">
        <v>6017695.0000000009</v>
      </c>
      <c r="AC111" s="17">
        <v>6203960.5</v>
      </c>
      <c r="AD111" s="17">
        <v>6384993</v>
      </c>
      <c r="AE111" s="17">
        <v>6560090.0000000009</v>
      </c>
      <c r="AF111" s="17">
        <v>6728070.5</v>
      </c>
    </row>
    <row r="112" spans="1:32" x14ac:dyDescent="0.25">
      <c r="A112" t="s">
        <v>213</v>
      </c>
      <c r="B112" s="17">
        <v>6062035.0000000009</v>
      </c>
      <c r="C112" s="17">
        <v>6192843.5</v>
      </c>
      <c r="D112" s="17">
        <v>6332105.0000000009</v>
      </c>
      <c r="E112" s="17">
        <v>6479698.4999999991</v>
      </c>
      <c r="F112" s="17">
        <v>6635533.5</v>
      </c>
      <c r="G112" s="17">
        <v>6798660</v>
      </c>
      <c r="H112" s="17">
        <v>6968219.9999999991</v>
      </c>
      <c r="I112" s="17">
        <v>7143254.0000000009</v>
      </c>
      <c r="J112" s="17">
        <v>7322927.0000000009</v>
      </c>
      <c r="K112" s="17">
        <v>7506374.5</v>
      </c>
      <c r="L112" s="17">
        <v>7683557.5000000009</v>
      </c>
      <c r="M112" s="17">
        <v>7848891.4999999991</v>
      </c>
      <c r="N112" s="17">
        <v>8006855.9999999991</v>
      </c>
      <c r="O112" s="17">
        <v>8157869.9999999991</v>
      </c>
      <c r="P112" s="17">
        <v>8301973</v>
      </c>
      <c r="Q112" s="17">
        <v>8436622</v>
      </c>
      <c r="R112" s="17">
        <v>8565984.4999999981</v>
      </c>
      <c r="S112" s="17">
        <v>8689248.5</v>
      </c>
      <c r="T112" s="17">
        <v>8798078.5</v>
      </c>
      <c r="U112" s="17">
        <v>8897941</v>
      </c>
      <c r="V112" s="17">
        <v>8994185</v>
      </c>
      <c r="W112" s="17">
        <v>9083507</v>
      </c>
      <c r="X112" s="17">
        <v>9165308.5000000019</v>
      </c>
      <c r="Y112" s="17">
        <v>9238881.5</v>
      </c>
      <c r="Z112" s="17">
        <v>9301630.0000000019</v>
      </c>
      <c r="AA112" s="17">
        <v>9357550.5</v>
      </c>
      <c r="AB112" s="17">
        <v>9413009</v>
      </c>
      <c r="AC112" s="17">
        <v>9468014</v>
      </c>
      <c r="AD112" s="17">
        <v>9519898.5</v>
      </c>
      <c r="AE112" s="17">
        <v>9568342.9999999981</v>
      </c>
      <c r="AF112" s="17">
        <v>9609483.5</v>
      </c>
    </row>
    <row r="113" spans="1:32" x14ac:dyDescent="0.25">
      <c r="A113" t="s">
        <v>214</v>
      </c>
      <c r="B113" s="17">
        <v>68651</v>
      </c>
      <c r="C113" s="17">
        <v>71906</v>
      </c>
      <c r="D113" s="17">
        <v>75250.000000000015</v>
      </c>
      <c r="E113" s="17">
        <v>78583</v>
      </c>
      <c r="F113" s="17">
        <v>81898.5</v>
      </c>
      <c r="G113" s="17">
        <v>85132.5</v>
      </c>
      <c r="H113" s="17">
        <v>88228.500000000015</v>
      </c>
      <c r="I113" s="17">
        <v>91127.5</v>
      </c>
      <c r="J113" s="17">
        <v>93776.000000000015</v>
      </c>
      <c r="K113" s="17">
        <v>96184.999999999985</v>
      </c>
      <c r="L113" s="17">
        <v>98378.499999999985</v>
      </c>
      <c r="M113" s="17">
        <v>100374.5</v>
      </c>
      <c r="N113" s="17">
        <v>102173.00000000001</v>
      </c>
      <c r="O113" s="17">
        <v>103781.50000000001</v>
      </c>
      <c r="P113" s="17">
        <v>106874</v>
      </c>
      <c r="Q113" s="17">
        <v>111465</v>
      </c>
      <c r="R113" s="17">
        <v>115853.00000000001</v>
      </c>
      <c r="S113" s="17">
        <v>119988</v>
      </c>
      <c r="T113" s="17">
        <v>123809</v>
      </c>
      <c r="U113" s="17">
        <v>126874.5</v>
      </c>
      <c r="V113" s="17">
        <v>128602.49999999999</v>
      </c>
      <c r="W113" s="17">
        <v>129612.49999999999</v>
      </c>
      <c r="X113" s="17">
        <v>129439.00000000001</v>
      </c>
      <c r="Y113" s="17">
        <v>127978.00000000001</v>
      </c>
      <c r="Z113" s="17">
        <v>126562.00000000001</v>
      </c>
      <c r="AA113" s="17">
        <v>125380.50000000001</v>
      </c>
      <c r="AB113" s="17">
        <v>124481.00000000001</v>
      </c>
      <c r="AC113" s="17">
        <v>123819</v>
      </c>
      <c r="AD113" s="17">
        <v>123271.5</v>
      </c>
      <c r="AE113" s="17">
        <v>122883.00000000001</v>
      </c>
      <c r="AF113" s="17">
        <v>122686.5</v>
      </c>
    </row>
    <row r="114" spans="1:32" x14ac:dyDescent="0.25">
      <c r="A114" t="s">
        <v>46</v>
      </c>
      <c r="B114" s="17">
        <v>2415205.9999999995</v>
      </c>
      <c r="C114" s="17">
        <v>2501090.5000000005</v>
      </c>
      <c r="D114" s="17">
        <v>2591763.4999999995</v>
      </c>
      <c r="E114" s="17">
        <v>2685455.9999999995</v>
      </c>
      <c r="F114" s="17">
        <v>2781301.5</v>
      </c>
      <c r="G114" s="17">
        <v>2877675.5000000009</v>
      </c>
      <c r="H114" s="17">
        <v>2975563</v>
      </c>
      <c r="I114" s="17">
        <v>3076476.5</v>
      </c>
      <c r="J114" s="17">
        <v>3178618.5000000005</v>
      </c>
      <c r="K114" s="17">
        <v>3281036</v>
      </c>
      <c r="L114" s="17">
        <v>3384084.5</v>
      </c>
      <c r="M114" s="17">
        <v>3487997.4999999995</v>
      </c>
      <c r="N114" s="17">
        <v>3574656.5000000005</v>
      </c>
      <c r="O114" s="17">
        <v>3667301.4999999995</v>
      </c>
      <c r="P114" s="17">
        <v>3785694</v>
      </c>
      <c r="Q114" s="17">
        <v>3909883.5000000005</v>
      </c>
      <c r="R114" s="17">
        <v>4044613.4999999995</v>
      </c>
      <c r="S114" s="17">
        <v>4189202.4999999995</v>
      </c>
      <c r="T114" s="17">
        <v>4338574.5</v>
      </c>
      <c r="U114" s="17">
        <v>4493191.5</v>
      </c>
      <c r="V114" s="17">
        <v>4660533</v>
      </c>
      <c r="W114" s="17">
        <v>4838464.5</v>
      </c>
      <c r="X114" s="17">
        <v>5016711.5</v>
      </c>
      <c r="Y114" s="17">
        <v>5196919.9999999991</v>
      </c>
      <c r="Z114" s="17">
        <v>5383054</v>
      </c>
      <c r="AA114" s="17">
        <v>5575464</v>
      </c>
      <c r="AB114" s="17">
        <v>5773739.0000000009</v>
      </c>
      <c r="AC114" s="17">
        <v>5977821.5</v>
      </c>
      <c r="AD114" s="17">
        <v>6186113.5</v>
      </c>
      <c r="AE114" s="17">
        <v>6397937.5</v>
      </c>
      <c r="AF114" s="17">
        <v>6614691.5000000009</v>
      </c>
    </row>
    <row r="115" spans="1:32" x14ac:dyDescent="0.25">
      <c r="A115" t="s">
        <v>215</v>
      </c>
      <c r="B115" s="17">
        <v>96811.5</v>
      </c>
      <c r="C115" s="17">
        <v>97070.5</v>
      </c>
      <c r="D115" s="17">
        <v>97418</v>
      </c>
      <c r="E115" s="17">
        <v>97770.5</v>
      </c>
      <c r="F115" s="17">
        <v>98019.500000000015</v>
      </c>
      <c r="G115" s="17">
        <v>98039.999999999985</v>
      </c>
      <c r="H115" s="17">
        <v>97796.500000000015</v>
      </c>
      <c r="I115" s="17">
        <v>97404.5</v>
      </c>
      <c r="J115" s="17">
        <v>97053.5</v>
      </c>
      <c r="K115" s="17">
        <v>96822</v>
      </c>
      <c r="L115" s="17">
        <v>96834.499999999985</v>
      </c>
      <c r="M115" s="17">
        <v>97430.5</v>
      </c>
      <c r="N115" s="17">
        <v>98651</v>
      </c>
      <c r="O115" s="17">
        <v>100367.5</v>
      </c>
      <c r="P115" s="17">
        <v>102500.5</v>
      </c>
      <c r="Q115" s="17">
        <v>105009.5</v>
      </c>
      <c r="R115" s="17">
        <v>107762.5</v>
      </c>
      <c r="S115" s="17">
        <v>110569.49999999999</v>
      </c>
      <c r="T115" s="17">
        <v>113527.99999999999</v>
      </c>
      <c r="U115" s="17">
        <v>116577.5</v>
      </c>
      <c r="V115" s="17">
        <v>119468.5</v>
      </c>
      <c r="W115" s="17">
        <v>122043.50000000001</v>
      </c>
      <c r="X115" s="17">
        <v>122845.49999999999</v>
      </c>
      <c r="Y115" s="17">
        <v>122077</v>
      </c>
      <c r="Z115" s="17">
        <v>121330</v>
      </c>
      <c r="AA115" s="17">
        <v>120422</v>
      </c>
      <c r="AB115" s="17">
        <v>119461.5</v>
      </c>
      <c r="AC115" s="17">
        <v>118545.99999999999</v>
      </c>
      <c r="AD115" s="17">
        <v>117499</v>
      </c>
      <c r="AE115" s="17">
        <v>116325</v>
      </c>
      <c r="AF115" s="17">
        <v>115160.00000000001</v>
      </c>
    </row>
    <row r="116" spans="1:32" x14ac:dyDescent="0.25">
      <c r="A116" t="s">
        <v>217</v>
      </c>
      <c r="B116" s="17">
        <v>117323.5</v>
      </c>
      <c r="C116" s="17">
        <v>115987.49999999999</v>
      </c>
      <c r="D116" s="17">
        <v>114442.5</v>
      </c>
      <c r="E116" s="17">
        <v>112125.50000000001</v>
      </c>
      <c r="F116" s="17">
        <v>108966.99999999999</v>
      </c>
      <c r="G116" s="17">
        <v>105561.50000000001</v>
      </c>
      <c r="H116" s="17">
        <v>103613</v>
      </c>
      <c r="I116" s="17">
        <v>103226.99999999999</v>
      </c>
      <c r="J116" s="17">
        <v>102446</v>
      </c>
      <c r="K116" s="17">
        <v>100836.50000000001</v>
      </c>
      <c r="L116" s="17">
        <v>98634.5</v>
      </c>
      <c r="M116" s="17">
        <v>96038.5</v>
      </c>
      <c r="N116" s="17">
        <v>93240.999999999985</v>
      </c>
      <c r="O116" s="17">
        <v>90413.5</v>
      </c>
      <c r="P116" s="17">
        <v>88440</v>
      </c>
      <c r="Q116" s="17">
        <v>86450.499999999985</v>
      </c>
      <c r="R116" s="17">
        <v>83643</v>
      </c>
      <c r="S116" s="17">
        <v>81109.5</v>
      </c>
      <c r="T116" s="17">
        <v>78830.5</v>
      </c>
      <c r="U116" s="17">
        <v>76706</v>
      </c>
      <c r="V116" s="17">
        <v>74935.5</v>
      </c>
      <c r="W116" s="17">
        <v>73463.500000000015</v>
      </c>
      <c r="X116" s="17">
        <v>72223.5</v>
      </c>
      <c r="Y116" s="17">
        <v>71246</v>
      </c>
      <c r="Z116" s="17">
        <v>70345.5</v>
      </c>
      <c r="AA116" s="17">
        <v>69539.5</v>
      </c>
      <c r="AB116" s="17">
        <v>68845.500000000015</v>
      </c>
      <c r="AC116" s="17">
        <v>68234</v>
      </c>
      <c r="AD116" s="17">
        <v>67717.5</v>
      </c>
      <c r="AE116" s="17">
        <v>67365.5</v>
      </c>
      <c r="AF116" s="17">
        <v>67107.5</v>
      </c>
    </row>
    <row r="117" spans="1:32" x14ac:dyDescent="0.25">
      <c r="A117" t="s">
        <v>47</v>
      </c>
      <c r="B117" s="17">
        <v>618612.5</v>
      </c>
      <c r="C117" s="17">
        <v>636978.49999999988</v>
      </c>
      <c r="D117" s="17">
        <v>653718</v>
      </c>
      <c r="E117" s="17">
        <v>671258.5</v>
      </c>
      <c r="F117" s="17">
        <v>689477.5</v>
      </c>
      <c r="G117" s="17">
        <v>708395</v>
      </c>
      <c r="H117" s="17">
        <v>728045</v>
      </c>
      <c r="I117" s="17">
        <v>748699.5</v>
      </c>
      <c r="J117" s="17">
        <v>771591.50000000012</v>
      </c>
      <c r="K117" s="17">
        <v>795875.5</v>
      </c>
      <c r="L117" s="17">
        <v>819710.00000000023</v>
      </c>
      <c r="M117" s="17">
        <v>843121</v>
      </c>
      <c r="N117" s="17">
        <v>866369.5</v>
      </c>
      <c r="O117" s="17">
        <v>891702</v>
      </c>
      <c r="P117" s="17">
        <v>919334</v>
      </c>
      <c r="Q117" s="17">
        <v>947717.5</v>
      </c>
      <c r="R117" s="17">
        <v>976975</v>
      </c>
      <c r="S117" s="17">
        <v>1007218.5</v>
      </c>
      <c r="T117" s="17">
        <v>1038530</v>
      </c>
      <c r="U117" s="17">
        <v>1071011</v>
      </c>
      <c r="V117" s="17">
        <v>1104934</v>
      </c>
      <c r="W117" s="17">
        <v>1140179</v>
      </c>
      <c r="X117" s="17">
        <v>1177454.5</v>
      </c>
      <c r="Y117" s="17">
        <v>1216883</v>
      </c>
      <c r="Z117" s="17">
        <v>1257604.5000000002</v>
      </c>
      <c r="AA117" s="17">
        <v>1299478.9999999998</v>
      </c>
      <c r="AB117" s="17">
        <v>1342299.5</v>
      </c>
      <c r="AC117" s="17">
        <v>1385766.5000000002</v>
      </c>
      <c r="AD117" s="17">
        <v>1427045</v>
      </c>
      <c r="AE117" s="17">
        <v>1466214.0000000002</v>
      </c>
      <c r="AF117" s="17">
        <v>1505871.9999999998</v>
      </c>
    </row>
    <row r="118" spans="1:32" x14ac:dyDescent="0.25">
      <c r="A118" t="s">
        <v>218</v>
      </c>
      <c r="B118" s="17">
        <v>342070.5</v>
      </c>
      <c r="C118" s="17">
        <v>342721</v>
      </c>
      <c r="D118" s="17">
        <v>342598.50000000006</v>
      </c>
      <c r="E118" s="17">
        <v>342473.5</v>
      </c>
      <c r="F118" s="17">
        <v>342557.5</v>
      </c>
      <c r="G118" s="17">
        <v>342897.5</v>
      </c>
      <c r="H118" s="17">
        <v>343193.00000000006</v>
      </c>
      <c r="I118" s="17">
        <v>343418</v>
      </c>
      <c r="J118" s="17">
        <v>343598</v>
      </c>
      <c r="K118" s="17">
        <v>343383.00000000006</v>
      </c>
      <c r="L118" s="17">
        <v>342604</v>
      </c>
      <c r="M118" s="17">
        <v>341290</v>
      </c>
      <c r="N118" s="17">
        <v>339490.5</v>
      </c>
      <c r="O118" s="17">
        <v>337126</v>
      </c>
      <c r="P118" s="17">
        <v>334836.5</v>
      </c>
      <c r="Q118" s="17">
        <v>332946.5</v>
      </c>
      <c r="R118" s="17">
        <v>331235</v>
      </c>
      <c r="S118" s="17">
        <v>330008.99999999994</v>
      </c>
      <c r="T118" s="17">
        <v>329247.00000000006</v>
      </c>
      <c r="U118" s="17">
        <v>329044.49999999994</v>
      </c>
      <c r="V118" s="17">
        <v>329291.5</v>
      </c>
      <c r="W118" s="17">
        <v>329339.5</v>
      </c>
      <c r="X118" s="17">
        <v>329197</v>
      </c>
      <c r="Y118" s="17">
        <v>328842.99999999994</v>
      </c>
      <c r="Z118" s="17">
        <v>327892.5</v>
      </c>
      <c r="AA118" s="17">
        <v>326319.50000000006</v>
      </c>
      <c r="AB118" s="17">
        <v>324269</v>
      </c>
      <c r="AC118" s="17">
        <v>321787</v>
      </c>
      <c r="AD118" s="17">
        <v>318685.5</v>
      </c>
      <c r="AE118" s="17">
        <v>315115.5</v>
      </c>
      <c r="AF118" s="17">
        <v>311383.5</v>
      </c>
    </row>
    <row r="119" spans="1:32" x14ac:dyDescent="0.25">
      <c r="A119" t="s">
        <v>219</v>
      </c>
      <c r="B119" s="17">
        <v>38205.5</v>
      </c>
      <c r="C119" s="17">
        <v>39691.500000000007</v>
      </c>
      <c r="D119" s="17">
        <v>41175.5</v>
      </c>
      <c r="E119" s="17">
        <v>42745.999999999993</v>
      </c>
      <c r="F119" s="17">
        <v>44164.5</v>
      </c>
      <c r="G119" s="17">
        <v>45467.5</v>
      </c>
      <c r="H119" s="17">
        <v>46918.5</v>
      </c>
      <c r="I119" s="17">
        <v>48314.499999999993</v>
      </c>
      <c r="J119" s="17">
        <v>49620.999999999993</v>
      </c>
      <c r="K119" s="17">
        <v>51025</v>
      </c>
      <c r="L119" s="17">
        <v>52503.499999999993</v>
      </c>
      <c r="M119" s="17">
        <v>54026.5</v>
      </c>
      <c r="N119" s="17">
        <v>55748.999999999993</v>
      </c>
      <c r="O119" s="17">
        <v>57842</v>
      </c>
      <c r="P119" s="17">
        <v>60251</v>
      </c>
      <c r="Q119" s="17">
        <v>62823</v>
      </c>
      <c r="R119" s="17">
        <v>65489.000000000007</v>
      </c>
      <c r="S119" s="17">
        <v>68200</v>
      </c>
      <c r="T119" s="17">
        <v>70938.5</v>
      </c>
      <c r="U119" s="17">
        <v>73743.000000000015</v>
      </c>
      <c r="V119" s="17">
        <v>76523</v>
      </c>
      <c r="W119" s="17">
        <v>79277</v>
      </c>
      <c r="X119" s="17">
        <v>82003.999999999985</v>
      </c>
      <c r="Y119" s="17">
        <v>84688.5</v>
      </c>
      <c r="Z119" s="17">
        <v>87410</v>
      </c>
      <c r="AA119" s="17">
        <v>90153.5</v>
      </c>
      <c r="AB119" s="17">
        <v>92922.500000000015</v>
      </c>
      <c r="AC119" s="17">
        <v>95683.500000000015</v>
      </c>
      <c r="AD119" s="17">
        <v>98457.000000000015</v>
      </c>
      <c r="AE119" s="17">
        <v>101344</v>
      </c>
      <c r="AF119" s="17">
        <v>104437.00000000001</v>
      </c>
    </row>
    <row r="120" spans="1:32" x14ac:dyDescent="0.25">
      <c r="A120" t="s">
        <v>220</v>
      </c>
      <c r="B120" s="17">
        <v>26552528.5</v>
      </c>
      <c r="C120" s="17">
        <v>27026840.5</v>
      </c>
      <c r="D120" s="17">
        <v>27480221</v>
      </c>
      <c r="E120" s="17">
        <v>27920681.5</v>
      </c>
      <c r="F120" s="17">
        <v>28367023</v>
      </c>
      <c r="G120" s="17">
        <v>28817501</v>
      </c>
      <c r="H120" s="17">
        <v>29250376</v>
      </c>
      <c r="I120" s="17">
        <v>29666193.999999996</v>
      </c>
      <c r="J120" s="17">
        <v>30057300.499999996</v>
      </c>
      <c r="K120" s="17">
        <v>30433569</v>
      </c>
      <c r="L120" s="17">
        <v>30852475</v>
      </c>
      <c r="M120" s="17">
        <v>31285298.5</v>
      </c>
      <c r="N120" s="17">
        <v>31679385.500000004</v>
      </c>
      <c r="O120" s="17">
        <v>32052538</v>
      </c>
      <c r="P120" s="17">
        <v>32404829.5</v>
      </c>
      <c r="Q120" s="17">
        <v>32736659.000000004</v>
      </c>
      <c r="R120" s="17">
        <v>33057557</v>
      </c>
      <c r="S120" s="17">
        <v>33352705.500000004</v>
      </c>
      <c r="T120" s="17">
        <v>33593556</v>
      </c>
      <c r="U120" s="17">
        <v>33821514.500000007</v>
      </c>
      <c r="V120" s="17">
        <v>34048846.5</v>
      </c>
      <c r="W120" s="17">
        <v>34242642.499999993</v>
      </c>
      <c r="X120" s="17">
        <v>34424242.5</v>
      </c>
      <c r="Y120" s="17">
        <v>34604473.5</v>
      </c>
      <c r="Z120" s="17">
        <v>34772218</v>
      </c>
      <c r="AA120" s="17">
        <v>34927436</v>
      </c>
      <c r="AB120" s="17">
        <v>35067125</v>
      </c>
      <c r="AC120" s="17">
        <v>35189342.5</v>
      </c>
      <c r="AD120" s="17">
        <v>35295199.5</v>
      </c>
      <c r="AE120" s="17">
        <v>35383976</v>
      </c>
      <c r="AF120" s="17">
        <v>35456690.500000007</v>
      </c>
    </row>
    <row r="121" spans="1:32" x14ac:dyDescent="0.25">
      <c r="A121" t="s">
        <v>2506</v>
      </c>
      <c r="B121" s="17">
        <v>138976.50000000003</v>
      </c>
      <c r="C121" s="17">
        <v>139301</v>
      </c>
      <c r="D121" s="17">
        <v>138924.5</v>
      </c>
      <c r="E121" s="17">
        <v>138462</v>
      </c>
      <c r="F121" s="17">
        <v>137942.50000000003</v>
      </c>
      <c r="G121" s="17">
        <v>137331</v>
      </c>
      <c r="H121" s="17">
        <v>136649.5</v>
      </c>
      <c r="I121" s="17">
        <v>135904</v>
      </c>
      <c r="J121" s="17">
        <v>134932.5</v>
      </c>
      <c r="K121" s="17">
        <v>133666</v>
      </c>
      <c r="L121" s="17">
        <v>132426</v>
      </c>
      <c r="M121" s="17">
        <v>131664.5</v>
      </c>
      <c r="N121" s="17">
        <v>131229.5</v>
      </c>
      <c r="O121" s="17">
        <v>130751</v>
      </c>
      <c r="P121" s="17">
        <v>130144</v>
      </c>
      <c r="Q121" s="17">
        <v>129441</v>
      </c>
      <c r="R121" s="17">
        <v>128609.5</v>
      </c>
      <c r="S121" s="17">
        <v>127649</v>
      </c>
      <c r="T121" s="17">
        <v>126685</v>
      </c>
      <c r="U121" s="17">
        <v>125766.50000000001</v>
      </c>
      <c r="V121" s="17">
        <v>125538.5</v>
      </c>
      <c r="W121" s="17">
        <v>126054.49999999999</v>
      </c>
      <c r="X121" s="17">
        <v>126849.5</v>
      </c>
      <c r="Y121" s="17">
        <v>127928.50000000001</v>
      </c>
      <c r="Z121" s="17">
        <v>129232.50000000001</v>
      </c>
      <c r="AA121" s="17">
        <v>130746.00000000001</v>
      </c>
      <c r="AB121" s="17">
        <v>132330.5</v>
      </c>
      <c r="AC121" s="17">
        <v>134008.5</v>
      </c>
      <c r="AD121" s="17">
        <v>135706</v>
      </c>
      <c r="AE121" s="17">
        <v>137245.5</v>
      </c>
      <c r="AF121" s="17">
        <v>138694.5</v>
      </c>
    </row>
    <row r="122" spans="1:32" x14ac:dyDescent="0.25">
      <c r="A122" t="s">
        <v>48</v>
      </c>
      <c r="B122" s="17">
        <v>673912.50000000012</v>
      </c>
      <c r="C122" s="17">
        <v>691459.99999999988</v>
      </c>
      <c r="D122" s="17">
        <v>709328.50000000012</v>
      </c>
      <c r="E122" s="17">
        <v>726850</v>
      </c>
      <c r="F122" s="17">
        <v>743460.49999999988</v>
      </c>
      <c r="G122" s="17">
        <v>758545</v>
      </c>
      <c r="H122" s="17">
        <v>771156</v>
      </c>
      <c r="I122" s="17">
        <v>780680.49999999988</v>
      </c>
      <c r="J122" s="17">
        <v>787406.5</v>
      </c>
      <c r="K122" s="17">
        <v>791976.50000000012</v>
      </c>
      <c r="L122" s="17">
        <v>795512.5</v>
      </c>
      <c r="M122" s="17">
        <v>800967</v>
      </c>
      <c r="N122" s="17">
        <v>807731.5</v>
      </c>
      <c r="O122" s="17">
        <v>813323</v>
      </c>
      <c r="P122" s="17">
        <v>818104</v>
      </c>
      <c r="Q122" s="17">
        <v>822574.5</v>
      </c>
      <c r="R122" s="17">
        <v>826468.00000000012</v>
      </c>
      <c r="S122" s="17">
        <v>829277</v>
      </c>
      <c r="T122" s="17">
        <v>830996</v>
      </c>
      <c r="U122" s="17">
        <v>832239</v>
      </c>
      <c r="V122" s="17">
        <v>833958.00000000012</v>
      </c>
      <c r="W122" s="17">
        <v>837059.50000000012</v>
      </c>
      <c r="X122" s="17">
        <v>842064.5</v>
      </c>
      <c r="Y122" s="17">
        <v>849474</v>
      </c>
      <c r="Z122" s="17">
        <v>859008</v>
      </c>
      <c r="AA122" s="17">
        <v>869370.49999999988</v>
      </c>
      <c r="AB122" s="17">
        <v>880646.5</v>
      </c>
      <c r="AC122" s="17">
        <v>893690</v>
      </c>
      <c r="AD122" s="17">
        <v>908334.49999999988</v>
      </c>
      <c r="AE122" s="17">
        <v>924129</v>
      </c>
      <c r="AF122" s="17">
        <v>940218.5</v>
      </c>
    </row>
    <row r="123" spans="1:32" x14ac:dyDescent="0.25">
      <c r="A123" t="s">
        <v>221</v>
      </c>
      <c r="B123" s="17">
        <v>164858.5</v>
      </c>
      <c r="C123" s="17">
        <v>164652</v>
      </c>
      <c r="D123" s="17">
        <v>164434</v>
      </c>
      <c r="E123" s="17">
        <v>163960</v>
      </c>
      <c r="F123" s="17">
        <v>163067.99999999997</v>
      </c>
      <c r="G123" s="17">
        <v>161986</v>
      </c>
      <c r="H123" s="17">
        <v>160857.00000000003</v>
      </c>
      <c r="I123" s="17">
        <v>159703.5</v>
      </c>
      <c r="J123" s="17">
        <v>158410</v>
      </c>
      <c r="K123" s="17">
        <v>157044</v>
      </c>
      <c r="L123" s="17">
        <v>155790</v>
      </c>
      <c r="M123" s="17">
        <v>155025.50000000003</v>
      </c>
      <c r="N123" s="17">
        <v>154517.49999999997</v>
      </c>
      <c r="O123" s="17">
        <v>153745</v>
      </c>
      <c r="P123" s="17">
        <v>152744.99999999997</v>
      </c>
      <c r="Q123" s="17">
        <v>151614</v>
      </c>
      <c r="R123" s="17">
        <v>150507.5</v>
      </c>
      <c r="S123" s="17">
        <v>149406</v>
      </c>
      <c r="T123" s="17">
        <v>148316.5</v>
      </c>
      <c r="U123" s="17">
        <v>147181.5</v>
      </c>
      <c r="V123" s="17">
        <v>145997</v>
      </c>
      <c r="W123" s="17">
        <v>145053</v>
      </c>
      <c r="X123" s="17">
        <v>144327</v>
      </c>
      <c r="Y123" s="17">
        <v>143600.00000000003</v>
      </c>
      <c r="Z123" s="17">
        <v>142929.99999999997</v>
      </c>
      <c r="AA123" s="17">
        <v>142300.5</v>
      </c>
      <c r="AB123" s="17">
        <v>141448</v>
      </c>
      <c r="AC123" s="17">
        <v>140409.00000000003</v>
      </c>
      <c r="AD123" s="17">
        <v>139369.50000000003</v>
      </c>
      <c r="AE123" s="17">
        <v>138339.5</v>
      </c>
      <c r="AF123" s="17">
        <v>137285</v>
      </c>
    </row>
    <row r="124" spans="1:32" x14ac:dyDescent="0.25">
      <c r="A124" t="s">
        <v>223</v>
      </c>
      <c r="B124" s="17">
        <v>7686819.5</v>
      </c>
      <c r="C124" s="17">
        <v>7840826.4999999991</v>
      </c>
      <c r="D124" s="17">
        <v>7990056.0000000009</v>
      </c>
      <c r="E124" s="17">
        <v>8130099.5000000009</v>
      </c>
      <c r="F124" s="17">
        <v>8269538.5000000009</v>
      </c>
      <c r="G124" s="17">
        <v>8406292.0000000019</v>
      </c>
      <c r="H124" s="17">
        <v>8527313.5000000019</v>
      </c>
      <c r="I124" s="17">
        <v>8636111.5</v>
      </c>
      <c r="J124" s="17">
        <v>8734955</v>
      </c>
      <c r="K124" s="17">
        <v>8822095.0000000019</v>
      </c>
      <c r="L124" s="17">
        <v>8900609</v>
      </c>
      <c r="M124" s="17">
        <v>8971717.9999999981</v>
      </c>
      <c r="N124" s="17">
        <v>9036789.5</v>
      </c>
      <c r="O124" s="17">
        <v>9098487.5</v>
      </c>
      <c r="P124" s="17">
        <v>9153373</v>
      </c>
      <c r="Q124" s="17">
        <v>9199549</v>
      </c>
      <c r="R124" s="17">
        <v>9246006</v>
      </c>
      <c r="S124" s="17">
        <v>9291506.5</v>
      </c>
      <c r="T124" s="17">
        <v>9328206.0000000019</v>
      </c>
      <c r="U124" s="17">
        <v>9360578</v>
      </c>
      <c r="V124" s="17">
        <v>9409539.9999999981</v>
      </c>
      <c r="W124" s="17">
        <v>9471178.5</v>
      </c>
      <c r="X124" s="17">
        <v>9533504.5</v>
      </c>
      <c r="Y124" s="17">
        <v>9601219.5000000019</v>
      </c>
      <c r="Z124" s="17">
        <v>9670430.9999999981</v>
      </c>
      <c r="AA124" s="17">
        <v>9740208.9999999981</v>
      </c>
      <c r="AB124" s="17">
        <v>9809636.9999999981</v>
      </c>
      <c r="AC124" s="17">
        <v>9878648.0000000019</v>
      </c>
      <c r="AD124" s="17">
        <v>9946966</v>
      </c>
      <c r="AE124" s="17">
        <v>10011867.5</v>
      </c>
      <c r="AF124" s="17">
        <v>10070336.500000002</v>
      </c>
    </row>
    <row r="125" spans="1:32" x14ac:dyDescent="0.25">
      <c r="A125" t="s">
        <v>49</v>
      </c>
      <c r="B125" s="17">
        <v>4236295.5</v>
      </c>
      <c r="C125" s="17">
        <v>4333906</v>
      </c>
      <c r="D125" s="17">
        <v>4436411</v>
      </c>
      <c r="E125" s="17">
        <v>4541491.9999999991</v>
      </c>
      <c r="F125" s="17">
        <v>4649717</v>
      </c>
      <c r="G125" s="17">
        <v>4760382.5</v>
      </c>
      <c r="H125" s="17">
        <v>4872919</v>
      </c>
      <c r="I125" s="17">
        <v>4991071</v>
      </c>
      <c r="J125" s="17">
        <v>5113429.9999999991</v>
      </c>
      <c r="K125" s="17">
        <v>5240093.0000000009</v>
      </c>
      <c r="L125" s="17">
        <v>5378434.5</v>
      </c>
      <c r="M125" s="17">
        <v>5533171</v>
      </c>
      <c r="N125" s="17">
        <v>5705546</v>
      </c>
      <c r="O125" s="17">
        <v>5894712</v>
      </c>
      <c r="P125" s="17">
        <v>6097931.0000000009</v>
      </c>
      <c r="Q125" s="17">
        <v>6312737.5</v>
      </c>
      <c r="R125" s="17">
        <v>6543476.5</v>
      </c>
      <c r="S125" s="17">
        <v>6779762</v>
      </c>
      <c r="T125" s="17">
        <v>7010637.5</v>
      </c>
      <c r="U125" s="17">
        <v>7242445.5</v>
      </c>
      <c r="V125" s="17">
        <v>7481791.9999999991</v>
      </c>
      <c r="W125" s="17">
        <v>7723417.5</v>
      </c>
      <c r="X125" s="17">
        <v>7963639.4999999991</v>
      </c>
      <c r="Y125" s="17">
        <v>8215530.5000000009</v>
      </c>
      <c r="Z125" s="17">
        <v>8481693.5000000019</v>
      </c>
      <c r="AA125" s="17">
        <v>8758610</v>
      </c>
      <c r="AB125" s="17">
        <v>9043800.5</v>
      </c>
      <c r="AC125" s="17">
        <v>9335970.0000000019</v>
      </c>
      <c r="AD125" s="17">
        <v>9635619.9999999981</v>
      </c>
      <c r="AE125" s="17">
        <v>9937708</v>
      </c>
      <c r="AF125" s="17">
        <v>10240852</v>
      </c>
    </row>
    <row r="126" spans="1:32" x14ac:dyDescent="0.25">
      <c r="A126" t="s">
        <v>50</v>
      </c>
      <c r="B126" s="17">
        <v>12294522.500000002</v>
      </c>
      <c r="C126" s="17">
        <v>12475955.5</v>
      </c>
      <c r="D126" s="17">
        <v>12633993.499999998</v>
      </c>
      <c r="E126" s="17">
        <v>12770518.5</v>
      </c>
      <c r="F126" s="17">
        <v>12894428</v>
      </c>
      <c r="G126" s="17">
        <v>13010283.500000002</v>
      </c>
      <c r="H126" s="17">
        <v>13117122</v>
      </c>
      <c r="I126" s="17">
        <v>13217811.499999998</v>
      </c>
      <c r="J126" s="17">
        <v>13298926.5</v>
      </c>
      <c r="K126" s="17">
        <v>13379341.999999998</v>
      </c>
      <c r="L126" s="17">
        <v>13480332</v>
      </c>
      <c r="M126" s="17">
        <v>13590452.5</v>
      </c>
      <c r="N126" s="17">
        <v>13704910.499999998</v>
      </c>
      <c r="O126" s="17">
        <v>13815115.000000002</v>
      </c>
      <c r="P126" s="17">
        <v>13914962.500000002</v>
      </c>
      <c r="Q126" s="17">
        <v>14001605.499999998</v>
      </c>
      <c r="R126" s="17">
        <v>14083495.5</v>
      </c>
      <c r="S126" s="17">
        <v>14163617.5</v>
      </c>
      <c r="T126" s="17">
        <v>14233963</v>
      </c>
      <c r="U126" s="17">
        <v>14294572</v>
      </c>
      <c r="V126" s="17">
        <v>14354222.5</v>
      </c>
      <c r="W126" s="17">
        <v>14416370.5</v>
      </c>
      <c r="X126" s="17">
        <v>14477600.999999998</v>
      </c>
      <c r="Y126" s="17">
        <v>14533571</v>
      </c>
      <c r="Z126" s="17">
        <v>14584142</v>
      </c>
      <c r="AA126" s="17">
        <v>14629453</v>
      </c>
      <c r="AB126" s="17">
        <v>14667011</v>
      </c>
      <c r="AC126" s="17">
        <v>14696874</v>
      </c>
      <c r="AD126" s="17">
        <v>14720226.000000002</v>
      </c>
      <c r="AE126" s="17">
        <v>14738285.499999998</v>
      </c>
      <c r="AF126" s="17">
        <v>14753778.499999998</v>
      </c>
    </row>
    <row r="127" spans="1:32" x14ac:dyDescent="0.25">
      <c r="A127" t="s">
        <v>224</v>
      </c>
      <c r="B127" s="17">
        <v>455090</v>
      </c>
      <c r="C127" s="17">
        <v>465934.5</v>
      </c>
      <c r="D127" s="17">
        <v>476575.00000000006</v>
      </c>
      <c r="E127" s="17">
        <v>486436.5</v>
      </c>
      <c r="F127" s="17">
        <v>495995.50000000006</v>
      </c>
      <c r="G127" s="17">
        <v>506643.49999999994</v>
      </c>
      <c r="H127" s="17">
        <v>518225</v>
      </c>
      <c r="I127" s="17">
        <v>529901.5</v>
      </c>
      <c r="J127" s="17">
        <v>541473.5</v>
      </c>
      <c r="K127" s="17">
        <v>552749.5</v>
      </c>
      <c r="L127" s="17">
        <v>563260.5</v>
      </c>
      <c r="M127" s="17">
        <v>572788.5</v>
      </c>
      <c r="N127" s="17">
        <v>581934.50000000012</v>
      </c>
      <c r="O127" s="17">
        <v>591269</v>
      </c>
      <c r="P127" s="17">
        <v>600760.5</v>
      </c>
      <c r="Q127" s="17">
        <v>610089.5</v>
      </c>
      <c r="R127" s="17">
        <v>618975</v>
      </c>
      <c r="S127" s="17">
        <v>627378</v>
      </c>
      <c r="T127" s="17">
        <v>635387</v>
      </c>
      <c r="U127" s="17">
        <v>643241.5</v>
      </c>
      <c r="V127" s="17">
        <v>652131.5</v>
      </c>
      <c r="W127" s="17">
        <v>661818.50000000012</v>
      </c>
      <c r="X127" s="17">
        <v>671423.00000000012</v>
      </c>
      <c r="Y127" s="17">
        <v>681696</v>
      </c>
      <c r="Z127" s="17">
        <v>693243.5</v>
      </c>
      <c r="AA127" s="17">
        <v>705863.00000000012</v>
      </c>
      <c r="AB127" s="17">
        <v>719131</v>
      </c>
      <c r="AC127" s="17">
        <v>733062.00000000012</v>
      </c>
      <c r="AD127" s="17">
        <v>747447</v>
      </c>
      <c r="AE127" s="17">
        <v>762264.00000000012</v>
      </c>
      <c r="AF127" s="17">
        <v>777408.00000000012</v>
      </c>
    </row>
    <row r="128" spans="1:32" x14ac:dyDescent="0.25">
      <c r="A128" t="s">
        <v>51</v>
      </c>
      <c r="B128" s="17">
        <v>5729896.5000000009</v>
      </c>
      <c r="C128" s="17">
        <v>5857670.4999999991</v>
      </c>
      <c r="D128" s="17">
        <v>5989672.5000000009</v>
      </c>
      <c r="E128" s="17">
        <v>6123785.0000000009</v>
      </c>
      <c r="F128" s="17">
        <v>6257424</v>
      </c>
      <c r="G128" s="17">
        <v>6390519.9999999991</v>
      </c>
      <c r="H128" s="17">
        <v>6522045</v>
      </c>
      <c r="I128" s="17">
        <v>6653037.5</v>
      </c>
      <c r="J128" s="17">
        <v>6788569.5000000009</v>
      </c>
      <c r="K128" s="17">
        <v>6927883.0000000009</v>
      </c>
      <c r="L128" s="17">
        <v>7068499</v>
      </c>
      <c r="M128" s="17">
        <v>7200338.5000000009</v>
      </c>
      <c r="N128" s="17">
        <v>7316014.5</v>
      </c>
      <c r="O128" s="17">
        <v>7424123.9999999991</v>
      </c>
      <c r="P128" s="17">
        <v>7537742.9999999991</v>
      </c>
      <c r="Q128" s="17">
        <v>7667288.5</v>
      </c>
      <c r="R128" s="17">
        <v>7820883</v>
      </c>
      <c r="S128" s="17">
        <v>7987378.5</v>
      </c>
      <c r="T128" s="17">
        <v>8149118.5000000009</v>
      </c>
      <c r="U128" s="17">
        <v>8306130.0000000009</v>
      </c>
      <c r="V128" s="17">
        <v>8509059.5</v>
      </c>
      <c r="W128" s="17">
        <v>8751065.5</v>
      </c>
      <c r="X128" s="17">
        <v>8930434.5</v>
      </c>
      <c r="Y128" s="17">
        <v>9051756.5000000019</v>
      </c>
      <c r="Z128" s="17">
        <v>9164298.4999999981</v>
      </c>
      <c r="AA128" s="17">
        <v>9268164.5000000019</v>
      </c>
      <c r="AB128" s="17">
        <v>9365358</v>
      </c>
      <c r="AC128" s="17">
        <v>9458007.5000000019</v>
      </c>
      <c r="AD128" s="17">
        <v>9546312.0000000019</v>
      </c>
      <c r="AE128" s="17">
        <v>9629577.5</v>
      </c>
      <c r="AF128" s="17">
        <v>9708066.4999999981</v>
      </c>
    </row>
    <row r="129" spans="1:32" x14ac:dyDescent="0.25">
      <c r="A129" t="s">
        <v>226</v>
      </c>
      <c r="B129" s="17">
        <v>3947266.0000000005</v>
      </c>
      <c r="C129" s="17">
        <v>3939123</v>
      </c>
      <c r="D129" s="17">
        <v>3930892.5</v>
      </c>
      <c r="E129" s="17">
        <v>3921350.5</v>
      </c>
      <c r="F129" s="17">
        <v>3912275.4999999995</v>
      </c>
      <c r="G129" s="17">
        <v>3904298.5</v>
      </c>
      <c r="H129" s="17">
        <v>3896978.5</v>
      </c>
      <c r="I129" s="17">
        <v>3888556.4999999995</v>
      </c>
      <c r="J129" s="17">
        <v>3878635.5000000005</v>
      </c>
      <c r="K129" s="17">
        <v>3867441</v>
      </c>
      <c r="L129" s="17">
        <v>3855357.9999999995</v>
      </c>
      <c r="M129" s="17">
        <v>3842254</v>
      </c>
      <c r="N129" s="17">
        <v>3829735</v>
      </c>
      <c r="O129" s="17">
        <v>3819846.9999999995</v>
      </c>
      <c r="P129" s="17">
        <v>3811408.0000000005</v>
      </c>
      <c r="Q129" s="17">
        <v>3806406.0000000005</v>
      </c>
      <c r="R129" s="17">
        <v>3804501.5000000005</v>
      </c>
      <c r="S129" s="17">
        <v>3802237.4999999995</v>
      </c>
      <c r="T129" s="17">
        <v>3798853.0000000005</v>
      </c>
      <c r="U129" s="17">
        <v>3790549</v>
      </c>
      <c r="V129" s="17">
        <v>3777938</v>
      </c>
      <c r="W129" s="17">
        <v>3766738.0000000005</v>
      </c>
      <c r="X129" s="17">
        <v>3753568.9999999995</v>
      </c>
      <c r="Y129" s="17">
        <v>3741693.5</v>
      </c>
      <c r="Z129" s="17">
        <v>3736943.5000000005</v>
      </c>
      <c r="AA129" s="17">
        <v>3736218</v>
      </c>
      <c r="AB129" s="17">
        <v>3736496.9999999995</v>
      </c>
      <c r="AC129" s="17">
        <v>3735006.9999999995</v>
      </c>
      <c r="AD129" s="17">
        <v>3730933.0000000005</v>
      </c>
      <c r="AE129" s="17">
        <v>3726099.5000000005</v>
      </c>
      <c r="AF129" s="17">
        <v>3719579.5</v>
      </c>
    </row>
    <row r="130" spans="1:32" x14ac:dyDescent="0.25">
      <c r="A130" t="s">
        <v>228</v>
      </c>
      <c r="B130" s="17">
        <v>58316</v>
      </c>
      <c r="C130" s="17">
        <v>59501.499999999993</v>
      </c>
      <c r="D130" s="17">
        <v>60775.499999999993</v>
      </c>
      <c r="E130" s="17">
        <v>62071</v>
      </c>
      <c r="F130" s="17">
        <v>63276.500000000007</v>
      </c>
      <c r="G130" s="17">
        <v>64235</v>
      </c>
      <c r="H130" s="17">
        <v>65156.499999999993</v>
      </c>
      <c r="I130" s="17">
        <v>66139.000000000015</v>
      </c>
      <c r="J130" s="17">
        <v>66975.5</v>
      </c>
      <c r="K130" s="17">
        <v>67850.5</v>
      </c>
      <c r="L130" s="17">
        <v>69008.5</v>
      </c>
      <c r="M130" s="17">
        <v>70313</v>
      </c>
      <c r="N130" s="17">
        <v>71569.5</v>
      </c>
      <c r="O130" s="17">
        <v>72787</v>
      </c>
      <c r="P130" s="17">
        <v>73752</v>
      </c>
      <c r="Q130" s="17">
        <v>74047.000000000015</v>
      </c>
      <c r="R130" s="17">
        <v>73866.000000000015</v>
      </c>
      <c r="S130" s="17">
        <v>73606.5</v>
      </c>
      <c r="T130" s="17">
        <v>73247</v>
      </c>
      <c r="U130" s="17">
        <v>72751.5</v>
      </c>
      <c r="V130" s="17">
        <v>72345.5</v>
      </c>
      <c r="W130" s="17">
        <v>72088.5</v>
      </c>
      <c r="X130" s="17">
        <v>72030.999999999985</v>
      </c>
      <c r="Y130" s="17">
        <v>72163</v>
      </c>
      <c r="Z130" s="17">
        <v>72305.5</v>
      </c>
      <c r="AA130" s="17">
        <v>72560.499999999985</v>
      </c>
      <c r="AB130" s="17">
        <v>72917.5</v>
      </c>
      <c r="AC130" s="17">
        <v>73292.5</v>
      </c>
      <c r="AD130" s="17">
        <v>73654.000000000015</v>
      </c>
      <c r="AE130" s="17">
        <v>73988.5</v>
      </c>
      <c r="AF130" s="17">
        <v>74277</v>
      </c>
    </row>
    <row r="131" spans="1:32" x14ac:dyDescent="0.25">
      <c r="A131" t="s">
        <v>229</v>
      </c>
      <c r="B131" s="17">
        <v>990562.5</v>
      </c>
      <c r="C131" s="17">
        <v>995384.50000000012</v>
      </c>
      <c r="D131" s="17">
        <v>1010036</v>
      </c>
      <c r="E131" s="17">
        <v>1029550</v>
      </c>
      <c r="F131" s="17">
        <v>1045619.0000000001</v>
      </c>
      <c r="G131" s="17">
        <v>1057724.5000000002</v>
      </c>
      <c r="H131" s="17">
        <v>1066976.4999999998</v>
      </c>
      <c r="I131" s="17">
        <v>1071845</v>
      </c>
      <c r="J131" s="17">
        <v>1073578.5</v>
      </c>
      <c r="K131" s="17">
        <v>1075273</v>
      </c>
      <c r="L131" s="17">
        <v>1076158.5</v>
      </c>
      <c r="M131" s="17">
        <v>1073417</v>
      </c>
      <c r="N131" s="17">
        <v>1068604.5</v>
      </c>
      <c r="O131" s="17">
        <v>1067715</v>
      </c>
      <c r="P131" s="17">
        <v>1076648</v>
      </c>
      <c r="Q131" s="17">
        <v>1092445</v>
      </c>
      <c r="R131" s="17">
        <v>1109080</v>
      </c>
      <c r="S131" s="17">
        <v>1125578</v>
      </c>
      <c r="T131" s="17">
        <v>1143507</v>
      </c>
      <c r="U131" s="17">
        <v>1164915.5</v>
      </c>
      <c r="V131" s="17">
        <v>1181930</v>
      </c>
      <c r="W131" s="17">
        <v>1192910.5</v>
      </c>
      <c r="X131" s="17">
        <v>1199835</v>
      </c>
      <c r="Y131" s="17">
        <v>1203126.4999999998</v>
      </c>
      <c r="Z131" s="17">
        <v>1207531.5</v>
      </c>
      <c r="AA131" s="17">
        <v>1213233.0000000002</v>
      </c>
      <c r="AB131" s="17">
        <v>1219851</v>
      </c>
      <c r="AC131" s="17">
        <v>1226483.4999999998</v>
      </c>
      <c r="AD131" s="17">
        <v>1232404.5</v>
      </c>
      <c r="AE131" s="17">
        <v>1237057</v>
      </c>
      <c r="AF131" s="17">
        <v>1240687.5</v>
      </c>
    </row>
    <row r="132" spans="1:32" x14ac:dyDescent="0.25">
      <c r="A132" t="s">
        <v>52</v>
      </c>
      <c r="B132" s="17">
        <v>1301313.5000000002</v>
      </c>
      <c r="C132" s="17">
        <v>1328337.9999999998</v>
      </c>
      <c r="D132" s="17">
        <v>1354782.0000000002</v>
      </c>
      <c r="E132" s="17">
        <v>1381167.5</v>
      </c>
      <c r="F132" s="17">
        <v>1407724</v>
      </c>
      <c r="G132" s="17">
        <v>1436483.5</v>
      </c>
      <c r="H132" s="17">
        <v>1467783.5</v>
      </c>
      <c r="I132" s="17">
        <v>1499672</v>
      </c>
      <c r="J132" s="17">
        <v>1531823.5</v>
      </c>
      <c r="K132" s="17">
        <v>1563860.0000000002</v>
      </c>
      <c r="L132" s="17">
        <v>1595503</v>
      </c>
      <c r="M132" s="17">
        <v>1626585.5</v>
      </c>
      <c r="N132" s="17">
        <v>1656687.0000000005</v>
      </c>
      <c r="O132" s="17">
        <v>1685618</v>
      </c>
      <c r="P132" s="17">
        <v>1713622</v>
      </c>
      <c r="Q132" s="17">
        <v>1740842.9999999998</v>
      </c>
      <c r="R132" s="17">
        <v>1767301</v>
      </c>
      <c r="S132" s="17">
        <v>1792980.4999999998</v>
      </c>
      <c r="T132" s="17">
        <v>1817816.0000000002</v>
      </c>
      <c r="U132" s="17">
        <v>1841765.5</v>
      </c>
      <c r="V132" s="17">
        <v>1866336.5</v>
      </c>
      <c r="W132" s="17">
        <v>1891681.5</v>
      </c>
      <c r="X132" s="17">
        <v>1916822.9999999998</v>
      </c>
      <c r="Y132" s="17">
        <v>1941627</v>
      </c>
      <c r="Z132" s="17">
        <v>1965658.9999999998</v>
      </c>
      <c r="AA132" s="17">
        <v>1988995.5000000002</v>
      </c>
      <c r="AB132" s="17">
        <v>2011584.5000000002</v>
      </c>
      <c r="AC132" s="17">
        <v>2033433.4999999998</v>
      </c>
      <c r="AD132" s="17">
        <v>2054511.5</v>
      </c>
      <c r="AE132" s="17">
        <v>2074703</v>
      </c>
      <c r="AF132" s="17">
        <v>2093917.5</v>
      </c>
    </row>
    <row r="133" spans="1:32" x14ac:dyDescent="0.25">
      <c r="A133" t="s">
        <v>53</v>
      </c>
      <c r="B133" s="17">
        <v>2524633.4999999995</v>
      </c>
      <c r="C133" s="17">
        <v>2601588.5000000005</v>
      </c>
      <c r="D133" s="17">
        <v>2680036.5</v>
      </c>
      <c r="E133" s="17">
        <v>2760627.0000000005</v>
      </c>
      <c r="F133" s="17">
        <v>2844140.9999999995</v>
      </c>
      <c r="G133" s="17">
        <v>2931737</v>
      </c>
      <c r="H133" s="17">
        <v>3023821.5</v>
      </c>
      <c r="I133" s="17">
        <v>3120738.5</v>
      </c>
      <c r="J133" s="17">
        <v>3223259</v>
      </c>
      <c r="K133" s="17">
        <v>3332054</v>
      </c>
      <c r="L133" s="17">
        <v>3448334</v>
      </c>
      <c r="M133" s="17">
        <v>3572622.0000000005</v>
      </c>
      <c r="N133" s="17">
        <v>3709331</v>
      </c>
      <c r="O133" s="17">
        <v>3854043.5</v>
      </c>
      <c r="P133" s="17">
        <v>4003100.9999999995</v>
      </c>
      <c r="Q133" s="17">
        <v>4164045</v>
      </c>
      <c r="R133" s="17">
        <v>4335487.5</v>
      </c>
      <c r="S133" s="17">
        <v>4510571.5</v>
      </c>
      <c r="T133" s="17">
        <v>4690737</v>
      </c>
      <c r="U133" s="17">
        <v>4878477.5000000009</v>
      </c>
      <c r="V133" s="17">
        <v>5075045</v>
      </c>
      <c r="W133" s="17">
        <v>5282509.0000000009</v>
      </c>
      <c r="X133" s="17">
        <v>5500892.5</v>
      </c>
      <c r="Y133" s="17">
        <v>5730701.9999999991</v>
      </c>
      <c r="Z133" s="17">
        <v>5970781.5</v>
      </c>
      <c r="AA133" s="17">
        <v>6220901</v>
      </c>
      <c r="AB133" s="17">
        <v>6480309.9999999991</v>
      </c>
      <c r="AC133" s="17">
        <v>6748109</v>
      </c>
      <c r="AD133" s="17">
        <v>7024984.5</v>
      </c>
      <c r="AE133" s="17">
        <v>7311617.5</v>
      </c>
      <c r="AF133" s="17">
        <v>7608597.5</v>
      </c>
    </row>
    <row r="134" spans="1:32" x14ac:dyDescent="0.25">
      <c r="A134" t="s">
        <v>54</v>
      </c>
      <c r="B134" s="17">
        <v>28246300</v>
      </c>
      <c r="C134" s="17">
        <v>29018797.5</v>
      </c>
      <c r="D134" s="17">
        <v>29793445.499999996</v>
      </c>
      <c r="E134" s="17">
        <v>30571887</v>
      </c>
      <c r="F134" s="17">
        <v>31365539.5</v>
      </c>
      <c r="G134" s="17">
        <v>32172565.500000004</v>
      </c>
      <c r="H134" s="17">
        <v>32987946.5</v>
      </c>
      <c r="I134" s="17">
        <v>33824671.5</v>
      </c>
      <c r="J134" s="17">
        <v>34686194.5</v>
      </c>
      <c r="K134" s="17">
        <v>35577956.5</v>
      </c>
      <c r="L134" s="17">
        <v>36517424.5</v>
      </c>
      <c r="M134" s="17">
        <v>37505567.500000007</v>
      </c>
      <c r="N134" s="17">
        <v>38523098.000000007</v>
      </c>
      <c r="O134" s="17">
        <v>39558318.499999993</v>
      </c>
      <c r="P134" s="17">
        <v>40617146</v>
      </c>
      <c r="Q134" s="17">
        <v>41698648.5</v>
      </c>
      <c r="R134" s="17">
        <v>42829957.500000007</v>
      </c>
      <c r="S134" s="17">
        <v>44046547.5</v>
      </c>
      <c r="T134" s="17">
        <v>45305368.5</v>
      </c>
      <c r="U134" s="17">
        <v>46579416.5</v>
      </c>
      <c r="V134" s="17">
        <v>47915557.499999993</v>
      </c>
      <c r="W134" s="17">
        <v>49295540</v>
      </c>
      <c r="X134" s="17">
        <v>50696885.500000007</v>
      </c>
      <c r="Y134" s="17">
        <v>52144306.500000007</v>
      </c>
      <c r="Z134" s="17">
        <v>53625061</v>
      </c>
      <c r="AA134" s="17">
        <v>55129965.000000007</v>
      </c>
      <c r="AB134" s="17">
        <v>56662485.500000007</v>
      </c>
      <c r="AC134" s="17">
        <v>58215450</v>
      </c>
      <c r="AD134" s="17">
        <v>59775134.999999993</v>
      </c>
      <c r="AE134" s="17">
        <v>61343837.999999985</v>
      </c>
      <c r="AF134" s="17">
        <v>62926881.499999993</v>
      </c>
    </row>
    <row r="135" spans="1:32" x14ac:dyDescent="0.25">
      <c r="A135" t="s">
        <v>230</v>
      </c>
      <c r="B135" s="17">
        <v>1067471.5</v>
      </c>
      <c r="C135" s="17">
        <v>1067816</v>
      </c>
      <c r="D135" s="17">
        <v>1070529.4999999998</v>
      </c>
      <c r="E135" s="17">
        <v>1074158</v>
      </c>
      <c r="F135" s="17">
        <v>1077859</v>
      </c>
      <c r="G135" s="17">
        <v>1083242</v>
      </c>
      <c r="H135" s="17">
        <v>1089687.0000000002</v>
      </c>
      <c r="I135" s="17">
        <v>1098247.5</v>
      </c>
      <c r="J135" s="17">
        <v>1110123</v>
      </c>
      <c r="K135" s="17">
        <v>1123270.5</v>
      </c>
      <c r="L135" s="17">
        <v>1137076</v>
      </c>
      <c r="M135" s="17">
        <v>1151703.5</v>
      </c>
      <c r="N135" s="17">
        <v>1166401</v>
      </c>
      <c r="O135" s="17">
        <v>1179295</v>
      </c>
      <c r="P135" s="17">
        <v>1189585</v>
      </c>
      <c r="Q135" s="17">
        <v>1197356</v>
      </c>
      <c r="R135" s="17">
        <v>1202018</v>
      </c>
      <c r="S135" s="17">
        <v>1204485.9999999998</v>
      </c>
      <c r="T135" s="17">
        <v>1205873.5</v>
      </c>
      <c r="U135" s="17">
        <v>1207614</v>
      </c>
      <c r="V135" s="17">
        <v>1207974</v>
      </c>
      <c r="W135" s="17">
        <v>1206156.0000000002</v>
      </c>
      <c r="X135" s="17">
        <v>1207889.9999999998</v>
      </c>
      <c r="Y135" s="17">
        <v>1214220.5</v>
      </c>
      <c r="Z135" s="17">
        <v>1221629.5</v>
      </c>
      <c r="AA135" s="17">
        <v>1229596.5</v>
      </c>
      <c r="AB135" s="17">
        <v>1238119</v>
      </c>
      <c r="AC135" s="17">
        <v>1246843</v>
      </c>
      <c r="AD135" s="17">
        <v>1254989</v>
      </c>
      <c r="AE135" s="17">
        <v>1262025</v>
      </c>
      <c r="AF135" s="17">
        <v>1268298.5</v>
      </c>
    </row>
    <row r="136" spans="1:32" x14ac:dyDescent="0.25">
      <c r="A136" t="s">
        <v>231</v>
      </c>
      <c r="B136" s="17">
        <v>494118.00000000006</v>
      </c>
      <c r="C136" s="17">
        <v>513532.5</v>
      </c>
      <c r="D136" s="17">
        <v>532945.49999999988</v>
      </c>
      <c r="E136" s="17">
        <v>552087.50000000012</v>
      </c>
      <c r="F136" s="17">
        <v>570795.50000000012</v>
      </c>
      <c r="G136" s="17">
        <v>589247.00000000012</v>
      </c>
      <c r="H136" s="17">
        <v>607309</v>
      </c>
      <c r="I136" s="17">
        <v>624462.49999999988</v>
      </c>
      <c r="J136" s="17">
        <v>640404.5</v>
      </c>
      <c r="K136" s="17">
        <v>654875</v>
      </c>
      <c r="L136" s="17">
        <v>683583</v>
      </c>
      <c r="M136" s="17">
        <v>726538</v>
      </c>
      <c r="N136" s="17">
        <v>767664.00000000012</v>
      </c>
      <c r="O136" s="17">
        <v>804391.00000000012</v>
      </c>
      <c r="P136" s="17">
        <v>836021.5</v>
      </c>
      <c r="Q136" s="17">
        <v>865539.00000000012</v>
      </c>
      <c r="R136" s="17">
        <v>892354</v>
      </c>
      <c r="S136" s="17">
        <v>915312.5</v>
      </c>
      <c r="T136" s="17">
        <v>936619</v>
      </c>
      <c r="U136" s="17">
        <v>953705</v>
      </c>
      <c r="V136" s="17">
        <v>963130.49999999988</v>
      </c>
      <c r="W136" s="17">
        <v>972167.5</v>
      </c>
      <c r="X136" s="17">
        <v>986914.99999999988</v>
      </c>
      <c r="Y136" s="17">
        <v>1005134.5</v>
      </c>
      <c r="Z136" s="17">
        <v>1024932.4999999999</v>
      </c>
      <c r="AA136" s="17">
        <v>1044866</v>
      </c>
      <c r="AB136" s="17">
        <v>1064183.5</v>
      </c>
      <c r="AC136" s="17">
        <v>1083785.5000000002</v>
      </c>
      <c r="AD136" s="17">
        <v>1104786</v>
      </c>
      <c r="AE136" s="17">
        <v>1127132</v>
      </c>
      <c r="AF136" s="17">
        <v>1149869.0000000002</v>
      </c>
    </row>
    <row r="137" spans="1:32" x14ac:dyDescent="0.25">
      <c r="A137" t="s">
        <v>55</v>
      </c>
      <c r="B137" s="17">
        <v>34699423.5</v>
      </c>
      <c r="C137" s="17">
        <v>36184627.5</v>
      </c>
      <c r="D137" s="17">
        <v>37341167</v>
      </c>
      <c r="E137" s="17">
        <v>38334975.5</v>
      </c>
      <c r="F137" s="17">
        <v>39417660.000000007</v>
      </c>
      <c r="G137" s="17">
        <v>40507361.000000007</v>
      </c>
      <c r="H137" s="17">
        <v>41600947.5</v>
      </c>
      <c r="I137" s="17">
        <v>42739083.499999993</v>
      </c>
      <c r="J137" s="17">
        <v>43898128.5</v>
      </c>
      <c r="K137" s="17">
        <v>45098486.500000007</v>
      </c>
      <c r="L137" s="17">
        <v>46326232.500000007</v>
      </c>
      <c r="M137" s="17">
        <v>47450110.5</v>
      </c>
      <c r="N137" s="17">
        <v>48334842.500000007</v>
      </c>
      <c r="O137" s="17">
        <v>49026821.999999993</v>
      </c>
      <c r="P137" s="17">
        <v>49660374.5</v>
      </c>
      <c r="Q137" s="17">
        <v>50396373.999999993</v>
      </c>
      <c r="R137" s="17">
        <v>51254444.500000007</v>
      </c>
      <c r="S137" s="17">
        <v>52232605.5</v>
      </c>
      <c r="T137" s="17">
        <v>53366323.999999993</v>
      </c>
      <c r="U137" s="17">
        <v>54558945.499999993</v>
      </c>
      <c r="V137" s="17">
        <v>55855613.499999993</v>
      </c>
      <c r="W137" s="17">
        <v>57254829</v>
      </c>
      <c r="X137" s="17">
        <v>58740868</v>
      </c>
      <c r="Y137" s="17">
        <v>60303951</v>
      </c>
      <c r="Z137" s="17">
        <v>61891032.000000007</v>
      </c>
      <c r="AA137" s="17">
        <v>63509103.5</v>
      </c>
      <c r="AB137" s="17">
        <v>65153018.999999993</v>
      </c>
      <c r="AC137" s="17">
        <v>66810080.000000015</v>
      </c>
      <c r="AD137" s="17">
        <v>68463642</v>
      </c>
      <c r="AE137" s="17">
        <v>70083978.5</v>
      </c>
      <c r="AF137" s="17">
        <v>71647241.5</v>
      </c>
    </row>
    <row r="138" spans="1:32" x14ac:dyDescent="0.25">
      <c r="A138" t="s">
        <v>233</v>
      </c>
      <c r="B138" s="17">
        <v>794650.5</v>
      </c>
      <c r="C138" s="17">
        <v>811764</v>
      </c>
      <c r="D138" s="17">
        <v>828717.00000000012</v>
      </c>
      <c r="E138" s="17">
        <v>845457.00000000012</v>
      </c>
      <c r="F138" s="17">
        <v>862067</v>
      </c>
      <c r="G138" s="17">
        <v>878519.5</v>
      </c>
      <c r="H138" s="17">
        <v>894476.5</v>
      </c>
      <c r="I138" s="17">
        <v>909895</v>
      </c>
      <c r="J138" s="17">
        <v>924974</v>
      </c>
      <c r="K138" s="17">
        <v>939687.5</v>
      </c>
      <c r="L138" s="17">
        <v>954012.99999999988</v>
      </c>
      <c r="M138" s="17">
        <v>967949.5</v>
      </c>
      <c r="N138" s="17">
        <v>981507.5</v>
      </c>
      <c r="O138" s="17">
        <v>994746.5</v>
      </c>
      <c r="P138" s="17">
        <v>1007914.5</v>
      </c>
      <c r="Q138" s="17">
        <v>1021279</v>
      </c>
      <c r="R138" s="17">
        <v>1034895</v>
      </c>
      <c r="S138" s="17">
        <v>1048667.5</v>
      </c>
      <c r="T138" s="17">
        <v>1062374.5000000002</v>
      </c>
      <c r="U138" s="17">
        <v>1075957.5</v>
      </c>
      <c r="V138" s="17">
        <v>1088312.9999999998</v>
      </c>
      <c r="W138" s="17">
        <v>1099251.4999999998</v>
      </c>
      <c r="X138" s="17">
        <v>1110527.9999999998</v>
      </c>
      <c r="Y138" s="17">
        <v>1122408.5</v>
      </c>
      <c r="Z138" s="17">
        <v>1134192.5</v>
      </c>
      <c r="AA138" s="17">
        <v>1145708.5</v>
      </c>
      <c r="AB138" s="17">
        <v>1157260.4999999998</v>
      </c>
      <c r="AC138" s="17">
        <v>1169004.5</v>
      </c>
      <c r="AD138" s="17">
        <v>1180570.5</v>
      </c>
      <c r="AE138" s="17">
        <v>1191707.9999999998</v>
      </c>
      <c r="AF138" s="17">
        <v>1202331.0000000002</v>
      </c>
    </row>
    <row r="139" spans="1:32" x14ac:dyDescent="0.25">
      <c r="A139" t="s">
        <v>56</v>
      </c>
      <c r="B139" s="17">
        <v>1340919.5000000002</v>
      </c>
      <c r="C139" s="17">
        <v>1394338</v>
      </c>
      <c r="D139" s="17">
        <v>1448632.5000000002</v>
      </c>
      <c r="E139" s="17">
        <v>1504529.4999999998</v>
      </c>
      <c r="F139" s="17">
        <v>1561962</v>
      </c>
      <c r="G139" s="17">
        <v>1620439.5</v>
      </c>
      <c r="H139" s="17">
        <v>1679403.5</v>
      </c>
      <c r="I139" s="17">
        <v>1738805.9999999998</v>
      </c>
      <c r="J139" s="17">
        <v>1799168.0000000002</v>
      </c>
      <c r="K139" s="17">
        <v>1860522</v>
      </c>
      <c r="L139" s="17">
        <v>1922214.5</v>
      </c>
      <c r="M139" s="17">
        <v>1982838.9999999998</v>
      </c>
      <c r="N139" s="17">
        <v>2042072</v>
      </c>
      <c r="O139" s="17">
        <v>2100955.5</v>
      </c>
      <c r="P139" s="17">
        <v>2159743.5</v>
      </c>
      <c r="Q139" s="17">
        <v>2218671.5</v>
      </c>
      <c r="R139" s="17">
        <v>2277683.5</v>
      </c>
      <c r="S139" s="17">
        <v>2336724</v>
      </c>
      <c r="T139" s="17">
        <v>2395874</v>
      </c>
      <c r="U139" s="17">
        <v>2455002.0000000005</v>
      </c>
      <c r="V139" s="17">
        <v>2512089.5</v>
      </c>
      <c r="W139" s="17">
        <v>2567198</v>
      </c>
      <c r="X139" s="17">
        <v>2620048.5</v>
      </c>
      <c r="Y139" s="17">
        <v>2670578.5</v>
      </c>
      <c r="Z139" s="17">
        <v>2720946.5</v>
      </c>
      <c r="AA139" s="17">
        <v>2771305.5</v>
      </c>
      <c r="AB139" s="17">
        <v>2821722.5000000005</v>
      </c>
      <c r="AC139" s="17">
        <v>2871903.5</v>
      </c>
      <c r="AD139" s="17">
        <v>2921807.5</v>
      </c>
      <c r="AE139" s="17">
        <v>2971496.5</v>
      </c>
      <c r="AF139" s="17">
        <v>3020751</v>
      </c>
    </row>
    <row r="140" spans="1:32" x14ac:dyDescent="0.25">
      <c r="A140" t="s">
        <v>234</v>
      </c>
      <c r="B140" s="17">
        <v>1247966.5</v>
      </c>
      <c r="C140" s="17">
        <v>1277844.5000000002</v>
      </c>
      <c r="D140" s="17">
        <v>1303781</v>
      </c>
      <c r="E140" s="17">
        <v>1329675.0000000002</v>
      </c>
      <c r="F140" s="17">
        <v>1356867.5</v>
      </c>
      <c r="G140" s="17">
        <v>1383334.5</v>
      </c>
      <c r="H140" s="17">
        <v>1408768</v>
      </c>
      <c r="I140" s="17">
        <v>1432927</v>
      </c>
      <c r="J140" s="17">
        <v>1456218.9999999998</v>
      </c>
      <c r="K140" s="17">
        <v>1479489</v>
      </c>
      <c r="L140" s="17">
        <v>1504620.5</v>
      </c>
      <c r="M140" s="17">
        <v>1531653.5</v>
      </c>
      <c r="N140" s="17">
        <v>1558698.5</v>
      </c>
      <c r="O140" s="17">
        <v>1584854.5</v>
      </c>
      <c r="P140" s="17">
        <v>1609780.0000000002</v>
      </c>
      <c r="Q140" s="17">
        <v>1633533.0000000002</v>
      </c>
      <c r="R140" s="17">
        <v>1656143</v>
      </c>
      <c r="S140" s="17">
        <v>1677711.5</v>
      </c>
      <c r="T140" s="17">
        <v>1698547</v>
      </c>
      <c r="U140" s="17">
        <v>1718976.5</v>
      </c>
      <c r="V140" s="17">
        <v>1740423</v>
      </c>
      <c r="W140" s="17">
        <v>1762963.0000000002</v>
      </c>
      <c r="X140" s="17">
        <v>1784157.5000000002</v>
      </c>
      <c r="Y140" s="17">
        <v>1804195</v>
      </c>
      <c r="Z140" s="17">
        <v>1824151</v>
      </c>
      <c r="AA140" s="17">
        <v>1843577.4999999998</v>
      </c>
      <c r="AB140" s="17">
        <v>1862392.5</v>
      </c>
      <c r="AC140" s="17">
        <v>1880527</v>
      </c>
      <c r="AD140" s="17">
        <v>1898561.4999999998</v>
      </c>
      <c r="AE140" s="17">
        <v>1916822.9999999998</v>
      </c>
      <c r="AF140" s="17">
        <v>1934676.5</v>
      </c>
    </row>
    <row r="141" spans="1:32" x14ac:dyDescent="0.25">
      <c r="A141" t="s">
        <v>235</v>
      </c>
      <c r="B141" s="17">
        <v>6967821</v>
      </c>
      <c r="C141" s="17">
        <v>7083416.4999999991</v>
      </c>
      <c r="D141" s="17">
        <v>7183003.5</v>
      </c>
      <c r="E141" s="17">
        <v>7268780.4999999991</v>
      </c>
      <c r="F141" s="17">
        <v>7343500</v>
      </c>
      <c r="G141" s="17">
        <v>7405780.9999999991</v>
      </c>
      <c r="H141" s="17">
        <v>7456037.4999999991</v>
      </c>
      <c r="I141" s="17">
        <v>7497901.5000000009</v>
      </c>
      <c r="J141" s="17">
        <v>7542806.5</v>
      </c>
      <c r="K141" s="17">
        <v>7593686.5</v>
      </c>
      <c r="L141" s="17">
        <v>7646422</v>
      </c>
      <c r="M141" s="17">
        <v>7705101.5</v>
      </c>
      <c r="N141" s="17">
        <v>7769989.0000000009</v>
      </c>
      <c r="O141" s="17">
        <v>7840656.5</v>
      </c>
      <c r="P141" s="17">
        <v>7921175.4999999991</v>
      </c>
      <c r="Q141" s="17">
        <v>8018755.4999999991</v>
      </c>
      <c r="R141" s="17">
        <v>8137594.9999999991</v>
      </c>
      <c r="S141" s="17">
        <v>8273986.0000000009</v>
      </c>
      <c r="T141" s="17">
        <v>8462505.0000000019</v>
      </c>
      <c r="U141" s="17">
        <v>8658658.5</v>
      </c>
      <c r="V141" s="17">
        <v>8804815</v>
      </c>
      <c r="W141" s="17">
        <v>8934147</v>
      </c>
      <c r="X141" s="17">
        <v>9030414.5</v>
      </c>
      <c r="Y141" s="17">
        <v>9098006.5000000019</v>
      </c>
      <c r="Z141" s="17">
        <v>9164584.5</v>
      </c>
      <c r="AA141" s="17">
        <v>9230425.0000000019</v>
      </c>
      <c r="AB141" s="17">
        <v>9295400</v>
      </c>
      <c r="AC141" s="17">
        <v>9357592.5</v>
      </c>
      <c r="AD141" s="17">
        <v>9414679.4999999981</v>
      </c>
      <c r="AE141" s="17">
        <v>9466232.5</v>
      </c>
      <c r="AF141" s="17">
        <v>9512167.5000000019</v>
      </c>
    </row>
    <row r="142" spans="1:32" x14ac:dyDescent="0.25">
      <c r="A142" t="s">
        <v>57</v>
      </c>
      <c r="B142" s="17">
        <v>19559439</v>
      </c>
      <c r="C142" s="17">
        <v>19982598.5</v>
      </c>
      <c r="D142" s="17">
        <v>20405507</v>
      </c>
      <c r="E142" s="17">
        <v>20829479.000000004</v>
      </c>
      <c r="F142" s="17">
        <v>21256484.5</v>
      </c>
      <c r="G142" s="17">
        <v>21687247</v>
      </c>
      <c r="H142" s="17">
        <v>22120004.500000004</v>
      </c>
      <c r="I142" s="17">
        <v>22580453</v>
      </c>
      <c r="J142" s="17">
        <v>23076678</v>
      </c>
      <c r="K142" s="17">
        <v>23573453.500000004</v>
      </c>
      <c r="L142" s="17">
        <v>24040414</v>
      </c>
      <c r="M142" s="17">
        <v>24492756.5</v>
      </c>
      <c r="N142" s="17">
        <v>24944344</v>
      </c>
      <c r="O142" s="17">
        <v>25389218.499999996</v>
      </c>
      <c r="P142" s="17">
        <v>25829445.5</v>
      </c>
      <c r="Q142" s="17">
        <v>26309146.500000004</v>
      </c>
      <c r="R142" s="17">
        <v>26824741</v>
      </c>
      <c r="S142" s="17">
        <v>27326670.499999996</v>
      </c>
      <c r="T142" s="17">
        <v>27806743.5</v>
      </c>
      <c r="U142" s="17">
        <v>28271891</v>
      </c>
      <c r="V142" s="17">
        <v>28733420.5</v>
      </c>
      <c r="W142" s="17">
        <v>29182739</v>
      </c>
      <c r="X142" s="17">
        <v>29631799.5</v>
      </c>
      <c r="Y142" s="17">
        <v>30091356.000000004</v>
      </c>
      <c r="Z142" s="17">
        <v>30543791.999999996</v>
      </c>
      <c r="AA142" s="17">
        <v>30987188.5</v>
      </c>
      <c r="AB142" s="17">
        <v>31412582.999999996</v>
      </c>
      <c r="AC142" s="17">
        <v>31823860.999999996</v>
      </c>
      <c r="AD142" s="17">
        <v>32226089.000000004</v>
      </c>
      <c r="AE142" s="17">
        <v>32611285.5</v>
      </c>
      <c r="AF142" s="17">
        <v>32984797.5</v>
      </c>
    </row>
    <row r="143" spans="1:32" x14ac:dyDescent="0.25">
      <c r="A143" t="s">
        <v>236</v>
      </c>
      <c r="B143" s="17">
        <v>10165504</v>
      </c>
      <c r="C143" s="17">
        <v>10193677.500000002</v>
      </c>
      <c r="D143" s="17">
        <v>10158162.5</v>
      </c>
      <c r="E143" s="17">
        <v>10110132.5</v>
      </c>
      <c r="F143" s="17">
        <v>10055102.5</v>
      </c>
      <c r="G143" s="17">
        <v>9988459</v>
      </c>
      <c r="H143" s="17">
        <v>9909788.9999999981</v>
      </c>
      <c r="I143" s="17">
        <v>9822019</v>
      </c>
      <c r="J143" s="17">
        <v>9729040</v>
      </c>
      <c r="K143" s="17">
        <v>9642130.0000000019</v>
      </c>
      <c r="L143" s="17">
        <v>9564424.5</v>
      </c>
      <c r="M143" s="17">
        <v>9494947.5</v>
      </c>
      <c r="N143" s="17">
        <v>9432026.5</v>
      </c>
      <c r="O143" s="17">
        <v>9365791</v>
      </c>
      <c r="P143" s="17">
        <v>9296952.5</v>
      </c>
      <c r="Q143" s="17">
        <v>9232758.5</v>
      </c>
      <c r="R143" s="17">
        <v>9173407</v>
      </c>
      <c r="S143" s="17">
        <v>9114170</v>
      </c>
      <c r="T143" s="17">
        <v>9050659</v>
      </c>
      <c r="U143" s="17">
        <v>8984323.5</v>
      </c>
      <c r="V143" s="17">
        <v>8916563</v>
      </c>
      <c r="W143" s="17">
        <v>8847248.5</v>
      </c>
      <c r="X143" s="17">
        <v>9469346.5</v>
      </c>
      <c r="Y143" s="17">
        <v>9909892.5</v>
      </c>
      <c r="Z143" s="17">
        <v>9514858.5</v>
      </c>
      <c r="AA143" s="17">
        <v>9192417.5</v>
      </c>
      <c r="AB143" s="17">
        <v>8952100.9999999981</v>
      </c>
      <c r="AC143" s="17">
        <v>8782882.5</v>
      </c>
      <c r="AD143" s="17">
        <v>8642793.5</v>
      </c>
      <c r="AE143" s="17">
        <v>8506506</v>
      </c>
      <c r="AF143" s="17">
        <v>8364976.4999999991</v>
      </c>
    </row>
    <row r="144" spans="1:32" x14ac:dyDescent="0.25">
      <c r="A144" t="s">
        <v>237</v>
      </c>
      <c r="B144" s="17">
        <v>2612571.5</v>
      </c>
      <c r="C144" s="17">
        <v>2620116</v>
      </c>
      <c r="D144" s="17">
        <v>2622184.5</v>
      </c>
      <c r="E144" s="17">
        <v>2620162.5</v>
      </c>
      <c r="F144" s="17">
        <v>2612393</v>
      </c>
      <c r="G144" s="17">
        <v>2600734.4999999995</v>
      </c>
      <c r="H144" s="17">
        <v>2589351.4999999995</v>
      </c>
      <c r="I144" s="17">
        <v>2579005</v>
      </c>
      <c r="J144" s="17">
        <v>2566665.0000000005</v>
      </c>
      <c r="K144" s="17">
        <v>2551895.4999999995</v>
      </c>
      <c r="L144" s="17">
        <v>2533609.4999999995</v>
      </c>
      <c r="M144" s="17">
        <v>2508705</v>
      </c>
      <c r="N144" s="17">
        <v>2475857.4999999995</v>
      </c>
      <c r="O144" s="17">
        <v>2439279.5</v>
      </c>
      <c r="P144" s="17">
        <v>2404756.5</v>
      </c>
      <c r="Q144" s="17">
        <v>2374968.5</v>
      </c>
      <c r="R144" s="17">
        <v>2345671.5</v>
      </c>
      <c r="S144" s="17">
        <v>2318006.5</v>
      </c>
      <c r="T144" s="17">
        <v>2297397.5</v>
      </c>
      <c r="U144" s="17">
        <v>2282188</v>
      </c>
      <c r="V144" s="17">
        <v>2268909</v>
      </c>
      <c r="W144" s="17">
        <v>2250511</v>
      </c>
      <c r="X144" s="17">
        <v>2223180.5</v>
      </c>
      <c r="Y144" s="17">
        <v>2191799.9999999995</v>
      </c>
      <c r="Z144" s="17">
        <v>2158984</v>
      </c>
      <c r="AA144" s="17">
        <v>2124919.5</v>
      </c>
      <c r="AB144" s="17">
        <v>2090390.5</v>
      </c>
      <c r="AC144" s="17">
        <v>2054305.5</v>
      </c>
      <c r="AD144" s="17">
        <v>2019564.5</v>
      </c>
      <c r="AE144" s="17">
        <v>1987561.4999999998</v>
      </c>
      <c r="AF144" s="17">
        <v>1957630.5</v>
      </c>
    </row>
    <row r="145" spans="1:32" x14ac:dyDescent="0.25">
      <c r="A145" t="s">
        <v>238</v>
      </c>
      <c r="B145" s="17">
        <v>981091</v>
      </c>
      <c r="C145" s="17">
        <v>977058</v>
      </c>
      <c r="D145" s="17">
        <v>971690.49999999988</v>
      </c>
      <c r="E145" s="17">
        <v>964875.5</v>
      </c>
      <c r="F145" s="17">
        <v>957845</v>
      </c>
      <c r="G145" s="17">
        <v>950768.49999999988</v>
      </c>
      <c r="H145" s="17">
        <v>942890.50000000023</v>
      </c>
      <c r="I145" s="17">
        <v>934450.99999999988</v>
      </c>
      <c r="J145" s="17">
        <v>925570.99999999988</v>
      </c>
      <c r="K145" s="17">
        <v>915952</v>
      </c>
      <c r="L145" s="17">
        <v>905645.50000000012</v>
      </c>
      <c r="M145" s="17">
        <v>894069.50000000012</v>
      </c>
      <c r="N145" s="17">
        <v>880161.99999999988</v>
      </c>
      <c r="O145" s="17">
        <v>863286</v>
      </c>
      <c r="P145" s="17">
        <v>842397.99999999988</v>
      </c>
      <c r="Q145" s="17">
        <v>818841</v>
      </c>
      <c r="R145" s="17">
        <v>794668.5</v>
      </c>
      <c r="S145" s="17">
        <v>770426.5</v>
      </c>
      <c r="T145" s="17">
        <v>753317</v>
      </c>
      <c r="U145" s="17">
        <v>742842.00000000012</v>
      </c>
      <c r="V145" s="17">
        <v>732999</v>
      </c>
      <c r="W145" s="17">
        <v>724162.5</v>
      </c>
      <c r="X145" s="17">
        <v>719517.49999999988</v>
      </c>
      <c r="Y145" s="17">
        <v>719456</v>
      </c>
      <c r="Z145" s="17">
        <v>719860.5</v>
      </c>
      <c r="AA145" s="17">
        <v>719250</v>
      </c>
      <c r="AB145" s="17">
        <v>717266.5</v>
      </c>
      <c r="AC145" s="17">
        <v>714296</v>
      </c>
      <c r="AD145" s="17">
        <v>710100.5</v>
      </c>
      <c r="AE145" s="17">
        <v>704423.00000000012</v>
      </c>
      <c r="AF145" s="17">
        <v>696830.5</v>
      </c>
    </row>
    <row r="146" spans="1:32" x14ac:dyDescent="0.25">
      <c r="A146" t="s">
        <v>239</v>
      </c>
      <c r="B146" s="17">
        <v>124305.5</v>
      </c>
      <c r="C146" s="17">
        <v>131009.00000000001</v>
      </c>
      <c r="D146" s="17">
        <v>137990.5</v>
      </c>
      <c r="E146" s="17">
        <v>145323.5</v>
      </c>
      <c r="F146" s="17">
        <v>152536.99999999997</v>
      </c>
      <c r="G146" s="17">
        <v>162119</v>
      </c>
      <c r="H146" s="17">
        <v>176592.5</v>
      </c>
      <c r="I146" s="17">
        <v>193551.00000000003</v>
      </c>
      <c r="J146" s="17">
        <v>213366.5</v>
      </c>
      <c r="K146" s="17">
        <v>239466.99999999997</v>
      </c>
      <c r="L146" s="17">
        <v>268212.50000000006</v>
      </c>
      <c r="M146" s="17">
        <v>293660</v>
      </c>
      <c r="N146" s="17">
        <v>316810</v>
      </c>
      <c r="O146" s="17">
        <v>339844.99999999994</v>
      </c>
      <c r="P146" s="17">
        <v>361415.49999999994</v>
      </c>
      <c r="Q146" s="17">
        <v>384150.49999999994</v>
      </c>
      <c r="R146" s="17">
        <v>410914</v>
      </c>
      <c r="S146" s="17">
        <v>437562.5</v>
      </c>
      <c r="T146" s="17">
        <v>460120</v>
      </c>
      <c r="U146" s="17">
        <v>484347.49999999994</v>
      </c>
      <c r="V146" s="17">
        <v>476673.00000000006</v>
      </c>
      <c r="W146" s="17">
        <v>451948.5</v>
      </c>
      <c r="X146" s="17">
        <v>452554.49999999994</v>
      </c>
      <c r="Y146" s="17">
        <v>459863.5</v>
      </c>
      <c r="Z146" s="17">
        <v>467623</v>
      </c>
      <c r="AA146" s="17">
        <v>475621.49999999994</v>
      </c>
      <c r="AB146" s="17">
        <v>483664</v>
      </c>
      <c r="AC146" s="17">
        <v>491610</v>
      </c>
      <c r="AD146" s="17">
        <v>499382.50000000006</v>
      </c>
      <c r="AE146" s="17">
        <v>506891</v>
      </c>
      <c r="AF146" s="17">
        <v>513971</v>
      </c>
    </row>
    <row r="147" spans="1:32" x14ac:dyDescent="0.25">
      <c r="A147" t="s">
        <v>240</v>
      </c>
      <c r="B147" s="17">
        <v>13433906</v>
      </c>
      <c r="C147" s="17">
        <v>13459532.499999998</v>
      </c>
      <c r="D147" s="17">
        <v>13470164</v>
      </c>
      <c r="E147" s="17">
        <v>13464697.5</v>
      </c>
      <c r="F147" s="17">
        <v>13448031.000000002</v>
      </c>
      <c r="G147" s="17">
        <v>13398220.5</v>
      </c>
      <c r="H147" s="17">
        <v>13341802</v>
      </c>
      <c r="I147" s="17">
        <v>13286044.5</v>
      </c>
      <c r="J147" s="17">
        <v>13211218.5</v>
      </c>
      <c r="K147" s="17">
        <v>13121550</v>
      </c>
      <c r="L147" s="17">
        <v>13037742</v>
      </c>
      <c r="M147" s="17">
        <v>12984474.5</v>
      </c>
      <c r="N147" s="17">
        <v>12945236.5</v>
      </c>
      <c r="O147" s="17">
        <v>12890556.499999998</v>
      </c>
      <c r="P147" s="17">
        <v>12826330.5</v>
      </c>
      <c r="Q147" s="17">
        <v>12752099</v>
      </c>
      <c r="R147" s="17">
        <v>12662749.000000002</v>
      </c>
      <c r="S147" s="17">
        <v>12539980</v>
      </c>
      <c r="T147" s="17">
        <v>12372386</v>
      </c>
      <c r="U147" s="17">
        <v>12184145.5</v>
      </c>
      <c r="V147" s="17">
        <v>11966504.5</v>
      </c>
      <c r="W147" s="17">
        <v>11730456.500000002</v>
      </c>
      <c r="X147" s="17">
        <v>11523176.000000002</v>
      </c>
      <c r="Y147" s="17">
        <v>11330622.000000002</v>
      </c>
      <c r="Z147" s="17">
        <v>11135854</v>
      </c>
      <c r="AA147" s="17">
        <v>10963686.000000002</v>
      </c>
      <c r="AB147" s="17">
        <v>10824883</v>
      </c>
      <c r="AC147" s="17">
        <v>10696576.5</v>
      </c>
      <c r="AD147" s="17">
        <v>10560892.000000002</v>
      </c>
      <c r="AE147" s="17">
        <v>10403739.5</v>
      </c>
      <c r="AF147" s="17">
        <v>10221780.999999998</v>
      </c>
    </row>
    <row r="148" spans="1:32" x14ac:dyDescent="0.25">
      <c r="A148" t="s">
        <v>241</v>
      </c>
      <c r="B148" s="17">
        <v>1165228</v>
      </c>
      <c r="C148" s="17">
        <v>1155120.5</v>
      </c>
      <c r="D148" s="17">
        <v>1147361.5</v>
      </c>
      <c r="E148" s="17">
        <v>1140239</v>
      </c>
      <c r="F148" s="17">
        <v>1130400.5</v>
      </c>
      <c r="G148" s="17">
        <v>1116504</v>
      </c>
      <c r="H148" s="17">
        <v>1096994</v>
      </c>
      <c r="I148" s="17">
        <v>1072241.5</v>
      </c>
      <c r="J148" s="17">
        <v>1044877.9999999999</v>
      </c>
      <c r="K148" s="17">
        <v>1014990.5000000001</v>
      </c>
      <c r="L148" s="17">
        <v>981733</v>
      </c>
      <c r="M148" s="17">
        <v>946753.49999999988</v>
      </c>
      <c r="N148" s="17">
        <v>912793.5</v>
      </c>
      <c r="O148" s="17">
        <v>879795.50000000012</v>
      </c>
      <c r="P148" s="17">
        <v>849338</v>
      </c>
      <c r="Q148" s="17">
        <v>822616.5</v>
      </c>
      <c r="R148" s="17">
        <v>798948.00000000012</v>
      </c>
      <c r="S148" s="17">
        <v>778212.50000000012</v>
      </c>
      <c r="T148" s="17">
        <v>760835.5</v>
      </c>
      <c r="U148" s="17">
        <v>747181.49999999988</v>
      </c>
      <c r="V148" s="17">
        <v>738048.49999999988</v>
      </c>
      <c r="W148" s="17">
        <v>731357.5</v>
      </c>
      <c r="X148" s="17">
        <v>821937.00000000012</v>
      </c>
      <c r="Y148" s="17">
        <v>889684.5</v>
      </c>
      <c r="Z148" s="17">
        <v>843207.5</v>
      </c>
      <c r="AA148" s="17">
        <v>808739.49999999988</v>
      </c>
      <c r="AB148" s="17">
        <v>788108</v>
      </c>
      <c r="AC148" s="17">
        <v>778933</v>
      </c>
      <c r="AD148" s="17">
        <v>775339</v>
      </c>
      <c r="AE148" s="17">
        <v>774171.5</v>
      </c>
      <c r="AF148" s="17">
        <v>773345.49999999988</v>
      </c>
    </row>
    <row r="149" spans="1:32" x14ac:dyDescent="0.25">
      <c r="A149" t="s">
        <v>242</v>
      </c>
      <c r="B149" s="17">
        <v>214325.5</v>
      </c>
      <c r="C149" s="17">
        <v>216935.99999999997</v>
      </c>
      <c r="D149" s="17">
        <v>219256</v>
      </c>
      <c r="E149" s="17">
        <v>221510.50000000003</v>
      </c>
      <c r="F149" s="17">
        <v>223591.5</v>
      </c>
      <c r="G149" s="17">
        <v>225417</v>
      </c>
      <c r="H149" s="17">
        <v>227554.5</v>
      </c>
      <c r="I149" s="17">
        <v>230612</v>
      </c>
      <c r="J149" s="17">
        <v>233535.5</v>
      </c>
      <c r="K149" s="17">
        <v>234989.99999999997</v>
      </c>
      <c r="L149" s="17">
        <v>235264.5</v>
      </c>
      <c r="M149" s="17">
        <v>234778.49999999997</v>
      </c>
      <c r="N149" s="17">
        <v>233358</v>
      </c>
      <c r="O149" s="17">
        <v>231441.00000000003</v>
      </c>
      <c r="P149" s="17">
        <v>230752.5</v>
      </c>
      <c r="Q149" s="17">
        <v>229866</v>
      </c>
      <c r="R149" s="17">
        <v>227453.5</v>
      </c>
      <c r="S149" s="17">
        <v>226161.50000000003</v>
      </c>
      <c r="T149" s="17">
        <v>226173</v>
      </c>
      <c r="U149" s="17">
        <v>226268.50000000003</v>
      </c>
      <c r="V149" s="17">
        <v>226532.5</v>
      </c>
      <c r="W149" s="17">
        <v>226914</v>
      </c>
      <c r="X149" s="17">
        <v>227276</v>
      </c>
      <c r="Y149" s="17">
        <v>227650.99999999994</v>
      </c>
      <c r="Z149" s="17">
        <v>228062</v>
      </c>
      <c r="AA149" s="17">
        <v>228626.50000000003</v>
      </c>
      <c r="AB149" s="17">
        <v>229422.00000000003</v>
      </c>
      <c r="AC149" s="17">
        <v>230269</v>
      </c>
      <c r="AD149" s="17">
        <v>231040.49999999997</v>
      </c>
      <c r="AE149" s="17">
        <v>231868.49999999997</v>
      </c>
      <c r="AF149" s="17">
        <v>232861.00000000003</v>
      </c>
    </row>
    <row r="150" spans="1:32" x14ac:dyDescent="0.25">
      <c r="A150" t="s">
        <v>243</v>
      </c>
      <c r="B150" s="17">
        <v>5670232.5</v>
      </c>
      <c r="C150" s="17">
        <v>5644411.9999999991</v>
      </c>
      <c r="D150" s="17">
        <v>5616710.9999999991</v>
      </c>
      <c r="E150" s="17">
        <v>5571638.4999999991</v>
      </c>
      <c r="F150" s="17">
        <v>5510593</v>
      </c>
      <c r="G150" s="17">
        <v>5424417.5000000009</v>
      </c>
      <c r="H150" s="17">
        <v>5317474.5</v>
      </c>
      <c r="I150" s="17">
        <v>5205130</v>
      </c>
      <c r="J150" s="17">
        <v>5095083</v>
      </c>
      <c r="K150" s="17">
        <v>4992677</v>
      </c>
      <c r="L150" s="17">
        <v>4898675.0000000009</v>
      </c>
      <c r="M150" s="17">
        <v>4831084.5</v>
      </c>
      <c r="N150" s="17">
        <v>4797598</v>
      </c>
      <c r="O150" s="17">
        <v>4781093.5</v>
      </c>
      <c r="P150" s="17">
        <v>4769708.5</v>
      </c>
      <c r="Q150" s="17">
        <v>4749191</v>
      </c>
      <c r="R150" s="17">
        <v>4710327</v>
      </c>
      <c r="S150" s="17">
        <v>4630110.5</v>
      </c>
      <c r="T150" s="17">
        <v>4510233.4999999991</v>
      </c>
      <c r="U150" s="17">
        <v>4403472</v>
      </c>
      <c r="V150" s="17">
        <v>4330302</v>
      </c>
      <c r="W150" s="17">
        <v>4273362.9999999991</v>
      </c>
      <c r="X150" s="17">
        <v>4414760.5</v>
      </c>
      <c r="Y150" s="17">
        <v>4512249.5</v>
      </c>
      <c r="Z150" s="17">
        <v>4377136.5000000009</v>
      </c>
      <c r="AA150" s="17">
        <v>4258101.0000000009</v>
      </c>
      <c r="AB150" s="17">
        <v>4164099</v>
      </c>
      <c r="AC150" s="17">
        <v>4090474</v>
      </c>
      <c r="AD150" s="17">
        <v>4025287.0000000005</v>
      </c>
      <c r="AE150" s="17">
        <v>3966403.5</v>
      </c>
      <c r="AF150" s="17">
        <v>3914710.5</v>
      </c>
    </row>
    <row r="151" spans="1:32" x14ac:dyDescent="0.25">
      <c r="A151" t="s">
        <v>244</v>
      </c>
      <c r="B151" s="17">
        <v>39698806.5</v>
      </c>
      <c r="C151" s="17">
        <v>39877740.000000007</v>
      </c>
      <c r="D151" s="17">
        <v>40045854.5</v>
      </c>
      <c r="E151" s="17">
        <v>40088574.5</v>
      </c>
      <c r="F151" s="17">
        <v>39926969</v>
      </c>
      <c r="G151" s="17">
        <v>39653895.000000007</v>
      </c>
      <c r="H151" s="17">
        <v>39352543.499999993</v>
      </c>
      <c r="I151" s="17">
        <v>38997383.5</v>
      </c>
      <c r="J151" s="17">
        <v>38560083.000000007</v>
      </c>
      <c r="K151" s="17">
        <v>38069776</v>
      </c>
      <c r="L151" s="17">
        <v>37540604</v>
      </c>
      <c r="M151" s="17">
        <v>36974926.5</v>
      </c>
      <c r="N151" s="17">
        <v>36430202.5</v>
      </c>
      <c r="O151" s="17">
        <v>35940876.500000007</v>
      </c>
      <c r="P151" s="17">
        <v>35517042.499999993</v>
      </c>
      <c r="Q151" s="17">
        <v>35203414</v>
      </c>
      <c r="R151" s="17">
        <v>34997330</v>
      </c>
      <c r="S151" s="17">
        <v>34851786.5</v>
      </c>
      <c r="T151" s="17">
        <v>34748702.5</v>
      </c>
      <c r="U151" s="17">
        <v>34651613</v>
      </c>
      <c r="V151" s="17">
        <v>34491455.5</v>
      </c>
      <c r="W151" s="17">
        <v>34273081</v>
      </c>
      <c r="X151" s="17">
        <v>34202159</v>
      </c>
      <c r="Y151" s="17">
        <v>34098341</v>
      </c>
      <c r="Z151" s="17">
        <v>33812598</v>
      </c>
      <c r="AA151" s="17">
        <v>33505451.500000004</v>
      </c>
      <c r="AB151" s="17">
        <v>33239483.500000004</v>
      </c>
      <c r="AC151" s="17">
        <v>33065262.000000004</v>
      </c>
      <c r="AD151" s="17">
        <v>32914593.500000004</v>
      </c>
      <c r="AE151" s="17">
        <v>32759604</v>
      </c>
      <c r="AF151" s="17">
        <v>32571147.5</v>
      </c>
    </row>
    <row r="152" spans="1:32" x14ac:dyDescent="0.25">
      <c r="A152" t="s">
        <v>58</v>
      </c>
      <c r="B152" s="17">
        <v>1999991</v>
      </c>
      <c r="C152" s="17">
        <v>2051295.5000000002</v>
      </c>
      <c r="D152" s="17">
        <v>2105417</v>
      </c>
      <c r="E152" s="17">
        <v>2167376</v>
      </c>
      <c r="F152" s="17">
        <v>2232008</v>
      </c>
      <c r="G152" s="17">
        <v>2291961.5</v>
      </c>
      <c r="H152" s="17">
        <v>2348076</v>
      </c>
      <c r="I152" s="17">
        <v>2402355.4999999995</v>
      </c>
      <c r="J152" s="17">
        <v>2456510.9999999995</v>
      </c>
      <c r="K152" s="17">
        <v>2512533.5</v>
      </c>
      <c r="L152" s="17">
        <v>2571762</v>
      </c>
      <c r="M152" s="17">
        <v>2633549.4999999995</v>
      </c>
      <c r="N152" s="17">
        <v>2699076.5</v>
      </c>
      <c r="O152" s="17">
        <v>2769168.5</v>
      </c>
      <c r="P152" s="17">
        <v>2843211.0000000005</v>
      </c>
      <c r="Q152" s="17">
        <v>2922611</v>
      </c>
      <c r="R152" s="17">
        <v>3010941.9999999995</v>
      </c>
      <c r="S152" s="17">
        <v>3105821.9999999995</v>
      </c>
      <c r="T152" s="17">
        <v>3201461.5000000005</v>
      </c>
      <c r="U152" s="17">
        <v>3298868.9999999995</v>
      </c>
      <c r="V152" s="17">
        <v>3400923</v>
      </c>
      <c r="W152" s="17">
        <v>3505529.4999999995</v>
      </c>
      <c r="X152" s="17">
        <v>3608465</v>
      </c>
      <c r="Y152" s="17">
        <v>3709231.5</v>
      </c>
      <c r="Z152" s="17">
        <v>3807939.0000000005</v>
      </c>
      <c r="AA152" s="17">
        <v>3904953.5</v>
      </c>
      <c r="AB152" s="17">
        <v>4000750.9999999995</v>
      </c>
      <c r="AC152" s="17">
        <v>4095722.9999999995</v>
      </c>
      <c r="AD152" s="17">
        <v>4189406.9999999991</v>
      </c>
      <c r="AE152" s="17">
        <v>4280674.9999999991</v>
      </c>
      <c r="AF152" s="17">
        <v>4369445.5</v>
      </c>
    </row>
    <row r="153" spans="1:32" x14ac:dyDescent="0.25">
      <c r="A153" t="s">
        <v>246</v>
      </c>
      <c r="B153" s="17">
        <v>41829.5</v>
      </c>
      <c r="C153" s="17">
        <v>42495.5</v>
      </c>
      <c r="D153" s="17">
        <v>43243.500000000007</v>
      </c>
      <c r="E153" s="17">
        <v>43977.000000000007</v>
      </c>
      <c r="F153" s="17">
        <v>44629</v>
      </c>
      <c r="G153" s="17">
        <v>45192</v>
      </c>
      <c r="H153" s="17">
        <v>45683.5</v>
      </c>
      <c r="I153" s="17">
        <v>46104.5</v>
      </c>
      <c r="J153" s="17">
        <v>46449.5</v>
      </c>
      <c r="K153" s="17">
        <v>46746.500000000007</v>
      </c>
      <c r="L153" s="17">
        <v>47239.000000000007</v>
      </c>
      <c r="M153" s="17">
        <v>47860</v>
      </c>
      <c r="N153" s="17">
        <v>48305.000000000007</v>
      </c>
      <c r="O153" s="17">
        <v>48613</v>
      </c>
      <c r="P153" s="17">
        <v>48872</v>
      </c>
      <c r="Q153" s="17">
        <v>49105</v>
      </c>
      <c r="R153" s="17">
        <v>49263.500000000007</v>
      </c>
      <c r="S153" s="17">
        <v>49325.500000000007</v>
      </c>
      <c r="T153" s="17">
        <v>49322.999999999993</v>
      </c>
      <c r="U153" s="17">
        <v>49288.000000000007</v>
      </c>
      <c r="V153" s="17">
        <v>49233.500000000007</v>
      </c>
      <c r="W153" s="17">
        <v>49139.5</v>
      </c>
      <c r="X153" s="17">
        <v>49005.5</v>
      </c>
      <c r="Y153" s="17">
        <v>48877.500000000007</v>
      </c>
      <c r="Z153" s="17">
        <v>48788.000000000007</v>
      </c>
      <c r="AA153" s="17">
        <v>48628.499999999993</v>
      </c>
      <c r="AB153" s="17">
        <v>48383.5</v>
      </c>
      <c r="AC153" s="17">
        <v>48142</v>
      </c>
      <c r="AD153" s="17">
        <v>47899</v>
      </c>
      <c r="AE153" s="17">
        <v>47652.499999999993</v>
      </c>
      <c r="AF153" s="17">
        <v>47385.499999999993</v>
      </c>
    </row>
    <row r="154" spans="1:32" x14ac:dyDescent="0.25">
      <c r="A154" t="s">
        <v>247</v>
      </c>
      <c r="B154" s="17">
        <v>29050.5</v>
      </c>
      <c r="C154" s="17">
        <v>29118.499999999996</v>
      </c>
      <c r="D154" s="17">
        <v>29161</v>
      </c>
      <c r="E154" s="17">
        <v>29150.999999999996</v>
      </c>
      <c r="F154" s="17">
        <v>29064.5</v>
      </c>
      <c r="G154" s="17">
        <v>28934</v>
      </c>
      <c r="H154" s="17">
        <v>28794</v>
      </c>
      <c r="I154" s="17">
        <v>28666.5</v>
      </c>
      <c r="J154" s="17">
        <v>28537.999999999996</v>
      </c>
      <c r="K154" s="17">
        <v>28384</v>
      </c>
      <c r="L154" s="17">
        <v>28181.500000000007</v>
      </c>
      <c r="M154" s="17">
        <v>27915</v>
      </c>
      <c r="N154" s="17">
        <v>27594</v>
      </c>
      <c r="O154" s="17">
        <v>27231.5</v>
      </c>
      <c r="P154" s="17">
        <v>26884.499999999996</v>
      </c>
      <c r="Q154" s="17">
        <v>26577</v>
      </c>
      <c r="R154" s="17">
        <v>26257.5</v>
      </c>
      <c r="S154" s="17">
        <v>26000.500000000004</v>
      </c>
      <c r="T154" s="17">
        <v>25826.500000000004</v>
      </c>
      <c r="U154" s="17">
        <v>25658.5</v>
      </c>
      <c r="V154" s="17">
        <v>25554.499999999996</v>
      </c>
      <c r="W154" s="17">
        <v>25500.999999999996</v>
      </c>
      <c r="X154" s="17">
        <v>25459.999999999996</v>
      </c>
      <c r="Y154" s="17">
        <v>25456.000000000004</v>
      </c>
      <c r="Z154" s="17">
        <v>25460.500000000004</v>
      </c>
      <c r="AA154" s="17">
        <v>25464</v>
      </c>
      <c r="AB154" s="17">
        <v>25459.000000000004</v>
      </c>
      <c r="AC154" s="17">
        <v>25452.999999999996</v>
      </c>
      <c r="AD154" s="17">
        <v>25452.5</v>
      </c>
      <c r="AE154" s="17">
        <v>25453.5</v>
      </c>
      <c r="AF154" s="17">
        <v>25442.999999999996</v>
      </c>
    </row>
    <row r="155" spans="1:32" x14ac:dyDescent="0.25">
      <c r="A155" t="s">
        <v>249</v>
      </c>
      <c r="B155" s="17">
        <v>41139.999999999993</v>
      </c>
      <c r="C155" s="17">
        <v>41355</v>
      </c>
      <c r="D155" s="17">
        <v>41523.5</v>
      </c>
      <c r="E155" s="17">
        <v>41696.000000000007</v>
      </c>
      <c r="F155" s="17">
        <v>41841</v>
      </c>
      <c r="G155" s="17">
        <v>42010</v>
      </c>
      <c r="H155" s="17">
        <v>42338.499999999993</v>
      </c>
      <c r="I155" s="17">
        <v>42805.000000000007</v>
      </c>
      <c r="J155" s="17">
        <v>43289.000000000007</v>
      </c>
      <c r="K155" s="17">
        <v>43778.5</v>
      </c>
      <c r="L155" s="17">
        <v>44252.500000000007</v>
      </c>
      <c r="M155" s="17">
        <v>44711</v>
      </c>
      <c r="N155" s="17">
        <v>45183</v>
      </c>
      <c r="O155" s="17">
        <v>45662.499999999993</v>
      </c>
      <c r="P155" s="17">
        <v>46107</v>
      </c>
      <c r="Q155" s="17">
        <v>46524.5</v>
      </c>
      <c r="R155" s="17">
        <v>46972.500000000007</v>
      </c>
      <c r="S155" s="17">
        <v>47452.5</v>
      </c>
      <c r="T155" s="17">
        <v>47951</v>
      </c>
      <c r="U155" s="17">
        <v>48512</v>
      </c>
      <c r="V155" s="17">
        <v>49305.499999999993</v>
      </c>
      <c r="W155" s="17">
        <v>50322.5</v>
      </c>
      <c r="X155" s="17">
        <v>51157</v>
      </c>
      <c r="Y155" s="17">
        <v>51799.499999999993</v>
      </c>
      <c r="Z155" s="17">
        <v>52491.499999999993</v>
      </c>
      <c r="AA155" s="17">
        <v>53253</v>
      </c>
      <c r="AB155" s="17">
        <v>54087</v>
      </c>
      <c r="AC155" s="17">
        <v>54989.5</v>
      </c>
      <c r="AD155" s="17">
        <v>55931.999999999993</v>
      </c>
      <c r="AE155" s="17">
        <v>56889.999999999993</v>
      </c>
      <c r="AF155" s="17">
        <v>57867</v>
      </c>
    </row>
    <row r="156" spans="1:32" x14ac:dyDescent="0.25">
      <c r="A156" t="s">
        <v>59</v>
      </c>
      <c r="B156" s="17">
        <v>34155.5</v>
      </c>
      <c r="C156" s="17">
        <v>35097.5</v>
      </c>
      <c r="D156" s="17">
        <v>36074</v>
      </c>
      <c r="E156" s="17">
        <v>37089.5</v>
      </c>
      <c r="F156" s="17">
        <v>38080.999999999993</v>
      </c>
      <c r="G156" s="17">
        <v>39060</v>
      </c>
      <c r="H156" s="17">
        <v>40029</v>
      </c>
      <c r="I156" s="17">
        <v>40970.499999999993</v>
      </c>
      <c r="J156" s="17">
        <v>41875.5</v>
      </c>
      <c r="K156" s="17">
        <v>42758</v>
      </c>
      <c r="L156" s="17">
        <v>43636.5</v>
      </c>
      <c r="M156" s="17">
        <v>44525.999999999993</v>
      </c>
      <c r="N156" s="17">
        <v>45250.000000000007</v>
      </c>
      <c r="O156" s="17">
        <v>45815.5</v>
      </c>
      <c r="P156" s="17">
        <v>46432</v>
      </c>
      <c r="Q156" s="17">
        <v>47135.999999999993</v>
      </c>
      <c r="R156" s="17">
        <v>47950.5</v>
      </c>
      <c r="S156" s="17">
        <v>48859.5</v>
      </c>
      <c r="T156" s="17">
        <v>49819.500000000007</v>
      </c>
      <c r="U156" s="17">
        <v>50827.5</v>
      </c>
      <c r="V156" s="17">
        <v>52254</v>
      </c>
      <c r="W156" s="17">
        <v>53937.000000000015</v>
      </c>
      <c r="X156" s="17">
        <v>55552</v>
      </c>
      <c r="Y156" s="17">
        <v>57214</v>
      </c>
      <c r="Z156" s="17">
        <v>58815</v>
      </c>
      <c r="AA156" s="17">
        <v>60304.500000000007</v>
      </c>
      <c r="AB156" s="17">
        <v>61691</v>
      </c>
      <c r="AC156" s="17">
        <v>63203</v>
      </c>
      <c r="AD156" s="17">
        <v>64843.500000000007</v>
      </c>
      <c r="AE156" s="17">
        <v>66416.5</v>
      </c>
      <c r="AF156" s="17">
        <v>67905.5</v>
      </c>
    </row>
    <row r="157" spans="1:32" x14ac:dyDescent="0.25">
      <c r="A157" t="s">
        <v>251</v>
      </c>
      <c r="B157" s="17">
        <v>4677657</v>
      </c>
      <c r="C157" s="17">
        <v>4832148</v>
      </c>
      <c r="D157" s="17">
        <v>4988081</v>
      </c>
      <c r="E157" s="17">
        <v>5149232</v>
      </c>
      <c r="F157" s="17">
        <v>5322248</v>
      </c>
      <c r="G157" s="17">
        <v>5593378.5</v>
      </c>
      <c r="H157" s="17">
        <v>5957054.5</v>
      </c>
      <c r="I157" s="17">
        <v>6321671.4999999991</v>
      </c>
      <c r="J157" s="17">
        <v>6679954.5000000009</v>
      </c>
      <c r="K157" s="17">
        <v>7029878.4999999991</v>
      </c>
      <c r="L157" s="17">
        <v>7324964.4999999991</v>
      </c>
      <c r="M157" s="17">
        <v>7540241.9999999991</v>
      </c>
      <c r="N157" s="17">
        <v>7723384</v>
      </c>
      <c r="O157" s="17">
        <v>7898553</v>
      </c>
      <c r="P157" s="17">
        <v>8063124</v>
      </c>
      <c r="Q157" s="17">
        <v>8164812.0000000009</v>
      </c>
      <c r="R157" s="17">
        <v>8231488.0000000009</v>
      </c>
      <c r="S157" s="17">
        <v>8396265.5000000019</v>
      </c>
      <c r="T157" s="17">
        <v>8625359</v>
      </c>
      <c r="U157" s="17">
        <v>8835805.5</v>
      </c>
      <c r="V157" s="17">
        <v>8839737.5000000019</v>
      </c>
      <c r="W157" s="17">
        <v>8770150.5</v>
      </c>
      <c r="X157" s="17">
        <v>8853346</v>
      </c>
      <c r="Y157" s="17">
        <v>8958136</v>
      </c>
      <c r="Z157" s="17">
        <v>9053162</v>
      </c>
      <c r="AA157" s="17">
        <v>9138622</v>
      </c>
      <c r="AB157" s="17">
        <v>9215661</v>
      </c>
      <c r="AC157" s="17">
        <v>9286524</v>
      </c>
      <c r="AD157" s="17">
        <v>9352872</v>
      </c>
      <c r="AE157" s="17">
        <v>9414264.0000000019</v>
      </c>
      <c r="AF157" s="17">
        <v>9470840.5</v>
      </c>
    </row>
    <row r="158" spans="1:32" x14ac:dyDescent="0.25">
      <c r="A158" t="s">
        <v>60</v>
      </c>
      <c r="B158" s="17">
        <v>2282234</v>
      </c>
      <c r="C158" s="17">
        <v>2351865</v>
      </c>
      <c r="D158" s="17">
        <v>2423154</v>
      </c>
      <c r="E158" s="17">
        <v>2495605.4999999995</v>
      </c>
      <c r="F158" s="17">
        <v>2569040.4999999995</v>
      </c>
      <c r="G158" s="17">
        <v>2644208.0000000005</v>
      </c>
      <c r="H158" s="17">
        <v>2720658.5000000005</v>
      </c>
      <c r="I158" s="17">
        <v>2797896.5000000009</v>
      </c>
      <c r="J158" s="17">
        <v>2876397</v>
      </c>
      <c r="K158" s="17">
        <v>2955816</v>
      </c>
      <c r="L158" s="17">
        <v>3036354.0000000005</v>
      </c>
      <c r="M158" s="17">
        <v>3118754.4999999995</v>
      </c>
      <c r="N158" s="17">
        <v>3203347.4999999995</v>
      </c>
      <c r="O158" s="17">
        <v>3290383.5</v>
      </c>
      <c r="P158" s="17">
        <v>3381852</v>
      </c>
      <c r="Q158" s="17">
        <v>3478865</v>
      </c>
      <c r="R158" s="17">
        <v>3580511.9999999995</v>
      </c>
      <c r="S158" s="17">
        <v>3686423.5</v>
      </c>
      <c r="T158" s="17">
        <v>3796168</v>
      </c>
      <c r="U158" s="17">
        <v>3909285.0000000005</v>
      </c>
      <c r="V158" s="17">
        <v>4027171.5000000005</v>
      </c>
      <c r="W158" s="17">
        <v>4150251.5000000005</v>
      </c>
      <c r="X158" s="17">
        <v>4274698</v>
      </c>
      <c r="Y158" s="17">
        <v>4400170.9999999991</v>
      </c>
      <c r="Z158" s="17">
        <v>4529748.0000000009</v>
      </c>
      <c r="AA158" s="17">
        <v>4662458.0000000009</v>
      </c>
      <c r="AB158" s="17">
        <v>4796778.5</v>
      </c>
      <c r="AC158" s="17">
        <v>4933193.9999999991</v>
      </c>
      <c r="AD158" s="17">
        <v>5071709.5</v>
      </c>
      <c r="AE158" s="17">
        <v>5211950.5</v>
      </c>
      <c r="AF158" s="17">
        <v>5351861</v>
      </c>
    </row>
    <row r="159" spans="1:32" x14ac:dyDescent="0.25">
      <c r="A159" t="s">
        <v>252</v>
      </c>
      <c r="B159" s="17">
        <v>1957993.5</v>
      </c>
      <c r="C159" s="17">
        <v>1942117.4999999998</v>
      </c>
      <c r="D159" s="17">
        <v>1925389.0000000002</v>
      </c>
      <c r="E159" s="17">
        <v>1904396</v>
      </c>
      <c r="F159" s="17">
        <v>1880969</v>
      </c>
      <c r="G159" s="17">
        <v>1858235.0000000002</v>
      </c>
      <c r="H159" s="17">
        <v>1838904</v>
      </c>
      <c r="I159" s="17">
        <v>1822456.5</v>
      </c>
      <c r="J159" s="17">
        <v>1807826.5</v>
      </c>
      <c r="K159" s="17">
        <v>1793633.0000000002</v>
      </c>
      <c r="L159" s="17">
        <v>1779735.0000000002</v>
      </c>
      <c r="M159" s="17">
        <v>1765699.5000000002</v>
      </c>
      <c r="N159" s="17">
        <v>1752450</v>
      </c>
      <c r="O159" s="17">
        <v>1736075.5</v>
      </c>
      <c r="P159" s="17">
        <v>1717420.5</v>
      </c>
      <c r="Q159" s="17">
        <v>1701233.0000000002</v>
      </c>
      <c r="R159" s="17">
        <v>1687928.9999999998</v>
      </c>
      <c r="S159" s="17">
        <v>1676413</v>
      </c>
      <c r="T159" s="17">
        <v>1664163.5</v>
      </c>
      <c r="U159" s="17">
        <v>1648566.9999999998</v>
      </c>
      <c r="V159" s="17">
        <v>1629926.5</v>
      </c>
      <c r="W159" s="17">
        <v>1610619</v>
      </c>
      <c r="X159" s="17">
        <v>1587321</v>
      </c>
      <c r="Y159" s="17">
        <v>1560840.4999999998</v>
      </c>
      <c r="Z159" s="17">
        <v>1534404.4999999998</v>
      </c>
      <c r="AA159" s="17">
        <v>1507778</v>
      </c>
      <c r="AB159" s="17">
        <v>1481038.5</v>
      </c>
      <c r="AC159" s="17">
        <v>1455046</v>
      </c>
      <c r="AD159" s="17">
        <v>1430119.0000000002</v>
      </c>
      <c r="AE159" s="17">
        <v>1406430.5</v>
      </c>
      <c r="AF159" s="17">
        <v>1383541.4999999998</v>
      </c>
    </row>
    <row r="160" spans="1:32" x14ac:dyDescent="0.25">
      <c r="A160" t="s">
        <v>253</v>
      </c>
      <c r="B160" s="17">
        <v>21754.500000000004</v>
      </c>
      <c r="C160" s="17">
        <v>22187.5</v>
      </c>
      <c r="D160" s="17">
        <v>22613.999999999996</v>
      </c>
      <c r="E160" s="17">
        <v>22988.5</v>
      </c>
      <c r="F160" s="17">
        <v>23298.5</v>
      </c>
      <c r="G160" s="17">
        <v>23566.000000000004</v>
      </c>
      <c r="H160" s="17">
        <v>23804</v>
      </c>
      <c r="I160" s="17">
        <v>24009</v>
      </c>
      <c r="J160" s="17">
        <v>24214.499999999996</v>
      </c>
      <c r="K160" s="17">
        <v>24453</v>
      </c>
      <c r="L160" s="17">
        <v>24653</v>
      </c>
      <c r="M160" s="17">
        <v>24807</v>
      </c>
      <c r="N160" s="17">
        <v>24878.499999999996</v>
      </c>
      <c r="O160" s="17">
        <v>24851.5</v>
      </c>
      <c r="P160" s="17">
        <v>24808.999999999996</v>
      </c>
      <c r="Q160" s="17">
        <v>24777.5</v>
      </c>
      <c r="R160" s="17">
        <v>24735.5</v>
      </c>
      <c r="S160" s="17">
        <v>24702</v>
      </c>
      <c r="T160" s="17">
        <v>24697.999999999996</v>
      </c>
      <c r="U160" s="17">
        <v>24692.500000000004</v>
      </c>
      <c r="V160" s="17">
        <v>24712.000000000004</v>
      </c>
      <c r="W160" s="17">
        <v>24739.5</v>
      </c>
      <c r="X160" s="17">
        <v>24727.5</v>
      </c>
      <c r="Y160" s="17">
        <v>24711.5</v>
      </c>
      <c r="Z160" s="17">
        <v>24698.5</v>
      </c>
      <c r="AA160" s="17">
        <v>24635</v>
      </c>
      <c r="AB160" s="17">
        <v>24590.5</v>
      </c>
      <c r="AC160" s="17">
        <v>24622.000000000004</v>
      </c>
      <c r="AD160" s="17">
        <v>24609</v>
      </c>
      <c r="AE160" s="17">
        <v>24550</v>
      </c>
      <c r="AF160" s="17">
        <v>24508.499999999996</v>
      </c>
    </row>
    <row r="161" spans="1:32" x14ac:dyDescent="0.25">
      <c r="A161" t="s">
        <v>61</v>
      </c>
      <c r="B161" s="17">
        <v>1045342.5</v>
      </c>
      <c r="C161" s="17">
        <v>1108836</v>
      </c>
      <c r="D161" s="17">
        <v>1174904</v>
      </c>
      <c r="E161" s="17">
        <v>1224815.5</v>
      </c>
      <c r="F161" s="17">
        <v>1268766</v>
      </c>
      <c r="G161" s="17">
        <v>1305692.0000000002</v>
      </c>
      <c r="H161" s="17">
        <v>1337349</v>
      </c>
      <c r="I161" s="17">
        <v>1370162.0000000002</v>
      </c>
      <c r="J161" s="17">
        <v>1408848.0000000002</v>
      </c>
      <c r="K161" s="17">
        <v>1452183.4999999998</v>
      </c>
      <c r="L161" s="17">
        <v>1498010</v>
      </c>
      <c r="M161" s="17">
        <v>1544419.9999999998</v>
      </c>
      <c r="N161" s="17">
        <v>1591945.0000000002</v>
      </c>
      <c r="O161" s="17">
        <v>1640777</v>
      </c>
      <c r="P161" s="17">
        <v>1691116.0000000002</v>
      </c>
      <c r="Q161" s="17">
        <v>1742704</v>
      </c>
      <c r="R161" s="17">
        <v>1796938.5000000002</v>
      </c>
      <c r="S161" s="17">
        <v>1853207</v>
      </c>
      <c r="T161" s="17">
        <v>1909965</v>
      </c>
      <c r="U161" s="17">
        <v>1966821</v>
      </c>
      <c r="V161" s="17">
        <v>2024469.0000000002</v>
      </c>
      <c r="W161" s="17">
        <v>2083453.5</v>
      </c>
      <c r="X161" s="17">
        <v>2143023.5000000005</v>
      </c>
      <c r="Y161" s="17">
        <v>2203393.4999999995</v>
      </c>
      <c r="Z161" s="17">
        <v>2264665</v>
      </c>
      <c r="AA161" s="17">
        <v>2326407</v>
      </c>
      <c r="AB161" s="17">
        <v>2388703</v>
      </c>
      <c r="AC161" s="17">
        <v>2451467.5</v>
      </c>
      <c r="AD161" s="17">
        <v>2513791.4999999995</v>
      </c>
      <c r="AE161" s="17">
        <v>2575203.5</v>
      </c>
      <c r="AF161" s="17">
        <v>2635727.0000000005</v>
      </c>
    </row>
    <row r="162" spans="1:32" x14ac:dyDescent="0.25">
      <c r="A162" t="s">
        <v>254</v>
      </c>
      <c r="B162" s="17">
        <v>1189766</v>
      </c>
      <c r="C162" s="17">
        <v>1201508.5000000002</v>
      </c>
      <c r="D162" s="17">
        <v>1210614.5</v>
      </c>
      <c r="E162" s="17">
        <v>1220647.4999999998</v>
      </c>
      <c r="F162" s="17">
        <v>1231782</v>
      </c>
      <c r="G162" s="17">
        <v>1248642.5</v>
      </c>
      <c r="H162" s="17">
        <v>1276301.5</v>
      </c>
      <c r="I162" s="17">
        <v>1310494.5</v>
      </c>
      <c r="J162" s="17">
        <v>1345851.5</v>
      </c>
      <c r="K162" s="17">
        <v>1382222.0000000002</v>
      </c>
      <c r="L162" s="17">
        <v>1411636</v>
      </c>
      <c r="M162" s="17">
        <v>1426437.5</v>
      </c>
      <c r="N162" s="17">
        <v>1434379.9999999998</v>
      </c>
      <c r="O162" s="17">
        <v>1443434.5</v>
      </c>
      <c r="P162" s="17">
        <v>1453783.5000000002</v>
      </c>
      <c r="Q162" s="17">
        <v>1459744</v>
      </c>
      <c r="R162" s="17">
        <v>1456371</v>
      </c>
      <c r="S162" s="17">
        <v>1447404.5</v>
      </c>
      <c r="T162" s="17">
        <v>1436448.5</v>
      </c>
      <c r="U162" s="17">
        <v>1424161.5</v>
      </c>
      <c r="V162" s="17">
        <v>1409688.9999999998</v>
      </c>
      <c r="W162" s="17">
        <v>1393001.5</v>
      </c>
      <c r="X162" s="17">
        <v>1378480.5</v>
      </c>
      <c r="Y162" s="17">
        <v>1366422</v>
      </c>
      <c r="Z162" s="17">
        <v>1353782.5</v>
      </c>
      <c r="AA162" s="17">
        <v>1340525.5</v>
      </c>
      <c r="AB162" s="17">
        <v>1326956.5</v>
      </c>
      <c r="AC162" s="17">
        <v>1313174</v>
      </c>
      <c r="AD162" s="17">
        <v>1299284.9999999998</v>
      </c>
      <c r="AE162" s="17">
        <v>1285589.4999999998</v>
      </c>
      <c r="AF162" s="17">
        <v>1272400.5</v>
      </c>
    </row>
    <row r="163" spans="1:32" x14ac:dyDescent="0.25">
      <c r="A163" t="s">
        <v>255</v>
      </c>
      <c r="B163" s="17">
        <v>1444066.0000000002</v>
      </c>
      <c r="C163" s="17">
        <v>1444443.4999999998</v>
      </c>
      <c r="D163" s="17">
        <v>1441431.5</v>
      </c>
      <c r="E163" s="17">
        <v>1437466.0000000002</v>
      </c>
      <c r="F163" s="17">
        <v>1432595</v>
      </c>
      <c r="G163" s="17">
        <v>1426102.5</v>
      </c>
      <c r="H163" s="17">
        <v>1418713</v>
      </c>
      <c r="I163" s="17">
        <v>1410912.5</v>
      </c>
      <c r="J163" s="17">
        <v>1403275</v>
      </c>
      <c r="K163" s="17">
        <v>1395570.5</v>
      </c>
      <c r="L163" s="17">
        <v>1386056</v>
      </c>
      <c r="M163" s="17">
        <v>1374674.4999999998</v>
      </c>
      <c r="N163" s="17">
        <v>1364305.5</v>
      </c>
      <c r="O163" s="17">
        <v>1353714</v>
      </c>
      <c r="P163" s="17">
        <v>1341262.0000000002</v>
      </c>
      <c r="Q163" s="17">
        <v>1329178</v>
      </c>
      <c r="R163" s="17">
        <v>1317270.5</v>
      </c>
      <c r="S163" s="17">
        <v>1305853.9999999998</v>
      </c>
      <c r="T163" s="17">
        <v>1295612</v>
      </c>
      <c r="U163" s="17">
        <v>1285435</v>
      </c>
      <c r="V163" s="17">
        <v>1275500</v>
      </c>
      <c r="W163" s="17">
        <v>1265363.0000000002</v>
      </c>
      <c r="X163" s="17">
        <v>1340557.5</v>
      </c>
      <c r="Y163" s="17">
        <v>1391336.5</v>
      </c>
      <c r="Z163" s="17">
        <v>1336752</v>
      </c>
      <c r="AA163" s="17">
        <v>1292629.5</v>
      </c>
      <c r="AB163" s="17">
        <v>1261573.4999999998</v>
      </c>
      <c r="AC163" s="17">
        <v>1239811.5</v>
      </c>
      <c r="AD163" s="17">
        <v>1220942.5</v>
      </c>
      <c r="AE163" s="17">
        <v>1203401.5</v>
      </c>
      <c r="AF163" s="17">
        <v>1187172.9999999998</v>
      </c>
    </row>
    <row r="164" spans="1:32" x14ac:dyDescent="0.25">
      <c r="A164" t="s">
        <v>256</v>
      </c>
      <c r="B164" s="17">
        <v>516850.5</v>
      </c>
      <c r="C164" s="17">
        <v>513675.99999999994</v>
      </c>
      <c r="D164" s="17">
        <v>511286.5</v>
      </c>
      <c r="E164" s="17">
        <v>509597.00000000006</v>
      </c>
      <c r="F164" s="17">
        <v>507404</v>
      </c>
      <c r="G164" s="17">
        <v>504596.5</v>
      </c>
      <c r="H164" s="17">
        <v>501405.00000000006</v>
      </c>
      <c r="I164" s="17">
        <v>497750</v>
      </c>
      <c r="J164" s="17">
        <v>494137.5</v>
      </c>
      <c r="K164" s="17">
        <v>490788</v>
      </c>
      <c r="L164" s="17">
        <v>487093.49999999988</v>
      </c>
      <c r="M164" s="17">
        <v>482064.99999999994</v>
      </c>
      <c r="N164" s="17">
        <v>476103.5</v>
      </c>
      <c r="O164" s="17">
        <v>470072.5</v>
      </c>
      <c r="P164" s="17">
        <v>463835.49999999988</v>
      </c>
      <c r="Q164" s="17">
        <v>457905</v>
      </c>
      <c r="R164" s="17">
        <v>452332.5</v>
      </c>
      <c r="S164" s="17">
        <v>446938</v>
      </c>
      <c r="T164" s="17">
        <v>442143</v>
      </c>
      <c r="U164" s="17">
        <v>438216.5</v>
      </c>
      <c r="V164" s="17">
        <v>434863.5</v>
      </c>
      <c r="W164" s="17">
        <v>431982.00000000006</v>
      </c>
      <c r="X164" s="17">
        <v>429017.50000000006</v>
      </c>
      <c r="Y164" s="17">
        <v>426045.49999999994</v>
      </c>
      <c r="Z164" s="17">
        <v>423421.50000000006</v>
      </c>
      <c r="AA164" s="17">
        <v>420564.5</v>
      </c>
      <c r="AB164" s="17">
        <v>417201.5</v>
      </c>
      <c r="AC164" s="17">
        <v>413694.49999999994</v>
      </c>
      <c r="AD164" s="17">
        <v>410170.5</v>
      </c>
      <c r="AE164" s="17">
        <v>406329</v>
      </c>
      <c r="AF164" s="17">
        <v>402154.00000000006</v>
      </c>
    </row>
    <row r="165" spans="1:32" x14ac:dyDescent="0.25">
      <c r="A165" t="s">
        <v>62</v>
      </c>
      <c r="B165" s="17">
        <v>99245</v>
      </c>
      <c r="C165" s="17">
        <v>102258</v>
      </c>
      <c r="D165" s="17">
        <v>105269</v>
      </c>
      <c r="E165" s="17">
        <v>108306.49999999999</v>
      </c>
      <c r="F165" s="17">
        <v>111381</v>
      </c>
      <c r="G165" s="17">
        <v>114494.5</v>
      </c>
      <c r="H165" s="17">
        <v>117636.00000000003</v>
      </c>
      <c r="I165" s="17">
        <v>120765.49999999999</v>
      </c>
      <c r="J165" s="17">
        <v>123890.00000000001</v>
      </c>
      <c r="K165" s="17">
        <v>127116.49999999999</v>
      </c>
      <c r="L165" s="17">
        <v>130496.99999999999</v>
      </c>
      <c r="M165" s="17">
        <v>133988.50000000003</v>
      </c>
      <c r="N165" s="17">
        <v>137547.5</v>
      </c>
      <c r="O165" s="17">
        <v>141159.5</v>
      </c>
      <c r="P165" s="17">
        <v>144843.99999999997</v>
      </c>
      <c r="Q165" s="17">
        <v>148586</v>
      </c>
      <c r="R165" s="17">
        <v>152358.49999999997</v>
      </c>
      <c r="S165" s="17">
        <v>156151.49999999997</v>
      </c>
      <c r="T165" s="17">
        <v>159962</v>
      </c>
      <c r="U165" s="17">
        <v>163775</v>
      </c>
      <c r="V165" s="17">
        <v>167641.00000000003</v>
      </c>
      <c r="W165" s="17">
        <v>171655.5</v>
      </c>
      <c r="X165" s="17">
        <v>175654.99999999997</v>
      </c>
      <c r="Y165" s="17">
        <v>179613.99999999997</v>
      </c>
      <c r="Z165" s="17">
        <v>183683</v>
      </c>
      <c r="AA165" s="17">
        <v>187893.5</v>
      </c>
      <c r="AB165" s="17">
        <v>192265.5</v>
      </c>
      <c r="AC165" s="17">
        <v>196772.49999999997</v>
      </c>
      <c r="AD165" s="17">
        <v>201410.5</v>
      </c>
      <c r="AE165" s="17">
        <v>206180.99999999997</v>
      </c>
      <c r="AF165" s="17">
        <v>211021.49999999997</v>
      </c>
    </row>
    <row r="166" spans="1:32" x14ac:dyDescent="0.25">
      <c r="A166" t="s">
        <v>63</v>
      </c>
      <c r="B166" s="17">
        <v>1935315.5</v>
      </c>
      <c r="C166" s="17">
        <v>2006185.0000000002</v>
      </c>
      <c r="D166" s="17">
        <v>2074724.5000000002</v>
      </c>
      <c r="E166" s="17">
        <v>2143849.5000000005</v>
      </c>
      <c r="F166" s="17">
        <v>2212835.5</v>
      </c>
      <c r="G166" s="17">
        <v>2273700.5</v>
      </c>
      <c r="H166" s="17">
        <v>2322177.5</v>
      </c>
      <c r="I166" s="17">
        <v>2378687.4999999995</v>
      </c>
      <c r="J166" s="17">
        <v>2445940.4999999995</v>
      </c>
      <c r="K166" s="17">
        <v>2510518.5</v>
      </c>
      <c r="L166" s="17">
        <v>2579160.5000000005</v>
      </c>
      <c r="M166" s="17">
        <v>2626100.5</v>
      </c>
      <c r="N166" s="17">
        <v>2679962.0000000005</v>
      </c>
      <c r="O166" s="17">
        <v>2774394</v>
      </c>
      <c r="P166" s="17">
        <v>2878803</v>
      </c>
      <c r="Q166" s="17">
        <v>2983127</v>
      </c>
      <c r="R166" s="17">
        <v>3104111</v>
      </c>
      <c r="S166" s="17">
        <v>3235798.5</v>
      </c>
      <c r="T166" s="17">
        <v>3363553.0000000005</v>
      </c>
      <c r="U166" s="17">
        <v>3497047</v>
      </c>
      <c r="V166" s="17">
        <v>3629291.5000000005</v>
      </c>
      <c r="W166" s="17">
        <v>3758194</v>
      </c>
      <c r="X166" s="17">
        <v>3889375.5</v>
      </c>
      <c r="Y166" s="17">
        <v>4024793.5</v>
      </c>
      <c r="Z166" s="17">
        <v>4165600.5000000005</v>
      </c>
      <c r="AA166" s="17">
        <v>4311131.4999999991</v>
      </c>
      <c r="AB166" s="17">
        <v>4462293</v>
      </c>
      <c r="AC166" s="17">
        <v>4619600</v>
      </c>
      <c r="AD166" s="17">
        <v>4782056.0000000009</v>
      </c>
      <c r="AE166" s="17">
        <v>4949575.5000000009</v>
      </c>
      <c r="AF166" s="17">
        <v>5122678.5000000009</v>
      </c>
    </row>
    <row r="167" spans="1:32" x14ac:dyDescent="0.25">
      <c r="A167" t="s">
        <v>64</v>
      </c>
      <c r="B167" s="17">
        <v>12844634.500000002</v>
      </c>
      <c r="C167" s="17">
        <v>13081243.499999998</v>
      </c>
      <c r="D167" s="17">
        <v>13328824.5</v>
      </c>
      <c r="E167" s="17">
        <v>13571582.999999998</v>
      </c>
      <c r="F167" s="17">
        <v>13797991.499999998</v>
      </c>
      <c r="G167" s="17">
        <v>14003128.999999998</v>
      </c>
      <c r="H167" s="17">
        <v>14194613.5</v>
      </c>
      <c r="I167" s="17">
        <v>14379864</v>
      </c>
      <c r="J167" s="17">
        <v>14555722.000000002</v>
      </c>
      <c r="K167" s="17">
        <v>14725245.999999998</v>
      </c>
      <c r="L167" s="17">
        <v>14891054</v>
      </c>
      <c r="M167" s="17">
        <v>15045642</v>
      </c>
      <c r="N167" s="17">
        <v>15172386.000000002</v>
      </c>
      <c r="O167" s="17">
        <v>15272027.000000002</v>
      </c>
      <c r="P167" s="17">
        <v>15392220.000000002</v>
      </c>
      <c r="Q167" s="17">
        <v>15578489.500000002</v>
      </c>
      <c r="R167" s="17">
        <v>15577712</v>
      </c>
      <c r="S167" s="17">
        <v>15469645.5</v>
      </c>
      <c r="T167" s="17">
        <v>15488191.500000002</v>
      </c>
      <c r="U167" s="17">
        <v>15532018.500000002</v>
      </c>
      <c r="V167" s="17">
        <v>15606887</v>
      </c>
      <c r="W167" s="17">
        <v>15711323</v>
      </c>
      <c r="X167" s="17">
        <v>15851309.5</v>
      </c>
      <c r="Y167" s="17">
        <v>16046262.500000002</v>
      </c>
      <c r="Z167" s="17">
        <v>16277133.500000002</v>
      </c>
      <c r="AA167" s="17">
        <v>16513717.499999998</v>
      </c>
      <c r="AB167" s="17">
        <v>16753698.499999998</v>
      </c>
      <c r="AC167" s="17">
        <v>16988426.499999996</v>
      </c>
      <c r="AD167" s="17">
        <v>17202243</v>
      </c>
      <c r="AE167" s="17">
        <v>17386294</v>
      </c>
      <c r="AF167" s="17">
        <v>17534462</v>
      </c>
    </row>
    <row r="168" spans="1:32" x14ac:dyDescent="0.25">
      <c r="A168" t="s">
        <v>65</v>
      </c>
      <c r="B168" s="17">
        <v>1407807</v>
      </c>
      <c r="C168" s="17">
        <v>1474347.0000000002</v>
      </c>
      <c r="D168" s="17">
        <v>1538176.0000000002</v>
      </c>
      <c r="E168" s="17">
        <v>1605441.0000000002</v>
      </c>
      <c r="F168" s="17">
        <v>1689014.0000000002</v>
      </c>
      <c r="G168" s="17">
        <v>1788882</v>
      </c>
      <c r="H168" s="17">
        <v>1898636</v>
      </c>
      <c r="I168" s="17">
        <v>2016865.5</v>
      </c>
      <c r="J168" s="17">
        <v>2138798.5</v>
      </c>
      <c r="K168" s="17">
        <v>2256413</v>
      </c>
      <c r="L168" s="17">
        <v>2402952</v>
      </c>
      <c r="M168" s="17">
        <v>2561476</v>
      </c>
      <c r="N168" s="17">
        <v>2684412.5</v>
      </c>
      <c r="O168" s="17">
        <v>2781416.5</v>
      </c>
      <c r="P168" s="17">
        <v>2760912.5</v>
      </c>
      <c r="Q168" s="17">
        <v>2699970.5000000005</v>
      </c>
      <c r="R168" s="17">
        <v>2604457.0000000005</v>
      </c>
      <c r="S168" s="17">
        <v>2407157</v>
      </c>
      <c r="T168" s="17">
        <v>2285838</v>
      </c>
      <c r="U168" s="17">
        <v>2304471.5</v>
      </c>
      <c r="V168" s="17">
        <v>2369571</v>
      </c>
      <c r="W168" s="17">
        <v>2427111.9999999995</v>
      </c>
      <c r="X168" s="17">
        <v>2494312.5000000005</v>
      </c>
      <c r="Y168" s="17">
        <v>2567216.5</v>
      </c>
      <c r="Z168" s="17">
        <v>2647099.5000000005</v>
      </c>
      <c r="AA168" s="17">
        <v>2732084</v>
      </c>
      <c r="AB168" s="17">
        <v>2822926.4999999995</v>
      </c>
      <c r="AC168" s="17">
        <v>2919572.5</v>
      </c>
      <c r="AD168" s="17">
        <v>3019594</v>
      </c>
      <c r="AE168" s="17">
        <v>3121408.5</v>
      </c>
      <c r="AF168" s="17">
        <v>3218683</v>
      </c>
    </row>
    <row r="169" spans="1:32" x14ac:dyDescent="0.25">
      <c r="A169" t="s">
        <v>257</v>
      </c>
      <c r="B169" s="17">
        <v>10604011.499999998</v>
      </c>
      <c r="C169" s="17">
        <v>10635643.5</v>
      </c>
      <c r="D169" s="17">
        <v>10738910.5</v>
      </c>
      <c r="E169" s="17">
        <v>10906438.5</v>
      </c>
      <c r="F169" s="17">
        <v>11059478.500000002</v>
      </c>
      <c r="G169" s="17">
        <v>11201162.5</v>
      </c>
      <c r="H169" s="17">
        <v>11339125.000000002</v>
      </c>
      <c r="I169" s="17">
        <v>11491844.500000002</v>
      </c>
      <c r="J169" s="17">
        <v>11593354.5</v>
      </c>
      <c r="K169" s="17">
        <v>11582136.5</v>
      </c>
      <c r="L169" s="17">
        <v>11501847</v>
      </c>
      <c r="M169" s="17">
        <v>11406353</v>
      </c>
      <c r="N169" s="17">
        <v>11277800</v>
      </c>
      <c r="O169" s="17">
        <v>11088496.500000002</v>
      </c>
      <c r="P169" s="17">
        <v>10891980</v>
      </c>
      <c r="Q169" s="17">
        <v>10735879.5</v>
      </c>
      <c r="R169" s="17">
        <v>10616835</v>
      </c>
      <c r="S169" s="17">
        <v>10528104.000000002</v>
      </c>
      <c r="T169" s="17">
        <v>10486718</v>
      </c>
      <c r="U169" s="17">
        <v>10496669</v>
      </c>
      <c r="V169" s="17">
        <v>10482917</v>
      </c>
      <c r="W169" s="17">
        <v>10442140.5</v>
      </c>
      <c r="X169" s="17">
        <v>10366051.000000002</v>
      </c>
      <c r="Y169" s="17">
        <v>10244024.5</v>
      </c>
      <c r="Z169" s="17">
        <v>10113938.5</v>
      </c>
      <c r="AA169" s="17">
        <v>9969334</v>
      </c>
      <c r="AB169" s="17">
        <v>9818603.5000000019</v>
      </c>
      <c r="AC169" s="17">
        <v>9664560.5</v>
      </c>
      <c r="AD169" s="17">
        <v>9506483.5</v>
      </c>
      <c r="AE169" s="17">
        <v>9353035.5</v>
      </c>
      <c r="AF169" s="17">
        <v>9212072</v>
      </c>
    </row>
    <row r="170" spans="1:32" x14ac:dyDescent="0.25">
      <c r="A170" t="s">
        <v>66</v>
      </c>
      <c r="B170" s="17">
        <v>5104846.5</v>
      </c>
      <c r="C170" s="17">
        <v>5150330.5</v>
      </c>
      <c r="D170" s="17">
        <v>5205554</v>
      </c>
      <c r="E170" s="17">
        <v>5253384.5</v>
      </c>
      <c r="F170" s="17">
        <v>5295065.5000000009</v>
      </c>
      <c r="G170" s="17">
        <v>5332913.5000000009</v>
      </c>
      <c r="H170" s="17">
        <v>5370242</v>
      </c>
      <c r="I170" s="17">
        <v>5406897</v>
      </c>
      <c r="J170" s="17">
        <v>5440048.0000000009</v>
      </c>
      <c r="K170" s="17">
        <v>5465463</v>
      </c>
      <c r="L170" s="17">
        <v>5485262.4999999991</v>
      </c>
      <c r="M170" s="17">
        <v>5504248.5</v>
      </c>
      <c r="N170" s="17">
        <v>5505137.0000000019</v>
      </c>
      <c r="O170" s="17">
        <v>5489892</v>
      </c>
      <c r="P170" s="17">
        <v>5476014.4999999991</v>
      </c>
      <c r="Q170" s="17">
        <v>5462520.5000000009</v>
      </c>
      <c r="R170" s="17">
        <v>5453498</v>
      </c>
      <c r="S170" s="17">
        <v>5446443.5</v>
      </c>
      <c r="T170" s="17">
        <v>5438382.0000000009</v>
      </c>
      <c r="U170" s="17">
        <v>5434014</v>
      </c>
      <c r="V170" s="17">
        <v>5433148.9999999991</v>
      </c>
      <c r="W170" s="17">
        <v>5431510.5</v>
      </c>
      <c r="X170" s="17">
        <v>5431057</v>
      </c>
      <c r="Y170" s="17">
        <v>5436294.5000000009</v>
      </c>
      <c r="Z170" s="17">
        <v>5441159.5</v>
      </c>
      <c r="AA170" s="17">
        <v>5440721.5</v>
      </c>
      <c r="AB170" s="17">
        <v>5434787</v>
      </c>
      <c r="AC170" s="17">
        <v>5424465</v>
      </c>
      <c r="AD170" s="17">
        <v>5406785</v>
      </c>
      <c r="AE170" s="17">
        <v>5379844</v>
      </c>
      <c r="AF170" s="17">
        <v>5343502.5</v>
      </c>
    </row>
    <row r="171" spans="1:32" x14ac:dyDescent="0.25">
      <c r="A171" t="s">
        <v>67</v>
      </c>
      <c r="B171" s="17">
        <v>697177.5</v>
      </c>
      <c r="C171" s="17">
        <v>722134.49999999988</v>
      </c>
      <c r="D171" s="17">
        <v>745929.00000000012</v>
      </c>
      <c r="E171" s="17">
        <v>769988.99999999988</v>
      </c>
      <c r="F171" s="17">
        <v>795512.49999999988</v>
      </c>
      <c r="G171" s="17">
        <v>823144.5</v>
      </c>
      <c r="H171" s="17">
        <v>852949.5</v>
      </c>
      <c r="I171" s="17">
        <v>884552.5</v>
      </c>
      <c r="J171" s="17">
        <v>915937.5</v>
      </c>
      <c r="K171" s="17">
        <v>945947</v>
      </c>
      <c r="L171" s="17">
        <v>975333.5</v>
      </c>
      <c r="M171" s="17">
        <v>1004125.0000000001</v>
      </c>
      <c r="N171" s="17">
        <v>1032204.0000000002</v>
      </c>
      <c r="O171" s="17">
        <v>1059972</v>
      </c>
      <c r="P171" s="17">
        <v>1087733.5</v>
      </c>
      <c r="Q171" s="17">
        <v>1116011.4999999998</v>
      </c>
      <c r="R171" s="17">
        <v>1145059.5</v>
      </c>
      <c r="S171" s="17">
        <v>1172197.5</v>
      </c>
      <c r="T171" s="17">
        <v>1197348.5</v>
      </c>
      <c r="U171" s="17">
        <v>1223177.0000000002</v>
      </c>
      <c r="V171" s="17">
        <v>1252537</v>
      </c>
      <c r="W171" s="17">
        <v>1285109.5</v>
      </c>
      <c r="X171" s="17">
        <v>1319499.5</v>
      </c>
      <c r="Y171" s="17">
        <v>1355904</v>
      </c>
      <c r="Z171" s="17">
        <v>1393295.5</v>
      </c>
      <c r="AA171" s="17">
        <v>1432025.9999999998</v>
      </c>
      <c r="AB171" s="17">
        <v>1471645</v>
      </c>
      <c r="AC171" s="17">
        <v>1511286.9999999998</v>
      </c>
      <c r="AD171" s="17">
        <v>1550859</v>
      </c>
      <c r="AE171" s="17">
        <v>1590696.5</v>
      </c>
      <c r="AF171" s="17">
        <v>1631368.0000000002</v>
      </c>
    </row>
    <row r="172" spans="1:32" x14ac:dyDescent="0.25">
      <c r="A172" t="s">
        <v>68</v>
      </c>
      <c r="B172" s="17">
        <v>6232698</v>
      </c>
      <c r="C172" s="17">
        <v>6410994.5</v>
      </c>
      <c r="D172" s="17">
        <v>6570999.9999999991</v>
      </c>
      <c r="E172" s="17">
        <v>6727753.5000000009</v>
      </c>
      <c r="F172" s="17">
        <v>6901455.5</v>
      </c>
      <c r="G172" s="17">
        <v>7103731.0000000009</v>
      </c>
      <c r="H172" s="17">
        <v>7322275.5</v>
      </c>
      <c r="I172" s="17">
        <v>7544090.4999999991</v>
      </c>
      <c r="J172" s="17">
        <v>7756769.5</v>
      </c>
      <c r="K172" s="17">
        <v>7959306.0000000009</v>
      </c>
      <c r="L172" s="17">
        <v>8112287.5</v>
      </c>
      <c r="M172" s="17">
        <v>8216331.5</v>
      </c>
      <c r="N172" s="17">
        <v>8347943.9999999991</v>
      </c>
      <c r="O172" s="17">
        <v>8516787</v>
      </c>
      <c r="P172" s="17">
        <v>8758313.5</v>
      </c>
      <c r="Q172" s="17">
        <v>9058132.0000000019</v>
      </c>
      <c r="R172" s="17">
        <v>9368834</v>
      </c>
      <c r="S172" s="17">
        <v>9714754</v>
      </c>
      <c r="T172" s="17">
        <v>10059827</v>
      </c>
      <c r="U172" s="17">
        <v>10362157.000000002</v>
      </c>
      <c r="V172" s="17">
        <v>10652457.999999998</v>
      </c>
      <c r="W172" s="17">
        <v>10956267.499999998</v>
      </c>
      <c r="X172" s="17">
        <v>11276354.5</v>
      </c>
      <c r="Y172" s="17">
        <v>11617105.5</v>
      </c>
      <c r="Z172" s="17">
        <v>11973501.5</v>
      </c>
      <c r="AA172" s="17">
        <v>12339766</v>
      </c>
      <c r="AB172" s="17">
        <v>12707576.500000002</v>
      </c>
      <c r="AC172" s="17">
        <v>13071190.5</v>
      </c>
      <c r="AD172" s="17">
        <v>13434773.5</v>
      </c>
      <c r="AE172" s="17">
        <v>13803571.5</v>
      </c>
      <c r="AF172" s="17">
        <v>14179729.500000002</v>
      </c>
    </row>
    <row r="173" spans="1:32" x14ac:dyDescent="0.25">
      <c r="A173" t="s">
        <v>258</v>
      </c>
      <c r="B173" s="17">
        <v>126457</v>
      </c>
      <c r="C173" s="17">
        <v>128925.5</v>
      </c>
      <c r="D173" s="17">
        <v>131045.99999999999</v>
      </c>
      <c r="E173" s="17">
        <v>132798</v>
      </c>
      <c r="F173" s="17">
        <v>134148.49999999997</v>
      </c>
      <c r="G173" s="17">
        <v>135245.5</v>
      </c>
      <c r="H173" s="17">
        <v>136319.5</v>
      </c>
      <c r="I173" s="17">
        <v>137380.99999999997</v>
      </c>
      <c r="J173" s="17">
        <v>138444</v>
      </c>
      <c r="K173" s="17">
        <v>139556</v>
      </c>
      <c r="L173" s="17">
        <v>140731</v>
      </c>
      <c r="M173" s="17">
        <v>141947</v>
      </c>
      <c r="N173" s="17">
        <v>143178</v>
      </c>
      <c r="O173" s="17">
        <v>144420.5</v>
      </c>
      <c r="P173" s="17">
        <v>145660.49999999997</v>
      </c>
      <c r="Q173" s="17">
        <v>146878.5</v>
      </c>
      <c r="R173" s="17">
        <v>148174</v>
      </c>
      <c r="S173" s="17">
        <v>149602</v>
      </c>
      <c r="T173" s="17">
        <v>151102</v>
      </c>
      <c r="U173" s="17">
        <v>152782.5</v>
      </c>
      <c r="V173" s="17">
        <v>154498.5</v>
      </c>
      <c r="W173" s="17">
        <v>155981</v>
      </c>
      <c r="X173" s="17">
        <v>157236.5</v>
      </c>
      <c r="Y173" s="17">
        <v>158398</v>
      </c>
      <c r="Z173" s="17">
        <v>159598</v>
      </c>
      <c r="AA173" s="17">
        <v>160861.00000000003</v>
      </c>
      <c r="AB173" s="17">
        <v>162177.5</v>
      </c>
      <c r="AC173" s="17">
        <v>163466.5</v>
      </c>
      <c r="AD173" s="17">
        <v>164675</v>
      </c>
      <c r="AE173" s="17">
        <v>165804.00000000003</v>
      </c>
      <c r="AF173" s="17">
        <v>166841.5</v>
      </c>
    </row>
    <row r="174" spans="1:32" x14ac:dyDescent="0.25">
      <c r="A174" t="s">
        <v>1037</v>
      </c>
      <c r="B174" s="17">
        <v>258093.5</v>
      </c>
      <c r="C174" s="17">
        <v>263004.5</v>
      </c>
      <c r="D174" s="17">
        <v>267637.50000000006</v>
      </c>
      <c r="E174" s="17">
        <v>271824.5</v>
      </c>
      <c r="F174" s="17">
        <v>275694.5</v>
      </c>
      <c r="G174" s="17">
        <v>279214.5</v>
      </c>
      <c r="H174" s="17">
        <v>282638</v>
      </c>
      <c r="I174" s="17">
        <v>286366.99999999994</v>
      </c>
      <c r="J174" s="17">
        <v>289319</v>
      </c>
      <c r="K174" s="17">
        <v>290933.5</v>
      </c>
      <c r="L174" s="17">
        <v>291692.5</v>
      </c>
      <c r="M174" s="17">
        <v>291975</v>
      </c>
      <c r="N174" s="17">
        <v>292151.00000000006</v>
      </c>
      <c r="O174" s="17">
        <v>292390</v>
      </c>
      <c r="P174" s="17">
        <v>293007</v>
      </c>
      <c r="Q174" s="17">
        <v>294065.50000000006</v>
      </c>
      <c r="R174" s="17">
        <v>295401.5</v>
      </c>
      <c r="S174" s="17">
        <v>296969.99999999994</v>
      </c>
      <c r="T174" s="17">
        <v>298779</v>
      </c>
      <c r="U174" s="17">
        <v>300867.5</v>
      </c>
      <c r="V174" s="17">
        <v>304431.5</v>
      </c>
      <c r="W174" s="17">
        <v>309188.5</v>
      </c>
      <c r="X174" s="17">
        <v>313986.5</v>
      </c>
      <c r="Y174" s="17">
        <v>319289.99999999994</v>
      </c>
      <c r="Z174" s="17">
        <v>325171</v>
      </c>
      <c r="AA174" s="17">
        <v>331251.49999999994</v>
      </c>
      <c r="AB174" s="17">
        <v>337318.5</v>
      </c>
      <c r="AC174" s="17">
        <v>343447.5</v>
      </c>
      <c r="AD174" s="17">
        <v>349650.00000000006</v>
      </c>
      <c r="AE174" s="17">
        <v>355950.99999999994</v>
      </c>
      <c r="AF174" s="17">
        <v>362364.49999999994</v>
      </c>
    </row>
    <row r="175" spans="1:32" x14ac:dyDescent="0.25">
      <c r="A175" t="s">
        <v>260</v>
      </c>
      <c r="B175" s="17">
        <v>1982206</v>
      </c>
      <c r="C175" s="17">
        <v>1984852.5</v>
      </c>
      <c r="D175" s="17">
        <v>1990998</v>
      </c>
      <c r="E175" s="17">
        <v>1999871</v>
      </c>
      <c r="F175" s="17">
        <v>2012594</v>
      </c>
      <c r="G175" s="17">
        <v>2028956.0000000002</v>
      </c>
      <c r="H175" s="17">
        <v>2046980</v>
      </c>
      <c r="I175" s="17">
        <v>2065344</v>
      </c>
      <c r="J175" s="17">
        <v>2084043.5000000002</v>
      </c>
      <c r="K175" s="17">
        <v>2102349.5</v>
      </c>
      <c r="L175" s="17">
        <v>2119028.5</v>
      </c>
      <c r="M175" s="17">
        <v>2133249.5</v>
      </c>
      <c r="N175" s="17">
        <v>2144758.5000000005</v>
      </c>
      <c r="O175" s="17">
        <v>2153661</v>
      </c>
      <c r="P175" s="17">
        <v>2159385</v>
      </c>
      <c r="Q175" s="17">
        <v>2163754.5</v>
      </c>
      <c r="R175" s="17">
        <v>2169170.5</v>
      </c>
      <c r="S175" s="17">
        <v>2176603.5</v>
      </c>
      <c r="T175" s="17">
        <v>2188057.5000000005</v>
      </c>
      <c r="U175" s="17">
        <v>2203509.9999999995</v>
      </c>
      <c r="V175" s="17">
        <v>2220414.5</v>
      </c>
      <c r="W175" s="17">
        <v>2237182.5000000005</v>
      </c>
      <c r="X175" s="17">
        <v>2250192</v>
      </c>
      <c r="Y175" s="17">
        <v>2260327.5000000005</v>
      </c>
      <c r="Z175" s="17">
        <v>2271086</v>
      </c>
      <c r="AA175" s="17">
        <v>2283661</v>
      </c>
      <c r="AB175" s="17">
        <v>2298473.5</v>
      </c>
      <c r="AC175" s="17">
        <v>2313762.5</v>
      </c>
      <c r="AD175" s="17">
        <v>2329348.9999999995</v>
      </c>
      <c r="AE175" s="17">
        <v>2344183.5</v>
      </c>
      <c r="AF175" s="17">
        <v>2356908.5000000005</v>
      </c>
    </row>
    <row r="176" spans="1:32" x14ac:dyDescent="0.25">
      <c r="A176" t="s">
        <v>261</v>
      </c>
      <c r="B176" s="17">
        <v>1767772.0000000002</v>
      </c>
      <c r="C176" s="17">
        <v>1778727.5000000002</v>
      </c>
      <c r="D176" s="17">
        <v>1793588.0000000002</v>
      </c>
      <c r="E176" s="17">
        <v>1805703</v>
      </c>
      <c r="F176" s="17">
        <v>1816288</v>
      </c>
      <c r="G176" s="17">
        <v>1824428</v>
      </c>
      <c r="H176" s="17">
        <v>1831370.5</v>
      </c>
      <c r="I176" s="17">
        <v>1843676.5</v>
      </c>
      <c r="J176" s="17">
        <v>1863612.9999999998</v>
      </c>
      <c r="K176" s="17">
        <v>1881388.0000000002</v>
      </c>
      <c r="L176" s="17">
        <v>1893555.5</v>
      </c>
      <c r="M176" s="17">
        <v>1903312.5</v>
      </c>
      <c r="N176" s="17">
        <v>1910244.5000000002</v>
      </c>
      <c r="O176" s="17">
        <v>1916917</v>
      </c>
      <c r="P176" s="17">
        <v>1923139.0000000002</v>
      </c>
      <c r="Q176" s="17">
        <v>1927682.0000000002</v>
      </c>
      <c r="R176" s="17">
        <v>1929806.9999999998</v>
      </c>
      <c r="S176" s="17">
        <v>1927769.4999999998</v>
      </c>
      <c r="T176" s="17">
        <v>1923490.5</v>
      </c>
      <c r="U176" s="17">
        <v>1920234</v>
      </c>
      <c r="V176" s="17">
        <v>1920788.5</v>
      </c>
      <c r="W176" s="17">
        <v>1915846.9999999998</v>
      </c>
      <c r="X176" s="17">
        <v>1907737.9999999998</v>
      </c>
      <c r="Y176" s="17">
        <v>1905179</v>
      </c>
      <c r="Z176" s="17">
        <v>1904026.5000000002</v>
      </c>
      <c r="AA176" s="17">
        <v>1904174.5</v>
      </c>
      <c r="AB176" s="17">
        <v>1904410.5</v>
      </c>
      <c r="AC176" s="17">
        <v>1903943</v>
      </c>
      <c r="AD176" s="17">
        <v>1903257.9999999998</v>
      </c>
      <c r="AE176" s="17">
        <v>1902200.5</v>
      </c>
      <c r="AF176" s="17">
        <v>1900216.9999999998</v>
      </c>
    </row>
    <row r="177" spans="1:32" x14ac:dyDescent="0.25">
      <c r="A177" t="s">
        <v>1234</v>
      </c>
      <c r="B177" s="17">
        <v>4004680.5000000005</v>
      </c>
      <c r="C177" s="17">
        <v>4146281.5</v>
      </c>
      <c r="D177" s="17">
        <v>4290053.0000000009</v>
      </c>
      <c r="E177" s="17">
        <v>4433916</v>
      </c>
      <c r="F177" s="17">
        <v>4581046.5</v>
      </c>
      <c r="G177" s="17">
        <v>4731282.4999999991</v>
      </c>
      <c r="H177" s="17">
        <v>5017467.0000000009</v>
      </c>
      <c r="I177" s="17">
        <v>5464917.5000000009</v>
      </c>
      <c r="J177" s="17">
        <v>5689697</v>
      </c>
      <c r="K177" s="17">
        <v>5738940.5</v>
      </c>
      <c r="L177" s="17">
        <v>5859099.4999999991</v>
      </c>
      <c r="M177" s="17">
        <v>5936036.4999999991</v>
      </c>
      <c r="N177" s="17">
        <v>5814079.5</v>
      </c>
      <c r="O177" s="17">
        <v>5310832.4999999991</v>
      </c>
      <c r="P177" s="17">
        <v>4710705.5</v>
      </c>
      <c r="Q177" s="17">
        <v>4370339.5</v>
      </c>
      <c r="R177" s="17">
        <v>4309779</v>
      </c>
      <c r="S177" s="17">
        <v>4367839.5</v>
      </c>
      <c r="T177" s="17">
        <v>4565264.5</v>
      </c>
      <c r="U177" s="17">
        <v>4930596.5</v>
      </c>
      <c r="V177" s="17">
        <v>5248984.5000000009</v>
      </c>
      <c r="W177" s="17">
        <v>5509910</v>
      </c>
      <c r="X177" s="17">
        <v>5872021.5</v>
      </c>
      <c r="Y177" s="17">
        <v>6356150</v>
      </c>
      <c r="Z177" s="17">
        <v>6830203.5</v>
      </c>
      <c r="AA177" s="17">
        <v>7258224.4999999991</v>
      </c>
      <c r="AB177" s="17">
        <v>7629401.4999999991</v>
      </c>
      <c r="AC177" s="17">
        <v>7942514.5</v>
      </c>
      <c r="AD177" s="17">
        <v>8203378.9999999991</v>
      </c>
      <c r="AE177" s="17">
        <v>8406132.5</v>
      </c>
      <c r="AF177" s="17">
        <v>8547611.5</v>
      </c>
    </row>
    <row r="178" spans="1:32" x14ac:dyDescent="0.25">
      <c r="A178" t="s">
        <v>69</v>
      </c>
      <c r="B178" s="17">
        <v>1560806</v>
      </c>
      <c r="C178" s="17">
        <v>1616690</v>
      </c>
      <c r="D178" s="17">
        <v>1672032.5000000002</v>
      </c>
      <c r="E178" s="17">
        <v>1726776.9999999998</v>
      </c>
      <c r="F178" s="17">
        <v>1780016.5</v>
      </c>
      <c r="G178" s="17">
        <v>1831546.5</v>
      </c>
      <c r="H178" s="17">
        <v>1879527.5000000002</v>
      </c>
      <c r="I178" s="17">
        <v>1922366</v>
      </c>
      <c r="J178" s="17">
        <v>1960464.0000000002</v>
      </c>
      <c r="K178" s="17">
        <v>1996310.5</v>
      </c>
      <c r="L178" s="17">
        <v>2031967.4999999998</v>
      </c>
      <c r="M178" s="17">
        <v>2065986.5</v>
      </c>
      <c r="N178" s="17">
        <v>2098564</v>
      </c>
      <c r="O178" s="17">
        <v>2132999</v>
      </c>
      <c r="P178" s="17">
        <v>2168765.5000000005</v>
      </c>
      <c r="Q178" s="17">
        <v>2205356.5</v>
      </c>
      <c r="R178" s="17">
        <v>2243887.5</v>
      </c>
      <c r="S178" s="17">
        <v>2283721.5</v>
      </c>
      <c r="T178" s="17">
        <v>2324053.9999999995</v>
      </c>
      <c r="U178" s="17">
        <v>2365350.5000000005</v>
      </c>
      <c r="V178" s="17">
        <v>2408278.5000000005</v>
      </c>
      <c r="W178" s="17">
        <v>2453283.4999999995</v>
      </c>
      <c r="X178" s="17">
        <v>2497850.5</v>
      </c>
      <c r="Y178" s="17">
        <v>2542625</v>
      </c>
      <c r="Z178" s="17">
        <v>2591773.5000000005</v>
      </c>
      <c r="AA178" s="17">
        <v>2645276.5</v>
      </c>
      <c r="AB178" s="17">
        <v>2702180</v>
      </c>
      <c r="AC178" s="17">
        <v>2761116</v>
      </c>
      <c r="AD178" s="17">
        <v>2821697.4999999995</v>
      </c>
      <c r="AE178" s="17">
        <v>2883883.5</v>
      </c>
      <c r="AF178" s="17">
        <v>2946530.5000000009</v>
      </c>
    </row>
    <row r="179" spans="1:32" x14ac:dyDescent="0.25">
      <c r="A179" t="s">
        <v>70</v>
      </c>
      <c r="B179" s="17">
        <v>8110772</v>
      </c>
      <c r="C179" s="17">
        <v>8332946.0000000019</v>
      </c>
      <c r="D179" s="17">
        <v>8544293.5</v>
      </c>
      <c r="E179" s="17">
        <v>8766044</v>
      </c>
      <c r="F179" s="17">
        <v>8999251.9999999981</v>
      </c>
      <c r="G179" s="17">
        <v>9238565.9999999981</v>
      </c>
      <c r="H179" s="17">
        <v>9485796.4999999981</v>
      </c>
      <c r="I179" s="17">
        <v>9742835.5</v>
      </c>
      <c r="J179" s="17">
        <v>10000567</v>
      </c>
      <c r="K179" s="17">
        <v>10244659.999999998</v>
      </c>
      <c r="L179" s="17">
        <v>10512249.5</v>
      </c>
      <c r="M179" s="17">
        <v>10829901.000000002</v>
      </c>
      <c r="N179" s="17">
        <v>11174787</v>
      </c>
      <c r="O179" s="17">
        <v>11545099.999999998</v>
      </c>
      <c r="P179" s="17">
        <v>11937109.5</v>
      </c>
      <c r="Q179" s="17">
        <v>12366746.000000002</v>
      </c>
      <c r="R179" s="17">
        <v>12832183</v>
      </c>
      <c r="S179" s="17">
        <v>13309315.000000002</v>
      </c>
      <c r="T179" s="17">
        <v>13789165.5</v>
      </c>
      <c r="U179" s="17">
        <v>14273914.5</v>
      </c>
      <c r="V179" s="17">
        <v>14782875.499999998</v>
      </c>
      <c r="W179" s="17">
        <v>15312175.500000002</v>
      </c>
      <c r="X179" s="17">
        <v>15845103.5</v>
      </c>
      <c r="Y179" s="17">
        <v>16379645.499999998</v>
      </c>
      <c r="Z179" s="17">
        <v>16920256.999999996</v>
      </c>
      <c r="AA179" s="17">
        <v>17463329</v>
      </c>
      <c r="AB179" s="17">
        <v>18006288.500000004</v>
      </c>
      <c r="AC179" s="17">
        <v>18546969</v>
      </c>
      <c r="AD179" s="17">
        <v>19095764</v>
      </c>
      <c r="AE179" s="17">
        <v>19665051.499999996</v>
      </c>
      <c r="AF179" s="17">
        <v>20248966.5</v>
      </c>
    </row>
    <row r="180" spans="1:32" x14ac:dyDescent="0.25">
      <c r="A180" t="s">
        <v>1163</v>
      </c>
      <c r="B180" s="17">
        <v>525810</v>
      </c>
      <c r="C180" s="17">
        <v>530951.5</v>
      </c>
      <c r="D180" s="17">
        <v>534019</v>
      </c>
      <c r="E180" s="17">
        <v>534905</v>
      </c>
      <c r="F180" s="17">
        <v>535205.49999999988</v>
      </c>
      <c r="G180" s="17">
        <v>535262.99999999988</v>
      </c>
      <c r="H180" s="17">
        <v>535506.5</v>
      </c>
      <c r="I180" s="17">
        <v>535599.5</v>
      </c>
      <c r="J180" s="17">
        <v>535265</v>
      </c>
      <c r="K180" s="17">
        <v>534612</v>
      </c>
      <c r="L180" s="17">
        <v>533560</v>
      </c>
      <c r="M180" s="17">
        <v>532177.50000000012</v>
      </c>
      <c r="N180" s="17">
        <v>530598</v>
      </c>
      <c r="O180" s="17">
        <v>528738</v>
      </c>
      <c r="P180" s="17">
        <v>526404.5</v>
      </c>
      <c r="Q180" s="17">
        <v>523822</v>
      </c>
      <c r="R180" s="17">
        <v>521523.5</v>
      </c>
      <c r="S180" s="17">
        <v>519571</v>
      </c>
      <c r="T180" s="17">
        <v>517610.5</v>
      </c>
      <c r="U180" s="17">
        <v>514860</v>
      </c>
      <c r="V180" s="17">
        <v>511360</v>
      </c>
      <c r="W180" s="17">
        <v>507751.00000000006</v>
      </c>
      <c r="X180" s="17">
        <v>503960.49999999994</v>
      </c>
      <c r="Y180" s="17">
        <v>500073.5</v>
      </c>
      <c r="Z180" s="17">
        <v>496332.99999999994</v>
      </c>
      <c r="AA180" s="17">
        <v>492692.5</v>
      </c>
      <c r="AB180" s="17">
        <v>488703.99999999994</v>
      </c>
      <c r="AC180" s="17">
        <v>484529.00000000006</v>
      </c>
      <c r="AD180" s="17">
        <v>480353.5</v>
      </c>
      <c r="AE180" s="17">
        <v>475937.5</v>
      </c>
      <c r="AF180" s="17">
        <v>471174</v>
      </c>
    </row>
    <row r="181" spans="1:32" x14ac:dyDescent="0.25">
      <c r="A181" t="s">
        <v>262</v>
      </c>
      <c r="B181" s="17">
        <v>18462480.499999996</v>
      </c>
      <c r="C181" s="17">
        <v>18629954.5</v>
      </c>
      <c r="D181" s="17">
        <v>18770841.5</v>
      </c>
      <c r="E181" s="17">
        <v>18878429.000000004</v>
      </c>
      <c r="F181" s="17">
        <v>18945170.5</v>
      </c>
      <c r="G181" s="17">
        <v>18971397.5</v>
      </c>
      <c r="H181" s="17">
        <v>18973598.5</v>
      </c>
      <c r="I181" s="17">
        <v>18960411</v>
      </c>
      <c r="J181" s="17">
        <v>18930238.5</v>
      </c>
      <c r="K181" s="17">
        <v>18880561.5</v>
      </c>
      <c r="L181" s="17">
        <v>18819239</v>
      </c>
      <c r="M181" s="17">
        <v>18762317</v>
      </c>
      <c r="N181" s="17">
        <v>18699971.999999996</v>
      </c>
      <c r="O181" s="17">
        <v>18607307</v>
      </c>
      <c r="P181" s="17">
        <v>18474922.5</v>
      </c>
      <c r="Q181" s="17">
        <v>18316638</v>
      </c>
      <c r="R181" s="17">
        <v>18161481.5</v>
      </c>
      <c r="S181" s="17">
        <v>18003029.000000004</v>
      </c>
      <c r="T181" s="17">
        <v>17817506.5</v>
      </c>
      <c r="U181" s="17">
        <v>17614101.5</v>
      </c>
      <c r="V181" s="17">
        <v>17415997.5</v>
      </c>
      <c r="W181" s="17">
        <v>17230299.499999996</v>
      </c>
      <c r="X181" s="17">
        <v>17059272.999999996</v>
      </c>
      <c r="Y181" s="17">
        <v>16904828.5</v>
      </c>
      <c r="Z181" s="17">
        <v>16760934.5</v>
      </c>
      <c r="AA181" s="17">
        <v>16628549.500000002</v>
      </c>
      <c r="AB181" s="17">
        <v>16505456.000000002</v>
      </c>
      <c r="AC181" s="17">
        <v>16380496.500000002</v>
      </c>
      <c r="AD181" s="17">
        <v>16244725.5</v>
      </c>
      <c r="AE181" s="17">
        <v>16099007.499999998</v>
      </c>
      <c r="AF181" s="17">
        <v>15943514.499999998</v>
      </c>
    </row>
    <row r="182" spans="1:32" x14ac:dyDescent="0.25">
      <c r="A182" t="s">
        <v>71</v>
      </c>
      <c r="B182" s="17">
        <v>199084</v>
      </c>
      <c r="C182" s="17">
        <v>202189.5</v>
      </c>
      <c r="D182" s="17">
        <v>205366</v>
      </c>
      <c r="E182" s="17">
        <v>208622.5</v>
      </c>
      <c r="F182" s="17">
        <v>212154</v>
      </c>
      <c r="G182" s="17">
        <v>216169.00000000003</v>
      </c>
      <c r="H182" s="17">
        <v>220700</v>
      </c>
      <c r="I182" s="17">
        <v>225615</v>
      </c>
      <c r="J182" s="17">
        <v>230833.5</v>
      </c>
      <c r="K182" s="17">
        <v>236311.5</v>
      </c>
      <c r="L182" s="17">
        <v>242304.00000000003</v>
      </c>
      <c r="M182" s="17">
        <v>249209.5</v>
      </c>
      <c r="N182" s="17">
        <v>256885.99999999997</v>
      </c>
      <c r="O182" s="17">
        <v>265196</v>
      </c>
      <c r="P182" s="17">
        <v>274190.5</v>
      </c>
      <c r="Q182" s="17">
        <v>282792.5</v>
      </c>
      <c r="R182" s="17">
        <v>290778</v>
      </c>
      <c r="S182" s="17">
        <v>298857</v>
      </c>
      <c r="T182" s="17">
        <v>306980.5</v>
      </c>
      <c r="U182" s="17">
        <v>315187.5</v>
      </c>
      <c r="V182" s="17">
        <v>323741.99999999994</v>
      </c>
      <c r="W182" s="17">
        <v>332790.5</v>
      </c>
      <c r="X182" s="17">
        <v>341288</v>
      </c>
      <c r="Y182" s="17">
        <v>348902.99999999994</v>
      </c>
      <c r="Z182" s="17">
        <v>356280.5</v>
      </c>
      <c r="AA182" s="17">
        <v>363580</v>
      </c>
      <c r="AB182" s="17">
        <v>370854.5</v>
      </c>
      <c r="AC182" s="17">
        <v>377956</v>
      </c>
      <c r="AD182" s="17">
        <v>384757.49999999994</v>
      </c>
      <c r="AE182" s="17">
        <v>391499</v>
      </c>
      <c r="AF182" s="17">
        <v>398414</v>
      </c>
    </row>
    <row r="183" spans="1:32" x14ac:dyDescent="0.25">
      <c r="A183" t="s">
        <v>72</v>
      </c>
      <c r="B183" s="17">
        <v>1191064.5</v>
      </c>
      <c r="C183" s="17">
        <v>1226656.5</v>
      </c>
      <c r="D183" s="17">
        <v>1260801.0000000002</v>
      </c>
      <c r="E183" s="17">
        <v>1295529</v>
      </c>
      <c r="F183" s="17">
        <v>1331762</v>
      </c>
      <c r="G183" s="17">
        <v>1368287</v>
      </c>
      <c r="H183" s="17">
        <v>1410250</v>
      </c>
      <c r="I183" s="17">
        <v>1454730.5</v>
      </c>
      <c r="J183" s="17">
        <v>1498192.5</v>
      </c>
      <c r="K183" s="17">
        <v>1540866</v>
      </c>
      <c r="L183" s="17">
        <v>1580730</v>
      </c>
      <c r="M183" s="17">
        <v>1621086.5</v>
      </c>
      <c r="N183" s="17">
        <v>1661996.5000000002</v>
      </c>
      <c r="O183" s="17">
        <v>1703946.5000000002</v>
      </c>
      <c r="P183" s="17">
        <v>1747528.5000000002</v>
      </c>
      <c r="Q183" s="17">
        <v>1792609.5</v>
      </c>
      <c r="R183" s="17">
        <v>1839016</v>
      </c>
      <c r="S183" s="17">
        <v>1886847.4999999998</v>
      </c>
      <c r="T183" s="17">
        <v>1935963</v>
      </c>
      <c r="U183" s="17">
        <v>1985902.5</v>
      </c>
      <c r="V183" s="17">
        <v>2037086.5</v>
      </c>
      <c r="W183" s="17">
        <v>2090245.9999999995</v>
      </c>
      <c r="X183" s="17">
        <v>2145432.0000000005</v>
      </c>
      <c r="Y183" s="17">
        <v>2202163.5</v>
      </c>
      <c r="Z183" s="17">
        <v>2260419</v>
      </c>
      <c r="AA183" s="17">
        <v>2320383.5000000005</v>
      </c>
      <c r="AB183" s="17">
        <v>2381037</v>
      </c>
      <c r="AC183" s="17">
        <v>2441379.4999999995</v>
      </c>
      <c r="AD183" s="17">
        <v>2501718</v>
      </c>
      <c r="AE183" s="17">
        <v>2562533.5</v>
      </c>
      <c r="AF183" s="17">
        <v>2623989</v>
      </c>
    </row>
    <row r="184" spans="1:32" x14ac:dyDescent="0.25">
      <c r="A184" t="s">
        <v>265</v>
      </c>
      <c r="B184" s="17">
        <v>24232.999999999996</v>
      </c>
      <c r="C184" s="17">
        <v>24439.999999999996</v>
      </c>
      <c r="D184" s="17">
        <v>24580</v>
      </c>
      <c r="E184" s="17">
        <v>24676.500000000004</v>
      </c>
      <c r="F184" s="17">
        <v>24757.5</v>
      </c>
      <c r="G184" s="17">
        <v>24844.5</v>
      </c>
      <c r="H184" s="17">
        <v>24938.999999999996</v>
      </c>
      <c r="I184" s="17">
        <v>25096</v>
      </c>
      <c r="J184" s="17">
        <v>25307.999999999996</v>
      </c>
      <c r="K184" s="17">
        <v>25502</v>
      </c>
      <c r="L184" s="17">
        <v>25701</v>
      </c>
      <c r="M184" s="17">
        <v>25876.5</v>
      </c>
      <c r="N184" s="17">
        <v>25926.5</v>
      </c>
      <c r="O184" s="17">
        <v>25883.5</v>
      </c>
      <c r="P184" s="17">
        <v>25823.5</v>
      </c>
      <c r="Q184" s="17">
        <v>25792.5</v>
      </c>
      <c r="R184" s="17">
        <v>25774.499999999996</v>
      </c>
      <c r="S184" s="17">
        <v>25778</v>
      </c>
      <c r="T184" s="17">
        <v>25800.5</v>
      </c>
      <c r="U184" s="17">
        <v>25835</v>
      </c>
      <c r="V184" s="17">
        <v>26012.000000000004</v>
      </c>
      <c r="W184" s="17">
        <v>26319.5</v>
      </c>
      <c r="X184" s="17">
        <v>26589.5</v>
      </c>
      <c r="Y184" s="17">
        <v>26814.5</v>
      </c>
      <c r="Z184" s="17">
        <v>27039</v>
      </c>
      <c r="AA184" s="17">
        <v>27314.5</v>
      </c>
      <c r="AB184" s="17">
        <v>27621.5</v>
      </c>
      <c r="AC184" s="17">
        <v>27922.5</v>
      </c>
      <c r="AD184" s="17">
        <v>28232.999999999996</v>
      </c>
      <c r="AE184" s="17">
        <v>28506.5</v>
      </c>
      <c r="AF184" s="17">
        <v>28762.999999999996</v>
      </c>
    </row>
    <row r="185" spans="1:32" x14ac:dyDescent="0.25">
      <c r="A185" t="s">
        <v>266</v>
      </c>
      <c r="B185" s="17">
        <v>387665.5</v>
      </c>
      <c r="C185" s="17">
        <v>392114.5</v>
      </c>
      <c r="D185" s="17">
        <v>396083.5</v>
      </c>
      <c r="E185" s="17">
        <v>399035.49999999994</v>
      </c>
      <c r="F185" s="17">
        <v>400650</v>
      </c>
      <c r="G185" s="17">
        <v>401363.5</v>
      </c>
      <c r="H185" s="17">
        <v>401683.99999999994</v>
      </c>
      <c r="I185" s="17">
        <v>401645.99999999994</v>
      </c>
      <c r="J185" s="17">
        <v>401025</v>
      </c>
      <c r="K185" s="17">
        <v>399756.5</v>
      </c>
      <c r="L185" s="17">
        <v>397933.50000000006</v>
      </c>
      <c r="M185" s="17">
        <v>395737</v>
      </c>
      <c r="N185" s="17">
        <v>393439.49999999994</v>
      </c>
      <c r="O185" s="17">
        <v>391285.5</v>
      </c>
      <c r="P185" s="17">
        <v>389459.00000000006</v>
      </c>
      <c r="Q185" s="17">
        <v>387943.5</v>
      </c>
      <c r="R185" s="17">
        <v>386835</v>
      </c>
      <c r="S185" s="17">
        <v>386471</v>
      </c>
      <c r="T185" s="17">
        <v>391565.50000000006</v>
      </c>
      <c r="U185" s="17">
        <v>393976</v>
      </c>
      <c r="V185" s="17">
        <v>391648.5</v>
      </c>
      <c r="W185" s="17">
        <v>392107.99999999994</v>
      </c>
      <c r="X185" s="17">
        <v>391802.5</v>
      </c>
      <c r="Y185" s="17">
        <v>390885.5</v>
      </c>
      <c r="Z185" s="17">
        <v>389926.00000000006</v>
      </c>
      <c r="AA185" s="17">
        <v>388875.5</v>
      </c>
      <c r="AB185" s="17">
        <v>387629.5</v>
      </c>
      <c r="AC185" s="17">
        <v>385998.50000000006</v>
      </c>
      <c r="AD185" s="17">
        <v>383792</v>
      </c>
      <c r="AE185" s="17">
        <v>380876.49999999994</v>
      </c>
      <c r="AF185" s="17">
        <v>377276.5</v>
      </c>
    </row>
    <row r="186" spans="1:32" x14ac:dyDescent="0.25">
      <c r="A186" t="s">
        <v>267</v>
      </c>
      <c r="B186" s="17">
        <v>2731031.5000000005</v>
      </c>
      <c r="C186" s="17">
        <v>2796228</v>
      </c>
      <c r="D186" s="17">
        <v>2858537</v>
      </c>
      <c r="E186" s="17">
        <v>2915798.5</v>
      </c>
      <c r="F186" s="17">
        <v>2966538.9999999995</v>
      </c>
      <c r="G186" s="17">
        <v>3008591</v>
      </c>
      <c r="H186" s="17">
        <v>3043238.0000000005</v>
      </c>
      <c r="I186" s="17">
        <v>3073564.0000000005</v>
      </c>
      <c r="J186" s="17">
        <v>3099780.5</v>
      </c>
      <c r="K186" s="17">
        <v>3121451</v>
      </c>
      <c r="L186" s="17">
        <v>3137998</v>
      </c>
      <c r="M186" s="17">
        <v>3156619.9999999995</v>
      </c>
      <c r="N186" s="17">
        <v>3168575.4999999995</v>
      </c>
      <c r="O186" s="17">
        <v>3167140.0000000005</v>
      </c>
      <c r="P186" s="17">
        <v>3161888.9999999995</v>
      </c>
      <c r="Q186" s="17">
        <v>3154031.5</v>
      </c>
      <c r="R186" s="17">
        <v>3145503.5</v>
      </c>
      <c r="S186" s="17">
        <v>3137515.5</v>
      </c>
      <c r="T186" s="17">
        <v>3131480</v>
      </c>
      <c r="U186" s="17">
        <v>3128294.9999999995</v>
      </c>
      <c r="V186" s="17">
        <v>3129354.0000000005</v>
      </c>
      <c r="W186" s="17">
        <v>3133292.5000000005</v>
      </c>
      <c r="X186" s="17">
        <v>3138577.4999999995</v>
      </c>
      <c r="Y186" s="17">
        <v>3145172</v>
      </c>
      <c r="Z186" s="17">
        <v>3151646.5000000005</v>
      </c>
      <c r="AA186" s="17">
        <v>3158470.0000000005</v>
      </c>
      <c r="AB186" s="17">
        <v>3166937.5</v>
      </c>
      <c r="AC186" s="17">
        <v>3177341</v>
      </c>
      <c r="AD186" s="17">
        <v>3189595.0000000005</v>
      </c>
      <c r="AE186" s="17">
        <v>3203082.0000000005</v>
      </c>
      <c r="AF186" s="17">
        <v>3216314.5</v>
      </c>
    </row>
    <row r="187" spans="1:32" x14ac:dyDescent="0.25">
      <c r="A187" t="s">
        <v>268</v>
      </c>
      <c r="B187" s="17">
        <v>16930943.5</v>
      </c>
      <c r="C187" s="17">
        <v>17241800.499999996</v>
      </c>
      <c r="D187" s="17">
        <v>17564772.5</v>
      </c>
      <c r="E187" s="17">
        <v>17845409.5</v>
      </c>
      <c r="F187" s="17">
        <v>18107694.000000004</v>
      </c>
      <c r="G187" s="17">
        <v>18383903.5</v>
      </c>
      <c r="H187" s="17">
        <v>18638406.5</v>
      </c>
      <c r="I187" s="17">
        <v>18879805</v>
      </c>
      <c r="J187" s="17">
        <v>19127445.499999996</v>
      </c>
      <c r="K187" s="17">
        <v>19405680.999999996</v>
      </c>
      <c r="L187" s="17">
        <v>19702726</v>
      </c>
      <c r="M187" s="17">
        <v>19998259.5</v>
      </c>
      <c r="N187" s="17">
        <v>20336010.500000004</v>
      </c>
      <c r="O187" s="17">
        <v>20715864</v>
      </c>
      <c r="P187" s="17">
        <v>21141793.500000004</v>
      </c>
      <c r="Q187" s="17">
        <v>21531362.499999996</v>
      </c>
      <c r="R187" s="17">
        <v>21846551.5</v>
      </c>
      <c r="S187" s="17">
        <v>22026953.500000004</v>
      </c>
      <c r="T187" s="17">
        <v>21995419.499999996</v>
      </c>
      <c r="U187" s="17">
        <v>21954317</v>
      </c>
      <c r="V187" s="17">
        <v>21995146.999999996</v>
      </c>
      <c r="W187" s="17">
        <v>22059515</v>
      </c>
      <c r="X187" s="17">
        <v>22069294.499999996</v>
      </c>
      <c r="Y187" s="17">
        <v>22017849.5</v>
      </c>
      <c r="Z187" s="17">
        <v>21958312.5</v>
      </c>
      <c r="AA187" s="17">
        <v>21899834</v>
      </c>
      <c r="AB187" s="17">
        <v>21838127</v>
      </c>
      <c r="AC187" s="17">
        <v>21785383.5</v>
      </c>
      <c r="AD187" s="17">
        <v>21748621.499999996</v>
      </c>
      <c r="AE187" s="17">
        <v>21724956</v>
      </c>
      <c r="AF187" s="17">
        <v>21721643.000000004</v>
      </c>
    </row>
    <row r="188" spans="1:32" x14ac:dyDescent="0.25">
      <c r="A188" t="s">
        <v>269</v>
      </c>
      <c r="B188" s="17">
        <v>1203899</v>
      </c>
      <c r="C188" s="17">
        <v>1236512.5</v>
      </c>
      <c r="D188" s="17">
        <v>1269737</v>
      </c>
      <c r="E188" s="17">
        <v>1301201.5</v>
      </c>
      <c r="F188" s="17">
        <v>1331976</v>
      </c>
      <c r="G188" s="17">
        <v>1362702.0000000002</v>
      </c>
      <c r="H188" s="17">
        <v>1390889</v>
      </c>
      <c r="I188" s="17">
        <v>1417010.5</v>
      </c>
      <c r="J188" s="17">
        <v>1441384.5</v>
      </c>
      <c r="K188" s="17">
        <v>1463252</v>
      </c>
      <c r="L188" s="17">
        <v>1482349</v>
      </c>
      <c r="M188" s="17">
        <v>1498961.5</v>
      </c>
      <c r="N188" s="17">
        <v>1513551.5</v>
      </c>
      <c r="O188" s="17">
        <v>1526799</v>
      </c>
      <c r="P188" s="17">
        <v>1539082.5000000005</v>
      </c>
      <c r="Q188" s="17">
        <v>1550758.5</v>
      </c>
      <c r="R188" s="17">
        <v>1561949.9999999998</v>
      </c>
      <c r="S188" s="17">
        <v>1572685</v>
      </c>
      <c r="T188" s="17">
        <v>1583697.5</v>
      </c>
      <c r="U188" s="17">
        <v>1595446.0000000002</v>
      </c>
      <c r="V188" s="17">
        <v>1608841</v>
      </c>
      <c r="W188" s="17">
        <v>1623914.5000000002</v>
      </c>
      <c r="X188" s="17">
        <v>1639848.4999999998</v>
      </c>
      <c r="Y188" s="17">
        <v>1657263</v>
      </c>
      <c r="Z188" s="17">
        <v>1676798.4999999998</v>
      </c>
      <c r="AA188" s="17">
        <v>1698565.9999999998</v>
      </c>
      <c r="AB188" s="17">
        <v>1722433.5</v>
      </c>
      <c r="AC188" s="17">
        <v>1748556.5000000002</v>
      </c>
      <c r="AD188" s="17">
        <v>1776414.0000000002</v>
      </c>
      <c r="AE188" s="17">
        <v>1804649</v>
      </c>
      <c r="AF188" s="17">
        <v>1832288.5</v>
      </c>
    </row>
    <row r="189" spans="1:32" x14ac:dyDescent="0.25">
      <c r="A189" t="s">
        <v>73</v>
      </c>
      <c r="B189" s="17">
        <v>5303505.0000000009</v>
      </c>
      <c r="C189" s="17">
        <v>5462612.9999999991</v>
      </c>
      <c r="D189" s="17">
        <v>5636922.0000000009</v>
      </c>
      <c r="E189" s="17">
        <v>5821555.5</v>
      </c>
      <c r="F189" s="17">
        <v>5995326.4999999991</v>
      </c>
      <c r="G189" s="17">
        <v>6171073.5</v>
      </c>
      <c r="H189" s="17">
        <v>6357593</v>
      </c>
      <c r="I189" s="17">
        <v>6557205</v>
      </c>
      <c r="J189" s="17">
        <v>6768832.5</v>
      </c>
      <c r="K189" s="17">
        <v>6990075</v>
      </c>
      <c r="L189" s="17">
        <v>7221804.0000000009</v>
      </c>
      <c r="M189" s="17">
        <v>7461627.5000000009</v>
      </c>
      <c r="N189" s="17">
        <v>7709906.5</v>
      </c>
      <c r="O189" s="17">
        <v>7969327.4999999991</v>
      </c>
      <c r="P189" s="17">
        <v>8257632.5</v>
      </c>
      <c r="Q189" s="17">
        <v>8582038.4999999981</v>
      </c>
      <c r="R189" s="17">
        <v>8963751</v>
      </c>
      <c r="S189" s="17">
        <v>9389346.5000000019</v>
      </c>
      <c r="T189" s="17">
        <v>9812528.5</v>
      </c>
      <c r="U189" s="17">
        <v>10249869.5</v>
      </c>
      <c r="V189" s="17">
        <v>10693337.5</v>
      </c>
      <c r="W189" s="17">
        <v>11132071.5</v>
      </c>
      <c r="X189" s="17">
        <v>11545668.499999998</v>
      </c>
      <c r="Y189" s="17">
        <v>11931663.499999998</v>
      </c>
      <c r="Z189" s="17">
        <v>12327811.5</v>
      </c>
      <c r="AA189" s="17">
        <v>12740137.999999998</v>
      </c>
      <c r="AB189" s="17">
        <v>13168125</v>
      </c>
      <c r="AC189" s="17">
        <v>13611548</v>
      </c>
      <c r="AD189" s="17">
        <v>14066377.5</v>
      </c>
      <c r="AE189" s="17">
        <v>14526917.000000002</v>
      </c>
      <c r="AF189" s="17">
        <v>14992614.5</v>
      </c>
    </row>
    <row r="190" spans="1:32" x14ac:dyDescent="0.25">
      <c r="A190" t="s">
        <v>272</v>
      </c>
      <c r="B190" s="17">
        <v>12602852.5</v>
      </c>
      <c r="C190" s="17">
        <v>12568523.500000002</v>
      </c>
      <c r="D190" s="17">
        <v>12535443.500000002</v>
      </c>
      <c r="E190" s="17">
        <v>12502565</v>
      </c>
      <c r="F190" s="17">
        <v>12451572.5</v>
      </c>
      <c r="G190" s="17">
        <v>12378607.499999998</v>
      </c>
      <c r="H190" s="17">
        <v>12290676</v>
      </c>
      <c r="I190" s="17">
        <v>12176928</v>
      </c>
      <c r="J190" s="17">
        <v>12038270.999999998</v>
      </c>
      <c r="K190" s="17">
        <v>11878995.5</v>
      </c>
      <c r="L190" s="17">
        <v>11704857</v>
      </c>
      <c r="M190" s="17">
        <v>11526179</v>
      </c>
      <c r="N190" s="17">
        <v>11356842.999999998</v>
      </c>
      <c r="O190" s="17">
        <v>11190301.500000002</v>
      </c>
      <c r="P190" s="17">
        <v>11029481</v>
      </c>
      <c r="Q190" s="17">
        <v>10887079.500000002</v>
      </c>
      <c r="R190" s="17">
        <v>10750065.000000002</v>
      </c>
      <c r="S190" s="17">
        <v>10616804</v>
      </c>
      <c r="T190" s="17">
        <v>10496332.999999998</v>
      </c>
      <c r="U190" s="17">
        <v>10384854</v>
      </c>
      <c r="V190" s="17">
        <v>10264743.999999998</v>
      </c>
      <c r="W190" s="17">
        <v>10138667</v>
      </c>
      <c r="X190" s="17">
        <v>8649413.5</v>
      </c>
      <c r="Y190" s="17">
        <v>7540615.5</v>
      </c>
      <c r="Z190" s="17">
        <v>8097434.5000000009</v>
      </c>
      <c r="AA190" s="17">
        <v>8472653</v>
      </c>
      <c r="AB190" s="17">
        <v>8638081.5</v>
      </c>
      <c r="AC190" s="17">
        <v>8655606.5</v>
      </c>
      <c r="AD190" s="17">
        <v>8607535</v>
      </c>
      <c r="AE190" s="17">
        <v>8524318.5000000019</v>
      </c>
      <c r="AF190" s="17">
        <v>8414300.5000000019</v>
      </c>
    </row>
    <row r="191" spans="1:32" x14ac:dyDescent="0.25">
      <c r="A191" t="s">
        <v>273</v>
      </c>
      <c r="B191" s="17">
        <v>638425</v>
      </c>
      <c r="C191" s="17">
        <v>682104.5</v>
      </c>
      <c r="D191" s="17">
        <v>725064.50000000012</v>
      </c>
      <c r="E191" s="17">
        <v>766894.5</v>
      </c>
      <c r="F191" s="17">
        <v>807707</v>
      </c>
      <c r="G191" s="17">
        <v>867475.50000000012</v>
      </c>
      <c r="H191" s="17">
        <v>991234.50000000012</v>
      </c>
      <c r="I191" s="17">
        <v>1187045.5000000002</v>
      </c>
      <c r="J191" s="17">
        <v>1412013.5</v>
      </c>
      <c r="K191" s="17">
        <v>1613770.4999999998</v>
      </c>
      <c r="L191" s="17">
        <v>1717726</v>
      </c>
      <c r="M191" s="17">
        <v>1747178</v>
      </c>
      <c r="N191" s="17">
        <v>1773058</v>
      </c>
      <c r="O191" s="17">
        <v>1794930</v>
      </c>
      <c r="P191" s="17">
        <v>1812695</v>
      </c>
      <c r="Q191" s="17">
        <v>1826534.5</v>
      </c>
      <c r="R191" s="17">
        <v>1836832.4999999998</v>
      </c>
      <c r="S191" s="17">
        <v>1843993.5</v>
      </c>
      <c r="T191" s="17">
        <v>1848459</v>
      </c>
      <c r="U191" s="17">
        <v>1850901.5000000002</v>
      </c>
      <c r="V191" s="17">
        <v>1854694</v>
      </c>
      <c r="W191" s="17">
        <v>1860469.5</v>
      </c>
      <c r="X191" s="17">
        <v>1872645.5</v>
      </c>
      <c r="Y191" s="17">
        <v>1891833.5</v>
      </c>
      <c r="Z191" s="17">
        <v>1911746.9999999998</v>
      </c>
      <c r="AA191" s="17">
        <v>1932020</v>
      </c>
      <c r="AB191" s="17">
        <v>1952088.0000000002</v>
      </c>
      <c r="AC191" s="17">
        <v>1971216.5000000002</v>
      </c>
      <c r="AD191" s="17">
        <v>1988569.5</v>
      </c>
      <c r="AE191" s="17">
        <v>2003263.5</v>
      </c>
      <c r="AF191" s="17">
        <v>2014481</v>
      </c>
    </row>
    <row r="192" spans="1:32" x14ac:dyDescent="0.25">
      <c r="A192" t="s">
        <v>274</v>
      </c>
      <c r="B192" s="17">
        <v>14163293</v>
      </c>
      <c r="C192" s="17">
        <v>14232110.499999998</v>
      </c>
      <c r="D192" s="17">
        <v>14319906.5</v>
      </c>
      <c r="E192" s="17">
        <v>14419914</v>
      </c>
      <c r="F192" s="17">
        <v>14525875</v>
      </c>
      <c r="G192" s="17">
        <v>14640839</v>
      </c>
      <c r="H192" s="17">
        <v>14755907.000000002</v>
      </c>
      <c r="I192" s="17">
        <v>14856455.999999998</v>
      </c>
      <c r="J192" s="17">
        <v>14939634.000000002</v>
      </c>
      <c r="K192" s="17">
        <v>15006873.000000002</v>
      </c>
      <c r="L192" s="17">
        <v>15054849</v>
      </c>
      <c r="M192" s="17">
        <v>15081682.499999998</v>
      </c>
      <c r="N192" s="17">
        <v>15089951.5</v>
      </c>
      <c r="O192" s="17">
        <v>15078706.5</v>
      </c>
      <c r="P192" s="17">
        <v>15045537</v>
      </c>
      <c r="Q192" s="17">
        <v>14992929.5</v>
      </c>
      <c r="R192" s="17">
        <v>14930626.000000002</v>
      </c>
      <c r="S192" s="17">
        <v>14864254</v>
      </c>
      <c r="T192" s="17">
        <v>14801160.5</v>
      </c>
      <c r="U192" s="17">
        <v>14749478</v>
      </c>
      <c r="V192" s="17">
        <v>14707580.999999998</v>
      </c>
      <c r="W192" s="17">
        <v>14672710.500000002</v>
      </c>
      <c r="X192" s="17">
        <v>14663949.5</v>
      </c>
      <c r="Y192" s="17">
        <v>14691368</v>
      </c>
      <c r="Z192" s="17">
        <v>14738407.500000002</v>
      </c>
      <c r="AA192" s="17">
        <v>14799657.000000002</v>
      </c>
      <c r="AB192" s="17">
        <v>14873726.5</v>
      </c>
      <c r="AC192" s="17">
        <v>14953744</v>
      </c>
      <c r="AD192" s="17">
        <v>15020168.499999998</v>
      </c>
      <c r="AE192" s="17">
        <v>15055902.5</v>
      </c>
      <c r="AF192" s="17">
        <v>15068639.999999998</v>
      </c>
    </row>
    <row r="193" spans="1:32" x14ac:dyDescent="0.25">
      <c r="A193" t="s">
        <v>275</v>
      </c>
      <c r="B193" s="17">
        <v>72489171.500000015</v>
      </c>
      <c r="C193" s="17">
        <v>72888110.5</v>
      </c>
      <c r="D193" s="17">
        <v>73182949.000000015</v>
      </c>
      <c r="E193" s="17">
        <v>73554965.499999985</v>
      </c>
      <c r="F193" s="17">
        <v>73830479.499999985</v>
      </c>
      <c r="G193" s="17">
        <v>74085277.999999985</v>
      </c>
      <c r="H193" s="17">
        <v>74321478.999999985</v>
      </c>
      <c r="I193" s="17">
        <v>74542870.5</v>
      </c>
      <c r="J193" s="17">
        <v>74685633.999999985</v>
      </c>
      <c r="K193" s="17">
        <v>74717591.500000015</v>
      </c>
      <c r="L193" s="17">
        <v>74693750</v>
      </c>
      <c r="M193" s="17">
        <v>74688475.5</v>
      </c>
      <c r="N193" s="17">
        <v>74759643.5</v>
      </c>
      <c r="O193" s="17">
        <v>74850333</v>
      </c>
      <c r="P193" s="17">
        <v>74915292</v>
      </c>
      <c r="Q193" s="17">
        <v>75036572</v>
      </c>
      <c r="R193" s="17">
        <v>75288819.5</v>
      </c>
      <c r="S193" s="17">
        <v>75630814.500000015</v>
      </c>
      <c r="T193" s="17">
        <v>75955804.5</v>
      </c>
      <c r="U193" s="17">
        <v>76223386</v>
      </c>
      <c r="V193" s="17">
        <v>76377874</v>
      </c>
      <c r="W193" s="17">
        <v>76484547.5</v>
      </c>
      <c r="X193" s="17">
        <v>76805008.5</v>
      </c>
      <c r="Y193" s="17">
        <v>77303864.999999985</v>
      </c>
      <c r="Z193" s="17">
        <v>77759842.5</v>
      </c>
      <c r="AA193" s="17">
        <v>78151980.000000015</v>
      </c>
      <c r="AB193" s="17">
        <v>78511897.999999985</v>
      </c>
      <c r="AC193" s="17">
        <v>78838342.500000015</v>
      </c>
      <c r="AD193" s="17">
        <v>79112339.499999985</v>
      </c>
      <c r="AE193" s="17">
        <v>79332201.500000015</v>
      </c>
      <c r="AF193" s="17">
        <v>79504565.999999985</v>
      </c>
    </row>
    <row r="194" spans="1:32" x14ac:dyDescent="0.25">
      <c r="A194" t="s">
        <v>276</v>
      </c>
      <c r="B194" s="17">
        <v>27243</v>
      </c>
      <c r="C194" s="17">
        <v>27012</v>
      </c>
      <c r="D194" s="17">
        <v>26745.000000000004</v>
      </c>
      <c r="E194" s="17">
        <v>26455.499999999996</v>
      </c>
      <c r="F194" s="17">
        <v>26147.999999999996</v>
      </c>
      <c r="G194" s="17">
        <v>25965</v>
      </c>
      <c r="H194" s="17">
        <v>25895</v>
      </c>
      <c r="I194" s="17">
        <v>25777.5</v>
      </c>
      <c r="J194" s="17">
        <v>25602.500000000004</v>
      </c>
      <c r="K194" s="17">
        <v>25365.000000000004</v>
      </c>
      <c r="L194" s="17">
        <v>25004</v>
      </c>
      <c r="M194" s="17">
        <v>24540.000000000004</v>
      </c>
      <c r="N194" s="17">
        <v>24061</v>
      </c>
      <c r="O194" s="17">
        <v>23566.000000000004</v>
      </c>
      <c r="P194" s="17">
        <v>23066.999999999996</v>
      </c>
      <c r="Q194" s="17">
        <v>22587.5</v>
      </c>
      <c r="R194" s="17">
        <v>22136</v>
      </c>
      <c r="S194" s="17">
        <v>21713.5</v>
      </c>
      <c r="T194" s="17">
        <v>21311.5</v>
      </c>
      <c r="U194" s="17">
        <v>20931.500000000004</v>
      </c>
      <c r="V194" s="17">
        <v>20653.5</v>
      </c>
      <c r="W194" s="17">
        <v>20452</v>
      </c>
      <c r="X194" s="17">
        <v>20202.5</v>
      </c>
      <c r="Y194" s="17">
        <v>19945</v>
      </c>
      <c r="Z194" s="17">
        <v>19738.5</v>
      </c>
      <c r="AA194" s="17">
        <v>19577</v>
      </c>
      <c r="AB194" s="17">
        <v>19421.000000000004</v>
      </c>
      <c r="AC194" s="17">
        <v>19237.499999999996</v>
      </c>
      <c r="AD194" s="17">
        <v>19043.499999999996</v>
      </c>
      <c r="AE194" s="17">
        <v>18841</v>
      </c>
      <c r="AF194" s="17">
        <v>18626</v>
      </c>
    </row>
    <row r="195" spans="1:32" x14ac:dyDescent="0.25">
      <c r="A195" t="s">
        <v>277</v>
      </c>
      <c r="B195" s="17">
        <v>795601.5</v>
      </c>
      <c r="C195" s="17">
        <v>798026.5</v>
      </c>
      <c r="D195" s="17">
        <v>799097.5</v>
      </c>
      <c r="E195" s="17">
        <v>799845</v>
      </c>
      <c r="F195" s="17">
        <v>801194.50000000012</v>
      </c>
      <c r="G195" s="17">
        <v>801474</v>
      </c>
      <c r="H195" s="17">
        <v>801063</v>
      </c>
      <c r="I195" s="17">
        <v>801653.00000000012</v>
      </c>
      <c r="J195" s="17">
        <v>802790.5</v>
      </c>
      <c r="K195" s="17">
        <v>804431.5</v>
      </c>
      <c r="L195" s="17">
        <v>806531</v>
      </c>
      <c r="M195" s="17">
        <v>808602.5</v>
      </c>
      <c r="N195" s="17">
        <v>810384.5</v>
      </c>
      <c r="O195" s="17">
        <v>811663.5</v>
      </c>
      <c r="P195" s="17">
        <v>812629.5</v>
      </c>
      <c r="Q195" s="17">
        <v>813562</v>
      </c>
      <c r="R195" s="17">
        <v>814510.5</v>
      </c>
      <c r="S195" s="17">
        <v>815807</v>
      </c>
      <c r="T195" s="17">
        <v>817239.99999999988</v>
      </c>
      <c r="U195" s="17">
        <v>818505.5</v>
      </c>
      <c r="V195" s="17">
        <v>820317.00000000012</v>
      </c>
      <c r="W195" s="17">
        <v>822120.5</v>
      </c>
      <c r="X195" s="17">
        <v>823000.00000000012</v>
      </c>
      <c r="Y195" s="17">
        <v>823223</v>
      </c>
      <c r="Z195" s="17">
        <v>822533.5</v>
      </c>
      <c r="AA195" s="17">
        <v>820850.5</v>
      </c>
      <c r="AB195" s="17">
        <v>818698.5</v>
      </c>
      <c r="AC195" s="17">
        <v>816842</v>
      </c>
      <c r="AD195" s="17">
        <v>815589.49999999988</v>
      </c>
      <c r="AE195" s="17">
        <v>814874.49999999988</v>
      </c>
      <c r="AF195" s="17">
        <v>815029.5</v>
      </c>
    </row>
    <row r="196" spans="1:32" x14ac:dyDescent="0.25">
      <c r="A196" t="s">
        <v>74</v>
      </c>
      <c r="B196" s="17">
        <v>6359058.9999999991</v>
      </c>
      <c r="C196" s="17">
        <v>6529062.0000000009</v>
      </c>
      <c r="D196" s="17">
        <v>6705363</v>
      </c>
      <c r="E196" s="17">
        <v>6878702.5</v>
      </c>
      <c r="F196" s="17">
        <v>7048674.5</v>
      </c>
      <c r="G196" s="17">
        <v>7220334.5000000009</v>
      </c>
      <c r="H196" s="17">
        <v>7395315.5</v>
      </c>
      <c r="I196" s="17">
        <v>7567384</v>
      </c>
      <c r="J196" s="17">
        <v>7731332.5</v>
      </c>
      <c r="K196" s="17">
        <v>7884647.9999999991</v>
      </c>
      <c r="L196" s="17">
        <v>8026178.5</v>
      </c>
      <c r="M196" s="17">
        <v>8154710.0000000019</v>
      </c>
      <c r="N196" s="17">
        <v>8266925.5000000009</v>
      </c>
      <c r="O196" s="17">
        <v>8362211.5000000009</v>
      </c>
      <c r="P196" s="17">
        <v>8443898.0000000019</v>
      </c>
      <c r="Q196" s="17">
        <v>8517005.0000000019</v>
      </c>
      <c r="R196" s="17">
        <v>8585642.5</v>
      </c>
      <c r="S196" s="17">
        <v>8650851.9999999981</v>
      </c>
      <c r="T196" s="17">
        <v>8710416.0000000019</v>
      </c>
      <c r="U196" s="17">
        <v>8765345.5</v>
      </c>
      <c r="V196" s="17">
        <v>8822638.5</v>
      </c>
      <c r="W196" s="17">
        <v>8886378.5</v>
      </c>
      <c r="X196" s="17">
        <v>8961936.5</v>
      </c>
      <c r="Y196" s="17">
        <v>9051137.4999999981</v>
      </c>
      <c r="Z196" s="17">
        <v>9146733.5</v>
      </c>
      <c r="AA196" s="17">
        <v>9240743</v>
      </c>
      <c r="AB196" s="17">
        <v>9328639</v>
      </c>
      <c r="AC196" s="17">
        <v>9413671.4999999981</v>
      </c>
      <c r="AD196" s="17">
        <v>9503349.0000000019</v>
      </c>
      <c r="AE196" s="17">
        <v>9600003</v>
      </c>
      <c r="AF196" s="17">
        <v>9700139</v>
      </c>
    </row>
    <row r="197" spans="1:32" x14ac:dyDescent="0.25">
      <c r="A197" t="s">
        <v>278</v>
      </c>
      <c r="B197" s="17">
        <v>45493</v>
      </c>
      <c r="C197" s="17">
        <v>47113.5</v>
      </c>
      <c r="D197" s="17">
        <v>48768</v>
      </c>
      <c r="E197" s="17">
        <v>50445.499999999993</v>
      </c>
      <c r="F197" s="17">
        <v>52137.5</v>
      </c>
      <c r="G197" s="17">
        <v>53841</v>
      </c>
      <c r="H197" s="17">
        <v>55546</v>
      </c>
      <c r="I197" s="17">
        <v>57239.499999999993</v>
      </c>
      <c r="J197" s="17">
        <v>58922.999999999993</v>
      </c>
      <c r="K197" s="17">
        <v>60580.000000000007</v>
      </c>
      <c r="L197" s="17">
        <v>62107.000000000007</v>
      </c>
      <c r="M197" s="17">
        <v>63490</v>
      </c>
      <c r="N197" s="17">
        <v>64835.499999999993</v>
      </c>
      <c r="O197" s="17">
        <v>66166.5</v>
      </c>
      <c r="P197" s="17">
        <v>67473.000000000015</v>
      </c>
      <c r="Q197" s="17">
        <v>68784</v>
      </c>
      <c r="R197" s="17">
        <v>70169</v>
      </c>
      <c r="S197" s="17">
        <v>71624.999999999985</v>
      </c>
      <c r="T197" s="17">
        <v>73120.5</v>
      </c>
      <c r="U197" s="17">
        <v>74691.499999999985</v>
      </c>
      <c r="V197" s="17">
        <v>76376.5</v>
      </c>
      <c r="W197" s="17">
        <v>78197</v>
      </c>
      <c r="X197" s="17">
        <v>80183</v>
      </c>
      <c r="Y197" s="17">
        <v>82345.500000000015</v>
      </c>
      <c r="Z197" s="17">
        <v>84666.999999999985</v>
      </c>
      <c r="AA197" s="17">
        <v>87115.999999999985</v>
      </c>
      <c r="AB197" s="17">
        <v>89659.500000000015</v>
      </c>
      <c r="AC197" s="17">
        <v>92285</v>
      </c>
      <c r="AD197" s="17">
        <v>94941.5</v>
      </c>
      <c r="AE197" s="17">
        <v>97534</v>
      </c>
      <c r="AF197" s="17">
        <v>100056</v>
      </c>
    </row>
    <row r="198" spans="1:32" x14ac:dyDescent="0.25">
      <c r="A198" t="s">
        <v>590</v>
      </c>
      <c r="B198" s="17">
        <v>6406325.5</v>
      </c>
      <c r="C198" s="17">
        <v>6548650.5</v>
      </c>
      <c r="D198" s="17">
        <v>6690085.5</v>
      </c>
      <c r="E198" s="17">
        <v>6828659</v>
      </c>
      <c r="F198" s="17">
        <v>6962320.0000000009</v>
      </c>
      <c r="G198" s="17">
        <v>7089422.5</v>
      </c>
      <c r="H198" s="17">
        <v>7208183</v>
      </c>
      <c r="I198" s="17">
        <v>7317778.5</v>
      </c>
      <c r="J198" s="17">
        <v>7418589.5</v>
      </c>
      <c r="K198" s="17">
        <v>7512803</v>
      </c>
      <c r="L198" s="17">
        <v>7603071.5</v>
      </c>
      <c r="M198" s="17">
        <v>7689925</v>
      </c>
      <c r="N198" s="17">
        <v>7773657</v>
      </c>
      <c r="O198" s="17">
        <v>7854479.4999999991</v>
      </c>
      <c r="P198" s="17">
        <v>7931861.0000000009</v>
      </c>
      <c r="Q198" s="17">
        <v>8003495.5000000009</v>
      </c>
      <c r="R198" s="17">
        <v>8027494</v>
      </c>
      <c r="S198" s="17">
        <v>7896924.9999999991</v>
      </c>
      <c r="T198" s="17">
        <v>7543869</v>
      </c>
      <c r="U198" s="17">
        <v>7157089.5</v>
      </c>
      <c r="V198" s="17">
        <v>6940418.5</v>
      </c>
      <c r="W198" s="17">
        <v>6817150.5000000009</v>
      </c>
      <c r="X198" s="17">
        <v>6864513.5</v>
      </c>
      <c r="Y198" s="17">
        <v>7087347.9999999991</v>
      </c>
      <c r="Z198" s="17">
        <v>7309146.5000000009</v>
      </c>
      <c r="AA198" s="17">
        <v>7512575.9999999991</v>
      </c>
      <c r="AB198" s="17">
        <v>7691383.9999999991</v>
      </c>
      <c r="AC198" s="17">
        <v>7844815.5000000009</v>
      </c>
      <c r="AD198" s="17">
        <v>7976677.5000000009</v>
      </c>
      <c r="AE198" s="17">
        <v>8088835.9999999991</v>
      </c>
      <c r="AF198" s="17">
        <v>8180865</v>
      </c>
    </row>
    <row r="199" spans="1:32" x14ac:dyDescent="0.25">
      <c r="A199" t="s">
        <v>75</v>
      </c>
      <c r="B199" s="17">
        <v>21753357.000000004</v>
      </c>
      <c r="C199" s="17">
        <v>22164537.500000004</v>
      </c>
      <c r="D199" s="17">
        <v>22546428</v>
      </c>
      <c r="E199" s="17">
        <v>22892797.000000004</v>
      </c>
      <c r="F199" s="17">
        <v>23216456.500000004</v>
      </c>
      <c r="G199" s="17">
        <v>23521880.5</v>
      </c>
      <c r="H199" s="17">
        <v>23828641</v>
      </c>
      <c r="I199" s="17">
        <v>24100188.000000004</v>
      </c>
      <c r="J199" s="17">
        <v>24329842.999999996</v>
      </c>
      <c r="K199" s="17">
        <v>24546428</v>
      </c>
      <c r="L199" s="17">
        <v>24741043.499999996</v>
      </c>
      <c r="M199" s="17">
        <v>24926125.500000004</v>
      </c>
      <c r="N199" s="17">
        <v>25073806</v>
      </c>
      <c r="O199" s="17">
        <v>25155187.5</v>
      </c>
      <c r="P199" s="17">
        <v>25219160.5</v>
      </c>
      <c r="Q199" s="17">
        <v>25290346</v>
      </c>
      <c r="R199" s="17">
        <v>25377961.499999996</v>
      </c>
      <c r="S199" s="17">
        <v>25481766.000000004</v>
      </c>
      <c r="T199" s="17">
        <v>25579879.5</v>
      </c>
      <c r="U199" s="17">
        <v>25661290.999999996</v>
      </c>
      <c r="V199" s="17">
        <v>25728325.999999996</v>
      </c>
      <c r="W199" s="17">
        <v>25764545.5</v>
      </c>
      <c r="X199" s="17">
        <v>25754479.499999996</v>
      </c>
      <c r="Y199" s="17">
        <v>25707096.5</v>
      </c>
      <c r="Z199" s="17">
        <v>25650238</v>
      </c>
      <c r="AA199" s="17">
        <v>25590304</v>
      </c>
      <c r="AB199" s="17">
        <v>25525338.5</v>
      </c>
      <c r="AC199" s="17">
        <v>25462204.5</v>
      </c>
      <c r="AD199" s="17">
        <v>25400112</v>
      </c>
      <c r="AE199" s="17">
        <v>25331625.5</v>
      </c>
      <c r="AF199" s="17">
        <v>25253947.5</v>
      </c>
    </row>
    <row r="200" spans="1:32" x14ac:dyDescent="0.25">
      <c r="A200" t="s">
        <v>76</v>
      </c>
      <c r="B200" s="17">
        <v>69661.5</v>
      </c>
      <c r="C200" s="17">
        <v>73431</v>
      </c>
      <c r="D200" s="17">
        <v>77116.5</v>
      </c>
      <c r="E200" s="17">
        <v>80732.5</v>
      </c>
      <c r="F200" s="17">
        <v>84273.5</v>
      </c>
      <c r="G200" s="17">
        <v>87714</v>
      </c>
      <c r="H200" s="17">
        <v>91090.499999999985</v>
      </c>
      <c r="I200" s="17">
        <v>94339.500000000015</v>
      </c>
      <c r="J200" s="17">
        <v>97406.5</v>
      </c>
      <c r="K200" s="17">
        <v>100485.5</v>
      </c>
      <c r="L200" s="17">
        <v>103698.50000000001</v>
      </c>
      <c r="M200" s="17">
        <v>107072</v>
      </c>
      <c r="N200" s="17">
        <v>110643.99999999999</v>
      </c>
      <c r="O200" s="17">
        <v>114403</v>
      </c>
      <c r="P200" s="17">
        <v>117879.5</v>
      </c>
      <c r="Q200" s="17">
        <v>120982.49999999999</v>
      </c>
      <c r="R200" s="17">
        <v>124065.5</v>
      </c>
      <c r="S200" s="17">
        <v>127117</v>
      </c>
      <c r="T200" s="17">
        <v>130131.49999999999</v>
      </c>
      <c r="U200" s="17">
        <v>133118.5</v>
      </c>
      <c r="V200" s="17">
        <v>135688.00000000003</v>
      </c>
      <c r="W200" s="17">
        <v>137810.99999999997</v>
      </c>
      <c r="X200" s="17">
        <v>140256</v>
      </c>
      <c r="Y200" s="17">
        <v>143096.5</v>
      </c>
      <c r="Z200" s="17">
        <v>145948.5</v>
      </c>
      <c r="AA200" s="17">
        <v>148738</v>
      </c>
      <c r="AB200" s="17">
        <v>151488</v>
      </c>
      <c r="AC200" s="17">
        <v>154235.5</v>
      </c>
      <c r="AD200" s="17">
        <v>156785</v>
      </c>
      <c r="AE200" s="17">
        <v>158993</v>
      </c>
      <c r="AF200" s="17">
        <v>160903.5</v>
      </c>
    </row>
    <row r="201" spans="1:32" x14ac:dyDescent="0.25">
      <c r="A201" t="s">
        <v>77</v>
      </c>
      <c r="B201" s="17">
        <v>3899282.5</v>
      </c>
      <c r="C201" s="17">
        <v>4053028.5</v>
      </c>
      <c r="D201" s="17">
        <v>4212796</v>
      </c>
      <c r="E201" s="17">
        <v>4378515.4999999991</v>
      </c>
      <c r="F201" s="17">
        <v>4550786.5</v>
      </c>
      <c r="G201" s="17">
        <v>4741001</v>
      </c>
      <c r="H201" s="17">
        <v>4954736.5</v>
      </c>
      <c r="I201" s="17">
        <v>5180554</v>
      </c>
      <c r="J201" s="17">
        <v>5411655.5</v>
      </c>
      <c r="K201" s="17">
        <v>5646267</v>
      </c>
      <c r="L201" s="17">
        <v>5882347.5000000019</v>
      </c>
      <c r="M201" s="17">
        <v>6113670.4999999991</v>
      </c>
      <c r="N201" s="17">
        <v>6341084.0000000009</v>
      </c>
      <c r="O201" s="17">
        <v>6569067</v>
      </c>
      <c r="P201" s="17">
        <v>6797026</v>
      </c>
      <c r="Q201" s="17">
        <v>7023552.5000000009</v>
      </c>
      <c r="R201" s="17">
        <v>7246840.5000000009</v>
      </c>
      <c r="S201" s="17">
        <v>7469755.5</v>
      </c>
      <c r="T201" s="17">
        <v>7696349.5</v>
      </c>
      <c r="U201" s="17">
        <v>7928096.0000000009</v>
      </c>
      <c r="V201" s="17">
        <v>8154960.0000000009</v>
      </c>
      <c r="W201" s="17">
        <v>8374114.0000000019</v>
      </c>
      <c r="X201" s="17">
        <v>8608141.5000000019</v>
      </c>
      <c r="Y201" s="17">
        <v>8859517</v>
      </c>
      <c r="Z201" s="17">
        <v>9114427.4999999981</v>
      </c>
      <c r="AA201" s="17">
        <v>9371509</v>
      </c>
      <c r="AB201" s="17">
        <v>9630281</v>
      </c>
      <c r="AC201" s="17">
        <v>9890397.5000000019</v>
      </c>
      <c r="AD201" s="17">
        <v>10151141</v>
      </c>
      <c r="AE201" s="17">
        <v>10410689.499999998</v>
      </c>
      <c r="AF201" s="17">
        <v>10666613.5</v>
      </c>
    </row>
    <row r="202" spans="1:32" x14ac:dyDescent="0.25">
      <c r="A202" t="s">
        <v>78</v>
      </c>
      <c r="B202" s="17">
        <v>2330379.4999999995</v>
      </c>
      <c r="C202" s="17">
        <v>2410472.9999999995</v>
      </c>
      <c r="D202" s="17">
        <v>2493707</v>
      </c>
      <c r="E202" s="17">
        <v>2578850.5</v>
      </c>
      <c r="F202" s="17">
        <v>2667637.5</v>
      </c>
      <c r="G202" s="17">
        <v>2760924.5</v>
      </c>
      <c r="H202" s="17">
        <v>2860225</v>
      </c>
      <c r="I202" s="17">
        <v>2965248.5</v>
      </c>
      <c r="J202" s="17">
        <v>3076264</v>
      </c>
      <c r="K202" s="17">
        <v>3191575.5</v>
      </c>
      <c r="L202" s="17">
        <v>3309584.9999999995</v>
      </c>
      <c r="M202" s="17">
        <v>3427892.9999999995</v>
      </c>
      <c r="N202" s="17">
        <v>3548375</v>
      </c>
      <c r="O202" s="17">
        <v>3673622.0000000005</v>
      </c>
      <c r="P202" s="17">
        <v>3804770.9999999995</v>
      </c>
      <c r="Q202" s="17">
        <v>3940998</v>
      </c>
      <c r="R202" s="17">
        <v>4081523.5</v>
      </c>
      <c r="S202" s="17">
        <v>4226625</v>
      </c>
      <c r="T202" s="17">
        <v>4376241.5</v>
      </c>
      <c r="U202" s="17">
        <v>4530711</v>
      </c>
      <c r="V202" s="17">
        <v>4689577</v>
      </c>
      <c r="W202" s="17">
        <v>4851383</v>
      </c>
      <c r="X202" s="17">
        <v>5014398</v>
      </c>
      <c r="Y202" s="17">
        <v>5179271.5</v>
      </c>
      <c r="Z202" s="17">
        <v>5347868</v>
      </c>
      <c r="AA202" s="17">
        <v>5518820</v>
      </c>
      <c r="AB202" s="17">
        <v>5691514.9999999991</v>
      </c>
      <c r="AC202" s="17">
        <v>5865347.0000000009</v>
      </c>
      <c r="AD202" s="17">
        <v>6039445</v>
      </c>
      <c r="AE202" s="17">
        <v>6213210.0000000009</v>
      </c>
      <c r="AF202" s="17">
        <v>6386952</v>
      </c>
    </row>
    <row r="203" spans="1:32" x14ac:dyDescent="0.25">
      <c r="A203" t="s">
        <v>79</v>
      </c>
      <c r="B203" s="17">
        <v>3136787.5</v>
      </c>
      <c r="C203" s="17">
        <v>3173832.5</v>
      </c>
      <c r="D203" s="17">
        <v>3201971</v>
      </c>
      <c r="E203" s="17">
        <v>3226322.5</v>
      </c>
      <c r="F203" s="17">
        <v>3237636</v>
      </c>
      <c r="G203" s="17">
        <v>3239166.5000000005</v>
      </c>
      <c r="H203" s="17">
        <v>3257766</v>
      </c>
      <c r="I203" s="17">
        <v>3281335</v>
      </c>
      <c r="J203" s="17">
        <v>3294065.5</v>
      </c>
      <c r="K203" s="17">
        <v>3314282.5</v>
      </c>
      <c r="L203" s="17">
        <v>3341509</v>
      </c>
      <c r="M203" s="17">
        <v>3378635.5000000005</v>
      </c>
      <c r="N203" s="17">
        <v>3439635</v>
      </c>
      <c r="O203" s="17">
        <v>3524407</v>
      </c>
      <c r="P203" s="17">
        <v>3619286</v>
      </c>
      <c r="Q203" s="17">
        <v>3720026.5000000005</v>
      </c>
      <c r="R203" s="17">
        <v>3823344</v>
      </c>
      <c r="S203" s="17">
        <v>3926792.5000000005</v>
      </c>
      <c r="T203" s="17">
        <v>4028780.9999999995</v>
      </c>
      <c r="U203" s="17">
        <v>4127683.5000000009</v>
      </c>
      <c r="V203" s="17">
        <v>4228383.5</v>
      </c>
      <c r="W203" s="17">
        <v>4331779</v>
      </c>
      <c r="X203" s="17">
        <v>4435955</v>
      </c>
      <c r="Y203" s="17">
        <v>4544725.5</v>
      </c>
      <c r="Z203" s="17">
        <v>4659157.4999999991</v>
      </c>
      <c r="AA203" s="17">
        <v>4777768.4999999991</v>
      </c>
      <c r="AB203" s="17">
        <v>4898491.0000000009</v>
      </c>
      <c r="AC203" s="17">
        <v>5020071</v>
      </c>
      <c r="AD203" s="17">
        <v>5141176.5</v>
      </c>
      <c r="AE203" s="17">
        <v>5259672.5000000009</v>
      </c>
      <c r="AF203" s="17">
        <v>5370399.5</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tabColor theme="7"/>
  </sheetPr>
  <dimension ref="A1:AF224"/>
  <sheetViews>
    <sheetView showGridLines="0" topLeftCell="A212" workbookViewId="0">
      <selection activeCell="F234" sqref="F234"/>
    </sheetView>
  </sheetViews>
  <sheetFormatPr defaultRowHeight="15" x14ac:dyDescent="0.25"/>
  <cols>
    <col min="1" max="1" width="23.28515625" customWidth="1"/>
  </cols>
  <sheetData>
    <row r="1" spans="1:32" ht="15.75" thickBot="1" x14ac:dyDescent="0.3">
      <c r="A1" t="s">
        <v>2505</v>
      </c>
    </row>
    <row r="2" spans="1:32" ht="15.75" thickBot="1" x14ac:dyDescent="0.3">
      <c r="A2" s="120" t="s">
        <v>10</v>
      </c>
      <c r="B2" s="121">
        <v>2000</v>
      </c>
      <c r="C2" s="121">
        <v>2001</v>
      </c>
      <c r="D2" s="121">
        <v>2002</v>
      </c>
      <c r="E2" s="121">
        <v>2003</v>
      </c>
      <c r="F2" s="121">
        <v>2004</v>
      </c>
      <c r="G2" s="121">
        <v>2005</v>
      </c>
      <c r="H2" s="121">
        <v>2006</v>
      </c>
      <c r="I2" s="121">
        <v>2007</v>
      </c>
      <c r="J2" s="121">
        <v>2008</v>
      </c>
      <c r="K2" s="121">
        <v>2009</v>
      </c>
      <c r="L2" s="121">
        <v>2010</v>
      </c>
      <c r="M2" s="121">
        <v>2011</v>
      </c>
      <c r="N2" s="121">
        <v>2012</v>
      </c>
      <c r="O2" s="121">
        <v>2013</v>
      </c>
      <c r="P2" s="121">
        <v>2014</v>
      </c>
      <c r="Q2" s="121">
        <v>2015</v>
      </c>
      <c r="R2" s="121">
        <v>2016</v>
      </c>
      <c r="S2" s="121">
        <v>2017</v>
      </c>
      <c r="T2" s="121">
        <v>2018</v>
      </c>
      <c r="U2" s="121">
        <v>2019</v>
      </c>
      <c r="V2" s="121">
        <v>2020</v>
      </c>
      <c r="W2" s="121">
        <v>2021</v>
      </c>
      <c r="X2" s="121">
        <v>2022</v>
      </c>
      <c r="Y2" s="121">
        <v>2023</v>
      </c>
      <c r="Z2" s="121">
        <v>2024</v>
      </c>
      <c r="AA2" s="121">
        <v>2025</v>
      </c>
      <c r="AB2" s="121">
        <v>2026</v>
      </c>
      <c r="AC2" s="121">
        <v>2027</v>
      </c>
      <c r="AD2" s="121">
        <v>2028</v>
      </c>
      <c r="AE2" s="121">
        <v>2029</v>
      </c>
      <c r="AF2" s="122">
        <v>2030</v>
      </c>
    </row>
    <row r="3" spans="1:32" x14ac:dyDescent="0.25">
      <c r="A3" s="123" t="s">
        <v>11</v>
      </c>
      <c r="B3" s="127">
        <v>2974885.8638446624</v>
      </c>
      <c r="C3" s="127">
        <v>2967135.4956883453</v>
      </c>
      <c r="D3" s="127">
        <v>3138329.5092388541</v>
      </c>
      <c r="E3" s="127">
        <v>3362087.5861701122</v>
      </c>
      <c r="F3" s="127">
        <v>3481220.334003014</v>
      </c>
      <c r="G3" s="127">
        <v>3617110.3088140651</v>
      </c>
      <c r="H3" s="127">
        <v>3798671.5193141191</v>
      </c>
      <c r="I3" s="127">
        <v>3816293.8924601274</v>
      </c>
      <c r="J3" s="127">
        <v>3861549.5612766184</v>
      </c>
      <c r="K3" s="127">
        <v>4035725.3309948826</v>
      </c>
      <c r="L3" s="127">
        <v>4159051.3953374322</v>
      </c>
      <c r="M3" s="127">
        <v>4374250.3443148052</v>
      </c>
      <c r="N3" s="127">
        <v>4630386.6837557461</v>
      </c>
      <c r="O3" s="127">
        <v>4842595.2030197959</v>
      </c>
      <c r="P3" s="127">
        <v>5087819.8762089126</v>
      </c>
      <c r="Q3" s="127">
        <v>5300819.3041111752</v>
      </c>
      <c r="R3" s="127">
        <v>5480769.6797540719</v>
      </c>
      <c r="S3" s="127">
        <v>5701779.8895589923</v>
      </c>
      <c r="T3" s="127">
        <v>5934515.2999465149</v>
      </c>
      <c r="U3" s="127">
        <v>6175370.9905629726</v>
      </c>
      <c r="V3" s="127">
        <v>6447401.300498764</v>
      </c>
      <c r="W3" s="127">
        <v>6700499.9253073037</v>
      </c>
      <c r="X3" s="127">
        <v>6924180.2061140258</v>
      </c>
      <c r="Y3" s="127">
        <v>7157873.5193517394</v>
      </c>
      <c r="Z3" s="127">
        <v>7388096.9211280225</v>
      </c>
      <c r="AA3" s="127">
        <v>7625614.7107395167</v>
      </c>
      <c r="AB3" s="127">
        <v>7870664.7312264619</v>
      </c>
      <c r="AC3" s="127">
        <v>8125051.7408175217</v>
      </c>
      <c r="AD3" s="127">
        <v>8388696.7713421322</v>
      </c>
      <c r="AE3" s="127">
        <v>8654108.2914908864</v>
      </c>
      <c r="AF3" s="127">
        <v>8920263.5302702785</v>
      </c>
    </row>
    <row r="4" spans="1:32" x14ac:dyDescent="0.25">
      <c r="A4" s="124" t="s">
        <v>131</v>
      </c>
      <c r="B4" s="128">
        <v>546794.27751038154</v>
      </c>
      <c r="C4" s="128">
        <v>540468.11004125688</v>
      </c>
      <c r="D4" s="128">
        <v>532680.94290997379</v>
      </c>
      <c r="E4" s="128">
        <v>523739.95415179513</v>
      </c>
      <c r="F4" s="128">
        <v>514161.8564343641</v>
      </c>
      <c r="G4" s="128">
        <v>504278.23665572732</v>
      </c>
      <c r="H4" s="128">
        <v>498083.98859585176</v>
      </c>
      <c r="I4" s="128">
        <v>491838.03096230788</v>
      </c>
      <c r="J4" s="128">
        <v>485319.75171540724</v>
      </c>
      <c r="K4" s="128">
        <v>478136.58937111404</v>
      </c>
      <c r="L4" s="128">
        <v>470745.48101974034</v>
      </c>
      <c r="M4" s="128">
        <v>462612.82418477547</v>
      </c>
      <c r="N4" s="128">
        <v>455102.2454807433</v>
      </c>
      <c r="O4" s="128">
        <v>448192.02905955701</v>
      </c>
      <c r="P4" s="128">
        <v>442307.40208616684</v>
      </c>
      <c r="Q4" s="128">
        <v>437778.39713847736</v>
      </c>
      <c r="R4" s="128">
        <v>433459.10321875068</v>
      </c>
      <c r="S4" s="128">
        <v>429441.79263420572</v>
      </c>
      <c r="T4" s="128">
        <v>426029.05115026684</v>
      </c>
      <c r="U4" s="128">
        <v>422868.92420160992</v>
      </c>
      <c r="V4" s="128">
        <v>419970.73922536988</v>
      </c>
      <c r="W4" s="128">
        <v>417445.70242018125</v>
      </c>
      <c r="X4" s="128">
        <v>415654.08535596012</v>
      </c>
      <c r="Y4" s="128">
        <v>414806.97073843621</v>
      </c>
      <c r="Z4" s="128">
        <v>413818.91621393943</v>
      </c>
      <c r="AA4" s="128">
        <v>412479.28102171019</v>
      </c>
      <c r="AB4" s="128">
        <v>410903.84576535621</v>
      </c>
      <c r="AC4" s="128">
        <v>408895.06020716071</v>
      </c>
      <c r="AD4" s="128">
        <v>406710.05666740815</v>
      </c>
      <c r="AE4" s="128">
        <v>404392.12475290569</v>
      </c>
      <c r="AF4" s="129">
        <v>401741.50685949525</v>
      </c>
    </row>
    <row r="5" spans="1:32" x14ac:dyDescent="0.25">
      <c r="A5" s="124" t="s">
        <v>132</v>
      </c>
      <c r="B5" s="128">
        <v>3578902.9623409398</v>
      </c>
      <c r="C5" s="128">
        <v>3619739.1344833043</v>
      </c>
      <c r="D5" s="128">
        <v>3651963.7702221856</v>
      </c>
      <c r="E5" s="128">
        <v>3784810.5532978615</v>
      </c>
      <c r="F5" s="128">
        <v>3918512.0997397983</v>
      </c>
      <c r="G5" s="128">
        <v>4047797.3168070195</v>
      </c>
      <c r="H5" s="128">
        <v>4178928.7806271156</v>
      </c>
      <c r="I5" s="128">
        <v>4317521.5945116337</v>
      </c>
      <c r="J5" s="128">
        <v>4457131.5776704587</v>
      </c>
      <c r="K5" s="128">
        <v>4599864.3466173792</v>
      </c>
      <c r="L5" s="128">
        <v>4742168.0589638865</v>
      </c>
      <c r="M5" s="128">
        <v>4886857.6293919804</v>
      </c>
      <c r="N5" s="128">
        <v>5027163.947683244</v>
      </c>
      <c r="O5" s="128">
        <v>5158288.0501602357</v>
      </c>
      <c r="P5" s="128">
        <v>5278801.2749596648</v>
      </c>
      <c r="Q5" s="128">
        <v>5391178.0267326161</v>
      </c>
      <c r="R5" s="128">
        <v>5495799.9154694518</v>
      </c>
      <c r="S5" s="128">
        <v>5593088.931650904</v>
      </c>
      <c r="T5" s="128">
        <v>5682063.3057655618</v>
      </c>
      <c r="U5" s="128">
        <v>5760369.3453916432</v>
      </c>
      <c r="V5" s="128">
        <v>5827156.3249445539</v>
      </c>
      <c r="W5" s="128">
        <v>5884189.9339727899</v>
      </c>
      <c r="X5" s="128">
        <v>5931751.2485632049</v>
      </c>
      <c r="Y5" s="128">
        <v>5972864.8928233981</v>
      </c>
      <c r="Z5" s="128">
        <v>6011308.5907042259</v>
      </c>
      <c r="AA5" s="128">
        <v>6049296.4407219226</v>
      </c>
      <c r="AB5" s="128">
        <v>6086396.3121880321</v>
      </c>
      <c r="AC5" s="128">
        <v>6124186.8990380159</v>
      </c>
      <c r="AD5" s="128">
        <v>6161209.1841527242</v>
      </c>
      <c r="AE5" s="128">
        <v>6197367.2563426932</v>
      </c>
      <c r="AF5" s="129">
        <v>6235224.6232618233</v>
      </c>
    </row>
    <row r="6" spans="1:32" x14ac:dyDescent="0.25">
      <c r="A6" s="124" t="s">
        <v>134</v>
      </c>
      <c r="B6" s="128">
        <v>2142739.991963801</v>
      </c>
      <c r="C6" s="128">
        <v>2204683.9198368294</v>
      </c>
      <c r="D6" s="128">
        <v>2285108.1904433048</v>
      </c>
      <c r="E6" s="128">
        <v>2368339.768025266</v>
      </c>
      <c r="F6" s="128">
        <v>2455288.5452243388</v>
      </c>
      <c r="G6" s="128">
        <v>2545478.3323196317</v>
      </c>
      <c r="H6" s="128">
        <v>2638938.7994354907</v>
      </c>
      <c r="I6" s="128">
        <v>2735895.5899660639</v>
      </c>
      <c r="J6" s="128">
        <v>2835607.4188023689</v>
      </c>
      <c r="K6" s="128">
        <v>2938399.2993911332</v>
      </c>
      <c r="L6" s="128">
        <v>3046016.5568104233</v>
      </c>
      <c r="M6" s="128">
        <v>3158486.7883089599</v>
      </c>
      <c r="N6" s="128">
        <v>3274807.5898006265</v>
      </c>
      <c r="O6" s="128">
        <v>3393634.9753090814</v>
      </c>
      <c r="P6" s="128">
        <v>3513928.3500488047</v>
      </c>
      <c r="Q6" s="128">
        <v>3635479.8655885612</v>
      </c>
      <c r="R6" s="128">
        <v>3761824.4523445503</v>
      </c>
      <c r="S6" s="128">
        <v>3892712.173426338</v>
      </c>
      <c r="T6" s="128">
        <v>4023920.1355979629</v>
      </c>
      <c r="U6" s="128">
        <v>4156652.451850581</v>
      </c>
      <c r="V6" s="128">
        <v>4287064.1177345002</v>
      </c>
      <c r="W6" s="128">
        <v>4418102.2726053242</v>
      </c>
      <c r="X6" s="128">
        <v>4551792.4432910839</v>
      </c>
      <c r="Y6" s="128">
        <v>4686389.4638552936</v>
      </c>
      <c r="Z6" s="128">
        <v>4826472.8718275465</v>
      </c>
      <c r="AA6" s="128">
        <v>4972393.2220510431</v>
      </c>
      <c r="AB6" s="128">
        <v>5123329.4794741925</v>
      </c>
      <c r="AC6" s="128">
        <v>5279400.0537297465</v>
      </c>
      <c r="AD6" s="128">
        <v>5440437.9256092301</v>
      </c>
      <c r="AE6" s="128">
        <v>5605745.7839287687</v>
      </c>
      <c r="AF6" s="129">
        <v>5774717.2402557889</v>
      </c>
    </row>
    <row r="7" spans="1:32" x14ac:dyDescent="0.25">
      <c r="A7" s="124" t="s">
        <v>136</v>
      </c>
      <c r="B7" s="128">
        <v>8925.1410147402275</v>
      </c>
      <c r="C7" s="128">
        <v>9036.6528766224474</v>
      </c>
      <c r="D7" s="128">
        <v>9126.6453822893418</v>
      </c>
      <c r="E7" s="128">
        <v>9212.435131380953</v>
      </c>
      <c r="F7" s="128">
        <v>9304.4669829059094</v>
      </c>
      <c r="G7" s="128">
        <v>9421.5380755487095</v>
      </c>
      <c r="H7" s="128">
        <v>9536.1749616083853</v>
      </c>
      <c r="I7" s="128">
        <v>9650.124072941022</v>
      </c>
      <c r="J7" s="128">
        <v>9766.0552923571977</v>
      </c>
      <c r="K7" s="128">
        <v>9876.6393253663846</v>
      </c>
      <c r="L7" s="128">
        <v>9984.7496597052414</v>
      </c>
      <c r="M7" s="128">
        <v>10066.146651395547</v>
      </c>
      <c r="N7" s="128">
        <v>10125.760026254195</v>
      </c>
      <c r="O7" s="128">
        <v>10162.297828405413</v>
      </c>
      <c r="P7" s="128">
        <v>10178.540511252104</v>
      </c>
      <c r="Q7" s="128">
        <v>10203.294419478047</v>
      </c>
      <c r="R7" s="128">
        <v>10222.337396691173</v>
      </c>
      <c r="S7" s="128">
        <v>10231.570853045998</v>
      </c>
      <c r="T7" s="128">
        <v>10240.245005576078</v>
      </c>
      <c r="U7" s="128">
        <v>10247.267510965954</v>
      </c>
      <c r="V7" s="128">
        <v>10250.504932207061</v>
      </c>
      <c r="W7" s="128">
        <v>10257.977657849706</v>
      </c>
      <c r="X7" s="128">
        <v>10290.442598226415</v>
      </c>
      <c r="Y7" s="128">
        <v>10362.062101020094</v>
      </c>
      <c r="Z7" s="128">
        <v>10448.897585748884</v>
      </c>
      <c r="AA7" s="128">
        <v>10508.531104240479</v>
      </c>
      <c r="AB7" s="128">
        <v>10540.329752619486</v>
      </c>
      <c r="AC7" s="128">
        <v>10567.567706670647</v>
      </c>
      <c r="AD7" s="128">
        <v>10588.692983536135</v>
      </c>
      <c r="AE7" s="128">
        <v>10602.32540513994</v>
      </c>
      <c r="AF7" s="129">
        <v>10619.809040331784</v>
      </c>
    </row>
    <row r="8" spans="1:32" x14ac:dyDescent="0.25">
      <c r="A8" s="124" t="s">
        <v>137</v>
      </c>
      <c r="B8" s="128">
        <v>4985985.6231143083</v>
      </c>
      <c r="C8" s="128">
        <v>5041121.8712437972</v>
      </c>
      <c r="D8" s="128">
        <v>5123377.9814473782</v>
      </c>
      <c r="E8" s="128">
        <v>5204814.7420734707</v>
      </c>
      <c r="F8" s="128">
        <v>5286491.6351854792</v>
      </c>
      <c r="G8" s="128">
        <v>5369746.9293069215</v>
      </c>
      <c r="H8" s="128">
        <v>5452471.3233360955</v>
      </c>
      <c r="I8" s="128">
        <v>5534493.1380542554</v>
      </c>
      <c r="J8" s="128">
        <v>5618523.3202980049</v>
      </c>
      <c r="K8" s="128">
        <v>5707186.3633420197</v>
      </c>
      <c r="L8" s="128">
        <v>5798583.3050488848</v>
      </c>
      <c r="M8" s="128">
        <v>5891070.5556516638</v>
      </c>
      <c r="N8" s="128">
        <v>5982250.3663367452</v>
      </c>
      <c r="O8" s="128">
        <v>6071942.0496969726</v>
      </c>
      <c r="P8" s="128">
        <v>6161188.003660284</v>
      </c>
      <c r="Q8" s="128">
        <v>6248755.4758967282</v>
      </c>
      <c r="R8" s="128">
        <v>6331842.0352806207</v>
      </c>
      <c r="S8" s="128">
        <v>6410709.8426286615</v>
      </c>
      <c r="T8" s="128">
        <v>6485455.467690683</v>
      </c>
      <c r="U8" s="128">
        <v>6555729.4863875723</v>
      </c>
      <c r="V8" s="128">
        <v>6620677.1105199214</v>
      </c>
      <c r="W8" s="128">
        <v>6678111.1234955126</v>
      </c>
      <c r="X8" s="128">
        <v>6729070.0320845637</v>
      </c>
      <c r="Y8" s="128">
        <v>6773805.5953876078</v>
      </c>
      <c r="Z8" s="128">
        <v>6811802.8631936479</v>
      </c>
      <c r="AA8" s="128">
        <v>6843971.2642763285</v>
      </c>
      <c r="AB8" s="128">
        <v>6869718.6951259272</v>
      </c>
      <c r="AC8" s="128">
        <v>6888728.4020470381</v>
      </c>
      <c r="AD8" s="128">
        <v>6902995.5708033368</v>
      </c>
      <c r="AE8" s="128">
        <v>6914855.7249627691</v>
      </c>
      <c r="AF8" s="129">
        <v>6925935.4455915261</v>
      </c>
    </row>
    <row r="9" spans="1:32" x14ac:dyDescent="0.25">
      <c r="A9" s="124" t="s">
        <v>138</v>
      </c>
      <c r="B9" s="128">
        <v>576543.3781843636</v>
      </c>
      <c r="C9" s="128">
        <v>571019.35032508848</v>
      </c>
      <c r="D9" s="128">
        <v>565929.35635540239</v>
      </c>
      <c r="E9" s="128">
        <v>561915.94127197727</v>
      </c>
      <c r="F9" s="128">
        <v>558542.96018151415</v>
      </c>
      <c r="G9" s="128">
        <v>555797.38109559589</v>
      </c>
      <c r="H9" s="128">
        <v>553170.13079935568</v>
      </c>
      <c r="I9" s="128">
        <v>549833.53925125091</v>
      </c>
      <c r="J9" s="128">
        <v>544717.64184321661</v>
      </c>
      <c r="K9" s="128">
        <v>537671.9047814376</v>
      </c>
      <c r="L9" s="128">
        <v>529708.24735863321</v>
      </c>
      <c r="M9" s="128">
        <v>522538.05992513307</v>
      </c>
      <c r="N9" s="128">
        <v>516424.73596039548</v>
      </c>
      <c r="O9" s="128">
        <v>510874.65140610281</v>
      </c>
      <c r="P9" s="128">
        <v>505338.75855705398</v>
      </c>
      <c r="Q9" s="128">
        <v>499561.3810593097</v>
      </c>
      <c r="R9" s="128">
        <v>494074.56295398175</v>
      </c>
      <c r="S9" s="128">
        <v>488787.31938544119</v>
      </c>
      <c r="T9" s="128">
        <v>483737.9787518176</v>
      </c>
      <c r="U9" s="128">
        <v>478838.773308306</v>
      </c>
      <c r="V9" s="128">
        <v>474711.41468440619</v>
      </c>
      <c r="W9" s="128">
        <v>470421.59411835304</v>
      </c>
      <c r="X9" s="128">
        <v>465542.99335987796</v>
      </c>
      <c r="Y9" s="128">
        <v>461118.1613894942</v>
      </c>
      <c r="Z9" s="128">
        <v>457304.01430728135</v>
      </c>
      <c r="AA9" s="128">
        <v>453416.78851927567</v>
      </c>
      <c r="AB9" s="128">
        <v>448840.35746901535</v>
      </c>
      <c r="AC9" s="128">
        <v>444585.79578268086</v>
      </c>
      <c r="AD9" s="128">
        <v>440253.016831999</v>
      </c>
      <c r="AE9" s="128">
        <v>435640.24565936922</v>
      </c>
      <c r="AF9" s="129">
        <v>430279.78770155367</v>
      </c>
    </row>
    <row r="10" spans="1:32" x14ac:dyDescent="0.25">
      <c r="A10" s="124" t="s">
        <v>139</v>
      </c>
      <c r="B10" s="128">
        <v>13094.522924840123</v>
      </c>
      <c r="C10" s="128">
        <v>13147.886221064191</v>
      </c>
      <c r="D10" s="128">
        <v>13089.412397237049</v>
      </c>
      <c r="E10" s="128">
        <v>12990.450389966951</v>
      </c>
      <c r="F10" s="128">
        <v>12863.751867101659</v>
      </c>
      <c r="G10" s="128">
        <v>12698.768529986191</v>
      </c>
      <c r="H10" s="128">
        <v>12581.173762980419</v>
      </c>
      <c r="I10" s="128">
        <v>12441.120948592546</v>
      </c>
      <c r="J10" s="128">
        <v>12276.880278633993</v>
      </c>
      <c r="K10" s="128">
        <v>12095.961849035119</v>
      </c>
      <c r="L10" s="128">
        <v>11914.894759832232</v>
      </c>
      <c r="M10" s="128">
        <v>11646.413668282716</v>
      </c>
      <c r="N10" s="128">
        <v>11388.74659830888</v>
      </c>
      <c r="O10" s="128">
        <v>11122.388586778521</v>
      </c>
      <c r="P10" s="128">
        <v>10861.274988091463</v>
      </c>
      <c r="Q10" s="128">
        <v>10619.275693457601</v>
      </c>
      <c r="R10" s="128">
        <v>10402.801060345457</v>
      </c>
      <c r="S10" s="128">
        <v>10222.011335122832</v>
      </c>
      <c r="T10" s="128">
        <v>10078.090526693124</v>
      </c>
      <c r="U10" s="128">
        <v>9965.6007528956106</v>
      </c>
      <c r="V10" s="128">
        <v>9854.0785667136006</v>
      </c>
      <c r="W10" s="128">
        <v>9770.0291654298617</v>
      </c>
      <c r="X10" s="128">
        <v>9723.7404386120761</v>
      </c>
      <c r="Y10" s="128">
        <v>9686.9811182896592</v>
      </c>
      <c r="Z10" s="128">
        <v>9676.0806117401426</v>
      </c>
      <c r="AA10" s="128">
        <v>9684.0125640024889</v>
      </c>
      <c r="AB10" s="128">
        <v>9707.6465641891791</v>
      </c>
      <c r="AC10" s="128">
        <v>9754.5468310118304</v>
      </c>
      <c r="AD10" s="128">
        <v>9816.1040767780851</v>
      </c>
      <c r="AE10" s="128">
        <v>9881.5206956648399</v>
      </c>
      <c r="AF10" s="129">
        <v>9944.5925070909871</v>
      </c>
    </row>
    <row r="11" spans="1:32" x14ac:dyDescent="0.25">
      <c r="A11" s="124" t="s">
        <v>140</v>
      </c>
      <c r="B11" s="128">
        <v>2825243.9110309891</v>
      </c>
      <c r="C11" s="128">
        <v>2819178.3954620976</v>
      </c>
      <c r="D11" s="128">
        <v>2814148.4157188279</v>
      </c>
      <c r="E11" s="128">
        <v>2809561.0621126452</v>
      </c>
      <c r="F11" s="128">
        <v>2805130.7372036851</v>
      </c>
      <c r="G11" s="128">
        <v>2803386.4715965553</v>
      </c>
      <c r="H11" s="128">
        <v>2798170.4282817892</v>
      </c>
      <c r="I11" s="128">
        <v>2827759.4375781077</v>
      </c>
      <c r="J11" s="128">
        <v>2870694.87125088</v>
      </c>
      <c r="K11" s="128">
        <v>2917274.5590975252</v>
      </c>
      <c r="L11" s="128">
        <v>2956484.9315490089</v>
      </c>
      <c r="M11" s="128">
        <v>2983973.4070064742</v>
      </c>
      <c r="N11" s="128">
        <v>3018720.929249831</v>
      </c>
      <c r="O11" s="128">
        <v>3059121.3807113129</v>
      </c>
      <c r="P11" s="128">
        <v>3101690.6327710552</v>
      </c>
      <c r="Q11" s="128">
        <v>3149226.442687274</v>
      </c>
      <c r="R11" s="128">
        <v>3201550.7405375014</v>
      </c>
      <c r="S11" s="128">
        <v>3257976.6896730163</v>
      </c>
      <c r="T11" s="128">
        <v>3311981.9338697363</v>
      </c>
      <c r="U11" s="128">
        <v>3359607.1717103356</v>
      </c>
      <c r="V11" s="128">
        <v>3388566.0474849585</v>
      </c>
      <c r="W11" s="128">
        <v>3399638.9604620417</v>
      </c>
      <c r="X11" s="128">
        <v>3411960.7772609005</v>
      </c>
      <c r="Y11" s="128">
        <v>3427954.6424215329</v>
      </c>
      <c r="Z11" s="128">
        <v>3446601.7875587894</v>
      </c>
      <c r="AA11" s="128">
        <v>3468537.9304182851</v>
      </c>
      <c r="AB11" s="128">
        <v>3489817.4786358075</v>
      </c>
      <c r="AC11" s="128">
        <v>3512215.2033366542</v>
      </c>
      <c r="AD11" s="128">
        <v>3534567.8596776975</v>
      </c>
      <c r="AE11" s="128">
        <v>3554496.8258055109</v>
      </c>
      <c r="AF11" s="129">
        <v>3571092.2900543632</v>
      </c>
    </row>
    <row r="12" spans="1:32" x14ac:dyDescent="0.25">
      <c r="A12" s="124" t="s">
        <v>141</v>
      </c>
      <c r="B12" s="128">
        <v>1110349.552265367</v>
      </c>
      <c r="C12" s="128">
        <v>1103647.4877892695</v>
      </c>
      <c r="D12" s="128">
        <v>1112114.7514034898</v>
      </c>
      <c r="E12" s="128">
        <v>1121662.7202081066</v>
      </c>
      <c r="F12" s="128">
        <v>1132424.3044475154</v>
      </c>
      <c r="G12" s="128">
        <v>1141958.6823228418</v>
      </c>
      <c r="H12" s="128">
        <v>1146437.2668215213</v>
      </c>
      <c r="I12" s="128">
        <v>1147554.545652909</v>
      </c>
      <c r="J12" s="128">
        <v>1148113.8836646678</v>
      </c>
      <c r="K12" s="128">
        <v>1146553.0162445696</v>
      </c>
      <c r="L12" s="128">
        <v>1143367.7732319979</v>
      </c>
      <c r="M12" s="128">
        <v>1138057.2739926556</v>
      </c>
      <c r="N12" s="128">
        <v>1134784.8325743517</v>
      </c>
      <c r="O12" s="128">
        <v>1133600.6326102992</v>
      </c>
      <c r="P12" s="128">
        <v>1134068.6746450576</v>
      </c>
      <c r="Q12" s="128">
        <v>1138257.1391188165</v>
      </c>
      <c r="R12" s="128">
        <v>1140242.2264355603</v>
      </c>
      <c r="S12" s="128">
        <v>1138326.4972790456</v>
      </c>
      <c r="T12" s="128">
        <v>1134503.6811566777</v>
      </c>
      <c r="U12" s="128">
        <v>1130833.2006842834</v>
      </c>
      <c r="V12" s="128">
        <v>1126962.7432219826</v>
      </c>
      <c r="W12" s="128">
        <v>1122527.7289050443</v>
      </c>
      <c r="X12" s="128">
        <v>1118613.5551649344</v>
      </c>
      <c r="Y12" s="128">
        <v>1115723.514399739</v>
      </c>
      <c r="Z12" s="128">
        <v>1113442.438448237</v>
      </c>
      <c r="AA12" s="128">
        <v>1111361.7344553927</v>
      </c>
      <c r="AB12" s="128">
        <v>1109015.8213283292</v>
      </c>
      <c r="AC12" s="128">
        <v>1106778.3464172971</v>
      </c>
      <c r="AD12" s="128">
        <v>1104058.1683800693</v>
      </c>
      <c r="AE12" s="128">
        <v>1100492.1782160322</v>
      </c>
      <c r="AF12" s="129">
        <v>1095173.4644214406</v>
      </c>
    </row>
    <row r="13" spans="1:32" x14ac:dyDescent="0.25">
      <c r="A13" s="124" t="s">
        <v>142</v>
      </c>
      <c r="B13" s="128">
        <v>1465386.7370955287</v>
      </c>
      <c r="C13" s="128">
        <v>1492625.8619707783</v>
      </c>
      <c r="D13" s="128">
        <v>1517798.5969036524</v>
      </c>
      <c r="E13" s="128">
        <v>1541315.7506665627</v>
      </c>
      <c r="F13" s="128">
        <v>1563393.9826258323</v>
      </c>
      <c r="G13" s="128">
        <v>1584474.8372501123</v>
      </c>
      <c r="H13" s="128">
        <v>1604515.0454212402</v>
      </c>
      <c r="I13" s="128">
        <v>1622741.9496707516</v>
      </c>
      <c r="J13" s="128">
        <v>1639394.6230450252</v>
      </c>
      <c r="K13" s="128">
        <v>1653751.4437865422</v>
      </c>
      <c r="L13" s="128">
        <v>1665497.8183402803</v>
      </c>
      <c r="M13" s="128">
        <v>1675885.9162577144</v>
      </c>
      <c r="N13" s="128">
        <v>1684629.9037054486</v>
      </c>
      <c r="O13" s="128">
        <v>1691812.5512029061</v>
      </c>
      <c r="P13" s="128">
        <v>1697654.5597647997</v>
      </c>
      <c r="Q13" s="128">
        <v>1701911.7745715729</v>
      </c>
      <c r="R13" s="128">
        <v>1704692.4498991631</v>
      </c>
      <c r="S13" s="128">
        <v>1706727.1747994118</v>
      </c>
      <c r="T13" s="128">
        <v>1708513.9946450829</v>
      </c>
      <c r="U13" s="128">
        <v>1710173.6321479464</v>
      </c>
      <c r="V13" s="128">
        <v>1711441.0391679064</v>
      </c>
      <c r="W13" s="128">
        <v>1713436.6785264118</v>
      </c>
      <c r="X13" s="128">
        <v>1717185.7378909173</v>
      </c>
      <c r="Y13" s="128">
        <v>1721547.4340321291</v>
      </c>
      <c r="Z13" s="128">
        <v>1724965.7357543448</v>
      </c>
      <c r="AA13" s="128">
        <v>1726427.6054290105</v>
      </c>
      <c r="AB13" s="128">
        <v>1725772.0903552982</v>
      </c>
      <c r="AC13" s="128">
        <v>1722708.7613489472</v>
      </c>
      <c r="AD13" s="128">
        <v>1717172.6532983554</v>
      </c>
      <c r="AE13" s="128">
        <v>1709548.3103260542</v>
      </c>
      <c r="AF13" s="129">
        <v>1699694.0256800512</v>
      </c>
    </row>
    <row r="14" spans="1:32" x14ac:dyDescent="0.25">
      <c r="A14" s="124" t="s">
        <v>143</v>
      </c>
      <c r="B14" s="128">
        <v>37035.465424265982</v>
      </c>
      <c r="C14" s="128">
        <v>37643.053700173507</v>
      </c>
      <c r="D14" s="128">
        <v>38190.89891517684</v>
      </c>
      <c r="E14" s="128">
        <v>38642.778565308552</v>
      </c>
      <c r="F14" s="128">
        <v>39021.008240926756</v>
      </c>
      <c r="G14" s="128">
        <v>39364.562214443409</v>
      </c>
      <c r="H14" s="128">
        <v>39779.65653285486</v>
      </c>
      <c r="I14" s="128">
        <v>40229.597389571965</v>
      </c>
      <c r="J14" s="128">
        <v>40644.644058416867</v>
      </c>
      <c r="K14" s="128">
        <v>40951.75104358024</v>
      </c>
      <c r="L14" s="128">
        <v>41300.828899232045</v>
      </c>
      <c r="M14" s="128">
        <v>41531.420129801234</v>
      </c>
      <c r="N14" s="128">
        <v>41666.471820576422</v>
      </c>
      <c r="O14" s="128">
        <v>41774.371088683751</v>
      </c>
      <c r="P14" s="128">
        <v>41903.725929038512</v>
      </c>
      <c r="Q14" s="128">
        <v>42089.348799476771</v>
      </c>
      <c r="R14" s="128">
        <v>42328.558330520253</v>
      </c>
      <c r="S14" s="128">
        <v>42621.483166837337</v>
      </c>
      <c r="T14" s="128">
        <v>42962.299605544053</v>
      </c>
      <c r="U14" s="128">
        <v>43314.646819513655</v>
      </c>
      <c r="V14" s="128">
        <v>43519.210086814732</v>
      </c>
      <c r="W14" s="128">
        <v>43652.283129041243</v>
      </c>
      <c r="X14" s="128">
        <v>43941.83045293748</v>
      </c>
      <c r="Y14" s="128">
        <v>44367.970670215786</v>
      </c>
      <c r="Z14" s="128">
        <v>44903.081872547009</v>
      </c>
      <c r="AA14" s="128">
        <v>45478.04032877514</v>
      </c>
      <c r="AB14" s="128">
        <v>46025.77326194974</v>
      </c>
      <c r="AC14" s="128">
        <v>46671.159653751383</v>
      </c>
      <c r="AD14" s="128">
        <v>47366.71101012834</v>
      </c>
      <c r="AE14" s="128">
        <v>48109.356083019236</v>
      </c>
      <c r="AF14" s="129">
        <v>48857.746821345245</v>
      </c>
    </row>
    <row r="15" spans="1:32" x14ac:dyDescent="0.25">
      <c r="A15" s="124" t="s">
        <v>144</v>
      </c>
      <c r="B15" s="128">
        <v>96052.303981218181</v>
      </c>
      <c r="C15" s="128">
        <v>97957.293166991571</v>
      </c>
      <c r="D15" s="128">
        <v>99698.375143944038</v>
      </c>
      <c r="E15" s="128">
        <v>103106.01809554595</v>
      </c>
      <c r="F15" s="128">
        <v>109602.19353078908</v>
      </c>
      <c r="G15" s="128">
        <v>117622.46268467432</v>
      </c>
      <c r="H15" s="128">
        <v>124204.85397028783</v>
      </c>
      <c r="I15" s="128">
        <v>130833.01882333016</v>
      </c>
      <c r="J15" s="128">
        <v>137542.43517997343</v>
      </c>
      <c r="K15" s="128">
        <v>144269.63648221345</v>
      </c>
      <c r="L15" s="128">
        <v>146040.83914251329</v>
      </c>
      <c r="M15" s="128">
        <v>141548.39729097299</v>
      </c>
      <c r="N15" s="128">
        <v>139393.51733076517</v>
      </c>
      <c r="O15" s="128">
        <v>141356.84025184438</v>
      </c>
      <c r="P15" s="128">
        <v>145450.31836519207</v>
      </c>
      <c r="Q15" s="128">
        <v>148369.06549729116</v>
      </c>
      <c r="R15" s="128">
        <v>148872.16689191156</v>
      </c>
      <c r="S15" s="128">
        <v>149860.11629818886</v>
      </c>
      <c r="T15" s="128">
        <v>150613.5725898236</v>
      </c>
      <c r="U15" s="128">
        <v>149370.19509031117</v>
      </c>
      <c r="V15" s="128">
        <v>144974.15201860646</v>
      </c>
      <c r="W15" s="128">
        <v>140268.54524226463</v>
      </c>
      <c r="X15" s="128">
        <v>139247.18692460013</v>
      </c>
      <c r="Y15" s="128">
        <v>139500.99593589403</v>
      </c>
      <c r="Z15" s="128">
        <v>140179.82962773732</v>
      </c>
      <c r="AA15" s="128">
        <v>141102.73697491415</v>
      </c>
      <c r="AB15" s="128">
        <v>141454.7926866645</v>
      </c>
      <c r="AC15" s="128">
        <v>142006.24033724522</v>
      </c>
      <c r="AD15" s="128">
        <v>142993.86582892426</v>
      </c>
      <c r="AE15" s="128">
        <v>144535.49673138541</v>
      </c>
      <c r="AF15" s="129">
        <v>146576.93175092209</v>
      </c>
    </row>
    <row r="16" spans="1:32" x14ac:dyDescent="0.25">
      <c r="A16" s="124" t="s">
        <v>12</v>
      </c>
      <c r="B16" s="128">
        <v>25253776.328943077</v>
      </c>
      <c r="C16" s="128">
        <v>25870595.730599679</v>
      </c>
      <c r="D16" s="128">
        <v>26649973.665226121</v>
      </c>
      <c r="E16" s="128">
        <v>27403470.399103504</v>
      </c>
      <c r="F16" s="128">
        <v>28145154.893014297</v>
      </c>
      <c r="G16" s="128">
        <v>28862491.659178335</v>
      </c>
      <c r="H16" s="128">
        <v>29492408.971987411</v>
      </c>
      <c r="I16" s="128">
        <v>30081816.566887122</v>
      </c>
      <c r="J16" s="128">
        <v>30633523.78110541</v>
      </c>
      <c r="K16" s="128">
        <v>31211253.713408384</v>
      </c>
      <c r="L16" s="128">
        <v>31900415.94649671</v>
      </c>
      <c r="M16" s="128">
        <v>32630634.877318136</v>
      </c>
      <c r="N16" s="128">
        <v>33404961.464289937</v>
      </c>
      <c r="O16" s="128">
        <v>34219969.097317614</v>
      </c>
      <c r="P16" s="128">
        <v>35011594.812698029</v>
      </c>
      <c r="Q16" s="128">
        <v>35776915.018948272</v>
      </c>
      <c r="R16" s="128">
        <v>36532600.028496616</v>
      </c>
      <c r="S16" s="128">
        <v>37263077.738195688</v>
      </c>
      <c r="T16" s="128">
        <v>37920504.349439293</v>
      </c>
      <c r="U16" s="128">
        <v>38518004.131360501</v>
      </c>
      <c r="V16" s="128">
        <v>39095512.620567173</v>
      </c>
      <c r="W16" s="128">
        <v>39620207.721863225</v>
      </c>
      <c r="X16" s="128">
        <v>40051136.729291953</v>
      </c>
      <c r="Y16" s="128">
        <v>40409268.790190436</v>
      </c>
      <c r="Z16" s="128">
        <v>40705130.231750272</v>
      </c>
      <c r="AA16" s="128">
        <v>40927188.984977983</v>
      </c>
      <c r="AB16" s="128">
        <v>41070268.804765537</v>
      </c>
      <c r="AC16" s="128">
        <v>41145406.063293546</v>
      </c>
      <c r="AD16" s="128">
        <v>41167938.26947201</v>
      </c>
      <c r="AE16" s="128">
        <v>41139362.628438406</v>
      </c>
      <c r="AF16" s="129">
        <v>41053133.748625167</v>
      </c>
    </row>
    <row r="17" spans="1:32" x14ac:dyDescent="0.25">
      <c r="A17" s="124" t="s">
        <v>145</v>
      </c>
      <c r="B17" s="128">
        <v>43299.859736029401</v>
      </c>
      <c r="C17" s="128">
        <v>43247.818658773191</v>
      </c>
      <c r="D17" s="128">
        <v>43241.530951055094</v>
      </c>
      <c r="E17" s="128">
        <v>43142.384769601616</v>
      </c>
      <c r="F17" s="128">
        <v>43009.48163704203</v>
      </c>
      <c r="G17" s="128">
        <v>42864.886139202288</v>
      </c>
      <c r="H17" s="128">
        <v>42693.579062325771</v>
      </c>
      <c r="I17" s="128">
        <v>42480.569255967974</v>
      </c>
      <c r="J17" s="128">
        <v>42230.726604531264</v>
      </c>
      <c r="K17" s="128">
        <v>41910.146742509605</v>
      </c>
      <c r="L17" s="128">
        <v>41505.887392359233</v>
      </c>
      <c r="M17" s="128">
        <v>41049.890891698189</v>
      </c>
      <c r="N17" s="128">
        <v>40642.541730986108</v>
      </c>
      <c r="O17" s="128">
        <v>40266.200360748961</v>
      </c>
      <c r="P17" s="128">
        <v>39889.201086055327</v>
      </c>
      <c r="Q17" s="128">
        <v>39526.505891834509</v>
      </c>
      <c r="R17" s="128">
        <v>39202.721491281394</v>
      </c>
      <c r="S17" s="128">
        <v>38902.202760515778</v>
      </c>
      <c r="T17" s="128">
        <v>38632.111813229771</v>
      </c>
      <c r="U17" s="128">
        <v>38394.89320830271</v>
      </c>
      <c r="V17" s="128">
        <v>38149.431988709868</v>
      </c>
      <c r="W17" s="128">
        <v>37867.029115694044</v>
      </c>
      <c r="X17" s="128">
        <v>37573.00345145171</v>
      </c>
      <c r="Y17" s="128">
        <v>37356.313420714097</v>
      </c>
      <c r="Z17" s="128">
        <v>37183.808276780495</v>
      </c>
      <c r="AA17" s="128">
        <v>36980.958990899795</v>
      </c>
      <c r="AB17" s="128">
        <v>36798.485741917408</v>
      </c>
      <c r="AC17" s="128">
        <v>36648.67193649766</v>
      </c>
      <c r="AD17" s="128">
        <v>36506.094877211399</v>
      </c>
      <c r="AE17" s="128">
        <v>36362.438126509878</v>
      </c>
      <c r="AF17" s="129">
        <v>36205.453753219437</v>
      </c>
    </row>
    <row r="18" spans="1:32" x14ac:dyDescent="0.25">
      <c r="A18" s="124" t="s">
        <v>146</v>
      </c>
      <c r="B18" s="128">
        <v>1655504.9842445776</v>
      </c>
      <c r="C18" s="128">
        <v>1642676.4342891632</v>
      </c>
      <c r="D18" s="128">
        <v>1628132.8176971981</v>
      </c>
      <c r="E18" s="128">
        <v>1610633.4731904045</v>
      </c>
      <c r="F18" s="128">
        <v>1590290.9097775307</v>
      </c>
      <c r="G18" s="128">
        <v>1567380.4901086101</v>
      </c>
      <c r="H18" s="128">
        <v>1541651.7090447291</v>
      </c>
      <c r="I18" s="128">
        <v>1515692.1537456387</v>
      </c>
      <c r="J18" s="128">
        <v>1489213.2411647185</v>
      </c>
      <c r="K18" s="128">
        <v>1462775.3943735666</v>
      </c>
      <c r="L18" s="128">
        <v>1435056.2054538925</v>
      </c>
      <c r="M18" s="128">
        <v>1409301.241242582</v>
      </c>
      <c r="N18" s="128">
        <v>1386331.9739455828</v>
      </c>
      <c r="O18" s="128">
        <v>1367014.6339953181</v>
      </c>
      <c r="P18" s="128">
        <v>1351873.639525766</v>
      </c>
      <c r="Q18" s="128">
        <v>1339669.2974622666</v>
      </c>
      <c r="R18" s="128">
        <v>1329174.7876067392</v>
      </c>
      <c r="S18" s="128">
        <v>1318804.2885135151</v>
      </c>
      <c r="T18" s="128">
        <v>1307087.8093160822</v>
      </c>
      <c r="U18" s="128">
        <v>1293090.5101440307</v>
      </c>
      <c r="V18" s="128">
        <v>1277232.2637515462</v>
      </c>
      <c r="W18" s="128">
        <v>1259579.1091125642</v>
      </c>
      <c r="X18" s="128">
        <v>1243900.5340909923</v>
      </c>
      <c r="Y18" s="128">
        <v>1228057.9130559575</v>
      </c>
      <c r="Z18" s="128">
        <v>1210062.4413231809</v>
      </c>
      <c r="AA18" s="128">
        <v>1191770.5356079116</v>
      </c>
      <c r="AB18" s="128">
        <v>1172555.5664573086</v>
      </c>
      <c r="AC18" s="128">
        <v>1152912.0906035053</v>
      </c>
      <c r="AD18" s="128">
        <v>1133328.0624008554</v>
      </c>
      <c r="AE18" s="128">
        <v>1114565.083164189</v>
      </c>
      <c r="AF18" s="129">
        <v>1097416.2867382378</v>
      </c>
    </row>
    <row r="19" spans="1:32" x14ac:dyDescent="0.25">
      <c r="A19" s="124" t="s">
        <v>147</v>
      </c>
      <c r="B19" s="128">
        <v>1716734.7249678944</v>
      </c>
      <c r="C19" s="128">
        <v>1708633.3622308117</v>
      </c>
      <c r="D19" s="128">
        <v>1679340.879006413</v>
      </c>
      <c r="E19" s="128">
        <v>1650891.7094543127</v>
      </c>
      <c r="F19" s="128">
        <v>1623276.2289623881</v>
      </c>
      <c r="G19" s="128">
        <v>1596116.7240455884</v>
      </c>
      <c r="H19" s="128">
        <v>1567383.5383071497</v>
      </c>
      <c r="I19" s="128">
        <v>1539112.5936784034</v>
      </c>
      <c r="J19" s="128">
        <v>1510555.7090317344</v>
      </c>
      <c r="K19" s="128">
        <v>1481338.3791768791</v>
      </c>
      <c r="L19" s="128">
        <v>1452742.5071319465</v>
      </c>
      <c r="M19" s="128">
        <v>1423105.4588770799</v>
      </c>
      <c r="N19" s="128">
        <v>1387240.2111349297</v>
      </c>
      <c r="O19" s="128">
        <v>1352579.4367810737</v>
      </c>
      <c r="P19" s="128">
        <v>1318551.9370230585</v>
      </c>
      <c r="Q19" s="128">
        <v>1286577.9331279735</v>
      </c>
      <c r="R19" s="128">
        <v>1255987.1708751433</v>
      </c>
      <c r="S19" s="128">
        <v>1227306.8427999993</v>
      </c>
      <c r="T19" s="128">
        <v>1200431.0508243074</v>
      </c>
      <c r="U19" s="128">
        <v>1175270.0743923818</v>
      </c>
      <c r="V19" s="128">
        <v>1151650.7281073323</v>
      </c>
      <c r="W19" s="128">
        <v>1129388.7010901747</v>
      </c>
      <c r="X19" s="128">
        <v>1107380.9533264625</v>
      </c>
      <c r="Y19" s="128">
        <v>1086649.1144034935</v>
      </c>
      <c r="Z19" s="128">
        <v>1069589.7851197256</v>
      </c>
      <c r="AA19" s="128">
        <v>1056143.4283529429</v>
      </c>
      <c r="AB19" s="128">
        <v>1044912.0356554223</v>
      </c>
      <c r="AC19" s="128">
        <v>1035560.8574133016</v>
      </c>
      <c r="AD19" s="128">
        <v>1028019.0656747906</v>
      </c>
      <c r="AE19" s="128">
        <v>1022208.3549059317</v>
      </c>
      <c r="AF19" s="129">
        <v>1018016.904892712</v>
      </c>
    </row>
    <row r="20" spans="1:32" x14ac:dyDescent="0.25">
      <c r="A20" s="124" t="s">
        <v>148</v>
      </c>
      <c r="B20" s="128">
        <v>35711.458481677197</v>
      </c>
      <c r="C20" s="128">
        <v>37356.232127427793</v>
      </c>
      <c r="D20" s="128">
        <v>39032.271654779412</v>
      </c>
      <c r="E20" s="128">
        <v>40762.801945042025</v>
      </c>
      <c r="F20" s="128">
        <v>42522.573682759532</v>
      </c>
      <c r="G20" s="128">
        <v>44292.706064932878</v>
      </c>
      <c r="H20" s="128">
        <v>45971.957864812539</v>
      </c>
      <c r="I20" s="128">
        <v>47665.98494738718</v>
      </c>
      <c r="J20" s="128">
        <v>49368.748756618916</v>
      </c>
      <c r="K20" s="128">
        <v>51099.083666702958</v>
      </c>
      <c r="L20" s="128">
        <v>52831.603621565344</v>
      </c>
      <c r="M20" s="128">
        <v>54571.23841554414</v>
      </c>
      <c r="N20" s="128">
        <v>56326.443471474035</v>
      </c>
      <c r="O20" s="128">
        <v>58125.334342474292</v>
      </c>
      <c r="P20" s="128">
        <v>59975.144813742932</v>
      </c>
      <c r="Q20" s="128">
        <v>61857.61570132964</v>
      </c>
      <c r="R20" s="128">
        <v>63687.17044166859</v>
      </c>
      <c r="S20" s="128">
        <v>65452.326434992421</v>
      </c>
      <c r="T20" s="128">
        <v>67150.583313144918</v>
      </c>
      <c r="U20" s="128">
        <v>68795.721188734082</v>
      </c>
      <c r="V20" s="128">
        <v>70265.724280881026</v>
      </c>
      <c r="W20" s="128">
        <v>71560.819375109553</v>
      </c>
      <c r="X20" s="128">
        <v>72852.886404240766</v>
      </c>
      <c r="Y20" s="128">
        <v>74117.02222744</v>
      </c>
      <c r="Z20" s="128">
        <v>75318.536163837518</v>
      </c>
      <c r="AA20" s="128">
        <v>76356.689301772596</v>
      </c>
      <c r="AB20" s="128">
        <v>77230.616695752673</v>
      </c>
      <c r="AC20" s="128">
        <v>78040.834309923346</v>
      </c>
      <c r="AD20" s="128">
        <v>78792.968033602592</v>
      </c>
      <c r="AE20" s="128">
        <v>79498.677810003399</v>
      </c>
      <c r="AF20" s="129">
        <v>80133.28625353094</v>
      </c>
    </row>
    <row r="21" spans="1:32" x14ac:dyDescent="0.25">
      <c r="A21" s="124" t="s">
        <v>13</v>
      </c>
      <c r="B21" s="128">
        <v>1136890.4100663683</v>
      </c>
      <c r="C21" s="128">
        <v>1169381.235276778</v>
      </c>
      <c r="D21" s="128">
        <v>1207426.9757655223</v>
      </c>
      <c r="E21" s="128">
        <v>1246403.9209050469</v>
      </c>
      <c r="F21" s="128">
        <v>1286107.2015741591</v>
      </c>
      <c r="G21" s="128">
        <v>1331461.5198606395</v>
      </c>
      <c r="H21" s="128">
        <v>1374682.9400010302</v>
      </c>
      <c r="I21" s="128">
        <v>1412875.1072582961</v>
      </c>
      <c r="J21" s="128">
        <v>1454615.2893335565</v>
      </c>
      <c r="K21" s="128">
        <v>1499540.664850787</v>
      </c>
      <c r="L21" s="128">
        <v>1545876.4199220538</v>
      </c>
      <c r="M21" s="128">
        <v>1591760.0992762828</v>
      </c>
      <c r="N21" s="128">
        <v>1637279.082942867</v>
      </c>
      <c r="O21" s="128">
        <v>1682561.0792339128</v>
      </c>
      <c r="P21" s="128">
        <v>1729023.8450825138</v>
      </c>
      <c r="Q21" s="128">
        <v>1776999.9379265322</v>
      </c>
      <c r="R21" s="128">
        <v>1826494.0971608644</v>
      </c>
      <c r="S21" s="128">
        <v>1877738.514622851</v>
      </c>
      <c r="T21" s="128">
        <v>1931018.7941312089</v>
      </c>
      <c r="U21" s="128">
        <v>1985594.7967753117</v>
      </c>
      <c r="V21" s="128">
        <v>2040499.7902026966</v>
      </c>
      <c r="W21" s="128">
        <v>2095903.2079722395</v>
      </c>
      <c r="X21" s="128">
        <v>2151387.7208907395</v>
      </c>
      <c r="Y21" s="128">
        <v>2206345.0610796413</v>
      </c>
      <c r="Z21" s="128">
        <v>2261493.0674686921</v>
      </c>
      <c r="AA21" s="128">
        <v>2317082.5643197736</v>
      </c>
      <c r="AB21" s="128">
        <v>2373079.9954709108</v>
      </c>
      <c r="AC21" s="128">
        <v>2429590.6927406685</v>
      </c>
      <c r="AD21" s="128">
        <v>2486842.0512207579</v>
      </c>
      <c r="AE21" s="128">
        <v>2544896.8633381249</v>
      </c>
      <c r="AF21" s="129">
        <v>2603164.128954621</v>
      </c>
    </row>
    <row r="22" spans="1:32" x14ac:dyDescent="0.25">
      <c r="A22" s="124" t="s">
        <v>14</v>
      </c>
      <c r="B22" s="128">
        <v>85982.645603425379</v>
      </c>
      <c r="C22" s="128">
        <v>88746.073909763974</v>
      </c>
      <c r="D22" s="128">
        <v>91648.354120936434</v>
      </c>
      <c r="E22" s="128">
        <v>94756.020113969134</v>
      </c>
      <c r="F22" s="128">
        <v>98134.765686821207</v>
      </c>
      <c r="G22" s="128">
        <v>101479.92427413749</v>
      </c>
      <c r="H22" s="128">
        <v>103663.08679196266</v>
      </c>
      <c r="I22" s="128">
        <v>105546.53822430958</v>
      </c>
      <c r="J22" s="128">
        <v>107317.07636098863</v>
      </c>
      <c r="K22" s="128">
        <v>108976.2353165102</v>
      </c>
      <c r="L22" s="128">
        <v>110534.55738470278</v>
      </c>
      <c r="M22" s="128">
        <v>112336.89489052835</v>
      </c>
      <c r="N22" s="128">
        <v>114084.5542590382</v>
      </c>
      <c r="O22" s="128">
        <v>115773.11246315038</v>
      </c>
      <c r="P22" s="128">
        <v>117444.8200623907</v>
      </c>
      <c r="Q22" s="128">
        <v>119128.65688931855</v>
      </c>
      <c r="R22" s="128">
        <v>121008.45084000019</v>
      </c>
      <c r="S22" s="128">
        <v>123238.07135148133</v>
      </c>
      <c r="T22" s="128">
        <v>125918.79020054713</v>
      </c>
      <c r="U22" s="128">
        <v>128526.83730574133</v>
      </c>
      <c r="V22" s="128">
        <v>131003.97383994315</v>
      </c>
      <c r="W22" s="128">
        <v>133412.80359105306</v>
      </c>
      <c r="X22" s="128">
        <v>135610.98582559673</v>
      </c>
      <c r="Y22" s="128">
        <v>137583.83236331577</v>
      </c>
      <c r="Z22" s="128">
        <v>139380.58564299802</v>
      </c>
      <c r="AA22" s="128">
        <v>141013.92332270573</v>
      </c>
      <c r="AB22" s="128">
        <v>142589.84452078419</v>
      </c>
      <c r="AC22" s="128">
        <v>143969.13240468892</v>
      </c>
      <c r="AD22" s="128">
        <v>145013.01207920705</v>
      </c>
      <c r="AE22" s="128">
        <v>145576.99600845555</v>
      </c>
      <c r="AF22" s="129">
        <v>145592.88173013547</v>
      </c>
    </row>
    <row r="23" spans="1:32" x14ac:dyDescent="0.25">
      <c r="A23" s="124" t="s">
        <v>15</v>
      </c>
      <c r="B23" s="128">
        <v>1204738.3877247928</v>
      </c>
      <c r="C23" s="128">
        <v>1233020.9653383165</v>
      </c>
      <c r="D23" s="128">
        <v>1264775.6906415257</v>
      </c>
      <c r="E23" s="128">
        <v>1297585.9382984096</v>
      </c>
      <c r="F23" s="128">
        <v>1331201.9488122712</v>
      </c>
      <c r="G23" s="128">
        <v>1365452.5387038803</v>
      </c>
      <c r="H23" s="128">
        <v>1400568.8350947259</v>
      </c>
      <c r="I23" s="128">
        <v>1435829.2682407203</v>
      </c>
      <c r="J23" s="128">
        <v>1470832.1115709192</v>
      </c>
      <c r="K23" s="128">
        <v>1499594.8116606656</v>
      </c>
      <c r="L23" s="128">
        <v>1527983.3113767742</v>
      </c>
      <c r="M23" s="128">
        <v>1556885.0174385549</v>
      </c>
      <c r="N23" s="128">
        <v>1585566.3671068286</v>
      </c>
      <c r="O23" s="128">
        <v>1614026.4509085349</v>
      </c>
      <c r="P23" s="128">
        <v>1642607.399619509</v>
      </c>
      <c r="Q23" s="128">
        <v>1670959.3414834803</v>
      </c>
      <c r="R23" s="128">
        <v>1699061.4310074998</v>
      </c>
      <c r="S23" s="128">
        <v>1726428.8224550749</v>
      </c>
      <c r="T23" s="128">
        <v>1753472.9852593497</v>
      </c>
      <c r="U23" s="128">
        <v>1780327.0941642884</v>
      </c>
      <c r="V23" s="128">
        <v>1807325.8170466777</v>
      </c>
      <c r="W23" s="128">
        <v>1834869.0340297513</v>
      </c>
      <c r="X23" s="128">
        <v>1862957.7845168475</v>
      </c>
      <c r="Y23" s="128">
        <v>1891449.8723303813</v>
      </c>
      <c r="Z23" s="128">
        <v>1919573.1295652017</v>
      </c>
      <c r="AA23" s="128">
        <v>1946848.8802985512</v>
      </c>
      <c r="AB23" s="128">
        <v>1973299.8732494656</v>
      </c>
      <c r="AC23" s="128">
        <v>1998729.1031289904</v>
      </c>
      <c r="AD23" s="128">
        <v>2023248.4816480491</v>
      </c>
      <c r="AE23" s="128">
        <v>2046999.4634205943</v>
      </c>
      <c r="AF23" s="129">
        <v>2069992.0278372993</v>
      </c>
    </row>
    <row r="24" spans="1:32" x14ac:dyDescent="0.25">
      <c r="A24" s="124" t="s">
        <v>369</v>
      </c>
      <c r="B24" s="128">
        <v>714621.12866410788</v>
      </c>
      <c r="C24" s="128">
        <v>720120.84048518795</v>
      </c>
      <c r="D24" s="128">
        <v>721114.34800270724</v>
      </c>
      <c r="E24" s="128">
        <v>716031.29849136912</v>
      </c>
      <c r="F24" s="128">
        <v>702871.79917168221</v>
      </c>
      <c r="G24" s="128">
        <v>688042.49586304068</v>
      </c>
      <c r="H24" s="128">
        <v>677160.17053940671</v>
      </c>
      <c r="I24" s="128">
        <v>662109.90936839255</v>
      </c>
      <c r="J24" s="128">
        <v>643685.39454339573</v>
      </c>
      <c r="K24" s="128">
        <v>624000.10374228086</v>
      </c>
      <c r="L24" s="128">
        <v>604659.41186061909</v>
      </c>
      <c r="M24" s="128">
        <v>588419.2536846255</v>
      </c>
      <c r="N24" s="128">
        <v>572064.80144483771</v>
      </c>
      <c r="O24" s="128">
        <v>556397.28816925583</v>
      </c>
      <c r="P24" s="128">
        <v>541472.78769631591</v>
      </c>
      <c r="Q24" s="128">
        <v>526385.78093450726</v>
      </c>
      <c r="R24" s="128">
        <v>513529.77641850052</v>
      </c>
      <c r="S24" s="128">
        <v>502275.32464797667</v>
      </c>
      <c r="T24" s="128">
        <v>492039.60441414436</v>
      </c>
      <c r="U24" s="128">
        <v>481927.84033271705</v>
      </c>
      <c r="V24" s="128">
        <v>471397.08128986188</v>
      </c>
      <c r="W24" s="128">
        <v>460209.74037575029</v>
      </c>
      <c r="X24" s="128">
        <v>451478.71285432193</v>
      </c>
      <c r="Y24" s="128">
        <v>445691.17405636713</v>
      </c>
      <c r="Z24" s="128">
        <v>440060.83090199833</v>
      </c>
      <c r="AA24" s="128">
        <v>434558.39627863682</v>
      </c>
      <c r="AB24" s="128">
        <v>428933.35290989769</v>
      </c>
      <c r="AC24" s="128">
        <v>423489.56830741034</v>
      </c>
      <c r="AD24" s="128">
        <v>418325.46156285267</v>
      </c>
      <c r="AE24" s="128">
        <v>413063.28965672699</v>
      </c>
      <c r="AF24" s="129">
        <v>407738.07494119788</v>
      </c>
    </row>
    <row r="25" spans="1:32" x14ac:dyDescent="0.25">
      <c r="A25" s="124" t="s">
        <v>151</v>
      </c>
      <c r="B25" s="128">
        <v>180050.5904962208</v>
      </c>
      <c r="C25" s="128">
        <v>184766.19126551549</v>
      </c>
      <c r="D25" s="128">
        <v>190932.71123684754</v>
      </c>
      <c r="E25" s="128">
        <v>197002.52078838166</v>
      </c>
      <c r="F25" s="128">
        <v>203035.10152876496</v>
      </c>
      <c r="G25" s="128">
        <v>209067.57222859366</v>
      </c>
      <c r="H25" s="128">
        <v>215332.97552940247</v>
      </c>
      <c r="I25" s="128">
        <v>221661.49167809979</v>
      </c>
      <c r="J25" s="128">
        <v>228187.81947881458</v>
      </c>
      <c r="K25" s="128">
        <v>234911.92494200866</v>
      </c>
      <c r="L25" s="128">
        <v>241718.23315561676</v>
      </c>
      <c r="M25" s="128">
        <v>248601.31148695695</v>
      </c>
      <c r="N25" s="128">
        <v>255281.19464997645</v>
      </c>
      <c r="O25" s="128">
        <v>261922.68883561844</v>
      </c>
      <c r="P25" s="128">
        <v>268605.45352438302</v>
      </c>
      <c r="Q25" s="128">
        <v>275258.02167295705</v>
      </c>
      <c r="R25" s="128">
        <v>282060.61407885363</v>
      </c>
      <c r="S25" s="128">
        <v>288905.45795875811</v>
      </c>
      <c r="T25" s="128">
        <v>295530.97628676059</v>
      </c>
      <c r="U25" s="128">
        <v>301980.5282430292</v>
      </c>
      <c r="V25" s="128">
        <v>308554.19172998786</v>
      </c>
      <c r="W25" s="128">
        <v>314998.59445380158</v>
      </c>
      <c r="X25" s="128">
        <v>321643.30814952496</v>
      </c>
      <c r="Y25" s="128">
        <v>328606.44575189956</v>
      </c>
      <c r="Z25" s="128">
        <v>335438.95798409957</v>
      </c>
      <c r="AA25" s="128">
        <v>342088.82897402562</v>
      </c>
      <c r="AB25" s="128">
        <v>348454.31773504138</v>
      </c>
      <c r="AC25" s="128">
        <v>354626.1985039619</v>
      </c>
      <c r="AD25" s="128">
        <v>360683.06745122134</v>
      </c>
      <c r="AE25" s="128">
        <v>366680.25945711357</v>
      </c>
      <c r="AF25" s="129">
        <v>372672.96174080868</v>
      </c>
    </row>
    <row r="26" spans="1:32" x14ac:dyDescent="0.25">
      <c r="A26" s="124" t="s">
        <v>152</v>
      </c>
      <c r="B26" s="128">
        <v>29601849.070589948</v>
      </c>
      <c r="C26" s="128">
        <v>29852319.635185361</v>
      </c>
      <c r="D26" s="128">
        <v>30090040.89912058</v>
      </c>
      <c r="E26" s="128">
        <v>30304178.356386535</v>
      </c>
      <c r="F26" s="128">
        <v>30485800.904307663</v>
      </c>
      <c r="G26" s="128">
        <v>30628164.558064781</v>
      </c>
      <c r="H26" s="128">
        <v>30730069.696861867</v>
      </c>
      <c r="I26" s="128">
        <v>30798626.003883481</v>
      </c>
      <c r="J26" s="128">
        <v>30833744.213339895</v>
      </c>
      <c r="K26" s="128">
        <v>30836282.80144592</v>
      </c>
      <c r="L26" s="128">
        <v>30811435.833174482</v>
      </c>
      <c r="M26" s="128">
        <v>30734104.033557352</v>
      </c>
      <c r="N26" s="128">
        <v>30636509.862696208</v>
      </c>
      <c r="O26" s="128">
        <v>30526637.892545652</v>
      </c>
      <c r="P26" s="128">
        <v>30409992.123299759</v>
      </c>
      <c r="Q26" s="128">
        <v>30291820.609699603</v>
      </c>
      <c r="R26" s="128">
        <v>30181929.00294096</v>
      </c>
      <c r="S26" s="128">
        <v>30081112.093578942</v>
      </c>
      <c r="T26" s="128">
        <v>29979142.025786228</v>
      </c>
      <c r="U26" s="128">
        <v>29886276.461207304</v>
      </c>
      <c r="V26" s="128">
        <v>29800144.770198215</v>
      </c>
      <c r="W26" s="128">
        <v>29702380.482881218</v>
      </c>
      <c r="X26" s="128">
        <v>29597537.300540015</v>
      </c>
      <c r="Y26" s="128">
        <v>29497135.13842139</v>
      </c>
      <c r="Z26" s="128">
        <v>29400598.347574484</v>
      </c>
      <c r="AA26" s="128">
        <v>29299058.749990206</v>
      </c>
      <c r="AB26" s="128">
        <v>29187202.599897195</v>
      </c>
      <c r="AC26" s="128">
        <v>29062132.469563078</v>
      </c>
      <c r="AD26" s="128">
        <v>28921463.930609722</v>
      </c>
      <c r="AE26" s="128">
        <v>28776203.187045973</v>
      </c>
      <c r="AF26" s="129">
        <v>28633011.18949724</v>
      </c>
    </row>
    <row r="27" spans="1:32" x14ac:dyDescent="0.25">
      <c r="A27" s="124" t="s">
        <v>154</v>
      </c>
      <c r="B27" s="128">
        <v>51632.685022786565</v>
      </c>
      <c r="C27" s="128">
        <v>52913.512589977101</v>
      </c>
      <c r="D27" s="128">
        <v>54114.570519155932</v>
      </c>
      <c r="E27" s="128">
        <v>55285.64995926823</v>
      </c>
      <c r="F27" s="128">
        <v>56449.264044352421</v>
      </c>
      <c r="G27" s="128">
        <v>57601.976850243722</v>
      </c>
      <c r="H27" s="128">
        <v>58582.637815902788</v>
      </c>
      <c r="I27" s="128">
        <v>59428.058450687036</v>
      </c>
      <c r="J27" s="128">
        <v>60194.104934942683</v>
      </c>
      <c r="K27" s="128">
        <v>60909.579987870631</v>
      </c>
      <c r="L27" s="128">
        <v>61598.276423422758</v>
      </c>
      <c r="M27" s="128">
        <v>62509.026362337703</v>
      </c>
      <c r="N27" s="128">
        <v>63112.183880522171</v>
      </c>
      <c r="O27" s="128">
        <v>63618.961899649781</v>
      </c>
      <c r="P27" s="128">
        <v>64072.734521746905</v>
      </c>
      <c r="Q27" s="128">
        <v>64472.813214729184</v>
      </c>
      <c r="R27" s="128">
        <v>64720.684745870698</v>
      </c>
      <c r="S27" s="128">
        <v>64845.627414187249</v>
      </c>
      <c r="T27" s="128">
        <v>64860.865901041871</v>
      </c>
      <c r="U27" s="128">
        <v>64789.045596909411</v>
      </c>
      <c r="V27" s="128">
        <v>64686.499515657481</v>
      </c>
      <c r="W27" s="128">
        <v>64602.552796487988</v>
      </c>
      <c r="X27" s="128">
        <v>64573.089486457335</v>
      </c>
      <c r="Y27" s="128">
        <v>64560.308241426865</v>
      </c>
      <c r="Z27" s="128">
        <v>64502.413072432595</v>
      </c>
      <c r="AA27" s="128">
        <v>64383.761897964156</v>
      </c>
      <c r="AB27" s="128">
        <v>64216.334077102219</v>
      </c>
      <c r="AC27" s="128">
        <v>63987.84394139341</v>
      </c>
      <c r="AD27" s="128">
        <v>63703.850611378446</v>
      </c>
      <c r="AE27" s="128">
        <v>63398.112282829956</v>
      </c>
      <c r="AF27" s="129">
        <v>63091.955398755403</v>
      </c>
    </row>
    <row r="28" spans="1:32" x14ac:dyDescent="0.25">
      <c r="A28" s="124" t="s">
        <v>155</v>
      </c>
      <c r="B28" s="128">
        <v>1296014.1153181132</v>
      </c>
      <c r="C28" s="128">
        <v>1274121.1126466764</v>
      </c>
      <c r="D28" s="128">
        <v>1251841.4240472403</v>
      </c>
      <c r="E28" s="128">
        <v>1228518.1250636033</v>
      </c>
      <c r="F28" s="128">
        <v>1205475.0600129941</v>
      </c>
      <c r="G28" s="128">
        <v>1182268.7168447843</v>
      </c>
      <c r="H28" s="128">
        <v>1157939.866413295</v>
      </c>
      <c r="I28" s="128">
        <v>1133064.5934788324</v>
      </c>
      <c r="J28" s="128">
        <v>1108744.1621692632</v>
      </c>
      <c r="K28" s="128">
        <v>1084957.4015884108</v>
      </c>
      <c r="L28" s="128">
        <v>1060273.5016606576</v>
      </c>
      <c r="M28" s="128">
        <v>1035709.2473844013</v>
      </c>
      <c r="N28" s="128">
        <v>1011901.986450652</v>
      </c>
      <c r="O28" s="128">
        <v>989454.70391777228</v>
      </c>
      <c r="P28" s="128">
        <v>969284.66346851178</v>
      </c>
      <c r="Q28" s="128">
        <v>951567.47486923262</v>
      </c>
      <c r="R28" s="128">
        <v>935416.57006031123</v>
      </c>
      <c r="S28" s="128">
        <v>919120.29067716631</v>
      </c>
      <c r="T28" s="128">
        <v>899226.10500517034</v>
      </c>
      <c r="U28" s="128">
        <v>875589.06740985764</v>
      </c>
      <c r="V28" s="128">
        <v>852023.10117156291</v>
      </c>
      <c r="W28" s="128">
        <v>829307.87996026245</v>
      </c>
      <c r="X28" s="128">
        <v>808208.35792690481</v>
      </c>
      <c r="Y28" s="128">
        <v>787081.10921522684</v>
      </c>
      <c r="Z28" s="128">
        <v>764348.19440829393</v>
      </c>
      <c r="AA28" s="128">
        <v>742300.06612978794</v>
      </c>
      <c r="AB28" s="128">
        <v>721182.79856348375</v>
      </c>
      <c r="AC28" s="128">
        <v>700779.73898786795</v>
      </c>
      <c r="AD28" s="128">
        <v>681826.924436145</v>
      </c>
      <c r="AE28" s="128">
        <v>664312.85031363473</v>
      </c>
      <c r="AF28" s="129">
        <v>648785.44243454747</v>
      </c>
    </row>
    <row r="29" spans="1:32" x14ac:dyDescent="0.25">
      <c r="A29" s="124" t="s">
        <v>16</v>
      </c>
      <c r="B29" s="128">
        <v>2092134.856810848</v>
      </c>
      <c r="C29" s="128">
        <v>2166313.8419607631</v>
      </c>
      <c r="D29" s="128">
        <v>2243182.1269927947</v>
      </c>
      <c r="E29" s="128">
        <v>2321302.22894932</v>
      </c>
      <c r="F29" s="128">
        <v>2400065.4843479781</v>
      </c>
      <c r="G29" s="128">
        <v>2478977.7086730083</v>
      </c>
      <c r="H29" s="128">
        <v>2557410.216637427</v>
      </c>
      <c r="I29" s="128">
        <v>2632559.1396163227</v>
      </c>
      <c r="J29" s="128">
        <v>2704761.216359003</v>
      </c>
      <c r="K29" s="128">
        <v>2777104.2073555929</v>
      </c>
      <c r="L29" s="128">
        <v>2851305.0651854635</v>
      </c>
      <c r="M29" s="128">
        <v>2933879.925925429</v>
      </c>
      <c r="N29" s="128">
        <v>3021204.6446714848</v>
      </c>
      <c r="O29" s="128">
        <v>3110416.34351689</v>
      </c>
      <c r="P29" s="128">
        <v>3202250.6923435656</v>
      </c>
      <c r="Q29" s="128">
        <v>3298717.878571094</v>
      </c>
      <c r="R29" s="128">
        <v>3400575.3855618527</v>
      </c>
      <c r="S29" s="128">
        <v>3506029.7535573929</v>
      </c>
      <c r="T29" s="128">
        <v>3613497.6184900943</v>
      </c>
      <c r="U29" s="128">
        <v>3722327.5488051344</v>
      </c>
      <c r="V29" s="128">
        <v>3835437.1115150801</v>
      </c>
      <c r="W29" s="128">
        <v>3953505.264681879</v>
      </c>
      <c r="X29" s="128">
        <v>4071382.0232107481</v>
      </c>
      <c r="Y29" s="128">
        <v>4189583.2359741391</v>
      </c>
      <c r="Z29" s="128">
        <v>4309030.0340643032</v>
      </c>
      <c r="AA29" s="128">
        <v>4429276.5724570043</v>
      </c>
      <c r="AB29" s="128">
        <v>4550682.0035134479</v>
      </c>
      <c r="AC29" s="128">
        <v>4671498.2383590695</v>
      </c>
      <c r="AD29" s="128">
        <v>4790368.0843794998</v>
      </c>
      <c r="AE29" s="128">
        <v>4906007.6311632479</v>
      </c>
      <c r="AF29" s="129">
        <v>5017583.8560136873</v>
      </c>
    </row>
    <row r="30" spans="1:32" x14ac:dyDescent="0.25">
      <c r="A30" s="124" t="s">
        <v>17</v>
      </c>
      <c r="B30" s="128">
        <v>807168.18000193045</v>
      </c>
      <c r="C30" s="128">
        <v>829921.18294158822</v>
      </c>
      <c r="D30" s="128">
        <v>856503.00618420308</v>
      </c>
      <c r="E30" s="128">
        <v>887907.71769488475</v>
      </c>
      <c r="F30" s="128">
        <v>928914.57425591152</v>
      </c>
      <c r="G30" s="128">
        <v>970185.25768158387</v>
      </c>
      <c r="H30" s="128">
        <v>1010362.0843958402</v>
      </c>
      <c r="I30" s="128">
        <v>1053365.6907569873</v>
      </c>
      <c r="J30" s="128">
        <v>1107039.2524925475</v>
      </c>
      <c r="K30" s="128">
        <v>1177080.3703880385</v>
      </c>
      <c r="L30" s="128">
        <v>1241028.9410811441</v>
      </c>
      <c r="M30" s="128">
        <v>1278434.2709291191</v>
      </c>
      <c r="N30" s="128">
        <v>1316705.7833649071</v>
      </c>
      <c r="O30" s="128">
        <v>1356058.0387660996</v>
      </c>
      <c r="P30" s="128">
        <v>1392572.4301188998</v>
      </c>
      <c r="Q30" s="128">
        <v>1402330.7806082377</v>
      </c>
      <c r="R30" s="128">
        <v>1401267.2174314491</v>
      </c>
      <c r="S30" s="128">
        <v>1421386.5829125789</v>
      </c>
      <c r="T30" s="128">
        <v>1464246.3806982324</v>
      </c>
      <c r="U30" s="128">
        <v>1518703.1142929888</v>
      </c>
      <c r="V30" s="128">
        <v>1566389.7578527874</v>
      </c>
      <c r="W30" s="128">
        <v>1612184.6375156154</v>
      </c>
      <c r="X30" s="128">
        <v>1660207.6940031275</v>
      </c>
      <c r="Y30" s="128">
        <v>1711696.3713752381</v>
      </c>
      <c r="Z30" s="128">
        <v>1765361.6765285484</v>
      </c>
      <c r="AA30" s="128">
        <v>1821237.1035489922</v>
      </c>
      <c r="AB30" s="128">
        <v>1877463.7077651834</v>
      </c>
      <c r="AC30" s="128">
        <v>1932090.3894883413</v>
      </c>
      <c r="AD30" s="128">
        <v>1985537.7973089877</v>
      </c>
      <c r="AE30" s="128">
        <v>2038505.113584765</v>
      </c>
      <c r="AF30" s="129">
        <v>2091553.6577964881</v>
      </c>
    </row>
    <row r="31" spans="1:32" x14ac:dyDescent="0.25">
      <c r="A31" s="124" t="s">
        <v>156</v>
      </c>
      <c r="B31" s="128">
        <v>49429.922493283724</v>
      </c>
      <c r="C31" s="128">
        <v>50472.584688458599</v>
      </c>
      <c r="D31" s="128">
        <v>51407.659795446991</v>
      </c>
      <c r="E31" s="128">
        <v>52247.386649327207</v>
      </c>
      <c r="F31" s="128">
        <v>53021.069295591667</v>
      </c>
      <c r="G31" s="128">
        <v>53760.27638693765</v>
      </c>
      <c r="H31" s="128">
        <v>54718.209656357234</v>
      </c>
      <c r="I31" s="128">
        <v>55649.576920450585</v>
      </c>
      <c r="J31" s="128">
        <v>56546.973253030701</v>
      </c>
      <c r="K31" s="128">
        <v>57423.435678230991</v>
      </c>
      <c r="L31" s="128">
        <v>58551.718602352681</v>
      </c>
      <c r="M31" s="128">
        <v>60301.533568745828</v>
      </c>
      <c r="N31" s="128">
        <v>62090.502368198395</v>
      </c>
      <c r="O31" s="128">
        <v>63898.842714257102</v>
      </c>
      <c r="P31" s="128">
        <v>65689.756930339034</v>
      </c>
      <c r="Q31" s="128">
        <v>67385.274337790266</v>
      </c>
      <c r="R31" s="128">
        <v>68950.3167042196</v>
      </c>
      <c r="S31" s="128">
        <v>70452.523652069285</v>
      </c>
      <c r="T31" s="128">
        <v>71912.417343525929</v>
      </c>
      <c r="U31" s="128">
        <v>73355.053324069377</v>
      </c>
      <c r="V31" s="128">
        <v>74793.802639921254</v>
      </c>
      <c r="W31" s="128">
        <v>76248.942446851725</v>
      </c>
      <c r="X31" s="128">
        <v>77711.658955851002</v>
      </c>
      <c r="Y31" s="128">
        <v>79118.101930282923</v>
      </c>
      <c r="Z31" s="128">
        <v>80427.57745726718</v>
      </c>
      <c r="AA31" s="128">
        <v>81666.14320907314</v>
      </c>
      <c r="AB31" s="128">
        <v>82863.853203858685</v>
      </c>
      <c r="AC31" s="128">
        <v>83946.452889165812</v>
      </c>
      <c r="AD31" s="128">
        <v>84856.065269254963</v>
      </c>
      <c r="AE31" s="128">
        <v>85702.152333268124</v>
      </c>
      <c r="AF31" s="129">
        <v>86517.914928102124</v>
      </c>
    </row>
    <row r="32" spans="1:32" x14ac:dyDescent="0.25">
      <c r="A32" s="124" t="s">
        <v>18</v>
      </c>
      <c r="B32" s="128">
        <v>1937116.7572491486</v>
      </c>
      <c r="C32" s="128">
        <v>1980618.8702717966</v>
      </c>
      <c r="D32" s="128">
        <v>2037594.0026982822</v>
      </c>
      <c r="E32" s="128">
        <v>2105519.4616526593</v>
      </c>
      <c r="F32" s="128">
        <v>2176086.2890331815</v>
      </c>
      <c r="G32" s="128">
        <v>2242124.9528039214</v>
      </c>
      <c r="H32" s="128">
        <v>2309291.5897583934</v>
      </c>
      <c r="I32" s="128">
        <v>2372413.3369830986</v>
      </c>
      <c r="J32" s="128">
        <v>2428218.7454546634</v>
      </c>
      <c r="K32" s="128">
        <v>2478180.6355209989</v>
      </c>
      <c r="L32" s="128">
        <v>2526214.1949841636</v>
      </c>
      <c r="M32" s="128">
        <v>2563233.1967344224</v>
      </c>
      <c r="N32" s="128">
        <v>2596221.5969858128</v>
      </c>
      <c r="O32" s="128">
        <v>2631459.4980933741</v>
      </c>
      <c r="P32" s="128">
        <v>2670093.5061732689</v>
      </c>
      <c r="Q32" s="128">
        <v>2704656.212828049</v>
      </c>
      <c r="R32" s="128">
        <v>2738716.5445393319</v>
      </c>
      <c r="S32" s="128">
        <v>2772940.8136157733</v>
      </c>
      <c r="T32" s="128">
        <v>2803935.9169829446</v>
      </c>
      <c r="U32" s="128">
        <v>2830554.1580841718</v>
      </c>
      <c r="V32" s="128">
        <v>2856281.3903030558</v>
      </c>
      <c r="W32" s="128">
        <v>2882158.3111147424</v>
      </c>
      <c r="X32" s="128">
        <v>2905473.439173298</v>
      </c>
      <c r="Y32" s="128">
        <v>2929586.7630795822</v>
      </c>
      <c r="Z32" s="128">
        <v>2958350.0005259793</v>
      </c>
      <c r="AA32" s="128">
        <v>2992394.1511741471</v>
      </c>
      <c r="AB32" s="128">
        <v>3030055.9650904424</v>
      </c>
      <c r="AC32" s="128">
        <v>3072816.5421543703</v>
      </c>
      <c r="AD32" s="128">
        <v>3114758.4832634334</v>
      </c>
      <c r="AE32" s="128">
        <v>3144013.5643027215</v>
      </c>
      <c r="AF32" s="129">
        <v>3154832.4989302373</v>
      </c>
    </row>
    <row r="33" spans="1:32" x14ac:dyDescent="0.25">
      <c r="A33" s="124" t="s">
        <v>19</v>
      </c>
      <c r="B33" s="128">
        <v>2328184.3713876922</v>
      </c>
      <c r="C33" s="128">
        <v>2401361.5637631058</v>
      </c>
      <c r="D33" s="128">
        <v>2479229.0589243406</v>
      </c>
      <c r="E33" s="128">
        <v>2559837.3764713337</v>
      </c>
      <c r="F33" s="128">
        <v>2641711.7126140194</v>
      </c>
      <c r="G33" s="128">
        <v>2702687.5226581916</v>
      </c>
      <c r="H33" s="128">
        <v>2764010.8972329446</v>
      </c>
      <c r="I33" s="128">
        <v>2828477.8268312295</v>
      </c>
      <c r="J33" s="128">
        <v>2895702.0980305406</v>
      </c>
      <c r="K33" s="128">
        <v>2963134.6659029485</v>
      </c>
      <c r="L33" s="128">
        <v>3030382.5161881084</v>
      </c>
      <c r="M33" s="128">
        <v>3097532.8404814699</v>
      </c>
      <c r="N33" s="128">
        <v>3164142.7679648721</v>
      </c>
      <c r="O33" s="128">
        <v>3232201.1472410611</v>
      </c>
      <c r="P33" s="128">
        <v>3314780.409791349</v>
      </c>
      <c r="Q33" s="128">
        <v>3403791.2177750501</v>
      </c>
      <c r="R33" s="128">
        <v>3482098.3662701165</v>
      </c>
      <c r="S33" s="128">
        <v>3550556.7374421875</v>
      </c>
      <c r="T33" s="128">
        <v>3618213.5950474767</v>
      </c>
      <c r="U33" s="128">
        <v>3691241.7535692235</v>
      </c>
      <c r="V33" s="128">
        <v>3765842.3558667428</v>
      </c>
      <c r="W33" s="128">
        <v>3841733.2538006864</v>
      </c>
      <c r="X33" s="128">
        <v>3919241.1508739148</v>
      </c>
      <c r="Y33" s="128">
        <v>3999543.7848445512</v>
      </c>
      <c r="Z33" s="128">
        <v>4082439.7712811683</v>
      </c>
      <c r="AA33" s="128">
        <v>4167676.1771618784</v>
      </c>
      <c r="AB33" s="128">
        <v>4254471.560324572</v>
      </c>
      <c r="AC33" s="128">
        <v>4341924.4691825639</v>
      </c>
      <c r="AD33" s="128">
        <v>4430327.2584232027</v>
      </c>
      <c r="AE33" s="128">
        <v>4520320.6986032454</v>
      </c>
      <c r="AF33" s="129">
        <v>4613637.5645133182</v>
      </c>
    </row>
    <row r="34" spans="1:32" x14ac:dyDescent="0.25">
      <c r="A34" s="124" t="s">
        <v>157</v>
      </c>
      <c r="B34" s="128">
        <v>4704754.8871750385</v>
      </c>
      <c r="C34" s="128">
        <v>4674259.0772051429</v>
      </c>
      <c r="D34" s="128">
        <v>4641435.8683295297</v>
      </c>
      <c r="E34" s="128">
        <v>4601443.0293666665</v>
      </c>
      <c r="F34" s="128">
        <v>4558244.7903925683</v>
      </c>
      <c r="G34" s="128">
        <v>4516038.3127703415</v>
      </c>
      <c r="H34" s="128">
        <v>4467359.0015010051</v>
      </c>
      <c r="I34" s="128">
        <v>4450688.8310036622</v>
      </c>
      <c r="J34" s="128">
        <v>4437864.8658172442</v>
      </c>
      <c r="K34" s="128">
        <v>4429764.8387928195</v>
      </c>
      <c r="L34" s="128">
        <v>4421864.3487427523</v>
      </c>
      <c r="M34" s="128">
        <v>4397282.3577393051</v>
      </c>
      <c r="N34" s="128">
        <v>4368861.5777925383</v>
      </c>
      <c r="O34" s="128">
        <v>4339438.9563347362</v>
      </c>
      <c r="P34" s="128">
        <v>4310439.0260078087</v>
      </c>
      <c r="Q34" s="128">
        <v>4291369.6415075166</v>
      </c>
      <c r="R34" s="128">
        <v>4294611.0863462733</v>
      </c>
      <c r="S34" s="128">
        <v>4327953.8174969256</v>
      </c>
      <c r="T34" s="128">
        <v>4381823.7254550215</v>
      </c>
      <c r="U34" s="128">
        <v>4441475.4383751517</v>
      </c>
      <c r="V34" s="128">
        <v>4481044.6772086453</v>
      </c>
      <c r="W34" s="128">
        <v>4497957.2028162796</v>
      </c>
      <c r="X34" s="128">
        <v>4524429.7811777508</v>
      </c>
      <c r="Y34" s="128">
        <v>4560318.8429936934</v>
      </c>
      <c r="Z34" s="128">
        <v>4597659.4337879755</v>
      </c>
      <c r="AA34" s="128">
        <v>4635376.7222536458</v>
      </c>
      <c r="AB34" s="128">
        <v>4665022.6246192185</v>
      </c>
      <c r="AC34" s="128">
        <v>4693836.2918028235</v>
      </c>
      <c r="AD34" s="128">
        <v>4722314.1662021363</v>
      </c>
      <c r="AE34" s="128">
        <v>4749382.8617455093</v>
      </c>
      <c r="AF34" s="129">
        <v>4776031.298718649</v>
      </c>
    </row>
    <row r="35" spans="1:32" x14ac:dyDescent="0.25">
      <c r="A35" s="124" t="s">
        <v>2012</v>
      </c>
      <c r="B35" s="128">
        <v>659045.94002769375</v>
      </c>
      <c r="C35" s="128">
        <v>674887.35404423694</v>
      </c>
      <c r="D35" s="128">
        <v>690951.8668183902</v>
      </c>
      <c r="E35" s="128">
        <v>707895.30073253869</v>
      </c>
      <c r="F35" s="128">
        <v>722245.04766293487</v>
      </c>
      <c r="G35" s="128">
        <v>737989.3671514499</v>
      </c>
      <c r="H35" s="128">
        <v>750738.99636583519</v>
      </c>
      <c r="I35" s="128">
        <v>761520.89527599502</v>
      </c>
      <c r="J35" s="128">
        <v>774801.01546248456</v>
      </c>
      <c r="K35" s="128">
        <v>789040.84047454514</v>
      </c>
      <c r="L35" s="128">
        <v>802059.17202029412</v>
      </c>
      <c r="M35" s="128">
        <v>807086.00021764403</v>
      </c>
      <c r="N35" s="128">
        <v>801560.18154290644</v>
      </c>
      <c r="O35" s="128">
        <v>792105.84125810862</v>
      </c>
      <c r="P35" s="128">
        <v>773576.22361119767</v>
      </c>
      <c r="Q35" s="128">
        <v>763777.26070507581</v>
      </c>
      <c r="R35" s="128">
        <v>775156.64341532683</v>
      </c>
      <c r="S35" s="128">
        <v>787763.31091123109</v>
      </c>
      <c r="T35" s="128">
        <v>801029.4175786149</v>
      </c>
      <c r="U35" s="128">
        <v>818356.95509928337</v>
      </c>
      <c r="V35" s="128">
        <v>840691.19186130527</v>
      </c>
      <c r="W35" s="128">
        <v>857447.26507821365</v>
      </c>
      <c r="X35" s="128">
        <v>876186.52956497157</v>
      </c>
      <c r="Y35" s="128">
        <v>906456.40948389133</v>
      </c>
      <c r="Z35" s="128">
        <v>938393.75994194858</v>
      </c>
      <c r="AA35" s="128">
        <v>971817.25955791224</v>
      </c>
      <c r="AB35" s="128">
        <v>1006592.7246077046</v>
      </c>
      <c r="AC35" s="128">
        <v>1041428.9886976779</v>
      </c>
      <c r="AD35" s="128">
        <v>1075349.7274358259</v>
      </c>
      <c r="AE35" s="128">
        <v>1107825.6735004007</v>
      </c>
      <c r="AF35" s="129">
        <v>1138387.3006157849</v>
      </c>
    </row>
    <row r="36" spans="1:32" x14ac:dyDescent="0.25">
      <c r="A36" s="124" t="s">
        <v>20</v>
      </c>
      <c r="B36" s="128">
        <v>1374369.8607608017</v>
      </c>
      <c r="C36" s="128">
        <v>1410238.2713100058</v>
      </c>
      <c r="D36" s="128">
        <v>1452210.7422361185</v>
      </c>
      <c r="E36" s="128">
        <v>1513198.3545063247</v>
      </c>
      <c r="F36" s="128">
        <v>1590647.4852575914</v>
      </c>
      <c r="G36" s="128">
        <v>1657661.4690855083</v>
      </c>
      <c r="H36" s="128">
        <v>1711968.9822034584</v>
      </c>
      <c r="I36" s="128">
        <v>1764043.190530624</v>
      </c>
      <c r="J36" s="128">
        <v>1821699.745784322</v>
      </c>
      <c r="K36" s="128">
        <v>1882420.7411136902</v>
      </c>
      <c r="L36" s="128">
        <v>1939083.7780035317</v>
      </c>
      <c r="M36" s="128">
        <v>2002664.7701517083</v>
      </c>
      <c r="N36" s="128">
        <v>2069550.976413266</v>
      </c>
      <c r="O36" s="128">
        <v>2141619.3259136234</v>
      </c>
      <c r="P36" s="128">
        <v>2217212.7570235482</v>
      </c>
      <c r="Q36" s="128">
        <v>2278113.8722058139</v>
      </c>
      <c r="R36" s="128">
        <v>2339827.9380647321</v>
      </c>
      <c r="S36" s="128">
        <v>2411601.9660695703</v>
      </c>
      <c r="T36" s="128">
        <v>2487471.25684924</v>
      </c>
      <c r="U36" s="128">
        <v>2561761.4492206392</v>
      </c>
      <c r="V36" s="128">
        <v>2633517.9026790196</v>
      </c>
      <c r="W36" s="128">
        <v>2709104.2131359139</v>
      </c>
      <c r="X36" s="128">
        <v>2783357.2055795668</v>
      </c>
      <c r="Y36" s="128">
        <v>2856621.9622326489</v>
      </c>
      <c r="Z36" s="128">
        <v>2931137.1507600006</v>
      </c>
      <c r="AA36" s="128">
        <v>3007382.5868864544</v>
      </c>
      <c r="AB36" s="128">
        <v>3084832.8858825271</v>
      </c>
      <c r="AC36" s="128">
        <v>3163352.2917006416</v>
      </c>
      <c r="AD36" s="128">
        <v>3242669.9478765493</v>
      </c>
      <c r="AE36" s="128">
        <v>3322500.788469757</v>
      </c>
      <c r="AF36" s="129">
        <v>3402387.5282655894</v>
      </c>
    </row>
    <row r="37" spans="1:32" x14ac:dyDescent="0.25">
      <c r="A37" s="124" t="s">
        <v>661</v>
      </c>
      <c r="B37" s="128" t="e">
        <v>#N/A</v>
      </c>
      <c r="C37" s="128" t="e">
        <v>#N/A</v>
      </c>
      <c r="D37" s="128" t="e">
        <v>#N/A</v>
      </c>
      <c r="E37" s="128" t="e">
        <v>#N/A</v>
      </c>
      <c r="F37" s="128" t="e">
        <v>#N/A</v>
      </c>
      <c r="G37" s="128" t="e">
        <v>#N/A</v>
      </c>
      <c r="H37" s="128" t="e">
        <v>#N/A</v>
      </c>
      <c r="I37" s="128" t="e">
        <v>#N/A</v>
      </c>
      <c r="J37" s="128" t="e">
        <v>#N/A</v>
      </c>
      <c r="K37" s="128" t="e">
        <v>#N/A</v>
      </c>
      <c r="L37" s="128" t="e">
        <v>#N/A</v>
      </c>
      <c r="M37" s="128" t="e">
        <v>#N/A</v>
      </c>
      <c r="N37" s="128" t="e">
        <v>#N/A</v>
      </c>
      <c r="O37" s="128" t="e">
        <v>#N/A</v>
      </c>
      <c r="P37" s="128" t="e">
        <v>#N/A</v>
      </c>
      <c r="Q37" s="128" t="e">
        <v>#N/A</v>
      </c>
      <c r="R37" s="128" t="e">
        <v>#N/A</v>
      </c>
      <c r="S37" s="128" t="e">
        <v>#N/A</v>
      </c>
      <c r="T37" s="128" t="e">
        <v>#N/A</v>
      </c>
      <c r="U37" s="128" t="e">
        <v>#N/A</v>
      </c>
      <c r="V37" s="128" t="e">
        <v>#N/A</v>
      </c>
      <c r="W37" s="128" t="e">
        <v>#N/A</v>
      </c>
      <c r="X37" s="128" t="e">
        <v>#N/A</v>
      </c>
      <c r="Y37" s="128" t="e">
        <v>#N/A</v>
      </c>
      <c r="Z37" s="128" t="e">
        <v>#N/A</v>
      </c>
      <c r="AA37" s="128" t="e">
        <v>#N/A</v>
      </c>
      <c r="AB37" s="128" t="e">
        <v>#N/A</v>
      </c>
      <c r="AC37" s="128" t="e">
        <v>#N/A</v>
      </c>
      <c r="AD37" s="128" t="e">
        <v>#N/A</v>
      </c>
      <c r="AE37" s="128" t="e">
        <v>#N/A</v>
      </c>
      <c r="AF37" s="129" t="e">
        <v>#N/A</v>
      </c>
    </row>
    <row r="38" spans="1:32" x14ac:dyDescent="0.25">
      <c r="A38" s="124" t="s">
        <v>159</v>
      </c>
      <c r="B38" s="128">
        <v>1974320.3124758527</v>
      </c>
      <c r="C38" s="128">
        <v>1985007.3860657222</v>
      </c>
      <c r="D38" s="128">
        <v>1993933.1080471764</v>
      </c>
      <c r="E38" s="128">
        <v>2001429.846994783</v>
      </c>
      <c r="F38" s="128">
        <v>2008019.8177243494</v>
      </c>
      <c r="G38" s="128">
        <v>2014066.6022729375</v>
      </c>
      <c r="H38" s="128">
        <v>2018598.8408401986</v>
      </c>
      <c r="I38" s="128">
        <v>2021465.8990747586</v>
      </c>
      <c r="J38" s="128">
        <v>2023172.5119863702</v>
      </c>
      <c r="K38" s="128">
        <v>2024717.1728473227</v>
      </c>
      <c r="L38" s="128">
        <v>2025996.9017127461</v>
      </c>
      <c r="M38" s="128">
        <v>2025904.1620438239</v>
      </c>
      <c r="N38" s="128">
        <v>2026276.8008547132</v>
      </c>
      <c r="O38" s="128">
        <v>2028225.6207866771</v>
      </c>
      <c r="P38" s="128">
        <v>2032580.7456327761</v>
      </c>
      <c r="Q38" s="128">
        <v>2039049.7961983441</v>
      </c>
      <c r="R38" s="128">
        <v>2050323.2753229551</v>
      </c>
      <c r="S38" s="128">
        <v>2078765.9568274177</v>
      </c>
      <c r="T38" s="128">
        <v>2118954.3067857353</v>
      </c>
      <c r="U38" s="128">
        <v>2161474.7005152516</v>
      </c>
      <c r="V38" s="128">
        <v>2192458.5807077312</v>
      </c>
      <c r="W38" s="128">
        <v>2213111.4601326622</v>
      </c>
      <c r="X38" s="128">
        <v>2218668.3733058618</v>
      </c>
      <c r="Y38" s="128">
        <v>2207639.3634604118</v>
      </c>
      <c r="Z38" s="128">
        <v>2196915.1465210663</v>
      </c>
      <c r="AA38" s="128">
        <v>2187229.737197639</v>
      </c>
      <c r="AB38" s="128">
        <v>2179693.5619391548</v>
      </c>
      <c r="AC38" s="128">
        <v>2173329.1693137037</v>
      </c>
      <c r="AD38" s="128">
        <v>2168753.8317103279</v>
      </c>
      <c r="AE38" s="128">
        <v>2167528.0978418724</v>
      </c>
      <c r="AF38" s="129">
        <v>2170591.8600071021</v>
      </c>
    </row>
    <row r="39" spans="1:32" x14ac:dyDescent="0.25">
      <c r="A39" s="124" t="s">
        <v>160</v>
      </c>
      <c r="B39" s="128">
        <v>260839387.69930443</v>
      </c>
      <c r="C39" s="128">
        <v>261614873.40697071</v>
      </c>
      <c r="D39" s="128">
        <v>261463533.94891262</v>
      </c>
      <c r="E39" s="128">
        <v>260605180.98341107</v>
      </c>
      <c r="F39" s="128">
        <v>260131096.02169824</v>
      </c>
      <c r="G39" s="128">
        <v>260765806.05073512</v>
      </c>
      <c r="H39" s="128">
        <v>261749716.05965805</v>
      </c>
      <c r="I39" s="128">
        <v>262485493.74891499</v>
      </c>
      <c r="J39" s="128">
        <v>263643300.06664762</v>
      </c>
      <c r="K39" s="128">
        <v>265719757.92691672</v>
      </c>
      <c r="L39" s="128">
        <v>268114379.27514914</v>
      </c>
      <c r="M39" s="128">
        <v>270498042.10229826</v>
      </c>
      <c r="N39" s="128">
        <v>271380076.66756028</v>
      </c>
      <c r="O39" s="128">
        <v>269580585.9937501</v>
      </c>
      <c r="P39" s="128">
        <v>266624066.27990949</v>
      </c>
      <c r="Q39" s="128">
        <v>263828223.89702138</v>
      </c>
      <c r="R39" s="128">
        <v>260767493.92436835</v>
      </c>
      <c r="S39" s="128">
        <v>257557790.39913899</v>
      </c>
      <c r="T39" s="128">
        <v>253623704.99790785</v>
      </c>
      <c r="U39" s="128">
        <v>248948939.41327339</v>
      </c>
      <c r="V39" s="128">
        <v>244183257.9296945</v>
      </c>
      <c r="W39" s="128">
        <v>239452430.94451091</v>
      </c>
      <c r="X39" s="128">
        <v>234989579.18555659</v>
      </c>
      <c r="Y39" s="128">
        <v>230784205.15310848</v>
      </c>
      <c r="Z39" s="128">
        <v>227042668.93841311</v>
      </c>
      <c r="AA39" s="128">
        <v>223988072.84714204</v>
      </c>
      <c r="AB39" s="128">
        <v>221429662.33278236</v>
      </c>
      <c r="AC39" s="128">
        <v>219474263.28734779</v>
      </c>
      <c r="AD39" s="128">
        <v>217823305.81125364</v>
      </c>
      <c r="AE39" s="128">
        <v>215897978.02319428</v>
      </c>
      <c r="AF39" s="129">
        <v>213532392.58259222</v>
      </c>
    </row>
    <row r="40" spans="1:32" x14ac:dyDescent="0.25">
      <c r="A40" s="124" t="s">
        <v>161</v>
      </c>
      <c r="B40" s="128">
        <v>1130087.639856824</v>
      </c>
      <c r="C40" s="128">
        <v>1135783.4023628496</v>
      </c>
      <c r="D40" s="128">
        <v>1134670.5599993949</v>
      </c>
      <c r="E40" s="128">
        <v>1131570.7714954596</v>
      </c>
      <c r="F40" s="128">
        <v>1127057.8954467278</v>
      </c>
      <c r="G40" s="128">
        <v>1119903.9368768581</v>
      </c>
      <c r="H40" s="128">
        <v>1103920.62093898</v>
      </c>
      <c r="I40" s="128">
        <v>1089041.4940522474</v>
      </c>
      <c r="J40" s="128">
        <v>1075463.1272977416</v>
      </c>
      <c r="K40" s="128">
        <v>1063114.4706792897</v>
      </c>
      <c r="L40" s="128">
        <v>1052679.058630209</v>
      </c>
      <c r="M40" s="128">
        <v>1040512.6709386364</v>
      </c>
      <c r="N40" s="128">
        <v>1024543.9423258087</v>
      </c>
      <c r="O40" s="128">
        <v>1007514.6368748372</v>
      </c>
      <c r="P40" s="128">
        <v>992011.60063336149</v>
      </c>
      <c r="Q40" s="128">
        <v>980874.96212592721</v>
      </c>
      <c r="R40" s="128">
        <v>964568.44721288932</v>
      </c>
      <c r="S40" s="128">
        <v>945238.78981249419</v>
      </c>
      <c r="T40" s="128">
        <v>927220.62740052398</v>
      </c>
      <c r="U40" s="128">
        <v>909140.06288728316</v>
      </c>
      <c r="V40" s="128">
        <v>890992.10158613394</v>
      </c>
      <c r="W40" s="128">
        <v>871329.25144662685</v>
      </c>
      <c r="X40" s="128">
        <v>854529.54273303249</v>
      </c>
      <c r="Y40" s="128">
        <v>840147.91657562205</v>
      </c>
      <c r="Z40" s="128">
        <v>825972.59309838456</v>
      </c>
      <c r="AA40" s="128">
        <v>813268.97135708597</v>
      </c>
      <c r="AB40" s="128">
        <v>802175.20427710621</v>
      </c>
      <c r="AC40" s="128">
        <v>791027.68140584871</v>
      </c>
      <c r="AD40" s="128">
        <v>777963.66320319101</v>
      </c>
      <c r="AE40" s="128">
        <v>762514.43150938838</v>
      </c>
      <c r="AF40" s="129">
        <v>745039.56066916231</v>
      </c>
    </row>
    <row r="41" spans="1:32" x14ac:dyDescent="0.25">
      <c r="A41" s="124" t="s">
        <v>162</v>
      </c>
      <c r="B41" s="128">
        <v>71766.156162838699</v>
      </c>
      <c r="C41" s="128">
        <v>72305.59820496125</v>
      </c>
      <c r="D41" s="128">
        <v>73153.894792249848</v>
      </c>
      <c r="E41" s="128">
        <v>74185.535866352468</v>
      </c>
      <c r="F41" s="128">
        <v>75143.575969177968</v>
      </c>
      <c r="G41" s="128">
        <v>76005.788062479623</v>
      </c>
      <c r="H41" s="128">
        <v>77068.203865410338</v>
      </c>
      <c r="I41" s="128">
        <v>78067.657145036996</v>
      </c>
      <c r="J41" s="128">
        <v>79117.978111199613</v>
      </c>
      <c r="K41" s="128">
        <v>80300.025938839506</v>
      </c>
      <c r="L41" s="128">
        <v>81583.021670630274</v>
      </c>
      <c r="M41" s="128">
        <v>82288.468576143307</v>
      </c>
      <c r="N41" s="128">
        <v>82536.470564425879</v>
      </c>
      <c r="O41" s="128">
        <v>82744.219795171593</v>
      </c>
      <c r="P41" s="128">
        <v>83451.228975755861</v>
      </c>
      <c r="Q41" s="128">
        <v>84674.747869574494</v>
      </c>
      <c r="R41" s="128">
        <v>86193.395722050816</v>
      </c>
      <c r="S41" s="128">
        <v>88010.388290492716</v>
      </c>
      <c r="T41" s="128">
        <v>89908.28558253868</v>
      </c>
      <c r="U41" s="128">
        <v>91765.755696788925</v>
      </c>
      <c r="V41" s="128">
        <v>93523.563359764492</v>
      </c>
      <c r="W41" s="128">
        <v>94384.136654667251</v>
      </c>
      <c r="X41" s="128">
        <v>94664.911768636608</v>
      </c>
      <c r="Y41" s="128">
        <v>95063.989840159527</v>
      </c>
      <c r="Z41" s="128">
        <v>95411.839124318984</v>
      </c>
      <c r="AA41" s="128">
        <v>95761.919722728795</v>
      </c>
      <c r="AB41" s="128">
        <v>95949.641065659511</v>
      </c>
      <c r="AC41" s="128">
        <v>96089.627856770618</v>
      </c>
      <c r="AD41" s="128">
        <v>96161.278740158188</v>
      </c>
      <c r="AE41" s="128">
        <v>96113.675115252219</v>
      </c>
      <c r="AF41" s="129">
        <v>95947.435629018626</v>
      </c>
    </row>
    <row r="42" spans="1:32" x14ac:dyDescent="0.25">
      <c r="A42" s="124" t="s">
        <v>163</v>
      </c>
      <c r="B42" s="128">
        <v>5572222.2219092753</v>
      </c>
      <c r="C42" s="128">
        <v>5666576.3289533649</v>
      </c>
      <c r="D42" s="128">
        <v>5758689.2797185415</v>
      </c>
      <c r="E42" s="128">
        <v>5846149.2305790093</v>
      </c>
      <c r="F42" s="128">
        <v>5928454.0080935927</v>
      </c>
      <c r="G42" s="128">
        <v>6004346.2581213946</v>
      </c>
      <c r="H42" s="128">
        <v>6106029.4574441025</v>
      </c>
      <c r="I42" s="128">
        <v>6203137.1454406595</v>
      </c>
      <c r="J42" s="128">
        <v>6293609.0881728223</v>
      </c>
      <c r="K42" s="128">
        <v>6380761.1643794207</v>
      </c>
      <c r="L42" s="128">
        <v>6467095.2905732105</v>
      </c>
      <c r="M42" s="128">
        <v>6550427.4101727381</v>
      </c>
      <c r="N42" s="128">
        <v>6628798.8358519813</v>
      </c>
      <c r="O42" s="128">
        <v>6702299.5347499689</v>
      </c>
      <c r="P42" s="128">
        <v>6771261.0558263287</v>
      </c>
      <c r="Q42" s="128">
        <v>6838903.5234661987</v>
      </c>
      <c r="R42" s="128">
        <v>6913851.3658409165</v>
      </c>
      <c r="S42" s="128">
        <v>7037017.9331404325</v>
      </c>
      <c r="T42" s="128">
        <v>7206576.132375489</v>
      </c>
      <c r="U42" s="128">
        <v>7376096.3163967086</v>
      </c>
      <c r="V42" s="128">
        <v>7517760.0072223814</v>
      </c>
      <c r="W42" s="128">
        <v>7637000.4420623621</v>
      </c>
      <c r="X42" s="128">
        <v>7707783.3208276201</v>
      </c>
      <c r="Y42" s="128">
        <v>7732034.59328051</v>
      </c>
      <c r="Z42" s="128">
        <v>7752550.0914648753</v>
      </c>
      <c r="AA42" s="128">
        <v>7771727.9352430115</v>
      </c>
      <c r="AB42" s="128">
        <v>7793457.8619700726</v>
      </c>
      <c r="AC42" s="128">
        <v>7815531.1197427148</v>
      </c>
      <c r="AD42" s="128">
        <v>7834047.5408786638</v>
      </c>
      <c r="AE42" s="128">
        <v>7845296.2331255972</v>
      </c>
      <c r="AF42" s="129">
        <v>7848871.8575703427</v>
      </c>
    </row>
    <row r="43" spans="1:32" x14ac:dyDescent="0.25">
      <c r="A43" s="124" t="s">
        <v>21</v>
      </c>
      <c r="B43" s="128">
        <v>77583.686790213527</v>
      </c>
      <c r="C43" s="128">
        <v>78745.109875184295</v>
      </c>
      <c r="D43" s="128">
        <v>79942.820960520083</v>
      </c>
      <c r="E43" s="128">
        <v>81628.625914338438</v>
      </c>
      <c r="F43" s="128">
        <v>83737.846937971684</v>
      </c>
      <c r="G43" s="128">
        <v>85876.553937514444</v>
      </c>
      <c r="H43" s="128">
        <v>88129.808053376546</v>
      </c>
      <c r="I43" s="128">
        <v>90457.948940848044</v>
      </c>
      <c r="J43" s="128">
        <v>92861.17205635077</v>
      </c>
      <c r="K43" s="128">
        <v>95339.56577915189</v>
      </c>
      <c r="L43" s="128">
        <v>97890.033196581018</v>
      </c>
      <c r="M43" s="128">
        <v>100516.25915156104</v>
      </c>
      <c r="N43" s="128">
        <v>103214.50871542492</v>
      </c>
      <c r="O43" s="128">
        <v>105930.1824242255</v>
      </c>
      <c r="P43" s="128">
        <v>108666.56761885431</v>
      </c>
      <c r="Q43" s="128">
        <v>111416.55158681468</v>
      </c>
      <c r="R43" s="128">
        <v>114175.19905933089</v>
      </c>
      <c r="S43" s="128">
        <v>116579.62380319125</v>
      </c>
      <c r="T43" s="128">
        <v>118565.77319472366</v>
      </c>
      <c r="U43" s="128">
        <v>120499.87963326903</v>
      </c>
      <c r="V43" s="128">
        <v>122646.25236206882</v>
      </c>
      <c r="W43" s="128">
        <v>124976.77044279374</v>
      </c>
      <c r="X43" s="128">
        <v>127239.54764920501</v>
      </c>
      <c r="Y43" s="128">
        <v>129450.33532124992</v>
      </c>
      <c r="Z43" s="128">
        <v>131654.06670892134</v>
      </c>
      <c r="AA43" s="128">
        <v>133854.8095213529</v>
      </c>
      <c r="AB43" s="128">
        <v>136051.36001615424</v>
      </c>
      <c r="AC43" s="128">
        <v>138211.96873585475</v>
      </c>
      <c r="AD43" s="128">
        <v>140321.64499627557</v>
      </c>
      <c r="AE43" s="128">
        <v>142394.00437419501</v>
      </c>
      <c r="AF43" s="129">
        <v>144420.26730089658</v>
      </c>
    </row>
    <row r="44" spans="1:32" x14ac:dyDescent="0.25">
      <c r="A44" s="124" t="s">
        <v>22</v>
      </c>
      <c r="B44" s="128">
        <v>435821.34498737002</v>
      </c>
      <c r="C44" s="128">
        <v>459212.43191318674</v>
      </c>
      <c r="D44" s="128">
        <v>471786.37569061934</v>
      </c>
      <c r="E44" s="128">
        <v>487925.21291196352</v>
      </c>
      <c r="F44" s="128">
        <v>509287.73754913075</v>
      </c>
      <c r="G44" s="128">
        <v>532326.19932411471</v>
      </c>
      <c r="H44" s="128">
        <v>556751.30143901077</v>
      </c>
      <c r="I44" s="128">
        <v>580644.37535559153</v>
      </c>
      <c r="J44" s="128">
        <v>600849.74341021059</v>
      </c>
      <c r="K44" s="128">
        <v>627869.54239839118</v>
      </c>
      <c r="L44" s="128">
        <v>656334.60446491023</v>
      </c>
      <c r="M44" s="128">
        <v>674270.66623237671</v>
      </c>
      <c r="N44" s="128">
        <v>686997.2960030078</v>
      </c>
      <c r="O44" s="128">
        <v>695548.25700280641</v>
      </c>
      <c r="P44" s="128">
        <v>704212.63294236816</v>
      </c>
      <c r="Q44" s="128">
        <v>713142.91372268135</v>
      </c>
      <c r="R44" s="128">
        <v>723509.55647689709</v>
      </c>
      <c r="S44" s="128">
        <v>735363.58646175358</v>
      </c>
      <c r="T44" s="128">
        <v>748012.08990457619</v>
      </c>
      <c r="U44" s="128">
        <v>761318.99640050845</v>
      </c>
      <c r="V44" s="128">
        <v>775773.51470923238</v>
      </c>
      <c r="W44" s="128">
        <v>791487.31415786664</v>
      </c>
      <c r="X44" s="128">
        <v>808202.05809219612</v>
      </c>
      <c r="Y44" s="128">
        <v>826314.93783599883</v>
      </c>
      <c r="Z44" s="128">
        <v>845626.5518285213</v>
      </c>
      <c r="AA44" s="128">
        <v>866230.61251610843</v>
      </c>
      <c r="AB44" s="128">
        <v>887831.68472519307</v>
      </c>
      <c r="AC44" s="128">
        <v>909549.98195404047</v>
      </c>
      <c r="AD44" s="128">
        <v>931233.36937171989</v>
      </c>
      <c r="AE44" s="128">
        <v>952890.50074179564</v>
      </c>
      <c r="AF44" s="129">
        <v>974554.90854613064</v>
      </c>
    </row>
    <row r="45" spans="1:32" x14ac:dyDescent="0.25">
      <c r="A45" s="124" t="s">
        <v>165</v>
      </c>
      <c r="B45" s="128">
        <v>536566.72699758399</v>
      </c>
      <c r="C45" s="128">
        <v>545429.53230804496</v>
      </c>
      <c r="D45" s="128">
        <v>553326.57594148954</v>
      </c>
      <c r="E45" s="128">
        <v>560467.32224988064</v>
      </c>
      <c r="F45" s="128">
        <v>567097.96019633813</v>
      </c>
      <c r="G45" s="128">
        <v>573324.60396439873</v>
      </c>
      <c r="H45" s="128">
        <v>578924.64559266251</v>
      </c>
      <c r="I45" s="128">
        <v>583989.8934194129</v>
      </c>
      <c r="J45" s="128">
        <v>588517.5878800191</v>
      </c>
      <c r="K45" s="128">
        <v>592505.55507026648</v>
      </c>
      <c r="L45" s="128">
        <v>595947.55515914084</v>
      </c>
      <c r="M45" s="128">
        <v>598754.84894674749</v>
      </c>
      <c r="N45" s="128">
        <v>601155.74835356232</v>
      </c>
      <c r="O45" s="128">
        <v>603273.68173896836</v>
      </c>
      <c r="P45" s="128">
        <v>605347.69898863358</v>
      </c>
      <c r="Q45" s="128">
        <v>607754.89180595858</v>
      </c>
      <c r="R45" s="128">
        <v>610571.25006804883</v>
      </c>
      <c r="S45" s="128">
        <v>613684.15781355859</v>
      </c>
      <c r="T45" s="128">
        <v>617204.54061434779</v>
      </c>
      <c r="U45" s="128">
        <v>621079.21699673787</v>
      </c>
      <c r="V45" s="128">
        <v>624860.1194307789</v>
      </c>
      <c r="W45" s="128">
        <v>628552.56897349388</v>
      </c>
      <c r="X45" s="128">
        <v>632745.84675357526</v>
      </c>
      <c r="Y45" s="128">
        <v>637560.62262103148</v>
      </c>
      <c r="Z45" s="128">
        <v>642364.19456318195</v>
      </c>
      <c r="AA45" s="128">
        <v>646623.58115982509</v>
      </c>
      <c r="AB45" s="128">
        <v>650229.48870136368</v>
      </c>
      <c r="AC45" s="128">
        <v>653269.25108017388</v>
      </c>
      <c r="AD45" s="128">
        <v>655692.70880669879</v>
      </c>
      <c r="AE45" s="128">
        <v>657561.19122112251</v>
      </c>
      <c r="AF45" s="129">
        <v>659056.22690620995</v>
      </c>
    </row>
    <row r="46" spans="1:32" x14ac:dyDescent="0.25">
      <c r="A46" s="124" t="s">
        <v>2014</v>
      </c>
      <c r="B46" s="128">
        <v>2438156.3560173023</v>
      </c>
      <c r="C46" s="128">
        <v>2480050.4094223753</v>
      </c>
      <c r="D46" s="128">
        <v>2521486.2984836679</v>
      </c>
      <c r="E46" s="128">
        <v>2569228.6972615095</v>
      </c>
      <c r="F46" s="128">
        <v>2621115.1877311114</v>
      </c>
      <c r="G46" s="128">
        <v>2674616.8515584478</v>
      </c>
      <c r="H46" s="128">
        <v>2731544.1713713952</v>
      </c>
      <c r="I46" s="128">
        <v>2789342.7872480932</v>
      </c>
      <c r="J46" s="128">
        <v>2847835.2292638416</v>
      </c>
      <c r="K46" s="128">
        <v>2906950.2414265638</v>
      </c>
      <c r="L46" s="128">
        <v>2967400.1271946793</v>
      </c>
      <c r="M46" s="128">
        <v>3020212.426607335</v>
      </c>
      <c r="N46" s="128">
        <v>3066028.7169727501</v>
      </c>
      <c r="O46" s="128">
        <v>3117035.0142387087</v>
      </c>
      <c r="P46" s="128">
        <v>3186283.9039878347</v>
      </c>
      <c r="Q46" s="128">
        <v>3273224.6290623802</v>
      </c>
      <c r="R46" s="128">
        <v>3363167.9551483444</v>
      </c>
      <c r="S46" s="128">
        <v>3454904.8219982088</v>
      </c>
      <c r="T46" s="128">
        <v>3549524.047584536</v>
      </c>
      <c r="U46" s="128">
        <v>3646612.9174869377</v>
      </c>
      <c r="V46" s="128">
        <v>3746100.0223935591</v>
      </c>
      <c r="W46" s="128">
        <v>3846344.0494241249</v>
      </c>
      <c r="X46" s="128">
        <v>3949578.8680731296</v>
      </c>
      <c r="Y46" s="128">
        <v>4056954.8969097994</v>
      </c>
      <c r="Z46" s="128">
        <v>4164739.3104331521</v>
      </c>
      <c r="AA46" s="128">
        <v>4272856.4141980531</v>
      </c>
      <c r="AB46" s="128">
        <v>4379342.289206163</v>
      </c>
      <c r="AC46" s="128">
        <v>4480924.7160027213</v>
      </c>
      <c r="AD46" s="128">
        <v>4578431.0762241613</v>
      </c>
      <c r="AE46" s="128">
        <v>4673505.9050108278</v>
      </c>
      <c r="AF46" s="129">
        <v>4767766.6686714701</v>
      </c>
    </row>
    <row r="47" spans="1:32" x14ac:dyDescent="0.25">
      <c r="A47" s="124" t="s">
        <v>166</v>
      </c>
      <c r="B47" s="128">
        <v>721055.96805843199</v>
      </c>
      <c r="C47" s="128">
        <v>709783.90280933806</v>
      </c>
      <c r="D47" s="128">
        <v>693875.03419584339</v>
      </c>
      <c r="E47" s="128">
        <v>678230.30539486592</v>
      </c>
      <c r="F47" s="128">
        <v>663124.18962884031</v>
      </c>
      <c r="G47" s="128">
        <v>648397.59665956092</v>
      </c>
      <c r="H47" s="128">
        <v>634455.99328992038</v>
      </c>
      <c r="I47" s="128">
        <v>621185.84980846022</v>
      </c>
      <c r="J47" s="128">
        <v>608064.98859650409</v>
      </c>
      <c r="K47" s="128">
        <v>594688.02879139013</v>
      </c>
      <c r="L47" s="128">
        <v>580825.26619851321</v>
      </c>
      <c r="M47" s="128">
        <v>566345.75268155755</v>
      </c>
      <c r="N47" s="128">
        <v>550621.7441907191</v>
      </c>
      <c r="O47" s="128">
        <v>534810.6342333334</v>
      </c>
      <c r="P47" s="128">
        <v>519330.17998999025</v>
      </c>
      <c r="Q47" s="128">
        <v>504212.05110882473</v>
      </c>
      <c r="R47" s="128">
        <v>490365.49318524759</v>
      </c>
      <c r="S47" s="128">
        <v>477521.58810094878</v>
      </c>
      <c r="T47" s="128">
        <v>465847.09336860682</v>
      </c>
      <c r="U47" s="128">
        <v>454959.34608017403</v>
      </c>
      <c r="V47" s="128">
        <v>445000.82861080836</v>
      </c>
      <c r="W47" s="128">
        <v>435506.70273004123</v>
      </c>
      <c r="X47" s="128">
        <v>426947.06821537914</v>
      </c>
      <c r="Y47" s="128">
        <v>419682.32639176521</v>
      </c>
      <c r="Z47" s="128">
        <v>412935.42274001206</v>
      </c>
      <c r="AA47" s="128">
        <v>406467.0088666649</v>
      </c>
      <c r="AB47" s="128">
        <v>399795.00565394911</v>
      </c>
      <c r="AC47" s="128">
        <v>392958.74088070175</v>
      </c>
      <c r="AD47" s="128">
        <v>386131.7500253084</v>
      </c>
      <c r="AE47" s="128">
        <v>379331.3234988465</v>
      </c>
      <c r="AF47" s="129">
        <v>372705.70169573522</v>
      </c>
    </row>
    <row r="48" spans="1:32" x14ac:dyDescent="0.25">
      <c r="A48" s="124" t="s">
        <v>167</v>
      </c>
      <c r="B48" s="128">
        <v>1973274.2200195245</v>
      </c>
      <c r="C48" s="128">
        <v>1966439.7504010135</v>
      </c>
      <c r="D48" s="128">
        <v>1957179.3083745942</v>
      </c>
      <c r="E48" s="128">
        <v>1947440.333064093</v>
      </c>
      <c r="F48" s="128">
        <v>1940074.3534882462</v>
      </c>
      <c r="G48" s="128">
        <v>1935652.3929577854</v>
      </c>
      <c r="H48" s="128">
        <v>1929782.8901405588</v>
      </c>
      <c r="I48" s="128">
        <v>1923216.4460882689</v>
      </c>
      <c r="J48" s="128">
        <v>1914755.2621006798</v>
      </c>
      <c r="K48" s="128">
        <v>1901636.3561604836</v>
      </c>
      <c r="L48" s="128">
        <v>1881997.6389969802</v>
      </c>
      <c r="M48" s="128">
        <v>1857397.7833233476</v>
      </c>
      <c r="N48" s="128">
        <v>1826703.4775518219</v>
      </c>
      <c r="O48" s="128">
        <v>1790665.9032247649</v>
      </c>
      <c r="P48" s="128">
        <v>1753078.2183398274</v>
      </c>
      <c r="Q48" s="128">
        <v>1715912.8172633466</v>
      </c>
      <c r="R48" s="128">
        <v>1680771.9741487689</v>
      </c>
      <c r="S48" s="128">
        <v>1646834.8791943444</v>
      </c>
      <c r="T48" s="128">
        <v>1613361.8945332952</v>
      </c>
      <c r="U48" s="128">
        <v>1579517.5593981536</v>
      </c>
      <c r="V48" s="128">
        <v>1545219.9241873852</v>
      </c>
      <c r="W48" s="128">
        <v>1509377.8696034236</v>
      </c>
      <c r="X48" s="128">
        <v>1473197.1576441226</v>
      </c>
      <c r="Y48" s="128">
        <v>1441589.5644401559</v>
      </c>
      <c r="Z48" s="128">
        <v>1416759.3116783032</v>
      </c>
      <c r="AA48" s="128">
        <v>1397149.9045686224</v>
      </c>
      <c r="AB48" s="128">
        <v>1381105.6576053784</v>
      </c>
      <c r="AC48" s="128">
        <v>1368175.422256676</v>
      </c>
      <c r="AD48" s="128">
        <v>1358753.4229605962</v>
      </c>
      <c r="AE48" s="128">
        <v>1351749.4971069002</v>
      </c>
      <c r="AF48" s="129">
        <v>1346239.5659057589</v>
      </c>
    </row>
    <row r="49" spans="1:32" x14ac:dyDescent="0.25">
      <c r="A49" s="124" t="s">
        <v>663</v>
      </c>
      <c r="B49" s="128">
        <v>19274.526290158537</v>
      </c>
      <c r="C49" s="128">
        <v>19023.115534276767</v>
      </c>
      <c r="D49" s="128">
        <v>19012.266618493803</v>
      </c>
      <c r="E49" s="128">
        <v>19150.659246748543</v>
      </c>
      <c r="F49" s="128">
        <v>19317.315185177875</v>
      </c>
      <c r="G49" s="128">
        <v>19480.442619157191</v>
      </c>
      <c r="H49" s="128">
        <v>19619.185597104552</v>
      </c>
      <c r="I49" s="128">
        <v>19708.742466616441</v>
      </c>
      <c r="J49" s="128">
        <v>19753.608604331195</v>
      </c>
      <c r="K49" s="128">
        <v>19773.242123320502</v>
      </c>
      <c r="L49" s="128">
        <v>19782.339746248945</v>
      </c>
      <c r="M49" s="128">
        <v>19814.448235130771</v>
      </c>
      <c r="N49" s="128">
        <v>19944.296524048415</v>
      </c>
      <c r="O49" s="128">
        <v>20016.199111932947</v>
      </c>
      <c r="P49" s="128">
        <v>20047.878660508046</v>
      </c>
      <c r="Q49" s="128">
        <v>20060.528312249578</v>
      </c>
      <c r="R49" s="128">
        <v>20008.412339864171</v>
      </c>
      <c r="S49" s="128">
        <v>19994.064871698134</v>
      </c>
      <c r="T49" s="128">
        <v>21813.765748122609</v>
      </c>
      <c r="U49" s="128">
        <v>22946.681154512815</v>
      </c>
      <c r="V49" s="128">
        <v>22331.542638388666</v>
      </c>
      <c r="W49" s="128">
        <v>22454.711174609038</v>
      </c>
      <c r="X49" s="128">
        <v>22557.458527986</v>
      </c>
      <c r="Y49" s="128">
        <v>22658.118792391131</v>
      </c>
      <c r="Z49" s="128">
        <v>22747.106912721414</v>
      </c>
      <c r="AA49" s="128">
        <v>22841.025106086283</v>
      </c>
      <c r="AB49" s="128">
        <v>22951.711627082845</v>
      </c>
      <c r="AC49" s="128">
        <v>23104.145822643644</v>
      </c>
      <c r="AD49" s="128">
        <v>23283.176626616547</v>
      </c>
      <c r="AE49" s="128">
        <v>23463.38140836727</v>
      </c>
      <c r="AF49" s="129">
        <v>23645.190740683644</v>
      </c>
    </row>
    <row r="50" spans="1:32" x14ac:dyDescent="0.25">
      <c r="A50" s="124" t="s">
        <v>168</v>
      </c>
      <c r="B50" s="128">
        <v>135814.03545701216</v>
      </c>
      <c r="C50" s="128">
        <v>138094.16110512536</v>
      </c>
      <c r="D50" s="128">
        <v>140416.22052503566</v>
      </c>
      <c r="E50" s="128">
        <v>142913.13494482968</v>
      </c>
      <c r="F50" s="128">
        <v>145540.96226708821</v>
      </c>
      <c r="G50" s="128">
        <v>148238.17959419204</v>
      </c>
      <c r="H50" s="128">
        <v>150837.33204968178</v>
      </c>
      <c r="I50" s="128">
        <v>153298.61653337453</v>
      </c>
      <c r="J50" s="128">
        <v>155629.54637540632</v>
      </c>
      <c r="K50" s="128">
        <v>157894.32246606174</v>
      </c>
      <c r="L50" s="128">
        <v>160188.41667707835</v>
      </c>
      <c r="M50" s="128">
        <v>160863.49472156636</v>
      </c>
      <c r="N50" s="128">
        <v>160490.25699629349</v>
      </c>
      <c r="O50" s="128">
        <v>160078.12757083421</v>
      </c>
      <c r="P50" s="128">
        <v>159757.65252054809</v>
      </c>
      <c r="Q50" s="128">
        <v>159575.34215259523</v>
      </c>
      <c r="R50" s="128">
        <v>160302.58693786667</v>
      </c>
      <c r="S50" s="128">
        <v>160730.02089888477</v>
      </c>
      <c r="T50" s="128">
        <v>160845.88160547076</v>
      </c>
      <c r="U50" s="128">
        <v>160663.67111380506</v>
      </c>
      <c r="V50" s="128">
        <v>160050.83392447938</v>
      </c>
      <c r="W50" s="128">
        <v>159708.34447101841</v>
      </c>
      <c r="X50" s="128">
        <v>159409.08791146887</v>
      </c>
      <c r="Y50" s="128">
        <v>159257.07740046384</v>
      </c>
      <c r="Z50" s="128">
        <v>158916.1355794807</v>
      </c>
      <c r="AA50" s="128">
        <v>158400.35616054066</v>
      </c>
      <c r="AB50" s="128">
        <v>158011.78959561294</v>
      </c>
      <c r="AC50" s="128">
        <v>157484.46184521378</v>
      </c>
      <c r="AD50" s="128">
        <v>156740.54915501931</v>
      </c>
      <c r="AE50" s="128">
        <v>155799.27162628542</v>
      </c>
      <c r="AF50" s="129">
        <v>154819.94402130059</v>
      </c>
    </row>
    <row r="51" spans="1:32" x14ac:dyDescent="0.25">
      <c r="A51" s="124" t="s">
        <v>664</v>
      </c>
      <c r="B51" s="128">
        <v>1467937.6537131066</v>
      </c>
      <c r="C51" s="128">
        <v>1444761.8132077493</v>
      </c>
      <c r="D51" s="128">
        <v>1423081.702830899</v>
      </c>
      <c r="E51" s="128">
        <v>1403403.5568654565</v>
      </c>
      <c r="F51" s="128">
        <v>1385222.5829576561</v>
      </c>
      <c r="G51" s="128">
        <v>1368294.0809641387</v>
      </c>
      <c r="H51" s="128">
        <v>1350260.2116531616</v>
      </c>
      <c r="I51" s="128">
        <v>1332643.9224608117</v>
      </c>
      <c r="J51" s="128">
        <v>1317315.1208922181</v>
      </c>
      <c r="K51" s="128">
        <v>1304557.0753561165</v>
      </c>
      <c r="L51" s="128">
        <v>1291828.2554048088</v>
      </c>
      <c r="M51" s="128">
        <v>1278020.1081436689</v>
      </c>
      <c r="N51" s="128">
        <v>1271855.4145234581</v>
      </c>
      <c r="O51" s="128">
        <v>1262471.9883413315</v>
      </c>
      <c r="P51" s="128">
        <v>1249353.039310371</v>
      </c>
      <c r="Q51" s="128">
        <v>1235577.7856727343</v>
      </c>
      <c r="R51" s="128">
        <v>1221184.6098324081</v>
      </c>
      <c r="S51" s="128">
        <v>1206967.5590996579</v>
      </c>
      <c r="T51" s="128">
        <v>1191672.8700709692</v>
      </c>
      <c r="U51" s="128">
        <v>1174395.4461808503</v>
      </c>
      <c r="V51" s="128">
        <v>1155274.1244157294</v>
      </c>
      <c r="W51" s="128">
        <v>1133602.8319893822</v>
      </c>
      <c r="X51" s="128">
        <v>1112225.89505742</v>
      </c>
      <c r="Y51" s="128">
        <v>1090899.2437406706</v>
      </c>
      <c r="Z51" s="128">
        <v>1067743.9912599502</v>
      </c>
      <c r="AA51" s="128">
        <v>1044127.2938000485</v>
      </c>
      <c r="AB51" s="128">
        <v>1020117.7124143182</v>
      </c>
      <c r="AC51" s="128">
        <v>997435.76007354935</v>
      </c>
      <c r="AD51" s="128">
        <v>976978.14600544446</v>
      </c>
      <c r="AE51" s="128">
        <v>959392.42887738103</v>
      </c>
      <c r="AF51" s="129">
        <v>946168.25243688282</v>
      </c>
    </row>
    <row r="52" spans="1:32" x14ac:dyDescent="0.25">
      <c r="A52" s="124" t="s">
        <v>170</v>
      </c>
      <c r="B52" s="128">
        <v>808709.47265092027</v>
      </c>
      <c r="C52" s="128">
        <v>803119.23029454227</v>
      </c>
      <c r="D52" s="128">
        <v>797456.27222148178</v>
      </c>
      <c r="E52" s="128">
        <v>791378.78327876586</v>
      </c>
      <c r="F52" s="128">
        <v>785477.7757171737</v>
      </c>
      <c r="G52" s="128">
        <v>779724.36026030057</v>
      </c>
      <c r="H52" s="128">
        <v>772310.69730556558</v>
      </c>
      <c r="I52" s="128">
        <v>765153.47394893877</v>
      </c>
      <c r="J52" s="128">
        <v>758764.43915252062</v>
      </c>
      <c r="K52" s="128">
        <v>753420.37654275296</v>
      </c>
      <c r="L52" s="128">
        <v>748952.11419072491</v>
      </c>
      <c r="M52" s="128">
        <v>742885.65801223181</v>
      </c>
      <c r="N52" s="128">
        <v>735967.38772196113</v>
      </c>
      <c r="O52" s="128">
        <v>728883.11602061952</v>
      </c>
      <c r="P52" s="128">
        <v>721843.6262105885</v>
      </c>
      <c r="Q52" s="128">
        <v>715318.31359671103</v>
      </c>
      <c r="R52" s="128">
        <v>708860.65719833737</v>
      </c>
      <c r="S52" s="128">
        <v>703241.47626896377</v>
      </c>
      <c r="T52" s="128">
        <v>699772.36867986119</v>
      </c>
      <c r="U52" s="128">
        <v>698027.20462205273</v>
      </c>
      <c r="V52" s="128">
        <v>696929.52985465387</v>
      </c>
      <c r="W52" s="128">
        <v>695176.17607792013</v>
      </c>
      <c r="X52" s="128">
        <v>693124.36762579053</v>
      </c>
      <c r="Y52" s="128">
        <v>691744.46874016128</v>
      </c>
      <c r="Z52" s="128">
        <v>691330.58627431712</v>
      </c>
      <c r="AA52" s="128">
        <v>691461.97159850923</v>
      </c>
      <c r="AB52" s="128">
        <v>691944.61839011277</v>
      </c>
      <c r="AC52" s="128">
        <v>693570.60313335794</v>
      </c>
      <c r="AD52" s="128">
        <v>695585.11927669763</v>
      </c>
      <c r="AE52" s="128">
        <v>697827.1501336979</v>
      </c>
      <c r="AF52" s="129">
        <v>700727.63322508719</v>
      </c>
    </row>
    <row r="53" spans="1:32" x14ac:dyDescent="0.25">
      <c r="A53" s="124" t="s">
        <v>24</v>
      </c>
      <c r="B53" s="128">
        <v>86589.540596924722</v>
      </c>
      <c r="C53" s="128">
        <v>90184.972477178861</v>
      </c>
      <c r="D53" s="128">
        <v>93660.614626640978</v>
      </c>
      <c r="E53" s="128">
        <v>95828.815583614924</v>
      </c>
      <c r="F53" s="128">
        <v>97078.393562356534</v>
      </c>
      <c r="G53" s="128">
        <v>98658.885964879883</v>
      </c>
      <c r="H53" s="128">
        <v>101521.58940658186</v>
      </c>
      <c r="I53" s="128">
        <v>105257.35031108712</v>
      </c>
      <c r="J53" s="128">
        <v>109320.62186960927</v>
      </c>
      <c r="K53" s="128">
        <v>113738.07855806632</v>
      </c>
      <c r="L53" s="128">
        <v>118301.99339446351</v>
      </c>
      <c r="M53" s="128">
        <v>122048.58121601421</v>
      </c>
      <c r="N53" s="128">
        <v>125751.06288472679</v>
      </c>
      <c r="O53" s="128">
        <v>129466.02267912423</v>
      </c>
      <c r="P53" s="128">
        <v>133271.11230307131</v>
      </c>
      <c r="Q53" s="128">
        <v>137170.22524760629</v>
      </c>
      <c r="R53" s="128">
        <v>141087.94260647055</v>
      </c>
      <c r="S53" s="128">
        <v>145018.23101420162</v>
      </c>
      <c r="T53" s="128">
        <v>148940.2420481061</v>
      </c>
      <c r="U53" s="128">
        <v>152794.99849318355</v>
      </c>
      <c r="V53" s="128">
        <v>156537.85963025264</v>
      </c>
      <c r="W53" s="128">
        <v>160098.84890521792</v>
      </c>
      <c r="X53" s="128">
        <v>163602.17843209155</v>
      </c>
      <c r="Y53" s="128">
        <v>166955.0947464894</v>
      </c>
      <c r="Z53" s="128">
        <v>169947.90595616086</v>
      </c>
      <c r="AA53" s="128">
        <v>172456.05971139102</v>
      </c>
      <c r="AB53" s="128">
        <v>174457.27999896801</v>
      </c>
      <c r="AC53" s="128">
        <v>176012.24493574753</v>
      </c>
      <c r="AD53" s="128">
        <v>177280.06634362813</v>
      </c>
      <c r="AE53" s="128">
        <v>178472.99538953791</v>
      </c>
      <c r="AF53" s="129">
        <v>179744.02900230096</v>
      </c>
    </row>
    <row r="54" spans="1:32" x14ac:dyDescent="0.25">
      <c r="A54" s="124" t="s">
        <v>172</v>
      </c>
      <c r="B54" s="128">
        <v>1244597.194792114</v>
      </c>
      <c r="C54" s="128">
        <v>1261067.6162857655</v>
      </c>
      <c r="D54" s="128">
        <v>1279509.2866221983</v>
      </c>
      <c r="E54" s="128">
        <v>1299911.0300596706</v>
      </c>
      <c r="F54" s="128">
        <v>1319229.5603733752</v>
      </c>
      <c r="G54" s="128">
        <v>1337315.6921419511</v>
      </c>
      <c r="H54" s="128">
        <v>1354446.1060625645</v>
      </c>
      <c r="I54" s="128">
        <v>1370180.6649420536</v>
      </c>
      <c r="J54" s="128">
        <v>1384854.6607042225</v>
      </c>
      <c r="K54" s="128">
        <v>1398861.8149578103</v>
      </c>
      <c r="L54" s="128">
        <v>1412268.8176715602</v>
      </c>
      <c r="M54" s="128">
        <v>1426935.6963518746</v>
      </c>
      <c r="N54" s="128">
        <v>1440951.4287968639</v>
      </c>
      <c r="O54" s="128">
        <v>1453919.3331396366</v>
      </c>
      <c r="P54" s="128">
        <v>1465698.8605661187</v>
      </c>
      <c r="Q54" s="128">
        <v>1477523.3232094846</v>
      </c>
      <c r="R54" s="128">
        <v>1489795.8935621136</v>
      </c>
      <c r="S54" s="128">
        <v>1501646.9641598959</v>
      </c>
      <c r="T54" s="128">
        <v>1513251.517761467</v>
      </c>
      <c r="U54" s="128">
        <v>1524365.9715942144</v>
      </c>
      <c r="V54" s="128">
        <v>1536219.2946479393</v>
      </c>
      <c r="W54" s="128">
        <v>1549053.2442296739</v>
      </c>
      <c r="X54" s="128">
        <v>1559348.5092546295</v>
      </c>
      <c r="Y54" s="128">
        <v>1567989.8036890915</v>
      </c>
      <c r="Z54" s="128">
        <v>1576998.8073193552</v>
      </c>
      <c r="AA54" s="128">
        <v>1586043.9011237947</v>
      </c>
      <c r="AB54" s="128">
        <v>1595112.9382329346</v>
      </c>
      <c r="AC54" s="128">
        <v>1603293.7065296466</v>
      </c>
      <c r="AD54" s="128">
        <v>1610653.5714252661</v>
      </c>
      <c r="AE54" s="128">
        <v>1617286.966342981</v>
      </c>
      <c r="AF54" s="129">
        <v>1623285.5207380597</v>
      </c>
    </row>
    <row r="55" spans="1:32" x14ac:dyDescent="0.25">
      <c r="A55" s="124" t="s">
        <v>25</v>
      </c>
      <c r="B55" s="128">
        <v>4078113.4950233763</v>
      </c>
      <c r="C55" s="128">
        <v>4138888.010867408</v>
      </c>
      <c r="D55" s="128">
        <v>4210047.257672064</v>
      </c>
      <c r="E55" s="128">
        <v>4269393.806215792</v>
      </c>
      <c r="F55" s="128">
        <v>4312647.5373072987</v>
      </c>
      <c r="G55" s="128">
        <v>4340868.4232407045</v>
      </c>
      <c r="H55" s="128">
        <v>4362129.1538077071</v>
      </c>
      <c r="I55" s="128">
        <v>4366558.5632266123</v>
      </c>
      <c r="J55" s="128">
        <v>4353897.4159781085</v>
      </c>
      <c r="K55" s="128">
        <v>4346240.8484988138</v>
      </c>
      <c r="L55" s="128">
        <v>4347472.3158534914</v>
      </c>
      <c r="M55" s="128">
        <v>4353885.7576066218</v>
      </c>
      <c r="N55" s="128">
        <v>4363305.388006188</v>
      </c>
      <c r="O55" s="128">
        <v>4365423.217673392</v>
      </c>
      <c r="P55" s="128">
        <v>4359549.8729435019</v>
      </c>
      <c r="Q55" s="128">
        <v>4344116.1164694093</v>
      </c>
      <c r="R55" s="128">
        <v>4317084.7256464101</v>
      </c>
      <c r="S55" s="128">
        <v>4273573.7173396815</v>
      </c>
      <c r="T55" s="128">
        <v>4220490.4001152404</v>
      </c>
      <c r="U55" s="128">
        <v>4168580.6552844653</v>
      </c>
      <c r="V55" s="128">
        <v>4117571.5102647138</v>
      </c>
      <c r="W55" s="128">
        <v>4069086.1432071789</v>
      </c>
      <c r="X55" s="128">
        <v>4021195.1500514746</v>
      </c>
      <c r="Y55" s="128">
        <v>3983602.9442841797</v>
      </c>
      <c r="Z55" s="128">
        <v>3963100.796193935</v>
      </c>
      <c r="AA55" s="128">
        <v>3947581.286495083</v>
      </c>
      <c r="AB55" s="128">
        <v>3937964.5179573717</v>
      </c>
      <c r="AC55" s="128">
        <v>3938233.3726032027</v>
      </c>
      <c r="AD55" s="128">
        <v>3941638.0997904921</v>
      </c>
      <c r="AE55" s="128">
        <v>3941516.5069652777</v>
      </c>
      <c r="AF55" s="129">
        <v>3934720.5932976035</v>
      </c>
    </row>
    <row r="56" spans="1:32" x14ac:dyDescent="0.25">
      <c r="A56" s="124" t="s">
        <v>26</v>
      </c>
      <c r="B56" s="128">
        <v>7030639.1717703296</v>
      </c>
      <c r="C56" s="128">
        <v>7231804.3112076474</v>
      </c>
      <c r="D56" s="128">
        <v>7445943.9242111864</v>
      </c>
      <c r="E56" s="128">
        <v>7649351.4638982173</v>
      </c>
      <c r="F56" s="128">
        <v>7861816.3390346402</v>
      </c>
      <c r="G56" s="128">
        <v>8097698.1492134053</v>
      </c>
      <c r="H56" s="128">
        <v>8347085.8094751937</v>
      </c>
      <c r="I56" s="128">
        <v>8603284.5956663117</v>
      </c>
      <c r="J56" s="128">
        <v>8858800.6328846049</v>
      </c>
      <c r="K56" s="128">
        <v>9117396.3671635445</v>
      </c>
      <c r="L56" s="128">
        <v>9402218.0870861858</v>
      </c>
      <c r="M56" s="128">
        <v>9718368.8610417154</v>
      </c>
      <c r="N56" s="128">
        <v>10030803.226647248</v>
      </c>
      <c r="O56" s="128">
        <v>10350494.864309732</v>
      </c>
      <c r="P56" s="128">
        <v>10681731.509813406</v>
      </c>
      <c r="Q56" s="128">
        <v>11008995.263372265</v>
      </c>
      <c r="R56" s="128">
        <v>11360056.324821925</v>
      </c>
      <c r="S56" s="128">
        <v>11711656.913495177</v>
      </c>
      <c r="T56" s="128">
        <v>12031580.529809428</v>
      </c>
      <c r="U56" s="128">
        <v>12339255.399384392</v>
      </c>
      <c r="V56" s="128">
        <v>12670653.072254809</v>
      </c>
      <c r="W56" s="128">
        <v>13023859.434199737</v>
      </c>
      <c r="X56" s="128">
        <v>13388830.342050981</v>
      </c>
      <c r="Y56" s="128">
        <v>13775378.980987892</v>
      </c>
      <c r="Z56" s="128">
        <v>14179373.829641098</v>
      </c>
      <c r="AA56" s="128">
        <v>14599549.464094961</v>
      </c>
      <c r="AB56" s="128">
        <v>15036462.510578152</v>
      </c>
      <c r="AC56" s="128">
        <v>15490688.329943566</v>
      </c>
      <c r="AD56" s="128">
        <v>15957527.337699618</v>
      </c>
      <c r="AE56" s="128">
        <v>16434810.504924053</v>
      </c>
      <c r="AF56" s="129">
        <v>16922337.99953606</v>
      </c>
    </row>
    <row r="57" spans="1:32" x14ac:dyDescent="0.25">
      <c r="A57" s="124" t="s">
        <v>173</v>
      </c>
      <c r="B57" s="128">
        <v>1877526.2122181416</v>
      </c>
      <c r="C57" s="128">
        <v>1911810.5940772444</v>
      </c>
      <c r="D57" s="128">
        <v>1947041.3216087422</v>
      </c>
      <c r="E57" s="128">
        <v>1983006.3123304148</v>
      </c>
      <c r="F57" s="128">
        <v>2019345.1788414465</v>
      </c>
      <c r="G57" s="128">
        <v>2056027.4091141222</v>
      </c>
      <c r="H57" s="128">
        <v>2094302.7227710458</v>
      </c>
      <c r="I57" s="128">
        <v>2133089.7939200001</v>
      </c>
      <c r="J57" s="128">
        <v>2171817.3787194192</v>
      </c>
      <c r="K57" s="128">
        <v>2210002.8383956724</v>
      </c>
      <c r="L57" s="128">
        <v>2247268.6588716046</v>
      </c>
      <c r="M57" s="128">
        <v>2283063.6690044254</v>
      </c>
      <c r="N57" s="128">
        <v>2317473.6036685868</v>
      </c>
      <c r="O57" s="128">
        <v>2351065.1391038084</v>
      </c>
      <c r="P57" s="128">
        <v>2385106.6817420297</v>
      </c>
      <c r="Q57" s="128">
        <v>2420779.1720494255</v>
      </c>
      <c r="R57" s="128">
        <v>2458006.6398879359</v>
      </c>
      <c r="S57" s="128">
        <v>2498905.408236709</v>
      </c>
      <c r="T57" s="128">
        <v>2554050.2412579209</v>
      </c>
      <c r="U57" s="128">
        <v>2611144.3944949899</v>
      </c>
      <c r="V57" s="128">
        <v>2653559.4478348112</v>
      </c>
      <c r="W57" s="128">
        <v>2691020.97253442</v>
      </c>
      <c r="X57" s="128">
        <v>2721495.1004550466</v>
      </c>
      <c r="Y57" s="128">
        <v>2744450.6840025596</v>
      </c>
      <c r="Z57" s="128">
        <v>2766069.689540525</v>
      </c>
      <c r="AA57" s="128">
        <v>2786710.2882383266</v>
      </c>
      <c r="AB57" s="128">
        <v>2807044.1137316027</v>
      </c>
      <c r="AC57" s="128">
        <v>2825800.3293454871</v>
      </c>
      <c r="AD57" s="128">
        <v>2841157.5082059246</v>
      </c>
      <c r="AE57" s="128">
        <v>2852658.7798984651</v>
      </c>
      <c r="AF57" s="129">
        <v>2860837.0620265845</v>
      </c>
    </row>
    <row r="58" spans="1:32" x14ac:dyDescent="0.25">
      <c r="A58" s="124" t="s">
        <v>27</v>
      </c>
      <c r="B58" s="128">
        <v>11155990.984452588</v>
      </c>
      <c r="C58" s="128">
        <v>11522162.69988833</v>
      </c>
      <c r="D58" s="128">
        <v>11904437.48632486</v>
      </c>
      <c r="E58" s="128">
        <v>12300149.164233865</v>
      </c>
      <c r="F58" s="128">
        <v>12702891.099768093</v>
      </c>
      <c r="G58" s="128">
        <v>13111095.251281686</v>
      </c>
      <c r="H58" s="128">
        <v>13524580.122035749</v>
      </c>
      <c r="I58" s="128">
        <v>13954318.413925078</v>
      </c>
      <c r="J58" s="128">
        <v>14393910.830852034</v>
      </c>
      <c r="K58" s="128">
        <v>14826635.729403755</v>
      </c>
      <c r="L58" s="128">
        <v>15252100.022512509</v>
      </c>
      <c r="M58" s="128">
        <v>15689540.080745922</v>
      </c>
      <c r="N58" s="128">
        <v>16121843.757481428</v>
      </c>
      <c r="O58" s="128">
        <v>16561004.18261826</v>
      </c>
      <c r="P58" s="128">
        <v>17002857.030136619</v>
      </c>
      <c r="Q58" s="128">
        <v>17405192.179543775</v>
      </c>
      <c r="R58" s="128">
        <v>17799874.653116893</v>
      </c>
      <c r="S58" s="128">
        <v>18194889.709470354</v>
      </c>
      <c r="T58" s="128">
        <v>18573817.494475778</v>
      </c>
      <c r="U58" s="128">
        <v>18936110.107909907</v>
      </c>
      <c r="V58" s="128">
        <v>19291265.920477349</v>
      </c>
      <c r="W58" s="128">
        <v>19639028.190283727</v>
      </c>
      <c r="X58" s="128">
        <v>19974298.382618383</v>
      </c>
      <c r="Y58" s="128">
        <v>20292801.816371877</v>
      </c>
      <c r="Z58" s="128">
        <v>20575770.646345828</v>
      </c>
      <c r="AA58" s="128">
        <v>20825258.7036217</v>
      </c>
      <c r="AB58" s="128">
        <v>21045316.500774112</v>
      </c>
      <c r="AC58" s="128">
        <v>21231130.852233924</v>
      </c>
      <c r="AD58" s="128">
        <v>21405336.459121104</v>
      </c>
      <c r="AE58" s="128">
        <v>21586470.266712252</v>
      </c>
      <c r="AF58" s="129">
        <v>21783779.984288871</v>
      </c>
    </row>
    <row r="59" spans="1:32" x14ac:dyDescent="0.25">
      <c r="A59" s="124" t="s">
        <v>174</v>
      </c>
      <c r="B59" s="128">
        <v>864360.71489825216</v>
      </c>
      <c r="C59" s="128">
        <v>868531.33940742619</v>
      </c>
      <c r="D59" s="128">
        <v>871708.73712828872</v>
      </c>
      <c r="E59" s="128">
        <v>873984.43120881275</v>
      </c>
      <c r="F59" s="128">
        <v>875173.4494737949</v>
      </c>
      <c r="G59" s="128">
        <v>875045.54494116583</v>
      </c>
      <c r="H59" s="128">
        <v>874243.85198417387</v>
      </c>
      <c r="I59" s="128">
        <v>875883.65905783314</v>
      </c>
      <c r="J59" s="128">
        <v>880659.88388911996</v>
      </c>
      <c r="K59" s="128">
        <v>885994.74701022182</v>
      </c>
      <c r="L59" s="128">
        <v>891788.56259262713</v>
      </c>
      <c r="M59" s="128">
        <v>898078.29564944282</v>
      </c>
      <c r="N59" s="128">
        <v>904535.76192619838</v>
      </c>
      <c r="O59" s="128">
        <v>911393.63817567844</v>
      </c>
      <c r="P59" s="128">
        <v>918392.12441078364</v>
      </c>
      <c r="Q59" s="128">
        <v>924573.90361905273</v>
      </c>
      <c r="R59" s="128">
        <v>930409.1554515193</v>
      </c>
      <c r="S59" s="128">
        <v>935300.39438022464</v>
      </c>
      <c r="T59" s="128">
        <v>938167.24440288323</v>
      </c>
      <c r="U59" s="128">
        <v>939181.55603893346</v>
      </c>
      <c r="V59" s="128">
        <v>941809.84863744827</v>
      </c>
      <c r="W59" s="128">
        <v>946440.27636815747</v>
      </c>
      <c r="X59" s="128">
        <v>950860.91441670572</v>
      </c>
      <c r="Y59" s="128">
        <v>955435.68889401294</v>
      </c>
      <c r="Z59" s="128">
        <v>959447.50013032509</v>
      </c>
      <c r="AA59" s="128">
        <v>962908.764305991</v>
      </c>
      <c r="AB59" s="128">
        <v>965985.63012035552</v>
      </c>
      <c r="AC59" s="128">
        <v>968505.41282192711</v>
      </c>
      <c r="AD59" s="128">
        <v>970389.90354982484</v>
      </c>
      <c r="AE59" s="128">
        <v>971865.64801838342</v>
      </c>
      <c r="AF59" s="129">
        <v>972917.17661048321</v>
      </c>
    </row>
    <row r="60" spans="1:32" x14ac:dyDescent="0.25">
      <c r="A60" s="124" t="s">
        <v>175</v>
      </c>
      <c r="B60" s="128">
        <v>95291.589491496357</v>
      </c>
      <c r="C60" s="128">
        <v>99241.823497052261</v>
      </c>
      <c r="D60" s="128">
        <v>103846.81397130618</v>
      </c>
      <c r="E60" s="128">
        <v>109090.85348315157</v>
      </c>
      <c r="F60" s="128">
        <v>114909.22088441173</v>
      </c>
      <c r="G60" s="128">
        <v>121214.96498668868</v>
      </c>
      <c r="H60" s="128">
        <v>127313.11614243197</v>
      </c>
      <c r="I60" s="128">
        <v>133920.73026638853</v>
      </c>
      <c r="J60" s="128">
        <v>141017.49475450243</v>
      </c>
      <c r="K60" s="128">
        <v>148437.38451540051</v>
      </c>
      <c r="L60" s="128">
        <v>155908.20672948629</v>
      </c>
      <c r="M60" s="128">
        <v>162217.4231945427</v>
      </c>
      <c r="N60" s="128">
        <v>168430.31176143815</v>
      </c>
      <c r="O60" s="128">
        <v>174730.60085013413</v>
      </c>
      <c r="P60" s="128">
        <v>181166.36875110093</v>
      </c>
      <c r="Q60" s="128">
        <v>187636.4268419187</v>
      </c>
      <c r="R60" s="128">
        <v>192466.32579395178</v>
      </c>
      <c r="S60" s="128">
        <v>197405.81476118221</v>
      </c>
      <c r="T60" s="128">
        <v>202818.07889444346</v>
      </c>
      <c r="U60" s="128">
        <v>208926.05061809995</v>
      </c>
      <c r="V60" s="128">
        <v>214647.41135310341</v>
      </c>
      <c r="W60" s="128">
        <v>219195.41807854749</v>
      </c>
      <c r="X60" s="128">
        <v>224740.04816728394</v>
      </c>
      <c r="Y60" s="128">
        <v>230739.63372083532</v>
      </c>
      <c r="Z60" s="128">
        <v>237394.68365610199</v>
      </c>
      <c r="AA60" s="128">
        <v>244633.50252580619</v>
      </c>
      <c r="AB60" s="128">
        <v>251322.44207971488</v>
      </c>
      <c r="AC60" s="128">
        <v>257715.60498395123</v>
      </c>
      <c r="AD60" s="128">
        <v>264316.91667547473</v>
      </c>
      <c r="AE60" s="128">
        <v>271063.01959474821</v>
      </c>
      <c r="AF60" s="129">
        <v>277881.33986949216</v>
      </c>
    </row>
    <row r="61" spans="1:32" x14ac:dyDescent="0.25">
      <c r="A61" s="124" t="s">
        <v>28</v>
      </c>
      <c r="B61" s="128">
        <v>337433.65660659847</v>
      </c>
      <c r="C61" s="128">
        <v>348070.22441429703</v>
      </c>
      <c r="D61" s="128">
        <v>363081.37349247339</v>
      </c>
      <c r="E61" s="128">
        <v>383521.94621306693</v>
      </c>
      <c r="F61" s="128">
        <v>405311.94765826431</v>
      </c>
      <c r="G61" s="128">
        <v>417369.95488624496</v>
      </c>
      <c r="H61" s="128">
        <v>423642.34722259647</v>
      </c>
      <c r="I61" s="128">
        <v>430059.03626763559</v>
      </c>
      <c r="J61" s="128">
        <v>445623.44193348917</v>
      </c>
      <c r="K61" s="128">
        <v>461173.36986394046</v>
      </c>
      <c r="L61" s="128">
        <v>473352.29815602867</v>
      </c>
      <c r="M61" s="128">
        <v>486089.65509827022</v>
      </c>
      <c r="N61" s="128">
        <v>495606.52365241578</v>
      </c>
      <c r="O61" s="128">
        <v>503495.11250768561</v>
      </c>
      <c r="P61" s="128">
        <v>505135.13329140557</v>
      </c>
      <c r="Q61" s="128">
        <v>502272.40246444085</v>
      </c>
      <c r="R61" s="128">
        <v>502613.90024441824</v>
      </c>
      <c r="S61" s="128">
        <v>504445.10737515392</v>
      </c>
      <c r="T61" s="128">
        <v>510521.51048748725</v>
      </c>
      <c r="U61" s="128">
        <v>517682.38025241107</v>
      </c>
      <c r="V61" s="128">
        <v>525432.99033768114</v>
      </c>
      <c r="W61" s="128">
        <v>535192.55144434411</v>
      </c>
      <c r="X61" s="128">
        <v>543304.68842539703</v>
      </c>
      <c r="Y61" s="128">
        <v>550521.41662889556</v>
      </c>
      <c r="Z61" s="128">
        <v>558723.85133707314</v>
      </c>
      <c r="AA61" s="128">
        <v>568385.24050467857</v>
      </c>
      <c r="AB61" s="128">
        <v>579616.63097936311</v>
      </c>
      <c r="AC61" s="128">
        <v>592143.36368244269</v>
      </c>
      <c r="AD61" s="128">
        <v>605374.68182261148</v>
      </c>
      <c r="AE61" s="128">
        <v>618624.54238884768</v>
      </c>
      <c r="AF61" s="129">
        <v>631304.47247679043</v>
      </c>
    </row>
    <row r="62" spans="1:32" x14ac:dyDescent="0.25">
      <c r="A62" s="124" t="s">
        <v>176</v>
      </c>
      <c r="B62" s="128">
        <v>198337.62520877403</v>
      </c>
      <c r="C62" s="128">
        <v>194682.51662703106</v>
      </c>
      <c r="D62" s="128">
        <v>191022.07427822761</v>
      </c>
      <c r="E62" s="128">
        <v>187651.81994553262</v>
      </c>
      <c r="F62" s="128">
        <v>184377.59045754548</v>
      </c>
      <c r="G62" s="128">
        <v>180816.68653880164</v>
      </c>
      <c r="H62" s="128">
        <v>176994.86519342213</v>
      </c>
      <c r="I62" s="128">
        <v>173521.95332857734</v>
      </c>
      <c r="J62" s="128">
        <v>170221.78122619668</v>
      </c>
      <c r="K62" s="128">
        <v>166727.01723098085</v>
      </c>
      <c r="L62" s="128">
        <v>162997.50567625763</v>
      </c>
      <c r="M62" s="128">
        <v>159217.88036508454</v>
      </c>
      <c r="N62" s="128">
        <v>155620.80808377199</v>
      </c>
      <c r="O62" s="128">
        <v>152494.02441859234</v>
      </c>
      <c r="P62" s="128">
        <v>149740.78247646519</v>
      </c>
      <c r="Q62" s="128">
        <v>147762.32730696097</v>
      </c>
      <c r="R62" s="128">
        <v>145811.32135106402</v>
      </c>
      <c r="S62" s="128">
        <v>143844.99970889851</v>
      </c>
      <c r="T62" s="128">
        <v>142307.85101310775</v>
      </c>
      <c r="U62" s="128">
        <v>140702.06416234979</v>
      </c>
      <c r="V62" s="128">
        <v>138967.22948693077</v>
      </c>
      <c r="W62" s="128">
        <v>137226.77088832067</v>
      </c>
      <c r="X62" s="128">
        <v>135163.10375518675</v>
      </c>
      <c r="Y62" s="128">
        <v>132924.93375090312</v>
      </c>
      <c r="Z62" s="128">
        <v>130811.64618389808</v>
      </c>
      <c r="AA62" s="128">
        <v>128862.81580339491</v>
      </c>
      <c r="AB62" s="128">
        <v>126996.216322231</v>
      </c>
      <c r="AC62" s="128">
        <v>125154.98304977265</v>
      </c>
      <c r="AD62" s="128">
        <v>123522.13201485036</v>
      </c>
      <c r="AE62" s="128">
        <v>122091.48355022764</v>
      </c>
      <c r="AF62" s="129">
        <v>120836.52659690272</v>
      </c>
    </row>
    <row r="63" spans="1:32" x14ac:dyDescent="0.25">
      <c r="A63" s="124" t="s">
        <v>29</v>
      </c>
      <c r="B63" s="128">
        <v>9886973.0868401993</v>
      </c>
      <c r="C63" s="128">
        <v>10111695.84792841</v>
      </c>
      <c r="D63" s="128">
        <v>10368109.378196239</v>
      </c>
      <c r="E63" s="128">
        <v>10643770.990551956</v>
      </c>
      <c r="F63" s="128">
        <v>10924139.930091111</v>
      </c>
      <c r="G63" s="128">
        <v>11205146.768156366</v>
      </c>
      <c r="H63" s="128">
        <v>11497232.582242046</v>
      </c>
      <c r="I63" s="128">
        <v>11799554.561876912</v>
      </c>
      <c r="J63" s="128">
        <v>12100103.450954778</v>
      </c>
      <c r="K63" s="128">
        <v>12403357.418254387</v>
      </c>
      <c r="L63" s="128">
        <v>12724007.010803176</v>
      </c>
      <c r="M63" s="128">
        <v>13070740.582953503</v>
      </c>
      <c r="N63" s="128">
        <v>13592594.664502937</v>
      </c>
      <c r="O63" s="128">
        <v>14133443.918251162</v>
      </c>
      <c r="P63" s="128">
        <v>14701195.308803577</v>
      </c>
      <c r="Q63" s="128">
        <v>15298416.986584701</v>
      </c>
      <c r="R63" s="128">
        <v>15928415.728091728</v>
      </c>
      <c r="S63" s="128">
        <v>16583716.614283327</v>
      </c>
      <c r="T63" s="128">
        <v>17238512.334618442</v>
      </c>
      <c r="U63" s="128">
        <v>17894515.098477647</v>
      </c>
      <c r="V63" s="128">
        <v>18567463.05531225</v>
      </c>
      <c r="W63" s="128">
        <v>19251645.614272855</v>
      </c>
      <c r="X63" s="128">
        <v>19941672.881034523</v>
      </c>
      <c r="Y63" s="128">
        <v>20634136.805698231</v>
      </c>
      <c r="Z63" s="128">
        <v>21312135.9870473</v>
      </c>
      <c r="AA63" s="128">
        <v>21966979.67530204</v>
      </c>
      <c r="AB63" s="128">
        <v>22599748.959679607</v>
      </c>
      <c r="AC63" s="128">
        <v>23207109.695294023</v>
      </c>
      <c r="AD63" s="128">
        <v>23784737.565788094</v>
      </c>
      <c r="AE63" s="128">
        <v>24340039.301369511</v>
      </c>
      <c r="AF63" s="129">
        <v>24883687.897230379</v>
      </c>
    </row>
    <row r="64" spans="1:32" x14ac:dyDescent="0.25">
      <c r="A64" s="124" t="s">
        <v>179</v>
      </c>
      <c r="B64" s="128">
        <v>130162.31840280532</v>
      </c>
      <c r="C64" s="128">
        <v>132649.26621483566</v>
      </c>
      <c r="D64" s="128">
        <v>135108.80580795917</v>
      </c>
      <c r="E64" s="128">
        <v>137498.82347240215</v>
      </c>
      <c r="F64" s="128">
        <v>139707.1534865766</v>
      </c>
      <c r="G64" s="128">
        <v>141704.96774250822</v>
      </c>
      <c r="H64" s="128">
        <v>142342.30715705012</v>
      </c>
      <c r="I64" s="128">
        <v>142604.64992832975</v>
      </c>
      <c r="J64" s="128">
        <v>142468.2406799481</v>
      </c>
      <c r="K64" s="128">
        <v>142122.2979419991</v>
      </c>
      <c r="L64" s="128">
        <v>141726.21662267874</v>
      </c>
      <c r="M64" s="128">
        <v>141725.68641731437</v>
      </c>
      <c r="N64" s="128">
        <v>141609.14797646267</v>
      </c>
      <c r="O64" s="128">
        <v>141325.63273479242</v>
      </c>
      <c r="P64" s="128">
        <v>140990.12677927469</v>
      </c>
      <c r="Q64" s="128">
        <v>140642.89236935214</v>
      </c>
      <c r="R64" s="128">
        <v>140327.48736145094</v>
      </c>
      <c r="S64" s="128">
        <v>140044.0202485038</v>
      </c>
      <c r="T64" s="128">
        <v>139734.0341854445</v>
      </c>
      <c r="U64" s="128">
        <v>139318.01131943424</v>
      </c>
      <c r="V64" s="128">
        <v>139250.11114920379</v>
      </c>
      <c r="W64" s="128">
        <v>139937.85704258058</v>
      </c>
      <c r="X64" s="128">
        <v>140850.96007496648</v>
      </c>
      <c r="Y64" s="128">
        <v>141947.83519201519</v>
      </c>
      <c r="Z64" s="128">
        <v>142968.78043338226</v>
      </c>
      <c r="AA64" s="128">
        <v>143787.31021355069</v>
      </c>
      <c r="AB64" s="128">
        <v>144371.4202105155</v>
      </c>
      <c r="AC64" s="128">
        <v>144796.36755884232</v>
      </c>
      <c r="AD64" s="128">
        <v>145117.09207978853</v>
      </c>
      <c r="AE64" s="128">
        <v>145332.77413916515</v>
      </c>
      <c r="AF64" s="129">
        <v>145447.25345183845</v>
      </c>
    </row>
    <row r="65" spans="1:32" x14ac:dyDescent="0.25">
      <c r="A65" s="124" t="s">
        <v>180</v>
      </c>
      <c r="B65" s="128">
        <v>743953.40013530653</v>
      </c>
      <c r="C65" s="128">
        <v>734746.93505057145</v>
      </c>
      <c r="D65" s="128">
        <v>726250.92156139354</v>
      </c>
      <c r="E65" s="128">
        <v>718679.94651601219</v>
      </c>
      <c r="F65" s="128">
        <v>711912.67417655152</v>
      </c>
      <c r="G65" s="128">
        <v>705350.97836396284</v>
      </c>
      <c r="H65" s="128">
        <v>699067.6516870273</v>
      </c>
      <c r="I65" s="128">
        <v>693388.60267201345</v>
      </c>
      <c r="J65" s="128">
        <v>688868.02675568219</v>
      </c>
      <c r="K65" s="128">
        <v>685058.82685974357</v>
      </c>
      <c r="L65" s="128">
        <v>681436.38649392989</v>
      </c>
      <c r="M65" s="128">
        <v>677474.10156541178</v>
      </c>
      <c r="N65" s="128">
        <v>674506.31977256841</v>
      </c>
      <c r="O65" s="128">
        <v>671843.59342047537</v>
      </c>
      <c r="P65" s="128">
        <v>669198.23920291802</v>
      </c>
      <c r="Q65" s="128">
        <v>666351.46985878481</v>
      </c>
      <c r="R65" s="128">
        <v>662887.39414373925</v>
      </c>
      <c r="S65" s="128">
        <v>659438.90111840959</v>
      </c>
      <c r="T65" s="128">
        <v>656199.10811295325</v>
      </c>
      <c r="U65" s="128">
        <v>654617.43677098467</v>
      </c>
      <c r="V65" s="128">
        <v>654653.13777629088</v>
      </c>
      <c r="W65" s="128">
        <v>655179.5532451811</v>
      </c>
      <c r="X65" s="128">
        <v>656434.13601474161</v>
      </c>
      <c r="Y65" s="128">
        <v>658277.86967577995</v>
      </c>
      <c r="Z65" s="128">
        <v>659833.69975568703</v>
      </c>
      <c r="AA65" s="128">
        <v>660415.7456965663</v>
      </c>
      <c r="AB65" s="128">
        <v>659954.57676608884</v>
      </c>
      <c r="AC65" s="128">
        <v>659123.21673810412</v>
      </c>
      <c r="AD65" s="128">
        <v>658356.14117369242</v>
      </c>
      <c r="AE65" s="128">
        <v>657839.05362404173</v>
      </c>
      <c r="AF65" s="129">
        <v>657428.80891027697</v>
      </c>
    </row>
    <row r="66" spans="1:32" x14ac:dyDescent="0.25">
      <c r="A66" s="124" t="s">
        <v>181</v>
      </c>
      <c r="B66" s="128">
        <v>8845186.9661767948</v>
      </c>
      <c r="C66" s="128">
        <v>8771853.3555016853</v>
      </c>
      <c r="D66" s="128">
        <v>8704256.6179784294</v>
      </c>
      <c r="E66" s="128">
        <v>8641356.476107711</v>
      </c>
      <c r="F66" s="128">
        <v>8584351.3825020045</v>
      </c>
      <c r="G66" s="128">
        <v>8529295.4290760756</v>
      </c>
      <c r="H66" s="128">
        <v>8482312.3323725387</v>
      </c>
      <c r="I66" s="128">
        <v>8435536.8008519337</v>
      </c>
      <c r="J66" s="128">
        <v>8382271.9951910647</v>
      </c>
      <c r="K66" s="128">
        <v>8318882.1679492602</v>
      </c>
      <c r="L66" s="128">
        <v>8249857.8536898475</v>
      </c>
      <c r="M66" s="128">
        <v>8182700.0958699705</v>
      </c>
      <c r="N66" s="128">
        <v>8104852.0617909105</v>
      </c>
      <c r="O66" s="128">
        <v>8023319.1557589173</v>
      </c>
      <c r="P66" s="128">
        <v>7939277.0717493668</v>
      </c>
      <c r="Q66" s="128">
        <v>7858844.1424764059</v>
      </c>
      <c r="R66" s="128">
        <v>7786873.7892679721</v>
      </c>
      <c r="S66" s="128">
        <v>7718333.327094879</v>
      </c>
      <c r="T66" s="128">
        <v>7652429.99005624</v>
      </c>
      <c r="U66" s="128">
        <v>7587411.4299070826</v>
      </c>
      <c r="V66" s="128">
        <v>7521798.7523543984</v>
      </c>
      <c r="W66" s="128">
        <v>7448557.9294648869</v>
      </c>
      <c r="X66" s="128">
        <v>7379416.649017185</v>
      </c>
      <c r="Y66" s="128">
        <v>7321382.9605302056</v>
      </c>
      <c r="Z66" s="128">
        <v>7278241.7839441216</v>
      </c>
      <c r="AA66" s="128">
        <v>7252797.8095352519</v>
      </c>
      <c r="AB66" s="128">
        <v>7241060.212113101</v>
      </c>
      <c r="AC66" s="128">
        <v>7233650.3233563974</v>
      </c>
      <c r="AD66" s="128">
        <v>7227936.5615534233</v>
      </c>
      <c r="AE66" s="128">
        <v>7224569.0693520848</v>
      </c>
      <c r="AF66" s="129">
        <v>7216792.4008844392</v>
      </c>
    </row>
    <row r="67" spans="1:32" x14ac:dyDescent="0.25">
      <c r="A67" s="124" t="s">
        <v>182</v>
      </c>
      <c r="B67" s="128">
        <v>18263.083339442826</v>
      </c>
      <c r="C67" s="128">
        <v>18758.290655783792</v>
      </c>
      <c r="D67" s="128">
        <v>19276.282188053112</v>
      </c>
      <c r="E67" s="128">
        <v>19844.344588389016</v>
      </c>
      <c r="F67" s="128">
        <v>20447.645160129483</v>
      </c>
      <c r="G67" s="128">
        <v>21069.575433937516</v>
      </c>
      <c r="H67" s="128">
        <v>21495.561837495457</v>
      </c>
      <c r="I67" s="128">
        <v>21772.359176033518</v>
      </c>
      <c r="J67" s="128">
        <v>22041.747571852011</v>
      </c>
      <c r="K67" s="128">
        <v>22266.387810747459</v>
      </c>
      <c r="L67" s="128">
        <v>22506.292516189867</v>
      </c>
      <c r="M67" s="128">
        <v>22639.522163946775</v>
      </c>
      <c r="N67" s="128">
        <v>22840.526913698224</v>
      </c>
      <c r="O67" s="128">
        <v>23171.971870237299</v>
      </c>
      <c r="P67" s="128">
        <v>23505.108869350941</v>
      </c>
      <c r="Q67" s="128">
        <v>23754.400644107594</v>
      </c>
      <c r="R67" s="128">
        <v>24023.685752652622</v>
      </c>
      <c r="S67" s="128">
        <v>24390.318595661789</v>
      </c>
      <c r="T67" s="128">
        <v>24856.565544227902</v>
      </c>
      <c r="U67" s="128">
        <v>25339.885909580556</v>
      </c>
      <c r="V67" s="128">
        <v>25776.454709898229</v>
      </c>
      <c r="W67" s="128">
        <v>26190.463254371567</v>
      </c>
      <c r="X67" s="128">
        <v>26752.177064426647</v>
      </c>
      <c r="Y67" s="128">
        <v>27415.547328178458</v>
      </c>
      <c r="Z67" s="128">
        <v>28128.328881404101</v>
      </c>
      <c r="AA67" s="128">
        <v>28883.888213361563</v>
      </c>
      <c r="AB67" s="128">
        <v>29638.730511504447</v>
      </c>
      <c r="AC67" s="128">
        <v>30452.335214072911</v>
      </c>
      <c r="AD67" s="128">
        <v>31343.463952537808</v>
      </c>
      <c r="AE67" s="128">
        <v>32316.139003691049</v>
      </c>
      <c r="AF67" s="129">
        <v>33361.814619053293</v>
      </c>
    </row>
    <row r="68" spans="1:32" x14ac:dyDescent="0.25">
      <c r="A68" s="124" t="s">
        <v>183</v>
      </c>
      <c r="B68" s="128">
        <v>28535.058150211582</v>
      </c>
      <c r="C68" s="128">
        <v>29097.201583536087</v>
      </c>
      <c r="D68" s="128">
        <v>29601.043235870868</v>
      </c>
      <c r="E68" s="128">
        <v>30079.166725458061</v>
      </c>
      <c r="F68" s="128">
        <v>30553.791984204308</v>
      </c>
      <c r="G68" s="128">
        <v>31028.852823386816</v>
      </c>
      <c r="H68" s="128">
        <v>31488.401765743278</v>
      </c>
      <c r="I68" s="128">
        <v>31872.507150184199</v>
      </c>
      <c r="J68" s="128">
        <v>32186.210190433754</v>
      </c>
      <c r="K68" s="128">
        <v>32435.271787355254</v>
      </c>
      <c r="L68" s="128">
        <v>32579.456273893386</v>
      </c>
      <c r="M68" s="128">
        <v>32696.763718855749</v>
      </c>
      <c r="N68" s="128">
        <v>32739.350394612105</v>
      </c>
      <c r="O68" s="128">
        <v>32726.932173324833</v>
      </c>
      <c r="P68" s="128">
        <v>32760.643948970937</v>
      </c>
      <c r="Q68" s="128">
        <v>32886.466471403735</v>
      </c>
      <c r="R68" s="128">
        <v>33026.212394582806</v>
      </c>
      <c r="S68" s="128">
        <v>33229.428141764576</v>
      </c>
      <c r="T68" s="128">
        <v>33445.531930280245</v>
      </c>
      <c r="U68" s="128">
        <v>33594.800034274922</v>
      </c>
      <c r="V68" s="128">
        <v>33693.718440396071</v>
      </c>
      <c r="W68" s="128">
        <v>33784.950000839541</v>
      </c>
      <c r="X68" s="128">
        <v>33846.522010455396</v>
      </c>
      <c r="Y68" s="128">
        <v>33923.534491918173</v>
      </c>
      <c r="Z68" s="128">
        <v>34087.469935779911</v>
      </c>
      <c r="AA68" s="128">
        <v>34368.093654675416</v>
      </c>
      <c r="AB68" s="128">
        <v>34738.779117777769</v>
      </c>
      <c r="AC68" s="128">
        <v>35191.331021860162</v>
      </c>
      <c r="AD68" s="128">
        <v>35689.169084510948</v>
      </c>
      <c r="AE68" s="128">
        <v>36156.591265823961</v>
      </c>
      <c r="AF68" s="129">
        <v>36499.608194920358</v>
      </c>
    </row>
    <row r="69" spans="1:32" x14ac:dyDescent="0.25">
      <c r="A69" s="124" t="s">
        <v>184</v>
      </c>
      <c r="B69" s="128">
        <v>179747.91142957474</v>
      </c>
      <c r="C69" s="128">
        <v>183848.83017187618</v>
      </c>
      <c r="D69" s="128">
        <v>188197.37877093014</v>
      </c>
      <c r="E69" s="128">
        <v>192818.75787637651</v>
      </c>
      <c r="F69" s="128">
        <v>197702.14552308194</v>
      </c>
      <c r="G69" s="128">
        <v>202849.3751122861</v>
      </c>
      <c r="H69" s="128">
        <v>207969.39567458309</v>
      </c>
      <c r="I69" s="128">
        <v>213535.7538931492</v>
      </c>
      <c r="J69" s="128">
        <v>219552.72931808082</v>
      </c>
      <c r="K69" s="128">
        <v>225962.20563999473</v>
      </c>
      <c r="L69" s="128">
        <v>232705.64143475893</v>
      </c>
      <c r="M69" s="128">
        <v>238821.11238150601</v>
      </c>
      <c r="N69" s="128">
        <v>245507.464933371</v>
      </c>
      <c r="O69" s="128">
        <v>252514.74934629627</v>
      </c>
      <c r="P69" s="128">
        <v>259766.2785463043</v>
      </c>
      <c r="Q69" s="128">
        <v>266859.56578409055</v>
      </c>
      <c r="R69" s="128">
        <v>272913.88831588713</v>
      </c>
      <c r="S69" s="128">
        <v>278318.25897337421</v>
      </c>
      <c r="T69" s="128">
        <v>283343.41782298044</v>
      </c>
      <c r="U69" s="128">
        <v>288178.01456727408</v>
      </c>
      <c r="V69" s="128">
        <v>292896.71152944985</v>
      </c>
      <c r="W69" s="128">
        <v>297479.06081001007</v>
      </c>
      <c r="X69" s="128">
        <v>301956.17948197498</v>
      </c>
      <c r="Y69" s="128">
        <v>306290.33454175049</v>
      </c>
      <c r="Z69" s="128">
        <v>310645.92256852111</v>
      </c>
      <c r="AA69" s="128">
        <v>315084.11822750006</v>
      </c>
      <c r="AB69" s="128">
        <v>319550.42594935116</v>
      </c>
      <c r="AC69" s="128">
        <v>323973.872426702</v>
      </c>
      <c r="AD69" s="128">
        <v>328299.94186205679</v>
      </c>
      <c r="AE69" s="128">
        <v>332602.22970157053</v>
      </c>
      <c r="AF69" s="129">
        <v>336926.95648964419</v>
      </c>
    </row>
    <row r="70" spans="1:32" x14ac:dyDescent="0.25">
      <c r="A70" s="124" t="s">
        <v>30</v>
      </c>
      <c r="B70" s="128">
        <v>244553.41661779076</v>
      </c>
      <c r="C70" s="128">
        <v>251123.99056539545</v>
      </c>
      <c r="D70" s="128">
        <v>257806.11869241469</v>
      </c>
      <c r="E70" s="128">
        <v>264276.93749662983</v>
      </c>
      <c r="F70" s="128">
        <v>270563.72707397747</v>
      </c>
      <c r="G70" s="128">
        <v>277097.28081803146</v>
      </c>
      <c r="H70" s="128">
        <v>283798.51803536032</v>
      </c>
      <c r="I70" s="128">
        <v>290600.21594655461</v>
      </c>
      <c r="J70" s="128">
        <v>297484.47329341312</v>
      </c>
      <c r="K70" s="128">
        <v>304485.66907813557</v>
      </c>
      <c r="L70" s="128">
        <v>311602.31883382954</v>
      </c>
      <c r="M70" s="128">
        <v>318839.2603577557</v>
      </c>
      <c r="N70" s="128">
        <v>326394.41529896791</v>
      </c>
      <c r="O70" s="128">
        <v>334240.89524128579</v>
      </c>
      <c r="P70" s="128">
        <v>342180.12732424965</v>
      </c>
      <c r="Q70" s="128">
        <v>350174.85608062911</v>
      </c>
      <c r="R70" s="128">
        <v>358233.25985414576</v>
      </c>
      <c r="S70" s="128">
        <v>366415.34537832608</v>
      </c>
      <c r="T70" s="128">
        <v>374805.25461677177</v>
      </c>
      <c r="U70" s="128">
        <v>383514.23516577465</v>
      </c>
      <c r="V70" s="128">
        <v>392752.86832985026</v>
      </c>
      <c r="W70" s="128">
        <v>402470.61305240355</v>
      </c>
      <c r="X70" s="128">
        <v>412270.98810279049</v>
      </c>
      <c r="Y70" s="128">
        <v>422144.18896523979</v>
      </c>
      <c r="Z70" s="128">
        <v>432209.85446558328</v>
      </c>
      <c r="AA70" s="128">
        <v>442410.35539178323</v>
      </c>
      <c r="AB70" s="128">
        <v>452616.31029359793</v>
      </c>
      <c r="AC70" s="128">
        <v>462794.05086888955</v>
      </c>
      <c r="AD70" s="128">
        <v>472902.38767105265</v>
      </c>
      <c r="AE70" s="128">
        <v>482892.25348970672</v>
      </c>
      <c r="AF70" s="129">
        <v>492748.86514360952</v>
      </c>
    </row>
    <row r="71" spans="1:32" x14ac:dyDescent="0.25">
      <c r="A71" s="124" t="s">
        <v>185</v>
      </c>
      <c r="B71" s="128">
        <v>743079.16812438006</v>
      </c>
      <c r="C71" s="128">
        <v>726743.76793406589</v>
      </c>
      <c r="D71" s="128">
        <v>717010.82850458566</v>
      </c>
      <c r="E71" s="128">
        <v>712338.16104959475</v>
      </c>
      <c r="F71" s="128">
        <v>708315.12505963619</v>
      </c>
      <c r="G71" s="128">
        <v>704044.87455106492</v>
      </c>
      <c r="H71" s="128">
        <v>698878.60976327653</v>
      </c>
      <c r="I71" s="128">
        <v>692459.69724656129</v>
      </c>
      <c r="J71" s="128">
        <v>684125.1670363649</v>
      </c>
      <c r="K71" s="128">
        <v>673661.83064178366</v>
      </c>
      <c r="L71" s="128">
        <v>661256.848696467</v>
      </c>
      <c r="M71" s="128">
        <v>648535.31968449021</v>
      </c>
      <c r="N71" s="128">
        <v>636283.85946155328</v>
      </c>
      <c r="O71" s="128">
        <v>624618.74591042777</v>
      </c>
      <c r="P71" s="128">
        <v>615133.59122577158</v>
      </c>
      <c r="Q71" s="128">
        <v>608116.77914413088</v>
      </c>
      <c r="R71" s="128">
        <v>602646.79292957997</v>
      </c>
      <c r="S71" s="128">
        <v>598188.3318382689</v>
      </c>
      <c r="T71" s="128">
        <v>594195.63069766236</v>
      </c>
      <c r="U71" s="128">
        <v>589813.9752651439</v>
      </c>
      <c r="V71" s="128">
        <v>584886.47729578451</v>
      </c>
      <c r="W71" s="128">
        <v>579821.19453829445</v>
      </c>
      <c r="X71" s="128">
        <v>573158.36161831184</v>
      </c>
      <c r="Y71" s="128">
        <v>565520.38636491774</v>
      </c>
      <c r="Z71" s="128">
        <v>558413.05943510472</v>
      </c>
      <c r="AA71" s="128">
        <v>551470.29837566114</v>
      </c>
      <c r="AB71" s="128">
        <v>544206.21982570901</v>
      </c>
      <c r="AC71" s="128">
        <v>536222.70124140091</v>
      </c>
      <c r="AD71" s="128">
        <v>528228.50288797519</v>
      </c>
      <c r="AE71" s="128">
        <v>520898.76262708305</v>
      </c>
      <c r="AF71" s="129">
        <v>514395.97687948361</v>
      </c>
    </row>
    <row r="72" spans="1:32" x14ac:dyDescent="0.25">
      <c r="A72" s="124" t="s">
        <v>186</v>
      </c>
      <c r="B72" s="128">
        <v>11841035.524631592</v>
      </c>
      <c r="C72" s="128">
        <v>11731022.401947942</v>
      </c>
      <c r="D72" s="128">
        <v>11615284.215786668</v>
      </c>
      <c r="E72" s="128">
        <v>11500474.837267587</v>
      </c>
      <c r="F72" s="128">
        <v>11390472.713780718</v>
      </c>
      <c r="G72" s="128">
        <v>11285845.123061027</v>
      </c>
      <c r="H72" s="128">
        <v>11171210.266156165</v>
      </c>
      <c r="I72" s="128">
        <v>11046032.598447472</v>
      </c>
      <c r="J72" s="128">
        <v>10915081.798350817</v>
      </c>
      <c r="K72" s="128">
        <v>10770342.584995637</v>
      </c>
      <c r="L72" s="128">
        <v>10608912.411727743</v>
      </c>
      <c r="M72" s="128">
        <v>10431187.656958841</v>
      </c>
      <c r="N72" s="128">
        <v>10251419.724750306</v>
      </c>
      <c r="O72" s="128">
        <v>10071791.598294126</v>
      </c>
      <c r="P72" s="128">
        <v>9894553.8052102216</v>
      </c>
      <c r="Q72" s="128">
        <v>9732483.1859666333</v>
      </c>
      <c r="R72" s="128">
        <v>9581602.0040942375</v>
      </c>
      <c r="S72" s="128">
        <v>9441313.8197654858</v>
      </c>
      <c r="T72" s="128">
        <v>9312760.8779445086</v>
      </c>
      <c r="U72" s="128">
        <v>9200789.2989178114</v>
      </c>
      <c r="V72" s="128">
        <v>9110465.1881822608</v>
      </c>
      <c r="W72" s="128">
        <v>9039901.6652515084</v>
      </c>
      <c r="X72" s="128">
        <v>8986252.0162976589</v>
      </c>
      <c r="Y72" s="128">
        <v>8952551.7763911486</v>
      </c>
      <c r="Z72" s="128">
        <v>8932138.3734831363</v>
      </c>
      <c r="AA72" s="128">
        <v>8913055.535884561</v>
      </c>
      <c r="AB72" s="128">
        <v>8884871.6062902883</v>
      </c>
      <c r="AC72" s="128">
        <v>8849519.874789685</v>
      </c>
      <c r="AD72" s="128">
        <v>8809233.4523222856</v>
      </c>
      <c r="AE72" s="128">
        <v>8765144.2945403717</v>
      </c>
      <c r="AF72" s="129">
        <v>8714288.2778492086</v>
      </c>
    </row>
    <row r="73" spans="1:32" x14ac:dyDescent="0.25">
      <c r="A73" s="124" t="s">
        <v>31</v>
      </c>
      <c r="B73" s="128">
        <v>2961159.7845044704</v>
      </c>
      <c r="C73" s="128">
        <v>3037475.3028926644</v>
      </c>
      <c r="D73" s="128">
        <v>3116389.8430611873</v>
      </c>
      <c r="E73" s="128">
        <v>3191413.6457129526</v>
      </c>
      <c r="F73" s="128">
        <v>3262434.2776815924</v>
      </c>
      <c r="G73" s="128">
        <v>3330170.2565398132</v>
      </c>
      <c r="H73" s="128">
        <v>3395116.8803553665</v>
      </c>
      <c r="I73" s="128">
        <v>3458979.4991076896</v>
      </c>
      <c r="J73" s="128">
        <v>3519966.5293824151</v>
      </c>
      <c r="K73" s="128">
        <v>3575726.7114411173</v>
      </c>
      <c r="L73" s="128">
        <v>3624049.5238394774</v>
      </c>
      <c r="M73" s="128">
        <v>3666813.6225661281</v>
      </c>
      <c r="N73" s="128">
        <v>3709354.1091792774</v>
      </c>
      <c r="O73" s="128">
        <v>3753002.024783479</v>
      </c>
      <c r="P73" s="128">
        <v>3799261.4105608454</v>
      </c>
      <c r="Q73" s="128">
        <v>3849510.8172372263</v>
      </c>
      <c r="R73" s="128">
        <v>3908460.7942630728</v>
      </c>
      <c r="S73" s="128">
        <v>3972877.7023758711</v>
      </c>
      <c r="T73" s="128">
        <v>4037100.0811123024</v>
      </c>
      <c r="U73" s="128">
        <v>4101434.6389151821</v>
      </c>
      <c r="V73" s="128">
        <v>4171166.9871764369</v>
      </c>
      <c r="W73" s="128">
        <v>4245111.5631109998</v>
      </c>
      <c r="X73" s="128">
        <v>4317258.1093444265</v>
      </c>
      <c r="Y73" s="128">
        <v>4388659.6130472384</v>
      </c>
      <c r="Z73" s="128">
        <v>4460441.5110616889</v>
      </c>
      <c r="AA73" s="128">
        <v>4533805.6324408306</v>
      </c>
      <c r="AB73" s="128">
        <v>4610182.9028309938</v>
      </c>
      <c r="AC73" s="128">
        <v>4686865.7823707601</v>
      </c>
      <c r="AD73" s="128">
        <v>4763259.8366559753</v>
      </c>
      <c r="AE73" s="128">
        <v>4840276.8611137774</v>
      </c>
      <c r="AF73" s="129">
        <v>4919567.0946928887</v>
      </c>
    </row>
    <row r="74" spans="1:32" x14ac:dyDescent="0.25">
      <c r="A74" s="124" t="s">
        <v>188</v>
      </c>
      <c r="B74" s="128">
        <v>1584961.0334566985</v>
      </c>
      <c r="C74" s="128">
        <v>1586092.2770317725</v>
      </c>
      <c r="D74" s="128">
        <v>1585483.026564785</v>
      </c>
      <c r="E74" s="128">
        <v>1583418.4395569412</v>
      </c>
      <c r="F74" s="128">
        <v>1577690.0172807495</v>
      </c>
      <c r="G74" s="128">
        <v>1565946.6502356478</v>
      </c>
      <c r="H74" s="128">
        <v>1549257.8429192323</v>
      </c>
      <c r="I74" s="128">
        <v>1531395.1042807801</v>
      </c>
      <c r="J74" s="128">
        <v>1512711.879881019</v>
      </c>
      <c r="K74" s="128">
        <v>1492956.4708519019</v>
      </c>
      <c r="L74" s="128">
        <v>1472358.5976079998</v>
      </c>
      <c r="M74" s="128">
        <v>1456804.3828369328</v>
      </c>
      <c r="N74" s="128">
        <v>1439657.7227467629</v>
      </c>
      <c r="O74" s="128">
        <v>1420628.1709221331</v>
      </c>
      <c r="P74" s="128">
        <v>1400052.7686770423</v>
      </c>
      <c r="Q74" s="128">
        <v>1378007.2544068671</v>
      </c>
      <c r="R74" s="128">
        <v>1353610.5219754814</v>
      </c>
      <c r="S74" s="128">
        <v>1325639.2873470834</v>
      </c>
      <c r="T74" s="128">
        <v>1295415.5446877501</v>
      </c>
      <c r="U74" s="128">
        <v>1264411.7284857288</v>
      </c>
      <c r="V74" s="128">
        <v>1232709.8957632715</v>
      </c>
      <c r="W74" s="128">
        <v>1201796.4689023874</v>
      </c>
      <c r="X74" s="128">
        <v>1175281.3108951955</v>
      </c>
      <c r="Y74" s="128">
        <v>1153057.8041008986</v>
      </c>
      <c r="Z74" s="128">
        <v>1131761.2652525576</v>
      </c>
      <c r="AA74" s="128">
        <v>1111153.4722946454</v>
      </c>
      <c r="AB74" s="128">
        <v>1090575.5084881682</v>
      </c>
      <c r="AC74" s="128">
        <v>1071100.6542179976</v>
      </c>
      <c r="AD74" s="128">
        <v>1052343.2234252796</v>
      </c>
      <c r="AE74" s="128">
        <v>1033121.925427736</v>
      </c>
      <c r="AF74" s="129">
        <v>1014101.4038911312</v>
      </c>
    </row>
    <row r="75" spans="1:32" x14ac:dyDescent="0.25">
      <c r="A75" s="124" t="s">
        <v>190</v>
      </c>
      <c r="B75" s="128">
        <v>9032.3984250322701</v>
      </c>
      <c r="C75" s="128">
        <v>9116.3128765134788</v>
      </c>
      <c r="D75" s="128">
        <v>9241.8173867422374</v>
      </c>
      <c r="E75" s="128">
        <v>9423.2780804555387</v>
      </c>
      <c r="F75" s="128">
        <v>9661.4159024952187</v>
      </c>
      <c r="G75" s="128">
        <v>9896.239681652949</v>
      </c>
      <c r="H75" s="128">
        <v>10098.9622616041</v>
      </c>
      <c r="I75" s="128">
        <v>10265.59300322395</v>
      </c>
      <c r="J75" s="128">
        <v>10395.588751245428</v>
      </c>
      <c r="K75" s="128">
        <v>10500.24958020247</v>
      </c>
      <c r="L75" s="128">
        <v>10592.682901104286</v>
      </c>
      <c r="M75" s="128">
        <v>10662.241827434846</v>
      </c>
      <c r="N75" s="128">
        <v>10768.188698062395</v>
      </c>
      <c r="O75" s="128">
        <v>10900.635666961043</v>
      </c>
      <c r="P75" s="128">
        <v>11058.918167725647</v>
      </c>
      <c r="Q75" s="128">
        <v>11248.220987667391</v>
      </c>
      <c r="R75" s="128">
        <v>11458.290612364097</v>
      </c>
      <c r="S75" s="128">
        <v>11691.510712180147</v>
      </c>
      <c r="T75" s="128">
        <v>11949.537818384095</v>
      </c>
      <c r="U75" s="128">
        <v>12216.037240259224</v>
      </c>
      <c r="V75" s="128">
        <v>12494.279962716222</v>
      </c>
      <c r="W75" s="128">
        <v>12779.728006541811</v>
      </c>
      <c r="X75" s="128">
        <v>13047.289272903708</v>
      </c>
      <c r="Y75" s="128">
        <v>13304.425391575609</v>
      </c>
      <c r="Z75" s="128">
        <v>13561.822880953376</v>
      </c>
      <c r="AA75" s="128">
        <v>13820.476800199674</v>
      </c>
      <c r="AB75" s="128">
        <v>14082.409603010872</v>
      </c>
      <c r="AC75" s="128">
        <v>14337.87466320639</v>
      </c>
      <c r="AD75" s="128">
        <v>14582.494727828138</v>
      </c>
      <c r="AE75" s="128">
        <v>14805.275586169475</v>
      </c>
      <c r="AF75" s="129">
        <v>14994.548132295771</v>
      </c>
    </row>
    <row r="76" spans="1:32" x14ac:dyDescent="0.25">
      <c r="A76" s="124" t="s">
        <v>191</v>
      </c>
      <c r="B76" s="128">
        <v>60665.005587817548</v>
      </c>
      <c r="C76" s="128">
        <v>60032.706949715255</v>
      </c>
      <c r="D76" s="128">
        <v>59384.486687697536</v>
      </c>
      <c r="E76" s="128">
        <v>58669.307042364504</v>
      </c>
      <c r="F76" s="128">
        <v>57855.209464436899</v>
      </c>
      <c r="G76" s="128">
        <v>56925.643747047747</v>
      </c>
      <c r="H76" s="128">
        <v>56395.433474569407</v>
      </c>
      <c r="I76" s="128">
        <v>56194.770605149126</v>
      </c>
      <c r="J76" s="128">
        <v>55778.265458923284</v>
      </c>
      <c r="K76" s="128">
        <v>55101.55492518087</v>
      </c>
      <c r="L76" s="128">
        <v>54200.555576875697</v>
      </c>
      <c r="M76" s="128">
        <v>53392.595853472951</v>
      </c>
      <c r="N76" s="128">
        <v>52586.304365191318</v>
      </c>
      <c r="O76" s="128">
        <v>51687.686602573129</v>
      </c>
      <c r="P76" s="128">
        <v>50588.708732460451</v>
      </c>
      <c r="Q76" s="128">
        <v>49424.188965991001</v>
      </c>
      <c r="R76" s="128">
        <v>47978.525291327045</v>
      </c>
      <c r="S76" s="128">
        <v>46700.351335381318</v>
      </c>
      <c r="T76" s="128">
        <v>45530.111755100152</v>
      </c>
      <c r="U76" s="128">
        <v>44397.364604372277</v>
      </c>
      <c r="V76" s="128">
        <v>43456.990212347999</v>
      </c>
      <c r="W76" s="128">
        <v>42691.910618250295</v>
      </c>
      <c r="X76" s="128">
        <v>41903.476336863809</v>
      </c>
      <c r="Y76" s="128">
        <v>41155.470225080986</v>
      </c>
      <c r="Z76" s="128">
        <v>40541.866286490171</v>
      </c>
      <c r="AA76" s="128">
        <v>40132.132351439301</v>
      </c>
      <c r="AB76" s="128">
        <v>39936.183559320947</v>
      </c>
      <c r="AC76" s="128">
        <v>40020.100851840994</v>
      </c>
      <c r="AD76" s="128">
        <v>40347.521556396779</v>
      </c>
      <c r="AE76" s="128">
        <v>40744.891697865452</v>
      </c>
      <c r="AF76" s="129">
        <v>41134.450308657033</v>
      </c>
    </row>
    <row r="77" spans="1:32" x14ac:dyDescent="0.25">
      <c r="A77" s="124" t="s">
        <v>192</v>
      </c>
      <c r="B77" s="128">
        <v>22831.532530751563</v>
      </c>
      <c r="C77" s="128">
        <v>22642.645729060841</v>
      </c>
      <c r="D77" s="128">
        <v>22398.26674059319</v>
      </c>
      <c r="E77" s="128">
        <v>22141.724080642736</v>
      </c>
      <c r="F77" s="128">
        <v>21886.254183157846</v>
      </c>
      <c r="G77" s="128">
        <v>21637.167216531776</v>
      </c>
      <c r="H77" s="128">
        <v>21387.932620829451</v>
      </c>
      <c r="I77" s="128">
        <v>21149.602374073784</v>
      </c>
      <c r="J77" s="128">
        <v>20917.452201086126</v>
      </c>
      <c r="K77" s="128">
        <v>20680.80091052326</v>
      </c>
      <c r="L77" s="128">
        <v>20391.441572953616</v>
      </c>
      <c r="M77" s="128">
        <v>20046.799663649646</v>
      </c>
      <c r="N77" s="128">
        <v>19697.473753812923</v>
      </c>
      <c r="O77" s="128">
        <v>19345.725961128548</v>
      </c>
      <c r="P77" s="128">
        <v>18994.607396662013</v>
      </c>
      <c r="Q77" s="128">
        <v>18654.051433419951</v>
      </c>
      <c r="R77" s="128">
        <v>18319.946256515745</v>
      </c>
      <c r="S77" s="128">
        <v>17992.160997821327</v>
      </c>
      <c r="T77" s="128">
        <v>17680.353419977542</v>
      </c>
      <c r="U77" s="128">
        <v>17388.648772048236</v>
      </c>
      <c r="V77" s="128">
        <v>17273.259193585636</v>
      </c>
      <c r="W77" s="128">
        <v>17335.047112896413</v>
      </c>
      <c r="X77" s="128">
        <v>17409.390726070422</v>
      </c>
      <c r="Y77" s="128">
        <v>17499.345792408516</v>
      </c>
      <c r="Z77" s="128">
        <v>17631.474969814077</v>
      </c>
      <c r="AA77" s="128">
        <v>17835.330190123303</v>
      </c>
      <c r="AB77" s="128">
        <v>18083.754444083126</v>
      </c>
      <c r="AC77" s="128">
        <v>18374.269341264928</v>
      </c>
      <c r="AD77" s="128">
        <v>18686.513615556043</v>
      </c>
      <c r="AE77" s="128">
        <v>18991.60910783779</v>
      </c>
      <c r="AF77" s="129">
        <v>19308.458816332201</v>
      </c>
    </row>
    <row r="78" spans="1:32" x14ac:dyDescent="0.25">
      <c r="A78" s="124" t="s">
        <v>193</v>
      </c>
      <c r="B78" s="128">
        <v>1675092.7401427566</v>
      </c>
      <c r="C78" s="128">
        <v>1717684.1560804094</v>
      </c>
      <c r="D78" s="128">
        <v>1764093.0235637655</v>
      </c>
      <c r="E78" s="128">
        <v>1810313.3677253281</v>
      </c>
      <c r="F78" s="128">
        <v>1858148.4413323281</v>
      </c>
      <c r="G78" s="128">
        <v>1905945.2521561587</v>
      </c>
      <c r="H78" s="128">
        <v>1954885.4679250205</v>
      </c>
      <c r="I78" s="128">
        <v>2005032.8363361866</v>
      </c>
      <c r="J78" s="128">
        <v>2055697.6656603932</v>
      </c>
      <c r="K78" s="128">
        <v>2107344.9252870702</v>
      </c>
      <c r="L78" s="128">
        <v>2161366.9131588656</v>
      </c>
      <c r="M78" s="128">
        <v>2217920.2454243298</v>
      </c>
      <c r="N78" s="128">
        <v>2275814.0263177268</v>
      </c>
      <c r="O78" s="128">
        <v>2334157.445774449</v>
      </c>
      <c r="P78" s="128">
        <v>2391278.5040514865</v>
      </c>
      <c r="Q78" s="128">
        <v>2446422.3119635978</v>
      </c>
      <c r="R78" s="128">
        <v>2500954.9430985702</v>
      </c>
      <c r="S78" s="128">
        <v>2554401.4084765976</v>
      </c>
      <c r="T78" s="128">
        <v>2604013.4939108477</v>
      </c>
      <c r="U78" s="128">
        <v>2651467.6504013329</v>
      </c>
      <c r="V78" s="128">
        <v>2702289.9593186225</v>
      </c>
      <c r="W78" s="128">
        <v>2755204.0448809145</v>
      </c>
      <c r="X78" s="128">
        <v>2808780.3523996612</v>
      </c>
      <c r="Y78" s="128">
        <v>2863599.1504627173</v>
      </c>
      <c r="Z78" s="128">
        <v>2916524.7577586565</v>
      </c>
      <c r="AA78" s="128">
        <v>2967257.0778340767</v>
      </c>
      <c r="AB78" s="128">
        <v>3015976.6461079777</v>
      </c>
      <c r="AC78" s="128">
        <v>3062667.5082323775</v>
      </c>
      <c r="AD78" s="128">
        <v>3106733.9716844573</v>
      </c>
      <c r="AE78" s="128">
        <v>3148231.2866140371</v>
      </c>
      <c r="AF78" s="129">
        <v>3187641.1084719137</v>
      </c>
    </row>
    <row r="79" spans="1:32" x14ac:dyDescent="0.25">
      <c r="A79" s="124" t="s">
        <v>32</v>
      </c>
      <c r="B79" s="128">
        <v>1488023.5113430382</v>
      </c>
      <c r="C79" s="128">
        <v>1493335.5336421498</v>
      </c>
      <c r="D79" s="128">
        <v>1504693.1979212377</v>
      </c>
      <c r="E79" s="128">
        <v>1530317.8958645265</v>
      </c>
      <c r="F79" s="128">
        <v>1554557.7652503974</v>
      </c>
      <c r="G79" s="128">
        <v>1576335.209874863</v>
      </c>
      <c r="H79" s="128">
        <v>1603541.323689529</v>
      </c>
      <c r="I79" s="128">
        <v>1636253.2400044901</v>
      </c>
      <c r="J79" s="128">
        <v>1671614.5524046754</v>
      </c>
      <c r="K79" s="128">
        <v>1707303.5156429692</v>
      </c>
      <c r="L79" s="128">
        <v>1743017.0009393247</v>
      </c>
      <c r="M79" s="128">
        <v>1781719.3077864221</v>
      </c>
      <c r="N79" s="128">
        <v>1821175.8792423238</v>
      </c>
      <c r="O79" s="128">
        <v>1857691.5214868444</v>
      </c>
      <c r="P79" s="128">
        <v>1894006.2607455906</v>
      </c>
      <c r="Q79" s="128">
        <v>1931241.6809913826</v>
      </c>
      <c r="R79" s="128">
        <v>1969348.4391525942</v>
      </c>
      <c r="S79" s="128">
        <v>2007297.6746109694</v>
      </c>
      <c r="T79" s="128">
        <v>2045669.4050387267</v>
      </c>
      <c r="U79" s="128">
        <v>2085719.7528744943</v>
      </c>
      <c r="V79" s="128">
        <v>2127420.5082581062</v>
      </c>
      <c r="W79" s="128">
        <v>2170035.6225806656</v>
      </c>
      <c r="X79" s="128">
        <v>2213644.6204229807</v>
      </c>
      <c r="Y79" s="128">
        <v>2258791.2741125235</v>
      </c>
      <c r="Z79" s="128">
        <v>2305419.7312722481</v>
      </c>
      <c r="AA79" s="128">
        <v>2353024.5234825481</v>
      </c>
      <c r="AB79" s="128">
        <v>2401008.6154583259</v>
      </c>
      <c r="AC79" s="128">
        <v>2448898.4770807154</v>
      </c>
      <c r="AD79" s="128">
        <v>2496585.9698276459</v>
      </c>
      <c r="AE79" s="128">
        <v>2543967.7190677044</v>
      </c>
      <c r="AF79" s="129">
        <v>2591423.0152714294</v>
      </c>
    </row>
    <row r="80" spans="1:32" x14ac:dyDescent="0.25">
      <c r="A80" s="124" t="s">
        <v>33</v>
      </c>
      <c r="B80" s="128">
        <v>201682.62066820511</v>
      </c>
      <c r="C80" s="128">
        <v>204728.08156380508</v>
      </c>
      <c r="D80" s="128">
        <v>207739.25424726022</v>
      </c>
      <c r="E80" s="128">
        <v>210684.84398646813</v>
      </c>
      <c r="F80" s="128">
        <v>213586.06030034574</v>
      </c>
      <c r="G80" s="128">
        <v>216402.60256792317</v>
      </c>
      <c r="H80" s="128">
        <v>219327.89946583539</v>
      </c>
      <c r="I80" s="128">
        <v>220495.53903789507</v>
      </c>
      <c r="J80" s="128">
        <v>221884.19398413811</v>
      </c>
      <c r="K80" s="128">
        <v>223528.01580268686</v>
      </c>
      <c r="L80" s="128">
        <v>225439.993867938</v>
      </c>
      <c r="M80" s="128">
        <v>227605.48798726863</v>
      </c>
      <c r="N80" s="128">
        <v>229988.66333180259</v>
      </c>
      <c r="O80" s="128">
        <v>232510.67309531948</v>
      </c>
      <c r="P80" s="128">
        <v>235067.25399295404</v>
      </c>
      <c r="Q80" s="128">
        <v>237774.81757637436</v>
      </c>
      <c r="R80" s="128">
        <v>240729.0007981887</v>
      </c>
      <c r="S80" s="128">
        <v>243948.18673284058</v>
      </c>
      <c r="T80" s="128">
        <v>247387.4232331533</v>
      </c>
      <c r="U80" s="128">
        <v>250892.4259104775</v>
      </c>
      <c r="V80" s="128">
        <v>254403.59869638662</v>
      </c>
      <c r="W80" s="128">
        <v>257935.74533309415</v>
      </c>
      <c r="X80" s="128">
        <v>261510.58366281897</v>
      </c>
      <c r="Y80" s="128">
        <v>265116.81547843054</v>
      </c>
      <c r="Z80" s="128">
        <v>268723.91136508412</v>
      </c>
      <c r="AA80" s="128">
        <v>272395.29650227143</v>
      </c>
      <c r="AB80" s="128">
        <v>276265.5291205094</v>
      </c>
      <c r="AC80" s="128">
        <v>280429.71710834902</v>
      </c>
      <c r="AD80" s="128">
        <v>284945.69662385719</v>
      </c>
      <c r="AE80" s="128">
        <v>289684.29266862042</v>
      </c>
      <c r="AF80" s="129">
        <v>294485.38626829674</v>
      </c>
    </row>
    <row r="81" spans="1:32" x14ac:dyDescent="0.25">
      <c r="A81" s="124" t="s">
        <v>194</v>
      </c>
      <c r="B81" s="128">
        <v>117558.44657837634</v>
      </c>
      <c r="C81" s="128">
        <v>117799.00357774788</v>
      </c>
      <c r="D81" s="128">
        <v>117914.95536890235</v>
      </c>
      <c r="E81" s="128">
        <v>118101.83632194085</v>
      </c>
      <c r="F81" s="128">
        <v>118224.98816700563</v>
      </c>
      <c r="G81" s="128">
        <v>117894.84721109651</v>
      </c>
      <c r="H81" s="128">
        <v>117470.63089852259</v>
      </c>
      <c r="I81" s="128">
        <v>116935.7784406085</v>
      </c>
      <c r="J81" s="128">
        <v>116250.26350249909</v>
      </c>
      <c r="K81" s="128">
        <v>115603.20846345117</v>
      </c>
      <c r="L81" s="128">
        <v>115094.48769657381</v>
      </c>
      <c r="M81" s="128">
        <v>114540.18490892596</v>
      </c>
      <c r="N81" s="128">
        <v>114568.68001159806</v>
      </c>
      <c r="O81" s="128">
        <v>115205.55150653684</v>
      </c>
      <c r="P81" s="128">
        <v>115804.67802933928</v>
      </c>
      <c r="Q81" s="128">
        <v>116303.27992710746</v>
      </c>
      <c r="R81" s="128">
        <v>116957.97418488827</v>
      </c>
      <c r="S81" s="128">
        <v>117548.9423004197</v>
      </c>
      <c r="T81" s="128">
        <v>121028.0677502562</v>
      </c>
      <c r="U81" s="128">
        <v>122988.60547523142</v>
      </c>
      <c r="V81" s="128">
        <v>122551.23633916542</v>
      </c>
      <c r="W81" s="128">
        <v>123642.14778915975</v>
      </c>
      <c r="X81" s="128">
        <v>124095.53533511897</v>
      </c>
      <c r="Y81" s="128">
        <v>124621.44732077002</v>
      </c>
      <c r="Z81" s="128">
        <v>125040.84076875664</v>
      </c>
      <c r="AA81" s="128">
        <v>125241.20328185864</v>
      </c>
      <c r="AB81" s="128">
        <v>125409.11553801718</v>
      </c>
      <c r="AC81" s="128">
        <v>125415.93169845422</v>
      </c>
      <c r="AD81" s="128">
        <v>125286.15647390239</v>
      </c>
      <c r="AE81" s="128">
        <v>125097.00181425248</v>
      </c>
      <c r="AF81" s="129">
        <v>124903.39814774299</v>
      </c>
    </row>
    <row r="82" spans="1:32" x14ac:dyDescent="0.25">
      <c r="A82" s="124" t="s">
        <v>34</v>
      </c>
      <c r="B82" s="128">
        <v>1167231.6127867314</v>
      </c>
      <c r="C82" s="128">
        <v>1201906.1360563096</v>
      </c>
      <c r="D82" s="128">
        <v>1239262.1393225403</v>
      </c>
      <c r="E82" s="128">
        <v>1279114.1942845939</v>
      </c>
      <c r="F82" s="128">
        <v>1320684.4927079622</v>
      </c>
      <c r="G82" s="128">
        <v>1363777.3328799626</v>
      </c>
      <c r="H82" s="128">
        <v>1408442.0360080798</v>
      </c>
      <c r="I82" s="128">
        <v>1427719.812729202</v>
      </c>
      <c r="J82" s="128">
        <v>1446259.6249663581</v>
      </c>
      <c r="K82" s="128">
        <v>1463744.8693210864</v>
      </c>
      <c r="L82" s="128">
        <v>1474078.4460454697</v>
      </c>
      <c r="M82" s="128">
        <v>1483932.6238939338</v>
      </c>
      <c r="N82" s="128">
        <v>1498791.9422731178</v>
      </c>
      <c r="O82" s="128">
        <v>1512765.7247876336</v>
      </c>
      <c r="P82" s="128">
        <v>1525865.1159605631</v>
      </c>
      <c r="Q82" s="128">
        <v>1538422.8227774994</v>
      </c>
      <c r="R82" s="128">
        <v>1550728.355328795</v>
      </c>
      <c r="S82" s="128">
        <v>1561519.6615292516</v>
      </c>
      <c r="T82" s="128">
        <v>1572644.1756039443</v>
      </c>
      <c r="U82" s="128">
        <v>1584333.942272169</v>
      </c>
      <c r="V82" s="128">
        <v>1596778.0166429162</v>
      </c>
      <c r="W82" s="128">
        <v>1611733.1670655501</v>
      </c>
      <c r="X82" s="128">
        <v>1627168.4670105365</v>
      </c>
      <c r="Y82" s="128">
        <v>1643202.7376717555</v>
      </c>
      <c r="Z82" s="128">
        <v>1659361.0974414798</v>
      </c>
      <c r="AA82" s="128">
        <v>1675198.4178614554</v>
      </c>
      <c r="AB82" s="128">
        <v>1691720.9949880769</v>
      </c>
      <c r="AC82" s="128">
        <v>1707511.5048153645</v>
      </c>
      <c r="AD82" s="128">
        <v>1722198.3553877112</v>
      </c>
      <c r="AE82" s="128">
        <v>1736236.0061180654</v>
      </c>
      <c r="AF82" s="129">
        <v>1749974.7840592498</v>
      </c>
    </row>
    <row r="83" spans="1:32" x14ac:dyDescent="0.25">
      <c r="A83" s="124" t="s">
        <v>35</v>
      </c>
      <c r="B83" s="128">
        <v>911153.32979452517</v>
      </c>
      <c r="C83" s="128">
        <v>940528.53877977247</v>
      </c>
      <c r="D83" s="128">
        <v>970520.2972219229</v>
      </c>
      <c r="E83" s="128">
        <v>1001061.3383306973</v>
      </c>
      <c r="F83" s="128">
        <v>1032244.587481725</v>
      </c>
      <c r="G83" s="128">
        <v>1064116.351240329</v>
      </c>
      <c r="H83" s="128">
        <v>1096839.2653821609</v>
      </c>
      <c r="I83" s="128">
        <v>1130278.3906653263</v>
      </c>
      <c r="J83" s="128">
        <v>1164253.0164350946</v>
      </c>
      <c r="K83" s="128">
        <v>1198460.9146155275</v>
      </c>
      <c r="L83" s="128">
        <v>1232589.5799841499</v>
      </c>
      <c r="M83" s="128">
        <v>1266704.0481205648</v>
      </c>
      <c r="N83" s="128">
        <v>1300424.6817181162</v>
      </c>
      <c r="O83" s="128">
        <v>1334249.8813756756</v>
      </c>
      <c r="P83" s="128">
        <v>1368826.9460560915</v>
      </c>
      <c r="Q83" s="128">
        <v>1404032.9222414675</v>
      </c>
      <c r="R83" s="128">
        <v>1439398.6145020996</v>
      </c>
      <c r="S83" s="128">
        <v>1474496.5978330018</v>
      </c>
      <c r="T83" s="128">
        <v>1508948.5984861848</v>
      </c>
      <c r="U83" s="128">
        <v>1542434.2850196823</v>
      </c>
      <c r="V83" s="128">
        <v>1574750.7725523985</v>
      </c>
      <c r="W83" s="128">
        <v>1605809.6618046209</v>
      </c>
      <c r="X83" s="128">
        <v>1635528.0041413077</v>
      </c>
      <c r="Y83" s="128">
        <v>1664242.208274812</v>
      </c>
      <c r="Z83" s="128">
        <v>1691831.3493032746</v>
      </c>
      <c r="AA83" s="128">
        <v>1717781.2458104212</v>
      </c>
      <c r="AB83" s="128">
        <v>1742100.3609547371</v>
      </c>
      <c r="AC83" s="128">
        <v>1765009.9685246807</v>
      </c>
      <c r="AD83" s="128">
        <v>1786392.5867802755</v>
      </c>
      <c r="AE83" s="128">
        <v>1805965.6655000011</v>
      </c>
      <c r="AF83" s="129">
        <v>1823696.5768273179</v>
      </c>
    </row>
    <row r="84" spans="1:32" x14ac:dyDescent="0.25">
      <c r="A84" s="124" t="s">
        <v>195</v>
      </c>
      <c r="B84" s="128">
        <v>1448039.9035617562</v>
      </c>
      <c r="C84" s="128">
        <v>1422129.2852831751</v>
      </c>
      <c r="D84" s="128">
        <v>1393902.6351270166</v>
      </c>
      <c r="E84" s="128">
        <v>1361987.1785388957</v>
      </c>
      <c r="F84" s="128">
        <v>1327751.9611136727</v>
      </c>
      <c r="G84" s="128">
        <v>1294260.4156416534</v>
      </c>
      <c r="H84" s="128">
        <v>1266861.9071421067</v>
      </c>
      <c r="I84" s="128">
        <v>1242113.3654344666</v>
      </c>
      <c r="J84" s="128">
        <v>1219237.0230442204</v>
      </c>
      <c r="K84" s="128">
        <v>1198022.3825017973</v>
      </c>
      <c r="L84" s="128">
        <v>1177637.2405852703</v>
      </c>
      <c r="M84" s="128">
        <v>1171942.9901772812</v>
      </c>
      <c r="N84" s="128">
        <v>1168387.7857696235</v>
      </c>
      <c r="O84" s="128">
        <v>1172033.3236498139</v>
      </c>
      <c r="P84" s="128">
        <v>1173297.8210055707</v>
      </c>
      <c r="Q84" s="128">
        <v>1173629.5012614555</v>
      </c>
      <c r="R84" s="128">
        <v>1171462.7074153135</v>
      </c>
      <c r="S84" s="128">
        <v>1167118.7984995663</v>
      </c>
      <c r="T84" s="128">
        <v>1162175.9964013281</v>
      </c>
      <c r="U84" s="128">
        <v>1156665.0482534058</v>
      </c>
      <c r="V84" s="128">
        <v>1149265.7887352279</v>
      </c>
      <c r="W84" s="128">
        <v>1141629.3567828492</v>
      </c>
      <c r="X84" s="128">
        <v>1199217.0216232</v>
      </c>
      <c r="Y84" s="128">
        <v>1236977.6664277583</v>
      </c>
      <c r="Z84" s="128">
        <v>1191623.7300568712</v>
      </c>
      <c r="AA84" s="128">
        <v>1148833.0115935225</v>
      </c>
      <c r="AB84" s="128">
        <v>1114206.3820433444</v>
      </c>
      <c r="AC84" s="128">
        <v>1088928.1781870786</v>
      </c>
      <c r="AD84" s="128">
        <v>1069108.278703568</v>
      </c>
      <c r="AE84" s="128">
        <v>1052918.26252009</v>
      </c>
      <c r="AF84" s="129">
        <v>1039439.2860941892</v>
      </c>
    </row>
    <row r="85" spans="1:32" x14ac:dyDescent="0.25">
      <c r="A85" s="124" t="s">
        <v>196</v>
      </c>
      <c r="B85" s="128">
        <v>38458.449541509661</v>
      </c>
      <c r="C85" s="128">
        <v>38528.330629426899</v>
      </c>
      <c r="D85" s="128">
        <v>38382.435345526246</v>
      </c>
      <c r="E85" s="128">
        <v>38158.074517493013</v>
      </c>
      <c r="F85" s="128">
        <v>37948.151152357328</v>
      </c>
      <c r="G85" s="128">
        <v>37936.166559105346</v>
      </c>
      <c r="H85" s="128">
        <v>37956.956781141489</v>
      </c>
      <c r="I85" s="128">
        <v>38155.346409574959</v>
      </c>
      <c r="J85" s="128">
        <v>38406.948247292836</v>
      </c>
      <c r="K85" s="128">
        <v>38053.309231269595</v>
      </c>
      <c r="L85" s="128">
        <v>37339.345675826778</v>
      </c>
      <c r="M85" s="128">
        <v>36774.715338818103</v>
      </c>
      <c r="N85" s="128">
        <v>36308.711961731009</v>
      </c>
      <c r="O85" s="128">
        <v>36016.904287847734</v>
      </c>
      <c r="P85" s="128">
        <v>35851.356409925749</v>
      </c>
      <c r="Q85" s="128">
        <v>35725.574797797395</v>
      </c>
      <c r="R85" s="128">
        <v>35808.920902178485</v>
      </c>
      <c r="S85" s="128">
        <v>36314.770913115128</v>
      </c>
      <c r="T85" s="128">
        <v>37185.441574219105</v>
      </c>
      <c r="U85" s="128">
        <v>37981.964762997071</v>
      </c>
      <c r="V85" s="128">
        <v>38556.046552727588</v>
      </c>
      <c r="W85" s="128">
        <v>38796.801117281568</v>
      </c>
      <c r="X85" s="128">
        <v>38767.352449021048</v>
      </c>
      <c r="Y85" s="128">
        <v>38705.907743480435</v>
      </c>
      <c r="Z85" s="128">
        <v>38755.630283100727</v>
      </c>
      <c r="AA85" s="128">
        <v>38860.901735991894</v>
      </c>
      <c r="AB85" s="128">
        <v>38921.310676890091</v>
      </c>
      <c r="AC85" s="128">
        <v>38984.700253223324</v>
      </c>
      <c r="AD85" s="128">
        <v>39078.333760387337</v>
      </c>
      <c r="AE85" s="128">
        <v>39152.927074236359</v>
      </c>
      <c r="AF85" s="129">
        <v>39206.126127844836</v>
      </c>
    </row>
    <row r="86" spans="1:32" x14ac:dyDescent="0.25">
      <c r="A86" s="124" t="s">
        <v>36</v>
      </c>
      <c r="B86" s="128">
        <v>198451593.15287787</v>
      </c>
      <c r="C86" s="128">
        <v>202287299.10695627</v>
      </c>
      <c r="D86" s="128">
        <v>206130041.74302047</v>
      </c>
      <c r="E86" s="128">
        <v>209929851.86442068</v>
      </c>
      <c r="F86" s="128">
        <v>213729665.75124985</v>
      </c>
      <c r="G86" s="128">
        <v>217460064.69824535</v>
      </c>
      <c r="H86" s="128">
        <v>221142961.06044093</v>
      </c>
      <c r="I86" s="128">
        <v>224749372.86959493</v>
      </c>
      <c r="J86" s="128">
        <v>228299366.28055897</v>
      </c>
      <c r="K86" s="128">
        <v>231786679.21738142</v>
      </c>
      <c r="L86" s="128">
        <v>235272900.67514551</v>
      </c>
      <c r="M86" s="128">
        <v>238759697.6479252</v>
      </c>
      <c r="N86" s="128">
        <v>242186009.5892655</v>
      </c>
      <c r="O86" s="128">
        <v>245536491.63608515</v>
      </c>
      <c r="P86" s="128">
        <v>248801600.61941418</v>
      </c>
      <c r="Q86" s="128">
        <v>252016459.78431097</v>
      </c>
      <c r="R86" s="128">
        <v>255329767.16798335</v>
      </c>
      <c r="S86" s="128">
        <v>258622303.15355009</v>
      </c>
      <c r="T86" s="128">
        <v>261600277.27921736</v>
      </c>
      <c r="U86" s="128">
        <v>264286088.78579316</v>
      </c>
      <c r="V86" s="128">
        <v>266795725.30584553</v>
      </c>
      <c r="W86" s="128">
        <v>268975415.07693452</v>
      </c>
      <c r="X86" s="128">
        <v>270747381.19782269</v>
      </c>
      <c r="Y86" s="128">
        <v>272385832.42488176</v>
      </c>
      <c r="Z86" s="128">
        <v>273997352.87592912</v>
      </c>
      <c r="AA86" s="128">
        <v>275565294.56664437</v>
      </c>
      <c r="AB86" s="128">
        <v>277040247.49975389</v>
      </c>
      <c r="AC86" s="128">
        <v>278428224.51007271</v>
      </c>
      <c r="AD86" s="128">
        <v>279656161.9335174</v>
      </c>
      <c r="AE86" s="128">
        <v>280453014.69531572</v>
      </c>
      <c r="AF86" s="129">
        <v>280731591.99274993</v>
      </c>
    </row>
    <row r="87" spans="1:32" x14ac:dyDescent="0.25">
      <c r="A87" s="124" t="s">
        <v>37</v>
      </c>
      <c r="B87" s="128">
        <v>40020001.993844338</v>
      </c>
      <c r="C87" s="128">
        <v>40913131.147457652</v>
      </c>
      <c r="D87" s="128">
        <v>41764862.446428582</v>
      </c>
      <c r="E87" s="128">
        <v>42570786.338743113</v>
      </c>
      <c r="F87" s="128">
        <v>43232150.509889103</v>
      </c>
      <c r="G87" s="128">
        <v>43817599.252173007</v>
      </c>
      <c r="H87" s="128">
        <v>44502340.67538397</v>
      </c>
      <c r="I87" s="128">
        <v>45179537.482928611</v>
      </c>
      <c r="J87" s="128">
        <v>45821541.836424805</v>
      </c>
      <c r="K87" s="128">
        <v>46431362.979207024</v>
      </c>
      <c r="L87" s="128">
        <v>46999965.509875007</v>
      </c>
      <c r="M87" s="128">
        <v>47421916.920732714</v>
      </c>
      <c r="N87" s="128">
        <v>47799695.94045537</v>
      </c>
      <c r="O87" s="128">
        <v>48128385.763997123</v>
      </c>
      <c r="P87" s="128">
        <v>48404760.865812965</v>
      </c>
      <c r="Q87" s="128">
        <v>48643374.211453013</v>
      </c>
      <c r="R87" s="128">
        <v>48855651.756899111</v>
      </c>
      <c r="S87" s="128">
        <v>49037845.42600739</v>
      </c>
      <c r="T87" s="128">
        <v>49200997.194425732</v>
      </c>
      <c r="U87" s="128">
        <v>49352611.147882111</v>
      </c>
      <c r="V87" s="128">
        <v>49504429.501369402</v>
      </c>
      <c r="W87" s="128">
        <v>49668293.773766451</v>
      </c>
      <c r="X87" s="128">
        <v>49853158.722620711</v>
      </c>
      <c r="Y87" s="128">
        <v>50042103.331924595</v>
      </c>
      <c r="Z87" s="128">
        <v>50194716.575963415</v>
      </c>
      <c r="AA87" s="128">
        <v>50284783.934134983</v>
      </c>
      <c r="AB87" s="128">
        <v>50335676.843002208</v>
      </c>
      <c r="AC87" s="128">
        <v>50346565.077145763</v>
      </c>
      <c r="AD87" s="128">
        <v>50291691.331694268</v>
      </c>
      <c r="AE87" s="128">
        <v>50182020.822671019</v>
      </c>
      <c r="AF87" s="129">
        <v>50040041.112835467</v>
      </c>
    </row>
    <row r="88" spans="1:32" x14ac:dyDescent="0.25">
      <c r="A88" s="124" t="s">
        <v>665</v>
      </c>
      <c r="B88" s="128">
        <v>11333009.853567613</v>
      </c>
      <c r="C88" s="128">
        <v>11751594.881559242</v>
      </c>
      <c r="D88" s="128">
        <v>12038637.742648289</v>
      </c>
      <c r="E88" s="128">
        <v>12303946.236157373</v>
      </c>
      <c r="F88" s="128">
        <v>12681500.829020455</v>
      </c>
      <c r="G88" s="128">
        <v>13065651.231885079</v>
      </c>
      <c r="H88" s="128">
        <v>13438154.822710127</v>
      </c>
      <c r="I88" s="128">
        <v>13922359.644692231</v>
      </c>
      <c r="J88" s="128">
        <v>14368673.247875871</v>
      </c>
      <c r="K88" s="128">
        <v>14762611.93411666</v>
      </c>
      <c r="L88" s="128">
        <v>15106569.503276587</v>
      </c>
      <c r="M88" s="128">
        <v>15390932.956140576</v>
      </c>
      <c r="N88" s="128">
        <v>15634650.641039466</v>
      </c>
      <c r="O88" s="128">
        <v>15874074.941174015</v>
      </c>
      <c r="P88" s="128">
        <v>16138509.742961971</v>
      </c>
      <c r="Q88" s="128">
        <v>16434020.918534998</v>
      </c>
      <c r="R88" s="128">
        <v>16647013.159105899</v>
      </c>
      <c r="S88" s="128">
        <v>16764178.400842041</v>
      </c>
      <c r="T88" s="128">
        <v>16835635.0741059</v>
      </c>
      <c r="U88" s="128">
        <v>16864726.752337474</v>
      </c>
      <c r="V88" s="128">
        <v>16850635.212936111</v>
      </c>
      <c r="W88" s="128">
        <v>16823645.090367984</v>
      </c>
      <c r="X88" s="128">
        <v>16805531.848518755</v>
      </c>
      <c r="Y88" s="128">
        <v>16772324.321847312</v>
      </c>
      <c r="Z88" s="128">
        <v>16725830.444870504</v>
      </c>
      <c r="AA88" s="128">
        <v>16664456.282509051</v>
      </c>
      <c r="AB88" s="128">
        <v>16585809.118532419</v>
      </c>
      <c r="AC88" s="128">
        <v>16500049.995731369</v>
      </c>
      <c r="AD88" s="128">
        <v>16403792.453235999</v>
      </c>
      <c r="AE88" s="128">
        <v>16278446.723078389</v>
      </c>
      <c r="AF88" s="129">
        <v>16111352.157673808</v>
      </c>
    </row>
    <row r="89" spans="1:32" x14ac:dyDescent="0.25">
      <c r="A89" s="124" t="s">
        <v>38</v>
      </c>
      <c r="B89" s="128">
        <v>3551721.8917976525</v>
      </c>
      <c r="C89" s="128">
        <v>3663263.3724236325</v>
      </c>
      <c r="D89" s="128">
        <v>3773642.3310094085</v>
      </c>
      <c r="E89" s="128">
        <v>3879230.3521231022</v>
      </c>
      <c r="F89" s="128">
        <v>3983940.1171786627</v>
      </c>
      <c r="G89" s="128">
        <v>4103487.626065304</v>
      </c>
      <c r="H89" s="128">
        <v>4142603.8902457287</v>
      </c>
      <c r="I89" s="128">
        <v>4172701.81074626</v>
      </c>
      <c r="J89" s="128">
        <v>4321414.0665767798</v>
      </c>
      <c r="K89" s="128">
        <v>4536872.3880034806</v>
      </c>
      <c r="L89" s="128">
        <v>4728293.9141902048</v>
      </c>
      <c r="M89" s="128">
        <v>4937646.4982734947</v>
      </c>
      <c r="N89" s="128">
        <v>5197357.3006739691</v>
      </c>
      <c r="O89" s="128">
        <v>5479426.0733209541</v>
      </c>
      <c r="P89" s="128">
        <v>5715621.4875958283</v>
      </c>
      <c r="Q89" s="128">
        <v>5921693.7450197395</v>
      </c>
      <c r="R89" s="128">
        <v>6117856.5873436211</v>
      </c>
      <c r="S89" s="128">
        <v>6317655.5891685989</v>
      </c>
      <c r="T89" s="128">
        <v>6526530.3967608511</v>
      </c>
      <c r="U89" s="128">
        <v>6732049.1694837892</v>
      </c>
      <c r="V89" s="128">
        <v>6940225.3624707377</v>
      </c>
      <c r="W89" s="128">
        <v>7143031.5090489471</v>
      </c>
      <c r="X89" s="128">
        <v>7340953.709262331</v>
      </c>
      <c r="Y89" s="128">
        <v>7542597.8958784668</v>
      </c>
      <c r="Z89" s="128">
        <v>7742349.0389372762</v>
      </c>
      <c r="AA89" s="128">
        <v>7942394.898763977</v>
      </c>
      <c r="AB89" s="128">
        <v>8144679.6207636381</v>
      </c>
      <c r="AC89" s="128">
        <v>8344810.5556396293</v>
      </c>
      <c r="AD89" s="128">
        <v>8537755.8308890965</v>
      </c>
      <c r="AE89" s="128">
        <v>8727067.0048819669</v>
      </c>
      <c r="AF89" s="129">
        <v>8911328.5059412178</v>
      </c>
    </row>
    <row r="90" spans="1:32" x14ac:dyDescent="0.25">
      <c r="A90" s="124" t="s">
        <v>198</v>
      </c>
      <c r="B90" s="128">
        <v>498087.2067278311</v>
      </c>
      <c r="C90" s="128">
        <v>508026.08746563463</v>
      </c>
      <c r="D90" s="128">
        <v>520171.14294554119</v>
      </c>
      <c r="E90" s="128">
        <v>531858.96076459507</v>
      </c>
      <c r="F90" s="128">
        <v>544750.53586153709</v>
      </c>
      <c r="G90" s="128">
        <v>561398.7401302146</v>
      </c>
      <c r="H90" s="128">
        <v>581147.14976809407</v>
      </c>
      <c r="I90" s="128">
        <v>603894.75682915444</v>
      </c>
      <c r="J90" s="128">
        <v>619822.9631847709</v>
      </c>
      <c r="K90" s="128">
        <v>625250.59551600367</v>
      </c>
      <c r="L90" s="128">
        <v>624136.47407606</v>
      </c>
      <c r="M90" s="128">
        <v>623560.32981297793</v>
      </c>
      <c r="N90" s="128">
        <v>623058.64400934044</v>
      </c>
      <c r="O90" s="128">
        <v>623048.32702411211</v>
      </c>
      <c r="P90" s="128">
        <v>624793.57288046123</v>
      </c>
      <c r="Q90" s="128">
        <v>627595.8495653061</v>
      </c>
      <c r="R90" s="128">
        <v>628509.72119747847</v>
      </c>
      <c r="S90" s="128">
        <v>631190.28570947552</v>
      </c>
      <c r="T90" s="128">
        <v>635058.54186969367</v>
      </c>
      <c r="U90" s="128">
        <v>638231.38537790056</v>
      </c>
      <c r="V90" s="128">
        <v>638242.38705498516</v>
      </c>
      <c r="W90" s="128">
        <v>635241.5383559016</v>
      </c>
      <c r="X90" s="128">
        <v>631317.1287630389</v>
      </c>
      <c r="Y90" s="128">
        <v>626714.41893034859</v>
      </c>
      <c r="Z90" s="128">
        <v>621953.00974602089</v>
      </c>
      <c r="AA90" s="128">
        <v>617175.32789114432</v>
      </c>
      <c r="AB90" s="128">
        <v>611916.93714194139</v>
      </c>
      <c r="AC90" s="128">
        <v>606383.10328210192</v>
      </c>
      <c r="AD90" s="128">
        <v>600429.33876535797</v>
      </c>
      <c r="AE90" s="128">
        <v>594029.3531687248</v>
      </c>
      <c r="AF90" s="129">
        <v>587783.9894706239</v>
      </c>
    </row>
    <row r="91" spans="1:32" x14ac:dyDescent="0.25">
      <c r="A91" s="124" t="s">
        <v>199</v>
      </c>
      <c r="B91" s="128">
        <v>867817.45142551709</v>
      </c>
      <c r="C91" s="128">
        <v>875392.34573226096</v>
      </c>
      <c r="D91" s="128">
        <v>881867.60170842067</v>
      </c>
      <c r="E91" s="128">
        <v>888226.19762700167</v>
      </c>
      <c r="F91" s="128">
        <v>895459.72421201144</v>
      </c>
      <c r="G91" s="128">
        <v>902886.19898238336</v>
      </c>
      <c r="H91" s="128">
        <v>910976.94456540665</v>
      </c>
      <c r="I91" s="128">
        <v>919327.31828795618</v>
      </c>
      <c r="J91" s="128">
        <v>927336.81899138738</v>
      </c>
      <c r="K91" s="128">
        <v>934766.26073189371</v>
      </c>
      <c r="L91" s="128">
        <v>941214.09194661793</v>
      </c>
      <c r="M91" s="128">
        <v>946634.01753765333</v>
      </c>
      <c r="N91" s="128">
        <v>951398.59078490199</v>
      </c>
      <c r="O91" s="128">
        <v>956753.36225537152</v>
      </c>
      <c r="P91" s="128">
        <v>962698.23804215039</v>
      </c>
      <c r="Q91" s="128">
        <v>968836.37719939312</v>
      </c>
      <c r="R91" s="128">
        <v>975131.31252464792</v>
      </c>
      <c r="S91" s="128">
        <v>982665.07927738782</v>
      </c>
      <c r="T91" s="128">
        <v>991368.56952950603</v>
      </c>
      <c r="U91" s="128">
        <v>999678.7231330364</v>
      </c>
      <c r="V91" s="128">
        <v>1006524.9617847863</v>
      </c>
      <c r="W91" s="128">
        <v>1011832.7412224619</v>
      </c>
      <c r="X91" s="128">
        <v>1016999.9493082804</v>
      </c>
      <c r="Y91" s="128">
        <v>1022265.3561841385</v>
      </c>
      <c r="Z91" s="128">
        <v>1027239.9439935139</v>
      </c>
      <c r="AA91" s="128">
        <v>1032925.6635198642</v>
      </c>
      <c r="AB91" s="128">
        <v>1039036.954816345</v>
      </c>
      <c r="AC91" s="128">
        <v>1046049.643368794</v>
      </c>
      <c r="AD91" s="128">
        <v>1054683.9952686536</v>
      </c>
      <c r="AE91" s="128">
        <v>1064686.2801693405</v>
      </c>
      <c r="AF91" s="129">
        <v>1077146.8762776947</v>
      </c>
    </row>
    <row r="92" spans="1:32" x14ac:dyDescent="0.25">
      <c r="A92" s="124" t="s">
        <v>200</v>
      </c>
      <c r="B92" s="128">
        <v>7952094.2567998311</v>
      </c>
      <c r="C92" s="128">
        <v>7915367.8238590378</v>
      </c>
      <c r="D92" s="128">
        <v>7893170.3215432828</v>
      </c>
      <c r="E92" s="128">
        <v>7917875.519903576</v>
      </c>
      <c r="F92" s="128">
        <v>7961833.237678485</v>
      </c>
      <c r="G92" s="128">
        <v>7971323.0900561614</v>
      </c>
      <c r="H92" s="128">
        <v>7938875.4187168544</v>
      </c>
      <c r="I92" s="128">
        <v>7934029.4119187146</v>
      </c>
      <c r="J92" s="128">
        <v>7947250.3380097486</v>
      </c>
      <c r="K92" s="128">
        <v>7922624.9992076615</v>
      </c>
      <c r="L92" s="128">
        <v>7872653.2878520675</v>
      </c>
      <c r="M92" s="128">
        <v>7794201.2631331012</v>
      </c>
      <c r="N92" s="128">
        <v>7699407.5708456943</v>
      </c>
      <c r="O92" s="128">
        <v>7591844.8166284347</v>
      </c>
      <c r="P92" s="128">
        <v>7455010.2690442037</v>
      </c>
      <c r="Q92" s="128">
        <v>7301507.7695780825</v>
      </c>
      <c r="R92" s="128">
        <v>7137077.5662979241</v>
      </c>
      <c r="S92" s="128">
        <v>6972430.8782194722</v>
      </c>
      <c r="T92" s="128">
        <v>6813191.0032548225</v>
      </c>
      <c r="U92" s="128">
        <v>6656991.4385047434</v>
      </c>
      <c r="V92" s="128">
        <v>6500333.1373119196</v>
      </c>
      <c r="W92" s="128">
        <v>6339934.6981513305</v>
      </c>
      <c r="X92" s="128">
        <v>6185375.4301574165</v>
      </c>
      <c r="Y92" s="128">
        <v>6040939.2189372489</v>
      </c>
      <c r="Z92" s="128">
        <v>5903001.0699397298</v>
      </c>
      <c r="AA92" s="128">
        <v>5775834.7365918625</v>
      </c>
      <c r="AB92" s="128">
        <v>5660750.8203500863</v>
      </c>
      <c r="AC92" s="128">
        <v>5560844.7732915403</v>
      </c>
      <c r="AD92" s="128">
        <v>5474139.9669523435</v>
      </c>
      <c r="AE92" s="128">
        <v>5401273.1536509488</v>
      </c>
      <c r="AF92" s="129">
        <v>5343051.2464584261</v>
      </c>
    </row>
    <row r="93" spans="1:32" x14ac:dyDescent="0.25">
      <c r="A93" s="124" t="s">
        <v>201</v>
      </c>
      <c r="B93" s="128">
        <v>280951.02835768595</v>
      </c>
      <c r="C93" s="128">
        <v>282203.45161621762</v>
      </c>
      <c r="D93" s="128">
        <v>283079.42785131431</v>
      </c>
      <c r="E93" s="128">
        <v>283510.61457444722</v>
      </c>
      <c r="F93" s="128">
        <v>283272.17044893565</v>
      </c>
      <c r="G93" s="128">
        <v>282151.80584937206</v>
      </c>
      <c r="H93" s="128">
        <v>279406.36855443788</v>
      </c>
      <c r="I93" s="128">
        <v>276471.80700562824</v>
      </c>
      <c r="J93" s="128">
        <v>273238.58239795244</v>
      </c>
      <c r="K93" s="128">
        <v>269893.42415210162</v>
      </c>
      <c r="L93" s="128">
        <v>266427.52394393337</v>
      </c>
      <c r="M93" s="128">
        <v>263485.7235842417</v>
      </c>
      <c r="N93" s="128">
        <v>261111.25162017043</v>
      </c>
      <c r="O93" s="128">
        <v>259218.51585832873</v>
      </c>
      <c r="P93" s="128">
        <v>257388.20463161173</v>
      </c>
      <c r="Q93" s="128">
        <v>255387.91213015441</v>
      </c>
      <c r="R93" s="128">
        <v>253666.9299781647</v>
      </c>
      <c r="S93" s="128">
        <v>252473.99155145962</v>
      </c>
      <c r="T93" s="128">
        <v>251840.93103951562</v>
      </c>
      <c r="U93" s="128">
        <v>251731.17841495006</v>
      </c>
      <c r="V93" s="128">
        <v>252735.14336943591</v>
      </c>
      <c r="W93" s="128">
        <v>254630.80238477938</v>
      </c>
      <c r="X93" s="128">
        <v>255967.55170574845</v>
      </c>
      <c r="Y93" s="128">
        <v>257100.72372675172</v>
      </c>
      <c r="Z93" s="128">
        <v>258568.91158629226</v>
      </c>
      <c r="AA93" s="128">
        <v>260067.40088481878</v>
      </c>
      <c r="AB93" s="128">
        <v>261809.1361364405</v>
      </c>
      <c r="AC93" s="128">
        <v>263650.82050498232</v>
      </c>
      <c r="AD93" s="128">
        <v>265370.71095926606</v>
      </c>
      <c r="AE93" s="128">
        <v>266933.09040070028</v>
      </c>
      <c r="AF93" s="129">
        <v>268432.28729565447</v>
      </c>
    </row>
    <row r="94" spans="1:32" x14ac:dyDescent="0.25">
      <c r="A94" s="124" t="s">
        <v>202</v>
      </c>
      <c r="B94" s="128">
        <v>15139152.398998307</v>
      </c>
      <c r="C94" s="128">
        <v>14901513.19390567</v>
      </c>
      <c r="D94" s="128">
        <v>14701453.060745804</v>
      </c>
      <c r="E94" s="128">
        <v>14537269.290638547</v>
      </c>
      <c r="F94" s="128">
        <v>14392432.611973237</v>
      </c>
      <c r="G94" s="128">
        <v>14249642.48479067</v>
      </c>
      <c r="H94" s="128">
        <v>14121056.902323237</v>
      </c>
      <c r="I94" s="128">
        <v>14014132.279998539</v>
      </c>
      <c r="J94" s="128">
        <v>13904045.907730848</v>
      </c>
      <c r="K94" s="128">
        <v>13784626.575124413</v>
      </c>
      <c r="L94" s="128">
        <v>13658899.308758067</v>
      </c>
      <c r="M94" s="128">
        <v>13495557.607840454</v>
      </c>
      <c r="N94" s="128">
        <v>13327100.796644444</v>
      </c>
      <c r="O94" s="128">
        <v>13148447.099386113</v>
      </c>
      <c r="P94" s="128">
        <v>12956603.38936065</v>
      </c>
      <c r="Q94" s="128">
        <v>12758445.682566548</v>
      </c>
      <c r="R94" s="128">
        <v>12601377.506240377</v>
      </c>
      <c r="S94" s="128">
        <v>12426762.933692563</v>
      </c>
      <c r="T94" s="128">
        <v>12196375.353636546</v>
      </c>
      <c r="U94" s="128">
        <v>11962717.420324052</v>
      </c>
      <c r="V94" s="128">
        <v>11718707.291931735</v>
      </c>
      <c r="W94" s="128">
        <v>11462408.450527737</v>
      </c>
      <c r="X94" s="128">
        <v>11187827.267512707</v>
      </c>
      <c r="Y94" s="128">
        <v>10898569.278669411</v>
      </c>
      <c r="Z94" s="128">
        <v>10616468.888240889</v>
      </c>
      <c r="AA94" s="128">
        <v>10367273.527394362</v>
      </c>
      <c r="AB94" s="128">
        <v>10149892.491186816</v>
      </c>
      <c r="AC94" s="128">
        <v>9964971.3300860226</v>
      </c>
      <c r="AD94" s="128">
        <v>9809762.1193107981</v>
      </c>
      <c r="AE94" s="128">
        <v>9679124.8755845595</v>
      </c>
      <c r="AF94" s="129">
        <v>9571773.3007407598</v>
      </c>
    </row>
    <row r="95" spans="1:32" x14ac:dyDescent="0.25">
      <c r="A95" s="124" t="s">
        <v>203</v>
      </c>
      <c r="B95" s="128">
        <v>680331.6255917236</v>
      </c>
      <c r="C95" s="128">
        <v>697072.17706460331</v>
      </c>
      <c r="D95" s="128">
        <v>715181.88602814195</v>
      </c>
      <c r="E95" s="128">
        <v>734516.42994125106</v>
      </c>
      <c r="F95" s="128">
        <v>755789.43435122748</v>
      </c>
      <c r="G95" s="128">
        <v>782055.95017276157</v>
      </c>
      <c r="H95" s="128">
        <v>842892.88847456709</v>
      </c>
      <c r="I95" s="128">
        <v>903873.9257337664</v>
      </c>
      <c r="J95" s="128">
        <v>931540.9544361044</v>
      </c>
      <c r="K95" s="128">
        <v>957381.7321165516</v>
      </c>
      <c r="L95" s="128">
        <v>983526.09617207502</v>
      </c>
      <c r="M95" s="128">
        <v>1011477.8216514125</v>
      </c>
      <c r="N95" s="128">
        <v>1027641.4196135326</v>
      </c>
      <c r="O95" s="128">
        <v>1093815.288151714</v>
      </c>
      <c r="P95" s="128">
        <v>1223163.9029277472</v>
      </c>
      <c r="Q95" s="128">
        <v>1337118.307542776</v>
      </c>
      <c r="R95" s="128">
        <v>1404217.7655278395</v>
      </c>
      <c r="S95" s="128">
        <v>1439311.4280787522</v>
      </c>
      <c r="T95" s="128">
        <v>1473745.6536559332</v>
      </c>
      <c r="U95" s="128">
        <v>1507678.6564277094</v>
      </c>
      <c r="V95" s="128">
        <v>1540535.1041886604</v>
      </c>
      <c r="W95" s="128">
        <v>1573100.1113343271</v>
      </c>
      <c r="X95" s="128">
        <v>1595826.0407584286</v>
      </c>
      <c r="Y95" s="128">
        <v>1607967.5660463141</v>
      </c>
      <c r="Z95" s="128">
        <v>1619166.1473814975</v>
      </c>
      <c r="AA95" s="128">
        <v>1632105.8475595491</v>
      </c>
      <c r="AB95" s="128">
        <v>1646608.4099157243</v>
      </c>
      <c r="AC95" s="128">
        <v>1661463.0716551288</v>
      </c>
      <c r="AD95" s="128">
        <v>1676669.2606029978</v>
      </c>
      <c r="AE95" s="128">
        <v>1694508.9340942733</v>
      </c>
      <c r="AF95" s="129">
        <v>1714441.682201989</v>
      </c>
    </row>
    <row r="96" spans="1:32" x14ac:dyDescent="0.25">
      <c r="A96" s="124" t="s">
        <v>204</v>
      </c>
      <c r="B96" s="128">
        <v>2688857.1417145655</v>
      </c>
      <c r="C96" s="128">
        <v>2699953.0233696392</v>
      </c>
      <c r="D96" s="128">
        <v>2713601.0415506088</v>
      </c>
      <c r="E96" s="128">
        <v>2730320.733328843</v>
      </c>
      <c r="F96" s="128">
        <v>2750636.2115007653</v>
      </c>
      <c r="G96" s="128">
        <v>2776165.2892541545</v>
      </c>
      <c r="H96" s="128">
        <v>2802320.0560942297</v>
      </c>
      <c r="I96" s="128">
        <v>2826815.4149672082</v>
      </c>
      <c r="J96" s="128">
        <v>2845611.0391857177</v>
      </c>
      <c r="K96" s="128">
        <v>2861787.8966297419</v>
      </c>
      <c r="L96" s="128">
        <v>2878555.7515413724</v>
      </c>
      <c r="M96" s="128">
        <v>2898718.0828182031</v>
      </c>
      <c r="N96" s="128">
        <v>2917890.7366066496</v>
      </c>
      <c r="O96" s="128">
        <v>2937933.590047183</v>
      </c>
      <c r="P96" s="128">
        <v>2956215.9041300318</v>
      </c>
      <c r="Q96" s="128">
        <v>2970178.5256237746</v>
      </c>
      <c r="R96" s="128">
        <v>2980534.2282782011</v>
      </c>
      <c r="S96" s="128">
        <v>2986440.0846336433</v>
      </c>
      <c r="T96" s="128">
        <v>2985005.3238936639</v>
      </c>
      <c r="U96" s="128">
        <v>2975835.4246735605</v>
      </c>
      <c r="V96" s="128">
        <v>2963618.6938734297</v>
      </c>
      <c r="W96" s="128">
        <v>2948693.5748423114</v>
      </c>
      <c r="X96" s="128">
        <v>2931721.3857338717</v>
      </c>
      <c r="Y96" s="128">
        <v>2916556.73322393</v>
      </c>
      <c r="Z96" s="128">
        <v>2903045.7162567116</v>
      </c>
      <c r="AA96" s="128">
        <v>2891511.4996634219</v>
      </c>
      <c r="AB96" s="128">
        <v>2881213.7839064845</v>
      </c>
      <c r="AC96" s="128">
        <v>2872922.2398379236</v>
      </c>
      <c r="AD96" s="128">
        <v>2867755.2592927762</v>
      </c>
      <c r="AE96" s="128">
        <v>2868554.4824781683</v>
      </c>
      <c r="AF96" s="129">
        <v>2875997.3065930149</v>
      </c>
    </row>
    <row r="97" spans="1:32" x14ac:dyDescent="0.25">
      <c r="A97" s="124" t="s">
        <v>39</v>
      </c>
      <c r="B97" s="128">
        <v>4397706.346210476</v>
      </c>
      <c r="C97" s="128">
        <v>4557458.5967234178</v>
      </c>
      <c r="D97" s="128">
        <v>4719528.3025284875</v>
      </c>
      <c r="E97" s="128">
        <v>4879857.3079258343</v>
      </c>
      <c r="F97" s="128">
        <v>5046300.4400793752</v>
      </c>
      <c r="G97" s="128">
        <v>5214825.4463436315</v>
      </c>
      <c r="H97" s="128">
        <v>5388667.4492521873</v>
      </c>
      <c r="I97" s="128">
        <v>5563493.9489251701</v>
      </c>
      <c r="J97" s="128">
        <v>5740101.9704734934</v>
      </c>
      <c r="K97" s="128">
        <v>5915639.6565653197</v>
      </c>
      <c r="L97" s="128">
        <v>6076048.4970844174</v>
      </c>
      <c r="M97" s="128">
        <v>6223022.6804567445</v>
      </c>
      <c r="N97" s="128">
        <v>6359819.1378378617</v>
      </c>
      <c r="O97" s="128">
        <v>6492218.3302335078</v>
      </c>
      <c r="P97" s="128">
        <v>6623452.9998469222</v>
      </c>
      <c r="Q97" s="128">
        <v>6751252.7136796778</v>
      </c>
      <c r="R97" s="128">
        <v>6889091.223628548</v>
      </c>
      <c r="S97" s="128">
        <v>7035476.8872062666</v>
      </c>
      <c r="T97" s="128">
        <v>7176564.5190585032</v>
      </c>
      <c r="U97" s="128">
        <v>7322442.9930110788</v>
      </c>
      <c r="V97" s="128">
        <v>7482840.402654428</v>
      </c>
      <c r="W97" s="128">
        <v>7647042.2685655113</v>
      </c>
      <c r="X97" s="128">
        <v>7817135.332124183</v>
      </c>
      <c r="Y97" s="128">
        <v>7998595.0585494246</v>
      </c>
      <c r="Z97" s="128">
        <v>8184565.4531299872</v>
      </c>
      <c r="AA97" s="128">
        <v>8370485.5835417658</v>
      </c>
      <c r="AB97" s="128">
        <v>8552681.234671047</v>
      </c>
      <c r="AC97" s="128">
        <v>8731494.8402292989</v>
      </c>
      <c r="AD97" s="128">
        <v>8907025.0305247791</v>
      </c>
      <c r="AE97" s="128">
        <v>9078954.0864244513</v>
      </c>
      <c r="AF97" s="129">
        <v>9250597.7911269944</v>
      </c>
    </row>
    <row r="98" spans="1:32" x14ac:dyDescent="0.25">
      <c r="A98" s="124" t="s">
        <v>205</v>
      </c>
      <c r="B98" s="128">
        <v>14348.753672963461</v>
      </c>
      <c r="C98" s="128">
        <v>14662.129516376774</v>
      </c>
      <c r="D98" s="128">
        <v>14998.999527877706</v>
      </c>
      <c r="E98" s="128">
        <v>15346.594563459459</v>
      </c>
      <c r="F98" s="128">
        <v>15694.718409546267</v>
      </c>
      <c r="G98" s="128">
        <v>16054.260425211807</v>
      </c>
      <c r="H98" s="128">
        <v>16514.652862773561</v>
      </c>
      <c r="I98" s="128">
        <v>17036.728519461994</v>
      </c>
      <c r="J98" s="128">
        <v>17551.338882628195</v>
      </c>
      <c r="K98" s="128">
        <v>18042.165021028864</v>
      </c>
      <c r="L98" s="128">
        <v>18515.812153243314</v>
      </c>
      <c r="M98" s="128">
        <v>18915.314374238074</v>
      </c>
      <c r="N98" s="128">
        <v>19202.934545740012</v>
      </c>
      <c r="O98" s="128">
        <v>19460.018206269433</v>
      </c>
      <c r="P98" s="128">
        <v>19714.799609982492</v>
      </c>
      <c r="Q98" s="128">
        <v>19981.287877906263</v>
      </c>
      <c r="R98" s="128">
        <v>20289.603608039066</v>
      </c>
      <c r="S98" s="128">
        <v>20607.316002863881</v>
      </c>
      <c r="T98" s="128">
        <v>20918.642621123701</v>
      </c>
      <c r="U98" s="128">
        <v>21205.305222084568</v>
      </c>
      <c r="V98" s="128">
        <v>21481.892471900428</v>
      </c>
      <c r="W98" s="128">
        <v>21767.51263000898</v>
      </c>
      <c r="X98" s="128">
        <v>21995.351904374704</v>
      </c>
      <c r="Y98" s="128">
        <v>22184.125424083941</v>
      </c>
      <c r="Z98" s="128">
        <v>22394.55190912581</v>
      </c>
      <c r="AA98" s="128">
        <v>22643.202647036309</v>
      </c>
      <c r="AB98" s="128">
        <v>22929.408848480569</v>
      </c>
      <c r="AC98" s="128">
        <v>23230.564090644362</v>
      </c>
      <c r="AD98" s="128">
        <v>23526.987372996358</v>
      </c>
      <c r="AE98" s="128">
        <v>23786.775587972439</v>
      </c>
      <c r="AF98" s="129">
        <v>24005.746178213754</v>
      </c>
    </row>
    <row r="99" spans="1:32" x14ac:dyDescent="0.25">
      <c r="A99" s="124" t="s">
        <v>206</v>
      </c>
      <c r="B99" s="128">
        <v>261146.36016175046</v>
      </c>
      <c r="C99" s="128">
        <v>265651.51587817632</v>
      </c>
      <c r="D99" s="128">
        <v>270466.93348571693</v>
      </c>
      <c r="E99" s="128">
        <v>275669.30224982265</v>
      </c>
      <c r="F99" s="128">
        <v>281192.63678981247</v>
      </c>
      <c r="G99" s="128">
        <v>293656.91777086037</v>
      </c>
      <c r="H99" s="128">
        <v>321317.73514856678</v>
      </c>
      <c r="I99" s="128">
        <v>354324.15851469559</v>
      </c>
      <c r="J99" s="128">
        <v>390118.36511661421</v>
      </c>
      <c r="K99" s="128">
        <v>428838.15443329856</v>
      </c>
      <c r="L99" s="128">
        <v>470256.76850801747</v>
      </c>
      <c r="M99" s="128">
        <v>520001.74085977033</v>
      </c>
      <c r="N99" s="128">
        <v>572993.79610139958</v>
      </c>
      <c r="O99" s="128">
        <v>625543.54825436289</v>
      </c>
      <c r="P99" s="128">
        <v>643624.55231436261</v>
      </c>
      <c r="Q99" s="128">
        <v>638214.54557050206</v>
      </c>
      <c r="R99" s="128">
        <v>643344.53684876568</v>
      </c>
      <c r="S99" s="128">
        <v>654551.43791134632</v>
      </c>
      <c r="T99" s="128">
        <v>669696.99015188008</v>
      </c>
      <c r="U99" s="128">
        <v>680917.36809626454</v>
      </c>
      <c r="V99" s="128">
        <v>658739.45633102069</v>
      </c>
      <c r="W99" s="128">
        <v>618626.79508745647</v>
      </c>
      <c r="X99" s="128">
        <v>602890.23969336611</v>
      </c>
      <c r="Y99" s="128">
        <v>591777.48849124543</v>
      </c>
      <c r="Z99" s="128">
        <v>581817.37594705902</v>
      </c>
      <c r="AA99" s="128">
        <v>573732.85004224977</v>
      </c>
      <c r="AB99" s="128">
        <v>565760.01083277888</v>
      </c>
      <c r="AC99" s="128">
        <v>559021.69381087727</v>
      </c>
      <c r="AD99" s="128">
        <v>553339.94404175493</v>
      </c>
      <c r="AE99" s="128">
        <v>548314.73477963964</v>
      </c>
      <c r="AF99" s="129">
        <v>543470.78263173997</v>
      </c>
    </row>
    <row r="100" spans="1:32" x14ac:dyDescent="0.25">
      <c r="A100" s="124" t="s">
        <v>2018</v>
      </c>
      <c r="B100" s="128">
        <v>855838.71612834255</v>
      </c>
      <c r="C100" s="128">
        <v>873479.37432856183</v>
      </c>
      <c r="D100" s="128">
        <v>891031.52518212795</v>
      </c>
      <c r="E100" s="128">
        <v>909173.04804958147</v>
      </c>
      <c r="F100" s="128">
        <v>927678.01694551355</v>
      </c>
      <c r="G100" s="128">
        <v>944708.49798472517</v>
      </c>
      <c r="H100" s="128">
        <v>957267.82831772882</v>
      </c>
      <c r="I100" s="128">
        <v>966785.9262672289</v>
      </c>
      <c r="J100" s="128">
        <v>974989.31296270771</v>
      </c>
      <c r="K100" s="128">
        <v>985009.85987985693</v>
      </c>
      <c r="L100" s="128">
        <v>993725.68094243016</v>
      </c>
      <c r="M100" s="128">
        <v>1005533.3801759589</v>
      </c>
      <c r="N100" s="128">
        <v>1017406.2167470024</v>
      </c>
      <c r="O100" s="128">
        <v>1029159.3319910471</v>
      </c>
      <c r="P100" s="128">
        <v>1040659.4989290712</v>
      </c>
      <c r="Q100" s="128">
        <v>1051311.4363292579</v>
      </c>
      <c r="R100" s="128">
        <v>1062277.7288694619</v>
      </c>
      <c r="S100" s="128">
        <v>1073344.6017591122</v>
      </c>
      <c r="T100" s="128">
        <v>1083261.4566498427</v>
      </c>
      <c r="U100" s="128">
        <v>1091884.6366944702</v>
      </c>
      <c r="V100" s="128">
        <v>1101514.0241676357</v>
      </c>
      <c r="W100" s="128">
        <v>1112143.3351681978</v>
      </c>
      <c r="X100" s="128">
        <v>1121943.4210399785</v>
      </c>
      <c r="Y100" s="128">
        <v>1131536.8280374361</v>
      </c>
      <c r="Z100" s="128">
        <v>1140833.7587819751</v>
      </c>
      <c r="AA100" s="128">
        <v>1149937.5775332164</v>
      </c>
      <c r="AB100" s="128">
        <v>1158573.5875712724</v>
      </c>
      <c r="AC100" s="128">
        <v>1166159.823248653</v>
      </c>
      <c r="AD100" s="128">
        <v>1173553.8665176793</v>
      </c>
      <c r="AE100" s="128">
        <v>1182002.6923134043</v>
      </c>
      <c r="AF100" s="129">
        <v>1192310.1489788501</v>
      </c>
    </row>
    <row r="101" spans="1:32" x14ac:dyDescent="0.25">
      <c r="A101" s="124" t="s">
        <v>41</v>
      </c>
      <c r="B101" s="128">
        <v>800708.32455368084</v>
      </c>
      <c r="C101" s="128">
        <v>816402.73563929286</v>
      </c>
      <c r="D101" s="128">
        <v>832179.44481328328</v>
      </c>
      <c r="E101" s="128">
        <v>847937.94631799869</v>
      </c>
      <c r="F101" s="128">
        <v>863567.34641126811</v>
      </c>
      <c r="G101" s="128">
        <v>880545.25188291632</v>
      </c>
      <c r="H101" s="128">
        <v>901321.52937634254</v>
      </c>
      <c r="I101" s="128">
        <v>921773.36320693663</v>
      </c>
      <c r="J101" s="128">
        <v>941630.5884581313</v>
      </c>
      <c r="K101" s="128">
        <v>961077.38695096481</v>
      </c>
      <c r="L101" s="128">
        <v>980456.43338156131</v>
      </c>
      <c r="M101" s="128">
        <v>1001985.0051940538</v>
      </c>
      <c r="N101" s="128">
        <v>1023548.868168555</v>
      </c>
      <c r="O101" s="128">
        <v>1045045.4949310703</v>
      </c>
      <c r="P101" s="128">
        <v>1066212.8175421599</v>
      </c>
      <c r="Q101" s="128">
        <v>1088255.8108692083</v>
      </c>
      <c r="R101" s="128">
        <v>1110631.278928946</v>
      </c>
      <c r="S101" s="128">
        <v>1132347.8233657228</v>
      </c>
      <c r="T101" s="128">
        <v>1152801.6010302627</v>
      </c>
      <c r="U101" s="128">
        <v>1172155.0506640866</v>
      </c>
      <c r="V101" s="128">
        <v>1190744.2116622762</v>
      </c>
      <c r="W101" s="128">
        <v>1209338.8176049448</v>
      </c>
      <c r="X101" s="128">
        <v>1226669.5514299616</v>
      </c>
      <c r="Y101" s="128">
        <v>1242686.2382990455</v>
      </c>
      <c r="Z101" s="128">
        <v>1257642.998023269</v>
      </c>
      <c r="AA101" s="128">
        <v>1271667.0503204106</v>
      </c>
      <c r="AB101" s="128">
        <v>1285468.652631291</v>
      </c>
      <c r="AC101" s="128">
        <v>1298528.077748256</v>
      </c>
      <c r="AD101" s="128">
        <v>1310758.7426673665</v>
      </c>
      <c r="AE101" s="128">
        <v>1321945.7964608241</v>
      </c>
      <c r="AF101" s="129">
        <v>1332245.0086976134</v>
      </c>
    </row>
    <row r="102" spans="1:32" x14ac:dyDescent="0.25">
      <c r="A102" s="124" t="s">
        <v>207</v>
      </c>
      <c r="B102" s="128">
        <v>337846.27251297917</v>
      </c>
      <c r="C102" s="128">
        <v>329860.94198100234</v>
      </c>
      <c r="D102" s="128">
        <v>321740.71030153206</v>
      </c>
      <c r="E102" s="128">
        <v>313390.05244331603</v>
      </c>
      <c r="F102" s="128">
        <v>304730.75705726992</v>
      </c>
      <c r="G102" s="128">
        <v>296258.41986712255</v>
      </c>
      <c r="H102" s="128">
        <v>288990.83404070779</v>
      </c>
      <c r="I102" s="128">
        <v>281712.28892207524</v>
      </c>
      <c r="J102" s="128">
        <v>273998.70309509145</v>
      </c>
      <c r="K102" s="128">
        <v>265848.84567079891</v>
      </c>
      <c r="L102" s="128">
        <v>257510.24244567115</v>
      </c>
      <c r="M102" s="128">
        <v>249476.94347206043</v>
      </c>
      <c r="N102" s="128">
        <v>242110.67530118561</v>
      </c>
      <c r="O102" s="128">
        <v>235386.63084316373</v>
      </c>
      <c r="P102" s="128">
        <v>229258.45504077122</v>
      </c>
      <c r="Q102" s="128">
        <v>223675.6028058088</v>
      </c>
      <c r="R102" s="128">
        <v>218905.56756415844</v>
      </c>
      <c r="S102" s="128">
        <v>214090.14282976679</v>
      </c>
      <c r="T102" s="128">
        <v>209428.99743725188</v>
      </c>
      <c r="U102" s="128">
        <v>204558.18323022028</v>
      </c>
      <c r="V102" s="128">
        <v>199461.20298220863</v>
      </c>
      <c r="W102" s="128">
        <v>194294.0928230529</v>
      </c>
      <c r="X102" s="128">
        <v>189120.9589466429</v>
      </c>
      <c r="Y102" s="128">
        <v>184230.50933247185</v>
      </c>
      <c r="Z102" s="128">
        <v>179505.16706531786</v>
      </c>
      <c r="AA102" s="128">
        <v>174926.59998079092</v>
      </c>
      <c r="AB102" s="128">
        <v>170702.19437165075</v>
      </c>
      <c r="AC102" s="128">
        <v>167284.77258137704</v>
      </c>
      <c r="AD102" s="128">
        <v>164581.01710749642</v>
      </c>
      <c r="AE102" s="128">
        <v>162212.99878679612</v>
      </c>
      <c r="AF102" s="129">
        <v>159907.33619645907</v>
      </c>
    </row>
    <row r="103" spans="1:32" x14ac:dyDescent="0.25">
      <c r="A103" s="124" t="s">
        <v>208</v>
      </c>
      <c r="B103" s="128">
        <v>589004.26494864491</v>
      </c>
      <c r="C103" s="128">
        <v>591853.81634600752</v>
      </c>
      <c r="D103" s="128">
        <v>590403.40406199032</v>
      </c>
      <c r="E103" s="128">
        <v>586909.55866091058</v>
      </c>
      <c r="F103" s="128">
        <v>583574.174008684</v>
      </c>
      <c r="G103" s="128">
        <v>578941.97449965787</v>
      </c>
      <c r="H103" s="128">
        <v>584537.6026932688</v>
      </c>
      <c r="I103" s="128">
        <v>591096.71814075706</v>
      </c>
      <c r="J103" s="128">
        <v>596095.37566056289</v>
      </c>
      <c r="K103" s="128">
        <v>599346.22529812576</v>
      </c>
      <c r="L103" s="128">
        <v>600452.1019005751</v>
      </c>
      <c r="M103" s="128">
        <v>601518.27607372834</v>
      </c>
      <c r="N103" s="128">
        <v>613194.19561910594</v>
      </c>
      <c r="O103" s="128">
        <v>668502.17793923093</v>
      </c>
      <c r="P103" s="128">
        <v>734712.31686444778</v>
      </c>
      <c r="Q103" s="128">
        <v>741861.11821941426</v>
      </c>
      <c r="R103" s="128">
        <v>716473.50163154933</v>
      </c>
      <c r="S103" s="128">
        <v>691073.3238619779</v>
      </c>
      <c r="T103" s="128">
        <v>665867.68856740603</v>
      </c>
      <c r="U103" s="128">
        <v>641378.16536851053</v>
      </c>
      <c r="V103" s="128">
        <v>623897.8064870938</v>
      </c>
      <c r="W103" s="128">
        <v>615148.72009941144</v>
      </c>
      <c r="X103" s="128">
        <v>603199.87742678577</v>
      </c>
      <c r="Y103" s="128">
        <v>586129.0184759316</v>
      </c>
      <c r="Z103" s="128">
        <v>568636.04715421901</v>
      </c>
      <c r="AA103" s="128">
        <v>553553.92796766979</v>
      </c>
      <c r="AB103" s="128">
        <v>540521.46396156971</v>
      </c>
      <c r="AC103" s="128">
        <v>531708.28930480708</v>
      </c>
      <c r="AD103" s="128">
        <v>526502.08035690535</v>
      </c>
      <c r="AE103" s="128">
        <v>523402.0997101377</v>
      </c>
      <c r="AF103" s="129">
        <v>522290.91783318389</v>
      </c>
    </row>
    <row r="104" spans="1:32" x14ac:dyDescent="0.25">
      <c r="A104" s="124" t="s">
        <v>42</v>
      </c>
      <c r="B104" s="128">
        <v>282394.9630526572</v>
      </c>
      <c r="C104" s="128">
        <v>282928.95135637955</v>
      </c>
      <c r="D104" s="128">
        <v>282852.232368347</v>
      </c>
      <c r="E104" s="128">
        <v>282274.62674630887</v>
      </c>
      <c r="F104" s="128">
        <v>281100.75811290956</v>
      </c>
      <c r="G104" s="128">
        <v>279920.78993198328</v>
      </c>
      <c r="H104" s="128">
        <v>280425.58276294527</v>
      </c>
      <c r="I104" s="128">
        <v>280855.04767666868</v>
      </c>
      <c r="J104" s="128">
        <v>281455.76254249527</v>
      </c>
      <c r="K104" s="128">
        <v>282678.86915125966</v>
      </c>
      <c r="L104" s="128">
        <v>285933.12055678095</v>
      </c>
      <c r="M104" s="128">
        <v>290071.87223775533</v>
      </c>
      <c r="N104" s="128">
        <v>293992.61556427536</v>
      </c>
      <c r="O104" s="128">
        <v>297756.02445203054</v>
      </c>
      <c r="P104" s="128">
        <v>301416.05931108142</v>
      </c>
      <c r="Q104" s="128">
        <v>305168.74201033212</v>
      </c>
      <c r="R104" s="128">
        <v>310177.07061932312</v>
      </c>
      <c r="S104" s="128">
        <v>315479.47808975069</v>
      </c>
      <c r="T104" s="128">
        <v>321032.34667966317</v>
      </c>
      <c r="U104" s="128">
        <v>326625.67250559141</v>
      </c>
      <c r="V104" s="128">
        <v>332607.06950320047</v>
      </c>
      <c r="W104" s="128">
        <v>339296.3237142865</v>
      </c>
      <c r="X104" s="128">
        <v>345864.91228992987</v>
      </c>
      <c r="Y104" s="128">
        <v>352355.03843140678</v>
      </c>
      <c r="Z104" s="128">
        <v>358440.36441139242</v>
      </c>
      <c r="AA104" s="128">
        <v>363889.38410337979</v>
      </c>
      <c r="AB104" s="128">
        <v>369371.13895955164</v>
      </c>
      <c r="AC104" s="128">
        <v>374670.38585990254</v>
      </c>
      <c r="AD104" s="128">
        <v>379679.32100338291</v>
      </c>
      <c r="AE104" s="128">
        <v>384229.32760352688</v>
      </c>
      <c r="AF104" s="129">
        <v>388147.90036656667</v>
      </c>
    </row>
    <row r="105" spans="1:32" x14ac:dyDescent="0.25">
      <c r="A105" s="124" t="s">
        <v>43</v>
      </c>
      <c r="B105" s="128">
        <v>432548.87899382238</v>
      </c>
      <c r="C105" s="128">
        <v>442563.88645914703</v>
      </c>
      <c r="D105" s="128">
        <v>451245.80425417708</v>
      </c>
      <c r="E105" s="128">
        <v>451900.26804012607</v>
      </c>
      <c r="F105" s="128">
        <v>454326.5864456711</v>
      </c>
      <c r="G105" s="128">
        <v>471936.66214712855</v>
      </c>
      <c r="H105" s="128">
        <v>495885.94574763119</v>
      </c>
      <c r="I105" s="128">
        <v>517985.58244698431</v>
      </c>
      <c r="J105" s="128">
        <v>537271.2944690882</v>
      </c>
      <c r="K105" s="128">
        <v>552350.94510210189</v>
      </c>
      <c r="L105" s="128">
        <v>565732.44453075354</v>
      </c>
      <c r="M105" s="128">
        <v>590392.24149339565</v>
      </c>
      <c r="N105" s="128">
        <v>611540.33480401221</v>
      </c>
      <c r="O105" s="128">
        <v>618965.53965576342</v>
      </c>
      <c r="P105" s="128">
        <v>626606.66333738877</v>
      </c>
      <c r="Q105" s="128">
        <v>635399.78955556289</v>
      </c>
      <c r="R105" s="128">
        <v>644662.8037164472</v>
      </c>
      <c r="S105" s="128">
        <v>653145.38963369327</v>
      </c>
      <c r="T105" s="128">
        <v>662368.52451156056</v>
      </c>
      <c r="U105" s="128">
        <v>672762.24938837427</v>
      </c>
      <c r="V105" s="128">
        <v>685625.66167354502</v>
      </c>
      <c r="W105" s="128">
        <v>700399.72721808532</v>
      </c>
      <c r="X105" s="128">
        <v>716441.96702168218</v>
      </c>
      <c r="Y105" s="128">
        <v>733593.7009834398</v>
      </c>
      <c r="Z105" s="128">
        <v>750885.83866993978</v>
      </c>
      <c r="AA105" s="128">
        <v>768209.08451104793</v>
      </c>
      <c r="AB105" s="128">
        <v>785619.5065877774</v>
      </c>
      <c r="AC105" s="128">
        <v>803782.845889588</v>
      </c>
      <c r="AD105" s="128">
        <v>822243.23793781025</v>
      </c>
      <c r="AE105" s="128">
        <v>840141.59893913486</v>
      </c>
      <c r="AF105" s="129">
        <v>857597.13920423237</v>
      </c>
    </row>
    <row r="106" spans="1:32" x14ac:dyDescent="0.25">
      <c r="A106" s="124" t="s">
        <v>209</v>
      </c>
      <c r="B106" s="128">
        <v>775469.94310127234</v>
      </c>
      <c r="C106" s="128">
        <v>816223.76221661037</v>
      </c>
      <c r="D106" s="128">
        <v>858590.6745916541</v>
      </c>
      <c r="E106" s="128">
        <v>902860.38994953653</v>
      </c>
      <c r="F106" s="128">
        <v>949228.77249286382</v>
      </c>
      <c r="G106" s="128">
        <v>997360.24451737234</v>
      </c>
      <c r="H106" s="128">
        <v>1037767.6726684922</v>
      </c>
      <c r="I106" s="128">
        <v>1070769.6095377335</v>
      </c>
      <c r="J106" s="128">
        <v>1103593.7464992551</v>
      </c>
      <c r="K106" s="128">
        <v>1134458.8131760939</v>
      </c>
      <c r="L106" s="128">
        <v>1162749.1690157491</v>
      </c>
      <c r="M106" s="128">
        <v>1076275.0510168797</v>
      </c>
      <c r="N106" s="128">
        <v>985981.75862828107</v>
      </c>
      <c r="O106" s="128">
        <v>1009653.3591451637</v>
      </c>
      <c r="P106" s="128">
        <v>1031305.6587356079</v>
      </c>
      <c r="Q106" s="128">
        <v>1047187.0354495678</v>
      </c>
      <c r="R106" s="128">
        <v>1061918.4953516906</v>
      </c>
      <c r="S106" s="128">
        <v>1077113.8782697304</v>
      </c>
      <c r="T106" s="128">
        <v>1091614.6311786189</v>
      </c>
      <c r="U106" s="128">
        <v>1102737.5038301572</v>
      </c>
      <c r="V106" s="128">
        <v>1111355.3449907247</v>
      </c>
      <c r="W106" s="128">
        <v>1118573.6919615178</v>
      </c>
      <c r="X106" s="128">
        <v>1123788.975265705</v>
      </c>
      <c r="Y106" s="128">
        <v>1127094.6283514195</v>
      </c>
      <c r="Z106" s="128">
        <v>1129292.1118234303</v>
      </c>
      <c r="AA106" s="128">
        <v>1130872.0742609112</v>
      </c>
      <c r="AB106" s="128">
        <v>1132041.0435327285</v>
      </c>
      <c r="AC106" s="128">
        <v>1130691.4285344225</v>
      </c>
      <c r="AD106" s="128">
        <v>1127268.6409168181</v>
      </c>
      <c r="AE106" s="128">
        <v>1124647.6022511024</v>
      </c>
      <c r="AF106" s="129">
        <v>1123180.8850154381</v>
      </c>
    </row>
    <row r="107" spans="1:32" x14ac:dyDescent="0.25">
      <c r="A107" s="124" t="s">
        <v>211</v>
      </c>
      <c r="B107" s="128">
        <v>550834.92399129469</v>
      </c>
      <c r="C107" s="128">
        <v>541128.0688378755</v>
      </c>
      <c r="D107" s="128">
        <v>530526.64967201906</v>
      </c>
      <c r="E107" s="128">
        <v>519106.39512437605</v>
      </c>
      <c r="F107" s="128">
        <v>506841.30461743043</v>
      </c>
      <c r="G107" s="128">
        <v>493950.57890748006</v>
      </c>
      <c r="H107" s="128">
        <v>481203.19913245714</v>
      </c>
      <c r="I107" s="128">
        <v>467578.71629798727</v>
      </c>
      <c r="J107" s="128">
        <v>452526.73810290941</v>
      </c>
      <c r="K107" s="128">
        <v>436164.25691456191</v>
      </c>
      <c r="L107" s="128">
        <v>419616.51418393932</v>
      </c>
      <c r="M107" s="128">
        <v>404430.58903688588</v>
      </c>
      <c r="N107" s="128">
        <v>390377.61417644587</v>
      </c>
      <c r="O107" s="128">
        <v>377487.79096434207</v>
      </c>
      <c r="P107" s="128">
        <v>365451.37461411831</v>
      </c>
      <c r="Q107" s="128">
        <v>353941.95393446367</v>
      </c>
      <c r="R107" s="128">
        <v>344579.62536845868</v>
      </c>
      <c r="S107" s="128">
        <v>335950.47105502192</v>
      </c>
      <c r="T107" s="128">
        <v>328070.27425587992</v>
      </c>
      <c r="U107" s="128">
        <v>320660.65627859056</v>
      </c>
      <c r="V107" s="128">
        <v>313163.75120239938</v>
      </c>
      <c r="W107" s="128">
        <v>305462.48542424187</v>
      </c>
      <c r="X107" s="128">
        <v>297886.73268428736</v>
      </c>
      <c r="Y107" s="128">
        <v>290885.56993105705</v>
      </c>
      <c r="Z107" s="128">
        <v>284448.51883530087</v>
      </c>
      <c r="AA107" s="128">
        <v>278058.62378847366</v>
      </c>
      <c r="AB107" s="128">
        <v>271459.63660424715</v>
      </c>
      <c r="AC107" s="128">
        <v>264955.2946034522</v>
      </c>
      <c r="AD107" s="128">
        <v>258614.90717305368</v>
      </c>
      <c r="AE107" s="128">
        <v>252835.94732285818</v>
      </c>
      <c r="AF107" s="129">
        <v>248144.3894864973</v>
      </c>
    </row>
    <row r="108" spans="1:32" x14ac:dyDescent="0.25">
      <c r="A108" s="124" t="s">
        <v>212</v>
      </c>
      <c r="B108" s="128">
        <v>65602.125092469927</v>
      </c>
      <c r="C108" s="128">
        <v>66546.083848921684</v>
      </c>
      <c r="D108" s="128">
        <v>66572.003130290104</v>
      </c>
      <c r="E108" s="128">
        <v>66704.893591962857</v>
      </c>
      <c r="F108" s="128">
        <v>66934.610474626315</v>
      </c>
      <c r="G108" s="128">
        <v>67269.56123955769</v>
      </c>
      <c r="H108" s="128">
        <v>67406.187303306855</v>
      </c>
      <c r="I108" s="128">
        <v>67613.37563058357</v>
      </c>
      <c r="J108" s="128">
        <v>68158.600708510858</v>
      </c>
      <c r="K108" s="128">
        <v>68835.733135470931</v>
      </c>
      <c r="L108" s="128">
        <v>69470.212347768625</v>
      </c>
      <c r="M108" s="128">
        <v>70045.153077868701</v>
      </c>
      <c r="N108" s="128">
        <v>70894.614943625245</v>
      </c>
      <c r="O108" s="128">
        <v>71571.808793920689</v>
      </c>
      <c r="P108" s="128">
        <v>72457.960493324455</v>
      </c>
      <c r="Q108" s="128">
        <v>73576.958548369716</v>
      </c>
      <c r="R108" s="128">
        <v>74541.806561307181</v>
      </c>
      <c r="S108" s="128">
        <v>75492.272274229806</v>
      </c>
      <c r="T108" s="128">
        <v>76353.335110045722</v>
      </c>
      <c r="U108" s="128">
        <v>77484.460128593142</v>
      </c>
      <c r="V108" s="128">
        <v>78446.512970515381</v>
      </c>
      <c r="W108" s="128">
        <v>78906.265956020987</v>
      </c>
      <c r="X108" s="128">
        <v>79354.220869086508</v>
      </c>
      <c r="Y108" s="128">
        <v>79704.428505111995</v>
      </c>
      <c r="Z108" s="128">
        <v>80022.293909902335</v>
      </c>
      <c r="AA108" s="128">
        <v>80322.274097309972</v>
      </c>
      <c r="AB108" s="128">
        <v>80518.791871904366</v>
      </c>
      <c r="AC108" s="128">
        <v>80626.249626397504</v>
      </c>
      <c r="AD108" s="128">
        <v>80734.787955447173</v>
      </c>
      <c r="AE108" s="128">
        <v>80854.351102032699</v>
      </c>
      <c r="AF108" s="129">
        <v>80933.288494383974</v>
      </c>
    </row>
    <row r="109" spans="1:32" x14ac:dyDescent="0.25">
      <c r="A109" s="124" t="s">
        <v>44</v>
      </c>
      <c r="B109" s="128">
        <v>2561661.6625256785</v>
      </c>
      <c r="C109" s="128">
        <v>2642098.1004250762</v>
      </c>
      <c r="D109" s="128">
        <v>2725501.0361631336</v>
      </c>
      <c r="E109" s="128">
        <v>2812615.306100979</v>
      </c>
      <c r="F109" s="128">
        <v>2903467.945638041</v>
      </c>
      <c r="G109" s="128">
        <v>2998289.7564090462</v>
      </c>
      <c r="H109" s="128">
        <v>3097158.7211714792</v>
      </c>
      <c r="I109" s="128">
        <v>3199937.0992739722</v>
      </c>
      <c r="J109" s="128">
        <v>3306761.4299328546</v>
      </c>
      <c r="K109" s="128">
        <v>3417124.7225299454</v>
      </c>
      <c r="L109" s="128">
        <v>3530664.5213002018</v>
      </c>
      <c r="M109" s="128">
        <v>3646990.6153508648</v>
      </c>
      <c r="N109" s="128">
        <v>3764835.8149117464</v>
      </c>
      <c r="O109" s="128">
        <v>3883617.3870473146</v>
      </c>
      <c r="P109" s="128">
        <v>4003502.8630789425</v>
      </c>
      <c r="Q109" s="128">
        <v>4123827.0637625749</v>
      </c>
      <c r="R109" s="128">
        <v>4244973.6957565779</v>
      </c>
      <c r="S109" s="128">
        <v>4367131.9335013637</v>
      </c>
      <c r="T109" s="128">
        <v>4489409.4347096318</v>
      </c>
      <c r="U109" s="128">
        <v>4611689.2318802187</v>
      </c>
      <c r="V109" s="128">
        <v>4733705.4964943109</v>
      </c>
      <c r="W109" s="128">
        <v>4854763.7451560088</v>
      </c>
      <c r="X109" s="128">
        <v>4975008.2679767255</v>
      </c>
      <c r="Y109" s="128">
        <v>5095776.1323279692</v>
      </c>
      <c r="Z109" s="128">
        <v>5217209.3233482968</v>
      </c>
      <c r="AA109" s="128">
        <v>5337465.8766658725</v>
      </c>
      <c r="AB109" s="128">
        <v>5453663.3704426773</v>
      </c>
      <c r="AC109" s="128">
        <v>5565211.4771696134</v>
      </c>
      <c r="AD109" s="128">
        <v>5672563.8889492638</v>
      </c>
      <c r="AE109" s="128">
        <v>5775358.3064598078</v>
      </c>
      <c r="AF109" s="129">
        <v>5874089.1515324041</v>
      </c>
    </row>
    <row r="110" spans="1:32" x14ac:dyDescent="0.25">
      <c r="A110" s="124" t="s">
        <v>45</v>
      </c>
      <c r="B110" s="128">
        <v>1789888.19452129</v>
      </c>
      <c r="C110" s="128">
        <v>1821174.948906841</v>
      </c>
      <c r="D110" s="128">
        <v>1851381.4475121507</v>
      </c>
      <c r="E110" s="128">
        <v>1882542.2965695728</v>
      </c>
      <c r="F110" s="128">
        <v>1917341.3533334725</v>
      </c>
      <c r="G110" s="128">
        <v>1956681.5516897228</v>
      </c>
      <c r="H110" s="128">
        <v>2002260.0078440888</v>
      </c>
      <c r="I110" s="128">
        <v>2053644.3259882038</v>
      </c>
      <c r="J110" s="128">
        <v>2112572.3555931002</v>
      </c>
      <c r="K110" s="128">
        <v>2176401.003513237</v>
      </c>
      <c r="L110" s="128">
        <v>2241872.1013344931</v>
      </c>
      <c r="M110" s="128">
        <v>2310421.1087305811</v>
      </c>
      <c r="N110" s="128">
        <v>2380954.0748931435</v>
      </c>
      <c r="O110" s="128">
        <v>2454652.3295022347</v>
      </c>
      <c r="P110" s="128">
        <v>2532670.6142360782</v>
      </c>
      <c r="Q110" s="128">
        <v>2614707.4080553241</v>
      </c>
      <c r="R110" s="128">
        <v>2701369.0556337284</v>
      </c>
      <c r="S110" s="128">
        <v>2791676.0825393577</v>
      </c>
      <c r="T110" s="128">
        <v>2885707.516518055</v>
      </c>
      <c r="U110" s="128">
        <v>2983159.6853135261</v>
      </c>
      <c r="V110" s="128">
        <v>3083500.9155846317</v>
      </c>
      <c r="W110" s="128">
        <v>3185416.0233307565</v>
      </c>
      <c r="X110" s="128">
        <v>3285533.6763582136</v>
      </c>
      <c r="Y110" s="128">
        <v>3383733.9404237363</v>
      </c>
      <c r="Z110" s="128">
        <v>3481834.9011103897</v>
      </c>
      <c r="AA110" s="128">
        <v>3579890.0376282502</v>
      </c>
      <c r="AB110" s="128">
        <v>3676477.1110644662</v>
      </c>
      <c r="AC110" s="128">
        <v>3770508.6832181169</v>
      </c>
      <c r="AD110" s="128">
        <v>3860921.0902623055</v>
      </c>
      <c r="AE110" s="128">
        <v>3946496.1868922869</v>
      </c>
      <c r="AF110" s="129">
        <v>4026072.2360882973</v>
      </c>
    </row>
    <row r="111" spans="1:32" x14ac:dyDescent="0.25">
      <c r="A111" s="124" t="s">
        <v>213</v>
      </c>
      <c r="B111" s="128">
        <v>3665294.0311554284</v>
      </c>
      <c r="C111" s="128">
        <v>3716944.4376602313</v>
      </c>
      <c r="D111" s="128">
        <v>3773237.6825008285</v>
      </c>
      <c r="E111" s="128">
        <v>3834906.2522463435</v>
      </c>
      <c r="F111" s="128">
        <v>3903660.1142868791</v>
      </c>
      <c r="G111" s="128">
        <v>3980980.881914</v>
      </c>
      <c r="H111" s="128">
        <v>4055156.6086740764</v>
      </c>
      <c r="I111" s="128">
        <v>4131183.3705613711</v>
      </c>
      <c r="J111" s="128">
        <v>4208527.6852567</v>
      </c>
      <c r="K111" s="128">
        <v>4286788.6515341122</v>
      </c>
      <c r="L111" s="128">
        <v>4361844.7275156723</v>
      </c>
      <c r="M111" s="128">
        <v>4458510.8109440627</v>
      </c>
      <c r="N111" s="128">
        <v>4554164.8399279974</v>
      </c>
      <c r="O111" s="128">
        <v>4649039.2468219968</v>
      </c>
      <c r="P111" s="128">
        <v>4743038.0523117185</v>
      </c>
      <c r="Q111" s="128">
        <v>4834597.0869244225</v>
      </c>
      <c r="R111" s="128">
        <v>4923651.9666619767</v>
      </c>
      <c r="S111" s="128">
        <v>5011513.2415041747</v>
      </c>
      <c r="T111" s="128">
        <v>5093632.3754636385</v>
      </c>
      <c r="U111" s="128">
        <v>5173560.6556991488</v>
      </c>
      <c r="V111" s="128">
        <v>5254465.8817864638</v>
      </c>
      <c r="W111" s="128">
        <v>5331756.9127262859</v>
      </c>
      <c r="X111" s="128">
        <v>5406683.6961711571</v>
      </c>
      <c r="Y111" s="128">
        <v>5477664.5911036208</v>
      </c>
      <c r="Z111" s="128">
        <v>5541415.3602917762</v>
      </c>
      <c r="AA111" s="128">
        <v>5598899.9917665981</v>
      </c>
      <c r="AB111" s="128">
        <v>5651737.1235698769</v>
      </c>
      <c r="AC111" s="128">
        <v>5701489.535944175</v>
      </c>
      <c r="AD111" s="128">
        <v>5745119.0311581865</v>
      </c>
      <c r="AE111" s="128">
        <v>5780579.9432923412</v>
      </c>
      <c r="AF111" s="129">
        <v>5804559.2280352563</v>
      </c>
    </row>
    <row r="112" spans="1:32" x14ac:dyDescent="0.25">
      <c r="A112" s="124" t="s">
        <v>214</v>
      </c>
      <c r="B112" s="128">
        <v>43580.633645794565</v>
      </c>
      <c r="C112" s="128">
        <v>45282.08045732577</v>
      </c>
      <c r="D112" s="128">
        <v>47085.512827845909</v>
      </c>
      <c r="E112" s="128">
        <v>48950.408896740148</v>
      </c>
      <c r="F112" s="128">
        <v>50901.27468326674</v>
      </c>
      <c r="G112" s="128">
        <v>52916.618455389893</v>
      </c>
      <c r="H112" s="128">
        <v>54869.47763490917</v>
      </c>
      <c r="I112" s="128">
        <v>56835.149576282136</v>
      </c>
      <c r="J112" s="128">
        <v>58787.215370256585</v>
      </c>
      <c r="K112" s="128">
        <v>60732.773509186118</v>
      </c>
      <c r="L112" s="128">
        <v>62744.434820393981</v>
      </c>
      <c r="M112" s="128">
        <v>64675.268984879454</v>
      </c>
      <c r="N112" s="128">
        <v>66580.375737171882</v>
      </c>
      <c r="O112" s="128">
        <v>68425.392647588757</v>
      </c>
      <c r="P112" s="128">
        <v>71265.110829228506</v>
      </c>
      <c r="Q112" s="128">
        <v>75070.587486797624</v>
      </c>
      <c r="R112" s="128">
        <v>78577.168115323278</v>
      </c>
      <c r="S112" s="128">
        <v>81865.23881514871</v>
      </c>
      <c r="T112" s="128">
        <v>84829.839842008922</v>
      </c>
      <c r="U112" s="128">
        <v>87082.009161643524</v>
      </c>
      <c r="V112" s="128">
        <v>88164.517154679401</v>
      </c>
      <c r="W112" s="128">
        <v>88448.083129991166</v>
      </c>
      <c r="X112" s="128">
        <v>87675.520511677139</v>
      </c>
      <c r="Y112" s="128">
        <v>85879.42200075055</v>
      </c>
      <c r="Z112" s="128">
        <v>84092.73689071431</v>
      </c>
      <c r="AA112" s="128">
        <v>82514.751664926385</v>
      </c>
      <c r="AB112" s="128">
        <v>81131.072765872159</v>
      </c>
      <c r="AC112" s="128">
        <v>79945.07586650367</v>
      </c>
      <c r="AD112" s="128">
        <v>78885.002143127145</v>
      </c>
      <c r="AE112" s="128">
        <v>77983.516895619992</v>
      </c>
      <c r="AF112" s="129">
        <v>77257.553808199955</v>
      </c>
    </row>
    <row r="113" spans="1:32" x14ac:dyDescent="0.25">
      <c r="A113" s="124" t="s">
        <v>46</v>
      </c>
      <c r="B113" s="128">
        <v>1901750.894177021</v>
      </c>
      <c r="C113" s="128">
        <v>1972221.3085955488</v>
      </c>
      <c r="D113" s="128">
        <v>2046802.0010480364</v>
      </c>
      <c r="E113" s="128">
        <v>2123894.5953476941</v>
      </c>
      <c r="F113" s="128">
        <v>2202531.3749795491</v>
      </c>
      <c r="G113" s="128">
        <v>2281217.0063074064</v>
      </c>
      <c r="H113" s="128">
        <v>2360960.5864289179</v>
      </c>
      <c r="I113" s="128">
        <v>2442529.8080822113</v>
      </c>
      <c r="J113" s="128">
        <v>2524608.240221838</v>
      </c>
      <c r="K113" s="128">
        <v>2606692.7090977323</v>
      </c>
      <c r="L113" s="128">
        <v>2689218.0794134904</v>
      </c>
      <c r="M113" s="128">
        <v>2772698.9749262282</v>
      </c>
      <c r="N113" s="128">
        <v>2841958.7638307554</v>
      </c>
      <c r="O113" s="128">
        <v>2915157.1438709795</v>
      </c>
      <c r="P113" s="128">
        <v>3007644.1916082753</v>
      </c>
      <c r="Q113" s="128">
        <v>3103428.127390706</v>
      </c>
      <c r="R113" s="128">
        <v>3208280.981756866</v>
      </c>
      <c r="S113" s="128">
        <v>3320012.1248007696</v>
      </c>
      <c r="T113" s="128">
        <v>3434650.9865532741</v>
      </c>
      <c r="U113" s="128">
        <v>3550453.0767173399</v>
      </c>
      <c r="V113" s="128">
        <v>3673142.7863301355</v>
      </c>
      <c r="W113" s="128">
        <v>3802036.2984200963</v>
      </c>
      <c r="X113" s="128">
        <v>3927369.5237534489</v>
      </c>
      <c r="Y113" s="128">
        <v>4050701.111893693</v>
      </c>
      <c r="Z113" s="128">
        <v>4175764.1545376261</v>
      </c>
      <c r="AA113" s="128">
        <v>4303176.7089980673</v>
      </c>
      <c r="AB113" s="128">
        <v>4433593.3669519536</v>
      </c>
      <c r="AC113" s="128">
        <v>4565312.8352105999</v>
      </c>
      <c r="AD113" s="128">
        <v>4696339.1237609275</v>
      </c>
      <c r="AE113" s="128">
        <v>4825200.2203671979</v>
      </c>
      <c r="AF113" s="129">
        <v>4952211.977201784</v>
      </c>
    </row>
    <row r="114" spans="1:32" x14ac:dyDescent="0.25">
      <c r="A114" s="124" t="s">
        <v>215</v>
      </c>
      <c r="B114" s="128">
        <v>54615.08263246993</v>
      </c>
      <c r="C114" s="128">
        <v>54625.311781668323</v>
      </c>
      <c r="D114" s="128">
        <v>54746.424420173331</v>
      </c>
      <c r="E114" s="128">
        <v>54917.381806511941</v>
      </c>
      <c r="F114" s="128">
        <v>55041.528560965009</v>
      </c>
      <c r="G114" s="128">
        <v>55013.957291667946</v>
      </c>
      <c r="H114" s="128">
        <v>54853.209510243491</v>
      </c>
      <c r="I114" s="128">
        <v>54611.903879849524</v>
      </c>
      <c r="J114" s="128">
        <v>54425.334065204173</v>
      </c>
      <c r="K114" s="128">
        <v>54366.825697141539</v>
      </c>
      <c r="L114" s="128">
        <v>54523.054991982652</v>
      </c>
      <c r="M114" s="128">
        <v>54922.632332669447</v>
      </c>
      <c r="N114" s="128">
        <v>55775.019476171314</v>
      </c>
      <c r="O114" s="128">
        <v>57023.445210094033</v>
      </c>
      <c r="P114" s="128">
        <v>58638.389223574719</v>
      </c>
      <c r="Q114" s="128">
        <v>60603.385400105908</v>
      </c>
      <c r="R114" s="128">
        <v>62813.367208448428</v>
      </c>
      <c r="S114" s="128">
        <v>65160.854432290645</v>
      </c>
      <c r="T114" s="128">
        <v>67670.677020349423</v>
      </c>
      <c r="U114" s="128">
        <v>70240.770227333487</v>
      </c>
      <c r="V114" s="128">
        <v>72680.11107395147</v>
      </c>
      <c r="W114" s="128">
        <v>74844.384218942738</v>
      </c>
      <c r="X114" s="128">
        <v>75839.711189294962</v>
      </c>
      <c r="Y114" s="128">
        <v>75760.494976316841</v>
      </c>
      <c r="Z114" s="128">
        <v>75590.086125540372</v>
      </c>
      <c r="AA114" s="128">
        <v>75215.517067073917</v>
      </c>
      <c r="AB114" s="128">
        <v>74692.208259114952</v>
      </c>
      <c r="AC114" s="128">
        <v>74074.582313486026</v>
      </c>
      <c r="AD114" s="128">
        <v>73275.93571155658</v>
      </c>
      <c r="AE114" s="128">
        <v>72322.404831304579</v>
      </c>
      <c r="AF114" s="129">
        <v>71327.946224930027</v>
      </c>
    </row>
    <row r="115" spans="1:32" x14ac:dyDescent="0.25">
      <c r="A115" s="124" t="s">
        <v>217</v>
      </c>
      <c r="B115" s="128">
        <v>59239.158054390282</v>
      </c>
      <c r="C115" s="128">
        <v>59003.382421772192</v>
      </c>
      <c r="D115" s="128">
        <v>58362.955390758681</v>
      </c>
      <c r="E115" s="128">
        <v>57107.190814563772</v>
      </c>
      <c r="F115" s="128">
        <v>55340.700502431202</v>
      </c>
      <c r="G115" s="128">
        <v>53441.641257783471</v>
      </c>
      <c r="H115" s="128">
        <v>52486.215899467505</v>
      </c>
      <c r="I115" s="128">
        <v>52402.340296938921</v>
      </c>
      <c r="J115" s="128">
        <v>52132.085985355683</v>
      </c>
      <c r="K115" s="128">
        <v>51414.485357573212</v>
      </c>
      <c r="L115" s="128">
        <v>50371.44165878986</v>
      </c>
      <c r="M115" s="128">
        <v>49305.072923427782</v>
      </c>
      <c r="N115" s="128">
        <v>48079.951704305313</v>
      </c>
      <c r="O115" s="128">
        <v>46708.859507424648</v>
      </c>
      <c r="P115" s="128">
        <v>45648.002006223542</v>
      </c>
      <c r="Q115" s="128">
        <v>44506.076580296161</v>
      </c>
      <c r="R115" s="128">
        <v>42703.331676170339</v>
      </c>
      <c r="S115" s="128">
        <v>41116.480600206756</v>
      </c>
      <c r="T115" s="128">
        <v>39718.381048662617</v>
      </c>
      <c r="U115" s="128">
        <v>38424.50430323647</v>
      </c>
      <c r="V115" s="128">
        <v>37317.426142619719</v>
      </c>
      <c r="W115" s="128">
        <v>36386.196276255163</v>
      </c>
      <c r="X115" s="128">
        <v>35592.179111343197</v>
      </c>
      <c r="Y115" s="128">
        <v>34978.904053227918</v>
      </c>
      <c r="Z115" s="128">
        <v>34495.393180500003</v>
      </c>
      <c r="AA115" s="128">
        <v>34173.476089072501</v>
      </c>
      <c r="AB115" s="128">
        <v>34026.56980182985</v>
      </c>
      <c r="AC115" s="128">
        <v>34036.234709068172</v>
      </c>
      <c r="AD115" s="128">
        <v>34166.141280506257</v>
      </c>
      <c r="AE115" s="128">
        <v>34379.164867094136</v>
      </c>
      <c r="AF115" s="129">
        <v>34596.808383290918</v>
      </c>
    </row>
    <row r="116" spans="1:32" x14ac:dyDescent="0.25">
      <c r="A116" s="124" t="s">
        <v>47</v>
      </c>
      <c r="B116" s="128">
        <v>373441.76879106095</v>
      </c>
      <c r="C116" s="128">
        <v>384054.42939002113</v>
      </c>
      <c r="D116" s="128">
        <v>393695.3834366455</v>
      </c>
      <c r="E116" s="128">
        <v>403859.5963249848</v>
      </c>
      <c r="F116" s="128">
        <v>414516.04363623541</v>
      </c>
      <c r="G116" s="128">
        <v>425694.97391768615</v>
      </c>
      <c r="H116" s="128">
        <v>437477.8408917638</v>
      </c>
      <c r="I116" s="128">
        <v>450003.56860997964</v>
      </c>
      <c r="J116" s="128">
        <v>463979.26347342366</v>
      </c>
      <c r="K116" s="128">
        <v>478833.88921554532</v>
      </c>
      <c r="L116" s="128">
        <v>493406.34324999677</v>
      </c>
      <c r="M116" s="128">
        <v>507646.41594583291</v>
      </c>
      <c r="N116" s="128">
        <v>521798.60619354871</v>
      </c>
      <c r="O116" s="128">
        <v>537214.63710899372</v>
      </c>
      <c r="P116" s="128">
        <v>554017.93483481673</v>
      </c>
      <c r="Q116" s="128">
        <v>571256.13799614727</v>
      </c>
      <c r="R116" s="128">
        <v>588751.43331828678</v>
      </c>
      <c r="S116" s="128">
        <v>606608.89891283156</v>
      </c>
      <c r="T116" s="128">
        <v>624863.92348127416</v>
      </c>
      <c r="U116" s="128">
        <v>643552.62721807347</v>
      </c>
      <c r="V116" s="128">
        <v>662804.20091440703</v>
      </c>
      <c r="W116" s="128">
        <v>682339.03739067854</v>
      </c>
      <c r="X116" s="128">
        <v>702741.76292148139</v>
      </c>
      <c r="Y116" s="128">
        <v>724043.18855952646</v>
      </c>
      <c r="Z116" s="128">
        <v>745660.1598603304</v>
      </c>
      <c r="AA116" s="128">
        <v>767459.42313860555</v>
      </c>
      <c r="AB116" s="128">
        <v>789127.78610274731</v>
      </c>
      <c r="AC116" s="128">
        <v>810621.73133984022</v>
      </c>
      <c r="AD116" s="128">
        <v>830381.77014157886</v>
      </c>
      <c r="AE116" s="128">
        <v>848622.48223516566</v>
      </c>
      <c r="AF116" s="129">
        <v>866950.91085924197</v>
      </c>
    </row>
    <row r="117" spans="1:32" x14ac:dyDescent="0.25">
      <c r="A117" s="124" t="s">
        <v>218</v>
      </c>
      <c r="B117" s="128">
        <v>213796.83823943042</v>
      </c>
      <c r="C117" s="128">
        <v>215077.44343986834</v>
      </c>
      <c r="D117" s="128">
        <v>215847.40591834133</v>
      </c>
      <c r="E117" s="128">
        <v>216463.15136229698</v>
      </c>
      <c r="F117" s="128">
        <v>216885.33313139368</v>
      </c>
      <c r="G117" s="128">
        <v>217050.52538127272</v>
      </c>
      <c r="H117" s="128">
        <v>216817.71927315154</v>
      </c>
      <c r="I117" s="128">
        <v>216195.92261517426</v>
      </c>
      <c r="J117" s="128">
        <v>215390.52746539112</v>
      </c>
      <c r="K117" s="128">
        <v>214404.36357191877</v>
      </c>
      <c r="L117" s="128">
        <v>213237.76443631217</v>
      </c>
      <c r="M117" s="128">
        <v>211889.80740380153</v>
      </c>
      <c r="N117" s="128">
        <v>210407.83547234864</v>
      </c>
      <c r="O117" s="128">
        <v>208722.33572287753</v>
      </c>
      <c r="P117" s="128">
        <v>207138.35673139905</v>
      </c>
      <c r="Q117" s="128">
        <v>205772.22004547916</v>
      </c>
      <c r="R117" s="128">
        <v>204540.69298063449</v>
      </c>
      <c r="S117" s="128">
        <v>203619.7796248745</v>
      </c>
      <c r="T117" s="128">
        <v>203048.26949820094</v>
      </c>
      <c r="U117" s="128">
        <v>202977.35134495879</v>
      </c>
      <c r="V117" s="128">
        <v>203387.28659875321</v>
      </c>
      <c r="W117" s="128">
        <v>203843.92745313715</v>
      </c>
      <c r="X117" s="128">
        <v>204370.75774665494</v>
      </c>
      <c r="Y117" s="128">
        <v>204886.5753873176</v>
      </c>
      <c r="Z117" s="128">
        <v>205045.62989398572</v>
      </c>
      <c r="AA117" s="128">
        <v>204759.8600411251</v>
      </c>
      <c r="AB117" s="128">
        <v>204110.29339640943</v>
      </c>
      <c r="AC117" s="128">
        <v>203127.98306846138</v>
      </c>
      <c r="AD117" s="128">
        <v>201699.46051977653</v>
      </c>
      <c r="AE117" s="128">
        <v>199930.42254279449</v>
      </c>
      <c r="AF117" s="129">
        <v>198011.06169995593</v>
      </c>
    </row>
    <row r="118" spans="1:32" x14ac:dyDescent="0.25">
      <c r="A118" s="124" t="s">
        <v>219</v>
      </c>
      <c r="B118" s="128">
        <v>19891.17137021316</v>
      </c>
      <c r="C118" s="128">
        <v>20662.094910557145</v>
      </c>
      <c r="D118" s="128">
        <v>21449.025683807118</v>
      </c>
      <c r="E118" s="128">
        <v>22313.279922312933</v>
      </c>
      <c r="F118" s="128">
        <v>23151.582504749382</v>
      </c>
      <c r="G118" s="128">
        <v>23987.963056353088</v>
      </c>
      <c r="H118" s="128">
        <v>24928.988832798437</v>
      </c>
      <c r="I118" s="128">
        <v>25877.868774614399</v>
      </c>
      <c r="J118" s="128">
        <v>26701.625172537548</v>
      </c>
      <c r="K118" s="128">
        <v>27559.461412589764</v>
      </c>
      <c r="L118" s="128">
        <v>28415.930722924015</v>
      </c>
      <c r="M118" s="128">
        <v>29300.628012380472</v>
      </c>
      <c r="N118" s="128">
        <v>30233.518934999996</v>
      </c>
      <c r="O118" s="128">
        <v>31305.416392913543</v>
      </c>
      <c r="P118" s="128">
        <v>32501.77782631759</v>
      </c>
      <c r="Q118" s="128">
        <v>33751.499528947927</v>
      </c>
      <c r="R118" s="128">
        <v>35030.444408897703</v>
      </c>
      <c r="S118" s="128">
        <v>36324.796020780333</v>
      </c>
      <c r="T118" s="128">
        <v>37618.049149880397</v>
      </c>
      <c r="U118" s="128">
        <v>38921.889048935867</v>
      </c>
      <c r="V118" s="128">
        <v>40185.318355080628</v>
      </c>
      <c r="W118" s="128">
        <v>41408.748392174421</v>
      </c>
      <c r="X118" s="128">
        <v>42598.539467936498</v>
      </c>
      <c r="Y118" s="128">
        <v>43766.340542261918</v>
      </c>
      <c r="Z118" s="128">
        <v>44986.52612369191</v>
      </c>
      <c r="AA118" s="128">
        <v>46274.125330373121</v>
      </c>
      <c r="AB118" s="128">
        <v>47630.455490938592</v>
      </c>
      <c r="AC118" s="128">
        <v>49038.140726749873</v>
      </c>
      <c r="AD118" s="128">
        <v>50503.657475403605</v>
      </c>
      <c r="AE118" s="128">
        <v>52062.747639346744</v>
      </c>
      <c r="AF118" s="129">
        <v>53754.178870301468</v>
      </c>
    </row>
    <row r="119" spans="1:32" x14ac:dyDescent="0.25">
      <c r="A119" s="124" t="s">
        <v>220</v>
      </c>
      <c r="B119" s="128">
        <v>15929014.627779583</v>
      </c>
      <c r="C119" s="128">
        <v>16225123.724437011</v>
      </c>
      <c r="D119" s="128">
        <v>16505340.231105171</v>
      </c>
      <c r="E119" s="128">
        <v>16775024.945630031</v>
      </c>
      <c r="F119" s="128">
        <v>17045618.58189952</v>
      </c>
      <c r="G119" s="128">
        <v>17314820.277428396</v>
      </c>
      <c r="H119" s="128">
        <v>17558792.482959822</v>
      </c>
      <c r="I119" s="128">
        <v>17786372.919300783</v>
      </c>
      <c r="J119" s="128">
        <v>17993822.231558595</v>
      </c>
      <c r="K119" s="128">
        <v>18190839.876931291</v>
      </c>
      <c r="L119" s="128">
        <v>18415386.033152487</v>
      </c>
      <c r="M119" s="128">
        <v>18653594.871708676</v>
      </c>
      <c r="N119" s="128">
        <v>18874224.998418402</v>
      </c>
      <c r="O119" s="128">
        <v>19085332.619542994</v>
      </c>
      <c r="P119" s="128">
        <v>19282425.349548746</v>
      </c>
      <c r="Q119" s="128">
        <v>19462694.591869142</v>
      </c>
      <c r="R119" s="128">
        <v>19625241.373396467</v>
      </c>
      <c r="S119" s="128">
        <v>19768283.541327659</v>
      </c>
      <c r="T119" s="128">
        <v>19876160.047547314</v>
      </c>
      <c r="U119" s="128">
        <v>19975593.592545602</v>
      </c>
      <c r="V119" s="128">
        <v>20074998.268035583</v>
      </c>
      <c r="W119" s="128">
        <v>20154663.798209812</v>
      </c>
      <c r="X119" s="128">
        <v>20227675.405583788</v>
      </c>
      <c r="Y119" s="128">
        <v>20298983.380864978</v>
      </c>
      <c r="Z119" s="128">
        <v>20359923.522459853</v>
      </c>
      <c r="AA119" s="128">
        <v>20409335.814046845</v>
      </c>
      <c r="AB119" s="128">
        <v>20446249.750723712</v>
      </c>
      <c r="AC119" s="128">
        <v>20469694.716504343</v>
      </c>
      <c r="AD119" s="128">
        <v>20481977.755150031</v>
      </c>
      <c r="AE119" s="128">
        <v>20485382.293235201</v>
      </c>
      <c r="AF119" s="129">
        <v>20482216.324965455</v>
      </c>
    </row>
    <row r="120" spans="1:32" x14ac:dyDescent="0.25">
      <c r="A120" s="124" t="s">
        <v>2506</v>
      </c>
      <c r="B120" s="128">
        <v>72841.240264963795</v>
      </c>
      <c r="C120" s="128">
        <v>72577.062092283726</v>
      </c>
      <c r="D120" s="128">
        <v>71981.399446359617</v>
      </c>
      <c r="E120" s="128">
        <v>71319.710046698921</v>
      </c>
      <c r="F120" s="128">
        <v>70514.627168959429</v>
      </c>
      <c r="G120" s="128">
        <v>69528.621161781179</v>
      </c>
      <c r="H120" s="128">
        <v>70162.163999189681</v>
      </c>
      <c r="I120" s="128">
        <v>70643.982051924831</v>
      </c>
      <c r="J120" s="128">
        <v>70797.277715736971</v>
      </c>
      <c r="K120" s="128">
        <v>70567.746515257153</v>
      </c>
      <c r="L120" s="128">
        <v>70139.226218641037</v>
      </c>
      <c r="M120" s="128">
        <v>69348.34483017138</v>
      </c>
      <c r="N120" s="128">
        <v>68766.079288566179</v>
      </c>
      <c r="O120" s="128">
        <v>68251.269381636244</v>
      </c>
      <c r="P120" s="128">
        <v>67758.680097056596</v>
      </c>
      <c r="Q120" s="128">
        <v>67322.482188303315</v>
      </c>
      <c r="R120" s="128">
        <v>67020.032897076817</v>
      </c>
      <c r="S120" s="128">
        <v>66766.004702410166</v>
      </c>
      <c r="T120" s="128">
        <v>66560.425002121352</v>
      </c>
      <c r="U120" s="128">
        <v>66368.568493353305</v>
      </c>
      <c r="V120" s="128">
        <v>66476.883367347735</v>
      </c>
      <c r="W120" s="128">
        <v>67016.410383645401</v>
      </c>
      <c r="X120" s="128">
        <v>67658.565104337074</v>
      </c>
      <c r="Y120" s="128">
        <v>68417.047130053921</v>
      </c>
      <c r="Z120" s="128">
        <v>69293.447212135361</v>
      </c>
      <c r="AA120" s="128">
        <v>70291.742863311782</v>
      </c>
      <c r="AB120" s="128">
        <v>71408.506091770192</v>
      </c>
      <c r="AC120" s="128">
        <v>72581.358125935149</v>
      </c>
      <c r="AD120" s="128">
        <v>73754.569281293981</v>
      </c>
      <c r="AE120" s="128">
        <v>74793.512322882103</v>
      </c>
      <c r="AF120" s="129">
        <v>75713.362410840666</v>
      </c>
    </row>
    <row r="121" spans="1:32" x14ac:dyDescent="0.25">
      <c r="A121" s="124" t="s">
        <v>48</v>
      </c>
      <c r="B121" s="128">
        <v>404705.78215435689</v>
      </c>
      <c r="C121" s="128">
        <v>413240.11973326822</v>
      </c>
      <c r="D121" s="128">
        <v>420961.22557334171</v>
      </c>
      <c r="E121" s="128">
        <v>428119.3615659136</v>
      </c>
      <c r="F121" s="128">
        <v>435370.0647940762</v>
      </c>
      <c r="G121" s="128">
        <v>442942.14830051234</v>
      </c>
      <c r="H121" s="128">
        <v>450255.17333118734</v>
      </c>
      <c r="I121" s="128">
        <v>456888.75503270695</v>
      </c>
      <c r="J121" s="128">
        <v>462756.70220607653</v>
      </c>
      <c r="K121" s="128">
        <v>467819.12110597687</v>
      </c>
      <c r="L121" s="128">
        <v>472471.8190532942</v>
      </c>
      <c r="M121" s="128">
        <v>477927.0088414785</v>
      </c>
      <c r="N121" s="128">
        <v>484460.46010329557</v>
      </c>
      <c r="O121" s="128">
        <v>490411.73335987452</v>
      </c>
      <c r="P121" s="128">
        <v>495703.36275672319</v>
      </c>
      <c r="Q121" s="128">
        <v>500357.5944696283</v>
      </c>
      <c r="R121" s="128">
        <v>504083.73523373238</v>
      </c>
      <c r="S121" s="128">
        <v>506521.90110824932</v>
      </c>
      <c r="T121" s="128">
        <v>507403.45340636832</v>
      </c>
      <c r="U121" s="128">
        <v>506828.13192441419</v>
      </c>
      <c r="V121" s="128">
        <v>505259.98570004362</v>
      </c>
      <c r="W121" s="128">
        <v>503306.40936906758</v>
      </c>
      <c r="X121" s="128">
        <v>501383.11040875473</v>
      </c>
      <c r="Y121" s="128">
        <v>499890.41777558421</v>
      </c>
      <c r="Z121" s="128">
        <v>498815.603056964</v>
      </c>
      <c r="AA121" s="128">
        <v>497567.80353420763</v>
      </c>
      <c r="AB121" s="128">
        <v>496251.68537640746</v>
      </c>
      <c r="AC121" s="128">
        <v>495413.58639654412</v>
      </c>
      <c r="AD121" s="128">
        <v>495416.9756858325</v>
      </c>
      <c r="AE121" s="128">
        <v>496666.03803734021</v>
      </c>
      <c r="AF121" s="129">
        <v>499123.54539620725</v>
      </c>
    </row>
    <row r="122" spans="1:32" x14ac:dyDescent="0.25">
      <c r="A122" s="124" t="s">
        <v>221</v>
      </c>
      <c r="B122" s="128">
        <v>102444.76526055475</v>
      </c>
      <c r="C122" s="128">
        <v>101448.72293343028</v>
      </c>
      <c r="D122" s="128">
        <v>100470.73094039172</v>
      </c>
      <c r="E122" s="128">
        <v>99381.618378756859</v>
      </c>
      <c r="F122" s="128">
        <v>98112.192413743222</v>
      </c>
      <c r="G122" s="128">
        <v>96817.63990726562</v>
      </c>
      <c r="H122" s="128">
        <v>95921.103506398707</v>
      </c>
      <c r="I122" s="128">
        <v>94995.285696966952</v>
      </c>
      <c r="J122" s="128">
        <v>93935.371686437356</v>
      </c>
      <c r="K122" s="128">
        <v>92762.011187562457</v>
      </c>
      <c r="L122" s="128">
        <v>91594.62660552423</v>
      </c>
      <c r="M122" s="128">
        <v>90872.0026177861</v>
      </c>
      <c r="N122" s="128">
        <v>90280.638417749869</v>
      </c>
      <c r="O122" s="128">
        <v>89499.304651112063</v>
      </c>
      <c r="P122" s="128">
        <v>88617.595997301934</v>
      </c>
      <c r="Q122" s="128">
        <v>87693.682323202069</v>
      </c>
      <c r="R122" s="128">
        <v>86864.165760497897</v>
      </c>
      <c r="S122" s="128">
        <v>86124.30684327225</v>
      </c>
      <c r="T122" s="128">
        <v>85436.279465062951</v>
      </c>
      <c r="U122" s="128">
        <v>84705.330578272056</v>
      </c>
      <c r="V122" s="128">
        <v>83893.965362420044</v>
      </c>
      <c r="W122" s="128">
        <v>83187.715298720344</v>
      </c>
      <c r="X122" s="128">
        <v>82554.25336774053</v>
      </c>
      <c r="Y122" s="128">
        <v>81887.151309037319</v>
      </c>
      <c r="Z122" s="128">
        <v>81254.071448302711</v>
      </c>
      <c r="AA122" s="128">
        <v>80669.275739807912</v>
      </c>
      <c r="AB122" s="128">
        <v>79993.707054674247</v>
      </c>
      <c r="AC122" s="128">
        <v>79237.408487510591</v>
      </c>
      <c r="AD122" s="128">
        <v>78489.850651094996</v>
      </c>
      <c r="AE122" s="128">
        <v>77730.681853840593</v>
      </c>
      <c r="AF122" s="129">
        <v>76926.736814562159</v>
      </c>
    </row>
    <row r="123" spans="1:32" x14ac:dyDescent="0.25">
      <c r="A123" s="124" t="s">
        <v>223</v>
      </c>
      <c r="B123" s="128">
        <v>4158126.0361610884</v>
      </c>
      <c r="C123" s="128">
        <v>4210520.407595871</v>
      </c>
      <c r="D123" s="128">
        <v>4260953.0404012846</v>
      </c>
      <c r="E123" s="128">
        <v>4305524.753705523</v>
      </c>
      <c r="F123" s="128">
        <v>4347059.5953383446</v>
      </c>
      <c r="G123" s="128">
        <v>4451646.135753002</v>
      </c>
      <c r="H123" s="128">
        <v>4548655.3432910889</v>
      </c>
      <c r="I123" s="128">
        <v>4638400.943192468</v>
      </c>
      <c r="J123" s="128">
        <v>4722916.0356435906</v>
      </c>
      <c r="K123" s="128">
        <v>4803091.161065571</v>
      </c>
      <c r="L123" s="128">
        <v>4881661.3744528638</v>
      </c>
      <c r="M123" s="128">
        <v>4962647.3958344683</v>
      </c>
      <c r="N123" s="128">
        <v>5043293.2699084682</v>
      </c>
      <c r="O123" s="128">
        <v>5123243.4184523765</v>
      </c>
      <c r="P123" s="128">
        <v>5197863.5021637399</v>
      </c>
      <c r="Q123" s="128">
        <v>5264151.1184870759</v>
      </c>
      <c r="R123" s="128">
        <v>5329667.1568420967</v>
      </c>
      <c r="S123" s="128">
        <v>5391936.2984861424</v>
      </c>
      <c r="T123" s="128">
        <v>5446046.4831728712</v>
      </c>
      <c r="U123" s="128">
        <v>5493172.6524539487</v>
      </c>
      <c r="V123" s="128">
        <v>5545397.3574664202</v>
      </c>
      <c r="W123" s="128">
        <v>5599961.2989074411</v>
      </c>
      <c r="X123" s="128">
        <v>5650781.8945612581</v>
      </c>
      <c r="Y123" s="128">
        <v>5699697.6610007063</v>
      </c>
      <c r="Z123" s="128">
        <v>5743065.9136492452</v>
      </c>
      <c r="AA123" s="128">
        <v>5779835.5900126798</v>
      </c>
      <c r="AB123" s="128">
        <v>5811423.0043903198</v>
      </c>
      <c r="AC123" s="128">
        <v>5836246.1951812366</v>
      </c>
      <c r="AD123" s="128">
        <v>5856566.8145784037</v>
      </c>
      <c r="AE123" s="128">
        <v>5874554.3746210402</v>
      </c>
      <c r="AF123" s="129">
        <v>5890936.8778776275</v>
      </c>
    </row>
    <row r="124" spans="1:32" x14ac:dyDescent="0.25">
      <c r="A124" s="124" t="s">
        <v>49</v>
      </c>
      <c r="B124" s="128">
        <v>2988286.8348901593</v>
      </c>
      <c r="C124" s="128">
        <v>3048021.215773006</v>
      </c>
      <c r="D124" s="128">
        <v>3111405.6862838482</v>
      </c>
      <c r="E124" s="128">
        <v>3176457.8350440487</v>
      </c>
      <c r="F124" s="128">
        <v>3242976.1823156429</v>
      </c>
      <c r="G124" s="128">
        <v>3310052.8345545097</v>
      </c>
      <c r="H124" s="128">
        <v>3376365.8036698815</v>
      </c>
      <c r="I124" s="128">
        <v>3445249.7929716483</v>
      </c>
      <c r="J124" s="128">
        <v>3512809.3911657399</v>
      </c>
      <c r="K124" s="128">
        <v>3582200.2475962769</v>
      </c>
      <c r="L124" s="128">
        <v>3658525.0662010452</v>
      </c>
      <c r="M124" s="128">
        <v>3745018.7126637516</v>
      </c>
      <c r="N124" s="128">
        <v>3842164.3348094118</v>
      </c>
      <c r="O124" s="128">
        <v>3949234.5274826051</v>
      </c>
      <c r="P124" s="128">
        <v>4064185.7198565863</v>
      </c>
      <c r="Q124" s="128">
        <v>4185279.712148278</v>
      </c>
      <c r="R124" s="128">
        <v>4316489.7015747903</v>
      </c>
      <c r="S124" s="128">
        <v>4449588.3557743467</v>
      </c>
      <c r="T124" s="128">
        <v>4576301.7391200662</v>
      </c>
      <c r="U124" s="128">
        <v>4701254.9895146955</v>
      </c>
      <c r="V124" s="128">
        <v>4829080.20265166</v>
      </c>
      <c r="W124" s="128">
        <v>4956164.2477394147</v>
      </c>
      <c r="X124" s="128">
        <v>5079908.3237869302</v>
      </c>
      <c r="Y124" s="128">
        <v>5208279.7330160895</v>
      </c>
      <c r="Z124" s="128">
        <v>5342246.3098641559</v>
      </c>
      <c r="AA124" s="128">
        <v>5479064.5069550443</v>
      </c>
      <c r="AB124" s="128">
        <v>5617145.8476448087</v>
      </c>
      <c r="AC124" s="128">
        <v>5755476.7130232472</v>
      </c>
      <c r="AD124" s="128">
        <v>5894091.9180051805</v>
      </c>
      <c r="AE124" s="128">
        <v>6029572.0725839017</v>
      </c>
      <c r="AF124" s="129">
        <v>6160920.8941582851</v>
      </c>
    </row>
    <row r="125" spans="1:32" x14ac:dyDescent="0.25">
      <c r="A125" s="124" t="s">
        <v>50</v>
      </c>
      <c r="B125" s="128">
        <v>7321251.4795287093</v>
      </c>
      <c r="C125" s="128">
        <v>7430234.134697644</v>
      </c>
      <c r="D125" s="128">
        <v>7526300.633597238</v>
      </c>
      <c r="E125" s="128">
        <v>7609664.5685131811</v>
      </c>
      <c r="F125" s="128">
        <v>7684732.4687780803</v>
      </c>
      <c r="G125" s="128">
        <v>7753445.6658110134</v>
      </c>
      <c r="H125" s="128">
        <v>7829390.9092167094</v>
      </c>
      <c r="I125" s="128">
        <v>7897387.049173791</v>
      </c>
      <c r="J125" s="128">
        <v>7946646.7054010248</v>
      </c>
      <c r="K125" s="128">
        <v>7986444.1293944856</v>
      </c>
      <c r="L125" s="128">
        <v>8029187.1822336437</v>
      </c>
      <c r="M125" s="128">
        <v>8069062.9570801631</v>
      </c>
      <c r="N125" s="128">
        <v>8108005.6125998544</v>
      </c>
      <c r="O125" s="128">
        <v>8141068.179389379</v>
      </c>
      <c r="P125" s="128">
        <v>8164843.8086237991</v>
      </c>
      <c r="Q125" s="128">
        <v>8176774.9149866179</v>
      </c>
      <c r="R125" s="128">
        <v>8195724.7619156996</v>
      </c>
      <c r="S125" s="128">
        <v>8211612.2996994779</v>
      </c>
      <c r="T125" s="128">
        <v>8221299.9921529517</v>
      </c>
      <c r="U125" s="128">
        <v>8227453.5396886384</v>
      </c>
      <c r="V125" s="128">
        <v>8236736.6700070519</v>
      </c>
      <c r="W125" s="128">
        <v>8251116.2147029825</v>
      </c>
      <c r="X125" s="128">
        <v>8270301.7566557452</v>
      </c>
      <c r="Y125" s="128">
        <v>8291277.1594585562</v>
      </c>
      <c r="Z125" s="128">
        <v>8313060.0811228165</v>
      </c>
      <c r="AA125" s="128">
        <v>8335013.7134083202</v>
      </c>
      <c r="AB125" s="128">
        <v>8355493.8059175033</v>
      </c>
      <c r="AC125" s="128">
        <v>8375653.138057855</v>
      </c>
      <c r="AD125" s="128">
        <v>8394457.9329577144</v>
      </c>
      <c r="AE125" s="128">
        <v>8410096.4185407069</v>
      </c>
      <c r="AF125" s="129">
        <v>8422405.9487017523</v>
      </c>
    </row>
    <row r="126" spans="1:32" x14ac:dyDescent="0.25">
      <c r="A126" s="124" t="s">
        <v>224</v>
      </c>
      <c r="B126" s="128">
        <v>183263.61518225243</v>
      </c>
      <c r="C126" s="128">
        <v>185317.91165001199</v>
      </c>
      <c r="D126" s="128">
        <v>186997.11615408395</v>
      </c>
      <c r="E126" s="128">
        <v>188110.35655340101</v>
      </c>
      <c r="F126" s="128">
        <v>188906.92778712657</v>
      </c>
      <c r="G126" s="128">
        <v>189962.99558819743</v>
      </c>
      <c r="H126" s="128">
        <v>191824.73943138085</v>
      </c>
      <c r="I126" s="128">
        <v>193529.54141401488</v>
      </c>
      <c r="J126" s="128">
        <v>195018.90056764457</v>
      </c>
      <c r="K126" s="128">
        <v>196258.10979320205</v>
      </c>
      <c r="L126" s="128">
        <v>197121.20542638304</v>
      </c>
      <c r="M126" s="128">
        <v>197736.18366388633</v>
      </c>
      <c r="N126" s="128">
        <v>198171.32949287948</v>
      </c>
      <c r="O126" s="128">
        <v>198664.05243783642</v>
      </c>
      <c r="P126" s="128">
        <v>199446.13000038904</v>
      </c>
      <c r="Q126" s="128">
        <v>200607.38072265228</v>
      </c>
      <c r="R126" s="128">
        <v>202387.30946222742</v>
      </c>
      <c r="S126" s="128">
        <v>204481.7267474414</v>
      </c>
      <c r="T126" s="128">
        <v>206788.05794617592</v>
      </c>
      <c r="U126" s="128">
        <v>209186.80189877239</v>
      </c>
      <c r="V126" s="128">
        <v>211946.9740700144</v>
      </c>
      <c r="W126" s="128">
        <v>215152.95943349379</v>
      </c>
      <c r="X126" s="128">
        <v>218417.32181919104</v>
      </c>
      <c r="Y126" s="128">
        <v>222012.06046940814</v>
      </c>
      <c r="Z126" s="128">
        <v>226184.17386522217</v>
      </c>
      <c r="AA126" s="128">
        <v>230914.37411046561</v>
      </c>
      <c r="AB126" s="128">
        <v>236167.48990496385</v>
      </c>
      <c r="AC126" s="128">
        <v>241877.07073221181</v>
      </c>
      <c r="AD126" s="128">
        <v>248051.83082262485</v>
      </c>
      <c r="AE126" s="128">
        <v>254798.23037962164</v>
      </c>
      <c r="AF126" s="129">
        <v>262177.40710819309</v>
      </c>
    </row>
    <row r="127" spans="1:32" x14ac:dyDescent="0.25">
      <c r="A127" s="124" t="s">
        <v>51</v>
      </c>
      <c r="B127" s="128">
        <v>4505845.3590611545</v>
      </c>
      <c r="C127" s="128">
        <v>4600368.981063663</v>
      </c>
      <c r="D127" s="128">
        <v>4697247.0252892505</v>
      </c>
      <c r="E127" s="128">
        <v>4793965.9113681419</v>
      </c>
      <c r="F127" s="128">
        <v>4888063.5227534287</v>
      </c>
      <c r="G127" s="128">
        <v>4979331.7118983315</v>
      </c>
      <c r="H127" s="128">
        <v>5074438.6040785564</v>
      </c>
      <c r="I127" s="128">
        <v>5169230.0836604927</v>
      </c>
      <c r="J127" s="128">
        <v>5266617.0914045209</v>
      </c>
      <c r="K127" s="128">
        <v>5365130.7290449319</v>
      </c>
      <c r="L127" s="128">
        <v>5461894.827471504</v>
      </c>
      <c r="M127" s="128">
        <v>5545086.5354231605</v>
      </c>
      <c r="N127" s="128">
        <v>5613914.2750114985</v>
      </c>
      <c r="O127" s="128">
        <v>5678072.4543670779</v>
      </c>
      <c r="P127" s="128">
        <v>5752137.1509950794</v>
      </c>
      <c r="Q127" s="128">
        <v>5846902.8478075545</v>
      </c>
      <c r="R127" s="128">
        <v>5977229.2297107307</v>
      </c>
      <c r="S127" s="128">
        <v>6127889.5984316254</v>
      </c>
      <c r="T127" s="128">
        <v>6280007.9975944459</v>
      </c>
      <c r="U127" s="128">
        <v>6429268.8779116822</v>
      </c>
      <c r="V127" s="128">
        <v>6612678.0159707023</v>
      </c>
      <c r="W127" s="128">
        <v>6819292.1019022986</v>
      </c>
      <c r="X127" s="128">
        <v>6975900.7765318919</v>
      </c>
      <c r="Y127" s="128">
        <v>7084849.6900784792</v>
      </c>
      <c r="Z127" s="128">
        <v>7183545.6053741835</v>
      </c>
      <c r="AA127" s="128">
        <v>7271300.131492693</v>
      </c>
      <c r="AB127" s="128">
        <v>7348688.7518588156</v>
      </c>
      <c r="AC127" s="128">
        <v>7417559.1412408333</v>
      </c>
      <c r="AD127" s="128">
        <v>7477948.8380366582</v>
      </c>
      <c r="AE127" s="128">
        <v>7529508.4960653707</v>
      </c>
      <c r="AF127" s="129">
        <v>7572394.4550609998</v>
      </c>
    </row>
    <row r="128" spans="1:32" x14ac:dyDescent="0.25">
      <c r="A128" s="124" t="s">
        <v>226</v>
      </c>
      <c r="B128" s="128">
        <v>2549887.6086657657</v>
      </c>
      <c r="C128" s="128">
        <v>2528519.2266355008</v>
      </c>
      <c r="D128" s="128">
        <v>2506117.1152397892</v>
      </c>
      <c r="E128" s="128">
        <v>2482288.71211616</v>
      </c>
      <c r="F128" s="128">
        <v>2458457.2355694361</v>
      </c>
      <c r="G128" s="128">
        <v>2435132.6732435436</v>
      </c>
      <c r="H128" s="128">
        <v>2408158.4542862992</v>
      </c>
      <c r="I128" s="128">
        <v>2380222.8240879411</v>
      </c>
      <c r="J128" s="128">
        <v>2351789.5697951661</v>
      </c>
      <c r="K128" s="128">
        <v>2323519.1248780261</v>
      </c>
      <c r="L128" s="128">
        <v>2295822.5573223168</v>
      </c>
      <c r="M128" s="128">
        <v>2266195.7368772565</v>
      </c>
      <c r="N128" s="128">
        <v>2235444.9702855861</v>
      </c>
      <c r="O128" s="128">
        <v>2207821.5968507687</v>
      </c>
      <c r="P128" s="128">
        <v>2182153.3608768173</v>
      </c>
      <c r="Q128" s="128">
        <v>2159260.215925592</v>
      </c>
      <c r="R128" s="128">
        <v>2140234.8192872168</v>
      </c>
      <c r="S128" s="128">
        <v>2121265.7698401837</v>
      </c>
      <c r="T128" s="128">
        <v>2102600.6375087961</v>
      </c>
      <c r="U128" s="128">
        <v>2083138.8646860362</v>
      </c>
      <c r="V128" s="128">
        <v>2063861.4255612164</v>
      </c>
      <c r="W128" s="128">
        <v>2046779.3618016751</v>
      </c>
      <c r="X128" s="128">
        <v>2031117.4254840179</v>
      </c>
      <c r="Y128" s="128">
        <v>2018527.6074938714</v>
      </c>
      <c r="Z128" s="128">
        <v>2011817.0343655185</v>
      </c>
      <c r="AA128" s="128">
        <v>2009015.4756528668</v>
      </c>
      <c r="AB128" s="128">
        <v>2007463.0360886953</v>
      </c>
      <c r="AC128" s="128">
        <v>2006597.9078977923</v>
      </c>
      <c r="AD128" s="128">
        <v>2005722.3144137536</v>
      </c>
      <c r="AE128" s="128">
        <v>2005421.2807524609</v>
      </c>
      <c r="AF128" s="129">
        <v>2004875.1496030327</v>
      </c>
    </row>
    <row r="129" spans="1:32" x14ac:dyDescent="0.25">
      <c r="A129" s="124" t="s">
        <v>228</v>
      </c>
      <c r="B129" s="128">
        <v>23622.904110811731</v>
      </c>
      <c r="C129" s="128">
        <v>24357.884805644753</v>
      </c>
      <c r="D129" s="128">
        <v>25094.185306271076</v>
      </c>
      <c r="E129" s="128">
        <v>25814.90779154134</v>
      </c>
      <c r="F129" s="128">
        <v>26493.045416549616</v>
      </c>
      <c r="G129" s="128">
        <v>27072.295631741803</v>
      </c>
      <c r="H129" s="128">
        <v>27708.228925355037</v>
      </c>
      <c r="I129" s="128">
        <v>28469.375710177836</v>
      </c>
      <c r="J129" s="128">
        <v>29265.269599363484</v>
      </c>
      <c r="K129" s="128">
        <v>30138.728082387384</v>
      </c>
      <c r="L129" s="128">
        <v>31147.873938333629</v>
      </c>
      <c r="M129" s="128">
        <v>31924.835210951365</v>
      </c>
      <c r="N129" s="128">
        <v>32596.480515418181</v>
      </c>
      <c r="O129" s="128">
        <v>33200.100607882785</v>
      </c>
      <c r="P129" s="128">
        <v>33696.439695500943</v>
      </c>
      <c r="Q129" s="128">
        <v>33932.215959383473</v>
      </c>
      <c r="R129" s="128">
        <v>33970.083597804674</v>
      </c>
      <c r="S129" s="128">
        <v>34012.257326564257</v>
      </c>
      <c r="T129" s="128">
        <v>34036.694401916066</v>
      </c>
      <c r="U129" s="128">
        <v>33997.055448316867</v>
      </c>
      <c r="V129" s="128">
        <v>33982.566811120472</v>
      </c>
      <c r="W129" s="128">
        <v>34015.073668302313</v>
      </c>
      <c r="X129" s="128">
        <v>34134.626869012682</v>
      </c>
      <c r="Y129" s="128">
        <v>34345.449787748614</v>
      </c>
      <c r="Z129" s="128">
        <v>34578.289192331526</v>
      </c>
      <c r="AA129" s="128">
        <v>34888.737119342062</v>
      </c>
      <c r="AB129" s="128">
        <v>35254.493015575863</v>
      </c>
      <c r="AC129" s="128">
        <v>35645.431844546976</v>
      </c>
      <c r="AD129" s="128">
        <v>36053.508056659339</v>
      </c>
      <c r="AE129" s="128">
        <v>36473.177349505146</v>
      </c>
      <c r="AF129" s="129">
        <v>36903.210915789503</v>
      </c>
    </row>
    <row r="130" spans="1:32" x14ac:dyDescent="0.25">
      <c r="A130" s="124" t="s">
        <v>229</v>
      </c>
      <c r="B130" s="128">
        <v>593365.32894808205</v>
      </c>
      <c r="C130" s="128">
        <v>594826.63786308898</v>
      </c>
      <c r="D130" s="128">
        <v>602106.62546788366</v>
      </c>
      <c r="E130" s="128">
        <v>612214.37846855517</v>
      </c>
      <c r="F130" s="128">
        <v>620137.10485396418</v>
      </c>
      <c r="G130" s="128">
        <v>625540.11122933612</v>
      </c>
      <c r="H130" s="128">
        <v>628725.21805679088</v>
      </c>
      <c r="I130" s="128">
        <v>629294.70534195786</v>
      </c>
      <c r="J130" s="128">
        <v>628193.2414401666</v>
      </c>
      <c r="K130" s="128">
        <v>627452.83115159918</v>
      </c>
      <c r="L130" s="128">
        <v>626693.78691980953</v>
      </c>
      <c r="M130" s="128">
        <v>623490.20986584283</v>
      </c>
      <c r="N130" s="128">
        <v>619230.38260413962</v>
      </c>
      <c r="O130" s="128">
        <v>617378.51227555727</v>
      </c>
      <c r="P130" s="128">
        <v>621350.05141627416</v>
      </c>
      <c r="Q130" s="128">
        <v>629471.10210009583</v>
      </c>
      <c r="R130" s="128">
        <v>638794.88814643235</v>
      </c>
      <c r="S130" s="128">
        <v>648500.7993740089</v>
      </c>
      <c r="T130" s="128">
        <v>659244.06953954068</v>
      </c>
      <c r="U130" s="128">
        <v>671804.47096907569</v>
      </c>
      <c r="V130" s="128">
        <v>681382.58609074377</v>
      </c>
      <c r="W130" s="128">
        <v>686810.70082848321</v>
      </c>
      <c r="X130" s="128">
        <v>689410.68904031336</v>
      </c>
      <c r="Y130" s="128">
        <v>689679.39377932483</v>
      </c>
      <c r="Z130" s="128">
        <v>690761.00656254683</v>
      </c>
      <c r="AA130" s="128">
        <v>693016.72589213692</v>
      </c>
      <c r="AB130" s="128">
        <v>695918.46199591481</v>
      </c>
      <c r="AC130" s="128">
        <v>699196.81241074926</v>
      </c>
      <c r="AD130" s="128">
        <v>702368.97186365863</v>
      </c>
      <c r="AE130" s="128">
        <v>704984.02309993841</v>
      </c>
      <c r="AF130" s="129">
        <v>707099.32061477506</v>
      </c>
    </row>
    <row r="131" spans="1:32" x14ac:dyDescent="0.25">
      <c r="A131" s="124" t="s">
        <v>52</v>
      </c>
      <c r="B131" s="128">
        <v>730310.05314530001</v>
      </c>
      <c r="C131" s="128">
        <v>745450.83860874944</v>
      </c>
      <c r="D131" s="128">
        <v>760567.13725003658</v>
      </c>
      <c r="E131" s="128">
        <v>775867.04955413239</v>
      </c>
      <c r="F131" s="128">
        <v>791355.39208368585</v>
      </c>
      <c r="G131" s="128">
        <v>808091.22183978674</v>
      </c>
      <c r="H131" s="128">
        <v>826468.94806650816</v>
      </c>
      <c r="I131" s="128">
        <v>845234.60498093965</v>
      </c>
      <c r="J131" s="128">
        <v>864252.18127750303</v>
      </c>
      <c r="K131" s="128">
        <v>883402.748804893</v>
      </c>
      <c r="L131" s="128">
        <v>902562.2847003924</v>
      </c>
      <c r="M131" s="128">
        <v>921815.54827917321</v>
      </c>
      <c r="N131" s="128">
        <v>940749.54118898453</v>
      </c>
      <c r="O131" s="128">
        <v>958900.32684985793</v>
      </c>
      <c r="P131" s="128">
        <v>976324.96665833751</v>
      </c>
      <c r="Q131" s="128">
        <v>992949.23552366626</v>
      </c>
      <c r="R131" s="128">
        <v>1008745.6356301239</v>
      </c>
      <c r="S131" s="128">
        <v>1023815.3018328749</v>
      </c>
      <c r="T131" s="128">
        <v>1038047.2581367242</v>
      </c>
      <c r="U131" s="128">
        <v>1051330.773268569</v>
      </c>
      <c r="V131" s="128">
        <v>1064459.7168444542</v>
      </c>
      <c r="W131" s="128">
        <v>1077411.7249949791</v>
      </c>
      <c r="X131" s="128">
        <v>1089775.9115437677</v>
      </c>
      <c r="Y131" s="128">
        <v>1101531.0020070586</v>
      </c>
      <c r="Z131" s="128">
        <v>1112534.566259692</v>
      </c>
      <c r="AA131" s="128">
        <v>1122899.0235203719</v>
      </c>
      <c r="AB131" s="128">
        <v>1132366.8562182789</v>
      </c>
      <c r="AC131" s="128">
        <v>1141235.974368134</v>
      </c>
      <c r="AD131" s="128">
        <v>1149571.7107356312</v>
      </c>
      <c r="AE131" s="128">
        <v>1157418.7720602201</v>
      </c>
      <c r="AF131" s="129">
        <v>1164811.016995877</v>
      </c>
    </row>
    <row r="132" spans="1:32" x14ac:dyDescent="0.25">
      <c r="A132" s="124" t="s">
        <v>53</v>
      </c>
      <c r="B132" s="128">
        <v>2119469.6570670633</v>
      </c>
      <c r="C132" s="128">
        <v>2181430.6912997696</v>
      </c>
      <c r="D132" s="128">
        <v>2253154.1600228893</v>
      </c>
      <c r="E132" s="128">
        <v>2327084.3708681646</v>
      </c>
      <c r="F132" s="128">
        <v>2403594.0555149028</v>
      </c>
      <c r="G132" s="128">
        <v>2483421.704001613</v>
      </c>
      <c r="H132" s="128">
        <v>2567034.416424158</v>
      </c>
      <c r="I132" s="128">
        <v>2654585.029911771</v>
      </c>
      <c r="J132" s="128">
        <v>2746760.3221822614</v>
      </c>
      <c r="K132" s="128">
        <v>2844206.026956358</v>
      </c>
      <c r="L132" s="128">
        <v>2947998.0029542851</v>
      </c>
      <c r="M132" s="128">
        <v>3058704.7918421668</v>
      </c>
      <c r="N132" s="128">
        <v>3180030.9826427684</v>
      </c>
      <c r="O132" s="128">
        <v>3304300.2032309952</v>
      </c>
      <c r="P132" s="128">
        <v>3430085.6771797417</v>
      </c>
      <c r="Q132" s="128">
        <v>3563778.9589075972</v>
      </c>
      <c r="R132" s="128">
        <v>3704063.8168052877</v>
      </c>
      <c r="S132" s="128">
        <v>3844779.4586826754</v>
      </c>
      <c r="T132" s="128">
        <v>3986974.0665547582</v>
      </c>
      <c r="U132" s="128">
        <v>4132538.9829406347</v>
      </c>
      <c r="V132" s="128">
        <v>4282256.9985373253</v>
      </c>
      <c r="W132" s="128">
        <v>4437596.6497067669</v>
      </c>
      <c r="X132" s="128">
        <v>4598106.846113286</v>
      </c>
      <c r="Y132" s="128">
        <v>4763810.5186943859</v>
      </c>
      <c r="Z132" s="128">
        <v>4933276.2630168572</v>
      </c>
      <c r="AA132" s="128">
        <v>5105833.0108403992</v>
      </c>
      <c r="AB132" s="128">
        <v>5280433.9225400295</v>
      </c>
      <c r="AC132" s="128">
        <v>5455611.5792780779</v>
      </c>
      <c r="AD132" s="128">
        <v>5631484.1462685755</v>
      </c>
      <c r="AE132" s="128">
        <v>5808123.8011983978</v>
      </c>
      <c r="AF132" s="129">
        <v>5985465.952741514</v>
      </c>
    </row>
    <row r="133" spans="1:32" x14ac:dyDescent="0.25">
      <c r="A133" s="124" t="s">
        <v>54</v>
      </c>
      <c r="B133" s="128">
        <v>20157258.607375037</v>
      </c>
      <c r="C133" s="128">
        <v>20611553.87390535</v>
      </c>
      <c r="D133" s="128">
        <v>21066167.765528318</v>
      </c>
      <c r="E133" s="128">
        <v>21520725.995632675</v>
      </c>
      <c r="F133" s="128">
        <v>21981900.464436863</v>
      </c>
      <c r="G133" s="128">
        <v>22447714.594671801</v>
      </c>
      <c r="H133" s="128">
        <v>22920616.171683319</v>
      </c>
      <c r="I133" s="128">
        <v>23402310.460798558</v>
      </c>
      <c r="J133" s="128">
        <v>23892415.432049382</v>
      </c>
      <c r="K133" s="128">
        <v>24493017.207604438</v>
      </c>
      <c r="L133" s="128">
        <v>25117421.188072786</v>
      </c>
      <c r="M133" s="128">
        <v>25773013.360449683</v>
      </c>
      <c r="N133" s="128">
        <v>26438238.930612978</v>
      </c>
      <c r="O133" s="128">
        <v>27103206.009225354</v>
      </c>
      <c r="P133" s="128">
        <v>27771195.663610589</v>
      </c>
      <c r="Q133" s="128">
        <v>28442326.987869289</v>
      </c>
      <c r="R133" s="128">
        <v>29143505.311279934</v>
      </c>
      <c r="S133" s="128">
        <v>29889757.461881116</v>
      </c>
      <c r="T133" s="128">
        <v>30653330.795296118</v>
      </c>
      <c r="U133" s="128">
        <v>31409895.396334402</v>
      </c>
      <c r="V133" s="128">
        <v>32190149.004216783</v>
      </c>
      <c r="W133" s="128">
        <v>32990203.612855457</v>
      </c>
      <c r="X133" s="128">
        <v>33785771.121243462</v>
      </c>
      <c r="Y133" s="128">
        <v>34590977.741111189</v>
      </c>
      <c r="Z133" s="128">
        <v>35395112.388826445</v>
      </c>
      <c r="AA133" s="128">
        <v>36191835.029377766</v>
      </c>
      <c r="AB133" s="128">
        <v>36992301.22133708</v>
      </c>
      <c r="AC133" s="128">
        <v>37780156.805553943</v>
      </c>
      <c r="AD133" s="128">
        <v>38547296.145854853</v>
      </c>
      <c r="AE133" s="128">
        <v>39298985.067556813</v>
      </c>
      <c r="AF133" s="129">
        <v>40041424.201916084</v>
      </c>
    </row>
    <row r="134" spans="1:32" x14ac:dyDescent="0.25">
      <c r="A134" s="124" t="s">
        <v>230</v>
      </c>
      <c r="B134" s="128">
        <v>643395.96587521571</v>
      </c>
      <c r="C134" s="128">
        <v>638867.70858687302</v>
      </c>
      <c r="D134" s="128">
        <v>635283.17562427104</v>
      </c>
      <c r="E134" s="128">
        <v>631863.1130214436</v>
      </c>
      <c r="F134" s="128">
        <v>628195.9151531203</v>
      </c>
      <c r="G134" s="128">
        <v>625250.07809346542</v>
      </c>
      <c r="H134" s="128">
        <v>621670.74404584826</v>
      </c>
      <c r="I134" s="128">
        <v>619262.95545404707</v>
      </c>
      <c r="J134" s="128">
        <v>618831.41159617912</v>
      </c>
      <c r="K134" s="128">
        <v>619445.89418888383</v>
      </c>
      <c r="L134" s="128">
        <v>620912.21649347898</v>
      </c>
      <c r="M134" s="128">
        <v>621592.44704200944</v>
      </c>
      <c r="N134" s="128">
        <v>622387.80634634651</v>
      </c>
      <c r="O134" s="128">
        <v>623390.2320630484</v>
      </c>
      <c r="P134" s="128">
        <v>624120.06568870542</v>
      </c>
      <c r="Q134" s="128">
        <v>624495.78490578523</v>
      </c>
      <c r="R134" s="128">
        <v>622174.05237380334</v>
      </c>
      <c r="S134" s="128">
        <v>619227.649068314</v>
      </c>
      <c r="T134" s="128">
        <v>616235.95176102943</v>
      </c>
      <c r="U134" s="128">
        <v>613862.42381276563</v>
      </c>
      <c r="V134" s="128">
        <v>611205.5590337289</v>
      </c>
      <c r="W134" s="128">
        <v>607053.15040496085</v>
      </c>
      <c r="X134" s="128">
        <v>604968.09282041097</v>
      </c>
      <c r="Y134" s="128">
        <v>605638.12832548004</v>
      </c>
      <c r="Z134" s="128">
        <v>607533.69733748643</v>
      </c>
      <c r="AA134" s="128">
        <v>610567.27393305523</v>
      </c>
      <c r="AB134" s="128">
        <v>613896.27367661335</v>
      </c>
      <c r="AC134" s="128">
        <v>618016.74572686024</v>
      </c>
      <c r="AD134" s="128">
        <v>622569.5449091621</v>
      </c>
      <c r="AE134" s="128">
        <v>627260.40831909771</v>
      </c>
      <c r="AF134" s="129">
        <v>632247.11555586208</v>
      </c>
    </row>
    <row r="135" spans="1:32" x14ac:dyDescent="0.25">
      <c r="A135" s="124" t="s">
        <v>231</v>
      </c>
      <c r="B135" s="128">
        <v>298605.6305057003</v>
      </c>
      <c r="C135" s="128">
        <v>305837.87560566276</v>
      </c>
      <c r="D135" s="128">
        <v>312935.65223629557</v>
      </c>
      <c r="E135" s="128">
        <v>319736.49644536938</v>
      </c>
      <c r="F135" s="128">
        <v>326130.59363348153</v>
      </c>
      <c r="G135" s="128">
        <v>332256.46532637574</v>
      </c>
      <c r="H135" s="128">
        <v>339200.99175552611</v>
      </c>
      <c r="I135" s="128">
        <v>346580.50513402623</v>
      </c>
      <c r="J135" s="128">
        <v>354407.51199510717</v>
      </c>
      <c r="K135" s="128">
        <v>362620.63272807596</v>
      </c>
      <c r="L135" s="128">
        <v>379840.76696055674</v>
      </c>
      <c r="M135" s="128">
        <v>401306.93841956096</v>
      </c>
      <c r="N135" s="128">
        <v>423793.90699207853</v>
      </c>
      <c r="O135" s="128">
        <v>446091.48395160073</v>
      </c>
      <c r="P135" s="128">
        <v>467451.49230923597</v>
      </c>
      <c r="Q135" s="128">
        <v>488804.56699279736</v>
      </c>
      <c r="R135" s="128">
        <v>504631.29266392242</v>
      </c>
      <c r="S135" s="128">
        <v>518492.14892557607</v>
      </c>
      <c r="T135" s="128">
        <v>531791.04631034483</v>
      </c>
      <c r="U135" s="128">
        <v>542992.83455076918</v>
      </c>
      <c r="V135" s="128">
        <v>549832.39108176413</v>
      </c>
      <c r="W135" s="128">
        <v>553831.4612170225</v>
      </c>
      <c r="X135" s="128">
        <v>560269.64132388658</v>
      </c>
      <c r="Y135" s="128">
        <v>568045.32400479703</v>
      </c>
      <c r="Z135" s="128">
        <v>576129.65449310595</v>
      </c>
      <c r="AA135" s="128">
        <v>583635.75061222282</v>
      </c>
      <c r="AB135" s="128">
        <v>589290.88146567636</v>
      </c>
      <c r="AC135" s="128">
        <v>594116.06321213173</v>
      </c>
      <c r="AD135" s="128">
        <v>598909.17759492993</v>
      </c>
      <c r="AE135" s="128">
        <v>603728.01869578299</v>
      </c>
      <c r="AF135" s="129">
        <v>608141.27895163849</v>
      </c>
    </row>
    <row r="136" spans="1:32" x14ac:dyDescent="0.25">
      <c r="A136" s="124" t="s">
        <v>55</v>
      </c>
      <c r="B136" s="128">
        <v>22942013.88052509</v>
      </c>
      <c r="C136" s="128">
        <v>23769232.846369077</v>
      </c>
      <c r="D136" s="128">
        <v>24369460.846066382</v>
      </c>
      <c r="E136" s="128">
        <v>24855958.602662992</v>
      </c>
      <c r="F136" s="128">
        <v>25395161.728142794</v>
      </c>
      <c r="G136" s="128">
        <v>25935381.525482785</v>
      </c>
      <c r="H136" s="128">
        <v>26474462.668240774</v>
      </c>
      <c r="I136" s="128">
        <v>27040470.315791454</v>
      </c>
      <c r="J136" s="128">
        <v>27775136.860259209</v>
      </c>
      <c r="K136" s="128">
        <v>28552059.945617892</v>
      </c>
      <c r="L136" s="128">
        <v>29365729.984723598</v>
      </c>
      <c r="M136" s="128">
        <v>30136117.426176067</v>
      </c>
      <c r="N136" s="128">
        <v>30770892.064875286</v>
      </c>
      <c r="O136" s="128">
        <v>31297474.062051229</v>
      </c>
      <c r="P136" s="128">
        <v>31799649.157642148</v>
      </c>
      <c r="Q136" s="128">
        <v>32378810.520553313</v>
      </c>
      <c r="R136" s="128">
        <v>33053465.766460057</v>
      </c>
      <c r="S136" s="128">
        <v>33816745.998413436</v>
      </c>
      <c r="T136" s="128">
        <v>34686291.930127427</v>
      </c>
      <c r="U136" s="128">
        <v>35585112.410185926</v>
      </c>
      <c r="V136" s="128">
        <v>36530823.0628668</v>
      </c>
      <c r="W136" s="128">
        <v>37526557.622527048</v>
      </c>
      <c r="X136" s="128">
        <v>38556210.821252167</v>
      </c>
      <c r="Y136" s="128">
        <v>39609597.098305792</v>
      </c>
      <c r="Z136" s="128">
        <v>40648780.418688133</v>
      </c>
      <c r="AA136" s="128">
        <v>41675807.275362797</v>
      </c>
      <c r="AB136" s="128">
        <v>42689047.673404902</v>
      </c>
      <c r="AC136" s="128">
        <v>43677364.86045143</v>
      </c>
      <c r="AD136" s="128">
        <v>44626329.581971712</v>
      </c>
      <c r="AE136" s="128">
        <v>45513104.604456022</v>
      </c>
      <c r="AF136" s="129">
        <v>46320718.874213994</v>
      </c>
    </row>
    <row r="137" spans="1:32" x14ac:dyDescent="0.25">
      <c r="A137" s="124" t="s">
        <v>233</v>
      </c>
      <c r="B137" s="128">
        <v>459220.78663038136</v>
      </c>
      <c r="C137" s="128">
        <v>469749.42553283629</v>
      </c>
      <c r="D137" s="128">
        <v>480062.61735031987</v>
      </c>
      <c r="E137" s="128">
        <v>490153.52134725236</v>
      </c>
      <c r="F137" s="128">
        <v>500125.78457898623</v>
      </c>
      <c r="G137" s="128">
        <v>509993.37273619405</v>
      </c>
      <c r="H137" s="128">
        <v>519506.66294705635</v>
      </c>
      <c r="I137" s="128">
        <v>528699.95371567225</v>
      </c>
      <c r="J137" s="128">
        <v>537641.47406501882</v>
      </c>
      <c r="K137" s="128">
        <v>546235.20781550102</v>
      </c>
      <c r="L137" s="128">
        <v>554424.50978148892</v>
      </c>
      <c r="M137" s="128">
        <v>562130.24759989965</v>
      </c>
      <c r="N137" s="128">
        <v>569396.92460723838</v>
      </c>
      <c r="O137" s="128">
        <v>576334.83071790263</v>
      </c>
      <c r="P137" s="128">
        <v>583211.24538175121</v>
      </c>
      <c r="Q137" s="128">
        <v>590260.62038335751</v>
      </c>
      <c r="R137" s="128">
        <v>597391.2466065156</v>
      </c>
      <c r="S137" s="128">
        <v>604702.32048153284</v>
      </c>
      <c r="T137" s="128">
        <v>612019.47880590148</v>
      </c>
      <c r="U137" s="128">
        <v>619232.19946565467</v>
      </c>
      <c r="V137" s="128">
        <v>625660.83335900714</v>
      </c>
      <c r="W137" s="128">
        <v>631050.36044331628</v>
      </c>
      <c r="X137" s="128">
        <v>636563.57296266686</v>
      </c>
      <c r="Y137" s="128">
        <v>642347.6664395741</v>
      </c>
      <c r="Z137" s="128">
        <v>647995.09065941756</v>
      </c>
      <c r="AA137" s="128">
        <v>653413.67216884124</v>
      </c>
      <c r="AB137" s="128">
        <v>658648.28421666555</v>
      </c>
      <c r="AC137" s="128">
        <v>663880.84097182564</v>
      </c>
      <c r="AD137" s="128">
        <v>668964.95795995614</v>
      </c>
      <c r="AE137" s="128">
        <v>673859.74010558228</v>
      </c>
      <c r="AF137" s="129">
        <v>678584.80720510869</v>
      </c>
    </row>
    <row r="138" spans="1:32" x14ac:dyDescent="0.25">
      <c r="A138" s="124" t="s">
        <v>56</v>
      </c>
      <c r="B138" s="128">
        <v>904701.21779444139</v>
      </c>
      <c r="C138" s="128">
        <v>940437.25404094008</v>
      </c>
      <c r="D138" s="128">
        <v>977006.46772000205</v>
      </c>
      <c r="E138" s="128">
        <v>1014738.9917911562</v>
      </c>
      <c r="F138" s="128">
        <v>1053334.9015011608</v>
      </c>
      <c r="G138" s="128">
        <v>1092264.3403091449</v>
      </c>
      <c r="H138" s="128">
        <v>1131133.0838577868</v>
      </c>
      <c r="I138" s="128">
        <v>1169965.0853189721</v>
      </c>
      <c r="J138" s="128">
        <v>1208949.5484220358</v>
      </c>
      <c r="K138" s="128">
        <v>1247884.6538244286</v>
      </c>
      <c r="L138" s="128">
        <v>1286202.0974849702</v>
      </c>
      <c r="M138" s="128">
        <v>1322959.3639500777</v>
      </c>
      <c r="N138" s="128">
        <v>1357874.0150605494</v>
      </c>
      <c r="O138" s="128">
        <v>1391991.4308989409</v>
      </c>
      <c r="P138" s="128">
        <v>1426036.7651903217</v>
      </c>
      <c r="Q138" s="128">
        <v>1460533.6575477067</v>
      </c>
      <c r="R138" s="128">
        <v>1495400.6226705061</v>
      </c>
      <c r="S138" s="128">
        <v>1529774.2774166204</v>
      </c>
      <c r="T138" s="128">
        <v>1564116.2923970909</v>
      </c>
      <c r="U138" s="128">
        <v>1598155.8072955352</v>
      </c>
      <c r="V138" s="128">
        <v>1630470.6085337019</v>
      </c>
      <c r="W138" s="128">
        <v>1661115.7358590486</v>
      </c>
      <c r="X138" s="128">
        <v>1689940.0731625448</v>
      </c>
      <c r="Y138" s="128">
        <v>1716897.1466795253</v>
      </c>
      <c r="Z138" s="128">
        <v>1743376.5516214466</v>
      </c>
      <c r="AA138" s="128">
        <v>1769443.5005403364</v>
      </c>
      <c r="AB138" s="128">
        <v>1795043.3557281555</v>
      </c>
      <c r="AC138" s="128">
        <v>1820032.183531259</v>
      </c>
      <c r="AD138" s="128">
        <v>1844222.2632989257</v>
      </c>
      <c r="AE138" s="128">
        <v>1867450.2900249346</v>
      </c>
      <c r="AF138" s="129">
        <v>1889440.159340506</v>
      </c>
    </row>
    <row r="139" spans="1:32" x14ac:dyDescent="0.25">
      <c r="A139" s="124" t="s">
        <v>234</v>
      </c>
      <c r="B139" s="128">
        <v>682693.8103785764</v>
      </c>
      <c r="C139" s="128">
        <v>698564.52422388806</v>
      </c>
      <c r="D139" s="128">
        <v>712369.77907985705</v>
      </c>
      <c r="E139" s="128">
        <v>726320.30141543585</v>
      </c>
      <c r="F139" s="128">
        <v>741251.99160834216</v>
      </c>
      <c r="G139" s="128">
        <v>756142.8315339851</v>
      </c>
      <c r="H139" s="128">
        <v>770849.49034203019</v>
      </c>
      <c r="I139" s="128">
        <v>785364.46951453725</v>
      </c>
      <c r="J139" s="128">
        <v>799804.33000927349</v>
      </c>
      <c r="K139" s="128">
        <v>814478.06277749024</v>
      </c>
      <c r="L139" s="128">
        <v>830355.8231393483</v>
      </c>
      <c r="M139" s="128">
        <v>848029.91285380407</v>
      </c>
      <c r="N139" s="128">
        <v>865847.9758743397</v>
      </c>
      <c r="O139" s="128">
        <v>883468.18838643283</v>
      </c>
      <c r="P139" s="128">
        <v>900875.56982432457</v>
      </c>
      <c r="Q139" s="128">
        <v>918163.78318897611</v>
      </c>
      <c r="R139" s="128">
        <v>935602.83271689201</v>
      </c>
      <c r="S139" s="128">
        <v>952936.38082263921</v>
      </c>
      <c r="T139" s="128">
        <v>969952.16429294308</v>
      </c>
      <c r="U139" s="128">
        <v>986251.03477997205</v>
      </c>
      <c r="V139" s="128">
        <v>1002282.7911972599</v>
      </c>
      <c r="W139" s="128">
        <v>1018366.8984293099</v>
      </c>
      <c r="X139" s="128">
        <v>1032781.6588584094</v>
      </c>
      <c r="Y139" s="128">
        <v>1045784.3658391207</v>
      </c>
      <c r="Z139" s="128">
        <v>1058313.9152260504</v>
      </c>
      <c r="AA139" s="128">
        <v>1070308.6828087976</v>
      </c>
      <c r="AB139" s="128">
        <v>1081886.4596613713</v>
      </c>
      <c r="AC139" s="128">
        <v>1092789.9429763525</v>
      </c>
      <c r="AD139" s="128">
        <v>1103204.8763388908</v>
      </c>
      <c r="AE139" s="128">
        <v>1113092.7966628459</v>
      </c>
      <c r="AF139" s="129">
        <v>1121969.4682933614</v>
      </c>
    </row>
    <row r="140" spans="1:32" x14ac:dyDescent="0.25">
      <c r="A140" s="124" t="s">
        <v>235</v>
      </c>
      <c r="B140" s="128">
        <v>3898884.2872847919</v>
      </c>
      <c r="C140" s="128">
        <v>3954102.4983334974</v>
      </c>
      <c r="D140" s="128">
        <v>3999942.1371732955</v>
      </c>
      <c r="E140" s="128">
        <v>4038326.1607547658</v>
      </c>
      <c r="F140" s="128">
        <v>4071158.1985116126</v>
      </c>
      <c r="G140" s="128">
        <v>4097297.5856600618</v>
      </c>
      <c r="H140" s="128">
        <v>4122884.3761174046</v>
      </c>
      <c r="I140" s="128">
        <v>4144263.0881754388</v>
      </c>
      <c r="J140" s="128">
        <v>4183132.8662507068</v>
      </c>
      <c r="K140" s="128">
        <v>4225910.5171021884</v>
      </c>
      <c r="L140" s="128">
        <v>4269309.5832990408</v>
      </c>
      <c r="M140" s="128">
        <v>4312337.9599980377</v>
      </c>
      <c r="N140" s="128">
        <v>4358919.6755756754</v>
      </c>
      <c r="O140" s="128">
        <v>4409262.5610132273</v>
      </c>
      <c r="P140" s="128">
        <v>4465670.9943240257</v>
      </c>
      <c r="Q140" s="128">
        <v>4531115.4436103292</v>
      </c>
      <c r="R140" s="128">
        <v>4605410.661782613</v>
      </c>
      <c r="S140" s="128">
        <v>4698114.894168159</v>
      </c>
      <c r="T140" s="128">
        <v>4829103.1418695943</v>
      </c>
      <c r="U140" s="128">
        <v>4969986.5369851338</v>
      </c>
      <c r="V140" s="128">
        <v>5083298.3168388139</v>
      </c>
      <c r="W140" s="128">
        <v>5165924.0443684207</v>
      </c>
      <c r="X140" s="128">
        <v>5221154.8223394128</v>
      </c>
      <c r="Y140" s="128">
        <v>5254336.051309932</v>
      </c>
      <c r="Z140" s="128">
        <v>5286495.2524584783</v>
      </c>
      <c r="AA140" s="128">
        <v>5320893.9519179789</v>
      </c>
      <c r="AB140" s="128">
        <v>5357385.8215993382</v>
      </c>
      <c r="AC140" s="128">
        <v>5394833.2488981448</v>
      </c>
      <c r="AD140" s="128">
        <v>5429768.1813389957</v>
      </c>
      <c r="AE140" s="128">
        <v>5458262.1619162187</v>
      </c>
      <c r="AF140" s="129">
        <v>5478071.5358643588</v>
      </c>
    </row>
    <row r="141" spans="1:32" x14ac:dyDescent="0.25">
      <c r="A141" s="124" t="s">
        <v>57</v>
      </c>
      <c r="B141" s="128">
        <v>12052655.877295094</v>
      </c>
      <c r="C141" s="128">
        <v>12302807.180839863</v>
      </c>
      <c r="D141" s="128">
        <v>12545998.476643329</v>
      </c>
      <c r="E141" s="128">
        <v>12785499.352833549</v>
      </c>
      <c r="F141" s="128">
        <v>13027024.755030574</v>
      </c>
      <c r="G141" s="128">
        <v>13273897.043013692</v>
      </c>
      <c r="H141" s="128">
        <v>13558417.493944282</v>
      </c>
      <c r="I141" s="128">
        <v>13855664.915100845</v>
      </c>
      <c r="J141" s="128">
        <v>14165295.109932629</v>
      </c>
      <c r="K141" s="128">
        <v>14427783.737611284</v>
      </c>
      <c r="L141" s="128">
        <v>14668127.387213998</v>
      </c>
      <c r="M141" s="128">
        <v>14893616.651416646</v>
      </c>
      <c r="N141" s="128">
        <v>15125248.04951101</v>
      </c>
      <c r="O141" s="128">
        <v>15358445.814305833</v>
      </c>
      <c r="P141" s="128">
        <v>15593004.135207573</v>
      </c>
      <c r="Q141" s="128">
        <v>15854545.585005376</v>
      </c>
      <c r="R141" s="128">
        <v>16144630.248032855</v>
      </c>
      <c r="S141" s="128">
        <v>16431486.145328408</v>
      </c>
      <c r="T141" s="128">
        <v>16706302.690504117</v>
      </c>
      <c r="U141" s="128">
        <v>16969788.832970001</v>
      </c>
      <c r="V141" s="128">
        <v>17225804.092008956</v>
      </c>
      <c r="W141" s="128">
        <v>17471457.779021267</v>
      </c>
      <c r="X141" s="128">
        <v>17713413.892460153</v>
      </c>
      <c r="Y141" s="128">
        <v>17956297.121419068</v>
      </c>
      <c r="Z141" s="128">
        <v>18187418.287573297</v>
      </c>
      <c r="AA141" s="128">
        <v>18404812.737645477</v>
      </c>
      <c r="AB141" s="128">
        <v>18604883.440865468</v>
      </c>
      <c r="AC141" s="128">
        <v>18786574.407978516</v>
      </c>
      <c r="AD141" s="128">
        <v>18960912.580130491</v>
      </c>
      <c r="AE141" s="128">
        <v>19135977.327311717</v>
      </c>
      <c r="AF141" s="129">
        <v>19322274.643812966</v>
      </c>
    </row>
    <row r="142" spans="1:32" x14ac:dyDescent="0.25">
      <c r="A142" s="124" t="s">
        <v>236</v>
      </c>
      <c r="B142" s="128">
        <v>5985461.5978410682</v>
      </c>
      <c r="C142" s="128">
        <v>5959221.8313170383</v>
      </c>
      <c r="D142" s="128">
        <v>5905054.4865463069</v>
      </c>
      <c r="E142" s="128">
        <v>5851062.7284443732</v>
      </c>
      <c r="F142" s="128">
        <v>5797413.6113257743</v>
      </c>
      <c r="G142" s="128">
        <v>5739403.1825529421</v>
      </c>
      <c r="H142" s="128">
        <v>5681768.2380246278</v>
      </c>
      <c r="I142" s="128">
        <v>5621453.3422201052</v>
      </c>
      <c r="J142" s="128">
        <v>5561362.9838026986</v>
      </c>
      <c r="K142" s="128">
        <v>5509422.3108142857</v>
      </c>
      <c r="L142" s="128">
        <v>5468129.0002747327</v>
      </c>
      <c r="M142" s="128">
        <v>5432296.0670889681</v>
      </c>
      <c r="N142" s="128">
        <v>5404425.0424496662</v>
      </c>
      <c r="O142" s="128">
        <v>5379497.8245322453</v>
      </c>
      <c r="P142" s="128">
        <v>5355863.3211188642</v>
      </c>
      <c r="Q142" s="128">
        <v>5336051.9519730248</v>
      </c>
      <c r="R142" s="128">
        <v>5321731.3491801517</v>
      </c>
      <c r="S142" s="128">
        <v>5308906.543569996</v>
      </c>
      <c r="T142" s="128">
        <v>5291758.7838397892</v>
      </c>
      <c r="U142" s="128">
        <v>5266506.8662782582</v>
      </c>
      <c r="V142" s="128">
        <v>5231122.3253061892</v>
      </c>
      <c r="W142" s="128">
        <v>5186330.0884292694</v>
      </c>
      <c r="X142" s="128">
        <v>5535843.4602743033</v>
      </c>
      <c r="Y142" s="128">
        <v>5768829.4415500471</v>
      </c>
      <c r="Z142" s="128">
        <v>5511430.4342624648</v>
      </c>
      <c r="AA142" s="128">
        <v>5297305.935302238</v>
      </c>
      <c r="AB142" s="128">
        <v>5130929.0597946476</v>
      </c>
      <c r="AC142" s="128">
        <v>5005626.9799473798</v>
      </c>
      <c r="AD142" s="128">
        <v>4897049.5932062818</v>
      </c>
      <c r="AE142" s="128">
        <v>4790364.0996540207</v>
      </c>
      <c r="AF142" s="129">
        <v>4680522.3046145299</v>
      </c>
    </row>
    <row r="143" spans="1:32" x14ac:dyDescent="0.25">
      <c r="A143" s="124" t="s">
        <v>237</v>
      </c>
      <c r="B143" s="128">
        <v>1595305.0855069975</v>
      </c>
      <c r="C143" s="128">
        <v>1594391.3337791546</v>
      </c>
      <c r="D143" s="128">
        <v>1592274.1830400163</v>
      </c>
      <c r="E143" s="128">
        <v>1588284.7701358486</v>
      </c>
      <c r="F143" s="128">
        <v>1580687.4262986323</v>
      </c>
      <c r="G143" s="128">
        <v>1570108.4898150181</v>
      </c>
      <c r="H143" s="128">
        <v>1559620.3482713087</v>
      </c>
      <c r="I143" s="128">
        <v>1548241.2522378264</v>
      </c>
      <c r="J143" s="128">
        <v>1533889.0202791959</v>
      </c>
      <c r="K143" s="128">
        <v>1516114.5889858177</v>
      </c>
      <c r="L143" s="128">
        <v>1494210.0143704563</v>
      </c>
      <c r="M143" s="128">
        <v>1468086.3218495531</v>
      </c>
      <c r="N143" s="128">
        <v>1435827.3974497921</v>
      </c>
      <c r="O143" s="128">
        <v>1401302.8465003397</v>
      </c>
      <c r="P143" s="128">
        <v>1368455.0833630753</v>
      </c>
      <c r="Q143" s="128">
        <v>1339121.6527906801</v>
      </c>
      <c r="R143" s="128">
        <v>1310708.8485624318</v>
      </c>
      <c r="S143" s="128">
        <v>1284122.6050911492</v>
      </c>
      <c r="T143" s="128">
        <v>1262176.4174113253</v>
      </c>
      <c r="U143" s="128">
        <v>1243596.0087450333</v>
      </c>
      <c r="V143" s="128">
        <v>1226282.9452474567</v>
      </c>
      <c r="W143" s="128">
        <v>1205761.4143285116</v>
      </c>
      <c r="X143" s="128">
        <v>1180981.3361852139</v>
      </c>
      <c r="Y143" s="128">
        <v>1154893.1774517694</v>
      </c>
      <c r="Z143" s="128">
        <v>1129295.7068248526</v>
      </c>
      <c r="AA143" s="128">
        <v>1104552.1733467258</v>
      </c>
      <c r="AB143" s="128">
        <v>1080680.258081821</v>
      </c>
      <c r="AC143" s="128">
        <v>1057462.0209342453</v>
      </c>
      <c r="AD143" s="128">
        <v>1036392.934968059</v>
      </c>
      <c r="AE143" s="128">
        <v>1018128.7271234703</v>
      </c>
      <c r="AF143" s="129">
        <v>1002263.4632233874</v>
      </c>
    </row>
    <row r="144" spans="1:32" x14ac:dyDescent="0.25">
      <c r="A144" s="124" t="s">
        <v>238</v>
      </c>
      <c r="B144" s="128">
        <v>509694.7557187865</v>
      </c>
      <c r="C144" s="128">
        <v>506152.64195901726</v>
      </c>
      <c r="D144" s="128">
        <v>501962.43938261928</v>
      </c>
      <c r="E144" s="128">
        <v>496886.18147852737</v>
      </c>
      <c r="F144" s="128">
        <v>491479.93038699031</v>
      </c>
      <c r="G144" s="128">
        <v>485916.00698642619</v>
      </c>
      <c r="H144" s="128">
        <v>480978.93608594028</v>
      </c>
      <c r="I144" s="128">
        <v>475632.09139371489</v>
      </c>
      <c r="J144" s="128">
        <v>469856.23668200284</v>
      </c>
      <c r="K144" s="128">
        <v>463631.52026583045</v>
      </c>
      <c r="L144" s="128">
        <v>457215.98822819727</v>
      </c>
      <c r="M144" s="128">
        <v>452208.11965765298</v>
      </c>
      <c r="N144" s="128">
        <v>446201.18098131247</v>
      </c>
      <c r="O144" s="128">
        <v>438636.33239142952</v>
      </c>
      <c r="P144" s="128">
        <v>428713.26598772471</v>
      </c>
      <c r="Q144" s="128">
        <v>416929.79658590513</v>
      </c>
      <c r="R144" s="128">
        <v>407392.60636521218</v>
      </c>
      <c r="S144" s="128">
        <v>397307.71149135794</v>
      </c>
      <c r="T144" s="128">
        <v>390091.89187101414</v>
      </c>
      <c r="U144" s="128">
        <v>385220.82169534551</v>
      </c>
      <c r="V144" s="128">
        <v>379258.25096846349</v>
      </c>
      <c r="W144" s="128">
        <v>369804.53543245175</v>
      </c>
      <c r="X144" s="128">
        <v>362662.61406409962</v>
      </c>
      <c r="Y144" s="128">
        <v>358429.79557220638</v>
      </c>
      <c r="Z144" s="128">
        <v>355584.52546028327</v>
      </c>
      <c r="AA144" s="128">
        <v>353741.792130202</v>
      </c>
      <c r="AB144" s="128">
        <v>352369.27242834069</v>
      </c>
      <c r="AC144" s="128">
        <v>351750.8702437178</v>
      </c>
      <c r="AD144" s="128">
        <v>351734.41564463644</v>
      </c>
      <c r="AE144" s="128">
        <v>352070.75823884981</v>
      </c>
      <c r="AF144" s="129">
        <v>352417.67668192572</v>
      </c>
    </row>
    <row r="145" spans="1:32" x14ac:dyDescent="0.25">
      <c r="A145" s="124" t="s">
        <v>239</v>
      </c>
      <c r="B145" s="128">
        <v>78777.03821689426</v>
      </c>
      <c r="C145" s="128">
        <v>82036.861450378055</v>
      </c>
      <c r="D145" s="128">
        <v>85948.906571387386</v>
      </c>
      <c r="E145" s="128">
        <v>90451.819247559804</v>
      </c>
      <c r="F145" s="128">
        <v>95170.546875787826</v>
      </c>
      <c r="G145" s="128">
        <v>101612.37397126469</v>
      </c>
      <c r="H145" s="128">
        <v>108375.67900668013</v>
      </c>
      <c r="I145" s="128">
        <v>117931.45740682635</v>
      </c>
      <c r="J145" s="128">
        <v>130481.99007284193</v>
      </c>
      <c r="K145" s="128">
        <v>148070.31135232752</v>
      </c>
      <c r="L145" s="128">
        <v>168356.45069321705</v>
      </c>
      <c r="M145" s="128">
        <v>182607.85296539721</v>
      </c>
      <c r="N145" s="128">
        <v>196326.05210243096</v>
      </c>
      <c r="O145" s="128">
        <v>211103.49049980254</v>
      </c>
      <c r="P145" s="128">
        <v>225994.91848315788</v>
      </c>
      <c r="Q145" s="128">
        <v>242292.78789202397</v>
      </c>
      <c r="R145" s="128">
        <v>257950.40147045604</v>
      </c>
      <c r="S145" s="128">
        <v>273458.77734888118</v>
      </c>
      <c r="T145" s="128">
        <v>286652.67718156159</v>
      </c>
      <c r="U145" s="128">
        <v>301356.03596208798</v>
      </c>
      <c r="V145" s="128">
        <v>296686.05015903624</v>
      </c>
      <c r="W145" s="128">
        <v>278111.07197813992</v>
      </c>
      <c r="X145" s="128">
        <v>275655.96099422238</v>
      </c>
      <c r="Y145" s="128">
        <v>277949.28993762779</v>
      </c>
      <c r="Z145" s="128">
        <v>281286.32284440752</v>
      </c>
      <c r="AA145" s="128">
        <v>285474.21906231216</v>
      </c>
      <c r="AB145" s="128">
        <v>289574.47464490711</v>
      </c>
      <c r="AC145" s="128">
        <v>293599.63416763896</v>
      </c>
      <c r="AD145" s="128">
        <v>297636.80208825442</v>
      </c>
      <c r="AE145" s="128">
        <v>301677.20266555197</v>
      </c>
      <c r="AF145" s="129">
        <v>305584.33186746069</v>
      </c>
    </row>
    <row r="146" spans="1:32" x14ac:dyDescent="0.25">
      <c r="A146" s="124" t="s">
        <v>240</v>
      </c>
      <c r="B146" s="128">
        <v>7488889.828222556</v>
      </c>
      <c r="C146" s="128">
        <v>7537368.6525089163</v>
      </c>
      <c r="D146" s="128">
        <v>7588397.8039495042</v>
      </c>
      <c r="E146" s="128">
        <v>7632627.1634992715</v>
      </c>
      <c r="F146" s="128">
        <v>7659319.5301076313</v>
      </c>
      <c r="G146" s="128">
        <v>7647610.9286956582</v>
      </c>
      <c r="H146" s="128">
        <v>7616555.0128604444</v>
      </c>
      <c r="I146" s="128">
        <v>7564763.9396788422</v>
      </c>
      <c r="J146" s="128">
        <v>7485606.5159940459</v>
      </c>
      <c r="K146" s="128">
        <v>7390390.8473831983</v>
      </c>
      <c r="L146" s="128">
        <v>7296941.6567977061</v>
      </c>
      <c r="M146" s="128">
        <v>7205765.043984876</v>
      </c>
      <c r="N146" s="128">
        <v>7126437.2434903244</v>
      </c>
      <c r="O146" s="128">
        <v>7043252.1565161021</v>
      </c>
      <c r="P146" s="128">
        <v>6960987.2361919181</v>
      </c>
      <c r="Q146" s="128">
        <v>6881257.4704080215</v>
      </c>
      <c r="R146" s="128">
        <v>6807470.4338727575</v>
      </c>
      <c r="S146" s="128">
        <v>6722875.9495133311</v>
      </c>
      <c r="T146" s="128">
        <v>6620317.9219835019</v>
      </c>
      <c r="U146" s="128">
        <v>6510685.8250010498</v>
      </c>
      <c r="V146" s="128">
        <v>6387802.5661369031</v>
      </c>
      <c r="W146" s="128">
        <v>6256738.9911037888</v>
      </c>
      <c r="X146" s="128">
        <v>6143443.5290648593</v>
      </c>
      <c r="Y146" s="128">
        <v>6039941.9858224522</v>
      </c>
      <c r="Z146" s="128">
        <v>5936874.6651756633</v>
      </c>
      <c r="AA146" s="128">
        <v>5847279.6615808168</v>
      </c>
      <c r="AB146" s="128">
        <v>5775599.5338869132</v>
      </c>
      <c r="AC146" s="128">
        <v>5710661.4010488661</v>
      </c>
      <c r="AD146" s="128">
        <v>5642476.6628484912</v>
      </c>
      <c r="AE146" s="128">
        <v>5563044.2820846159</v>
      </c>
      <c r="AF146" s="129">
        <v>5470521.7654286576</v>
      </c>
    </row>
    <row r="147" spans="1:32" x14ac:dyDescent="0.25">
      <c r="A147" s="124" t="s">
        <v>241</v>
      </c>
      <c r="B147" s="128">
        <v>775105.61894287961</v>
      </c>
      <c r="C147" s="128">
        <v>765909.78223638574</v>
      </c>
      <c r="D147" s="128">
        <v>758246.47368177038</v>
      </c>
      <c r="E147" s="128">
        <v>751564.15666599653</v>
      </c>
      <c r="F147" s="128">
        <v>744497.84080056672</v>
      </c>
      <c r="G147" s="128">
        <v>736614.8730962195</v>
      </c>
      <c r="H147" s="128">
        <v>726113.23308549414</v>
      </c>
      <c r="I147" s="128">
        <v>713047.01837065513</v>
      </c>
      <c r="J147" s="128">
        <v>698832.16326544527</v>
      </c>
      <c r="K147" s="128">
        <v>682998.96837648482</v>
      </c>
      <c r="L147" s="128">
        <v>664701.89127265429</v>
      </c>
      <c r="M147" s="128">
        <v>646625.67259218812</v>
      </c>
      <c r="N147" s="128">
        <v>629473.01527436869</v>
      </c>
      <c r="O147" s="128">
        <v>612769.39647860511</v>
      </c>
      <c r="P147" s="128">
        <v>597233.78832328669</v>
      </c>
      <c r="Q147" s="128">
        <v>583547.48361861473</v>
      </c>
      <c r="R147" s="128">
        <v>571181.59966605983</v>
      </c>
      <c r="S147" s="128">
        <v>560047.81231566134</v>
      </c>
      <c r="T147" s="128">
        <v>550389.94238030177</v>
      </c>
      <c r="U147" s="128">
        <v>542418.06830286223</v>
      </c>
      <c r="V147" s="128">
        <v>536716.51254153415</v>
      </c>
      <c r="W147" s="128">
        <v>531806.36442017159</v>
      </c>
      <c r="X147" s="128">
        <v>596471.58784855611</v>
      </c>
      <c r="Y147" s="128">
        <v>643371.6681389251</v>
      </c>
      <c r="Z147" s="128">
        <v>607131.24709927849</v>
      </c>
      <c r="AA147" s="128">
        <v>579604.99478552386</v>
      </c>
      <c r="AB147" s="128">
        <v>561969.06888822594</v>
      </c>
      <c r="AC147" s="128">
        <v>552406.04908177699</v>
      </c>
      <c r="AD147" s="128">
        <v>546702.99421157234</v>
      </c>
      <c r="AE147" s="128">
        <v>542643.69993280666</v>
      </c>
      <c r="AF147" s="129">
        <v>538793.21644334926</v>
      </c>
    </row>
    <row r="148" spans="1:32" x14ac:dyDescent="0.25">
      <c r="A148" s="124" t="s">
        <v>242</v>
      </c>
      <c r="B148" s="128">
        <v>97509.87592921262</v>
      </c>
      <c r="C148" s="128">
        <v>97429.542648382965</v>
      </c>
      <c r="D148" s="128">
        <v>96990.464319844672</v>
      </c>
      <c r="E148" s="128">
        <v>96338.265733515989</v>
      </c>
      <c r="F148" s="128">
        <v>95522.640342112922</v>
      </c>
      <c r="G148" s="128">
        <v>94597.079919704163</v>
      </c>
      <c r="H148" s="128">
        <v>94561.633811523745</v>
      </c>
      <c r="I148" s="128">
        <v>94852.188893205224</v>
      </c>
      <c r="J148" s="128">
        <v>95089.146641627463</v>
      </c>
      <c r="K148" s="128">
        <v>94698.928186764853</v>
      </c>
      <c r="L148" s="128">
        <v>93816.559455556751</v>
      </c>
      <c r="M148" s="128">
        <v>92919.167182909048</v>
      </c>
      <c r="N148" s="128">
        <v>91696.339630412811</v>
      </c>
      <c r="O148" s="128">
        <v>90254.964636991164</v>
      </c>
      <c r="P148" s="128">
        <v>89222.054130411954</v>
      </c>
      <c r="Q148" s="128">
        <v>88048.452014147973</v>
      </c>
      <c r="R148" s="128">
        <v>86119.24252242301</v>
      </c>
      <c r="S148" s="128">
        <v>84645.990070157728</v>
      </c>
      <c r="T148" s="128">
        <v>83718.578579153429</v>
      </c>
      <c r="U148" s="128">
        <v>82951.558799089398</v>
      </c>
      <c r="V148" s="128">
        <v>82432.536224877666</v>
      </c>
      <c r="W148" s="128">
        <v>82093.468636444115</v>
      </c>
      <c r="X148" s="128">
        <v>81976.694755093311</v>
      </c>
      <c r="Y148" s="128">
        <v>82049.736765730515</v>
      </c>
      <c r="Z148" s="128">
        <v>82251.796753252143</v>
      </c>
      <c r="AA148" s="128">
        <v>82588.870717966769</v>
      </c>
      <c r="AB148" s="128">
        <v>83134.522102828661</v>
      </c>
      <c r="AC148" s="128">
        <v>83805.654028390272</v>
      </c>
      <c r="AD148" s="128">
        <v>84579.439911147711</v>
      </c>
      <c r="AE148" s="128">
        <v>85551.621993155844</v>
      </c>
      <c r="AF148" s="129">
        <v>86797.098948435581</v>
      </c>
    </row>
    <row r="149" spans="1:32" x14ac:dyDescent="0.25">
      <c r="A149" s="124" t="s">
        <v>243</v>
      </c>
      <c r="B149" s="128">
        <v>3529287.0509639233</v>
      </c>
      <c r="C149" s="128">
        <v>3491438.6811839719</v>
      </c>
      <c r="D149" s="128">
        <v>3445118.5920563899</v>
      </c>
      <c r="E149" s="128">
        <v>3384644.6827598382</v>
      </c>
      <c r="F149" s="128">
        <v>3317779.9545744602</v>
      </c>
      <c r="G149" s="128">
        <v>3243455.0072240108</v>
      </c>
      <c r="H149" s="128">
        <v>3176402.4568876252</v>
      </c>
      <c r="I149" s="128">
        <v>3111146.3063022722</v>
      </c>
      <c r="J149" s="128">
        <v>3048778.5294103464</v>
      </c>
      <c r="K149" s="128">
        <v>2988906.2452509445</v>
      </c>
      <c r="L149" s="128">
        <v>2930443.2916546389</v>
      </c>
      <c r="M149" s="128">
        <v>2885266.4985096543</v>
      </c>
      <c r="N149" s="128">
        <v>2857092.418204804</v>
      </c>
      <c r="O149" s="128">
        <v>2839451.4060034784</v>
      </c>
      <c r="P149" s="128">
        <v>2823216.3861733</v>
      </c>
      <c r="Q149" s="128">
        <v>2798725.1163702304</v>
      </c>
      <c r="R149" s="128">
        <v>2763527.7682502833</v>
      </c>
      <c r="S149" s="128">
        <v>2701623.7967574326</v>
      </c>
      <c r="T149" s="128">
        <v>2614431.5460488922</v>
      </c>
      <c r="U149" s="128">
        <v>2533345.7918869839</v>
      </c>
      <c r="V149" s="128">
        <v>2470422.1332511511</v>
      </c>
      <c r="W149" s="128">
        <v>2415083.4848642135</v>
      </c>
      <c r="X149" s="128">
        <v>2470330.7118995404</v>
      </c>
      <c r="Y149" s="128">
        <v>2499502.7811435554</v>
      </c>
      <c r="Z149" s="128">
        <v>2401044.1986101065</v>
      </c>
      <c r="AA149" s="128">
        <v>2314489.5383018153</v>
      </c>
      <c r="AB149" s="128">
        <v>2244336.1488440903</v>
      </c>
      <c r="AC149" s="128">
        <v>2187733.69657782</v>
      </c>
      <c r="AD149" s="128">
        <v>2138368.5643472373</v>
      </c>
      <c r="AE149" s="128">
        <v>2095526.8318858852</v>
      </c>
      <c r="AF149" s="129">
        <v>2059953.4102639235</v>
      </c>
    </row>
    <row r="150" spans="1:32" x14ac:dyDescent="0.25">
      <c r="A150" s="125" t="s">
        <v>244</v>
      </c>
      <c r="B150" s="130">
        <v>24337992.64972901</v>
      </c>
      <c r="C150" s="130">
        <v>24121553.142432462</v>
      </c>
      <c r="D150" s="130">
        <v>23900826.126121759</v>
      </c>
      <c r="E150" s="130">
        <v>23626041.846579142</v>
      </c>
      <c r="F150" s="130">
        <v>23277824.652911849</v>
      </c>
      <c r="G150" s="130">
        <v>22925250.625985265</v>
      </c>
      <c r="H150" s="130">
        <v>22592345.805271722</v>
      </c>
      <c r="I150" s="130">
        <v>22275994.524412777</v>
      </c>
      <c r="J150" s="130">
        <v>21945065.318024322</v>
      </c>
      <c r="K150" s="130">
        <v>21593937.457981106</v>
      </c>
      <c r="L150" s="130">
        <v>21219803.50204327</v>
      </c>
      <c r="M150" s="130">
        <v>20837957.481397185</v>
      </c>
      <c r="N150" s="130">
        <v>20487092.559063263</v>
      </c>
      <c r="O150" s="130">
        <v>20176906.869115561</v>
      </c>
      <c r="P150" s="130">
        <v>19899351.928105153</v>
      </c>
      <c r="Q150" s="130">
        <v>19669533.243588474</v>
      </c>
      <c r="R150" s="130">
        <v>19482353.285359241</v>
      </c>
      <c r="S150" s="130">
        <v>19311480.715411983</v>
      </c>
      <c r="T150" s="130">
        <v>19148597.743492942</v>
      </c>
      <c r="U150" s="130">
        <v>18977739.435278218</v>
      </c>
      <c r="V150" s="130">
        <v>18763645.553594954</v>
      </c>
      <c r="W150" s="130">
        <v>18503132.510707296</v>
      </c>
      <c r="X150" s="130">
        <v>18310218.596126854</v>
      </c>
      <c r="Y150" s="130">
        <v>18091058.890800744</v>
      </c>
      <c r="Z150" s="130">
        <v>17773991.893434301</v>
      </c>
      <c r="AA150" s="130">
        <v>17450227.003997348</v>
      </c>
      <c r="AB150" s="130">
        <v>17149059.195249159</v>
      </c>
      <c r="AC150" s="130">
        <v>16899614.870210215</v>
      </c>
      <c r="AD150" s="130">
        <v>16670153.975838466</v>
      </c>
      <c r="AE150" s="130">
        <v>16451367.312563321</v>
      </c>
      <c r="AF150" s="131">
        <v>16232444.551052844</v>
      </c>
    </row>
    <row r="151" spans="1:32" x14ac:dyDescent="0.25">
      <c r="A151" s="124" t="s">
        <v>58</v>
      </c>
      <c r="B151" s="128">
        <v>954354.58042725222</v>
      </c>
      <c r="C151" s="128">
        <v>977012.8418070738</v>
      </c>
      <c r="D151" s="128">
        <v>1002717.7356101222</v>
      </c>
      <c r="E151" s="128">
        <v>1033691.7958015732</v>
      </c>
      <c r="F151" s="128">
        <v>1067297.3227094321</v>
      </c>
      <c r="G151" s="128">
        <v>1099965.6291784479</v>
      </c>
      <c r="H151" s="128">
        <v>1133826.0466548661</v>
      </c>
      <c r="I151" s="128">
        <v>1168405.1836385627</v>
      </c>
      <c r="J151" s="128">
        <v>1203891.0541199874</v>
      </c>
      <c r="K151" s="128">
        <v>1240340.5885711731</v>
      </c>
      <c r="L151" s="128">
        <v>1277865.8006861173</v>
      </c>
      <c r="M151" s="128">
        <v>1318206.9257248319</v>
      </c>
      <c r="N151" s="128">
        <v>1359766.1070201118</v>
      </c>
      <c r="O151" s="128">
        <v>1402830.1820257406</v>
      </c>
      <c r="P151" s="128">
        <v>1447222.7926919563</v>
      </c>
      <c r="Q151" s="128">
        <v>1493794.4822297341</v>
      </c>
      <c r="R151" s="128">
        <v>1544923.9406724514</v>
      </c>
      <c r="S151" s="128">
        <v>1599156.9259097108</v>
      </c>
      <c r="T151" s="128">
        <v>1653202.6193209102</v>
      </c>
      <c r="U151" s="128">
        <v>1707171.0353220375</v>
      </c>
      <c r="V151" s="128">
        <v>1762333.2873109863</v>
      </c>
      <c r="W151" s="128">
        <v>1817864.2934589498</v>
      </c>
      <c r="X151" s="128">
        <v>1871173.0694756194</v>
      </c>
      <c r="Y151" s="128">
        <v>1922603.838520804</v>
      </c>
      <c r="Z151" s="128">
        <v>1973221.0563030948</v>
      </c>
      <c r="AA151" s="128">
        <v>2023832.2522798923</v>
      </c>
      <c r="AB151" s="128">
        <v>2074868.8750364957</v>
      </c>
      <c r="AC151" s="128">
        <v>2126536.0589489792</v>
      </c>
      <c r="AD151" s="128">
        <v>2177898.9972746517</v>
      </c>
      <c r="AE151" s="128">
        <v>2227223.1707100039</v>
      </c>
      <c r="AF151" s="129">
        <v>2273791.051913837</v>
      </c>
    </row>
    <row r="152" spans="1:32" x14ac:dyDescent="0.25">
      <c r="A152" s="124" t="s">
        <v>246</v>
      </c>
      <c r="B152" s="128">
        <v>22512.044458934375</v>
      </c>
      <c r="C152" s="128">
        <v>22787.662332176398</v>
      </c>
      <c r="D152" s="128">
        <v>23114.184654880402</v>
      </c>
      <c r="E152" s="128">
        <v>23442.445782281728</v>
      </c>
      <c r="F152" s="128">
        <v>23734.220090584393</v>
      </c>
      <c r="G152" s="128">
        <v>23987.518668405439</v>
      </c>
      <c r="H152" s="128">
        <v>24420.02715771658</v>
      </c>
      <c r="I152" s="128">
        <v>24771.651600826182</v>
      </c>
      <c r="J152" s="128">
        <v>25016.366723358598</v>
      </c>
      <c r="K152" s="128">
        <v>25172.96262102788</v>
      </c>
      <c r="L152" s="128">
        <v>25395.572951856622</v>
      </c>
      <c r="M152" s="128">
        <v>25607.253387566521</v>
      </c>
      <c r="N152" s="128">
        <v>25755.984407677279</v>
      </c>
      <c r="O152" s="128">
        <v>25839.224885822296</v>
      </c>
      <c r="P152" s="128">
        <v>25925.924294049979</v>
      </c>
      <c r="Q152" s="128">
        <v>26026.303190515449</v>
      </c>
      <c r="R152" s="128">
        <v>26111.609693743278</v>
      </c>
      <c r="S152" s="128">
        <v>26173.161895412522</v>
      </c>
      <c r="T152" s="128">
        <v>26225.252828809251</v>
      </c>
      <c r="U152" s="128">
        <v>26280.178840324454</v>
      </c>
      <c r="V152" s="128">
        <v>26341.251855905146</v>
      </c>
      <c r="W152" s="128">
        <v>26395.719867322583</v>
      </c>
      <c r="X152" s="128">
        <v>26443.039401581402</v>
      </c>
      <c r="Y152" s="128">
        <v>26502.481599964995</v>
      </c>
      <c r="Z152" s="128">
        <v>26578.985555973217</v>
      </c>
      <c r="AA152" s="128">
        <v>26605.308669882605</v>
      </c>
      <c r="AB152" s="128">
        <v>26570.897504580618</v>
      </c>
      <c r="AC152" s="128">
        <v>26526.874950079717</v>
      </c>
      <c r="AD152" s="128">
        <v>26464.668342505833</v>
      </c>
      <c r="AE152" s="128">
        <v>26384.757987393605</v>
      </c>
      <c r="AF152" s="129">
        <v>26275.668293260278</v>
      </c>
    </row>
    <row r="153" spans="1:32" x14ac:dyDescent="0.25">
      <c r="A153" s="124" t="s">
        <v>247</v>
      </c>
      <c r="B153" s="128">
        <v>15883.603394706503</v>
      </c>
      <c r="C153" s="128">
        <v>15903.726168261706</v>
      </c>
      <c r="D153" s="128">
        <v>15912.427218942514</v>
      </c>
      <c r="E153" s="128">
        <v>15882.006201765469</v>
      </c>
      <c r="F153" s="128">
        <v>15804.418395524875</v>
      </c>
      <c r="G153" s="128">
        <v>15695.560907521778</v>
      </c>
      <c r="H153" s="128">
        <v>15622.813749158158</v>
      </c>
      <c r="I153" s="128">
        <v>15537.47125831109</v>
      </c>
      <c r="J153" s="128">
        <v>15425.024541624174</v>
      </c>
      <c r="K153" s="128">
        <v>15277.424760082993</v>
      </c>
      <c r="L153" s="128">
        <v>15088.301660266265</v>
      </c>
      <c r="M153" s="128">
        <v>14914.427396143543</v>
      </c>
      <c r="N153" s="128">
        <v>14712.644295440154</v>
      </c>
      <c r="O153" s="128">
        <v>14486.784460122526</v>
      </c>
      <c r="P153" s="128">
        <v>14269.028077914783</v>
      </c>
      <c r="Q153" s="128">
        <v>14075.3125921025</v>
      </c>
      <c r="R153" s="128">
        <v>13859.899659058749</v>
      </c>
      <c r="S153" s="128">
        <v>13695.765771056344</v>
      </c>
      <c r="T153" s="128">
        <v>13588.929972930327</v>
      </c>
      <c r="U153" s="128">
        <v>13491.799049876285</v>
      </c>
      <c r="V153" s="128">
        <v>13432.650238676217</v>
      </c>
      <c r="W153" s="128">
        <v>13409.964499782456</v>
      </c>
      <c r="X153" s="128">
        <v>13399.985891974642</v>
      </c>
      <c r="Y153" s="128">
        <v>13412.453658481028</v>
      </c>
      <c r="Z153" s="128">
        <v>13427.34347060592</v>
      </c>
      <c r="AA153" s="128">
        <v>13436.910014767398</v>
      </c>
      <c r="AB153" s="128">
        <v>13441.10061160415</v>
      </c>
      <c r="AC153" s="128">
        <v>13438.676063712763</v>
      </c>
      <c r="AD153" s="128">
        <v>13437.349995422001</v>
      </c>
      <c r="AE153" s="128">
        <v>13442.075440488756</v>
      </c>
      <c r="AF153" s="129">
        <v>13449.576735057952</v>
      </c>
    </row>
    <row r="154" spans="1:32" x14ac:dyDescent="0.25">
      <c r="A154" s="124" t="s">
        <v>249</v>
      </c>
      <c r="B154" s="128">
        <v>24509.75119289065</v>
      </c>
      <c r="C154" s="128">
        <v>24667.466752353641</v>
      </c>
      <c r="D154" s="128">
        <v>24798.457731842438</v>
      </c>
      <c r="E154" s="128">
        <v>24915.773556321426</v>
      </c>
      <c r="F154" s="128">
        <v>24993.572738974108</v>
      </c>
      <c r="G154" s="128">
        <v>25048.020035367394</v>
      </c>
      <c r="H154" s="128">
        <v>25106.738169454828</v>
      </c>
      <c r="I154" s="128">
        <v>25236.677480770162</v>
      </c>
      <c r="J154" s="128">
        <v>25376.965063792763</v>
      </c>
      <c r="K154" s="128">
        <v>25535.6930320104</v>
      </c>
      <c r="L154" s="128">
        <v>25697.364819553655</v>
      </c>
      <c r="M154" s="128">
        <v>25955.532741211246</v>
      </c>
      <c r="N154" s="128">
        <v>26232.800763303381</v>
      </c>
      <c r="O154" s="128">
        <v>26512.200881812274</v>
      </c>
      <c r="P154" s="128">
        <v>26767.760600158443</v>
      </c>
      <c r="Q154" s="128">
        <v>27005.920635177543</v>
      </c>
      <c r="R154" s="128">
        <v>27103.23640301199</v>
      </c>
      <c r="S154" s="128">
        <v>27230.094936895603</v>
      </c>
      <c r="T154" s="128">
        <v>27351.734493798067</v>
      </c>
      <c r="U154" s="128">
        <v>27477.66608622222</v>
      </c>
      <c r="V154" s="128">
        <v>27704.649437113676</v>
      </c>
      <c r="W154" s="128">
        <v>28102.917711927144</v>
      </c>
      <c r="X154" s="128">
        <v>28366.868316932854</v>
      </c>
      <c r="Y154" s="128">
        <v>28499.73825444264</v>
      </c>
      <c r="Z154" s="128">
        <v>28653.322196528967</v>
      </c>
      <c r="AA154" s="128">
        <v>28851.087279459945</v>
      </c>
      <c r="AB154" s="128">
        <v>29160.810808900715</v>
      </c>
      <c r="AC154" s="128">
        <v>29528.0143055712</v>
      </c>
      <c r="AD154" s="128">
        <v>29918.015596222707</v>
      </c>
      <c r="AE154" s="128">
        <v>30287.06584223477</v>
      </c>
      <c r="AF154" s="129">
        <v>30618.070027324669</v>
      </c>
    </row>
    <row r="155" spans="1:32" x14ac:dyDescent="0.25">
      <c r="A155" s="124" t="s">
        <v>59</v>
      </c>
      <c r="B155" s="128">
        <v>18525.898662110645</v>
      </c>
      <c r="C155" s="128">
        <v>19089.789023577945</v>
      </c>
      <c r="D155" s="128">
        <v>19665.902215704009</v>
      </c>
      <c r="E155" s="128">
        <v>20259.353410066386</v>
      </c>
      <c r="F155" s="128">
        <v>20847.208009055961</v>
      </c>
      <c r="G155" s="128">
        <v>21440.941280861323</v>
      </c>
      <c r="H155" s="128">
        <v>22134.601748310066</v>
      </c>
      <c r="I155" s="128">
        <v>22822.346722043691</v>
      </c>
      <c r="J155" s="128">
        <v>23485.20648501805</v>
      </c>
      <c r="K155" s="128">
        <v>24106.738220544834</v>
      </c>
      <c r="L155" s="128">
        <v>24687.354028903526</v>
      </c>
      <c r="M155" s="128">
        <v>25224.755743993341</v>
      </c>
      <c r="N155" s="128">
        <v>25637.287137143358</v>
      </c>
      <c r="O155" s="128">
        <v>25924.47893766471</v>
      </c>
      <c r="P155" s="128">
        <v>26203.105410534616</v>
      </c>
      <c r="Q155" s="128">
        <v>26497.511082439603</v>
      </c>
      <c r="R155" s="128">
        <v>26850.331149466296</v>
      </c>
      <c r="S155" s="128">
        <v>27212.341865654915</v>
      </c>
      <c r="T155" s="128">
        <v>27567.529879214955</v>
      </c>
      <c r="U155" s="128">
        <v>27931.949363230287</v>
      </c>
      <c r="V155" s="128">
        <v>28521.493699825463</v>
      </c>
      <c r="W155" s="128">
        <v>29297.723835465215</v>
      </c>
      <c r="X155" s="128">
        <v>30040.563115761626</v>
      </c>
      <c r="Y155" s="128">
        <v>30811.605234516173</v>
      </c>
      <c r="Z155" s="128">
        <v>31553.729655914165</v>
      </c>
      <c r="AA155" s="128">
        <v>32238.435528319496</v>
      </c>
      <c r="AB155" s="128">
        <v>32919.790825533179</v>
      </c>
      <c r="AC155" s="128">
        <v>33680.106514001913</v>
      </c>
      <c r="AD155" s="128">
        <v>34517.950278630749</v>
      </c>
      <c r="AE155" s="128">
        <v>35323.970510802435</v>
      </c>
      <c r="AF155" s="129">
        <v>36087.053393641916</v>
      </c>
    </row>
    <row r="156" spans="1:32" x14ac:dyDescent="0.25">
      <c r="A156" s="124" t="s">
        <v>251</v>
      </c>
      <c r="B156" s="128">
        <v>2863085.1650475543</v>
      </c>
      <c r="C156" s="128">
        <v>2942094.7853486533</v>
      </c>
      <c r="D156" s="128">
        <v>3022974.2295067082</v>
      </c>
      <c r="E156" s="128">
        <v>3108817.8189082677</v>
      </c>
      <c r="F156" s="128">
        <v>3205236.6947115082</v>
      </c>
      <c r="G156" s="128">
        <v>3364804.8691101121</v>
      </c>
      <c r="H156" s="128">
        <v>3572074.3463134607</v>
      </c>
      <c r="I156" s="128">
        <v>3784098.4612353323</v>
      </c>
      <c r="J156" s="128">
        <v>3974941.8209834909</v>
      </c>
      <c r="K156" s="128">
        <v>4166100.8028807645</v>
      </c>
      <c r="L156" s="128">
        <v>4331523.8662112812</v>
      </c>
      <c r="M156" s="128">
        <v>4477562.3008799003</v>
      </c>
      <c r="N156" s="128">
        <v>4616045.0838370565</v>
      </c>
      <c r="O156" s="128">
        <v>4757892.7806768324</v>
      </c>
      <c r="P156" s="128">
        <v>4897710.3432238884</v>
      </c>
      <c r="Q156" s="128">
        <v>5000116.4778505741</v>
      </c>
      <c r="R156" s="128">
        <v>5015450.4403364798</v>
      </c>
      <c r="S156" s="128">
        <v>5097875.9383465871</v>
      </c>
      <c r="T156" s="128">
        <v>5222802.4692464536</v>
      </c>
      <c r="U156" s="128">
        <v>5340541.3622007919</v>
      </c>
      <c r="V156" s="128">
        <v>5333024.130270307</v>
      </c>
      <c r="W156" s="128">
        <v>5254611.8431034591</v>
      </c>
      <c r="X156" s="128">
        <v>5258660.553673408</v>
      </c>
      <c r="Y156" s="128">
        <v>5267528.7079450861</v>
      </c>
      <c r="Z156" s="128">
        <v>5265414.7522667339</v>
      </c>
      <c r="AA156" s="128">
        <v>5254608.8009623131</v>
      </c>
      <c r="AB156" s="128">
        <v>5229376.2956993869</v>
      </c>
      <c r="AC156" s="128">
        <v>5196973.9060021546</v>
      </c>
      <c r="AD156" s="128">
        <v>5162236.4248279342</v>
      </c>
      <c r="AE156" s="128">
        <v>5130082.0073981574</v>
      </c>
      <c r="AF156" s="129">
        <v>5103927.8724097405</v>
      </c>
    </row>
    <row r="157" spans="1:32" x14ac:dyDescent="0.25">
      <c r="A157" s="124" t="s">
        <v>60</v>
      </c>
      <c r="B157" s="128">
        <v>1524864.9887693054</v>
      </c>
      <c r="C157" s="128">
        <v>1568490.9979792919</v>
      </c>
      <c r="D157" s="128">
        <v>1613566.6334477034</v>
      </c>
      <c r="E157" s="128">
        <v>1659593.5964625929</v>
      </c>
      <c r="F157" s="128">
        <v>1706233.9869502054</v>
      </c>
      <c r="G157" s="128">
        <v>1753854.130307273</v>
      </c>
      <c r="H157" s="128">
        <v>1803001.5348909423</v>
      </c>
      <c r="I157" s="128">
        <v>1852507.3535492262</v>
      </c>
      <c r="J157" s="128">
        <v>1902577.0047462282</v>
      </c>
      <c r="K157" s="128">
        <v>1952923.2662638621</v>
      </c>
      <c r="L157" s="128">
        <v>2003656.0947055873</v>
      </c>
      <c r="M157" s="128">
        <v>2065031.0424088896</v>
      </c>
      <c r="N157" s="128">
        <v>2127780.2842454757</v>
      </c>
      <c r="O157" s="128">
        <v>2191968.7844884773</v>
      </c>
      <c r="P157" s="128">
        <v>2258912.8104679743</v>
      </c>
      <c r="Q157" s="128">
        <v>2329387.6650792407</v>
      </c>
      <c r="R157" s="128">
        <v>2403719.7842496731</v>
      </c>
      <c r="S157" s="128">
        <v>2479999.2364054187</v>
      </c>
      <c r="T157" s="128">
        <v>2556990.1541113849</v>
      </c>
      <c r="U157" s="128">
        <v>2633761.9908071039</v>
      </c>
      <c r="V157" s="128">
        <v>2710866.5528996415</v>
      </c>
      <c r="W157" s="128">
        <v>2789070.8391768779</v>
      </c>
      <c r="X157" s="128">
        <v>2865236.5920455283</v>
      </c>
      <c r="Y157" s="128">
        <v>2939211.6380404332</v>
      </c>
      <c r="Z157" s="128">
        <v>3013298.7498662593</v>
      </c>
      <c r="AA157" s="128">
        <v>3087033.2410702007</v>
      </c>
      <c r="AB157" s="128">
        <v>3159764.3396053789</v>
      </c>
      <c r="AC157" s="128">
        <v>3231161.7428455241</v>
      </c>
      <c r="AD157" s="128">
        <v>3301626.8501303657</v>
      </c>
      <c r="AE157" s="128">
        <v>3371622.1414306876</v>
      </c>
      <c r="AF157" s="129">
        <v>3440265.6751226443</v>
      </c>
    </row>
    <row r="158" spans="1:32" x14ac:dyDescent="0.25">
      <c r="A158" s="124" t="s">
        <v>252</v>
      </c>
      <c r="B158" s="128">
        <v>1172009.9681980575</v>
      </c>
      <c r="C158" s="128">
        <v>1150119.0415049228</v>
      </c>
      <c r="D158" s="128">
        <v>1127213.5997179227</v>
      </c>
      <c r="E158" s="128">
        <v>1101866.2311168856</v>
      </c>
      <c r="F158" s="128">
        <v>1076065.1249753889</v>
      </c>
      <c r="G158" s="128">
        <v>1052218.7632984791</v>
      </c>
      <c r="H158" s="128">
        <v>1033113.4419473051</v>
      </c>
      <c r="I158" s="128">
        <v>1016924.231505467</v>
      </c>
      <c r="J158" s="128">
        <v>1002733.5946151235</v>
      </c>
      <c r="K158" s="128">
        <v>989310.27716898953</v>
      </c>
      <c r="L158" s="128">
        <v>976259.45795454411</v>
      </c>
      <c r="M158" s="128">
        <v>963769.1338043221</v>
      </c>
      <c r="N158" s="128">
        <v>951957.60445800365</v>
      </c>
      <c r="O158" s="128">
        <v>939164.94885530707</v>
      </c>
      <c r="P158" s="128">
        <v>925613.38303283392</v>
      </c>
      <c r="Q158" s="128">
        <v>913673.21522924816</v>
      </c>
      <c r="R158" s="128">
        <v>901925.1736374544</v>
      </c>
      <c r="S158" s="128">
        <v>891547.70391890011</v>
      </c>
      <c r="T158" s="128">
        <v>881159.57289437647</v>
      </c>
      <c r="U158" s="128">
        <v>869354.86333039356</v>
      </c>
      <c r="V158" s="128">
        <v>856289.4476317321</v>
      </c>
      <c r="W158" s="128">
        <v>843544.08433586813</v>
      </c>
      <c r="X158" s="128">
        <v>828829.23693894176</v>
      </c>
      <c r="Y158" s="128">
        <v>812678.12556597986</v>
      </c>
      <c r="Z158" s="128">
        <v>796970.42346311628</v>
      </c>
      <c r="AA158" s="128">
        <v>781684.88431680773</v>
      </c>
      <c r="AB158" s="128">
        <v>767049.150531983</v>
      </c>
      <c r="AC158" s="128">
        <v>753295.78905283019</v>
      </c>
      <c r="AD158" s="128">
        <v>740500.28752804198</v>
      </c>
      <c r="AE158" s="128">
        <v>728635.6267970003</v>
      </c>
      <c r="AF158" s="129">
        <v>717396.4751797457</v>
      </c>
    </row>
    <row r="159" spans="1:32" x14ac:dyDescent="0.25">
      <c r="A159" s="124" t="s">
        <v>253</v>
      </c>
      <c r="B159" s="128">
        <v>10489.955218440382</v>
      </c>
      <c r="C159" s="128">
        <v>10700.972014765208</v>
      </c>
      <c r="D159" s="128">
        <v>10923.190949526423</v>
      </c>
      <c r="E159" s="128">
        <v>11134.011126312707</v>
      </c>
      <c r="F159" s="128">
        <v>11322.772048367899</v>
      </c>
      <c r="G159" s="128">
        <v>11491.597317895566</v>
      </c>
      <c r="H159" s="128">
        <v>11577.76562265097</v>
      </c>
      <c r="I159" s="128">
        <v>11621.896311240485</v>
      </c>
      <c r="J159" s="128">
        <v>11644.129082978721</v>
      </c>
      <c r="K159" s="128">
        <v>11667.896932314929</v>
      </c>
      <c r="L159" s="128">
        <v>11663.308996777767</v>
      </c>
      <c r="M159" s="128">
        <v>11663.545735554642</v>
      </c>
      <c r="N159" s="128">
        <v>11633.515358585129</v>
      </c>
      <c r="O159" s="128">
        <v>11567.098145239181</v>
      </c>
      <c r="P159" s="128">
        <v>11497.697714295229</v>
      </c>
      <c r="Q159" s="128">
        <v>11435.069651531341</v>
      </c>
      <c r="R159" s="128">
        <v>11376.55499160665</v>
      </c>
      <c r="S159" s="128">
        <v>11326.641687404574</v>
      </c>
      <c r="T159" s="128">
        <v>11291.467838981895</v>
      </c>
      <c r="U159" s="128">
        <v>11251.41279427004</v>
      </c>
      <c r="V159" s="128">
        <v>11215.66779660782</v>
      </c>
      <c r="W159" s="128">
        <v>11181.6553665137</v>
      </c>
      <c r="X159" s="128">
        <v>11123.790333580915</v>
      </c>
      <c r="Y159" s="128">
        <v>11061.70574655089</v>
      </c>
      <c r="Z159" s="128">
        <v>11003.068733280528</v>
      </c>
      <c r="AA159" s="128">
        <v>10928.104038861929</v>
      </c>
      <c r="AB159" s="128">
        <v>10873.383914803697</v>
      </c>
      <c r="AC159" s="128">
        <v>10859.995891724877</v>
      </c>
      <c r="AD159" s="128">
        <v>10836.130453596079</v>
      </c>
      <c r="AE159" s="128">
        <v>10800.85979081902</v>
      </c>
      <c r="AF159" s="129">
        <v>10783.685283852792</v>
      </c>
    </row>
    <row r="160" spans="1:32" x14ac:dyDescent="0.25">
      <c r="A160" s="124" t="s">
        <v>61</v>
      </c>
      <c r="B160" s="128">
        <v>749217.22616179741</v>
      </c>
      <c r="C160" s="128">
        <v>788423.74714553938</v>
      </c>
      <c r="D160" s="128">
        <v>828833.7634680667</v>
      </c>
      <c r="E160" s="128">
        <v>857277.39801604033</v>
      </c>
      <c r="F160" s="128">
        <v>881076.05834784301</v>
      </c>
      <c r="G160" s="128">
        <v>899591.41471163812</v>
      </c>
      <c r="H160" s="128">
        <v>914358.62965608644</v>
      </c>
      <c r="I160" s="128">
        <v>929612.20934857044</v>
      </c>
      <c r="J160" s="128">
        <v>948531.78493419872</v>
      </c>
      <c r="K160" s="128">
        <v>970258.91696126363</v>
      </c>
      <c r="L160" s="128">
        <v>993322.99359992996</v>
      </c>
      <c r="M160" s="128">
        <v>1016668.6330803431</v>
      </c>
      <c r="N160" s="128">
        <v>1040415.8876338464</v>
      </c>
      <c r="O160" s="128">
        <v>1064610.0362319998</v>
      </c>
      <c r="P160" s="128">
        <v>1090214.5590133755</v>
      </c>
      <c r="Q160" s="128">
        <v>1116216.914698771</v>
      </c>
      <c r="R160" s="128">
        <v>1143764.2079659975</v>
      </c>
      <c r="S160" s="128">
        <v>1172213.0758180444</v>
      </c>
      <c r="T160" s="128">
        <v>1200531.2106881372</v>
      </c>
      <c r="U160" s="128">
        <v>1228436.96580721</v>
      </c>
      <c r="V160" s="128">
        <v>1256365.7399671923</v>
      </c>
      <c r="W160" s="128">
        <v>1284932.0918595565</v>
      </c>
      <c r="X160" s="128">
        <v>1313312.3611265344</v>
      </c>
      <c r="Y160" s="128">
        <v>1341833.84313024</v>
      </c>
      <c r="Z160" s="128">
        <v>1370913.6170124393</v>
      </c>
      <c r="AA160" s="128">
        <v>1400524.3014826612</v>
      </c>
      <c r="AB160" s="128">
        <v>1431015.3697666896</v>
      </c>
      <c r="AC160" s="128">
        <v>1462010.2641254854</v>
      </c>
      <c r="AD160" s="128">
        <v>1492735.7408227832</v>
      </c>
      <c r="AE160" s="128">
        <v>1522601.7774632918</v>
      </c>
      <c r="AF160" s="129">
        <v>1551443.996333963</v>
      </c>
    </row>
    <row r="161" spans="1:32" x14ac:dyDescent="0.25">
      <c r="A161" s="124" t="s">
        <v>254</v>
      </c>
      <c r="B161" s="128">
        <v>708845.89833867957</v>
      </c>
      <c r="C161" s="128">
        <v>712070.85060182121</v>
      </c>
      <c r="D161" s="128">
        <v>713215.78411102749</v>
      </c>
      <c r="E161" s="128">
        <v>714045.61994136753</v>
      </c>
      <c r="F161" s="128">
        <v>714696.22820948879</v>
      </c>
      <c r="G161" s="128">
        <v>718260.0339612572</v>
      </c>
      <c r="H161" s="128">
        <v>725446.80045262084</v>
      </c>
      <c r="I161" s="128">
        <v>736111.00428304577</v>
      </c>
      <c r="J161" s="128">
        <v>747079.25684106909</v>
      </c>
      <c r="K161" s="128">
        <v>758978.02165210561</v>
      </c>
      <c r="L161" s="128">
        <v>768440.97361207893</v>
      </c>
      <c r="M161" s="128">
        <v>771773.9553751715</v>
      </c>
      <c r="N161" s="128">
        <v>771956.33879477263</v>
      </c>
      <c r="O161" s="128">
        <v>772884.57410979725</v>
      </c>
      <c r="P161" s="128">
        <v>774787.92753384239</v>
      </c>
      <c r="Q161" s="128">
        <v>775240.25075706968</v>
      </c>
      <c r="R161" s="128">
        <v>773563.00203836546</v>
      </c>
      <c r="S161" s="128">
        <v>770393.82562556176</v>
      </c>
      <c r="T161" s="128">
        <v>767248.04048504971</v>
      </c>
      <c r="U161" s="128">
        <v>763786.42820952076</v>
      </c>
      <c r="V161" s="128">
        <v>759114.13852815528</v>
      </c>
      <c r="W161" s="128">
        <v>752457.20762419398</v>
      </c>
      <c r="X161" s="128">
        <v>746713.82894475129</v>
      </c>
      <c r="Y161" s="128">
        <v>742197.7080830686</v>
      </c>
      <c r="Z161" s="128">
        <v>737531.22318484029</v>
      </c>
      <c r="AA161" s="128">
        <v>732853.68282165518</v>
      </c>
      <c r="AB161" s="128">
        <v>727477.63661827345</v>
      </c>
      <c r="AC161" s="128">
        <v>722065.08254286216</v>
      </c>
      <c r="AD161" s="128">
        <v>716409.41434724687</v>
      </c>
      <c r="AE161" s="128">
        <v>710230.76632204524</v>
      </c>
      <c r="AF161" s="129">
        <v>703479.40410626354</v>
      </c>
    </row>
    <row r="162" spans="1:32" x14ac:dyDescent="0.25">
      <c r="A162" s="124" t="s">
        <v>255</v>
      </c>
      <c r="B162" s="128">
        <v>799012.5274622225</v>
      </c>
      <c r="C162" s="128">
        <v>789408.36517268408</v>
      </c>
      <c r="D162" s="128">
        <v>778043.49672418204</v>
      </c>
      <c r="E162" s="128">
        <v>766415.16556629352</v>
      </c>
      <c r="F162" s="128">
        <v>754759.27624176943</v>
      </c>
      <c r="G162" s="128">
        <v>742853.62710307969</v>
      </c>
      <c r="H162" s="128">
        <v>731265.44490267988</v>
      </c>
      <c r="I162" s="128">
        <v>719934.64910266385</v>
      </c>
      <c r="J162" s="128">
        <v>709247.15058585559</v>
      </c>
      <c r="K162" s="128">
        <v>699188.52594522666</v>
      </c>
      <c r="L162" s="128">
        <v>688916.87907379051</v>
      </c>
      <c r="M162" s="128">
        <v>677982.52255811938</v>
      </c>
      <c r="N162" s="128">
        <v>674910.684476236</v>
      </c>
      <c r="O162" s="128">
        <v>672094.51862104144</v>
      </c>
      <c r="P162" s="128">
        <v>668522.55111459445</v>
      </c>
      <c r="Q162" s="128">
        <v>665128.99858838355</v>
      </c>
      <c r="R162" s="128">
        <v>662154.800713829</v>
      </c>
      <c r="S162" s="128">
        <v>659413.96877433651</v>
      </c>
      <c r="T162" s="128">
        <v>656908.99766961252</v>
      </c>
      <c r="U162" s="128">
        <v>653808.52105283143</v>
      </c>
      <c r="V162" s="128">
        <v>650098.22288483486</v>
      </c>
      <c r="W162" s="128">
        <v>645579.20096295036</v>
      </c>
      <c r="X162" s="128">
        <v>683801.60174896498</v>
      </c>
      <c r="Y162" s="128">
        <v>708792.03433898755</v>
      </c>
      <c r="Z162" s="128">
        <v>679584.78142172669</v>
      </c>
      <c r="AA162" s="128">
        <v>655430.27950858511</v>
      </c>
      <c r="AB162" s="128">
        <v>637484.39198626974</v>
      </c>
      <c r="AC162" s="128">
        <v>623901.0946707289</v>
      </c>
      <c r="AD162" s="128">
        <v>611590.0319157507</v>
      </c>
      <c r="AE162" s="128">
        <v>599991.29869413294</v>
      </c>
      <c r="AF162" s="129">
        <v>589273.79432998528</v>
      </c>
    </row>
    <row r="163" spans="1:32" x14ac:dyDescent="0.25">
      <c r="A163" s="124" t="s">
        <v>256</v>
      </c>
      <c r="B163" s="128">
        <v>282658.20973150758</v>
      </c>
      <c r="C163" s="128">
        <v>277754.73802363116</v>
      </c>
      <c r="D163" s="128">
        <v>273239.37790947803</v>
      </c>
      <c r="E163" s="128">
        <v>269145.72344485059</v>
      </c>
      <c r="F163" s="128">
        <v>264987.1561240601</v>
      </c>
      <c r="G163" s="128">
        <v>260826.79397784121</v>
      </c>
      <c r="H163" s="128">
        <v>256672.86628684838</v>
      </c>
      <c r="I163" s="128">
        <v>252592.28456174201</v>
      </c>
      <c r="J163" s="128">
        <v>248767.93560584629</v>
      </c>
      <c r="K163" s="128">
        <v>245168.57238501756</v>
      </c>
      <c r="L163" s="128">
        <v>241394.01451754081</v>
      </c>
      <c r="M163" s="128">
        <v>236748.58310486685</v>
      </c>
      <c r="N163" s="128">
        <v>234418.06505942237</v>
      </c>
      <c r="O163" s="128">
        <v>231983.66274492754</v>
      </c>
      <c r="P163" s="128">
        <v>229356.59197360041</v>
      </c>
      <c r="Q163" s="128">
        <v>226752.09546590585</v>
      </c>
      <c r="R163" s="128">
        <v>224289.39926296688</v>
      </c>
      <c r="S163" s="128">
        <v>221680.44514408708</v>
      </c>
      <c r="T163" s="128">
        <v>219118.43335559766</v>
      </c>
      <c r="U163" s="128">
        <v>216689.99762424565</v>
      </c>
      <c r="V163" s="128">
        <v>214465.41483974503</v>
      </c>
      <c r="W163" s="128">
        <v>212359.69967932277</v>
      </c>
      <c r="X163" s="128">
        <v>210201.95576772827</v>
      </c>
      <c r="Y163" s="128">
        <v>208007.28778008267</v>
      </c>
      <c r="Z163" s="128">
        <v>205873.07965739039</v>
      </c>
      <c r="AA163" s="128">
        <v>203468.82200756972</v>
      </c>
      <c r="AB163" s="128">
        <v>200620.92453865736</v>
      </c>
      <c r="AC163" s="128">
        <v>197556.34544430181</v>
      </c>
      <c r="AD163" s="128">
        <v>194468.86568841268</v>
      </c>
      <c r="AE163" s="128">
        <v>191420.8851826661</v>
      </c>
      <c r="AF163" s="129">
        <v>188548.24706016656</v>
      </c>
    </row>
    <row r="164" spans="1:32" x14ac:dyDescent="0.25">
      <c r="A164" s="124" t="s">
        <v>62</v>
      </c>
      <c r="B164" s="128">
        <v>63277.920144641554</v>
      </c>
      <c r="C164" s="128">
        <v>65429.07492357678</v>
      </c>
      <c r="D164" s="128">
        <v>67590.682937724734</v>
      </c>
      <c r="E164" s="128">
        <v>69776.550027109392</v>
      </c>
      <c r="F164" s="128">
        <v>71974.458454566018</v>
      </c>
      <c r="G164" s="128">
        <v>74155.880836697761</v>
      </c>
      <c r="H164" s="128">
        <v>76301.470841916409</v>
      </c>
      <c r="I164" s="128">
        <v>78457.874079664994</v>
      </c>
      <c r="J164" s="128">
        <v>80647.133965994653</v>
      </c>
      <c r="K164" s="128">
        <v>82923.867158096153</v>
      </c>
      <c r="L164" s="128">
        <v>85299.515760272581</v>
      </c>
      <c r="M164" s="128">
        <v>87572.629841305752</v>
      </c>
      <c r="N164" s="128">
        <v>89803.160284286641</v>
      </c>
      <c r="O164" s="128">
        <v>91990.568256652812</v>
      </c>
      <c r="P164" s="128">
        <v>94158.712133931243</v>
      </c>
      <c r="Q164" s="128">
        <v>96308.078933899611</v>
      </c>
      <c r="R164" s="128">
        <v>98486.410605820463</v>
      </c>
      <c r="S164" s="128">
        <v>100624.14685517686</v>
      </c>
      <c r="T164" s="128">
        <v>102718.12505284013</v>
      </c>
      <c r="U164" s="128">
        <v>104762.55691366037</v>
      </c>
      <c r="V164" s="128">
        <v>106790.5606879088</v>
      </c>
      <c r="W164" s="128">
        <v>108926.36569769307</v>
      </c>
      <c r="X164" s="128">
        <v>111020.67761481646</v>
      </c>
      <c r="Y164" s="128">
        <v>113017.0632126572</v>
      </c>
      <c r="Z164" s="128">
        <v>114955.23123618998</v>
      </c>
      <c r="AA164" s="128">
        <v>116824.08830209573</v>
      </c>
      <c r="AB164" s="128">
        <v>118708.8878015886</v>
      </c>
      <c r="AC164" s="128">
        <v>120536.69676701394</v>
      </c>
      <c r="AD164" s="128">
        <v>122338.56631736559</v>
      </c>
      <c r="AE164" s="128">
        <v>124168.45132529493</v>
      </c>
      <c r="AF164" s="129">
        <v>126026.38160054499</v>
      </c>
    </row>
    <row r="165" spans="1:32" x14ac:dyDescent="0.25">
      <c r="A165" s="124" t="s">
        <v>63</v>
      </c>
      <c r="B165" s="128">
        <v>1239904.7956393789</v>
      </c>
      <c r="C165" s="128">
        <v>1279205.7388936726</v>
      </c>
      <c r="D165" s="128">
        <v>1315793.3323997569</v>
      </c>
      <c r="E165" s="128">
        <v>1351733.6894875155</v>
      </c>
      <c r="F165" s="128">
        <v>1386865.0300288959</v>
      </c>
      <c r="G165" s="128">
        <v>1416405.2334110246</v>
      </c>
      <c r="H165" s="128">
        <v>1437334.7067599711</v>
      </c>
      <c r="I165" s="128">
        <v>1461269.3931936885</v>
      </c>
      <c r="J165" s="128">
        <v>1490593.684669724</v>
      </c>
      <c r="K165" s="128">
        <v>1516956.7649852664</v>
      </c>
      <c r="L165" s="128">
        <v>1544541.4114146237</v>
      </c>
      <c r="M165" s="128">
        <v>1559121.8300860275</v>
      </c>
      <c r="N165" s="128">
        <v>1576795.761762721</v>
      </c>
      <c r="O165" s="128">
        <v>1617670.474252769</v>
      </c>
      <c r="P165" s="128">
        <v>1664311.9755206518</v>
      </c>
      <c r="Q165" s="128">
        <v>1711393.0453900341</v>
      </c>
      <c r="R165" s="128">
        <v>1769719.4450253532</v>
      </c>
      <c r="S165" s="128">
        <v>1834421.9220548247</v>
      </c>
      <c r="T165" s="128">
        <v>1896757.6137425832</v>
      </c>
      <c r="U165" s="128">
        <v>1961579.6559321757</v>
      </c>
      <c r="V165" s="128">
        <v>2024592.5620871559</v>
      </c>
      <c r="W165" s="128">
        <v>2086011.7390705389</v>
      </c>
      <c r="X165" s="128">
        <v>2147647.8780218093</v>
      </c>
      <c r="Y165" s="128">
        <v>2210814.5370900054</v>
      </c>
      <c r="Z165" s="128">
        <v>2276586.2186050355</v>
      </c>
      <c r="AA165" s="128">
        <v>2344847.7898520157</v>
      </c>
      <c r="AB165" s="128">
        <v>2416790.650933879</v>
      </c>
      <c r="AC165" s="128">
        <v>2491791.9983899309</v>
      </c>
      <c r="AD165" s="128">
        <v>2568800.4415492094</v>
      </c>
      <c r="AE165" s="128">
        <v>2647059.8120890483</v>
      </c>
      <c r="AF165" s="129">
        <v>2726422.5628866944</v>
      </c>
    </row>
    <row r="166" spans="1:32" x14ac:dyDescent="0.25">
      <c r="A166" s="124" t="s">
        <v>64</v>
      </c>
      <c r="B166" s="128">
        <v>4956210.1742934464</v>
      </c>
      <c r="C166" s="128">
        <v>4964854.2922766535</v>
      </c>
      <c r="D166" s="128">
        <v>4975386.8785624774</v>
      </c>
      <c r="E166" s="128">
        <v>4983881.6663930975</v>
      </c>
      <c r="F166" s="128">
        <v>5039357.6429771492</v>
      </c>
      <c r="G166" s="128">
        <v>5093842.1247957898</v>
      </c>
      <c r="H166" s="128">
        <v>5146338.0018351991</v>
      </c>
      <c r="I166" s="128">
        <v>5201933.0626418889</v>
      </c>
      <c r="J166" s="128">
        <v>5259250.7591655497</v>
      </c>
      <c r="K166" s="128">
        <v>5318489.011477977</v>
      </c>
      <c r="L166" s="128">
        <v>5379759.3280218299</v>
      </c>
      <c r="M166" s="128">
        <v>5443330.0157420915</v>
      </c>
      <c r="N166" s="128">
        <v>5497506.3926641839</v>
      </c>
      <c r="O166" s="128">
        <v>5541465.5555354496</v>
      </c>
      <c r="P166" s="128">
        <v>5590932.2851776294</v>
      </c>
      <c r="Q166" s="128">
        <v>5661374.8381863469</v>
      </c>
      <c r="R166" s="128">
        <v>5663366.1545217168</v>
      </c>
      <c r="S166" s="128">
        <v>5627323.2433467619</v>
      </c>
      <c r="T166" s="128">
        <v>5640536.2053619502</v>
      </c>
      <c r="U166" s="128">
        <v>5663794.4254365591</v>
      </c>
      <c r="V166" s="128">
        <v>5697787.8835010501</v>
      </c>
      <c r="W166" s="128">
        <v>5739172.4110710314</v>
      </c>
      <c r="X166" s="128">
        <v>5792696.9208759926</v>
      </c>
      <c r="Y166" s="128">
        <v>5867466.8758187247</v>
      </c>
      <c r="Z166" s="128">
        <v>5959477.0064907419</v>
      </c>
      <c r="AA166" s="128">
        <v>6059889.9777589822</v>
      </c>
      <c r="AB166" s="128">
        <v>6165466.4486955227</v>
      </c>
      <c r="AC166" s="128">
        <v>6275675.9454799667</v>
      </c>
      <c r="AD166" s="128">
        <v>6386373.3850159636</v>
      </c>
      <c r="AE166" s="128">
        <v>6495997.5592228007</v>
      </c>
      <c r="AF166" s="129">
        <v>6603484.3068402996</v>
      </c>
    </row>
    <row r="167" spans="1:32" x14ac:dyDescent="0.25">
      <c r="A167" s="124" t="s">
        <v>65</v>
      </c>
      <c r="B167" s="128">
        <v>991987.77792141784</v>
      </c>
      <c r="C167" s="128">
        <v>1036398.1495544083</v>
      </c>
      <c r="D167" s="128">
        <v>1078230.5212903298</v>
      </c>
      <c r="E167" s="128">
        <v>1122005.3971783984</v>
      </c>
      <c r="F167" s="128">
        <v>1176989.8861767638</v>
      </c>
      <c r="G167" s="128">
        <v>1243287.4542459995</v>
      </c>
      <c r="H167" s="128">
        <v>1315964.0323179353</v>
      </c>
      <c r="I167" s="128">
        <v>1394359.256730794</v>
      </c>
      <c r="J167" s="128">
        <v>1475179.6824221332</v>
      </c>
      <c r="K167" s="128">
        <v>1552209.6499129757</v>
      </c>
      <c r="L167" s="128">
        <v>1648466.3764178734</v>
      </c>
      <c r="M167" s="128">
        <v>1752045.5246080249</v>
      </c>
      <c r="N167" s="128">
        <v>1830332.5164350504</v>
      </c>
      <c r="O167" s="128">
        <v>1890255.2021213963</v>
      </c>
      <c r="P167" s="128">
        <v>1870195.028641403</v>
      </c>
      <c r="Q167" s="128">
        <v>1823091.7398950472</v>
      </c>
      <c r="R167" s="128">
        <v>1753148.3053178764</v>
      </c>
      <c r="S167" s="128">
        <v>1615337.8485713424</v>
      </c>
      <c r="T167" s="128">
        <v>1528981.9437069818</v>
      </c>
      <c r="U167" s="128">
        <v>1535908.4850769648</v>
      </c>
      <c r="V167" s="128">
        <v>1572830.0771779886</v>
      </c>
      <c r="W167" s="128">
        <v>1603750.5960173183</v>
      </c>
      <c r="X167" s="128">
        <v>1639913.4809408258</v>
      </c>
      <c r="Y167" s="128">
        <v>1678808.5003661867</v>
      </c>
      <c r="Z167" s="128">
        <v>1721494.2505456798</v>
      </c>
      <c r="AA167" s="128">
        <v>1766856.3779651299</v>
      </c>
      <c r="AB167" s="128">
        <v>1815210.9164157917</v>
      </c>
      <c r="AC167" s="128">
        <v>1866337.5592109247</v>
      </c>
      <c r="AD167" s="128">
        <v>1918651.9247335363</v>
      </c>
      <c r="AE167" s="128">
        <v>1971159.1584085806</v>
      </c>
      <c r="AF167" s="129">
        <v>2019869.7980183142</v>
      </c>
    </row>
    <row r="168" spans="1:32" x14ac:dyDescent="0.25">
      <c r="A168" s="124" t="s">
        <v>257</v>
      </c>
      <c r="B168" s="128">
        <v>5998789.6746385666</v>
      </c>
      <c r="C168" s="128">
        <v>6048561.3822573032</v>
      </c>
      <c r="D168" s="128">
        <v>6145971.093868969</v>
      </c>
      <c r="E168" s="128">
        <v>6285147.6244274853</v>
      </c>
      <c r="F168" s="128">
        <v>6417322.2215890959</v>
      </c>
      <c r="G168" s="128">
        <v>6540999.7686474854</v>
      </c>
      <c r="H168" s="128">
        <v>6626168.2185117267</v>
      </c>
      <c r="I168" s="128">
        <v>6720797.6239386527</v>
      </c>
      <c r="J168" s="128">
        <v>6787401.5611679601</v>
      </c>
      <c r="K168" s="128">
        <v>6789717.8421697477</v>
      </c>
      <c r="L168" s="128">
        <v>6751274.5027203374</v>
      </c>
      <c r="M168" s="128">
        <v>6705687.4989285283</v>
      </c>
      <c r="N168" s="128">
        <v>6628543.5980927916</v>
      </c>
      <c r="O168" s="128">
        <v>6508616.4317894392</v>
      </c>
      <c r="P168" s="128">
        <v>6379997.1953842398</v>
      </c>
      <c r="Q168" s="128">
        <v>6272143.1425697329</v>
      </c>
      <c r="R168" s="128">
        <v>6187575.5478461133</v>
      </c>
      <c r="S168" s="128">
        <v>6118372.4600397442</v>
      </c>
      <c r="T168" s="128">
        <v>6072957.8999234885</v>
      </c>
      <c r="U168" s="128">
        <v>6051028.8996853605</v>
      </c>
      <c r="V168" s="128">
        <v>6007870.6181652397</v>
      </c>
      <c r="W168" s="128">
        <v>5940364.6507289475</v>
      </c>
      <c r="X168" s="128">
        <v>5846295.4094855506</v>
      </c>
      <c r="Y168" s="128">
        <v>5723149.4596611243</v>
      </c>
      <c r="Z168" s="128">
        <v>5596806.3484954424</v>
      </c>
      <c r="AA168" s="128">
        <v>5466721.2269329829</v>
      </c>
      <c r="AB168" s="128">
        <v>5335644.1194052827</v>
      </c>
      <c r="AC168" s="128">
        <v>5207473.8562647924</v>
      </c>
      <c r="AD168" s="128">
        <v>5083371.2382662427</v>
      </c>
      <c r="AE168" s="128">
        <v>4969657.2925663609</v>
      </c>
      <c r="AF168" s="129">
        <v>4871601.0292372927</v>
      </c>
    </row>
    <row r="169" spans="1:32" x14ac:dyDescent="0.25">
      <c r="A169" s="124" t="s">
        <v>66</v>
      </c>
      <c r="B169" s="128">
        <v>3247214.6087298295</v>
      </c>
      <c r="C169" s="128">
        <v>3285522.0726907644</v>
      </c>
      <c r="D169" s="128">
        <v>3333727.2897461751</v>
      </c>
      <c r="E169" s="128">
        <v>3379524.7970901355</v>
      </c>
      <c r="F169" s="128">
        <v>3421621.3748871842</v>
      </c>
      <c r="G169" s="128">
        <v>3460229.5182070252</v>
      </c>
      <c r="H169" s="128">
        <v>3499193.7957457108</v>
      </c>
      <c r="I169" s="128">
        <v>3535384.991579684</v>
      </c>
      <c r="J169" s="128">
        <v>3566615.6147307986</v>
      </c>
      <c r="K169" s="128">
        <v>3590535.5235191071</v>
      </c>
      <c r="L169" s="128">
        <v>3609172.4924332364</v>
      </c>
      <c r="M169" s="128">
        <v>3634547.9736541123</v>
      </c>
      <c r="N169" s="128">
        <v>3646848.723845005</v>
      </c>
      <c r="O169" s="128">
        <v>3646120.1918029003</v>
      </c>
      <c r="P169" s="128">
        <v>3642581.5027260529</v>
      </c>
      <c r="Q169" s="128">
        <v>3635009.0543489847</v>
      </c>
      <c r="R169" s="128">
        <v>3631965.3254803033</v>
      </c>
      <c r="S169" s="128">
        <v>3625437.0819941075</v>
      </c>
      <c r="T169" s="128">
        <v>3613387.2834897381</v>
      </c>
      <c r="U169" s="128">
        <v>3600241.2406429024</v>
      </c>
      <c r="V169" s="128">
        <v>3587041.6207178473</v>
      </c>
      <c r="W169" s="128">
        <v>3576356.8535245084</v>
      </c>
      <c r="X169" s="128">
        <v>3564627.3300046548</v>
      </c>
      <c r="Y169" s="128">
        <v>3554791.4874235736</v>
      </c>
      <c r="Z169" s="128">
        <v>3543095.4615245187</v>
      </c>
      <c r="AA169" s="128">
        <v>3526763.651497242</v>
      </c>
      <c r="AB169" s="128">
        <v>3510987.9428750305</v>
      </c>
      <c r="AC169" s="128">
        <v>3491893.0804061717</v>
      </c>
      <c r="AD169" s="128">
        <v>3467208.857352606</v>
      </c>
      <c r="AE169" s="128">
        <v>3435519.7106522396</v>
      </c>
      <c r="AF169" s="129">
        <v>3396911.4163442724</v>
      </c>
    </row>
    <row r="170" spans="1:32" x14ac:dyDescent="0.25">
      <c r="A170" s="124" t="s">
        <v>67</v>
      </c>
      <c r="B170" s="128">
        <v>461919.54810804484</v>
      </c>
      <c r="C170" s="128">
        <v>476974.86636264669</v>
      </c>
      <c r="D170" s="128">
        <v>491042.71188091044</v>
      </c>
      <c r="E170" s="128">
        <v>505016.07447793416</v>
      </c>
      <c r="F170" s="128">
        <v>519599.53917005251</v>
      </c>
      <c r="G170" s="128">
        <v>535173.64310679946</v>
      </c>
      <c r="H170" s="128">
        <v>551782.51288160798</v>
      </c>
      <c r="I170" s="128">
        <v>569162.62274375232</v>
      </c>
      <c r="J170" s="128">
        <v>586295.90409503726</v>
      </c>
      <c r="K170" s="128">
        <v>602870.5219026932</v>
      </c>
      <c r="L170" s="128">
        <v>619655.17095771909</v>
      </c>
      <c r="M170" s="128">
        <v>636616.19417604851</v>
      </c>
      <c r="N170" s="128">
        <v>653704.52386483003</v>
      </c>
      <c r="O170" s="128">
        <v>671189.35567777825</v>
      </c>
      <c r="P170" s="128">
        <v>689252.53783713654</v>
      </c>
      <c r="Q170" s="128">
        <v>708210.87263113132</v>
      </c>
      <c r="R170" s="128">
        <v>728566.04504877352</v>
      </c>
      <c r="S170" s="128">
        <v>748405.63125179999</v>
      </c>
      <c r="T170" s="128">
        <v>767391.79566422291</v>
      </c>
      <c r="U170" s="128">
        <v>786393.44047235162</v>
      </c>
      <c r="V170" s="128">
        <v>806816.50485443149</v>
      </c>
      <c r="W170" s="128">
        <v>827938.27669108624</v>
      </c>
      <c r="X170" s="128">
        <v>849374.28717789229</v>
      </c>
      <c r="Y170" s="128">
        <v>871264.43385635898</v>
      </c>
      <c r="Z170" s="128">
        <v>893018.4903251346</v>
      </c>
      <c r="AA170" s="128">
        <v>914914.65554798208</v>
      </c>
      <c r="AB170" s="128">
        <v>936543.61101390771</v>
      </c>
      <c r="AC170" s="128">
        <v>957276.65556939656</v>
      </c>
      <c r="AD170" s="128">
        <v>977404.5722751671</v>
      </c>
      <c r="AE170" s="128">
        <v>997697.06610059727</v>
      </c>
      <c r="AF170" s="129">
        <v>1018846.8135556444</v>
      </c>
    </row>
    <row r="171" spans="1:32" x14ac:dyDescent="0.25">
      <c r="A171" s="124" t="s">
        <v>68</v>
      </c>
      <c r="B171" s="128">
        <v>4132820.7259589103</v>
      </c>
      <c r="C171" s="128">
        <v>4241220.9784075031</v>
      </c>
      <c r="D171" s="128">
        <v>4337633.3372105574</v>
      </c>
      <c r="E171" s="128">
        <v>4431109.1675058035</v>
      </c>
      <c r="F171" s="128">
        <v>4533625.5476866495</v>
      </c>
      <c r="G171" s="128">
        <v>4651947.7996214395</v>
      </c>
      <c r="H171" s="128">
        <v>4780920.3115108591</v>
      </c>
      <c r="I171" s="128">
        <v>4908747.1139863599</v>
      </c>
      <c r="J171" s="128">
        <v>5027532.8261565845</v>
      </c>
      <c r="K171" s="128">
        <v>5137331.5977093279</v>
      </c>
      <c r="L171" s="128">
        <v>5213244.1359277135</v>
      </c>
      <c r="M171" s="128">
        <v>5255792.8067209404</v>
      </c>
      <c r="N171" s="128">
        <v>5315017.7162826359</v>
      </c>
      <c r="O171" s="128">
        <v>5397118.894040118</v>
      </c>
      <c r="P171" s="128">
        <v>5524637.7428557547</v>
      </c>
      <c r="Q171" s="128">
        <v>5686114.8905776059</v>
      </c>
      <c r="R171" s="128">
        <v>5853891.2832192983</v>
      </c>
      <c r="S171" s="128">
        <v>6041756.5500535509</v>
      </c>
      <c r="T171" s="128">
        <v>6227251.7662053602</v>
      </c>
      <c r="U171" s="128">
        <v>6384916.3374502016</v>
      </c>
      <c r="V171" s="128">
        <v>6534263.0640636273</v>
      </c>
      <c r="W171" s="128">
        <v>6692686.6636852706</v>
      </c>
      <c r="X171" s="128">
        <v>6860719.9465889242</v>
      </c>
      <c r="Y171" s="128">
        <v>7040716.9608022356</v>
      </c>
      <c r="Z171" s="128">
        <v>7229221.4497598344</v>
      </c>
      <c r="AA171" s="128">
        <v>7422427.447412774</v>
      </c>
      <c r="AB171" s="128">
        <v>7615149.6990516074</v>
      </c>
      <c r="AC171" s="128">
        <v>7803984.9214675864</v>
      </c>
      <c r="AD171" s="128">
        <v>7990981.3486012733</v>
      </c>
      <c r="AE171" s="128">
        <v>8178628.1127053415</v>
      </c>
      <c r="AF171" s="129">
        <v>8367706.8209745195</v>
      </c>
    </row>
    <row r="172" spans="1:32" x14ac:dyDescent="0.25">
      <c r="A172" s="124" t="s">
        <v>258</v>
      </c>
      <c r="B172" s="128">
        <v>70801.417738336604</v>
      </c>
      <c r="C172" s="128">
        <v>71992.938009963487</v>
      </c>
      <c r="D172" s="128">
        <v>73001.941739539106</v>
      </c>
      <c r="E172" s="128">
        <v>73818.110474321642</v>
      </c>
      <c r="F172" s="128">
        <v>74402.894638884827</v>
      </c>
      <c r="G172" s="128">
        <v>74815.251757601203</v>
      </c>
      <c r="H172" s="128">
        <v>75182.324883746405</v>
      </c>
      <c r="I172" s="128">
        <v>75500.706527806164</v>
      </c>
      <c r="J172" s="128">
        <v>75790.563578520378</v>
      </c>
      <c r="K172" s="128">
        <v>76099.807664765875</v>
      </c>
      <c r="L172" s="128">
        <v>76453.3601250387</v>
      </c>
      <c r="M172" s="128">
        <v>76845.054458637169</v>
      </c>
      <c r="N172" s="128">
        <v>77262.82032697204</v>
      </c>
      <c r="O172" s="128">
        <v>77704.907943561644</v>
      </c>
      <c r="P172" s="128">
        <v>78168.314115424553</v>
      </c>
      <c r="Q172" s="128">
        <v>78643.594552413648</v>
      </c>
      <c r="R172" s="128">
        <v>79178.419027134674</v>
      </c>
      <c r="S172" s="128">
        <v>79811.74204222679</v>
      </c>
      <c r="T172" s="128">
        <v>80499.631661959938</v>
      </c>
      <c r="U172" s="128">
        <v>81283.967263704151</v>
      </c>
      <c r="V172" s="128">
        <v>82075.495765796164</v>
      </c>
      <c r="W172" s="128">
        <v>82765.470283654344</v>
      </c>
      <c r="X172" s="128">
        <v>83327.201332126351</v>
      </c>
      <c r="Y172" s="128">
        <v>83837.403144683092</v>
      </c>
      <c r="Z172" s="128">
        <v>84380.241623035487</v>
      </c>
      <c r="AA172" s="128">
        <v>84973.650853398765</v>
      </c>
      <c r="AB172" s="128">
        <v>85647.223524924251</v>
      </c>
      <c r="AC172" s="128">
        <v>86331.748498384943</v>
      </c>
      <c r="AD172" s="128">
        <v>86992.022822413986</v>
      </c>
      <c r="AE172" s="128">
        <v>87617.022515141653</v>
      </c>
      <c r="AF172" s="129">
        <v>88194.153802488261</v>
      </c>
    </row>
    <row r="173" spans="1:32" x14ac:dyDescent="0.25">
      <c r="A173" s="124" t="s">
        <v>1037</v>
      </c>
      <c r="B173" s="128">
        <v>113987.15503263757</v>
      </c>
      <c r="C173" s="128">
        <v>115553.51720549715</v>
      </c>
      <c r="D173" s="128">
        <v>117187.19130218869</v>
      </c>
      <c r="E173" s="128">
        <v>118732.79617724573</v>
      </c>
      <c r="F173" s="128">
        <v>120134.3164447413</v>
      </c>
      <c r="G173" s="128">
        <v>121306.25864391844</v>
      </c>
      <c r="H173" s="128">
        <v>122440.68226072879</v>
      </c>
      <c r="I173" s="128">
        <v>123700.48444868268</v>
      </c>
      <c r="J173" s="128">
        <v>124782.45899880808</v>
      </c>
      <c r="K173" s="128">
        <v>125445.95248661915</v>
      </c>
      <c r="L173" s="128">
        <v>125908.43685753505</v>
      </c>
      <c r="M173" s="128">
        <v>126832.46408882174</v>
      </c>
      <c r="N173" s="128">
        <v>127747.92715744254</v>
      </c>
      <c r="O173" s="128">
        <v>128673.57361858927</v>
      </c>
      <c r="P173" s="128">
        <v>129693.94993529801</v>
      </c>
      <c r="Q173" s="128">
        <v>130797.41186929838</v>
      </c>
      <c r="R173" s="128">
        <v>132623.2585784613</v>
      </c>
      <c r="S173" s="128">
        <v>134534.58054087308</v>
      </c>
      <c r="T173" s="128">
        <v>136451.51444929594</v>
      </c>
      <c r="U173" s="128">
        <v>138307.19642368626</v>
      </c>
      <c r="V173" s="128">
        <v>140592.4183015092</v>
      </c>
      <c r="W173" s="128">
        <v>143204.19789001293</v>
      </c>
      <c r="X173" s="128">
        <v>145692.82263407458</v>
      </c>
      <c r="Y173" s="128">
        <v>148330.98921738737</v>
      </c>
      <c r="Z173" s="128">
        <v>151254.56997370691</v>
      </c>
      <c r="AA173" s="128">
        <v>154341.55505688046</v>
      </c>
      <c r="AB173" s="128">
        <v>157449.99544235328</v>
      </c>
      <c r="AC173" s="128">
        <v>160716.82936613169</v>
      </c>
      <c r="AD173" s="128">
        <v>164105.84961046497</v>
      </c>
      <c r="AE173" s="128">
        <v>167555.16845272883</v>
      </c>
      <c r="AF173" s="129">
        <v>171026.00866184331</v>
      </c>
    </row>
    <row r="174" spans="1:32" x14ac:dyDescent="0.25">
      <c r="A174" s="124" t="s">
        <v>260</v>
      </c>
      <c r="B174" s="128">
        <v>1191407.1789338822</v>
      </c>
      <c r="C174" s="128">
        <v>1185123.865682719</v>
      </c>
      <c r="D174" s="128">
        <v>1180050.51030976</v>
      </c>
      <c r="E174" s="128">
        <v>1175971.7686106905</v>
      </c>
      <c r="F174" s="128">
        <v>1173797.7046905055</v>
      </c>
      <c r="G174" s="128">
        <v>1173574.4433935718</v>
      </c>
      <c r="H174" s="128">
        <v>1172003.6495283947</v>
      </c>
      <c r="I174" s="128">
        <v>1170154.4616753969</v>
      </c>
      <c r="J174" s="128">
        <v>1169048.4660704462</v>
      </c>
      <c r="K174" s="128">
        <v>1169875.9478100736</v>
      </c>
      <c r="L174" s="128">
        <v>1173019.6667582842</v>
      </c>
      <c r="M174" s="128">
        <v>1176509.8435395048</v>
      </c>
      <c r="N174" s="128">
        <v>1181498.8920590989</v>
      </c>
      <c r="O174" s="128">
        <v>1188092.2415313188</v>
      </c>
      <c r="P174" s="128">
        <v>1193929.4005903399</v>
      </c>
      <c r="Q174" s="128">
        <v>1198439.0823255831</v>
      </c>
      <c r="R174" s="128">
        <v>1200816.9471120297</v>
      </c>
      <c r="S174" s="128">
        <v>1203272.6494667567</v>
      </c>
      <c r="T174" s="128">
        <v>1207111.917108485</v>
      </c>
      <c r="U174" s="128">
        <v>1212730.7232696654</v>
      </c>
      <c r="V174" s="128">
        <v>1219025.8995423664</v>
      </c>
      <c r="W174" s="128">
        <v>1224152.6978815582</v>
      </c>
      <c r="X174" s="128">
        <v>1226480.9535730418</v>
      </c>
      <c r="Y174" s="128">
        <v>1226971.9700182239</v>
      </c>
      <c r="Z174" s="128">
        <v>1228160.5452252293</v>
      </c>
      <c r="AA174" s="128">
        <v>1231116.2785302473</v>
      </c>
      <c r="AB174" s="128">
        <v>1234987.4060632621</v>
      </c>
      <c r="AC174" s="128">
        <v>1239788.6092405352</v>
      </c>
      <c r="AD174" s="128">
        <v>1245451.8931333099</v>
      </c>
      <c r="AE174" s="128">
        <v>1251294.2359163661</v>
      </c>
      <c r="AF174" s="129">
        <v>1256540.4531506347</v>
      </c>
    </row>
    <row r="175" spans="1:32" x14ac:dyDescent="0.25">
      <c r="A175" s="124" t="s">
        <v>261</v>
      </c>
      <c r="B175" s="128">
        <v>1090556.176325331</v>
      </c>
      <c r="C175" s="128">
        <v>1091900.3115652988</v>
      </c>
      <c r="D175" s="128">
        <v>1095855.4919307914</v>
      </c>
      <c r="E175" s="128">
        <v>1098503.9788717967</v>
      </c>
      <c r="F175" s="128">
        <v>1100575.0955171052</v>
      </c>
      <c r="G175" s="128">
        <v>1101387.0505083429</v>
      </c>
      <c r="H175" s="128">
        <v>1098356.1413985561</v>
      </c>
      <c r="I175" s="128">
        <v>1098951.8305082459</v>
      </c>
      <c r="J175" s="128">
        <v>1104796.9249093728</v>
      </c>
      <c r="K175" s="128">
        <v>1110308.4266301165</v>
      </c>
      <c r="L175" s="128">
        <v>1113518.7945415545</v>
      </c>
      <c r="M175" s="128">
        <v>1111871.40479072</v>
      </c>
      <c r="N175" s="128">
        <v>1110239.6376510211</v>
      </c>
      <c r="O175" s="128">
        <v>1110328.8173676287</v>
      </c>
      <c r="P175" s="128">
        <v>1111991.9878074448</v>
      </c>
      <c r="Q175" s="128">
        <v>1114237.3485018227</v>
      </c>
      <c r="R175" s="128">
        <v>1112348.4239256789</v>
      </c>
      <c r="S175" s="128">
        <v>1108223.7517472014</v>
      </c>
      <c r="T175" s="128">
        <v>1103196.2826073419</v>
      </c>
      <c r="U175" s="128">
        <v>1099353.4397186756</v>
      </c>
      <c r="V175" s="128">
        <v>1098462.4365512524</v>
      </c>
      <c r="W175" s="128">
        <v>1094239.7644773431</v>
      </c>
      <c r="X175" s="128">
        <v>1088455.8401123942</v>
      </c>
      <c r="Y175" s="128">
        <v>1086061.7046571255</v>
      </c>
      <c r="Z175" s="128">
        <v>1084563.7437377335</v>
      </c>
      <c r="AA175" s="128">
        <v>1083852.2027717028</v>
      </c>
      <c r="AB175" s="128">
        <v>1081847.4474285338</v>
      </c>
      <c r="AC175" s="128">
        <v>1079267.5073764564</v>
      </c>
      <c r="AD175" s="128">
        <v>1076421.1830192429</v>
      </c>
      <c r="AE175" s="128">
        <v>1073193.1883243029</v>
      </c>
      <c r="AF175" s="129">
        <v>1069325.7033755323</v>
      </c>
    </row>
    <row r="176" spans="1:32" x14ac:dyDescent="0.25">
      <c r="A176" s="124" t="s">
        <v>1234</v>
      </c>
      <c r="B176" s="128">
        <v>2203523.6262811306</v>
      </c>
      <c r="C176" s="128">
        <v>2265453.4756045761</v>
      </c>
      <c r="D176" s="128">
        <v>2345349.2235140693</v>
      </c>
      <c r="E176" s="128">
        <v>2425576.4958888255</v>
      </c>
      <c r="F176" s="128">
        <v>2509132.6085592187</v>
      </c>
      <c r="G176" s="128">
        <v>2596460.9629116138</v>
      </c>
      <c r="H176" s="128">
        <v>2768964.1600792385</v>
      </c>
      <c r="I176" s="128">
        <v>3036849.8243243201</v>
      </c>
      <c r="J176" s="128">
        <v>3185948.3553852183</v>
      </c>
      <c r="K176" s="128">
        <v>3237484.3057942074</v>
      </c>
      <c r="L176" s="128">
        <v>3326265.2210359741</v>
      </c>
      <c r="M176" s="128">
        <v>3386019.5702841203</v>
      </c>
      <c r="N176" s="128">
        <v>3328598.4906901815</v>
      </c>
      <c r="O176" s="128">
        <v>3049641.6153514246</v>
      </c>
      <c r="P176" s="128">
        <v>2713636.1586930472</v>
      </c>
      <c r="Q176" s="128">
        <v>2527696.555518229</v>
      </c>
      <c r="R176" s="128">
        <v>2501857.8239741381</v>
      </c>
      <c r="S176" s="128">
        <v>2545608.8392831204</v>
      </c>
      <c r="T176" s="128">
        <v>2670919.9502664814</v>
      </c>
      <c r="U176" s="128">
        <v>2893653.7520829039</v>
      </c>
      <c r="V176" s="128">
        <v>3086915.3149236171</v>
      </c>
      <c r="W176" s="128">
        <v>3267084.8687912892</v>
      </c>
      <c r="X176" s="128">
        <v>3505217.0307120681</v>
      </c>
      <c r="Y176" s="128">
        <v>3813916.280917767</v>
      </c>
      <c r="Z176" s="128">
        <v>4113849.1934959386</v>
      </c>
      <c r="AA176" s="128">
        <v>4381324.2984138792</v>
      </c>
      <c r="AB176" s="128">
        <v>4593019.5393069228</v>
      </c>
      <c r="AC176" s="128">
        <v>4762936.1703773299</v>
      </c>
      <c r="AD176" s="128">
        <v>4892761.2801854825</v>
      </c>
      <c r="AE176" s="128">
        <v>4977077.9209125387</v>
      </c>
      <c r="AF176" s="129">
        <v>5013886.613214206</v>
      </c>
    </row>
    <row r="177" spans="1:32" x14ac:dyDescent="0.25">
      <c r="A177" s="124" t="s">
        <v>69</v>
      </c>
      <c r="B177" s="128">
        <v>1075048.0846617699</v>
      </c>
      <c r="C177" s="128">
        <v>1109245.5617706499</v>
      </c>
      <c r="D177" s="128">
        <v>1142496.9379777201</v>
      </c>
      <c r="E177" s="128">
        <v>1175835.2085846951</v>
      </c>
      <c r="F177" s="128">
        <v>1209927.5245821385</v>
      </c>
      <c r="G177" s="128">
        <v>1245290.612323514</v>
      </c>
      <c r="H177" s="128">
        <v>1281347.2279400381</v>
      </c>
      <c r="I177" s="128">
        <v>1316333.5982538038</v>
      </c>
      <c r="J177" s="128">
        <v>1350223.5059680562</v>
      </c>
      <c r="K177" s="128">
        <v>1383412.491418825</v>
      </c>
      <c r="L177" s="128">
        <v>1415971.945403263</v>
      </c>
      <c r="M177" s="128">
        <v>1447796.6693813852</v>
      </c>
      <c r="N177" s="128">
        <v>1477759.4926041598</v>
      </c>
      <c r="O177" s="128">
        <v>1508610.8689614262</v>
      </c>
      <c r="P177" s="128">
        <v>1540955.588509738</v>
      </c>
      <c r="Q177" s="128">
        <v>1574952.284381446</v>
      </c>
      <c r="R177" s="128">
        <v>1611986.0140767321</v>
      </c>
      <c r="S177" s="128">
        <v>1651026.3950002217</v>
      </c>
      <c r="T177" s="128">
        <v>1689784.3699176919</v>
      </c>
      <c r="U177" s="128">
        <v>1726252.5315140965</v>
      </c>
      <c r="V177" s="128">
        <v>1759587.2609590499</v>
      </c>
      <c r="W177" s="128">
        <v>1790919.2763732243</v>
      </c>
      <c r="X177" s="128">
        <v>1817787.6403452887</v>
      </c>
      <c r="Y177" s="128">
        <v>1841007.9226678438</v>
      </c>
      <c r="Z177" s="128">
        <v>1864346.9308268256</v>
      </c>
      <c r="AA177" s="128">
        <v>1888332.2183429648</v>
      </c>
      <c r="AB177" s="128">
        <v>1912814.6743884606</v>
      </c>
      <c r="AC177" s="128">
        <v>1936185.6445484366</v>
      </c>
      <c r="AD177" s="128">
        <v>1958840.7684182667</v>
      </c>
      <c r="AE177" s="128">
        <v>1981724.3170153364</v>
      </c>
      <c r="AF177" s="129">
        <v>2004689.1026768824</v>
      </c>
    </row>
    <row r="178" spans="1:32" x14ac:dyDescent="0.25">
      <c r="A178" s="124" t="s">
        <v>70</v>
      </c>
      <c r="B178" s="128">
        <v>5224730.7852774914</v>
      </c>
      <c r="C178" s="128">
        <v>5350388.0386642246</v>
      </c>
      <c r="D178" s="128">
        <v>5468206.7212752346</v>
      </c>
      <c r="E178" s="128">
        <v>5591988.8618236724</v>
      </c>
      <c r="F178" s="128">
        <v>5722545.5262723453</v>
      </c>
      <c r="G178" s="128">
        <v>5856563.4840838276</v>
      </c>
      <c r="H178" s="128">
        <v>5996198.1665977938</v>
      </c>
      <c r="I178" s="128">
        <v>6140772.9672707804</v>
      </c>
      <c r="J178" s="128">
        <v>6285152.3422727594</v>
      </c>
      <c r="K178" s="128">
        <v>6421343.5062401192</v>
      </c>
      <c r="L178" s="128">
        <v>6573099.0013125921</v>
      </c>
      <c r="M178" s="128">
        <v>6759534.7961485926</v>
      </c>
      <c r="N178" s="128">
        <v>6963523.7658012128</v>
      </c>
      <c r="O178" s="128">
        <v>7181883.4026344689</v>
      </c>
      <c r="P178" s="128">
        <v>7409207.8238647878</v>
      </c>
      <c r="Q178" s="128">
        <v>7653436.9031560263</v>
      </c>
      <c r="R178" s="128">
        <v>7914809.1372310957</v>
      </c>
      <c r="S178" s="128">
        <v>8174349.3963257521</v>
      </c>
      <c r="T178" s="128">
        <v>8427852.7490574326</v>
      </c>
      <c r="U178" s="128">
        <v>8678287.9654207602</v>
      </c>
      <c r="V178" s="128">
        <v>8938464.5100787655</v>
      </c>
      <c r="W178" s="128">
        <v>9205479.3663807847</v>
      </c>
      <c r="X178" s="128">
        <v>9468722.3774319347</v>
      </c>
      <c r="Y178" s="128">
        <v>9728279.1156580746</v>
      </c>
      <c r="Z178" s="128">
        <v>9988770.2460112181</v>
      </c>
      <c r="AA178" s="128">
        <v>10249277.655372854</v>
      </c>
      <c r="AB178" s="128">
        <v>10508082.375855193</v>
      </c>
      <c r="AC178" s="128">
        <v>10764203.363661494</v>
      </c>
      <c r="AD178" s="128">
        <v>11022545.494780118</v>
      </c>
      <c r="AE178" s="128">
        <v>11288334.687764587</v>
      </c>
      <c r="AF178" s="129">
        <v>11556889.255152795</v>
      </c>
    </row>
    <row r="179" spans="1:32" x14ac:dyDescent="0.25">
      <c r="A179" s="124" t="s">
        <v>1163</v>
      </c>
      <c r="B179" s="128">
        <v>359644.07464809634</v>
      </c>
      <c r="C179" s="128">
        <v>361347.47036865563</v>
      </c>
      <c r="D179" s="128">
        <v>361622.7944098147</v>
      </c>
      <c r="E179" s="128">
        <v>360425.38350000005</v>
      </c>
      <c r="F179" s="128">
        <v>358880.94283229829</v>
      </c>
      <c r="G179" s="128">
        <v>357254.20445778221</v>
      </c>
      <c r="H179" s="128">
        <v>355792.4009949094</v>
      </c>
      <c r="I179" s="128">
        <v>354362.02978588524</v>
      </c>
      <c r="J179" s="128">
        <v>352831.52742064581</v>
      </c>
      <c r="K179" s="128">
        <v>351340.43225817307</v>
      </c>
      <c r="L179" s="128">
        <v>349873.39970489673</v>
      </c>
      <c r="M179" s="128">
        <v>348690.25657009013</v>
      </c>
      <c r="N179" s="128">
        <v>347666.16600910819</v>
      </c>
      <c r="O179" s="128">
        <v>346790.34525603725</v>
      </c>
      <c r="P179" s="128">
        <v>345750.71656541334</v>
      </c>
      <c r="Q179" s="128">
        <v>344550.8365587017</v>
      </c>
      <c r="R179" s="128">
        <v>343214.44703551242</v>
      </c>
      <c r="S179" s="128">
        <v>342028.61061952857</v>
      </c>
      <c r="T179" s="128">
        <v>340796.35328924126</v>
      </c>
      <c r="U179" s="128">
        <v>339078.96536975756</v>
      </c>
      <c r="V179" s="128">
        <v>336933.82500245637</v>
      </c>
      <c r="W179" s="128">
        <v>334768.31110237271</v>
      </c>
      <c r="X179" s="128">
        <v>332516.09997798532</v>
      </c>
      <c r="Y179" s="128">
        <v>330127.37491303374</v>
      </c>
      <c r="Z179" s="128">
        <v>327601.6005886831</v>
      </c>
      <c r="AA179" s="128">
        <v>324802.91061696282</v>
      </c>
      <c r="AB179" s="128">
        <v>321471.06068830867</v>
      </c>
      <c r="AC179" s="128">
        <v>317684.018714701</v>
      </c>
      <c r="AD179" s="128">
        <v>313621.74867056793</v>
      </c>
      <c r="AE179" s="128">
        <v>309227.54973345244</v>
      </c>
      <c r="AF179" s="129">
        <v>304503.16727554047</v>
      </c>
    </row>
    <row r="180" spans="1:32" x14ac:dyDescent="0.25">
      <c r="A180" s="124" t="s">
        <v>262</v>
      </c>
      <c r="B180" s="128">
        <v>12407869.172754083</v>
      </c>
      <c r="C180" s="128">
        <v>12540081.738755846</v>
      </c>
      <c r="D180" s="128">
        <v>12657053.607879609</v>
      </c>
      <c r="E180" s="128">
        <v>12752746.471600953</v>
      </c>
      <c r="F180" s="128">
        <v>12819629.820700932</v>
      </c>
      <c r="G180" s="128">
        <v>12855732.144145194</v>
      </c>
      <c r="H180" s="128">
        <v>12879198.720827205</v>
      </c>
      <c r="I180" s="128">
        <v>12886308.633551566</v>
      </c>
      <c r="J180" s="128">
        <v>12875657.026525306</v>
      </c>
      <c r="K180" s="128">
        <v>12848185.455201913</v>
      </c>
      <c r="L180" s="128">
        <v>12811642.606951451</v>
      </c>
      <c r="M180" s="128">
        <v>12760009.0898079</v>
      </c>
      <c r="N180" s="128">
        <v>12699315.01609234</v>
      </c>
      <c r="O180" s="128">
        <v>12609478.696812112</v>
      </c>
      <c r="P180" s="128">
        <v>12485451.155807678</v>
      </c>
      <c r="Q180" s="128">
        <v>12338466.284165096</v>
      </c>
      <c r="R180" s="128">
        <v>12202886.303043084</v>
      </c>
      <c r="S180" s="128">
        <v>12068145.081163818</v>
      </c>
      <c r="T180" s="128">
        <v>11917110.723346079</v>
      </c>
      <c r="U180" s="128">
        <v>11753859.315637266</v>
      </c>
      <c r="V180" s="128">
        <v>11592609.782106154</v>
      </c>
      <c r="W180" s="128">
        <v>11437188.403472237</v>
      </c>
      <c r="X180" s="128">
        <v>11290591.141945306</v>
      </c>
      <c r="Y180" s="128">
        <v>11154545.398813436</v>
      </c>
      <c r="Z180" s="128">
        <v>11025784.892842935</v>
      </c>
      <c r="AA180" s="128">
        <v>10905356.907087786</v>
      </c>
      <c r="AB180" s="128">
        <v>10790331.002404386</v>
      </c>
      <c r="AC180" s="128">
        <v>10674611.132813064</v>
      </c>
      <c r="AD180" s="128">
        <v>10552482.997147929</v>
      </c>
      <c r="AE180" s="128">
        <v>10424564.038045194</v>
      </c>
      <c r="AF180" s="129">
        <v>10291030.503777327</v>
      </c>
    </row>
    <row r="181" spans="1:32" x14ac:dyDescent="0.25">
      <c r="A181" s="124" t="s">
        <v>71</v>
      </c>
      <c r="B181" s="128">
        <v>139051.50373880155</v>
      </c>
      <c r="C181" s="128">
        <v>140669.4682982071</v>
      </c>
      <c r="D181" s="128">
        <v>142389.64162010254</v>
      </c>
      <c r="E181" s="128">
        <v>144120.75452304754</v>
      </c>
      <c r="F181" s="128">
        <v>144636.11283293998</v>
      </c>
      <c r="G181" s="128">
        <v>145244.82618337439</v>
      </c>
      <c r="H181" s="128">
        <v>146033.89068707821</v>
      </c>
      <c r="I181" s="128">
        <v>146900.55157549525</v>
      </c>
      <c r="J181" s="128">
        <v>147884.1156762582</v>
      </c>
      <c r="K181" s="128">
        <v>149105.6486903521</v>
      </c>
      <c r="L181" s="128">
        <v>150808.05345741866</v>
      </c>
      <c r="M181" s="128">
        <v>153712.85028660268</v>
      </c>
      <c r="N181" s="128">
        <v>157288.01287603899</v>
      </c>
      <c r="O181" s="128">
        <v>161307.18023921805</v>
      </c>
      <c r="P181" s="128">
        <v>165605.20485254863</v>
      </c>
      <c r="Q181" s="128">
        <v>169418.52566321864</v>
      </c>
      <c r="R181" s="128">
        <v>172812.65325102507</v>
      </c>
      <c r="S181" s="128">
        <v>175778.20610777731</v>
      </c>
      <c r="T181" s="128">
        <v>178690.04071588311</v>
      </c>
      <c r="U181" s="128">
        <v>181750.83665734658</v>
      </c>
      <c r="V181" s="128">
        <v>185210.23018416611</v>
      </c>
      <c r="W181" s="128">
        <v>188940.09732722412</v>
      </c>
      <c r="X181" s="128">
        <v>192487.62329988019</v>
      </c>
      <c r="Y181" s="128">
        <v>195689.52491747125</v>
      </c>
      <c r="Z181" s="128">
        <v>198942.56995289272</v>
      </c>
      <c r="AA181" s="128">
        <v>202347.16444338701</v>
      </c>
      <c r="AB181" s="128">
        <v>206152.59233084155</v>
      </c>
      <c r="AC181" s="128">
        <v>210097.69554458393</v>
      </c>
      <c r="AD181" s="128">
        <v>213897.94947338427</v>
      </c>
      <c r="AE181" s="128">
        <v>217379.42675330216</v>
      </c>
      <c r="AF181" s="129">
        <v>220497.55086070858</v>
      </c>
    </row>
    <row r="182" spans="1:32" x14ac:dyDescent="0.25">
      <c r="A182" s="124" t="s">
        <v>72</v>
      </c>
      <c r="B182" s="128">
        <v>790351.94629948318</v>
      </c>
      <c r="C182" s="128">
        <v>811385.0091014792</v>
      </c>
      <c r="D182" s="128">
        <v>831458.71545828856</v>
      </c>
      <c r="E182" s="128">
        <v>851910.42643073027</v>
      </c>
      <c r="F182" s="128">
        <v>873387.76748260995</v>
      </c>
      <c r="G182" s="128">
        <v>895123.55447251303</v>
      </c>
      <c r="H182" s="128">
        <v>920893.44322490576</v>
      </c>
      <c r="I182" s="128">
        <v>948367.43069933483</v>
      </c>
      <c r="J182" s="128">
        <v>974962.55188229785</v>
      </c>
      <c r="K182" s="128">
        <v>1000467.4392674937</v>
      </c>
      <c r="L182" s="128">
        <v>1023359.3876376613</v>
      </c>
      <c r="M182" s="128">
        <v>1046119.7865251371</v>
      </c>
      <c r="N182" s="128">
        <v>1068466.6277677484</v>
      </c>
      <c r="O182" s="128">
        <v>1090629.113545873</v>
      </c>
      <c r="P182" s="128">
        <v>1112938.8336882987</v>
      </c>
      <c r="Q182" s="128">
        <v>1135256.0397651815</v>
      </c>
      <c r="R182" s="128">
        <v>1157728.1577664032</v>
      </c>
      <c r="S182" s="128">
        <v>1180156.9000538974</v>
      </c>
      <c r="T182" s="128">
        <v>1202578.7006151793</v>
      </c>
      <c r="U182" s="128">
        <v>1224954.1487252116</v>
      </c>
      <c r="V182" s="128">
        <v>1247748.4477998316</v>
      </c>
      <c r="W182" s="128">
        <v>1271645.9844317948</v>
      </c>
      <c r="X182" s="128">
        <v>1296401.5925951237</v>
      </c>
      <c r="Y182" s="128">
        <v>1321848.3575345294</v>
      </c>
      <c r="Z182" s="128">
        <v>1348207.6315998964</v>
      </c>
      <c r="AA182" s="128">
        <v>1375748.7703783347</v>
      </c>
      <c r="AB182" s="128">
        <v>1404070.8148311116</v>
      </c>
      <c r="AC182" s="128">
        <v>1432369.3430095941</v>
      </c>
      <c r="AD182" s="128">
        <v>1460726.1791855043</v>
      </c>
      <c r="AE182" s="128">
        <v>1489295.8618776214</v>
      </c>
      <c r="AF182" s="129">
        <v>1518097.4091908059</v>
      </c>
    </row>
    <row r="183" spans="1:32" x14ac:dyDescent="0.25">
      <c r="A183" s="124" t="s">
        <v>265</v>
      </c>
      <c r="B183" s="128">
        <v>12292.201453362362</v>
      </c>
      <c r="C183" s="128">
        <v>12490.196543274014</v>
      </c>
      <c r="D183" s="128">
        <v>12685.700649173879</v>
      </c>
      <c r="E183" s="128">
        <v>12870.097324302433</v>
      </c>
      <c r="F183" s="128">
        <v>13029.190606032626</v>
      </c>
      <c r="G183" s="128">
        <v>13151.166330304415</v>
      </c>
      <c r="H183" s="128">
        <v>13215.160438913967</v>
      </c>
      <c r="I183" s="128">
        <v>13277.499263962272</v>
      </c>
      <c r="J183" s="128">
        <v>13340.933873493534</v>
      </c>
      <c r="K183" s="128">
        <v>13386.24402986936</v>
      </c>
      <c r="L183" s="128">
        <v>13437.10517577602</v>
      </c>
      <c r="M183" s="128">
        <v>13534.61581643377</v>
      </c>
      <c r="N183" s="128">
        <v>13575.490815302765</v>
      </c>
      <c r="O183" s="128">
        <v>13557.745896143088</v>
      </c>
      <c r="P183" s="128">
        <v>13507.64497872018</v>
      </c>
      <c r="Q183" s="128">
        <v>13443.041818545429</v>
      </c>
      <c r="R183" s="128">
        <v>13362.487678505971</v>
      </c>
      <c r="S183" s="128">
        <v>13282.517612329768</v>
      </c>
      <c r="T183" s="128">
        <v>13208.345254137348</v>
      </c>
      <c r="U183" s="128">
        <v>13144.294993432139</v>
      </c>
      <c r="V183" s="128">
        <v>13164.344837428805</v>
      </c>
      <c r="W183" s="128">
        <v>13285.463789937179</v>
      </c>
      <c r="X183" s="128">
        <v>13404.319108141835</v>
      </c>
      <c r="Y183" s="128">
        <v>13508.333000833007</v>
      </c>
      <c r="Z183" s="128">
        <v>13608.3978447394</v>
      </c>
      <c r="AA183" s="128">
        <v>13726.551670167597</v>
      </c>
      <c r="AB183" s="128">
        <v>13883.673866826131</v>
      </c>
      <c r="AC183" s="128">
        <v>14035.011433410957</v>
      </c>
      <c r="AD183" s="128">
        <v>14189.47726069326</v>
      </c>
      <c r="AE183" s="128">
        <v>14323.239153964812</v>
      </c>
      <c r="AF183" s="129">
        <v>14447.803882548842</v>
      </c>
    </row>
    <row r="184" spans="1:32" x14ac:dyDescent="0.25">
      <c r="A184" s="124" t="s">
        <v>266</v>
      </c>
      <c r="B184" s="128">
        <v>191766.73234210929</v>
      </c>
      <c r="C184" s="128">
        <v>192500.75650269238</v>
      </c>
      <c r="D184" s="128">
        <v>193295.79646573745</v>
      </c>
      <c r="E184" s="128">
        <v>193853.21549681493</v>
      </c>
      <c r="F184" s="128">
        <v>193978.77075301768</v>
      </c>
      <c r="G184" s="128">
        <v>193858.25859127144</v>
      </c>
      <c r="H184" s="128">
        <v>193881.69610404049</v>
      </c>
      <c r="I184" s="128">
        <v>194084.07442234954</v>
      </c>
      <c r="J184" s="128">
        <v>194253.55630798658</v>
      </c>
      <c r="K184" s="128">
        <v>194213.85162674802</v>
      </c>
      <c r="L184" s="128">
        <v>193926.96349658645</v>
      </c>
      <c r="M184" s="128">
        <v>193255.91093750289</v>
      </c>
      <c r="N184" s="128">
        <v>192638.65734481346</v>
      </c>
      <c r="O184" s="128">
        <v>192177.65627793191</v>
      </c>
      <c r="P184" s="128">
        <v>191936.3195929309</v>
      </c>
      <c r="Q184" s="128">
        <v>191868.48096032959</v>
      </c>
      <c r="R184" s="128">
        <v>191995.68929197168</v>
      </c>
      <c r="S184" s="128">
        <v>192473.73838403448</v>
      </c>
      <c r="T184" s="128">
        <v>195607.62797583817</v>
      </c>
      <c r="U184" s="128">
        <v>197278.72715574002</v>
      </c>
      <c r="V184" s="128">
        <v>196405.633851355</v>
      </c>
      <c r="W184" s="128">
        <v>196754.05916998297</v>
      </c>
      <c r="X184" s="128">
        <v>196534.08326884816</v>
      </c>
      <c r="Y184" s="128">
        <v>195870.62437169501</v>
      </c>
      <c r="Z184" s="128">
        <v>195134.14168718582</v>
      </c>
      <c r="AA184" s="128">
        <v>194359.11221561549</v>
      </c>
      <c r="AB184" s="128">
        <v>193493.56600553973</v>
      </c>
      <c r="AC184" s="128">
        <v>192467.04246346644</v>
      </c>
      <c r="AD184" s="128">
        <v>191182.93230075701</v>
      </c>
      <c r="AE184" s="128">
        <v>189564.72050530667</v>
      </c>
      <c r="AF184" s="129">
        <v>187620.96080575342</v>
      </c>
    </row>
    <row r="185" spans="1:32" x14ac:dyDescent="0.25">
      <c r="A185" s="124" t="s">
        <v>267</v>
      </c>
      <c r="B185" s="128">
        <v>1435664.1293827682</v>
      </c>
      <c r="C185" s="128">
        <v>1458182.5038797383</v>
      </c>
      <c r="D185" s="128">
        <v>1478026.4224094627</v>
      </c>
      <c r="E185" s="128">
        <v>1494902.949303777</v>
      </c>
      <c r="F185" s="128">
        <v>1509214.8824638468</v>
      </c>
      <c r="G185" s="128">
        <v>1520583.9019461584</v>
      </c>
      <c r="H185" s="128">
        <v>1532014.4209071575</v>
      </c>
      <c r="I185" s="128">
        <v>1542983.6911006493</v>
      </c>
      <c r="J185" s="128">
        <v>1553248.057595907</v>
      </c>
      <c r="K185" s="128">
        <v>1562086.5743976731</v>
      </c>
      <c r="L185" s="128">
        <v>1568907.8227646181</v>
      </c>
      <c r="M185" s="128">
        <v>1578789.9639882869</v>
      </c>
      <c r="N185" s="128">
        <v>1585820.3164651124</v>
      </c>
      <c r="O185" s="128">
        <v>1585799.1085222049</v>
      </c>
      <c r="P185" s="128">
        <v>1584175.4426954391</v>
      </c>
      <c r="Q185" s="128">
        <v>1581194.6414163425</v>
      </c>
      <c r="R185" s="128">
        <v>1577209.0774972397</v>
      </c>
      <c r="S185" s="128">
        <v>1573832.3501398538</v>
      </c>
      <c r="T185" s="128">
        <v>1571671.7220121489</v>
      </c>
      <c r="U185" s="128">
        <v>1571146.294757731</v>
      </c>
      <c r="V185" s="128">
        <v>1572806.0231305535</v>
      </c>
      <c r="W185" s="128">
        <v>1575762.8914399834</v>
      </c>
      <c r="X185" s="128">
        <v>1579357.6963881731</v>
      </c>
      <c r="Y185" s="128">
        <v>1582645.4415413588</v>
      </c>
      <c r="Z185" s="128">
        <v>1583599.1787069133</v>
      </c>
      <c r="AA185" s="128">
        <v>1581687.9310606364</v>
      </c>
      <c r="AB185" s="128">
        <v>1577713.9788069897</v>
      </c>
      <c r="AC185" s="128">
        <v>1571938.9790694837</v>
      </c>
      <c r="AD185" s="128">
        <v>1565043.2151367124</v>
      </c>
      <c r="AE185" s="128">
        <v>1557889.7891024316</v>
      </c>
      <c r="AF185" s="129">
        <v>1550634.253346239</v>
      </c>
    </row>
    <row r="186" spans="1:32" x14ac:dyDescent="0.25">
      <c r="A186" s="124" t="s">
        <v>268</v>
      </c>
      <c r="B186" s="128">
        <v>11400877.167865643</v>
      </c>
      <c r="C186" s="128">
        <v>11600541.687831908</v>
      </c>
      <c r="D186" s="128">
        <v>11810543.976281943</v>
      </c>
      <c r="E186" s="128">
        <v>11993972.384820616</v>
      </c>
      <c r="F186" s="128">
        <v>12166594.250845734</v>
      </c>
      <c r="G186" s="128">
        <v>12365826.085330438</v>
      </c>
      <c r="H186" s="128">
        <v>12551516.702135114</v>
      </c>
      <c r="I186" s="128">
        <v>12730250.782549137</v>
      </c>
      <c r="J186" s="128">
        <v>12912506.676509013</v>
      </c>
      <c r="K186" s="128">
        <v>13110837.854693431</v>
      </c>
      <c r="L186" s="128">
        <v>13314707.386050828</v>
      </c>
      <c r="M186" s="128">
        <v>13510157.607467985</v>
      </c>
      <c r="N186" s="128">
        <v>13724396.449852347</v>
      </c>
      <c r="O186" s="128">
        <v>13959241.409503611</v>
      </c>
      <c r="P186" s="128">
        <v>14221263.821236962</v>
      </c>
      <c r="Q186" s="128">
        <v>14457722.39770015</v>
      </c>
      <c r="R186" s="128">
        <v>14644854.499949753</v>
      </c>
      <c r="S186" s="128">
        <v>14739093.704375368</v>
      </c>
      <c r="T186" s="128">
        <v>14688825.686472153</v>
      </c>
      <c r="U186" s="128">
        <v>14629320.110961648</v>
      </c>
      <c r="V186" s="128">
        <v>14621478.167951539</v>
      </c>
      <c r="W186" s="128">
        <v>14634739.51635723</v>
      </c>
      <c r="X186" s="128">
        <v>14612348.317709485</v>
      </c>
      <c r="Y186" s="128">
        <v>14548219.895409515</v>
      </c>
      <c r="Z186" s="128">
        <v>14475206.059039926</v>
      </c>
      <c r="AA186" s="128">
        <v>14398301.392874243</v>
      </c>
      <c r="AB186" s="128">
        <v>14311916.347161645</v>
      </c>
      <c r="AC186" s="128">
        <v>14227427.352554103</v>
      </c>
      <c r="AD186" s="128">
        <v>14150081.537717661</v>
      </c>
      <c r="AE186" s="128">
        <v>14078103.348175677</v>
      </c>
      <c r="AF186" s="129">
        <v>14015305.538305346</v>
      </c>
    </row>
    <row r="187" spans="1:32" x14ac:dyDescent="0.25">
      <c r="A187" s="124" t="s">
        <v>269</v>
      </c>
      <c r="B187" s="128">
        <v>772114.18416745146</v>
      </c>
      <c r="C187" s="128">
        <v>789583.78265430918</v>
      </c>
      <c r="D187" s="128">
        <v>806489.13525630417</v>
      </c>
      <c r="E187" s="128">
        <v>821745.40619062609</v>
      </c>
      <c r="F187" s="128">
        <v>836700.05737740803</v>
      </c>
      <c r="G187" s="128">
        <v>852237.60601925349</v>
      </c>
      <c r="H187" s="128">
        <v>867161.32413982367</v>
      </c>
      <c r="I187" s="128">
        <v>881276.56607873272</v>
      </c>
      <c r="J187" s="128">
        <v>895293.15018138872</v>
      </c>
      <c r="K187" s="128">
        <v>909488.16375171964</v>
      </c>
      <c r="L187" s="128">
        <v>924089.58945199405</v>
      </c>
      <c r="M187" s="128">
        <v>939279.70060958643</v>
      </c>
      <c r="N187" s="128">
        <v>955415.7535659523</v>
      </c>
      <c r="O187" s="128">
        <v>971883.57174186315</v>
      </c>
      <c r="P187" s="128">
        <v>987271.99657798419</v>
      </c>
      <c r="Q187" s="128">
        <v>1000725.3196625456</v>
      </c>
      <c r="R187" s="128">
        <v>1011944.4081199716</v>
      </c>
      <c r="S187" s="128">
        <v>1021110.6891085079</v>
      </c>
      <c r="T187" s="128">
        <v>1029006.6511694769</v>
      </c>
      <c r="U187" s="128">
        <v>1036555.0394819839</v>
      </c>
      <c r="V187" s="128">
        <v>1044663.719892512</v>
      </c>
      <c r="W187" s="128">
        <v>1053337.6980309829</v>
      </c>
      <c r="X187" s="128">
        <v>1062015.5972822679</v>
      </c>
      <c r="Y187" s="128">
        <v>1070389.192997565</v>
      </c>
      <c r="Z187" s="128">
        <v>1077776.4225347128</v>
      </c>
      <c r="AA187" s="128">
        <v>1083675.7998720766</v>
      </c>
      <c r="AB187" s="128">
        <v>1088302.9325554012</v>
      </c>
      <c r="AC187" s="128">
        <v>1091601.6082736978</v>
      </c>
      <c r="AD187" s="128">
        <v>1094513.3200333605</v>
      </c>
      <c r="AE187" s="128">
        <v>1098125.2518664557</v>
      </c>
      <c r="AF187" s="129">
        <v>1103042.1118267146</v>
      </c>
    </row>
    <row r="188" spans="1:32" x14ac:dyDescent="0.25">
      <c r="A188" s="124" t="s">
        <v>73</v>
      </c>
      <c r="B188" s="128">
        <v>3391983.0494750729</v>
      </c>
      <c r="C188" s="128">
        <v>3477657.6505029076</v>
      </c>
      <c r="D188" s="128">
        <v>3571845.6503115976</v>
      </c>
      <c r="E188" s="128">
        <v>3671613.6014371025</v>
      </c>
      <c r="F188" s="128">
        <v>3763901.5628955849</v>
      </c>
      <c r="G188" s="128">
        <v>3857070.256031652</v>
      </c>
      <c r="H188" s="128">
        <v>3957866.8899220782</v>
      </c>
      <c r="I188" s="128">
        <v>4066170.0232215053</v>
      </c>
      <c r="J188" s="128">
        <v>4181468.7250088812</v>
      </c>
      <c r="K188" s="128">
        <v>4302469.8284349805</v>
      </c>
      <c r="L188" s="128">
        <v>4429789.2868894879</v>
      </c>
      <c r="M188" s="128">
        <v>4562854.1449706303</v>
      </c>
      <c r="N188" s="128">
        <v>4694536.0586395087</v>
      </c>
      <c r="O188" s="128">
        <v>4831945.7608828265</v>
      </c>
      <c r="P188" s="128">
        <v>4985480.063095348</v>
      </c>
      <c r="Q188" s="128">
        <v>5159112.4074079627</v>
      </c>
      <c r="R188" s="128">
        <v>5365859.1755054677</v>
      </c>
      <c r="S188" s="128">
        <v>5594763.1667761076</v>
      </c>
      <c r="T188" s="128">
        <v>5818467.2228069045</v>
      </c>
      <c r="U188" s="128">
        <v>6046628.5283286227</v>
      </c>
      <c r="V188" s="128">
        <v>6274348.3767018765</v>
      </c>
      <c r="W188" s="128">
        <v>6495451.6865111487</v>
      </c>
      <c r="X188" s="128">
        <v>6697902.5110852281</v>
      </c>
      <c r="Y188" s="128">
        <v>6880803.4491153425</v>
      </c>
      <c r="Z188" s="128">
        <v>7066477.256329203</v>
      </c>
      <c r="AA188" s="128">
        <v>7258571.5419978434</v>
      </c>
      <c r="AB188" s="128">
        <v>7456683.2325514518</v>
      </c>
      <c r="AC188" s="128">
        <v>7660598.61404608</v>
      </c>
      <c r="AD188" s="128">
        <v>7868337.2885513715</v>
      </c>
      <c r="AE188" s="128">
        <v>8077206.6033992143</v>
      </c>
      <c r="AF188" s="129">
        <v>8287347.201263411</v>
      </c>
    </row>
    <row r="189" spans="1:32" x14ac:dyDescent="0.25">
      <c r="A189" s="124" t="s">
        <v>272</v>
      </c>
      <c r="B189" s="128">
        <v>8236369.3264552997</v>
      </c>
      <c r="C189" s="128">
        <v>8148751.4247206319</v>
      </c>
      <c r="D189" s="128">
        <v>8066662.6843353743</v>
      </c>
      <c r="E189" s="128">
        <v>7990503.9782075351</v>
      </c>
      <c r="F189" s="128">
        <v>7910101.1166961184</v>
      </c>
      <c r="G189" s="128">
        <v>7824061.2874869127</v>
      </c>
      <c r="H189" s="128">
        <v>7726981.5571071552</v>
      </c>
      <c r="I189" s="128">
        <v>7624112.63946875</v>
      </c>
      <c r="J189" s="128">
        <v>7516213.3287940072</v>
      </c>
      <c r="K189" s="128">
        <v>7402236.0717095807</v>
      </c>
      <c r="L189" s="128">
        <v>7281663.313486563</v>
      </c>
      <c r="M189" s="128">
        <v>7161724.6835952532</v>
      </c>
      <c r="N189" s="128">
        <v>7047028.9280638834</v>
      </c>
      <c r="O189" s="128">
        <v>6928286.7371212523</v>
      </c>
      <c r="P189" s="128">
        <v>6813471.4932931717</v>
      </c>
      <c r="Q189" s="128">
        <v>6709573.1051775627</v>
      </c>
      <c r="R189" s="128">
        <v>6608212.890172082</v>
      </c>
      <c r="S189" s="128">
        <v>6507667.6126702521</v>
      </c>
      <c r="T189" s="128">
        <v>6410923.3484046618</v>
      </c>
      <c r="U189" s="128">
        <v>6312087.0398884043</v>
      </c>
      <c r="V189" s="128">
        <v>6198597.4662947478</v>
      </c>
      <c r="W189" s="128">
        <v>6072682.1381908413</v>
      </c>
      <c r="X189" s="128">
        <v>5129605.3932011472</v>
      </c>
      <c r="Y189" s="128">
        <v>4422596.8168502869</v>
      </c>
      <c r="Z189" s="128">
        <v>4695319.0667841937</v>
      </c>
      <c r="AA189" s="128">
        <v>4858991.9516714932</v>
      </c>
      <c r="AB189" s="128">
        <v>4900717.0179390982</v>
      </c>
      <c r="AC189" s="128">
        <v>4859481.062234439</v>
      </c>
      <c r="AD189" s="128">
        <v>4785564.9873293526</v>
      </c>
      <c r="AE189" s="128">
        <v>4699255.8785319189</v>
      </c>
      <c r="AF189" s="129">
        <v>4607077.7931685494</v>
      </c>
    </row>
    <row r="190" spans="1:32" x14ac:dyDescent="0.25">
      <c r="A190" s="124" t="s">
        <v>273</v>
      </c>
      <c r="B190" s="128">
        <v>390890.4601885319</v>
      </c>
      <c r="C190" s="128">
        <v>412178.62386553426</v>
      </c>
      <c r="D190" s="128">
        <v>436263.14212311828</v>
      </c>
      <c r="E190" s="128">
        <v>463544.27395378222</v>
      </c>
      <c r="F190" s="128">
        <v>494030.5075552552</v>
      </c>
      <c r="G190" s="128">
        <v>539531.07457836601</v>
      </c>
      <c r="H190" s="128">
        <v>615150.10727717471</v>
      </c>
      <c r="I190" s="128">
        <v>741542.18063575053</v>
      </c>
      <c r="J190" s="128">
        <v>894430.84350499639</v>
      </c>
      <c r="K190" s="128">
        <v>1041393.3967788913</v>
      </c>
      <c r="L190" s="128">
        <v>1131246.7339604779</v>
      </c>
      <c r="M190" s="128">
        <v>1156737.3656793886</v>
      </c>
      <c r="N190" s="128">
        <v>1183495.1773436461</v>
      </c>
      <c r="O190" s="128">
        <v>1211807.0591352647</v>
      </c>
      <c r="P190" s="128">
        <v>1241091.0545889572</v>
      </c>
      <c r="Q190" s="128">
        <v>1269947.4229463893</v>
      </c>
      <c r="R190" s="128">
        <v>1273838.6347130872</v>
      </c>
      <c r="S190" s="128">
        <v>1276280.5788702285</v>
      </c>
      <c r="T190" s="128">
        <v>1278411.3346867273</v>
      </c>
      <c r="U190" s="128">
        <v>1281075.8367826063</v>
      </c>
      <c r="V190" s="128">
        <v>1286493.4500672345</v>
      </c>
      <c r="W190" s="128">
        <v>1282438.1097974493</v>
      </c>
      <c r="X190" s="128">
        <v>1282382.7753259067</v>
      </c>
      <c r="Y190" s="128">
        <v>1287609.9700758157</v>
      </c>
      <c r="Z190" s="128">
        <v>1294638.9416372837</v>
      </c>
      <c r="AA190" s="128">
        <v>1303634.4543923298</v>
      </c>
      <c r="AB190" s="128">
        <v>1303397.8828451938</v>
      </c>
      <c r="AC190" s="128">
        <v>1302393.9962475889</v>
      </c>
      <c r="AD190" s="128">
        <v>1301274.0462661521</v>
      </c>
      <c r="AE190" s="128">
        <v>1300681.6353637611</v>
      </c>
      <c r="AF190" s="129">
        <v>1300895.0967233668</v>
      </c>
    </row>
    <row r="191" spans="1:32" x14ac:dyDescent="0.25">
      <c r="A191" s="124" t="s">
        <v>274</v>
      </c>
      <c r="B191" s="128">
        <v>8717711.4018155392</v>
      </c>
      <c r="C191" s="128">
        <v>8669302.8019910958</v>
      </c>
      <c r="D191" s="128">
        <v>8631956.7414707877</v>
      </c>
      <c r="E191" s="128">
        <v>8604367.5698665157</v>
      </c>
      <c r="F191" s="128">
        <v>8584313.5949276965</v>
      </c>
      <c r="G191" s="128">
        <v>8573817.4853211809</v>
      </c>
      <c r="H191" s="128">
        <v>8541684.7826125845</v>
      </c>
      <c r="I191" s="128">
        <v>8506338.0800518412</v>
      </c>
      <c r="J191" s="128">
        <v>8467993.6559038237</v>
      </c>
      <c r="K191" s="128">
        <v>8427816.8359162901</v>
      </c>
      <c r="L191" s="128">
        <v>8383489.3951873779</v>
      </c>
      <c r="M191" s="128">
        <v>8330210.6353314146</v>
      </c>
      <c r="N191" s="128">
        <v>8255437.4121789681</v>
      </c>
      <c r="O191" s="128">
        <v>8176521.4651569733</v>
      </c>
      <c r="P191" s="128">
        <v>8093708.2453020727</v>
      </c>
      <c r="Q191" s="128">
        <v>8009319.2600024268</v>
      </c>
      <c r="R191" s="128">
        <v>7919553.5317722969</v>
      </c>
      <c r="S191" s="128">
        <v>7835185.7551648878</v>
      </c>
      <c r="T191" s="128">
        <v>7758537.0970933316</v>
      </c>
      <c r="U191" s="128">
        <v>7690965.215688129</v>
      </c>
      <c r="V191" s="128">
        <v>7630032.9305788698</v>
      </c>
      <c r="W191" s="128">
        <v>7573631.2289366592</v>
      </c>
      <c r="X191" s="128">
        <v>7530489.3591200188</v>
      </c>
      <c r="Y191" s="128">
        <v>7506628.3425659146</v>
      </c>
      <c r="Z191" s="128">
        <v>7494865.5686679613</v>
      </c>
      <c r="AA191" s="128">
        <v>7493512.4558283817</v>
      </c>
      <c r="AB191" s="128">
        <v>7496376.8861738127</v>
      </c>
      <c r="AC191" s="128">
        <v>7504334.9849273441</v>
      </c>
      <c r="AD191" s="128">
        <v>7509693.040795669</v>
      </c>
      <c r="AE191" s="128">
        <v>7506671.578986384</v>
      </c>
      <c r="AF191" s="129">
        <v>7500995.288044964</v>
      </c>
    </row>
    <row r="192" spans="1:32" x14ac:dyDescent="0.25">
      <c r="A192" s="124" t="s">
        <v>275</v>
      </c>
      <c r="B192" s="128">
        <v>42921796.855698869</v>
      </c>
      <c r="C192" s="128">
        <v>42751812.743100755</v>
      </c>
      <c r="D192" s="128">
        <v>42510802.749614276</v>
      </c>
      <c r="E192" s="128">
        <v>42308419.624894619</v>
      </c>
      <c r="F192" s="128">
        <v>42047266.762899354</v>
      </c>
      <c r="G192" s="128">
        <v>41774299.482289761</v>
      </c>
      <c r="H192" s="128">
        <v>41507726.125906795</v>
      </c>
      <c r="I192" s="128">
        <v>41230601.284027077</v>
      </c>
      <c r="J192" s="128">
        <v>41032411.919220261</v>
      </c>
      <c r="K192" s="128">
        <v>40793597.924358927</v>
      </c>
      <c r="L192" s="128">
        <v>40549195.465012826</v>
      </c>
      <c r="M192" s="128">
        <v>40302329.473887846</v>
      </c>
      <c r="N192" s="128">
        <v>40137033.377591409</v>
      </c>
      <c r="O192" s="128">
        <v>40018509.850843377</v>
      </c>
      <c r="P192" s="128">
        <v>39912575.081447251</v>
      </c>
      <c r="Q192" s="128">
        <v>39855656.946029887</v>
      </c>
      <c r="R192" s="128">
        <v>39853006.912239552</v>
      </c>
      <c r="S192" s="128">
        <v>39912417.392279036</v>
      </c>
      <c r="T192" s="128">
        <v>39981081.941724256</v>
      </c>
      <c r="U192" s="128">
        <v>40037066.120306462</v>
      </c>
      <c r="V192" s="128">
        <v>40047188.618747182</v>
      </c>
      <c r="W192" s="128">
        <v>40012628.675807022</v>
      </c>
      <c r="X192" s="128">
        <v>40095447.160947017</v>
      </c>
      <c r="Y192" s="128">
        <v>40286451.335335962</v>
      </c>
      <c r="Z192" s="128">
        <v>40484018.55442404</v>
      </c>
      <c r="AA192" s="128">
        <v>40685872.211721912</v>
      </c>
      <c r="AB192" s="128">
        <v>40871387.872930869</v>
      </c>
      <c r="AC192" s="128">
        <v>41070936.888675652</v>
      </c>
      <c r="AD192" s="128">
        <v>41271808.747947171</v>
      </c>
      <c r="AE192" s="128">
        <v>41465483.154349111</v>
      </c>
      <c r="AF192" s="129">
        <v>41650305.907665871</v>
      </c>
    </row>
    <row r="193" spans="1:32" x14ac:dyDescent="0.25">
      <c r="A193" s="124" t="s">
        <v>276</v>
      </c>
      <c r="B193" s="128">
        <v>11901.246236659483</v>
      </c>
      <c r="C193" s="128">
        <v>11801.571533029764</v>
      </c>
      <c r="D193" s="128">
        <v>11715.673131627967</v>
      </c>
      <c r="E193" s="128">
        <v>11650.036010963726</v>
      </c>
      <c r="F193" s="128">
        <v>11596.176388087553</v>
      </c>
      <c r="G193" s="128">
        <v>11605.690476801514</v>
      </c>
      <c r="H193" s="128">
        <v>11667.793128305892</v>
      </c>
      <c r="I193" s="128">
        <v>11704.579197093344</v>
      </c>
      <c r="J193" s="128">
        <v>11707.015567960052</v>
      </c>
      <c r="K193" s="128">
        <v>11683.706209068418</v>
      </c>
      <c r="L193" s="128">
        <v>11604.389278960844</v>
      </c>
      <c r="M193" s="128">
        <v>11426.861257731958</v>
      </c>
      <c r="N193" s="128">
        <v>11244.565849642689</v>
      </c>
      <c r="O193" s="128">
        <v>11052.431832922326</v>
      </c>
      <c r="P193" s="128">
        <v>10853.277561184861</v>
      </c>
      <c r="Q193" s="128">
        <v>10652.257721428892</v>
      </c>
      <c r="R193" s="128">
        <v>10460.597649545791</v>
      </c>
      <c r="S193" s="128">
        <v>10284.223657653569</v>
      </c>
      <c r="T193" s="128">
        <v>10115.912738525043</v>
      </c>
      <c r="U193" s="128">
        <v>9950.0980382863781</v>
      </c>
      <c r="V193" s="128">
        <v>9821.876724370135</v>
      </c>
      <c r="W193" s="128">
        <v>9732.3541990036592</v>
      </c>
      <c r="X193" s="128">
        <v>9611.8912512296392</v>
      </c>
      <c r="Y193" s="128">
        <v>9484.1720479665892</v>
      </c>
      <c r="Z193" s="128">
        <v>9383.0346079816554</v>
      </c>
      <c r="AA193" s="128">
        <v>9311.4350615321109</v>
      </c>
      <c r="AB193" s="128">
        <v>9262.537595874428</v>
      </c>
      <c r="AC193" s="128">
        <v>9210.4817314769371</v>
      </c>
      <c r="AD193" s="128">
        <v>9161.2800039754202</v>
      </c>
      <c r="AE193" s="128">
        <v>9115.3792448226104</v>
      </c>
      <c r="AF193" s="129">
        <v>9070.9928642295617</v>
      </c>
    </row>
    <row r="194" spans="1:32" x14ac:dyDescent="0.25">
      <c r="A194" s="124" t="s">
        <v>277</v>
      </c>
      <c r="B194" s="128">
        <v>448737.45422919415</v>
      </c>
      <c r="C194" s="128">
        <v>449635.14578827779</v>
      </c>
      <c r="D194" s="128">
        <v>449402.35465389967</v>
      </c>
      <c r="E194" s="128">
        <v>448598.97352096642</v>
      </c>
      <c r="F194" s="128">
        <v>447767.03144322225</v>
      </c>
      <c r="G194" s="128">
        <v>446019.07792468159</v>
      </c>
      <c r="H194" s="128">
        <v>443835.13449325232</v>
      </c>
      <c r="I194" s="128">
        <v>441977.11635209061</v>
      </c>
      <c r="J194" s="128">
        <v>440293.82405305491</v>
      </c>
      <c r="K194" s="128">
        <v>438923.10327928507</v>
      </c>
      <c r="L194" s="128">
        <v>437943.9986919777</v>
      </c>
      <c r="M194" s="128">
        <v>437219.18488507182</v>
      </c>
      <c r="N194" s="128">
        <v>436418.16474151955</v>
      </c>
      <c r="O194" s="128">
        <v>435582.12840473227</v>
      </c>
      <c r="P194" s="128">
        <v>434781.76861672744</v>
      </c>
      <c r="Q194" s="128">
        <v>434157.37688227586</v>
      </c>
      <c r="R194" s="128">
        <v>433809.84803173615</v>
      </c>
      <c r="S194" s="128">
        <v>433885.1723599133</v>
      </c>
      <c r="T194" s="128">
        <v>434232.87760752742</v>
      </c>
      <c r="U194" s="128">
        <v>434654.66306621436</v>
      </c>
      <c r="V194" s="128">
        <v>435501.15497229341</v>
      </c>
      <c r="W194" s="128">
        <v>436523.36178679357</v>
      </c>
      <c r="X194" s="128">
        <v>437208.266447809</v>
      </c>
      <c r="Y194" s="128">
        <v>437611.98342071252</v>
      </c>
      <c r="Z194" s="128">
        <v>437480.5370336895</v>
      </c>
      <c r="AA194" s="128">
        <v>436699.04195540119</v>
      </c>
      <c r="AB194" s="128">
        <v>435595.21551782213</v>
      </c>
      <c r="AC194" s="128">
        <v>434516.33881184779</v>
      </c>
      <c r="AD194" s="128">
        <v>433684.8106519875</v>
      </c>
      <c r="AE194" s="128">
        <v>433182.30154399958</v>
      </c>
      <c r="AF194" s="129">
        <v>433265.16246240033</v>
      </c>
    </row>
    <row r="195" spans="1:32" x14ac:dyDescent="0.25">
      <c r="A195" s="124" t="s">
        <v>74</v>
      </c>
      <c r="B195" s="128">
        <v>4178705.8129797736</v>
      </c>
      <c r="C195" s="128">
        <v>4277181.096009735</v>
      </c>
      <c r="D195" s="128">
        <v>4377120.4229047103</v>
      </c>
      <c r="E195" s="128">
        <v>4474298.962954307</v>
      </c>
      <c r="F195" s="128">
        <v>4571367.8267394342</v>
      </c>
      <c r="G195" s="128">
        <v>4673677.7058081869</v>
      </c>
      <c r="H195" s="128">
        <v>4782173.0408855248</v>
      </c>
      <c r="I195" s="128">
        <v>4893649.786195768</v>
      </c>
      <c r="J195" s="128">
        <v>5005066.810370788</v>
      </c>
      <c r="K195" s="128">
        <v>5116435.5208548829</v>
      </c>
      <c r="L195" s="128">
        <v>5227903.1917261118</v>
      </c>
      <c r="M195" s="128">
        <v>5338656.2408666182</v>
      </c>
      <c r="N195" s="128">
        <v>5445955.6856470807</v>
      </c>
      <c r="O195" s="128">
        <v>5547636.0369005194</v>
      </c>
      <c r="P195" s="128">
        <v>5643265.6886989065</v>
      </c>
      <c r="Q195" s="128">
        <v>5733914.0247267475</v>
      </c>
      <c r="R195" s="128">
        <v>5822053.2769389991</v>
      </c>
      <c r="S195" s="128">
        <v>5908687.8323067715</v>
      </c>
      <c r="T195" s="128">
        <v>5987750.7516861362</v>
      </c>
      <c r="U195" s="128">
        <v>6053453.5787519608</v>
      </c>
      <c r="V195" s="128">
        <v>6106515.7404956911</v>
      </c>
      <c r="W195" s="128">
        <v>6149914.6048428137</v>
      </c>
      <c r="X195" s="128">
        <v>6186983.6966487784</v>
      </c>
      <c r="Y195" s="128">
        <v>6221333.3463962311</v>
      </c>
      <c r="Z195" s="128">
        <v>6252074.9950846424</v>
      </c>
      <c r="AA195" s="128">
        <v>6276539.2589295032</v>
      </c>
      <c r="AB195" s="128">
        <v>6291090.6960052969</v>
      </c>
      <c r="AC195" s="128">
        <v>6298313.4299936378</v>
      </c>
      <c r="AD195" s="128">
        <v>6304677.2660853444</v>
      </c>
      <c r="AE195" s="128">
        <v>6313485.2002461618</v>
      </c>
      <c r="AF195" s="129">
        <v>6323772.739755312</v>
      </c>
    </row>
    <row r="196" spans="1:32" x14ac:dyDescent="0.25">
      <c r="A196" s="124" t="s">
        <v>278</v>
      </c>
      <c r="B196" s="128">
        <v>28973.182396745291</v>
      </c>
      <c r="C196" s="128">
        <v>30029.532822607471</v>
      </c>
      <c r="D196" s="128">
        <v>31138.831109578758</v>
      </c>
      <c r="E196" s="128">
        <v>32289.242934583788</v>
      </c>
      <c r="F196" s="128">
        <v>33459.617589518668</v>
      </c>
      <c r="G196" s="128">
        <v>34638.631106140434</v>
      </c>
      <c r="H196" s="128">
        <v>35700.853834226087</v>
      </c>
      <c r="I196" s="128">
        <v>36842.444240524906</v>
      </c>
      <c r="J196" s="128">
        <v>38101.139936148393</v>
      </c>
      <c r="K196" s="128">
        <v>39436.676161035408</v>
      </c>
      <c r="L196" s="128">
        <v>40697.172618122524</v>
      </c>
      <c r="M196" s="128">
        <v>41452.14543509973</v>
      </c>
      <c r="N196" s="128">
        <v>42186.219427312964</v>
      </c>
      <c r="O196" s="128">
        <v>43000.162784615968</v>
      </c>
      <c r="P196" s="128">
        <v>43912.493881898627</v>
      </c>
      <c r="Q196" s="128">
        <v>44894.086759565784</v>
      </c>
      <c r="R196" s="128">
        <v>45964.255840687314</v>
      </c>
      <c r="S196" s="128">
        <v>47029.848700547547</v>
      </c>
      <c r="T196" s="128">
        <v>48057.048062743583</v>
      </c>
      <c r="U196" s="128">
        <v>49051.393692137608</v>
      </c>
      <c r="V196" s="128">
        <v>50024.810962896685</v>
      </c>
      <c r="W196" s="128">
        <v>50986.819216777694</v>
      </c>
      <c r="X196" s="128">
        <v>51951.078677842939</v>
      </c>
      <c r="Y196" s="128">
        <v>52968.750177616166</v>
      </c>
      <c r="Z196" s="128">
        <v>54095.261886408873</v>
      </c>
      <c r="AA196" s="128">
        <v>55348.614010854522</v>
      </c>
      <c r="AB196" s="128">
        <v>56691.55967078793</v>
      </c>
      <c r="AC196" s="128">
        <v>58125.652700135048</v>
      </c>
      <c r="AD196" s="128">
        <v>59596.128907101425</v>
      </c>
      <c r="AE196" s="128">
        <v>61007.881066768277</v>
      </c>
      <c r="AF196" s="129">
        <v>62331.877993750109</v>
      </c>
    </row>
    <row r="197" spans="1:32" x14ac:dyDescent="0.25">
      <c r="A197" s="124" t="s">
        <v>590</v>
      </c>
      <c r="B197" s="128">
        <v>3447713.8977538841</v>
      </c>
      <c r="C197" s="128">
        <v>3517652.9763937718</v>
      </c>
      <c r="D197" s="128">
        <v>3585331.217649336</v>
      </c>
      <c r="E197" s="128">
        <v>3651048.5331069748</v>
      </c>
      <c r="F197" s="128">
        <v>3714773.489763754</v>
      </c>
      <c r="G197" s="128">
        <v>3776306.3681808757</v>
      </c>
      <c r="H197" s="128">
        <v>3834325.6355702435</v>
      </c>
      <c r="I197" s="128">
        <v>3888729.1472338946</v>
      </c>
      <c r="J197" s="128">
        <v>3939485.8453173791</v>
      </c>
      <c r="K197" s="128">
        <v>3987312.7058127508</v>
      </c>
      <c r="L197" s="128">
        <v>4033338.3129465277</v>
      </c>
      <c r="M197" s="128">
        <v>4077938.6808605073</v>
      </c>
      <c r="N197" s="128">
        <v>4121320.1018528542</v>
      </c>
      <c r="O197" s="128">
        <v>4163335.6729731164</v>
      </c>
      <c r="P197" s="128">
        <v>4203332.5595964491</v>
      </c>
      <c r="Q197" s="128">
        <v>4239872.1557438094</v>
      </c>
      <c r="R197" s="128">
        <v>4264512.2679622807</v>
      </c>
      <c r="S197" s="128">
        <v>4201367.4423585543</v>
      </c>
      <c r="T197" s="128">
        <v>4012682.2248444255</v>
      </c>
      <c r="U197" s="128">
        <v>3799923.4878722201</v>
      </c>
      <c r="V197" s="128">
        <v>3673100.727562089</v>
      </c>
      <c r="W197" s="128">
        <v>3595087.648758817</v>
      </c>
      <c r="X197" s="128">
        <v>3612115.24994255</v>
      </c>
      <c r="Y197" s="128">
        <v>3725134.2109651561</v>
      </c>
      <c r="Z197" s="128">
        <v>3840058.5267189532</v>
      </c>
      <c r="AA197" s="128">
        <v>3947340.1703231852</v>
      </c>
      <c r="AB197" s="128">
        <v>4039499.4180835518</v>
      </c>
      <c r="AC197" s="128">
        <v>4118813.8225452397</v>
      </c>
      <c r="AD197" s="128">
        <v>4189018.6970573752</v>
      </c>
      <c r="AE197" s="128">
        <v>4253848.8316515693</v>
      </c>
      <c r="AF197" s="129">
        <v>4314627.332249118</v>
      </c>
    </row>
    <row r="198" spans="1:32" x14ac:dyDescent="0.25">
      <c r="A198" s="124" t="s">
        <v>75</v>
      </c>
      <c r="B198" s="128">
        <v>14101213.14800071</v>
      </c>
      <c r="C198" s="128">
        <v>14422620.263410715</v>
      </c>
      <c r="D198" s="128">
        <v>14723290.193728143</v>
      </c>
      <c r="E198" s="128">
        <v>14999486.010283427</v>
      </c>
      <c r="F198" s="128">
        <v>15260348.531661918</v>
      </c>
      <c r="G198" s="128">
        <v>15510639.168852404</v>
      </c>
      <c r="H198" s="128">
        <v>15765703.850931793</v>
      </c>
      <c r="I198" s="128">
        <v>15995428.733702946</v>
      </c>
      <c r="J198" s="128">
        <v>16205422.624034656</v>
      </c>
      <c r="K198" s="128">
        <v>16431091.630212337</v>
      </c>
      <c r="L198" s="128">
        <v>16676702.77980032</v>
      </c>
      <c r="M198" s="128">
        <v>16953391.494080812</v>
      </c>
      <c r="N198" s="128">
        <v>17240074.739343204</v>
      </c>
      <c r="O198" s="128">
        <v>17502818.945549428</v>
      </c>
      <c r="P198" s="128">
        <v>17752853.284691714</v>
      </c>
      <c r="Q198" s="128">
        <v>17980329.759325739</v>
      </c>
      <c r="R198" s="128">
        <v>18201646.461224936</v>
      </c>
      <c r="S198" s="128">
        <v>18413221.285014972</v>
      </c>
      <c r="T198" s="128">
        <v>18595949.301009517</v>
      </c>
      <c r="U198" s="128">
        <v>18739130.468350574</v>
      </c>
      <c r="V198" s="128">
        <v>18842731.057959121</v>
      </c>
      <c r="W198" s="128">
        <v>18896345.182443626</v>
      </c>
      <c r="X198" s="128">
        <v>18882300.257367533</v>
      </c>
      <c r="Y198" s="128">
        <v>18811454.748337708</v>
      </c>
      <c r="Z198" s="128">
        <v>18712368.929355234</v>
      </c>
      <c r="AA198" s="128">
        <v>18595843.803259745</v>
      </c>
      <c r="AB198" s="128">
        <v>18464092.869849507</v>
      </c>
      <c r="AC198" s="128">
        <v>18319294.317372765</v>
      </c>
      <c r="AD198" s="128">
        <v>18161821.068446096</v>
      </c>
      <c r="AE198" s="128">
        <v>17987438.697087273</v>
      </c>
      <c r="AF198" s="129">
        <v>17796098.620028783</v>
      </c>
    </row>
    <row r="199" spans="1:32" x14ac:dyDescent="0.25">
      <c r="A199" s="124" t="s">
        <v>76</v>
      </c>
      <c r="B199" s="128">
        <v>48070.932360932165</v>
      </c>
      <c r="C199" s="128">
        <v>50426.117610182999</v>
      </c>
      <c r="D199" s="128">
        <v>52778.711944346651</v>
      </c>
      <c r="E199" s="128">
        <v>55127.8565731337</v>
      </c>
      <c r="F199" s="128">
        <v>57448.81307209954</v>
      </c>
      <c r="G199" s="128">
        <v>59710.565751204587</v>
      </c>
      <c r="H199" s="128">
        <v>61650.380170193777</v>
      </c>
      <c r="I199" s="128">
        <v>63477.389214072318</v>
      </c>
      <c r="J199" s="128">
        <v>65181.161849302225</v>
      </c>
      <c r="K199" s="128">
        <v>66923.348536976235</v>
      </c>
      <c r="L199" s="128">
        <v>68801.820025971712</v>
      </c>
      <c r="M199" s="128">
        <v>70745.052593599874</v>
      </c>
      <c r="N199" s="128">
        <v>72870.542160049707</v>
      </c>
      <c r="O199" s="128">
        <v>75172.194865620186</v>
      </c>
      <c r="P199" s="128">
        <v>77317.723986082608</v>
      </c>
      <c r="Q199" s="128">
        <v>79222.325364697157</v>
      </c>
      <c r="R199" s="128">
        <v>81031.676983694328</v>
      </c>
      <c r="S199" s="128">
        <v>82802.992199737491</v>
      </c>
      <c r="T199" s="128">
        <v>84548.57008634675</v>
      </c>
      <c r="U199" s="128">
        <v>86289.679566087725</v>
      </c>
      <c r="V199" s="128">
        <v>87775.357409886943</v>
      </c>
      <c r="W199" s="128">
        <v>88815.217459243926</v>
      </c>
      <c r="X199" s="128">
        <v>90069.3273644492</v>
      </c>
      <c r="Y199" s="128">
        <v>91575.499430445052</v>
      </c>
      <c r="Z199" s="128">
        <v>93057.884295856158</v>
      </c>
      <c r="AA199" s="128">
        <v>94448.823861839788</v>
      </c>
      <c r="AB199" s="128">
        <v>95591.381894659775</v>
      </c>
      <c r="AC199" s="128">
        <v>96672.142201509079</v>
      </c>
      <c r="AD199" s="128">
        <v>97611.032561745407</v>
      </c>
      <c r="AE199" s="128">
        <v>98371.330860162285</v>
      </c>
      <c r="AF199" s="129">
        <v>99012.819520290956</v>
      </c>
    </row>
    <row r="200" spans="1:32" x14ac:dyDescent="0.25">
      <c r="A200" s="124" t="s">
        <v>77</v>
      </c>
      <c r="B200" s="128">
        <v>2501005.7728513014</v>
      </c>
      <c r="C200" s="128">
        <v>2569331.1511099874</v>
      </c>
      <c r="D200" s="128">
        <v>2640857.7895509666</v>
      </c>
      <c r="E200" s="128">
        <v>2715444.0749428952</v>
      </c>
      <c r="F200" s="128">
        <v>2807232.7101286449</v>
      </c>
      <c r="G200" s="128">
        <v>2910581.3592860284</v>
      </c>
      <c r="H200" s="128">
        <v>3029438.2435483909</v>
      </c>
      <c r="I200" s="128">
        <v>3156010.1539039705</v>
      </c>
      <c r="J200" s="128">
        <v>3287711.9588607247</v>
      </c>
      <c r="K200" s="128">
        <v>3425876.4087258605</v>
      </c>
      <c r="L200" s="128">
        <v>3570621.0566478274</v>
      </c>
      <c r="M200" s="128">
        <v>3717630.7092261678</v>
      </c>
      <c r="N200" s="128">
        <v>3867554.9402929079</v>
      </c>
      <c r="O200" s="128">
        <v>4021190.5271659512</v>
      </c>
      <c r="P200" s="128">
        <v>4172015.8660446052</v>
      </c>
      <c r="Q200" s="128">
        <v>4318716.0046032602</v>
      </c>
      <c r="R200" s="128">
        <v>4460905.4877518145</v>
      </c>
      <c r="S200" s="128">
        <v>4599421.8212163718</v>
      </c>
      <c r="T200" s="128">
        <v>4736715.1077480391</v>
      </c>
      <c r="U200" s="128">
        <v>4874077.0773847932</v>
      </c>
      <c r="V200" s="128">
        <v>5005554.558138459</v>
      </c>
      <c r="W200" s="128">
        <v>5129474.2198757324</v>
      </c>
      <c r="X200" s="128">
        <v>5259563.9545565676</v>
      </c>
      <c r="Y200" s="128">
        <v>5397093.3804602632</v>
      </c>
      <c r="Z200" s="128">
        <v>5533367.6256313436</v>
      </c>
      <c r="AA200" s="128">
        <v>5667478.7663047779</v>
      </c>
      <c r="AB200" s="128">
        <v>5799269.574997942</v>
      </c>
      <c r="AC200" s="128">
        <v>5928559.4344625464</v>
      </c>
      <c r="AD200" s="128">
        <v>6055505.1915914323</v>
      </c>
      <c r="AE200" s="128">
        <v>6179935.7874811217</v>
      </c>
      <c r="AF200" s="129">
        <v>6300927.5550582316</v>
      </c>
    </row>
    <row r="201" spans="1:32" x14ac:dyDescent="0.25">
      <c r="A201" s="124" t="s">
        <v>78</v>
      </c>
      <c r="B201" s="128">
        <v>1452778.3205920227</v>
      </c>
      <c r="C201" s="128">
        <v>1496649.4001192236</v>
      </c>
      <c r="D201" s="128">
        <v>1541860.0440031306</v>
      </c>
      <c r="E201" s="128">
        <v>1587633.4664898121</v>
      </c>
      <c r="F201" s="128">
        <v>1635075.2968274562</v>
      </c>
      <c r="G201" s="128">
        <v>1684715.5174747035</v>
      </c>
      <c r="H201" s="128">
        <v>1739282.6956675875</v>
      </c>
      <c r="I201" s="128">
        <v>1796564.5133384431</v>
      </c>
      <c r="J201" s="128">
        <v>1856456.628452068</v>
      </c>
      <c r="K201" s="128">
        <v>1917656.3027909659</v>
      </c>
      <c r="L201" s="128">
        <v>1979047.9171234271</v>
      </c>
      <c r="M201" s="128">
        <v>2041521.8299329437</v>
      </c>
      <c r="N201" s="128">
        <v>2104240.0810445584</v>
      </c>
      <c r="O201" s="128">
        <v>2168627.879765566</v>
      </c>
      <c r="P201" s="128">
        <v>2235208.9999116315</v>
      </c>
      <c r="Q201" s="128">
        <v>2303027.7789353449</v>
      </c>
      <c r="R201" s="128">
        <v>2372901.8569847308</v>
      </c>
      <c r="S201" s="128">
        <v>2443924.6422823523</v>
      </c>
      <c r="T201" s="128">
        <v>2516466.2573723877</v>
      </c>
      <c r="U201" s="128">
        <v>2591365.1184763904</v>
      </c>
      <c r="V201" s="128">
        <v>2668762.9754322576</v>
      </c>
      <c r="W201" s="128">
        <v>2748021.9219913501</v>
      </c>
      <c r="X201" s="128">
        <v>2827981.0949717136</v>
      </c>
      <c r="Y201" s="128">
        <v>2908793.7194728693</v>
      </c>
      <c r="Z201" s="128">
        <v>2991145.0367849739</v>
      </c>
      <c r="AA201" s="128">
        <v>3074080.6058805194</v>
      </c>
      <c r="AB201" s="128">
        <v>3157460.5328822085</v>
      </c>
      <c r="AC201" s="128">
        <v>3240674.2187163574</v>
      </c>
      <c r="AD201" s="128">
        <v>3323668.847720467</v>
      </c>
      <c r="AE201" s="128">
        <v>3406812.6573335188</v>
      </c>
      <c r="AF201" s="129">
        <v>3490641.8120663911</v>
      </c>
    </row>
    <row r="202" spans="1:32" x14ac:dyDescent="0.25">
      <c r="A202" s="124" t="s">
        <v>79</v>
      </c>
      <c r="B202" s="128">
        <v>1955542.1992736154</v>
      </c>
      <c r="C202" s="128">
        <v>1973491.0327189192</v>
      </c>
      <c r="D202" s="128">
        <v>1983701.0704628343</v>
      </c>
      <c r="E202" s="128">
        <v>1990319.4455030207</v>
      </c>
      <c r="F202" s="128">
        <v>1989244.3668805182</v>
      </c>
      <c r="G202" s="128">
        <v>1983651.1354016147</v>
      </c>
      <c r="H202" s="128">
        <v>1996430.5295112233</v>
      </c>
      <c r="I202" s="128">
        <v>2013426.2449700357</v>
      </c>
      <c r="J202" s="128">
        <v>2024160.9907406545</v>
      </c>
      <c r="K202" s="128">
        <v>2038767.6975900067</v>
      </c>
      <c r="L202" s="128">
        <v>2056288.8615379329</v>
      </c>
      <c r="M202" s="128">
        <v>2086231.6779361486</v>
      </c>
      <c r="N202" s="128">
        <v>2128480.3307312303</v>
      </c>
      <c r="O202" s="128">
        <v>2182705.1404687329</v>
      </c>
      <c r="P202" s="128">
        <v>2240418.5544276554</v>
      </c>
      <c r="Q202" s="128">
        <v>2299087.0543227098</v>
      </c>
      <c r="R202" s="128">
        <v>2359797.4423372718</v>
      </c>
      <c r="S202" s="128">
        <v>2416875.3706887541</v>
      </c>
      <c r="T202" s="128">
        <v>2468793.5217154906</v>
      </c>
      <c r="U202" s="128">
        <v>2514243.1220510583</v>
      </c>
      <c r="V202" s="128">
        <v>2556457.8675799174</v>
      </c>
      <c r="W202" s="128">
        <v>2603813.2584263599</v>
      </c>
      <c r="X202" s="128">
        <v>2649357.6217802996</v>
      </c>
      <c r="Y202" s="128">
        <v>2695050.5072264066</v>
      </c>
      <c r="Z202" s="128">
        <v>2741103.4691601242</v>
      </c>
      <c r="AA202" s="128">
        <v>2786680.9672960811</v>
      </c>
      <c r="AB202" s="128">
        <v>2833047.9931073566</v>
      </c>
      <c r="AC202" s="128">
        <v>2877540.0342474384</v>
      </c>
      <c r="AD202" s="128">
        <v>2921546.1057569874</v>
      </c>
      <c r="AE202" s="128">
        <v>2967165.8745695171</v>
      </c>
      <c r="AF202" s="129">
        <v>3013532.3313642987</v>
      </c>
    </row>
    <row r="203" spans="1:32" x14ac:dyDescent="0.25">
      <c r="A203" s="124" t="s">
        <v>267</v>
      </c>
      <c r="B203" s="128">
        <v>1435664.1293827682</v>
      </c>
      <c r="C203" s="128">
        <v>1458182.5038797383</v>
      </c>
      <c r="D203" s="128">
        <v>1478026.4224094627</v>
      </c>
      <c r="E203" s="128">
        <v>1494902.949303777</v>
      </c>
      <c r="F203" s="128">
        <v>1509214.8824638468</v>
      </c>
      <c r="G203" s="128">
        <v>1520583.9019461584</v>
      </c>
      <c r="H203" s="128">
        <v>1532014.4209071575</v>
      </c>
      <c r="I203" s="128">
        <v>1542983.6911006493</v>
      </c>
      <c r="J203" s="128">
        <v>1553248.057595907</v>
      </c>
      <c r="K203" s="128">
        <v>1562086.5743976731</v>
      </c>
      <c r="L203" s="128">
        <v>1568907.8227646181</v>
      </c>
      <c r="M203" s="128">
        <v>1578789.9639882869</v>
      </c>
      <c r="N203" s="128">
        <v>1585820.3164651124</v>
      </c>
      <c r="O203" s="128">
        <v>1585799.1085222049</v>
      </c>
      <c r="P203" s="128">
        <v>1584175.4426954391</v>
      </c>
      <c r="Q203" s="128">
        <v>1581194.6414163425</v>
      </c>
      <c r="R203" s="128">
        <v>1577209.0774972397</v>
      </c>
      <c r="S203" s="128">
        <v>1573832.3501398538</v>
      </c>
      <c r="T203" s="128">
        <v>1571671.7220121489</v>
      </c>
      <c r="U203" s="128">
        <v>1571146.294757731</v>
      </c>
      <c r="V203" s="128">
        <v>1572806.0231305535</v>
      </c>
      <c r="W203" s="128">
        <v>1575762.8914399834</v>
      </c>
      <c r="X203" s="128">
        <v>1579357.6963881731</v>
      </c>
      <c r="Y203" s="128">
        <v>1582645.4415413588</v>
      </c>
      <c r="Z203" s="128">
        <v>1583599.1787069133</v>
      </c>
      <c r="AA203" s="128">
        <v>1581687.9310606364</v>
      </c>
      <c r="AB203" s="128">
        <v>1577713.9788069897</v>
      </c>
      <c r="AC203" s="128">
        <v>1571938.9790694837</v>
      </c>
      <c r="AD203" s="128">
        <v>1565043.2151367124</v>
      </c>
      <c r="AE203" s="128">
        <v>1557889.7891024316</v>
      </c>
      <c r="AF203" s="129">
        <v>1550634.253346239</v>
      </c>
    </row>
    <row r="204" spans="1:32" x14ac:dyDescent="0.25">
      <c r="A204" s="124" t="s">
        <v>268</v>
      </c>
      <c r="B204" s="128">
        <v>11400877.167865643</v>
      </c>
      <c r="C204" s="128">
        <v>11600541.687831908</v>
      </c>
      <c r="D204" s="128">
        <v>11810543.976281943</v>
      </c>
      <c r="E204" s="128">
        <v>11993972.384820616</v>
      </c>
      <c r="F204" s="128">
        <v>12166594.250845734</v>
      </c>
      <c r="G204" s="128">
        <v>12365826.085330438</v>
      </c>
      <c r="H204" s="128">
        <v>12551516.702135114</v>
      </c>
      <c r="I204" s="128">
        <v>12730250.782549137</v>
      </c>
      <c r="J204" s="128">
        <v>12912506.676509013</v>
      </c>
      <c r="K204" s="128">
        <v>13110837.854693431</v>
      </c>
      <c r="L204" s="128">
        <v>13314707.386050828</v>
      </c>
      <c r="M204" s="128">
        <v>13510157.607467985</v>
      </c>
      <c r="N204" s="128">
        <v>13724396.449852347</v>
      </c>
      <c r="O204" s="128">
        <v>13959241.409503611</v>
      </c>
      <c r="P204" s="128">
        <v>14221263.821236962</v>
      </c>
      <c r="Q204" s="128">
        <v>14457722.39770015</v>
      </c>
      <c r="R204" s="128">
        <v>14644854.499949753</v>
      </c>
      <c r="S204" s="128">
        <v>14739093.704375368</v>
      </c>
      <c r="T204" s="128">
        <v>14688825.686472153</v>
      </c>
      <c r="U204" s="128">
        <v>14629320.110961648</v>
      </c>
      <c r="V204" s="128">
        <v>14621478.167951539</v>
      </c>
      <c r="W204" s="128">
        <v>14634739.51635723</v>
      </c>
      <c r="X204" s="128">
        <v>14612348.317709485</v>
      </c>
      <c r="Y204" s="128">
        <v>14548219.895409515</v>
      </c>
      <c r="Z204" s="128">
        <v>14475206.059039926</v>
      </c>
      <c r="AA204" s="128">
        <v>14398301.392874243</v>
      </c>
      <c r="AB204" s="128">
        <v>14311916.347161645</v>
      </c>
      <c r="AC204" s="128">
        <v>14227427.352554103</v>
      </c>
      <c r="AD204" s="128">
        <v>14150081.537717661</v>
      </c>
      <c r="AE204" s="128">
        <v>14078103.348175677</v>
      </c>
      <c r="AF204" s="129">
        <v>14015305.538305346</v>
      </c>
    </row>
    <row r="205" spans="1:32" x14ac:dyDescent="0.25">
      <c r="A205" s="124" t="s">
        <v>269</v>
      </c>
      <c r="B205" s="128">
        <v>772114.18416745146</v>
      </c>
      <c r="C205" s="128">
        <v>789583.78265430918</v>
      </c>
      <c r="D205" s="128">
        <v>806489.13525630417</v>
      </c>
      <c r="E205" s="128">
        <v>821745.40619062609</v>
      </c>
      <c r="F205" s="128">
        <v>836700.05737740803</v>
      </c>
      <c r="G205" s="128">
        <v>852237.60601925349</v>
      </c>
      <c r="H205" s="128">
        <v>867161.32413982367</v>
      </c>
      <c r="I205" s="128">
        <v>881276.56607873272</v>
      </c>
      <c r="J205" s="128">
        <v>895293.15018138872</v>
      </c>
      <c r="K205" s="128">
        <v>909488.16375171964</v>
      </c>
      <c r="L205" s="128">
        <v>924089.58945199405</v>
      </c>
      <c r="M205" s="128">
        <v>939279.70060958643</v>
      </c>
      <c r="N205" s="128">
        <v>955415.7535659523</v>
      </c>
      <c r="O205" s="128">
        <v>971883.57174186315</v>
      </c>
      <c r="P205" s="128">
        <v>987271.99657798419</v>
      </c>
      <c r="Q205" s="128">
        <v>1000725.3196625456</v>
      </c>
      <c r="R205" s="128">
        <v>1011944.4081199716</v>
      </c>
      <c r="S205" s="128">
        <v>1021110.6891085079</v>
      </c>
      <c r="T205" s="128">
        <v>1029006.6511694769</v>
      </c>
      <c r="U205" s="128">
        <v>1036555.0394819839</v>
      </c>
      <c r="V205" s="128">
        <v>1044663.719892512</v>
      </c>
      <c r="W205" s="128">
        <v>1053337.6980309829</v>
      </c>
      <c r="X205" s="128">
        <v>1062015.5972822679</v>
      </c>
      <c r="Y205" s="128">
        <v>1070389.192997565</v>
      </c>
      <c r="Z205" s="128">
        <v>1077776.4225347128</v>
      </c>
      <c r="AA205" s="128">
        <v>1083675.7998720766</v>
      </c>
      <c r="AB205" s="128">
        <v>1088302.9325554012</v>
      </c>
      <c r="AC205" s="128">
        <v>1091601.6082736978</v>
      </c>
      <c r="AD205" s="128">
        <v>1094513.3200333605</v>
      </c>
      <c r="AE205" s="128">
        <v>1098125.2518664557</v>
      </c>
      <c r="AF205" s="129">
        <v>1103042.1118267146</v>
      </c>
    </row>
    <row r="206" spans="1:32" x14ac:dyDescent="0.25">
      <c r="A206" s="124" t="s">
        <v>270</v>
      </c>
      <c r="B206" s="128" t="e">
        <v>#N/A</v>
      </c>
      <c r="C206" s="128" t="e">
        <v>#N/A</v>
      </c>
      <c r="D206" s="128" t="e">
        <v>#N/A</v>
      </c>
      <c r="E206" s="128" t="e">
        <v>#N/A</v>
      </c>
      <c r="F206" s="128" t="e">
        <v>#N/A</v>
      </c>
      <c r="G206" s="128" t="e">
        <v>#N/A</v>
      </c>
      <c r="H206" s="128" t="e">
        <v>#N/A</v>
      </c>
      <c r="I206" s="128" t="e">
        <v>#N/A</v>
      </c>
      <c r="J206" s="128" t="e">
        <v>#N/A</v>
      </c>
      <c r="K206" s="128" t="e">
        <v>#N/A</v>
      </c>
      <c r="L206" s="128" t="e">
        <v>#N/A</v>
      </c>
      <c r="M206" s="128" t="e">
        <v>#N/A</v>
      </c>
      <c r="N206" s="128" t="e">
        <v>#N/A</v>
      </c>
      <c r="O206" s="128" t="e">
        <v>#N/A</v>
      </c>
      <c r="P206" s="128" t="e">
        <v>#N/A</v>
      </c>
      <c r="Q206" s="128" t="e">
        <v>#N/A</v>
      </c>
      <c r="R206" s="128" t="e">
        <v>#N/A</v>
      </c>
      <c r="S206" s="128" t="e">
        <v>#N/A</v>
      </c>
      <c r="T206" s="128" t="e">
        <v>#N/A</v>
      </c>
      <c r="U206" s="128" t="e">
        <v>#N/A</v>
      </c>
      <c r="V206" s="128" t="e">
        <v>#N/A</v>
      </c>
      <c r="W206" s="128" t="e">
        <v>#N/A</v>
      </c>
      <c r="X206" s="128" t="e">
        <v>#N/A</v>
      </c>
      <c r="Y206" s="128" t="e">
        <v>#N/A</v>
      </c>
      <c r="Z206" s="128" t="e">
        <v>#N/A</v>
      </c>
      <c r="AA206" s="128" t="e">
        <v>#N/A</v>
      </c>
      <c r="AB206" s="128" t="e">
        <v>#N/A</v>
      </c>
      <c r="AC206" s="128" t="e">
        <v>#N/A</v>
      </c>
      <c r="AD206" s="128" t="e">
        <v>#N/A</v>
      </c>
      <c r="AE206" s="128" t="e">
        <v>#N/A</v>
      </c>
      <c r="AF206" s="129" t="e">
        <v>#N/A</v>
      </c>
    </row>
    <row r="207" spans="1:32" x14ac:dyDescent="0.25">
      <c r="A207" s="124" t="s">
        <v>271</v>
      </c>
      <c r="B207" s="128" t="e">
        <v>#N/A</v>
      </c>
      <c r="C207" s="128" t="e">
        <v>#N/A</v>
      </c>
      <c r="D207" s="128" t="e">
        <v>#N/A</v>
      </c>
      <c r="E207" s="128" t="e">
        <v>#N/A</v>
      </c>
      <c r="F207" s="128" t="e">
        <v>#N/A</v>
      </c>
      <c r="G207" s="128" t="e">
        <v>#N/A</v>
      </c>
      <c r="H207" s="128" t="e">
        <v>#N/A</v>
      </c>
      <c r="I207" s="128" t="e">
        <v>#N/A</v>
      </c>
      <c r="J207" s="128" t="e">
        <v>#N/A</v>
      </c>
      <c r="K207" s="128" t="e">
        <v>#N/A</v>
      </c>
      <c r="L207" s="128" t="e">
        <v>#N/A</v>
      </c>
      <c r="M207" s="128" t="e">
        <v>#N/A</v>
      </c>
      <c r="N207" s="128" t="e">
        <v>#N/A</v>
      </c>
      <c r="O207" s="128" t="e">
        <v>#N/A</v>
      </c>
      <c r="P207" s="128" t="e">
        <v>#N/A</v>
      </c>
      <c r="Q207" s="128" t="e">
        <v>#N/A</v>
      </c>
      <c r="R207" s="128" t="e">
        <v>#N/A</v>
      </c>
      <c r="S207" s="128" t="e">
        <v>#N/A</v>
      </c>
      <c r="T207" s="128" t="e">
        <v>#N/A</v>
      </c>
      <c r="U207" s="128" t="e">
        <v>#N/A</v>
      </c>
      <c r="V207" s="128" t="e">
        <v>#N/A</v>
      </c>
      <c r="W207" s="128" t="e">
        <v>#N/A</v>
      </c>
      <c r="X207" s="128" t="e">
        <v>#N/A</v>
      </c>
      <c r="Y207" s="128" t="e">
        <v>#N/A</v>
      </c>
      <c r="Z207" s="128" t="e">
        <v>#N/A</v>
      </c>
      <c r="AA207" s="128" t="e">
        <v>#N/A</v>
      </c>
      <c r="AB207" s="128" t="e">
        <v>#N/A</v>
      </c>
      <c r="AC207" s="128" t="e">
        <v>#N/A</v>
      </c>
      <c r="AD207" s="128" t="e">
        <v>#N/A</v>
      </c>
      <c r="AE207" s="128" t="e">
        <v>#N/A</v>
      </c>
      <c r="AF207" s="129" t="e">
        <v>#N/A</v>
      </c>
    </row>
    <row r="208" spans="1:32" x14ac:dyDescent="0.25">
      <c r="A208" s="124" t="s">
        <v>73</v>
      </c>
      <c r="B208" s="128">
        <v>3391983.0494750729</v>
      </c>
      <c r="C208" s="128">
        <v>3477657.6505029076</v>
      </c>
      <c r="D208" s="128">
        <v>3571845.6503115976</v>
      </c>
      <c r="E208" s="128">
        <v>3671613.6014371025</v>
      </c>
      <c r="F208" s="128">
        <v>3763901.5628955849</v>
      </c>
      <c r="G208" s="128">
        <v>3857070.256031652</v>
      </c>
      <c r="H208" s="128">
        <v>3957866.8899220782</v>
      </c>
      <c r="I208" s="128">
        <v>4066170.0232215053</v>
      </c>
      <c r="J208" s="128">
        <v>4181468.7250088812</v>
      </c>
      <c r="K208" s="128">
        <v>4302469.8284349805</v>
      </c>
      <c r="L208" s="128">
        <v>4429789.2868894879</v>
      </c>
      <c r="M208" s="128">
        <v>4562854.1449706303</v>
      </c>
      <c r="N208" s="128">
        <v>4694536.0586395087</v>
      </c>
      <c r="O208" s="128">
        <v>4831945.7608828265</v>
      </c>
      <c r="P208" s="128">
        <v>4985480.063095348</v>
      </c>
      <c r="Q208" s="128">
        <v>5159112.4074079627</v>
      </c>
      <c r="R208" s="128">
        <v>5365859.1755054677</v>
      </c>
      <c r="S208" s="128">
        <v>5594763.1667761076</v>
      </c>
      <c r="T208" s="128">
        <v>5818467.2228069045</v>
      </c>
      <c r="U208" s="128">
        <v>6046628.5283286227</v>
      </c>
      <c r="V208" s="128">
        <v>6274348.3767018765</v>
      </c>
      <c r="W208" s="128">
        <v>6495451.6865111487</v>
      </c>
      <c r="X208" s="128">
        <v>6697902.5110852281</v>
      </c>
      <c r="Y208" s="128">
        <v>6880803.4491153425</v>
      </c>
      <c r="Z208" s="128">
        <v>7066477.256329203</v>
      </c>
      <c r="AA208" s="128">
        <v>7258571.5419978434</v>
      </c>
      <c r="AB208" s="128">
        <v>7456683.2325514518</v>
      </c>
      <c r="AC208" s="128">
        <v>7660598.61404608</v>
      </c>
      <c r="AD208" s="128">
        <v>7868337.2885513715</v>
      </c>
      <c r="AE208" s="128">
        <v>8077206.6033992143</v>
      </c>
      <c r="AF208" s="129">
        <v>8287347.201263411</v>
      </c>
    </row>
    <row r="209" spans="1:32" x14ac:dyDescent="0.25">
      <c r="A209" s="124" t="s">
        <v>272</v>
      </c>
      <c r="B209" s="128">
        <v>8236369.3264552997</v>
      </c>
      <c r="C209" s="128">
        <v>8148751.4247206319</v>
      </c>
      <c r="D209" s="128">
        <v>8066662.6843353743</v>
      </c>
      <c r="E209" s="128">
        <v>7990503.9782075351</v>
      </c>
      <c r="F209" s="128">
        <v>7910101.1166961184</v>
      </c>
      <c r="G209" s="128">
        <v>7824061.2874869127</v>
      </c>
      <c r="H209" s="128">
        <v>7726981.5571071552</v>
      </c>
      <c r="I209" s="128">
        <v>7624112.63946875</v>
      </c>
      <c r="J209" s="128">
        <v>7516213.3287940072</v>
      </c>
      <c r="K209" s="128">
        <v>7402236.0717095807</v>
      </c>
      <c r="L209" s="128">
        <v>7281663.313486563</v>
      </c>
      <c r="M209" s="128">
        <v>7161724.6835952532</v>
      </c>
      <c r="N209" s="128">
        <v>7047028.9280638834</v>
      </c>
      <c r="O209" s="128">
        <v>6928286.7371212523</v>
      </c>
      <c r="P209" s="128">
        <v>6813471.4932931717</v>
      </c>
      <c r="Q209" s="128">
        <v>6709573.1051775627</v>
      </c>
      <c r="R209" s="128">
        <v>6608212.890172082</v>
      </c>
      <c r="S209" s="128">
        <v>6507667.6126702521</v>
      </c>
      <c r="T209" s="128">
        <v>6410923.3484046618</v>
      </c>
      <c r="U209" s="128">
        <v>6312087.0398884043</v>
      </c>
      <c r="V209" s="128">
        <v>6198597.4662947478</v>
      </c>
      <c r="W209" s="128">
        <v>6072682.1381908413</v>
      </c>
      <c r="X209" s="128">
        <v>5129605.3932011472</v>
      </c>
      <c r="Y209" s="128">
        <v>4422596.8168502869</v>
      </c>
      <c r="Z209" s="128">
        <v>4695319.0667841937</v>
      </c>
      <c r="AA209" s="128">
        <v>4858991.9516714932</v>
      </c>
      <c r="AB209" s="128">
        <v>4900717.0179390982</v>
      </c>
      <c r="AC209" s="128">
        <v>4859481.062234439</v>
      </c>
      <c r="AD209" s="128">
        <v>4785564.9873293526</v>
      </c>
      <c r="AE209" s="128">
        <v>4699255.8785319189</v>
      </c>
      <c r="AF209" s="129">
        <v>4607077.7931685494</v>
      </c>
    </row>
    <row r="210" spans="1:32" x14ac:dyDescent="0.25">
      <c r="A210" s="124" t="s">
        <v>273</v>
      </c>
      <c r="B210" s="128">
        <v>390890.4601885319</v>
      </c>
      <c r="C210" s="128">
        <v>412178.62386553426</v>
      </c>
      <c r="D210" s="128">
        <v>436263.14212311828</v>
      </c>
      <c r="E210" s="128">
        <v>463544.27395378222</v>
      </c>
      <c r="F210" s="128">
        <v>494030.5075552552</v>
      </c>
      <c r="G210" s="128">
        <v>539531.07457836601</v>
      </c>
      <c r="H210" s="128">
        <v>615150.10727717471</v>
      </c>
      <c r="I210" s="128">
        <v>741542.18063575053</v>
      </c>
      <c r="J210" s="128">
        <v>894430.84350499639</v>
      </c>
      <c r="K210" s="128">
        <v>1041393.3967788913</v>
      </c>
      <c r="L210" s="128">
        <v>1131246.7339604779</v>
      </c>
      <c r="M210" s="128">
        <v>1156737.3656793886</v>
      </c>
      <c r="N210" s="128">
        <v>1183495.1773436461</v>
      </c>
      <c r="O210" s="128">
        <v>1211807.0591352647</v>
      </c>
      <c r="P210" s="128">
        <v>1241091.0545889572</v>
      </c>
      <c r="Q210" s="128">
        <v>1269947.4229463893</v>
      </c>
      <c r="R210" s="128">
        <v>1273838.6347130872</v>
      </c>
      <c r="S210" s="128">
        <v>1276280.5788702285</v>
      </c>
      <c r="T210" s="128">
        <v>1278411.3346867273</v>
      </c>
      <c r="U210" s="128">
        <v>1281075.8367826063</v>
      </c>
      <c r="V210" s="128">
        <v>1286493.4500672345</v>
      </c>
      <c r="W210" s="128">
        <v>1282438.1097974493</v>
      </c>
      <c r="X210" s="128">
        <v>1282382.7753259067</v>
      </c>
      <c r="Y210" s="128">
        <v>1287609.9700758157</v>
      </c>
      <c r="Z210" s="128">
        <v>1294638.9416372837</v>
      </c>
      <c r="AA210" s="128">
        <v>1303634.4543923298</v>
      </c>
      <c r="AB210" s="128">
        <v>1303397.8828451938</v>
      </c>
      <c r="AC210" s="128">
        <v>1302393.9962475889</v>
      </c>
      <c r="AD210" s="128">
        <v>1301274.0462661521</v>
      </c>
      <c r="AE210" s="128">
        <v>1300681.6353637611</v>
      </c>
      <c r="AF210" s="129">
        <v>1300895.0967233668</v>
      </c>
    </row>
    <row r="211" spans="1:32" x14ac:dyDescent="0.25">
      <c r="A211" s="124" t="s">
        <v>274</v>
      </c>
      <c r="B211" s="128">
        <v>8717711.4018155392</v>
      </c>
      <c r="C211" s="128">
        <v>8669302.8019910958</v>
      </c>
      <c r="D211" s="128">
        <v>8631956.7414707877</v>
      </c>
      <c r="E211" s="128">
        <v>8604367.5698665157</v>
      </c>
      <c r="F211" s="128">
        <v>8584313.5949276965</v>
      </c>
      <c r="G211" s="128">
        <v>8573817.4853211809</v>
      </c>
      <c r="H211" s="128">
        <v>8541684.7826125845</v>
      </c>
      <c r="I211" s="128">
        <v>8506338.0800518412</v>
      </c>
      <c r="J211" s="128">
        <v>8467993.6559038237</v>
      </c>
      <c r="K211" s="128">
        <v>8427816.8359162901</v>
      </c>
      <c r="L211" s="128">
        <v>8383489.3951873779</v>
      </c>
      <c r="M211" s="128">
        <v>8330210.6353314146</v>
      </c>
      <c r="N211" s="128">
        <v>8255437.4121789681</v>
      </c>
      <c r="O211" s="128">
        <v>8176521.4651569733</v>
      </c>
      <c r="P211" s="128">
        <v>8093708.2453020727</v>
      </c>
      <c r="Q211" s="128">
        <v>8009319.2600024268</v>
      </c>
      <c r="R211" s="128">
        <v>7919553.5317722969</v>
      </c>
      <c r="S211" s="128">
        <v>7835185.7551648878</v>
      </c>
      <c r="T211" s="128">
        <v>7758537.0970933316</v>
      </c>
      <c r="U211" s="128">
        <v>7690965.215688129</v>
      </c>
      <c r="V211" s="128">
        <v>7630032.9305788698</v>
      </c>
      <c r="W211" s="128">
        <v>7573631.2289366592</v>
      </c>
      <c r="X211" s="128">
        <v>7530489.3591200188</v>
      </c>
      <c r="Y211" s="128">
        <v>7506628.3425659146</v>
      </c>
      <c r="Z211" s="128">
        <v>7494865.5686679613</v>
      </c>
      <c r="AA211" s="128">
        <v>7493512.4558283817</v>
      </c>
      <c r="AB211" s="128">
        <v>7496376.8861738127</v>
      </c>
      <c r="AC211" s="128">
        <v>7504334.9849273441</v>
      </c>
      <c r="AD211" s="128">
        <v>7509693.040795669</v>
      </c>
      <c r="AE211" s="128">
        <v>7506671.578986384</v>
      </c>
      <c r="AF211" s="129">
        <v>7500995.288044964</v>
      </c>
    </row>
    <row r="212" spans="1:32" x14ac:dyDescent="0.25">
      <c r="A212" s="124" t="s">
        <v>70</v>
      </c>
      <c r="B212" s="128">
        <v>5224730.7852774914</v>
      </c>
      <c r="C212" s="128">
        <v>5350388.0386642246</v>
      </c>
      <c r="D212" s="128">
        <v>5468206.7212752346</v>
      </c>
      <c r="E212" s="128">
        <v>5591988.8618236724</v>
      </c>
      <c r="F212" s="128">
        <v>5722545.5262723453</v>
      </c>
      <c r="G212" s="128">
        <v>5856563.4840838276</v>
      </c>
      <c r="H212" s="128">
        <v>5996198.1665977938</v>
      </c>
      <c r="I212" s="128">
        <v>6140772.9672707804</v>
      </c>
      <c r="J212" s="128">
        <v>6285152.3422727594</v>
      </c>
      <c r="K212" s="128">
        <v>6421343.5062401192</v>
      </c>
      <c r="L212" s="128">
        <v>6573099.0013125921</v>
      </c>
      <c r="M212" s="128">
        <v>6759534.7961485926</v>
      </c>
      <c r="N212" s="128">
        <v>6963523.7658012128</v>
      </c>
      <c r="O212" s="128">
        <v>7181883.4026344689</v>
      </c>
      <c r="P212" s="128">
        <v>7409207.8238647878</v>
      </c>
      <c r="Q212" s="128">
        <v>7653436.9031560263</v>
      </c>
      <c r="R212" s="128">
        <v>7914809.1372310957</v>
      </c>
      <c r="S212" s="128">
        <v>8174349.3963257521</v>
      </c>
      <c r="T212" s="128">
        <v>8427852.7490574326</v>
      </c>
      <c r="U212" s="128">
        <v>8678287.9654207602</v>
      </c>
      <c r="V212" s="128">
        <v>8938464.5100787655</v>
      </c>
      <c r="W212" s="128">
        <v>9205479.3663807847</v>
      </c>
      <c r="X212" s="128">
        <v>9468722.3774319347</v>
      </c>
      <c r="Y212" s="128">
        <v>9728279.1156580746</v>
      </c>
      <c r="Z212" s="128">
        <v>9988770.2460112181</v>
      </c>
      <c r="AA212" s="128">
        <v>10249277.655372854</v>
      </c>
      <c r="AB212" s="128">
        <v>10508082.375855193</v>
      </c>
      <c r="AC212" s="128">
        <v>10764203.363661494</v>
      </c>
      <c r="AD212" s="128">
        <v>11022545.494780118</v>
      </c>
      <c r="AE212" s="128">
        <v>11288334.687764587</v>
      </c>
      <c r="AF212" s="129">
        <v>11556889.255152795</v>
      </c>
    </row>
    <row r="213" spans="1:32" x14ac:dyDescent="0.25">
      <c r="A213" s="124" t="s">
        <v>275</v>
      </c>
      <c r="B213" s="128">
        <v>42921796.855698869</v>
      </c>
      <c r="C213" s="128">
        <v>42751812.743100755</v>
      </c>
      <c r="D213" s="128">
        <v>42510802.749614276</v>
      </c>
      <c r="E213" s="128">
        <v>42308419.624894619</v>
      </c>
      <c r="F213" s="128">
        <v>42047266.762899354</v>
      </c>
      <c r="G213" s="128">
        <v>41774299.482289761</v>
      </c>
      <c r="H213" s="128">
        <v>41507726.125906795</v>
      </c>
      <c r="I213" s="128">
        <v>41230601.284027077</v>
      </c>
      <c r="J213" s="128">
        <v>41032411.919220261</v>
      </c>
      <c r="K213" s="128">
        <v>40793597.924358927</v>
      </c>
      <c r="L213" s="128">
        <v>40549195.465012826</v>
      </c>
      <c r="M213" s="128">
        <v>40302329.473887846</v>
      </c>
      <c r="N213" s="128">
        <v>40137033.377591409</v>
      </c>
      <c r="O213" s="128">
        <v>40018509.850843377</v>
      </c>
      <c r="P213" s="128">
        <v>39912575.081447251</v>
      </c>
      <c r="Q213" s="128">
        <v>39855656.946029887</v>
      </c>
      <c r="R213" s="128">
        <v>39853006.912239552</v>
      </c>
      <c r="S213" s="128">
        <v>39912417.392279036</v>
      </c>
      <c r="T213" s="128">
        <v>39981081.941724256</v>
      </c>
      <c r="U213" s="128">
        <v>40037066.120306462</v>
      </c>
      <c r="V213" s="128">
        <v>40047188.618747182</v>
      </c>
      <c r="W213" s="128">
        <v>40012628.675807022</v>
      </c>
      <c r="X213" s="128">
        <v>40095447.160947017</v>
      </c>
      <c r="Y213" s="128">
        <v>40286451.335335962</v>
      </c>
      <c r="Z213" s="128">
        <v>40484018.55442404</v>
      </c>
      <c r="AA213" s="128">
        <v>40685872.211721912</v>
      </c>
      <c r="AB213" s="128">
        <v>40871387.872930869</v>
      </c>
      <c r="AC213" s="128">
        <v>41070936.888675652</v>
      </c>
      <c r="AD213" s="128">
        <v>41271808.747947171</v>
      </c>
      <c r="AE213" s="128">
        <v>41465483.154349111</v>
      </c>
      <c r="AF213" s="129">
        <v>41650305.907665871</v>
      </c>
    </row>
    <row r="214" spans="1:32" x14ac:dyDescent="0.25">
      <c r="A214" s="124" t="s">
        <v>276</v>
      </c>
      <c r="B214" s="128">
        <v>11901.246236659483</v>
      </c>
      <c r="C214" s="128">
        <v>11801.571533029764</v>
      </c>
      <c r="D214" s="128">
        <v>11715.673131627967</v>
      </c>
      <c r="E214" s="128">
        <v>11650.036010963726</v>
      </c>
      <c r="F214" s="128">
        <v>11596.176388087553</v>
      </c>
      <c r="G214" s="128">
        <v>11605.690476801514</v>
      </c>
      <c r="H214" s="128">
        <v>11667.793128305892</v>
      </c>
      <c r="I214" s="128">
        <v>11704.579197093344</v>
      </c>
      <c r="J214" s="128">
        <v>11707.015567960052</v>
      </c>
      <c r="K214" s="128">
        <v>11683.706209068418</v>
      </c>
      <c r="L214" s="128">
        <v>11604.389278960844</v>
      </c>
      <c r="M214" s="128">
        <v>11426.861257731958</v>
      </c>
      <c r="N214" s="128">
        <v>11244.565849642689</v>
      </c>
      <c r="O214" s="128">
        <v>11052.431832922326</v>
      </c>
      <c r="P214" s="128">
        <v>10853.277561184861</v>
      </c>
      <c r="Q214" s="128">
        <v>10652.257721428892</v>
      </c>
      <c r="R214" s="128">
        <v>10460.597649545791</v>
      </c>
      <c r="S214" s="128">
        <v>10284.223657653569</v>
      </c>
      <c r="T214" s="128">
        <v>10115.912738525043</v>
      </c>
      <c r="U214" s="128">
        <v>9950.0980382863781</v>
      </c>
      <c r="V214" s="128">
        <v>9821.876724370135</v>
      </c>
      <c r="W214" s="128">
        <v>9732.3541990036592</v>
      </c>
      <c r="X214" s="128">
        <v>9611.8912512296392</v>
      </c>
      <c r="Y214" s="128">
        <v>9484.1720479665892</v>
      </c>
      <c r="Z214" s="128">
        <v>9383.0346079816554</v>
      </c>
      <c r="AA214" s="128">
        <v>9311.4350615321109</v>
      </c>
      <c r="AB214" s="128">
        <v>9262.537595874428</v>
      </c>
      <c r="AC214" s="128">
        <v>9210.4817314769371</v>
      </c>
      <c r="AD214" s="128">
        <v>9161.2800039754202</v>
      </c>
      <c r="AE214" s="128">
        <v>9115.3792448226104</v>
      </c>
      <c r="AF214" s="129">
        <v>9070.9928642295617</v>
      </c>
    </row>
    <row r="215" spans="1:32" x14ac:dyDescent="0.25">
      <c r="A215" s="124" t="s">
        <v>277</v>
      </c>
      <c r="B215" s="128">
        <v>448737.45422919415</v>
      </c>
      <c r="C215" s="128">
        <v>449635.14578827779</v>
      </c>
      <c r="D215" s="128">
        <v>449402.35465389967</v>
      </c>
      <c r="E215" s="128">
        <v>448598.97352096642</v>
      </c>
      <c r="F215" s="128">
        <v>447767.03144322225</v>
      </c>
      <c r="G215" s="128">
        <v>446019.07792468159</v>
      </c>
      <c r="H215" s="128">
        <v>443835.13449325232</v>
      </c>
      <c r="I215" s="128">
        <v>441977.11635209061</v>
      </c>
      <c r="J215" s="128">
        <v>440293.82405305491</v>
      </c>
      <c r="K215" s="128">
        <v>438923.10327928507</v>
      </c>
      <c r="L215" s="128">
        <v>437943.9986919777</v>
      </c>
      <c r="M215" s="128">
        <v>437219.18488507182</v>
      </c>
      <c r="N215" s="128">
        <v>436418.16474151955</v>
      </c>
      <c r="O215" s="128">
        <v>435582.12840473227</v>
      </c>
      <c r="P215" s="128">
        <v>434781.76861672744</v>
      </c>
      <c r="Q215" s="128">
        <v>434157.37688227586</v>
      </c>
      <c r="R215" s="128">
        <v>433809.84803173615</v>
      </c>
      <c r="S215" s="128">
        <v>433885.1723599133</v>
      </c>
      <c r="T215" s="128">
        <v>434232.87760752742</v>
      </c>
      <c r="U215" s="128">
        <v>434654.66306621436</v>
      </c>
      <c r="V215" s="128">
        <v>435501.15497229341</v>
      </c>
      <c r="W215" s="128">
        <v>436523.36178679357</v>
      </c>
      <c r="X215" s="128">
        <v>437208.266447809</v>
      </c>
      <c r="Y215" s="128">
        <v>437611.98342071252</v>
      </c>
      <c r="Z215" s="128">
        <v>437480.5370336895</v>
      </c>
      <c r="AA215" s="128">
        <v>436699.04195540119</v>
      </c>
      <c r="AB215" s="128">
        <v>435595.21551782213</v>
      </c>
      <c r="AC215" s="128">
        <v>434516.33881184779</v>
      </c>
      <c r="AD215" s="128">
        <v>433684.8106519875</v>
      </c>
      <c r="AE215" s="128">
        <v>433182.30154399958</v>
      </c>
      <c r="AF215" s="129">
        <v>433265.16246240033</v>
      </c>
    </row>
    <row r="216" spans="1:32" x14ac:dyDescent="0.25">
      <c r="A216" s="124" t="s">
        <v>74</v>
      </c>
      <c r="B216" s="128">
        <v>4178705.8129797736</v>
      </c>
      <c r="C216" s="128">
        <v>4277181.096009735</v>
      </c>
      <c r="D216" s="128">
        <v>4377120.4229047103</v>
      </c>
      <c r="E216" s="128">
        <v>4474298.962954307</v>
      </c>
      <c r="F216" s="128">
        <v>4571367.8267394342</v>
      </c>
      <c r="G216" s="128">
        <v>4673677.7058081869</v>
      </c>
      <c r="H216" s="128">
        <v>4782173.0408855248</v>
      </c>
      <c r="I216" s="128">
        <v>4893649.786195768</v>
      </c>
      <c r="J216" s="128">
        <v>5005066.810370788</v>
      </c>
      <c r="K216" s="128">
        <v>5116435.5208548829</v>
      </c>
      <c r="L216" s="128">
        <v>5227903.1917261118</v>
      </c>
      <c r="M216" s="128">
        <v>5338656.2408666182</v>
      </c>
      <c r="N216" s="128">
        <v>5445955.6856470807</v>
      </c>
      <c r="O216" s="128">
        <v>5547636.0369005194</v>
      </c>
      <c r="P216" s="128">
        <v>5643265.6886989065</v>
      </c>
      <c r="Q216" s="128">
        <v>5733914.0247267475</v>
      </c>
      <c r="R216" s="128">
        <v>5822053.2769389991</v>
      </c>
      <c r="S216" s="128">
        <v>5908687.8323067715</v>
      </c>
      <c r="T216" s="128">
        <v>5987750.7516861362</v>
      </c>
      <c r="U216" s="128">
        <v>6053453.5787519608</v>
      </c>
      <c r="V216" s="128">
        <v>6106515.7404956911</v>
      </c>
      <c r="W216" s="128">
        <v>6149914.6048428137</v>
      </c>
      <c r="X216" s="128">
        <v>6186983.6966487784</v>
      </c>
      <c r="Y216" s="128">
        <v>6221333.3463962311</v>
      </c>
      <c r="Z216" s="128">
        <v>6252074.9950846424</v>
      </c>
      <c r="AA216" s="128">
        <v>6276539.2589295032</v>
      </c>
      <c r="AB216" s="128">
        <v>6291090.6960052969</v>
      </c>
      <c r="AC216" s="128">
        <v>6298313.4299936378</v>
      </c>
      <c r="AD216" s="128">
        <v>6304677.2660853444</v>
      </c>
      <c r="AE216" s="128">
        <v>6313485.2002461618</v>
      </c>
      <c r="AF216" s="129">
        <v>6323772.739755312</v>
      </c>
    </row>
    <row r="217" spans="1:32" x14ac:dyDescent="0.25">
      <c r="A217" s="124" t="s">
        <v>278</v>
      </c>
      <c r="B217" s="128">
        <v>28973.182396745291</v>
      </c>
      <c r="C217" s="128">
        <v>30029.532822607471</v>
      </c>
      <c r="D217" s="128">
        <v>31138.831109578758</v>
      </c>
      <c r="E217" s="128">
        <v>32289.242934583788</v>
      </c>
      <c r="F217" s="128">
        <v>33459.617589518668</v>
      </c>
      <c r="G217" s="128">
        <v>34638.631106140434</v>
      </c>
      <c r="H217" s="128">
        <v>35700.853834226087</v>
      </c>
      <c r="I217" s="128">
        <v>36842.444240524906</v>
      </c>
      <c r="J217" s="128">
        <v>38101.139936148393</v>
      </c>
      <c r="K217" s="128">
        <v>39436.676161035408</v>
      </c>
      <c r="L217" s="128">
        <v>40697.172618122524</v>
      </c>
      <c r="M217" s="128">
        <v>41452.14543509973</v>
      </c>
      <c r="N217" s="128">
        <v>42186.219427312964</v>
      </c>
      <c r="O217" s="128">
        <v>43000.162784615968</v>
      </c>
      <c r="P217" s="128">
        <v>43912.493881898627</v>
      </c>
      <c r="Q217" s="128">
        <v>44894.086759565784</v>
      </c>
      <c r="R217" s="128">
        <v>45964.255840687314</v>
      </c>
      <c r="S217" s="128">
        <v>47029.848700547547</v>
      </c>
      <c r="T217" s="128">
        <v>48057.048062743583</v>
      </c>
      <c r="U217" s="128">
        <v>49051.393692137608</v>
      </c>
      <c r="V217" s="128">
        <v>50024.810962896685</v>
      </c>
      <c r="W217" s="128">
        <v>50986.819216777694</v>
      </c>
      <c r="X217" s="128">
        <v>51951.078677842939</v>
      </c>
      <c r="Y217" s="128">
        <v>52968.750177616166</v>
      </c>
      <c r="Z217" s="128">
        <v>54095.261886408873</v>
      </c>
      <c r="AA217" s="128">
        <v>55348.614010854522</v>
      </c>
      <c r="AB217" s="128">
        <v>56691.55967078793</v>
      </c>
      <c r="AC217" s="128">
        <v>58125.652700135048</v>
      </c>
      <c r="AD217" s="128">
        <v>59596.128907101425</v>
      </c>
      <c r="AE217" s="128">
        <v>61007.881066768277</v>
      </c>
      <c r="AF217" s="129">
        <v>62331.877993750109</v>
      </c>
    </row>
    <row r="218" spans="1:32" x14ac:dyDescent="0.25">
      <c r="A218" s="124" t="s">
        <v>590</v>
      </c>
      <c r="B218" s="128">
        <v>3447713.8977538841</v>
      </c>
      <c r="C218" s="128">
        <v>3517652.9763937718</v>
      </c>
      <c r="D218" s="128">
        <v>3585331.217649336</v>
      </c>
      <c r="E218" s="128">
        <v>3651048.5331069748</v>
      </c>
      <c r="F218" s="128">
        <v>3714773.489763754</v>
      </c>
      <c r="G218" s="128">
        <v>3776306.3681808757</v>
      </c>
      <c r="H218" s="128">
        <v>3834325.6355702435</v>
      </c>
      <c r="I218" s="128">
        <v>3888729.1472338946</v>
      </c>
      <c r="J218" s="128">
        <v>3939485.8453173791</v>
      </c>
      <c r="K218" s="128">
        <v>3987312.7058127508</v>
      </c>
      <c r="L218" s="128">
        <v>4033338.3129465277</v>
      </c>
      <c r="M218" s="128">
        <v>4077938.6808605073</v>
      </c>
      <c r="N218" s="128">
        <v>4121320.1018528542</v>
      </c>
      <c r="O218" s="128">
        <v>4163335.6729731164</v>
      </c>
      <c r="P218" s="128">
        <v>4203332.5595964491</v>
      </c>
      <c r="Q218" s="128">
        <v>4239872.1557438094</v>
      </c>
      <c r="R218" s="128">
        <v>4264512.2679622807</v>
      </c>
      <c r="S218" s="128">
        <v>4201367.4423585543</v>
      </c>
      <c r="T218" s="128">
        <v>4012682.2248444255</v>
      </c>
      <c r="U218" s="128">
        <v>3799923.4878722201</v>
      </c>
      <c r="V218" s="128">
        <v>3673100.727562089</v>
      </c>
      <c r="W218" s="128">
        <v>3595087.648758817</v>
      </c>
      <c r="X218" s="128">
        <v>3612115.24994255</v>
      </c>
      <c r="Y218" s="128">
        <v>3725134.2109651561</v>
      </c>
      <c r="Z218" s="128">
        <v>3840058.5267189532</v>
      </c>
      <c r="AA218" s="128">
        <v>3947340.1703231852</v>
      </c>
      <c r="AB218" s="128">
        <v>4039499.4180835518</v>
      </c>
      <c r="AC218" s="128">
        <v>4118813.8225452397</v>
      </c>
      <c r="AD218" s="128">
        <v>4189018.6970573752</v>
      </c>
      <c r="AE218" s="128">
        <v>4253848.8316515693</v>
      </c>
      <c r="AF218" s="129">
        <v>4314627.332249118</v>
      </c>
    </row>
    <row r="219" spans="1:32" x14ac:dyDescent="0.25">
      <c r="A219" s="124" t="s">
        <v>75</v>
      </c>
      <c r="B219" s="128">
        <v>14101213.14800071</v>
      </c>
      <c r="C219" s="128">
        <v>14422620.263410715</v>
      </c>
      <c r="D219" s="128">
        <v>14723290.193728143</v>
      </c>
      <c r="E219" s="128">
        <v>14999486.010283427</v>
      </c>
      <c r="F219" s="128">
        <v>15260348.531661918</v>
      </c>
      <c r="G219" s="128">
        <v>15510639.168852404</v>
      </c>
      <c r="H219" s="128">
        <v>15765703.850931793</v>
      </c>
      <c r="I219" s="128">
        <v>15995428.733702946</v>
      </c>
      <c r="J219" s="128">
        <v>16205422.624034656</v>
      </c>
      <c r="K219" s="128">
        <v>16431091.630212337</v>
      </c>
      <c r="L219" s="128">
        <v>16676702.77980032</v>
      </c>
      <c r="M219" s="128">
        <v>16953391.494080812</v>
      </c>
      <c r="N219" s="128">
        <v>17240074.739343204</v>
      </c>
      <c r="O219" s="128">
        <v>17502818.945549428</v>
      </c>
      <c r="P219" s="128">
        <v>17752853.284691714</v>
      </c>
      <c r="Q219" s="128">
        <v>17980329.759325739</v>
      </c>
      <c r="R219" s="128">
        <v>18201646.461224936</v>
      </c>
      <c r="S219" s="128">
        <v>18413221.285014972</v>
      </c>
      <c r="T219" s="128">
        <v>18595949.301009517</v>
      </c>
      <c r="U219" s="128">
        <v>18739130.468350574</v>
      </c>
      <c r="V219" s="128">
        <v>18842731.057959121</v>
      </c>
      <c r="W219" s="128">
        <v>18896345.182443626</v>
      </c>
      <c r="X219" s="128">
        <v>18882300.257367533</v>
      </c>
      <c r="Y219" s="128">
        <v>18811454.748337708</v>
      </c>
      <c r="Z219" s="128">
        <v>18712368.929355234</v>
      </c>
      <c r="AA219" s="128">
        <v>18595843.803259745</v>
      </c>
      <c r="AB219" s="128">
        <v>18464092.869849507</v>
      </c>
      <c r="AC219" s="128">
        <v>18319294.317372765</v>
      </c>
      <c r="AD219" s="128">
        <v>18161821.068446096</v>
      </c>
      <c r="AE219" s="128">
        <v>17987438.697087273</v>
      </c>
      <c r="AF219" s="129">
        <v>17796098.620028783</v>
      </c>
    </row>
    <row r="220" spans="1:32" x14ac:dyDescent="0.25">
      <c r="A220" s="124" t="s">
        <v>280</v>
      </c>
      <c r="B220" s="128" t="e">
        <v>#N/A</v>
      </c>
      <c r="C220" s="128" t="e">
        <v>#N/A</v>
      </c>
      <c r="D220" s="128" t="e">
        <v>#N/A</v>
      </c>
      <c r="E220" s="128" t="e">
        <v>#N/A</v>
      </c>
      <c r="F220" s="128" t="e">
        <v>#N/A</v>
      </c>
      <c r="G220" s="128" t="e">
        <v>#N/A</v>
      </c>
      <c r="H220" s="128" t="e">
        <v>#N/A</v>
      </c>
      <c r="I220" s="128" t="e">
        <v>#N/A</v>
      </c>
      <c r="J220" s="128" t="e">
        <v>#N/A</v>
      </c>
      <c r="K220" s="128" t="e">
        <v>#N/A</v>
      </c>
      <c r="L220" s="128" t="e">
        <v>#N/A</v>
      </c>
      <c r="M220" s="128" t="e">
        <v>#N/A</v>
      </c>
      <c r="N220" s="128" t="e">
        <v>#N/A</v>
      </c>
      <c r="O220" s="128" t="e">
        <v>#N/A</v>
      </c>
      <c r="P220" s="128" t="e">
        <v>#N/A</v>
      </c>
      <c r="Q220" s="128" t="e">
        <v>#N/A</v>
      </c>
      <c r="R220" s="128" t="e">
        <v>#N/A</v>
      </c>
      <c r="S220" s="128" t="e">
        <v>#N/A</v>
      </c>
      <c r="T220" s="128" t="e">
        <v>#N/A</v>
      </c>
      <c r="U220" s="128" t="e">
        <v>#N/A</v>
      </c>
      <c r="V220" s="128" t="e">
        <v>#N/A</v>
      </c>
      <c r="W220" s="128" t="e">
        <v>#N/A</v>
      </c>
      <c r="X220" s="128" t="e">
        <v>#N/A</v>
      </c>
      <c r="Y220" s="128" t="e">
        <v>#N/A</v>
      </c>
      <c r="Z220" s="128" t="e">
        <v>#N/A</v>
      </c>
      <c r="AA220" s="128" t="e">
        <v>#N/A</v>
      </c>
      <c r="AB220" s="128" t="e">
        <v>#N/A</v>
      </c>
      <c r="AC220" s="128" t="e">
        <v>#N/A</v>
      </c>
      <c r="AD220" s="128" t="e">
        <v>#N/A</v>
      </c>
      <c r="AE220" s="128" t="e">
        <v>#N/A</v>
      </c>
      <c r="AF220" s="129" t="e">
        <v>#N/A</v>
      </c>
    </row>
    <row r="221" spans="1:32" x14ac:dyDescent="0.25">
      <c r="A221" s="124" t="s">
        <v>76</v>
      </c>
      <c r="B221" s="128">
        <v>48070.932360932165</v>
      </c>
      <c r="C221" s="128">
        <v>50426.117610182999</v>
      </c>
      <c r="D221" s="128">
        <v>52778.711944346651</v>
      </c>
      <c r="E221" s="128">
        <v>55127.8565731337</v>
      </c>
      <c r="F221" s="128">
        <v>57448.81307209954</v>
      </c>
      <c r="G221" s="128">
        <v>59710.565751204587</v>
      </c>
      <c r="H221" s="128">
        <v>61650.380170193777</v>
      </c>
      <c r="I221" s="128">
        <v>63477.389214072318</v>
      </c>
      <c r="J221" s="128">
        <v>65181.161849302225</v>
      </c>
      <c r="K221" s="128">
        <v>66923.348536976235</v>
      </c>
      <c r="L221" s="128">
        <v>68801.820025971712</v>
      </c>
      <c r="M221" s="128">
        <v>70745.052593599874</v>
      </c>
      <c r="N221" s="128">
        <v>72870.542160049707</v>
      </c>
      <c r="O221" s="128">
        <v>75172.194865620186</v>
      </c>
      <c r="P221" s="128">
        <v>77317.723986082608</v>
      </c>
      <c r="Q221" s="128">
        <v>79222.325364697157</v>
      </c>
      <c r="R221" s="128">
        <v>81031.676983694328</v>
      </c>
      <c r="S221" s="128">
        <v>82802.992199737491</v>
      </c>
      <c r="T221" s="128">
        <v>84548.57008634675</v>
      </c>
      <c r="U221" s="128">
        <v>86289.679566087725</v>
      </c>
      <c r="V221" s="128">
        <v>87775.357409886943</v>
      </c>
      <c r="W221" s="128">
        <v>88815.217459243926</v>
      </c>
      <c r="X221" s="128">
        <v>90069.3273644492</v>
      </c>
      <c r="Y221" s="128">
        <v>91575.499430445052</v>
      </c>
      <c r="Z221" s="128">
        <v>93057.884295856158</v>
      </c>
      <c r="AA221" s="128">
        <v>94448.823861839788</v>
      </c>
      <c r="AB221" s="128">
        <v>95591.381894659775</v>
      </c>
      <c r="AC221" s="128">
        <v>96672.142201509079</v>
      </c>
      <c r="AD221" s="128">
        <v>97611.032561745407</v>
      </c>
      <c r="AE221" s="128">
        <v>98371.330860162285</v>
      </c>
      <c r="AF221" s="129">
        <v>99012.819520290956</v>
      </c>
    </row>
    <row r="222" spans="1:32" x14ac:dyDescent="0.25">
      <c r="A222" s="124" t="s">
        <v>77</v>
      </c>
      <c r="B222" s="128">
        <v>2501005.7728513014</v>
      </c>
      <c r="C222" s="128">
        <v>2569331.1511099874</v>
      </c>
      <c r="D222" s="128">
        <v>2640857.7895509666</v>
      </c>
      <c r="E222" s="128">
        <v>2715444.0749428952</v>
      </c>
      <c r="F222" s="128">
        <v>2807232.7101286449</v>
      </c>
      <c r="G222" s="128">
        <v>2910581.3592860284</v>
      </c>
      <c r="H222" s="128">
        <v>3029438.2435483909</v>
      </c>
      <c r="I222" s="128">
        <v>3156010.1539039705</v>
      </c>
      <c r="J222" s="128">
        <v>3287711.9588607247</v>
      </c>
      <c r="K222" s="128">
        <v>3425876.4087258605</v>
      </c>
      <c r="L222" s="128">
        <v>3570621.0566478274</v>
      </c>
      <c r="M222" s="128">
        <v>3717630.7092261678</v>
      </c>
      <c r="N222" s="128">
        <v>3867554.9402929079</v>
      </c>
      <c r="O222" s="128">
        <v>4021190.5271659512</v>
      </c>
      <c r="P222" s="128">
        <v>4172015.8660446052</v>
      </c>
      <c r="Q222" s="128">
        <v>4318716.0046032602</v>
      </c>
      <c r="R222" s="128">
        <v>4460905.4877518145</v>
      </c>
      <c r="S222" s="128">
        <v>4599421.8212163718</v>
      </c>
      <c r="T222" s="128">
        <v>4736715.1077480391</v>
      </c>
      <c r="U222" s="128">
        <v>4874077.0773847932</v>
      </c>
      <c r="V222" s="128">
        <v>5005554.558138459</v>
      </c>
      <c r="W222" s="128">
        <v>5129474.2198757324</v>
      </c>
      <c r="X222" s="128">
        <v>5259563.9545565676</v>
      </c>
      <c r="Y222" s="128">
        <v>5397093.3804602632</v>
      </c>
      <c r="Z222" s="128">
        <v>5533367.6256313436</v>
      </c>
      <c r="AA222" s="128">
        <v>5667478.7663047779</v>
      </c>
      <c r="AB222" s="128">
        <v>5799269.574997942</v>
      </c>
      <c r="AC222" s="128">
        <v>5928559.4344625464</v>
      </c>
      <c r="AD222" s="128">
        <v>6055505.1915914323</v>
      </c>
      <c r="AE222" s="128">
        <v>6179935.7874811217</v>
      </c>
      <c r="AF222" s="129">
        <v>6300927.5550582316</v>
      </c>
    </row>
    <row r="223" spans="1:32" x14ac:dyDescent="0.25">
      <c r="A223" s="124" t="s">
        <v>78</v>
      </c>
      <c r="B223" s="128">
        <v>1452778.3205920227</v>
      </c>
      <c r="C223" s="128">
        <v>1496649.4001192236</v>
      </c>
      <c r="D223" s="128">
        <v>1541860.0440031306</v>
      </c>
      <c r="E223" s="128">
        <v>1587633.4664898121</v>
      </c>
      <c r="F223" s="128">
        <v>1635075.2968274562</v>
      </c>
      <c r="G223" s="128">
        <v>1684715.5174747035</v>
      </c>
      <c r="H223" s="128">
        <v>1739282.6956675875</v>
      </c>
      <c r="I223" s="128">
        <v>1796564.5133384431</v>
      </c>
      <c r="J223" s="128">
        <v>1856456.628452068</v>
      </c>
      <c r="K223" s="128">
        <v>1917656.3027909659</v>
      </c>
      <c r="L223" s="128">
        <v>1979047.9171234271</v>
      </c>
      <c r="M223" s="128">
        <v>2041521.8299329437</v>
      </c>
      <c r="N223" s="128">
        <v>2104240.0810445584</v>
      </c>
      <c r="O223" s="128">
        <v>2168627.879765566</v>
      </c>
      <c r="P223" s="128">
        <v>2235208.9999116315</v>
      </c>
      <c r="Q223" s="128">
        <v>2303027.7789353449</v>
      </c>
      <c r="R223" s="128">
        <v>2372901.8569847308</v>
      </c>
      <c r="S223" s="128">
        <v>2443924.6422823523</v>
      </c>
      <c r="T223" s="128">
        <v>2516466.2573723877</v>
      </c>
      <c r="U223" s="128">
        <v>2591365.1184763904</v>
      </c>
      <c r="V223" s="128">
        <v>2668762.9754322576</v>
      </c>
      <c r="W223" s="128">
        <v>2748021.9219913501</v>
      </c>
      <c r="X223" s="128">
        <v>2827981.0949717136</v>
      </c>
      <c r="Y223" s="128">
        <v>2908793.7194728693</v>
      </c>
      <c r="Z223" s="128">
        <v>2991145.0367849739</v>
      </c>
      <c r="AA223" s="128">
        <v>3074080.6058805194</v>
      </c>
      <c r="AB223" s="128">
        <v>3157460.5328822085</v>
      </c>
      <c r="AC223" s="128">
        <v>3240674.2187163574</v>
      </c>
      <c r="AD223" s="128">
        <v>3323668.847720467</v>
      </c>
      <c r="AE223" s="128">
        <v>3406812.6573335188</v>
      </c>
      <c r="AF223" s="129">
        <v>3490641.8120663911</v>
      </c>
    </row>
    <row r="224" spans="1:32" ht="15.75" thickBot="1" x14ac:dyDescent="0.3">
      <c r="A224" s="126" t="s">
        <v>79</v>
      </c>
      <c r="B224" s="132">
        <v>1955542.1992736154</v>
      </c>
      <c r="C224" s="132">
        <v>1973491.0327189192</v>
      </c>
      <c r="D224" s="132">
        <v>1983701.0704628343</v>
      </c>
      <c r="E224" s="132">
        <v>1990319.4455030207</v>
      </c>
      <c r="F224" s="132">
        <v>1989244.3668805182</v>
      </c>
      <c r="G224" s="132">
        <v>1983651.1354016147</v>
      </c>
      <c r="H224" s="132">
        <v>1996430.5295112233</v>
      </c>
      <c r="I224" s="132">
        <v>2013426.2449700357</v>
      </c>
      <c r="J224" s="132">
        <v>2024160.9907406545</v>
      </c>
      <c r="K224" s="132">
        <v>2038767.6975900067</v>
      </c>
      <c r="L224" s="132">
        <v>2056288.8615379329</v>
      </c>
      <c r="M224" s="132">
        <v>2086231.6779361486</v>
      </c>
      <c r="N224" s="132">
        <v>2128480.3307312303</v>
      </c>
      <c r="O224" s="132">
        <v>2182705.1404687329</v>
      </c>
      <c r="P224" s="132">
        <v>2240418.5544276554</v>
      </c>
      <c r="Q224" s="132">
        <v>2299087.0543227098</v>
      </c>
      <c r="R224" s="132">
        <v>2359797.4423372718</v>
      </c>
      <c r="S224" s="132">
        <v>2416875.3706887541</v>
      </c>
      <c r="T224" s="132">
        <v>2468793.5217154906</v>
      </c>
      <c r="U224" s="132">
        <v>2514243.1220510583</v>
      </c>
      <c r="V224" s="132">
        <v>2556457.8675799174</v>
      </c>
      <c r="W224" s="132">
        <v>2603813.2584263599</v>
      </c>
      <c r="X224" s="132">
        <v>2649357.6217802996</v>
      </c>
      <c r="Y224" s="132">
        <v>2695050.5072264066</v>
      </c>
      <c r="Z224" s="132">
        <v>2741103.4691601242</v>
      </c>
      <c r="AA224" s="132">
        <v>2786680.9672960811</v>
      </c>
      <c r="AB224" s="132">
        <v>2833047.9931073566</v>
      </c>
      <c r="AC224" s="132">
        <v>2877540.0342474384</v>
      </c>
      <c r="AD224" s="132">
        <v>2921546.1057569874</v>
      </c>
      <c r="AE224" s="132">
        <v>2967165.8745695171</v>
      </c>
      <c r="AF224" s="133">
        <v>3013532.3313642987</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8"/>
    <pageSetUpPr autoPageBreaks="0"/>
  </sheetPr>
  <dimension ref="A1:AD101"/>
  <sheetViews>
    <sheetView showGridLines="0" zoomScale="75" zoomScaleNormal="90" workbookViewId="0">
      <selection activeCell="C26" sqref="C26:C30"/>
    </sheetView>
  </sheetViews>
  <sheetFormatPr defaultRowHeight="15" x14ac:dyDescent="0.25"/>
  <cols>
    <col min="1" max="1" width="8.140625" customWidth="1"/>
    <col min="2" max="2" width="31" customWidth="1"/>
    <col min="3" max="3" width="23.5703125" customWidth="1"/>
    <col min="4" max="7" width="10.140625" customWidth="1"/>
    <col min="8" max="8" width="3.28515625" customWidth="1"/>
    <col min="9" max="9" width="14.42578125" customWidth="1"/>
    <col min="10" max="10" width="15.7109375" customWidth="1"/>
    <col min="11" max="11" width="20.85546875" customWidth="1"/>
    <col min="12" max="12" width="9.42578125" customWidth="1"/>
    <col min="13" max="14" width="10.7109375" customWidth="1"/>
    <col min="15" max="15" width="9.42578125" customWidth="1"/>
    <col min="17" max="17" width="3.85546875" style="489" customWidth="1"/>
    <col min="18" max="18" width="8.7109375" hidden="1" customWidth="1"/>
    <col min="19" max="19" width="20" hidden="1" customWidth="1"/>
    <col min="20" max="27" width="9.140625" hidden="1" customWidth="1"/>
    <col min="28" max="29" width="35.5703125" style="184" hidden="1" customWidth="1"/>
    <col min="30" max="30" width="38" style="184" hidden="1" customWidth="1"/>
    <col min="31" max="31" width="9.140625" customWidth="1"/>
    <col min="32" max="32" width="8.85546875" customWidth="1"/>
  </cols>
  <sheetData>
    <row r="1" spans="1:30" x14ac:dyDescent="0.25">
      <c r="A1" s="42"/>
      <c r="B1" s="1377" t="str">
        <f>IF(Language="English", AB1, IF(Language="Francais", AD1, AC1))</f>
        <v>Configuration : Sélectionnez les types de données de statistiques de service disponibles et entrez des informations sur ces données.</v>
      </c>
      <c r="C1" s="1377"/>
      <c r="D1" s="1377"/>
      <c r="E1" s="1377"/>
      <c r="F1" s="1377"/>
      <c r="G1" s="1377"/>
      <c r="H1" s="1377"/>
      <c r="I1" s="1377"/>
      <c r="J1" s="1377"/>
      <c r="K1" s="1377"/>
      <c r="L1" s="1377"/>
      <c r="M1" s="1377"/>
      <c r="N1" s="1377"/>
      <c r="O1" s="1377"/>
      <c r="P1" s="1377"/>
      <c r="AB1" s="184" t="s">
        <v>989</v>
      </c>
      <c r="AC1" s="184" t="s">
        <v>666</v>
      </c>
      <c r="AD1" s="184" t="s">
        <v>990</v>
      </c>
    </row>
    <row r="2" spans="1:30" ht="39" customHeight="1" x14ac:dyDescent="0.25">
      <c r="A2" s="42"/>
      <c r="B2" s="1377"/>
      <c r="C2" s="1377"/>
      <c r="D2" s="1377"/>
      <c r="E2" s="1377"/>
      <c r="F2" s="1377"/>
      <c r="G2" s="1377"/>
      <c r="H2" s="1377"/>
      <c r="I2" s="1377"/>
      <c r="J2" s="1377"/>
      <c r="K2" s="1377"/>
      <c r="L2" s="1377"/>
      <c r="M2" s="1377"/>
      <c r="N2" s="1377"/>
      <c r="O2" s="1377"/>
      <c r="P2" s="1377"/>
      <c r="AA2" s="184" t="s">
        <v>628</v>
      </c>
      <c r="AB2" s="184" t="s">
        <v>628</v>
      </c>
      <c r="AC2" s="368" t="s">
        <v>630</v>
      </c>
      <c r="AD2" s="368" t="s">
        <v>755</v>
      </c>
    </row>
    <row r="3" spans="1:30" hidden="1" x14ac:dyDescent="0.25">
      <c r="AA3" s="368" t="s">
        <v>755</v>
      </c>
      <c r="AB3" s="184" t="s">
        <v>627</v>
      </c>
      <c r="AC3" s="184" t="s">
        <v>629</v>
      </c>
      <c r="AD3" s="184" t="s">
        <v>800</v>
      </c>
    </row>
    <row r="4" spans="1:30" ht="21.75" hidden="1" customHeight="1" x14ac:dyDescent="0.25">
      <c r="B4" s="293" t="str">
        <f>IF(Language="English",AB4,IF(Language="Francais",AD4,AC4))</f>
        <v>Pays</v>
      </c>
      <c r="C4" s="270">
        <f>Country_Selected</f>
        <v>0</v>
      </c>
      <c r="D4" s="134" t="str">
        <f>IF(Language="English", $AB$11, IF(Language="Francais", $AD$11, $AC$11))</f>
        <v>Sélectionnez dans la liste déroulante</v>
      </c>
      <c r="H4" s="293" t="str">
        <f>IF(I4="English", AB3,IF(Language="Francais",AD3, AC3))</f>
        <v>La langue</v>
      </c>
      <c r="I4" s="1378" t="str">
        <f>Language</f>
        <v>Francais</v>
      </c>
      <c r="J4" s="1379"/>
      <c r="AB4" s="184" t="s">
        <v>10</v>
      </c>
      <c r="AC4" s="184" t="s">
        <v>631</v>
      </c>
      <c r="AD4" s="184" t="s">
        <v>753</v>
      </c>
    </row>
    <row r="5" spans="1:30" ht="9.75" hidden="1" customHeight="1" x14ac:dyDescent="0.25">
      <c r="B5" s="294"/>
      <c r="C5" s="39"/>
      <c r="D5" s="15"/>
      <c r="AB5" s="184" t="s">
        <v>633</v>
      </c>
      <c r="AC5" s="184" t="s">
        <v>632</v>
      </c>
      <c r="AD5" s="368" t="s">
        <v>756</v>
      </c>
    </row>
    <row r="6" spans="1:30" ht="23.25" hidden="1" customHeight="1" x14ac:dyDescent="0.25">
      <c r="B6" s="295" t="str">
        <f>IF(Language="English",AB8,IF(Language="Francais",AD8,AC8))</f>
        <v>Utilisez-vous des données sous-nationales ?</v>
      </c>
      <c r="C6" s="270" t="str">
        <f>Subnational_YN</f>
        <v>No</v>
      </c>
      <c r="H6" s="293"/>
      <c r="I6" s="1317"/>
      <c r="J6" s="1317"/>
      <c r="S6" t="s">
        <v>798</v>
      </c>
      <c r="T6" t="str">
        <f>Subnational_YN</f>
        <v>No</v>
      </c>
    </row>
    <row r="7" spans="1:30" ht="11.25" hidden="1" customHeight="1" x14ac:dyDescent="0.25">
      <c r="B7" s="294"/>
      <c r="C7" s="32"/>
      <c r="D7" s="33"/>
      <c r="AB7" s="184" t="s">
        <v>633</v>
      </c>
      <c r="AC7" s="184" t="s">
        <v>632</v>
      </c>
      <c r="AD7" s="368" t="s">
        <v>756</v>
      </c>
    </row>
    <row r="8" spans="1:30" ht="20.25" hidden="1" customHeight="1" x14ac:dyDescent="0.25">
      <c r="B8" s="294" t="str">
        <f xml:space="preserve"> IF(Language="English", AB10,IF(Language="Francais",AD10,AC10))</f>
        <v>Population</v>
      </c>
      <c r="C8" s="374" t="str">
        <f>'1. Country_Language Set Up'!C10</f>
        <v>All Women</v>
      </c>
      <c r="D8" s="33"/>
      <c r="K8" s="36"/>
      <c r="L8" s="36"/>
      <c r="M8" s="36"/>
      <c r="N8" s="36"/>
      <c r="O8" s="36"/>
      <c r="S8" t="s">
        <v>122</v>
      </c>
      <c r="T8" t="str">
        <f>IF(OR(C8="All Women", C8="Toutes les Femmes"), "AW", "MW")</f>
        <v>AW</v>
      </c>
      <c r="AB8" s="184" t="s">
        <v>581</v>
      </c>
      <c r="AD8" s="184" t="s">
        <v>754</v>
      </c>
    </row>
    <row r="9" spans="1:30" ht="9.75" hidden="1" customHeight="1" x14ac:dyDescent="0.25">
      <c r="B9" s="294"/>
      <c r="C9" s="32"/>
      <c r="D9" s="33"/>
      <c r="E9" s="373"/>
      <c r="F9" s="373"/>
      <c r="G9" s="373"/>
      <c r="H9" s="373"/>
    </row>
    <row r="10" spans="1:30" ht="22.5" hidden="1" customHeight="1" x14ac:dyDescent="0.25">
      <c r="E10" s="373"/>
      <c r="F10" s="373"/>
      <c r="G10" s="373"/>
      <c r="H10" s="373"/>
      <c r="AA10" t="s">
        <v>124</v>
      </c>
      <c r="AB10" s="184" t="s">
        <v>122</v>
      </c>
      <c r="AC10" s="184" t="s">
        <v>634</v>
      </c>
      <c r="AD10" s="184" t="s">
        <v>122</v>
      </c>
    </row>
    <row r="11" spans="1:30" ht="13.5" hidden="1" customHeight="1" x14ac:dyDescent="0.25">
      <c r="B11" s="34"/>
      <c r="D11" s="33"/>
      <c r="E11" s="35"/>
      <c r="F11" s="35"/>
      <c r="G11" s="35"/>
      <c r="H11" s="35"/>
      <c r="I11" s="36"/>
      <c r="J11" s="36"/>
      <c r="AB11" s="184" t="s">
        <v>668</v>
      </c>
      <c r="AC11" s="184" t="s">
        <v>667</v>
      </c>
      <c r="AD11" s="368" t="s">
        <v>756</v>
      </c>
    </row>
    <row r="12" spans="1:30" ht="31.5" hidden="1" customHeight="1" x14ac:dyDescent="0.25">
      <c r="B12" s="1376" t="s">
        <v>90</v>
      </c>
      <c r="C12" s="1376"/>
      <c r="D12" s="1376"/>
      <c r="E12" s="1376"/>
      <c r="F12" s="1376"/>
      <c r="G12" s="1376"/>
      <c r="H12" s="1376"/>
      <c r="I12" s="1376"/>
      <c r="J12" s="1376"/>
      <c r="K12" s="1376"/>
      <c r="L12" s="1376"/>
      <c r="M12" s="1376"/>
      <c r="N12" s="1376"/>
      <c r="O12" s="1376"/>
    </row>
    <row r="13" spans="1:30" ht="7.5" customHeight="1" x14ac:dyDescent="0.25">
      <c r="B13" s="37"/>
      <c r="C13" s="37"/>
      <c r="D13" s="37"/>
      <c r="E13" s="37"/>
      <c r="F13" s="37"/>
      <c r="G13" s="37"/>
      <c r="H13" s="37"/>
      <c r="I13" s="37"/>
      <c r="J13" s="37"/>
      <c r="K13" s="37"/>
      <c r="L13" s="37"/>
      <c r="M13" s="37"/>
      <c r="N13" s="37"/>
      <c r="O13" s="37"/>
      <c r="AB13" s="184" t="s">
        <v>674</v>
      </c>
      <c r="AC13" s="184" t="s">
        <v>701</v>
      </c>
      <c r="AD13" s="184" t="s">
        <v>757</v>
      </c>
    </row>
    <row r="14" spans="1:30" ht="21" customHeight="1" x14ac:dyDescent="0.25">
      <c r="B14" s="1384" t="str">
        <f>IF(Language="English", AB13, IF(Language="Francais", AD13, AC13))</f>
        <v>Produits Contraceptifs</v>
      </c>
      <c r="C14" s="1384"/>
      <c r="D14" s="1384"/>
      <c r="E14" s="1384"/>
      <c r="F14" s="1384"/>
      <c r="G14" s="1384"/>
      <c r="H14" s="1384"/>
      <c r="I14" s="1384"/>
      <c r="J14" s="1384"/>
      <c r="K14" s="1384"/>
      <c r="L14" s="1384"/>
      <c r="M14" s="1384"/>
      <c r="N14" s="1384"/>
      <c r="O14" s="1384"/>
      <c r="AB14" s="184" t="s">
        <v>675</v>
      </c>
      <c r="AC14" s="184" t="s">
        <v>700</v>
      </c>
      <c r="AD14" s="184" t="s">
        <v>758</v>
      </c>
    </row>
    <row r="15" spans="1:30" ht="6.75" customHeight="1" x14ac:dyDescent="0.25">
      <c r="B15" s="21"/>
      <c r="AB15" s="184" t="s">
        <v>676</v>
      </c>
      <c r="AC15" s="184" t="s">
        <v>702</v>
      </c>
      <c r="AD15" s="184" t="s">
        <v>759</v>
      </c>
    </row>
    <row r="16" spans="1:30" x14ac:dyDescent="0.25">
      <c r="B16" s="315" t="str">
        <f>IF(Language="English",AB14,IF(Language="Francais",AD14,AC14))</f>
        <v>Produits de planification familiale distribués aux clients</v>
      </c>
      <c r="C16" s="42"/>
      <c r="D16" s="42"/>
      <c r="E16" s="42"/>
      <c r="F16" s="287"/>
      <c r="G16" s="287"/>
      <c r="I16" s="315" t="str">
        <f>IF(Language="English", AB15,IF(Language="Francais",AD15, AC15))</f>
        <v>Produits de planification familiale distribués aux établissements</v>
      </c>
      <c r="J16" s="315"/>
      <c r="K16" s="42"/>
      <c r="L16" s="42"/>
      <c r="M16" s="42"/>
      <c r="N16" s="287"/>
      <c r="O16" s="287"/>
      <c r="AB16" s="184" t="s">
        <v>677</v>
      </c>
      <c r="AC16" s="184" t="s">
        <v>703</v>
      </c>
      <c r="AD16" s="184" t="s">
        <v>760</v>
      </c>
    </row>
    <row r="17" spans="2:30" ht="30.75" customHeight="1" x14ac:dyDescent="0.25">
      <c r="B17" s="382" t="str">
        <f>IF(Language="English", $AB$16, IF(Language="Francais", $AD$16, $AC$16))</f>
        <v>Disposez-vous de données sur les produits?</v>
      </c>
      <c r="C17" s="271"/>
      <c r="I17" s="1382" t="str">
        <f>IF(Language="English", $AB$16, IF(Language="Francais", $AD$16, $AC$16))</f>
        <v>Disposez-vous de données sur les produits?</v>
      </c>
      <c r="J17" s="1383"/>
      <c r="K17" s="271"/>
    </row>
    <row r="18" spans="2:30" ht="30.75" customHeight="1" x14ac:dyDescent="0.25">
      <c r="B18" s="382" t="str">
        <f>IF(Language="English", $AB$18,IF(Language="Francais", $AD$18, $AC$18))</f>
        <v>Source:</v>
      </c>
      <c r="C18" s="832"/>
      <c r="D18" s="15" t="s">
        <v>678</v>
      </c>
      <c r="I18" s="1382" t="str">
        <f>IF(Language="English", $AB$18,IF(Language="Francais", $AD$18, $AC$18))</f>
        <v>Source:</v>
      </c>
      <c r="J18" s="1383"/>
      <c r="K18" s="832"/>
      <c r="L18" s="15" t="s">
        <v>678</v>
      </c>
      <c r="AB18" s="184" t="s">
        <v>80</v>
      </c>
      <c r="AC18" s="184" t="s">
        <v>669</v>
      </c>
      <c r="AD18" s="184" t="s">
        <v>80</v>
      </c>
    </row>
    <row r="19" spans="2:30" ht="30.75" customHeight="1" x14ac:dyDescent="0.25">
      <c r="B19" s="382" t="str">
        <f>IF(Language="English", $AB$20, IF(Language="Francais", $AD$20, $AC$20))</f>
        <v>Première année de données disponible:</v>
      </c>
      <c r="C19" s="832"/>
      <c r="D19" s="15"/>
      <c r="I19" s="1382" t="str">
        <f>IF(Language="English", $AB$20, IF(Language="Francais", $AD$20, $AC$20))</f>
        <v>Première année de données disponible:</v>
      </c>
      <c r="J19" s="1383"/>
      <c r="K19" s="832"/>
      <c r="L19" s="15"/>
    </row>
    <row r="20" spans="2:30" ht="30.75" customHeight="1" x14ac:dyDescent="0.25">
      <c r="B20" s="382" t="str">
        <f>IF(Language="English", $AB$21, IF(Language="Francais", $AD$21, $AC$21))</f>
        <v>Plus récent complet année de données disponibles:</v>
      </c>
      <c r="C20" s="832"/>
      <c r="D20" s="38"/>
      <c r="I20" s="1382" t="str">
        <f>IF(Language="English", $AB$21, IF(Language="Francais", $AD$21, $AC$21))</f>
        <v>Plus récent complet année de données disponibles:</v>
      </c>
      <c r="J20" s="1383"/>
      <c r="K20" s="832"/>
      <c r="L20" s="15"/>
      <c r="AB20" s="184" t="s">
        <v>671</v>
      </c>
      <c r="AC20" s="184" t="s">
        <v>670</v>
      </c>
      <c r="AD20" s="184" t="s">
        <v>761</v>
      </c>
    </row>
    <row r="21" spans="2:30" ht="30.75" customHeight="1" x14ac:dyDescent="0.25">
      <c r="B21" s="377" t="str">
        <f>IF(Language="English", $AB$22, IF(Language="Francais", $AD$22, $AC$22))</f>
        <v>Quels secteurs rapportent?</v>
      </c>
      <c r="C21" s="833"/>
      <c r="D21" s="38" t="str">
        <f>IF(Language="English", $AB$11, IF(Language="Francais", $AD$11, $AC$11))</f>
        <v>Sélectionnez dans la liste déroulante</v>
      </c>
      <c r="E21" s="41"/>
      <c r="F21" s="41"/>
      <c r="G21" s="41"/>
      <c r="H21" s="41"/>
      <c r="I21" s="1380" t="str">
        <f>IF(Language="English", $AB$22, IF(Language="Francais", $AD$22, $AC$22))</f>
        <v>Quels secteurs rapportent?</v>
      </c>
      <c r="J21" s="1381"/>
      <c r="K21" s="833"/>
      <c r="L21" s="38" t="str">
        <f>IF(Language="English", $AB$11, IF(Language="Francais", $AD$11, $AC$11))</f>
        <v>Sélectionnez dans la liste déroulante</v>
      </c>
      <c r="AB21" s="184" t="s">
        <v>762</v>
      </c>
      <c r="AC21" s="184" t="s">
        <v>672</v>
      </c>
      <c r="AD21" s="184" t="s">
        <v>773</v>
      </c>
    </row>
    <row r="22" spans="2:30" x14ac:dyDescent="0.25">
      <c r="D22" s="15"/>
      <c r="AB22" s="184" t="s">
        <v>626</v>
      </c>
      <c r="AC22" s="184" t="s">
        <v>673</v>
      </c>
      <c r="AD22" s="184" t="s">
        <v>763</v>
      </c>
    </row>
    <row r="23" spans="2:30" ht="21" customHeight="1" x14ac:dyDescent="0.25">
      <c r="B23" s="1384" t="str">
        <f>IF(Language="English", AB23, IF(Language="Francais", AD23, AC23))</f>
        <v>Visites &amp; Utilisatrices de PF</v>
      </c>
      <c r="C23" s="1384"/>
      <c r="D23" s="1384"/>
      <c r="E23" s="1384"/>
      <c r="F23" s="1384"/>
      <c r="G23" s="1384"/>
      <c r="H23" s="1384"/>
      <c r="I23" s="1384"/>
      <c r="J23" s="1384"/>
      <c r="K23" s="1384"/>
      <c r="L23" s="1384"/>
      <c r="M23" s="1384"/>
      <c r="N23" s="1384"/>
      <c r="O23" s="1384"/>
      <c r="AB23" s="184" t="s">
        <v>680</v>
      </c>
      <c r="AC23" s="184" t="s">
        <v>679</v>
      </c>
      <c r="AD23" s="184" t="s">
        <v>2412</v>
      </c>
    </row>
    <row r="24" spans="2:30" ht="6.75" customHeight="1" x14ac:dyDescent="0.25">
      <c r="B24" s="21"/>
      <c r="AB24" s="184" t="s">
        <v>91</v>
      </c>
      <c r="AC24" s="184" t="s">
        <v>681</v>
      </c>
      <c r="AD24" s="184" t="s">
        <v>764</v>
      </c>
    </row>
    <row r="25" spans="2:30" x14ac:dyDescent="0.25">
      <c r="B25" s="315" t="str">
        <f>IF(Language="English", AB24, IF(Language="Francais", AD24, AC24))</f>
        <v>Visites de PF</v>
      </c>
      <c r="C25" s="42"/>
      <c r="D25" s="42"/>
      <c r="E25" s="42"/>
      <c r="F25" s="287"/>
      <c r="G25" s="287"/>
      <c r="I25" s="315" t="str">
        <f>IF(Language="English", AB25, IF(Language="Francais",AD25, AC25))</f>
        <v>Utilisatrices de PF</v>
      </c>
      <c r="J25" s="315"/>
      <c r="K25" s="42"/>
      <c r="L25" s="42"/>
      <c r="M25" s="42"/>
      <c r="N25" s="287"/>
      <c r="O25" s="287"/>
      <c r="AB25" s="184" t="s">
        <v>92</v>
      </c>
      <c r="AC25" s="184" t="s">
        <v>682</v>
      </c>
      <c r="AD25" s="184" t="s">
        <v>2413</v>
      </c>
    </row>
    <row r="26" spans="2:30" ht="30" customHeight="1" x14ac:dyDescent="0.25">
      <c r="B26" s="377" t="str">
        <f>IF(Language="English", AB26, IF(Language="Francais", AD26, AC26))</f>
        <v>Disposez-vous de données sur les visites ?</v>
      </c>
      <c r="C26" s="271"/>
      <c r="D26" s="41"/>
      <c r="E26" s="41"/>
      <c r="F26" s="41"/>
      <c r="G26" s="41"/>
      <c r="H26" s="41"/>
      <c r="I26" s="1380" t="str">
        <f>IF(Language="English", AB27, IF(Language="Francais", AD27, AC27))</f>
        <v>Disposez-vous de données sur les utilisatrices ?</v>
      </c>
      <c r="J26" s="1381"/>
      <c r="K26" s="271"/>
      <c r="L26" s="41"/>
      <c r="M26" s="41"/>
      <c r="AB26" s="184" t="s">
        <v>683</v>
      </c>
      <c r="AC26" s="184" t="s">
        <v>684</v>
      </c>
      <c r="AD26" s="184" t="s">
        <v>765</v>
      </c>
    </row>
    <row r="27" spans="2:30" ht="30" customHeight="1" x14ac:dyDescent="0.25">
      <c r="B27" s="382" t="str">
        <f>IF(Language="English", $AB$18,IF(Language="Francais", $AD$18, $AC$18))</f>
        <v>Source:</v>
      </c>
      <c r="C27" s="832"/>
      <c r="D27" s="38" t="s">
        <v>678</v>
      </c>
      <c r="E27" s="41"/>
      <c r="F27" s="41"/>
      <c r="G27" s="41"/>
      <c r="H27" s="41"/>
      <c r="I27" s="1382" t="str">
        <f>IF(Language="English", $AB$18,IF(Language="Francais", $AD$18, $AC$18))</f>
        <v>Source:</v>
      </c>
      <c r="J27" s="1383"/>
      <c r="K27" s="832"/>
      <c r="L27" s="38" t="s">
        <v>678</v>
      </c>
      <c r="M27" s="41"/>
      <c r="AB27" s="184" t="s">
        <v>685</v>
      </c>
      <c r="AC27" s="184" t="s">
        <v>686</v>
      </c>
      <c r="AD27" s="184" t="s">
        <v>2428</v>
      </c>
    </row>
    <row r="28" spans="2:30" ht="30" customHeight="1" x14ac:dyDescent="0.25">
      <c r="B28" s="382" t="str">
        <f>IF(Language="English", $AB$20, IF(Language="Francais", $AD$20, $AC$20))</f>
        <v>Première année de données disponible:</v>
      </c>
      <c r="C28" s="832"/>
      <c r="D28" s="38"/>
      <c r="E28" s="41"/>
      <c r="F28" s="41"/>
      <c r="G28" s="41"/>
      <c r="H28" s="41"/>
      <c r="I28" s="1382" t="str">
        <f>IF(Language="English", $AB$20, IF(Language="Francais", $AD$20, $AC$20))</f>
        <v>Première année de données disponible:</v>
      </c>
      <c r="J28" s="1383"/>
      <c r="K28" s="832"/>
      <c r="L28" s="38"/>
      <c r="M28" s="41"/>
      <c r="AB28" s="184" t="s">
        <v>126</v>
      </c>
      <c r="AD28" s="184" t="s">
        <v>774</v>
      </c>
    </row>
    <row r="29" spans="2:30" ht="30" customHeight="1" x14ac:dyDescent="0.25">
      <c r="B29" s="382" t="str">
        <f>IF(Language="English", $AB$21, IF(Language="Francais", $AD$21, $AC$21))</f>
        <v>Plus récent complet année de données disponibles:</v>
      </c>
      <c r="C29" s="832"/>
      <c r="D29" s="38"/>
      <c r="E29" s="41"/>
      <c r="F29" s="41"/>
      <c r="G29" s="41"/>
      <c r="H29" s="41"/>
      <c r="I29" s="1382" t="str">
        <f>IF(Language="English", $AB$21, IF(Language="Francais", $AD$21, $AC$21))</f>
        <v>Plus récent complet année de données disponibles:</v>
      </c>
      <c r="J29" s="1383"/>
      <c r="K29" s="832"/>
      <c r="L29" s="38"/>
      <c r="M29" s="41"/>
      <c r="AB29" s="400" t="s">
        <v>314</v>
      </c>
      <c r="AC29" s="184" t="s">
        <v>711</v>
      </c>
      <c r="AD29" s="184" t="s">
        <v>766</v>
      </c>
    </row>
    <row r="30" spans="2:30" ht="30" customHeight="1" x14ac:dyDescent="0.25">
      <c r="B30" s="377" t="str">
        <f>IF(Language="English", $AB$22, IF(Language="Francais", $AD$22, $AC$22))</f>
        <v>Quels secteurs rapportent?</v>
      </c>
      <c r="C30" s="833"/>
      <c r="D30" s="38" t="str">
        <f>IF(Language="English", $AB$11, IF(Language="Francais", $AD$11, $AC$11))</f>
        <v>Sélectionnez dans la liste déroulante</v>
      </c>
      <c r="E30" s="175"/>
      <c r="F30" s="175"/>
      <c r="G30" s="175"/>
      <c r="H30" s="175"/>
      <c r="I30" s="1380" t="str">
        <f>IF(Language="English", $AB$22, IF(Language="Francais", $AD$22, $AC$22))</f>
        <v>Quels secteurs rapportent?</v>
      </c>
      <c r="J30" s="1381"/>
      <c r="K30" s="833"/>
      <c r="L30" s="38" t="str">
        <f>IF(Language="English", $AB$11, IF(Language="Francais", $AD$11, $AC$11))</f>
        <v>Sélectionnez dans la liste déroulante</v>
      </c>
      <c r="M30" s="41"/>
    </row>
    <row r="31" spans="2:30" ht="8.25" customHeight="1" x14ac:dyDescent="0.25"/>
    <row r="32" spans="2:30" ht="8.25" customHeight="1" x14ac:dyDescent="0.25">
      <c r="S32" s="170" t="s">
        <v>86</v>
      </c>
      <c r="T32" s="171">
        <f>IF(MAX(C29,K20,C20,K29)=0, 2018, MAX(C29,K20,C20,K29))</f>
        <v>2018</v>
      </c>
    </row>
    <row r="33" spans="2:30" ht="26.45" customHeight="1" thickBot="1" x14ac:dyDescent="0.3">
      <c r="B33" s="1339" t="str">
        <f>IF(Language="English", AB33, IF(Language="Francais", AD33, AC33))</f>
        <v>Méthodes à long durée: introduites ou mis à l'echelle?</v>
      </c>
      <c r="C33" s="1339"/>
      <c r="D33" s="1339"/>
      <c r="E33" s="1339"/>
      <c r="F33" s="1339"/>
      <c r="G33" s="1339"/>
      <c r="H33" s="1339"/>
      <c r="I33" s="1339"/>
      <c r="J33" s="1339"/>
      <c r="K33" s="1339"/>
      <c r="L33" s="1339"/>
      <c r="M33" s="1339"/>
      <c r="N33" s="1339"/>
      <c r="O33" s="1339"/>
      <c r="S33" s="28" t="s">
        <v>87</v>
      </c>
      <c r="T33" s="264">
        <f>IFERROR(MIN(C19,K19,C28,K28), 2005)</f>
        <v>0</v>
      </c>
      <c r="AB33" s="184" t="s">
        <v>1273</v>
      </c>
      <c r="AD33" s="1085" t="s">
        <v>1298</v>
      </c>
    </row>
    <row r="34" spans="2:30" ht="4.1500000000000004" customHeight="1" x14ac:dyDescent="0.25">
      <c r="AB34"/>
      <c r="AC34"/>
      <c r="AD34"/>
    </row>
    <row r="35" spans="2:30" ht="26.45" customHeight="1" x14ac:dyDescent="0.25">
      <c r="B35" s="1340" t="str">
        <f>IF(Language="English", AB35, IF(Language="Francais", AD35, AC35))</f>
        <v>NOTEZ ci-dessous toutes les méthodes INTRODUITES /MIS À L'ÉCHELLE AU COURS DE LA PREMIÈRE ANNÉE de données disponibles pour chaque type et méthode de données.</v>
      </c>
      <c r="C35" s="1340"/>
      <c r="D35" s="1340"/>
      <c r="E35" s="1340"/>
      <c r="F35" s="1340"/>
      <c r="G35" s="1340"/>
      <c r="H35" s="1340"/>
      <c r="I35" s="1340"/>
      <c r="J35" s="1340"/>
      <c r="K35" s="1340"/>
      <c r="L35" s="1340"/>
      <c r="M35" s="1340"/>
      <c r="N35" s="1340"/>
      <c r="O35" s="1340"/>
      <c r="P35" s="984"/>
      <c r="S35" t="s">
        <v>1266</v>
      </c>
      <c r="AA35" s="337"/>
      <c r="AB35" s="338" t="s">
        <v>1285</v>
      </c>
      <c r="AC35" s="338"/>
      <c r="AD35" s="1088" t="s">
        <v>1299</v>
      </c>
    </row>
    <row r="36" spans="2:30" ht="63" customHeight="1" x14ac:dyDescent="0.25">
      <c r="B36" s="1385" t="str">
        <f>IF(Language="English", AB41, AD41)</f>
        <v>Afin d'estimer plus précisément les utilisatrices de méthodes à longue durée, nous devons tenir compte des femmes qui ont reçu leur méthode avant la première année de données. Pour aider à estimer le nombre d'utilisatrices des méthodes à longue durée qui ont reçu leur méthode avant la première année de données, veuillez noter ci-dessous toutes les méthodes qui ont été récemment introduites ou qui ont connu une mise à l'échelle substantielle au cours de la PREMIÈRE ANNÉE de données disponibles, par type de données et méthode . Si les méthodes n'ont PAS été récemment introduites ou mises à l'échelle au cours de la première année de données, laissez les cellules VIDES.</v>
      </c>
      <c r="C36" s="1385"/>
      <c r="D36" s="1385"/>
      <c r="E36" s="1385"/>
      <c r="F36" s="1385"/>
      <c r="G36" s="1385"/>
      <c r="H36" s="1385"/>
      <c r="I36" s="1385"/>
      <c r="J36" s="1385"/>
      <c r="K36" s="1385"/>
      <c r="L36" s="1385"/>
      <c r="M36" s="1385"/>
      <c r="N36" s="1385"/>
      <c r="O36" s="1385"/>
      <c r="P36" s="990"/>
      <c r="S36" t="s">
        <v>1267</v>
      </c>
      <c r="AA36" s="337"/>
      <c r="AB36" s="338"/>
      <c r="AC36" s="338"/>
      <c r="AD36" s="338"/>
    </row>
    <row r="37" spans="2:30" ht="9" customHeight="1" thickBot="1" x14ac:dyDescent="0.3">
      <c r="B37" s="998"/>
      <c r="C37" s="998"/>
      <c r="D37" s="998"/>
      <c r="E37" s="998"/>
      <c r="F37" s="998"/>
      <c r="G37" s="998"/>
      <c r="H37" s="998"/>
      <c r="I37" s="998"/>
      <c r="J37" s="998"/>
      <c r="K37" s="998"/>
      <c r="L37" s="998"/>
      <c r="M37" s="998"/>
      <c r="N37" s="998"/>
      <c r="O37" s="998"/>
      <c r="P37" s="990"/>
      <c r="AA37" s="337"/>
    </row>
    <row r="38" spans="2:30" ht="48.6" customHeight="1" thickBot="1" x14ac:dyDescent="0.3">
      <c r="E38" s="1341" t="str">
        <f>'3. ServiceStats Set Up'!B16</f>
        <v>Produits de planification familiale distribués aux clients</v>
      </c>
      <c r="F38" s="1342"/>
      <c r="G38" s="1343"/>
      <c r="H38" s="1357" t="str">
        <f>'3. ServiceStats Set Up'!I16</f>
        <v>Produits de planification familiale distribués aux établissements</v>
      </c>
      <c r="I38" s="1357"/>
      <c r="J38" s="1357"/>
      <c r="K38" s="1368" t="str">
        <f>'3. ServiceStats Set Up'!B25</f>
        <v>Visites de PF</v>
      </c>
      <c r="L38" s="1369"/>
      <c r="AB38" s="184" t="s">
        <v>929</v>
      </c>
      <c r="AD38" s="184" t="s">
        <v>930</v>
      </c>
    </row>
    <row r="39" spans="2:30" ht="32.450000000000003" customHeight="1" thickBot="1" x14ac:dyDescent="0.3">
      <c r="C39" s="1364" t="str">
        <f>'3. ServiceStats Set Up'!B28</f>
        <v>Première année de données disponible:</v>
      </c>
      <c r="D39" s="1365"/>
      <c r="E39" s="1344" t="str">
        <f>IF('3. ServiceStats Set Up'!C19="", "N/A", '3. ServiceStats Set Up'!C19)</f>
        <v>N/A</v>
      </c>
      <c r="F39" s="1345"/>
      <c r="G39" s="1346"/>
      <c r="H39" s="1358" t="str">
        <f>IF('3. ServiceStats Set Up'!K19="", "N/A", '3. ServiceStats Set Up'!K19)</f>
        <v>N/A</v>
      </c>
      <c r="I39" s="1358"/>
      <c r="J39" s="1358"/>
      <c r="K39" s="1366" t="str">
        <f>IF('3. ServiceStats Set Up'!C28="", "N/A", '3. ServiceStats Set Up'!C28)</f>
        <v>N/A</v>
      </c>
      <c r="L39" s="1367"/>
    </row>
    <row r="40" spans="2:30" x14ac:dyDescent="0.25">
      <c r="B40" s="991" t="str">
        <f>IF(Language="English",'Language Look Ups'!$O$6,IF(Language="Francais",'Language Look Ups'!$S$6,'Language Look Ups'!$Q$6))</f>
        <v>Stérilisation</v>
      </c>
      <c r="C40" s="992" t="str">
        <f>IF(Language="English", 'Language Look Ups'!$P$6,IF(Language="Francais", 'Language Look Ups'!$T$6, 'Language Look Ups'!$R$6))</f>
        <v>Ligature des trompes</v>
      </c>
      <c r="D40" s="995"/>
      <c r="E40" s="1347"/>
      <c r="F40" s="1348"/>
      <c r="G40" s="1349"/>
      <c r="H40" s="1359"/>
      <c r="I40" s="1359"/>
      <c r="J40" s="1359"/>
      <c r="K40" s="1362"/>
      <c r="L40" s="1363"/>
      <c r="AB40" s="338"/>
      <c r="AC40" s="338"/>
      <c r="AD40" s="338"/>
    </row>
    <row r="41" spans="2:30" x14ac:dyDescent="0.25">
      <c r="B41" s="987"/>
      <c r="C41" s="988" t="str">
        <f>IF(Language="English",'Language Look Ups'!$P$7,IF(Language="Francais",'Language Look Ups'!$T$7,'Language Look Ups'!$R$7))</f>
        <v>Vasectomie</v>
      </c>
      <c r="D41" s="996"/>
      <c r="E41" s="1350"/>
      <c r="F41" s="1351"/>
      <c r="G41" s="1352"/>
      <c r="H41" s="1360"/>
      <c r="I41" s="1360"/>
      <c r="J41" s="1360"/>
      <c r="K41" s="1335"/>
      <c r="L41" s="1336"/>
      <c r="AB41" t="s">
        <v>1286</v>
      </c>
      <c r="AD41" s="1089" t="s">
        <v>1300</v>
      </c>
    </row>
    <row r="42" spans="2:30" x14ac:dyDescent="0.25">
      <c r="B42" s="985" t="str">
        <f>IF(Language="English", 'Language Look Ups'!$O$8,IF(Language="Francais", 'Language Look Ups'!$S$8, 'Language Look Ups'!$Q$8))</f>
        <v>DIU</v>
      </c>
      <c r="C42" s="988" t="str">
        <f>IF(Language="English", 'Language Look Ups'!$P$8,IF(Language="Francais", 'Language Look Ups'!$T$8, 'Language Look Ups'!$R$8))</f>
        <v>Copper- T 380-A DIU</v>
      </c>
      <c r="D42" s="996"/>
      <c r="E42" s="1350"/>
      <c r="F42" s="1351"/>
      <c r="G42" s="1352"/>
      <c r="H42" s="1360"/>
      <c r="I42" s="1360"/>
      <c r="J42" s="1360"/>
      <c r="K42" s="1335"/>
      <c r="L42" s="1336"/>
      <c r="AB42" s="184" t="s">
        <v>1226</v>
      </c>
      <c r="AD42" s="184" t="s">
        <v>1243</v>
      </c>
    </row>
    <row r="43" spans="2:30" ht="15" customHeight="1" x14ac:dyDescent="0.25">
      <c r="B43" s="987"/>
      <c r="C43" s="988" t="str">
        <f>IF(Language="English", 'Language Look Ups'!$P$9,IF(Language="Francais", 'Language Look Ups'!$T$9, 'Language Look Ups'!$R$9))</f>
        <v>DIU Hormonal (LNG-IUS)</v>
      </c>
      <c r="D43" s="996"/>
      <c r="E43" s="1350"/>
      <c r="F43" s="1351"/>
      <c r="G43" s="1352"/>
      <c r="H43" s="1360"/>
      <c r="I43" s="1360"/>
      <c r="J43" s="1360"/>
      <c r="K43" s="1335"/>
      <c r="L43" s="1336"/>
      <c r="AB43" s="184" t="s">
        <v>941</v>
      </c>
      <c r="AD43" s="184" t="s">
        <v>942</v>
      </c>
    </row>
    <row r="44" spans="2:30" ht="15" customHeight="1" x14ac:dyDescent="0.25">
      <c r="B44" s="985" t="str">
        <f>IF(Language="English", 'Language Look Ups'!$O$10,IF(Language="Francais", 'Language Look Ups'!$S$10, 'Language Look Ups'!$Q$10))</f>
        <v>Implant</v>
      </c>
      <c r="C44" s="988" t="str">
        <f>IF(Language="English", 'Language Look Ups'!$P$10,IF(Language="Francais", 'Language Look Ups'!$T$10, 'Language Look Ups'!$R$10))</f>
        <v>Implant de 3 ans (Implanon, Levoplant)</v>
      </c>
      <c r="D44" s="996"/>
      <c r="E44" s="1350"/>
      <c r="F44" s="1351"/>
      <c r="G44" s="1352"/>
      <c r="H44" s="1360"/>
      <c r="I44" s="1360"/>
      <c r="J44" s="1360"/>
      <c r="K44" s="1335"/>
      <c r="L44" s="1336"/>
      <c r="AB44"/>
      <c r="AC44"/>
      <c r="AD44"/>
    </row>
    <row r="45" spans="2:30" x14ac:dyDescent="0.25">
      <c r="B45" s="986"/>
      <c r="C45" s="988" t="str">
        <f>IF(Language="English", 'Language Look Ups'!$P$11,IF(Language="Francais", 'Language Look Ups'!$T$11, 'Language Look Ups'!$R$11))</f>
        <v>Implant de 4 ans (Sino-Implant)</v>
      </c>
      <c r="D45" s="996"/>
      <c r="E45" s="1350"/>
      <c r="F45" s="1351"/>
      <c r="G45" s="1352"/>
      <c r="H45" s="1360"/>
      <c r="I45" s="1360"/>
      <c r="J45" s="1360"/>
      <c r="K45" s="1335"/>
      <c r="L45" s="1336"/>
      <c r="AB45" t="s">
        <v>1268</v>
      </c>
      <c r="AC45"/>
      <c r="AD45"/>
    </row>
    <row r="46" spans="2:30" ht="15.75" customHeight="1" thickBot="1" x14ac:dyDescent="0.3">
      <c r="B46" s="993"/>
      <c r="C46" s="994" t="str">
        <f>IF(Language="English", 'Language Look Ups'!$P$12,IF(Language="Francais", 'Language Look Ups'!$T$12, 'Language Look Ups'!$R$12))</f>
        <v>Implant de 5 ans (Jadelle)</v>
      </c>
      <c r="D46" s="997"/>
      <c r="E46" s="1353"/>
      <c r="F46" s="1354"/>
      <c r="G46" s="1355"/>
      <c r="H46" s="1361"/>
      <c r="I46" s="1361"/>
      <c r="J46" s="1361"/>
      <c r="K46" s="1337"/>
      <c r="L46" s="1338"/>
      <c r="AB46"/>
      <c r="AC46"/>
      <c r="AD46"/>
    </row>
    <row r="47" spans="2:30" ht="14.25" hidden="1" customHeight="1" x14ac:dyDescent="0.25">
      <c r="E47" s="1356"/>
      <c r="F47" s="1356"/>
      <c r="G47" s="1356"/>
      <c r="AB47"/>
      <c r="AC47"/>
      <c r="AD47"/>
    </row>
    <row r="48" spans="2:30" ht="15.75" hidden="1" thickBot="1" x14ac:dyDescent="0.3">
      <c r="E48" s="1356"/>
      <c r="F48" s="1356"/>
      <c r="G48" s="1356"/>
      <c r="K48" s="989"/>
      <c r="L48" s="989"/>
      <c r="AB48" s="184" t="s">
        <v>1189</v>
      </c>
      <c r="AC48"/>
      <c r="AD48"/>
    </row>
    <row r="49" spans="2:30" ht="15" hidden="1" customHeight="1" x14ac:dyDescent="0.25">
      <c r="B49" s="991" t="str">
        <f>IF(Language="English",'Language Look Ups'!$O$6,IF(Language="Francais",'Language Look Ups'!$S$6,'Language Look Ups'!$Q$6))</f>
        <v>Stérilisation</v>
      </c>
      <c r="C49" s="992" t="str">
        <f>IF(Language="English", 'Language Look Ups'!$P$6,IF(Language="Francais", 'Language Look Ups'!$T$6, 'Language Look Ups'!$R$6))</f>
        <v>Ligature des trompes</v>
      </c>
      <c r="D49" s="995"/>
      <c r="E49" s="1347">
        <f>IF(E40="", 1, IF(OR(E40="Newly Introduced", E40="Récemment Introduites"), 0, IF(OR(E40="Scaling Up", E40="Mise à l'échelle"), 0.5, 1)))</f>
        <v>1</v>
      </c>
      <c r="F49" s="1348"/>
      <c r="G49" s="1349"/>
      <c r="H49" s="1347">
        <f>IF(H40="", 1, IF(OR(H40="Newly Introduced", H40="Récemment Introduites"), 0, IF(OR(H40="Scaling Up", H40="Mise à l'échelle"), 0.5, 1)))</f>
        <v>1</v>
      </c>
      <c r="I49" s="1348"/>
      <c r="J49" s="1349"/>
      <c r="K49" s="1362">
        <f>IF(K40="", 1, IF(OR(K40="Newly Introduced", K40="Récemment Introduites"), 0, IF(OR(K40="Scaling Up", K40="Mise à l'échelle"), 0.5, 1)))</f>
        <v>1</v>
      </c>
      <c r="L49" s="1363"/>
      <c r="AB49"/>
      <c r="AC49"/>
      <c r="AD49"/>
    </row>
    <row r="50" spans="2:30" ht="15" hidden="1" customHeight="1" x14ac:dyDescent="0.25">
      <c r="B50" s="987"/>
      <c r="C50" s="988" t="str">
        <f>IF(Language="English",'Language Look Ups'!$P$7,IF(Language="Francais",'Language Look Ups'!$T$7,'Language Look Ups'!$R$7))</f>
        <v>Vasectomie</v>
      </c>
      <c r="D50" s="996"/>
      <c r="E50" s="1335">
        <f t="shared" ref="E50:E55" si="0">IF(E41="", 1, IF(OR(E41="Newly Introduced", E41="Récemment Introduites"), 0, IF(OR(E41="Scaling Up", E41="Mise à l'échelle"), 0.5, 1)))</f>
        <v>1</v>
      </c>
      <c r="F50" s="1360"/>
      <c r="G50" s="1336"/>
      <c r="H50" s="1335">
        <f t="shared" ref="H50:H55" si="1">IF(H41="", 1, IF(OR(H41="Newly Introduced", H41="Récemment Introduites"), 0, IF(OR(H41="Scaling Up", H41="Mise à l'échelle"), 0.5, 1)))</f>
        <v>1</v>
      </c>
      <c r="I50" s="1360"/>
      <c r="J50" s="1336"/>
      <c r="K50" s="1335">
        <f t="shared" ref="K50:K55" si="2">IF(K41="", 1, IF(OR(K41="Newly Introduced", K41="Récemment Introduites"), 0, IF(OR(K41="Scaling Up", K41="Mise à l'échelle"), 0.5, 1)))</f>
        <v>1</v>
      </c>
      <c r="L50" s="1336"/>
      <c r="AB50"/>
      <c r="AC50"/>
      <c r="AD50"/>
    </row>
    <row r="51" spans="2:30" ht="15" hidden="1" customHeight="1" x14ac:dyDescent="0.25">
      <c r="B51" s="985" t="str">
        <f>IF(Language="English", 'Language Look Ups'!$O$8,IF(Language="Francais", 'Language Look Ups'!$S$8, 'Language Look Ups'!$Q$8))</f>
        <v>DIU</v>
      </c>
      <c r="C51" s="988" t="str">
        <f>IF(Language="English", 'Language Look Ups'!$P$8,IF(Language="Francais", 'Language Look Ups'!$T$8, 'Language Look Ups'!$R$8))</f>
        <v>Copper- T 380-A DIU</v>
      </c>
      <c r="D51" s="996"/>
      <c r="E51" s="1335">
        <f t="shared" si="0"/>
        <v>1</v>
      </c>
      <c r="F51" s="1360"/>
      <c r="G51" s="1336"/>
      <c r="H51" s="1335">
        <f t="shared" si="1"/>
        <v>1</v>
      </c>
      <c r="I51" s="1360"/>
      <c r="J51" s="1336"/>
      <c r="K51" s="1335">
        <f t="shared" si="2"/>
        <v>1</v>
      </c>
      <c r="L51" s="1336"/>
      <c r="AB51"/>
      <c r="AC51"/>
      <c r="AD51"/>
    </row>
    <row r="52" spans="2:30" hidden="1" x14ac:dyDescent="0.25">
      <c r="B52" s="987"/>
      <c r="C52" s="988" t="str">
        <f>IF(Language="English", 'Language Look Ups'!$P$9,IF(Language="Francais", 'Language Look Ups'!$T$9, 'Language Look Ups'!$R$9))</f>
        <v>DIU Hormonal (LNG-IUS)</v>
      </c>
      <c r="D52" s="996"/>
      <c r="E52" s="1335">
        <f t="shared" si="0"/>
        <v>1</v>
      </c>
      <c r="F52" s="1360"/>
      <c r="G52" s="1336"/>
      <c r="H52" s="1335">
        <f t="shared" si="1"/>
        <v>1</v>
      </c>
      <c r="I52" s="1360"/>
      <c r="J52" s="1336"/>
      <c r="K52" s="1335">
        <f t="shared" si="2"/>
        <v>1</v>
      </c>
      <c r="L52" s="1336"/>
      <c r="AB52"/>
      <c r="AC52"/>
      <c r="AD52"/>
    </row>
    <row r="53" spans="2:30" hidden="1" x14ac:dyDescent="0.25">
      <c r="B53" s="985" t="str">
        <f>IF(Language="English", 'Language Look Ups'!$O$10,IF(Language="Francais", 'Language Look Ups'!$S$10, 'Language Look Ups'!$Q$10))</f>
        <v>Implant</v>
      </c>
      <c r="C53" s="988" t="str">
        <f>IF(Language="English", 'Language Look Ups'!$P$10,IF(Language="Francais", 'Language Look Ups'!$T$10, 'Language Look Ups'!$R$10))</f>
        <v>Implant de 3 ans (Implanon, Levoplant)</v>
      </c>
      <c r="D53" s="996"/>
      <c r="E53" s="1335">
        <f t="shared" si="0"/>
        <v>1</v>
      </c>
      <c r="F53" s="1360"/>
      <c r="G53" s="1336"/>
      <c r="H53" s="1335">
        <f t="shared" si="1"/>
        <v>1</v>
      </c>
      <c r="I53" s="1360"/>
      <c r="J53" s="1336"/>
      <c r="K53" s="1335">
        <f t="shared" si="2"/>
        <v>1</v>
      </c>
      <c r="L53" s="1336"/>
      <c r="AB53"/>
      <c r="AC53"/>
      <c r="AD53"/>
    </row>
    <row r="54" spans="2:30" hidden="1" x14ac:dyDescent="0.25">
      <c r="B54" s="986"/>
      <c r="C54" s="988" t="str">
        <f>IF(Language="English", 'Language Look Ups'!$P$11,IF(Language="Francais", 'Language Look Ups'!$T$11, 'Language Look Ups'!$R$11))</f>
        <v>Implant de 4 ans (Sino-Implant)</v>
      </c>
      <c r="D54" s="996"/>
      <c r="E54" s="1335">
        <f t="shared" si="0"/>
        <v>1</v>
      </c>
      <c r="F54" s="1360"/>
      <c r="G54" s="1336"/>
      <c r="H54" s="1335">
        <f t="shared" si="1"/>
        <v>1</v>
      </c>
      <c r="I54" s="1360"/>
      <c r="J54" s="1336"/>
      <c r="K54" s="1335">
        <f t="shared" si="2"/>
        <v>1</v>
      </c>
      <c r="L54" s="1336"/>
      <c r="AB54"/>
      <c r="AC54"/>
      <c r="AD54"/>
    </row>
    <row r="55" spans="2:30" ht="15.75" hidden="1" thickBot="1" x14ac:dyDescent="0.3">
      <c r="B55" s="993"/>
      <c r="C55" s="994" t="str">
        <f>IF(Language="English", 'Language Look Ups'!$P$12,IF(Language="Francais", 'Language Look Ups'!$T$12, 'Language Look Ups'!$R$12))</f>
        <v>Implant de 5 ans (Jadelle)</v>
      </c>
      <c r="D55" s="997"/>
      <c r="E55" s="1337">
        <f t="shared" si="0"/>
        <v>1</v>
      </c>
      <c r="F55" s="1361"/>
      <c r="G55" s="1338"/>
      <c r="H55" s="1337">
        <f t="shared" si="1"/>
        <v>1</v>
      </c>
      <c r="I55" s="1361"/>
      <c r="J55" s="1338"/>
      <c r="K55" s="1337">
        <f t="shared" si="2"/>
        <v>1</v>
      </c>
      <c r="L55" s="1338"/>
      <c r="AB55"/>
      <c r="AC55"/>
      <c r="AD55"/>
    </row>
    <row r="56" spans="2:30" hidden="1" x14ac:dyDescent="0.25">
      <c r="AB56"/>
      <c r="AC56"/>
      <c r="AD56"/>
    </row>
    <row r="57" spans="2:30" hidden="1" x14ac:dyDescent="0.25">
      <c r="AB57"/>
      <c r="AC57"/>
      <c r="AD57"/>
    </row>
    <row r="58" spans="2:30" hidden="1" x14ac:dyDescent="0.25">
      <c r="AB58"/>
      <c r="AC58"/>
      <c r="AD58"/>
    </row>
    <row r="59" spans="2:30" ht="31.15" hidden="1" customHeight="1" x14ac:dyDescent="0.25"/>
    <row r="60" spans="2:30" ht="15" customHeight="1" x14ac:dyDescent="0.25"/>
    <row r="61" spans="2:30" ht="31.15" customHeight="1" x14ac:dyDescent="0.25">
      <c r="B61" s="1339" t="str">
        <f>IF(Language="English", AB61, IF(Language="Francais", AD61, AC61))</f>
        <v>Sources de contraception</v>
      </c>
      <c r="C61" s="1339"/>
      <c r="D61" s="1339"/>
      <c r="E61" s="1339"/>
      <c r="F61" s="1339"/>
      <c r="G61" s="1339"/>
      <c r="H61" s="1339"/>
      <c r="I61" s="1339"/>
      <c r="J61" s="1339"/>
      <c r="K61" s="1339"/>
      <c r="L61" s="1339"/>
      <c r="M61" s="1339"/>
      <c r="N61" s="1339"/>
      <c r="O61" s="1339"/>
      <c r="AB61" t="s">
        <v>1269</v>
      </c>
      <c r="AC61"/>
      <c r="AD61" t="s">
        <v>1270</v>
      </c>
    </row>
    <row r="62" spans="2:30" ht="5.45" customHeight="1" x14ac:dyDescent="0.25">
      <c r="AB62"/>
      <c r="AC62"/>
      <c r="AD62"/>
    </row>
    <row r="63" spans="2:30" ht="16.149999999999999" customHeight="1" x14ac:dyDescent="0.25">
      <c r="B63" s="1340" t="str">
        <f>IF(Language="English", AB63, IF(Language="Francais", AD63, AC63))</f>
        <v xml:space="preserve">Indiquer ci-dessous les principales sources de contraceptifs dans votre pays. Entrez ensuite le secteur de cette source et s'il est représenté dans vos données. </v>
      </c>
      <c r="C63" s="1340"/>
      <c r="D63" s="1340"/>
      <c r="E63" s="1340"/>
      <c r="F63" s="1340"/>
      <c r="G63" s="1340"/>
      <c r="H63" s="1340"/>
      <c r="I63" s="1340"/>
      <c r="J63" s="1340"/>
      <c r="K63" s="1340"/>
      <c r="L63" s="1340"/>
      <c r="M63" s="1340"/>
      <c r="N63" s="1340"/>
      <c r="O63" s="1340"/>
      <c r="AB63" t="s">
        <v>1272</v>
      </c>
      <c r="AC63"/>
      <c r="AD63" t="s">
        <v>1271</v>
      </c>
    </row>
    <row r="64" spans="2:30" ht="7.15" customHeight="1" x14ac:dyDescent="0.25">
      <c r="AB64"/>
      <c r="AC64"/>
      <c r="AD64"/>
    </row>
    <row r="65" spans="2:30" ht="31.15" customHeight="1" x14ac:dyDescent="0.25">
      <c r="B65" s="1385" t="str">
        <f>IF(Language="English", AB65, AD65)</f>
        <v>Veuillez indiquer ci-dessous toutes les sources / prestataires que les personnes utilisent pour accéder aux contraceptifs dans votre pays (par exemple, hôpitaux publics, cliniques publiques, centres de santé communautaires, médecins privés, pharmacies privées, etc.). Entrez ensuite le secteur de cette source (public, privé, autre) et indiquez si cette source est rapportée dans votre système de données ou si elle est représentée dans les données à analyser.</v>
      </c>
      <c r="C65" s="1385"/>
      <c r="D65" s="1385"/>
      <c r="E65" s="1385"/>
      <c r="F65" s="1385"/>
      <c r="G65" s="1385"/>
      <c r="H65" s="1385"/>
      <c r="I65" s="1385"/>
      <c r="J65" s="1385"/>
      <c r="K65" s="1385"/>
      <c r="L65" s="1385"/>
      <c r="M65" s="1385"/>
      <c r="N65" s="1385"/>
      <c r="AB65" s="400" t="s">
        <v>1032</v>
      </c>
      <c r="AD65" s="184" t="s">
        <v>1126</v>
      </c>
    </row>
    <row r="66" spans="2:30" ht="9" customHeight="1" x14ac:dyDescent="0.25">
      <c r="AB66" s="368" t="s">
        <v>1026</v>
      </c>
      <c r="AD66" s="368" t="s">
        <v>1026</v>
      </c>
    </row>
    <row r="67" spans="2:30" ht="28.5" customHeight="1" x14ac:dyDescent="0.25">
      <c r="B67" s="1371" t="str">
        <f>IF(Language="English", AB66, AD66)</f>
        <v xml:space="preserve">Source </v>
      </c>
      <c r="C67" s="1371"/>
      <c r="D67" s="1371" t="str">
        <f>IF(Language="English", AB68, AD68)</f>
        <v>Secteur</v>
      </c>
      <c r="E67" s="1371"/>
      <c r="F67" s="1371" t="str">
        <f>IF(Language="English", AB70, AD70)</f>
        <v xml:space="preserve">Inclus dans vos données? </v>
      </c>
      <c r="G67" s="1371"/>
      <c r="H67" s="1371"/>
      <c r="I67" s="1371"/>
      <c r="J67" s="1371"/>
      <c r="K67" s="1371"/>
      <c r="L67" s="1371"/>
      <c r="M67" s="1371"/>
      <c r="N67" s="1371"/>
      <c r="AB67" s="184" t="s">
        <v>1023</v>
      </c>
      <c r="AD67" s="184" t="s">
        <v>1024</v>
      </c>
    </row>
    <row r="68" spans="2:30" ht="60.75" customHeight="1" x14ac:dyDescent="0.25">
      <c r="B68" s="1371"/>
      <c r="C68" s="1371"/>
      <c r="D68" s="1371"/>
      <c r="E68" s="1371"/>
      <c r="F68" s="1374" t="str">
        <f>B16</f>
        <v>Produits de planification familiale distribués aux clients</v>
      </c>
      <c r="G68" s="1374"/>
      <c r="H68" s="1374"/>
      <c r="I68" s="1374" t="str">
        <f>I16</f>
        <v>Produits de planification familiale distribués aux établissements</v>
      </c>
      <c r="J68" s="1374"/>
      <c r="K68" s="1374" t="str">
        <f>B25</f>
        <v>Visites de PF</v>
      </c>
      <c r="L68" s="1374"/>
      <c r="M68" s="1374" t="str">
        <f>I25</f>
        <v>Utilisatrices de PF</v>
      </c>
      <c r="N68" s="1374"/>
      <c r="AB68" s="368" t="s">
        <v>1021</v>
      </c>
      <c r="AD68" s="368" t="s">
        <v>1028</v>
      </c>
    </row>
    <row r="69" spans="2:30" ht="15" customHeight="1" x14ac:dyDescent="0.25">
      <c r="B69" s="1375" t="str">
        <f>IF(Language="English", AB67, AD67)</f>
        <v>(ex. centre de santé communautaire)</v>
      </c>
      <c r="C69" s="1375"/>
      <c r="D69" s="1375" t="str">
        <f>IF(Language="English", AB69, AD69)</f>
        <v>(ex. public ou privé)</v>
      </c>
      <c r="E69" s="1375"/>
      <c r="F69" s="1372" t="str">
        <f>IF(Language="English", AB71, AD71)</f>
        <v>Oui? Non? Partiellement?</v>
      </c>
      <c r="G69" s="1372"/>
      <c r="H69" s="1372"/>
      <c r="I69" s="1372"/>
      <c r="J69" s="1372"/>
      <c r="K69" s="1372"/>
      <c r="L69" s="1372"/>
      <c r="M69" s="1372"/>
      <c r="N69" s="1372"/>
      <c r="AB69" s="184" t="s">
        <v>1025</v>
      </c>
      <c r="AD69" s="184" t="s">
        <v>1027</v>
      </c>
    </row>
    <row r="70" spans="2:30" ht="15" customHeight="1" x14ac:dyDescent="0.25">
      <c r="B70" s="1373"/>
      <c r="C70" s="1373"/>
      <c r="D70" s="1373"/>
      <c r="E70" s="1373"/>
      <c r="F70" s="1370"/>
      <c r="G70" s="1370"/>
      <c r="H70" s="1370"/>
      <c r="I70" s="1370"/>
      <c r="J70" s="1370"/>
      <c r="K70" s="1370"/>
      <c r="L70" s="1370"/>
      <c r="M70" s="1370"/>
      <c r="N70" s="1370"/>
      <c r="AB70" s="368" t="s">
        <v>1022</v>
      </c>
      <c r="AD70" s="368" t="s">
        <v>1031</v>
      </c>
    </row>
    <row r="71" spans="2:30" ht="15" customHeight="1" x14ac:dyDescent="0.25">
      <c r="B71" s="1373"/>
      <c r="C71" s="1373"/>
      <c r="D71" s="1373"/>
      <c r="E71" s="1373"/>
      <c r="F71" s="1370"/>
      <c r="G71" s="1370"/>
      <c r="H71" s="1370"/>
      <c r="I71" s="1370"/>
      <c r="J71" s="1370"/>
      <c r="K71" s="1370"/>
      <c r="L71" s="1370"/>
      <c r="M71" s="1370"/>
      <c r="N71" s="1370"/>
      <c r="AB71" s="184" t="s">
        <v>1029</v>
      </c>
      <c r="AD71" s="184" t="s">
        <v>1030</v>
      </c>
    </row>
    <row r="72" spans="2:30" x14ac:dyDescent="0.25">
      <c r="B72" s="1373"/>
      <c r="C72" s="1373"/>
      <c r="D72" s="1373"/>
      <c r="E72" s="1373"/>
      <c r="F72" s="1370"/>
      <c r="G72" s="1370"/>
      <c r="H72" s="1370"/>
      <c r="I72" s="1370"/>
      <c r="J72" s="1370"/>
      <c r="K72" s="1370"/>
      <c r="L72" s="1370"/>
      <c r="M72" s="1370"/>
      <c r="N72" s="1370"/>
    </row>
    <row r="73" spans="2:30" x14ac:dyDescent="0.25">
      <c r="B73" s="1373"/>
      <c r="C73" s="1373"/>
      <c r="D73" s="1373"/>
      <c r="E73" s="1373"/>
      <c r="F73" s="1370"/>
      <c r="G73" s="1370"/>
      <c r="H73" s="1370"/>
      <c r="I73" s="1370"/>
      <c r="J73" s="1370"/>
      <c r="K73" s="1370"/>
      <c r="L73" s="1370"/>
      <c r="M73" s="1370"/>
      <c r="N73" s="1370"/>
      <c r="AB73" s="184" t="s">
        <v>875</v>
      </c>
      <c r="AD73" s="184" t="s">
        <v>1085</v>
      </c>
    </row>
    <row r="74" spans="2:30" x14ac:dyDescent="0.25">
      <c r="B74" s="1373"/>
      <c r="C74" s="1373"/>
      <c r="D74" s="1373"/>
      <c r="E74" s="1373"/>
      <c r="F74" s="1370"/>
      <c r="G74" s="1370"/>
      <c r="H74" s="1370"/>
      <c r="I74" s="1370"/>
      <c r="J74" s="1370"/>
      <c r="K74" s="1370"/>
      <c r="L74" s="1370"/>
      <c r="M74" s="1370"/>
      <c r="N74" s="1370"/>
      <c r="AB74" s="184" t="s">
        <v>1086</v>
      </c>
      <c r="AD74" s="184" t="s">
        <v>1087</v>
      </c>
    </row>
    <row r="75" spans="2:30" x14ac:dyDescent="0.25">
      <c r="B75" s="1373"/>
      <c r="C75" s="1373"/>
      <c r="D75" s="1373"/>
      <c r="E75" s="1373"/>
      <c r="F75" s="1370"/>
      <c r="G75" s="1370"/>
      <c r="H75" s="1370"/>
      <c r="I75" s="1370"/>
      <c r="J75" s="1370"/>
      <c r="K75" s="1370"/>
      <c r="L75" s="1370"/>
      <c r="M75" s="1370"/>
      <c r="N75" s="1370"/>
      <c r="Y75" s="336" t="s">
        <v>1311</v>
      </c>
      <c r="AB75" s="338" t="s">
        <v>1311</v>
      </c>
      <c r="AC75" s="338" t="s">
        <v>725</v>
      </c>
      <c r="AD75" s="338" t="s">
        <v>802</v>
      </c>
    </row>
    <row r="76" spans="2:30" x14ac:dyDescent="0.25">
      <c r="B76" s="1373"/>
      <c r="C76" s="1373"/>
      <c r="D76" s="1373"/>
      <c r="E76" s="1373"/>
      <c r="F76" s="1370"/>
      <c r="G76" s="1370"/>
      <c r="H76" s="1370"/>
      <c r="I76" s="1370"/>
      <c r="J76" s="1370"/>
      <c r="K76" s="1370"/>
      <c r="L76" s="1370"/>
      <c r="M76" s="1370"/>
      <c r="N76" s="1370"/>
      <c r="Y76" s="337" t="s">
        <v>1312</v>
      </c>
      <c r="AB76" s="338" t="s">
        <v>1312</v>
      </c>
      <c r="AC76" s="338" t="s">
        <v>726</v>
      </c>
      <c r="AD76" s="338" t="s">
        <v>803</v>
      </c>
    </row>
    <row r="77" spans="2:30" x14ac:dyDescent="0.25">
      <c r="B77" s="1373"/>
      <c r="C77" s="1373"/>
      <c r="D77" s="1373"/>
      <c r="E77" s="1373"/>
      <c r="F77" s="1370"/>
      <c r="G77" s="1370"/>
      <c r="H77" s="1370"/>
      <c r="I77" s="1370"/>
      <c r="J77" s="1370"/>
      <c r="K77" s="1370"/>
      <c r="L77" s="1370"/>
      <c r="M77" s="1370"/>
      <c r="N77" s="1370"/>
      <c r="Y77" s="337" t="s">
        <v>5</v>
      </c>
      <c r="AB77" s="338" t="s">
        <v>5</v>
      </c>
      <c r="AC77" s="338" t="s">
        <v>641</v>
      </c>
      <c r="AD77" s="338" t="s">
        <v>641</v>
      </c>
    </row>
    <row r="78" spans="2:30" x14ac:dyDescent="0.25">
      <c r="B78" s="1373"/>
      <c r="C78" s="1373"/>
      <c r="D78" s="1373"/>
      <c r="E78" s="1373"/>
      <c r="F78" s="1370"/>
      <c r="G78" s="1370"/>
      <c r="H78" s="1370"/>
      <c r="I78" s="1370"/>
      <c r="J78" s="1370"/>
      <c r="K78" s="1370"/>
      <c r="L78" s="1370"/>
      <c r="M78" s="1370"/>
      <c r="N78" s="1370"/>
      <c r="Y78" s="337" t="s">
        <v>3</v>
      </c>
      <c r="AB78" s="338" t="s">
        <v>3</v>
      </c>
      <c r="AC78" s="338" t="s">
        <v>643</v>
      </c>
      <c r="AD78" s="338" t="s">
        <v>3</v>
      </c>
    </row>
    <row r="79" spans="2:30" x14ac:dyDescent="0.25">
      <c r="B79" s="1373"/>
      <c r="C79" s="1373"/>
      <c r="D79" s="1373"/>
      <c r="E79" s="1373"/>
      <c r="F79" s="1370"/>
      <c r="G79" s="1370"/>
      <c r="H79" s="1370"/>
      <c r="I79" s="1370"/>
      <c r="J79" s="1370"/>
      <c r="K79" s="1370"/>
      <c r="L79" s="1370"/>
      <c r="M79" s="1370"/>
      <c r="N79" s="1370"/>
      <c r="Y79" s="337" t="s">
        <v>2</v>
      </c>
      <c r="AB79" s="338" t="s">
        <v>2</v>
      </c>
      <c r="AC79" s="338" t="s">
        <v>645</v>
      </c>
      <c r="AD79" s="338" t="s">
        <v>781</v>
      </c>
    </row>
    <row r="80" spans="2:30" x14ac:dyDescent="0.25">
      <c r="B80" s="1373"/>
      <c r="C80" s="1373"/>
      <c r="D80" s="1373"/>
      <c r="E80" s="1373"/>
      <c r="F80" s="1370"/>
      <c r="G80" s="1370"/>
      <c r="H80" s="1370"/>
      <c r="I80" s="1370"/>
      <c r="J80" s="1370"/>
      <c r="K80" s="1370"/>
      <c r="L80" s="1370"/>
      <c r="M80" s="1370"/>
      <c r="N80" s="1370"/>
      <c r="Y80" s="336" t="s">
        <v>110</v>
      </c>
      <c r="AB80" s="338" t="s">
        <v>110</v>
      </c>
      <c r="AC80" s="338" t="s">
        <v>646</v>
      </c>
      <c r="AD80" s="338" t="s">
        <v>783</v>
      </c>
    </row>
    <row r="81" spans="2:30" x14ac:dyDescent="0.25">
      <c r="B81" s="1373"/>
      <c r="C81" s="1373"/>
      <c r="D81" s="1373"/>
      <c r="E81" s="1373"/>
      <c r="F81" s="1370"/>
      <c r="G81" s="1370"/>
      <c r="H81" s="1370"/>
      <c r="I81" s="1370"/>
      <c r="J81" s="1370"/>
      <c r="K81" s="1370"/>
      <c r="L81" s="1370"/>
      <c r="M81" s="1370"/>
      <c r="N81" s="1370"/>
      <c r="Y81" s="337" t="s">
        <v>727</v>
      </c>
      <c r="AB81" s="338" t="s">
        <v>727</v>
      </c>
      <c r="AC81" s="338" t="s">
        <v>728</v>
      </c>
      <c r="AD81" s="338" t="s">
        <v>804</v>
      </c>
    </row>
    <row r="82" spans="2:30" x14ac:dyDescent="0.25">
      <c r="B82" s="1373"/>
      <c r="C82" s="1373"/>
      <c r="D82" s="1373"/>
      <c r="E82" s="1373"/>
      <c r="F82" s="1370"/>
      <c r="G82" s="1370"/>
      <c r="H82" s="1370"/>
      <c r="I82" s="1370"/>
      <c r="J82" s="1370"/>
      <c r="K82" s="1370"/>
      <c r="L82" s="1370"/>
      <c r="M82" s="1370"/>
      <c r="N82" s="1370"/>
      <c r="Y82" s="337" t="s">
        <v>104</v>
      </c>
      <c r="AB82" s="338" t="s">
        <v>104</v>
      </c>
      <c r="AC82" s="338" t="s">
        <v>651</v>
      </c>
      <c r="AD82" s="338" t="s">
        <v>787</v>
      </c>
    </row>
    <row r="83" spans="2:30" x14ac:dyDescent="0.25">
      <c r="B83" s="1373"/>
      <c r="C83" s="1373"/>
      <c r="D83" s="1373"/>
      <c r="E83" s="1373"/>
      <c r="F83" s="1370"/>
      <c r="G83" s="1370"/>
      <c r="H83" s="1370"/>
      <c r="I83" s="1370"/>
      <c r="J83" s="1370"/>
      <c r="K83" s="1370"/>
      <c r="L83" s="1370"/>
      <c r="M83" s="1370"/>
      <c r="N83" s="1370"/>
      <c r="Y83" s="337" t="s">
        <v>130</v>
      </c>
      <c r="AB83" s="338" t="s">
        <v>130</v>
      </c>
      <c r="AC83" s="338" t="s">
        <v>689</v>
      </c>
      <c r="AD83" s="338" t="s">
        <v>805</v>
      </c>
    </row>
    <row r="84" spans="2:30" x14ac:dyDescent="0.25">
      <c r="B84" s="1373"/>
      <c r="C84" s="1373"/>
      <c r="D84" s="1373"/>
      <c r="E84" s="1373"/>
      <c r="F84" s="1370"/>
      <c r="G84" s="1370"/>
      <c r="H84" s="1370"/>
      <c r="I84" s="1370"/>
      <c r="J84" s="1370"/>
      <c r="K84" s="1370"/>
      <c r="L84" s="1370"/>
      <c r="M84" s="1370"/>
      <c r="N84" s="1370"/>
    </row>
    <row r="85" spans="2:30" x14ac:dyDescent="0.25">
      <c r="B85" s="1373"/>
      <c r="C85" s="1373"/>
      <c r="D85" s="1373"/>
      <c r="E85" s="1373"/>
      <c r="F85" s="1370"/>
      <c r="G85" s="1370"/>
      <c r="H85" s="1370"/>
      <c r="I85" s="1370"/>
      <c r="J85" s="1370"/>
      <c r="K85" s="1370"/>
      <c r="L85" s="1370"/>
      <c r="M85" s="1370"/>
      <c r="N85" s="1370"/>
      <c r="AB85" t="s">
        <v>1100</v>
      </c>
      <c r="AD85" s="184" t="s">
        <v>1101</v>
      </c>
    </row>
    <row r="86" spans="2:30" x14ac:dyDescent="0.25">
      <c r="B86" s="1373"/>
      <c r="C86" s="1373"/>
      <c r="D86" s="1373"/>
      <c r="E86" s="1373"/>
      <c r="F86" s="1370"/>
      <c r="G86" s="1370"/>
      <c r="H86" s="1370"/>
      <c r="I86" s="1370"/>
      <c r="J86" s="1370"/>
      <c r="K86" s="1370"/>
      <c r="L86" s="1370"/>
      <c r="M86" s="1370"/>
      <c r="N86" s="1370"/>
    </row>
    <row r="87" spans="2:30" x14ac:dyDescent="0.25">
      <c r="B87" s="1373"/>
      <c r="C87" s="1373"/>
      <c r="D87" s="1373"/>
      <c r="E87" s="1373"/>
      <c r="F87" s="1370"/>
      <c r="G87" s="1370"/>
      <c r="H87" s="1370"/>
      <c r="I87" s="1370"/>
      <c r="J87" s="1370"/>
      <c r="K87" s="1370"/>
      <c r="L87" s="1370"/>
      <c r="M87" s="1370"/>
      <c r="N87" s="1370"/>
    </row>
    <row r="88" spans="2:30" x14ac:dyDescent="0.25">
      <c r="B88" s="1373"/>
      <c r="C88" s="1373"/>
      <c r="D88" s="1373"/>
      <c r="E88" s="1373"/>
      <c r="F88" s="1370"/>
      <c r="G88" s="1370"/>
      <c r="H88" s="1370"/>
      <c r="I88" s="1370"/>
      <c r="J88" s="1370"/>
      <c r="K88" s="1370"/>
      <c r="L88" s="1370"/>
      <c r="M88" s="1370"/>
      <c r="N88" s="1370"/>
    </row>
    <row r="89" spans="2:30" hidden="1" x14ac:dyDescent="0.25"/>
    <row r="90" spans="2:30" ht="28.5" hidden="1" customHeight="1" x14ac:dyDescent="0.25">
      <c r="AB90"/>
      <c r="AC90"/>
      <c r="AD90"/>
    </row>
    <row r="91" spans="2:30" ht="14.25" customHeight="1" x14ac:dyDescent="0.25">
      <c r="K91" s="789"/>
      <c r="L91" s="788"/>
      <c r="M91" s="788"/>
      <c r="N91" s="788"/>
      <c r="AB91"/>
      <c r="AC91"/>
      <c r="AD91"/>
    </row>
    <row r="92" spans="2:30" ht="14.25" customHeight="1" x14ac:dyDescent="0.25">
      <c r="K92" s="788"/>
      <c r="L92" s="788"/>
      <c r="M92" s="788"/>
      <c r="N92" s="788"/>
      <c r="AB92"/>
      <c r="AC92"/>
      <c r="AD92"/>
    </row>
    <row r="93" spans="2:30" ht="14.25" customHeight="1" x14ac:dyDescent="0.25">
      <c r="B93" s="1325" t="str">
        <f>IF(Language="English", AB85, AD85)</f>
        <v xml:space="preserve">Prochain: Entrer donees de le source d'approvisionnement des méthodes modernes </v>
      </c>
      <c r="C93" s="1325"/>
      <c r="D93" s="1325"/>
      <c r="E93" s="1325"/>
      <c r="F93" s="1325"/>
      <c r="G93" s="1325"/>
      <c r="H93" s="1325"/>
      <c r="I93" s="1325"/>
      <c r="J93" s="1325"/>
      <c r="K93" s="1325"/>
      <c r="L93" s="1325"/>
      <c r="M93" s="1325"/>
      <c r="N93" s="788"/>
      <c r="AB93"/>
      <c r="AC93"/>
      <c r="AD93"/>
    </row>
    <row r="94" spans="2:30" ht="14.25" customHeight="1" x14ac:dyDescent="0.25">
      <c r="B94" s="1325"/>
      <c r="C94" s="1325"/>
      <c r="D94" s="1325"/>
      <c r="E94" s="1325"/>
      <c r="F94" s="1325"/>
      <c r="G94" s="1325"/>
      <c r="H94" s="1325"/>
      <c r="I94" s="1325"/>
      <c r="J94" s="1325"/>
      <c r="K94" s="1325"/>
      <c r="L94" s="1325"/>
      <c r="M94" s="1325"/>
      <c r="N94" s="788"/>
      <c r="AB94"/>
      <c r="AC94"/>
      <c r="AD94"/>
    </row>
    <row r="95" spans="2:30" ht="14.25" customHeight="1" x14ac:dyDescent="0.25">
      <c r="K95" s="788"/>
      <c r="L95" s="788"/>
      <c r="M95" s="788"/>
      <c r="N95" s="788"/>
      <c r="AB95"/>
      <c r="AC95"/>
      <c r="AD95"/>
    </row>
    <row r="96" spans="2:30" ht="14.25" customHeight="1" x14ac:dyDescent="0.25">
      <c r="K96" s="788"/>
      <c r="L96" s="788"/>
      <c r="M96" s="788"/>
      <c r="N96" s="788"/>
      <c r="AB96"/>
      <c r="AC96"/>
      <c r="AD96"/>
    </row>
    <row r="97" spans="11:30" ht="14.25" customHeight="1" x14ac:dyDescent="0.25">
      <c r="K97" s="788"/>
      <c r="L97" s="788"/>
      <c r="M97" s="788"/>
      <c r="N97" s="788"/>
      <c r="AB97"/>
      <c r="AC97"/>
      <c r="AD97"/>
    </row>
    <row r="98" spans="11:30" ht="14.25" customHeight="1" x14ac:dyDescent="0.25">
      <c r="K98" s="788"/>
      <c r="L98" s="788"/>
      <c r="M98" s="788"/>
      <c r="N98" s="788"/>
      <c r="AB98"/>
      <c r="AC98"/>
      <c r="AD98"/>
    </row>
    <row r="99" spans="11:30" x14ac:dyDescent="0.25">
      <c r="AB99"/>
      <c r="AC99"/>
      <c r="AD99"/>
    </row>
    <row r="100" spans="11:30" x14ac:dyDescent="0.25">
      <c r="AB100"/>
      <c r="AC100"/>
      <c r="AD100"/>
    </row>
    <row r="101" spans="11:30" x14ac:dyDescent="0.25">
      <c r="AB101"/>
      <c r="AC101"/>
      <c r="AD101"/>
    </row>
  </sheetData>
  <mergeCells count="198">
    <mergeCell ref="B72:C72"/>
    <mergeCell ref="B73:C73"/>
    <mergeCell ref="B74:C74"/>
    <mergeCell ref="B75:C75"/>
    <mergeCell ref="B76:C76"/>
    <mergeCell ref="I19:J19"/>
    <mergeCell ref="B65:N65"/>
    <mergeCell ref="B69:C69"/>
    <mergeCell ref="B70:C70"/>
    <mergeCell ref="B71:C71"/>
    <mergeCell ref="K68:L68"/>
    <mergeCell ref="M68:N68"/>
    <mergeCell ref="B67:C68"/>
    <mergeCell ref="D67:E68"/>
    <mergeCell ref="I75:J75"/>
    <mergeCell ref="I76:J76"/>
    <mergeCell ref="B33:O33"/>
    <mergeCell ref="K40:L40"/>
    <mergeCell ref="K41:L41"/>
    <mergeCell ref="K42:L42"/>
    <mergeCell ref="K43:L43"/>
    <mergeCell ref="K44:L44"/>
    <mergeCell ref="K45:L45"/>
    <mergeCell ref="B36:O36"/>
    <mergeCell ref="B12:O12"/>
    <mergeCell ref="B1:P2"/>
    <mergeCell ref="I4:J4"/>
    <mergeCell ref="I6:J6"/>
    <mergeCell ref="I26:J26"/>
    <mergeCell ref="I27:J27"/>
    <mergeCell ref="I28:J28"/>
    <mergeCell ref="I29:J29"/>
    <mergeCell ref="I30:J30"/>
    <mergeCell ref="B14:O14"/>
    <mergeCell ref="B23:O23"/>
    <mergeCell ref="I21:J21"/>
    <mergeCell ref="I17:J17"/>
    <mergeCell ref="I18:J18"/>
    <mergeCell ref="I20:J20"/>
    <mergeCell ref="B87:C87"/>
    <mergeCell ref="B88:C88"/>
    <mergeCell ref="D69:E69"/>
    <mergeCell ref="D70:E70"/>
    <mergeCell ref="D71:E71"/>
    <mergeCell ref="D72:E72"/>
    <mergeCell ref="D73:E73"/>
    <mergeCell ref="D74:E74"/>
    <mergeCell ref="D75:E75"/>
    <mergeCell ref="D76:E76"/>
    <mergeCell ref="D77:E77"/>
    <mergeCell ref="D78:E78"/>
    <mergeCell ref="D79:E79"/>
    <mergeCell ref="D80:E80"/>
    <mergeCell ref="B82:C82"/>
    <mergeCell ref="B83:C83"/>
    <mergeCell ref="B84:C84"/>
    <mergeCell ref="B85:C85"/>
    <mergeCell ref="B86:C86"/>
    <mergeCell ref="B77:C77"/>
    <mergeCell ref="B78:C78"/>
    <mergeCell ref="B79:C79"/>
    <mergeCell ref="B80:C80"/>
    <mergeCell ref="B81:C81"/>
    <mergeCell ref="D86:E86"/>
    <mergeCell ref="D87:E87"/>
    <mergeCell ref="D88:E88"/>
    <mergeCell ref="I68:J68"/>
    <mergeCell ref="F68:H68"/>
    <mergeCell ref="F70:H70"/>
    <mergeCell ref="F71:H71"/>
    <mergeCell ref="F72:H72"/>
    <mergeCell ref="F73:H73"/>
    <mergeCell ref="F74:H74"/>
    <mergeCell ref="F75:H75"/>
    <mergeCell ref="F76:H76"/>
    <mergeCell ref="F77:H77"/>
    <mergeCell ref="D81:E81"/>
    <mergeCell ref="D82:E82"/>
    <mergeCell ref="D83:E83"/>
    <mergeCell ref="D84:E84"/>
    <mergeCell ref="D85:E85"/>
    <mergeCell ref="F88:H88"/>
    <mergeCell ref="I70:J70"/>
    <mergeCell ref="I71:J71"/>
    <mergeCell ref="I72:J72"/>
    <mergeCell ref="I73:J73"/>
    <mergeCell ref="I74:J74"/>
    <mergeCell ref="I77:J77"/>
    <mergeCell ref="I78:J78"/>
    <mergeCell ref="I79:J79"/>
    <mergeCell ref="I80:J80"/>
    <mergeCell ref="F83:H83"/>
    <mergeCell ref="F84:H84"/>
    <mergeCell ref="F85:H85"/>
    <mergeCell ref="F86:H86"/>
    <mergeCell ref="F87:H87"/>
    <mergeCell ref="F78:H78"/>
    <mergeCell ref="F79:H79"/>
    <mergeCell ref="F80:H80"/>
    <mergeCell ref="F81:H81"/>
    <mergeCell ref="F82:H82"/>
    <mergeCell ref="K85:L85"/>
    <mergeCell ref="K86:L86"/>
    <mergeCell ref="K87:L87"/>
    <mergeCell ref="I86:J86"/>
    <mergeCell ref="I87:J87"/>
    <mergeCell ref="I88:J88"/>
    <mergeCell ref="K70:L70"/>
    <mergeCell ref="K71:L71"/>
    <mergeCell ref="K72:L72"/>
    <mergeCell ref="K73:L73"/>
    <mergeCell ref="K74:L74"/>
    <mergeCell ref="K75:L75"/>
    <mergeCell ref="K76:L76"/>
    <mergeCell ref="K77:L77"/>
    <mergeCell ref="K78:L78"/>
    <mergeCell ref="K79:L79"/>
    <mergeCell ref="K80:L80"/>
    <mergeCell ref="K81:L81"/>
    <mergeCell ref="K82:L82"/>
    <mergeCell ref="I81:J81"/>
    <mergeCell ref="I82:J82"/>
    <mergeCell ref="I83:J83"/>
    <mergeCell ref="I84:J84"/>
    <mergeCell ref="I85:J85"/>
    <mergeCell ref="M85:N85"/>
    <mergeCell ref="M86:N86"/>
    <mergeCell ref="M87:N87"/>
    <mergeCell ref="M88:N88"/>
    <mergeCell ref="F67:N67"/>
    <mergeCell ref="F69:N69"/>
    <mergeCell ref="K88:L88"/>
    <mergeCell ref="M70:N70"/>
    <mergeCell ref="M71:N71"/>
    <mergeCell ref="M72:N72"/>
    <mergeCell ref="M73:N73"/>
    <mergeCell ref="M74:N74"/>
    <mergeCell ref="M75:N75"/>
    <mergeCell ref="M76:N76"/>
    <mergeCell ref="M77:N77"/>
    <mergeCell ref="M78:N78"/>
    <mergeCell ref="M79:N79"/>
    <mergeCell ref="M80:N80"/>
    <mergeCell ref="M81:N81"/>
    <mergeCell ref="M82:N82"/>
    <mergeCell ref="M83:N83"/>
    <mergeCell ref="M84:N84"/>
    <mergeCell ref="K83:L83"/>
    <mergeCell ref="K84:L84"/>
    <mergeCell ref="K53:L53"/>
    <mergeCell ref="K49:L49"/>
    <mergeCell ref="K50:L50"/>
    <mergeCell ref="K51:L51"/>
    <mergeCell ref="K52:L52"/>
    <mergeCell ref="K46:L46"/>
    <mergeCell ref="C39:D39"/>
    <mergeCell ref="B35:O35"/>
    <mergeCell ref="K39:L39"/>
    <mergeCell ref="E49:G49"/>
    <mergeCell ref="E50:G50"/>
    <mergeCell ref="E51:G51"/>
    <mergeCell ref="E52:G52"/>
    <mergeCell ref="E53:G53"/>
    <mergeCell ref="H46:J46"/>
    <mergeCell ref="K38:L38"/>
    <mergeCell ref="E54:G54"/>
    <mergeCell ref="E55:G55"/>
    <mergeCell ref="H49:J49"/>
    <mergeCell ref="H50:J50"/>
    <mergeCell ref="H51:J51"/>
    <mergeCell ref="H52:J52"/>
    <mergeCell ref="H53:J53"/>
    <mergeCell ref="H54:J54"/>
    <mergeCell ref="H55:J55"/>
    <mergeCell ref="B93:M94"/>
    <mergeCell ref="K54:L54"/>
    <mergeCell ref="K55:L55"/>
    <mergeCell ref="B61:O61"/>
    <mergeCell ref="B63:O63"/>
    <mergeCell ref="E38:G38"/>
    <mergeCell ref="E39:G39"/>
    <mergeCell ref="E40:G40"/>
    <mergeCell ref="E41:G41"/>
    <mergeCell ref="E42:G42"/>
    <mergeCell ref="E43:G43"/>
    <mergeCell ref="E44:G44"/>
    <mergeCell ref="E45:G45"/>
    <mergeCell ref="E46:G46"/>
    <mergeCell ref="E47:G47"/>
    <mergeCell ref="E48:G48"/>
    <mergeCell ref="H38:J38"/>
    <mergeCell ref="H39:J39"/>
    <mergeCell ref="H40:J40"/>
    <mergeCell ref="H41:J41"/>
    <mergeCell ref="H42:J42"/>
    <mergeCell ref="H43:J43"/>
    <mergeCell ref="H44:J44"/>
    <mergeCell ref="H45:J45"/>
  </mergeCells>
  <conditionalFormatting sqref="I6:J6">
    <cfRule type="expression" dxfId="284" priority="108">
      <formula>$T$6="Yes"</formula>
    </cfRule>
  </conditionalFormatting>
  <conditionalFormatting sqref="C27 C29:C30">
    <cfRule type="expression" dxfId="283" priority="31">
      <formula>$C$26="Oui"</formula>
    </cfRule>
    <cfRule type="expression" dxfId="282" priority="32">
      <formula>$C$26="Yes"</formula>
    </cfRule>
  </conditionalFormatting>
  <conditionalFormatting sqref="C18:C21">
    <cfRule type="expression" dxfId="281" priority="25">
      <formula>$C$17="Yes"</formula>
    </cfRule>
    <cfRule type="expression" dxfId="280" priority="26">
      <formula>$C$17="Oui"</formula>
    </cfRule>
  </conditionalFormatting>
  <conditionalFormatting sqref="K18 K20:K21">
    <cfRule type="expression" dxfId="279" priority="23">
      <formula>$K$17="Oui"</formula>
    </cfRule>
    <cfRule type="expression" dxfId="278" priority="24">
      <formula>$K$17="Yes"</formula>
    </cfRule>
  </conditionalFormatting>
  <conditionalFormatting sqref="K27 K29:K30">
    <cfRule type="expression" dxfId="277" priority="21">
      <formula>$K$26="Oui"</formula>
    </cfRule>
    <cfRule type="expression" dxfId="276" priority="22">
      <formula>$K$26="Yes"</formula>
    </cfRule>
  </conditionalFormatting>
  <conditionalFormatting sqref="E40:E46">
    <cfRule type="expression" dxfId="275" priority="20">
      <formula>$E$39="N/A"</formula>
    </cfRule>
  </conditionalFormatting>
  <conditionalFormatting sqref="H40:H46">
    <cfRule type="expression" dxfId="274" priority="19">
      <formula>$H$39="N/A"</formula>
    </cfRule>
  </conditionalFormatting>
  <conditionalFormatting sqref="K40:K46">
    <cfRule type="expression" dxfId="273" priority="16">
      <formula>$K$39="N/A"</formula>
    </cfRule>
  </conditionalFormatting>
  <conditionalFormatting sqref="E49:E55 H49:H55">
    <cfRule type="expression" dxfId="272" priority="15">
      <formula>$E$39="N/A"</formula>
    </cfRule>
  </conditionalFormatting>
  <conditionalFormatting sqref="K49:K55">
    <cfRule type="expression" dxfId="271" priority="13">
      <formula>$K$39="N/A"</formula>
    </cfRule>
  </conditionalFormatting>
  <conditionalFormatting sqref="C28">
    <cfRule type="expression" dxfId="270" priority="5">
      <formula>$C$26="Oui"</formula>
    </cfRule>
    <cfRule type="expression" dxfId="269" priority="6">
      <formula>$C$26="Yes"</formula>
    </cfRule>
  </conditionalFormatting>
  <conditionalFormatting sqref="K28">
    <cfRule type="expression" dxfId="268" priority="3">
      <formula>$K$26="Oui"</formula>
    </cfRule>
    <cfRule type="expression" dxfId="267" priority="4">
      <formula>$K$26="Yes"</formula>
    </cfRule>
  </conditionalFormatting>
  <conditionalFormatting sqref="K19">
    <cfRule type="expression" dxfId="266" priority="1">
      <formula>$K$17="Oui"</formula>
    </cfRule>
    <cfRule type="expression" dxfId="265" priority="2">
      <formula>$K$17="Yes"</formula>
    </cfRule>
  </conditionalFormatting>
  <dataValidations count="6">
    <dataValidation type="list" allowBlank="1" showInputMessage="1" showErrorMessage="1" sqref="C5 C7 C9" xr:uid="{00000000-0002-0000-0300-000000000000}">
      <formula1>Country</formula1>
    </dataValidation>
    <dataValidation type="whole" allowBlank="1" showInputMessage="1" showErrorMessage="1" error="Please only enter years for which you have a full year of data available (2021 or earlier). _x000a_" sqref="K29 C29 C20" xr:uid="{00000000-0002-0000-0300-000004000000}">
      <formula1>2006</formula1>
      <formula2>2021</formula2>
    </dataValidation>
    <dataValidation type="list" allowBlank="1" showInputMessage="1" showErrorMessage="1" sqref="I4:J4" xr:uid="{00000000-0002-0000-0300-000005000000}">
      <formula1>$AA$2:$AA$3</formula1>
    </dataValidation>
    <dataValidation type="list" allowBlank="1" showInputMessage="1" showErrorMessage="1" sqref="K40:K46 E40:E46 H40:H46" xr:uid="{D6BDDCD3-F0E7-4764-99FE-D76ECC895B5C}">
      <formula1>ScalingUp?</formula1>
    </dataValidation>
    <dataValidation type="whole" operator="greaterThan" allowBlank="1" showInputMessage="1" showErrorMessage="1" errorTitle="Start Year too Early" error="Please start with the year 2006 or later //_x000a_Veuillez commencer par l'année 2006 ou plus tard. " sqref="C19 K19 C28 K28" xr:uid="{A821C6F7-3949-40D6-85F2-B04EE467FC3D}">
      <formula1>2005</formula1>
    </dataValidation>
    <dataValidation type="whole" allowBlank="1" showInputMessage="1" showErrorMessage="1" error="Please only enter years for which you have a full year of data available (2021_x000a_ or earlier). _x000a_" sqref="K20" xr:uid="{54A6334F-B7F2-4710-B7DF-D40F75827616}">
      <formula1>2006</formula1>
      <formula2>2021</formula2>
    </dataValidation>
  </dataValidations>
  <hyperlinks>
    <hyperlink ref="K93:M94" location="'4. FPSource Set Up'!A1" tooltip="Click to Move to the Next Step" display="'4. FPSource Set Up'!A1" xr:uid="{00000000-0004-0000-0300-000000000000}"/>
  </hyperlink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300-000006000000}">
          <x14:formula1>
            <xm:f>'Language Look Ups'!$C$5:$D$5</xm:f>
          </x14:formula1>
          <xm:sqref>C6 C17 C26 K17 K26</xm:sqref>
        </x14:dataValidation>
        <x14:dataValidation type="list" allowBlank="1" showInputMessage="1" showErrorMessage="1" error="You must enter a year" xr:uid="{00000000-0002-0000-0300-000009000000}">
          <x14:formula1>
            <xm:f>'Language Look Ups'!$B$30:$B$32</xm:f>
          </x14:formula1>
          <xm:sqref>C21 C30 K21 K30</xm:sqref>
        </x14:dataValidation>
        <x14:dataValidation type="list" allowBlank="1" showInputMessage="1" showErrorMessage="1" xr:uid="{00000000-0002-0000-0300-000007000000}">
          <x14:formula1>
            <xm:f>'Language Look Ups'!$G$5:$H$5</xm:f>
          </x14:formula1>
          <xm:sqref>C8</xm:sqref>
        </x14:dataValidation>
        <x14:dataValidation type="list" allowBlank="1" showInputMessage="1" showErrorMessage="1" xr:uid="{9686BA7D-110C-4AE9-949A-642ED9AE5FA8}">
          <x14:formula1>
            <xm:f>'Language Look Ups'!$C$5:$E$5</xm:f>
          </x14:formula1>
          <xm:sqref>I70:I88 K70:K88 M70:M88 F70:F88</xm:sqref>
        </x14:dataValidation>
        <x14:dataValidation type="list" allowBlank="1" showInputMessage="1" showErrorMessage="1" xr:uid="{00000000-0002-0000-0300-000008000000}">
          <x14:formula1>
            <xm:f>'Modern Method Mix 2022'!$C$5:$C$74</xm:f>
          </x14:formula1>
          <xm:sqref>C4</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8"/>
    <pageSetUpPr autoPageBreaks="0"/>
  </sheetPr>
  <dimension ref="A1:AE173"/>
  <sheetViews>
    <sheetView showGridLines="0" zoomScale="80" zoomScaleNormal="80" workbookViewId="0">
      <selection activeCell="E20" sqref="E20"/>
    </sheetView>
  </sheetViews>
  <sheetFormatPr defaultRowHeight="15" outlineLevelRow="1" x14ac:dyDescent="0.25"/>
  <cols>
    <col min="1" max="1" width="8" customWidth="1"/>
    <col min="2" max="2" width="26.85546875" customWidth="1"/>
    <col min="3" max="3" width="26.85546875" hidden="1" customWidth="1"/>
    <col min="4" max="4" width="27.28515625" customWidth="1"/>
    <col min="5" max="10" width="21.42578125" customWidth="1"/>
    <col min="11" max="16" width="3.5703125" customWidth="1"/>
    <col min="17" max="17" width="11.28515625" customWidth="1"/>
    <col min="18" max="18" width="4.140625" style="489" customWidth="1"/>
    <col min="19" max="19" width="9.140625" hidden="1" customWidth="1"/>
    <col min="20" max="20" width="36.7109375" hidden="1" customWidth="1"/>
    <col min="21" max="21" width="12.7109375" hidden="1" customWidth="1"/>
    <col min="22" max="22" width="13.5703125" hidden="1" customWidth="1"/>
    <col min="23" max="28" width="9.140625" hidden="1" customWidth="1"/>
    <col min="29" max="31" width="20.7109375" hidden="1" customWidth="1"/>
    <col min="32" max="32" width="9.140625" customWidth="1"/>
  </cols>
  <sheetData>
    <row r="1" spans="1:31" ht="42.75" customHeight="1" x14ac:dyDescent="0.4">
      <c r="A1" s="287"/>
      <c r="B1" s="586" t="str">
        <f>IF(Language="English", AC2, AE2)</f>
        <v>Configuration : Entrez les Ajustements du Secteur Privé</v>
      </c>
      <c r="C1" s="609"/>
      <c r="D1" s="609"/>
      <c r="E1" s="609"/>
      <c r="F1" s="609"/>
      <c r="G1" s="609"/>
      <c r="H1" s="609"/>
      <c r="I1" s="609"/>
      <c r="J1" s="609"/>
      <c r="K1" s="609"/>
      <c r="L1" s="609"/>
      <c r="M1" s="609"/>
      <c r="N1" s="609"/>
      <c r="O1" s="609"/>
      <c r="P1" s="656" t="str">
        <f>IF(V2="Yes", V1&amp;" : "&amp;V4, V1&amp;" : "&amp;"National")</f>
        <v>0 : National</v>
      </c>
      <c r="Q1" s="609"/>
      <c r="U1" s="30" t="s">
        <v>10</v>
      </c>
      <c r="V1">
        <f>Country_Selected</f>
        <v>0</v>
      </c>
      <c r="AC1" s="338" t="s">
        <v>628</v>
      </c>
      <c r="AD1" s="338" t="s">
        <v>656</v>
      </c>
      <c r="AE1" s="338" t="s">
        <v>740</v>
      </c>
    </row>
    <row r="2" spans="1:31" ht="7.5" customHeight="1" x14ac:dyDescent="0.25">
      <c r="U2" s="30" t="s">
        <v>798</v>
      </c>
      <c r="V2" t="str">
        <f>Subnational_YN</f>
        <v>No</v>
      </c>
      <c r="AC2" t="s">
        <v>849</v>
      </c>
      <c r="AE2" t="s">
        <v>850</v>
      </c>
    </row>
    <row r="3" spans="1:31" ht="65.45" customHeight="1" x14ac:dyDescent="0.25">
      <c r="B3" s="1386" t="str">
        <f>IF(Language="English", AC3, AE3)</f>
        <v>CONFIGURATION: utilisez cet onglet pour examiner et modifier le facteur d'ajustement utilisé pour ajuster pour le secteur privé ne rapportent pas dans le SNIS. En utilisant ce facteur d'ajustement, nous gonflerons le volume de produits / services / utilisatrices de PF saisis afin d'obtenir une estimation représentative au niveau national de l'utilisation des contraceptifs.</v>
      </c>
      <c r="C3" s="1386">
        <f>IF(Language="English", AD4, AF4)</f>
        <v>0</v>
      </c>
      <c r="D3" s="1386"/>
      <c r="E3" s="1386">
        <f t="shared" ref="E3" si="0">IF(Language="English", AE4, AG4)</f>
        <v>0</v>
      </c>
      <c r="F3" s="1386">
        <f t="shared" ref="F3" si="1">IF(Language="English", AF4, AH4)</f>
        <v>0</v>
      </c>
      <c r="G3" s="1386">
        <f t="shared" ref="G3" si="2">IF(Language="English", AG4, AI4)</f>
        <v>0</v>
      </c>
      <c r="H3" s="1386">
        <f t="shared" ref="H3" si="3">IF(Language="English", AH4, AJ4)</f>
        <v>0</v>
      </c>
      <c r="I3" s="1386">
        <f t="shared" ref="I3" si="4">IF(Language="English", AI4, AK4)</f>
        <v>0</v>
      </c>
      <c r="J3" s="1386">
        <f t="shared" ref="J3" si="5">IF(Language="English", AJ4, AL4)</f>
        <v>0</v>
      </c>
      <c r="K3" s="1386">
        <f t="shared" ref="K3" si="6">IF(Language="English", AK4, AM4)</f>
        <v>0</v>
      </c>
      <c r="L3" s="1386">
        <f t="shared" ref="L3" si="7">IF(Language="English", AL4, AN4)</f>
        <v>0</v>
      </c>
      <c r="M3" s="1386">
        <f t="shared" ref="M3" si="8">IF(Language="English", AM4, AO4)</f>
        <v>0</v>
      </c>
      <c r="N3" s="1386">
        <f t="shared" ref="N3" si="9">IF(Language="English", AN4, AP4)</f>
        <v>0</v>
      </c>
      <c r="O3" s="1386">
        <f t="shared" ref="O3" si="10">IF(Language="English", AO4, AQ4)</f>
        <v>0</v>
      </c>
      <c r="P3" s="1386">
        <f t="shared" ref="P3" si="11">IF(Language="English", AP4, AR4)</f>
        <v>0</v>
      </c>
      <c r="U3" s="30"/>
      <c r="AC3" s="1088" t="s">
        <v>1289</v>
      </c>
      <c r="AE3" s="1088" t="s">
        <v>2429</v>
      </c>
    </row>
    <row r="4" spans="1:31" ht="72.599999999999994" customHeight="1" x14ac:dyDescent="0.25">
      <c r="B4" s="1424" t="str">
        <f>IF(Language="English", AC4, AE4)</f>
        <v>En général, la planification familiale est fournie à la fois dans le secteur public et privé. Tous les prestataires privés ne rapportent pas au SNIS du gouvernement.
Les données et calculs ci-dessous sont destinés à aider à rendre compte des services de PF qui sont fournis par le biais de sources de planification familiale qui ne sont pas représentées dans le SNIS du gouvernement.
Dans cet onglet, vous examinerez et aurez la possibilité de modifier le facteur d'ajustement qui sera utilisé pour ajuster (gonfler) vos numéros de service pour tenir compte des secteurs qui ne sont pas inclus dans vos données. Veuillez lire les instructions et examiner attentivement les données ci-dessous car cela aura un impact sur vos estimations finales de l'EMU.</v>
      </c>
      <c r="C4" s="1424">
        <f>IF(Language="English", AD5, AF5)</f>
        <v>0</v>
      </c>
      <c r="D4" s="1424"/>
      <c r="E4" s="1424">
        <f t="shared" ref="E4:P4" si="12">IF(Language="English", AE5, AG5)</f>
        <v>0</v>
      </c>
      <c r="F4" s="1424">
        <f t="shared" si="12"/>
        <v>0</v>
      </c>
      <c r="G4" s="1424">
        <f t="shared" si="12"/>
        <v>0</v>
      </c>
      <c r="H4" s="1424">
        <f t="shared" si="12"/>
        <v>0</v>
      </c>
      <c r="I4" s="1424">
        <f t="shared" si="12"/>
        <v>0</v>
      </c>
      <c r="J4" s="1424">
        <f t="shared" si="12"/>
        <v>0</v>
      </c>
      <c r="K4" s="1424">
        <f t="shared" si="12"/>
        <v>0</v>
      </c>
      <c r="L4" s="1424">
        <f t="shared" si="12"/>
        <v>0</v>
      </c>
      <c r="M4" s="1424">
        <f t="shared" si="12"/>
        <v>0</v>
      </c>
      <c r="N4" s="1424">
        <f t="shared" si="12"/>
        <v>0</v>
      </c>
      <c r="O4" s="1424">
        <f t="shared" si="12"/>
        <v>0</v>
      </c>
      <c r="P4" s="1424">
        <f t="shared" si="12"/>
        <v>0</v>
      </c>
      <c r="U4" s="30" t="s">
        <v>808</v>
      </c>
      <c r="V4">
        <f>'3. ServiceStats Set Up'!I6</f>
        <v>0</v>
      </c>
      <c r="AC4" s="1088" t="s">
        <v>1291</v>
      </c>
      <c r="AD4" s="338"/>
      <c r="AE4" s="1088" t="s">
        <v>1303</v>
      </c>
    </row>
    <row r="5" spans="1:31" ht="9" customHeight="1" x14ac:dyDescent="0.25">
      <c r="C5" s="612"/>
      <c r="D5" s="612"/>
      <c r="E5" s="612"/>
      <c r="F5" s="612"/>
      <c r="G5" s="612"/>
      <c r="H5" s="612"/>
      <c r="I5" s="612"/>
      <c r="J5" s="612"/>
      <c r="K5" s="612"/>
      <c r="L5" s="612"/>
      <c r="M5" s="612"/>
      <c r="N5" s="612"/>
      <c r="O5" s="612"/>
      <c r="P5" s="612"/>
      <c r="U5" s="30" t="s">
        <v>122</v>
      </c>
      <c r="V5" t="e">
        <f>HLOOKUP('3. ServiceStats Set Up'!C8, 'Language Look Ups'!$G$5:$H$9, 5, FALSE)</f>
        <v>#N/A</v>
      </c>
      <c r="AC5" s="372" t="s">
        <v>1288</v>
      </c>
      <c r="AD5" s="338"/>
      <c r="AE5" s="338" t="s">
        <v>2430</v>
      </c>
    </row>
    <row r="6" spans="1:31" ht="22.9" hidden="1" customHeight="1" x14ac:dyDescent="0.25">
      <c r="B6" s="1424" t="str">
        <f>IF(Language="English", AC5, AE5)</f>
        <v>En utilisant les données de l'EDS sur la méthode contraceptive par méthode, nous pouvons ajuster nos estimations pour tenter d'intégrer les utilisatrices qui accèdent aux services d'autres secteurs qui ne déclarent pas dans les systèmes nationaux d'information sur la santé.</v>
      </c>
      <c r="C6" s="1424"/>
      <c r="D6" s="1424"/>
      <c r="E6" s="1424"/>
      <c r="F6" s="1424"/>
      <c r="G6" s="1424"/>
      <c r="H6" s="1424"/>
      <c r="I6" s="1424"/>
      <c r="J6" s="1424"/>
      <c r="K6" s="1424"/>
      <c r="L6" s="1424"/>
      <c r="M6" s="1424"/>
      <c r="N6" s="1424"/>
      <c r="O6" s="1424"/>
      <c r="P6" s="1424"/>
      <c r="AC6" t="s">
        <v>986</v>
      </c>
      <c r="AE6" t="s">
        <v>987</v>
      </c>
    </row>
    <row r="7" spans="1:31" ht="6" customHeight="1" x14ac:dyDescent="0.25">
      <c r="AC7" s="184"/>
      <c r="AD7" s="184"/>
      <c r="AE7" s="184"/>
    </row>
    <row r="8" spans="1:31" ht="15.75" x14ac:dyDescent="0.25">
      <c r="B8" s="636" t="str">
        <f>IF(Language="English", AC6, AE6)</f>
        <v>Pays :</v>
      </c>
      <c r="C8" s="577"/>
      <c r="D8" s="1434">
        <f>V1</f>
        <v>0</v>
      </c>
      <c r="E8" s="1434"/>
      <c r="F8" s="1434"/>
      <c r="AC8" s="184"/>
      <c r="AD8" s="184"/>
      <c r="AE8" s="184"/>
    </row>
    <row r="9" spans="1:31" ht="5.25" customHeight="1" thickBot="1" x14ac:dyDescent="0.3">
      <c r="B9" s="637"/>
      <c r="C9" s="577"/>
      <c r="D9" s="577"/>
      <c r="E9" s="577"/>
      <c r="F9" s="577"/>
      <c r="AC9" s="184"/>
      <c r="AD9" s="184"/>
      <c r="AE9" s="184"/>
    </row>
    <row r="10" spans="1:31" ht="16.5" thickBot="1" x14ac:dyDescent="0.3">
      <c r="B10" s="636" t="s">
        <v>988</v>
      </c>
      <c r="C10" s="638"/>
      <c r="D10" s="1425" t="str">
        <f>IFERROR(VLOOKUP($V$1,FPSource!B3:$C$531,2,FALSE),"No DHS Available - replace with your own data if available")</f>
        <v>No DHS Available - replace with your own data if available</v>
      </c>
      <c r="E10" s="1426"/>
      <c r="F10" s="1427"/>
      <c r="AC10" s="184"/>
      <c r="AD10" s="184"/>
      <c r="AE10" s="184"/>
    </row>
    <row r="11" spans="1:31" ht="6" customHeight="1" x14ac:dyDescent="0.25">
      <c r="B11" s="383"/>
      <c r="C11" s="32"/>
      <c r="D11" s="32"/>
      <c r="AC11" s="184"/>
      <c r="AD11" s="184"/>
      <c r="AE11" s="184"/>
    </row>
    <row r="12" spans="1:31" ht="27" thickBot="1" x14ac:dyDescent="0.45">
      <c r="A12" s="509"/>
      <c r="B12" s="243" t="str">
        <f>IF(Language="English", AC12, AE12)</f>
        <v xml:space="preserve">Étape 1 de 3 : Entrer ou vérifier source d'approvisionnement des méthodes modernes </v>
      </c>
      <c r="C12" s="243"/>
      <c r="D12" s="243"/>
      <c r="E12" s="243"/>
      <c r="F12" s="243"/>
      <c r="G12" s="243"/>
      <c r="H12" s="243"/>
      <c r="I12" s="243"/>
      <c r="J12" s="243"/>
      <c r="K12" s="243"/>
      <c r="L12" s="243"/>
      <c r="M12" s="243"/>
      <c r="N12" s="508"/>
      <c r="O12" s="508"/>
      <c r="P12" s="508"/>
      <c r="Q12" s="508"/>
      <c r="AC12" t="s">
        <v>1016</v>
      </c>
      <c r="AD12" s="184"/>
      <c r="AE12" s="184" t="s">
        <v>1017</v>
      </c>
    </row>
    <row r="13" spans="1:31" ht="20.25" customHeight="1" x14ac:dyDescent="0.25">
      <c r="B13" s="1418" t="str">
        <f>IF(Language="English", AC13, AE13)</f>
        <v xml:space="preserve">Répartition (en %) des utilisatrices actuelles de méthodes contraceptives modernes âgées de 15-49 ans par source d'approvisionnement la plus récente, en fonction de la méthode. </v>
      </c>
      <c r="C13" s="1418"/>
      <c r="D13" s="1418"/>
      <c r="E13" s="1418"/>
      <c r="F13" s="1418"/>
      <c r="G13" s="1418"/>
      <c r="H13" s="1418"/>
      <c r="I13" s="1418"/>
      <c r="J13" s="1418"/>
      <c r="K13" s="1418"/>
      <c r="L13" s="1418"/>
      <c r="M13" s="1418"/>
      <c r="AC13" s="184" t="s">
        <v>910</v>
      </c>
      <c r="AD13" s="184"/>
      <c r="AE13" s="184" t="s">
        <v>911</v>
      </c>
    </row>
    <row r="14" spans="1:31" ht="51" customHeight="1" x14ac:dyDescent="0.25">
      <c r="B14" s="1428" t="str">
        <f>IF(Language="English", AC14, AE14)</f>
        <v>Ce tableau est pré-rempli avec les données de l'EDS. Si votre pays n'a pas eu d'EDS, ces cellules seront vides et devront être renseignées avec d'autres sources de données ou selon votre meilleur jugement. Dans les pays dotés d'une EDS, les cellules vides ne sont pas disponibles pour une méthode donnée. Les cellules vides peuvent être laissées vides. Dans ce cas, l'outil suppose que les services déclarés dans vos données représentent 100% de ceux fournis dans l'année.</v>
      </c>
      <c r="C14" s="1428"/>
      <c r="D14" s="1428"/>
      <c r="E14" s="1428"/>
      <c r="F14" s="1428"/>
      <c r="G14" s="1428"/>
      <c r="H14" s="1428"/>
      <c r="I14" s="1428"/>
      <c r="J14" s="1428"/>
      <c r="K14" s="1428"/>
      <c r="L14" s="1428"/>
      <c r="M14" s="1428"/>
      <c r="AC14" s="184" t="s">
        <v>916</v>
      </c>
      <c r="AD14" s="184"/>
      <c r="AE14" s="184" t="s">
        <v>1127</v>
      </c>
    </row>
    <row r="15" spans="1:31" ht="7.5" customHeight="1" thickBot="1" x14ac:dyDescent="0.3">
      <c r="B15" s="507"/>
      <c r="C15" s="507"/>
      <c r="D15" s="507"/>
      <c r="E15" s="507"/>
      <c r="F15" s="507"/>
      <c r="G15" s="507"/>
      <c r="H15" s="507"/>
      <c r="I15" s="507"/>
      <c r="J15" s="507"/>
      <c r="K15" s="507"/>
      <c r="L15" s="507"/>
      <c r="M15" s="507"/>
      <c r="AC15" s="184"/>
      <c r="AD15" s="184"/>
      <c r="AE15" s="184"/>
    </row>
    <row r="16" spans="1:31" ht="25.5" customHeight="1" x14ac:dyDescent="0.25">
      <c r="B16" s="1412" t="s">
        <v>875</v>
      </c>
      <c r="C16" s="1413"/>
      <c r="D16" s="1414"/>
      <c r="E16" s="625" t="str">
        <f>IF(Language="English", AC16, AE16)</f>
        <v>Secteur public</v>
      </c>
      <c r="F16" s="1429" t="str">
        <f>IF(Language="English", AC18, AE18)</f>
        <v>Secteur médical privé</v>
      </c>
      <c r="G16" s="1430"/>
      <c r="H16" s="1431"/>
      <c r="I16" s="1432" t="str">
        <f>IF(Language="English", AC25, AE25)</f>
        <v>Autre source</v>
      </c>
      <c r="J16" s="1433"/>
      <c r="U16" t="e">
        <f>VLOOKUP('3. ServiceStats Set Up'!$C$21, 'Language Look Ups'!$B$30:$F$32, 5, FALSE)</f>
        <v>#N/A</v>
      </c>
      <c r="V16" t="e">
        <f>VLOOKUP('3. ServiceStats Set Up'!$K$21,  'Language Look Ups'!$B$30:$F$32, 5, FALSE)</f>
        <v>#N/A</v>
      </c>
      <c r="W16" t="e">
        <f>VLOOKUP('3. ServiceStats Set Up'!$C$30, 'Language Look Ups'!$B$30:$F$32, 5, FALSE)</f>
        <v>#N/A</v>
      </c>
      <c r="X16" t="e">
        <f>VLOOKUP('3. ServiceStats Set Up'!$K$30,  'Language Look Ups'!$B$30:$F$32, 5, FALSE)</f>
        <v>#N/A</v>
      </c>
      <c r="AC16" s="184" t="s">
        <v>999</v>
      </c>
      <c r="AD16" s="184"/>
      <c r="AE16" t="s">
        <v>1000</v>
      </c>
    </row>
    <row r="17" spans="2:31" ht="54" customHeight="1" thickBot="1" x14ac:dyDescent="0.3">
      <c r="B17" s="1415"/>
      <c r="C17" s="1416"/>
      <c r="D17" s="1417"/>
      <c r="E17" s="626" t="str">
        <f>IF(Language="English", AC17, AE17)</f>
        <v>Établissements de santé public et soins de santé communautaires</v>
      </c>
      <c r="F17" s="620" t="str">
        <f>IF(Language="English", AC19, AE19)</f>
        <v>ONG</v>
      </c>
      <c r="G17" s="621" t="str">
        <f>IF(Language="English", AC20, AE20)</f>
        <v>Hôpital/clinique privé</v>
      </c>
      <c r="H17" s="622" t="str">
        <f>IF(Language="English", AC24, AE24)</f>
        <v>Pharmacie</v>
      </c>
      <c r="I17" s="623" t="str">
        <f>IF(Language="English", AC30, AE30)</f>
        <v>Boutique / Église / Ami</v>
      </c>
      <c r="J17" s="624" t="str">
        <f>IF(Language="English", AC33, AE33)</f>
        <v>Autre</v>
      </c>
      <c r="U17" s="175" t="s">
        <v>675</v>
      </c>
      <c r="V17" s="175" t="s">
        <v>676</v>
      </c>
      <c r="W17" s="175" t="s">
        <v>91</v>
      </c>
      <c r="X17" s="175" t="s">
        <v>92</v>
      </c>
      <c r="AC17" t="s">
        <v>976</v>
      </c>
      <c r="AE17" t="s">
        <v>1008</v>
      </c>
    </row>
    <row r="18" spans="2:31" ht="17.25" customHeight="1" x14ac:dyDescent="0.25">
      <c r="B18" s="1406" t="str">
        <f>IF(Language="English", 'Language Look Ups'!$O$5,IF(Language="Francais", 'Language Look Ups'!$S$5,  'Language Look Ups'!$Q$5))</f>
        <v>Méthodes à Long Terme et Permanentes</v>
      </c>
      <c r="C18" s="518" t="str">
        <f>IF(Language="English", 'Language Look Ups'!$P$6,IF(Language="Francais", 'Language Look Ups'!$T$6, 'Language Look Ups'!$R$6))</f>
        <v>Ligature des trompes</v>
      </c>
      <c r="D18" s="542" t="str">
        <f>IF(Language="English",'Language Look Ups'!$O$6,IF(Language="Francais",'Language Look Ups'!$S$6,'Language Look Ups'!$Q$6))&amp;" (F)"</f>
        <v>Stérilisation (F)</v>
      </c>
      <c r="E18" s="615" t="str">
        <f>IFERROR(VLOOKUP(($V$1&amp;":"&amp;$S18), FPSource!$F$3:$P$618, MATCH(AC$17, FPSource!$F$2:$P$2, 0), FALSE),"")</f>
        <v/>
      </c>
      <c r="F18" s="552" t="str">
        <f>IFERROR(VLOOKUP(($V$1&amp;":"&amp;$S18), FPSource!$F$3:$P$618, MATCH(AC$19, FPSource!$F$2:$P$2, 0), FALSE),"")</f>
        <v/>
      </c>
      <c r="G18" s="554" t="str">
        <f>IFERROR(VLOOKUP(($V$1&amp;":"&amp;$S18), FPSource!$F$3:$P$618, MATCH(AC$20, FPSource!$F$2:$P$2, 0), FALSE),"")</f>
        <v/>
      </c>
      <c r="H18" s="553" t="str">
        <f>IFERROR(VLOOKUP(($V$1&amp;":"&amp;$S18), FPSource!$F$3:$P$618, MATCH(AC$24, FPSource!$F$2:$P$2, 0), FALSE),"")</f>
        <v/>
      </c>
      <c r="I18" s="552" t="str">
        <f>IFERROR(VLOOKUP(($V$1&amp;":"&amp;$S18), FPSource!$F$3:$P$618, MATCH(AC$30, FPSource!$F$2:$P$2, 0), FALSE),"")</f>
        <v/>
      </c>
      <c r="J18" s="553" t="str">
        <f>IFERROR(VLOOKUP(($V$1&amp;":"&amp;$S18), FPSource!$F$3:$P$618, MATCH(AC$33, FPSource!$F$2:$P$2, 0), FALSE),"")</f>
        <v/>
      </c>
      <c r="N18" s="235"/>
      <c r="S18" t="s">
        <v>128</v>
      </c>
      <c r="T18" s="365" t="str">
        <f t="shared" ref="T18:T39" si="13">C18</f>
        <v>Ligature des trompes</v>
      </c>
      <c r="AC18" s="184" t="s">
        <v>1002</v>
      </c>
      <c r="AD18" s="184"/>
      <c r="AE18" t="s">
        <v>1001</v>
      </c>
    </row>
    <row r="19" spans="2:31" ht="17.25" customHeight="1" x14ac:dyDescent="0.25">
      <c r="B19" s="1407"/>
      <c r="C19" s="519" t="str">
        <f>IF(Language="English",'Language Look Ups'!$P$7,IF(Language="Francais",'Language Look Ups'!$T$7,'Language Look Ups'!$R$7))</f>
        <v>Vasectomie</v>
      </c>
      <c r="D19" s="543" t="str">
        <f>IF(Language="English",'Language Look Ups'!$O$6,IF(Language="Francais",'Language Look Ups'!$S$6,'Language Look Ups'!$Q$6))&amp;" (M)"</f>
        <v>Stérilisation (M)</v>
      </c>
      <c r="E19" s="616" t="str">
        <f>IFERROR(VLOOKUP(($V$1&amp;":"&amp;$S19), FPSource!$F$3:$P$618, MATCH(AC$17, FPSource!$F$2:$P$2, 0), FALSE),"")</f>
        <v/>
      </c>
      <c r="F19" s="555" t="str">
        <f>IFERROR(VLOOKUP(($V$1&amp;":"&amp;$S19), FPSource!$F$3:$P$618, MATCH(AC$19, FPSource!$F$2:$P$2, 0), FALSE),"")</f>
        <v/>
      </c>
      <c r="G19" s="557" t="str">
        <f>IFERROR(VLOOKUP(($V$1&amp;":"&amp;$S19), FPSource!$F$3:$P$618, MATCH(AC$20, FPSource!$F$2:$P$2, 0), FALSE),"")</f>
        <v/>
      </c>
      <c r="H19" s="556" t="str">
        <f>IFERROR(VLOOKUP(($V$1&amp;":"&amp;$S19), FPSource!$F$3:$P$618, MATCH(AC$24, FPSource!$F$2:$P$2, 0), FALSE),"")</f>
        <v/>
      </c>
      <c r="I19" s="555" t="str">
        <f>IFERROR(VLOOKUP(($V$1&amp;":"&amp;$S19), FPSource!$F$3:$P$618, MATCH(AC$30, FPSource!$F$2:$P$2, 0), FALSE),"")</f>
        <v/>
      </c>
      <c r="J19" s="556" t="str">
        <f>IFERROR(VLOOKUP(($V$1&amp;":"&amp;$S19), FPSource!$F$3:$P$618, MATCH(AC$33, FPSource!$F$2:$P$2, 0), FALSE),"")</f>
        <v/>
      </c>
      <c r="N19" s="235"/>
      <c r="S19" t="s">
        <v>129</v>
      </c>
      <c r="T19" s="366" t="str">
        <f t="shared" si="13"/>
        <v>Vasectomie</v>
      </c>
      <c r="AC19" t="s">
        <v>814</v>
      </c>
      <c r="AE19" t="s">
        <v>1004</v>
      </c>
    </row>
    <row r="20" spans="2:31" ht="17.25" customHeight="1" x14ac:dyDescent="0.25">
      <c r="B20" s="1407"/>
      <c r="C20" s="519" t="str">
        <f>IF(Language="English", 'Language Look Ups'!$P$8,IF(Language="Francais", 'Language Look Ups'!$T$8, 'Language Look Ups'!$R$8))</f>
        <v>Copper- T 380-A DIU</v>
      </c>
      <c r="D20" s="543" t="str">
        <f>IF(Language="English", 'Language Look Ups'!$O$8,IF(Language="Francais", 'Language Look Ups'!$S$8, 'Language Look Ups'!$Q$8))</f>
        <v>DIU</v>
      </c>
      <c r="E20" s="616" t="str">
        <f>IFERROR(VLOOKUP(($V$1&amp;":"&amp;$S20), FPSource!$F$3:$P$618, MATCH(AC$17, FPSource!$F$2:$P$2, 0), FALSE),"")</f>
        <v/>
      </c>
      <c r="F20" s="555" t="str">
        <f>IFERROR(VLOOKUP(($V$1&amp;":"&amp;$S20), FPSource!$F$3:$P$618, MATCH(AC$19, FPSource!$F$2:$P$2, 0), FALSE),"")</f>
        <v/>
      </c>
      <c r="G20" s="557" t="str">
        <f>IFERROR(VLOOKUP(($V$1&amp;":"&amp;$S20), FPSource!$F$3:$P$618, MATCH(AC$20, FPSource!$F$2:$P$2, 0), FALSE),"")</f>
        <v/>
      </c>
      <c r="H20" s="556" t="str">
        <f>IFERROR(VLOOKUP(($V$1&amp;":"&amp;$S20), FPSource!$F$3:$P$618, MATCH(AC$24, FPSource!$F$2:$P$2, 0), FALSE),"")</f>
        <v/>
      </c>
      <c r="I20" s="555" t="str">
        <f>IFERROR(VLOOKUP(($V$1&amp;":"&amp;$S20), FPSource!$F$3:$P$618, MATCH(AC$30, FPSource!$F$2:$P$2, 0), FALSE),"")</f>
        <v/>
      </c>
      <c r="J20" s="556" t="str">
        <f>IFERROR(VLOOKUP(($V$1&amp;":"&amp;$S20), FPSource!$F$3:$P$618, MATCH(AC$33, FPSource!$F$2:$P$2, 0), FALSE),"")</f>
        <v/>
      </c>
      <c r="N20" s="235"/>
      <c r="S20" t="s">
        <v>5</v>
      </c>
      <c r="T20" s="365" t="str">
        <f t="shared" si="13"/>
        <v>Copper- T 380-A DIU</v>
      </c>
      <c r="AC20" s="184" t="s">
        <v>924</v>
      </c>
      <c r="AD20" s="184"/>
      <c r="AE20" t="s">
        <v>1006</v>
      </c>
    </row>
    <row r="21" spans="2:31" ht="17.25" hidden="1" customHeight="1" x14ac:dyDescent="0.25">
      <c r="B21" s="1407"/>
      <c r="C21" s="519" t="str">
        <f>IF(Language="English", 'Language Look Ups'!$P$9,IF(Language="Francais", 'Language Look Ups'!$T$9, 'Language Look Ups'!$R$9))</f>
        <v>DIU Hormonal (LNG-IUS)</v>
      </c>
      <c r="D21" s="543" t="str">
        <f>IF(Language="English", 'Language Look Ups'!$O$8,IF(Language="Francais", 'Language Look Ups'!$S$8, 'Language Look Ups'!$Q$8))</f>
        <v>DIU</v>
      </c>
      <c r="E21" s="616" t="str">
        <f>IFERROR(VLOOKUP(($V$1&amp;":"&amp;$S21), FPSource!$F$3:$P$618, MATCH(AC$17, FPSource!$F$2:$P$2, 0), FALSE),"")</f>
        <v/>
      </c>
      <c r="F21" s="555" t="str">
        <f>IFERROR(VLOOKUP(($V$1&amp;":"&amp;$S21), FPSource!$F$3:$P$618, MATCH(AC$19, FPSource!$F$2:$P$2, 0), FALSE),"")</f>
        <v/>
      </c>
      <c r="G21" s="557" t="str">
        <f>IFERROR(VLOOKUP(($V$1&amp;":"&amp;$S21), FPSource!$F$3:$P$618, MATCH(AC$20, FPSource!$F$2:$P$2, 0), FALSE),"")</f>
        <v/>
      </c>
      <c r="H21" s="556" t="str">
        <f>IFERROR(VLOOKUP(($V$1&amp;":"&amp;$S21), FPSource!$F$3:$P$618, MATCH(AC$24, FPSource!$F$2:$P$2, 0), FALSE),"")</f>
        <v/>
      </c>
      <c r="I21" s="555" t="str">
        <f>IFERROR(VLOOKUP(($V$1&amp;":"&amp;$S21), FPSource!$F$3:$P$618, MATCH(AC$30, FPSource!$F$2:$P$2, 0), FALSE),"")</f>
        <v/>
      </c>
      <c r="J21" s="556" t="str">
        <f>IFERROR(VLOOKUP(($V$1&amp;":"&amp;$S21), FPSource!$F$3:$P$618, MATCH(AC$33, FPSource!$F$2:$P$2, 0), FALSE),"")</f>
        <v/>
      </c>
      <c r="N21" s="235"/>
      <c r="S21" t="s">
        <v>5</v>
      </c>
      <c r="T21" s="366" t="str">
        <f t="shared" si="13"/>
        <v>DIU Hormonal (LNG-IUS)</v>
      </c>
      <c r="AC21" s="184"/>
      <c r="AD21" s="184"/>
      <c r="AE21" s="184"/>
    </row>
    <row r="22" spans="2:31" ht="17.25" hidden="1" customHeight="1" x14ac:dyDescent="0.25">
      <c r="B22" s="1407"/>
      <c r="C22" s="519" t="str">
        <f>IF(Language="English", 'Language Look Ups'!$P$10,IF(Language="Francais", 'Language Look Ups'!$T$10, 'Language Look Ups'!$R$10))</f>
        <v>Implant de 3 ans (Implanon, Levoplant)</v>
      </c>
      <c r="D22" s="543" t="str">
        <f>IF(Language="English", 'Language Look Ups'!$O$10,IF(Language="Francais", 'Language Look Ups'!$S$10, 'Language Look Ups'!$Q$10))</f>
        <v>Implant</v>
      </c>
      <c r="E22" s="616" t="str">
        <f>IFERROR(VLOOKUP(($V$1&amp;":"&amp;$S22), FPSource!$F$3:$P$618, MATCH(AC$17, FPSource!$F$2:$P$2, 0), FALSE),"")</f>
        <v/>
      </c>
      <c r="F22" s="555" t="str">
        <f>IFERROR(VLOOKUP(($V$1&amp;":"&amp;$S22), FPSource!$F$3:$P$618, MATCH(AC$19, FPSource!$F$2:$P$2, 0), FALSE),"")</f>
        <v/>
      </c>
      <c r="G22" s="557" t="str">
        <f>IFERROR(VLOOKUP(($V$1&amp;":"&amp;$S22), FPSource!$F$3:$P$618, MATCH(AC$20, FPSource!$F$2:$P$2, 0), FALSE),"")</f>
        <v/>
      </c>
      <c r="H22" s="556" t="str">
        <f>IFERROR(VLOOKUP(($V$1&amp;":"&amp;$S22), FPSource!$F$3:$P$618, MATCH(AC$24, FPSource!$F$2:$P$2, 0), FALSE),"")</f>
        <v/>
      </c>
      <c r="I22" s="555" t="str">
        <f>IFERROR(VLOOKUP(($V$1&amp;":"&amp;$S22), FPSource!$F$3:$P$618, MATCH(AC$30, FPSource!$F$2:$P$2, 0), FALSE),"")</f>
        <v/>
      </c>
      <c r="J22" s="556" t="str">
        <f>IFERROR(VLOOKUP(($V$1&amp;":"&amp;$S22), FPSource!$F$3:$P$618, MATCH(AC$33, FPSource!$F$2:$P$2, 0), FALSE),"")</f>
        <v/>
      </c>
      <c r="N22" s="235"/>
      <c r="S22" t="s">
        <v>3</v>
      </c>
      <c r="T22" s="365" t="str">
        <f t="shared" si="13"/>
        <v>Implant de 3 ans (Implanon, Levoplant)</v>
      </c>
      <c r="AC22" s="184"/>
      <c r="AD22" s="184"/>
      <c r="AE22" s="184"/>
    </row>
    <row r="23" spans="2:31" ht="17.25" hidden="1" customHeight="1" x14ac:dyDescent="0.25">
      <c r="B23" s="1407"/>
      <c r="C23" s="519" t="str">
        <f>IF(Language="English", 'Language Look Ups'!$P$11,IF(Language="Francais", 'Language Look Ups'!$T$11, 'Language Look Ups'!$R$11))</f>
        <v>Implant de 4 ans (Sino-Implant)</v>
      </c>
      <c r="D23" s="543" t="str">
        <f>IF(Language="English", 'Language Look Ups'!$O$10,IF(Language="Francais", 'Language Look Ups'!$S$10, 'Language Look Ups'!$Q$10))</f>
        <v>Implant</v>
      </c>
      <c r="E23" s="616" t="str">
        <f>IFERROR(VLOOKUP(($V$1&amp;":"&amp;$S23), FPSource!$F$3:$P$618, MATCH(AC$17, FPSource!$F$2:$P$2, 0), FALSE),"")</f>
        <v/>
      </c>
      <c r="F23" s="555" t="str">
        <f>IFERROR(VLOOKUP(($V$1&amp;":"&amp;$S23), FPSource!$F$3:$P$618, MATCH(AC$19, FPSource!$F$2:$P$2, 0), FALSE),"")</f>
        <v/>
      </c>
      <c r="G23" s="557" t="str">
        <f>IFERROR(VLOOKUP(($V$1&amp;":"&amp;$S23), FPSource!$F$3:$P$618, MATCH(AC$20, FPSource!$F$2:$P$2, 0), FALSE),"")</f>
        <v/>
      </c>
      <c r="H23" s="556" t="str">
        <f>IFERROR(VLOOKUP(($V$1&amp;":"&amp;$S23), FPSource!$F$3:$P$618, MATCH(AC$24, FPSource!$F$2:$P$2, 0), FALSE),"")</f>
        <v/>
      </c>
      <c r="I23" s="555" t="str">
        <f>IFERROR(VLOOKUP(($V$1&amp;":"&amp;$S23), FPSource!$F$3:$P$618, MATCH(AC$30, FPSource!$F$2:$P$2, 0), FALSE),"")</f>
        <v/>
      </c>
      <c r="J23" s="556" t="str">
        <f>IFERROR(VLOOKUP(($V$1&amp;":"&amp;$S23), FPSource!$F$3:$P$618, MATCH(AC$33, FPSource!$F$2:$P$2, 0), FALSE),"")</f>
        <v/>
      </c>
      <c r="N23" s="235"/>
      <c r="S23" t="s">
        <v>3</v>
      </c>
      <c r="T23" s="367" t="str">
        <f t="shared" si="13"/>
        <v>Implant de 4 ans (Sino-Implant)</v>
      </c>
      <c r="AC23" s="184"/>
      <c r="AD23" s="184"/>
      <c r="AE23" s="184"/>
    </row>
    <row r="24" spans="2:31" ht="17.25" customHeight="1" collapsed="1" x14ac:dyDescent="0.25">
      <c r="B24" s="1408"/>
      <c r="C24" s="520" t="str">
        <f>IF(Language="English", 'Language Look Ups'!$P$12,IF(Language="Francais", 'Language Look Ups'!$T$12, 'Language Look Ups'!$R$12))</f>
        <v>Implant de 5 ans (Jadelle)</v>
      </c>
      <c r="D24" s="544" t="str">
        <f>IF(Language="English", 'Language Look Ups'!$O$10,IF(Language="Francais", 'Language Look Ups'!$S$10, 'Language Look Ups'!$Q$10))</f>
        <v>Implant</v>
      </c>
      <c r="E24" s="617" t="str">
        <f>IFERROR(VLOOKUP(($V$1&amp;":"&amp;$S24), FPSource!$F$3:$P$618, MATCH(AC$17, FPSource!$F$2:$P$2, 0), FALSE),"")</f>
        <v/>
      </c>
      <c r="F24" s="558" t="str">
        <f>IFERROR(VLOOKUP(($V$1&amp;":"&amp;$S24), FPSource!$F$3:$P$618, MATCH(AC$19, FPSource!$F$2:$P$2, 0), FALSE),"")</f>
        <v/>
      </c>
      <c r="G24" s="560" t="str">
        <f>IFERROR(VLOOKUP(($V$1&amp;":"&amp;$S24), FPSource!$F$3:$P$618, MATCH(AC$20, FPSource!$F$2:$P$2, 0), FALSE),"")</f>
        <v/>
      </c>
      <c r="H24" s="559" t="str">
        <f>IFERROR(VLOOKUP(($V$1&amp;":"&amp;$S24), FPSource!$F$3:$P$618, MATCH(AC$24, FPSource!$F$2:$P$2, 0), FALSE),"")</f>
        <v/>
      </c>
      <c r="I24" s="558" t="str">
        <f>IFERROR(VLOOKUP(($V$1&amp;":"&amp;$S24), FPSource!$F$3:$P$618, MATCH(AC$30, FPSource!$F$2:$P$2, 0), FALSE),"")</f>
        <v/>
      </c>
      <c r="J24" s="559" t="str">
        <f>IFERROR(VLOOKUP(($V$1&amp;":"&amp;$S24), FPSource!$F$3:$P$618, MATCH(AC$33, FPSource!$F$2:$P$2, 0), FALSE),"")</f>
        <v/>
      </c>
      <c r="N24" s="235"/>
      <c r="S24" t="s">
        <v>3</v>
      </c>
      <c r="T24" s="366" t="str">
        <f t="shared" si="13"/>
        <v>Implant de 5 ans (Jadelle)</v>
      </c>
      <c r="AC24" s="184" t="s">
        <v>736</v>
      </c>
      <c r="AD24" s="184"/>
      <c r="AE24" t="s">
        <v>1007</v>
      </c>
    </row>
    <row r="25" spans="2:31" ht="17.25" customHeight="1" x14ac:dyDescent="0.25">
      <c r="B25" s="1409" t="str">
        <f>IF(Language="English", 'Language Look Ups'!$O$14,IF(Language="Francais", 'Language Look Ups'!$S$14, 'Language Look Ups'!$Q$14))</f>
        <v>Méthodes à Court Terme</v>
      </c>
      <c r="C25" s="521" t="str">
        <f>IF(Language="English", 'Language Look Ups'!$P$15,IF(Language="Francais", 'Language Look Ups'!$T$15, 'Language Look Ups'!$R$15))</f>
        <v>Depo Provera (DMPA)</v>
      </c>
      <c r="D25" s="1404" t="str">
        <f>IF(Language="English", 'Language Look Ups'!$O$15,IF(Language="Francais", 'Language Look Ups'!$S$15, 'Language Look Ups'!Q$15))</f>
        <v>Produits injectables</v>
      </c>
      <c r="E25" s="618" t="str">
        <f>IFERROR(VLOOKUP(($V$1&amp;":"&amp;$S25), FPSource!$F$3:$P$618, MATCH(AC$17, FPSource!$F$2:$P$2, 0), FALSE),"")</f>
        <v/>
      </c>
      <c r="F25" s="561" t="str">
        <f>IFERROR(VLOOKUP(($V$1&amp;":"&amp;$S25), FPSource!$F$3:$P$618, MATCH(AC$19, FPSource!$F$2:$P$2, 0), FALSE),"")</f>
        <v/>
      </c>
      <c r="G25" s="563" t="str">
        <f>IFERROR(VLOOKUP(($V$1&amp;":"&amp;$S25), FPSource!$F$3:$P$618, MATCH(AC$20, FPSource!$F$2:$P$2, 0), FALSE),"")</f>
        <v/>
      </c>
      <c r="H25" s="562" t="str">
        <f>IFERROR(VLOOKUP(($V$1&amp;":"&amp;$S25), FPSource!$F$3:$P$618, MATCH(AC$24, FPSource!$F$2:$P$2, 0), FALSE),"")</f>
        <v/>
      </c>
      <c r="I25" s="561" t="str">
        <f>IFERROR(VLOOKUP(($V$1&amp;":"&amp;$S25), FPSource!$F$3:$P$618, MATCH(AC$30, FPSource!$F$2:$P$2, 0), FALSE),"")</f>
        <v/>
      </c>
      <c r="J25" s="562" t="str">
        <f>IFERROR(VLOOKUP(($V$1&amp;":"&amp;$S25), FPSource!$F$3:$P$618, MATCH(AC$33, FPSource!$F$2:$P$2, 0), FALSE),"")</f>
        <v/>
      </c>
      <c r="N25" s="235"/>
      <c r="S25" t="s">
        <v>2</v>
      </c>
      <c r="T25" s="365" t="str">
        <f t="shared" si="13"/>
        <v>Depo Provera (DMPA)</v>
      </c>
      <c r="AC25" s="184" t="s">
        <v>737</v>
      </c>
      <c r="AD25" s="184"/>
      <c r="AE25" t="s">
        <v>1003</v>
      </c>
    </row>
    <row r="26" spans="2:31" ht="17.25" hidden="1" customHeight="1" x14ac:dyDescent="0.25">
      <c r="B26" s="1407"/>
      <c r="C26" s="519" t="str">
        <f>IF(Language="English", 'Language Look Ups'!$P$16,IF(Language="Francais", 'Language Look Ups'!$T$16, 'Language Look Ups'!$R$16))</f>
        <v>Noristerat (NET-En)</v>
      </c>
      <c r="D26" s="1405"/>
      <c r="E26" s="616" t="str">
        <f>IFERROR(VLOOKUP(($V$1&amp;":"&amp;$S26), FPSource!$F$3:$P$618, MATCH(AC$17, FPSource!$F$2:$P$2, 0), FALSE),"")</f>
        <v/>
      </c>
      <c r="F26" s="555" t="str">
        <f>IFERROR(VLOOKUP(($V$1&amp;":"&amp;$S26), FPSource!$F$3:$P$618, MATCH(AC$19, FPSource!$F$2:$P$2, 0), FALSE),"")</f>
        <v/>
      </c>
      <c r="G26" s="557" t="str">
        <f>IFERROR(VLOOKUP(($V$1&amp;":"&amp;$S26), FPSource!$F$3:$P$618, MATCH(AC$20, FPSource!$F$2:$P$2, 0), FALSE),"")</f>
        <v/>
      </c>
      <c r="H26" s="556" t="str">
        <f>IFERROR(VLOOKUP(($V$1&amp;":"&amp;$S26), FPSource!$F$3:$P$618, MATCH(AC$24, FPSource!$F$2:$P$2, 0), FALSE),"")</f>
        <v/>
      </c>
      <c r="I26" s="555" t="str">
        <f>IFERROR(VLOOKUP(($V$1&amp;":"&amp;$S26), FPSource!$F$3:$P$618, MATCH(AC$30, FPSource!$F$2:$P$2, 0), FALSE),"")</f>
        <v/>
      </c>
      <c r="J26" s="556" t="str">
        <f>IFERROR(VLOOKUP(($V$1&amp;":"&amp;$S26), FPSource!$F$3:$P$618, MATCH(AC$33, FPSource!$F$2:$P$2, 0), FALSE),"")</f>
        <v/>
      </c>
      <c r="N26" s="235"/>
      <c r="S26" t="s">
        <v>2</v>
      </c>
      <c r="T26" s="367" t="str">
        <f t="shared" si="13"/>
        <v>Noristerat (NET-En)</v>
      </c>
      <c r="AC26" s="184"/>
      <c r="AD26" s="184"/>
      <c r="AE26" s="184"/>
    </row>
    <row r="27" spans="2:31" ht="17.25" hidden="1" customHeight="1" x14ac:dyDescent="0.25">
      <c r="B27" s="1407"/>
      <c r="C27" s="519" t="str">
        <f>IF(Language="English",'Language Look Ups'!$P$17,IF(Language="Francais",'Language Look Ups'!$T$17,'Language Look Ups'!$R$17))</f>
        <v>Lunelle</v>
      </c>
      <c r="D27" s="1405"/>
      <c r="E27" s="616" t="str">
        <f>IFERROR(VLOOKUP(($V$1&amp;":"&amp;$S27), FPSource!$F$3:$P$618, MATCH(AC$17, FPSource!$F$2:$P$2, 0), FALSE),"")</f>
        <v/>
      </c>
      <c r="F27" s="555" t="str">
        <f>IFERROR(VLOOKUP(($V$1&amp;":"&amp;$S27), FPSource!$F$3:$P$618, MATCH(AC$19, FPSource!$F$2:$P$2, 0), FALSE),"")</f>
        <v/>
      </c>
      <c r="G27" s="557" t="str">
        <f>IFERROR(VLOOKUP(($V$1&amp;":"&amp;$S27), FPSource!$F$3:$P$618, MATCH(AC$20, FPSource!$F$2:$P$2, 0), FALSE),"")</f>
        <v/>
      </c>
      <c r="H27" s="556" t="str">
        <f>IFERROR(VLOOKUP(($V$1&amp;":"&amp;$S27), FPSource!$F$3:$P$618, MATCH(AC$24, FPSource!$F$2:$P$2, 0), FALSE),"")</f>
        <v/>
      </c>
      <c r="I27" s="555" t="str">
        <f>IFERROR(VLOOKUP(($V$1&amp;":"&amp;$S27), FPSource!$F$3:$P$618, MATCH(AC$30, FPSource!$F$2:$P$2, 0), FALSE),"")</f>
        <v/>
      </c>
      <c r="J27" s="556" t="str">
        <f>IFERROR(VLOOKUP(($V$1&amp;":"&amp;$S27), FPSource!$F$3:$P$618, MATCH(AC$33, FPSource!$F$2:$P$2, 0), FALSE),"")</f>
        <v/>
      </c>
      <c r="N27" s="235"/>
      <c r="S27" t="s">
        <v>2</v>
      </c>
      <c r="T27" s="367" t="str">
        <f t="shared" si="13"/>
        <v>Lunelle</v>
      </c>
      <c r="AC27" s="184"/>
      <c r="AD27" s="184"/>
      <c r="AE27" s="184"/>
    </row>
    <row r="28" spans="2:31" ht="17.25" hidden="1" customHeight="1" x14ac:dyDescent="0.25">
      <c r="B28" s="1407"/>
      <c r="C28" s="519" t="str">
        <f>IF(Language="English", 'Language Look Ups'!$P$18,IF(Language="Francais", 'Language Look Ups'!$T$18, 'Language Look Ups'!$R$18))</f>
        <v>Sayana Press</v>
      </c>
      <c r="D28" s="1405"/>
      <c r="E28" s="616" t="str">
        <f>IFERROR(VLOOKUP(($V$1&amp;":"&amp;$S28), FPSource!$F$3:$P$618, MATCH(AC$17, FPSource!$F$2:$P$2, 0), FALSE),"")</f>
        <v/>
      </c>
      <c r="F28" s="555" t="str">
        <f>IFERROR(VLOOKUP(($V$1&amp;":"&amp;$S28), FPSource!$F$3:$P$618, MATCH(AC$19, FPSource!$F$2:$P$2, 0), FALSE),"")</f>
        <v/>
      </c>
      <c r="G28" s="557" t="str">
        <f>IFERROR(VLOOKUP(($V$1&amp;":"&amp;$S28), FPSource!$F$3:$P$618, MATCH(AC$20, FPSource!$F$2:$P$2, 0), FALSE),"")</f>
        <v/>
      </c>
      <c r="H28" s="556" t="str">
        <f>IFERROR(VLOOKUP(($V$1&amp;":"&amp;$S28), FPSource!$F$3:$P$618, MATCH(AC$24, FPSource!$F$2:$P$2, 0), FALSE),"")</f>
        <v/>
      </c>
      <c r="I28" s="555" t="str">
        <f>IFERROR(VLOOKUP(($V$1&amp;":"&amp;$S28), FPSource!$F$3:$P$618, MATCH(AC$30, FPSource!$F$2:$P$2, 0), FALSE),"")</f>
        <v/>
      </c>
      <c r="J28" s="556" t="str">
        <f>IFERROR(VLOOKUP(($V$1&amp;":"&amp;$S28), FPSource!$F$3:$P$618, MATCH(AC$33, FPSource!$F$2:$P$2, 0), FALSE),"")</f>
        <v/>
      </c>
      <c r="N28" s="235"/>
      <c r="S28" t="s">
        <v>2</v>
      </c>
      <c r="T28" s="367" t="str">
        <f t="shared" si="13"/>
        <v>Sayana Press</v>
      </c>
      <c r="AC28" s="184"/>
      <c r="AD28" s="184"/>
      <c r="AE28" s="184"/>
    </row>
    <row r="29" spans="2:31" ht="17.25" hidden="1" customHeight="1" x14ac:dyDescent="0.25">
      <c r="B29" s="1407"/>
      <c r="C29" s="519" t="str">
        <f>IF(Language="English", 'Language Look Ups'!$P$19,IF(Language="Francais", 'Language Look Ups'!$T$19, 'Language Look Ups'!$R$19))</f>
        <v>Autre Injectable</v>
      </c>
      <c r="D29" s="1405"/>
      <c r="E29" s="616" t="str">
        <f>IFERROR(VLOOKUP(($V$1&amp;":"&amp;$S29), FPSource!$F$3:$P$618, MATCH(AC$17, FPSource!$F$2:$P$2, 0), FALSE),"")</f>
        <v/>
      </c>
      <c r="F29" s="555" t="str">
        <f>IFERROR(VLOOKUP(($V$1&amp;":"&amp;$S29), FPSource!$F$3:$P$618, MATCH(AC$19, FPSource!$F$2:$P$2, 0), FALSE),"")</f>
        <v/>
      </c>
      <c r="G29" s="557" t="str">
        <f>IFERROR(VLOOKUP(($V$1&amp;":"&amp;$S29), FPSource!$F$3:$P$618, MATCH(AC$20, FPSource!$F$2:$P$2, 0), FALSE),"")</f>
        <v/>
      </c>
      <c r="H29" s="556" t="str">
        <f>IFERROR(VLOOKUP(($V$1&amp;":"&amp;$S29), FPSource!$F$3:$P$618, MATCH(AC$24, FPSource!$F$2:$P$2, 0), FALSE),"")</f>
        <v/>
      </c>
      <c r="I29" s="555" t="str">
        <f>IFERROR(VLOOKUP(($V$1&amp;":"&amp;$S29), FPSource!$F$3:$P$618, MATCH(AC$30, FPSource!$F$2:$P$2, 0), FALSE),"")</f>
        <v/>
      </c>
      <c r="J29" s="556" t="str">
        <f>IFERROR(VLOOKUP(($V$1&amp;":"&amp;$S29), FPSource!$F$3:$P$618, MATCH(AC$33, FPSource!$F$2:$P$2, 0), FALSE),"")</f>
        <v/>
      </c>
      <c r="N29" s="235"/>
      <c r="S29" t="s">
        <v>2</v>
      </c>
      <c r="T29" s="366" t="str">
        <f t="shared" si="13"/>
        <v>Autre Injectable</v>
      </c>
      <c r="AC29" s="184"/>
      <c r="AD29" s="184"/>
      <c r="AE29" s="184"/>
    </row>
    <row r="30" spans="2:31" ht="17.25" customHeight="1" collapsed="1" x14ac:dyDescent="0.25">
      <c r="B30" s="1407"/>
      <c r="C30" s="519" t="str">
        <f>IF(Language="English", 'Language Look Ups'!$P$20,IF(Language="Francais", 'Language Look Ups'!$T$20, 'Language Look Ups'!$R$20))</f>
        <v>Oraux combinés (COC)</v>
      </c>
      <c r="D30" s="1405" t="str">
        <f>IF(Language="English", 'Language Look Ups'!$O$20,IF(Language="Francais", 'Language Look Ups'!$S$20, 'Language Look Ups'!Q$20))</f>
        <v>Pilule</v>
      </c>
      <c r="E30" s="616" t="str">
        <f>IFERROR(VLOOKUP(($V$1&amp;":"&amp;$S30), FPSource!$F$3:$P$618, MATCH(AC$17, FPSource!$F$2:$P$2, 0), FALSE),"")</f>
        <v/>
      </c>
      <c r="F30" s="555" t="str">
        <f>IFERROR(VLOOKUP(($V$1&amp;":"&amp;$S30), FPSource!$F$3:$P$618, MATCH(AC$19, FPSource!$F$2:$P$2, 0), FALSE),"")</f>
        <v/>
      </c>
      <c r="G30" s="557" t="str">
        <f>IFERROR(VLOOKUP(($V$1&amp;":"&amp;$S30), FPSource!$F$3:$P$618, MATCH(AC$20, FPSource!$F$2:$P$2, 0), FALSE),"")</f>
        <v/>
      </c>
      <c r="H30" s="556" t="str">
        <f>IFERROR(VLOOKUP(($V$1&amp;":"&amp;$S30), FPSource!$F$3:$P$618, MATCH(AC$24, FPSource!$F$2:$P$2, 0), FALSE),"")</f>
        <v/>
      </c>
      <c r="I30" s="555" t="str">
        <f>IFERROR(VLOOKUP(($V$1&amp;":"&amp;$S30), FPSource!$F$3:$P$618, MATCH(AC$30, FPSource!$F$2:$P$2, 0), FALSE),"")</f>
        <v/>
      </c>
      <c r="J30" s="556" t="str">
        <f>IFERROR(VLOOKUP(($V$1&amp;":"&amp;$S30), FPSource!$F$3:$P$618, MATCH(AC$33, FPSource!$F$2:$P$2, 0), FALSE),"")</f>
        <v/>
      </c>
      <c r="N30" s="235"/>
      <c r="S30" t="s">
        <v>110</v>
      </c>
      <c r="T30" s="365" t="str">
        <f t="shared" si="13"/>
        <v>Oraux combinés (COC)</v>
      </c>
      <c r="AC30" s="184" t="s">
        <v>752</v>
      </c>
      <c r="AD30" s="184"/>
      <c r="AE30" s="184" t="s">
        <v>1005</v>
      </c>
    </row>
    <row r="31" spans="2:31" ht="17.25" hidden="1" customHeight="1" x14ac:dyDescent="0.25">
      <c r="B31" s="1407"/>
      <c r="C31" s="519" t="str">
        <f>IF(Language="English", 'Language Look Ups'!$P$21,IF(Language="Francais", 'Language Look Ups'!$T$21, 'Language Look Ups'!$R$21))</f>
        <v>Progestatifs seul (POP)</v>
      </c>
      <c r="D31" s="1405"/>
      <c r="E31" s="616" t="str">
        <f>IFERROR(VLOOKUP(($V$1&amp;":"&amp;$S31), FPSource!$F$3:$P$618, MATCH(AC$17, FPSource!$F$2:$P$2, 0), FALSE),"")</f>
        <v/>
      </c>
      <c r="F31" s="555" t="str">
        <f>IFERROR(VLOOKUP(($V$1&amp;":"&amp;$S31), FPSource!$F$3:$P$618, MATCH(AC$19, FPSource!$F$2:$P$2, 0), FALSE),"")</f>
        <v/>
      </c>
      <c r="G31" s="557" t="str">
        <f>IFERROR(VLOOKUP(($V$1&amp;":"&amp;$S31), FPSource!$F$3:$P$618, MATCH(AC$20, FPSource!$F$2:$P$2, 0), FALSE),"")</f>
        <v/>
      </c>
      <c r="H31" s="556" t="str">
        <f>IFERROR(VLOOKUP(($V$1&amp;":"&amp;$S31), FPSource!$F$3:$P$618, MATCH(AC$24, FPSource!$F$2:$P$2, 0), FALSE),"")</f>
        <v/>
      </c>
      <c r="I31" s="555" t="str">
        <f>IFERROR(VLOOKUP(($V$1&amp;":"&amp;$S31), FPSource!$F$3:$P$618, MATCH(AC$30, FPSource!$F$2:$P$2, 0), FALSE),"")</f>
        <v/>
      </c>
      <c r="J31" s="556" t="str">
        <f>IFERROR(VLOOKUP(($V$1&amp;":"&amp;$S31), FPSource!$F$3:$P$618, MATCH(AC$33, FPSource!$F$2:$P$2, 0), FALSE),"")</f>
        <v/>
      </c>
      <c r="N31" s="235"/>
      <c r="S31" t="s">
        <v>110</v>
      </c>
      <c r="T31" s="367" t="str">
        <f t="shared" si="13"/>
        <v>Progestatifs seul (POP)</v>
      </c>
      <c r="AC31" s="184"/>
      <c r="AD31" s="184"/>
      <c r="AE31" s="184"/>
    </row>
    <row r="32" spans="2:31" ht="17.25" hidden="1" customHeight="1" x14ac:dyDescent="0.25">
      <c r="B32" s="1407"/>
      <c r="C32" s="519" t="str">
        <f>IF(Language="English", 'Language Look Ups'!$P$22,IF(Language="Francais", 'Language Look Ups'!$T$22, 'Language Look Ups'!$R$22))</f>
        <v>Autre pilule</v>
      </c>
      <c r="D32" s="1405"/>
      <c r="E32" s="616" t="str">
        <f>IFERROR(VLOOKUP(($V$1&amp;":"&amp;$S32), FPSource!$F$3:$P$618, MATCH(AC$17, FPSource!$F$2:$P$2, 0), FALSE),"")</f>
        <v/>
      </c>
      <c r="F32" s="555" t="str">
        <f>IFERROR(VLOOKUP(($V$1&amp;":"&amp;$S32), FPSource!$F$3:$P$618, MATCH(AC$19, FPSource!$F$2:$P$2, 0), FALSE),"")</f>
        <v/>
      </c>
      <c r="G32" s="557" t="str">
        <f>IFERROR(VLOOKUP(($V$1&amp;":"&amp;$S32), FPSource!$F$3:$P$618, MATCH(AC$20, FPSource!$F$2:$P$2, 0), FALSE),"")</f>
        <v/>
      </c>
      <c r="H32" s="556" t="str">
        <f>IFERROR(VLOOKUP(($V$1&amp;":"&amp;$S32), FPSource!$F$3:$P$618, MATCH(AC$24, FPSource!$F$2:$P$2, 0), FALSE),"")</f>
        <v/>
      </c>
      <c r="I32" s="555" t="str">
        <f>IFERROR(VLOOKUP(($V$1&amp;":"&amp;$S32), FPSource!$F$3:$P$618, MATCH(AC$30, FPSource!$F$2:$P$2, 0), FALSE),"")</f>
        <v/>
      </c>
      <c r="J32" s="556" t="str">
        <f>IFERROR(VLOOKUP(($V$1&amp;":"&amp;$S32), FPSource!$F$3:$P$618, MATCH(AC$33, FPSource!$F$2:$P$2, 0), FALSE),"")</f>
        <v/>
      </c>
      <c r="N32" s="235"/>
      <c r="S32" t="s">
        <v>110</v>
      </c>
      <c r="T32" s="366" t="str">
        <f t="shared" si="13"/>
        <v>Autre pilule</v>
      </c>
      <c r="AC32" s="184"/>
      <c r="AD32" s="184"/>
      <c r="AE32" s="184"/>
    </row>
    <row r="33" spans="2:31" ht="16.899999999999999" customHeight="1" collapsed="1" x14ac:dyDescent="0.25">
      <c r="B33" s="1407"/>
      <c r="C33" s="519" t="str">
        <f>IF(Language="English", 'Language Look Ups'!$P$23,IF(Language="Francais", 'Language Look Ups'!$T$23, 'Language Look Ups'!$R$23))</f>
        <v>Préservatifs masculin</v>
      </c>
      <c r="D33" s="545" t="str">
        <f>IF(Language="English", 'Language Look Ups'!$O$23,IF(Language="Francais", 'Language Look Ups'!$S$23, 'Language Look Ups'!Q$23)) &amp;" (M)"</f>
        <v>Préservatifs (M)</v>
      </c>
      <c r="E33" s="616" t="str">
        <f>IFERROR(VLOOKUP(($V$1&amp;":"&amp;$S33), FPSource!$F$3:$P$618, MATCH(AC$17, FPSource!$F$2:$P$2, 0), FALSE),"")</f>
        <v/>
      </c>
      <c r="F33" s="555" t="str">
        <f>IFERROR(VLOOKUP(($V$1&amp;":"&amp;$S33), FPSource!$F$3:$P$618, MATCH(AC$19, FPSource!$F$2:$P$2, 0), FALSE),"")</f>
        <v/>
      </c>
      <c r="G33" s="557" t="str">
        <f>IFERROR(VLOOKUP(($V$1&amp;":"&amp;$S33), FPSource!$F$3:$P$618, MATCH(AC$20, FPSource!$F$2:$P$2, 0), FALSE),"")</f>
        <v/>
      </c>
      <c r="H33" s="556" t="str">
        <f>IFERROR(VLOOKUP(($V$1&amp;":"&amp;$S33), FPSource!$F$3:$P$618, MATCH(AC$24, FPSource!$F$2:$P$2, 0), FALSE),"")</f>
        <v/>
      </c>
      <c r="I33" s="555" t="str">
        <f>IFERROR(VLOOKUP(($V$1&amp;":"&amp;$S33), FPSource!$F$3:$P$618, MATCH(AC$30, FPSource!$F$2:$P$2, 0), FALSE),"")</f>
        <v/>
      </c>
      <c r="J33" s="556" t="str">
        <f>IFERROR(VLOOKUP(($V$1&amp;":"&amp;$S33), FPSource!$F$3:$P$618, MATCH(AC$33, FPSource!$F$2:$P$2, 0), FALSE),"")</f>
        <v/>
      </c>
      <c r="N33" s="235"/>
      <c r="S33" t="s">
        <v>103</v>
      </c>
      <c r="T33" s="365" t="str">
        <f t="shared" si="13"/>
        <v>Préservatifs masculin</v>
      </c>
      <c r="AC33" s="184" t="s">
        <v>93</v>
      </c>
      <c r="AD33" s="184"/>
      <c r="AE33" t="s">
        <v>1009</v>
      </c>
    </row>
    <row r="34" spans="2:31" ht="17.25" customHeight="1" x14ac:dyDescent="0.25">
      <c r="B34" s="1407"/>
      <c r="C34" s="519" t="str">
        <f>IF(Language="English", 'Language Look Ups'!$P$24,IF(Language="Francais", 'Language Look Ups'!$T$24, 'Language Look Ups'!$R$24))</f>
        <v>Préservatifs feminin</v>
      </c>
      <c r="D34" s="545" t="str">
        <f>IF(Language="English", 'Language Look Ups'!$O$23,IF(Language="Francais", 'Language Look Ups'!$S$23, 'Language Look Ups'!Q$23))&amp;" (F)"</f>
        <v>Préservatifs (F)</v>
      </c>
      <c r="E34" s="616" t="str">
        <f>IFERROR(VLOOKUP(($V$1&amp;":"&amp;$S34), FPSource!$F$3:$P$618, MATCH(AC$17, FPSource!$F$2:$P$2, 0), FALSE),"")</f>
        <v/>
      </c>
      <c r="F34" s="555" t="str">
        <f>IFERROR(VLOOKUP(($V$1&amp;":"&amp;$S34), FPSource!$F$3:$P$618, MATCH(AC$19, FPSource!$F$2:$P$2, 0), FALSE),"")</f>
        <v/>
      </c>
      <c r="G34" s="557" t="str">
        <f>IFERROR(VLOOKUP(($V$1&amp;":"&amp;$S34), FPSource!$F$3:$P$618, MATCH(AC$20, FPSource!$F$2:$P$2, 0), FALSE),"")</f>
        <v/>
      </c>
      <c r="H34" s="556" t="str">
        <f>IFERROR(VLOOKUP(($V$1&amp;":"&amp;$S34), FPSource!$F$3:$P$618, MATCH(AC$24, FPSource!$F$2:$P$2, 0), FALSE),"")</f>
        <v/>
      </c>
      <c r="I34" s="555" t="str">
        <f>IFERROR(VLOOKUP(($V$1&amp;":"&amp;$S34), FPSource!$F$3:$P$618, MATCH(AC$30, FPSource!$F$2:$P$2, 0), FALSE),"")</f>
        <v/>
      </c>
      <c r="J34" s="556" t="str">
        <f>IFERROR(VLOOKUP(($V$1&amp;":"&amp;$S34), FPSource!$F$3:$P$618, MATCH(AC$33, FPSource!$F$2:$P$2, 0), FALSE),"")</f>
        <v/>
      </c>
      <c r="N34" s="235"/>
      <c r="S34" t="s">
        <v>1020</v>
      </c>
      <c r="T34" s="366" t="str">
        <f t="shared" si="13"/>
        <v>Préservatifs feminin</v>
      </c>
      <c r="AC34" s="184"/>
      <c r="AD34" s="184"/>
      <c r="AE34" s="184"/>
    </row>
    <row r="35" spans="2:31" ht="17.25" hidden="1" customHeight="1" x14ac:dyDescent="0.25">
      <c r="B35" s="1407"/>
      <c r="C35" s="519" t="str">
        <f>IF(Language="English", 'Language Look Ups'!$P$25,IF(Language="Francais", 'Language Look Ups'!$T$25, 'Language Look Ups'!$R$25))</f>
        <v>MAMA</v>
      </c>
      <c r="D35" s="546" t="str">
        <f>IF(Language="English", 'Language Look Ups'!$O$25,IF(Language="Francais", 'Language Look Ups'!$S$25, 'Language Look Ups'!Q$25))</f>
        <v>Autres Méthodes Modernes</v>
      </c>
      <c r="E35" s="616" t="str">
        <f>IFERROR(VLOOKUP(($V$1&amp;":"&amp;$S35), FPSource!$F$3:$P$618, MATCH(AC$17, FPSource!$F$2:$P$2, 0), FALSE),"")</f>
        <v/>
      </c>
      <c r="F35" s="555" t="str">
        <f>IFERROR(VLOOKUP(($V$1&amp;":"&amp;$S35), FPSource!$F$3:$P$618, MATCH(AC$19, FPSource!$F$2:$P$2, 0), FALSE),"")</f>
        <v/>
      </c>
      <c r="G35" s="557" t="str">
        <f>IFERROR(VLOOKUP(($V$1&amp;":"&amp;$S35), FPSource!$F$3:$P$618, MATCH(AC$20, FPSource!$F$2:$P$2, 0), FALSE),"")</f>
        <v/>
      </c>
      <c r="H35" s="556" t="str">
        <f>IFERROR(VLOOKUP(($V$1&amp;":"&amp;$S35), FPSource!$F$3:$P$618, MATCH(AC$24, FPSource!$F$2:$P$2, 0), FALSE),"")</f>
        <v/>
      </c>
      <c r="I35" s="555" t="str">
        <f>IFERROR(VLOOKUP(($V$1&amp;":"&amp;$S35), FPSource!$F$3:$P$618, MATCH(AC$30, FPSource!$F$2:$P$2, 0), FALSE),"")</f>
        <v/>
      </c>
      <c r="J35" s="556" t="str">
        <f>IFERROR(VLOOKUP(($V$1&amp;":"&amp;$S35), FPSource!$F$3:$P$618, MATCH(AC$33, FPSource!$F$2:$P$2, 0), FALSE),"")</f>
        <v/>
      </c>
      <c r="N35" s="235"/>
      <c r="S35" t="s">
        <v>104</v>
      </c>
      <c r="T35" s="365" t="str">
        <f t="shared" si="13"/>
        <v>MAMA</v>
      </c>
      <c r="AC35" s="184"/>
      <c r="AD35" s="184"/>
      <c r="AE35" s="184"/>
    </row>
    <row r="36" spans="2:31" ht="17.25" hidden="1" customHeight="1" x14ac:dyDescent="0.25">
      <c r="B36" s="1407"/>
      <c r="C36" s="519" t="str">
        <f>IF(Language="English", 'Language Look Ups'!$P$26,IF(Language="Francais", 'Language Look Ups'!$T$26, 'Language Look Ups'!$R$26))</f>
        <v>MJF (Jours fixes)</v>
      </c>
      <c r="D36" s="546" t="str">
        <f>IF(Language="English", 'Language Look Ups'!$O$25,IF(Language="Francais", 'Language Look Ups'!$S$25, 'Language Look Ups'!Q$25))</f>
        <v>Autres Méthodes Modernes</v>
      </c>
      <c r="E36" s="616" t="str">
        <f>IFERROR(VLOOKUP(($V$1&amp;":"&amp;$S36), FPSource!$F$3:$P$618, MATCH(AC$17, FPSource!$F$2:$P$2, 0), FALSE),"")</f>
        <v/>
      </c>
      <c r="F36" s="555" t="str">
        <f>IFERROR(VLOOKUP(($V$1&amp;":"&amp;$S36), FPSource!$F$3:$P$618, MATCH(AC$19, FPSource!$F$2:$P$2, 0), FALSE),"")</f>
        <v/>
      </c>
      <c r="G36" s="557" t="str">
        <f>IFERROR(VLOOKUP(($V$1&amp;":"&amp;$S36), FPSource!$F$3:$P$618, MATCH(AC$20, FPSource!$F$2:$P$2, 0), FALSE),"")</f>
        <v/>
      </c>
      <c r="H36" s="556" t="str">
        <f>IFERROR(VLOOKUP(($V$1&amp;":"&amp;$S36), FPSource!$F$3:$P$618, MATCH(AC$24, FPSource!$F$2:$P$2, 0), FALSE),"")</f>
        <v/>
      </c>
      <c r="I36" s="555" t="str">
        <f>IFERROR(VLOOKUP(($V$1&amp;":"&amp;$S36), FPSource!$F$3:$P$618, MATCH(AC$30, FPSource!$F$2:$P$2, 0), FALSE),"")</f>
        <v/>
      </c>
      <c r="J36" s="556" t="str">
        <f>IFERROR(VLOOKUP(($V$1&amp;":"&amp;$S36), FPSource!$F$3:$P$618, MATCH(AC$33, FPSource!$F$2:$P$2, 0), FALSE),"")</f>
        <v/>
      </c>
      <c r="N36" s="235"/>
      <c r="S36" t="s">
        <v>870</v>
      </c>
      <c r="T36" s="367" t="str">
        <f t="shared" si="13"/>
        <v>MJF (Jours fixes)</v>
      </c>
      <c r="AC36" s="184"/>
      <c r="AD36" s="184"/>
      <c r="AE36" s="184"/>
    </row>
    <row r="37" spans="2:31" ht="17.25" hidden="1" customHeight="1" x14ac:dyDescent="0.25">
      <c r="B37" s="1407"/>
      <c r="C37" s="519" t="str">
        <f>IF(Language="English", 'Language Look Ups'!$P$27,IF(Language="Francais", 'Language Look Ups'!$T$27, 'Language Look Ups'!$R$27))</f>
        <v>Barrière vaginale</v>
      </c>
      <c r="D37" s="546" t="str">
        <f>IF(Language="English", 'Language Look Ups'!$O$25,IF(Language="Francais", 'Language Look Ups'!$S$25, 'Language Look Ups'!Q$25))</f>
        <v>Autres Méthodes Modernes</v>
      </c>
      <c r="E37" s="616" t="str">
        <f>IFERROR(VLOOKUP(($V$1&amp;":"&amp;$S37), FPSource!$F$3:$P$618, MATCH(AC$17, FPSource!$F$2:$P$2, 0), FALSE),"")</f>
        <v/>
      </c>
      <c r="F37" s="555" t="str">
        <f>IFERROR(VLOOKUP(($V$1&amp;":"&amp;$S37), FPSource!$F$3:$P$618, MATCH(AC$19, FPSource!$F$2:$P$2, 0), FALSE),"")</f>
        <v/>
      </c>
      <c r="G37" s="557" t="str">
        <f>IFERROR(VLOOKUP(($V$1&amp;":"&amp;$S37), FPSource!$F$3:$P$618, MATCH(AC$20, FPSource!$F$2:$P$2, 0), FALSE),"")</f>
        <v/>
      </c>
      <c r="H37" s="556" t="str">
        <f>IFERROR(VLOOKUP(($V$1&amp;":"&amp;$S37), FPSource!$F$3:$P$618, MATCH(AC$24, FPSource!$F$2:$P$2, 0), FALSE),"")</f>
        <v/>
      </c>
      <c r="I37" s="555" t="str">
        <f>IFERROR(VLOOKUP(($V$1&amp;":"&amp;$S37), FPSource!$F$3:$P$618, MATCH(AC$30, FPSource!$F$2:$P$2, 0), FALSE),"")</f>
        <v/>
      </c>
      <c r="J37" s="556" t="str">
        <f>IFERROR(VLOOKUP(($V$1&amp;":"&amp;$S37), FPSource!$F$3:$P$618, MATCH(AC$33, FPSource!$F$2:$P$2, 0), FALSE),"")</f>
        <v/>
      </c>
      <c r="N37" s="235"/>
      <c r="S37" t="s">
        <v>871</v>
      </c>
      <c r="T37" s="367" t="str">
        <f t="shared" si="13"/>
        <v>Barrière vaginale</v>
      </c>
      <c r="AC37" s="184"/>
      <c r="AD37" s="184"/>
      <c r="AE37" s="184"/>
    </row>
    <row r="38" spans="2:31" ht="17.25" customHeight="1" collapsed="1" x14ac:dyDescent="0.25">
      <c r="B38" s="1407"/>
      <c r="C38" s="519" t="str">
        <f>IF(Language="English", 'Language Look Ups'!$P$28,IF(Language="Francais", 'Language Look Ups'!$T$28, 'Language Look Ups'!$R$28))</f>
        <v>Spermicides</v>
      </c>
      <c r="D38" s="545" t="str">
        <f>IF(Language="English", 'Language Look Ups'!$O$25,IF(Language="Francais", 'Language Look Ups'!$S$25, 'Language Look Ups'!Q$25))</f>
        <v>Autres Méthodes Modernes</v>
      </c>
      <c r="E38" s="616" t="str">
        <f>IFERROR(VLOOKUP(($V$1&amp;":"&amp;$S38), FPSource!$F$3:$P$618, MATCH(AC$17, FPSource!$F$2:$P$2, 0), FALSE),"")</f>
        <v/>
      </c>
      <c r="F38" s="555" t="str">
        <f>IFERROR(VLOOKUP(($V$1&amp;":"&amp;$S38), FPSource!$F$3:$P$618, MATCH(AC$19, FPSource!$F$2:$P$2, 0), FALSE),"")</f>
        <v/>
      </c>
      <c r="G38" s="557" t="str">
        <f>IFERROR(VLOOKUP(($V$1&amp;":"&amp;$S38), FPSource!$F$3:$P$618, MATCH(AC$20, FPSource!$F$2:$P$2, 0), FALSE),"")</f>
        <v/>
      </c>
      <c r="H38" s="556" t="str">
        <f>IFERROR(VLOOKUP(($V$1&amp;":"&amp;$S38), FPSource!$F$3:$P$618, MATCH(AC$24, FPSource!$F$2:$P$2, 0), FALSE),"")</f>
        <v/>
      </c>
      <c r="I38" s="555" t="str">
        <f>IFERROR(VLOOKUP(($V$1&amp;":"&amp;$S38), FPSource!$F$3:$P$618, MATCH(AC$30, FPSource!$F$2:$P$2, 0), FALSE),"")</f>
        <v/>
      </c>
      <c r="J38" s="556" t="str">
        <f>IFERROR(VLOOKUP(($V$1&amp;":"&amp;$S38), FPSource!$F$3:$P$618, MATCH(AC$33, FPSource!$F$2:$P$2, 0), FALSE),"")</f>
        <v/>
      </c>
      <c r="N38" s="235"/>
      <c r="S38" t="s">
        <v>872</v>
      </c>
      <c r="T38" s="366" t="str">
        <f t="shared" si="13"/>
        <v>Spermicides</v>
      </c>
      <c r="AC38" s="184"/>
      <c r="AD38" s="184"/>
      <c r="AE38" s="184"/>
    </row>
    <row r="39" spans="2:31" ht="17.25" customHeight="1" thickBot="1" x14ac:dyDescent="0.3">
      <c r="B39" s="1410"/>
      <c r="C39" s="522" t="str">
        <f>IF(Language="English", 'Language Look Ups'!$P$29,IF(Language="Francais", 'Language Look Ups'!$T$29, 'Language Look Ups'!$R$29))</f>
        <v>CU</v>
      </c>
      <c r="D39" s="547" t="str">
        <f>IF(Language="English", 'Language Look Ups'!$O$29,IF(Language="Francais", 'Language Look Ups'!$S$29, 'Language Look Ups'!Q$29))</f>
        <v>Contraception d'urgence</v>
      </c>
      <c r="E39" s="619" t="str">
        <f>IFERROR(VLOOKUP(($V$1&amp;":"&amp;$S39), FPSource!$F$3:$P$618, MATCH(AC$17, FPSource!$F$2:$P$2, 0), FALSE),"")</f>
        <v/>
      </c>
      <c r="F39" s="564" t="str">
        <f>IFERROR(VLOOKUP(($V$1&amp;":"&amp;$S39), FPSource!$F$3:$P$618, MATCH(AC$19, FPSource!$F$2:$P$2, 0), FALSE),"")</f>
        <v/>
      </c>
      <c r="G39" s="566" t="str">
        <f>IFERROR(VLOOKUP(($V$1&amp;":"&amp;$S39), FPSource!$F$3:$P$618, MATCH(AC$20, FPSource!$F$2:$P$2, 0), FALSE),"")</f>
        <v/>
      </c>
      <c r="H39" s="565" t="str">
        <f>IFERROR(VLOOKUP(($V$1&amp;":"&amp;$S39), FPSource!$F$3:$P$618, MATCH(AC$24, FPSource!$F$2:$P$2, 0), FALSE),"")</f>
        <v/>
      </c>
      <c r="I39" s="564" t="str">
        <f>IFERROR(VLOOKUP(($V$1&amp;":"&amp;$S39), FPSource!$F$3:$P$618, MATCH(AC$30, FPSource!$F$2:$P$2, 0), FALSE),"")</f>
        <v/>
      </c>
      <c r="J39" s="565" t="str">
        <f>IFERROR(VLOOKUP(($V$1&amp;":"&amp;$S39), FPSource!$F$3:$P$618, MATCH(AC$33, FPSource!$F$2:$P$2, 0), FALSE),"")</f>
        <v/>
      </c>
      <c r="N39" s="235"/>
      <c r="S39" t="s">
        <v>108</v>
      </c>
      <c r="T39" s="369" t="str">
        <f t="shared" si="13"/>
        <v>CU</v>
      </c>
      <c r="AC39" s="184"/>
      <c r="AD39" s="184"/>
      <c r="AE39" s="184"/>
    </row>
    <row r="40" spans="2:31" ht="201.6" customHeight="1" x14ac:dyDescent="0.25">
      <c r="AB40">
        <f>IF(Language="English", AC40, AE40)</f>
        <v>0</v>
      </c>
      <c r="AC40" s="184" t="s">
        <v>1264</v>
      </c>
      <c r="AD40" s="184"/>
      <c r="AE40" s="184"/>
    </row>
    <row r="41" spans="2:31" ht="27" thickBot="1" x14ac:dyDescent="0.45">
      <c r="B41" s="243" t="str">
        <f>IF(Language="English", AC41, AE41)</f>
        <v>Étape 2 de 3: Quels secteurs rapportent dans votre système?</v>
      </c>
      <c r="C41" s="243"/>
      <c r="D41" s="243"/>
      <c r="E41" s="243"/>
      <c r="F41" s="243"/>
      <c r="G41" s="243"/>
      <c r="H41" s="243"/>
      <c r="I41" s="243"/>
      <c r="J41" s="243"/>
      <c r="K41" s="243"/>
      <c r="L41" s="243"/>
      <c r="M41" s="243"/>
      <c r="N41" s="508"/>
      <c r="O41" s="508"/>
      <c r="P41" s="508"/>
      <c r="Q41" s="508"/>
      <c r="AC41" s="184" t="s">
        <v>1064</v>
      </c>
      <c r="AD41" s="184" t="s">
        <v>673</v>
      </c>
      <c r="AE41" s="184" t="s">
        <v>1065</v>
      </c>
    </row>
    <row r="42" spans="2:31" ht="33" customHeight="1" x14ac:dyDescent="0.25">
      <c r="B42" s="1411" t="str">
        <f>IF(Language="English", AC42, AE42)</f>
        <v>TRANSLATE</v>
      </c>
      <c r="C42" s="1411"/>
      <c r="D42" s="1411"/>
      <c r="E42" s="1411"/>
      <c r="F42" s="1411"/>
      <c r="G42" s="1411"/>
      <c r="H42" s="1411"/>
      <c r="I42" s="1411"/>
      <c r="J42" s="1411"/>
      <c r="K42" s="1411"/>
      <c r="L42" s="1411"/>
      <c r="M42" s="1411"/>
      <c r="AC42" s="184" t="s">
        <v>1033</v>
      </c>
      <c r="AD42" s="184"/>
      <c r="AE42" s="184" t="s">
        <v>998</v>
      </c>
    </row>
    <row r="43" spans="2:31" ht="10.5" customHeight="1" thickBot="1" x14ac:dyDescent="0.3">
      <c r="B43" s="507"/>
      <c r="C43" s="507"/>
      <c r="D43" s="507"/>
      <c r="E43" s="507"/>
      <c r="F43" s="507"/>
      <c r="G43" s="507"/>
      <c r="H43" s="507"/>
      <c r="I43" s="507"/>
      <c r="J43" s="507"/>
      <c r="K43" s="507"/>
      <c r="L43" s="507"/>
      <c r="M43" s="507"/>
      <c r="AC43" s="184"/>
      <c r="AD43" s="184"/>
      <c r="AE43" s="184"/>
    </row>
    <row r="44" spans="2:31" ht="26.25" customHeight="1" x14ac:dyDescent="0.25">
      <c r="B44" s="1399" t="str">
        <f>IF(Language="English", AC45, AE45)</f>
        <v>Type de données</v>
      </c>
      <c r="C44" s="540"/>
      <c r="D44" s="1401" t="str">
        <f>IF(Language="English", AC46, IF(Language="Francais", AE46, AD46))</f>
        <v>Secteurs rapportent</v>
      </c>
      <c r="E44" s="625" t="str">
        <f>E16</f>
        <v>Secteur public</v>
      </c>
      <c r="F44" s="1419" t="str">
        <f>F16</f>
        <v>Secteur médical privé</v>
      </c>
      <c r="G44" s="1420"/>
      <c r="H44" s="1421"/>
      <c r="I44" s="1422" t="str">
        <f>I16</f>
        <v>Autre source</v>
      </c>
      <c r="J44" s="1423"/>
      <c r="N44" s="1398"/>
      <c r="AC44" s="184"/>
      <c r="AD44" s="184"/>
      <c r="AE44" s="184"/>
    </row>
    <row r="45" spans="2:31" ht="57" customHeight="1" x14ac:dyDescent="0.25">
      <c r="B45" s="1400"/>
      <c r="C45" s="541"/>
      <c r="D45" s="1402"/>
      <c r="E45" s="626" t="str">
        <f>E17</f>
        <v>Établissements de santé public et soins de santé communautaires</v>
      </c>
      <c r="F45" s="631" t="str">
        <f>F17</f>
        <v>ONG</v>
      </c>
      <c r="G45" s="632" t="str">
        <f>G17</f>
        <v>Hôpital/clinique privé</v>
      </c>
      <c r="H45" s="633" t="str">
        <f>H17</f>
        <v>Pharmacie</v>
      </c>
      <c r="I45" s="634" t="str">
        <f>I17</f>
        <v>Boutique / Église / Ami</v>
      </c>
      <c r="J45" s="635" t="str">
        <f>J17</f>
        <v>Autre</v>
      </c>
      <c r="N45" s="1398"/>
      <c r="U45" s="175"/>
      <c r="V45" s="175"/>
      <c r="W45" s="175"/>
      <c r="X45" s="175"/>
      <c r="AC45" s="184" t="s">
        <v>912</v>
      </c>
      <c r="AD45" s="184"/>
      <c r="AE45" s="184" t="s">
        <v>937</v>
      </c>
    </row>
    <row r="46" spans="2:31" ht="30" customHeight="1" x14ac:dyDescent="0.25">
      <c r="B46" s="505" t="str">
        <f>'3. ServiceStats Set Up'!B16</f>
        <v>Produits de planification familiale distribués aux clients</v>
      </c>
      <c r="C46" s="523"/>
      <c r="D46" s="505" t="str">
        <f>IF('3. ServiceStats Set Up'!C21=0, "N/A", '3. ServiceStats Set Up'!C21)</f>
        <v>N/A</v>
      </c>
      <c r="E46" s="643"/>
      <c r="F46" s="643"/>
      <c r="G46" s="644"/>
      <c r="H46" s="645"/>
      <c r="I46" s="643"/>
      <c r="J46" s="645"/>
      <c r="AC46" s="184" t="s">
        <v>913</v>
      </c>
      <c r="AD46" s="184" t="s">
        <v>915</v>
      </c>
      <c r="AE46" s="184" t="s">
        <v>914</v>
      </c>
    </row>
    <row r="47" spans="2:31" ht="30" customHeight="1" x14ac:dyDescent="0.25">
      <c r="B47" s="505" t="str">
        <f>'3. ServiceStats Set Up'!I16</f>
        <v>Produits de planification familiale distribués aux établissements</v>
      </c>
      <c r="C47" s="523"/>
      <c r="D47" s="505" t="str">
        <f>IF('3. ServiceStats Set Up'!K21=0, "N/A", '3. ServiceStats Set Up'!K21)</f>
        <v>N/A</v>
      </c>
      <c r="E47" s="643"/>
      <c r="F47" s="643"/>
      <c r="G47" s="644"/>
      <c r="H47" s="645"/>
      <c r="I47" s="643"/>
      <c r="J47" s="645"/>
    </row>
    <row r="48" spans="2:31" ht="30" customHeight="1" x14ac:dyDescent="0.25">
      <c r="B48" s="505" t="str">
        <f>'3. ServiceStats Set Up'!B25</f>
        <v>Visites de PF</v>
      </c>
      <c r="C48" s="523"/>
      <c r="D48" s="505" t="str">
        <f>IF('3. ServiceStats Set Up'!C30=0, "N/A", '3. ServiceStats Set Up'!C30)</f>
        <v>N/A</v>
      </c>
      <c r="E48" s="643"/>
      <c r="F48" s="643"/>
      <c r="G48" s="644"/>
      <c r="H48" s="645"/>
      <c r="I48" s="643"/>
      <c r="J48" s="645"/>
    </row>
    <row r="49" spans="2:29" ht="30" customHeight="1" thickBot="1" x14ac:dyDescent="0.3">
      <c r="B49" s="506" t="str">
        <f>'3. ServiceStats Set Up'!I25</f>
        <v>Utilisatrices de PF</v>
      </c>
      <c r="C49" s="524"/>
      <c r="D49" s="506" t="str">
        <f>IF('3. ServiceStats Set Up'!K30=0, "N/A", '3. ServiceStats Set Up'!K30)</f>
        <v>N/A</v>
      </c>
      <c r="E49" s="834"/>
      <c r="F49" s="834"/>
      <c r="G49" s="835"/>
      <c r="H49" s="836"/>
      <c r="I49" s="834"/>
      <c r="J49" s="836"/>
    </row>
    <row r="50" spans="2:29" ht="10.5" customHeight="1" x14ac:dyDescent="0.25">
      <c r="B50" s="383"/>
      <c r="D50" s="381"/>
      <c r="E50" s="258"/>
      <c r="F50" s="258"/>
      <c r="G50" s="258"/>
      <c r="H50" s="258"/>
      <c r="I50" s="258"/>
      <c r="J50" s="258"/>
    </row>
    <row r="51" spans="2:29" ht="32.25" hidden="1" customHeight="1" outlineLevel="1" x14ac:dyDescent="0.25">
      <c r="B51" s="686" t="str">
        <f>B46</f>
        <v>Produits de planification familiale distribués aux clients</v>
      </c>
      <c r="C51" s="148"/>
      <c r="D51" s="687">
        <f>IFERROR(VLOOKUP(D46,'Language Look Ups'!$B$30:$F$32,5,FALSE),IFERROR(VLOOKUP(D46,'Language Look Ups'!$E$29:$F$32,2,FALSE),IFERROR(VLOOKUP(D46,'Language Look Ups'!$C$29:$F$32,4,FALSE),0)))</f>
        <v>0</v>
      </c>
      <c r="E51" s="690">
        <f>IFERROR(HLOOKUP(E46,'Language Look Ups'!$C$5:$E$9,5,FALSE),IFERROR(HLOOKUP(E46,'Language Look Ups'!$C$8:$E$9,2,FALSE),IFERROR(HLOOKUP(E46,'Language Look Ups'!$C$6:$E$9, 4,FALSE),0)))</f>
        <v>0</v>
      </c>
      <c r="F51" s="693">
        <f>IFERROR(HLOOKUP(F46,'Language Look Ups'!$C$5:$E$9,5,FALSE),IFERROR(HLOOKUP(F46,'Language Look Ups'!$C$8:$E$9,2,FALSE),IFERROR(HLOOKUP(F46,'Language Look Ups'!$C$6:$E$9, 4,FALSE),0)))</f>
        <v>0</v>
      </c>
      <c r="G51" s="694">
        <f>IFERROR(HLOOKUP(G46,'Language Look Ups'!$C$5:$E$9,5,FALSE),IFERROR(HLOOKUP(G46,'Language Look Ups'!$C$8:$E$9,2,FALSE),IFERROR(HLOOKUP(G46,'Language Look Ups'!$C$6:$E$9, 4,FALSE),0)))</f>
        <v>0</v>
      </c>
      <c r="H51" s="695">
        <f>IFERROR(HLOOKUP(H46,'Language Look Ups'!$C$5:$E$9,5,FALSE),IFERROR(HLOOKUP(H46,'Language Look Ups'!$C$8:$E$9,2,FALSE),IFERROR(HLOOKUP(H46,'Language Look Ups'!$C$6:$E$9, 4,FALSE),0)))</f>
        <v>0</v>
      </c>
      <c r="I51" s="702">
        <f>IFERROR(HLOOKUP(I46,'Language Look Ups'!$C$5:$E$9,5,FALSE),IFERROR(HLOOKUP(I46,'Language Look Ups'!$C$8:$E$9,2,FALSE),IFERROR(HLOOKUP(I46,'Language Look Ups'!$C$6:$E$9, 4,FALSE),0)))</f>
        <v>0</v>
      </c>
      <c r="J51" s="703">
        <f>IFERROR(HLOOKUP(J46,'Language Look Ups'!$C$5:$E$9,5,FALSE),IFERROR(HLOOKUP(J46,'Language Look Ups'!$C$8:$E$9,2,FALSE),IFERROR(HLOOKUP(J46,'Language Look Ups'!$C$6:$E$9, 4,FALSE),0)))</f>
        <v>0</v>
      </c>
    </row>
    <row r="52" spans="2:29" ht="32.25" hidden="1" customHeight="1" outlineLevel="1" x14ac:dyDescent="0.25">
      <c r="B52" s="505" t="str">
        <f>B47</f>
        <v>Produits de planification familiale distribués aux établissements</v>
      </c>
      <c r="D52" s="688">
        <f>IFERROR(VLOOKUP(D47,'Language Look Ups'!$B$30:$F$32,5,FALSE),IFERROR(VLOOKUP(D47,'Language Look Ups'!$E$29:$F$32,2,FALSE),IFERROR(VLOOKUP(D47,'Language Look Ups'!$C$29:$F$32,4,FALSE),0)))</f>
        <v>0</v>
      </c>
      <c r="E52" s="691">
        <f>IFERROR(HLOOKUP(E47,'Language Look Ups'!$C$5:$E$9,5,FALSE),IFERROR(HLOOKUP(E47,'Language Look Ups'!$C$8:$E$9,2,FALSE),IFERROR(HLOOKUP(E47,'Language Look Ups'!$C$6:$E$9, 4,FALSE),0)))</f>
        <v>0</v>
      </c>
      <c r="F52" s="696">
        <f>IFERROR(HLOOKUP(F47,'Language Look Ups'!$C$5:$E$9,5,FALSE),IFERROR(HLOOKUP(F47,'Language Look Ups'!$C$8:$E$9,2,FALSE),IFERROR(HLOOKUP(F47,'Language Look Ups'!$C$6:$E$9, 4,FALSE),0)))</f>
        <v>0</v>
      </c>
      <c r="G52" s="697">
        <f>IFERROR(HLOOKUP(G47,'Language Look Ups'!$C$5:$E$9,5,FALSE),IFERROR(HLOOKUP(G47,'Language Look Ups'!$C$8:$E$9,2,FALSE),IFERROR(HLOOKUP(G47,'Language Look Ups'!$C$6:$E$9, 4,FALSE),0)))</f>
        <v>0</v>
      </c>
      <c r="H52" s="698">
        <f>IFERROR(HLOOKUP(H47,'Language Look Ups'!$C$5:$E$9,5,FALSE),IFERROR(HLOOKUP(H47,'Language Look Ups'!$C$8:$E$9,2,FALSE),IFERROR(HLOOKUP(H47,'Language Look Ups'!$C$6:$E$9, 4,FALSE),0)))</f>
        <v>0</v>
      </c>
      <c r="I52" s="704">
        <f>IFERROR(HLOOKUP(I47,'Language Look Ups'!$C$5:$E$9,5,FALSE),IFERROR(HLOOKUP(I47,'Language Look Ups'!$C$8:$E$9,2,FALSE),IFERROR(HLOOKUP(I47,'Language Look Ups'!$C$6:$E$9, 4,FALSE),0)))</f>
        <v>0</v>
      </c>
      <c r="J52" s="705">
        <f>IFERROR(HLOOKUP(J47,'Language Look Ups'!$C$5:$E$9,5,FALSE),IFERROR(HLOOKUP(J47,'Language Look Ups'!$C$8:$E$9,2,FALSE),IFERROR(HLOOKUP(J47,'Language Look Ups'!$C$6:$E$9, 4,FALSE),0)))</f>
        <v>0</v>
      </c>
    </row>
    <row r="53" spans="2:29" ht="32.25" hidden="1" customHeight="1" outlineLevel="1" x14ac:dyDescent="0.25">
      <c r="B53" s="505" t="str">
        <f>B48</f>
        <v>Visites de PF</v>
      </c>
      <c r="D53" s="688">
        <f>IFERROR(VLOOKUP(D48,'Language Look Ups'!$B$30:$F$32,5,FALSE),IFERROR(VLOOKUP(D48,'Language Look Ups'!$E$29:$F$32,2,FALSE),IFERROR(VLOOKUP(D48,'Language Look Ups'!$C$29:$F$32,4,FALSE),0)))</f>
        <v>0</v>
      </c>
      <c r="E53" s="691">
        <f>IFERROR(HLOOKUP(E48,'Language Look Ups'!$C$5:$E$9,5,FALSE),IFERROR(HLOOKUP(E48,'Language Look Ups'!$C$8:$E$9,2,FALSE),IFERROR(HLOOKUP(E48,'Language Look Ups'!$C$6:$E$9, 4,FALSE),0)))</f>
        <v>0</v>
      </c>
      <c r="F53" s="696">
        <f>IFERROR(HLOOKUP(F48,'Language Look Ups'!$C$5:$E$9,5,FALSE),IFERROR(HLOOKUP(F48,'Language Look Ups'!$C$8:$E$9,2,FALSE),IFERROR(HLOOKUP(F48,'Language Look Ups'!$C$6:$E$9, 4,FALSE),0)))</f>
        <v>0</v>
      </c>
      <c r="G53" s="697">
        <f>IFERROR(HLOOKUP(G48,'Language Look Ups'!$C$5:$E$9,5,FALSE),IFERROR(HLOOKUP(G48,'Language Look Ups'!$C$8:$E$9,2,FALSE),IFERROR(HLOOKUP(G48,'Language Look Ups'!$C$6:$E$9, 4,FALSE),0)))</f>
        <v>0</v>
      </c>
      <c r="H53" s="698">
        <f>IFERROR(HLOOKUP(H48,'Language Look Ups'!$C$5:$E$9,5,FALSE),IFERROR(HLOOKUP(H48,'Language Look Ups'!$C$8:$E$9,2,FALSE),IFERROR(HLOOKUP(H48,'Language Look Ups'!$C$6:$E$9, 4,FALSE),0)))</f>
        <v>0</v>
      </c>
      <c r="I53" s="704">
        <f>IFERROR(HLOOKUP(I48,'Language Look Ups'!$C$5:$E$9,5,FALSE),IFERROR(HLOOKUP(I48,'Language Look Ups'!$C$8:$E$9,2,FALSE),IFERROR(HLOOKUP(I48,'Language Look Ups'!$C$6:$E$9, 4,FALSE),0)))</f>
        <v>0</v>
      </c>
      <c r="J53" s="705">
        <f>IFERROR(HLOOKUP(J48,'Language Look Ups'!$C$5:$E$9,5,FALSE),IFERROR(HLOOKUP(J48,'Language Look Ups'!$C$8:$E$9,2,FALSE),IFERROR(HLOOKUP(J48,'Language Look Ups'!$C$6:$E$9, 4,FALSE),0)))</f>
        <v>0</v>
      </c>
    </row>
    <row r="54" spans="2:29" ht="32.25" hidden="1" customHeight="1" outlineLevel="1" thickBot="1" x14ac:dyDescent="0.3">
      <c r="B54" s="506" t="str">
        <f>B49</f>
        <v>Utilisatrices de PF</v>
      </c>
      <c r="C54" s="149"/>
      <c r="D54" s="689">
        <f>IFERROR(VLOOKUP(D49,'Language Look Ups'!$B$30:$F$32,5,FALSE),IFERROR(VLOOKUP(D49,'Language Look Ups'!$E$29:$F$32,2,FALSE),IFERROR(VLOOKUP(D49,'Language Look Ups'!$C$29:$F$32,4,FALSE),0)))</f>
        <v>0</v>
      </c>
      <c r="E54" s="692">
        <f>IFERROR(HLOOKUP(E49,'Language Look Ups'!$C$5:$E$9,5,FALSE),IFERROR(HLOOKUP(E49,'Language Look Ups'!$C$8:$E$9,2,FALSE),IFERROR(HLOOKUP(E49,'Language Look Ups'!$C$6:$E$9, 4,FALSE),0)))</f>
        <v>0</v>
      </c>
      <c r="F54" s="699">
        <f>IFERROR(HLOOKUP(F49,'Language Look Ups'!$C$5:$E$9,5,FALSE),IFERROR(HLOOKUP(F49,'Language Look Ups'!$C$8:$E$9,2,FALSE),IFERROR(HLOOKUP(F49,'Language Look Ups'!$C$6:$E$9, 4,FALSE),0)))</f>
        <v>0</v>
      </c>
      <c r="G54" s="700">
        <f>IFERROR(HLOOKUP(G49,'Language Look Ups'!$C$5:$E$9,5,FALSE),IFERROR(HLOOKUP(G49,'Language Look Ups'!$C$8:$E$9,2,FALSE),IFERROR(HLOOKUP(G49,'Language Look Ups'!$C$6:$E$9, 4,FALSE),0)))</f>
        <v>0</v>
      </c>
      <c r="H54" s="701">
        <f>IFERROR(HLOOKUP(H49,'Language Look Ups'!$C$5:$E$9,5,FALSE),IFERROR(HLOOKUP(H49,'Language Look Ups'!$C$8:$E$9,2,FALSE),IFERROR(HLOOKUP(H49,'Language Look Ups'!$C$6:$E$9, 4,FALSE),0)))</f>
        <v>0</v>
      </c>
      <c r="I54" s="706">
        <f>IFERROR(HLOOKUP(I49,'Language Look Ups'!$C$5:$E$9,5,FALSE),IFERROR(HLOOKUP(I49,'Language Look Ups'!$C$8:$E$9,2,FALSE),IFERROR(HLOOKUP(I49,'Language Look Ups'!$C$6:$E$9, 4,FALSE),0)))</f>
        <v>0</v>
      </c>
      <c r="J54" s="707">
        <f>IFERROR(HLOOKUP(J49,'Language Look Ups'!$C$5:$E$9,5,FALSE),IFERROR(HLOOKUP(J49,'Language Look Ups'!$C$8:$E$9,2,FALSE),IFERROR(HLOOKUP(J49,'Language Look Ups'!$C$6:$E$9, 4,FALSE),0)))</f>
        <v>0</v>
      </c>
    </row>
    <row r="55" spans="2:29" collapsed="1" x14ac:dyDescent="0.25"/>
    <row r="57" spans="2:29" ht="33" customHeight="1" x14ac:dyDescent="0.25">
      <c r="AC57" t="s">
        <v>926</v>
      </c>
    </row>
    <row r="58" spans="2:29" ht="33" customHeight="1" x14ac:dyDescent="0.25"/>
    <row r="59" spans="2:29" ht="33" customHeight="1" x14ac:dyDescent="0.25"/>
    <row r="60" spans="2:29" ht="33" customHeight="1" x14ac:dyDescent="0.25"/>
    <row r="61" spans="2:29" ht="33" customHeight="1" x14ac:dyDescent="0.25"/>
    <row r="62" spans="2:29" ht="33" customHeight="1" x14ac:dyDescent="0.25"/>
    <row r="63" spans="2:29" ht="33" customHeight="1" x14ac:dyDescent="0.25"/>
    <row r="66" spans="2:31" ht="27" thickBot="1" x14ac:dyDescent="0.45">
      <c r="B66" s="243" t="str">
        <f>IF(Language="English", AC66, AE66)</f>
        <v>Étape 3 de 3: Examiner le Facteur d'Ajustement</v>
      </c>
      <c r="C66" s="243"/>
      <c r="D66" s="243"/>
      <c r="E66" s="243"/>
      <c r="F66" s="243"/>
      <c r="G66" s="243"/>
      <c r="H66" s="243"/>
      <c r="I66" s="243"/>
      <c r="J66" s="243"/>
      <c r="K66" s="243"/>
      <c r="L66" s="243"/>
      <c r="M66" s="243"/>
      <c r="N66" s="508"/>
      <c r="O66" s="508"/>
      <c r="P66" s="508"/>
      <c r="Q66" s="508"/>
      <c r="AC66" s="184" t="s">
        <v>1067</v>
      </c>
      <c r="AD66" s="184" t="s">
        <v>673</v>
      </c>
      <c r="AE66" s="184" t="s">
        <v>1066</v>
      </c>
    </row>
    <row r="67" spans="2:31" ht="78" customHeight="1" x14ac:dyDescent="0.25">
      <c r="B67" s="1411" t="str">
        <f>IF(Language="English", AC67, AE67)</f>
        <v>Dans le tableau ci-dessous, pour chaque type de données disponibles, la valeur représente le facteur d'ajustement qui sera multiplié par vos données "Produits FP" / "Visites" / "Utilisatrices" afin de gonfler les valeurs pour représenter le marché complet (TOUT l'approvisionnement FP publiques et privées) .
Si la valeur dans le tableau est 1,00, il est supposé que vos données représentent TOUTES cette méthode de PF fournie dans le pays (sur la base des données d'EDS et de vos réponses ci-dessus).
Si la valeur dans le tableau est supérieure à 1, il est supposé que vos données NE représentent PAS tout ce type de produit / service fourni dans votre pays. Vos données seront multipliées par cette valeur pour estimer le nombre total de cette méthode de PF fournie dans le secteur public et privé du pays.</v>
      </c>
      <c r="C67" s="1411"/>
      <c r="D67" s="1411"/>
      <c r="E67" s="1411"/>
      <c r="F67" s="1411"/>
      <c r="G67" s="1411"/>
      <c r="H67" s="1411"/>
      <c r="I67" s="1411"/>
      <c r="J67" s="1411"/>
      <c r="K67" s="1411"/>
      <c r="L67" s="1411"/>
      <c r="M67" s="1411"/>
      <c r="AC67" s="368" t="s">
        <v>1287</v>
      </c>
      <c r="AD67" s="184"/>
      <c r="AE67" s="1088" t="s">
        <v>1304</v>
      </c>
    </row>
    <row r="68" spans="2:31" ht="15.75" thickBot="1" x14ac:dyDescent="0.3">
      <c r="B68" s="1437"/>
      <c r="C68" s="1437"/>
      <c r="D68" s="1437"/>
      <c r="E68" s="1437"/>
      <c r="F68" s="1437"/>
      <c r="G68" s="1437"/>
      <c r="H68" s="1437"/>
    </row>
    <row r="69" spans="2:31" ht="60" hidden="1" x14ac:dyDescent="0.25">
      <c r="B69" s="1435" t="s">
        <v>875</v>
      </c>
      <c r="C69" s="1436"/>
      <c r="D69" s="1436"/>
      <c r="E69" s="1063" t="str">
        <f>'3. ServiceStats Set Up'!$B$16</f>
        <v>Produits de planification familiale distribués aux clients</v>
      </c>
      <c r="F69" s="1063" t="str">
        <f>'3. ServiceStats Set Up'!$I$16</f>
        <v>Produits de planification familiale distribués aux établissements</v>
      </c>
      <c r="G69" s="1063" t="str">
        <f>'3. ServiceStats Set Up'!$B$25</f>
        <v>Visites de PF</v>
      </c>
      <c r="H69" s="1064" t="str">
        <f>'3. ServiceStats Set Up'!$I$25</f>
        <v>Utilisatrices de PF</v>
      </c>
      <c r="AC69" s="184" t="s">
        <v>929</v>
      </c>
      <c r="AD69" s="184"/>
      <c r="AE69" s="184" t="s">
        <v>930</v>
      </c>
    </row>
    <row r="70" spans="2:31" ht="15.75" hidden="1" customHeight="1" x14ac:dyDescent="0.25">
      <c r="B70" s="1395" t="str">
        <f>IF(Language="English", 'Language Look Ups'!$O$5,IF(Language="Francais", 'Language Look Ups'!$S$5,  'Language Look Ups'!$Q$5))</f>
        <v>Méthodes à Long Terme et Permanentes</v>
      </c>
      <c r="C70" s="1065" t="str">
        <f>IF(Language="English", 'Language Look Ups'!$P$6,IF(Language="Francais", 'Language Look Ups'!$T$6, 'Language Look Ups'!$R$6))</f>
        <v>Ligature des trompes</v>
      </c>
      <c r="D70" s="1066" t="str">
        <f>IF(Language="English",'Language Look Ups'!$O$6,IF(Language="Francais",'Language Look Ups'!$S$6,'Language Look Ups'!$Q$6))&amp;" (F)"</f>
        <v>Stérilisation (F)</v>
      </c>
      <c r="E70" s="1067" t="str">
        <f>IF($D$46="N/A", "n/a", IFERROR(IF(SUMPRODUCT($E$51:$J$51, $E18:$J18)=0,1,IF(SUMPRODUCT($E$51:$J$51, $E18:$J18)&gt;1, 1, SUMPRODUCT($E$51:$J$51, $E18:$J18))), 1))</f>
        <v>n/a</v>
      </c>
      <c r="F70" s="1067" t="str">
        <f>IF($D$47="N/A", "n/a", IFERROR(IF(SUMPRODUCT($E$52:$J$52, $E18:$J18)=0,1,IF(SUMPRODUCT($E$52:$J$52, $E18:$J18)&gt;1,1, SUMPRODUCT($E$52:$J$52, $E18:$J18))), 1))</f>
        <v>n/a</v>
      </c>
      <c r="G70" s="1067" t="str">
        <f>IF($D$48="N/A", "n/a", IFERROR(IF(SUMPRODUCT($E$53:$J$53, $E18:$J18)=0,1,IF(SUMPRODUCT($E$53:$J$53, $E18:$J18)&gt;1,1, SUMPRODUCT($E$53:$J$53, $E18:$J18))), 1))</f>
        <v>n/a</v>
      </c>
      <c r="H70" s="1068" t="str">
        <f>IF($D$49="N/A", "n/a", IFERROR(IF(SUMPRODUCT($E$54:$J$54, $E18:$J18)=0,1, IF(SUMPRODUCT($E$54:$J$54, $E18:$J18)&gt;1,1, SUMPRODUCT($E$54:$J$54, $E18:$J18))), 1))</f>
        <v>n/a</v>
      </c>
      <c r="T70" s="981" t="e">
        <f>1/E70</f>
        <v>#VALUE!</v>
      </c>
    </row>
    <row r="71" spans="2:31" ht="15.75" hidden="1" x14ac:dyDescent="0.25">
      <c r="B71" s="1396"/>
      <c r="C71" s="1069" t="str">
        <f>IF(Language="English",'Language Look Ups'!$P$7,IF(Language="Francais",'Language Look Ups'!$T$7,'Language Look Ups'!$R$7))</f>
        <v>Vasectomie</v>
      </c>
      <c r="D71" s="1070" t="str">
        <f>IF(Language="English",'Language Look Ups'!$O$6,IF(Language="Francais",'Language Look Ups'!$S$6,'Language Look Ups'!$Q$6))&amp;" (M)"</f>
        <v>Stérilisation (M)</v>
      </c>
      <c r="E71" s="1071" t="str">
        <f t="shared" ref="E71:E84" si="14">IF($D$46="N/A", "n/a", IFERROR(IF(SUMPRODUCT($E$51:$J$51, $E19:$J19)=0,1,IF(SUMPRODUCT($E$51:$J$51, $E19:$J19)&gt;1, 1, SUMPRODUCT($E$51:$J$51, $E19:$J19))), 1))</f>
        <v>n/a</v>
      </c>
      <c r="F71" s="1071" t="str">
        <f t="shared" ref="F71:F83" si="15">IF($D$47="N/A", "n/a", IFERROR(IF(SUMPRODUCT($E$52:$J$52, $E19:$J19)=0,1,IF(SUMPRODUCT($E$52:$J$52, $E19:$J19)&gt;1,1, SUMPRODUCT($E$52:$J$52, $E19:$J19))), 1))</f>
        <v>n/a</v>
      </c>
      <c r="G71" s="1071" t="str">
        <f t="shared" ref="G71:G83" si="16">IF($D$48="N/A", "n/a", IFERROR(IF(SUMPRODUCT($E$53:$J$53, $E19:$J19)=0,1,IF(SUMPRODUCT($E$53:$J$53, $E19:$J19)&gt;1,1, SUMPRODUCT($E$53:$J$53, $E19:$J19))), 1))</f>
        <v>n/a</v>
      </c>
      <c r="H71" s="1072" t="str">
        <f t="shared" ref="H71:H84" si="17">IF($D$49="N/A", "n/a", IFERROR(IF(SUMPRODUCT($E$54:$J$54, $E19:$J19)=0,1, IF(SUMPRODUCT($E$54:$J$54, $E19:$J19)&gt;1,1, SUMPRODUCT($E$54:$J$54, $E19:$J19))), 1))</f>
        <v>n/a</v>
      </c>
      <c r="T71" s="981" t="e">
        <f t="shared" ref="T71:T91" si="18">1/E71</f>
        <v>#VALUE!</v>
      </c>
    </row>
    <row r="72" spans="2:31" ht="15.75" hidden="1" x14ac:dyDescent="0.25">
      <c r="B72" s="1396"/>
      <c r="C72" s="1069" t="str">
        <f>IF(Language="English", 'Language Look Ups'!$P$8,IF(Language="Francais", 'Language Look Ups'!$T$8, 'Language Look Ups'!$R$8))</f>
        <v>Copper- T 380-A DIU</v>
      </c>
      <c r="D72" s="1070" t="str">
        <f>IF(Language="English", 'Language Look Ups'!$O$8,IF(Language="Francais", 'Language Look Ups'!$S$8, 'Language Look Ups'!$Q$8))</f>
        <v>DIU</v>
      </c>
      <c r="E72" s="1071" t="str">
        <f t="shared" si="14"/>
        <v>n/a</v>
      </c>
      <c r="F72" s="1071" t="str">
        <f t="shared" si="15"/>
        <v>n/a</v>
      </c>
      <c r="G72" s="1071" t="str">
        <f t="shared" si="16"/>
        <v>n/a</v>
      </c>
      <c r="H72" s="1072" t="str">
        <f t="shared" si="17"/>
        <v>n/a</v>
      </c>
      <c r="T72" s="981" t="e">
        <f t="shared" si="18"/>
        <v>#VALUE!</v>
      </c>
    </row>
    <row r="73" spans="2:31" ht="15.6" hidden="1" customHeight="1" x14ac:dyDescent="0.25">
      <c r="B73" s="1396"/>
      <c r="C73" s="1069" t="str">
        <f>IF(Language="English", 'Language Look Ups'!$P$9,IF(Language="Francais", 'Language Look Ups'!$T$9, 'Language Look Ups'!$R$9))</f>
        <v>DIU Hormonal (LNG-IUS)</v>
      </c>
      <c r="D73" s="1070" t="str">
        <f>IF(Language="English", 'Language Look Ups'!$O$8,IF(Language="Francais", 'Language Look Ups'!$S$8, 'Language Look Ups'!$Q$8))</f>
        <v>DIU</v>
      </c>
      <c r="E73" s="1071" t="str">
        <f t="shared" si="14"/>
        <v>n/a</v>
      </c>
      <c r="F73" s="1071" t="str">
        <f>IF($D$47="N/A", "n/a", IFERROR(IF(SUMPRODUCT($E$52:$J$52, $E21:$J21)=0,1,IF(SUMPRODUCT($E$52:$J$52, $E21:$J21)&gt;1,1, SUMPRODUCT($E$52:$J$52, $E21:$J21))), 1))</f>
        <v>n/a</v>
      </c>
      <c r="G73" s="1071" t="str">
        <f>IF($D$48="N/A", "n/a", IFERROR(IF(SUMPRODUCT($E$53:$J$53, $E21:$J21)=0,1,IF(SUMPRODUCT($E$53:$J$53, $E21:$J21)&gt;1,1, SUMPRODUCT($E$53:$J$53, $E21:$J21))), 1))</f>
        <v>n/a</v>
      </c>
      <c r="H73" s="1072" t="str">
        <f>IF($D$49="N/A", "n/a", IFERROR(IF(SUMPRODUCT($E$54:$J$54, $E21:$J21)=0,1, IF(SUMPRODUCT($E$54:$J$54, $E21:$J21)&gt;1,1, SUMPRODUCT($E$54:$J$54, $E21:$J21))), 1))</f>
        <v>n/a</v>
      </c>
      <c r="T73" s="981" t="e">
        <f t="shared" si="18"/>
        <v>#VALUE!</v>
      </c>
    </row>
    <row r="74" spans="2:31" ht="15.6" hidden="1" customHeight="1" x14ac:dyDescent="0.25">
      <c r="B74" s="1396"/>
      <c r="C74" s="1069" t="str">
        <f>IF(Language="English", 'Language Look Ups'!$P$10,IF(Language="Francais", 'Language Look Ups'!$T$10, 'Language Look Ups'!$R$10))</f>
        <v>Implant de 3 ans (Implanon, Levoplant)</v>
      </c>
      <c r="D74" s="1070" t="str">
        <f>IF(Language="English", 'Language Look Ups'!$O$10,IF(Language="Francais", 'Language Look Ups'!$S$10, 'Language Look Ups'!$Q$10))</f>
        <v>Implant</v>
      </c>
      <c r="E74" s="1071" t="str">
        <f t="shared" si="14"/>
        <v>n/a</v>
      </c>
      <c r="F74" s="1071" t="str">
        <f t="shared" si="15"/>
        <v>n/a</v>
      </c>
      <c r="G74" s="1071" t="str">
        <f t="shared" si="16"/>
        <v>n/a</v>
      </c>
      <c r="H74" s="1072" t="str">
        <f t="shared" si="17"/>
        <v>n/a</v>
      </c>
      <c r="T74" s="981" t="e">
        <f t="shared" si="18"/>
        <v>#VALUE!</v>
      </c>
    </row>
    <row r="75" spans="2:31" ht="15.6" hidden="1" customHeight="1" x14ac:dyDescent="0.25">
      <c r="B75" s="1396"/>
      <c r="C75" s="1069" t="str">
        <f>IF(Language="English", 'Language Look Ups'!$P$11,IF(Language="Francais", 'Language Look Ups'!$T$11, 'Language Look Ups'!$R$11))</f>
        <v>Implant de 4 ans (Sino-Implant)</v>
      </c>
      <c r="D75" s="1070" t="str">
        <f>IF(Language="English", 'Language Look Ups'!$O$10,IF(Language="Francais", 'Language Look Ups'!$S$10, 'Language Look Ups'!$Q$10))</f>
        <v>Implant</v>
      </c>
      <c r="E75" s="1071" t="str">
        <f t="shared" si="14"/>
        <v>n/a</v>
      </c>
      <c r="F75" s="1071" t="str">
        <f t="shared" si="15"/>
        <v>n/a</v>
      </c>
      <c r="G75" s="1071" t="str">
        <f t="shared" si="16"/>
        <v>n/a</v>
      </c>
      <c r="H75" s="1072" t="str">
        <f t="shared" si="17"/>
        <v>n/a</v>
      </c>
      <c r="T75" s="981" t="e">
        <f t="shared" si="18"/>
        <v>#VALUE!</v>
      </c>
    </row>
    <row r="76" spans="2:31" ht="15.75" hidden="1" customHeight="1" collapsed="1" x14ac:dyDescent="0.25">
      <c r="B76" s="1397"/>
      <c r="C76" s="1073" t="str">
        <f>IF(Language="English", 'Language Look Ups'!$P$12,IF(Language="Francais", 'Language Look Ups'!$T$12, 'Language Look Ups'!$R$12))</f>
        <v>Implant de 5 ans (Jadelle)</v>
      </c>
      <c r="D76" s="1074" t="str">
        <f>IF(Language="English", 'Language Look Ups'!$O$10,IF(Language="Francais", 'Language Look Ups'!$S$10, 'Language Look Ups'!$Q$10))</f>
        <v>Implant</v>
      </c>
      <c r="E76" s="1075" t="str">
        <f t="shared" si="14"/>
        <v>n/a</v>
      </c>
      <c r="F76" s="1075" t="str">
        <f t="shared" si="15"/>
        <v>n/a</v>
      </c>
      <c r="G76" s="1075" t="str">
        <f t="shared" si="16"/>
        <v>n/a</v>
      </c>
      <c r="H76" s="1076" t="str">
        <f t="shared" si="17"/>
        <v>n/a</v>
      </c>
      <c r="T76" s="981" t="e">
        <f t="shared" si="18"/>
        <v>#VALUE!</v>
      </c>
    </row>
    <row r="77" spans="2:31" ht="15.75" hidden="1" x14ac:dyDescent="0.25">
      <c r="B77" s="1395" t="str">
        <f>IF(Language="English", 'Language Look Ups'!$O$14,IF(Language="Francais", 'Language Look Ups'!$S$14, 'Language Look Ups'!$Q$14))</f>
        <v>Méthodes à Court Terme</v>
      </c>
      <c r="C77" s="1065" t="str">
        <f>IF(Language="English", 'Language Look Ups'!$P$15,IF(Language="Francais", 'Language Look Ups'!$T$15, 'Language Look Ups'!$R$15))</f>
        <v>Depo Provera (DMPA)</v>
      </c>
      <c r="D77" s="1444" t="str">
        <f>IF(Language="English", 'Language Look Ups'!$O$15,IF(Language="Francais", 'Language Look Ups'!$S$15, 'Language Look Ups'!Q$15))</f>
        <v>Produits injectables</v>
      </c>
      <c r="E77" s="1067" t="str">
        <f t="shared" si="14"/>
        <v>n/a</v>
      </c>
      <c r="F77" s="1067" t="str">
        <f t="shared" si="15"/>
        <v>n/a</v>
      </c>
      <c r="G77" s="1067" t="str">
        <f t="shared" si="16"/>
        <v>n/a</v>
      </c>
      <c r="H77" s="1068" t="str">
        <f t="shared" si="17"/>
        <v>n/a</v>
      </c>
      <c r="T77" s="981" t="e">
        <f t="shared" si="18"/>
        <v>#VALUE!</v>
      </c>
    </row>
    <row r="78" spans="2:31" ht="15.6" hidden="1" customHeight="1" x14ac:dyDescent="0.25">
      <c r="B78" s="1396"/>
      <c r="C78" s="1069" t="str">
        <f>IF(Language="English", 'Language Look Ups'!$P$16,IF(Language="Francais", 'Language Look Ups'!$T$16, 'Language Look Ups'!$R$16))</f>
        <v>Noristerat (NET-En)</v>
      </c>
      <c r="D78" s="1445"/>
      <c r="E78" s="1071" t="str">
        <f t="shared" si="14"/>
        <v>n/a</v>
      </c>
      <c r="F78" s="1071" t="str">
        <f t="shared" si="15"/>
        <v>n/a</v>
      </c>
      <c r="G78" s="1071" t="str">
        <f t="shared" si="16"/>
        <v>n/a</v>
      </c>
      <c r="H78" s="1072" t="str">
        <f t="shared" si="17"/>
        <v>n/a</v>
      </c>
      <c r="T78" s="981" t="e">
        <f t="shared" si="18"/>
        <v>#VALUE!</v>
      </c>
      <c r="AB78">
        <f>IF(Language="English", AC78, AE78)</f>
        <v>0</v>
      </c>
    </row>
    <row r="79" spans="2:31" ht="15.6" hidden="1" customHeight="1" x14ac:dyDescent="0.25">
      <c r="B79" s="1396"/>
      <c r="C79" s="1069" t="str">
        <f>IF(Language="English",'Language Look Ups'!$P$17,IF(Language="Francais",'Language Look Ups'!$T$17,'Language Look Ups'!$R$17))</f>
        <v>Lunelle</v>
      </c>
      <c r="D79" s="1445"/>
      <c r="E79" s="1071" t="str">
        <f t="shared" si="14"/>
        <v>n/a</v>
      </c>
      <c r="F79" s="1071" t="str">
        <f t="shared" si="15"/>
        <v>n/a</v>
      </c>
      <c r="G79" s="1071" t="str">
        <f t="shared" si="16"/>
        <v>n/a</v>
      </c>
      <c r="H79" s="1072" t="str">
        <f t="shared" si="17"/>
        <v>n/a</v>
      </c>
      <c r="T79" s="981" t="e">
        <f t="shared" si="18"/>
        <v>#VALUE!</v>
      </c>
      <c r="AB79">
        <f>IF(Language="English", AC79, AE79)</f>
        <v>0</v>
      </c>
    </row>
    <row r="80" spans="2:31" ht="15.6" hidden="1" customHeight="1" x14ac:dyDescent="0.25">
      <c r="B80" s="1396"/>
      <c r="C80" s="1069" t="str">
        <f>IF(Language="English", 'Language Look Ups'!$P$18,IF(Language="Francais", 'Language Look Ups'!$T$18, 'Language Look Ups'!$R$18))</f>
        <v>Sayana Press</v>
      </c>
      <c r="D80" s="1445"/>
      <c r="E80" s="1071" t="str">
        <f t="shared" si="14"/>
        <v>n/a</v>
      </c>
      <c r="F80" s="1071" t="str">
        <f t="shared" si="15"/>
        <v>n/a</v>
      </c>
      <c r="G80" s="1071" t="str">
        <f t="shared" si="16"/>
        <v>n/a</v>
      </c>
      <c r="H80" s="1072" t="str">
        <f t="shared" si="17"/>
        <v>n/a</v>
      </c>
      <c r="T80" s="981" t="e">
        <f t="shared" si="18"/>
        <v>#VALUE!</v>
      </c>
      <c r="AB80">
        <f>IF(Language="English", AC80, AE80)</f>
        <v>0</v>
      </c>
    </row>
    <row r="81" spans="2:31" ht="15.6" hidden="1" customHeight="1" x14ac:dyDescent="0.25">
      <c r="B81" s="1396"/>
      <c r="C81" s="1069" t="str">
        <f>IF(Language="English", 'Language Look Ups'!$P$19,IF(Language="Francais", 'Language Look Ups'!$T$19, 'Language Look Ups'!$R$19))</f>
        <v>Autre Injectable</v>
      </c>
      <c r="D81" s="1445"/>
      <c r="E81" s="1071" t="str">
        <f t="shared" si="14"/>
        <v>n/a</v>
      </c>
      <c r="F81" s="1071" t="str">
        <f t="shared" si="15"/>
        <v>n/a</v>
      </c>
      <c r="G81" s="1071" t="str">
        <f t="shared" si="16"/>
        <v>n/a</v>
      </c>
      <c r="H81" s="1072" t="str">
        <f t="shared" si="17"/>
        <v>n/a</v>
      </c>
      <c r="T81" s="981" t="e">
        <f t="shared" si="18"/>
        <v>#VALUE!</v>
      </c>
      <c r="AB81">
        <f>IF(Language="English", AC81, AE81)</f>
        <v>0</v>
      </c>
    </row>
    <row r="82" spans="2:31" ht="15.75" hidden="1" collapsed="1" x14ac:dyDescent="0.25">
      <c r="B82" s="1396"/>
      <c r="C82" s="1069" t="str">
        <f>IF(Language="English", 'Language Look Ups'!$P$20,IF(Language="Francais", 'Language Look Ups'!$T$20, 'Language Look Ups'!$R$20))</f>
        <v>Oraux combinés (COC)</v>
      </c>
      <c r="D82" s="1445" t="str">
        <f>IF(Language="English", 'Language Look Ups'!$O$20,IF(Language="Francais", 'Language Look Ups'!$S$20, 'Language Look Ups'!Q$20))</f>
        <v>Pilule</v>
      </c>
      <c r="E82" s="1071" t="str">
        <f t="shared" si="14"/>
        <v>n/a</v>
      </c>
      <c r="F82" s="1071" t="str">
        <f t="shared" si="15"/>
        <v>n/a</v>
      </c>
      <c r="G82" s="1071" t="str">
        <f t="shared" si="16"/>
        <v>n/a</v>
      </c>
      <c r="H82" s="1072" t="str">
        <f t="shared" si="17"/>
        <v>n/a</v>
      </c>
      <c r="T82" s="981" t="e">
        <f t="shared" si="18"/>
        <v>#VALUE!</v>
      </c>
    </row>
    <row r="83" spans="2:31" ht="15.75" hidden="1" customHeight="1" x14ac:dyDescent="0.25">
      <c r="B83" s="1396"/>
      <c r="C83" s="1069" t="str">
        <f>IF(Language="English", 'Language Look Ups'!$P$21,IF(Language="Francais", 'Language Look Ups'!$T$21, 'Language Look Ups'!$R$21))</f>
        <v>Progestatifs seul (POP)</v>
      </c>
      <c r="D83" s="1445"/>
      <c r="E83" s="1071" t="str">
        <f t="shared" si="14"/>
        <v>n/a</v>
      </c>
      <c r="F83" s="1071" t="str">
        <f t="shared" si="15"/>
        <v>n/a</v>
      </c>
      <c r="G83" s="1071" t="str">
        <f t="shared" si="16"/>
        <v>n/a</v>
      </c>
      <c r="H83" s="1072" t="str">
        <f t="shared" si="17"/>
        <v>n/a</v>
      </c>
      <c r="T83" s="981" t="e">
        <f t="shared" si="18"/>
        <v>#VALUE!</v>
      </c>
    </row>
    <row r="84" spans="2:31" ht="15.75" hidden="1" customHeight="1" x14ac:dyDescent="0.25">
      <c r="B84" s="1396"/>
      <c r="C84" s="1069" t="str">
        <f>IF(Language="English", 'Language Look Ups'!$P$22,IF(Language="Francais", 'Language Look Ups'!$T$22, 'Language Look Ups'!$R$22))</f>
        <v>Autre pilule</v>
      </c>
      <c r="D84" s="1445"/>
      <c r="E84" s="1071" t="str">
        <f t="shared" si="14"/>
        <v>n/a</v>
      </c>
      <c r="F84" s="1071" t="str">
        <f>IF($D$47="N/A", "n/a", IFERROR(IF(SUMPRODUCT($E$52:$J$52, $E32:$J32)=0,1,IF(SUMPRODUCT($E$52:$J$52, $E32:$J32)&gt;1,1, SUMPRODUCT($E$52:$J$52, $E32:$J32))), 1))</f>
        <v>n/a</v>
      </c>
      <c r="G84" s="1071" t="str">
        <f>IF($D$48="N/A", "n/a", IFERROR(IF(SUMPRODUCT($E$53:$J$53, $E32:$J32)=0,1,IF(SUMPRODUCT($E$53:$J$53, $E32:$J32)&gt;1,1, SUMPRODUCT($E$53:$J$53, $E32:$J32))), 1))</f>
        <v>n/a</v>
      </c>
      <c r="H84" s="1072" t="str">
        <f t="shared" si="17"/>
        <v>n/a</v>
      </c>
      <c r="T84" s="981" t="e">
        <f t="shared" si="18"/>
        <v>#VALUE!</v>
      </c>
    </row>
    <row r="85" spans="2:31" ht="15.75" hidden="1" collapsed="1" x14ac:dyDescent="0.25">
      <c r="B85" s="1396"/>
      <c r="C85" s="1069" t="str">
        <f>IF(Language="English", 'Language Look Ups'!$P$23,IF(Language="Francais", 'Language Look Ups'!$T$23, 'Language Look Ups'!$R$23))</f>
        <v>Préservatifs masculin</v>
      </c>
      <c r="D85" s="1077" t="str">
        <f>IF(Language="English", 'Language Look Ups'!$O$23,IF(Language="Francais", 'Language Look Ups'!$S$23, 'Language Look Ups'!Q$23)) &amp;" (M)"</f>
        <v>Préservatifs (M)</v>
      </c>
      <c r="E85" s="1071" t="str">
        <f>IF($D$46="N/A", "n/a", IF($I85=$AB$86, 1, IFERROR(IF(SUMPRODUCT($E$51:$J$51, $E33:$J33)=0,1,IF(SUMPRODUCT($E$51:$J$51, $E33:$J33)&gt;1, 1, SUMPRODUCT($E$51:$J$51, $E33:$J33))), 1)))</f>
        <v>n/a</v>
      </c>
      <c r="F85" s="1071" t="str">
        <f>IF($D$47="N/A", "n/a", IF($I85=$AB$86, 1, IFERROR(IF(SUMPRODUCT($E$52:$J$52, $E33:$J33)=0,1,IF(SUMPRODUCT($E$52:$J$52, $E33:$J33)&gt;1, 1, SUMPRODUCT($E$52:$J$52, $E33:$J33))), 1)))</f>
        <v>n/a</v>
      </c>
      <c r="G85" s="1071" t="str">
        <f>IF($D$48="N/A", "n/a", IF($I85=$AB$86, 1, IFERROR(IF(SUMPRODUCT($E$53:$J$53, $E33:$J33)=0,1,IF(SUMPRODUCT($E$53:$J$53, $E33:$J33)&gt;1, 1, SUMPRODUCT($E$53:$J$53, $E33:$J33))), 1)))</f>
        <v>n/a</v>
      </c>
      <c r="H85" s="1072" t="str">
        <f>IF($D$49="N/A", "n/a", IF($I85=$AB$86, 1, IFERROR(IF(SUMPRODUCT($E$54:$J$54, $E33:$J33)=0,1,IF(SUMPRODUCT($E$54:$J$54, $E33:$J33)&gt;1, 1, SUMPRODUCT($E$54:$J$54, $E33:$J33))), 1)))</f>
        <v>n/a</v>
      </c>
      <c r="I85" s="980" t="str">
        <f>I111</f>
        <v>non ajustées*</v>
      </c>
      <c r="T85" s="981" t="e">
        <f t="shared" si="18"/>
        <v>#VALUE!</v>
      </c>
      <c r="AB85" t="str">
        <f>IF(Language="English", AC85, AE85)</f>
        <v>ajustées*</v>
      </c>
      <c r="AC85" t="s">
        <v>1224</v>
      </c>
      <c r="AE85" t="s">
        <v>1237</v>
      </c>
    </row>
    <row r="86" spans="2:31" ht="15.75" hidden="1" x14ac:dyDescent="0.25">
      <c r="B86" s="1396"/>
      <c r="C86" s="1069" t="str">
        <f>IF(Language="English", 'Language Look Ups'!$P$24,IF(Language="Francais", 'Language Look Ups'!$T$24, 'Language Look Ups'!$R$24))</f>
        <v>Préservatifs feminin</v>
      </c>
      <c r="D86" s="1077" t="str">
        <f>IF(Language="English", 'Language Look Ups'!$O$23,IF(Language="Francais", 'Language Look Ups'!$S$23, 'Language Look Ups'!Q$23))&amp;" (F)"</f>
        <v>Préservatifs (F)</v>
      </c>
      <c r="E86" s="1071" t="str">
        <f t="shared" ref="E86:E91" si="19">IF($D$46="N/A", "n/a", IFERROR(IF(SUMPRODUCT($E$51:$J$51, $E34:$J34)=0,1,IF(SUMPRODUCT($E$51:$J$51, $E34:$J34)&gt;1, 1, SUMPRODUCT($E$51:$J$51, $E34:$J34))), 1))</f>
        <v>n/a</v>
      </c>
      <c r="F86" s="1071" t="str">
        <f t="shared" ref="F86:F91" si="20">IF($D$47="N/A", "n/a", IFERROR(IF(SUMPRODUCT($E$52:$J$52, $E34:$J34)=0,1,IF(SUMPRODUCT($E$52:$J$52, $E34:$J34)&gt;1,1, SUMPRODUCT($E$52:$J$52, $E34:$J34))), 1))</f>
        <v>n/a</v>
      </c>
      <c r="G86" s="1071" t="str">
        <f t="shared" ref="G86:G91" si="21">IF($D$48="N/A", "n/a", IFERROR(IF(SUMPRODUCT($E$53:$J$53, $E34:$J34)=0,1,IF(SUMPRODUCT($E$53:$J$53, $E34:$J34)&gt;1,1, SUMPRODUCT($E$53:$J$53, $E34:$J34))), 1))</f>
        <v>n/a</v>
      </c>
      <c r="H86" s="1072" t="str">
        <f t="shared" ref="H86:H91" si="22">IF($D$49="N/A", "n/a", IFERROR(IF(SUMPRODUCT($E$54:$J$54, $E34:$J34)=0,1, IF(SUMPRODUCT($E$54:$J$54, $E34:$J34)&gt;1,1, SUMPRODUCT($E$54:$J$54, $E34:$J34))), 1))</f>
        <v>n/a</v>
      </c>
      <c r="T86" s="981" t="e">
        <f t="shared" si="18"/>
        <v>#VALUE!</v>
      </c>
      <c r="AB86" t="str">
        <f>IF(Language="English", AC86, AE86)</f>
        <v>non ajustées*</v>
      </c>
      <c r="AC86" t="s">
        <v>1225</v>
      </c>
      <c r="AE86" t="s">
        <v>1238</v>
      </c>
    </row>
    <row r="87" spans="2:31" ht="15.75" hidden="1" x14ac:dyDescent="0.25">
      <c r="B87" s="1396"/>
      <c r="C87" s="1069" t="str">
        <f>IF(Language="English", 'Language Look Ups'!$P$25,IF(Language="Francais", 'Language Look Ups'!$T$25, 'Language Look Ups'!$R$25))</f>
        <v>MAMA</v>
      </c>
      <c r="D87" s="1445" t="str">
        <f>IF(Language="English", 'Language Look Ups'!$O$25,IF(Language="Francais", 'Language Look Ups'!$S$25, 'Language Look Ups'!Q$25))</f>
        <v>Autres Méthodes Modernes</v>
      </c>
      <c r="E87" s="1071" t="str">
        <f t="shared" si="19"/>
        <v>n/a</v>
      </c>
      <c r="F87" s="1071" t="str">
        <f t="shared" si="20"/>
        <v>n/a</v>
      </c>
      <c r="G87" s="1071" t="str">
        <f t="shared" si="21"/>
        <v>n/a</v>
      </c>
      <c r="H87" s="1072" t="str">
        <f t="shared" si="22"/>
        <v>n/a</v>
      </c>
      <c r="T87" s="981" t="e">
        <f t="shared" si="18"/>
        <v>#VALUE!</v>
      </c>
      <c r="AC87" t="s">
        <v>1235</v>
      </c>
      <c r="AE87" t="s">
        <v>1236</v>
      </c>
    </row>
    <row r="88" spans="2:31" ht="15.75" hidden="1" x14ac:dyDescent="0.25">
      <c r="B88" s="1396"/>
      <c r="C88" s="1069" t="str">
        <f>IF(Language="English", 'Language Look Ups'!$P$26,IF(Language="Francais", 'Language Look Ups'!$T$26, 'Language Look Ups'!$R$26))</f>
        <v>MJF (Jours fixes)</v>
      </c>
      <c r="D88" s="1445"/>
      <c r="E88" s="1071" t="str">
        <f t="shared" si="19"/>
        <v>n/a</v>
      </c>
      <c r="F88" s="1071" t="str">
        <f t="shared" si="20"/>
        <v>n/a</v>
      </c>
      <c r="G88" s="1071" t="str">
        <f t="shared" si="21"/>
        <v>n/a</v>
      </c>
      <c r="H88" s="1072" t="str">
        <f t="shared" si="22"/>
        <v>n/a</v>
      </c>
      <c r="T88" s="981" t="e">
        <f t="shared" si="18"/>
        <v>#VALUE!</v>
      </c>
    </row>
    <row r="89" spans="2:31" ht="15.75" hidden="1" x14ac:dyDescent="0.25">
      <c r="B89" s="1396"/>
      <c r="C89" s="1069" t="str">
        <f>IF(Language="English", 'Language Look Ups'!$P$27,IF(Language="Francais", 'Language Look Ups'!$T$27, 'Language Look Ups'!$R$27))</f>
        <v>Barrière vaginale</v>
      </c>
      <c r="D89" s="1445"/>
      <c r="E89" s="1071" t="str">
        <f t="shared" si="19"/>
        <v>n/a</v>
      </c>
      <c r="F89" s="1071" t="str">
        <f t="shared" si="20"/>
        <v>n/a</v>
      </c>
      <c r="G89" s="1071" t="str">
        <f t="shared" si="21"/>
        <v>n/a</v>
      </c>
      <c r="H89" s="1072" t="str">
        <f t="shared" si="22"/>
        <v>n/a</v>
      </c>
      <c r="T89" s="981" t="e">
        <f t="shared" si="18"/>
        <v>#VALUE!</v>
      </c>
    </row>
    <row r="90" spans="2:31" ht="15.75" hidden="1" x14ac:dyDescent="0.25">
      <c r="B90" s="1396"/>
      <c r="C90" s="1069" t="str">
        <f>IF(Language="English", 'Language Look Ups'!$P$28,IF(Language="Francais", 'Language Look Ups'!$T$28, 'Language Look Ups'!$R$28))</f>
        <v>Spermicides</v>
      </c>
      <c r="D90" s="1445"/>
      <c r="E90" s="1071" t="str">
        <f t="shared" si="19"/>
        <v>n/a</v>
      </c>
      <c r="F90" s="1071" t="str">
        <f t="shared" si="20"/>
        <v>n/a</v>
      </c>
      <c r="G90" s="1071" t="str">
        <f t="shared" si="21"/>
        <v>n/a</v>
      </c>
      <c r="H90" s="1072" t="str">
        <f t="shared" si="22"/>
        <v>n/a</v>
      </c>
      <c r="T90" s="981" t="e">
        <f t="shared" si="18"/>
        <v>#VALUE!</v>
      </c>
    </row>
    <row r="91" spans="2:31" ht="16.5" hidden="1" collapsed="1" thickBot="1" x14ac:dyDescent="0.3">
      <c r="B91" s="1403"/>
      <c r="C91" s="1078" t="str">
        <f>IF(Language="English", 'Language Look Ups'!$P$29,IF(Language="Francais", 'Language Look Ups'!$T$29, 'Language Look Ups'!$R$29))</f>
        <v>CU</v>
      </c>
      <c r="D91" s="1079" t="str">
        <f>IF(Language="English", 'Language Look Ups'!$O$29,IF(Language="Francais", 'Language Look Ups'!$S$29, 'Language Look Ups'!Q$29))</f>
        <v>Contraception d'urgence</v>
      </c>
      <c r="E91" s="1080" t="str">
        <f t="shared" si="19"/>
        <v>n/a</v>
      </c>
      <c r="F91" s="1080" t="str">
        <f t="shared" si="20"/>
        <v>n/a</v>
      </c>
      <c r="G91" s="1080" t="str">
        <f t="shared" si="21"/>
        <v>n/a</v>
      </c>
      <c r="H91" s="1081" t="str">
        <f t="shared" si="22"/>
        <v>n/a</v>
      </c>
      <c r="T91" s="981" t="e">
        <f t="shared" si="18"/>
        <v>#VALUE!</v>
      </c>
    </row>
    <row r="92" spans="2:31" ht="47.45" hidden="1" customHeight="1" x14ac:dyDescent="0.25">
      <c r="B92" s="1439" t="str">
        <f>IF(Language="English", AC87, AE87)</f>
        <v>* Vous pouvez choisir d'ajuster les données sur le préservatif pour tenir compte de l'approvisionnement du secteur privé, mais nous vous recommandons de laisser les valeurs du préservatif non ajustées pour éviter de surestimer l'utilisation du préservatif. Sélectionner "ajusté" dans la liste déroulante à droite ajustera vos estimations de préservatifs pour tenir compte du secteur privé.</v>
      </c>
      <c r="C92" s="1439"/>
      <c r="D92" s="1439"/>
      <c r="E92" s="1439"/>
      <c r="F92" s="1439"/>
      <c r="G92" s="1439"/>
      <c r="H92" s="1439"/>
    </row>
    <row r="93" spans="2:31" hidden="1" x14ac:dyDescent="0.25">
      <c r="B93" s="1440" t="str">
        <f>IF(Language = "English", AC93, AE93)</f>
        <v>Vos données représentent &lt;25% des services/produits de PF</v>
      </c>
      <c r="C93" s="1440"/>
      <c r="D93" s="1440"/>
      <c r="E93" s="1440"/>
      <c r="F93" s="1440"/>
      <c r="G93" s="1440"/>
      <c r="H93" s="1440"/>
      <c r="AC93" t="s">
        <v>1239</v>
      </c>
      <c r="AE93" t="s">
        <v>1241</v>
      </c>
    </row>
    <row r="94" spans="2:31" ht="15.75" hidden="1" thickBot="1" x14ac:dyDescent="0.3">
      <c r="B94" s="1441" t="str">
        <f>IF(Language = "English", AC94, AE94)</f>
        <v>Vos données représentent &lt;10% des services/produits de PF</v>
      </c>
      <c r="C94" s="1441"/>
      <c r="D94" s="1441"/>
      <c r="E94" s="1441"/>
      <c r="F94" s="1441"/>
      <c r="G94" s="1441"/>
      <c r="H94" s="1441"/>
      <c r="AC94" t="s">
        <v>1240</v>
      </c>
      <c r="AE94" t="s">
        <v>1242</v>
      </c>
    </row>
    <row r="95" spans="2:31" ht="60" x14ac:dyDescent="0.25">
      <c r="B95" s="1387" t="s">
        <v>875</v>
      </c>
      <c r="C95" s="1388"/>
      <c r="D95" s="1388"/>
      <c r="E95" s="512" t="str">
        <f>'3. ServiceStats Set Up'!$B$16</f>
        <v>Produits de planification familiale distribués aux clients</v>
      </c>
      <c r="F95" s="512" t="str">
        <f>'3. ServiceStats Set Up'!$I$16</f>
        <v>Produits de planification familiale distribués aux établissements</v>
      </c>
      <c r="G95" s="512" t="str">
        <f>'3. ServiceStats Set Up'!$B$25</f>
        <v>Visites de PF</v>
      </c>
      <c r="H95" s="513" t="str">
        <f>'3. ServiceStats Set Up'!$I$25</f>
        <v>Utilisatrices de PF</v>
      </c>
      <c r="AC95" s="184" t="s">
        <v>929</v>
      </c>
      <c r="AD95" s="184"/>
      <c r="AE95" s="184" t="s">
        <v>930</v>
      </c>
    </row>
    <row r="96" spans="2:31" ht="15.75" customHeight="1" x14ac:dyDescent="0.25">
      <c r="B96" s="1389" t="str">
        <f>IF(Language="English", 'Language Look Ups'!$O$5,IF(Language="Francais", 'Language Look Ups'!$S$5,  'Language Look Ups'!$Q$5))</f>
        <v>Méthodes à Long Terme et Permanentes</v>
      </c>
      <c r="C96" s="525" t="str">
        <f>IF(Language="English", 'Language Look Ups'!$P$6,IF(Language="Francais", 'Language Look Ups'!$T$6, 'Language Look Ups'!$R$6))</f>
        <v>Ligature des trompes</v>
      </c>
      <c r="D96" s="548" t="str">
        <f>IF(Language="English",'Language Look Ups'!$O$6,IF(Language="Francais",'Language Look Ups'!$S$6,'Language Look Ups'!$Q$6))&amp;" (F)"</f>
        <v>Stérilisation (F)</v>
      </c>
      <c r="E96" s="999" t="str">
        <f>IF($D$46="N/A", "n/a", IFERROR(IF(SUMPRODUCT($E$51:$J$51, $E18:$J18)=0,1,IF(SUMPRODUCT($E$51:$J$51, $E18:$J18)&gt;1, 1, 1/SUMPRODUCT($E$51:$J$51, $E18:$J18))), 1))</f>
        <v>n/a</v>
      </c>
      <c r="F96" s="999" t="str">
        <f>IF($D$47="N/A", "n/a", IFERROR(IF(SUMPRODUCT($E$52:$J$52, $E18:$J18)=0,1,IF(SUMPRODUCT($E$52:$J$52, $E18:$J18)&gt;1, 1, 1/SUMPRODUCT($E$52:$J$52, $E18:$J18))), 1))</f>
        <v>n/a</v>
      </c>
      <c r="G96" s="999" t="str">
        <f>IF($D$48="N/A", "n/a", IFERROR(IF(SUMPRODUCT($E$53:$J$53, $E18:$J18)=0,1,IF(SUMPRODUCT($E$53:$J$53, $E18:$J18)&gt;1, 1, 1/SUMPRODUCT($E$53:$J$53, $E18:$J18))), 1))</f>
        <v>n/a</v>
      </c>
      <c r="H96" s="1001" t="str">
        <f>IF($D$49="N/A", "n/a", IFERROR(IF(SUMPRODUCT($E$54:$J$54, $E18:$J18)=0,1,IF(SUMPRODUCT($E$54:$J$54, $E18:$J18)&gt;1, 1, 1/SUMPRODUCT($E$54:$J$54, $E18:$J18))), 1))</f>
        <v>n/a</v>
      </c>
      <c r="T96" s="981"/>
    </row>
    <row r="97" spans="2:31" ht="15.75" x14ac:dyDescent="0.25">
      <c r="B97" s="1390"/>
      <c r="C97" s="526" t="str">
        <f>IF(Language="English",'Language Look Ups'!$P$7,IF(Language="Francais",'Language Look Ups'!$T$7,'Language Look Ups'!$R$7))</f>
        <v>Vasectomie</v>
      </c>
      <c r="D97" s="549" t="str">
        <f>IF(Language="English",'Language Look Ups'!$O$6,IF(Language="Francais",'Language Look Ups'!$S$6,'Language Look Ups'!$Q$6))&amp;" (M)"</f>
        <v>Stérilisation (M)</v>
      </c>
      <c r="E97" s="1002" t="str">
        <f t="shared" ref="E97:E110" si="23">IF($D$46="N/A", "n/a", IFERROR(IF(SUMPRODUCT($E$51:$J$51, $E19:$J19)=0,1,IF(SUMPRODUCT($E$51:$J$51, $E19:$J19)&gt;1, 1, 1/SUMPRODUCT($E$51:$J$51, $E19:$J19))), 1))</f>
        <v>n/a</v>
      </c>
      <c r="F97" s="1002" t="str">
        <f t="shared" ref="F97:F110" si="24">IF($D$47="N/A", "n/a", IFERROR(IF(SUMPRODUCT($E$52:$J$52, $E19:$J19)=0,1,IF(SUMPRODUCT($E$52:$J$52, $E19:$J19)&gt;1, 1, 1/SUMPRODUCT($E$52:$J$52, $E19:$J19))), 1))</f>
        <v>n/a</v>
      </c>
      <c r="G97" s="1002" t="str">
        <f t="shared" ref="G97:G110" si="25">IF($D$48="N/A", "n/a", IFERROR(IF(SUMPRODUCT($E$53:$J$53, $E19:$J19)=0,1,IF(SUMPRODUCT($E$53:$J$53, $E19:$J19)&gt;1, 1, 1/SUMPRODUCT($E$53:$J$53, $E19:$J19))), 1))</f>
        <v>n/a</v>
      </c>
      <c r="H97" s="1004" t="str">
        <f t="shared" ref="H97:H109" si="26">IF($D$49="N/A", "n/a", IFERROR(IF(SUMPRODUCT($E$54:$J$54, $E19:$J19)=0,1,IF(SUMPRODUCT($E$54:$J$54, $E19:$J19)&gt;1, 1, 1/SUMPRODUCT($E$54:$J$54, $E19:$J19))), 1))</f>
        <v>n/a</v>
      </c>
      <c r="J97" s="1325" t="str">
        <f>IF(Language="english", AC95, AE95)</f>
        <v>Prochain</v>
      </c>
      <c r="K97" s="1325"/>
      <c r="L97" s="1325"/>
      <c r="M97" s="1325"/>
      <c r="T97" s="981"/>
    </row>
    <row r="98" spans="2:31" ht="15.75" x14ac:dyDescent="0.25">
      <c r="B98" s="1390"/>
      <c r="C98" s="526" t="str">
        <f>IF(Language="English", 'Language Look Ups'!$P$8,IF(Language="Francais", 'Language Look Ups'!$T$8, 'Language Look Ups'!$R$8))</f>
        <v>Copper- T 380-A DIU</v>
      </c>
      <c r="D98" s="549" t="str">
        <f>IF(Language="English", 'Language Look Ups'!$O$8,IF(Language="Francais", 'Language Look Ups'!$S$8, 'Language Look Ups'!$Q$8))</f>
        <v>DIU</v>
      </c>
      <c r="E98" s="1002" t="str">
        <f t="shared" si="23"/>
        <v>n/a</v>
      </c>
      <c r="F98" s="1002" t="str">
        <f t="shared" si="24"/>
        <v>n/a</v>
      </c>
      <c r="G98" s="1002" t="str">
        <f t="shared" si="25"/>
        <v>n/a</v>
      </c>
      <c r="H98" s="1004" t="str">
        <f t="shared" si="26"/>
        <v>n/a</v>
      </c>
      <c r="J98" s="1325"/>
      <c r="K98" s="1325"/>
      <c r="L98" s="1325"/>
      <c r="M98" s="1325"/>
      <c r="T98" s="981"/>
    </row>
    <row r="99" spans="2:31" ht="15.6" hidden="1" customHeight="1" x14ac:dyDescent="0.25">
      <c r="B99" s="1390"/>
      <c r="C99" s="526" t="str">
        <f>IF(Language="English", 'Language Look Ups'!$P$9,IF(Language="Francais", 'Language Look Ups'!$T$9, 'Language Look Ups'!$R$9))</f>
        <v>DIU Hormonal (LNG-IUS)</v>
      </c>
      <c r="D99" s="549" t="str">
        <f>IF(Language="English", 'Language Look Ups'!$O$8,IF(Language="Francais", 'Language Look Ups'!$S$8, 'Language Look Ups'!$Q$8))</f>
        <v>DIU</v>
      </c>
      <c r="E99" s="1002" t="str">
        <f t="shared" si="23"/>
        <v>n/a</v>
      </c>
      <c r="F99" s="1002" t="str">
        <f t="shared" si="24"/>
        <v>n/a</v>
      </c>
      <c r="G99" s="1002" t="str">
        <f t="shared" si="25"/>
        <v>n/a</v>
      </c>
      <c r="H99" s="1004" t="str">
        <f t="shared" si="26"/>
        <v>n/a</v>
      </c>
      <c r="T99" s="981"/>
    </row>
    <row r="100" spans="2:31" ht="15.6" hidden="1" customHeight="1" x14ac:dyDescent="0.25">
      <c r="B100" s="1390"/>
      <c r="C100" s="526" t="str">
        <f>IF(Language="English", 'Language Look Ups'!$P$10,IF(Language="Francais", 'Language Look Ups'!$T$10, 'Language Look Ups'!$R$10))</f>
        <v>Implant de 3 ans (Implanon, Levoplant)</v>
      </c>
      <c r="D100" s="549" t="str">
        <f>IF(Language="English", 'Language Look Ups'!$O$10,IF(Language="Francais", 'Language Look Ups'!$S$10, 'Language Look Ups'!$Q$10))</f>
        <v>Implant</v>
      </c>
      <c r="E100" s="1002" t="str">
        <f t="shared" si="23"/>
        <v>n/a</v>
      </c>
      <c r="F100" s="1002" t="str">
        <f t="shared" si="24"/>
        <v>n/a</v>
      </c>
      <c r="G100" s="1002" t="str">
        <f t="shared" si="25"/>
        <v>n/a</v>
      </c>
      <c r="H100" s="1004" t="str">
        <f t="shared" si="26"/>
        <v>n/a</v>
      </c>
      <c r="T100" s="981"/>
    </row>
    <row r="101" spans="2:31" ht="15.6" hidden="1" customHeight="1" x14ac:dyDescent="0.25">
      <c r="B101" s="1390"/>
      <c r="C101" s="526" t="str">
        <f>IF(Language="English", 'Language Look Ups'!$P$11,IF(Language="Francais", 'Language Look Ups'!$T$11, 'Language Look Ups'!$R$11))</f>
        <v>Implant de 4 ans (Sino-Implant)</v>
      </c>
      <c r="D101" s="549" t="str">
        <f>IF(Language="English", 'Language Look Ups'!$O$10,IF(Language="Francais", 'Language Look Ups'!$S$10, 'Language Look Ups'!$Q$10))</f>
        <v>Implant</v>
      </c>
      <c r="E101" s="1002" t="str">
        <f t="shared" si="23"/>
        <v>n/a</v>
      </c>
      <c r="F101" s="1002" t="str">
        <f t="shared" si="24"/>
        <v>n/a</v>
      </c>
      <c r="G101" s="1002" t="str">
        <f t="shared" si="25"/>
        <v>n/a</v>
      </c>
      <c r="H101" s="1004" t="str">
        <f t="shared" si="26"/>
        <v>n/a</v>
      </c>
      <c r="T101" s="981"/>
    </row>
    <row r="102" spans="2:31" ht="15.75" customHeight="1" collapsed="1" x14ac:dyDescent="0.25">
      <c r="B102" s="1391"/>
      <c r="C102" s="527" t="str">
        <f>IF(Language="English", 'Language Look Ups'!$P$12,IF(Language="Francais", 'Language Look Ups'!$T$12, 'Language Look Ups'!$R$12))</f>
        <v>Implant de 5 ans (Jadelle)</v>
      </c>
      <c r="D102" s="550" t="str">
        <f>IF(Language="English", 'Language Look Ups'!$O$10,IF(Language="Francais", 'Language Look Ups'!$S$10, 'Language Look Ups'!$Q$10))</f>
        <v>Implant</v>
      </c>
      <c r="E102" s="1003" t="str">
        <f t="shared" si="23"/>
        <v>n/a</v>
      </c>
      <c r="F102" s="1003" t="str">
        <f t="shared" si="24"/>
        <v>n/a</v>
      </c>
      <c r="G102" s="1003" t="str">
        <f t="shared" si="25"/>
        <v>n/a</v>
      </c>
      <c r="H102" s="1007" t="str">
        <f t="shared" si="26"/>
        <v>n/a</v>
      </c>
      <c r="T102" s="981"/>
    </row>
    <row r="103" spans="2:31" ht="15.75" x14ac:dyDescent="0.25">
      <c r="B103" s="1389" t="str">
        <f>IF(Language="English", 'Language Look Ups'!$O$14,IF(Language="Francais", 'Language Look Ups'!$S$14, 'Language Look Ups'!$Q$14))</f>
        <v>Méthodes à Court Terme</v>
      </c>
      <c r="C103" s="525" t="str">
        <f>IF(Language="English", 'Language Look Ups'!$P$15,IF(Language="Francais", 'Language Look Ups'!$T$15, 'Language Look Ups'!$R$15))</f>
        <v>Depo Provera (DMPA)</v>
      </c>
      <c r="D103" s="1393" t="str">
        <f>IF(Language="English", 'Language Look Ups'!$O$15,IF(Language="Francais", 'Language Look Ups'!$S$15, 'Language Look Ups'!Q$15))</f>
        <v>Produits injectables</v>
      </c>
      <c r="E103" s="999" t="str">
        <f t="shared" si="23"/>
        <v>n/a</v>
      </c>
      <c r="F103" s="999" t="str">
        <f t="shared" si="24"/>
        <v>n/a</v>
      </c>
      <c r="G103" s="999" t="str">
        <f t="shared" si="25"/>
        <v>n/a</v>
      </c>
      <c r="H103" s="1001" t="str">
        <f t="shared" si="26"/>
        <v>n/a</v>
      </c>
      <c r="T103" s="981"/>
    </row>
    <row r="104" spans="2:31" ht="15.6" hidden="1" customHeight="1" x14ac:dyDescent="0.25">
      <c r="B104" s="1390"/>
      <c r="C104" s="526" t="str">
        <f>IF(Language="English", 'Language Look Ups'!$P$16,IF(Language="Francais", 'Language Look Ups'!$T$16, 'Language Look Ups'!$R$16))</f>
        <v>Noristerat (NET-En)</v>
      </c>
      <c r="D104" s="1394"/>
      <c r="E104" s="1002" t="str">
        <f t="shared" si="23"/>
        <v>n/a</v>
      </c>
      <c r="F104" s="1002" t="str">
        <f t="shared" si="24"/>
        <v>n/a</v>
      </c>
      <c r="G104" s="1002" t="str">
        <f t="shared" si="25"/>
        <v>n/a</v>
      </c>
      <c r="H104" s="1004" t="str">
        <f t="shared" si="26"/>
        <v>n/a</v>
      </c>
      <c r="T104" s="981"/>
      <c r="AB104">
        <f>IF(Language="English", AC104, AE104)</f>
        <v>0</v>
      </c>
    </row>
    <row r="105" spans="2:31" ht="15.6" hidden="1" customHeight="1" x14ac:dyDescent="0.25">
      <c r="B105" s="1390"/>
      <c r="C105" s="526" t="str">
        <f>IF(Language="English",'Language Look Ups'!$P$17,IF(Language="Francais",'Language Look Ups'!$T$17,'Language Look Ups'!$R$17))</f>
        <v>Lunelle</v>
      </c>
      <c r="D105" s="1394"/>
      <c r="E105" s="1002" t="str">
        <f t="shared" si="23"/>
        <v>n/a</v>
      </c>
      <c r="F105" s="1002" t="str">
        <f t="shared" si="24"/>
        <v>n/a</v>
      </c>
      <c r="G105" s="1002" t="str">
        <f t="shared" si="25"/>
        <v>n/a</v>
      </c>
      <c r="H105" s="1004" t="str">
        <f t="shared" si="26"/>
        <v>n/a</v>
      </c>
      <c r="T105" s="981"/>
      <c r="AB105">
        <f>IF(Language="English", AC105, AE105)</f>
        <v>0</v>
      </c>
    </row>
    <row r="106" spans="2:31" ht="15.6" hidden="1" customHeight="1" x14ac:dyDescent="0.25">
      <c r="B106" s="1390"/>
      <c r="C106" s="526" t="str">
        <f>IF(Language="English", 'Language Look Ups'!$P$18,IF(Language="Francais", 'Language Look Ups'!$T$18, 'Language Look Ups'!$R$18))</f>
        <v>Sayana Press</v>
      </c>
      <c r="D106" s="1394"/>
      <c r="E106" s="1002" t="str">
        <f t="shared" si="23"/>
        <v>n/a</v>
      </c>
      <c r="F106" s="1002" t="str">
        <f t="shared" si="24"/>
        <v>n/a</v>
      </c>
      <c r="G106" s="1002" t="str">
        <f t="shared" si="25"/>
        <v>n/a</v>
      </c>
      <c r="H106" s="1004" t="str">
        <f t="shared" si="26"/>
        <v>n/a</v>
      </c>
      <c r="T106" s="981"/>
      <c r="AB106">
        <f>IF(Language="English", AC106, AE106)</f>
        <v>0</v>
      </c>
    </row>
    <row r="107" spans="2:31" ht="15.6" hidden="1" customHeight="1" x14ac:dyDescent="0.25">
      <c r="B107" s="1390"/>
      <c r="C107" s="526" t="str">
        <f>IF(Language="English", 'Language Look Ups'!$P$19,IF(Language="Francais", 'Language Look Ups'!$T$19, 'Language Look Ups'!$R$19))</f>
        <v>Autre Injectable</v>
      </c>
      <c r="D107" s="1394"/>
      <c r="E107" s="1002" t="str">
        <f t="shared" si="23"/>
        <v>n/a</v>
      </c>
      <c r="F107" s="1002" t="str">
        <f t="shared" si="24"/>
        <v>n/a</v>
      </c>
      <c r="G107" s="1002" t="str">
        <f t="shared" si="25"/>
        <v>n/a</v>
      </c>
      <c r="H107" s="1004" t="str">
        <f t="shared" si="26"/>
        <v>n/a</v>
      </c>
      <c r="T107" s="981"/>
      <c r="AB107">
        <f>IF(Language="English", AC107, AE107)</f>
        <v>0</v>
      </c>
    </row>
    <row r="108" spans="2:31" ht="15" customHeight="1" collapsed="1" x14ac:dyDescent="0.25">
      <c r="B108" s="1390"/>
      <c r="C108" s="526" t="str">
        <f>IF(Language="English", 'Language Look Ups'!$P$20,IF(Language="Francais", 'Language Look Ups'!$T$20, 'Language Look Ups'!$R$20))</f>
        <v>Oraux combinés (COC)</v>
      </c>
      <c r="D108" s="1394" t="str">
        <f>IF(Language="English", 'Language Look Ups'!$O$20,IF(Language="Francais", 'Language Look Ups'!$S$20, 'Language Look Ups'!Q$20))</f>
        <v>Pilule</v>
      </c>
      <c r="E108" s="1002" t="str">
        <f t="shared" si="23"/>
        <v>n/a</v>
      </c>
      <c r="F108" s="1002" t="str">
        <f t="shared" si="24"/>
        <v>n/a</v>
      </c>
      <c r="G108" s="1002" t="str">
        <f t="shared" si="25"/>
        <v>n/a</v>
      </c>
      <c r="H108" s="1004" t="str">
        <f t="shared" si="26"/>
        <v>n/a</v>
      </c>
      <c r="T108" s="981"/>
    </row>
    <row r="109" spans="2:31" ht="15.75" hidden="1" customHeight="1" x14ac:dyDescent="0.25">
      <c r="B109" s="1390"/>
      <c r="C109" s="526" t="str">
        <f>IF(Language="English", 'Language Look Ups'!$P$21,IF(Language="Francais", 'Language Look Ups'!$T$21, 'Language Look Ups'!$R$21))</f>
        <v>Progestatifs seul (POP)</v>
      </c>
      <c r="D109" s="1394"/>
      <c r="E109" s="1002" t="str">
        <f t="shared" si="23"/>
        <v>n/a</v>
      </c>
      <c r="F109" s="1002" t="str">
        <f t="shared" si="24"/>
        <v>n/a</v>
      </c>
      <c r="G109" s="1002" t="str">
        <f t="shared" si="25"/>
        <v>n/a</v>
      </c>
      <c r="H109" s="1004" t="str">
        <f t="shared" si="26"/>
        <v>n/a</v>
      </c>
      <c r="T109" s="981"/>
    </row>
    <row r="110" spans="2:31" ht="15.75" hidden="1" customHeight="1" x14ac:dyDescent="0.25">
      <c r="B110" s="1390"/>
      <c r="C110" s="526" t="str">
        <f>IF(Language="English", 'Language Look Ups'!$P$22,IF(Language="Francais", 'Language Look Ups'!$T$22, 'Language Look Ups'!$R$22))</f>
        <v>Autre pilule</v>
      </c>
      <c r="D110" s="1394"/>
      <c r="E110" s="1002" t="str">
        <f t="shared" si="23"/>
        <v>n/a</v>
      </c>
      <c r="F110" s="1002" t="str">
        <f t="shared" si="24"/>
        <v>n/a</v>
      </c>
      <c r="G110" s="1002" t="str">
        <f t="shared" si="25"/>
        <v>n/a</v>
      </c>
      <c r="H110" s="1004" t="str">
        <f>IF($D$49="N/A", "n/a", IFERROR(IF(SUMPRODUCT($E$54:$J$54, $E32:$J32)=0,1,IF(SUMPRODUCT($E$54:$J$54, $E32:$J32)&gt;1, 1, 1/SUMPRODUCT($E$54:$J$54, $E32:$J32))), 1))</f>
        <v>n/a</v>
      </c>
      <c r="T110" s="981"/>
    </row>
    <row r="111" spans="2:31" ht="15.75" collapsed="1" x14ac:dyDescent="0.25">
      <c r="B111" s="1390"/>
      <c r="C111" s="526" t="str">
        <f>IF(Language="English", 'Language Look Ups'!$P$23,IF(Language="Francais", 'Language Look Ups'!$T$23, 'Language Look Ups'!$R$23))</f>
        <v>Préservatifs masculin</v>
      </c>
      <c r="D111" s="838" t="str">
        <f>IF(Language="English", 'Language Look Ups'!$O$23,IF(Language="Francais", 'Language Look Ups'!$S$23, 'Language Look Ups'!Q$23)) &amp;" (M)"</f>
        <v>Préservatifs (M)</v>
      </c>
      <c r="E111" s="1002" t="str">
        <f>IF($D$46="N/A", "n/a", IF(OR($I111=$AC$112,I111=AE112),  1, IFERROR(IF(SUMPRODUCT($E$51:$J$51, $E33:$J33)=0,1,IF(SUMPRODUCT($E$51:$J$51, $E33:$J33)&gt;1, 1, 1/SUMPRODUCT($E$51:$J$51, $E33:$J33))), 1)))</f>
        <v>n/a</v>
      </c>
      <c r="F111" s="1002" t="str">
        <f>IF($D$47="N/A", "n/a", IF(OR($I111=$AC$112,I111=AE112),  1, IFERROR(IF(SUMPRODUCT($E$52:$J$52, $E33:$J33)=0,1,IF(SUMPRODUCT($E$52:$J$52, $E33:$J33)&gt;1, 1, 1/SUMPRODUCT($E$52:$J$52, $E33:$J33))), 1)))</f>
        <v>n/a</v>
      </c>
      <c r="G111" s="1002" t="str">
        <f>IF($D$48="N/A", "n/a", IF(OR($I111=$AC$112,I111=AE112), 1, IFERROR(IF(SUMPRODUCT($E$53:$J$53, $E33:$J33)=0,1,IF(SUMPRODUCT($E$53:$J$53, $E33:$J33)&gt;1, 1, 1/SUMPRODUCT($E$53:$J$53, $E33:$J33))), 1)))</f>
        <v>n/a</v>
      </c>
      <c r="H111" s="1004" t="str">
        <f>IF($D$49="N/A", "n/a", IF(OR($I111=$AC$112,I111=AE112), 1, IFERROR(IF(SUMPRODUCT($E$54:$J$54, $E33:$J33)=0,1,IF(SUMPRODUCT($E$54:$J$54, $E33:$J33)&gt;1, 1, 1/SUMPRODUCT($E$54:$J$54, $E33:$J33))), 1)))</f>
        <v>n/a</v>
      </c>
      <c r="I111" s="1000" t="str">
        <f>AB112</f>
        <v>non ajustées*</v>
      </c>
      <c r="T111" s="981"/>
      <c r="AB111" t="str">
        <f>IF(Language="English", AC111, AE111)</f>
        <v>ajustées*</v>
      </c>
      <c r="AC111" t="s">
        <v>1224</v>
      </c>
      <c r="AE111" t="s">
        <v>1237</v>
      </c>
    </row>
    <row r="112" spans="2:31" ht="15.75" x14ac:dyDescent="0.25">
      <c r="B112" s="1390"/>
      <c r="C112" s="526" t="str">
        <f>IF(Language="English", 'Language Look Ups'!$P$24,IF(Language="Francais", 'Language Look Ups'!$T$24, 'Language Look Ups'!$R$24))</f>
        <v>Préservatifs feminin</v>
      </c>
      <c r="D112" s="838" t="str">
        <f>IF(Language="English", 'Language Look Ups'!$O$23,IF(Language="Francais", 'Language Look Ups'!$S$23, 'Language Look Ups'!Q$23))&amp;" (F)"</f>
        <v>Préservatifs (F)</v>
      </c>
      <c r="E112" s="1002" t="str">
        <f t="shared" ref="E112:E117" si="27">IF($D$46="N/A", "n/a", IFERROR(IF(SUMPRODUCT($E$51:$J$51, $E34:$J34)=0,1,IF(SUMPRODUCT($E$51:$J$51, $E34:$J34)&gt;1, 1, 1/SUMPRODUCT($E$51:$J$51, $E34:$J34))), 1))</f>
        <v>n/a</v>
      </c>
      <c r="F112" s="1002" t="str">
        <f t="shared" ref="F112:F117" si="28">IF($D$47="N/A", "n/a", IFERROR(IF(SUMPRODUCT($E$52:$J$52, $E34:$J34)=0,1,IF(SUMPRODUCT($E$52:$J$52, $E34:$J34)&gt;1, 1, 1/SUMPRODUCT($E$52:$J$52, $E34:$J34))), 1))</f>
        <v>n/a</v>
      </c>
      <c r="G112" s="1002" t="str">
        <f t="shared" ref="G112:G117" si="29">IF($D$48="N/A", "n/a", IFERROR(IF(SUMPRODUCT($E$53:$J$53, $E34:$J34)=0,1,IF(SUMPRODUCT($E$53:$J$53, $E34:$J34)&gt;1, 1, 1/SUMPRODUCT($E$53:$J$53, $E34:$J34))), 1))</f>
        <v>n/a</v>
      </c>
      <c r="H112" s="1004" t="str">
        <f t="shared" ref="H112:H117" si="30">IF($D$49="N/A", "n/a", IFERROR(IF(SUMPRODUCT($E$54:$J$54, $E34:$J34)=0,1,IF(SUMPRODUCT($E$54:$J$54, $E34:$J34)&gt;1, 1, 1/SUMPRODUCT($E$54:$J$54, $E34:$J34))), 1))</f>
        <v>n/a</v>
      </c>
      <c r="T112" s="981"/>
      <c r="AB112" t="str">
        <f>IF(Language="English", AC112, AE112)</f>
        <v>non ajustées*</v>
      </c>
      <c r="AC112" t="s">
        <v>1225</v>
      </c>
      <c r="AE112" t="s">
        <v>1238</v>
      </c>
    </row>
    <row r="113" spans="2:31" ht="15.75" x14ac:dyDescent="0.25">
      <c r="B113" s="1390"/>
      <c r="C113" s="526" t="str">
        <f>IF(Language="English", 'Language Look Ups'!$P$25,IF(Language="Francais", 'Language Look Ups'!$T$25, 'Language Look Ups'!$R$25))</f>
        <v>MAMA</v>
      </c>
      <c r="D113" s="1394" t="str">
        <f>IF(Language="English", 'Language Look Ups'!$O$25,IF(Language="Francais", 'Language Look Ups'!$S$25, 'Language Look Ups'!Q$25))</f>
        <v>Autres Méthodes Modernes</v>
      </c>
      <c r="E113" s="1002" t="str">
        <f t="shared" si="27"/>
        <v>n/a</v>
      </c>
      <c r="F113" s="1002" t="str">
        <f t="shared" si="28"/>
        <v>n/a</v>
      </c>
      <c r="G113" s="1002" t="str">
        <f t="shared" si="29"/>
        <v>n/a</v>
      </c>
      <c r="H113" s="1004" t="str">
        <f t="shared" si="30"/>
        <v>n/a</v>
      </c>
      <c r="T113" s="981"/>
      <c r="AC113" t="s">
        <v>1235</v>
      </c>
      <c r="AE113" t="s">
        <v>1236</v>
      </c>
    </row>
    <row r="114" spans="2:31" ht="15.75" hidden="1" x14ac:dyDescent="0.25">
      <c r="B114" s="1390"/>
      <c r="C114" s="526" t="str">
        <f>IF(Language="English", 'Language Look Ups'!$P$26,IF(Language="Francais", 'Language Look Ups'!$T$26, 'Language Look Ups'!$R$26))</f>
        <v>MJF (Jours fixes)</v>
      </c>
      <c r="D114" s="1394"/>
      <c r="E114" s="1002" t="str">
        <f t="shared" si="27"/>
        <v>n/a</v>
      </c>
      <c r="F114" s="1002" t="str">
        <f t="shared" si="28"/>
        <v>n/a</v>
      </c>
      <c r="G114" s="1002" t="str">
        <f t="shared" si="29"/>
        <v>n/a</v>
      </c>
      <c r="H114" s="1004" t="str">
        <f t="shared" si="30"/>
        <v>n/a</v>
      </c>
      <c r="T114" s="981"/>
    </row>
    <row r="115" spans="2:31" ht="15.75" hidden="1" x14ac:dyDescent="0.25">
      <c r="B115" s="1390"/>
      <c r="C115" s="526" t="str">
        <f>IF(Language="English", 'Language Look Ups'!$P$27,IF(Language="Francais", 'Language Look Ups'!$T$27, 'Language Look Ups'!$R$27))</f>
        <v>Barrière vaginale</v>
      </c>
      <c r="D115" s="1394"/>
      <c r="E115" s="1002" t="str">
        <f t="shared" si="27"/>
        <v>n/a</v>
      </c>
      <c r="F115" s="1002" t="str">
        <f t="shared" si="28"/>
        <v>n/a</v>
      </c>
      <c r="G115" s="1002" t="str">
        <f t="shared" si="29"/>
        <v>n/a</v>
      </c>
      <c r="H115" s="1004" t="str">
        <f t="shared" si="30"/>
        <v>n/a</v>
      </c>
      <c r="T115" s="981"/>
    </row>
    <row r="116" spans="2:31" ht="15.75" hidden="1" x14ac:dyDescent="0.25">
      <c r="B116" s="1390"/>
      <c r="C116" s="526" t="str">
        <f>IF(Language="English", 'Language Look Ups'!$P$28,IF(Language="Francais", 'Language Look Ups'!$T$28, 'Language Look Ups'!$R$28))</f>
        <v>Spermicides</v>
      </c>
      <c r="D116" s="1394"/>
      <c r="E116" s="1002" t="str">
        <f t="shared" si="27"/>
        <v>n/a</v>
      </c>
      <c r="F116" s="1002" t="str">
        <f t="shared" si="28"/>
        <v>n/a</v>
      </c>
      <c r="G116" s="1002" t="str">
        <f t="shared" si="29"/>
        <v>n/a</v>
      </c>
      <c r="H116" s="1004" t="str">
        <f t="shared" si="30"/>
        <v>n/a</v>
      </c>
      <c r="T116" s="981"/>
    </row>
    <row r="117" spans="2:31" ht="16.5" collapsed="1" thickBot="1" x14ac:dyDescent="0.3">
      <c r="B117" s="1392"/>
      <c r="C117" s="528" t="str">
        <f>IF(Language="English", 'Language Look Ups'!$P$29,IF(Language="Francais", 'Language Look Ups'!$T$29, 'Language Look Ups'!$R$29))</f>
        <v>CU</v>
      </c>
      <c r="D117" s="551" t="str">
        <f>IF(Language="English", 'Language Look Ups'!$O$29,IF(Language="Francais", 'Language Look Ups'!$S$29, 'Language Look Ups'!Q$29))</f>
        <v>Contraception d'urgence</v>
      </c>
      <c r="E117" s="1005" t="str">
        <f t="shared" si="27"/>
        <v>n/a</v>
      </c>
      <c r="F117" s="1005" t="str">
        <f t="shared" si="28"/>
        <v>n/a</v>
      </c>
      <c r="G117" s="1005" t="str">
        <f t="shared" si="29"/>
        <v>n/a</v>
      </c>
      <c r="H117" s="1006" t="str">
        <f t="shared" si="30"/>
        <v>n/a</v>
      </c>
      <c r="T117" s="981"/>
    </row>
    <row r="118" spans="2:31" ht="47.45" customHeight="1" x14ac:dyDescent="0.25">
      <c r="B118" s="1439" t="str">
        <f>IF(Language="English", AC113, AE113)</f>
        <v>* Vous pouvez choisir d'ajuster les données sur le préservatif pour tenir compte de l'approvisionnement du secteur privé, mais nous vous recommandons de laisser les valeurs du préservatif non ajustées pour éviter de surestimer l'utilisation du préservatif. Sélectionner "ajusté" dans la liste déroulante à droite ajustera vos estimations de préservatifs pour tenir compte du secteur privé.</v>
      </c>
      <c r="C118" s="1439"/>
      <c r="D118" s="1439"/>
      <c r="E118" s="1439"/>
      <c r="F118" s="1439"/>
      <c r="G118" s="1439"/>
      <c r="H118" s="1439"/>
    </row>
    <row r="119" spans="2:31" x14ac:dyDescent="0.25">
      <c r="B119" s="1440" t="str">
        <f>IF(Language = "English", AC119, AE119)</f>
        <v>Vos données représentent &lt;25% des services/produits de PF</v>
      </c>
      <c r="C119" s="1440"/>
      <c r="D119" s="1440"/>
      <c r="E119" s="1440"/>
      <c r="F119" s="1440"/>
      <c r="G119" s="1440"/>
      <c r="H119" s="1440"/>
      <c r="AC119" t="s">
        <v>1274</v>
      </c>
      <c r="AE119" t="s">
        <v>1241</v>
      </c>
    </row>
    <row r="120" spans="2:31" x14ac:dyDescent="0.25">
      <c r="B120" s="1441" t="str">
        <f>IF(Language = "English", AC120, AE120)</f>
        <v>Vos données représentent &lt;10% des services/produits de PF</v>
      </c>
      <c r="C120" s="1441"/>
      <c r="D120" s="1441"/>
      <c r="E120" s="1441"/>
      <c r="F120" s="1441"/>
      <c r="G120" s="1441"/>
      <c r="H120" s="1441"/>
      <c r="AC120" t="s">
        <v>1275</v>
      </c>
      <c r="AE120" t="s">
        <v>1242</v>
      </c>
    </row>
    <row r="122" spans="2:31" ht="45" hidden="1" x14ac:dyDescent="0.25">
      <c r="B122" s="1438" t="s">
        <v>927</v>
      </c>
      <c r="D122" s="532" t="s">
        <v>928</v>
      </c>
      <c r="E122" s="533" t="str">
        <f>E69</f>
        <v>Produits de planification familiale distribués aux clients</v>
      </c>
      <c r="F122" s="534" t="str">
        <f>G69</f>
        <v>Visites de PF</v>
      </c>
    </row>
    <row r="123" spans="2:31" ht="15.75" hidden="1" x14ac:dyDescent="0.25">
      <c r="B123" s="1438"/>
      <c r="D123" s="535" t="str">
        <f>D72</f>
        <v>DIU</v>
      </c>
      <c r="E123" s="514">
        <v>1</v>
      </c>
      <c r="F123" s="515">
        <v>0.75</v>
      </c>
    </row>
    <row r="124" spans="2:31" ht="16.5" hidden="1" thickBot="1" x14ac:dyDescent="0.3">
      <c r="B124" s="1438"/>
      <c r="C124" s="511"/>
      <c r="D124" s="536" t="str">
        <f>D85</f>
        <v>Préservatifs (M)</v>
      </c>
      <c r="E124" s="516">
        <v>0.2</v>
      </c>
      <c r="F124" s="517">
        <v>0.1</v>
      </c>
    </row>
    <row r="125" spans="2:31" ht="15.75" hidden="1" x14ac:dyDescent="0.25">
      <c r="B125" s="510"/>
      <c r="C125" s="511"/>
    </row>
    <row r="126" spans="2:31" hidden="1" x14ac:dyDescent="0.25"/>
    <row r="127" spans="2:31" hidden="1" x14ac:dyDescent="0.25"/>
    <row r="128" spans="2:31"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3" hidden="1" outlineLevel="1" x14ac:dyDescent="0.25"/>
    <row r="144" hidden="1" outlineLevel="1" x14ac:dyDescent="0.25"/>
    <row r="145" spans="2:19" ht="15.75" hidden="1" outlineLevel="1" thickBot="1" x14ac:dyDescent="0.3"/>
    <row r="146" spans="2:19" ht="55.9" hidden="1" customHeight="1" outlineLevel="1" thickBot="1" x14ac:dyDescent="0.3">
      <c r="E146" s="625" t="str">
        <f>E44</f>
        <v>Secteur public</v>
      </c>
      <c r="F146" s="1419" t="str">
        <f>F16</f>
        <v>Secteur médical privé</v>
      </c>
      <c r="G146" s="1420"/>
      <c r="H146" s="1421"/>
      <c r="I146" s="1422" t="str">
        <f>I44</f>
        <v>Autre source</v>
      </c>
      <c r="J146" s="1442"/>
      <c r="K146" s="1454" t="s">
        <v>313</v>
      </c>
      <c r="L146" s="1455"/>
      <c r="M146" s="1455"/>
      <c r="N146" s="1455"/>
      <c r="O146" s="1455"/>
      <c r="P146" s="1456"/>
    </row>
    <row r="147" spans="2:19" ht="51" hidden="1" outlineLevel="1" x14ac:dyDescent="0.25">
      <c r="B147" s="1387" t="s">
        <v>875</v>
      </c>
      <c r="C147" s="1388"/>
      <c r="D147" s="1388"/>
      <c r="E147" s="626" t="str">
        <f>E45</f>
        <v>Établissements de santé public et soins de santé communautaires</v>
      </c>
      <c r="F147" s="631" t="str">
        <f>F45</f>
        <v>ONG</v>
      </c>
      <c r="G147" s="631" t="str">
        <f>G45</f>
        <v>Hôpital/clinique privé</v>
      </c>
      <c r="H147" s="631" t="str">
        <f>H45</f>
        <v>Pharmacie</v>
      </c>
      <c r="I147" s="634" t="str">
        <f>I45</f>
        <v>Boutique / Église / Ami</v>
      </c>
      <c r="J147" s="869" t="str">
        <f>J45</f>
        <v>Autre</v>
      </c>
      <c r="K147" s="1457"/>
      <c r="L147" s="1458"/>
      <c r="M147" s="1458"/>
      <c r="N147" s="1458"/>
      <c r="O147" s="1458"/>
      <c r="P147" s="1459"/>
    </row>
    <row r="148" spans="2:19" ht="15.75" hidden="1" outlineLevel="1" x14ac:dyDescent="0.25">
      <c r="B148" s="1389" t="str">
        <f>IF(Language="English", 'Language Look Ups'!$O$5,IF(Language="Francais", 'Language Look Ups'!$S$5,  'Language Look Ups'!$Q$5))</f>
        <v>Méthodes à Long Terme et Permanentes</v>
      </c>
      <c r="C148" s="525" t="str">
        <f>IF(Language="English", 'Language Look Ups'!$P$6,IF(Language="Francais", 'Language Look Ups'!$T$6, 'Language Look Ups'!$R$6))</f>
        <v>Ligature des trompes</v>
      </c>
      <c r="D148" s="548" t="str">
        <f>IF(Language="English",'Language Look Ups'!$O$6,IF(Language="Francais",'Language Look Ups'!$S$6,'Language Look Ups'!$Q$6))&amp;" (F)"</f>
        <v>Stérilisation (F)</v>
      </c>
      <c r="E148" s="873" cm="1">
        <f t="array" ref="E148">IFERROR(VLOOKUP(Country_Selected&amp;":"&amp;$S148, 'Prev by Source'!$F$3:$M$499, COLUMN(B:B), FALSE), 0)</f>
        <v>0</v>
      </c>
      <c r="F148" s="873" cm="1">
        <f t="array" ref="F148">IFERROR(VLOOKUP(Country_Selected&amp;":"&amp;$S148, 'Prev by Source'!$F$3:$M$499, COLUMN(C:C), FALSE), 0)</f>
        <v>0</v>
      </c>
      <c r="G148" s="873" cm="1">
        <f t="array" ref="G148">IFERROR(VLOOKUP(Country_Selected&amp;":"&amp;$S148, 'Prev by Source'!$F$3:$M$499, COLUMN(D:D), FALSE), 0)</f>
        <v>0</v>
      </c>
      <c r="H148" s="873" cm="1">
        <f t="array" ref="H148">IFERROR(VLOOKUP(Country_Selected&amp;":"&amp;$S148, 'Prev by Source'!$F$3:$M$499, COLUMN(E:E), FALSE), 0)</f>
        <v>0</v>
      </c>
      <c r="I148" s="873" cm="1">
        <f t="array" ref="I148">IFERROR(VLOOKUP(Country_Selected&amp;":"&amp;$S148, 'Prev by Source'!$F$3:$M$499, COLUMN(F:F), FALSE), 0)</f>
        <v>0</v>
      </c>
      <c r="J148" s="873" cm="1">
        <f t="array" ref="J148">IFERROR(VLOOKUP(Country_Selected&amp;":"&amp;$S148, 'Prev by Source'!$F$3:$M$499, COLUMN(G:G), FALSE), 0)</f>
        <v>0</v>
      </c>
      <c r="K148" s="1460">
        <f t="shared" ref="K148:K157" si="31">SUM(E148:J148)</f>
        <v>0</v>
      </c>
      <c r="L148" s="1461"/>
      <c r="M148" s="1461"/>
      <c r="N148" s="1461"/>
      <c r="O148" s="1461"/>
      <c r="P148" s="1462"/>
      <c r="S148" t="s">
        <v>128</v>
      </c>
    </row>
    <row r="149" spans="2:19" ht="15.75" hidden="1" outlineLevel="1" x14ac:dyDescent="0.25">
      <c r="B149" s="1390"/>
      <c r="C149" s="526" t="str">
        <f>IF(Language="English",'Language Look Ups'!$P$7,IF(Language="Francais",'Language Look Ups'!$T$7,'Language Look Ups'!$R$7))</f>
        <v>Vasectomie</v>
      </c>
      <c r="D149" s="549" t="str">
        <f>IF(Language="English",'Language Look Ups'!$O$6,IF(Language="Francais",'Language Look Ups'!$S$6,'Language Look Ups'!$Q$6))&amp;" (M)"</f>
        <v>Stérilisation (M)</v>
      </c>
      <c r="E149" s="873" cm="1">
        <f t="array" ref="E149">IFERROR(VLOOKUP(Country_Selected&amp;":"&amp;$S149, 'Prev by Source'!$F$3:$M$499, COLUMN(B:B), FALSE), 0)</f>
        <v>0</v>
      </c>
      <c r="F149" s="873" cm="1">
        <f t="array" ref="F149">IFERROR(VLOOKUP(Country_Selected&amp;":"&amp;$S149, 'Prev by Source'!$F$3:$M$499, COLUMN(C:C), FALSE), 0)</f>
        <v>0</v>
      </c>
      <c r="G149" s="873" cm="1">
        <f t="array" ref="G149">IFERROR(VLOOKUP(Country_Selected&amp;":"&amp;$S149, 'Prev by Source'!$F$3:$M$499, COLUMN(D:D), FALSE), 0)</f>
        <v>0</v>
      </c>
      <c r="H149" s="873" cm="1">
        <f t="array" ref="H149">IFERROR(VLOOKUP(Country_Selected&amp;":"&amp;$S149, 'Prev by Source'!$F$3:$M$499, COLUMN(E:E), FALSE), 0)</f>
        <v>0</v>
      </c>
      <c r="I149" s="873" cm="1">
        <f t="array" ref="I149">IFERROR(VLOOKUP(Country_Selected&amp;":"&amp;$S149, 'Prev by Source'!$F$3:$M$499, COLUMN(F:F), FALSE), 0)</f>
        <v>0</v>
      </c>
      <c r="J149" s="873" cm="1">
        <f t="array" ref="J149">IFERROR(VLOOKUP(Country_Selected&amp;":"&amp;$S149, 'Prev by Source'!$F$3:$M$499, COLUMN(G:G), FALSE), 0)</f>
        <v>0</v>
      </c>
      <c r="K149" s="1460">
        <f t="shared" si="31"/>
        <v>0</v>
      </c>
      <c r="L149" s="1461"/>
      <c r="M149" s="1461"/>
      <c r="N149" s="1461"/>
      <c r="O149" s="1461"/>
      <c r="P149" s="1462"/>
      <c r="S149" t="s">
        <v>129</v>
      </c>
    </row>
    <row r="150" spans="2:19" ht="15.75" hidden="1" outlineLevel="1" x14ac:dyDescent="0.25">
      <c r="B150" s="1390"/>
      <c r="C150" s="526" t="str">
        <f>IF(Language="English", 'Language Look Ups'!$P$9,IF(Language="Francais", 'Language Look Ups'!$T$9, 'Language Look Ups'!$R$9))</f>
        <v>DIU Hormonal (LNG-IUS)</v>
      </c>
      <c r="D150" s="549" t="str">
        <f>IF(Language="English", 'Language Look Ups'!$O$8,IF(Language="Francais", 'Language Look Ups'!$S$8, 'Language Look Ups'!$Q$8))</f>
        <v>DIU</v>
      </c>
      <c r="E150" s="873" cm="1">
        <f t="array" ref="E150">IFERROR(VLOOKUP(Country_Selected&amp;":"&amp;$S150, 'Prev by Source'!$F$3:$M$499, COLUMN(B:B), FALSE), 0)</f>
        <v>0</v>
      </c>
      <c r="F150" s="873" cm="1">
        <f t="array" ref="F150">IFERROR(VLOOKUP(Country_Selected&amp;":"&amp;$S150, 'Prev by Source'!$F$3:$M$499, COLUMN(C:C), FALSE), 0)</f>
        <v>0</v>
      </c>
      <c r="G150" s="873" cm="1">
        <f t="array" ref="G150">IFERROR(VLOOKUP(Country_Selected&amp;":"&amp;$S150, 'Prev by Source'!$F$3:$M$499, COLUMN(D:D), FALSE), 0)</f>
        <v>0</v>
      </c>
      <c r="H150" s="873" cm="1">
        <f t="array" ref="H150">IFERROR(VLOOKUP(Country_Selected&amp;":"&amp;$S150, 'Prev by Source'!$F$3:$M$499, COLUMN(E:E), FALSE), 0)</f>
        <v>0</v>
      </c>
      <c r="I150" s="873" cm="1">
        <f t="array" ref="I150">IFERROR(VLOOKUP(Country_Selected&amp;":"&amp;$S150, 'Prev by Source'!$F$3:$M$499, COLUMN(F:F), FALSE), 0)</f>
        <v>0</v>
      </c>
      <c r="J150" s="873" cm="1">
        <f t="array" ref="J150">IFERROR(VLOOKUP(Country_Selected&amp;":"&amp;$S150, 'Prev by Source'!$F$3:$M$499, COLUMN(G:G), FALSE), 0)</f>
        <v>0</v>
      </c>
      <c r="K150" s="1460">
        <f t="shared" si="31"/>
        <v>0</v>
      </c>
      <c r="L150" s="1461"/>
      <c r="M150" s="1461"/>
      <c r="N150" s="1461"/>
      <c r="O150" s="1461"/>
      <c r="P150" s="1462"/>
      <c r="S150" t="s">
        <v>5</v>
      </c>
    </row>
    <row r="151" spans="2:19" ht="31.5" hidden="1" outlineLevel="1" x14ac:dyDescent="0.25">
      <c r="B151" s="1390"/>
      <c r="C151" s="526" t="str">
        <f>IF(Language="English", 'Language Look Ups'!$P$10,IF(Language="Francais", 'Language Look Ups'!$T$10, 'Language Look Ups'!$R$10))</f>
        <v>Implant de 3 ans (Implanon, Levoplant)</v>
      </c>
      <c r="D151" s="549" t="str">
        <f>IF(Language="English", 'Language Look Ups'!$O$10,IF(Language="Francais", 'Language Look Ups'!$S$10, 'Language Look Ups'!$Q$10))</f>
        <v>Implant</v>
      </c>
      <c r="E151" s="873" cm="1">
        <f t="array" ref="E151">IFERROR(VLOOKUP(Country_Selected&amp;":"&amp;$S151, 'Prev by Source'!$F$3:$M$499, COLUMN(B:B), FALSE), 0)</f>
        <v>0</v>
      </c>
      <c r="F151" s="873" cm="1">
        <f t="array" ref="F151">IFERROR(VLOOKUP(Country_Selected&amp;":"&amp;$S151, 'Prev by Source'!$F$3:$M$499, COLUMN(C:C), FALSE), 0)</f>
        <v>0</v>
      </c>
      <c r="G151" s="873" cm="1">
        <f t="array" ref="G151">IFERROR(VLOOKUP(Country_Selected&amp;":"&amp;$S151, 'Prev by Source'!$F$3:$M$499, COLUMN(D:D), FALSE), 0)</f>
        <v>0</v>
      </c>
      <c r="H151" s="873" cm="1">
        <f t="array" ref="H151">IFERROR(VLOOKUP(Country_Selected&amp;":"&amp;$S151, 'Prev by Source'!$F$3:$M$499, COLUMN(E:E), FALSE), 0)</f>
        <v>0</v>
      </c>
      <c r="I151" s="873" cm="1">
        <f t="array" ref="I151">IFERROR(VLOOKUP(Country_Selected&amp;":"&amp;$S151, 'Prev by Source'!$F$3:$M$499, COLUMN(F:F), FALSE), 0)</f>
        <v>0</v>
      </c>
      <c r="J151" s="873" cm="1">
        <f t="array" ref="J151">IFERROR(VLOOKUP(Country_Selected&amp;":"&amp;$S151, 'Prev by Source'!$F$3:$M$499, COLUMN(G:G), FALSE), 0)</f>
        <v>0</v>
      </c>
      <c r="K151" s="1460">
        <f t="shared" si="31"/>
        <v>0</v>
      </c>
      <c r="L151" s="1461"/>
      <c r="M151" s="1461"/>
      <c r="N151" s="1461"/>
      <c r="O151" s="1461"/>
      <c r="P151" s="1462"/>
      <c r="S151" t="s">
        <v>3</v>
      </c>
    </row>
    <row r="152" spans="2:19" ht="15.75" hidden="1" outlineLevel="1" x14ac:dyDescent="0.25">
      <c r="B152" s="1389" t="str">
        <f>IF(Language="English", 'Language Look Ups'!$O$14,IF(Language="Francais", 'Language Look Ups'!$S$14, 'Language Look Ups'!$Q$14))</f>
        <v>Méthodes à Court Terme</v>
      </c>
      <c r="C152" s="525" t="str">
        <f>IF(Language="English", 'Language Look Ups'!$P$15,IF(Language="Francais", 'Language Look Ups'!$T$15, 'Language Look Ups'!$R$15))</f>
        <v>Depo Provera (DMPA)</v>
      </c>
      <c r="D152" s="837" t="str">
        <f>IF(Language="English", 'Language Look Ups'!$O$15,IF(Language="Francais", 'Language Look Ups'!$S$15, 'Language Look Ups'!Q$15))</f>
        <v>Produits injectables</v>
      </c>
      <c r="E152" s="873" cm="1">
        <f t="array" ref="E152">IFERROR(VLOOKUP(Country_Selected&amp;":"&amp;$S152, 'Prev by Source'!$F$3:$M$499, COLUMN(B:B), FALSE), 0)</f>
        <v>0</v>
      </c>
      <c r="F152" s="873" cm="1">
        <f t="array" ref="F152">IFERROR(VLOOKUP(Country_Selected&amp;":"&amp;$S152, 'Prev by Source'!$F$3:$M$499, COLUMN(C:C), FALSE), 0)</f>
        <v>0</v>
      </c>
      <c r="G152" s="873" cm="1">
        <f t="array" ref="G152">IFERROR(VLOOKUP(Country_Selected&amp;":"&amp;$S152, 'Prev by Source'!$F$3:$M$499, COLUMN(D:D), FALSE), 0)</f>
        <v>0</v>
      </c>
      <c r="H152" s="873" cm="1">
        <f t="array" ref="H152">IFERROR(VLOOKUP(Country_Selected&amp;":"&amp;$S152, 'Prev by Source'!$F$3:$M$499, COLUMN(E:E), FALSE), 0)</f>
        <v>0</v>
      </c>
      <c r="I152" s="873" cm="1">
        <f t="array" ref="I152">IFERROR(VLOOKUP(Country_Selected&amp;":"&amp;$S152, 'Prev by Source'!$F$3:$M$499, COLUMN(F:F), FALSE), 0)</f>
        <v>0</v>
      </c>
      <c r="J152" s="873" cm="1">
        <f t="array" ref="J152">IFERROR(VLOOKUP(Country_Selected&amp;":"&amp;$S152, 'Prev by Source'!$F$3:$M$499, COLUMN(G:G), FALSE), 0)</f>
        <v>0</v>
      </c>
      <c r="K152" s="1460">
        <f t="shared" si="31"/>
        <v>0</v>
      </c>
      <c r="L152" s="1461"/>
      <c r="M152" s="1461"/>
      <c r="N152" s="1461"/>
      <c r="O152" s="1461"/>
      <c r="P152" s="1462"/>
      <c r="S152" t="s">
        <v>2</v>
      </c>
    </row>
    <row r="153" spans="2:19" ht="15.75" hidden="1" outlineLevel="1" x14ac:dyDescent="0.25">
      <c r="B153" s="1390"/>
      <c r="C153" s="526" t="str">
        <f>IF(Language="English", 'Language Look Ups'!$P$20,IF(Language="Francais", 'Language Look Ups'!$T$20, 'Language Look Ups'!$R$20))</f>
        <v>Oraux combinés (COC)</v>
      </c>
      <c r="D153" s="838" t="str">
        <f>IF(Language="English", 'Language Look Ups'!$O$20,IF(Language="Francais", 'Language Look Ups'!$S$20, 'Language Look Ups'!Q$20))</f>
        <v>Pilule</v>
      </c>
      <c r="E153" s="873" cm="1">
        <f t="array" ref="E153">IFERROR(VLOOKUP(Country_Selected&amp;":"&amp;$S153, 'Prev by Source'!$F$3:$M$499, COLUMN(B:B), FALSE), 0)</f>
        <v>0</v>
      </c>
      <c r="F153" s="873" cm="1">
        <f t="array" ref="F153">IFERROR(VLOOKUP(Country_Selected&amp;":"&amp;$S153, 'Prev by Source'!$F$3:$M$499, COLUMN(C:C), FALSE), 0)</f>
        <v>0</v>
      </c>
      <c r="G153" s="873" cm="1">
        <f t="array" ref="G153">IFERROR(VLOOKUP(Country_Selected&amp;":"&amp;$S153, 'Prev by Source'!$F$3:$M$499, COLUMN(D:D), FALSE), 0)</f>
        <v>0</v>
      </c>
      <c r="H153" s="873" cm="1">
        <f t="array" ref="H153">IFERROR(VLOOKUP(Country_Selected&amp;":"&amp;$S153, 'Prev by Source'!$F$3:$M$499, COLUMN(E:E), FALSE), 0)</f>
        <v>0</v>
      </c>
      <c r="I153" s="873" cm="1">
        <f t="array" ref="I153">IFERROR(VLOOKUP(Country_Selected&amp;":"&amp;$S153, 'Prev by Source'!$F$3:$M$499, COLUMN(F:F), FALSE), 0)</f>
        <v>0</v>
      </c>
      <c r="J153" s="873" cm="1">
        <f t="array" ref="J153">IFERROR(VLOOKUP(Country_Selected&amp;":"&amp;$S153, 'Prev by Source'!$F$3:$M$499, COLUMN(G:G), FALSE), 0)</f>
        <v>0</v>
      </c>
      <c r="K153" s="1460">
        <f t="shared" si="31"/>
        <v>0</v>
      </c>
      <c r="L153" s="1461"/>
      <c r="M153" s="1461"/>
      <c r="N153" s="1461"/>
      <c r="O153" s="1461"/>
      <c r="P153" s="1462"/>
      <c r="S153" t="s">
        <v>110</v>
      </c>
    </row>
    <row r="154" spans="2:19" ht="15.75" hidden="1" outlineLevel="1" x14ac:dyDescent="0.25">
      <c r="B154" s="1390"/>
      <c r="C154" s="526" t="str">
        <f>IF(Language="English", 'Language Look Ups'!$P$23,IF(Language="Francais", 'Language Look Ups'!$T$23, 'Language Look Ups'!$R$23))</f>
        <v>Préservatifs masculin</v>
      </c>
      <c r="D154" s="838" t="str">
        <f>IF(Language="English", 'Language Look Ups'!$O$23,IF(Language="Francais", 'Language Look Ups'!$S$23, 'Language Look Ups'!Q$23)) &amp;" (M)"</f>
        <v>Préservatifs (M)</v>
      </c>
      <c r="E154" s="873" cm="1">
        <f t="array" ref="E154">IFERROR(VLOOKUP(Country_Selected&amp;":"&amp;$S154, 'Prev by Source'!$F$3:$M$499, COLUMN(B:B), FALSE), 0)</f>
        <v>0</v>
      </c>
      <c r="F154" s="873" cm="1">
        <f t="array" ref="F154">IFERROR(VLOOKUP(Country_Selected&amp;":"&amp;$S154, 'Prev by Source'!$F$3:$M$499, COLUMN(C:C), FALSE), 0)</f>
        <v>0</v>
      </c>
      <c r="G154" s="873" cm="1">
        <f t="array" ref="G154">IFERROR(VLOOKUP(Country_Selected&amp;":"&amp;$S154, 'Prev by Source'!$F$3:$M$499, COLUMN(D:D), FALSE), 0)</f>
        <v>0</v>
      </c>
      <c r="H154" s="873" cm="1">
        <f t="array" ref="H154">IFERROR(VLOOKUP(Country_Selected&amp;":"&amp;$S154, 'Prev by Source'!$F$3:$M$499, COLUMN(E:E), FALSE), 0)</f>
        <v>0</v>
      </c>
      <c r="I154" s="873" cm="1">
        <f t="array" ref="I154">IFERROR(VLOOKUP(Country_Selected&amp;":"&amp;$S154, 'Prev by Source'!$F$3:$M$499, COLUMN(F:F), FALSE), 0)</f>
        <v>0</v>
      </c>
      <c r="J154" s="873" cm="1">
        <f t="array" ref="J154">IFERROR(VLOOKUP(Country_Selected&amp;":"&amp;$S154, 'Prev by Source'!$F$3:$M$499, COLUMN(G:G), FALSE), 0)</f>
        <v>0</v>
      </c>
      <c r="K154" s="1460">
        <f t="shared" si="31"/>
        <v>0</v>
      </c>
      <c r="L154" s="1461"/>
      <c r="M154" s="1461"/>
      <c r="N154" s="1461"/>
      <c r="O154" s="1461"/>
      <c r="P154" s="1462"/>
      <c r="S154" t="s">
        <v>103</v>
      </c>
    </row>
    <row r="155" spans="2:19" ht="15.75" hidden="1" outlineLevel="1" x14ac:dyDescent="0.25">
      <c r="B155" s="1390"/>
      <c r="C155" s="526" t="str">
        <f>IF(Language="English", 'Language Look Ups'!$P$24,IF(Language="Francais", 'Language Look Ups'!$T$24, 'Language Look Ups'!$R$24))</f>
        <v>Préservatifs feminin</v>
      </c>
      <c r="D155" s="838" t="str">
        <f>IF(Language="English", 'Language Look Ups'!$O$23,IF(Language="Francais", 'Language Look Ups'!$S$23, 'Language Look Ups'!Q$23))&amp;" (F)"</f>
        <v>Préservatifs (F)</v>
      </c>
      <c r="E155" s="873" cm="1">
        <f t="array" ref="E155">IFERROR(VLOOKUP(Country_Selected&amp;":"&amp;$S155, 'Prev by Source'!$F$3:$M$499, COLUMN(B:B), FALSE), 0)</f>
        <v>0</v>
      </c>
      <c r="F155" s="873" cm="1">
        <f t="array" ref="F155">IFERROR(VLOOKUP(Country_Selected&amp;":"&amp;$S155, 'Prev by Source'!$F$3:$M$499, COLUMN(C:C), FALSE), 0)</f>
        <v>0</v>
      </c>
      <c r="G155" s="873" cm="1">
        <f t="array" ref="G155">IFERROR(VLOOKUP(Country_Selected&amp;":"&amp;$S155, 'Prev by Source'!$F$3:$M$499, COLUMN(D:D), FALSE), 0)</f>
        <v>0</v>
      </c>
      <c r="H155" s="873" cm="1">
        <f t="array" ref="H155">IFERROR(VLOOKUP(Country_Selected&amp;":"&amp;$S155, 'Prev by Source'!$F$3:$M$499, COLUMN(E:E), FALSE), 0)</f>
        <v>0</v>
      </c>
      <c r="I155" s="873" cm="1">
        <f t="array" ref="I155">IFERROR(VLOOKUP(Country_Selected&amp;":"&amp;$S155, 'Prev by Source'!$F$3:$M$499, COLUMN(F:F), FALSE), 0)</f>
        <v>0</v>
      </c>
      <c r="J155" s="873" cm="1">
        <f t="array" ref="J155">IFERROR(VLOOKUP(Country_Selected&amp;":"&amp;$S155, 'Prev by Source'!$F$3:$M$499, COLUMN(G:G), FALSE), 0)</f>
        <v>0</v>
      </c>
      <c r="K155" s="1460">
        <f t="shared" si="31"/>
        <v>0</v>
      </c>
      <c r="L155" s="1461"/>
      <c r="M155" s="1461"/>
      <c r="N155" s="1461"/>
      <c r="O155" s="1461"/>
      <c r="P155" s="1462"/>
      <c r="S155" t="s">
        <v>1020</v>
      </c>
    </row>
    <row r="156" spans="2:19" ht="15.75" hidden="1" outlineLevel="1" x14ac:dyDescent="0.25">
      <c r="B156" s="1390"/>
      <c r="C156" s="526" t="str">
        <f>IF(Language="English", 'Language Look Ups'!$P$25,IF(Language="Francais", 'Language Look Ups'!$T$25, 'Language Look Ups'!$R$25))</f>
        <v>MAMA</v>
      </c>
      <c r="D156" s="838" t="str">
        <f>IF(Language="English", 'Language Look Ups'!$O$25,IF(Language="Francais", 'Language Look Ups'!$S$25, 'Language Look Ups'!Q$25))</f>
        <v>Autres Méthodes Modernes</v>
      </c>
      <c r="E156" s="873" cm="1">
        <f t="array" ref="E156">IFERROR(VLOOKUP(Country_Selected&amp;":"&amp;$S156, 'Prev by Source'!$F$3:$M$499, COLUMN(B:B), FALSE), 0)</f>
        <v>0</v>
      </c>
      <c r="F156" s="873" cm="1">
        <f t="array" ref="F156">IFERROR(VLOOKUP(Country_Selected&amp;":"&amp;$S156, 'Prev by Source'!$F$3:$M$499, COLUMN(C:C), FALSE), 0)</f>
        <v>0</v>
      </c>
      <c r="G156" s="873" cm="1">
        <f t="array" ref="G156">IFERROR(VLOOKUP(Country_Selected&amp;":"&amp;$S156, 'Prev by Source'!$F$3:$M$499, COLUMN(D:D), FALSE), 0)</f>
        <v>0</v>
      </c>
      <c r="H156" s="873" cm="1">
        <f t="array" ref="H156">IFERROR(VLOOKUP(Country_Selected&amp;":"&amp;$S156, 'Prev by Source'!$F$3:$M$499, COLUMN(E:E), FALSE), 0)</f>
        <v>0</v>
      </c>
      <c r="I156" s="873" cm="1">
        <f t="array" ref="I156">IFERROR(VLOOKUP(Country_Selected&amp;":"&amp;$S156, 'Prev by Source'!$F$3:$M$499, COLUMN(F:F), FALSE), 0)</f>
        <v>0</v>
      </c>
      <c r="J156" s="873" cm="1">
        <f t="array" ref="J156">IFERROR(VLOOKUP(Country_Selected&amp;":"&amp;$S156, 'Prev by Source'!$F$3:$M$499, COLUMN(G:G), FALSE), 0)</f>
        <v>0</v>
      </c>
      <c r="K156" s="1460">
        <f t="shared" si="31"/>
        <v>0</v>
      </c>
      <c r="L156" s="1461"/>
      <c r="M156" s="1461"/>
      <c r="N156" s="1461"/>
      <c r="O156" s="1461"/>
      <c r="P156" s="1462"/>
      <c r="S156" t="s">
        <v>130</v>
      </c>
    </row>
    <row r="157" spans="2:19" ht="16.5" hidden="1" outlineLevel="1" thickBot="1" x14ac:dyDescent="0.3">
      <c r="B157" s="1443"/>
      <c r="C157" s="870" t="str">
        <f>IF(Language="English", 'Language Look Ups'!$P$29,IF(Language="Francais", 'Language Look Ups'!$T$29, 'Language Look Ups'!$R$29))</f>
        <v>CU</v>
      </c>
      <c r="D157" s="871" t="str">
        <f>IF(Language="English", 'Language Look Ups'!$O$29,IF(Language="Francais", 'Language Look Ups'!$S$29, 'Language Look Ups'!Q$29))</f>
        <v>Contraception d'urgence</v>
      </c>
      <c r="E157" s="874" cm="1">
        <f t="array" ref="E157">IFERROR(VLOOKUP(Country_Selected&amp;":"&amp;$S157, 'Prev by Source'!$F$3:$M$499, COLUMN(B:B), FALSE), 0)</f>
        <v>0</v>
      </c>
      <c r="F157" s="874" cm="1">
        <f t="array" ref="F157">IFERROR(VLOOKUP(Country_Selected&amp;":"&amp;$S157, 'Prev by Source'!$F$3:$M$499, COLUMN(C:C), FALSE), 0)</f>
        <v>0</v>
      </c>
      <c r="G157" s="874" cm="1">
        <f t="array" ref="G157">IFERROR(VLOOKUP(Country_Selected&amp;":"&amp;$S157, 'Prev by Source'!$F$3:$M$499, COLUMN(D:D), FALSE), 0)</f>
        <v>0</v>
      </c>
      <c r="H157" s="874" cm="1">
        <f t="array" ref="H157">IFERROR(VLOOKUP(Country_Selected&amp;":"&amp;$S157, 'Prev by Source'!$F$3:$M$499, COLUMN(E:E), FALSE), 0)</f>
        <v>0</v>
      </c>
      <c r="I157" s="874" cm="1">
        <f t="array" ref="I157">IFERROR(VLOOKUP(Country_Selected&amp;":"&amp;$S157, 'Prev by Source'!$F$3:$M$499, COLUMN(F:F), FALSE), 0)</f>
        <v>0</v>
      </c>
      <c r="J157" s="874" cm="1">
        <f t="array" ref="J157">IFERROR(VLOOKUP(Country_Selected&amp;":"&amp;$S157, 'Prev by Source'!$F$3:$M$499, COLUMN(G:G), FALSE), 0)</f>
        <v>0</v>
      </c>
      <c r="K157" s="1460">
        <f t="shared" si="31"/>
        <v>0</v>
      </c>
      <c r="L157" s="1461"/>
      <c r="M157" s="1461"/>
      <c r="N157" s="1461"/>
      <c r="O157" s="1461"/>
      <c r="P157" s="1462"/>
      <c r="S157" t="s">
        <v>108</v>
      </c>
    </row>
    <row r="158" spans="2:19" ht="15.75" hidden="1" outlineLevel="1" thickBot="1" x14ac:dyDescent="0.3">
      <c r="B158" s="872"/>
      <c r="C158" s="151"/>
      <c r="D158" s="151" t="s">
        <v>313</v>
      </c>
      <c r="E158" s="875">
        <f t="shared" ref="E158:J158" si="32">SUM(E148:E157)</f>
        <v>0</v>
      </c>
      <c r="F158" s="875">
        <f t="shared" si="32"/>
        <v>0</v>
      </c>
      <c r="G158" s="875">
        <f t="shared" si="32"/>
        <v>0</v>
      </c>
      <c r="H158" s="875">
        <f t="shared" si="32"/>
        <v>0</v>
      </c>
      <c r="I158" s="875">
        <f t="shared" si="32"/>
        <v>0</v>
      </c>
      <c r="J158" s="875">
        <f t="shared" si="32"/>
        <v>0</v>
      </c>
      <c r="K158" s="1451">
        <f>SUM(E158:J158)</f>
        <v>0</v>
      </c>
      <c r="L158" s="1452"/>
      <c r="M158" s="1452"/>
      <c r="N158" s="1452"/>
      <c r="O158" s="1452"/>
      <c r="P158" s="1453"/>
    </row>
    <row r="159" spans="2:19" hidden="1" outlineLevel="1" x14ac:dyDescent="0.25">
      <c r="E159" s="976" t="e">
        <f t="shared" ref="E159:J159" si="33">E158/$K$158</f>
        <v>#DIV/0!</v>
      </c>
      <c r="F159" s="976" t="e">
        <f t="shared" si="33"/>
        <v>#DIV/0!</v>
      </c>
      <c r="G159" s="976" t="e">
        <f t="shared" si="33"/>
        <v>#DIV/0!</v>
      </c>
      <c r="H159" s="976" t="e">
        <f t="shared" si="33"/>
        <v>#DIV/0!</v>
      </c>
      <c r="I159" s="976" t="e">
        <f t="shared" si="33"/>
        <v>#DIV/0!</v>
      </c>
      <c r="J159" s="976" t="e">
        <f t="shared" si="33"/>
        <v>#DIV/0!</v>
      </c>
    </row>
    <row r="160" spans="2:19" ht="15.75" hidden="1" outlineLevel="1" thickBot="1" x14ac:dyDescent="0.3"/>
    <row r="161" spans="2:16" ht="60" hidden="1" outlineLevel="1" x14ac:dyDescent="0.25">
      <c r="B161" s="1387" t="s">
        <v>875</v>
      </c>
      <c r="C161" s="1388"/>
      <c r="D161" s="1388"/>
      <c r="E161" s="512" t="str">
        <f>'3. ServiceStats Set Up'!$B$16</f>
        <v>Produits de planification familiale distribués aux clients</v>
      </c>
      <c r="F161" s="512" t="str">
        <f>'3. ServiceStats Set Up'!$I$16</f>
        <v>Produits de planification familiale distribués aux établissements</v>
      </c>
      <c r="G161" s="512" t="str">
        <f>'3. ServiceStats Set Up'!$B$25</f>
        <v>Visites de PF</v>
      </c>
      <c r="H161" s="513" t="str">
        <f>'3. ServiceStats Set Up'!$I$25</f>
        <v>Utilisatrices de PF</v>
      </c>
      <c r="K161" s="1465" t="s">
        <v>313</v>
      </c>
      <c r="L161" s="1465"/>
      <c r="M161" s="1465"/>
      <c r="N161" s="1465"/>
      <c r="O161" s="1465"/>
      <c r="P161" s="1466"/>
    </row>
    <row r="162" spans="2:16" ht="15.75" hidden="1" outlineLevel="1" x14ac:dyDescent="0.25">
      <c r="B162" s="1389" t="str">
        <f>IF(Language="English", 'Language Look Ups'!$O$5,IF(Language="Francais", 'Language Look Ups'!$S$5,  'Language Look Ups'!$Q$5))</f>
        <v>Méthodes à Long Terme et Permanentes</v>
      </c>
      <c r="C162" s="525" t="str">
        <f>IF(Language="English", 'Language Look Ups'!$P$6,IF(Language="Francais", 'Language Look Ups'!$T$6, 'Language Look Ups'!$R$6))</f>
        <v>Ligature des trompes</v>
      </c>
      <c r="D162" s="548" t="str">
        <f>IF(Language="English",'Language Look Ups'!$O$6,IF(Language="Francais",'Language Look Ups'!$S$6,'Language Look Ups'!$Q$6))&amp;" (F)"</f>
        <v>Stérilisation (F)</v>
      </c>
      <c r="E162" s="930">
        <f>($E148*$E$51)+($F148*$F$51)+($G148*$G$51)+($H148*$H$51)+($I148*$I$51)+($J148*$J$51)+($E149*$E$51)+($F149*$F$51)+($G149*$G$51)+($H149*$H$51)+($I149*$I$51)+($J149*$J$51)</f>
        <v>0</v>
      </c>
      <c r="F162" s="930">
        <f>($E148*$E$52)+($F148*$F$52)+($G148*$G$52)+($H148*$H$52)+($I148*$I$52)+($J148*$J$52)</f>
        <v>0</v>
      </c>
      <c r="G162" s="930">
        <f>($E148*$E$53)+($F148*$F$53)+($G148*$G$53)+($H148*$H$53)+($I148*$I$53)+($J148*$J$53)</f>
        <v>0</v>
      </c>
      <c r="H162" s="931">
        <f>($E148*$E$54)+($F148*$F$54)+($G148*$G$54)+($H148*$H$54)+($I148*$I$54)+($J148*$J$54)</f>
        <v>0</v>
      </c>
      <c r="K162" s="1447">
        <f t="shared" ref="K162:K167" si="34">K148</f>
        <v>0</v>
      </c>
      <c r="L162" s="1447"/>
      <c r="M162" s="1447"/>
      <c r="N162" s="1447"/>
      <c r="O162" s="1447"/>
      <c r="P162" s="1448"/>
    </row>
    <row r="163" spans="2:16" ht="15.75" hidden="1" outlineLevel="1" x14ac:dyDescent="0.25">
      <c r="B163" s="1446"/>
      <c r="C163" s="963"/>
      <c r="D163" s="549" t="str">
        <f>IF(Language="English",'Language Look Ups'!$O$6,IF(Language="Francais",'Language Look Ups'!$S$6,'Language Look Ups'!$Q$6))&amp;" (M)"</f>
        <v>Stérilisation (M)</v>
      </c>
      <c r="E163" s="930"/>
      <c r="F163" s="930"/>
      <c r="G163" s="930"/>
      <c r="H163" s="931"/>
      <c r="K163" s="1447">
        <f t="shared" si="34"/>
        <v>0</v>
      </c>
      <c r="L163" s="1447"/>
      <c r="M163" s="1447"/>
      <c r="N163" s="1447"/>
      <c r="O163" s="1447"/>
      <c r="P163" s="1448"/>
    </row>
    <row r="164" spans="2:16" ht="15.75" hidden="1" outlineLevel="1" x14ac:dyDescent="0.25">
      <c r="B164" s="1390"/>
      <c r="C164" s="526" t="str">
        <f>IF(Language="English", 'Language Look Ups'!$P$9,IF(Language="Francais", 'Language Look Ups'!$T$9, 'Language Look Ups'!$R$9))</f>
        <v>DIU Hormonal (LNG-IUS)</v>
      </c>
      <c r="D164" s="549" t="str">
        <f>IF(Language="English", 'Language Look Ups'!$O$8,IF(Language="Francais", 'Language Look Ups'!$S$8, 'Language Look Ups'!$Q$8))</f>
        <v>DIU</v>
      </c>
      <c r="E164" s="930">
        <f>($E150*$E$51)+($F150*$F$51)+($G150*$G$51)+($H150*$H$51)+($I150*$I$51)+($J150*$J$51)</f>
        <v>0</v>
      </c>
      <c r="F164" s="930">
        <f>($E150*$E$52)+($F150*$F$52)+($G150*$G$52)+($H150*$H$52)+($I150*$I$52)+($J150*$J$52)</f>
        <v>0</v>
      </c>
      <c r="G164" s="930">
        <f>($E150*$E$53)+($F150*$F$53)+($G150*$G$53)+($H150*$H$53)+($I150*$I$53)+($J150*$J$53)</f>
        <v>0</v>
      </c>
      <c r="H164" s="931">
        <f>($E150*$E$54)+($F150*$F$54)+($G150*$G$54)+($H150*$H$54)+($I150*$I$54)+($J150*$J$54)</f>
        <v>0</v>
      </c>
      <c r="K164" s="1447">
        <f t="shared" si="34"/>
        <v>0</v>
      </c>
      <c r="L164" s="1447"/>
      <c r="M164" s="1447"/>
      <c r="N164" s="1447"/>
      <c r="O164" s="1447"/>
      <c r="P164" s="1448"/>
    </row>
    <row r="165" spans="2:16" ht="31.5" hidden="1" outlineLevel="1" x14ac:dyDescent="0.25">
      <c r="B165" s="1390"/>
      <c r="C165" s="526" t="str">
        <f>IF(Language="English", 'Language Look Ups'!$P$10,IF(Language="Francais", 'Language Look Ups'!$T$10, 'Language Look Ups'!$R$10))</f>
        <v>Implant de 3 ans (Implanon, Levoplant)</v>
      </c>
      <c r="D165" s="549" t="str">
        <f>IF(Language="English", 'Language Look Ups'!$O$10,IF(Language="Francais", 'Language Look Ups'!$S$10, 'Language Look Ups'!$Q$10))</f>
        <v>Implant</v>
      </c>
      <c r="E165" s="930">
        <f>($E151*$E$51)+($F151*$F$51)+($G151*$G$51)+($H151*$H$51)+($I151*$I$51)+($J151*$J$51)</f>
        <v>0</v>
      </c>
      <c r="F165" s="930">
        <f>($E151*$E$52)+($F151*$F$52)+($G151*$G$52)+($H151*$H$52)+($I151*$I$52)+($J151*$J$52)</f>
        <v>0</v>
      </c>
      <c r="G165" s="930">
        <f>($E151*$E$53)+($F151*$F$53)+($G151*$G$53)+($H151*$H$53)+($I151*$I$53)+($J151*$J$53)</f>
        <v>0</v>
      </c>
      <c r="H165" s="931">
        <f>($E151*$E$54)+($F151*$F$54)+($G151*$G$54)+($H151*$H$54)+($I151*$I$54)+($J151*$J$54)</f>
        <v>0</v>
      </c>
      <c r="K165" s="1447">
        <f t="shared" si="34"/>
        <v>0</v>
      </c>
      <c r="L165" s="1447"/>
      <c r="M165" s="1447"/>
      <c r="N165" s="1447"/>
      <c r="O165" s="1447"/>
      <c r="P165" s="1448"/>
    </row>
    <row r="166" spans="2:16" ht="15.75" hidden="1" outlineLevel="1" x14ac:dyDescent="0.25">
      <c r="B166" s="1389" t="str">
        <f>IF(Language="English", 'Language Look Ups'!$O$14,IF(Language="Francais", 'Language Look Ups'!$S$14, 'Language Look Ups'!$Q$14))</f>
        <v>Méthodes à Court Terme</v>
      </c>
      <c r="C166" s="525" t="str">
        <f>IF(Language="English", 'Language Look Ups'!$P$15,IF(Language="Francais", 'Language Look Ups'!$T$15, 'Language Look Ups'!$R$15))</f>
        <v>Depo Provera (DMPA)</v>
      </c>
      <c r="D166" s="837" t="str">
        <f>IF(Language="English", 'Language Look Ups'!$O$15,IF(Language="Francais", 'Language Look Ups'!$S$15, 'Language Look Ups'!Q$15))</f>
        <v>Produits injectables</v>
      </c>
      <c r="E166" s="930">
        <f>($E152*$E$51)+($F152*$F$51)+($G152*$G$51)+($H152*$H$51)+($I152*$I$51)+($J152*$J$51)</f>
        <v>0</v>
      </c>
      <c r="F166" s="930">
        <f>($E152*$E$52)+($F152*$F$52)+($G152*$G$52)+($H152*$H$52)+($I152*$I$52)+($J152*$J$52)</f>
        <v>0</v>
      </c>
      <c r="G166" s="930">
        <f>($E152*$E$53)+($F152*$F$53)+($G152*$G$53)+($H152*$H$53)+($I152*$I$53)+($J152*$J$53)</f>
        <v>0</v>
      </c>
      <c r="H166" s="931">
        <f>($E152*$E$54)+($F152*$F$54)+($G152*$G$54)+($H152*$H$54)+($I152*$I$54)+($J152*$J$54)</f>
        <v>0</v>
      </c>
      <c r="K166" s="1447">
        <f t="shared" si="34"/>
        <v>0</v>
      </c>
      <c r="L166" s="1447"/>
      <c r="M166" s="1447"/>
      <c r="N166" s="1447"/>
      <c r="O166" s="1447"/>
      <c r="P166" s="1448"/>
    </row>
    <row r="167" spans="2:16" ht="15.75" hidden="1" outlineLevel="1" x14ac:dyDescent="0.25">
      <c r="B167" s="1390"/>
      <c r="C167" s="526" t="str">
        <f>IF(Language="English", 'Language Look Ups'!$P$20,IF(Language="Francais", 'Language Look Ups'!$T$20, 'Language Look Ups'!$R$20))</f>
        <v>Oraux combinés (COC)</v>
      </c>
      <c r="D167" s="838" t="str">
        <f>IF(Language="English", 'Language Look Ups'!$O$20,IF(Language="Francais", 'Language Look Ups'!$S$20, 'Language Look Ups'!Q$20))</f>
        <v>Pilule</v>
      </c>
      <c r="E167" s="930">
        <f>($E153*$E$51)+($F153*$F$51)+($G153*$G$51)+($H153*$H$51)+($I153*$I$51)+($J153*$J$51)</f>
        <v>0</v>
      </c>
      <c r="F167" s="930">
        <f>($E153*$E$52)+($F153*$F$52)+($G153*$G$52)+($H153*$H$52)+($I153*$I$52)+($J153*$J$52)</f>
        <v>0</v>
      </c>
      <c r="G167" s="930">
        <f>($E153*$E$53)+($F153*$F$53)+($G153*$G$53)+($H153*$H$53)+($I153*$I$53)+($J153*$J$53)</f>
        <v>0</v>
      </c>
      <c r="H167" s="931">
        <f>($E153*$E$54)+($F153*$F$54)+($G153*$G$54)+($H153*$H$54)+($I153*$I$54)+($J153*$J$54)</f>
        <v>0</v>
      </c>
      <c r="K167" s="1447">
        <f t="shared" si="34"/>
        <v>0</v>
      </c>
      <c r="L167" s="1447"/>
      <c r="M167" s="1447"/>
      <c r="N167" s="1447"/>
      <c r="O167" s="1447"/>
      <c r="P167" s="1448"/>
    </row>
    <row r="168" spans="2:16" ht="15.75" hidden="1" outlineLevel="1" x14ac:dyDescent="0.25">
      <c r="B168" s="1390"/>
      <c r="C168" s="526" t="str">
        <f>IF(Language="English", 'Language Look Ups'!$P$23,IF(Language="Francais", 'Language Look Ups'!$T$23, 'Language Look Ups'!$R$23))</f>
        <v>Préservatifs masculin</v>
      </c>
      <c r="D168" s="838" t="str">
        <f>IF(Language="English", 'Language Look Ups'!$O$23,IF(Language="Francais", 'Language Look Ups'!$S$23, 'Language Look Ups'!Q$23))</f>
        <v>Préservatifs</v>
      </c>
      <c r="E168" s="930">
        <f>($E154*$E$51)+($F154*$F$51)+($G154*$G$51)+($H154*$H$51)+($I154*$I$51)+($J154*$J$51)+($E155*$E$51)+($F155*$F$51)+($G155*$G$51)+($H155*$H$51)+($I155*$I$51)+($J155*$J$51)</f>
        <v>0</v>
      </c>
      <c r="F168" s="930">
        <f>($E154*$E$52)+($F154*$F$52)+($G154*$G$52)+($H154*$H$52)+($I154*$I$52)+($J154*$J$52)</f>
        <v>0</v>
      </c>
      <c r="G168" s="930">
        <f>($E154*$E$53)+($F154*$F$53)+($G154*$G$53)+($H154*$H$53)+($I154*$I$53)+($J154*$J$53)</f>
        <v>0</v>
      </c>
      <c r="H168" s="931">
        <f>($E154*$E$54)+($F154*$F$54)+($G154*$G$54)+($H154*$H$54)+($I154*$I$54)+($J154*$J$54)</f>
        <v>0</v>
      </c>
      <c r="K168" s="1447">
        <f>SUM(K154:P155)</f>
        <v>0</v>
      </c>
      <c r="L168" s="1447"/>
      <c r="M168" s="1447"/>
      <c r="N168" s="1447"/>
      <c r="O168" s="1447"/>
      <c r="P168" s="1448"/>
    </row>
    <row r="169" spans="2:16" ht="15.75" hidden="1" outlineLevel="1" x14ac:dyDescent="0.25">
      <c r="B169" s="1390"/>
      <c r="C169" s="526" t="str">
        <f>IF(Language="English", 'Language Look Ups'!$P$25,IF(Language="Francais", 'Language Look Ups'!$T$25, 'Language Look Ups'!$R$25))</f>
        <v>MAMA</v>
      </c>
      <c r="D169" s="838" t="str">
        <f>IF(Language="English", 'Language Look Ups'!$O$25,IF(Language="Francais", 'Language Look Ups'!$S$25, 'Language Look Ups'!Q$25))</f>
        <v>Autres Méthodes Modernes</v>
      </c>
      <c r="E169" s="930">
        <f>($E156*$E$51)+($F156*$F$51)+($G156*$G$51)+($H156*$H$51)+($I156*$I$51)+($J156*$J$51)</f>
        <v>0</v>
      </c>
      <c r="F169" s="930">
        <f>($E156*$E$52)+($F156*$F$52)+($G156*$G$52)+($H156*$H$52)+($I156*$I$52)+($J156*$J$52)</f>
        <v>0</v>
      </c>
      <c r="G169" s="930">
        <f>($E156*$E$53)+($F156*$F$53)+($G156*$G$53)+($H156*$H$53)+($I156*$I$53)+($J156*$J$53)</f>
        <v>0</v>
      </c>
      <c r="H169" s="931">
        <f>($E156*$E$54)+($F156*$F$54)+($G156*$G$54)+($H156*$H$54)+($I156*$I$54)+($J156*$J$54)</f>
        <v>0</v>
      </c>
      <c r="K169" s="1447">
        <f>SUM(E169:J169)</f>
        <v>0</v>
      </c>
      <c r="L169" s="1447"/>
      <c r="M169" s="1447"/>
      <c r="N169" s="1447"/>
      <c r="O169" s="1447"/>
      <c r="P169" s="1448"/>
    </row>
    <row r="170" spans="2:16" ht="16.5" hidden="1" outlineLevel="1" thickBot="1" x14ac:dyDescent="0.3">
      <c r="B170" s="1443"/>
      <c r="C170" s="870" t="str">
        <f>IF(Language="English", 'Language Look Ups'!$P$29,IF(Language="Francais", 'Language Look Ups'!$T$29, 'Language Look Ups'!$R$29))</f>
        <v>CU</v>
      </c>
      <c r="D170" s="871" t="str">
        <f>IF(Language="English", 'Language Look Ups'!$O$29,IF(Language="Francais", 'Language Look Ups'!$S$29, 'Language Look Ups'!Q$29))</f>
        <v>Contraception d'urgence</v>
      </c>
      <c r="E170" s="930">
        <f>($E157*$E$51)+($F157*$F$51)+($G157*$G$51)+($H157*$H$51)+($I157*$I$51)+($J157*$J$51)</f>
        <v>0</v>
      </c>
      <c r="F170" s="930">
        <f>($E157*$E$52)+($F157*$F$52)+($G157*$G$52)+($H157*$H$52)+($I157*$I$52)+($J157*$J$52)</f>
        <v>0</v>
      </c>
      <c r="G170" s="930">
        <f>($E157*$E$53)+($F157*$F$53)+($G157*$G$53)+($H157*$H$53)+($I157*$I$53)+($J157*$J$53)</f>
        <v>0</v>
      </c>
      <c r="H170" s="931">
        <f>($E157*$E$54)+($F157*$F$54)+($G157*$G$54)+($H157*$H$54)+($I157*$I$54)+($J157*$J$54)</f>
        <v>0</v>
      </c>
      <c r="K170" s="1449">
        <f>SUM(E170:J170)</f>
        <v>0</v>
      </c>
      <c r="L170" s="1449"/>
      <c r="M170" s="1449"/>
      <c r="N170" s="1449"/>
      <c r="O170" s="1449"/>
      <c r="P170" s="1450"/>
    </row>
    <row r="171" spans="2:16" ht="15.75" hidden="1" outlineLevel="1" thickBot="1" x14ac:dyDescent="0.3">
      <c r="B171" s="872"/>
      <c r="C171" s="151"/>
      <c r="D171" s="151" t="s">
        <v>313</v>
      </c>
      <c r="E171" s="932">
        <f>SUM(E162:E170)</f>
        <v>0</v>
      </c>
      <c r="F171" s="932">
        <f>SUM(F162:F170)</f>
        <v>0</v>
      </c>
      <c r="G171" s="932">
        <f>SUM(G162:G170)</f>
        <v>0</v>
      </c>
      <c r="H171" s="933">
        <f>SUM(H162:H170)</f>
        <v>0</v>
      </c>
      <c r="K171" s="1463">
        <f>SUM(K162:P170)</f>
        <v>0</v>
      </c>
      <c r="L171" s="1463"/>
      <c r="M171" s="1463"/>
      <c r="N171" s="1463"/>
      <c r="O171" s="1463"/>
      <c r="P171" s="1464"/>
    </row>
    <row r="172" spans="2:16" hidden="1" outlineLevel="1" x14ac:dyDescent="0.25"/>
    <row r="173" spans="2:16" collapsed="1" x14ac:dyDescent="0.25"/>
  </sheetData>
  <mergeCells count="73">
    <mergeCell ref="K171:P171"/>
    <mergeCell ref="K161:P161"/>
    <mergeCell ref="K162:P162"/>
    <mergeCell ref="K163:P163"/>
    <mergeCell ref="K164:P164"/>
    <mergeCell ref="K165:P165"/>
    <mergeCell ref="K166:P166"/>
    <mergeCell ref="K158:P158"/>
    <mergeCell ref="K146:P147"/>
    <mergeCell ref="K153:P153"/>
    <mergeCell ref="K154:P154"/>
    <mergeCell ref="K155:P155"/>
    <mergeCell ref="K156:P156"/>
    <mergeCell ref="K157:P157"/>
    <mergeCell ref="K148:P148"/>
    <mergeCell ref="K149:P149"/>
    <mergeCell ref="K150:P150"/>
    <mergeCell ref="K151:P151"/>
    <mergeCell ref="K152:P152"/>
    <mergeCell ref="B161:D161"/>
    <mergeCell ref="B162:B165"/>
    <mergeCell ref="B166:B170"/>
    <mergeCell ref="K167:P167"/>
    <mergeCell ref="K168:P168"/>
    <mergeCell ref="K169:P169"/>
    <mergeCell ref="K170:P170"/>
    <mergeCell ref="I146:J146"/>
    <mergeCell ref="B147:D147"/>
    <mergeCell ref="B148:B151"/>
    <mergeCell ref="B152:B157"/>
    <mergeCell ref="D77:D81"/>
    <mergeCell ref="D82:D84"/>
    <mergeCell ref="D87:D90"/>
    <mergeCell ref="B94:H94"/>
    <mergeCell ref="B93:H93"/>
    <mergeCell ref="B92:H92"/>
    <mergeCell ref="F146:H146"/>
    <mergeCell ref="B69:D69"/>
    <mergeCell ref="B68:H68"/>
    <mergeCell ref="B122:B124"/>
    <mergeCell ref="B118:H118"/>
    <mergeCell ref="B119:H119"/>
    <mergeCell ref="B120:H120"/>
    <mergeCell ref="B4:P4"/>
    <mergeCell ref="D10:F10"/>
    <mergeCell ref="B14:M14"/>
    <mergeCell ref="B6:P6"/>
    <mergeCell ref="F16:H16"/>
    <mergeCell ref="I16:J16"/>
    <mergeCell ref="D8:F8"/>
    <mergeCell ref="B67:M67"/>
    <mergeCell ref="B42:M42"/>
    <mergeCell ref="D30:D32"/>
    <mergeCell ref="B16:D17"/>
    <mergeCell ref="B13:M13"/>
    <mergeCell ref="F44:H44"/>
    <mergeCell ref="I44:J44"/>
    <mergeCell ref="B3:P3"/>
    <mergeCell ref="B95:D95"/>
    <mergeCell ref="B96:B102"/>
    <mergeCell ref="J97:M98"/>
    <mergeCell ref="B103:B117"/>
    <mergeCell ref="D103:D107"/>
    <mergeCell ref="D108:D110"/>
    <mergeCell ref="D113:D116"/>
    <mergeCell ref="B70:B76"/>
    <mergeCell ref="N44:N45"/>
    <mergeCell ref="B44:B45"/>
    <mergeCell ref="D44:D45"/>
    <mergeCell ref="B77:B91"/>
    <mergeCell ref="D25:D29"/>
    <mergeCell ref="B18:B24"/>
    <mergeCell ref="B25:B39"/>
  </mergeCells>
  <conditionalFormatting sqref="B46:D49">
    <cfRule type="expression" dxfId="264" priority="37">
      <formula>$D51=0</formula>
    </cfRule>
  </conditionalFormatting>
  <conditionalFormatting sqref="E18:J24 C124:C125 E123:F124">
    <cfRule type="containsBlanks" dxfId="263" priority="34">
      <formula>LEN(TRIM(C18))=0</formula>
    </cfRule>
  </conditionalFormatting>
  <conditionalFormatting sqref="E25:J39">
    <cfRule type="containsBlanks" dxfId="262" priority="33">
      <formula>LEN(TRIM(E25))=0</formula>
    </cfRule>
  </conditionalFormatting>
  <conditionalFormatting sqref="E69:H69">
    <cfRule type="expression" dxfId="261" priority="29">
      <formula>$D74=0</formula>
    </cfRule>
  </conditionalFormatting>
  <conditionalFormatting sqref="E122:F122">
    <cfRule type="expression" dxfId="260" priority="27">
      <formula>$D71=0</formula>
    </cfRule>
  </conditionalFormatting>
  <conditionalFormatting sqref="E46:J49">
    <cfRule type="expression" dxfId="259" priority="11">
      <formula>E51=0.5</formula>
    </cfRule>
    <cfRule type="expression" dxfId="258" priority="12">
      <formula>E51=1</formula>
    </cfRule>
    <cfRule type="expression" dxfId="257" priority="13">
      <formula>E46="Non"</formula>
    </cfRule>
    <cfRule type="expression" dxfId="256" priority="14">
      <formula>E46="No"</formula>
    </cfRule>
  </conditionalFormatting>
  <conditionalFormatting sqref="E46:E49">
    <cfRule type="expression" dxfId="255" priority="38">
      <formula>$D51&gt;0</formula>
    </cfRule>
  </conditionalFormatting>
  <conditionalFormatting sqref="F46:H49">
    <cfRule type="expression" dxfId="254" priority="24">
      <formula>$D51&gt;1</formula>
    </cfRule>
  </conditionalFormatting>
  <conditionalFormatting sqref="I46:J49">
    <cfRule type="expression" dxfId="253" priority="16">
      <formula>$D51&gt;1</formula>
    </cfRule>
  </conditionalFormatting>
  <conditionalFormatting sqref="B51:B54">
    <cfRule type="expression" dxfId="252" priority="10">
      <formula>$D51=0</formula>
    </cfRule>
  </conditionalFormatting>
  <conditionalFormatting sqref="E161:H161">
    <cfRule type="expression" dxfId="251" priority="8">
      <formula>$D166=0</formula>
    </cfRule>
  </conditionalFormatting>
  <conditionalFormatting sqref="E70:H91">
    <cfRule type="cellIs" dxfId="250" priority="6" operator="lessThan">
      <formula>0.1</formula>
    </cfRule>
    <cfRule type="cellIs" dxfId="249" priority="7" operator="lessThan">
      <formula>0.25</formula>
    </cfRule>
  </conditionalFormatting>
  <conditionalFormatting sqref="K161">
    <cfRule type="expression" dxfId="248" priority="5">
      <formula>$D166=0</formula>
    </cfRule>
  </conditionalFormatting>
  <conditionalFormatting sqref="E95:H95">
    <cfRule type="expression" dxfId="247" priority="4">
      <formula>$D100=0</formula>
    </cfRule>
  </conditionalFormatting>
  <conditionalFormatting sqref="E96:H117">
    <cfRule type="containsText" dxfId="246" priority="1" operator="containsText" text="n/a">
      <formula>NOT(ISERROR(SEARCH("n/a",E96)))</formula>
    </cfRule>
    <cfRule type="cellIs" dxfId="245" priority="2" operator="greaterThan">
      <formula>10</formula>
    </cfRule>
    <cfRule type="cellIs" dxfId="244" priority="3" operator="greaterThan">
      <formula>2</formula>
    </cfRule>
  </conditionalFormatting>
  <dataValidations count="1">
    <dataValidation type="list" allowBlank="1" showInputMessage="1" showErrorMessage="1" sqref="I85 I111" xr:uid="{3259F451-65AE-4506-A660-CC9C9D93997F}">
      <formula1>$AB$85:$AB$86</formula1>
    </dataValidation>
  </dataValidations>
  <hyperlinks>
    <hyperlink ref="J97:M98" location="'5. MethodMix Set Up'!A1" display="'5. MethodMix Set Up'!A1" xr:uid="{7A5DF5F5-7E9B-4918-AA42-583B25D6247A}"/>
  </hyperlink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59EBA558-2E15-4396-8F86-8DA47FCA71DB}">
          <x14:formula1>
            <xm:f>'Language Look Ups'!$C$5:$E$5</xm:f>
          </x14:formula1>
          <xm:sqref>E46:J49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CDA863-BFD9-4224-8300-0BB233DE1FCE}">
  <sheetPr codeName="Sheet14">
    <tabColor theme="7"/>
  </sheetPr>
  <dimension ref="A1:AA503"/>
  <sheetViews>
    <sheetView zoomScale="70" zoomScaleNormal="70" workbookViewId="0">
      <pane xSplit="6" ySplit="2" topLeftCell="G3" activePane="bottomRight" state="frozen"/>
      <selection pane="topRight" activeCell="G1" sqref="G1"/>
      <selection pane="bottomLeft" activeCell="A3" sqref="A3"/>
      <selection pane="bottomRight" activeCell="G16" sqref="A1:AC458"/>
    </sheetView>
  </sheetViews>
  <sheetFormatPr defaultRowHeight="15" x14ac:dyDescent="0.25"/>
  <cols>
    <col min="2" max="2" width="13.7109375" customWidth="1"/>
    <col min="3" max="3" width="11.7109375" bestFit="1" customWidth="1"/>
    <col min="4" max="4" width="12.28515625" customWidth="1"/>
    <col min="5" max="5" width="38.7109375" customWidth="1"/>
    <col min="6" max="6" width="31.42578125" customWidth="1"/>
    <col min="7" max="12" width="12.7109375" customWidth="1"/>
    <col min="13" max="13" width="12.7109375" style="817" customWidth="1"/>
    <col min="14" max="14" width="12.140625" customWidth="1"/>
    <col min="15" max="15" width="16.42578125" customWidth="1"/>
    <col min="17" max="17" width="20.42578125" bestFit="1" customWidth="1"/>
  </cols>
  <sheetData>
    <row r="1" spans="1:25" ht="15.75" thickBot="1" x14ac:dyDescent="0.3">
      <c r="G1" s="1467"/>
      <c r="H1" s="1467"/>
      <c r="I1" s="1467"/>
      <c r="J1" s="1467"/>
      <c r="K1" s="1467"/>
      <c r="L1" s="1467"/>
    </row>
    <row r="2" spans="1:25" s="119" customFormat="1" ht="110.25" x14ac:dyDescent="0.25">
      <c r="A2" s="119" t="s">
        <v>10</v>
      </c>
      <c r="B2" s="865" t="s">
        <v>10</v>
      </c>
      <c r="C2" s="865" t="s">
        <v>317</v>
      </c>
      <c r="D2" s="865" t="s">
        <v>587</v>
      </c>
      <c r="E2" s="119" t="s">
        <v>875</v>
      </c>
      <c r="F2" s="119" t="s">
        <v>876</v>
      </c>
      <c r="G2" s="503" t="s">
        <v>976</v>
      </c>
      <c r="H2" s="452" t="s">
        <v>814</v>
      </c>
      <c r="I2" s="452" t="s">
        <v>924</v>
      </c>
      <c r="J2" s="452" t="s">
        <v>736</v>
      </c>
      <c r="K2" s="380" t="s">
        <v>752</v>
      </c>
      <c r="L2" s="499" t="s">
        <v>93</v>
      </c>
      <c r="M2" s="816" t="s">
        <v>313</v>
      </c>
      <c r="N2"/>
      <c r="O2" s="512" t="str">
        <f>'3. ServiceStats Set Up'!$B$16</f>
        <v>Produits de planification familiale distribués aux clients</v>
      </c>
      <c r="P2" s="512" t="str">
        <f>'3. ServiceStats Set Up'!$I$16</f>
        <v>Produits de planification familiale distribués aux établissements</v>
      </c>
      <c r="Q2" s="512" t="str">
        <f>'3. ServiceStats Set Up'!$B$25</f>
        <v>Visites de PF</v>
      </c>
      <c r="R2" s="513" t="str">
        <f>'3. ServiceStats Set Up'!$I$25</f>
        <v>Utilisatrices de PF</v>
      </c>
      <c r="S2"/>
      <c r="T2"/>
      <c r="U2"/>
      <c r="V2"/>
      <c r="W2"/>
      <c r="X2"/>
      <c r="Y2"/>
    </row>
    <row r="3" spans="1:25" x14ac:dyDescent="0.25">
      <c r="B3" s="1" t="s">
        <v>11</v>
      </c>
      <c r="C3" s="1">
        <v>2015</v>
      </c>
      <c r="D3" s="1" t="s">
        <v>591</v>
      </c>
      <c r="E3" t="s">
        <v>128</v>
      </c>
      <c r="F3" t="str">
        <f>B3&amp;":"&amp;E3</f>
        <v>Afghanistan:Female Sterilization</v>
      </c>
      <c r="G3" s="862">
        <v>1.2231111065518E-2</v>
      </c>
      <c r="H3" s="862"/>
      <c r="I3" s="862">
        <v>4.4172501596385604E-3</v>
      </c>
      <c r="J3" s="862"/>
      <c r="K3" s="862"/>
      <c r="L3" s="862">
        <v>6.0538121097466699E-4</v>
      </c>
      <c r="M3" s="710">
        <f>SUM(G3:L3)</f>
        <v>1.7253742436131227E-2</v>
      </c>
    </row>
    <row r="4" spans="1:25" x14ac:dyDescent="0.25">
      <c r="B4" s="1" t="s">
        <v>11</v>
      </c>
      <c r="C4" s="1">
        <v>2015</v>
      </c>
      <c r="D4" s="1" t="s">
        <v>591</v>
      </c>
      <c r="E4" t="s">
        <v>3</v>
      </c>
      <c r="F4" t="str">
        <f t="shared" ref="F4:F67" si="0">B4&amp;":"&amp;E4</f>
        <v>Afghanistan:Implant</v>
      </c>
      <c r="G4" s="862">
        <v>1.0650351565658601E-3</v>
      </c>
      <c r="H4" s="862"/>
      <c r="I4" s="862">
        <v>2.41246697085114E-4</v>
      </c>
      <c r="J4" s="862">
        <v>2.15141846814819E-4</v>
      </c>
      <c r="K4" s="862"/>
      <c r="L4" s="862">
        <v>2.8652828933480901E-5</v>
      </c>
      <c r="M4" s="710">
        <f t="shared" ref="M4:M67" si="1">SUM(G4:L4)</f>
        <v>1.550076529399274E-3</v>
      </c>
    </row>
    <row r="5" spans="1:25" x14ac:dyDescent="0.25">
      <c r="B5" s="1" t="s">
        <v>11</v>
      </c>
      <c r="C5" s="1">
        <v>2015</v>
      </c>
      <c r="D5" s="1" t="s">
        <v>591</v>
      </c>
      <c r="E5" t="s">
        <v>2</v>
      </c>
      <c r="F5" t="str">
        <f t="shared" si="0"/>
        <v>Afghanistan:Injectable</v>
      </c>
      <c r="G5" s="862">
        <v>2.96013560634221E-2</v>
      </c>
      <c r="H5" s="862">
        <v>3.1667607769416398E-4</v>
      </c>
      <c r="I5" s="862">
        <v>7.2324581068499904E-3</v>
      </c>
      <c r="J5" s="862">
        <v>9.6385996305506198E-3</v>
      </c>
      <c r="K5" s="862">
        <v>3.0279504864863998E-4</v>
      </c>
      <c r="L5" s="862">
        <v>1.77911508700824E-4</v>
      </c>
      <c r="M5" s="710">
        <f t="shared" si="1"/>
        <v>4.7269796435866346E-2</v>
      </c>
    </row>
    <row r="6" spans="1:25" x14ac:dyDescent="0.25">
      <c r="B6" s="1" t="s">
        <v>11</v>
      </c>
      <c r="C6" s="1">
        <v>2015</v>
      </c>
      <c r="D6" s="1" t="s">
        <v>591</v>
      </c>
      <c r="E6" t="s">
        <v>5</v>
      </c>
      <c r="F6" t="str">
        <f t="shared" si="0"/>
        <v>Afghanistan:IUD</v>
      </c>
      <c r="G6" s="862">
        <v>8.1815743546032708E-3</v>
      </c>
      <c r="H6" s="862">
        <v>1.4681205543618799E-4</v>
      </c>
      <c r="I6" s="862">
        <v>4.94560832381422E-3</v>
      </c>
      <c r="J6" s="862">
        <v>1.3584396211279299E-4</v>
      </c>
      <c r="K6" s="862"/>
      <c r="L6" s="862">
        <v>1.6602752658265101E-4</v>
      </c>
      <c r="M6" s="710">
        <f t="shared" si="1"/>
        <v>1.3575866222549124E-2</v>
      </c>
    </row>
    <row r="7" spans="1:25" x14ac:dyDescent="0.25">
      <c r="B7" s="1" t="s">
        <v>11</v>
      </c>
      <c r="C7" s="1">
        <v>2015</v>
      </c>
      <c r="D7" s="1" t="s">
        <v>591</v>
      </c>
      <c r="E7" t="s">
        <v>103</v>
      </c>
      <c r="F7" t="str">
        <f t="shared" si="0"/>
        <v>Afghanistan:Male Condom</v>
      </c>
      <c r="G7" s="862">
        <v>1.00196113718255E-2</v>
      </c>
      <c r="H7" s="862">
        <v>2.3213943671236399E-4</v>
      </c>
      <c r="I7" s="862">
        <v>1.73028415837625E-3</v>
      </c>
      <c r="J7" s="862">
        <v>1.60087154613195E-2</v>
      </c>
      <c r="K7" s="862">
        <v>3.3156339640268398E-3</v>
      </c>
      <c r="L7" s="862">
        <v>4.5026960704952701E-4</v>
      </c>
      <c r="M7" s="710">
        <f t="shared" si="1"/>
        <v>3.1756653999309978E-2</v>
      </c>
    </row>
    <row r="8" spans="1:25" x14ac:dyDescent="0.25">
      <c r="B8" s="1" t="s">
        <v>11</v>
      </c>
      <c r="C8" s="1">
        <v>2015</v>
      </c>
      <c r="D8" s="1" t="s">
        <v>591</v>
      </c>
      <c r="E8" t="s">
        <v>129</v>
      </c>
      <c r="F8" t="str">
        <f t="shared" si="0"/>
        <v>Afghanistan:Male Sterilization</v>
      </c>
      <c r="G8" s="862"/>
      <c r="H8" s="862"/>
      <c r="I8" s="862">
        <v>1.9620304651912299E-4</v>
      </c>
      <c r="J8" s="862"/>
      <c r="K8" s="862"/>
      <c r="L8" s="862">
        <v>1.24783271797507E-4</v>
      </c>
      <c r="M8" s="710">
        <f t="shared" si="1"/>
        <v>3.2098631831662999E-4</v>
      </c>
    </row>
    <row r="9" spans="1:25" x14ac:dyDescent="0.25">
      <c r="A9" s="119"/>
      <c r="B9" s="860" t="s">
        <v>11</v>
      </c>
      <c r="C9" s="1">
        <v>2015</v>
      </c>
      <c r="D9" s="1" t="s">
        <v>591</v>
      </c>
      <c r="E9" t="s">
        <v>110</v>
      </c>
      <c r="F9" t="str">
        <f t="shared" si="0"/>
        <v>Afghanistan:OC Pills</v>
      </c>
      <c r="G9" s="862">
        <v>2.3999859316114001E-2</v>
      </c>
      <c r="H9" s="862">
        <v>4.8385858882337698E-4</v>
      </c>
      <c r="I9" s="862">
        <v>9.3169794912554196E-3</v>
      </c>
      <c r="J9" s="862">
        <v>2.9909951084869501E-2</v>
      </c>
      <c r="K9" s="862">
        <v>1.9196827855481899E-3</v>
      </c>
      <c r="L9" s="862">
        <v>5.0764186143338196E-4</v>
      </c>
      <c r="M9" s="710">
        <f t="shared" si="1"/>
        <v>6.613797312804387E-2</v>
      </c>
    </row>
    <row r="10" spans="1:25" x14ac:dyDescent="0.25">
      <c r="B10" s="861" t="s">
        <v>11</v>
      </c>
      <c r="C10" s="861">
        <v>2015</v>
      </c>
      <c r="D10" s="861" t="s">
        <v>591</v>
      </c>
      <c r="E10" s="861" t="s">
        <v>313</v>
      </c>
      <c r="F10" t="str">
        <f t="shared" si="0"/>
        <v>Afghanistan:Total</v>
      </c>
      <c r="G10" s="863">
        <v>8.5098547328048724E-2</v>
      </c>
      <c r="H10" s="863">
        <v>1.1794861586660928E-3</v>
      </c>
      <c r="I10" s="863">
        <v>2.8080029983538674E-2</v>
      </c>
      <c r="J10" s="863">
        <v>5.5908251985667234E-2</v>
      </c>
      <c r="K10" s="863">
        <v>5.5381117982236695E-3</v>
      </c>
      <c r="L10" s="863">
        <v>2.0606678154720388E-3</v>
      </c>
      <c r="M10" s="864">
        <f t="shared" si="1"/>
        <v>0.17786509506961642</v>
      </c>
    </row>
    <row r="11" spans="1:25" x14ac:dyDescent="0.25">
      <c r="B11" s="1" t="s">
        <v>134</v>
      </c>
      <c r="C11" s="1">
        <v>2015</v>
      </c>
      <c r="D11" s="1" t="s">
        <v>591</v>
      </c>
      <c r="E11" t="s">
        <v>108</v>
      </c>
      <c r="F11" t="str">
        <f t="shared" si="0"/>
        <v>Angola:EC</v>
      </c>
      <c r="G11" s="862"/>
      <c r="H11" s="862"/>
      <c r="I11" s="862"/>
      <c r="J11" s="862">
        <v>5.9101529018466597E-4</v>
      </c>
      <c r="K11" s="862"/>
      <c r="L11" s="862"/>
      <c r="M11" s="710">
        <f t="shared" si="1"/>
        <v>5.9101529018466597E-4</v>
      </c>
    </row>
    <row r="12" spans="1:25" x14ac:dyDescent="0.25">
      <c r="B12" s="1" t="s">
        <v>134</v>
      </c>
      <c r="C12" s="1">
        <v>2015</v>
      </c>
      <c r="D12" s="1" t="s">
        <v>591</v>
      </c>
      <c r="E12" t="s">
        <v>1020</v>
      </c>
      <c r="F12" t="str">
        <f t="shared" si="0"/>
        <v>Angola:Female Condom</v>
      </c>
      <c r="G12" s="862">
        <v>1.3315390276861499E-4</v>
      </c>
      <c r="H12" s="862"/>
      <c r="I12" s="862"/>
      <c r="J12" s="862">
        <v>3.9480672542260099E-4</v>
      </c>
      <c r="K12" s="862">
        <v>5.9030946920755398E-5</v>
      </c>
      <c r="L12" s="862"/>
      <c r="M12" s="710">
        <f t="shared" si="1"/>
        <v>5.8699157511197142E-4</v>
      </c>
    </row>
    <row r="13" spans="1:25" x14ac:dyDescent="0.25">
      <c r="B13" s="1" t="s">
        <v>134</v>
      </c>
      <c r="C13" s="1">
        <v>2015</v>
      </c>
      <c r="D13" s="1" t="s">
        <v>591</v>
      </c>
      <c r="E13" t="s">
        <v>128</v>
      </c>
      <c r="F13" t="str">
        <f t="shared" si="0"/>
        <v>Angola:Female Sterilization</v>
      </c>
      <c r="G13" s="862">
        <v>1.4590339834740101E-4</v>
      </c>
      <c r="H13" s="862"/>
      <c r="I13" s="862">
        <v>7.1412962152408093E-5</v>
      </c>
      <c r="J13" s="862"/>
      <c r="K13" s="862"/>
      <c r="L13" s="862"/>
      <c r="M13" s="710">
        <f t="shared" si="1"/>
        <v>2.173163604998091E-4</v>
      </c>
    </row>
    <row r="14" spans="1:25" x14ac:dyDescent="0.25">
      <c r="B14" s="1" t="s">
        <v>134</v>
      </c>
      <c r="C14" s="1">
        <v>2015</v>
      </c>
      <c r="D14" s="1" t="s">
        <v>591</v>
      </c>
      <c r="E14" t="s">
        <v>3</v>
      </c>
      <c r="F14" t="str">
        <f t="shared" si="0"/>
        <v>Angola:Implant</v>
      </c>
      <c r="G14" s="862">
        <v>4.6709063825239299E-3</v>
      </c>
      <c r="H14" s="862"/>
      <c r="I14" s="862">
        <v>5.0878836340371395E-4</v>
      </c>
      <c r="J14" s="862"/>
      <c r="K14" s="862"/>
      <c r="L14" s="862"/>
      <c r="M14" s="710">
        <f t="shared" si="1"/>
        <v>5.1796947459276437E-3</v>
      </c>
    </row>
    <row r="15" spans="1:25" x14ac:dyDescent="0.25">
      <c r="B15" s="1" t="s">
        <v>134</v>
      </c>
      <c r="C15" s="1">
        <v>2015</v>
      </c>
      <c r="D15" s="1" t="s">
        <v>591</v>
      </c>
      <c r="E15" t="s">
        <v>2</v>
      </c>
      <c r="F15" t="str">
        <f t="shared" si="0"/>
        <v>Angola:Injectable</v>
      </c>
      <c r="G15" s="862">
        <v>2.7392621698197263E-2</v>
      </c>
      <c r="H15" s="862"/>
      <c r="I15" s="862">
        <v>2.3310786173037102E-3</v>
      </c>
      <c r="J15" s="862">
        <v>1.3561081210917299E-3</v>
      </c>
      <c r="K15" s="862">
        <v>2.03176851730606E-4</v>
      </c>
      <c r="L15" s="862">
        <v>1.81694760151023E-4</v>
      </c>
      <c r="M15" s="710">
        <f t="shared" si="1"/>
        <v>3.1464680048474331E-2</v>
      </c>
    </row>
    <row r="16" spans="1:25" x14ac:dyDescent="0.25">
      <c r="B16" s="1" t="s">
        <v>134</v>
      </c>
      <c r="C16" s="1">
        <v>2015</v>
      </c>
      <c r="D16" s="1" t="s">
        <v>591</v>
      </c>
      <c r="E16" t="s">
        <v>5</v>
      </c>
      <c r="F16" t="str">
        <f t="shared" si="0"/>
        <v>Angola:IUD</v>
      </c>
      <c r="G16" s="862">
        <v>1.20733150490529E-3</v>
      </c>
      <c r="H16" s="862"/>
      <c r="I16" s="862"/>
      <c r="J16" s="862"/>
      <c r="K16" s="862"/>
      <c r="L16" s="862"/>
      <c r="M16" s="710">
        <f t="shared" si="1"/>
        <v>1.20733150490529E-3</v>
      </c>
    </row>
    <row r="17" spans="1:13" x14ac:dyDescent="0.25">
      <c r="A17" s="119"/>
      <c r="B17" s="1" t="s">
        <v>134</v>
      </c>
      <c r="C17" s="1">
        <v>2015</v>
      </c>
      <c r="D17" s="1" t="s">
        <v>591</v>
      </c>
      <c r="E17" t="s">
        <v>103</v>
      </c>
      <c r="F17" t="str">
        <f t="shared" si="0"/>
        <v>Angola:Male Condom</v>
      </c>
      <c r="G17" s="862">
        <v>9.2844568302695562E-3</v>
      </c>
      <c r="H17" s="862"/>
      <c r="I17" s="862">
        <v>1.1027693674269801E-3</v>
      </c>
      <c r="J17" s="862">
        <v>4.6312752822771197E-2</v>
      </c>
      <c r="K17" s="862">
        <v>1.0133464605176601E-3</v>
      </c>
      <c r="L17" s="862">
        <v>2.4003358662994E-4</v>
      </c>
      <c r="M17" s="710">
        <f t="shared" si="1"/>
        <v>5.7953359067615333E-2</v>
      </c>
    </row>
    <row r="18" spans="1:13" x14ac:dyDescent="0.25">
      <c r="B18" s="1" t="s">
        <v>134</v>
      </c>
      <c r="C18" s="1">
        <v>2015</v>
      </c>
      <c r="D18" s="1" t="s">
        <v>591</v>
      </c>
      <c r="E18" t="s">
        <v>129</v>
      </c>
      <c r="F18" t="str">
        <f t="shared" si="0"/>
        <v>Angola:Male Sterilization</v>
      </c>
      <c r="G18" s="862">
        <v>2.89044434963509E-5</v>
      </c>
      <c r="H18" s="862"/>
      <c r="I18" s="862"/>
      <c r="J18" s="862"/>
      <c r="K18" s="862"/>
      <c r="L18" s="862"/>
      <c r="M18" s="710">
        <f t="shared" si="1"/>
        <v>2.89044434963509E-5</v>
      </c>
    </row>
    <row r="19" spans="1:13" x14ac:dyDescent="0.25">
      <c r="B19" s="1" t="s">
        <v>134</v>
      </c>
      <c r="C19" s="1">
        <v>2015</v>
      </c>
      <c r="D19" s="1" t="s">
        <v>591</v>
      </c>
      <c r="E19" t="s">
        <v>110</v>
      </c>
      <c r="F19" t="str">
        <f t="shared" si="0"/>
        <v>Angola:OC Pills</v>
      </c>
      <c r="G19" s="862">
        <v>1.1244033749926096E-2</v>
      </c>
      <c r="H19" s="862"/>
      <c r="I19" s="862">
        <v>4.1435773698725802E-4</v>
      </c>
      <c r="J19" s="862">
        <v>1.3376933637677099E-2</v>
      </c>
      <c r="K19" s="862">
        <v>7.7432942578667602E-4</v>
      </c>
      <c r="L19" s="862">
        <v>7.0067666952756998E-5</v>
      </c>
      <c r="M19" s="710">
        <f t="shared" si="1"/>
        <v>2.5879722217329888E-2</v>
      </c>
    </row>
    <row r="20" spans="1:13" x14ac:dyDescent="0.25">
      <c r="B20" s="860" t="s">
        <v>134</v>
      </c>
      <c r="C20" s="1">
        <v>2015</v>
      </c>
      <c r="D20" s="1" t="s">
        <v>591</v>
      </c>
      <c r="E20" t="s">
        <v>130</v>
      </c>
      <c r="F20" t="str">
        <f t="shared" si="0"/>
        <v>Angola:Other Modern Methods</v>
      </c>
      <c r="G20" s="862">
        <v>7.1100214400504099E-5</v>
      </c>
      <c r="H20" s="862"/>
      <c r="I20" s="862"/>
      <c r="J20" s="862">
        <v>6.9379051622480597E-4</v>
      </c>
      <c r="K20" s="862">
        <v>2.5925488125179571E-4</v>
      </c>
      <c r="L20" s="862">
        <v>9.22623254582919E-5</v>
      </c>
      <c r="M20" s="710">
        <f t="shared" si="1"/>
        <v>1.1164079373353977E-3</v>
      </c>
    </row>
    <row r="21" spans="1:13" x14ac:dyDescent="0.25">
      <c r="B21" s="861" t="s">
        <v>134</v>
      </c>
      <c r="C21" s="861">
        <v>2015</v>
      </c>
      <c r="D21" s="861" t="s">
        <v>591</v>
      </c>
      <c r="E21" s="861" t="s">
        <v>313</v>
      </c>
      <c r="F21" t="str">
        <f t="shared" si="0"/>
        <v>Angola:Total</v>
      </c>
      <c r="G21" s="863">
        <v>5.4178412124835006E-2</v>
      </c>
      <c r="H21" s="863"/>
      <c r="I21" s="863">
        <v>4.4284070472740697E-3</v>
      </c>
      <c r="J21" s="863">
        <v>6.27254071133721E-2</v>
      </c>
      <c r="K21" s="863">
        <v>2.3091385662074929E-3</v>
      </c>
      <c r="L21" s="863">
        <v>5.8405833919201186E-4</v>
      </c>
      <c r="M21" s="710">
        <f t="shared" si="1"/>
        <v>0.12422542319088067</v>
      </c>
    </row>
    <row r="22" spans="1:13" x14ac:dyDescent="0.25">
      <c r="B22" s="1" t="s">
        <v>12</v>
      </c>
      <c r="C22" s="1">
        <v>2014</v>
      </c>
      <c r="D22" s="1" t="s">
        <v>596</v>
      </c>
      <c r="E22" t="s">
        <v>128</v>
      </c>
      <c r="F22" t="str">
        <f t="shared" si="0"/>
        <v>Bangladesh:Female Sterilization</v>
      </c>
      <c r="G22" s="862">
        <v>2.9796638974337201E-2</v>
      </c>
      <c r="H22" s="862">
        <v>8.5851717288653597E-4</v>
      </c>
      <c r="I22" s="862">
        <v>1.24876017898033E-2</v>
      </c>
      <c r="J22" s="862"/>
      <c r="K22" s="862"/>
      <c r="L22" s="862">
        <v>2.99215702309978E-5</v>
      </c>
      <c r="M22" s="864">
        <f t="shared" si="1"/>
        <v>4.3172679507258033E-2</v>
      </c>
    </row>
    <row r="23" spans="1:13" x14ac:dyDescent="0.25">
      <c r="B23" s="1" t="s">
        <v>12</v>
      </c>
      <c r="C23" s="1">
        <v>2014</v>
      </c>
      <c r="D23" s="1" t="s">
        <v>596</v>
      </c>
      <c r="E23" t="s">
        <v>3</v>
      </c>
      <c r="F23" t="str">
        <f t="shared" si="0"/>
        <v>Bangladesh:Implant</v>
      </c>
      <c r="G23" s="862">
        <v>1.502820872969372E-2</v>
      </c>
      <c r="H23" s="862">
        <v>7.6983128435811703E-4</v>
      </c>
      <c r="I23" s="862">
        <v>3.5250619193063099E-4</v>
      </c>
      <c r="J23" s="862"/>
      <c r="K23" s="862"/>
      <c r="L23" s="862"/>
      <c r="M23" s="710">
        <f t="shared" si="1"/>
        <v>1.6150546205982465E-2</v>
      </c>
    </row>
    <row r="24" spans="1:13" x14ac:dyDescent="0.25">
      <c r="B24" s="1" t="s">
        <v>12</v>
      </c>
      <c r="C24" s="1">
        <v>2014</v>
      </c>
      <c r="D24" s="1" t="s">
        <v>596</v>
      </c>
      <c r="E24" t="s">
        <v>2</v>
      </c>
      <c r="F24" t="str">
        <f t="shared" si="0"/>
        <v>Bangladesh:Injectable</v>
      </c>
      <c r="G24" s="862">
        <v>7.1530180686453199E-2</v>
      </c>
      <c r="H24" s="862">
        <v>1.1236419436455199E-2</v>
      </c>
      <c r="I24" s="862">
        <v>3.37812051280258E-2</v>
      </c>
      <c r="J24" s="862"/>
      <c r="K24" s="862">
        <v>3.3748536650733799E-4</v>
      </c>
      <c r="L24" s="862">
        <v>1.4222919123065599E-4</v>
      </c>
      <c r="M24" s="710">
        <f t="shared" si="1"/>
        <v>0.11702751980867218</v>
      </c>
    </row>
    <row r="25" spans="1:13" x14ac:dyDescent="0.25">
      <c r="B25" s="1" t="s">
        <v>12</v>
      </c>
      <c r="C25" s="1">
        <v>2014</v>
      </c>
      <c r="D25" s="1" t="s">
        <v>596</v>
      </c>
      <c r="E25" t="s">
        <v>5</v>
      </c>
      <c r="F25" t="str">
        <f t="shared" si="0"/>
        <v>Bangladesh:IUD</v>
      </c>
      <c r="G25" s="862">
        <v>5.4948706633516798E-3</v>
      </c>
      <c r="H25" s="862">
        <v>7.9245032969378005E-5</v>
      </c>
      <c r="I25" s="862">
        <v>3.9456446952686999E-4</v>
      </c>
      <c r="J25" s="862"/>
      <c r="K25" s="862"/>
      <c r="L25" s="862"/>
      <c r="M25" s="710">
        <f t="shared" si="1"/>
        <v>5.9686801658479271E-3</v>
      </c>
    </row>
    <row r="26" spans="1:13" x14ac:dyDescent="0.25">
      <c r="B26" s="1" t="s">
        <v>12</v>
      </c>
      <c r="C26" s="1">
        <v>2014</v>
      </c>
      <c r="D26" s="1" t="s">
        <v>596</v>
      </c>
      <c r="E26" t="s">
        <v>103</v>
      </c>
      <c r="F26" t="str">
        <f t="shared" si="0"/>
        <v>Bangladesh:Male Condom</v>
      </c>
      <c r="G26" s="862">
        <v>9.0343243424041899E-3</v>
      </c>
      <c r="H26" s="862">
        <v>1.23411439135098E-3</v>
      </c>
      <c r="I26" s="862">
        <v>4.61917896182008E-2</v>
      </c>
      <c r="J26" s="862"/>
      <c r="K26" s="862">
        <v>4.0024438341117402E-3</v>
      </c>
      <c r="L26" s="862">
        <v>2.97483854326828E-4</v>
      </c>
      <c r="M26" s="710">
        <f t="shared" si="1"/>
        <v>6.0760156040394531E-2</v>
      </c>
    </row>
    <row r="27" spans="1:13" x14ac:dyDescent="0.25">
      <c r="B27" s="1" t="s">
        <v>12</v>
      </c>
      <c r="C27" s="1">
        <v>2014</v>
      </c>
      <c r="D27" s="1" t="s">
        <v>596</v>
      </c>
      <c r="E27" t="s">
        <v>129</v>
      </c>
      <c r="F27" t="str">
        <f t="shared" si="0"/>
        <v>Bangladesh:Male Sterilization</v>
      </c>
      <c r="G27" s="862">
        <v>9.9474054192529998E-3</v>
      </c>
      <c r="H27" s="862">
        <v>3.5411499227132798E-4</v>
      </c>
      <c r="I27" s="862">
        <v>8.8268741345639602E-4</v>
      </c>
      <c r="J27" s="862"/>
      <c r="K27" s="862"/>
      <c r="L27" s="862">
        <v>3.9794827969436202E-5</v>
      </c>
      <c r="M27" s="710">
        <f t="shared" si="1"/>
        <v>1.1224002652950161E-2</v>
      </c>
    </row>
    <row r="28" spans="1:13" x14ac:dyDescent="0.25">
      <c r="B28" s="860" t="s">
        <v>12</v>
      </c>
      <c r="C28" s="1">
        <v>2014</v>
      </c>
      <c r="D28" s="1" t="s">
        <v>596</v>
      </c>
      <c r="E28" t="s">
        <v>110</v>
      </c>
      <c r="F28" t="str">
        <f t="shared" si="0"/>
        <v>Bangladesh:OC Pills</v>
      </c>
      <c r="G28" s="862">
        <v>0.1077068333721919</v>
      </c>
      <c r="H28" s="862">
        <v>7.7888975733217897E-3</v>
      </c>
      <c r="I28" s="862">
        <v>0.125059666280469</v>
      </c>
      <c r="J28" s="862"/>
      <c r="K28" s="862">
        <v>1.3673690596733699E-2</v>
      </c>
      <c r="L28" s="862">
        <v>1.3612198629059201E-4</v>
      </c>
      <c r="M28" s="710">
        <f t="shared" si="1"/>
        <v>0.25436520980900695</v>
      </c>
    </row>
    <row r="29" spans="1:13" x14ac:dyDescent="0.25">
      <c r="B29" s="861" t="s">
        <v>12</v>
      </c>
      <c r="C29" s="861">
        <v>2014</v>
      </c>
      <c r="D29" s="861" t="s">
        <v>596</v>
      </c>
      <c r="E29" s="861" t="s">
        <v>313</v>
      </c>
      <c r="F29" t="str">
        <f t="shared" si="0"/>
        <v>Bangladesh:Total</v>
      </c>
      <c r="G29" s="863">
        <v>0.24853846218768488</v>
      </c>
      <c r="H29" s="863">
        <v>2.2321139883613329E-2</v>
      </c>
      <c r="I29" s="863">
        <v>0.21915002089141281</v>
      </c>
      <c r="J29" s="863"/>
      <c r="K29" s="863">
        <v>1.8013619797352779E-2</v>
      </c>
      <c r="L29" s="863">
        <v>6.4555143004851E-4</v>
      </c>
      <c r="M29" s="710">
        <f t="shared" si="1"/>
        <v>0.50866879419011235</v>
      </c>
    </row>
    <row r="30" spans="1:13" x14ac:dyDescent="0.25">
      <c r="B30" s="1" t="s">
        <v>13</v>
      </c>
      <c r="C30" s="1">
        <v>2017</v>
      </c>
      <c r="D30" s="1" t="s">
        <v>969</v>
      </c>
      <c r="E30" t="s">
        <v>108</v>
      </c>
      <c r="F30" t="str">
        <f t="shared" si="0"/>
        <v>Benin:EC</v>
      </c>
      <c r="G30" s="862">
        <v>4.2297840267987899E-5</v>
      </c>
      <c r="H30" s="862"/>
      <c r="I30" s="862"/>
      <c r="J30" s="862">
        <v>7.20134228804579E-4</v>
      </c>
      <c r="K30" s="862"/>
      <c r="L30" s="862"/>
      <c r="M30" s="864">
        <f t="shared" si="1"/>
        <v>7.6243206907256685E-4</v>
      </c>
    </row>
    <row r="31" spans="1:13" x14ac:dyDescent="0.25">
      <c r="B31" s="1" t="s">
        <v>13</v>
      </c>
      <c r="C31" s="1">
        <v>2017</v>
      </c>
      <c r="D31" s="1" t="s">
        <v>969</v>
      </c>
      <c r="E31" t="s">
        <v>128</v>
      </c>
      <c r="F31" t="str">
        <f t="shared" si="0"/>
        <v>Benin:Female Sterilization</v>
      </c>
      <c r="G31" s="862">
        <v>1.2720056500276199E-3</v>
      </c>
      <c r="H31" s="862"/>
      <c r="I31" s="862"/>
      <c r="J31" s="862"/>
      <c r="K31" s="862"/>
      <c r="L31" s="862"/>
      <c r="M31" s="710">
        <f t="shared" si="1"/>
        <v>1.2720056500276199E-3</v>
      </c>
    </row>
    <row r="32" spans="1:13" x14ac:dyDescent="0.25">
      <c r="B32" s="1" t="s">
        <v>13</v>
      </c>
      <c r="C32" s="1">
        <v>2017</v>
      </c>
      <c r="D32" s="1" t="s">
        <v>969</v>
      </c>
      <c r="E32" t="s">
        <v>3</v>
      </c>
      <c r="F32" t="str">
        <f t="shared" si="0"/>
        <v>Benin:Implant</v>
      </c>
      <c r="G32" s="862">
        <v>4.1297652862475623E-2</v>
      </c>
      <c r="H32" s="862">
        <v>1.196105788173E-3</v>
      </c>
      <c r="I32" s="862">
        <v>2.8428879950895001E-3</v>
      </c>
      <c r="J32" s="862"/>
      <c r="K32" s="862"/>
      <c r="L32" s="862"/>
      <c r="M32" s="710">
        <f t="shared" si="1"/>
        <v>4.5336646645738124E-2</v>
      </c>
    </row>
    <row r="33" spans="1:13" x14ac:dyDescent="0.25">
      <c r="B33" s="1" t="s">
        <v>13</v>
      </c>
      <c r="C33" s="1">
        <v>2017</v>
      </c>
      <c r="D33" s="1" t="s">
        <v>969</v>
      </c>
      <c r="E33" t="s">
        <v>2</v>
      </c>
      <c r="F33" t="str">
        <f t="shared" si="0"/>
        <v>Benin:Injectable</v>
      </c>
      <c r="G33" s="862">
        <v>1.5360015816373713E-2</v>
      </c>
      <c r="H33" s="862">
        <v>6.4140796062236104E-4</v>
      </c>
      <c r="I33" s="862">
        <v>2.9985790422530799E-3</v>
      </c>
      <c r="J33" s="862"/>
      <c r="K33" s="862"/>
      <c r="L33" s="862"/>
      <c r="M33" s="710">
        <f t="shared" si="1"/>
        <v>1.9000002819249153E-2</v>
      </c>
    </row>
    <row r="34" spans="1:13" x14ac:dyDescent="0.25">
      <c r="A34" s="119"/>
      <c r="B34" s="1" t="s">
        <v>13</v>
      </c>
      <c r="C34" s="1">
        <v>2017</v>
      </c>
      <c r="D34" s="1" t="s">
        <v>969</v>
      </c>
      <c r="E34" t="s">
        <v>5</v>
      </c>
      <c r="F34" t="str">
        <f t="shared" si="0"/>
        <v>Benin:IUD</v>
      </c>
      <c r="G34" s="862">
        <v>8.1283680285885347E-3</v>
      </c>
      <c r="H34" s="862">
        <v>9.2442152155813005E-4</v>
      </c>
      <c r="I34" s="862">
        <v>3.6777663223010498E-3</v>
      </c>
      <c r="J34" s="862"/>
      <c r="K34" s="862"/>
      <c r="L34" s="862"/>
      <c r="M34" s="710">
        <f t="shared" si="1"/>
        <v>1.2730555872447714E-2</v>
      </c>
    </row>
    <row r="35" spans="1:13" x14ac:dyDescent="0.25">
      <c r="B35" s="1" t="s">
        <v>13</v>
      </c>
      <c r="C35" s="1">
        <v>2017</v>
      </c>
      <c r="D35" s="1" t="s">
        <v>969</v>
      </c>
      <c r="E35" t="s">
        <v>103</v>
      </c>
      <c r="F35" t="str">
        <f t="shared" si="0"/>
        <v>Benin:Male Condom</v>
      </c>
      <c r="G35" s="862">
        <v>1.616402686584504E-3</v>
      </c>
      <c r="H35" s="862">
        <v>1.01162732263573E-4</v>
      </c>
      <c r="I35" s="862">
        <v>1.9067585378243501E-4</v>
      </c>
      <c r="J35" s="862">
        <v>1.05062733517999E-2</v>
      </c>
      <c r="K35" s="862">
        <v>7.0576546939171104E-3</v>
      </c>
      <c r="L35" s="862">
        <v>1.61823091360553E-3</v>
      </c>
      <c r="M35" s="710">
        <f t="shared" si="1"/>
        <v>2.1090400231953053E-2</v>
      </c>
    </row>
    <row r="36" spans="1:13" x14ac:dyDescent="0.25">
      <c r="B36" s="1" t="s">
        <v>13</v>
      </c>
      <c r="C36" s="1">
        <v>2017</v>
      </c>
      <c r="D36" s="1" t="s">
        <v>969</v>
      </c>
      <c r="E36" t="s">
        <v>110</v>
      </c>
      <c r="F36" t="str">
        <f t="shared" si="0"/>
        <v>Benin:OC Pills</v>
      </c>
      <c r="G36" s="862">
        <v>3.7889511540089944E-3</v>
      </c>
      <c r="H36" s="862"/>
      <c r="I36" s="862">
        <v>6.09850702972799E-4</v>
      </c>
      <c r="J36" s="862">
        <v>7.7079369011464303E-3</v>
      </c>
      <c r="K36" s="862"/>
      <c r="L36" s="862"/>
      <c r="M36" s="710">
        <f t="shared" si="1"/>
        <v>1.2106738758128224E-2</v>
      </c>
    </row>
    <row r="37" spans="1:13" x14ac:dyDescent="0.25">
      <c r="B37" s="860" t="s">
        <v>13</v>
      </c>
      <c r="C37" s="1">
        <v>2017</v>
      </c>
      <c r="D37" s="1" t="s">
        <v>969</v>
      </c>
      <c r="E37" t="s">
        <v>130</v>
      </c>
      <c r="F37" t="str">
        <f t="shared" si="0"/>
        <v>Benin:Other Modern Methods</v>
      </c>
      <c r="G37" s="862">
        <v>5.9075615250164587E-4</v>
      </c>
      <c r="H37" s="862">
        <v>1.03023857325771E-4</v>
      </c>
      <c r="I37" s="862">
        <v>3.3921515559416898E-4</v>
      </c>
      <c r="J37" s="862">
        <v>2.8454570558621801E-4</v>
      </c>
      <c r="K37" s="862">
        <v>8.0569198869735899E-4</v>
      </c>
      <c r="L37" s="862">
        <v>1.20057358073814E-3</v>
      </c>
      <c r="M37" s="710">
        <f t="shared" si="1"/>
        <v>3.3238064404433028E-3</v>
      </c>
    </row>
    <row r="38" spans="1:13" x14ac:dyDescent="0.25">
      <c r="B38" s="861" t="s">
        <v>13</v>
      </c>
      <c r="C38" s="861">
        <v>2017</v>
      </c>
      <c r="D38" s="861" t="s">
        <v>969</v>
      </c>
      <c r="E38" s="861" t="s">
        <v>313</v>
      </c>
      <c r="F38" t="str">
        <f t="shared" si="0"/>
        <v>Benin:Total</v>
      </c>
      <c r="G38" s="863">
        <v>7.2096450190828623E-2</v>
      </c>
      <c r="H38" s="863">
        <v>2.9661218599428352E-3</v>
      </c>
      <c r="I38" s="863">
        <v>1.0658975071993031E-2</v>
      </c>
      <c r="J38" s="863">
        <v>1.9218890187337131E-2</v>
      </c>
      <c r="K38" s="863">
        <v>7.8633466826144686E-3</v>
      </c>
      <c r="L38" s="863">
        <v>2.81880449434367E-3</v>
      </c>
      <c r="M38" s="710">
        <f t="shared" si="1"/>
        <v>0.11562258848705978</v>
      </c>
    </row>
    <row r="39" spans="1:13" x14ac:dyDescent="0.25">
      <c r="B39" s="1" t="s">
        <v>15</v>
      </c>
      <c r="C39" s="1">
        <v>2008</v>
      </c>
      <c r="D39" s="1" t="s">
        <v>598</v>
      </c>
      <c r="E39" t="s">
        <v>128</v>
      </c>
      <c r="F39" t="str">
        <f t="shared" si="0"/>
        <v>Bolivia:Female Sterilization</v>
      </c>
      <c r="G39" s="862">
        <v>2.95454145562421E-2</v>
      </c>
      <c r="H39" s="862">
        <v>2.8895587000913499E-3</v>
      </c>
      <c r="I39" s="862">
        <v>1.04290519719817E-2</v>
      </c>
      <c r="J39" s="862"/>
      <c r="K39" s="862"/>
      <c r="L39" s="862"/>
      <c r="M39" s="710">
        <f t="shared" si="1"/>
        <v>4.2864025228315145E-2</v>
      </c>
    </row>
    <row r="40" spans="1:13" x14ac:dyDescent="0.25">
      <c r="B40" s="1" t="s">
        <v>15</v>
      </c>
      <c r="C40" s="1">
        <v>2008</v>
      </c>
      <c r="D40" s="1" t="s">
        <v>598</v>
      </c>
      <c r="E40" t="s">
        <v>2</v>
      </c>
      <c r="F40" t="str">
        <f t="shared" si="0"/>
        <v>Bolivia:Injectable</v>
      </c>
      <c r="G40" s="862">
        <v>4.8548114291871856E-2</v>
      </c>
      <c r="H40" s="862">
        <v>3.2192081469041298E-3</v>
      </c>
      <c r="I40" s="862">
        <v>2.3235408144483402E-3</v>
      </c>
      <c r="J40" s="862">
        <v>1.90134879167108E-2</v>
      </c>
      <c r="K40" s="862">
        <v>4.4256201502811002E-4</v>
      </c>
      <c r="L40" s="862">
        <v>4.7256213298902799E-4</v>
      </c>
      <c r="M40" s="864">
        <f t="shared" si="1"/>
        <v>7.4019475317952277E-2</v>
      </c>
    </row>
    <row r="41" spans="1:13" x14ac:dyDescent="0.25">
      <c r="B41" s="1" t="s">
        <v>15</v>
      </c>
      <c r="C41" s="1">
        <v>2008</v>
      </c>
      <c r="D41" s="1" t="s">
        <v>598</v>
      </c>
      <c r="E41" t="s">
        <v>5</v>
      </c>
      <c r="F41" t="str">
        <f t="shared" si="0"/>
        <v>Bolivia:IUD</v>
      </c>
      <c r="G41" s="862">
        <v>2.8097015895742629E-2</v>
      </c>
      <c r="H41" s="862">
        <v>1.0119511622444699E-2</v>
      </c>
      <c r="I41" s="862">
        <v>1.6802723593968401E-2</v>
      </c>
      <c r="J41" s="862">
        <v>3.2187679202099498E-4</v>
      </c>
      <c r="K41" s="862"/>
      <c r="L41" s="862">
        <v>2.4609103162774397E-4</v>
      </c>
      <c r="M41" s="710">
        <f t="shared" si="1"/>
        <v>5.5587218935804469E-2</v>
      </c>
    </row>
    <row r="42" spans="1:13" x14ac:dyDescent="0.25">
      <c r="A42" s="119"/>
      <c r="B42" s="1" t="s">
        <v>15</v>
      </c>
      <c r="C42" s="1">
        <v>2008</v>
      </c>
      <c r="D42" s="1" t="s">
        <v>598</v>
      </c>
      <c r="E42" t="s">
        <v>103</v>
      </c>
      <c r="F42" t="str">
        <f t="shared" si="0"/>
        <v>Bolivia:Male Condom</v>
      </c>
      <c r="G42" s="862">
        <v>1.6134857960897247E-3</v>
      </c>
      <c r="H42" s="862">
        <v>6.1549282495067302E-4</v>
      </c>
      <c r="I42" s="862">
        <v>3.8542245564105398E-4</v>
      </c>
      <c r="J42" s="862">
        <v>2.8781903844118401E-2</v>
      </c>
      <c r="K42" s="862">
        <v>8.2028130049840997E-4</v>
      </c>
      <c r="L42" s="862">
        <v>1.0103804201757099E-3</v>
      </c>
      <c r="M42" s="710">
        <f t="shared" si="1"/>
        <v>3.3226966641473975E-2</v>
      </c>
    </row>
    <row r="43" spans="1:13" x14ac:dyDescent="0.25">
      <c r="B43" s="1" t="s">
        <v>15</v>
      </c>
      <c r="C43" s="1">
        <v>2008</v>
      </c>
      <c r="D43" s="1" t="s">
        <v>598</v>
      </c>
      <c r="E43" t="s">
        <v>129</v>
      </c>
      <c r="F43" t="str">
        <f t="shared" si="0"/>
        <v>Bolivia:Male Sterilization</v>
      </c>
      <c r="G43" s="862">
        <v>1.4772282843386199E-4</v>
      </c>
      <c r="H43" s="862"/>
      <c r="I43" s="862">
        <v>2.29535154718037E-4</v>
      </c>
      <c r="J43" s="862"/>
      <c r="K43" s="862"/>
      <c r="L43" s="862">
        <v>2.5883523135676302E-4</v>
      </c>
      <c r="M43" s="710">
        <f t="shared" si="1"/>
        <v>6.3609321450866204E-4</v>
      </c>
    </row>
    <row r="44" spans="1:13" x14ac:dyDescent="0.25">
      <c r="B44" s="1" t="s">
        <v>15</v>
      </c>
      <c r="C44" s="1">
        <v>2008</v>
      </c>
      <c r="D44" s="1" t="s">
        <v>598</v>
      </c>
      <c r="E44" t="s">
        <v>110</v>
      </c>
      <c r="F44" t="str">
        <f t="shared" si="0"/>
        <v>Bolivia:OC Pills</v>
      </c>
      <c r="G44" s="862">
        <v>6.5977683210896934E-3</v>
      </c>
      <c r="H44" s="862">
        <v>1.03817863720603E-3</v>
      </c>
      <c r="I44" s="862">
        <v>3.8584007179159999E-4</v>
      </c>
      <c r="J44" s="862">
        <v>1.5915589645978698E-2</v>
      </c>
      <c r="K44" s="862">
        <v>2.21129936022784E-4</v>
      </c>
      <c r="L44" s="862">
        <v>1.5184084010779099E-4</v>
      </c>
      <c r="M44" s="710">
        <f t="shared" si="1"/>
        <v>2.4310347452196599E-2</v>
      </c>
    </row>
    <row r="45" spans="1:13" x14ac:dyDescent="0.25">
      <c r="B45" s="860" t="s">
        <v>15</v>
      </c>
      <c r="C45" s="1">
        <v>2008</v>
      </c>
      <c r="D45" s="1" t="s">
        <v>598</v>
      </c>
      <c r="E45" t="s">
        <v>130</v>
      </c>
      <c r="F45" t="str">
        <f t="shared" si="0"/>
        <v>Bolivia:Other Modern Methods</v>
      </c>
      <c r="G45" s="862">
        <v>1.12240391583983E-5</v>
      </c>
      <c r="H45" s="862"/>
      <c r="I45" s="862"/>
      <c r="J45" s="862">
        <v>5.5699804979432801E-4</v>
      </c>
      <c r="K45" s="862"/>
      <c r="L45" s="862"/>
      <c r="M45" s="710">
        <f t="shared" si="1"/>
        <v>5.6822208895272632E-4</v>
      </c>
    </row>
    <row r="46" spans="1:13" x14ac:dyDescent="0.25">
      <c r="B46" s="861" t="s">
        <v>15</v>
      </c>
      <c r="C46" s="861">
        <v>2008</v>
      </c>
      <c r="D46" s="861" t="s">
        <v>598</v>
      </c>
      <c r="E46" s="861" t="s">
        <v>313</v>
      </c>
      <c r="F46" t="str">
        <f t="shared" si="0"/>
        <v>Bolivia:Total</v>
      </c>
      <c r="G46" s="863">
        <v>0.11456074572862826</v>
      </c>
      <c r="H46" s="863">
        <v>1.7881949931596884E-2</v>
      </c>
      <c r="I46" s="863">
        <v>3.0556114062549131E-2</v>
      </c>
      <c r="J46" s="863">
        <v>6.458985624862322E-2</v>
      </c>
      <c r="K46" s="863">
        <v>1.4839732515493039E-3</v>
      </c>
      <c r="L46" s="863">
        <v>2.1397096562570357E-3</v>
      </c>
      <c r="M46" s="710">
        <f t="shared" si="1"/>
        <v>0.23121234887920383</v>
      </c>
    </row>
    <row r="47" spans="1:13" x14ac:dyDescent="0.25">
      <c r="B47" s="1" t="s">
        <v>16</v>
      </c>
      <c r="C47" s="1">
        <v>2010</v>
      </c>
      <c r="D47" s="1" t="s">
        <v>594</v>
      </c>
      <c r="E47" t="s">
        <v>1020</v>
      </c>
      <c r="F47" t="str">
        <f t="shared" si="0"/>
        <v>Burkina Faso:Female Condom</v>
      </c>
      <c r="G47" s="862"/>
      <c r="H47" s="862"/>
      <c r="I47" s="862"/>
      <c r="J47" s="862">
        <v>3.1640060455554798E-4</v>
      </c>
      <c r="K47" s="862"/>
      <c r="L47" s="862">
        <v>2.9023176211653599E-5</v>
      </c>
      <c r="M47" s="710">
        <f t="shared" si="1"/>
        <v>3.4542378076720157E-4</v>
      </c>
    </row>
    <row r="48" spans="1:13" x14ac:dyDescent="0.25">
      <c r="B48" s="1" t="s">
        <v>16</v>
      </c>
      <c r="C48" s="1">
        <v>2010</v>
      </c>
      <c r="D48" s="1" t="s">
        <v>594</v>
      </c>
      <c r="E48" t="s">
        <v>128</v>
      </c>
      <c r="F48" t="str">
        <f t="shared" si="0"/>
        <v>Burkina Faso:Female Sterilization</v>
      </c>
      <c r="G48" s="862">
        <v>1.3961082445017E-3</v>
      </c>
      <c r="H48" s="862"/>
      <c r="I48" s="862">
        <v>8.2892727457652702E-5</v>
      </c>
      <c r="J48" s="862"/>
      <c r="K48" s="862"/>
      <c r="L48" s="862"/>
      <c r="M48" s="864">
        <f t="shared" si="1"/>
        <v>1.4790009719593527E-3</v>
      </c>
    </row>
    <row r="49" spans="1:13" x14ac:dyDescent="0.25">
      <c r="B49" s="1" t="s">
        <v>16</v>
      </c>
      <c r="C49" s="1">
        <v>2010</v>
      </c>
      <c r="D49" s="1" t="s">
        <v>594</v>
      </c>
      <c r="E49" t="s">
        <v>3</v>
      </c>
      <c r="F49" t="str">
        <f t="shared" si="0"/>
        <v>Burkina Faso:Implant</v>
      </c>
      <c r="G49" s="862">
        <v>2.6334327373056018E-2</v>
      </c>
      <c r="H49" s="862"/>
      <c r="I49" s="862">
        <v>3.5732148105923402E-4</v>
      </c>
      <c r="J49" s="862">
        <v>7.5682626037663697E-5</v>
      </c>
      <c r="K49" s="862">
        <v>1.6670597931270299E-4</v>
      </c>
      <c r="L49" s="862"/>
      <c r="M49" s="710">
        <f t="shared" si="1"/>
        <v>2.6934037459465619E-2</v>
      </c>
    </row>
    <row r="50" spans="1:13" x14ac:dyDescent="0.25">
      <c r="B50" s="1" t="s">
        <v>16</v>
      </c>
      <c r="C50" s="1">
        <v>2010</v>
      </c>
      <c r="D50" s="1" t="s">
        <v>594</v>
      </c>
      <c r="E50" t="s">
        <v>2</v>
      </c>
      <c r="F50" t="str">
        <f t="shared" si="0"/>
        <v>Burkina Faso:Injectable</v>
      </c>
      <c r="G50" s="862">
        <v>4.8887052267371597E-2</v>
      </c>
      <c r="H50" s="862"/>
      <c r="I50" s="862">
        <v>2.4239627199771E-4</v>
      </c>
      <c r="J50" s="862">
        <v>1.13163460321308E-4</v>
      </c>
      <c r="K50" s="862">
        <v>9.9047857476951403E-4</v>
      </c>
      <c r="L50" s="862"/>
      <c r="M50" s="710">
        <f t="shared" si="1"/>
        <v>5.0233090574460126E-2</v>
      </c>
    </row>
    <row r="51" spans="1:13" x14ac:dyDescent="0.25">
      <c r="B51" s="1" t="s">
        <v>16</v>
      </c>
      <c r="C51" s="1">
        <v>2010</v>
      </c>
      <c r="D51" s="1" t="s">
        <v>594</v>
      </c>
      <c r="E51" t="s">
        <v>5</v>
      </c>
      <c r="F51" t="str">
        <f t="shared" si="0"/>
        <v>Burkina Faso:IUD</v>
      </c>
      <c r="G51" s="862">
        <v>2.2097042142089607E-3</v>
      </c>
      <c r="H51" s="862"/>
      <c r="I51" s="862"/>
      <c r="J51" s="862"/>
      <c r="K51" s="862"/>
      <c r="L51" s="862"/>
      <c r="M51" s="710">
        <f t="shared" si="1"/>
        <v>2.2097042142089607E-3</v>
      </c>
    </row>
    <row r="52" spans="1:13" x14ac:dyDescent="0.25">
      <c r="B52" s="1" t="s">
        <v>16</v>
      </c>
      <c r="C52" s="1">
        <v>2010</v>
      </c>
      <c r="D52" s="1" t="s">
        <v>594</v>
      </c>
      <c r="E52" t="s">
        <v>103</v>
      </c>
      <c r="F52" t="str">
        <f t="shared" si="0"/>
        <v>Burkina Faso:Male Condom</v>
      </c>
      <c r="G52" s="862">
        <v>2.6743677122470421E-3</v>
      </c>
      <c r="H52" s="862"/>
      <c r="I52" s="862">
        <v>5.0176825693373599E-4</v>
      </c>
      <c r="J52" s="862">
        <v>1.15420335192705E-2</v>
      </c>
      <c r="K52" s="862">
        <v>1.53210692512998E-2</v>
      </c>
      <c r="L52" s="862">
        <v>1.6998069116065201E-4</v>
      </c>
      <c r="M52" s="710">
        <f t="shared" si="1"/>
        <v>3.0209219430911732E-2</v>
      </c>
    </row>
    <row r="53" spans="1:13" x14ac:dyDescent="0.25">
      <c r="B53" s="1" t="s">
        <v>16</v>
      </c>
      <c r="C53" s="1">
        <v>2010</v>
      </c>
      <c r="D53" s="1" t="s">
        <v>594</v>
      </c>
      <c r="E53" t="s">
        <v>110</v>
      </c>
      <c r="F53" t="str">
        <f t="shared" si="0"/>
        <v>Burkina Faso:OC Pills</v>
      </c>
      <c r="G53" s="862">
        <v>2.280209787391952E-2</v>
      </c>
      <c r="H53" s="862"/>
      <c r="I53" s="862">
        <v>4.6260754902157801E-4</v>
      </c>
      <c r="J53" s="862">
        <v>2.36214788850253E-3</v>
      </c>
      <c r="K53" s="862">
        <v>1.4261962653576801E-3</v>
      </c>
      <c r="L53" s="862">
        <v>2.7188927908623501E-4</v>
      </c>
      <c r="M53" s="710">
        <f t="shared" si="1"/>
        <v>2.7324938855887545E-2</v>
      </c>
    </row>
    <row r="54" spans="1:13" x14ac:dyDescent="0.25">
      <c r="B54" s="860" t="s">
        <v>16</v>
      </c>
      <c r="C54" s="1">
        <v>2010</v>
      </c>
      <c r="D54" s="1" t="s">
        <v>594</v>
      </c>
      <c r="E54" t="s">
        <v>130</v>
      </c>
      <c r="F54" t="str">
        <f t="shared" si="0"/>
        <v>Burkina Faso:Other Modern Methods</v>
      </c>
      <c r="G54" s="862">
        <v>1.00592850783851E-4</v>
      </c>
      <c r="H54" s="862"/>
      <c r="I54" s="862"/>
      <c r="J54" s="862">
        <v>8.2835139816541404E-5</v>
      </c>
      <c r="K54" s="862"/>
      <c r="L54" s="862"/>
      <c r="M54" s="710">
        <f t="shared" si="1"/>
        <v>1.8342799060039241E-4</v>
      </c>
    </row>
    <row r="55" spans="1:13" x14ac:dyDescent="0.25">
      <c r="B55" s="861" t="s">
        <v>16</v>
      </c>
      <c r="C55" s="861">
        <v>2010</v>
      </c>
      <c r="D55" s="861" t="s">
        <v>594</v>
      </c>
      <c r="E55" s="861" t="s">
        <v>313</v>
      </c>
      <c r="F55" t="str">
        <f t="shared" si="0"/>
        <v>Burkina Faso:Total</v>
      </c>
      <c r="G55" s="863">
        <v>0.10440425053608868</v>
      </c>
      <c r="H55" s="863"/>
      <c r="I55" s="863">
        <v>1.6469862864699107E-3</v>
      </c>
      <c r="J55" s="863">
        <v>1.4492263238504091E-2</v>
      </c>
      <c r="K55" s="863">
        <v>1.7904450070739698E-2</v>
      </c>
      <c r="L55" s="863">
        <v>4.7089314645854061E-4</v>
      </c>
      <c r="M55" s="710">
        <f t="shared" si="1"/>
        <v>0.13891884327826093</v>
      </c>
    </row>
    <row r="56" spans="1:13" x14ac:dyDescent="0.25">
      <c r="B56" s="1" t="s">
        <v>17</v>
      </c>
      <c r="C56" s="1">
        <v>2016</v>
      </c>
      <c r="D56" s="1" t="s">
        <v>610</v>
      </c>
      <c r="E56" t="s">
        <v>108</v>
      </c>
      <c r="F56" t="str">
        <f t="shared" si="0"/>
        <v>Burundi:EC</v>
      </c>
      <c r="G56" s="862">
        <v>5.20666295482569E-4</v>
      </c>
      <c r="H56" s="862">
        <v>4.0117900270897302E-5</v>
      </c>
      <c r="I56" s="862"/>
      <c r="J56" s="862"/>
      <c r="K56" s="862"/>
      <c r="L56" s="862"/>
      <c r="M56" s="710">
        <f t="shared" si="1"/>
        <v>5.6078419575346632E-4</v>
      </c>
    </row>
    <row r="57" spans="1:13" x14ac:dyDescent="0.25">
      <c r="B57" s="1" t="s">
        <v>17</v>
      </c>
      <c r="C57" s="1">
        <v>2016</v>
      </c>
      <c r="D57" s="1" t="s">
        <v>610</v>
      </c>
      <c r="E57" t="s">
        <v>1020</v>
      </c>
      <c r="F57" t="str">
        <f t="shared" si="0"/>
        <v>Burundi:Female Condom</v>
      </c>
      <c r="G57" s="862">
        <v>8.6233079073073595E-5</v>
      </c>
      <c r="H57" s="862">
        <v>7.9481790444410399E-5</v>
      </c>
      <c r="I57" s="862"/>
      <c r="J57" s="862"/>
      <c r="K57" s="862"/>
      <c r="L57" s="862"/>
      <c r="M57" s="864">
        <f t="shared" si="1"/>
        <v>1.6571486951748399E-4</v>
      </c>
    </row>
    <row r="58" spans="1:13" x14ac:dyDescent="0.25">
      <c r="A58" s="119"/>
      <c r="B58" s="1" t="s">
        <v>17</v>
      </c>
      <c r="C58" s="1">
        <v>2016</v>
      </c>
      <c r="D58" s="1" t="s">
        <v>610</v>
      </c>
      <c r="E58" t="s">
        <v>128</v>
      </c>
      <c r="F58" t="str">
        <f t="shared" si="0"/>
        <v>Burundi:Female Sterilization</v>
      </c>
      <c r="G58" s="862">
        <v>2.6825711577107901E-3</v>
      </c>
      <c r="H58" s="862">
        <v>2.39919979053828E-4</v>
      </c>
      <c r="I58" s="862">
        <v>1.64274658694042E-4</v>
      </c>
      <c r="J58" s="862"/>
      <c r="K58" s="862"/>
      <c r="L58" s="862">
        <v>4.9065031222946299E-5</v>
      </c>
      <c r="M58" s="710">
        <f t="shared" si="1"/>
        <v>3.135830826681606E-3</v>
      </c>
    </row>
    <row r="59" spans="1:13" x14ac:dyDescent="0.25">
      <c r="B59" s="1" t="s">
        <v>17</v>
      </c>
      <c r="C59" s="1">
        <v>2016</v>
      </c>
      <c r="D59" s="1" t="s">
        <v>610</v>
      </c>
      <c r="E59" t="s">
        <v>3</v>
      </c>
      <c r="F59" t="str">
        <f t="shared" si="0"/>
        <v>Burundi:Implant</v>
      </c>
      <c r="G59" s="862">
        <v>3.3900543384849595E-2</v>
      </c>
      <c r="H59" s="862">
        <v>2.3559234559887799E-3</v>
      </c>
      <c r="I59" s="862">
        <v>1.46818841414192E-3</v>
      </c>
      <c r="J59" s="862"/>
      <c r="K59" s="862">
        <v>6.9142453766126002E-5</v>
      </c>
      <c r="L59" s="862">
        <v>4.6467196879282401E-4</v>
      </c>
      <c r="M59" s="710">
        <f t="shared" si="1"/>
        <v>3.8258469677539236E-2</v>
      </c>
    </row>
    <row r="60" spans="1:13" x14ac:dyDescent="0.25">
      <c r="B60" s="1" t="s">
        <v>17</v>
      </c>
      <c r="C60" s="1">
        <v>2016</v>
      </c>
      <c r="D60" s="1" t="s">
        <v>610</v>
      </c>
      <c r="E60" t="s">
        <v>2</v>
      </c>
      <c r="F60" t="str">
        <f t="shared" si="0"/>
        <v>Burundi:Injectable</v>
      </c>
      <c r="G60" s="862">
        <v>6.0297720639688225E-2</v>
      </c>
      <c r="H60" s="862">
        <v>6.5039119350528999E-3</v>
      </c>
      <c r="I60" s="862">
        <v>3.4413260001490398E-3</v>
      </c>
      <c r="J60" s="862">
        <v>1.0958307105359E-4</v>
      </c>
      <c r="K60" s="862"/>
      <c r="L60" s="862">
        <v>8.37807656091214E-4</v>
      </c>
      <c r="M60" s="710">
        <f t="shared" si="1"/>
        <v>7.119034930203498E-2</v>
      </c>
    </row>
    <row r="61" spans="1:13" x14ac:dyDescent="0.25">
      <c r="B61" s="1" t="s">
        <v>17</v>
      </c>
      <c r="C61" s="1">
        <v>2016</v>
      </c>
      <c r="D61" s="1" t="s">
        <v>610</v>
      </c>
      <c r="E61" t="s">
        <v>5</v>
      </c>
      <c r="F61" t="str">
        <f t="shared" si="0"/>
        <v>Burundi:IUD</v>
      </c>
      <c r="G61" s="862">
        <v>4.916609382354999E-3</v>
      </c>
      <c r="H61" s="862">
        <v>4.7398837417779102E-4</v>
      </c>
      <c r="I61" s="862">
        <v>3.9469252386261001E-4</v>
      </c>
      <c r="J61" s="862"/>
      <c r="K61" s="862"/>
      <c r="L61" s="862">
        <v>6.2413748958826707E-5</v>
      </c>
      <c r="M61" s="710">
        <f t="shared" si="1"/>
        <v>5.847704029354227E-3</v>
      </c>
    </row>
    <row r="62" spans="1:13" x14ac:dyDescent="0.25">
      <c r="B62" s="1" t="s">
        <v>17</v>
      </c>
      <c r="C62" s="1">
        <v>2016</v>
      </c>
      <c r="D62" s="1" t="s">
        <v>610</v>
      </c>
      <c r="E62" t="s">
        <v>103</v>
      </c>
      <c r="F62" t="str">
        <f t="shared" si="0"/>
        <v>Burundi:Male Condom</v>
      </c>
      <c r="G62" s="862">
        <v>4.2137006819940002E-3</v>
      </c>
      <c r="H62" s="862">
        <v>2.1928977405234E-4</v>
      </c>
      <c r="I62" s="862">
        <v>2.06272111974761E-4</v>
      </c>
      <c r="J62" s="862">
        <v>2.7365870837418199E-3</v>
      </c>
      <c r="K62" s="862">
        <v>3.3299626290851599E-3</v>
      </c>
      <c r="L62" s="862">
        <v>9.65988214501835E-4</v>
      </c>
      <c r="M62" s="710">
        <f t="shared" si="1"/>
        <v>1.1671800495349915E-2</v>
      </c>
    </row>
    <row r="63" spans="1:13" x14ac:dyDescent="0.25">
      <c r="B63" s="1" t="s">
        <v>17</v>
      </c>
      <c r="C63" s="1">
        <v>2016</v>
      </c>
      <c r="D63" s="1" t="s">
        <v>610</v>
      </c>
      <c r="E63" t="s">
        <v>129</v>
      </c>
      <c r="F63" t="str">
        <f t="shared" si="0"/>
        <v>Burundi:Male Sterilization</v>
      </c>
      <c r="G63" s="862">
        <v>7.5166919743893201E-4</v>
      </c>
      <c r="H63" s="862"/>
      <c r="I63" s="862"/>
      <c r="J63" s="862"/>
      <c r="K63" s="862"/>
      <c r="L63" s="862"/>
      <c r="M63" s="710">
        <f t="shared" si="1"/>
        <v>7.5166919743893201E-4</v>
      </c>
    </row>
    <row r="64" spans="1:13" x14ac:dyDescent="0.25">
      <c r="B64" s="1" t="s">
        <v>17</v>
      </c>
      <c r="C64" s="1">
        <v>2016</v>
      </c>
      <c r="D64" s="1" t="s">
        <v>610</v>
      </c>
      <c r="E64" t="s">
        <v>110</v>
      </c>
      <c r="F64" t="str">
        <f t="shared" si="0"/>
        <v>Burundi:OC Pills</v>
      </c>
      <c r="G64" s="862">
        <v>9.0290116654874446E-3</v>
      </c>
      <c r="H64" s="862">
        <v>4.5525619459385602E-4</v>
      </c>
      <c r="I64" s="862">
        <v>6.0267058295886296E-4</v>
      </c>
      <c r="J64" s="862">
        <v>1.5883444775640601E-4</v>
      </c>
      <c r="K64" s="862"/>
      <c r="L64" s="862">
        <v>2.4169697835176401E-4</v>
      </c>
      <c r="M64" s="710">
        <f t="shared" si="1"/>
        <v>1.0487469869148334E-2</v>
      </c>
    </row>
    <row r="65" spans="1:13" x14ac:dyDescent="0.25">
      <c r="B65" s="860" t="s">
        <v>17</v>
      </c>
      <c r="C65" s="1">
        <v>2016</v>
      </c>
      <c r="D65" s="1" t="s">
        <v>610</v>
      </c>
      <c r="E65" t="s">
        <v>130</v>
      </c>
      <c r="F65" t="str">
        <f t="shared" si="0"/>
        <v>Burundi:Other Modern Methods</v>
      </c>
      <c r="G65" s="862">
        <v>6.2700777746915498E-4</v>
      </c>
      <c r="H65" s="862">
        <v>1.8407818001914099E-4</v>
      </c>
      <c r="I65" s="862">
        <v>1.17596042502452E-4</v>
      </c>
      <c r="J65" s="862"/>
      <c r="K65" s="862">
        <v>9.08520380328945E-4</v>
      </c>
      <c r="L65" s="862">
        <v>7.9665101585204396E-4</v>
      </c>
      <c r="M65" s="710">
        <f t="shared" si="1"/>
        <v>2.6338533961717367E-3</v>
      </c>
    </row>
    <row r="66" spans="1:13" x14ac:dyDescent="0.25">
      <c r="A66" s="119"/>
      <c r="B66" s="861" t="s">
        <v>17</v>
      </c>
      <c r="C66" s="861">
        <v>2016</v>
      </c>
      <c r="D66" s="861" t="s">
        <v>610</v>
      </c>
      <c r="E66" s="861" t="s">
        <v>313</v>
      </c>
      <c r="F66" t="str">
        <f t="shared" si="0"/>
        <v>Burundi:Total</v>
      </c>
      <c r="G66" s="863">
        <v>0.11702573326154879</v>
      </c>
      <c r="H66" s="863">
        <v>1.0551967583653944E-2</v>
      </c>
      <c r="I66" s="863">
        <v>6.3950203342836879E-3</v>
      </c>
      <c r="J66" s="863">
        <v>3.0050046025518161E-3</v>
      </c>
      <c r="K66" s="863">
        <v>4.307625463180231E-3</v>
      </c>
      <c r="L66" s="863">
        <v>3.4182946137714539E-3</v>
      </c>
      <c r="M66" s="710">
        <f t="shared" si="1"/>
        <v>0.14470364585898993</v>
      </c>
    </row>
    <row r="67" spans="1:13" x14ac:dyDescent="0.25">
      <c r="B67" s="1" t="s">
        <v>18</v>
      </c>
      <c r="C67" s="1">
        <v>2014</v>
      </c>
      <c r="D67" s="1" t="s">
        <v>596</v>
      </c>
      <c r="E67" t="s">
        <v>1020</v>
      </c>
      <c r="F67" t="str">
        <f t="shared" si="0"/>
        <v>Cambodia:Female Condom</v>
      </c>
      <c r="G67" s="862"/>
      <c r="H67" s="862"/>
      <c r="I67" s="862">
        <v>1.4844464632057699E-5</v>
      </c>
      <c r="J67" s="862"/>
      <c r="K67" s="862"/>
      <c r="L67" s="862"/>
      <c r="M67" s="710">
        <f t="shared" si="1"/>
        <v>1.4844464632057699E-5</v>
      </c>
    </row>
    <row r="68" spans="1:13" x14ac:dyDescent="0.25">
      <c r="B68" s="1" t="s">
        <v>18</v>
      </c>
      <c r="C68" s="1">
        <v>2014</v>
      </c>
      <c r="D68" s="1" t="s">
        <v>596</v>
      </c>
      <c r="E68" t="s">
        <v>128</v>
      </c>
      <c r="F68" t="str">
        <f t="shared" ref="F68:F131" si="2">B68&amp;":"&amp;E68</f>
        <v>Cambodia:Female Sterilization</v>
      </c>
      <c r="G68" s="862">
        <v>1.66408004447538E-2</v>
      </c>
      <c r="H68" s="862"/>
      <c r="I68" s="862">
        <v>4.9117423921463304E-3</v>
      </c>
      <c r="J68" s="862"/>
      <c r="K68" s="862"/>
      <c r="L68" s="862">
        <v>3.3893963955340998E-4</v>
      </c>
      <c r="M68" s="864">
        <f t="shared" ref="M68:M131" si="3">SUM(G68:L68)</f>
        <v>2.189148247645354E-2</v>
      </c>
    </row>
    <row r="69" spans="1:13" x14ac:dyDescent="0.25">
      <c r="B69" s="1" t="s">
        <v>18</v>
      </c>
      <c r="C69" s="1">
        <v>2014</v>
      </c>
      <c r="D69" s="1" t="s">
        <v>596</v>
      </c>
      <c r="E69" t="s">
        <v>3</v>
      </c>
      <c r="F69" t="str">
        <f t="shared" si="2"/>
        <v>Cambodia:Implant</v>
      </c>
      <c r="G69" s="862">
        <v>7.0826137027601103E-3</v>
      </c>
      <c r="H69" s="862"/>
      <c r="I69" s="862">
        <v>7.0140392348583503E-3</v>
      </c>
      <c r="J69" s="862"/>
      <c r="K69" s="862">
        <v>2.24015302620963E-4</v>
      </c>
      <c r="L69" s="862">
        <v>9.6068665120307899E-5</v>
      </c>
      <c r="M69" s="710">
        <f t="shared" si="3"/>
        <v>1.4416736905359729E-2</v>
      </c>
    </row>
    <row r="70" spans="1:13" x14ac:dyDescent="0.25">
      <c r="B70" s="1" t="s">
        <v>18</v>
      </c>
      <c r="C70" s="1">
        <v>2014</v>
      </c>
      <c r="D70" s="1" t="s">
        <v>596</v>
      </c>
      <c r="E70" t="s">
        <v>2</v>
      </c>
      <c r="F70" t="str">
        <f t="shared" si="2"/>
        <v>Cambodia:Injectable</v>
      </c>
      <c r="G70" s="862">
        <v>4.0404616970132201E-2</v>
      </c>
      <c r="H70" s="862"/>
      <c r="I70" s="862">
        <v>2.02058585760795E-2</v>
      </c>
      <c r="J70" s="862"/>
      <c r="K70" s="862">
        <v>1.4874938519790499E-3</v>
      </c>
      <c r="L70" s="862">
        <v>3.6370974985240898E-5</v>
      </c>
      <c r="M70" s="710">
        <f t="shared" si="3"/>
        <v>6.2134340373175986E-2</v>
      </c>
    </row>
    <row r="71" spans="1:13" x14ac:dyDescent="0.25">
      <c r="B71" s="1" t="s">
        <v>18</v>
      </c>
      <c r="C71" s="1">
        <v>2014</v>
      </c>
      <c r="D71" s="1" t="s">
        <v>596</v>
      </c>
      <c r="E71" t="s">
        <v>5</v>
      </c>
      <c r="F71" t="str">
        <f t="shared" si="2"/>
        <v>Cambodia:IUD</v>
      </c>
      <c r="G71" s="862">
        <v>1.5964224499356101E-2</v>
      </c>
      <c r="H71" s="862"/>
      <c r="I71" s="862">
        <v>1.04581747359464E-2</v>
      </c>
      <c r="J71" s="862"/>
      <c r="K71" s="862">
        <v>1.8497058774072001E-4</v>
      </c>
      <c r="L71" s="862">
        <v>5.22867218991082E-5</v>
      </c>
      <c r="M71" s="710">
        <f t="shared" si="3"/>
        <v>2.6659656544942328E-2</v>
      </c>
    </row>
    <row r="72" spans="1:13" x14ac:dyDescent="0.25">
      <c r="B72" s="1" t="s">
        <v>18</v>
      </c>
      <c r="C72" s="1">
        <v>2014</v>
      </c>
      <c r="D72" s="1" t="s">
        <v>596</v>
      </c>
      <c r="E72" t="s">
        <v>103</v>
      </c>
      <c r="F72" t="str">
        <f t="shared" si="2"/>
        <v>Cambodia:Male Condom</v>
      </c>
      <c r="G72" s="862">
        <v>2.61935128438335E-3</v>
      </c>
      <c r="H72" s="862"/>
      <c r="I72" s="862">
        <v>9.7976654078683403E-3</v>
      </c>
      <c r="J72" s="862"/>
      <c r="K72" s="862">
        <v>2.6887571324171401E-3</v>
      </c>
      <c r="L72" s="862"/>
      <c r="M72" s="710">
        <f t="shared" si="3"/>
        <v>1.5105773824668829E-2</v>
      </c>
    </row>
    <row r="73" spans="1:13" x14ac:dyDescent="0.25">
      <c r="B73" s="1" t="s">
        <v>18</v>
      </c>
      <c r="C73" s="1">
        <v>2014</v>
      </c>
      <c r="D73" s="1" t="s">
        <v>596</v>
      </c>
      <c r="E73" t="s">
        <v>129</v>
      </c>
      <c r="F73" t="str">
        <f t="shared" si="2"/>
        <v>Cambodia:Male Sterilization</v>
      </c>
      <c r="G73" s="862">
        <v>4.9715758201351705E-4</v>
      </c>
      <c r="H73" s="862"/>
      <c r="I73" s="862">
        <v>8.9090055513298903E-5</v>
      </c>
      <c r="J73" s="862"/>
      <c r="K73" s="862"/>
      <c r="L73" s="862"/>
      <c r="M73" s="710">
        <f t="shared" si="3"/>
        <v>5.8624763752681598E-4</v>
      </c>
    </row>
    <row r="74" spans="1:13" x14ac:dyDescent="0.25">
      <c r="A74" s="119"/>
      <c r="B74" s="1" t="s">
        <v>18</v>
      </c>
      <c r="C74" s="1">
        <v>2014</v>
      </c>
      <c r="D74" s="1" t="s">
        <v>596</v>
      </c>
      <c r="E74" t="s">
        <v>110</v>
      </c>
      <c r="F74" t="str">
        <f t="shared" si="2"/>
        <v>Cambodia:OC Pills</v>
      </c>
      <c r="G74" s="862">
        <v>4.2065890432523741E-2</v>
      </c>
      <c r="H74" s="862"/>
      <c r="I74" s="862">
        <v>5.1047781749957562E-2</v>
      </c>
      <c r="J74" s="862"/>
      <c r="K74" s="862">
        <v>2.7345255701147642E-2</v>
      </c>
      <c r="L74" s="862"/>
      <c r="M74" s="710">
        <f t="shared" si="3"/>
        <v>0.12045892788362894</v>
      </c>
    </row>
    <row r="75" spans="1:13" x14ac:dyDescent="0.25">
      <c r="B75" s="860" t="s">
        <v>18</v>
      </c>
      <c r="C75" s="1">
        <v>2014</v>
      </c>
      <c r="D75" s="1" t="s">
        <v>596</v>
      </c>
      <c r="E75" t="s">
        <v>130</v>
      </c>
      <c r="F75" t="str">
        <f t="shared" si="2"/>
        <v>Cambodia:Other Modern Methods</v>
      </c>
      <c r="G75" s="862">
        <v>2.9794538548165699E-4</v>
      </c>
      <c r="H75" s="862"/>
      <c r="I75" s="862">
        <v>5.4398509355061401E-5</v>
      </c>
      <c r="J75" s="862"/>
      <c r="K75" s="862">
        <v>5.9404255160314002E-5</v>
      </c>
      <c r="L75" s="862"/>
      <c r="M75" s="710">
        <f t="shared" si="3"/>
        <v>4.1174814999703235E-4</v>
      </c>
    </row>
    <row r="76" spans="1:13" x14ac:dyDescent="0.25">
      <c r="B76" s="861" t="s">
        <v>18</v>
      </c>
      <c r="C76" s="861">
        <v>2014</v>
      </c>
      <c r="D76" s="861" t="s">
        <v>596</v>
      </c>
      <c r="E76" s="861" t="s">
        <v>313</v>
      </c>
      <c r="F76" t="str">
        <f t="shared" si="2"/>
        <v>Cambodia:Total</v>
      </c>
      <c r="G76" s="863">
        <v>0.12557260030140446</v>
      </c>
      <c r="H76" s="863"/>
      <c r="I76" s="863">
        <v>0.10359359512635688</v>
      </c>
      <c r="J76" s="863"/>
      <c r="K76" s="863">
        <v>3.1989896831065831E-2</v>
      </c>
      <c r="L76" s="863">
        <v>5.2366600155806693E-4</v>
      </c>
      <c r="M76" s="710">
        <f t="shared" si="3"/>
        <v>0.26167975826038525</v>
      </c>
    </row>
    <row r="77" spans="1:13" x14ac:dyDescent="0.25">
      <c r="B77" s="1" t="s">
        <v>19</v>
      </c>
      <c r="C77" s="1">
        <v>2011</v>
      </c>
      <c r="D77" s="1" t="s">
        <v>601</v>
      </c>
      <c r="E77" t="s">
        <v>1020</v>
      </c>
      <c r="F77" t="str">
        <f t="shared" si="2"/>
        <v>Cameroon:Female Condom</v>
      </c>
      <c r="G77" s="862"/>
      <c r="H77" s="862"/>
      <c r="I77" s="862">
        <v>5.5632834702605603E-4</v>
      </c>
      <c r="J77" s="862"/>
      <c r="K77" s="862">
        <v>7.1615831093991395E-4</v>
      </c>
      <c r="L77" s="862">
        <v>8.1669519766870894E-5</v>
      </c>
      <c r="M77" s="710">
        <f t="shared" si="3"/>
        <v>1.3541561777328411E-3</v>
      </c>
    </row>
    <row r="78" spans="1:13" x14ac:dyDescent="0.25">
      <c r="B78" s="1" t="s">
        <v>19</v>
      </c>
      <c r="C78" s="1">
        <v>2011</v>
      </c>
      <c r="D78" s="1" t="s">
        <v>601</v>
      </c>
      <c r="E78" t="s">
        <v>128</v>
      </c>
      <c r="F78" t="str">
        <f t="shared" si="2"/>
        <v>Cameroon:Female Sterilization</v>
      </c>
      <c r="G78" s="862">
        <v>2.1871023803524499E-3</v>
      </c>
      <c r="H78" s="862"/>
      <c r="I78" s="862">
        <v>1.0941644081257601E-3</v>
      </c>
      <c r="J78" s="862">
        <v>3.1360100128262298E-4</v>
      </c>
      <c r="K78" s="862"/>
      <c r="L78" s="862"/>
      <c r="M78" s="864">
        <f t="shared" si="3"/>
        <v>3.594867789760833E-3</v>
      </c>
    </row>
    <row r="79" spans="1:13" x14ac:dyDescent="0.25">
      <c r="B79" s="1" t="s">
        <v>19</v>
      </c>
      <c r="C79" s="1">
        <v>2011</v>
      </c>
      <c r="D79" s="1" t="s">
        <v>601</v>
      </c>
      <c r="E79" t="s">
        <v>3</v>
      </c>
      <c r="F79" t="str">
        <f t="shared" si="2"/>
        <v>Cameroon:Implant</v>
      </c>
      <c r="G79" s="862">
        <v>3.3663366064751198E-3</v>
      </c>
      <c r="H79" s="862"/>
      <c r="I79" s="862">
        <v>7.8869843868468602E-4</v>
      </c>
      <c r="J79" s="862">
        <v>2.8305717887503899E-4</v>
      </c>
      <c r="K79" s="862">
        <v>2.10569819184701E-5</v>
      </c>
      <c r="L79" s="862"/>
      <c r="M79" s="710">
        <f t="shared" si="3"/>
        <v>4.4591492059533151E-3</v>
      </c>
    </row>
    <row r="80" spans="1:13" x14ac:dyDescent="0.25">
      <c r="B80" s="1" t="s">
        <v>19</v>
      </c>
      <c r="C80" s="1">
        <v>2011</v>
      </c>
      <c r="D80" s="1" t="s">
        <v>601</v>
      </c>
      <c r="E80" t="s">
        <v>2</v>
      </c>
      <c r="F80" t="str">
        <f t="shared" si="2"/>
        <v>Cameroon:Injectable</v>
      </c>
      <c r="G80" s="862">
        <v>1.4249942569719431E-2</v>
      </c>
      <c r="H80" s="862"/>
      <c r="I80" s="862">
        <v>6.1013904376249796E-3</v>
      </c>
      <c r="J80" s="862">
        <v>1.4282628814032399E-3</v>
      </c>
      <c r="K80" s="862">
        <v>9.8767860392850191E-4</v>
      </c>
      <c r="L80" s="862">
        <v>3.37403024067214E-4</v>
      </c>
      <c r="M80" s="710">
        <f t="shared" si="3"/>
        <v>2.3104677516743367E-2</v>
      </c>
    </row>
    <row r="81" spans="1:13" x14ac:dyDescent="0.25">
      <c r="B81" s="1" t="s">
        <v>19</v>
      </c>
      <c r="C81" s="1">
        <v>2011</v>
      </c>
      <c r="D81" s="1" t="s">
        <v>601</v>
      </c>
      <c r="E81" t="s">
        <v>5</v>
      </c>
      <c r="F81" t="str">
        <f t="shared" si="2"/>
        <v>Cameroon:IUD</v>
      </c>
      <c r="G81" s="862">
        <v>6.2893926434753921E-4</v>
      </c>
      <c r="H81" s="862"/>
      <c r="I81" s="862">
        <v>2.29924480329896E-4</v>
      </c>
      <c r="J81" s="862">
        <v>1.8929832929064899E-4</v>
      </c>
      <c r="K81" s="862"/>
      <c r="L81" s="862"/>
      <c r="M81" s="710">
        <f t="shared" si="3"/>
        <v>1.0481620739680843E-3</v>
      </c>
    </row>
    <row r="82" spans="1:13" x14ac:dyDescent="0.25">
      <c r="A82" s="119"/>
      <c r="B82" s="1" t="s">
        <v>19</v>
      </c>
      <c r="C82" s="1">
        <v>2011</v>
      </c>
      <c r="D82" s="1" t="s">
        <v>601</v>
      </c>
      <c r="E82" t="s">
        <v>103</v>
      </c>
      <c r="F82" t="str">
        <f t="shared" si="2"/>
        <v>Cameroon:Male Condom</v>
      </c>
      <c r="G82" s="862">
        <v>4.9426283366798699E-3</v>
      </c>
      <c r="H82" s="862"/>
      <c r="I82" s="862">
        <v>2.5654160167607101E-2</v>
      </c>
      <c r="J82" s="862">
        <v>1.6325029326037501E-4</v>
      </c>
      <c r="K82" s="862">
        <v>7.4677070394324696E-2</v>
      </c>
      <c r="L82" s="862">
        <v>1.86130495732857E-3</v>
      </c>
      <c r="M82" s="710">
        <f t="shared" si="3"/>
        <v>0.10729841414920062</v>
      </c>
    </row>
    <row r="83" spans="1:13" x14ac:dyDescent="0.25">
      <c r="B83" s="1" t="s">
        <v>19</v>
      </c>
      <c r="C83" s="1">
        <v>2011</v>
      </c>
      <c r="D83" s="1" t="s">
        <v>601</v>
      </c>
      <c r="E83" t="s">
        <v>129</v>
      </c>
      <c r="F83" t="str">
        <f t="shared" si="2"/>
        <v>Cameroon:Male Sterilization</v>
      </c>
      <c r="G83" s="862">
        <v>2.0562038312074302E-5</v>
      </c>
      <c r="H83" s="862"/>
      <c r="I83" s="862"/>
      <c r="J83" s="862"/>
      <c r="K83" s="862"/>
      <c r="L83" s="862"/>
      <c r="M83" s="710">
        <f t="shared" si="3"/>
        <v>2.0562038312074302E-5</v>
      </c>
    </row>
    <row r="84" spans="1:13" x14ac:dyDescent="0.25">
      <c r="B84" s="1" t="s">
        <v>19</v>
      </c>
      <c r="C84" s="1">
        <v>2011</v>
      </c>
      <c r="D84" s="1" t="s">
        <v>601</v>
      </c>
      <c r="E84" t="s">
        <v>110</v>
      </c>
      <c r="F84" t="str">
        <f t="shared" si="2"/>
        <v>Cameroon:OC Pills</v>
      </c>
      <c r="G84" s="862">
        <v>6.4924864480683971E-3</v>
      </c>
      <c r="H84" s="862"/>
      <c r="I84" s="862">
        <v>5.4814691948849E-3</v>
      </c>
      <c r="J84" s="862">
        <v>5.6528465464355995E-4</v>
      </c>
      <c r="K84" s="862">
        <v>3.09400942899814E-3</v>
      </c>
      <c r="L84" s="862">
        <v>7.4115325477819099E-5</v>
      </c>
      <c r="M84" s="710">
        <f t="shared" si="3"/>
        <v>1.5707365052072816E-2</v>
      </c>
    </row>
    <row r="85" spans="1:13" x14ac:dyDescent="0.25">
      <c r="B85" s="860" t="s">
        <v>19</v>
      </c>
      <c r="C85" s="1">
        <v>2011</v>
      </c>
      <c r="D85" s="1" t="s">
        <v>601</v>
      </c>
      <c r="E85" t="s">
        <v>130</v>
      </c>
      <c r="F85" t="str">
        <f t="shared" si="2"/>
        <v>Cameroon:Other Modern Methods</v>
      </c>
      <c r="G85" s="862">
        <v>7.0514003001104895E-5</v>
      </c>
      <c r="H85" s="862"/>
      <c r="I85" s="862"/>
      <c r="J85" s="862"/>
      <c r="K85" s="862">
        <v>7.8806561098519295E-5</v>
      </c>
      <c r="L85" s="862"/>
      <c r="M85" s="710">
        <f t="shared" si="3"/>
        <v>1.493205640996242E-4</v>
      </c>
    </row>
    <row r="86" spans="1:13" x14ac:dyDescent="0.25">
      <c r="B86" s="861" t="s">
        <v>19</v>
      </c>
      <c r="C86" s="861">
        <v>2011</v>
      </c>
      <c r="D86" s="861" t="s">
        <v>601</v>
      </c>
      <c r="E86" s="861" t="s">
        <v>313</v>
      </c>
      <c r="F86" t="str">
        <f t="shared" si="2"/>
        <v>Cameroon:Total</v>
      </c>
      <c r="G86" s="863">
        <v>3.1958511646955991E-2</v>
      </c>
      <c r="H86" s="863"/>
      <c r="I86" s="863">
        <v>3.9906135474283379E-2</v>
      </c>
      <c r="J86" s="863">
        <v>2.9427543387554856E-3</v>
      </c>
      <c r="K86" s="863">
        <v>7.9574780281208235E-2</v>
      </c>
      <c r="L86" s="863">
        <v>2.3544928266404741E-3</v>
      </c>
      <c r="M86" s="710">
        <f t="shared" si="3"/>
        <v>0.15673667456784357</v>
      </c>
    </row>
    <row r="87" spans="1:13" x14ac:dyDescent="0.25">
      <c r="B87" s="1" t="s">
        <v>2012</v>
      </c>
      <c r="C87" s="1">
        <v>1994</v>
      </c>
      <c r="D87" s="1" t="s">
        <v>1202</v>
      </c>
      <c r="E87" t="s">
        <v>128</v>
      </c>
      <c r="F87" t="str">
        <f t="shared" si="2"/>
        <v>Central African Rep.:Female Sterilization</v>
      </c>
      <c r="G87" s="862">
        <v>2.7310394507000799E-3</v>
      </c>
      <c r="H87" s="862"/>
      <c r="I87" s="862">
        <v>1.06554273284656E-3</v>
      </c>
      <c r="J87" s="862"/>
      <c r="K87" s="862"/>
      <c r="L87" s="862"/>
      <c r="M87" s="710">
        <f t="shared" si="3"/>
        <v>3.7965821835466399E-3</v>
      </c>
    </row>
    <row r="88" spans="1:13" x14ac:dyDescent="0.25">
      <c r="B88" s="1" t="s">
        <v>2012</v>
      </c>
      <c r="C88" s="1">
        <v>1994</v>
      </c>
      <c r="D88" s="1" t="s">
        <v>1202</v>
      </c>
      <c r="E88" t="s">
        <v>2</v>
      </c>
      <c r="F88" t="str">
        <f t="shared" si="2"/>
        <v>Central African Rep.:Injectable</v>
      </c>
      <c r="G88" s="862">
        <v>3.8996443933638921E-3</v>
      </c>
      <c r="H88" s="862"/>
      <c r="I88" s="862">
        <v>7.1348815341104805E-4</v>
      </c>
      <c r="J88" s="862">
        <v>1.7837203835276201E-4</v>
      </c>
      <c r="K88" s="862"/>
      <c r="L88" s="862">
        <v>1.7837203835276201E-4</v>
      </c>
      <c r="M88" s="864">
        <f t="shared" si="3"/>
        <v>4.969876623480465E-3</v>
      </c>
    </row>
    <row r="89" spans="1:13" x14ac:dyDescent="0.25">
      <c r="B89" s="1" t="s">
        <v>2012</v>
      </c>
      <c r="C89" s="1">
        <v>1994</v>
      </c>
      <c r="D89" s="1" t="s">
        <v>1202</v>
      </c>
      <c r="E89" t="s">
        <v>5</v>
      </c>
      <c r="F89" t="str">
        <f t="shared" si="2"/>
        <v>Central African Rep.:IUD</v>
      </c>
      <c r="G89" s="862">
        <v>1.7837203835276201E-4</v>
      </c>
      <c r="H89" s="862"/>
      <c r="I89" s="862"/>
      <c r="J89" s="862">
        <v>1.7837203835276201E-4</v>
      </c>
      <c r="K89" s="862"/>
      <c r="L89" s="862"/>
      <c r="M89" s="710">
        <f t="shared" si="3"/>
        <v>3.5674407670552402E-4</v>
      </c>
    </row>
    <row r="90" spans="1:13" x14ac:dyDescent="0.25">
      <c r="A90" s="119"/>
      <c r="B90" s="1" t="s">
        <v>2012</v>
      </c>
      <c r="C90" s="1">
        <v>1994</v>
      </c>
      <c r="D90" s="1" t="s">
        <v>1202</v>
      </c>
      <c r="E90" t="s">
        <v>103</v>
      </c>
      <c r="F90" t="str">
        <f t="shared" si="2"/>
        <v>Central African Rep.:Male Condom</v>
      </c>
      <c r="G90" s="862">
        <v>3.5662573883182072E-3</v>
      </c>
      <c r="H90" s="862"/>
      <c r="I90" s="862">
        <v>3.96994249483111E-4</v>
      </c>
      <c r="J90" s="862">
        <v>4.2678883009241797E-3</v>
      </c>
      <c r="K90" s="862">
        <v>4.0525652062728497E-3</v>
      </c>
      <c r="L90" s="862">
        <v>6.9157380788918796E-4</v>
      </c>
      <c r="M90" s="710">
        <f t="shared" si="3"/>
        <v>1.2975278952887538E-2</v>
      </c>
    </row>
    <row r="91" spans="1:13" x14ac:dyDescent="0.25">
      <c r="B91" s="1" t="s">
        <v>2012</v>
      </c>
      <c r="C91" s="1">
        <v>1994</v>
      </c>
      <c r="D91" s="1" t="s">
        <v>1202</v>
      </c>
      <c r="E91" t="s">
        <v>110</v>
      </c>
      <c r="F91" t="str">
        <f t="shared" si="2"/>
        <v>Central African Rep.:OC Pills</v>
      </c>
      <c r="G91" s="862">
        <v>6.7287045851385065E-3</v>
      </c>
      <c r="H91" s="862"/>
      <c r="I91" s="862">
        <v>3.3583477884088402E-3</v>
      </c>
      <c r="J91" s="862">
        <v>4.8798830753554902E-4</v>
      </c>
      <c r="K91" s="862">
        <v>5.3511611505828601E-4</v>
      </c>
      <c r="L91" s="862"/>
      <c r="M91" s="710">
        <f t="shared" si="3"/>
        <v>1.1110156796141182E-2</v>
      </c>
    </row>
    <row r="92" spans="1:13" x14ac:dyDescent="0.25">
      <c r="B92" s="860" t="s">
        <v>2012</v>
      </c>
      <c r="C92" s="1">
        <v>1994</v>
      </c>
      <c r="D92" s="1" t="s">
        <v>1202</v>
      </c>
      <c r="E92" t="s">
        <v>130</v>
      </c>
      <c r="F92" t="str">
        <f t="shared" si="2"/>
        <v>Central African Rep.:Other Modern Methods</v>
      </c>
      <c r="G92" s="862"/>
      <c r="H92" s="862"/>
      <c r="I92" s="862">
        <v>3.5674407670552402E-4</v>
      </c>
      <c r="J92" s="862"/>
      <c r="K92" s="862"/>
      <c r="L92" s="862"/>
      <c r="M92" s="710">
        <f t="shared" si="3"/>
        <v>3.5674407670552402E-4</v>
      </c>
    </row>
    <row r="93" spans="1:13" x14ac:dyDescent="0.25">
      <c r="B93" s="861" t="s">
        <v>2012</v>
      </c>
      <c r="C93" s="861">
        <v>1994</v>
      </c>
      <c r="D93" s="861" t="s">
        <v>1202</v>
      </c>
      <c r="E93" s="861" t="s">
        <v>313</v>
      </c>
      <c r="F93" t="str">
        <f t="shared" si="2"/>
        <v>Central African Rep.:Total</v>
      </c>
      <c r="G93" s="863">
        <v>1.7104017855873448E-2</v>
      </c>
      <c r="H93" s="863"/>
      <c r="I93" s="863">
        <v>5.8911170008550829E-3</v>
      </c>
      <c r="J93" s="863">
        <v>5.1126206851652527E-3</v>
      </c>
      <c r="K93" s="863">
        <v>4.5876813213311359E-3</v>
      </c>
      <c r="L93" s="863">
        <v>8.6994584624195E-4</v>
      </c>
      <c r="M93" s="710">
        <f t="shared" si="3"/>
        <v>3.3565382709466865E-2</v>
      </c>
    </row>
    <row r="94" spans="1:13" x14ac:dyDescent="0.25">
      <c r="B94" s="1" t="s">
        <v>20</v>
      </c>
      <c r="C94" s="1">
        <v>2014</v>
      </c>
      <c r="D94" s="1" t="s">
        <v>596</v>
      </c>
      <c r="E94" t="s">
        <v>128</v>
      </c>
      <c r="F94" t="str">
        <f t="shared" si="2"/>
        <v>Chad:Female Sterilization</v>
      </c>
      <c r="G94" s="862">
        <v>1.92404955339223E-3</v>
      </c>
      <c r="H94" s="862"/>
      <c r="I94" s="862">
        <v>6.9139511333238395E-5</v>
      </c>
      <c r="J94" s="862"/>
      <c r="K94" s="862"/>
      <c r="L94" s="862"/>
      <c r="M94" s="710">
        <f t="shared" si="3"/>
        <v>1.9931890647254683E-3</v>
      </c>
    </row>
    <row r="95" spans="1:13" x14ac:dyDescent="0.25">
      <c r="B95" s="1" t="s">
        <v>20</v>
      </c>
      <c r="C95" s="1">
        <v>2014</v>
      </c>
      <c r="D95" s="1" t="s">
        <v>596</v>
      </c>
      <c r="E95" t="s">
        <v>3</v>
      </c>
      <c r="F95" t="str">
        <f t="shared" si="2"/>
        <v>Chad:Implant</v>
      </c>
      <c r="G95" s="862">
        <v>8.0647994329945908E-3</v>
      </c>
      <c r="H95" s="862"/>
      <c r="I95" s="862">
        <v>5.2717879169345905E-4</v>
      </c>
      <c r="J95" s="862">
        <v>2.7321790198042402E-4</v>
      </c>
      <c r="K95" s="862"/>
      <c r="L95" s="862"/>
      <c r="M95" s="864">
        <f t="shared" si="3"/>
        <v>8.8651961266684731E-3</v>
      </c>
    </row>
    <row r="96" spans="1:13" x14ac:dyDescent="0.25">
      <c r="B96" s="1" t="s">
        <v>20</v>
      </c>
      <c r="C96" s="1">
        <v>2014</v>
      </c>
      <c r="D96" s="1" t="s">
        <v>596</v>
      </c>
      <c r="E96" t="s">
        <v>2</v>
      </c>
      <c r="F96" t="str">
        <f t="shared" si="2"/>
        <v>Chad:Injectable</v>
      </c>
      <c r="G96" s="862">
        <v>1.45825162411574E-2</v>
      </c>
      <c r="H96" s="862"/>
      <c r="I96" s="862">
        <v>2.5233146367144299E-3</v>
      </c>
      <c r="J96" s="862">
        <v>3.4149669882546597E-5</v>
      </c>
      <c r="K96" s="862">
        <v>7.6999097097069994E-5</v>
      </c>
      <c r="L96" s="862">
        <v>7.33797054796667E-5</v>
      </c>
      <c r="M96" s="710">
        <f t="shared" si="3"/>
        <v>1.7290359350331113E-2</v>
      </c>
    </row>
    <row r="97" spans="1:13" x14ac:dyDescent="0.25">
      <c r="B97" s="1" t="s">
        <v>20</v>
      </c>
      <c r="C97" s="1">
        <v>2014</v>
      </c>
      <c r="D97" s="1" t="s">
        <v>596</v>
      </c>
      <c r="E97" t="s">
        <v>5</v>
      </c>
      <c r="F97" t="str">
        <f t="shared" si="2"/>
        <v>Chad:IUD</v>
      </c>
      <c r="G97" s="862">
        <v>3.1632620384955097E-4</v>
      </c>
      <c r="H97" s="862"/>
      <c r="I97" s="862">
        <v>8.0858965039580092E-6</v>
      </c>
      <c r="J97" s="862"/>
      <c r="K97" s="862"/>
      <c r="L97" s="862"/>
      <c r="M97" s="710">
        <f t="shared" si="3"/>
        <v>3.2441210035350897E-4</v>
      </c>
    </row>
    <row r="98" spans="1:13" x14ac:dyDescent="0.25">
      <c r="A98" s="119"/>
      <c r="B98" s="1" t="s">
        <v>20</v>
      </c>
      <c r="C98" s="1">
        <v>2014</v>
      </c>
      <c r="D98" s="1" t="s">
        <v>596</v>
      </c>
      <c r="E98" t="s">
        <v>103</v>
      </c>
      <c r="F98" t="str">
        <f t="shared" si="2"/>
        <v>Chad:Male Condom</v>
      </c>
      <c r="G98" s="862">
        <v>5.0076872337686098E-4</v>
      </c>
      <c r="H98" s="862"/>
      <c r="I98" s="862">
        <v>9.4826530944280396E-4</v>
      </c>
      <c r="J98" s="862">
        <v>3.2403256426190102E-4</v>
      </c>
      <c r="K98" s="862">
        <v>4.1026938358796304E-3</v>
      </c>
      <c r="L98" s="862">
        <v>1.6243174011435201E-4</v>
      </c>
      <c r="M98" s="710">
        <f t="shared" si="3"/>
        <v>6.0381921730755482E-3</v>
      </c>
    </row>
    <row r="99" spans="1:13" x14ac:dyDescent="0.25">
      <c r="B99" s="860" t="s">
        <v>20</v>
      </c>
      <c r="C99" s="1">
        <v>2014</v>
      </c>
      <c r="D99" s="1" t="s">
        <v>596</v>
      </c>
      <c r="E99" t="s">
        <v>110</v>
      </c>
      <c r="F99" t="str">
        <f t="shared" si="2"/>
        <v>Chad:OC Pills</v>
      </c>
      <c r="G99" s="862">
        <v>2.8444755377868402E-3</v>
      </c>
      <c r="H99" s="862"/>
      <c r="I99" s="862">
        <v>3.3027467725465403E-4</v>
      </c>
      <c r="J99" s="862">
        <v>1.8901930151765699E-4</v>
      </c>
      <c r="K99" s="862">
        <v>5.3931711779711203E-5</v>
      </c>
      <c r="L99" s="862"/>
      <c r="M99" s="710">
        <f t="shared" si="3"/>
        <v>3.4177012283388626E-3</v>
      </c>
    </row>
    <row r="100" spans="1:13" x14ac:dyDescent="0.25">
      <c r="B100" s="861" t="s">
        <v>20</v>
      </c>
      <c r="C100" s="861">
        <v>2014</v>
      </c>
      <c r="D100" s="861" t="s">
        <v>596</v>
      </c>
      <c r="E100" s="861" t="s">
        <v>313</v>
      </c>
      <c r="F100" t="str">
        <f t="shared" si="2"/>
        <v>Chad:Total</v>
      </c>
      <c r="G100" s="863">
        <v>2.8232935692557474E-2</v>
      </c>
      <c r="H100" s="863"/>
      <c r="I100" s="863">
        <v>4.4062588229425428E-3</v>
      </c>
      <c r="J100" s="863">
        <v>8.2041943764252863E-4</v>
      </c>
      <c r="K100" s="863">
        <v>4.2336246447564115E-3</v>
      </c>
      <c r="L100" s="863">
        <v>2.3581144559401871E-4</v>
      </c>
      <c r="M100" s="710">
        <f t="shared" si="3"/>
        <v>3.7929050043492972E-2</v>
      </c>
    </row>
    <row r="101" spans="1:13" x14ac:dyDescent="0.25">
      <c r="B101" s="1" t="s">
        <v>21</v>
      </c>
      <c r="C101" s="1">
        <v>2012</v>
      </c>
      <c r="D101" s="1" t="s">
        <v>604</v>
      </c>
      <c r="E101" t="s">
        <v>1020</v>
      </c>
      <c r="F101" t="str">
        <f t="shared" si="2"/>
        <v>Comoros:Female Condom</v>
      </c>
      <c r="G101" s="862">
        <v>8.4163072079100298E-5</v>
      </c>
      <c r="H101" s="862"/>
      <c r="I101" s="862"/>
      <c r="J101" s="862"/>
      <c r="K101" s="862">
        <v>9.0463316183366101E-5</v>
      </c>
      <c r="L101" s="862"/>
      <c r="M101" s="710">
        <f t="shared" si="3"/>
        <v>1.7462638826246639E-4</v>
      </c>
    </row>
    <row r="102" spans="1:13" x14ac:dyDescent="0.25">
      <c r="B102" s="1" t="s">
        <v>21</v>
      </c>
      <c r="C102" s="1">
        <v>2012</v>
      </c>
      <c r="D102" s="1" t="s">
        <v>604</v>
      </c>
      <c r="E102" t="s">
        <v>128</v>
      </c>
      <c r="F102" t="str">
        <f t="shared" si="2"/>
        <v>Comoros:Female Sterilization</v>
      </c>
      <c r="G102" s="862">
        <v>5.3418040354884797E-3</v>
      </c>
      <c r="H102" s="862"/>
      <c r="I102" s="862">
        <v>3.3166242142605398E-4</v>
      </c>
      <c r="J102" s="862"/>
      <c r="K102" s="862"/>
      <c r="L102" s="862"/>
      <c r="M102" s="864">
        <f t="shared" si="3"/>
        <v>5.6734664569145334E-3</v>
      </c>
    </row>
    <row r="103" spans="1:13" x14ac:dyDescent="0.25">
      <c r="B103" s="1" t="s">
        <v>21</v>
      </c>
      <c r="C103" s="1">
        <v>2012</v>
      </c>
      <c r="D103" s="1" t="s">
        <v>604</v>
      </c>
      <c r="E103" t="s">
        <v>3</v>
      </c>
      <c r="F103" t="str">
        <f t="shared" si="2"/>
        <v>Comoros:Implant</v>
      </c>
      <c r="G103" s="862">
        <v>9.7530248240569103E-3</v>
      </c>
      <c r="H103" s="862"/>
      <c r="I103" s="862">
        <v>2.0767761820481199E-4</v>
      </c>
      <c r="J103" s="862"/>
      <c r="K103" s="862">
        <v>2.9912629752011101E-4</v>
      </c>
      <c r="L103" s="862"/>
      <c r="M103" s="710">
        <f t="shared" si="3"/>
        <v>1.0259828739781833E-2</v>
      </c>
    </row>
    <row r="104" spans="1:13" x14ac:dyDescent="0.25">
      <c r="B104" s="1" t="s">
        <v>21</v>
      </c>
      <c r="C104" s="1">
        <v>2012</v>
      </c>
      <c r="D104" s="1" t="s">
        <v>604</v>
      </c>
      <c r="E104" t="s">
        <v>2</v>
      </c>
      <c r="F104" t="str">
        <f t="shared" si="2"/>
        <v>Comoros:Injectable</v>
      </c>
      <c r="G104" s="862">
        <v>3.6069580739572997E-2</v>
      </c>
      <c r="H104" s="862"/>
      <c r="I104" s="862">
        <v>1.16087392629675E-3</v>
      </c>
      <c r="J104" s="862"/>
      <c r="K104" s="862"/>
      <c r="L104" s="862"/>
      <c r="M104" s="710">
        <f t="shared" si="3"/>
        <v>3.7230454665869744E-2</v>
      </c>
    </row>
    <row r="105" spans="1:13" x14ac:dyDescent="0.25">
      <c r="B105" s="1" t="s">
        <v>21</v>
      </c>
      <c r="C105" s="1">
        <v>2012</v>
      </c>
      <c r="D105" s="1" t="s">
        <v>604</v>
      </c>
      <c r="E105" t="s">
        <v>5</v>
      </c>
      <c r="F105" t="str">
        <f t="shared" si="2"/>
        <v>Comoros:IUD</v>
      </c>
      <c r="G105" s="862">
        <v>6.5150311240353001E-5</v>
      </c>
      <c r="H105" s="862"/>
      <c r="I105" s="862">
        <v>1.79743295876546E-4</v>
      </c>
      <c r="J105" s="862"/>
      <c r="K105" s="862"/>
      <c r="L105" s="862"/>
      <c r="M105" s="710">
        <f t="shared" si="3"/>
        <v>2.4489360711689901E-4</v>
      </c>
    </row>
    <row r="106" spans="1:13" x14ac:dyDescent="0.25">
      <c r="A106" s="119"/>
      <c r="B106" s="1" t="s">
        <v>21</v>
      </c>
      <c r="C106" s="1">
        <v>2012</v>
      </c>
      <c r="D106" s="1" t="s">
        <v>604</v>
      </c>
      <c r="E106" t="s">
        <v>103</v>
      </c>
      <c r="F106" t="str">
        <f t="shared" si="2"/>
        <v>Comoros:Male Condom</v>
      </c>
      <c r="G106" s="862">
        <v>1.1416839464631789E-2</v>
      </c>
      <c r="H106" s="862"/>
      <c r="I106" s="862">
        <v>2.1174723737110799E-4</v>
      </c>
      <c r="J106" s="862">
        <v>5.4036405917208797E-5</v>
      </c>
      <c r="K106" s="862">
        <v>1.9687615424801102E-3</v>
      </c>
      <c r="L106" s="862">
        <v>5.2874268526816202E-3</v>
      </c>
      <c r="M106" s="710">
        <f t="shared" si="3"/>
        <v>1.8938811503081836E-2</v>
      </c>
    </row>
    <row r="107" spans="1:13" x14ac:dyDescent="0.25">
      <c r="B107" s="860" t="s">
        <v>21</v>
      </c>
      <c r="C107" s="1">
        <v>2012</v>
      </c>
      <c r="D107" s="1" t="s">
        <v>604</v>
      </c>
      <c r="E107" t="s">
        <v>110</v>
      </c>
      <c r="F107" t="str">
        <f t="shared" si="2"/>
        <v>Comoros:OC Pills</v>
      </c>
      <c r="G107" s="862">
        <v>1.8731684457230741E-2</v>
      </c>
      <c r="H107" s="862"/>
      <c r="I107" s="862">
        <v>3.1065453950204498E-4</v>
      </c>
      <c r="J107" s="862">
        <v>3.3993451770901798E-4</v>
      </c>
      <c r="K107" s="862"/>
      <c r="L107" s="862"/>
      <c r="M107" s="710">
        <f t="shared" si="3"/>
        <v>1.9382273514441804E-2</v>
      </c>
    </row>
    <row r="108" spans="1:13" x14ac:dyDescent="0.25">
      <c r="B108" s="861" t="s">
        <v>21</v>
      </c>
      <c r="C108" s="861">
        <v>2012</v>
      </c>
      <c r="D108" s="861" t="s">
        <v>604</v>
      </c>
      <c r="E108" s="861" t="s">
        <v>313</v>
      </c>
      <c r="F108" t="str">
        <f t="shared" si="2"/>
        <v>Comoros:Total</v>
      </c>
      <c r="G108" s="863">
        <v>8.1462246904300373E-2</v>
      </c>
      <c r="H108" s="863"/>
      <c r="I108" s="863">
        <v>2.402359038677315E-3</v>
      </c>
      <c r="J108" s="863">
        <v>3.9397092362622677E-4</v>
      </c>
      <c r="K108" s="863">
        <v>2.3583511561835872E-3</v>
      </c>
      <c r="L108" s="863">
        <v>5.2874268526816202E-3</v>
      </c>
      <c r="M108" s="710">
        <f t="shared" si="3"/>
        <v>9.1904354875469121E-2</v>
      </c>
    </row>
    <row r="109" spans="1:13" x14ac:dyDescent="0.25">
      <c r="B109" s="1" t="s">
        <v>22</v>
      </c>
      <c r="C109" s="1">
        <v>2011</v>
      </c>
      <c r="D109" s="1" t="s">
        <v>601</v>
      </c>
      <c r="E109" t="s">
        <v>1020</v>
      </c>
      <c r="F109" t="str">
        <f t="shared" si="2"/>
        <v>Congo:Female Condom</v>
      </c>
      <c r="G109" s="862">
        <v>3.6917090239261998E-5</v>
      </c>
      <c r="H109" s="862"/>
      <c r="I109" s="862"/>
      <c r="J109" s="862">
        <v>2.3769941727365799E-5</v>
      </c>
      <c r="K109" s="862">
        <v>2.6214696321464199E-4</v>
      </c>
      <c r="L109" s="862">
        <v>2.77500692737544E-5</v>
      </c>
      <c r="M109" s="710">
        <f t="shared" si="3"/>
        <v>3.5058406445502414E-4</v>
      </c>
    </row>
    <row r="110" spans="1:13" x14ac:dyDescent="0.25">
      <c r="B110" s="1" t="s">
        <v>22</v>
      </c>
      <c r="C110" s="1">
        <v>2011</v>
      </c>
      <c r="D110" s="1" t="s">
        <v>601</v>
      </c>
      <c r="E110" t="s">
        <v>3</v>
      </c>
      <c r="F110" t="str">
        <f t="shared" si="2"/>
        <v>Congo:Implant</v>
      </c>
      <c r="G110" s="862">
        <v>5.1216914597178905E-4</v>
      </c>
      <c r="H110" s="862"/>
      <c r="I110" s="862">
        <v>4.3652925332340702E-4</v>
      </c>
      <c r="J110" s="862"/>
      <c r="K110" s="862"/>
      <c r="L110" s="862"/>
      <c r="M110" s="864">
        <f t="shared" si="3"/>
        <v>9.4869839929519607E-4</v>
      </c>
    </row>
    <row r="111" spans="1:13" x14ac:dyDescent="0.25">
      <c r="B111" s="1" t="s">
        <v>22</v>
      </c>
      <c r="C111" s="1">
        <v>2011</v>
      </c>
      <c r="D111" s="1" t="s">
        <v>601</v>
      </c>
      <c r="E111" t="s">
        <v>2</v>
      </c>
      <c r="F111" t="str">
        <f t="shared" si="2"/>
        <v>Congo:Injectable</v>
      </c>
      <c r="G111" s="862">
        <v>1.4686336604211101E-2</v>
      </c>
      <c r="H111" s="862"/>
      <c r="I111" s="862">
        <v>4.2259278971908103E-3</v>
      </c>
      <c r="J111" s="862"/>
      <c r="K111" s="862"/>
      <c r="L111" s="862"/>
      <c r="M111" s="710">
        <f t="shared" si="3"/>
        <v>1.8912264501401911E-2</v>
      </c>
    </row>
    <row r="112" spans="1:13" x14ac:dyDescent="0.25">
      <c r="B112" s="1" t="s">
        <v>22</v>
      </c>
      <c r="C112" s="1">
        <v>2011</v>
      </c>
      <c r="D112" s="1" t="s">
        <v>601</v>
      </c>
      <c r="E112" t="s">
        <v>5</v>
      </c>
      <c r="F112" t="str">
        <f t="shared" si="2"/>
        <v>Congo:IUD</v>
      </c>
      <c r="G112" s="862">
        <v>1.98846843166828E-4</v>
      </c>
      <c r="H112" s="862"/>
      <c r="I112" s="862"/>
      <c r="J112" s="862"/>
      <c r="K112" s="862"/>
      <c r="L112" s="862"/>
      <c r="M112" s="710">
        <f t="shared" si="3"/>
        <v>1.98846843166828E-4</v>
      </c>
    </row>
    <row r="113" spans="1:13" x14ac:dyDescent="0.25">
      <c r="B113" s="1" t="s">
        <v>22</v>
      </c>
      <c r="C113" s="1">
        <v>2011</v>
      </c>
      <c r="D113" s="1" t="s">
        <v>601</v>
      </c>
      <c r="E113" t="s">
        <v>103</v>
      </c>
      <c r="F113" t="str">
        <f t="shared" si="2"/>
        <v>Congo:Male Condom</v>
      </c>
      <c r="G113" s="862">
        <v>1.19967662235014E-2</v>
      </c>
      <c r="H113" s="862"/>
      <c r="I113" s="862">
        <v>1.8214303508081E-3</v>
      </c>
      <c r="J113" s="862">
        <v>4.5186470851414799E-2</v>
      </c>
      <c r="K113" s="862">
        <v>9.0617277223243503E-2</v>
      </c>
      <c r="L113" s="862">
        <v>3.02886125727439E-3</v>
      </c>
      <c r="M113" s="710">
        <f t="shared" si="3"/>
        <v>0.15265080590624219</v>
      </c>
    </row>
    <row r="114" spans="1:13" x14ac:dyDescent="0.25">
      <c r="A114" s="119"/>
      <c r="B114" s="1" t="s">
        <v>22</v>
      </c>
      <c r="C114" s="1">
        <v>2011</v>
      </c>
      <c r="D114" s="1" t="s">
        <v>601</v>
      </c>
      <c r="E114" t="s">
        <v>110</v>
      </c>
      <c r="F114" t="str">
        <f t="shared" si="2"/>
        <v>Congo:OC Pills</v>
      </c>
      <c r="G114" s="862">
        <v>1.16097359071462E-2</v>
      </c>
      <c r="H114" s="862"/>
      <c r="I114" s="862">
        <v>1.8553809931368701E-3</v>
      </c>
      <c r="J114" s="862">
        <v>6.1725736096423997E-3</v>
      </c>
      <c r="K114" s="862">
        <v>5.7834406960083802E-3</v>
      </c>
      <c r="L114" s="862"/>
      <c r="M114" s="710">
        <f t="shared" si="3"/>
        <v>2.5421131205933849E-2</v>
      </c>
    </row>
    <row r="115" spans="1:13" x14ac:dyDescent="0.25">
      <c r="B115" s="860" t="s">
        <v>22</v>
      </c>
      <c r="C115" s="1">
        <v>2011</v>
      </c>
      <c r="D115" s="1" t="s">
        <v>601</v>
      </c>
      <c r="E115" t="s">
        <v>130</v>
      </c>
      <c r="F115" t="str">
        <f t="shared" si="2"/>
        <v>Congo:Other Modern Methods</v>
      </c>
      <c r="G115" s="862"/>
      <c r="H115" s="862"/>
      <c r="I115" s="862">
        <v>2.19769479233236E-4</v>
      </c>
      <c r="J115" s="862"/>
      <c r="K115" s="862"/>
      <c r="L115" s="862"/>
      <c r="M115" s="710">
        <f t="shared" si="3"/>
        <v>2.19769479233236E-4</v>
      </c>
    </row>
    <row r="116" spans="1:13" x14ac:dyDescent="0.25">
      <c r="B116" s="861" t="s">
        <v>22</v>
      </c>
      <c r="C116" s="861">
        <v>2011</v>
      </c>
      <c r="D116" s="861" t="s">
        <v>601</v>
      </c>
      <c r="E116" s="861" t="s">
        <v>313</v>
      </c>
      <c r="F116" t="str">
        <f t="shared" si="2"/>
        <v>Congo:Total</v>
      </c>
      <c r="G116" s="863">
        <v>3.9040771814236583E-2</v>
      </c>
      <c r="H116" s="863"/>
      <c r="I116" s="863">
        <v>8.5590379736924238E-3</v>
      </c>
      <c r="J116" s="863">
        <v>5.1382814402784562E-2</v>
      </c>
      <c r="K116" s="863">
        <v>9.6662864882466518E-2</v>
      </c>
      <c r="L116" s="863">
        <v>3.0566113265481443E-3</v>
      </c>
      <c r="M116" s="710">
        <f t="shared" si="3"/>
        <v>0.19870210039972822</v>
      </c>
    </row>
    <row r="117" spans="1:13" x14ac:dyDescent="0.25">
      <c r="B117" s="1" t="s">
        <v>23</v>
      </c>
      <c r="C117" s="1">
        <v>2011</v>
      </c>
      <c r="D117" s="1" t="s">
        <v>601</v>
      </c>
      <c r="E117" t="s">
        <v>1020</v>
      </c>
      <c r="F117" t="str">
        <f t="shared" si="2"/>
        <v>Côte d'Ivoire:Female Condom</v>
      </c>
      <c r="G117" s="862">
        <v>1.1340288398886E-4</v>
      </c>
      <c r="H117" s="862"/>
      <c r="I117" s="862"/>
      <c r="J117" s="862">
        <v>7.3097615142458098E-5</v>
      </c>
      <c r="K117" s="862">
        <v>2.26697020461577E-4</v>
      </c>
      <c r="L117" s="862"/>
      <c r="M117" s="710">
        <f t="shared" si="3"/>
        <v>4.131975195928951E-4</v>
      </c>
    </row>
    <row r="118" spans="1:13" x14ac:dyDescent="0.25">
      <c r="B118" s="1" t="s">
        <v>23</v>
      </c>
      <c r="C118" s="1">
        <v>2011</v>
      </c>
      <c r="D118" s="1" t="s">
        <v>601</v>
      </c>
      <c r="E118" t="s">
        <v>128</v>
      </c>
      <c r="F118" t="str">
        <f t="shared" si="2"/>
        <v>Côte d'Ivoire:Female Sterilization</v>
      </c>
      <c r="G118" s="862">
        <v>4.1653151565453197E-4</v>
      </c>
      <c r="H118" s="862"/>
      <c r="I118" s="862">
        <v>1.7436242742319301E-4</v>
      </c>
      <c r="J118" s="862"/>
      <c r="K118" s="862"/>
      <c r="L118" s="862"/>
      <c r="M118" s="864">
        <f t="shared" si="3"/>
        <v>5.9089394307772496E-4</v>
      </c>
    </row>
    <row r="119" spans="1:13" x14ac:dyDescent="0.25">
      <c r="B119" s="1" t="s">
        <v>23</v>
      </c>
      <c r="C119" s="1">
        <v>2011</v>
      </c>
      <c r="D119" s="1" t="s">
        <v>601</v>
      </c>
      <c r="E119" t="s">
        <v>3</v>
      </c>
      <c r="F119" t="str">
        <f t="shared" si="2"/>
        <v>Côte d'Ivoire:Implant</v>
      </c>
      <c r="G119" s="862">
        <v>1.1591465340102089E-3</v>
      </c>
      <c r="H119" s="862"/>
      <c r="I119" s="862">
        <v>1.31229623753497E-4</v>
      </c>
      <c r="J119" s="862"/>
      <c r="K119" s="862">
        <v>4.2412525331513702E-5</v>
      </c>
      <c r="L119" s="862"/>
      <c r="M119" s="710">
        <f t="shared" si="3"/>
        <v>1.3327886830952196E-3</v>
      </c>
    </row>
    <row r="120" spans="1:13" x14ac:dyDescent="0.25">
      <c r="B120" s="1" t="s">
        <v>23</v>
      </c>
      <c r="C120" s="1">
        <v>2011</v>
      </c>
      <c r="D120" s="1" t="s">
        <v>601</v>
      </c>
      <c r="E120" t="s">
        <v>2</v>
      </c>
      <c r="F120" t="str">
        <f t="shared" si="2"/>
        <v>Côte d'Ivoire:Injectable</v>
      </c>
      <c r="G120" s="862">
        <v>1.6625783588005885E-2</v>
      </c>
      <c r="H120" s="862"/>
      <c r="I120" s="862">
        <v>1.50136164723213E-3</v>
      </c>
      <c r="J120" s="862">
        <v>2.2534324311025101E-4</v>
      </c>
      <c r="K120" s="862">
        <v>2.6245924750699303E-4</v>
      </c>
      <c r="L120" s="862">
        <v>2.4398310415646901E-5</v>
      </c>
      <c r="M120" s="710">
        <f t="shared" si="3"/>
        <v>1.8639346036270904E-2</v>
      </c>
    </row>
    <row r="121" spans="1:13" x14ac:dyDescent="0.25">
      <c r="B121" s="1" t="s">
        <v>23</v>
      </c>
      <c r="C121" s="1">
        <v>2011</v>
      </c>
      <c r="D121" s="1" t="s">
        <v>601</v>
      </c>
      <c r="E121" t="s">
        <v>5</v>
      </c>
      <c r="F121" t="str">
        <f t="shared" si="2"/>
        <v>Côte d'Ivoire:IUD</v>
      </c>
      <c r="G121" s="862">
        <v>8.4328678888018801E-4</v>
      </c>
      <c r="H121" s="862"/>
      <c r="I121" s="862">
        <v>4.16011933143674E-5</v>
      </c>
      <c r="J121" s="862"/>
      <c r="K121" s="862"/>
      <c r="L121" s="862"/>
      <c r="M121" s="710">
        <f t="shared" si="3"/>
        <v>8.848879821945554E-4</v>
      </c>
    </row>
    <row r="122" spans="1:13" x14ac:dyDescent="0.25">
      <c r="A122" s="119"/>
      <c r="B122" s="1" t="s">
        <v>23</v>
      </c>
      <c r="C122" s="1">
        <v>2011</v>
      </c>
      <c r="D122" s="1" t="s">
        <v>601</v>
      </c>
      <c r="E122" t="s">
        <v>103</v>
      </c>
      <c r="F122" t="str">
        <f t="shared" si="2"/>
        <v>Côte d'Ivoire:Male Condom</v>
      </c>
      <c r="G122" s="862">
        <v>2.0081791480052098E-3</v>
      </c>
      <c r="H122" s="862"/>
      <c r="I122" s="862">
        <v>5.2619940954142495E-4</v>
      </c>
      <c r="J122" s="862">
        <v>2.1709444480603999E-2</v>
      </c>
      <c r="K122" s="862">
        <v>1.8868189577631599E-2</v>
      </c>
      <c r="L122" s="862">
        <v>4.4505913029192299E-3</v>
      </c>
      <c r="M122" s="710">
        <f t="shared" si="3"/>
        <v>4.7562603918701464E-2</v>
      </c>
    </row>
    <row r="123" spans="1:13" x14ac:dyDescent="0.25">
      <c r="B123" s="1" t="s">
        <v>23</v>
      </c>
      <c r="C123" s="1">
        <v>2011</v>
      </c>
      <c r="D123" s="1" t="s">
        <v>601</v>
      </c>
      <c r="E123" t="s">
        <v>110</v>
      </c>
      <c r="F123" t="str">
        <f t="shared" si="2"/>
        <v>Côte d'Ivoire:OC Pills</v>
      </c>
      <c r="G123" s="862">
        <v>1.367114916088575E-2</v>
      </c>
      <c r="H123" s="862"/>
      <c r="I123" s="862">
        <v>1.5960147298156699E-3</v>
      </c>
      <c r="J123" s="862">
        <v>3.4559107648085299E-2</v>
      </c>
      <c r="K123" s="862">
        <v>8.2401780257833302E-4</v>
      </c>
      <c r="L123" s="862">
        <v>7.6723939239217599E-3</v>
      </c>
      <c r="M123" s="710">
        <f t="shared" si="3"/>
        <v>5.8322683265286807E-2</v>
      </c>
    </row>
    <row r="124" spans="1:13" x14ac:dyDescent="0.25">
      <c r="B124" s="860" t="s">
        <v>23</v>
      </c>
      <c r="C124" s="1">
        <v>2011</v>
      </c>
      <c r="D124" s="1" t="s">
        <v>601</v>
      </c>
      <c r="E124" t="s">
        <v>130</v>
      </c>
      <c r="F124" t="str">
        <f t="shared" si="2"/>
        <v>Côte d'Ivoire:Other Modern Methods</v>
      </c>
      <c r="G124" s="862"/>
      <c r="H124" s="862"/>
      <c r="I124" s="862"/>
      <c r="J124" s="862"/>
      <c r="K124" s="862"/>
      <c r="L124" s="862">
        <v>8.9416502007304296E-5</v>
      </c>
      <c r="M124" s="710">
        <f t="shared" si="3"/>
        <v>8.9416502007304296E-5</v>
      </c>
    </row>
    <row r="125" spans="1:13" x14ac:dyDescent="0.25">
      <c r="B125" s="861" t="s">
        <v>23</v>
      </c>
      <c r="C125" s="861">
        <v>2011</v>
      </c>
      <c r="D125" s="861" t="s">
        <v>601</v>
      </c>
      <c r="E125" s="861" t="s">
        <v>313</v>
      </c>
      <c r="F125" t="str">
        <f t="shared" si="2"/>
        <v>Côte d'Ivoire:Total</v>
      </c>
      <c r="G125" s="863">
        <v>3.4837479619430636E-2</v>
      </c>
      <c r="H125" s="863"/>
      <c r="I125" s="863">
        <v>3.9707690310802823E-3</v>
      </c>
      <c r="J125" s="863">
        <v>5.6566992986942011E-2</v>
      </c>
      <c r="K125" s="863">
        <v>2.0223776173510018E-2</v>
      </c>
      <c r="L125" s="863">
        <v>1.223680003926394E-2</v>
      </c>
      <c r="M125" s="710">
        <f t="shared" si="3"/>
        <v>0.12783581785022688</v>
      </c>
    </row>
    <row r="126" spans="1:13" x14ac:dyDescent="0.25">
      <c r="B126" s="1" t="s">
        <v>26</v>
      </c>
      <c r="C126" s="1">
        <v>2013</v>
      </c>
      <c r="D126" s="1" t="s">
        <v>605</v>
      </c>
      <c r="E126" t="s">
        <v>1020</v>
      </c>
      <c r="F126" t="str">
        <f t="shared" si="2"/>
        <v>DR Congo:Female Condom</v>
      </c>
      <c r="G126" s="862"/>
      <c r="H126" s="862"/>
      <c r="I126" s="862">
        <v>1.2519217151671399E-4</v>
      </c>
      <c r="J126" s="862">
        <v>3.0311074689683099E-4</v>
      </c>
      <c r="K126" s="862"/>
      <c r="L126" s="862">
        <v>1.28586658177171E-4</v>
      </c>
      <c r="M126" s="710">
        <f t="shared" si="3"/>
        <v>5.5688957659071601E-4</v>
      </c>
    </row>
    <row r="127" spans="1:13" x14ac:dyDescent="0.25">
      <c r="B127" s="1" t="s">
        <v>26</v>
      </c>
      <c r="C127" s="1">
        <v>2013</v>
      </c>
      <c r="D127" s="1" t="s">
        <v>605</v>
      </c>
      <c r="E127" t="s">
        <v>128</v>
      </c>
      <c r="F127" t="str">
        <f t="shared" si="2"/>
        <v>DR Congo:Female Sterilization</v>
      </c>
      <c r="G127" s="862">
        <v>5.0161142256701496E-3</v>
      </c>
      <c r="H127" s="862"/>
      <c r="I127" s="862">
        <v>4.5029643848096501E-4</v>
      </c>
      <c r="J127" s="862"/>
      <c r="K127" s="862"/>
      <c r="L127" s="862"/>
      <c r="M127" s="864">
        <f t="shared" si="3"/>
        <v>5.4664106641511149E-3</v>
      </c>
    </row>
    <row r="128" spans="1:13" x14ac:dyDescent="0.25">
      <c r="B128" s="1" t="s">
        <v>26</v>
      </c>
      <c r="C128" s="1">
        <v>2013</v>
      </c>
      <c r="D128" s="1" t="s">
        <v>605</v>
      </c>
      <c r="E128" t="s">
        <v>3</v>
      </c>
      <c r="F128" t="str">
        <f t="shared" si="2"/>
        <v>DR Congo:Implant</v>
      </c>
      <c r="G128" s="862">
        <v>4.3109967840152261E-3</v>
      </c>
      <c r="H128" s="862">
        <v>1.9903043612355599E-4</v>
      </c>
      <c r="I128" s="862">
        <v>7.4442391661786302E-4</v>
      </c>
      <c r="J128" s="862">
        <v>5.3746056495635803E-5</v>
      </c>
      <c r="K128" s="862">
        <v>7.9576937820979306E-5</v>
      </c>
      <c r="L128" s="862"/>
      <c r="M128" s="710">
        <f t="shared" si="3"/>
        <v>5.3877741310732604E-3</v>
      </c>
    </row>
    <row r="129" spans="1:13" x14ac:dyDescent="0.25">
      <c r="B129" s="1" t="s">
        <v>26</v>
      </c>
      <c r="C129" s="1">
        <v>2013</v>
      </c>
      <c r="D129" s="1" t="s">
        <v>605</v>
      </c>
      <c r="E129" t="s">
        <v>2</v>
      </c>
      <c r="F129" t="str">
        <f t="shared" si="2"/>
        <v>DR Congo:Injectable</v>
      </c>
      <c r="G129" s="862">
        <v>5.8258482823452503E-3</v>
      </c>
      <c r="H129" s="862">
        <v>4.6365061075494299E-5</v>
      </c>
      <c r="I129" s="862">
        <v>2.55628965147981E-3</v>
      </c>
      <c r="J129" s="862">
        <v>4.9763095831790798E-4</v>
      </c>
      <c r="K129" s="862"/>
      <c r="L129" s="862"/>
      <c r="M129" s="710">
        <f t="shared" si="3"/>
        <v>8.9261339532184635E-3</v>
      </c>
    </row>
    <row r="130" spans="1:13" x14ac:dyDescent="0.25">
      <c r="A130" s="119"/>
      <c r="B130" s="1" t="s">
        <v>26</v>
      </c>
      <c r="C130" s="1">
        <v>2013</v>
      </c>
      <c r="D130" s="1" t="s">
        <v>605</v>
      </c>
      <c r="E130" t="s">
        <v>5</v>
      </c>
      <c r="F130" t="str">
        <f t="shared" si="2"/>
        <v>DR Congo:IUD</v>
      </c>
      <c r="G130" s="862">
        <v>5.4024996317662095E-4</v>
      </c>
      <c r="H130" s="862"/>
      <c r="I130" s="862">
        <v>7.3326435847414595E-4</v>
      </c>
      <c r="J130" s="862"/>
      <c r="K130" s="862"/>
      <c r="L130" s="862"/>
      <c r="M130" s="710">
        <f t="shared" si="3"/>
        <v>1.2735143216507669E-3</v>
      </c>
    </row>
    <row r="131" spans="1:13" x14ac:dyDescent="0.25">
      <c r="B131" s="1" t="s">
        <v>26</v>
      </c>
      <c r="C131" s="1">
        <v>2013</v>
      </c>
      <c r="D131" s="1" t="s">
        <v>605</v>
      </c>
      <c r="E131" t="s">
        <v>103</v>
      </c>
      <c r="F131" t="str">
        <f t="shared" si="2"/>
        <v>DR Congo:Male Condom</v>
      </c>
      <c r="G131" s="862">
        <v>5.7927779576269003E-3</v>
      </c>
      <c r="H131" s="862">
        <v>1.57270760955725E-3</v>
      </c>
      <c r="I131" s="862">
        <v>2.2329881677624602E-3</v>
      </c>
      <c r="J131" s="862">
        <v>2.8098804055365901E-2</v>
      </c>
      <c r="K131" s="862">
        <v>7.1028884445638301E-3</v>
      </c>
      <c r="L131" s="862">
        <v>2.0069915658752901E-4</v>
      </c>
      <c r="M131" s="710">
        <f t="shared" si="3"/>
        <v>4.5000865391463869E-2</v>
      </c>
    </row>
    <row r="132" spans="1:13" x14ac:dyDescent="0.25">
      <c r="B132" s="1" t="s">
        <v>26</v>
      </c>
      <c r="C132" s="1">
        <v>2013</v>
      </c>
      <c r="D132" s="1" t="s">
        <v>605</v>
      </c>
      <c r="E132" t="s">
        <v>129</v>
      </c>
      <c r="F132" t="str">
        <f t="shared" ref="F132:F197" si="4">B132&amp;":"&amp;E132</f>
        <v>DR Congo:Male Sterilization</v>
      </c>
      <c r="G132" s="862">
        <v>4.36069636468227E-4</v>
      </c>
      <c r="H132" s="862"/>
      <c r="I132" s="862"/>
      <c r="J132" s="862"/>
      <c r="K132" s="862"/>
      <c r="L132" s="862"/>
      <c r="M132" s="710">
        <f t="shared" ref="M132:M195" si="5">SUM(G132:L132)</f>
        <v>4.36069636468227E-4</v>
      </c>
    </row>
    <row r="133" spans="1:13" x14ac:dyDescent="0.25">
      <c r="B133" s="1" t="s">
        <v>26</v>
      </c>
      <c r="C133" s="1">
        <v>2013</v>
      </c>
      <c r="D133" s="1" t="s">
        <v>605</v>
      </c>
      <c r="E133" t="s">
        <v>110</v>
      </c>
      <c r="F133" t="str">
        <f t="shared" si="4"/>
        <v>DR Congo:OC Pills</v>
      </c>
      <c r="G133" s="862">
        <v>1.3949584716880399E-3</v>
      </c>
      <c r="H133" s="862"/>
      <c r="I133" s="862">
        <v>4.5824390758568098E-4</v>
      </c>
      <c r="J133" s="862">
        <v>4.8839029326398203E-3</v>
      </c>
      <c r="K133" s="862">
        <v>1.22064482541922E-4</v>
      </c>
      <c r="L133" s="862"/>
      <c r="M133" s="710">
        <f t="shared" si="5"/>
        <v>6.8591697944554633E-3</v>
      </c>
    </row>
    <row r="134" spans="1:13" x14ac:dyDescent="0.25">
      <c r="B134" s="860" t="s">
        <v>26</v>
      </c>
      <c r="C134" s="1">
        <v>2013</v>
      </c>
      <c r="D134" s="1" t="s">
        <v>605</v>
      </c>
      <c r="E134" t="s">
        <v>130</v>
      </c>
      <c r="F134" t="str">
        <f t="shared" si="4"/>
        <v>DR Congo:Other Modern Methods</v>
      </c>
      <c r="G134" s="862">
        <v>7.5269645079052E-4</v>
      </c>
      <c r="H134" s="862">
        <v>1.10138418843392E-4</v>
      </c>
      <c r="I134" s="862">
        <v>8.0310294174992304E-4</v>
      </c>
      <c r="J134" s="862">
        <v>6.9219844227337495E-5</v>
      </c>
      <c r="K134" s="862">
        <v>4.0073293897471498E-4</v>
      </c>
      <c r="L134" s="862">
        <v>5.0027460840966903E-5</v>
      </c>
      <c r="M134" s="710">
        <f t="shared" si="5"/>
        <v>2.1859180554268543E-3</v>
      </c>
    </row>
    <row r="135" spans="1:13" x14ac:dyDescent="0.25">
      <c r="B135" s="861" t="s">
        <v>26</v>
      </c>
      <c r="C135" s="861">
        <v>2013</v>
      </c>
      <c r="D135" s="861" t="s">
        <v>605</v>
      </c>
      <c r="E135" s="861" t="s">
        <v>313</v>
      </c>
      <c r="F135" t="str">
        <f t="shared" si="4"/>
        <v>DR Congo:Total</v>
      </c>
      <c r="G135" s="863">
        <v>2.4069711771780935E-2</v>
      </c>
      <c r="H135" s="863">
        <v>1.9282415255996921E-3</v>
      </c>
      <c r="I135" s="863">
        <v>8.1038015536675622E-3</v>
      </c>
      <c r="J135" s="863">
        <v>3.3906414593943432E-2</v>
      </c>
      <c r="K135" s="863">
        <v>7.7052628039014463E-3</v>
      </c>
      <c r="L135" s="863">
        <v>3.7931327560566692E-4</v>
      </c>
      <c r="M135" s="710">
        <f t="shared" si="5"/>
        <v>7.6092745524498739E-2</v>
      </c>
    </row>
    <row r="136" spans="1:13" x14ac:dyDescent="0.25">
      <c r="B136" s="1" t="s">
        <v>27</v>
      </c>
      <c r="C136" s="1">
        <v>2014</v>
      </c>
      <c r="D136" s="1" t="s">
        <v>596</v>
      </c>
      <c r="E136" t="s">
        <v>128</v>
      </c>
      <c r="F136" t="str">
        <f t="shared" si="4"/>
        <v>Egypt:Female Sterilization</v>
      </c>
      <c r="G136" s="862">
        <v>2.4285104432014998E-3</v>
      </c>
      <c r="H136" s="862"/>
      <c r="I136" s="862">
        <v>8.9754155038972005E-3</v>
      </c>
      <c r="J136" s="862"/>
      <c r="K136" s="862"/>
      <c r="L136" s="862"/>
      <c r="M136" s="710">
        <f t="shared" si="5"/>
        <v>1.14039259470987E-2</v>
      </c>
    </row>
    <row r="137" spans="1:13" x14ac:dyDescent="0.25">
      <c r="B137" s="1" t="s">
        <v>27</v>
      </c>
      <c r="C137" s="1">
        <v>2014</v>
      </c>
      <c r="D137" s="1" t="s">
        <v>596</v>
      </c>
      <c r="E137" t="s">
        <v>3</v>
      </c>
      <c r="F137" t="str">
        <f t="shared" si="4"/>
        <v>Egypt:Implant</v>
      </c>
      <c r="G137" s="862">
        <v>3.4782221602101958E-3</v>
      </c>
      <c r="H137" s="862"/>
      <c r="I137" s="862">
        <v>1.6361181179877901E-3</v>
      </c>
      <c r="J137" s="862"/>
      <c r="K137" s="862"/>
      <c r="L137" s="862"/>
      <c r="M137" s="710">
        <f t="shared" si="5"/>
        <v>5.1143402781979857E-3</v>
      </c>
    </row>
    <row r="138" spans="1:13" x14ac:dyDescent="0.25">
      <c r="A138" s="119"/>
      <c r="B138" s="1" t="s">
        <v>27</v>
      </c>
      <c r="C138" s="1">
        <v>2014</v>
      </c>
      <c r="D138" s="1" t="s">
        <v>596</v>
      </c>
      <c r="E138" t="s">
        <v>2</v>
      </c>
      <c r="F138" t="str">
        <f t="shared" si="4"/>
        <v>Egypt:Injectable</v>
      </c>
      <c r="G138" s="862">
        <v>6.6172529511379877E-2</v>
      </c>
      <c r="H138" s="862">
        <v>7.0802448814715296E-5</v>
      </c>
      <c r="I138" s="862">
        <v>1.8158281962713109E-3</v>
      </c>
      <c r="J138" s="862">
        <v>1.0433112625396231E-2</v>
      </c>
      <c r="K138" s="862">
        <v>7.1322557223872196E-4</v>
      </c>
      <c r="L138" s="862">
        <v>8.8840265755154506E-5</v>
      </c>
      <c r="M138" s="864">
        <f t="shared" si="5"/>
        <v>7.929433861985602E-2</v>
      </c>
    </row>
    <row r="139" spans="1:13" x14ac:dyDescent="0.25">
      <c r="B139" s="1" t="s">
        <v>27</v>
      </c>
      <c r="C139" s="1">
        <v>2014</v>
      </c>
      <c r="D139" s="1" t="s">
        <v>596</v>
      </c>
      <c r="E139" t="s">
        <v>5</v>
      </c>
      <c r="F139" t="str">
        <f t="shared" si="4"/>
        <v>Egypt:IUD</v>
      </c>
      <c r="G139" s="862">
        <v>0.17803412743238284</v>
      </c>
      <c r="H139" s="862">
        <v>2.9629374801489802E-3</v>
      </c>
      <c r="I139" s="862">
        <v>0.100854097550152</v>
      </c>
      <c r="J139" s="862">
        <v>1.7095936665125001E-4</v>
      </c>
      <c r="K139" s="862">
        <v>5.1324194516284805E-4</v>
      </c>
      <c r="L139" s="862">
        <v>2.17533299578797E-4</v>
      </c>
      <c r="M139" s="710">
        <f t="shared" si="5"/>
        <v>0.28275289707407669</v>
      </c>
    </row>
    <row r="140" spans="1:13" x14ac:dyDescent="0.25">
      <c r="B140" s="1" t="s">
        <v>27</v>
      </c>
      <c r="C140" s="1">
        <v>2014</v>
      </c>
      <c r="D140" s="1" t="s">
        <v>596</v>
      </c>
      <c r="E140" t="s">
        <v>103</v>
      </c>
      <c r="F140" t="str">
        <f t="shared" si="4"/>
        <v>Egypt:Male Condom</v>
      </c>
      <c r="G140" s="862">
        <v>1.0230873277498199E-3</v>
      </c>
      <c r="H140" s="862"/>
      <c r="I140" s="862">
        <v>6.2586200888816405E-5</v>
      </c>
      <c r="J140" s="862">
        <v>3.2381789826156E-3</v>
      </c>
      <c r="K140" s="862"/>
      <c r="L140" s="862"/>
      <c r="M140" s="710">
        <f t="shared" si="5"/>
        <v>4.3238525112542364E-3</v>
      </c>
    </row>
    <row r="141" spans="1:13" x14ac:dyDescent="0.25">
      <c r="B141" s="1" t="s">
        <v>27</v>
      </c>
      <c r="C141" s="1">
        <v>2014</v>
      </c>
      <c r="D141" s="1" t="s">
        <v>596</v>
      </c>
      <c r="E141" t="s">
        <v>110</v>
      </c>
      <c r="F141" t="str">
        <f t="shared" si="4"/>
        <v>Egypt:OC Pills</v>
      </c>
      <c r="G141" s="862">
        <v>5.1866927728548194E-2</v>
      </c>
      <c r="H141" s="862"/>
      <c r="I141" s="862">
        <v>2.4554537369502901E-3</v>
      </c>
      <c r="J141" s="862">
        <v>9.5095989465231498E-2</v>
      </c>
      <c r="K141" s="862">
        <v>2.3156491332842401E-4</v>
      </c>
      <c r="L141" s="862"/>
      <c r="M141" s="710">
        <f t="shared" si="5"/>
        <v>0.14964993584405842</v>
      </c>
    </row>
    <row r="142" spans="1:13" x14ac:dyDescent="0.25">
      <c r="B142" s="860" t="s">
        <v>27</v>
      </c>
      <c r="C142" s="1">
        <v>2014</v>
      </c>
      <c r="D142" s="1" t="s">
        <v>596</v>
      </c>
      <c r="E142" t="s">
        <v>130</v>
      </c>
      <c r="F142" t="str">
        <f t="shared" si="4"/>
        <v>Egypt:Other Modern Methods</v>
      </c>
      <c r="G142" s="862">
        <v>3.3484052407937098E-4</v>
      </c>
      <c r="H142" s="862"/>
      <c r="I142" s="862">
        <v>1.7306266583170801E-5</v>
      </c>
      <c r="J142" s="862">
        <v>4.3314016789956902E-4</v>
      </c>
      <c r="K142" s="862"/>
      <c r="L142" s="862"/>
      <c r="M142" s="710">
        <f t="shared" si="5"/>
        <v>7.8528695856211082E-4</v>
      </c>
    </row>
    <row r="143" spans="1:13" x14ac:dyDescent="0.25">
      <c r="B143" s="861" t="s">
        <v>27</v>
      </c>
      <c r="C143" s="861">
        <v>2014</v>
      </c>
      <c r="D143" s="861" t="s">
        <v>596</v>
      </c>
      <c r="E143" s="861" t="s">
        <v>313</v>
      </c>
      <c r="F143" t="str">
        <f t="shared" si="4"/>
        <v>Egypt:Total</v>
      </c>
      <c r="G143" s="863">
        <v>0.30333824512755181</v>
      </c>
      <c r="H143" s="863">
        <v>3.0337399289636956E-3</v>
      </c>
      <c r="I143" s="863">
        <v>0.11581680557273058</v>
      </c>
      <c r="J143" s="863">
        <v>0.10937138060779414</v>
      </c>
      <c r="K143" s="863">
        <v>1.4580324307299942E-3</v>
      </c>
      <c r="L143" s="863">
        <v>3.063735653339515E-4</v>
      </c>
      <c r="M143" s="710">
        <f t="shared" si="5"/>
        <v>0.53332457723310411</v>
      </c>
    </row>
    <row r="144" spans="1:13" x14ac:dyDescent="0.25">
      <c r="B144" s="1" t="s">
        <v>29</v>
      </c>
      <c r="C144" s="1">
        <v>2016</v>
      </c>
      <c r="D144" s="1" t="s">
        <v>610</v>
      </c>
      <c r="E144" t="s">
        <v>108</v>
      </c>
      <c r="F144" t="str">
        <f t="shared" si="4"/>
        <v>Ethiopia:EC</v>
      </c>
      <c r="G144" s="862">
        <v>3.03159974878011E-4</v>
      </c>
      <c r="H144" s="862"/>
      <c r="I144" s="862">
        <v>5.8456798955572502E-5</v>
      </c>
      <c r="J144" s="862">
        <v>2.4201976082385799E-4</v>
      </c>
      <c r="K144" s="862">
        <v>1.24466616922818E-5</v>
      </c>
      <c r="L144" s="862"/>
      <c r="M144" s="710">
        <f t="shared" si="5"/>
        <v>6.1608319634972328E-4</v>
      </c>
    </row>
    <row r="145" spans="2:13" x14ac:dyDescent="0.25">
      <c r="B145" s="1" t="s">
        <v>29</v>
      </c>
      <c r="C145" s="1">
        <v>2016</v>
      </c>
      <c r="D145" s="1" t="s">
        <v>610</v>
      </c>
      <c r="E145" t="s">
        <v>128</v>
      </c>
      <c r="F145" t="str">
        <f t="shared" si="4"/>
        <v>Ethiopia:Female Sterilization</v>
      </c>
      <c r="G145" s="862">
        <v>2.4285443529214602E-3</v>
      </c>
      <c r="H145" s="862">
        <v>1.5811298479560801E-4</v>
      </c>
      <c r="I145" s="862">
        <v>2.9409755081421401E-4</v>
      </c>
      <c r="J145" s="862"/>
      <c r="K145" s="862"/>
      <c r="L145" s="862"/>
      <c r="M145" s="710">
        <f t="shared" si="5"/>
        <v>2.8807548885312825E-3</v>
      </c>
    </row>
    <row r="146" spans="2:13" x14ac:dyDescent="0.25">
      <c r="B146" s="1" t="s">
        <v>29</v>
      </c>
      <c r="C146" s="1">
        <v>2016</v>
      </c>
      <c r="D146" s="1" t="s">
        <v>610</v>
      </c>
      <c r="E146" t="s">
        <v>3</v>
      </c>
      <c r="F146" t="str">
        <f t="shared" si="4"/>
        <v>Ethiopia:Implant</v>
      </c>
      <c r="G146" s="862">
        <v>5.4437080120618403E-2</v>
      </c>
      <c r="H146" s="862">
        <v>1.1296504224479701E-3</v>
      </c>
      <c r="I146" s="862">
        <v>1.80060679225734E-3</v>
      </c>
      <c r="J146" s="862">
        <v>8.0086588655706406E-5</v>
      </c>
      <c r="K146" s="862"/>
      <c r="L146" s="862">
        <v>2.8524388782428699E-5</v>
      </c>
      <c r="M146" s="864">
        <f t="shared" si="5"/>
        <v>5.747594831276185E-2</v>
      </c>
    </row>
    <row r="147" spans="2:13" x14ac:dyDescent="0.25">
      <c r="B147" s="1" t="s">
        <v>29</v>
      </c>
      <c r="C147" s="1">
        <v>2016</v>
      </c>
      <c r="D147" s="1" t="s">
        <v>610</v>
      </c>
      <c r="E147" t="s">
        <v>2</v>
      </c>
      <c r="F147" t="str">
        <f t="shared" si="4"/>
        <v>Ethiopia:Injectable</v>
      </c>
      <c r="G147" s="862">
        <v>0.12856501521772351</v>
      </c>
      <c r="H147" s="862">
        <v>1.3489392012241801E-3</v>
      </c>
      <c r="I147" s="862">
        <v>2.4173829491209602E-2</v>
      </c>
      <c r="J147" s="862">
        <v>2.87025912904308E-3</v>
      </c>
      <c r="K147" s="862">
        <v>1.8937938715764499E-4</v>
      </c>
      <c r="L147" s="862">
        <v>6.2095267273619805E-4</v>
      </c>
      <c r="M147" s="710">
        <f t="shared" si="5"/>
        <v>0.15776837509909422</v>
      </c>
    </row>
    <row r="148" spans="2:13" x14ac:dyDescent="0.25">
      <c r="B148" s="1" t="s">
        <v>29</v>
      </c>
      <c r="C148" s="1">
        <v>2016</v>
      </c>
      <c r="D148" s="1" t="s">
        <v>610</v>
      </c>
      <c r="E148" t="s">
        <v>5</v>
      </c>
      <c r="F148" t="str">
        <f t="shared" si="4"/>
        <v>Ethiopia:IUD</v>
      </c>
      <c r="G148" s="862">
        <v>1.3332342408151499E-2</v>
      </c>
      <c r="H148" s="862">
        <v>4.1642758677696998E-4</v>
      </c>
      <c r="I148" s="862">
        <v>5.7363481376734697E-4</v>
      </c>
      <c r="J148" s="862">
        <v>5.7001784006078501E-5</v>
      </c>
      <c r="K148" s="862"/>
      <c r="L148" s="862">
        <v>3.8007013052946701E-5</v>
      </c>
      <c r="M148" s="710">
        <f t="shared" si="5"/>
        <v>1.4417413605754841E-2</v>
      </c>
    </row>
    <row r="149" spans="2:13" x14ac:dyDescent="0.25">
      <c r="B149" s="1" t="s">
        <v>29</v>
      </c>
      <c r="C149" s="1">
        <v>2016</v>
      </c>
      <c r="D149" s="1" t="s">
        <v>610</v>
      </c>
      <c r="E149" t="s">
        <v>103</v>
      </c>
      <c r="F149" t="str">
        <f t="shared" si="4"/>
        <v>Ethiopia:Male Condom</v>
      </c>
      <c r="G149" s="862">
        <v>2.55641133958996E-4</v>
      </c>
      <c r="H149" s="862"/>
      <c r="I149" s="862">
        <v>7.7046672896158302E-5</v>
      </c>
      <c r="J149" s="862">
        <v>4.5646903196886103E-4</v>
      </c>
      <c r="K149" s="862">
        <v>4.1780716973184398E-5</v>
      </c>
      <c r="L149" s="862">
        <v>1.02523940665115E-4</v>
      </c>
      <c r="M149" s="710">
        <f t="shared" si="5"/>
        <v>9.3346149646231474E-4</v>
      </c>
    </row>
    <row r="150" spans="2:13" x14ac:dyDescent="0.25">
      <c r="B150" s="1" t="s">
        <v>29</v>
      </c>
      <c r="C150" s="1">
        <v>2016</v>
      </c>
      <c r="D150" s="1" t="s">
        <v>610</v>
      </c>
      <c r="E150" t="s">
        <v>110</v>
      </c>
      <c r="F150" t="str">
        <f t="shared" si="4"/>
        <v>Ethiopia:OC Pills</v>
      </c>
      <c r="G150" s="862">
        <v>6.8567266735873704E-3</v>
      </c>
      <c r="H150" s="862">
        <v>9.7312310362211997E-5</v>
      </c>
      <c r="I150" s="862">
        <v>2.97483720470964E-3</v>
      </c>
      <c r="J150" s="862">
        <v>3.1137555205782001E-3</v>
      </c>
      <c r="K150" s="862">
        <v>2.8081361311063498E-6</v>
      </c>
      <c r="L150" s="862"/>
      <c r="M150" s="710">
        <f t="shared" si="5"/>
        <v>1.3045439845368529E-2</v>
      </c>
    </row>
    <row r="151" spans="2:13" x14ac:dyDescent="0.25">
      <c r="B151" s="860" t="s">
        <v>29</v>
      </c>
      <c r="C151" s="1">
        <v>2016</v>
      </c>
      <c r="D151" s="1" t="s">
        <v>610</v>
      </c>
      <c r="E151" t="s">
        <v>130</v>
      </c>
      <c r="F151" t="str">
        <f t="shared" si="4"/>
        <v>Ethiopia:Other Modern Methods</v>
      </c>
      <c r="G151" s="862">
        <v>2.2039806906397501E-4</v>
      </c>
      <c r="H151" s="862"/>
      <c r="I151" s="862"/>
      <c r="J151" s="862">
        <v>2.3790728244257199E-5</v>
      </c>
      <c r="K151" s="862">
        <v>2.3905502200569501E-6</v>
      </c>
      <c r="L151" s="862">
        <v>1.6862921230602701E-4</v>
      </c>
      <c r="M151" s="710">
        <f t="shared" si="5"/>
        <v>4.1520855983431619E-4</v>
      </c>
    </row>
    <row r="152" spans="2:13" x14ac:dyDescent="0.25">
      <c r="B152" s="861" t="s">
        <v>29</v>
      </c>
      <c r="C152" s="861">
        <v>2016</v>
      </c>
      <c r="D152" s="861" t="s">
        <v>610</v>
      </c>
      <c r="E152" s="861" t="s">
        <v>313</v>
      </c>
      <c r="F152" t="str">
        <f t="shared" si="4"/>
        <v>Ethiopia:Total</v>
      </c>
      <c r="G152" s="863">
        <v>0.20639890795090321</v>
      </c>
      <c r="H152" s="863">
        <v>3.1504425056069403E-3</v>
      </c>
      <c r="I152" s="863">
        <v>2.9952509324609876E-2</v>
      </c>
      <c r="J152" s="863">
        <v>6.843382543320042E-3</v>
      </c>
      <c r="K152" s="863">
        <v>2.4880545217427448E-4</v>
      </c>
      <c r="L152" s="863">
        <v>9.5863722754271549E-4</v>
      </c>
      <c r="M152" s="710">
        <f t="shared" si="5"/>
        <v>0.24755268500415706</v>
      </c>
    </row>
    <row r="153" spans="2:13" x14ac:dyDescent="0.25">
      <c r="B153" s="1" t="s">
        <v>30</v>
      </c>
      <c r="C153" s="1">
        <v>2013</v>
      </c>
      <c r="D153" s="1" t="s">
        <v>605</v>
      </c>
      <c r="E153" t="s">
        <v>1020</v>
      </c>
      <c r="F153" t="str">
        <f t="shared" si="4"/>
        <v>Gambia:Female Condom</v>
      </c>
      <c r="G153" s="862">
        <v>1.5808364446036899E-5</v>
      </c>
      <c r="H153" s="862"/>
      <c r="I153" s="862"/>
      <c r="J153" s="862"/>
      <c r="K153" s="862"/>
      <c r="L153" s="862"/>
      <c r="M153" s="710">
        <f t="shared" si="5"/>
        <v>1.5808364446036899E-5</v>
      </c>
    </row>
    <row r="154" spans="2:13" x14ac:dyDescent="0.25">
      <c r="B154" s="1" t="s">
        <v>30</v>
      </c>
      <c r="C154" s="1">
        <v>2013</v>
      </c>
      <c r="D154" s="1" t="s">
        <v>605</v>
      </c>
      <c r="E154" t="s">
        <v>128</v>
      </c>
      <c r="F154" t="str">
        <f t="shared" si="4"/>
        <v>Gambia:Female Sterilization</v>
      </c>
      <c r="G154" s="862">
        <v>3.78855618221391E-3</v>
      </c>
      <c r="H154" s="862"/>
      <c r="I154" s="862">
        <v>2.7377434626097401E-4</v>
      </c>
      <c r="J154" s="862"/>
      <c r="K154" s="862"/>
      <c r="L154" s="862"/>
      <c r="M154" s="710">
        <f t="shared" si="5"/>
        <v>4.0623305284748839E-3</v>
      </c>
    </row>
    <row r="155" spans="2:13" x14ac:dyDescent="0.25">
      <c r="B155" s="1" t="s">
        <v>30</v>
      </c>
      <c r="C155" s="1">
        <v>2013</v>
      </c>
      <c r="D155" s="1" t="s">
        <v>605</v>
      </c>
      <c r="E155" t="s">
        <v>3</v>
      </c>
      <c r="F155" t="str">
        <f t="shared" si="4"/>
        <v>Gambia:Implant</v>
      </c>
      <c r="G155" s="862">
        <v>3.9153412840293202E-3</v>
      </c>
      <c r="H155" s="862">
        <v>5.5488945250672505E-4</v>
      </c>
      <c r="I155" s="862">
        <v>1.11552228404145E-4</v>
      </c>
      <c r="J155" s="862"/>
      <c r="K155" s="862"/>
      <c r="L155" s="862">
        <v>4.7619757651453301E-5</v>
      </c>
      <c r="M155" s="864">
        <f t="shared" si="5"/>
        <v>4.6294027225916431E-3</v>
      </c>
    </row>
    <row r="156" spans="2:13" x14ac:dyDescent="0.25">
      <c r="B156" s="1" t="s">
        <v>30</v>
      </c>
      <c r="C156" s="1">
        <v>2013</v>
      </c>
      <c r="D156" s="1" t="s">
        <v>605</v>
      </c>
      <c r="E156" t="s">
        <v>2</v>
      </c>
      <c r="F156" t="str">
        <f t="shared" si="4"/>
        <v>Gambia:Injectable</v>
      </c>
      <c r="G156" s="862">
        <v>2.1063700398153987E-2</v>
      </c>
      <c r="H156" s="862">
        <v>2.7992977452452098E-3</v>
      </c>
      <c r="I156" s="862">
        <v>1.16194679108221E-3</v>
      </c>
      <c r="J156" s="862">
        <v>4.9425178275271202E-3</v>
      </c>
      <c r="K156" s="862"/>
      <c r="L156" s="862"/>
      <c r="M156" s="710">
        <f t="shared" si="5"/>
        <v>2.9967462762008526E-2</v>
      </c>
    </row>
    <row r="157" spans="2:13" x14ac:dyDescent="0.25">
      <c r="B157" s="1" t="s">
        <v>30</v>
      </c>
      <c r="C157" s="1">
        <v>2013</v>
      </c>
      <c r="D157" s="1" t="s">
        <v>605</v>
      </c>
      <c r="E157" t="s">
        <v>5</v>
      </c>
      <c r="F157" t="str">
        <f t="shared" si="4"/>
        <v>Gambia:IUD</v>
      </c>
      <c r="G157" s="862">
        <v>1.8577674407891599E-3</v>
      </c>
      <c r="H157" s="862">
        <v>3.7512917451586799E-4</v>
      </c>
      <c r="I157" s="862">
        <v>5.6811734212438496E-4</v>
      </c>
      <c r="J157" s="862"/>
      <c r="K157" s="862"/>
      <c r="L157" s="862"/>
      <c r="M157" s="710">
        <f t="shared" si="5"/>
        <v>2.8010139574294133E-3</v>
      </c>
    </row>
    <row r="158" spans="2:13" x14ac:dyDescent="0.25">
      <c r="B158" s="1" t="s">
        <v>30</v>
      </c>
      <c r="C158" s="1">
        <v>2013</v>
      </c>
      <c r="D158" s="1" t="s">
        <v>605</v>
      </c>
      <c r="E158" t="s">
        <v>103</v>
      </c>
      <c r="F158" t="str">
        <f t="shared" si="4"/>
        <v>Gambia:Male Condom</v>
      </c>
      <c r="G158" s="862">
        <v>9.5132381524433895E-4</v>
      </c>
      <c r="H158" s="862">
        <v>5.6787743203941698E-5</v>
      </c>
      <c r="I158" s="862"/>
      <c r="J158" s="862">
        <v>3.651565178344E-3</v>
      </c>
      <c r="K158" s="862">
        <v>2.3167431866788399E-3</v>
      </c>
      <c r="L158" s="862">
        <v>3.8722582211984599E-4</v>
      </c>
      <c r="M158" s="710">
        <f t="shared" si="5"/>
        <v>7.363645745590966E-3</v>
      </c>
    </row>
    <row r="159" spans="2:13" x14ac:dyDescent="0.25">
      <c r="B159" s="860" t="s">
        <v>30</v>
      </c>
      <c r="C159" s="1">
        <v>2013</v>
      </c>
      <c r="D159" s="1" t="s">
        <v>605</v>
      </c>
      <c r="E159" t="s">
        <v>110</v>
      </c>
      <c r="F159" t="str">
        <f t="shared" si="4"/>
        <v>Gambia:OC Pills</v>
      </c>
      <c r="G159" s="862">
        <v>8.0660727665704604E-3</v>
      </c>
      <c r="H159" s="862">
        <v>6.94940751374946E-4</v>
      </c>
      <c r="I159" s="862">
        <v>1.2012671256395101E-3</v>
      </c>
      <c r="J159" s="862">
        <v>4.7931782460332601E-3</v>
      </c>
      <c r="K159" s="862">
        <v>2.41461340645724E-4</v>
      </c>
      <c r="L159" s="862"/>
      <c r="M159" s="710">
        <f t="shared" si="5"/>
        <v>1.49969202302639E-2</v>
      </c>
    </row>
    <row r="160" spans="2:13" x14ac:dyDescent="0.25">
      <c r="B160" s="861" t="s">
        <v>30</v>
      </c>
      <c r="C160" s="861">
        <v>2013</v>
      </c>
      <c r="D160" s="861" t="s">
        <v>605</v>
      </c>
      <c r="E160" s="861" t="s">
        <v>313</v>
      </c>
      <c r="F160" t="str">
        <f t="shared" si="4"/>
        <v>Gambia:Total</v>
      </c>
      <c r="G160" s="863">
        <v>3.9658570251447214E-2</v>
      </c>
      <c r="H160" s="863">
        <v>4.4810448668466908E-3</v>
      </c>
      <c r="I160" s="863">
        <v>3.3166578335112242E-3</v>
      </c>
      <c r="J160" s="863">
        <v>1.338726125190438E-2</v>
      </c>
      <c r="K160" s="863">
        <v>2.5582045273245639E-3</v>
      </c>
      <c r="L160" s="863">
        <v>4.3484557977129928E-4</v>
      </c>
      <c r="M160" s="710">
        <f t="shared" si="5"/>
        <v>6.3836584310805383E-2</v>
      </c>
    </row>
    <row r="161" spans="1:13" x14ac:dyDescent="0.25">
      <c r="B161" s="1" t="s">
        <v>31</v>
      </c>
      <c r="C161" s="1">
        <v>2014</v>
      </c>
      <c r="D161" s="1" t="s">
        <v>596</v>
      </c>
      <c r="E161" t="s">
        <v>1020</v>
      </c>
      <c r="F161" t="str">
        <f t="shared" si="4"/>
        <v>Ghana:Female Condom</v>
      </c>
      <c r="G161" s="862"/>
      <c r="H161" s="862"/>
      <c r="I161" s="862"/>
      <c r="J161" s="862">
        <v>4.6221242673865102E-4</v>
      </c>
      <c r="K161" s="862"/>
      <c r="L161" s="862"/>
      <c r="M161" s="710">
        <f t="shared" si="5"/>
        <v>4.6221242673865102E-4</v>
      </c>
    </row>
    <row r="162" spans="1:13" x14ac:dyDescent="0.25">
      <c r="B162" s="1" t="s">
        <v>31</v>
      </c>
      <c r="C162" s="1">
        <v>2014</v>
      </c>
      <c r="D162" s="1" t="s">
        <v>596</v>
      </c>
      <c r="E162" t="s">
        <v>128</v>
      </c>
      <c r="F162" t="str">
        <f t="shared" si="4"/>
        <v>Ghana:Female Sterilization</v>
      </c>
      <c r="G162" s="862">
        <v>1.19103487666497E-2</v>
      </c>
      <c r="H162" s="862"/>
      <c r="I162" s="862">
        <v>1.02885780274636E-3</v>
      </c>
      <c r="J162" s="862"/>
      <c r="K162" s="862"/>
      <c r="L162" s="862"/>
      <c r="M162" s="710">
        <f t="shared" si="5"/>
        <v>1.293920656939606E-2</v>
      </c>
    </row>
    <row r="163" spans="1:13" x14ac:dyDescent="0.25">
      <c r="B163" s="1" t="s">
        <v>31</v>
      </c>
      <c r="C163" s="1">
        <v>2014</v>
      </c>
      <c r="D163" s="1" t="s">
        <v>596</v>
      </c>
      <c r="E163" t="s">
        <v>3</v>
      </c>
      <c r="F163" t="str">
        <f t="shared" si="4"/>
        <v>Ghana:Implant</v>
      </c>
      <c r="G163" s="862">
        <v>3.5147503733797006E-2</v>
      </c>
      <c r="H163" s="862"/>
      <c r="I163" s="862">
        <v>1.00423977401534E-3</v>
      </c>
      <c r="J163" s="862">
        <v>9.2509790583406498E-5</v>
      </c>
      <c r="K163" s="862"/>
      <c r="L163" s="862"/>
      <c r="M163" s="864">
        <f t="shared" si="5"/>
        <v>3.6244253298395757E-2</v>
      </c>
    </row>
    <row r="164" spans="1:13" x14ac:dyDescent="0.25">
      <c r="A164" s="119"/>
      <c r="B164" s="1" t="s">
        <v>31</v>
      </c>
      <c r="C164" s="1">
        <v>2014</v>
      </c>
      <c r="D164" s="1" t="s">
        <v>596</v>
      </c>
      <c r="E164" t="s">
        <v>2</v>
      </c>
      <c r="F164" t="str">
        <f t="shared" si="4"/>
        <v>Ghana:Injectable</v>
      </c>
      <c r="G164" s="862">
        <v>5.4270300925453881E-2</v>
      </c>
      <c r="H164" s="862"/>
      <c r="I164" s="862">
        <v>5.0669365239936403E-3</v>
      </c>
      <c r="J164" s="862">
        <v>4.9994646216522398E-4</v>
      </c>
      <c r="K164" s="862">
        <v>4.8674350357602001E-4</v>
      </c>
      <c r="L164" s="862"/>
      <c r="M164" s="710">
        <f t="shared" si="5"/>
        <v>6.0323927415188765E-2</v>
      </c>
    </row>
    <row r="165" spans="1:13" x14ac:dyDescent="0.25">
      <c r="B165" s="1" t="s">
        <v>31</v>
      </c>
      <c r="C165" s="1">
        <v>2014</v>
      </c>
      <c r="D165" s="1" t="s">
        <v>596</v>
      </c>
      <c r="E165" t="s">
        <v>5</v>
      </c>
      <c r="F165" t="str">
        <f t="shared" si="4"/>
        <v>Ghana:IUD</v>
      </c>
      <c r="G165" s="862">
        <v>4.5083376570676896E-3</v>
      </c>
      <c r="H165" s="862"/>
      <c r="I165" s="862">
        <v>3.4327862617154899E-4</v>
      </c>
      <c r="J165" s="862"/>
      <c r="K165" s="862"/>
      <c r="L165" s="862"/>
      <c r="M165" s="710">
        <f t="shared" si="5"/>
        <v>4.8516162832392389E-3</v>
      </c>
    </row>
    <row r="166" spans="1:13" x14ac:dyDescent="0.25">
      <c r="B166" s="1" t="s">
        <v>31</v>
      </c>
      <c r="C166" s="1">
        <v>2014</v>
      </c>
      <c r="D166" s="1" t="s">
        <v>596</v>
      </c>
      <c r="E166" t="s">
        <v>103</v>
      </c>
      <c r="F166" t="str">
        <f t="shared" si="4"/>
        <v>Ghana:Male Condom</v>
      </c>
      <c r="G166" s="862">
        <v>6.3625137794711903E-4</v>
      </c>
      <c r="H166" s="862"/>
      <c r="I166" s="862"/>
      <c r="J166" s="862">
        <v>1.8222180767087998E-2</v>
      </c>
      <c r="K166" s="862">
        <v>1.2268818537855301E-3</v>
      </c>
      <c r="L166" s="862">
        <v>3.5830821309710702E-4</v>
      </c>
      <c r="M166" s="710">
        <f t="shared" si="5"/>
        <v>2.0443622211917756E-2</v>
      </c>
    </row>
    <row r="167" spans="1:13" x14ac:dyDescent="0.25">
      <c r="B167" s="1" t="s">
        <v>31</v>
      </c>
      <c r="C167" s="1">
        <v>2014</v>
      </c>
      <c r="D167" s="1" t="s">
        <v>596</v>
      </c>
      <c r="E167" t="s">
        <v>110</v>
      </c>
      <c r="F167" t="str">
        <f t="shared" si="4"/>
        <v>Ghana:OC Pills</v>
      </c>
      <c r="G167" s="862">
        <v>5.9875623140732553E-3</v>
      </c>
      <c r="H167" s="862"/>
      <c r="I167" s="862">
        <v>3.9826894071346097E-4</v>
      </c>
      <c r="J167" s="862">
        <v>3.1696745356446399E-2</v>
      </c>
      <c r="K167" s="862">
        <v>1.12411674187934E-3</v>
      </c>
      <c r="L167" s="862"/>
      <c r="M167" s="710">
        <f t="shared" si="5"/>
        <v>3.920669335311245E-2</v>
      </c>
    </row>
    <row r="168" spans="1:13" x14ac:dyDescent="0.25">
      <c r="B168" s="860" t="s">
        <v>31</v>
      </c>
      <c r="C168" s="1">
        <v>2014</v>
      </c>
      <c r="D168" s="1" t="s">
        <v>596</v>
      </c>
      <c r="E168" t="s">
        <v>130</v>
      </c>
      <c r="F168" t="str">
        <f t="shared" si="4"/>
        <v>Ghana:Other Modern Methods</v>
      </c>
      <c r="G168" s="862">
        <v>1.1900617178826E-4</v>
      </c>
      <c r="H168" s="862"/>
      <c r="I168" s="862"/>
      <c r="J168" s="862">
        <v>2.5682694536859952E-4</v>
      </c>
      <c r="K168" s="862"/>
      <c r="L168" s="862"/>
      <c r="M168" s="710">
        <f t="shared" si="5"/>
        <v>3.7583311715685952E-4</v>
      </c>
    </row>
    <row r="169" spans="1:13" x14ac:dyDescent="0.25">
      <c r="B169" s="861" t="s">
        <v>31</v>
      </c>
      <c r="C169" s="861">
        <v>2014</v>
      </c>
      <c r="D169" s="861" t="s">
        <v>596</v>
      </c>
      <c r="E169" s="861" t="s">
        <v>313</v>
      </c>
      <c r="F169" t="str">
        <f t="shared" si="4"/>
        <v>Ghana:Total</v>
      </c>
      <c r="G169" s="863">
        <v>0.11257931094677691</v>
      </c>
      <c r="H169" s="863"/>
      <c r="I169" s="863">
        <v>7.8415816676403495E-3</v>
      </c>
      <c r="J169" s="863">
        <v>5.1230421748390272E-2</v>
      </c>
      <c r="K169" s="863">
        <v>2.8377420992408901E-3</v>
      </c>
      <c r="L169" s="863">
        <v>3.5830821309710702E-4</v>
      </c>
      <c r="M169" s="710">
        <f t="shared" si="5"/>
        <v>0.17484736467514553</v>
      </c>
    </row>
    <row r="170" spans="1:13" x14ac:dyDescent="0.25">
      <c r="B170" s="1" t="s">
        <v>32</v>
      </c>
      <c r="C170" s="1">
        <v>2018</v>
      </c>
      <c r="D170" s="1" t="s">
        <v>1146</v>
      </c>
      <c r="E170" t="s">
        <v>108</v>
      </c>
      <c r="F170" t="str">
        <f t="shared" si="4"/>
        <v>Guinea:EC</v>
      </c>
      <c r="G170" s="862">
        <v>3.9166912058427803E-5</v>
      </c>
      <c r="H170" s="862"/>
      <c r="I170" s="862"/>
      <c r="J170" s="862">
        <v>1.95214089441734E-4</v>
      </c>
      <c r="K170" s="862"/>
      <c r="L170" s="862"/>
      <c r="M170" s="710">
        <f t="shared" si="5"/>
        <v>2.3438100150016179E-4</v>
      </c>
    </row>
    <row r="171" spans="1:13" x14ac:dyDescent="0.25">
      <c r="B171" s="1" t="s">
        <v>32</v>
      </c>
      <c r="C171" s="1">
        <v>2018</v>
      </c>
      <c r="D171" s="1" t="s">
        <v>1146</v>
      </c>
      <c r="E171" t="s">
        <v>128</v>
      </c>
      <c r="F171" t="str">
        <f t="shared" si="4"/>
        <v>Guinea:Female Sterilization</v>
      </c>
      <c r="G171" s="862">
        <v>8.1987796910747005E-4</v>
      </c>
      <c r="H171" s="862"/>
      <c r="I171" s="862">
        <v>3.5882242190437598E-4</v>
      </c>
      <c r="J171" s="862"/>
      <c r="K171" s="862"/>
      <c r="L171" s="862"/>
      <c r="M171" s="710">
        <f t="shared" si="5"/>
        <v>1.1787003910118461E-3</v>
      </c>
    </row>
    <row r="172" spans="1:13" x14ac:dyDescent="0.25">
      <c r="A172" s="119"/>
      <c r="B172" s="1" t="s">
        <v>32</v>
      </c>
      <c r="C172" s="1">
        <v>2018</v>
      </c>
      <c r="D172" s="1" t="s">
        <v>1146</v>
      </c>
      <c r="E172" t="s">
        <v>3</v>
      </c>
      <c r="F172" t="str">
        <f t="shared" si="4"/>
        <v>Guinea:Implant</v>
      </c>
      <c r="G172" s="862">
        <v>1.99265339228221E-2</v>
      </c>
      <c r="H172" s="862"/>
      <c r="I172" s="862">
        <v>1.83837144389262E-3</v>
      </c>
      <c r="J172" s="862"/>
      <c r="K172" s="862"/>
      <c r="L172" s="862"/>
      <c r="M172" s="864">
        <f t="shared" si="5"/>
        <v>2.1764905366714719E-2</v>
      </c>
    </row>
    <row r="173" spans="1:13" x14ac:dyDescent="0.25">
      <c r="B173" s="1" t="s">
        <v>32</v>
      </c>
      <c r="C173" s="1">
        <v>2018</v>
      </c>
      <c r="D173" s="1" t="s">
        <v>1146</v>
      </c>
      <c r="E173" t="s">
        <v>2</v>
      </c>
      <c r="F173" t="str">
        <f t="shared" si="4"/>
        <v>Guinea:Injectable</v>
      </c>
      <c r="G173" s="862">
        <v>1.7246814765390799E-2</v>
      </c>
      <c r="H173" s="862"/>
      <c r="I173" s="862">
        <v>2.1411376764953198E-3</v>
      </c>
      <c r="J173" s="862">
        <v>1.4255154554646599E-3</v>
      </c>
      <c r="K173" s="862"/>
      <c r="L173" s="862"/>
      <c r="M173" s="710">
        <f t="shared" si="5"/>
        <v>2.0813467897350779E-2</v>
      </c>
    </row>
    <row r="174" spans="1:13" x14ac:dyDescent="0.25">
      <c r="B174" s="1" t="s">
        <v>32</v>
      </c>
      <c r="C174" s="1">
        <v>2018</v>
      </c>
      <c r="D174" s="1" t="s">
        <v>1146</v>
      </c>
      <c r="E174" t="s">
        <v>5</v>
      </c>
      <c r="F174" t="str">
        <f t="shared" si="4"/>
        <v>Guinea:IUD</v>
      </c>
      <c r="G174" s="862">
        <v>4.2376134068838498E-3</v>
      </c>
      <c r="H174" s="862"/>
      <c r="I174" s="862">
        <v>9.1695190733362896E-4</v>
      </c>
      <c r="J174" s="862"/>
      <c r="K174" s="862"/>
      <c r="L174" s="862"/>
      <c r="M174" s="710">
        <f t="shared" si="5"/>
        <v>5.1545653142174791E-3</v>
      </c>
    </row>
    <row r="175" spans="1:13" x14ac:dyDescent="0.25">
      <c r="B175" s="1" t="s">
        <v>32</v>
      </c>
      <c r="C175" s="1">
        <v>2018</v>
      </c>
      <c r="D175" s="1" t="s">
        <v>1146</v>
      </c>
      <c r="E175" t="s">
        <v>103</v>
      </c>
      <c r="F175" t="str">
        <f t="shared" si="4"/>
        <v>Guinea:Male Condom</v>
      </c>
      <c r="G175" s="862">
        <v>2.3210525199674698E-3</v>
      </c>
      <c r="H175" s="862"/>
      <c r="I175" s="862">
        <v>4.1375207082997E-5</v>
      </c>
      <c r="J175" s="862">
        <v>7.7036674028840698E-3</v>
      </c>
      <c r="K175" s="862">
        <v>4.3120660465082701E-3</v>
      </c>
      <c r="L175" s="862">
        <v>6.4968181245043203E-5</v>
      </c>
      <c r="M175" s="710">
        <f t="shared" si="5"/>
        <v>1.4443129357687849E-2</v>
      </c>
    </row>
    <row r="176" spans="1:13" x14ac:dyDescent="0.25">
      <c r="B176" s="1" t="s">
        <v>32</v>
      </c>
      <c r="C176" s="1">
        <v>2018</v>
      </c>
      <c r="D176" s="1" t="s">
        <v>1146</v>
      </c>
      <c r="E176" t="s">
        <v>129</v>
      </c>
      <c r="F176" t="str">
        <f t="shared" si="4"/>
        <v>Guinea:Male Sterilization</v>
      </c>
      <c r="G176" s="862">
        <v>9.1531249220836396E-4</v>
      </c>
      <c r="H176" s="862"/>
      <c r="I176" s="862"/>
      <c r="J176" s="862"/>
      <c r="K176" s="862"/>
      <c r="L176" s="862"/>
      <c r="M176" s="710">
        <f t="shared" si="5"/>
        <v>9.1531249220836396E-4</v>
      </c>
    </row>
    <row r="177" spans="1:13" x14ac:dyDescent="0.25">
      <c r="B177" s="1" t="s">
        <v>32</v>
      </c>
      <c r="C177" s="1">
        <v>2018</v>
      </c>
      <c r="D177" s="1" t="s">
        <v>1146</v>
      </c>
      <c r="E177" t="s">
        <v>110</v>
      </c>
      <c r="F177" t="str">
        <f t="shared" si="4"/>
        <v>Guinea:OC Pills</v>
      </c>
      <c r="G177" s="862">
        <v>8.0971126868008992E-3</v>
      </c>
      <c r="H177" s="862"/>
      <c r="I177" s="862">
        <v>1.3049990856556901E-3</v>
      </c>
      <c r="J177" s="862">
        <v>7.4635014096371202E-3</v>
      </c>
      <c r="K177" s="862">
        <v>1.9864611998716502E-3</v>
      </c>
      <c r="L177" s="862"/>
      <c r="M177" s="710">
        <f t="shared" si="5"/>
        <v>1.8852074381965359E-2</v>
      </c>
    </row>
    <row r="178" spans="1:13" x14ac:dyDescent="0.25">
      <c r="B178" s="860" t="s">
        <v>32</v>
      </c>
      <c r="C178" s="1">
        <v>2018</v>
      </c>
      <c r="D178" s="1" t="s">
        <v>1146</v>
      </c>
      <c r="E178" t="s">
        <v>130</v>
      </c>
      <c r="F178" t="str">
        <f t="shared" si="4"/>
        <v>Guinea:Other Modern Methods</v>
      </c>
      <c r="G178" s="862">
        <v>1.5482909755494584E-3</v>
      </c>
      <c r="H178" s="862"/>
      <c r="I178" s="862">
        <v>4.7261256398702897E-4</v>
      </c>
      <c r="J178" s="862">
        <v>1.1417390151035999E-4</v>
      </c>
      <c r="K178" s="862">
        <v>1.0238844073065E-3</v>
      </c>
      <c r="L178" s="862">
        <v>1.2990996925841801E-4</v>
      </c>
      <c r="M178" s="710">
        <f t="shared" si="5"/>
        <v>3.2888718176117648E-3</v>
      </c>
    </row>
    <row r="179" spans="1:13" x14ac:dyDescent="0.25">
      <c r="B179" s="861" t="s">
        <v>32</v>
      </c>
      <c r="C179" s="861">
        <v>2018</v>
      </c>
      <c r="D179" s="861" t="s">
        <v>1146</v>
      </c>
      <c r="E179" s="861" t="s">
        <v>313</v>
      </c>
      <c r="F179" t="str">
        <f t="shared" si="4"/>
        <v>Guinea:Total</v>
      </c>
      <c r="G179" s="863">
        <v>5.515177565078884E-2</v>
      </c>
      <c r="H179" s="863"/>
      <c r="I179" s="863">
        <v>7.0742703063516616E-3</v>
      </c>
      <c r="J179" s="863">
        <v>1.6902072258937945E-2</v>
      </c>
      <c r="K179" s="863">
        <v>7.3224116536864201E-3</v>
      </c>
      <c r="L179" s="863">
        <v>1.948781505034612E-4</v>
      </c>
      <c r="M179" s="710">
        <f t="shared" si="5"/>
        <v>8.6645408020268336E-2</v>
      </c>
    </row>
    <row r="180" spans="1:13" x14ac:dyDescent="0.25">
      <c r="B180" s="1" t="s">
        <v>34</v>
      </c>
      <c r="C180" s="1">
        <v>2016</v>
      </c>
      <c r="D180" s="1" t="s">
        <v>610</v>
      </c>
      <c r="E180" t="s">
        <v>128</v>
      </c>
      <c r="F180" t="str">
        <f t="shared" si="4"/>
        <v>Haiti:Female Sterilization</v>
      </c>
      <c r="G180" s="862">
        <v>5.2051701298043698E-3</v>
      </c>
      <c r="H180" s="862">
        <v>5.0487148508586301E-5</v>
      </c>
      <c r="I180" s="862">
        <v>1.07955698355927E-3</v>
      </c>
      <c r="J180" s="862"/>
      <c r="K180" s="862"/>
      <c r="L180" s="862">
        <v>2.6821363421049098E-4</v>
      </c>
      <c r="M180" s="710">
        <f t="shared" si="5"/>
        <v>6.6034278960827178E-3</v>
      </c>
    </row>
    <row r="181" spans="1:13" x14ac:dyDescent="0.25">
      <c r="B181" s="1" t="s">
        <v>34</v>
      </c>
      <c r="C181" s="1">
        <v>2016</v>
      </c>
      <c r="D181" s="1" t="s">
        <v>610</v>
      </c>
      <c r="E181" t="s">
        <v>3</v>
      </c>
      <c r="F181" t="str">
        <f t="shared" si="4"/>
        <v>Haiti:Implant</v>
      </c>
      <c r="G181" s="862">
        <v>1.1170278716635E-2</v>
      </c>
      <c r="H181" s="862">
        <v>5.1071108241283801E-5</v>
      </c>
      <c r="I181" s="862">
        <v>1.45256309804754E-3</v>
      </c>
      <c r="J181" s="862"/>
      <c r="K181" s="862"/>
      <c r="L181" s="862"/>
      <c r="M181" s="710">
        <f t="shared" si="5"/>
        <v>1.2673912922923823E-2</v>
      </c>
    </row>
    <row r="182" spans="1:13" x14ac:dyDescent="0.25">
      <c r="B182" s="1" t="s">
        <v>34</v>
      </c>
      <c r="C182" s="1">
        <v>2016</v>
      </c>
      <c r="D182" s="1" t="s">
        <v>610</v>
      </c>
      <c r="E182" t="s">
        <v>2</v>
      </c>
      <c r="F182" t="str">
        <f t="shared" si="4"/>
        <v>Haiti:Injectable</v>
      </c>
      <c r="G182" s="862">
        <v>6.9025023112467193E-2</v>
      </c>
      <c r="H182" s="862">
        <v>2.6299938116489799E-2</v>
      </c>
      <c r="I182" s="862">
        <v>1.19965350943827E-2</v>
      </c>
      <c r="J182" s="862">
        <v>5.02689311562986E-3</v>
      </c>
      <c r="K182" s="862"/>
      <c r="L182" s="862"/>
      <c r="M182" s="710">
        <f t="shared" si="5"/>
        <v>0.11234838943896955</v>
      </c>
    </row>
    <row r="183" spans="1:13" x14ac:dyDescent="0.25">
      <c r="B183" s="1" t="s">
        <v>34</v>
      </c>
      <c r="C183" s="1">
        <v>2016</v>
      </c>
      <c r="D183" s="1" t="s">
        <v>610</v>
      </c>
      <c r="E183" t="s">
        <v>5</v>
      </c>
      <c r="F183" t="str">
        <f t="shared" si="4"/>
        <v>Haiti:IUD</v>
      </c>
      <c r="G183" s="862">
        <v>4.9613066874648105E-4</v>
      </c>
      <c r="H183" s="862"/>
      <c r="I183" s="862">
        <v>6.2123856827549803E-5</v>
      </c>
      <c r="J183" s="862"/>
      <c r="K183" s="862"/>
      <c r="L183" s="862"/>
      <c r="M183" s="864">
        <f t="shared" si="5"/>
        <v>5.5825452557403091E-4</v>
      </c>
    </row>
    <row r="184" spans="1:13" x14ac:dyDescent="0.25">
      <c r="B184" s="1" t="s">
        <v>34</v>
      </c>
      <c r="C184" s="1">
        <v>2016</v>
      </c>
      <c r="D184" s="1" t="s">
        <v>610</v>
      </c>
      <c r="E184" t="s">
        <v>103</v>
      </c>
      <c r="F184" t="str">
        <f t="shared" si="4"/>
        <v>Haiti:Male Condom</v>
      </c>
      <c r="G184" s="862">
        <v>1.2961140101533699E-2</v>
      </c>
      <c r="H184" s="862">
        <v>3.0638761269129199E-3</v>
      </c>
      <c r="I184" s="862">
        <v>7.6861002193885099E-4</v>
      </c>
      <c r="J184" s="862">
        <v>1.35647636664183E-2</v>
      </c>
      <c r="K184" s="862">
        <v>2.7602229321427401E-2</v>
      </c>
      <c r="L184" s="862">
        <v>3.3038959201764102E-4</v>
      </c>
      <c r="M184" s="710">
        <f t="shared" si="5"/>
        <v>5.8291008830248812E-2</v>
      </c>
    </row>
    <row r="185" spans="1:13" x14ac:dyDescent="0.25">
      <c r="B185" s="1" t="s">
        <v>34</v>
      </c>
      <c r="C185" s="1">
        <v>2016</v>
      </c>
      <c r="D185" s="1" t="s">
        <v>610</v>
      </c>
      <c r="E185" t="s">
        <v>129</v>
      </c>
      <c r="F185" t="str">
        <f t="shared" si="4"/>
        <v>Haiti:Male Sterilization</v>
      </c>
      <c r="G185" s="862">
        <v>5.7954271299051998E-4</v>
      </c>
      <c r="H185" s="862"/>
      <c r="I185" s="862">
        <v>1.91053772482253E-4</v>
      </c>
      <c r="J185" s="862"/>
      <c r="K185" s="862"/>
      <c r="L185" s="862"/>
      <c r="M185" s="710">
        <f t="shared" si="5"/>
        <v>7.70596485472773E-4</v>
      </c>
    </row>
    <row r="186" spans="1:13" x14ac:dyDescent="0.25">
      <c r="B186" s="1" t="s">
        <v>34</v>
      </c>
      <c r="C186" s="1">
        <v>2016</v>
      </c>
      <c r="D186" s="1" t="s">
        <v>610</v>
      </c>
      <c r="E186" t="s">
        <v>110</v>
      </c>
      <c r="F186" t="str">
        <f t="shared" si="4"/>
        <v>Haiti:OC Pills</v>
      </c>
      <c r="G186" s="862">
        <v>5.8405733433304699E-3</v>
      </c>
      <c r="H186" s="862">
        <v>1.6274857706002799E-3</v>
      </c>
      <c r="I186" s="862">
        <v>5.9820019072010498E-4</v>
      </c>
      <c r="J186" s="862">
        <v>4.3995170909357801E-3</v>
      </c>
      <c r="K186" s="862">
        <v>6.3213624823544895E-4</v>
      </c>
      <c r="L186" s="862"/>
      <c r="M186" s="710">
        <f t="shared" si="5"/>
        <v>1.3097912643822084E-2</v>
      </c>
    </row>
    <row r="187" spans="1:13" x14ac:dyDescent="0.25">
      <c r="B187" s="860" t="s">
        <v>34</v>
      </c>
      <c r="C187" s="1">
        <v>2016</v>
      </c>
      <c r="D187" s="1" t="s">
        <v>610</v>
      </c>
      <c r="E187" t="s">
        <v>130</v>
      </c>
      <c r="F187" t="str">
        <f t="shared" si="4"/>
        <v>Haiti:Other Modern Methods</v>
      </c>
      <c r="G187" s="862"/>
      <c r="H187" s="862"/>
      <c r="I187" s="862"/>
      <c r="J187" s="862"/>
      <c r="K187" s="862">
        <v>1.12225380130519E-4</v>
      </c>
      <c r="L187" s="862"/>
      <c r="M187" s="710">
        <f t="shared" si="5"/>
        <v>1.12225380130519E-4</v>
      </c>
    </row>
    <row r="188" spans="1:13" x14ac:dyDescent="0.25">
      <c r="A188" s="119"/>
      <c r="B188" s="861" t="s">
        <v>34</v>
      </c>
      <c r="C188" s="861">
        <v>2016</v>
      </c>
      <c r="D188" s="861" t="s">
        <v>610</v>
      </c>
      <c r="E188" s="861" t="s">
        <v>313</v>
      </c>
      <c r="F188" t="str">
        <f t="shared" si="4"/>
        <v>Haiti:Total</v>
      </c>
      <c r="G188" s="863">
        <v>0.10527785878550773</v>
      </c>
      <c r="H188" s="863">
        <v>3.1092858270752869E-2</v>
      </c>
      <c r="I188" s="863">
        <v>1.6148643017958268E-2</v>
      </c>
      <c r="J188" s="863">
        <v>2.2991173872983939E-2</v>
      </c>
      <c r="K188" s="863">
        <v>2.8346590949793367E-2</v>
      </c>
      <c r="L188" s="863">
        <v>5.98603226228132E-4</v>
      </c>
      <c r="M188" s="710">
        <f t="shared" si="5"/>
        <v>0.2044557281232243</v>
      </c>
    </row>
    <row r="189" spans="1:13" x14ac:dyDescent="0.25">
      <c r="B189" s="1" t="s">
        <v>35</v>
      </c>
      <c r="C189" s="1">
        <v>2011</v>
      </c>
      <c r="D189" s="1" t="s">
        <v>601</v>
      </c>
      <c r="E189" t="s">
        <v>1020</v>
      </c>
      <c r="F189" t="str">
        <f t="shared" si="4"/>
        <v>Honduras:Female Condom</v>
      </c>
      <c r="G189" s="862">
        <v>1.48839478387949E-5</v>
      </c>
      <c r="H189" s="862"/>
      <c r="I189" s="862"/>
      <c r="J189" s="862"/>
      <c r="K189" s="862"/>
      <c r="L189" s="862"/>
      <c r="M189" s="710">
        <f t="shared" si="5"/>
        <v>1.48839478387949E-5</v>
      </c>
    </row>
    <row r="190" spans="1:13" x14ac:dyDescent="0.25">
      <c r="B190" s="1" t="s">
        <v>35</v>
      </c>
      <c r="C190" s="1">
        <v>2011</v>
      </c>
      <c r="D190" s="1" t="s">
        <v>601</v>
      </c>
      <c r="E190" t="s">
        <v>128</v>
      </c>
      <c r="F190" t="str">
        <f t="shared" si="4"/>
        <v>Honduras:Female Sterilization</v>
      </c>
      <c r="G190" s="862">
        <v>8.9058527564652795E-2</v>
      </c>
      <c r="H190" s="862">
        <v>2.59588259299259E-5</v>
      </c>
      <c r="I190" s="862">
        <v>6.3777338363823294E-2</v>
      </c>
      <c r="J190" s="862"/>
      <c r="K190" s="862"/>
      <c r="L190" s="862">
        <v>2.1981271759405098E-3</v>
      </c>
      <c r="M190" s="710">
        <f t="shared" si="5"/>
        <v>0.15505995193034652</v>
      </c>
    </row>
    <row r="191" spans="1:13" x14ac:dyDescent="0.25">
      <c r="B191" s="1" t="s">
        <v>35</v>
      </c>
      <c r="C191" s="1">
        <v>2011</v>
      </c>
      <c r="D191" s="1" t="s">
        <v>601</v>
      </c>
      <c r="E191" t="s">
        <v>3</v>
      </c>
      <c r="F191" t="str">
        <f t="shared" si="4"/>
        <v>Honduras:Implant</v>
      </c>
      <c r="G191" s="862"/>
      <c r="H191" s="862"/>
      <c r="I191" s="862">
        <v>3.6426242578885899E-5</v>
      </c>
      <c r="J191" s="862"/>
      <c r="K191" s="862"/>
      <c r="L191" s="862"/>
      <c r="M191" s="710">
        <f t="shared" si="5"/>
        <v>3.6426242578885899E-5</v>
      </c>
    </row>
    <row r="192" spans="1:13" x14ac:dyDescent="0.25">
      <c r="B192" s="1" t="s">
        <v>35</v>
      </c>
      <c r="C192" s="1">
        <v>2011</v>
      </c>
      <c r="D192" s="1" t="s">
        <v>601</v>
      </c>
      <c r="E192" t="s">
        <v>2</v>
      </c>
      <c r="F192" t="str">
        <f t="shared" si="4"/>
        <v>Honduras:Injectable</v>
      </c>
      <c r="G192" s="862">
        <v>7.6188809419179701E-2</v>
      </c>
      <c r="H192" s="862">
        <v>2.1999244251437E-4</v>
      </c>
      <c r="I192" s="862">
        <v>1.05288620066079E-2</v>
      </c>
      <c r="J192" s="862">
        <v>2.2226762554147701E-2</v>
      </c>
      <c r="K192" s="862">
        <v>1.27684862165466E-3</v>
      </c>
      <c r="L192" s="862">
        <v>1.27153944204641E-3</v>
      </c>
      <c r="M192" s="864">
        <f t="shared" si="5"/>
        <v>0.11171281448615074</v>
      </c>
    </row>
    <row r="193" spans="1:13" x14ac:dyDescent="0.25">
      <c r="B193" s="1" t="s">
        <v>35</v>
      </c>
      <c r="C193" s="1">
        <v>2011</v>
      </c>
      <c r="D193" s="1" t="s">
        <v>601</v>
      </c>
      <c r="E193" t="s">
        <v>5</v>
      </c>
      <c r="F193" t="str">
        <f t="shared" si="4"/>
        <v>Honduras:IUD</v>
      </c>
      <c r="G193" s="862">
        <v>2.1411015133441E-2</v>
      </c>
      <c r="H193" s="862"/>
      <c r="I193" s="862">
        <v>1.15847862527139E-2</v>
      </c>
      <c r="J193" s="862"/>
      <c r="K193" s="862"/>
      <c r="L193" s="862">
        <v>9.7044426168119201E-5</v>
      </c>
      <c r="M193" s="710">
        <f t="shared" si="5"/>
        <v>3.3092845812323017E-2</v>
      </c>
    </row>
    <row r="194" spans="1:13" x14ac:dyDescent="0.25">
      <c r="B194" s="1" t="s">
        <v>35</v>
      </c>
      <c r="C194" s="1">
        <v>2011</v>
      </c>
      <c r="D194" s="1" t="s">
        <v>601</v>
      </c>
      <c r="E194" t="s">
        <v>103</v>
      </c>
      <c r="F194" t="str">
        <f t="shared" si="4"/>
        <v>Honduras:Male Condom</v>
      </c>
      <c r="G194" s="862">
        <v>1.0056317645280999E-2</v>
      </c>
      <c r="H194" s="862">
        <v>2.6273489550809702E-4</v>
      </c>
      <c r="I194" s="862">
        <v>5.4137601771716095E-4</v>
      </c>
      <c r="J194" s="862">
        <v>1.9545349003403201E-2</v>
      </c>
      <c r="K194" s="862">
        <v>4.1100975201984599E-3</v>
      </c>
      <c r="L194" s="862">
        <v>1.3498058657879901E-3</v>
      </c>
      <c r="M194" s="710">
        <f t="shared" si="5"/>
        <v>3.5865680947895912E-2</v>
      </c>
    </row>
    <row r="195" spans="1:13" x14ac:dyDescent="0.25">
      <c r="B195" s="1" t="s">
        <v>35</v>
      </c>
      <c r="C195" s="1">
        <v>2011</v>
      </c>
      <c r="D195" s="1" t="s">
        <v>601</v>
      </c>
      <c r="E195" t="s">
        <v>129</v>
      </c>
      <c r="F195" t="str">
        <f t="shared" si="4"/>
        <v>Honduras:Male Sterilization</v>
      </c>
      <c r="G195" s="862">
        <v>1.14611812077592E-4</v>
      </c>
      <c r="H195" s="862"/>
      <c r="I195" s="862">
        <v>1.10550037666905E-3</v>
      </c>
      <c r="J195" s="862"/>
      <c r="K195" s="862"/>
      <c r="L195" s="862">
        <v>3.4022230619653102E-4</v>
      </c>
      <c r="M195" s="710">
        <f t="shared" si="5"/>
        <v>1.5603344949431731E-3</v>
      </c>
    </row>
    <row r="196" spans="1:13" x14ac:dyDescent="0.25">
      <c r="A196" s="119"/>
      <c r="B196" s="860" t="s">
        <v>35</v>
      </c>
      <c r="C196" s="1">
        <v>2011</v>
      </c>
      <c r="D196" s="1" t="s">
        <v>601</v>
      </c>
      <c r="E196" t="s">
        <v>110</v>
      </c>
      <c r="F196" t="str">
        <f t="shared" si="4"/>
        <v>Honduras:OC Pills</v>
      </c>
      <c r="G196" s="862">
        <v>2.2535306563466001E-2</v>
      </c>
      <c r="H196" s="862">
        <v>6.0779101109576903E-5</v>
      </c>
      <c r="I196" s="862">
        <v>9.9458417034969295E-3</v>
      </c>
      <c r="J196" s="862">
        <v>3.6548956645238002E-2</v>
      </c>
      <c r="K196" s="862">
        <v>3.7338186598716099E-3</v>
      </c>
      <c r="L196" s="862">
        <v>1.1937588907850001E-3</v>
      </c>
      <c r="M196" s="710">
        <f t="shared" ref="M196:M259" si="6">SUM(G196:L196)</f>
        <v>7.4018461563967131E-2</v>
      </c>
    </row>
    <row r="197" spans="1:13" x14ac:dyDescent="0.25">
      <c r="B197" s="861" t="s">
        <v>35</v>
      </c>
      <c r="C197" s="861">
        <v>2011</v>
      </c>
      <c r="D197" s="861" t="s">
        <v>601</v>
      </c>
      <c r="E197" s="861" t="s">
        <v>313</v>
      </c>
      <c r="F197" t="str">
        <f t="shared" si="4"/>
        <v>Honduras:Total</v>
      </c>
      <c r="G197" s="863">
        <v>0.21937947208593689</v>
      </c>
      <c r="H197" s="863">
        <v>5.6946526506196978E-4</v>
      </c>
      <c r="I197" s="863">
        <v>9.7520130963607107E-2</v>
      </c>
      <c r="J197" s="863">
        <v>7.8321068202788904E-2</v>
      </c>
      <c r="K197" s="863">
        <v>9.12076480172473E-3</v>
      </c>
      <c r="L197" s="863">
        <v>6.4504981069245602E-3</v>
      </c>
      <c r="M197" s="710">
        <f t="shared" si="6"/>
        <v>0.41136139942604416</v>
      </c>
    </row>
    <row r="198" spans="1:13" x14ac:dyDescent="0.25">
      <c r="B198" s="1" t="s">
        <v>36</v>
      </c>
      <c r="C198" s="1">
        <v>2015</v>
      </c>
      <c r="D198" s="1" t="s">
        <v>591</v>
      </c>
      <c r="E198" t="s">
        <v>1020</v>
      </c>
      <c r="F198" t="str">
        <f t="shared" ref="F198:F261" si="7">B198&amp;":"&amp;E198</f>
        <v>India:Female Condom</v>
      </c>
      <c r="G198" s="862">
        <v>1.05937363346238E-4</v>
      </c>
      <c r="H198" s="862"/>
      <c r="I198" s="862">
        <v>3.603692228156E-5</v>
      </c>
      <c r="J198" s="862">
        <v>2.9920172767358899E-5</v>
      </c>
      <c r="K198" s="862">
        <v>2.1675595913170401E-5</v>
      </c>
      <c r="L198" s="862"/>
      <c r="M198" s="710">
        <f t="shared" si="6"/>
        <v>1.9357005430832729E-4</v>
      </c>
    </row>
    <row r="199" spans="1:13" x14ac:dyDescent="0.25">
      <c r="B199" s="1" t="s">
        <v>36</v>
      </c>
      <c r="C199" s="1">
        <v>2015</v>
      </c>
      <c r="D199" s="1" t="s">
        <v>591</v>
      </c>
      <c r="E199" t="s">
        <v>128</v>
      </c>
      <c r="F199" t="str">
        <f t="shared" si="7"/>
        <v>India:Female Sterilization</v>
      </c>
      <c r="G199" s="862">
        <v>0.229020976952826</v>
      </c>
      <c r="H199" s="862">
        <v>1.18054787592508E-3</v>
      </c>
      <c r="I199" s="862">
        <v>4.7601749208384003E-2</v>
      </c>
      <c r="J199" s="862"/>
      <c r="K199" s="862"/>
      <c r="L199" s="862">
        <v>4.7393281135533902E-4</v>
      </c>
      <c r="M199" s="710">
        <f t="shared" si="6"/>
        <v>0.27827720684849044</v>
      </c>
    </row>
    <row r="200" spans="1:13" x14ac:dyDescent="0.25">
      <c r="B200" s="1" t="s">
        <v>36</v>
      </c>
      <c r="C200" s="1">
        <v>2015</v>
      </c>
      <c r="D200" s="1" t="s">
        <v>591</v>
      </c>
      <c r="E200" t="s">
        <v>2</v>
      </c>
      <c r="F200" t="str">
        <f t="shared" si="7"/>
        <v>India:Injectable</v>
      </c>
      <c r="G200" s="862">
        <v>3.7326227627279492E-4</v>
      </c>
      <c r="H200" s="862">
        <v>9.1479935297938707E-6</v>
      </c>
      <c r="I200" s="862">
        <v>8.7078902977116401E-4</v>
      </c>
      <c r="J200" s="862">
        <v>5.7795042355579701E-5</v>
      </c>
      <c r="K200" s="862">
        <v>2.36611079860039E-5</v>
      </c>
      <c r="L200" s="862">
        <v>1.34538435831288E-5</v>
      </c>
      <c r="M200" s="710">
        <f t="shared" si="6"/>
        <v>1.3481092934984652E-3</v>
      </c>
    </row>
    <row r="201" spans="1:13" x14ac:dyDescent="0.25">
      <c r="B201" s="1" t="s">
        <v>36</v>
      </c>
      <c r="C201" s="1">
        <v>2015</v>
      </c>
      <c r="D201" s="1" t="s">
        <v>591</v>
      </c>
      <c r="E201" t="s">
        <v>5</v>
      </c>
      <c r="F201" t="str">
        <f t="shared" si="7"/>
        <v>India:IUD</v>
      </c>
      <c r="G201" s="862">
        <v>6.6267179072366676E-3</v>
      </c>
      <c r="H201" s="862">
        <v>7.5572421067922595E-5</v>
      </c>
      <c r="I201" s="862">
        <v>4.4066139660182404E-3</v>
      </c>
      <c r="J201" s="862">
        <v>9.0686415061608502E-5</v>
      </c>
      <c r="K201" s="862">
        <v>6.0401315741431102E-5</v>
      </c>
      <c r="L201" s="862">
        <v>2.5310229163446299E-5</v>
      </c>
      <c r="M201" s="864">
        <f t="shared" si="6"/>
        <v>1.1285302254289314E-2</v>
      </c>
    </row>
    <row r="202" spans="1:13" x14ac:dyDescent="0.25">
      <c r="B202" s="1" t="s">
        <v>36</v>
      </c>
      <c r="C202" s="1">
        <v>2015</v>
      </c>
      <c r="D202" s="1" t="s">
        <v>591</v>
      </c>
      <c r="E202" t="s">
        <v>103</v>
      </c>
      <c r="F202" t="str">
        <f t="shared" si="7"/>
        <v>India:Male Condom</v>
      </c>
      <c r="G202" s="862">
        <v>7.1659909826623713E-3</v>
      </c>
      <c r="H202" s="862">
        <v>8.6149324137336605E-5</v>
      </c>
      <c r="I202" s="862">
        <v>5.4397920431845997E-3</v>
      </c>
      <c r="J202" s="862">
        <v>1.23545942096861E-2</v>
      </c>
      <c r="K202" s="862">
        <v>1.6479854156862601E-2</v>
      </c>
      <c r="L202" s="862">
        <v>6.6010454698826293E-5</v>
      </c>
      <c r="M202" s="710">
        <f t="shared" si="6"/>
        <v>4.1592391171231834E-2</v>
      </c>
    </row>
    <row r="203" spans="1:13" x14ac:dyDescent="0.25">
      <c r="B203" s="1" t="s">
        <v>36</v>
      </c>
      <c r="C203" s="1">
        <v>2015</v>
      </c>
      <c r="D203" s="1" t="s">
        <v>591</v>
      </c>
      <c r="E203" t="s">
        <v>129</v>
      </c>
      <c r="F203" t="str">
        <f t="shared" si="7"/>
        <v>India:Male Sterilization</v>
      </c>
      <c r="G203" s="862">
        <v>1.8336765665996888E-3</v>
      </c>
      <c r="H203" s="862">
        <v>1.29306002996405E-6</v>
      </c>
      <c r="I203" s="862">
        <v>1.68888824438937E-4</v>
      </c>
      <c r="J203" s="862"/>
      <c r="K203" s="862"/>
      <c r="L203" s="862">
        <v>4.0994717636163203E-6</v>
      </c>
      <c r="M203" s="710">
        <f t="shared" si="6"/>
        <v>2.0079579228322064E-3</v>
      </c>
    </row>
    <row r="204" spans="1:13" x14ac:dyDescent="0.25">
      <c r="A204" s="119"/>
      <c r="B204" s="1" t="s">
        <v>36</v>
      </c>
      <c r="C204" s="1">
        <v>2015</v>
      </c>
      <c r="D204" s="1" t="s">
        <v>591</v>
      </c>
      <c r="E204" t="s">
        <v>110</v>
      </c>
      <c r="F204" t="str">
        <f t="shared" si="7"/>
        <v>India:OC Pills</v>
      </c>
      <c r="G204" s="862">
        <v>8.1481483705410258E-3</v>
      </c>
      <c r="H204" s="862">
        <v>7.5788793840882203E-5</v>
      </c>
      <c r="I204" s="862">
        <v>6.0241710875797803E-3</v>
      </c>
      <c r="J204" s="862">
        <v>9.9471633174950998E-3</v>
      </c>
      <c r="K204" s="862">
        <v>5.4593327585939298E-3</v>
      </c>
      <c r="L204" s="862">
        <v>9.8324679941484493E-5</v>
      </c>
      <c r="M204" s="710">
        <f t="shared" si="6"/>
        <v>2.9752929007992205E-2</v>
      </c>
    </row>
    <row r="205" spans="1:13" x14ac:dyDescent="0.25">
      <c r="B205" s="860" t="s">
        <v>36</v>
      </c>
      <c r="C205" s="1">
        <v>2015</v>
      </c>
      <c r="D205" s="1" t="s">
        <v>591</v>
      </c>
      <c r="E205" t="s">
        <v>130</v>
      </c>
      <c r="F205" t="str">
        <f t="shared" si="7"/>
        <v>India:Other Modern Methods</v>
      </c>
      <c r="G205" s="862">
        <v>2.5016421655466313E-6</v>
      </c>
      <c r="H205" s="862"/>
      <c r="I205" s="862">
        <v>2.9925094975321402E-6</v>
      </c>
      <c r="J205" s="862">
        <v>8.4909245015958904E-6</v>
      </c>
      <c r="K205" s="862">
        <v>1.6341501761626099E-5</v>
      </c>
      <c r="L205" s="862"/>
      <c r="M205" s="710">
        <f t="shared" si="6"/>
        <v>3.0326577926300763E-5</v>
      </c>
    </row>
    <row r="206" spans="1:13" x14ac:dyDescent="0.25">
      <c r="B206" s="861" t="s">
        <v>36</v>
      </c>
      <c r="C206" s="861">
        <v>2015</v>
      </c>
      <c r="D206" s="861" t="s">
        <v>591</v>
      </c>
      <c r="E206" s="861" t="s">
        <v>313</v>
      </c>
      <c r="F206" t="str">
        <f t="shared" si="7"/>
        <v>India:Total</v>
      </c>
      <c r="G206" s="863">
        <v>0.25327721206165033</v>
      </c>
      <c r="H206" s="863">
        <v>1.4284994685309794E-3</v>
      </c>
      <c r="I206" s="863">
        <v>6.4551033591155813E-2</v>
      </c>
      <c r="J206" s="863">
        <v>2.2488650081867342E-2</v>
      </c>
      <c r="K206" s="863">
        <v>2.2061266436858764E-2</v>
      </c>
      <c r="L206" s="863">
        <v>6.8113149050584121E-4</v>
      </c>
      <c r="M206" s="710">
        <f t="shared" si="6"/>
        <v>0.36448779313056906</v>
      </c>
    </row>
    <row r="207" spans="1:13" x14ac:dyDescent="0.25">
      <c r="B207" s="1" t="s">
        <v>37</v>
      </c>
      <c r="C207" s="1">
        <v>2017</v>
      </c>
      <c r="D207" s="1" t="s">
        <v>969</v>
      </c>
      <c r="E207" t="s">
        <v>128</v>
      </c>
      <c r="F207" t="str">
        <f t="shared" si="7"/>
        <v>Indonesia:Female Sterilization</v>
      </c>
      <c r="G207" s="862">
        <v>1.52626590191174E-2</v>
      </c>
      <c r="H207" s="862"/>
      <c r="I207" s="862">
        <v>1.2207519312299501E-2</v>
      </c>
      <c r="J207" s="862"/>
      <c r="K207" s="862"/>
      <c r="L207" s="862">
        <v>1.9412674837714401E-4</v>
      </c>
      <c r="M207" s="710">
        <f t="shared" si="6"/>
        <v>2.7664305079794043E-2</v>
      </c>
    </row>
    <row r="208" spans="1:13" x14ac:dyDescent="0.25">
      <c r="B208" s="1" t="s">
        <v>37</v>
      </c>
      <c r="C208" s="1">
        <v>2017</v>
      </c>
      <c r="D208" s="1" t="s">
        <v>969</v>
      </c>
      <c r="E208" t="s">
        <v>3</v>
      </c>
      <c r="F208" t="str">
        <f t="shared" si="7"/>
        <v>Indonesia:Implant</v>
      </c>
      <c r="G208" s="862">
        <v>2.5726699513984118E-2</v>
      </c>
      <c r="H208" s="862"/>
      <c r="I208" s="862">
        <v>8.4907593688567599E-3</v>
      </c>
      <c r="J208" s="862">
        <v>4.2038205627740697E-6</v>
      </c>
      <c r="K208" s="862"/>
      <c r="L208" s="862">
        <v>1.8653062115717999E-4</v>
      </c>
      <c r="M208" s="710">
        <f t="shared" si="6"/>
        <v>3.4408193324560826E-2</v>
      </c>
    </row>
    <row r="209" spans="1:13" x14ac:dyDescent="0.25">
      <c r="B209" s="1" t="s">
        <v>37</v>
      </c>
      <c r="C209" s="1">
        <v>2017</v>
      </c>
      <c r="D209" s="1" t="s">
        <v>969</v>
      </c>
      <c r="E209" t="s">
        <v>2</v>
      </c>
      <c r="F209" t="str">
        <f t="shared" si="7"/>
        <v>Indonesia:Injectable</v>
      </c>
      <c r="G209" s="862">
        <v>6.4809916463039061E-2</v>
      </c>
      <c r="H209" s="862"/>
      <c r="I209" s="862">
        <v>0.14395639059560689</v>
      </c>
      <c r="J209" s="862">
        <v>1.662227239475003E-4</v>
      </c>
      <c r="K209" s="862"/>
      <c r="L209" s="862">
        <v>3.034218312913925E-4</v>
      </c>
      <c r="M209" s="710">
        <f t="shared" si="6"/>
        <v>0.20923595161388486</v>
      </c>
    </row>
    <row r="210" spans="1:13" x14ac:dyDescent="0.25">
      <c r="B210" s="1" t="s">
        <v>37</v>
      </c>
      <c r="C210" s="1">
        <v>2017</v>
      </c>
      <c r="D210" s="1" t="s">
        <v>969</v>
      </c>
      <c r="E210" t="s">
        <v>5</v>
      </c>
      <c r="F210" t="str">
        <f t="shared" si="7"/>
        <v>Indonesia:IUD</v>
      </c>
      <c r="G210" s="862">
        <v>1.6496092410223252E-2</v>
      </c>
      <c r="H210" s="862"/>
      <c r="I210" s="862">
        <v>1.8000585551019199E-2</v>
      </c>
      <c r="J210" s="862"/>
      <c r="K210" s="862"/>
      <c r="L210" s="862">
        <v>5.4438794199534902E-5</v>
      </c>
      <c r="M210" s="864">
        <f t="shared" si="6"/>
        <v>3.4551116755441987E-2</v>
      </c>
    </row>
    <row r="211" spans="1:13" x14ac:dyDescent="0.25">
      <c r="B211" s="1" t="s">
        <v>37</v>
      </c>
      <c r="C211" s="1">
        <v>2017</v>
      </c>
      <c r="D211" s="1" t="s">
        <v>969</v>
      </c>
      <c r="E211" t="s">
        <v>103</v>
      </c>
      <c r="F211" t="str">
        <f t="shared" si="7"/>
        <v>Indonesia:Male Condom</v>
      </c>
      <c r="G211" s="862">
        <v>6.9067685945541904E-4</v>
      </c>
      <c r="H211" s="862"/>
      <c r="I211" s="862">
        <v>4.5968761632925501E-4</v>
      </c>
      <c r="J211" s="862">
        <v>1.34339387794301E-2</v>
      </c>
      <c r="K211" s="862">
        <v>3.6617549453539602E-3</v>
      </c>
      <c r="L211" s="862">
        <v>8.0872167550661599E-5</v>
      </c>
      <c r="M211" s="710">
        <f t="shared" si="6"/>
        <v>1.8326930368119394E-2</v>
      </c>
    </row>
    <row r="212" spans="1:13" x14ac:dyDescent="0.25">
      <c r="A212" s="119"/>
      <c r="B212" s="1" t="s">
        <v>37</v>
      </c>
      <c r="C212" s="1">
        <v>2017</v>
      </c>
      <c r="D212" s="1" t="s">
        <v>969</v>
      </c>
      <c r="E212" t="s">
        <v>129</v>
      </c>
      <c r="F212" t="str">
        <f t="shared" si="7"/>
        <v>Indonesia:Male Sterilization</v>
      </c>
      <c r="G212" s="862">
        <v>9.7599338490086398E-4</v>
      </c>
      <c r="H212" s="862"/>
      <c r="I212" s="862">
        <v>1.69315959530108E-4</v>
      </c>
      <c r="J212" s="862"/>
      <c r="K212" s="862"/>
      <c r="L212" s="862">
        <v>7.0192577654111293E-5</v>
      </c>
      <c r="M212" s="710">
        <f t="shared" si="6"/>
        <v>1.2155019220850833E-3</v>
      </c>
    </row>
    <row r="213" spans="1:13" x14ac:dyDescent="0.25">
      <c r="B213" s="1" t="s">
        <v>37</v>
      </c>
      <c r="C213" s="1">
        <v>2017</v>
      </c>
      <c r="D213" s="1" t="s">
        <v>969</v>
      </c>
      <c r="E213" t="s">
        <v>110</v>
      </c>
      <c r="F213" t="str">
        <f t="shared" si="7"/>
        <v>Indonesia:OC Pills</v>
      </c>
      <c r="G213" s="862">
        <v>1.707977728793272E-2</v>
      </c>
      <c r="H213" s="862"/>
      <c r="I213" s="862">
        <v>1.35274347809666E-2</v>
      </c>
      <c r="J213" s="862">
        <v>4.54676486024016E-2</v>
      </c>
      <c r="K213" s="862">
        <v>1.08852550415346E-2</v>
      </c>
      <c r="L213" s="862">
        <v>3.7526220150203301E-4</v>
      </c>
      <c r="M213" s="710">
        <f t="shared" si="6"/>
        <v>8.733537791433757E-2</v>
      </c>
    </row>
    <row r="214" spans="1:13" x14ac:dyDescent="0.25">
      <c r="B214" s="860" t="s">
        <v>37</v>
      </c>
      <c r="C214" s="1">
        <v>2017</v>
      </c>
      <c r="D214" s="1" t="s">
        <v>969</v>
      </c>
      <c r="E214" t="s">
        <v>130</v>
      </c>
      <c r="F214" t="str">
        <f t="shared" si="7"/>
        <v>Indonesia:Other Modern Methods</v>
      </c>
      <c r="G214" s="862">
        <v>1.090863658821417E-4</v>
      </c>
      <c r="H214" s="862"/>
      <c r="I214" s="862">
        <v>6.6486953644900502E-5</v>
      </c>
      <c r="J214" s="862"/>
      <c r="K214" s="862"/>
      <c r="L214" s="862">
        <v>4.80913662946924E-4</v>
      </c>
      <c r="M214" s="710">
        <f t="shared" si="6"/>
        <v>6.5648698247396619E-4</v>
      </c>
    </row>
    <row r="215" spans="1:13" x14ac:dyDescent="0.25">
      <c r="B215" s="861" t="s">
        <v>37</v>
      </c>
      <c r="C215" s="861">
        <v>2017</v>
      </c>
      <c r="D215" s="861" t="s">
        <v>969</v>
      </c>
      <c r="E215" s="861" t="s">
        <v>313</v>
      </c>
      <c r="F215" t="str">
        <f t="shared" si="7"/>
        <v>Indonesia:Total</v>
      </c>
      <c r="G215" s="863">
        <v>0.14115090130453498</v>
      </c>
      <c r="H215" s="863"/>
      <c r="I215" s="863">
        <v>0.1968781801382532</v>
      </c>
      <c r="J215" s="863">
        <v>5.9072013926341968E-2</v>
      </c>
      <c r="K215" s="863">
        <v>1.454700998688856E-2</v>
      </c>
      <c r="L215" s="863">
        <v>1.7457586046789814E-3</v>
      </c>
      <c r="M215" s="710">
        <f t="shared" si="6"/>
        <v>0.41339386396069772</v>
      </c>
    </row>
    <row r="216" spans="1:13" x14ac:dyDescent="0.25">
      <c r="B216" s="1" t="s">
        <v>203</v>
      </c>
      <c r="C216" s="1">
        <v>2017</v>
      </c>
      <c r="D216" s="1" t="s">
        <v>969</v>
      </c>
      <c r="E216" t="s">
        <v>1020</v>
      </c>
      <c r="F216" t="str">
        <f t="shared" si="7"/>
        <v>Jordan:Female Condom</v>
      </c>
      <c r="G216" s="862">
        <v>4.3939683853622703E-5</v>
      </c>
      <c r="H216" s="862">
        <v>1.9233508547804301E-5</v>
      </c>
      <c r="I216" s="862"/>
      <c r="J216" s="862">
        <v>3.2078658300283702E-4</v>
      </c>
      <c r="K216" s="862"/>
      <c r="L216" s="862"/>
      <c r="M216" s="710">
        <f t="shared" si="6"/>
        <v>3.8395977540426403E-4</v>
      </c>
    </row>
    <row r="217" spans="1:13" x14ac:dyDescent="0.25">
      <c r="B217" s="1" t="s">
        <v>203</v>
      </c>
      <c r="C217" s="1">
        <v>2017</v>
      </c>
      <c r="D217" s="1" t="s">
        <v>969</v>
      </c>
      <c r="E217" t="s">
        <v>128</v>
      </c>
      <c r="F217" t="str">
        <f t="shared" si="7"/>
        <v>Jordan:Female Sterilization</v>
      </c>
      <c r="G217" s="862">
        <v>9.5989121466948605E-3</v>
      </c>
      <c r="H217" s="862">
        <v>3.6231228354337302E-4</v>
      </c>
      <c r="I217" s="862">
        <v>4.2866129466394504E-3</v>
      </c>
      <c r="J217" s="862"/>
      <c r="K217" s="862"/>
      <c r="L217" s="862"/>
      <c r="M217" s="710">
        <f t="shared" si="6"/>
        <v>1.4247837376877685E-2</v>
      </c>
    </row>
    <row r="218" spans="1:13" x14ac:dyDescent="0.25">
      <c r="B218" s="1" t="s">
        <v>203</v>
      </c>
      <c r="C218" s="1">
        <v>2017</v>
      </c>
      <c r="D218" s="1" t="s">
        <v>969</v>
      </c>
      <c r="E218" t="s">
        <v>3</v>
      </c>
      <c r="F218" t="str">
        <f t="shared" si="7"/>
        <v>Jordan:Implant</v>
      </c>
      <c r="G218" s="862">
        <v>2.27007160685658E-3</v>
      </c>
      <c r="H218" s="862">
        <v>1.1944720837613999E-5</v>
      </c>
      <c r="I218" s="862">
        <v>3.0202839613618497E-4</v>
      </c>
      <c r="J218" s="862"/>
      <c r="K218" s="862"/>
      <c r="L218" s="862"/>
      <c r="M218" s="710">
        <f t="shared" si="6"/>
        <v>2.5840447238303786E-3</v>
      </c>
    </row>
    <row r="219" spans="1:13" x14ac:dyDescent="0.25">
      <c r="B219" s="1" t="s">
        <v>203</v>
      </c>
      <c r="C219" s="1">
        <v>2017</v>
      </c>
      <c r="D219" s="1" t="s">
        <v>969</v>
      </c>
      <c r="E219" t="s">
        <v>2</v>
      </c>
      <c r="F219" t="str">
        <f t="shared" si="7"/>
        <v>Jordan:Injectable</v>
      </c>
      <c r="G219" s="862">
        <v>5.2418512440438004E-3</v>
      </c>
      <c r="H219" s="862">
        <v>1.05982887800103E-3</v>
      </c>
      <c r="I219" s="862">
        <v>7.8919417861217703E-4</v>
      </c>
      <c r="J219" s="862"/>
      <c r="K219" s="862"/>
      <c r="L219" s="862"/>
      <c r="M219" s="864">
        <f t="shared" si="6"/>
        <v>7.0908743006570076E-3</v>
      </c>
    </row>
    <row r="220" spans="1:13" x14ac:dyDescent="0.25">
      <c r="A220" s="119"/>
      <c r="B220" s="1" t="s">
        <v>203</v>
      </c>
      <c r="C220" s="1">
        <v>2017</v>
      </c>
      <c r="D220" s="1" t="s">
        <v>969</v>
      </c>
      <c r="E220" t="s">
        <v>5</v>
      </c>
      <c r="F220" t="str">
        <f t="shared" si="7"/>
        <v>Jordan:IUD</v>
      </c>
      <c r="G220" s="862">
        <v>9.4315222929653997E-2</v>
      </c>
      <c r="H220" s="862">
        <v>3.5277504319343997E-2</v>
      </c>
      <c r="I220" s="862">
        <v>6.3620568340169395E-2</v>
      </c>
      <c r="J220" s="862"/>
      <c r="K220" s="862"/>
      <c r="L220" s="862"/>
      <c r="M220" s="710">
        <f t="shared" si="6"/>
        <v>0.19321329558916739</v>
      </c>
    </row>
    <row r="221" spans="1:13" x14ac:dyDescent="0.25">
      <c r="B221" s="1" t="s">
        <v>203</v>
      </c>
      <c r="C221" s="1">
        <v>2017</v>
      </c>
      <c r="D221" s="1" t="s">
        <v>969</v>
      </c>
      <c r="E221" t="s">
        <v>103</v>
      </c>
      <c r="F221" t="str">
        <f t="shared" si="7"/>
        <v>Jordan:Male Condom</v>
      </c>
      <c r="G221" s="862">
        <v>2.2450943102967899E-2</v>
      </c>
      <c r="H221" s="862">
        <v>4.1949382217674703E-3</v>
      </c>
      <c r="I221" s="862">
        <v>5.9452741631095096E-4</v>
      </c>
      <c r="J221" s="862">
        <v>2.0465113316815099E-2</v>
      </c>
      <c r="K221" s="862">
        <v>1.8265981802955601E-5</v>
      </c>
      <c r="L221" s="862">
        <v>9.9353940803519408E-6</v>
      </c>
      <c r="M221" s="710">
        <f t="shared" si="6"/>
        <v>4.7733723433744733E-2</v>
      </c>
    </row>
    <row r="222" spans="1:13" x14ac:dyDescent="0.25">
      <c r="B222" s="1" t="s">
        <v>203</v>
      </c>
      <c r="C222" s="1">
        <v>2017</v>
      </c>
      <c r="D222" s="1" t="s">
        <v>969</v>
      </c>
      <c r="E222" t="s">
        <v>129</v>
      </c>
      <c r="F222" t="str">
        <f t="shared" si="7"/>
        <v>Jordan:Male Sterilization</v>
      </c>
      <c r="G222" s="862">
        <v>3.3807067357015002E-5</v>
      </c>
      <c r="H222" s="862"/>
      <c r="I222" s="862"/>
      <c r="J222" s="862"/>
      <c r="K222" s="862"/>
      <c r="L222" s="862"/>
      <c r="M222" s="710">
        <f t="shared" si="6"/>
        <v>3.3807067357015002E-5</v>
      </c>
    </row>
    <row r="223" spans="1:13" x14ac:dyDescent="0.25">
      <c r="B223" s="860" t="s">
        <v>203</v>
      </c>
      <c r="C223" s="1">
        <v>2017</v>
      </c>
      <c r="D223" s="1" t="s">
        <v>969</v>
      </c>
      <c r="E223" t="s">
        <v>110</v>
      </c>
      <c r="F223" t="str">
        <f t="shared" si="7"/>
        <v>Jordan:OC Pills</v>
      </c>
      <c r="G223" s="862">
        <v>3.2384002170667101E-2</v>
      </c>
      <c r="H223" s="862">
        <v>8.0241797225729401E-3</v>
      </c>
      <c r="I223" s="862">
        <v>2.1461274959240799E-3</v>
      </c>
      <c r="J223" s="862">
        <v>3.01673067650216E-2</v>
      </c>
      <c r="K223" s="862"/>
      <c r="L223" s="862"/>
      <c r="M223" s="710">
        <f t="shared" si="6"/>
        <v>7.2721616154185709E-2</v>
      </c>
    </row>
    <row r="224" spans="1:13" x14ac:dyDescent="0.25">
      <c r="B224" s="861" t="s">
        <v>203</v>
      </c>
      <c r="C224" s="861">
        <v>2017</v>
      </c>
      <c r="D224" s="861" t="s">
        <v>969</v>
      </c>
      <c r="E224" s="861" t="s">
        <v>313</v>
      </c>
      <c r="F224" t="str">
        <f t="shared" si="7"/>
        <v>Jordan:Total</v>
      </c>
      <c r="G224" s="863">
        <v>0.16633874995209491</v>
      </c>
      <c r="H224" s="863">
        <v>4.8949941654614221E-2</v>
      </c>
      <c r="I224" s="863">
        <v>7.1739058773792247E-2</v>
      </c>
      <c r="J224" s="863">
        <v>5.0953206664839538E-2</v>
      </c>
      <c r="K224" s="863">
        <v>1.8265981802955601E-5</v>
      </c>
      <c r="L224" s="863">
        <v>9.9353940803519408E-6</v>
      </c>
      <c r="M224" s="710">
        <f t="shared" si="6"/>
        <v>0.3380091584212242</v>
      </c>
    </row>
    <row r="225" spans="1:13" x14ac:dyDescent="0.25">
      <c r="B225" s="1" t="s">
        <v>39</v>
      </c>
      <c r="C225" s="1">
        <v>2014</v>
      </c>
      <c r="D225" s="1" t="s">
        <v>596</v>
      </c>
      <c r="E225" t="s">
        <v>1020</v>
      </c>
      <c r="F225" t="str">
        <f t="shared" si="7"/>
        <v>Kenya:Female Condom</v>
      </c>
      <c r="G225" s="862">
        <v>1.17256925743829E-4</v>
      </c>
      <c r="H225" s="862"/>
      <c r="I225" s="862"/>
      <c r="J225" s="862">
        <v>2.3291328519098301E-4</v>
      </c>
      <c r="K225" s="862">
        <v>5.81358472800422E-5</v>
      </c>
      <c r="L225" s="862"/>
      <c r="M225" s="710">
        <f t="shared" si="6"/>
        <v>4.0830605821485421E-4</v>
      </c>
    </row>
    <row r="226" spans="1:13" x14ac:dyDescent="0.25">
      <c r="B226" s="1" t="s">
        <v>39</v>
      </c>
      <c r="C226" s="1">
        <v>2014</v>
      </c>
      <c r="D226" s="1" t="s">
        <v>596</v>
      </c>
      <c r="E226" t="s">
        <v>128</v>
      </c>
      <c r="F226" t="str">
        <f t="shared" si="7"/>
        <v>Kenya:Female Sterilization</v>
      </c>
      <c r="G226" s="862">
        <v>1.6765027874533735E-2</v>
      </c>
      <c r="H226" s="862">
        <v>2.4890724572202501E-3</v>
      </c>
      <c r="I226" s="862">
        <v>2.2064815762905601E-3</v>
      </c>
      <c r="J226" s="862"/>
      <c r="K226" s="862"/>
      <c r="L226" s="862">
        <v>6.4318156870007303E-5</v>
      </c>
      <c r="M226" s="710">
        <f t="shared" si="6"/>
        <v>2.1524900064914552E-2</v>
      </c>
    </row>
    <row r="227" spans="1:13" x14ac:dyDescent="0.25">
      <c r="B227" s="1" t="s">
        <v>39</v>
      </c>
      <c r="C227" s="1">
        <v>2014</v>
      </c>
      <c r="D227" s="1" t="s">
        <v>596</v>
      </c>
      <c r="E227" t="s">
        <v>3</v>
      </c>
      <c r="F227" t="str">
        <f t="shared" si="7"/>
        <v>Kenya:Implant</v>
      </c>
      <c r="G227" s="862">
        <v>5.5950153534735481E-2</v>
      </c>
      <c r="H227" s="862">
        <v>1.57273927525074E-3</v>
      </c>
      <c r="I227" s="862">
        <v>1.36349322835666E-2</v>
      </c>
      <c r="J227" s="862"/>
      <c r="K227" s="862"/>
      <c r="L227" s="862"/>
      <c r="M227" s="710">
        <f t="shared" si="6"/>
        <v>7.1157825093552826E-2</v>
      </c>
    </row>
    <row r="228" spans="1:13" x14ac:dyDescent="0.25">
      <c r="A228" s="119"/>
      <c r="B228" s="1" t="s">
        <v>39</v>
      </c>
      <c r="C228" s="1">
        <v>2014</v>
      </c>
      <c r="D228" s="1" t="s">
        <v>596</v>
      </c>
      <c r="E228" t="s">
        <v>2</v>
      </c>
      <c r="F228" t="str">
        <f t="shared" si="7"/>
        <v>Kenya:Injectable</v>
      </c>
      <c r="G228" s="862">
        <v>0.11760169732547136</v>
      </c>
      <c r="H228" s="862">
        <v>2.9334910350952998E-3</v>
      </c>
      <c r="I228" s="862">
        <v>5.6061824405594297E-2</v>
      </c>
      <c r="J228" s="862">
        <v>1.01268018464172E-2</v>
      </c>
      <c r="K228" s="862"/>
      <c r="L228" s="862"/>
      <c r="M228" s="864">
        <f t="shared" si="6"/>
        <v>0.18672381461257817</v>
      </c>
    </row>
    <row r="229" spans="1:13" x14ac:dyDescent="0.25">
      <c r="B229" s="1" t="s">
        <v>39</v>
      </c>
      <c r="C229" s="1">
        <v>2014</v>
      </c>
      <c r="D229" s="1" t="s">
        <v>596</v>
      </c>
      <c r="E229" t="s">
        <v>5</v>
      </c>
      <c r="F229" t="str">
        <f t="shared" si="7"/>
        <v>Kenya:IUD</v>
      </c>
      <c r="G229" s="862">
        <v>1.4958647523623563E-2</v>
      </c>
      <c r="H229" s="862">
        <v>1.05705167336983E-3</v>
      </c>
      <c r="I229" s="862">
        <v>6.8772746458390498E-3</v>
      </c>
      <c r="J229" s="862"/>
      <c r="K229" s="862"/>
      <c r="L229" s="862"/>
      <c r="M229" s="710">
        <f t="shared" si="6"/>
        <v>2.289297384283244E-2</v>
      </c>
    </row>
    <row r="230" spans="1:13" x14ac:dyDescent="0.25">
      <c r="B230" s="1" t="s">
        <v>39</v>
      </c>
      <c r="C230" s="1">
        <v>2014</v>
      </c>
      <c r="D230" s="1" t="s">
        <v>596</v>
      </c>
      <c r="E230" t="s">
        <v>103</v>
      </c>
      <c r="F230" t="str">
        <f t="shared" si="7"/>
        <v>Kenya:Male Condom</v>
      </c>
      <c r="G230" s="862">
        <v>8.0259863789354444E-3</v>
      </c>
      <c r="H230" s="862">
        <v>2.5888146302602603E-4</v>
      </c>
      <c r="I230" s="862">
        <v>7.2730560732907996E-4</v>
      </c>
      <c r="J230" s="862">
        <v>5.05108773747242E-3</v>
      </c>
      <c r="K230" s="862">
        <v>1.4635822658384499E-2</v>
      </c>
      <c r="L230" s="862">
        <v>2.2658246374433299E-3</v>
      </c>
      <c r="M230" s="710">
        <f t="shared" si="6"/>
        <v>3.09649084825908E-2</v>
      </c>
    </row>
    <row r="231" spans="1:13" x14ac:dyDescent="0.25">
      <c r="B231" s="1" t="s">
        <v>39</v>
      </c>
      <c r="C231" s="1">
        <v>2014</v>
      </c>
      <c r="D231" s="1" t="s">
        <v>596</v>
      </c>
      <c r="E231" t="s">
        <v>129</v>
      </c>
      <c r="F231" t="str">
        <f t="shared" si="7"/>
        <v>Kenya:Male Sterilization</v>
      </c>
      <c r="G231" s="862">
        <v>1.69465137007366E-4</v>
      </c>
      <c r="H231" s="862"/>
      <c r="I231" s="862"/>
      <c r="J231" s="862"/>
      <c r="K231" s="862"/>
      <c r="L231" s="862"/>
      <c r="M231" s="710">
        <f t="shared" si="6"/>
        <v>1.69465137007366E-4</v>
      </c>
    </row>
    <row r="232" spans="1:13" x14ac:dyDescent="0.25">
      <c r="B232" s="860" t="s">
        <v>39</v>
      </c>
      <c r="C232" s="1">
        <v>2014</v>
      </c>
      <c r="D232" s="1" t="s">
        <v>596</v>
      </c>
      <c r="E232" t="s">
        <v>110</v>
      </c>
      <c r="F232" t="str">
        <f t="shared" si="7"/>
        <v>Kenya:OC Pills</v>
      </c>
      <c r="G232" s="862">
        <v>2.2349782942940884E-2</v>
      </c>
      <c r="H232" s="862">
        <v>3.6884610138284102E-4</v>
      </c>
      <c r="I232" s="862">
        <v>5.9172806962061704E-3</v>
      </c>
      <c r="J232" s="862">
        <v>2.4879484120465301E-2</v>
      </c>
      <c r="K232" s="862">
        <v>1.0422905485139801E-3</v>
      </c>
      <c r="L232" s="862">
        <v>4.5957495354282401E-5</v>
      </c>
      <c r="M232" s="710">
        <f t="shared" si="6"/>
        <v>5.4603641904863463E-2</v>
      </c>
    </row>
    <row r="233" spans="1:13" x14ac:dyDescent="0.25">
      <c r="B233" s="861" t="s">
        <v>39</v>
      </c>
      <c r="C233" s="861">
        <v>2014</v>
      </c>
      <c r="D233" s="861" t="s">
        <v>596</v>
      </c>
      <c r="E233" s="861" t="s">
        <v>313</v>
      </c>
      <c r="F233" t="str">
        <f t="shared" si="7"/>
        <v>Kenya:Total</v>
      </c>
      <c r="G233" s="863">
        <v>0.23593801764299166</v>
      </c>
      <c r="H233" s="863">
        <v>8.6800820053449853E-3</v>
      </c>
      <c r="I233" s="863">
        <v>8.5425099214825759E-2</v>
      </c>
      <c r="J233" s="863">
        <v>4.0290286989545905E-2</v>
      </c>
      <c r="K233" s="863">
        <v>1.573624905417852E-2</v>
      </c>
      <c r="L233" s="863">
        <v>2.3761002896676197E-3</v>
      </c>
      <c r="M233" s="710">
        <f t="shared" si="6"/>
        <v>0.38844583519655446</v>
      </c>
    </row>
    <row r="234" spans="1:13" x14ac:dyDescent="0.25">
      <c r="B234" s="1" t="s">
        <v>2018</v>
      </c>
      <c r="C234" s="1">
        <v>2012</v>
      </c>
      <c r="D234" s="1" t="s">
        <v>604</v>
      </c>
      <c r="E234" t="s">
        <v>128</v>
      </c>
      <c r="F234" t="str">
        <f t="shared" si="7"/>
        <v>Kyrgyz Rep.:Female Sterilization</v>
      </c>
      <c r="G234" s="862">
        <v>1.02435502426611E-2</v>
      </c>
      <c r="H234" s="862"/>
      <c r="I234" s="862">
        <v>1.99401555640102E-4</v>
      </c>
      <c r="J234" s="862"/>
      <c r="K234" s="862"/>
      <c r="L234" s="862"/>
      <c r="M234" s="710">
        <f t="shared" si="6"/>
        <v>1.0442951798301202E-2</v>
      </c>
    </row>
    <row r="235" spans="1:13" x14ac:dyDescent="0.25">
      <c r="B235" s="1" t="s">
        <v>2018</v>
      </c>
      <c r="C235" s="1">
        <v>2012</v>
      </c>
      <c r="D235" s="1" t="s">
        <v>604</v>
      </c>
      <c r="E235" t="s">
        <v>2</v>
      </c>
      <c r="F235" t="str">
        <f t="shared" si="7"/>
        <v>Kyrgyz Rep.:Injectable</v>
      </c>
      <c r="G235" s="862">
        <v>2.8903669037783101E-3</v>
      </c>
      <c r="H235" s="862"/>
      <c r="I235" s="862">
        <v>1.1480238571832701E-4</v>
      </c>
      <c r="J235" s="862"/>
      <c r="K235" s="862"/>
      <c r="L235" s="862"/>
      <c r="M235" s="710">
        <f t="shared" si="6"/>
        <v>3.005169289496637E-3</v>
      </c>
    </row>
    <row r="236" spans="1:13" x14ac:dyDescent="0.25">
      <c r="B236" s="1" t="s">
        <v>2018</v>
      </c>
      <c r="C236" s="1">
        <v>2012</v>
      </c>
      <c r="D236" s="1" t="s">
        <v>604</v>
      </c>
      <c r="E236" t="s">
        <v>5</v>
      </c>
      <c r="F236" t="str">
        <f t="shared" si="7"/>
        <v>Kyrgyz Rep.:IUD</v>
      </c>
      <c r="G236" s="862">
        <v>0.134968381190298</v>
      </c>
      <c r="H236" s="862"/>
      <c r="I236" s="862">
        <v>6.8795716276690098E-3</v>
      </c>
      <c r="J236" s="862">
        <v>3.7367529743335499E-3</v>
      </c>
      <c r="K236" s="862"/>
      <c r="L236" s="862"/>
      <c r="M236" s="710">
        <f t="shared" si="6"/>
        <v>0.14558470579230054</v>
      </c>
    </row>
    <row r="237" spans="1:13" x14ac:dyDescent="0.25">
      <c r="B237" s="1" t="s">
        <v>2018</v>
      </c>
      <c r="C237" s="1">
        <v>2012</v>
      </c>
      <c r="D237" s="1" t="s">
        <v>604</v>
      </c>
      <c r="E237" t="s">
        <v>103</v>
      </c>
      <c r="F237" t="str">
        <f t="shared" si="7"/>
        <v>Kyrgyz Rep.:Male Condom</v>
      </c>
      <c r="G237" s="862">
        <v>6.5785389823549397E-3</v>
      </c>
      <c r="H237" s="862"/>
      <c r="I237" s="862"/>
      <c r="J237" s="862">
        <v>4.3157098955206599E-2</v>
      </c>
      <c r="K237" s="862">
        <v>2.9433256015957499E-3</v>
      </c>
      <c r="L237" s="862">
        <v>7.6057625250847103E-5</v>
      </c>
      <c r="M237" s="864">
        <f t="shared" si="6"/>
        <v>5.2755021164408139E-2</v>
      </c>
    </row>
    <row r="238" spans="1:13" x14ac:dyDescent="0.25">
      <c r="B238" s="1" t="s">
        <v>2018</v>
      </c>
      <c r="C238" s="1">
        <v>2012</v>
      </c>
      <c r="D238" s="1" t="s">
        <v>604</v>
      </c>
      <c r="E238" t="s">
        <v>110</v>
      </c>
      <c r="F238" t="str">
        <f t="shared" si="7"/>
        <v>Kyrgyz Rep.:OC Pills</v>
      </c>
      <c r="G238" s="862">
        <v>4.4239616600192499E-3</v>
      </c>
      <c r="H238" s="862"/>
      <c r="I238" s="862">
        <v>3.3025523247440599E-4</v>
      </c>
      <c r="J238" s="862">
        <v>5.7190025709206397E-3</v>
      </c>
      <c r="K238" s="862">
        <v>2.3186366515562899E-4</v>
      </c>
      <c r="L238" s="862"/>
      <c r="M238" s="710">
        <f t="shared" si="6"/>
        <v>1.0705083128569924E-2</v>
      </c>
    </row>
    <row r="239" spans="1:13" x14ac:dyDescent="0.25">
      <c r="B239" s="860" t="s">
        <v>2018</v>
      </c>
      <c r="C239" s="1">
        <v>2012</v>
      </c>
      <c r="D239" s="1" t="s">
        <v>604</v>
      </c>
      <c r="E239" t="s">
        <v>130</v>
      </c>
      <c r="F239" t="str">
        <f t="shared" si="7"/>
        <v>Kyrgyz Rep.:Other Modern Methods</v>
      </c>
      <c r="G239" s="862"/>
      <c r="H239" s="862"/>
      <c r="I239" s="862"/>
      <c r="J239" s="862">
        <v>1.6227680001493E-4</v>
      </c>
      <c r="K239" s="862"/>
      <c r="L239" s="862"/>
      <c r="M239" s="710">
        <f t="shared" si="6"/>
        <v>1.6227680001493E-4</v>
      </c>
    </row>
    <row r="240" spans="1:13" x14ac:dyDescent="0.25">
      <c r="B240" s="861" t="s">
        <v>2018</v>
      </c>
      <c r="C240" s="861">
        <v>2012</v>
      </c>
      <c r="D240" s="861" t="s">
        <v>604</v>
      </c>
      <c r="E240" s="861" t="s">
        <v>313</v>
      </c>
      <c r="F240" t="str">
        <f t="shared" si="7"/>
        <v>Kyrgyz Rep.:Total</v>
      </c>
      <c r="G240" s="863">
        <v>0.15910479897911159</v>
      </c>
      <c r="H240" s="863"/>
      <c r="I240" s="863">
        <v>7.5240308015018442E-3</v>
      </c>
      <c r="J240" s="863">
        <v>5.2775131300475717E-2</v>
      </c>
      <c r="K240" s="863">
        <v>3.1751892667513789E-3</v>
      </c>
      <c r="L240" s="863">
        <v>7.6057625250847103E-5</v>
      </c>
      <c r="M240" s="710">
        <f t="shared" si="6"/>
        <v>0.22265520797309138</v>
      </c>
    </row>
    <row r="241" spans="1:13" x14ac:dyDescent="0.25">
      <c r="B241" s="1" t="s">
        <v>42</v>
      </c>
      <c r="C241" s="1">
        <v>2014</v>
      </c>
      <c r="D241" s="1" t="s">
        <v>596</v>
      </c>
      <c r="E241" t="s">
        <v>1020</v>
      </c>
      <c r="F241" t="str">
        <f t="shared" si="7"/>
        <v>Lesotho:Female Condom</v>
      </c>
      <c r="G241" s="862">
        <v>1.3601403224298E-3</v>
      </c>
      <c r="H241" s="862">
        <v>3.0795801494301302E-4</v>
      </c>
      <c r="I241" s="862">
        <v>1.5480275011541301E-4</v>
      </c>
      <c r="J241" s="862"/>
      <c r="K241" s="862">
        <v>2.0014952590367399E-4</v>
      </c>
      <c r="L241" s="862">
        <v>2.20753060284159E-4</v>
      </c>
      <c r="M241" s="710">
        <f t="shared" si="6"/>
        <v>2.2438036736760589E-3</v>
      </c>
    </row>
    <row r="242" spans="1:13" x14ac:dyDescent="0.25">
      <c r="B242" s="1" t="s">
        <v>42</v>
      </c>
      <c r="C242" s="1">
        <v>2014</v>
      </c>
      <c r="D242" s="1" t="s">
        <v>596</v>
      </c>
      <c r="E242" t="s">
        <v>128</v>
      </c>
      <c r="F242" t="str">
        <f t="shared" si="7"/>
        <v>Lesotho:Female Sterilization</v>
      </c>
      <c r="G242" s="862">
        <v>5.5237938836744703E-3</v>
      </c>
      <c r="H242" s="862">
        <v>4.4847527936356102E-3</v>
      </c>
      <c r="I242" s="862">
        <v>3.1675819625762001E-4</v>
      </c>
      <c r="J242" s="862"/>
      <c r="K242" s="862"/>
      <c r="L242" s="862">
        <v>6.9896390853995099E-4</v>
      </c>
      <c r="M242" s="710">
        <f t="shared" si="6"/>
        <v>1.102426878210765E-2</v>
      </c>
    </row>
    <row r="243" spans="1:13" x14ac:dyDescent="0.25">
      <c r="B243" s="1" t="s">
        <v>42</v>
      </c>
      <c r="C243" s="1">
        <v>2014</v>
      </c>
      <c r="D243" s="1" t="s">
        <v>596</v>
      </c>
      <c r="E243" t="s">
        <v>3</v>
      </c>
      <c r="F243" t="str">
        <f t="shared" si="7"/>
        <v>Lesotho:Implant</v>
      </c>
      <c r="G243" s="862">
        <v>8.8312687638906207E-3</v>
      </c>
      <c r="H243" s="862">
        <v>7.6238665487558799E-4</v>
      </c>
      <c r="I243" s="862">
        <v>2.3308202882034602E-3</v>
      </c>
      <c r="J243" s="862"/>
      <c r="K243" s="862"/>
      <c r="L243" s="862">
        <v>3.2206721306655999E-4</v>
      </c>
      <c r="M243" s="710">
        <f t="shared" si="6"/>
        <v>1.2246542920036229E-2</v>
      </c>
    </row>
    <row r="244" spans="1:13" x14ac:dyDescent="0.25">
      <c r="A244" s="119"/>
      <c r="B244" s="1" t="s">
        <v>42</v>
      </c>
      <c r="C244" s="1">
        <v>2014</v>
      </c>
      <c r="D244" s="1" t="s">
        <v>596</v>
      </c>
      <c r="E244" t="s">
        <v>2</v>
      </c>
      <c r="F244" t="str">
        <f t="shared" si="7"/>
        <v>Lesotho:Injectable</v>
      </c>
      <c r="G244" s="862">
        <v>0.118302847984694</v>
      </c>
      <c r="H244" s="862">
        <v>1.66296737523987E-2</v>
      </c>
      <c r="I244" s="862">
        <v>2.4868839505782499E-2</v>
      </c>
      <c r="J244" s="862">
        <v>2.15448393271358E-3</v>
      </c>
      <c r="K244" s="862">
        <v>7.1840024762301997E-4</v>
      </c>
      <c r="L244" s="862">
        <v>5.9670150019915198E-3</v>
      </c>
      <c r="M244" s="864">
        <f t="shared" si="6"/>
        <v>0.1686412604252033</v>
      </c>
    </row>
    <row r="245" spans="1:13" x14ac:dyDescent="0.25">
      <c r="B245" s="1" t="s">
        <v>42</v>
      </c>
      <c r="C245" s="1">
        <v>2014</v>
      </c>
      <c r="D245" s="1" t="s">
        <v>596</v>
      </c>
      <c r="E245" t="s">
        <v>5</v>
      </c>
      <c r="F245" t="str">
        <f t="shared" si="7"/>
        <v>Lesotho:IUD</v>
      </c>
      <c r="G245" s="862">
        <v>3.65407116764445E-3</v>
      </c>
      <c r="H245" s="862">
        <v>4.8478130594517002E-4</v>
      </c>
      <c r="I245" s="862">
        <v>5.0227580843153104E-3</v>
      </c>
      <c r="J245" s="862"/>
      <c r="K245" s="862"/>
      <c r="L245" s="862">
        <v>3.9024498134171198E-4</v>
      </c>
      <c r="M245" s="710">
        <f t="shared" si="6"/>
        <v>9.5518555392466436E-3</v>
      </c>
    </row>
    <row r="246" spans="1:13" x14ac:dyDescent="0.25">
      <c r="B246" s="1" t="s">
        <v>42</v>
      </c>
      <c r="C246" s="1">
        <v>2014</v>
      </c>
      <c r="D246" s="1" t="s">
        <v>596</v>
      </c>
      <c r="E246" t="s">
        <v>103</v>
      </c>
      <c r="F246" t="str">
        <f t="shared" si="7"/>
        <v>Lesotho:Male Condom</v>
      </c>
      <c r="G246" s="862">
        <v>7.8601726676196207E-2</v>
      </c>
      <c r="H246" s="862">
        <v>6.4902894361827399E-3</v>
      </c>
      <c r="I246" s="862">
        <v>9.7879550730006794E-3</v>
      </c>
      <c r="J246" s="862">
        <v>5.5973573943293503E-3</v>
      </c>
      <c r="K246" s="862">
        <v>7.9678253644812597E-2</v>
      </c>
      <c r="L246" s="862">
        <v>9.2268842331186592E-3</v>
      </c>
      <c r="M246" s="710">
        <f t="shared" si="6"/>
        <v>0.1893824664576402</v>
      </c>
    </row>
    <row r="247" spans="1:13" x14ac:dyDescent="0.25">
      <c r="B247" s="1" t="s">
        <v>42</v>
      </c>
      <c r="C247" s="1">
        <v>2014</v>
      </c>
      <c r="D247" s="1" t="s">
        <v>596</v>
      </c>
      <c r="E247" t="s">
        <v>129</v>
      </c>
      <c r="F247" t="str">
        <f t="shared" si="7"/>
        <v>Lesotho:Male Sterilization</v>
      </c>
      <c r="G247" s="862"/>
      <c r="H247" s="862"/>
      <c r="I247" s="862"/>
      <c r="J247" s="862"/>
      <c r="K247" s="862"/>
      <c r="L247" s="862">
        <v>3.8166757604466301E-4</v>
      </c>
      <c r="M247" s="710">
        <f t="shared" si="6"/>
        <v>3.8166757604466301E-4</v>
      </c>
    </row>
    <row r="248" spans="1:13" x14ac:dyDescent="0.25">
      <c r="B248" s="860" t="s">
        <v>42</v>
      </c>
      <c r="C248" s="1">
        <v>2014</v>
      </c>
      <c r="D248" s="1" t="s">
        <v>596</v>
      </c>
      <c r="E248" t="s">
        <v>110</v>
      </c>
      <c r="F248" t="str">
        <f t="shared" si="7"/>
        <v>Lesotho:OC Pills</v>
      </c>
      <c r="G248" s="862">
        <v>5.2675968720310898E-2</v>
      </c>
      <c r="H248" s="862">
        <v>3.2690692009966502E-3</v>
      </c>
      <c r="I248" s="862">
        <v>1.8344227459437E-2</v>
      </c>
      <c r="J248" s="862">
        <v>1.35281593028317E-2</v>
      </c>
      <c r="K248" s="862">
        <v>2.1538373536416E-3</v>
      </c>
      <c r="L248" s="862">
        <v>1.00456276321567E-3</v>
      </c>
      <c r="M248" s="710">
        <f t="shared" si="6"/>
        <v>9.0975824800433508E-2</v>
      </c>
    </row>
    <row r="249" spans="1:13" x14ac:dyDescent="0.25">
      <c r="B249" s="861" t="s">
        <v>42</v>
      </c>
      <c r="C249" s="861">
        <v>2014</v>
      </c>
      <c r="D249" s="861" t="s">
        <v>596</v>
      </c>
      <c r="E249" s="861" t="s">
        <v>313</v>
      </c>
      <c r="F249" t="str">
        <f t="shared" si="7"/>
        <v>Lesotho:Total</v>
      </c>
      <c r="G249" s="863">
        <v>0.26894981751884045</v>
      </c>
      <c r="H249" s="863">
        <v>3.2428911158977475E-2</v>
      </c>
      <c r="I249" s="863">
        <v>6.0826161357111982E-2</v>
      </c>
      <c r="J249" s="863">
        <v>2.1280000629874632E-2</v>
      </c>
      <c r="K249" s="863">
        <v>8.2750640771980896E-2</v>
      </c>
      <c r="L249" s="863">
        <v>1.8212158737602898E-2</v>
      </c>
      <c r="M249" s="710">
        <f t="shared" si="6"/>
        <v>0.48444769017438832</v>
      </c>
    </row>
    <row r="250" spans="1:13" x14ac:dyDescent="0.25">
      <c r="B250" s="1" t="s">
        <v>43</v>
      </c>
      <c r="C250" s="1">
        <v>2013</v>
      </c>
      <c r="D250" s="1" t="s">
        <v>605</v>
      </c>
      <c r="E250" t="s">
        <v>128</v>
      </c>
      <c r="F250" t="str">
        <f t="shared" si="7"/>
        <v>Liberia:Female Sterilization</v>
      </c>
      <c r="G250" s="862">
        <v>1.4400812092581999E-3</v>
      </c>
      <c r="H250" s="862"/>
      <c r="I250" s="862">
        <v>4.75481339595488E-4</v>
      </c>
      <c r="J250" s="862"/>
      <c r="K250" s="862"/>
      <c r="L250" s="862"/>
      <c r="M250" s="710">
        <f t="shared" si="6"/>
        <v>1.915562548853688E-3</v>
      </c>
    </row>
    <row r="251" spans="1:13" x14ac:dyDescent="0.25">
      <c r="B251" s="1" t="s">
        <v>43</v>
      </c>
      <c r="C251" s="1">
        <v>2013</v>
      </c>
      <c r="D251" s="1" t="s">
        <v>605</v>
      </c>
      <c r="E251" t="s">
        <v>3</v>
      </c>
      <c r="F251" t="str">
        <f t="shared" si="7"/>
        <v>Liberia:Implant</v>
      </c>
      <c r="G251" s="862">
        <v>1.8674248380871599E-2</v>
      </c>
      <c r="H251" s="862"/>
      <c r="I251" s="862">
        <v>3.9561154673764896E-3</v>
      </c>
      <c r="J251" s="862"/>
      <c r="K251" s="862">
        <v>1.8059725475281301E-4</v>
      </c>
      <c r="L251" s="862">
        <v>4.5812426593778803E-5</v>
      </c>
      <c r="M251" s="710">
        <f t="shared" si="6"/>
        <v>2.2856773529594684E-2</v>
      </c>
    </row>
    <row r="252" spans="1:13" x14ac:dyDescent="0.25">
      <c r="A252" s="119"/>
      <c r="B252" s="1" t="s">
        <v>43</v>
      </c>
      <c r="C252" s="1">
        <v>2013</v>
      </c>
      <c r="D252" s="1" t="s">
        <v>605</v>
      </c>
      <c r="E252" t="s">
        <v>2</v>
      </c>
      <c r="F252" t="str">
        <f t="shared" si="7"/>
        <v>Liberia:Injectable</v>
      </c>
      <c r="G252" s="862">
        <v>8.085025721534822E-2</v>
      </c>
      <c r="H252" s="862"/>
      <c r="I252" s="862">
        <v>3.0183216054464002E-2</v>
      </c>
      <c r="J252" s="862">
        <v>8.6364794624099305E-3</v>
      </c>
      <c r="K252" s="862">
        <v>3.9862702466947602E-3</v>
      </c>
      <c r="L252" s="862">
        <v>4.6159260674351099E-4</v>
      </c>
      <c r="M252" s="710">
        <f t="shared" si="6"/>
        <v>0.12411781558566043</v>
      </c>
    </row>
    <row r="253" spans="1:13" x14ac:dyDescent="0.25">
      <c r="B253" s="1" t="s">
        <v>43</v>
      </c>
      <c r="C253" s="1">
        <v>2013</v>
      </c>
      <c r="D253" s="1" t="s">
        <v>605</v>
      </c>
      <c r="E253" t="s">
        <v>5</v>
      </c>
      <c r="F253" t="str">
        <f t="shared" si="7"/>
        <v>Liberia:IUD</v>
      </c>
      <c r="G253" s="862">
        <v>3.6094253417808599E-4</v>
      </c>
      <c r="H253" s="862"/>
      <c r="I253" s="862">
        <v>9.6113975485565201E-5</v>
      </c>
      <c r="J253" s="862"/>
      <c r="K253" s="862"/>
      <c r="L253" s="862"/>
      <c r="M253" s="864">
        <f t="shared" si="6"/>
        <v>4.5705650966365119E-4</v>
      </c>
    </row>
    <row r="254" spans="1:13" x14ac:dyDescent="0.25">
      <c r="B254" s="1" t="s">
        <v>43</v>
      </c>
      <c r="C254" s="1">
        <v>2013</v>
      </c>
      <c r="D254" s="1" t="s">
        <v>605</v>
      </c>
      <c r="E254" t="s">
        <v>103</v>
      </c>
      <c r="F254" t="str">
        <f t="shared" si="7"/>
        <v>Liberia:Male Condom</v>
      </c>
      <c r="G254" s="862">
        <v>2.4929933440932602E-3</v>
      </c>
      <c r="H254" s="862"/>
      <c r="I254" s="862">
        <v>1.0727777051384199E-3</v>
      </c>
      <c r="J254" s="862">
        <v>4.2799697877296096E-3</v>
      </c>
      <c r="K254" s="862">
        <v>2.46150876714864E-3</v>
      </c>
      <c r="L254" s="862"/>
      <c r="M254" s="710">
        <f t="shared" si="6"/>
        <v>1.030724960410993E-2</v>
      </c>
    </row>
    <row r="255" spans="1:13" x14ac:dyDescent="0.25">
      <c r="B255" s="860" t="s">
        <v>43</v>
      </c>
      <c r="C255" s="1">
        <v>2013</v>
      </c>
      <c r="D255" s="1" t="s">
        <v>605</v>
      </c>
      <c r="E255" t="s">
        <v>110</v>
      </c>
      <c r="F255" t="str">
        <f t="shared" si="7"/>
        <v>Liberia:OC Pills</v>
      </c>
      <c r="G255" s="862">
        <v>2.723902679180892E-2</v>
      </c>
      <c r="H255" s="862"/>
      <c r="I255" s="862">
        <v>4.8982552218146801E-3</v>
      </c>
      <c r="J255" s="862">
        <v>8.4135865037296299E-3</v>
      </c>
      <c r="K255" s="862">
        <v>2.5708060961006202E-3</v>
      </c>
      <c r="L255" s="862">
        <v>3.5483732785279498E-4</v>
      </c>
      <c r="M255" s="710">
        <f t="shared" si="6"/>
        <v>4.3476511941306646E-2</v>
      </c>
    </row>
    <row r="256" spans="1:13" x14ac:dyDescent="0.25">
      <c r="B256" s="861" t="s">
        <v>43</v>
      </c>
      <c r="C256" s="861">
        <v>2013</v>
      </c>
      <c r="D256" s="861" t="s">
        <v>605</v>
      </c>
      <c r="E256" s="861" t="s">
        <v>313</v>
      </c>
      <c r="F256" t="str">
        <f t="shared" si="7"/>
        <v>Liberia:Total</v>
      </c>
      <c r="G256" s="863">
        <v>0.13105754947555828</v>
      </c>
      <c r="H256" s="863"/>
      <c r="I256" s="863">
        <v>4.0681959763874641E-2</v>
      </c>
      <c r="J256" s="863">
        <v>2.1330035753869169E-2</v>
      </c>
      <c r="K256" s="863">
        <v>9.199182364696832E-3</v>
      </c>
      <c r="L256" s="863">
        <v>8.6224236119008483E-4</v>
      </c>
      <c r="M256" s="710">
        <f t="shared" si="6"/>
        <v>0.20313096971918901</v>
      </c>
    </row>
    <row r="257" spans="1:13" x14ac:dyDescent="0.25">
      <c r="B257" s="1" t="s">
        <v>44</v>
      </c>
      <c r="C257" s="1">
        <v>2008</v>
      </c>
      <c r="D257" s="1" t="s">
        <v>598</v>
      </c>
      <c r="E257" t="s">
        <v>1020</v>
      </c>
      <c r="F257" t="str">
        <f t="shared" si="7"/>
        <v>Madagascar:Female Condom</v>
      </c>
      <c r="G257" s="862"/>
      <c r="H257" s="862"/>
      <c r="I257" s="862"/>
      <c r="J257" s="862"/>
      <c r="K257" s="862">
        <v>1.5166791339846301E-4</v>
      </c>
      <c r="L257" s="862"/>
      <c r="M257" s="710">
        <f t="shared" si="6"/>
        <v>1.5166791339846301E-4</v>
      </c>
    </row>
    <row r="258" spans="1:13" x14ac:dyDescent="0.25">
      <c r="B258" s="1" t="s">
        <v>44</v>
      </c>
      <c r="C258" s="1">
        <v>2008</v>
      </c>
      <c r="D258" s="1" t="s">
        <v>598</v>
      </c>
      <c r="E258" t="s">
        <v>128</v>
      </c>
      <c r="F258" t="str">
        <f t="shared" si="7"/>
        <v>Madagascar:Female Sterilization</v>
      </c>
      <c r="G258" s="862">
        <v>6.9629436998071195E-3</v>
      </c>
      <c r="H258" s="862"/>
      <c r="I258" s="862">
        <v>1.6419692632574901E-3</v>
      </c>
      <c r="J258" s="862"/>
      <c r="K258" s="862"/>
      <c r="L258" s="862"/>
      <c r="M258" s="710">
        <f t="shared" si="6"/>
        <v>8.60491296306461E-3</v>
      </c>
    </row>
    <row r="259" spans="1:13" x14ac:dyDescent="0.25">
      <c r="B259" s="1" t="s">
        <v>44</v>
      </c>
      <c r="C259" s="1">
        <v>2008</v>
      </c>
      <c r="D259" s="1" t="s">
        <v>598</v>
      </c>
      <c r="E259" t="s">
        <v>3</v>
      </c>
      <c r="F259" t="str">
        <f t="shared" si="7"/>
        <v>Madagascar:Implant</v>
      </c>
      <c r="G259" s="862">
        <v>9.4838055082591098E-3</v>
      </c>
      <c r="H259" s="862"/>
      <c r="I259" s="862">
        <v>1.96649392454899E-3</v>
      </c>
      <c r="J259" s="862"/>
      <c r="K259" s="862">
        <v>3.9614676188313401E-5</v>
      </c>
      <c r="L259" s="862">
        <v>1.6664057524225301E-5</v>
      </c>
      <c r="M259" s="710">
        <f t="shared" si="6"/>
        <v>1.1506578166520638E-2</v>
      </c>
    </row>
    <row r="260" spans="1:13" x14ac:dyDescent="0.25">
      <c r="A260" s="119"/>
      <c r="B260" s="1" t="s">
        <v>44</v>
      </c>
      <c r="C260" s="1">
        <v>2008</v>
      </c>
      <c r="D260" s="1" t="s">
        <v>598</v>
      </c>
      <c r="E260" t="s">
        <v>2</v>
      </c>
      <c r="F260" t="str">
        <f t="shared" si="7"/>
        <v>Madagascar:Injectable</v>
      </c>
      <c r="G260" s="862">
        <v>0.11642868951889</v>
      </c>
      <c r="H260" s="862"/>
      <c r="I260" s="862">
        <v>2.04614047404717E-2</v>
      </c>
      <c r="J260" s="862">
        <v>1.2712344149980899E-3</v>
      </c>
      <c r="K260" s="862">
        <v>2.1846050608504901E-3</v>
      </c>
      <c r="L260" s="862">
        <v>6.8266359590431297E-5</v>
      </c>
      <c r="M260" s="864">
        <f t="shared" ref="M260:M323" si="8">SUM(G260:L260)</f>
        <v>0.14041420009480074</v>
      </c>
    </row>
    <row r="261" spans="1:13" x14ac:dyDescent="0.25">
      <c r="B261" s="1" t="s">
        <v>44</v>
      </c>
      <c r="C261" s="1">
        <v>2008</v>
      </c>
      <c r="D261" s="1" t="s">
        <v>598</v>
      </c>
      <c r="E261" t="s">
        <v>5</v>
      </c>
      <c r="F261" t="str">
        <f t="shared" si="7"/>
        <v>Madagascar:IUD</v>
      </c>
      <c r="G261" s="862">
        <v>8.2432178270193E-4</v>
      </c>
      <c r="H261" s="862"/>
      <c r="I261" s="862">
        <v>1.7832030471781699E-3</v>
      </c>
      <c r="J261" s="862"/>
      <c r="K261" s="862">
        <v>3.7563856048087498E-5</v>
      </c>
      <c r="L261" s="862"/>
      <c r="M261" s="710">
        <f t="shared" si="8"/>
        <v>2.6450886859281874E-3</v>
      </c>
    </row>
    <row r="262" spans="1:13" x14ac:dyDescent="0.25">
      <c r="B262" s="1" t="s">
        <v>44</v>
      </c>
      <c r="C262" s="1">
        <v>2008</v>
      </c>
      <c r="D262" s="1" t="s">
        <v>598</v>
      </c>
      <c r="E262" t="s">
        <v>103</v>
      </c>
      <c r="F262" t="str">
        <f t="shared" ref="F262:F337" si="9">B262&amp;":"&amp;E262</f>
        <v>Madagascar:Male Condom</v>
      </c>
      <c r="G262" s="862">
        <v>4.6286382651230103E-4</v>
      </c>
      <c r="H262" s="862"/>
      <c r="I262" s="862">
        <v>5.15010646563146E-4</v>
      </c>
      <c r="J262" s="862">
        <v>1.86040563696848E-3</v>
      </c>
      <c r="K262" s="862">
        <v>6.2022033846176501E-3</v>
      </c>
      <c r="L262" s="862">
        <v>3.9427326548359902E-4</v>
      </c>
      <c r="M262" s="710">
        <f t="shared" si="8"/>
        <v>9.4347567601451767E-3</v>
      </c>
    </row>
    <row r="263" spans="1:13" x14ac:dyDescent="0.25">
      <c r="B263" s="1" t="s">
        <v>44</v>
      </c>
      <c r="C263" s="1">
        <v>2008</v>
      </c>
      <c r="D263" s="1" t="s">
        <v>598</v>
      </c>
      <c r="E263" t="s">
        <v>129</v>
      </c>
      <c r="F263" t="str">
        <f t="shared" si="9"/>
        <v>Madagascar:Male Sterilization</v>
      </c>
      <c r="G263" s="862">
        <v>4.6201058910375141E-4</v>
      </c>
      <c r="H263" s="862"/>
      <c r="I263" s="862">
        <v>1.0667545304708299E-4</v>
      </c>
      <c r="J263" s="862"/>
      <c r="K263" s="862"/>
      <c r="L263" s="862"/>
      <c r="M263" s="710">
        <f t="shared" si="8"/>
        <v>5.6868604215083436E-4</v>
      </c>
    </row>
    <row r="264" spans="1:13" x14ac:dyDescent="0.25">
      <c r="B264" s="1" t="s">
        <v>44</v>
      </c>
      <c r="C264" s="1">
        <v>2008</v>
      </c>
      <c r="D264" s="1" t="s">
        <v>598</v>
      </c>
      <c r="E264" t="s">
        <v>110</v>
      </c>
      <c r="F264" t="str">
        <f t="shared" si="9"/>
        <v>Madagascar:OC Pills</v>
      </c>
      <c r="G264" s="862">
        <v>2.7297718397339341E-2</v>
      </c>
      <c r="H264" s="862"/>
      <c r="I264" s="862">
        <v>5.0238442500294004E-3</v>
      </c>
      <c r="J264" s="862">
        <v>8.8757276963943796E-3</v>
      </c>
      <c r="K264" s="862">
        <v>6.3334539167575797E-3</v>
      </c>
      <c r="L264" s="862">
        <v>7.6206848784897099E-5</v>
      </c>
      <c r="M264" s="710">
        <f t="shared" si="8"/>
        <v>4.7606951109305601E-2</v>
      </c>
    </row>
    <row r="265" spans="1:13" x14ac:dyDescent="0.25">
      <c r="B265" s="860" t="s">
        <v>44</v>
      </c>
      <c r="C265" s="1">
        <v>2008</v>
      </c>
      <c r="D265" s="1" t="s">
        <v>598</v>
      </c>
      <c r="E265" t="s">
        <v>130</v>
      </c>
      <c r="F265" t="str">
        <f t="shared" si="9"/>
        <v>Madagascar:Other Modern Methods</v>
      </c>
      <c r="G265" s="862"/>
      <c r="H265" s="862"/>
      <c r="I265" s="862">
        <v>1.8010503564988499E-4</v>
      </c>
      <c r="J265" s="862"/>
      <c r="K265" s="862">
        <v>1.01432345142768E-4</v>
      </c>
      <c r="L265" s="862">
        <v>2.7467453188403399E-5</v>
      </c>
      <c r="M265" s="710">
        <f t="shared" si="8"/>
        <v>3.090048339810564E-4</v>
      </c>
    </row>
    <row r="266" spans="1:13" x14ac:dyDescent="0.25">
      <c r="B266" s="861" t="s">
        <v>44</v>
      </c>
      <c r="C266" s="861">
        <v>2008</v>
      </c>
      <c r="D266" s="861" t="s">
        <v>598</v>
      </c>
      <c r="E266" s="861" t="s">
        <v>313</v>
      </c>
      <c r="F266" t="str">
        <f t="shared" si="9"/>
        <v>Madagascar:Total</v>
      </c>
      <c r="G266" s="863">
        <v>0.16192235332261359</v>
      </c>
      <c r="H266" s="863"/>
      <c r="I266" s="863">
        <v>3.1678706360745865E-2</v>
      </c>
      <c r="J266" s="863">
        <v>1.2007367748360949E-2</v>
      </c>
      <c r="K266" s="863">
        <v>1.5050541153003352E-2</v>
      </c>
      <c r="L266" s="863">
        <v>5.828779845715561E-4</v>
      </c>
      <c r="M266" s="710">
        <f t="shared" si="8"/>
        <v>0.2212418465692953</v>
      </c>
    </row>
    <row r="267" spans="1:13" x14ac:dyDescent="0.25">
      <c r="B267" s="1" t="s">
        <v>45</v>
      </c>
      <c r="C267" s="1">
        <v>2015</v>
      </c>
      <c r="D267" s="1" t="s">
        <v>591</v>
      </c>
      <c r="E267" t="s">
        <v>108</v>
      </c>
      <c r="F267" t="str">
        <f t="shared" si="9"/>
        <v>Malawi:EC</v>
      </c>
      <c r="G267" s="862">
        <v>4.6502198892900999E-5</v>
      </c>
      <c r="H267" s="862"/>
      <c r="I267" s="862"/>
      <c r="J267" s="862">
        <v>3.43468083543957E-4</v>
      </c>
      <c r="K267" s="862">
        <v>9.9689765480766004E-6</v>
      </c>
      <c r="L267" s="862"/>
      <c r="M267" s="710">
        <f t="shared" si="8"/>
        <v>3.9993925898493461E-4</v>
      </c>
    </row>
    <row r="268" spans="1:13" x14ac:dyDescent="0.25">
      <c r="A268" s="119"/>
      <c r="B268" s="1" t="s">
        <v>45</v>
      </c>
      <c r="C268" s="1">
        <v>2015</v>
      </c>
      <c r="D268" s="1" t="s">
        <v>591</v>
      </c>
      <c r="E268" t="s">
        <v>1020</v>
      </c>
      <c r="F268" t="str">
        <f t="shared" si="9"/>
        <v>Malawi:Female Condom</v>
      </c>
      <c r="G268" s="862">
        <v>2.4088873250126117E-4</v>
      </c>
      <c r="H268" s="862">
        <v>1.9427693341205201E-5</v>
      </c>
      <c r="I268" s="862"/>
      <c r="J268" s="862"/>
      <c r="K268" s="862">
        <v>2.9134557681322501E-5</v>
      </c>
      <c r="L268" s="862"/>
      <c r="M268" s="710">
        <f t="shared" si="8"/>
        <v>2.894509835237889E-4</v>
      </c>
    </row>
    <row r="269" spans="1:13" x14ac:dyDescent="0.25">
      <c r="B269" s="1" t="s">
        <v>45</v>
      </c>
      <c r="C269" s="1">
        <v>2015</v>
      </c>
      <c r="D269" s="1" t="s">
        <v>591</v>
      </c>
      <c r="E269" t="s">
        <v>128</v>
      </c>
      <c r="F269" t="str">
        <f t="shared" si="9"/>
        <v>Malawi:Female Sterilization</v>
      </c>
      <c r="G269" s="862">
        <v>5.65474692694568E-2</v>
      </c>
      <c r="H269" s="862">
        <v>2.39574823607028E-2</v>
      </c>
      <c r="I269" s="862">
        <v>2.3327048066881999E-3</v>
      </c>
      <c r="J269" s="862"/>
      <c r="K269" s="862"/>
      <c r="L269" s="862">
        <v>2.2906074608558099E-4</v>
      </c>
      <c r="M269" s="710">
        <f t="shared" si="8"/>
        <v>8.3066717182933375E-2</v>
      </c>
    </row>
    <row r="270" spans="1:13" x14ac:dyDescent="0.25">
      <c r="B270" s="1" t="s">
        <v>45</v>
      </c>
      <c r="C270" s="1">
        <v>2015</v>
      </c>
      <c r="D270" s="1" t="s">
        <v>591</v>
      </c>
      <c r="E270" t="s">
        <v>3</v>
      </c>
      <c r="F270" t="str">
        <f t="shared" si="9"/>
        <v>Malawi:Implant</v>
      </c>
      <c r="G270" s="862">
        <v>7.2574828449223E-2</v>
      </c>
      <c r="H270" s="862">
        <v>1.1321369686574E-2</v>
      </c>
      <c r="I270" s="862">
        <v>5.5562253114621197E-3</v>
      </c>
      <c r="J270" s="862">
        <v>1.1634638966845499E-5</v>
      </c>
      <c r="K270" s="862"/>
      <c r="L270" s="862">
        <v>1.0991662005388401E-4</v>
      </c>
      <c r="M270" s="864">
        <f t="shared" si="8"/>
        <v>8.9573974706279855E-2</v>
      </c>
    </row>
    <row r="271" spans="1:13" x14ac:dyDescent="0.25">
      <c r="B271" s="1" t="s">
        <v>45</v>
      </c>
      <c r="C271" s="1">
        <v>2015</v>
      </c>
      <c r="D271" s="1" t="s">
        <v>591</v>
      </c>
      <c r="E271" t="s">
        <v>2</v>
      </c>
      <c r="F271" t="str">
        <f t="shared" si="9"/>
        <v>Malawi:Injectable</v>
      </c>
      <c r="G271" s="862">
        <v>0.19442350433579719</v>
      </c>
      <c r="H271" s="862">
        <v>1.42842228983094E-2</v>
      </c>
      <c r="I271" s="862">
        <v>1.5023574667155299E-2</v>
      </c>
      <c r="J271" s="862">
        <v>2.10035340834907E-4</v>
      </c>
      <c r="K271" s="862">
        <v>2.7546466307882102E-4</v>
      </c>
      <c r="L271" s="862">
        <v>6.8784057227393701E-4</v>
      </c>
      <c r="M271" s="710">
        <f t="shared" si="8"/>
        <v>0.22490464247744957</v>
      </c>
    </row>
    <row r="272" spans="1:13" x14ac:dyDescent="0.25">
      <c r="B272" s="1" t="s">
        <v>45</v>
      </c>
      <c r="C272" s="1">
        <v>2015</v>
      </c>
      <c r="D272" s="1" t="s">
        <v>591</v>
      </c>
      <c r="E272" t="s">
        <v>5</v>
      </c>
      <c r="F272" t="str">
        <f t="shared" si="9"/>
        <v>Malawi:IUD</v>
      </c>
      <c r="G272" s="862">
        <v>5.6502858121796548E-3</v>
      </c>
      <c r="H272" s="862">
        <v>1.9166627057853301E-3</v>
      </c>
      <c r="I272" s="862">
        <v>4.4920686788302902E-4</v>
      </c>
      <c r="J272" s="862">
        <v>1.5099259139713899E-5</v>
      </c>
      <c r="K272" s="862"/>
      <c r="L272" s="862"/>
      <c r="M272" s="710">
        <f t="shared" si="8"/>
        <v>8.031254644987728E-3</v>
      </c>
    </row>
    <row r="273" spans="1:27" x14ac:dyDescent="0.25">
      <c r="B273" s="1" t="s">
        <v>45</v>
      </c>
      <c r="C273" s="1">
        <v>2015</v>
      </c>
      <c r="D273" s="1" t="s">
        <v>591</v>
      </c>
      <c r="E273" t="s">
        <v>103</v>
      </c>
      <c r="F273" t="str">
        <f t="shared" si="9"/>
        <v>Malawi:Male Condom</v>
      </c>
      <c r="G273" s="862">
        <v>1.3546384890570189E-2</v>
      </c>
      <c r="H273" s="862">
        <v>1.6986741444645201E-3</v>
      </c>
      <c r="I273" s="862">
        <v>1.1875541582581099E-3</v>
      </c>
      <c r="J273" s="862">
        <v>1.96067382087018E-4</v>
      </c>
      <c r="K273" s="862">
        <v>9.0634284176597506E-3</v>
      </c>
      <c r="L273" s="862"/>
      <c r="M273" s="710">
        <f t="shared" si="8"/>
        <v>2.5692108993039586E-2</v>
      </c>
    </row>
    <row r="274" spans="1:27" x14ac:dyDescent="0.25">
      <c r="B274" s="1" t="s">
        <v>45</v>
      </c>
      <c r="C274" s="1">
        <v>2015</v>
      </c>
      <c r="D274" s="1" t="s">
        <v>591</v>
      </c>
      <c r="E274" t="s">
        <v>129</v>
      </c>
      <c r="F274" t="str">
        <f t="shared" si="9"/>
        <v>Malawi:Male Sterilization</v>
      </c>
      <c r="G274" s="862">
        <v>4.5779472724710398E-4</v>
      </c>
      <c r="H274" s="862">
        <v>2.9392350208439302E-4</v>
      </c>
      <c r="I274" s="862"/>
      <c r="J274" s="862"/>
      <c r="K274" s="862"/>
      <c r="L274" s="862"/>
      <c r="M274" s="710">
        <f t="shared" si="8"/>
        <v>7.51718229331497E-4</v>
      </c>
    </row>
    <row r="275" spans="1:27" x14ac:dyDescent="0.25">
      <c r="B275" s="1" t="s">
        <v>45</v>
      </c>
      <c r="C275" s="1">
        <v>2015</v>
      </c>
      <c r="D275" s="1" t="s">
        <v>591</v>
      </c>
      <c r="E275" t="s">
        <v>110</v>
      </c>
      <c r="F275" t="str">
        <f t="shared" si="9"/>
        <v>Malawi:OC Pills</v>
      </c>
      <c r="G275" s="862">
        <v>1.414116422929524E-2</v>
      </c>
      <c r="H275" s="862">
        <v>8.9412499702942597E-4</v>
      </c>
      <c r="I275" s="862">
        <v>2.0413669654014599E-3</v>
      </c>
      <c r="J275" s="862">
        <v>1.31735731051367E-4</v>
      </c>
      <c r="K275" s="862">
        <v>1.8083788110927001E-4</v>
      </c>
      <c r="L275" s="862"/>
      <c r="M275" s="710">
        <f t="shared" si="8"/>
        <v>1.7389229803886762E-2</v>
      </c>
    </row>
    <row r="276" spans="1:27" x14ac:dyDescent="0.25">
      <c r="A276" s="119"/>
      <c r="B276" s="860" t="s">
        <v>45</v>
      </c>
      <c r="C276" s="1">
        <v>2015</v>
      </c>
      <c r="D276" s="1" t="s">
        <v>591</v>
      </c>
      <c r="E276" t="s">
        <v>130</v>
      </c>
      <c r="F276" t="str">
        <f t="shared" si="9"/>
        <v>Malawi:Other Modern Methods</v>
      </c>
      <c r="G276" s="862">
        <v>3.2192773649302603E-4</v>
      </c>
      <c r="H276" s="862"/>
      <c r="I276" s="862"/>
      <c r="J276" s="862"/>
      <c r="K276" s="862">
        <v>9.7017100366801793E-5</v>
      </c>
      <c r="L276" s="862">
        <v>4.8461078478759606E-5</v>
      </c>
      <c r="M276" s="710">
        <f t="shared" si="8"/>
        <v>4.6740591533858743E-4</v>
      </c>
    </row>
    <row r="277" spans="1:27" x14ac:dyDescent="0.25">
      <c r="B277" s="861" t="s">
        <v>45</v>
      </c>
      <c r="C277" s="861">
        <v>2015</v>
      </c>
      <c r="D277" s="861" t="s">
        <v>591</v>
      </c>
      <c r="E277" s="861" t="s">
        <v>313</v>
      </c>
      <c r="F277" t="str">
        <f t="shared" si="9"/>
        <v>Malawi:Total</v>
      </c>
      <c r="G277" s="863">
        <v>0.35795075038165641</v>
      </c>
      <c r="H277" s="863">
        <v>5.4385887988291075E-2</v>
      </c>
      <c r="I277" s="863">
        <v>2.6590632776848217E-2</v>
      </c>
      <c r="J277" s="863">
        <v>9.0804043562380844E-4</v>
      </c>
      <c r="K277" s="863">
        <v>9.6558515964440417E-3</v>
      </c>
      <c r="L277" s="863">
        <v>1.0752790168921617E-3</v>
      </c>
      <c r="M277" s="710">
        <f t="shared" si="8"/>
        <v>0.4505664421957557</v>
      </c>
    </row>
    <row r="278" spans="1:27" x14ac:dyDescent="0.25">
      <c r="B278" s="1" t="s">
        <v>46</v>
      </c>
      <c r="C278" s="1">
        <v>2018</v>
      </c>
      <c r="D278" s="1" t="s">
        <v>1146</v>
      </c>
      <c r="E278" t="s">
        <v>1020</v>
      </c>
      <c r="F278" t="str">
        <f t="shared" si="9"/>
        <v>Mali:Female Condom</v>
      </c>
      <c r="G278" s="862"/>
      <c r="H278" s="862"/>
      <c r="I278" s="862"/>
      <c r="J278" s="862">
        <v>4.8664225915807702E-5</v>
      </c>
      <c r="K278" s="862"/>
      <c r="L278" s="862"/>
      <c r="M278" s="710">
        <f t="shared" si="8"/>
        <v>4.8664225915807702E-5</v>
      </c>
    </row>
    <row r="279" spans="1:27" x14ac:dyDescent="0.25">
      <c r="B279" s="1" t="s">
        <v>46</v>
      </c>
      <c r="C279" s="1">
        <v>2018</v>
      </c>
      <c r="D279" s="1" t="s">
        <v>1146</v>
      </c>
      <c r="E279" t="s">
        <v>128</v>
      </c>
      <c r="F279" t="str">
        <f t="shared" si="9"/>
        <v>Mali:Female Sterilization</v>
      </c>
      <c r="G279" s="862">
        <v>3.007021345270906E-3</v>
      </c>
      <c r="H279" s="862"/>
      <c r="I279" s="862">
        <v>5.0014259168911097E-7</v>
      </c>
      <c r="J279" s="862"/>
      <c r="K279" s="862"/>
      <c r="L279" s="862"/>
      <c r="M279" s="710">
        <f t="shared" si="8"/>
        <v>3.0075214878625949E-3</v>
      </c>
    </row>
    <row r="280" spans="1:27" x14ac:dyDescent="0.25">
      <c r="B280" s="1" t="s">
        <v>46</v>
      </c>
      <c r="C280" s="1">
        <v>2018</v>
      </c>
      <c r="D280" s="1" t="s">
        <v>1146</v>
      </c>
      <c r="E280" t="s">
        <v>3</v>
      </c>
      <c r="F280" t="str">
        <f t="shared" si="9"/>
        <v>Mali:Implant</v>
      </c>
      <c r="G280" s="862">
        <v>6.1614423366113703E-2</v>
      </c>
      <c r="H280" s="862"/>
      <c r="I280" s="862">
        <v>5.1533932119089904E-3</v>
      </c>
      <c r="J280" s="862">
        <v>2.9961069999626702E-4</v>
      </c>
      <c r="K280" s="862">
        <v>3.0647351955415299E-4</v>
      </c>
      <c r="L280" s="862">
        <v>1.5135725604983999E-4</v>
      </c>
      <c r="M280" s="710">
        <f t="shared" si="8"/>
        <v>6.7525258053622944E-2</v>
      </c>
    </row>
    <row r="281" spans="1:27" x14ac:dyDescent="0.25">
      <c r="B281" s="1" t="s">
        <v>46</v>
      </c>
      <c r="C281" s="1">
        <v>2018</v>
      </c>
      <c r="D281" s="1" t="s">
        <v>1146</v>
      </c>
      <c r="E281" t="s">
        <v>2</v>
      </c>
      <c r="F281" t="str">
        <f t="shared" si="9"/>
        <v>Mali:Injectable</v>
      </c>
      <c r="G281" s="862">
        <v>3.7902213336558084E-2</v>
      </c>
      <c r="H281" s="862"/>
      <c r="I281" s="862">
        <v>1.0273624051460701E-2</v>
      </c>
      <c r="J281" s="862">
        <v>2.5412606334787899E-3</v>
      </c>
      <c r="K281" s="862">
        <v>1.4359466466386799E-3</v>
      </c>
      <c r="L281" s="862">
        <v>3.1749500432272799E-4</v>
      </c>
      <c r="M281" s="710">
        <f t="shared" si="8"/>
        <v>5.2470539672458981E-2</v>
      </c>
    </row>
    <row r="282" spans="1:27" x14ac:dyDescent="0.25">
      <c r="B282" s="1" t="s">
        <v>46</v>
      </c>
      <c r="C282" s="1">
        <v>2018</v>
      </c>
      <c r="D282" s="1" t="s">
        <v>1146</v>
      </c>
      <c r="E282" t="s">
        <v>5</v>
      </c>
      <c r="F282" t="str">
        <f t="shared" si="9"/>
        <v>Mali:IUD</v>
      </c>
      <c r="G282" s="862">
        <v>8.5089750615647709E-3</v>
      </c>
      <c r="H282" s="862"/>
      <c r="I282" s="862">
        <v>7.3749927606712702E-4</v>
      </c>
      <c r="J282" s="862"/>
      <c r="K282" s="862"/>
      <c r="L282" s="862"/>
      <c r="M282" s="864">
        <f t="shared" si="8"/>
        <v>9.2464743376318975E-3</v>
      </c>
    </row>
    <row r="283" spans="1:27" x14ac:dyDescent="0.25">
      <c r="B283" s="1" t="s">
        <v>46</v>
      </c>
      <c r="C283" s="1">
        <v>2018</v>
      </c>
      <c r="D283" s="1" t="s">
        <v>1146</v>
      </c>
      <c r="E283" t="s">
        <v>103</v>
      </c>
      <c r="F283" t="str">
        <f t="shared" si="9"/>
        <v>Mali:Male Condom</v>
      </c>
      <c r="G283" s="862"/>
      <c r="H283" s="862"/>
      <c r="I283" s="862"/>
      <c r="J283" s="862">
        <v>9.3700616539852104E-4</v>
      </c>
      <c r="K283" s="862">
        <v>2.8259178210055002E-4</v>
      </c>
      <c r="L283" s="862"/>
      <c r="M283" s="710">
        <f t="shared" si="8"/>
        <v>1.2195979474990712E-3</v>
      </c>
    </row>
    <row r="284" spans="1:27" x14ac:dyDescent="0.25">
      <c r="B284" s="1" t="s">
        <v>46</v>
      </c>
      <c r="C284" s="1">
        <v>2018</v>
      </c>
      <c r="D284" s="1" t="s">
        <v>1146</v>
      </c>
      <c r="E284" t="s">
        <v>110</v>
      </c>
      <c r="F284" t="str">
        <f t="shared" si="9"/>
        <v>Mali:OC Pills</v>
      </c>
      <c r="G284" s="862">
        <v>6.9413850097104299E-3</v>
      </c>
      <c r="H284" s="862"/>
      <c r="I284" s="862">
        <v>1.00552151755287E-3</v>
      </c>
      <c r="J284" s="862">
        <v>9.42179061984986E-3</v>
      </c>
      <c r="K284" s="862">
        <v>1.7195555406169199E-3</v>
      </c>
      <c r="L284" s="862">
        <v>8.8773551302531199E-5</v>
      </c>
      <c r="M284" s="710">
        <f t="shared" si="8"/>
        <v>1.9177026239032609E-2</v>
      </c>
    </row>
    <row r="285" spans="1:27" x14ac:dyDescent="0.25">
      <c r="B285" s="860" t="s">
        <v>46</v>
      </c>
      <c r="C285" s="1">
        <v>2018</v>
      </c>
      <c r="D285" s="1" t="s">
        <v>1146</v>
      </c>
      <c r="E285" t="s">
        <v>130</v>
      </c>
      <c r="F285" t="str">
        <f t="shared" si="9"/>
        <v>Mali:Other Modern Methods</v>
      </c>
      <c r="G285" s="862">
        <v>2.1534603730449811E-4</v>
      </c>
      <c r="H285" s="862"/>
      <c r="I285" s="862"/>
      <c r="J285" s="862"/>
      <c r="K285" s="862">
        <v>1.2698326648831701E-4</v>
      </c>
      <c r="L285" s="862">
        <v>8.2077952960912595E-5</v>
      </c>
      <c r="M285" s="710">
        <f t="shared" si="8"/>
        <v>4.2440725675372773E-4</v>
      </c>
    </row>
    <row r="286" spans="1:27" x14ac:dyDescent="0.25">
      <c r="B286" s="861" t="s">
        <v>46</v>
      </c>
      <c r="C286" s="861">
        <v>2018</v>
      </c>
      <c r="D286" s="861" t="s">
        <v>1146</v>
      </c>
      <c r="E286" s="861" t="s">
        <v>313</v>
      </c>
      <c r="F286" t="str">
        <f t="shared" si="9"/>
        <v>Mali:Total</v>
      </c>
      <c r="G286" s="863">
        <v>0.11818936415652238</v>
      </c>
      <c r="H286" s="863"/>
      <c r="I286" s="863">
        <v>1.7170538199581378E-2</v>
      </c>
      <c r="J286" s="863">
        <v>1.3248332344639246E-2</v>
      </c>
      <c r="K286" s="863">
        <v>3.87155075539862E-3</v>
      </c>
      <c r="L286" s="863">
        <v>6.3970376463601177E-4</v>
      </c>
      <c r="M286" s="710">
        <f t="shared" si="8"/>
        <v>0.15311948922077762</v>
      </c>
    </row>
    <row r="287" spans="1:27" x14ac:dyDescent="0.25">
      <c r="B287" s="1" t="s">
        <v>49</v>
      </c>
      <c r="C287" s="1">
        <v>2011</v>
      </c>
      <c r="D287" s="1" t="s">
        <v>601</v>
      </c>
      <c r="E287" t="s">
        <v>1020</v>
      </c>
      <c r="F287" t="str">
        <f t="shared" si="9"/>
        <v>Mozambique:Female Condom</v>
      </c>
      <c r="G287" s="862">
        <v>4.0014652338936401E-4</v>
      </c>
      <c r="H287" s="862"/>
      <c r="I287" s="862"/>
      <c r="J287" s="862">
        <v>2.2171742306623701E-4</v>
      </c>
      <c r="K287" s="862">
        <v>3.51006836552156E-4</v>
      </c>
      <c r="L287" s="862"/>
      <c r="M287" s="710">
        <f t="shared" si="8"/>
        <v>9.7287078300775697E-4</v>
      </c>
    </row>
    <row r="288" spans="1:27" x14ac:dyDescent="0.25">
      <c r="B288" s="1" t="s">
        <v>49</v>
      </c>
      <c r="C288" s="1">
        <v>2011</v>
      </c>
      <c r="D288" s="1" t="s">
        <v>601</v>
      </c>
      <c r="E288" t="s">
        <v>128</v>
      </c>
      <c r="F288" t="str">
        <f t="shared" si="9"/>
        <v>Mozambique:Female Sterilization</v>
      </c>
      <c r="G288" s="862">
        <v>1.5866479343180555E-3</v>
      </c>
      <c r="H288" s="862"/>
      <c r="I288" s="862">
        <v>1.1851196721236299E-4</v>
      </c>
      <c r="J288" s="862"/>
      <c r="K288" s="862"/>
      <c r="L288" s="862"/>
      <c r="M288" s="710">
        <f t="shared" si="8"/>
        <v>1.7051599015304184E-3</v>
      </c>
      <c r="AA288" s="710"/>
    </row>
    <row r="289" spans="2:27" x14ac:dyDescent="0.25">
      <c r="B289" s="1" t="s">
        <v>49</v>
      </c>
      <c r="C289" s="1">
        <v>2011</v>
      </c>
      <c r="D289" s="1" t="s">
        <v>601</v>
      </c>
      <c r="E289" t="s">
        <v>3</v>
      </c>
      <c r="F289" t="str">
        <f t="shared" si="9"/>
        <v>Mozambique:Implant</v>
      </c>
      <c r="G289" s="862">
        <v>1.5293386585929101E-4</v>
      </c>
      <c r="H289" s="862"/>
      <c r="I289" s="862"/>
      <c r="J289" s="862"/>
      <c r="K289" s="862"/>
      <c r="L289" s="862"/>
      <c r="M289" s="710">
        <f t="shared" si="8"/>
        <v>1.5293386585929101E-4</v>
      </c>
      <c r="AA289" s="710"/>
    </row>
    <row r="290" spans="2:27" x14ac:dyDescent="0.25">
      <c r="B290" s="1" t="s">
        <v>49</v>
      </c>
      <c r="C290" s="1">
        <v>2011</v>
      </c>
      <c r="D290" s="1" t="s">
        <v>601</v>
      </c>
      <c r="E290" t="s">
        <v>2</v>
      </c>
      <c r="F290" t="str">
        <f t="shared" si="9"/>
        <v>Mozambique:Injectable</v>
      </c>
      <c r="G290" s="862">
        <v>4.1088664772791599E-2</v>
      </c>
      <c r="H290" s="862">
        <v>3.9513059035563797E-5</v>
      </c>
      <c r="I290" s="862">
        <v>1.2008180350619401E-3</v>
      </c>
      <c r="J290" s="862">
        <v>8.0624954001000694E-5</v>
      </c>
      <c r="K290" s="862">
        <v>5.5964321205035402E-4</v>
      </c>
      <c r="L290" s="862">
        <v>9.0279883002896395E-5</v>
      </c>
      <c r="M290" s="710">
        <f t="shared" si="8"/>
        <v>4.3059543915943355E-2</v>
      </c>
      <c r="AA290" s="710"/>
    </row>
    <row r="291" spans="2:27" x14ac:dyDescent="0.25">
      <c r="B291" s="1" t="s">
        <v>49</v>
      </c>
      <c r="C291" s="1">
        <v>2011</v>
      </c>
      <c r="D291" s="1" t="s">
        <v>601</v>
      </c>
      <c r="E291" t="s">
        <v>5</v>
      </c>
      <c r="F291" t="str">
        <f t="shared" si="9"/>
        <v>Mozambique:IUD</v>
      </c>
      <c r="G291" s="862">
        <v>1.2744659792868699E-3</v>
      </c>
      <c r="H291" s="862"/>
      <c r="I291" s="862">
        <v>1.7713539352912401E-4</v>
      </c>
      <c r="J291" s="862"/>
      <c r="K291" s="862"/>
      <c r="L291" s="862">
        <v>4.9452018592165798E-5</v>
      </c>
      <c r="M291" s="864">
        <f t="shared" si="8"/>
        <v>1.5010533914081596E-3</v>
      </c>
      <c r="AA291" s="710"/>
    </row>
    <row r="292" spans="2:27" x14ac:dyDescent="0.25">
      <c r="B292" s="1" t="s">
        <v>49</v>
      </c>
      <c r="C292" s="1">
        <v>2011</v>
      </c>
      <c r="D292" s="1" t="s">
        <v>601</v>
      </c>
      <c r="E292" t="s">
        <v>103</v>
      </c>
      <c r="F292" t="str">
        <f t="shared" si="9"/>
        <v>Mozambique:Male Condom</v>
      </c>
      <c r="G292" s="862">
        <v>1.0243859736489828E-2</v>
      </c>
      <c r="H292" s="862">
        <v>2.6215751010591698E-4</v>
      </c>
      <c r="I292" s="862">
        <v>2.5126278482257898E-4</v>
      </c>
      <c r="J292" s="862">
        <v>5.0881958197208001E-3</v>
      </c>
      <c r="K292" s="862">
        <v>1.31178676478277E-2</v>
      </c>
      <c r="L292" s="862">
        <v>5.08063656185833E-4</v>
      </c>
      <c r="M292" s="710">
        <f t="shared" si="8"/>
        <v>2.9471407155152656E-2</v>
      </c>
      <c r="AA292" s="710"/>
    </row>
    <row r="293" spans="2:27" x14ac:dyDescent="0.25">
      <c r="B293" s="1" t="s">
        <v>49</v>
      </c>
      <c r="C293" s="1">
        <v>2011</v>
      </c>
      <c r="D293" s="1" t="s">
        <v>601</v>
      </c>
      <c r="E293" t="s">
        <v>110</v>
      </c>
      <c r="F293" t="str">
        <f t="shared" si="9"/>
        <v>Mozambique:OC Pills</v>
      </c>
      <c r="G293" s="862">
        <v>3.6755928315166692E-2</v>
      </c>
      <c r="H293" s="862">
        <v>1.09120261198922E-4</v>
      </c>
      <c r="I293" s="862">
        <v>8.9447478497615605E-4</v>
      </c>
      <c r="J293" s="862">
        <v>3.35477218610917E-3</v>
      </c>
      <c r="K293" s="862">
        <v>1.50889820765363E-3</v>
      </c>
      <c r="L293" s="862"/>
      <c r="M293" s="710">
        <f t="shared" si="8"/>
        <v>4.2623193755104566E-2</v>
      </c>
      <c r="AA293" s="710"/>
    </row>
    <row r="294" spans="2:27" x14ac:dyDescent="0.25">
      <c r="B294" s="860" t="s">
        <v>49</v>
      </c>
      <c r="C294" s="1">
        <v>2011</v>
      </c>
      <c r="D294" s="1" t="s">
        <v>601</v>
      </c>
      <c r="E294" t="s">
        <v>130</v>
      </c>
      <c r="F294" t="str">
        <f t="shared" si="9"/>
        <v>Mozambique:Other Modern Methods</v>
      </c>
      <c r="G294" s="862"/>
      <c r="H294" s="862"/>
      <c r="I294" s="862"/>
      <c r="J294" s="862"/>
      <c r="K294" s="862">
        <v>9.4307180175507701E-4</v>
      </c>
      <c r="L294" s="862">
        <v>3.0379759713773901E-4</v>
      </c>
      <c r="M294" s="710">
        <f t="shared" si="8"/>
        <v>1.246869398892816E-3</v>
      </c>
      <c r="AA294" s="710"/>
    </row>
    <row r="295" spans="2:27" x14ac:dyDescent="0.25">
      <c r="B295" s="861" t="s">
        <v>49</v>
      </c>
      <c r="C295" s="861">
        <v>2011</v>
      </c>
      <c r="D295" s="861" t="s">
        <v>601</v>
      </c>
      <c r="E295" s="861" t="s">
        <v>313</v>
      </c>
      <c r="F295" t="str">
        <f t="shared" si="9"/>
        <v>Mozambique:Total</v>
      </c>
      <c r="G295" s="863">
        <v>9.1502647127301703E-2</v>
      </c>
      <c r="H295" s="863">
        <v>4.1079083034040279E-4</v>
      </c>
      <c r="I295" s="863">
        <v>2.6422029656021622E-3</v>
      </c>
      <c r="J295" s="863">
        <v>8.7453103828972079E-3</v>
      </c>
      <c r="K295" s="863">
        <v>1.6480487705838917E-2</v>
      </c>
      <c r="L295" s="863">
        <v>9.5159315491863427E-4</v>
      </c>
      <c r="M295" s="710">
        <f t="shared" si="8"/>
        <v>0.12073303216689903</v>
      </c>
      <c r="AA295" s="710"/>
    </row>
    <row r="296" spans="2:27" x14ac:dyDescent="0.25">
      <c r="B296" s="1" t="s">
        <v>50</v>
      </c>
      <c r="C296" s="1">
        <v>2015</v>
      </c>
      <c r="D296" s="1" t="s">
        <v>591</v>
      </c>
      <c r="E296" t="s">
        <v>128</v>
      </c>
      <c r="F296" t="str">
        <f t="shared" si="9"/>
        <v>Myanmar:Female Sterilization</v>
      </c>
      <c r="G296" s="862">
        <v>2.24152087807169E-2</v>
      </c>
      <c r="H296" s="862"/>
      <c r="I296" s="862">
        <v>6.9093283218102999E-3</v>
      </c>
      <c r="J296" s="862"/>
      <c r="K296" s="862"/>
      <c r="L296" s="862">
        <v>4.1580752545502298E-5</v>
      </c>
      <c r="M296" s="710">
        <f t="shared" si="8"/>
        <v>2.9366117855072701E-2</v>
      </c>
    </row>
    <row r="297" spans="2:27" x14ac:dyDescent="0.25">
      <c r="B297" s="1" t="s">
        <v>50</v>
      </c>
      <c r="C297" s="1">
        <v>2015</v>
      </c>
      <c r="D297" s="1" t="s">
        <v>591</v>
      </c>
      <c r="E297" t="s">
        <v>3</v>
      </c>
      <c r="F297" t="str">
        <f t="shared" si="9"/>
        <v>Myanmar:Implant</v>
      </c>
      <c r="G297" s="862">
        <v>1.824250900161982E-3</v>
      </c>
      <c r="H297" s="862">
        <v>2.6611201225554501E-3</v>
      </c>
      <c r="I297" s="862">
        <v>1.1532881571033799E-3</v>
      </c>
      <c r="J297" s="862"/>
      <c r="K297" s="862"/>
      <c r="L297" s="862"/>
      <c r="M297" s="710">
        <f t="shared" si="8"/>
        <v>5.6386591798208117E-3</v>
      </c>
      <c r="AA297" s="710"/>
    </row>
    <row r="298" spans="2:27" x14ac:dyDescent="0.25">
      <c r="B298" s="1" t="s">
        <v>50</v>
      </c>
      <c r="C298" s="1">
        <v>2015</v>
      </c>
      <c r="D298" s="1" t="s">
        <v>591</v>
      </c>
      <c r="E298" t="s">
        <v>2</v>
      </c>
      <c r="F298" t="str">
        <f t="shared" si="9"/>
        <v>Myanmar:Injectable</v>
      </c>
      <c r="G298" s="862">
        <v>0.12309480145775181</v>
      </c>
      <c r="H298" s="862">
        <v>1.38058640942269E-3</v>
      </c>
      <c r="I298" s="862">
        <v>3.0589396776180101E-2</v>
      </c>
      <c r="J298" s="862">
        <v>2.4828379351124899E-3</v>
      </c>
      <c r="K298" s="862">
        <v>4.2100875941453401E-3</v>
      </c>
      <c r="L298" s="862">
        <v>4.9135986489849699E-3</v>
      </c>
      <c r="M298" s="710">
        <f t="shared" si="8"/>
        <v>0.16667130882159742</v>
      </c>
      <c r="AA298" s="710"/>
    </row>
    <row r="299" spans="2:27" x14ac:dyDescent="0.25">
      <c r="B299" s="1" t="s">
        <v>50</v>
      </c>
      <c r="C299" s="1">
        <v>2015</v>
      </c>
      <c r="D299" s="1" t="s">
        <v>591</v>
      </c>
      <c r="E299" t="s">
        <v>5</v>
      </c>
      <c r="F299" t="str">
        <f t="shared" si="9"/>
        <v>Myanmar:IUD</v>
      </c>
      <c r="G299" s="862">
        <v>7.5763372426204106E-3</v>
      </c>
      <c r="H299" s="862">
        <v>3.9153350931336603E-3</v>
      </c>
      <c r="I299" s="862">
        <v>5.6985790863032897E-3</v>
      </c>
      <c r="J299" s="862"/>
      <c r="K299" s="862"/>
      <c r="L299" s="862">
        <v>6.5683352312633399E-6</v>
      </c>
      <c r="M299" s="710">
        <f t="shared" si="8"/>
        <v>1.7196819757288626E-2</v>
      </c>
      <c r="AA299" s="710"/>
    </row>
    <row r="300" spans="2:27" x14ac:dyDescent="0.25">
      <c r="B300" s="1" t="s">
        <v>50</v>
      </c>
      <c r="C300" s="1">
        <v>2015</v>
      </c>
      <c r="D300" s="1" t="s">
        <v>591</v>
      </c>
      <c r="E300" t="s">
        <v>103</v>
      </c>
      <c r="F300" t="str">
        <f t="shared" si="9"/>
        <v>Myanmar:Male Condom</v>
      </c>
      <c r="G300" s="862">
        <v>6.1094799761671095E-4</v>
      </c>
      <c r="H300" s="862">
        <v>4.4094078101683499E-4</v>
      </c>
      <c r="I300" s="862">
        <v>5.8694753211356999E-4</v>
      </c>
      <c r="J300" s="862">
        <v>2.33417406334991E-3</v>
      </c>
      <c r="K300" s="862">
        <v>2.2856543120132501E-3</v>
      </c>
      <c r="L300" s="862"/>
      <c r="M300" s="864">
        <f t="shared" si="8"/>
        <v>6.258664686110276E-3</v>
      </c>
      <c r="AA300" s="710"/>
    </row>
    <row r="301" spans="2:27" x14ac:dyDescent="0.25">
      <c r="B301" s="1" t="s">
        <v>50</v>
      </c>
      <c r="C301" s="1">
        <v>2015</v>
      </c>
      <c r="D301" s="1" t="s">
        <v>591</v>
      </c>
      <c r="E301" t="s">
        <v>129</v>
      </c>
      <c r="F301" t="str">
        <f t="shared" si="9"/>
        <v>Myanmar:Male Sterilization</v>
      </c>
      <c r="G301" s="862">
        <v>9.0193278425607895E-4</v>
      </c>
      <c r="H301" s="862"/>
      <c r="I301" s="862">
        <v>5.3366456776917704E-4</v>
      </c>
      <c r="J301" s="862"/>
      <c r="K301" s="862"/>
      <c r="L301" s="862">
        <v>1.3679006508703299E-5</v>
      </c>
      <c r="M301" s="710">
        <f t="shared" si="8"/>
        <v>1.4492763585339592E-3</v>
      </c>
      <c r="AA301" s="710"/>
    </row>
    <row r="302" spans="2:27" x14ac:dyDescent="0.25">
      <c r="B302" s="860" t="s">
        <v>50</v>
      </c>
      <c r="C302" s="1">
        <v>2015</v>
      </c>
      <c r="D302" s="1" t="s">
        <v>591</v>
      </c>
      <c r="E302" t="s">
        <v>110</v>
      </c>
      <c r="F302" t="str">
        <f t="shared" si="9"/>
        <v>Myanmar:OC Pills</v>
      </c>
      <c r="G302" s="862">
        <v>1.153805169129545E-2</v>
      </c>
      <c r="H302" s="862">
        <v>1.7151944010585101E-4</v>
      </c>
      <c r="I302" s="862">
        <v>2.8850533768366802E-3</v>
      </c>
      <c r="J302" s="862">
        <v>3.6552932244168099E-2</v>
      </c>
      <c r="K302" s="862">
        <v>3.2067772707673602E-2</v>
      </c>
      <c r="L302" s="862">
        <v>1.0020372461646E-4</v>
      </c>
      <c r="M302" s="710">
        <f t="shared" si="8"/>
        <v>8.3315533184696131E-2</v>
      </c>
      <c r="AA302" s="710"/>
    </row>
    <row r="303" spans="2:27" x14ac:dyDescent="0.25">
      <c r="B303" s="861" t="s">
        <v>50</v>
      </c>
      <c r="C303" s="861">
        <v>2015</v>
      </c>
      <c r="D303" s="861" t="s">
        <v>591</v>
      </c>
      <c r="E303" s="861" t="s">
        <v>313</v>
      </c>
      <c r="F303" t="str">
        <f t="shared" si="9"/>
        <v>Myanmar:Total</v>
      </c>
      <c r="G303" s="863">
        <v>0.16796153085441937</v>
      </c>
      <c r="H303" s="863">
        <v>8.5695018462344872E-3</v>
      </c>
      <c r="I303" s="863">
        <v>4.8356257818116498E-2</v>
      </c>
      <c r="J303" s="863">
        <v>4.1369944242630498E-2</v>
      </c>
      <c r="K303" s="863">
        <v>3.8563514613832187E-2</v>
      </c>
      <c r="L303" s="863">
        <v>5.0756304678868987E-3</v>
      </c>
      <c r="M303" s="710">
        <f t="shared" si="8"/>
        <v>0.30989637984311991</v>
      </c>
      <c r="AA303" s="710"/>
    </row>
    <row r="304" spans="2:27" x14ac:dyDescent="0.25">
      <c r="B304" s="1" t="s">
        <v>51</v>
      </c>
      <c r="C304" s="1">
        <v>2016</v>
      </c>
      <c r="D304" s="1" t="s">
        <v>610</v>
      </c>
      <c r="E304" t="s">
        <v>108</v>
      </c>
      <c r="F304" t="str">
        <f t="shared" si="9"/>
        <v>Nepal:EC</v>
      </c>
      <c r="G304" s="862">
        <v>6.5206500471443298E-5</v>
      </c>
      <c r="H304" s="862"/>
      <c r="I304" s="862"/>
      <c r="J304" s="862">
        <v>4.3219678588674802E-4</v>
      </c>
      <c r="K304" s="862"/>
      <c r="L304" s="862"/>
      <c r="M304" s="710">
        <f t="shared" si="8"/>
        <v>4.9740328635819128E-4</v>
      </c>
      <c r="AA304" s="710"/>
    </row>
    <row r="305" spans="1:27" x14ac:dyDescent="0.25">
      <c r="B305" s="1" t="s">
        <v>51</v>
      </c>
      <c r="C305" s="1">
        <v>2016</v>
      </c>
      <c r="D305" s="1" t="s">
        <v>610</v>
      </c>
      <c r="E305" t="s">
        <v>128</v>
      </c>
      <c r="F305" t="str">
        <f t="shared" si="9"/>
        <v>Nepal:Female Sterilization</v>
      </c>
      <c r="G305" s="862">
        <v>8.4651585349601099E-2</v>
      </c>
      <c r="H305" s="862">
        <v>9.6463600793690006E-3</v>
      </c>
      <c r="I305" s="862">
        <v>9.4471154807299808E-3</v>
      </c>
      <c r="J305" s="862"/>
      <c r="K305" s="862"/>
      <c r="L305" s="862">
        <v>1.2085005495243E-2</v>
      </c>
      <c r="M305" s="710">
        <f t="shared" si="8"/>
        <v>0.11583006640494307</v>
      </c>
      <c r="AA305" s="710"/>
    </row>
    <row r="306" spans="1:27" x14ac:dyDescent="0.25">
      <c r="B306" s="1" t="s">
        <v>51</v>
      </c>
      <c r="C306" s="1">
        <v>2016</v>
      </c>
      <c r="D306" s="1" t="s">
        <v>610</v>
      </c>
      <c r="E306" t="s">
        <v>3</v>
      </c>
      <c r="F306" t="str">
        <f t="shared" si="9"/>
        <v>Nepal:Implant</v>
      </c>
      <c r="G306" s="862">
        <v>2.1503364017179852E-2</v>
      </c>
      <c r="H306" s="862">
        <v>3.2728544126051002E-3</v>
      </c>
      <c r="I306" s="862">
        <v>7.93831139040781E-4</v>
      </c>
      <c r="J306" s="862"/>
      <c r="K306" s="862"/>
      <c r="L306" s="862"/>
      <c r="M306" s="710">
        <f t="shared" si="8"/>
        <v>2.5570049568825734E-2</v>
      </c>
    </row>
    <row r="307" spans="1:27" x14ac:dyDescent="0.25">
      <c r="B307" s="1" t="s">
        <v>51</v>
      </c>
      <c r="C307" s="1">
        <v>2016</v>
      </c>
      <c r="D307" s="1" t="s">
        <v>610</v>
      </c>
      <c r="E307" t="s">
        <v>2</v>
      </c>
      <c r="F307" t="str">
        <f t="shared" si="9"/>
        <v>Nepal:Injectable</v>
      </c>
      <c r="G307" s="862">
        <v>5.0777360212879263E-2</v>
      </c>
      <c r="H307" s="862">
        <v>7.4667906264876301E-4</v>
      </c>
      <c r="I307" s="862">
        <v>9.5379564084727107E-3</v>
      </c>
      <c r="J307" s="862">
        <v>7.4811551111709299E-3</v>
      </c>
      <c r="K307" s="862">
        <v>7.5221506022064207E-5</v>
      </c>
      <c r="L307" s="862"/>
      <c r="M307" s="710">
        <f t="shared" si="8"/>
        <v>6.8618372301193734E-2</v>
      </c>
    </row>
    <row r="308" spans="1:27" x14ac:dyDescent="0.25">
      <c r="B308" s="1" t="s">
        <v>51</v>
      </c>
      <c r="C308" s="1">
        <v>2016</v>
      </c>
      <c r="D308" s="1" t="s">
        <v>610</v>
      </c>
      <c r="E308" t="s">
        <v>5</v>
      </c>
      <c r="F308" t="str">
        <f t="shared" si="9"/>
        <v>Nepal:IUD</v>
      </c>
      <c r="G308" s="862">
        <v>7.6752688591869324E-3</v>
      </c>
      <c r="H308" s="862">
        <v>1.79832881744423E-3</v>
      </c>
      <c r="I308" s="862">
        <v>1.1232308471566699E-3</v>
      </c>
      <c r="J308" s="862"/>
      <c r="K308" s="862"/>
      <c r="L308" s="862">
        <v>3.1582491400246202E-4</v>
      </c>
      <c r="M308" s="864">
        <f t="shared" si="8"/>
        <v>1.0912653437790295E-2</v>
      </c>
    </row>
    <row r="309" spans="1:27" x14ac:dyDescent="0.25">
      <c r="B309" s="1" t="s">
        <v>51</v>
      </c>
      <c r="C309" s="1">
        <v>2016</v>
      </c>
      <c r="D309" s="1" t="s">
        <v>610</v>
      </c>
      <c r="E309" t="s">
        <v>103</v>
      </c>
      <c r="F309" t="str">
        <f t="shared" si="9"/>
        <v>Nepal:Male Condom</v>
      </c>
      <c r="G309" s="862">
        <v>1.252335824449905E-2</v>
      </c>
      <c r="H309" s="862">
        <v>3.2907938467905703E-4</v>
      </c>
      <c r="I309" s="862">
        <v>5.3656323080254198E-3</v>
      </c>
      <c r="J309" s="862">
        <v>1.3164798229661601E-2</v>
      </c>
      <c r="K309" s="862">
        <v>1.16291907647689E-3</v>
      </c>
      <c r="L309" s="862">
        <v>9.1970067857552397E-5</v>
      </c>
      <c r="M309" s="710">
        <f t="shared" si="8"/>
        <v>3.2637757311199569E-2</v>
      </c>
    </row>
    <row r="310" spans="1:27" x14ac:dyDescent="0.25">
      <c r="B310" s="1" t="s">
        <v>51</v>
      </c>
      <c r="C310" s="1">
        <v>2016</v>
      </c>
      <c r="D310" s="1" t="s">
        <v>610</v>
      </c>
      <c r="E310" t="s">
        <v>129</v>
      </c>
      <c r="F310" t="str">
        <f t="shared" si="9"/>
        <v>Nepal:Male Sterilization</v>
      </c>
      <c r="G310" s="862">
        <v>3.33622075600487E-2</v>
      </c>
      <c r="H310" s="862">
        <v>4.3325651999865204E-3</v>
      </c>
      <c r="I310" s="862">
        <v>1.88128924440205E-3</v>
      </c>
      <c r="J310" s="862"/>
      <c r="K310" s="862"/>
      <c r="L310" s="862">
        <v>1.0365999179044801E-3</v>
      </c>
      <c r="M310" s="710">
        <f t="shared" si="8"/>
        <v>4.0612661922341746E-2</v>
      </c>
    </row>
    <row r="311" spans="1:27" x14ac:dyDescent="0.25">
      <c r="B311" s="860" t="s">
        <v>51</v>
      </c>
      <c r="C311" s="1">
        <v>2016</v>
      </c>
      <c r="D311" s="1" t="s">
        <v>610</v>
      </c>
      <c r="E311" t="s">
        <v>110</v>
      </c>
      <c r="F311" t="str">
        <f t="shared" si="9"/>
        <v>Nepal:OC Pills</v>
      </c>
      <c r="G311" s="862">
        <v>1.9904494850468461E-2</v>
      </c>
      <c r="H311" s="862">
        <v>1.8747838796917199E-4</v>
      </c>
      <c r="I311" s="862">
        <v>6.3479058375337403E-3</v>
      </c>
      <c r="J311" s="862">
        <v>7.9391398774327805E-3</v>
      </c>
      <c r="K311" s="862">
        <v>7.4938742840653498E-4</v>
      </c>
      <c r="L311" s="862">
        <v>3.5552915949452299E-4</v>
      </c>
      <c r="M311" s="710">
        <f t="shared" si="8"/>
        <v>3.5483935541305217E-2</v>
      </c>
    </row>
    <row r="312" spans="1:27" x14ac:dyDescent="0.25">
      <c r="B312" s="861" t="s">
        <v>51</v>
      </c>
      <c r="C312" s="861">
        <v>2016</v>
      </c>
      <c r="D312" s="861" t="s">
        <v>610</v>
      </c>
      <c r="E312" s="861" t="s">
        <v>313</v>
      </c>
      <c r="F312" t="str">
        <f t="shared" si="9"/>
        <v>Nepal:Total</v>
      </c>
      <c r="G312" s="863">
        <v>0.23046284559433483</v>
      </c>
      <c r="H312" s="863">
        <v>2.0313345344701843E-2</v>
      </c>
      <c r="I312" s="863">
        <v>3.4496961265361351E-2</v>
      </c>
      <c r="J312" s="863">
        <v>2.9017290004152058E-2</v>
      </c>
      <c r="K312" s="863">
        <v>1.9875280109054893E-3</v>
      </c>
      <c r="L312" s="863">
        <v>1.388492955450202E-2</v>
      </c>
      <c r="M312" s="710">
        <f t="shared" si="8"/>
        <v>0.33016289977395763</v>
      </c>
    </row>
    <row r="313" spans="1:27" x14ac:dyDescent="0.25">
      <c r="B313" s="1" t="s">
        <v>52</v>
      </c>
      <c r="C313" s="1">
        <v>2001</v>
      </c>
      <c r="D313" s="1" t="s">
        <v>617</v>
      </c>
      <c r="E313" t="s">
        <v>128</v>
      </c>
      <c r="F313" t="str">
        <f t="shared" si="9"/>
        <v>Nicaragua:Female Sterilization</v>
      </c>
      <c r="G313" s="862">
        <v>0.121338355524591</v>
      </c>
      <c r="H313" s="862"/>
      <c r="I313" s="862">
        <v>5.6679250644554501E-2</v>
      </c>
      <c r="J313" s="862"/>
      <c r="K313" s="862"/>
      <c r="L313" s="862">
        <v>2.8658499418213299E-3</v>
      </c>
      <c r="M313" s="710">
        <f t="shared" si="8"/>
        <v>0.18088345611096682</v>
      </c>
    </row>
    <row r="314" spans="1:27" x14ac:dyDescent="0.25">
      <c r="B314" s="1" t="s">
        <v>52</v>
      </c>
      <c r="C314" s="1">
        <v>2001</v>
      </c>
      <c r="D314" s="1" t="s">
        <v>617</v>
      </c>
      <c r="E314" t="s">
        <v>2</v>
      </c>
      <c r="F314" t="str">
        <f t="shared" si="9"/>
        <v>Nicaragua:Injectable</v>
      </c>
      <c r="G314" s="862">
        <v>6.7674005270285859E-2</v>
      </c>
      <c r="H314" s="862"/>
      <c r="I314" s="862">
        <v>8.8476369433174301E-3</v>
      </c>
      <c r="J314" s="862">
        <v>1.30953171814096E-2</v>
      </c>
      <c r="K314" s="862">
        <v>3.4840112285526202E-4</v>
      </c>
      <c r="L314" s="862">
        <v>8.2307474788506998E-4</v>
      </c>
      <c r="M314" s="710">
        <f t="shared" si="8"/>
        <v>9.0788435265753226E-2</v>
      </c>
    </row>
    <row r="315" spans="1:27" x14ac:dyDescent="0.25">
      <c r="B315" s="1" t="s">
        <v>52</v>
      </c>
      <c r="C315" s="1">
        <v>2001</v>
      </c>
      <c r="D315" s="1" t="s">
        <v>617</v>
      </c>
      <c r="E315" t="s">
        <v>5</v>
      </c>
      <c r="F315" t="str">
        <f t="shared" si="9"/>
        <v>Nicaragua:IUD</v>
      </c>
      <c r="G315" s="862">
        <v>2.4851098550412887E-2</v>
      </c>
      <c r="H315" s="862">
        <v>1.6915006409712799E-4</v>
      </c>
      <c r="I315" s="862">
        <v>1.5052338476615501E-2</v>
      </c>
      <c r="J315" s="862">
        <v>3.2218458573784401E-4</v>
      </c>
      <c r="K315" s="862"/>
      <c r="L315" s="862">
        <v>3.3342003667048302E-4</v>
      </c>
      <c r="M315" s="710">
        <f t="shared" si="8"/>
        <v>4.072819171353384E-2</v>
      </c>
    </row>
    <row r="316" spans="1:27" x14ac:dyDescent="0.25">
      <c r="B316" s="1" t="s">
        <v>52</v>
      </c>
      <c r="C316" s="1">
        <v>2001</v>
      </c>
      <c r="D316" s="1" t="s">
        <v>617</v>
      </c>
      <c r="E316" t="s">
        <v>103</v>
      </c>
      <c r="F316" t="str">
        <f t="shared" si="9"/>
        <v>Nicaragua:Male Condom</v>
      </c>
      <c r="G316" s="862">
        <v>7.7465854931116516E-3</v>
      </c>
      <c r="H316" s="862"/>
      <c r="I316" s="862">
        <v>8.9686057705384902E-4</v>
      </c>
      <c r="J316" s="862">
        <v>1.06730335162227E-2</v>
      </c>
      <c r="K316" s="862">
        <v>6.2034658519190202E-4</v>
      </c>
      <c r="L316" s="862">
        <v>8.1528623391112997E-4</v>
      </c>
      <c r="M316" s="710">
        <f t="shared" si="8"/>
        <v>2.0752112405491231E-2</v>
      </c>
    </row>
    <row r="317" spans="1:27" x14ac:dyDescent="0.25">
      <c r="B317" s="1" t="s">
        <v>52</v>
      </c>
      <c r="C317" s="1">
        <v>2001</v>
      </c>
      <c r="D317" s="1" t="s">
        <v>617</v>
      </c>
      <c r="E317" t="s">
        <v>129</v>
      </c>
      <c r="F317" t="str">
        <f t="shared" si="9"/>
        <v>Nicaragua:Male Sterilization</v>
      </c>
      <c r="G317" s="862">
        <v>3.5915701792739598E-4</v>
      </c>
      <c r="H317" s="862"/>
      <c r="I317" s="862">
        <v>2.2938839043636899E-3</v>
      </c>
      <c r="J317" s="862"/>
      <c r="K317" s="862"/>
      <c r="L317" s="862"/>
      <c r="M317" s="864">
        <f t="shared" si="8"/>
        <v>2.6530409222910857E-3</v>
      </c>
    </row>
    <row r="318" spans="1:27" x14ac:dyDescent="0.25">
      <c r="B318" s="1" t="s">
        <v>52</v>
      </c>
      <c r="C318" s="1">
        <v>2001</v>
      </c>
      <c r="D318" s="1" t="s">
        <v>617</v>
      </c>
      <c r="E318" t="s">
        <v>110</v>
      </c>
      <c r="F318" t="str">
        <f t="shared" si="9"/>
        <v>Nicaragua:OC Pills</v>
      </c>
      <c r="G318" s="862">
        <v>5.2921182238660096E-2</v>
      </c>
      <c r="H318" s="862"/>
      <c r="I318" s="862">
        <v>6.3424403439685997E-3</v>
      </c>
      <c r="J318" s="862">
        <v>2.76097203990689E-2</v>
      </c>
      <c r="K318" s="862">
        <v>5.1964728174423204E-4</v>
      </c>
      <c r="L318" s="862">
        <v>1.67629620105105E-3</v>
      </c>
      <c r="M318" s="710">
        <f t="shared" si="8"/>
        <v>8.9069286464492886E-2</v>
      </c>
    </row>
    <row r="319" spans="1:27" x14ac:dyDescent="0.25">
      <c r="B319" s="860" t="s">
        <v>52</v>
      </c>
      <c r="C319" s="1">
        <v>2001</v>
      </c>
      <c r="D319" s="1" t="s">
        <v>617</v>
      </c>
      <c r="E319" t="s">
        <v>130</v>
      </c>
      <c r="F319" t="str">
        <f t="shared" si="9"/>
        <v>Nicaragua:Other Modern Methods</v>
      </c>
      <c r="G319" s="862">
        <v>5.7117870214049883E-3</v>
      </c>
      <c r="H319" s="862">
        <v>5.0667377580958302E-5</v>
      </c>
      <c r="I319" s="862">
        <v>1.37198090955455E-3</v>
      </c>
      <c r="J319" s="862"/>
      <c r="K319" s="862"/>
      <c r="L319" s="862">
        <v>2.4822747021109801E-3</v>
      </c>
      <c r="M319" s="710">
        <f t="shared" si="8"/>
        <v>9.6167100106514768E-3</v>
      </c>
    </row>
    <row r="320" spans="1:27" x14ac:dyDescent="0.25">
      <c r="A320" s="119"/>
      <c r="B320" s="861" t="s">
        <v>52</v>
      </c>
      <c r="C320" s="861">
        <v>2001</v>
      </c>
      <c r="D320" s="861" t="s">
        <v>617</v>
      </c>
      <c r="E320" s="861" t="s">
        <v>313</v>
      </c>
      <c r="F320" t="str">
        <f t="shared" si="9"/>
        <v>Nicaragua:Total</v>
      </c>
      <c r="G320" s="863">
        <v>0.28060217111639391</v>
      </c>
      <c r="H320" s="863">
        <v>2.1981744167808628E-4</v>
      </c>
      <c r="I320" s="863">
        <v>9.1484391799428119E-2</v>
      </c>
      <c r="J320" s="863">
        <v>5.1700255682439043E-2</v>
      </c>
      <c r="K320" s="863">
        <v>1.4883949897913961E-3</v>
      </c>
      <c r="L320" s="863">
        <v>8.9962018634500429E-3</v>
      </c>
      <c r="M320" s="710">
        <f t="shared" si="8"/>
        <v>0.43449123289318059</v>
      </c>
    </row>
    <row r="321" spans="1:13" x14ac:dyDescent="0.25">
      <c r="B321" s="1" t="s">
        <v>53</v>
      </c>
      <c r="C321" s="1">
        <v>2012</v>
      </c>
      <c r="D321" s="1" t="s">
        <v>604</v>
      </c>
      <c r="E321" t="s">
        <v>1020</v>
      </c>
      <c r="F321" t="str">
        <f t="shared" si="9"/>
        <v>Niger:Female Condom</v>
      </c>
      <c r="G321" s="862"/>
      <c r="H321" s="862"/>
      <c r="I321" s="862"/>
      <c r="J321" s="862"/>
      <c r="K321" s="862"/>
      <c r="L321" s="862">
        <v>3.4180286456578301E-5</v>
      </c>
      <c r="M321" s="710">
        <f t="shared" si="8"/>
        <v>3.4180286456578301E-5</v>
      </c>
    </row>
    <row r="322" spans="1:13" x14ac:dyDescent="0.25">
      <c r="B322" s="1" t="s">
        <v>53</v>
      </c>
      <c r="C322" s="1">
        <v>2012</v>
      </c>
      <c r="D322" s="1" t="s">
        <v>604</v>
      </c>
      <c r="E322" t="s">
        <v>128</v>
      </c>
      <c r="F322" t="str">
        <f t="shared" si="9"/>
        <v>Niger:Female Sterilization</v>
      </c>
      <c r="G322" s="862">
        <v>1.1063414783348199E-3</v>
      </c>
      <c r="H322" s="862"/>
      <c r="I322" s="862">
        <v>9.4645966961699906E-5</v>
      </c>
      <c r="J322" s="862"/>
      <c r="K322" s="862"/>
      <c r="L322" s="862"/>
      <c r="M322" s="710">
        <f t="shared" si="8"/>
        <v>1.2009874452965199E-3</v>
      </c>
    </row>
    <row r="323" spans="1:13" x14ac:dyDescent="0.25">
      <c r="B323" s="1" t="s">
        <v>53</v>
      </c>
      <c r="C323" s="1">
        <v>2012</v>
      </c>
      <c r="D323" s="1" t="s">
        <v>604</v>
      </c>
      <c r="E323" t="s">
        <v>3</v>
      </c>
      <c r="F323" t="str">
        <f t="shared" si="9"/>
        <v>Niger:Implant</v>
      </c>
      <c r="G323" s="862">
        <v>2.7270620742930402E-3</v>
      </c>
      <c r="H323" s="862"/>
      <c r="I323" s="862">
        <v>5.3794085578041602E-5</v>
      </c>
      <c r="J323" s="862"/>
      <c r="K323" s="862"/>
      <c r="L323" s="862"/>
      <c r="M323" s="710">
        <f t="shared" si="8"/>
        <v>2.7808561598710816E-3</v>
      </c>
    </row>
    <row r="324" spans="1:13" x14ac:dyDescent="0.25">
      <c r="B324" s="1" t="s">
        <v>53</v>
      </c>
      <c r="C324" s="1">
        <v>2012</v>
      </c>
      <c r="D324" s="1" t="s">
        <v>604</v>
      </c>
      <c r="E324" t="s">
        <v>2</v>
      </c>
      <c r="F324" t="str">
        <f t="shared" si="9"/>
        <v>Niger:Injectable</v>
      </c>
      <c r="G324" s="862">
        <v>1.7976170281916882E-2</v>
      </c>
      <c r="H324" s="862"/>
      <c r="I324" s="862">
        <v>6.3445859692023402E-4</v>
      </c>
      <c r="J324" s="862">
        <v>1.2090860115379999E-5</v>
      </c>
      <c r="K324" s="862">
        <v>1.08025267926673E-4</v>
      </c>
      <c r="L324" s="862">
        <v>3.1831944182030599E-4</v>
      </c>
      <c r="M324" s="710">
        <f t="shared" ref="M324:M387" si="10">SUM(G324:L324)</f>
        <v>1.9049064448699474E-2</v>
      </c>
    </row>
    <row r="325" spans="1:13" x14ac:dyDescent="0.25">
      <c r="B325" s="1" t="s">
        <v>53</v>
      </c>
      <c r="C325" s="1">
        <v>2012</v>
      </c>
      <c r="D325" s="1" t="s">
        <v>604</v>
      </c>
      <c r="E325" t="s">
        <v>5</v>
      </c>
      <c r="F325" t="str">
        <f t="shared" si="9"/>
        <v>Niger:IUD</v>
      </c>
      <c r="G325" s="862">
        <v>5.55780013339448E-4</v>
      </c>
      <c r="H325" s="862"/>
      <c r="I325" s="862">
        <v>4.9509677011210503E-5</v>
      </c>
      <c r="J325" s="862"/>
      <c r="K325" s="862"/>
      <c r="L325" s="862"/>
      <c r="M325" s="864">
        <f t="shared" si="10"/>
        <v>6.0528969035065854E-4</v>
      </c>
    </row>
    <row r="326" spans="1:13" x14ac:dyDescent="0.25">
      <c r="B326" s="1" t="s">
        <v>53</v>
      </c>
      <c r="C326" s="1">
        <v>2012</v>
      </c>
      <c r="D326" s="1" t="s">
        <v>604</v>
      </c>
      <c r="E326" t="s">
        <v>103</v>
      </c>
      <c r="F326" t="str">
        <f t="shared" si="9"/>
        <v>Niger:Male Condom</v>
      </c>
      <c r="G326" s="862">
        <v>5.39213974049491E-4</v>
      </c>
      <c r="H326" s="862"/>
      <c r="I326" s="862">
        <v>1.7294623513341799E-5</v>
      </c>
      <c r="J326" s="862">
        <v>5.3473834684624303E-5</v>
      </c>
      <c r="K326" s="862">
        <v>3.9775626912243903E-5</v>
      </c>
      <c r="L326" s="862">
        <v>1.2995125340900399E-4</v>
      </c>
      <c r="M326" s="710">
        <f t="shared" si="10"/>
        <v>7.7970931256870503E-4</v>
      </c>
    </row>
    <row r="327" spans="1:13" x14ac:dyDescent="0.25">
      <c r="B327" s="1" t="s">
        <v>53</v>
      </c>
      <c r="C327" s="1">
        <v>2012</v>
      </c>
      <c r="D327" s="1" t="s">
        <v>604</v>
      </c>
      <c r="E327" t="s">
        <v>110</v>
      </c>
      <c r="F327" t="str">
        <f t="shared" si="9"/>
        <v>Niger:OC Pills</v>
      </c>
      <c r="G327" s="862">
        <v>4.0846494376534287E-2</v>
      </c>
      <c r="H327" s="862"/>
      <c r="I327" s="862">
        <v>8.2596155233078295E-4</v>
      </c>
      <c r="J327" s="862">
        <v>2.2929811638929898E-3</v>
      </c>
      <c r="K327" s="862">
        <v>5.1276284523528804E-3</v>
      </c>
      <c r="L327" s="862">
        <v>1.96196503758954E-4</v>
      </c>
      <c r="M327" s="710">
        <f t="shared" si="10"/>
        <v>4.9289262048869895E-2</v>
      </c>
    </row>
    <row r="328" spans="1:13" x14ac:dyDescent="0.25">
      <c r="A328" s="119"/>
      <c r="B328" s="860" t="s">
        <v>53</v>
      </c>
      <c r="C328" s="1">
        <v>2012</v>
      </c>
      <c r="D328" s="1" t="s">
        <v>604</v>
      </c>
      <c r="E328" t="s">
        <v>130</v>
      </c>
      <c r="F328" t="str">
        <f t="shared" si="9"/>
        <v>Niger:Other Modern Methods</v>
      </c>
      <c r="G328" s="862">
        <v>5.4813029118028775E-3</v>
      </c>
      <c r="H328" s="862"/>
      <c r="I328" s="862">
        <v>1.2596738247410401E-4</v>
      </c>
      <c r="J328" s="862"/>
      <c r="K328" s="862">
        <v>1.4950906328361701E-2</v>
      </c>
      <c r="L328" s="862">
        <v>1.31811222031664E-2</v>
      </c>
      <c r="M328" s="710">
        <f t="shared" si="10"/>
        <v>3.3739298825805078E-2</v>
      </c>
    </row>
    <row r="329" spans="1:13" x14ac:dyDescent="0.25">
      <c r="B329" s="861" t="s">
        <v>53</v>
      </c>
      <c r="C329" s="861">
        <v>2012</v>
      </c>
      <c r="D329" s="861" t="s">
        <v>604</v>
      </c>
      <c r="E329" s="861" t="s">
        <v>313</v>
      </c>
      <c r="F329" t="str">
        <f t="shared" si="9"/>
        <v>Niger:Total</v>
      </c>
      <c r="G329" s="863">
        <v>6.9232365110270838E-2</v>
      </c>
      <c r="H329" s="863"/>
      <c r="I329" s="863">
        <v>1.8016318847894148E-3</v>
      </c>
      <c r="J329" s="863">
        <v>2.3585458586929944E-3</v>
      </c>
      <c r="K329" s="863">
        <v>2.02263356755535E-2</v>
      </c>
      <c r="L329" s="863">
        <v>1.3859769688611242E-2</v>
      </c>
      <c r="M329" s="710">
        <f t="shared" si="10"/>
        <v>0.107478648217918</v>
      </c>
    </row>
    <row r="330" spans="1:13" x14ac:dyDescent="0.25">
      <c r="B330" s="1" t="s">
        <v>54</v>
      </c>
      <c r="C330" s="1">
        <v>2018</v>
      </c>
      <c r="D330" s="1" t="s">
        <v>1146</v>
      </c>
      <c r="E330" t="s">
        <v>108</v>
      </c>
      <c r="F330" t="str">
        <f t="shared" si="9"/>
        <v>Nigeria:EC</v>
      </c>
      <c r="G330" s="862"/>
      <c r="H330" s="862"/>
      <c r="I330" s="862">
        <v>1.50224451147925E-3</v>
      </c>
      <c r="J330" s="862">
        <v>4.8968439078357704E-4</v>
      </c>
      <c r="K330" s="862">
        <v>4.9071765158087205E-4</v>
      </c>
      <c r="L330" s="862"/>
      <c r="M330" s="710">
        <f t="shared" si="10"/>
        <v>2.482646553843699E-3</v>
      </c>
    </row>
    <row r="331" spans="1:13" x14ac:dyDescent="0.25">
      <c r="B331" s="1" t="s">
        <v>54</v>
      </c>
      <c r="C331" s="1">
        <v>2018</v>
      </c>
      <c r="D331" s="1" t="s">
        <v>1146</v>
      </c>
      <c r="E331" t="s">
        <v>1020</v>
      </c>
      <c r="F331" t="str">
        <f t="shared" si="9"/>
        <v>Nigeria:Female Condom</v>
      </c>
      <c r="G331" s="862">
        <v>4.1095525984358301E-5</v>
      </c>
      <c r="H331" s="862"/>
      <c r="I331" s="862">
        <v>2.63034837761493E-5</v>
      </c>
      <c r="J331" s="862">
        <v>5.4651131958018299E-5</v>
      </c>
      <c r="K331" s="862"/>
      <c r="L331" s="862"/>
      <c r="M331" s="710">
        <f t="shared" si="10"/>
        <v>1.220501417185259E-4</v>
      </c>
    </row>
    <row r="332" spans="1:13" x14ac:dyDescent="0.25">
      <c r="B332" s="1" t="s">
        <v>54</v>
      </c>
      <c r="C332" s="1">
        <v>2018</v>
      </c>
      <c r="D332" s="1" t="s">
        <v>1146</v>
      </c>
      <c r="E332" t="s">
        <v>128</v>
      </c>
      <c r="F332" t="str">
        <f t="shared" si="9"/>
        <v>Nigeria:Female Sterilization</v>
      </c>
      <c r="G332" s="862">
        <v>1.30200071142775E-3</v>
      </c>
      <c r="H332" s="862"/>
      <c r="I332" s="862">
        <v>4.4527282741680399E-4</v>
      </c>
      <c r="J332" s="862"/>
      <c r="K332" s="862"/>
      <c r="L332" s="862"/>
      <c r="M332" s="710">
        <f t="shared" si="10"/>
        <v>1.747273538844554E-3</v>
      </c>
    </row>
    <row r="333" spans="1:13" x14ac:dyDescent="0.25">
      <c r="B333" s="1" t="s">
        <v>54</v>
      </c>
      <c r="C333" s="1">
        <v>2018</v>
      </c>
      <c r="D333" s="1" t="s">
        <v>1146</v>
      </c>
      <c r="E333" t="s">
        <v>3</v>
      </c>
      <c r="F333" t="str">
        <f t="shared" si="9"/>
        <v>Nigeria:Implant</v>
      </c>
      <c r="G333" s="862">
        <v>2.3313580535386971E-2</v>
      </c>
      <c r="H333" s="862">
        <v>6.7101503724222605E-5</v>
      </c>
      <c r="I333" s="862">
        <v>1.7282236835952599E-3</v>
      </c>
      <c r="J333" s="862">
        <v>5.0174553226054703E-6</v>
      </c>
      <c r="K333" s="862">
        <v>1.0776475884184299E-5</v>
      </c>
      <c r="L333" s="862"/>
      <c r="M333" s="710">
        <f t="shared" si="10"/>
        <v>2.5124699653913243E-2</v>
      </c>
    </row>
    <row r="334" spans="1:13" x14ac:dyDescent="0.25">
      <c r="B334" s="1" t="s">
        <v>54</v>
      </c>
      <c r="C334" s="1">
        <v>2018</v>
      </c>
      <c r="D334" s="1" t="s">
        <v>1146</v>
      </c>
      <c r="E334" t="s">
        <v>2</v>
      </c>
      <c r="F334" t="str">
        <f t="shared" si="9"/>
        <v>Nigeria:Injectable</v>
      </c>
      <c r="G334" s="862">
        <v>1.7918490724647587E-2</v>
      </c>
      <c r="H334" s="862"/>
      <c r="I334" s="862">
        <v>4.6634623780861797E-3</v>
      </c>
      <c r="J334" s="862">
        <v>9.0354859588067597E-4</v>
      </c>
      <c r="K334" s="862">
        <v>4.82862483160521E-4</v>
      </c>
      <c r="L334" s="862">
        <v>1.05181989431516E-4</v>
      </c>
      <c r="M334" s="864">
        <f t="shared" si="10"/>
        <v>2.4073546171206481E-2</v>
      </c>
    </row>
    <row r="335" spans="1:13" x14ac:dyDescent="0.25">
      <c r="B335" s="1" t="s">
        <v>54</v>
      </c>
      <c r="C335" s="1">
        <v>2018</v>
      </c>
      <c r="D335" s="1" t="s">
        <v>1146</v>
      </c>
      <c r="E335" t="s">
        <v>5</v>
      </c>
      <c r="F335" t="str">
        <f t="shared" si="9"/>
        <v>Nigeria:IUD</v>
      </c>
      <c r="G335" s="862">
        <v>4.6656481938147564E-3</v>
      </c>
      <c r="H335" s="862">
        <v>2.1433777191544499E-5</v>
      </c>
      <c r="I335" s="862">
        <v>1.1860554452224801E-3</v>
      </c>
      <c r="J335" s="862"/>
      <c r="K335" s="862">
        <v>2.4552640906123699E-5</v>
      </c>
      <c r="L335" s="862"/>
      <c r="M335" s="710">
        <f t="shared" si="10"/>
        <v>5.897690057134905E-3</v>
      </c>
    </row>
    <row r="336" spans="1:13" x14ac:dyDescent="0.25">
      <c r="B336" s="1" t="s">
        <v>54</v>
      </c>
      <c r="C336" s="1">
        <v>2018</v>
      </c>
      <c r="D336" s="1" t="s">
        <v>1146</v>
      </c>
      <c r="E336" t="s">
        <v>103</v>
      </c>
      <c r="F336" t="str">
        <f t="shared" si="9"/>
        <v>Nigeria:Male Condom</v>
      </c>
      <c r="G336" s="862">
        <v>1.362253191965087E-3</v>
      </c>
      <c r="H336" s="862">
        <v>6.2218430649159501E-5</v>
      </c>
      <c r="I336" s="862">
        <v>1.3104167942187101E-2</v>
      </c>
      <c r="J336" s="862">
        <v>7.2596402912572201E-3</v>
      </c>
      <c r="K336" s="862">
        <v>2.66929610704751E-3</v>
      </c>
      <c r="L336" s="862">
        <v>5.54408906880809E-4</v>
      </c>
      <c r="M336" s="710">
        <f t="shared" si="10"/>
        <v>2.5011984869986889E-2</v>
      </c>
    </row>
    <row r="337" spans="1:13" x14ac:dyDescent="0.25">
      <c r="B337" s="1" t="s">
        <v>54</v>
      </c>
      <c r="C337" s="1">
        <v>2018</v>
      </c>
      <c r="D337" s="1" t="s">
        <v>1146</v>
      </c>
      <c r="E337" t="s">
        <v>110</v>
      </c>
      <c r="F337" t="str">
        <f t="shared" si="9"/>
        <v>Nigeria:OC Pills</v>
      </c>
      <c r="G337" s="862">
        <v>3.6377249780931219E-3</v>
      </c>
      <c r="H337" s="862"/>
      <c r="I337" s="862">
        <v>4.4442548517632701E-3</v>
      </c>
      <c r="J337" s="862">
        <v>3.2571795600568102E-3</v>
      </c>
      <c r="K337" s="862">
        <v>2.3471887222695299E-4</v>
      </c>
      <c r="L337" s="862"/>
      <c r="M337" s="710">
        <f t="shared" si="10"/>
        <v>1.1573878262140154E-2</v>
      </c>
    </row>
    <row r="338" spans="1:13" x14ac:dyDescent="0.25">
      <c r="B338" s="860" t="s">
        <v>54</v>
      </c>
      <c r="C338" s="1">
        <v>2018</v>
      </c>
      <c r="D338" s="1" t="s">
        <v>1146</v>
      </c>
      <c r="E338" t="s">
        <v>130</v>
      </c>
      <c r="F338" t="str">
        <f t="shared" ref="F338:F401" si="11">B338&amp;":"&amp;E338</f>
        <v>Nigeria:Other Modern Methods</v>
      </c>
      <c r="G338" s="862">
        <v>6.2433824828138398E-5</v>
      </c>
      <c r="H338" s="862">
        <v>1.01443054463686E-5</v>
      </c>
      <c r="I338" s="862">
        <v>4.0427586435493122E-4</v>
      </c>
      <c r="J338" s="862">
        <v>3.2067071421229902E-5</v>
      </c>
      <c r="K338" s="862">
        <v>1.931134349563248E-4</v>
      </c>
      <c r="L338" s="862">
        <v>1.16854594050779E-4</v>
      </c>
      <c r="M338" s="710">
        <f t="shared" si="10"/>
        <v>8.1888909505777193E-4</v>
      </c>
    </row>
    <row r="339" spans="1:13" x14ac:dyDescent="0.25">
      <c r="B339" s="861" t="s">
        <v>54</v>
      </c>
      <c r="C339" s="861">
        <v>2018</v>
      </c>
      <c r="D339" s="861" t="s">
        <v>1146</v>
      </c>
      <c r="E339" s="861" t="s">
        <v>313</v>
      </c>
      <c r="F339" t="str">
        <f t="shared" si="11"/>
        <v>Nigeria:Total</v>
      </c>
      <c r="G339" s="863">
        <v>5.2303227686147771E-2</v>
      </c>
      <c r="H339" s="863">
        <v>1.6089801701129521E-4</v>
      </c>
      <c r="I339" s="863">
        <v>2.7504260987881429E-2</v>
      </c>
      <c r="J339" s="863">
        <v>1.2001788496680136E-2</v>
      </c>
      <c r="K339" s="863">
        <v>4.1060376657624884E-3</v>
      </c>
      <c r="L339" s="863">
        <v>7.7644549036310403E-4</v>
      </c>
      <c r="M339" s="710">
        <f t="shared" si="10"/>
        <v>9.6852658343846224E-2</v>
      </c>
    </row>
    <row r="340" spans="1:13" x14ac:dyDescent="0.25">
      <c r="B340" s="1" t="s">
        <v>55</v>
      </c>
      <c r="C340" s="1">
        <v>2017</v>
      </c>
      <c r="D340" s="1" t="s">
        <v>969</v>
      </c>
      <c r="E340" t="s">
        <v>108</v>
      </c>
      <c r="F340" t="str">
        <f t="shared" si="11"/>
        <v>Pakistan:EC</v>
      </c>
      <c r="G340" s="862"/>
      <c r="H340" s="862"/>
      <c r="I340" s="862">
        <v>3.0893108931257001E-4</v>
      </c>
      <c r="J340" s="862"/>
      <c r="K340" s="862"/>
      <c r="L340" s="862"/>
      <c r="M340" s="710">
        <f t="shared" si="10"/>
        <v>3.0893108931257001E-4</v>
      </c>
    </row>
    <row r="341" spans="1:13" x14ac:dyDescent="0.25">
      <c r="B341" s="1" t="s">
        <v>55</v>
      </c>
      <c r="C341" s="1">
        <v>2017</v>
      </c>
      <c r="D341" s="1" t="s">
        <v>969</v>
      </c>
      <c r="E341" t="s">
        <v>128</v>
      </c>
      <c r="F341" t="str">
        <f t="shared" si="11"/>
        <v>Pakistan:Female Sterilization</v>
      </c>
      <c r="G341" s="862">
        <v>4.9961624320726199E-2</v>
      </c>
      <c r="H341" s="862"/>
      <c r="I341" s="862">
        <v>3.6802297606075098E-2</v>
      </c>
      <c r="J341" s="862"/>
      <c r="K341" s="862"/>
      <c r="L341" s="862"/>
      <c r="M341" s="710">
        <f t="shared" si="10"/>
        <v>8.6763921926801296E-2</v>
      </c>
    </row>
    <row r="342" spans="1:13" x14ac:dyDescent="0.25">
      <c r="B342" s="1" t="s">
        <v>55</v>
      </c>
      <c r="C342" s="1">
        <v>2017</v>
      </c>
      <c r="D342" s="1" t="s">
        <v>969</v>
      </c>
      <c r="E342" t="s">
        <v>3</v>
      </c>
      <c r="F342" t="str">
        <f t="shared" si="11"/>
        <v>Pakistan:Implant</v>
      </c>
      <c r="G342" s="862">
        <v>3.6578991314299412E-3</v>
      </c>
      <c r="H342" s="862"/>
      <c r="I342" s="862">
        <v>6.0781009195270302E-4</v>
      </c>
      <c r="J342" s="862"/>
      <c r="K342" s="862"/>
      <c r="L342" s="862"/>
      <c r="M342" s="710">
        <f t="shared" si="10"/>
        <v>4.2657092233826443E-3</v>
      </c>
    </row>
    <row r="343" spans="1:13" x14ac:dyDescent="0.25">
      <c r="B343" s="1" t="s">
        <v>55</v>
      </c>
      <c r="C343" s="1">
        <v>2017</v>
      </c>
      <c r="D343" s="1" t="s">
        <v>969</v>
      </c>
      <c r="E343" t="s">
        <v>2</v>
      </c>
      <c r="F343" t="str">
        <f t="shared" si="11"/>
        <v>Pakistan:Injectable</v>
      </c>
      <c r="G343" s="862">
        <v>1.476350294718431E-2</v>
      </c>
      <c r="H343" s="862"/>
      <c r="I343" s="862">
        <v>6.7161883488179299E-3</v>
      </c>
      <c r="J343" s="862">
        <v>1.41779536930797E-3</v>
      </c>
      <c r="K343" s="862">
        <v>8.1084559763732302E-4</v>
      </c>
      <c r="L343" s="862"/>
      <c r="M343" s="710">
        <f t="shared" si="10"/>
        <v>2.370833226294753E-2</v>
      </c>
    </row>
    <row r="344" spans="1:13" x14ac:dyDescent="0.25">
      <c r="A344" s="119"/>
      <c r="B344" s="1" t="s">
        <v>55</v>
      </c>
      <c r="C344" s="1">
        <v>2017</v>
      </c>
      <c r="D344" s="1" t="s">
        <v>969</v>
      </c>
      <c r="E344" t="s">
        <v>5</v>
      </c>
      <c r="F344" t="str">
        <f t="shared" si="11"/>
        <v>Pakistan:IUD</v>
      </c>
      <c r="G344" s="862">
        <v>1.3199256025430928E-2</v>
      </c>
      <c r="H344" s="862"/>
      <c r="I344" s="862">
        <v>6.2666161243827697E-3</v>
      </c>
      <c r="J344" s="862">
        <v>4.3036638496005199E-5</v>
      </c>
      <c r="K344" s="862">
        <v>1.0028368620100499E-3</v>
      </c>
      <c r="L344" s="862"/>
      <c r="M344" s="710">
        <f t="shared" si="10"/>
        <v>2.0511745650319754E-2</v>
      </c>
    </row>
    <row r="345" spans="1:13" x14ac:dyDescent="0.25">
      <c r="B345" s="1" t="s">
        <v>55</v>
      </c>
      <c r="C345" s="1">
        <v>2017</v>
      </c>
      <c r="D345" s="1" t="s">
        <v>969</v>
      </c>
      <c r="E345" t="s">
        <v>103</v>
      </c>
      <c r="F345" t="str">
        <f t="shared" si="11"/>
        <v>Pakistan:Male Condom</v>
      </c>
      <c r="G345" s="862">
        <v>1.7211437022481881E-2</v>
      </c>
      <c r="H345" s="862"/>
      <c r="I345" s="862">
        <v>1.77213352739073E-3</v>
      </c>
      <c r="J345" s="862">
        <v>4.1540655161877597E-2</v>
      </c>
      <c r="K345" s="862">
        <v>2.69912533140029E-2</v>
      </c>
      <c r="L345" s="862">
        <v>6.1245341125256997E-4</v>
      </c>
      <c r="M345" s="864">
        <f t="shared" si="10"/>
        <v>8.8127932437005674E-2</v>
      </c>
    </row>
    <row r="346" spans="1:13" x14ac:dyDescent="0.25">
      <c r="B346" s="1" t="s">
        <v>55</v>
      </c>
      <c r="C346" s="1">
        <v>2017</v>
      </c>
      <c r="D346" s="1" t="s">
        <v>969</v>
      </c>
      <c r="E346" t="s">
        <v>129</v>
      </c>
      <c r="F346" t="str">
        <f t="shared" si="11"/>
        <v>Pakistan:Male Sterilization</v>
      </c>
      <c r="G346" s="862">
        <v>3.2030499739796298E-4</v>
      </c>
      <c r="H346" s="862"/>
      <c r="I346" s="862">
        <v>1.7944516282603399E-5</v>
      </c>
      <c r="J346" s="862"/>
      <c r="K346" s="862"/>
      <c r="L346" s="862"/>
      <c r="M346" s="710">
        <f t="shared" si="10"/>
        <v>3.3824951368056639E-4</v>
      </c>
    </row>
    <row r="347" spans="1:13" x14ac:dyDescent="0.25">
      <c r="B347" s="1" t="s">
        <v>55</v>
      </c>
      <c r="C347" s="1">
        <v>2017</v>
      </c>
      <c r="D347" s="1" t="s">
        <v>969</v>
      </c>
      <c r="E347" t="s">
        <v>110</v>
      </c>
      <c r="F347" t="str">
        <f t="shared" si="11"/>
        <v>Pakistan:OC Pills</v>
      </c>
      <c r="G347" s="862">
        <v>5.9768605445550994E-3</v>
      </c>
      <c r="H347" s="862"/>
      <c r="I347" s="862">
        <v>1.8763488295615301E-3</v>
      </c>
      <c r="J347" s="862">
        <v>5.6977161746592396E-3</v>
      </c>
      <c r="K347" s="862">
        <v>2.1520505433696301E-3</v>
      </c>
      <c r="L347" s="862">
        <v>1.372282428652E-5</v>
      </c>
      <c r="M347" s="710">
        <f t="shared" si="10"/>
        <v>1.5716698916432022E-2</v>
      </c>
    </row>
    <row r="348" spans="1:13" x14ac:dyDescent="0.25">
      <c r="B348" s="860" t="s">
        <v>55</v>
      </c>
      <c r="C348" s="1">
        <v>2017</v>
      </c>
      <c r="D348" s="1" t="s">
        <v>969</v>
      </c>
      <c r="E348" t="s">
        <v>130</v>
      </c>
      <c r="F348" t="str">
        <f t="shared" si="11"/>
        <v>Pakistan:Other Modern Methods</v>
      </c>
      <c r="G348" s="862">
        <v>2.1591313424420099E-5</v>
      </c>
      <c r="H348" s="862"/>
      <c r="I348" s="862">
        <v>6.4241507405275196E-5</v>
      </c>
      <c r="J348" s="862"/>
      <c r="K348" s="862"/>
      <c r="L348" s="862"/>
      <c r="M348" s="710">
        <f t="shared" si="10"/>
        <v>8.5832820829695298E-5</v>
      </c>
    </row>
    <row r="349" spans="1:13" x14ac:dyDescent="0.25">
      <c r="B349" s="861" t="s">
        <v>55</v>
      </c>
      <c r="C349" s="861">
        <v>2017</v>
      </c>
      <c r="D349" s="861" t="s">
        <v>969</v>
      </c>
      <c r="E349" s="861" t="s">
        <v>313</v>
      </c>
      <c r="F349" t="str">
        <f t="shared" si="11"/>
        <v>Pakistan:Total</v>
      </c>
      <c r="G349" s="863">
        <v>0.10511247630263075</v>
      </c>
      <c r="H349" s="863"/>
      <c r="I349" s="863">
        <v>5.4432511641181215E-2</v>
      </c>
      <c r="J349" s="863">
        <v>4.8699203344340809E-2</v>
      </c>
      <c r="K349" s="863">
        <v>3.0956986317019902E-2</v>
      </c>
      <c r="L349" s="863">
        <v>6.2617623553908996E-4</v>
      </c>
      <c r="M349" s="710">
        <f t="shared" si="10"/>
        <v>0.23982735384071177</v>
      </c>
    </row>
    <row r="350" spans="1:13" x14ac:dyDescent="0.25">
      <c r="B350" s="1" t="s">
        <v>57</v>
      </c>
      <c r="C350" s="1">
        <v>2017</v>
      </c>
      <c r="D350" s="1" t="s">
        <v>969</v>
      </c>
      <c r="E350" t="s">
        <v>1020</v>
      </c>
      <c r="F350" t="str">
        <f t="shared" si="11"/>
        <v>Philippines:Female Condom</v>
      </c>
      <c r="G350" s="862"/>
      <c r="H350" s="862"/>
      <c r="I350" s="862"/>
      <c r="J350" s="862">
        <v>3.2307609698859997E-5</v>
      </c>
      <c r="K350" s="862"/>
      <c r="L350" s="862"/>
      <c r="M350" s="710">
        <f t="shared" si="10"/>
        <v>3.2307609698859997E-5</v>
      </c>
    </row>
    <row r="351" spans="1:13" x14ac:dyDescent="0.25">
      <c r="B351" s="1" t="s">
        <v>57</v>
      </c>
      <c r="C351" s="1">
        <v>2017</v>
      </c>
      <c r="D351" s="1" t="s">
        <v>969</v>
      </c>
      <c r="E351" t="s">
        <v>128</v>
      </c>
      <c r="F351" t="str">
        <f t="shared" si="11"/>
        <v>Philippines:Female Sterilization</v>
      </c>
      <c r="G351" s="862">
        <v>3.6777034791514188E-2</v>
      </c>
      <c r="H351" s="862">
        <v>1.83069156563411E-4</v>
      </c>
      <c r="I351" s="862">
        <v>1.0872801103972001E-2</v>
      </c>
      <c r="J351" s="862"/>
      <c r="K351" s="862"/>
      <c r="L351" s="862">
        <v>2.03336924111721E-5</v>
      </c>
      <c r="M351" s="710">
        <f t="shared" si="10"/>
        <v>4.785323874446077E-2</v>
      </c>
    </row>
    <row r="352" spans="1:13" x14ac:dyDescent="0.25">
      <c r="B352" s="1" t="s">
        <v>57</v>
      </c>
      <c r="C352" s="1">
        <v>2017</v>
      </c>
      <c r="D352" s="1" t="s">
        <v>969</v>
      </c>
      <c r="E352" t="s">
        <v>3</v>
      </c>
      <c r="F352" t="str">
        <f t="shared" si="11"/>
        <v>Philippines:Implant</v>
      </c>
      <c r="G352" s="862">
        <v>5.2460997809513979E-3</v>
      </c>
      <c r="H352" s="862">
        <v>1.4440815286681899E-5</v>
      </c>
      <c r="I352" s="862">
        <v>1.61120596150349E-3</v>
      </c>
      <c r="J352" s="862"/>
      <c r="K352" s="862"/>
      <c r="L352" s="862">
        <v>1.203985810333E-4</v>
      </c>
      <c r="M352" s="710">
        <f t="shared" si="10"/>
        <v>6.99214513877487E-3</v>
      </c>
    </row>
    <row r="353" spans="1:13" x14ac:dyDescent="0.25">
      <c r="B353" s="1" t="s">
        <v>57</v>
      </c>
      <c r="C353" s="1">
        <v>2017</v>
      </c>
      <c r="D353" s="1" t="s">
        <v>969</v>
      </c>
      <c r="E353" t="s">
        <v>2</v>
      </c>
      <c r="F353" t="str">
        <f t="shared" si="11"/>
        <v>Philippines:Injectable</v>
      </c>
      <c r="G353" s="862">
        <v>2.8292861086969129E-2</v>
      </c>
      <c r="H353" s="862">
        <v>4.2704993514714999E-5</v>
      </c>
      <c r="I353" s="862">
        <v>1.5963863075765701E-3</v>
      </c>
      <c r="J353" s="862">
        <v>2.7763903039130399E-4</v>
      </c>
      <c r="K353" s="862">
        <v>2.6505188824495402E-4</v>
      </c>
      <c r="L353" s="862">
        <v>4.0464505344195598E-5</v>
      </c>
      <c r="M353" s="710">
        <f t="shared" si="10"/>
        <v>3.0515107812040868E-2</v>
      </c>
    </row>
    <row r="354" spans="1:13" x14ac:dyDescent="0.25">
      <c r="B354" s="1" t="s">
        <v>57</v>
      </c>
      <c r="C354" s="1">
        <v>2017</v>
      </c>
      <c r="D354" s="1" t="s">
        <v>969</v>
      </c>
      <c r="E354" t="s">
        <v>5</v>
      </c>
      <c r="F354" t="str">
        <f t="shared" si="11"/>
        <v>Philippines:IUD</v>
      </c>
      <c r="G354" s="862">
        <v>1.9210722434531962E-2</v>
      </c>
      <c r="H354" s="862">
        <v>7.3082157320061101E-5</v>
      </c>
      <c r="I354" s="862">
        <v>2.1811739801125898E-3</v>
      </c>
      <c r="J354" s="862">
        <v>1.33958284405152E-5</v>
      </c>
      <c r="K354" s="862"/>
      <c r="L354" s="862">
        <v>4.6699051131807299E-5</v>
      </c>
      <c r="M354" s="710">
        <f t="shared" si="10"/>
        <v>2.1525073451536935E-2</v>
      </c>
    </row>
    <row r="355" spans="1:13" x14ac:dyDescent="0.25">
      <c r="B355" s="1" t="s">
        <v>57</v>
      </c>
      <c r="C355" s="1">
        <v>2017</v>
      </c>
      <c r="D355" s="1" t="s">
        <v>969</v>
      </c>
      <c r="E355" t="s">
        <v>103</v>
      </c>
      <c r="F355" t="str">
        <f t="shared" si="11"/>
        <v>Philippines:Male Condom</v>
      </c>
      <c r="G355" s="862">
        <v>3.2900735650148662E-3</v>
      </c>
      <c r="H355" s="862">
        <v>2.4949031040766601E-5</v>
      </c>
      <c r="I355" s="862">
        <v>2.80884982395832E-5</v>
      </c>
      <c r="J355" s="862">
        <v>6.2856179344106203E-3</v>
      </c>
      <c r="K355" s="862">
        <v>1.51310673453647E-3</v>
      </c>
      <c r="L355" s="862"/>
      <c r="M355" s="710">
        <f t="shared" si="10"/>
        <v>1.1141835763242305E-2</v>
      </c>
    </row>
    <row r="356" spans="1:13" x14ac:dyDescent="0.25">
      <c r="B356" s="1" t="s">
        <v>57</v>
      </c>
      <c r="C356" s="1">
        <v>2017</v>
      </c>
      <c r="D356" s="1" t="s">
        <v>969</v>
      </c>
      <c r="E356" t="s">
        <v>129</v>
      </c>
      <c r="F356" t="str">
        <f t="shared" si="11"/>
        <v>Philippines:Male Sterilization</v>
      </c>
      <c r="G356" s="862">
        <v>2.6136851101606301E-4</v>
      </c>
      <c r="H356" s="862"/>
      <c r="I356" s="862">
        <v>2.7351200635389599E-5</v>
      </c>
      <c r="J356" s="862"/>
      <c r="K356" s="862"/>
      <c r="L356" s="862"/>
      <c r="M356" s="864">
        <f t="shared" si="10"/>
        <v>2.8871971165145261E-4</v>
      </c>
    </row>
    <row r="357" spans="1:13" x14ac:dyDescent="0.25">
      <c r="B357" s="1" t="s">
        <v>57</v>
      </c>
      <c r="C357" s="1">
        <v>2017</v>
      </c>
      <c r="D357" s="1" t="s">
        <v>969</v>
      </c>
      <c r="E357" t="s">
        <v>110</v>
      </c>
      <c r="F357" t="str">
        <f t="shared" si="11"/>
        <v>Philippines:OC Pills</v>
      </c>
      <c r="G357" s="862">
        <v>4.3460120583815993E-2</v>
      </c>
      <c r="H357" s="862">
        <v>3.44299037232342E-4</v>
      </c>
      <c r="I357" s="862">
        <v>9.8670910786873597E-4</v>
      </c>
      <c r="J357" s="862">
        <v>6.7625900562306801E-2</v>
      </c>
      <c r="K357" s="862">
        <v>1.4727406099858099E-2</v>
      </c>
      <c r="L357" s="862">
        <v>4.9497487778697703E-6</v>
      </c>
      <c r="M357" s="710">
        <f t="shared" si="10"/>
        <v>0.12714938513985985</v>
      </c>
    </row>
    <row r="358" spans="1:13" x14ac:dyDescent="0.25">
      <c r="B358" s="860" t="s">
        <v>57</v>
      </c>
      <c r="C358" s="1">
        <v>2017</v>
      </c>
      <c r="D358" s="1" t="s">
        <v>969</v>
      </c>
      <c r="E358" t="s">
        <v>130</v>
      </c>
      <c r="F358" t="str">
        <f t="shared" si="11"/>
        <v>Philippines:Other Modern Methods</v>
      </c>
      <c r="G358" s="862">
        <v>6.9477148122339703E-6</v>
      </c>
      <c r="H358" s="862"/>
      <c r="I358" s="862"/>
      <c r="J358" s="862"/>
      <c r="K358" s="862"/>
      <c r="L358" s="862"/>
      <c r="M358" s="710">
        <f t="shared" si="10"/>
        <v>6.9477148122339703E-6</v>
      </c>
    </row>
    <row r="359" spans="1:13" x14ac:dyDescent="0.25">
      <c r="B359" s="861" t="s">
        <v>57</v>
      </c>
      <c r="C359" s="861">
        <v>2017</v>
      </c>
      <c r="D359" s="861" t="s">
        <v>969</v>
      </c>
      <c r="E359" s="861" t="s">
        <v>313</v>
      </c>
      <c r="F359" t="str">
        <f t="shared" si="11"/>
        <v>Philippines:Total</v>
      </c>
      <c r="G359" s="863">
        <v>0.13654522846862585</v>
      </c>
      <c r="H359" s="863">
        <v>6.8254519095797763E-4</v>
      </c>
      <c r="I359" s="863">
        <v>1.7303716159908361E-2</v>
      </c>
      <c r="J359" s="863">
        <v>7.4234860965248103E-2</v>
      </c>
      <c r="K359" s="863">
        <v>1.6505564722639525E-2</v>
      </c>
      <c r="L359" s="863">
        <v>2.3284557869834478E-4</v>
      </c>
      <c r="M359" s="710">
        <f t="shared" si="10"/>
        <v>0.24550476108607816</v>
      </c>
    </row>
    <row r="360" spans="1:13" x14ac:dyDescent="0.25">
      <c r="B360" s="1" t="s">
        <v>58</v>
      </c>
      <c r="C360" s="1">
        <v>2014</v>
      </c>
      <c r="D360" s="1" t="s">
        <v>596</v>
      </c>
      <c r="E360" t="s">
        <v>1020</v>
      </c>
      <c r="F360" t="str">
        <f t="shared" si="11"/>
        <v>Rwanda:Female Condom</v>
      </c>
      <c r="G360" s="862">
        <v>5.2786693124155902E-5</v>
      </c>
      <c r="H360" s="862"/>
      <c r="I360" s="862"/>
      <c r="J360" s="862"/>
      <c r="K360" s="862"/>
      <c r="L360" s="862"/>
      <c r="M360" s="710">
        <f t="shared" si="10"/>
        <v>5.2786693124155902E-5</v>
      </c>
    </row>
    <row r="361" spans="1:13" x14ac:dyDescent="0.25">
      <c r="B361" s="1" t="s">
        <v>58</v>
      </c>
      <c r="C361" s="1">
        <v>2014</v>
      </c>
      <c r="D361" s="1" t="s">
        <v>596</v>
      </c>
      <c r="E361" t="s">
        <v>128</v>
      </c>
      <c r="F361" t="str">
        <f t="shared" si="11"/>
        <v>Rwanda:Female Sterilization</v>
      </c>
      <c r="G361" s="862">
        <v>6.83383082345257E-3</v>
      </c>
      <c r="H361" s="862"/>
      <c r="I361" s="862">
        <v>1.83262576122143E-4</v>
      </c>
      <c r="J361" s="862"/>
      <c r="K361" s="862"/>
      <c r="L361" s="862"/>
      <c r="M361" s="710">
        <f t="shared" si="10"/>
        <v>7.017093399574713E-3</v>
      </c>
    </row>
    <row r="362" spans="1:13" x14ac:dyDescent="0.25">
      <c r="B362" s="1" t="s">
        <v>58</v>
      </c>
      <c r="C362" s="1">
        <v>2014</v>
      </c>
      <c r="D362" s="1" t="s">
        <v>596</v>
      </c>
      <c r="E362" t="s">
        <v>3</v>
      </c>
      <c r="F362" t="str">
        <f t="shared" si="11"/>
        <v>Rwanda:Implant</v>
      </c>
      <c r="G362" s="862">
        <v>4.3170530756880848E-2</v>
      </c>
      <c r="H362" s="862"/>
      <c r="I362" s="862">
        <v>1.12204578338056E-3</v>
      </c>
      <c r="J362" s="862">
        <v>7.3172852928465103E-5</v>
      </c>
      <c r="K362" s="862"/>
      <c r="L362" s="862"/>
      <c r="M362" s="710">
        <f t="shared" si="10"/>
        <v>4.4365749393189872E-2</v>
      </c>
    </row>
    <row r="363" spans="1:13" x14ac:dyDescent="0.25">
      <c r="B363" s="1" t="s">
        <v>58</v>
      </c>
      <c r="C363" s="1">
        <v>2014</v>
      </c>
      <c r="D363" s="1" t="s">
        <v>596</v>
      </c>
      <c r="E363" t="s">
        <v>2</v>
      </c>
      <c r="F363" t="str">
        <f t="shared" si="11"/>
        <v>Rwanda:Injectable</v>
      </c>
      <c r="G363" s="862">
        <v>0.13561308479968001</v>
      </c>
      <c r="H363" s="862"/>
      <c r="I363" s="862">
        <v>4.2775066136724604E-3</v>
      </c>
      <c r="J363" s="862">
        <v>4.4017618550717301E-4</v>
      </c>
      <c r="K363" s="862"/>
      <c r="L363" s="862"/>
      <c r="M363" s="710">
        <f t="shared" si="10"/>
        <v>0.14033076759885965</v>
      </c>
    </row>
    <row r="364" spans="1:13" x14ac:dyDescent="0.25">
      <c r="B364" s="1" t="s">
        <v>58</v>
      </c>
      <c r="C364" s="1">
        <v>2014</v>
      </c>
      <c r="D364" s="1" t="s">
        <v>596</v>
      </c>
      <c r="E364" t="s">
        <v>5</v>
      </c>
      <c r="F364" t="str">
        <f t="shared" si="11"/>
        <v>Rwanda:IUD</v>
      </c>
      <c r="G364" s="862">
        <v>4.8779213700610776E-3</v>
      </c>
      <c r="H364" s="862"/>
      <c r="I364" s="862">
        <v>1.2680405223574E-3</v>
      </c>
      <c r="J364" s="862"/>
      <c r="K364" s="862"/>
      <c r="L364" s="862"/>
      <c r="M364" s="710">
        <f t="shared" si="10"/>
        <v>6.1459618924184778E-3</v>
      </c>
    </row>
    <row r="365" spans="1:13" x14ac:dyDescent="0.25">
      <c r="B365" s="1" t="s">
        <v>58</v>
      </c>
      <c r="C365" s="1">
        <v>2014</v>
      </c>
      <c r="D365" s="1" t="s">
        <v>596</v>
      </c>
      <c r="E365" t="s">
        <v>103</v>
      </c>
      <c r="F365" t="str">
        <f t="shared" si="11"/>
        <v>Rwanda:Male Condom</v>
      </c>
      <c r="G365" s="862">
        <v>1.309227104393014E-2</v>
      </c>
      <c r="H365" s="862"/>
      <c r="I365" s="862">
        <v>2.7782158885084198E-4</v>
      </c>
      <c r="J365" s="862">
        <v>1.12797087782186E-3</v>
      </c>
      <c r="K365" s="862">
        <v>6.5869238821752397E-3</v>
      </c>
      <c r="L365" s="862">
        <v>4.75802769047258E-4</v>
      </c>
      <c r="M365" s="710">
        <f t="shared" si="10"/>
        <v>2.1560790161825338E-2</v>
      </c>
    </row>
    <row r="366" spans="1:13" x14ac:dyDescent="0.25">
      <c r="A366" s="119"/>
      <c r="B366" s="1" t="s">
        <v>58</v>
      </c>
      <c r="C366" s="1">
        <v>2014</v>
      </c>
      <c r="D366" s="1" t="s">
        <v>596</v>
      </c>
      <c r="E366" t="s">
        <v>129</v>
      </c>
      <c r="F366" t="str">
        <f t="shared" si="11"/>
        <v>Rwanda:Male Sterilization</v>
      </c>
      <c r="G366" s="862">
        <v>1.1970803833563401E-3</v>
      </c>
      <c r="H366" s="862"/>
      <c r="I366" s="862"/>
      <c r="J366" s="862"/>
      <c r="K366" s="862"/>
      <c r="L366" s="862"/>
      <c r="M366" s="864">
        <f t="shared" si="10"/>
        <v>1.1970803833563401E-3</v>
      </c>
    </row>
    <row r="367" spans="1:13" x14ac:dyDescent="0.25">
      <c r="B367" s="860" t="s">
        <v>58</v>
      </c>
      <c r="C367" s="1">
        <v>2014</v>
      </c>
      <c r="D367" s="1" t="s">
        <v>596</v>
      </c>
      <c r="E367" t="s">
        <v>110</v>
      </c>
      <c r="F367" t="str">
        <f t="shared" si="11"/>
        <v>Rwanda:OC Pills</v>
      </c>
      <c r="G367" s="862">
        <v>4.3640532977681806E-2</v>
      </c>
      <c r="H367" s="862"/>
      <c r="I367" s="862">
        <v>1.01558345885329E-3</v>
      </c>
      <c r="J367" s="862">
        <v>2.0161075712465098E-3</v>
      </c>
      <c r="K367" s="862">
        <v>5.9359783413737303E-5</v>
      </c>
      <c r="L367" s="862">
        <v>6.0603170828096998E-5</v>
      </c>
      <c r="M367" s="710">
        <f t="shared" si="10"/>
        <v>4.679218696202344E-2</v>
      </c>
    </row>
    <row r="368" spans="1:13" x14ac:dyDescent="0.25">
      <c r="B368" s="861" t="s">
        <v>58</v>
      </c>
      <c r="C368" s="861">
        <v>2014</v>
      </c>
      <c r="D368" s="861" t="s">
        <v>596</v>
      </c>
      <c r="E368" s="861" t="s">
        <v>313</v>
      </c>
      <c r="F368" t="str">
        <f t="shared" si="11"/>
        <v>Rwanda:Total</v>
      </c>
      <c r="G368" s="863">
        <v>0.24847803884816697</v>
      </c>
      <c r="H368" s="863"/>
      <c r="I368" s="863">
        <v>8.1442605432366956E-3</v>
      </c>
      <c r="J368" s="863">
        <v>3.6574274875040081E-3</v>
      </c>
      <c r="K368" s="863">
        <v>6.6462836655889774E-3</v>
      </c>
      <c r="L368" s="863">
        <v>5.3640593987535495E-4</v>
      </c>
      <c r="M368" s="710">
        <f t="shared" si="10"/>
        <v>0.26746241648437208</v>
      </c>
    </row>
    <row r="369" spans="1:13" x14ac:dyDescent="0.25">
      <c r="B369" s="1" t="s">
        <v>59</v>
      </c>
      <c r="C369" s="1">
        <v>2008</v>
      </c>
      <c r="D369" s="1" t="s">
        <v>598</v>
      </c>
      <c r="E369" t="s">
        <v>128</v>
      </c>
      <c r="F369" t="str">
        <f t="shared" si="11"/>
        <v>Sao Tome and Principe:Female Sterilization</v>
      </c>
      <c r="G369" s="862">
        <v>7.8717041358171095E-3</v>
      </c>
      <c r="H369" s="862"/>
      <c r="I369" s="862"/>
      <c r="J369" s="862"/>
      <c r="K369" s="862"/>
      <c r="L369" s="862">
        <v>8.8438276216393902E-4</v>
      </c>
      <c r="M369" s="710">
        <f t="shared" si="10"/>
        <v>8.7560868979810486E-3</v>
      </c>
    </row>
    <row r="370" spans="1:13" x14ac:dyDescent="0.25">
      <c r="B370" s="1" t="s">
        <v>59</v>
      </c>
      <c r="C370" s="1">
        <v>2008</v>
      </c>
      <c r="D370" s="1" t="s">
        <v>598</v>
      </c>
      <c r="E370" t="s">
        <v>2</v>
      </c>
      <c r="F370" t="str">
        <f t="shared" si="11"/>
        <v>Sao Tome and Principe:Injectable</v>
      </c>
      <c r="G370" s="862">
        <v>8.0439133461489593E-2</v>
      </c>
      <c r="H370" s="862"/>
      <c r="I370" s="862">
        <v>1.9375651363028E-3</v>
      </c>
      <c r="J370" s="862"/>
      <c r="K370" s="862"/>
      <c r="L370" s="862"/>
      <c r="M370" s="710">
        <f t="shared" si="10"/>
        <v>8.2376698597792397E-2</v>
      </c>
    </row>
    <row r="371" spans="1:13" x14ac:dyDescent="0.25">
      <c r="B371" s="1" t="s">
        <v>59</v>
      </c>
      <c r="C371" s="1">
        <v>2008</v>
      </c>
      <c r="D371" s="1" t="s">
        <v>598</v>
      </c>
      <c r="E371" t="s">
        <v>5</v>
      </c>
      <c r="F371" t="str">
        <f t="shared" si="11"/>
        <v>Sao Tome and Principe:IUD</v>
      </c>
      <c r="G371" s="862">
        <v>1.7088894268935449E-3</v>
      </c>
      <c r="H371" s="862"/>
      <c r="I371" s="862"/>
      <c r="J371" s="862"/>
      <c r="K371" s="862"/>
      <c r="L371" s="862">
        <v>8.8438276216393902E-4</v>
      </c>
      <c r="M371" s="710">
        <f t="shared" si="10"/>
        <v>2.5932721890574838E-3</v>
      </c>
    </row>
    <row r="372" spans="1:13" x14ac:dyDescent="0.25">
      <c r="B372" s="1" t="s">
        <v>59</v>
      </c>
      <c r="C372" s="1">
        <v>2008</v>
      </c>
      <c r="D372" s="1" t="s">
        <v>598</v>
      </c>
      <c r="E372" t="s">
        <v>103</v>
      </c>
      <c r="F372" t="str">
        <f t="shared" si="11"/>
        <v>Sao Tome and Principe:Male Condom</v>
      </c>
      <c r="G372" s="862">
        <v>3.8980602527222796E-2</v>
      </c>
      <c r="H372" s="862">
        <v>2.3487903616272402E-3</v>
      </c>
      <c r="I372" s="862">
        <v>5.1895944736157903E-4</v>
      </c>
      <c r="J372" s="862"/>
      <c r="K372" s="862">
        <v>2.4000949488304901E-2</v>
      </c>
      <c r="L372" s="862">
        <v>4.6966755607607E-3</v>
      </c>
      <c r="M372" s="710">
        <f t="shared" si="10"/>
        <v>7.0545977385277209E-2</v>
      </c>
    </row>
    <row r="373" spans="1:13" x14ac:dyDescent="0.25">
      <c r="B373" s="1" t="s">
        <v>59</v>
      </c>
      <c r="C373" s="1">
        <v>2008</v>
      </c>
      <c r="D373" s="1" t="s">
        <v>598</v>
      </c>
      <c r="E373" t="s">
        <v>110</v>
      </c>
      <c r="F373" t="str">
        <f t="shared" si="11"/>
        <v>Sao Tome and Principe:OC Pills</v>
      </c>
      <c r="G373" s="862">
        <v>0.10523377278954571</v>
      </c>
      <c r="H373" s="862"/>
      <c r="I373" s="862"/>
      <c r="J373" s="862"/>
      <c r="K373" s="862">
        <v>2.1973957203925699E-4</v>
      </c>
      <c r="L373" s="862"/>
      <c r="M373" s="710">
        <f t="shared" si="10"/>
        <v>0.10545351236158497</v>
      </c>
    </row>
    <row r="374" spans="1:13" x14ac:dyDescent="0.25">
      <c r="B374" s="860" t="s">
        <v>59</v>
      </c>
      <c r="C374" s="1">
        <v>2008</v>
      </c>
      <c r="D374" s="1" t="s">
        <v>598</v>
      </c>
      <c r="E374" t="s">
        <v>130</v>
      </c>
      <c r="F374" t="str">
        <f t="shared" si="11"/>
        <v>Sao Tome and Principe:Other Modern Methods</v>
      </c>
      <c r="G374" s="862">
        <v>4.3199042539840697E-4</v>
      </c>
      <c r="H374" s="862"/>
      <c r="I374" s="862"/>
      <c r="J374" s="862"/>
      <c r="K374" s="862"/>
      <c r="L374" s="862"/>
      <c r="M374" s="710">
        <f t="shared" si="10"/>
        <v>4.3199042539840697E-4</v>
      </c>
    </row>
    <row r="375" spans="1:13" x14ac:dyDescent="0.25">
      <c r="B375" s="861" t="s">
        <v>59</v>
      </c>
      <c r="C375" s="861">
        <v>2008</v>
      </c>
      <c r="D375" s="861" t="s">
        <v>598</v>
      </c>
      <c r="E375" s="861" t="s">
        <v>313</v>
      </c>
      <c r="F375" t="str">
        <f t="shared" si="11"/>
        <v>Sao Tome and Principe:Total</v>
      </c>
      <c r="G375" s="863">
        <v>0.23466609276636716</v>
      </c>
      <c r="H375" s="863">
        <v>2.3487903616272402E-3</v>
      </c>
      <c r="I375" s="863">
        <v>2.4565245836643788E-3</v>
      </c>
      <c r="J375" s="863"/>
      <c r="K375" s="863">
        <v>2.4220689060344157E-2</v>
      </c>
      <c r="L375" s="863">
        <v>6.4654410850885783E-3</v>
      </c>
      <c r="M375" s="864">
        <f t="shared" si="10"/>
        <v>0.27015753785709151</v>
      </c>
    </row>
    <row r="376" spans="1:13" x14ac:dyDescent="0.25">
      <c r="B376" s="1" t="s">
        <v>60</v>
      </c>
      <c r="C376" s="1">
        <v>2017</v>
      </c>
      <c r="D376" s="1" t="s">
        <v>969</v>
      </c>
      <c r="E376" t="s">
        <v>108</v>
      </c>
      <c r="F376" t="str">
        <f t="shared" si="11"/>
        <v>Senegal:EC</v>
      </c>
      <c r="G376" s="862"/>
      <c r="H376" s="862"/>
      <c r="I376" s="862"/>
      <c r="J376" s="862">
        <v>1.52164115705436E-4</v>
      </c>
      <c r="K376" s="862"/>
      <c r="L376" s="862"/>
      <c r="M376" s="710">
        <f t="shared" si="10"/>
        <v>1.52164115705436E-4</v>
      </c>
    </row>
    <row r="377" spans="1:13" x14ac:dyDescent="0.25">
      <c r="B377" s="1" t="s">
        <v>60</v>
      </c>
      <c r="C377" s="1">
        <v>2017</v>
      </c>
      <c r="D377" s="1" t="s">
        <v>969</v>
      </c>
      <c r="E377" t="s">
        <v>1020</v>
      </c>
      <c r="F377" t="str">
        <f t="shared" si="11"/>
        <v>Senegal:Female Condom</v>
      </c>
      <c r="G377" s="862"/>
      <c r="H377" s="862"/>
      <c r="I377" s="862"/>
      <c r="J377" s="862"/>
      <c r="K377" s="862">
        <v>5.2390361801545502E-5</v>
      </c>
      <c r="L377" s="862"/>
      <c r="M377" s="710">
        <f t="shared" si="10"/>
        <v>5.2390361801545502E-5</v>
      </c>
    </row>
    <row r="378" spans="1:13" x14ac:dyDescent="0.25">
      <c r="B378" s="1" t="s">
        <v>60</v>
      </c>
      <c r="C378" s="1">
        <v>2017</v>
      </c>
      <c r="D378" s="1" t="s">
        <v>969</v>
      </c>
      <c r="E378" t="s">
        <v>128</v>
      </c>
      <c r="F378" t="str">
        <f t="shared" si="11"/>
        <v>Senegal:Female Sterilization</v>
      </c>
      <c r="G378" s="862">
        <v>2.4609377594176319E-3</v>
      </c>
      <c r="H378" s="862"/>
      <c r="I378" s="862"/>
      <c r="J378" s="862"/>
      <c r="K378" s="862"/>
      <c r="L378" s="862"/>
      <c r="M378" s="710">
        <f t="shared" si="10"/>
        <v>2.4609377594176319E-3</v>
      </c>
    </row>
    <row r="379" spans="1:13" x14ac:dyDescent="0.25">
      <c r="B379" s="1" t="s">
        <v>60</v>
      </c>
      <c r="C379" s="1">
        <v>2017</v>
      </c>
      <c r="D379" s="1" t="s">
        <v>969</v>
      </c>
      <c r="E379" t="s">
        <v>3</v>
      </c>
      <c r="F379" t="str">
        <f t="shared" si="11"/>
        <v>Senegal:Implant</v>
      </c>
      <c r="G379" s="862">
        <v>5.6369841653252463E-2</v>
      </c>
      <c r="H379" s="862"/>
      <c r="I379" s="862">
        <v>2.2015277982786602E-3</v>
      </c>
      <c r="J379" s="862"/>
      <c r="K379" s="862"/>
      <c r="L379" s="862">
        <v>1.9914070492295E-4</v>
      </c>
      <c r="M379" s="710">
        <f t="shared" si="10"/>
        <v>5.877051015645407E-2</v>
      </c>
    </row>
    <row r="380" spans="1:13" x14ac:dyDescent="0.25">
      <c r="B380" s="1" t="s">
        <v>60</v>
      </c>
      <c r="C380" s="1">
        <v>2017</v>
      </c>
      <c r="D380" s="1" t="s">
        <v>969</v>
      </c>
      <c r="E380" t="s">
        <v>2</v>
      </c>
      <c r="F380" t="str">
        <f t="shared" si="11"/>
        <v>Senegal:Injectable</v>
      </c>
      <c r="G380" s="862">
        <v>6.6599177430675144E-2</v>
      </c>
      <c r="H380" s="862"/>
      <c r="I380" s="862">
        <v>3.9077023450124404E-3</v>
      </c>
      <c r="J380" s="862">
        <v>3.6484351133671001E-4</v>
      </c>
      <c r="K380" s="862"/>
      <c r="L380" s="862">
        <v>1.4545910584924199E-4</v>
      </c>
      <c r="M380" s="710">
        <f t="shared" si="10"/>
        <v>7.1017182392873537E-2</v>
      </c>
    </row>
    <row r="381" spans="1:13" x14ac:dyDescent="0.25">
      <c r="A381" s="119"/>
      <c r="B381" s="1" t="s">
        <v>60</v>
      </c>
      <c r="C381" s="1">
        <v>2017</v>
      </c>
      <c r="D381" s="1" t="s">
        <v>969</v>
      </c>
      <c r="E381" t="s">
        <v>5</v>
      </c>
      <c r="F381" t="str">
        <f t="shared" si="11"/>
        <v>Senegal:IUD</v>
      </c>
      <c r="G381" s="862">
        <v>1.3743943285553641E-2</v>
      </c>
      <c r="H381" s="862"/>
      <c r="I381" s="862">
        <v>1.1211243269337299E-3</v>
      </c>
      <c r="J381" s="862"/>
      <c r="K381" s="862"/>
      <c r="L381" s="862"/>
      <c r="M381" s="710">
        <f t="shared" si="10"/>
        <v>1.4865067612487371E-2</v>
      </c>
    </row>
    <row r="382" spans="1:13" x14ac:dyDescent="0.25">
      <c r="B382" s="1" t="s">
        <v>60</v>
      </c>
      <c r="C382" s="1">
        <v>2017</v>
      </c>
      <c r="D382" s="1" t="s">
        <v>969</v>
      </c>
      <c r="E382" t="s">
        <v>103</v>
      </c>
      <c r="F382" t="str">
        <f t="shared" si="11"/>
        <v>Senegal:Male Condom</v>
      </c>
      <c r="G382" s="862">
        <v>7.9219759658482399E-4</v>
      </c>
      <c r="H382" s="862"/>
      <c r="I382" s="862">
        <v>1.3886757666307199E-4</v>
      </c>
      <c r="J382" s="862">
        <v>8.3745246660789693E-3</v>
      </c>
      <c r="K382" s="862">
        <v>1.15652493469016E-3</v>
      </c>
      <c r="L382" s="862">
        <v>2.3526264466538799E-4</v>
      </c>
      <c r="M382" s="864">
        <f t="shared" si="10"/>
        <v>1.0697377418682413E-2</v>
      </c>
    </row>
    <row r="383" spans="1:13" x14ac:dyDescent="0.25">
      <c r="B383" s="1" t="s">
        <v>60</v>
      </c>
      <c r="C383" s="1">
        <v>2017</v>
      </c>
      <c r="D383" s="1" t="s">
        <v>969</v>
      </c>
      <c r="E383" t="s">
        <v>110</v>
      </c>
      <c r="F383" t="str">
        <f t="shared" si="11"/>
        <v>Senegal:OC Pills</v>
      </c>
      <c r="G383" s="862">
        <v>2.2432067940988884E-2</v>
      </c>
      <c r="H383" s="862"/>
      <c r="I383" s="862">
        <v>1.5702748619037801E-3</v>
      </c>
      <c r="J383" s="862">
        <v>5.2385045187477398E-3</v>
      </c>
      <c r="K383" s="862">
        <v>5.2779055435097102E-5</v>
      </c>
      <c r="L383" s="862">
        <v>1.65118127791031E-4</v>
      </c>
      <c r="M383" s="710">
        <f t="shared" si="10"/>
        <v>2.9458744504866533E-2</v>
      </c>
    </row>
    <row r="384" spans="1:13" x14ac:dyDescent="0.25">
      <c r="B384" s="860" t="s">
        <v>60</v>
      </c>
      <c r="C384" s="1">
        <v>2017</v>
      </c>
      <c r="D384" s="1" t="s">
        <v>969</v>
      </c>
      <c r="E384" t="s">
        <v>130</v>
      </c>
      <c r="F384" t="str">
        <f t="shared" si="11"/>
        <v>Senegal:Other Modern Methods</v>
      </c>
      <c r="G384" s="862">
        <v>2.2071376749916799E-4</v>
      </c>
      <c r="H384" s="862"/>
      <c r="I384" s="862">
        <v>1.5531661467573299E-4</v>
      </c>
      <c r="J384" s="862">
        <v>7.8322571354377506E-5</v>
      </c>
      <c r="K384" s="862">
        <v>2.10126467760088E-4</v>
      </c>
      <c r="L384" s="862">
        <v>2.7096562926226601E-5</v>
      </c>
      <c r="M384" s="710">
        <f t="shared" si="10"/>
        <v>6.9157598421559308E-4</v>
      </c>
    </row>
    <row r="385" spans="1:13" x14ac:dyDescent="0.25">
      <c r="B385" s="861" t="s">
        <v>60</v>
      </c>
      <c r="C385" s="861">
        <v>2017</v>
      </c>
      <c r="D385" s="861" t="s">
        <v>969</v>
      </c>
      <c r="E385" s="861" t="s">
        <v>313</v>
      </c>
      <c r="F385" t="str">
        <f t="shared" si="11"/>
        <v>Senegal:Total</v>
      </c>
      <c r="G385" s="863">
        <v>0.16261887943397174</v>
      </c>
      <c r="H385" s="863"/>
      <c r="I385" s="863">
        <v>9.0948135234674155E-3</v>
      </c>
      <c r="J385" s="863">
        <v>1.4208359383223233E-2</v>
      </c>
      <c r="K385" s="863">
        <v>1.4718208196868906E-3</v>
      </c>
      <c r="L385" s="863">
        <v>7.7207714615483761E-4</v>
      </c>
      <c r="M385" s="710">
        <f t="shared" si="10"/>
        <v>0.18816595030650413</v>
      </c>
    </row>
    <row r="386" spans="1:13" x14ac:dyDescent="0.25">
      <c r="B386" s="1" t="s">
        <v>61</v>
      </c>
      <c r="C386" s="1">
        <v>2013</v>
      </c>
      <c r="D386" s="1" t="s">
        <v>605</v>
      </c>
      <c r="E386" t="s">
        <v>1020</v>
      </c>
      <c r="F386" t="str">
        <f t="shared" si="11"/>
        <v>Sierra Leone:Female Condom</v>
      </c>
      <c r="G386" s="862"/>
      <c r="H386" s="862"/>
      <c r="I386" s="862"/>
      <c r="J386" s="862"/>
      <c r="K386" s="862">
        <v>2.70840439140909E-5</v>
      </c>
      <c r="L386" s="862"/>
      <c r="M386" s="710">
        <f t="shared" si="10"/>
        <v>2.70840439140909E-5</v>
      </c>
    </row>
    <row r="387" spans="1:13" x14ac:dyDescent="0.25">
      <c r="B387" s="1" t="s">
        <v>61</v>
      </c>
      <c r="C387" s="1">
        <v>2013</v>
      </c>
      <c r="D387" s="1" t="s">
        <v>605</v>
      </c>
      <c r="E387" t="s">
        <v>128</v>
      </c>
      <c r="F387" t="str">
        <f t="shared" si="11"/>
        <v>Sierra Leone:Female Sterilization</v>
      </c>
      <c r="G387" s="862">
        <v>2.2157083856430598E-3</v>
      </c>
      <c r="H387" s="862"/>
      <c r="I387" s="862">
        <v>6.2652431753200605E-4</v>
      </c>
      <c r="J387" s="862"/>
      <c r="K387" s="862"/>
      <c r="L387" s="862"/>
      <c r="M387" s="710">
        <f t="shared" si="10"/>
        <v>2.842232703175066E-3</v>
      </c>
    </row>
    <row r="388" spans="1:13" x14ac:dyDescent="0.25">
      <c r="B388" s="1" t="s">
        <v>61</v>
      </c>
      <c r="C388" s="1">
        <v>2013</v>
      </c>
      <c r="D388" s="1" t="s">
        <v>605</v>
      </c>
      <c r="E388" t="s">
        <v>3</v>
      </c>
      <c r="F388" t="str">
        <f t="shared" si="11"/>
        <v>Sierra Leone:Implant</v>
      </c>
      <c r="G388" s="862">
        <v>2.8123010184655531E-2</v>
      </c>
      <c r="H388" s="862"/>
      <c r="I388" s="862">
        <v>8.39109671574274E-3</v>
      </c>
      <c r="J388" s="862">
        <v>5.3550576717587603E-4</v>
      </c>
      <c r="K388" s="862">
        <v>3.1024432947123098E-5</v>
      </c>
      <c r="L388" s="862">
        <v>1.8021161144360099E-4</v>
      </c>
      <c r="M388" s="710">
        <f t="shared" ref="M388:M451" si="12">SUM(G388:L388)</f>
        <v>3.7260848711964875E-2</v>
      </c>
    </row>
    <row r="389" spans="1:13" x14ac:dyDescent="0.25">
      <c r="B389" s="1" t="s">
        <v>61</v>
      </c>
      <c r="C389" s="1">
        <v>2013</v>
      </c>
      <c r="D389" s="1" t="s">
        <v>605</v>
      </c>
      <c r="E389" t="s">
        <v>2</v>
      </c>
      <c r="F389" t="str">
        <f t="shared" si="11"/>
        <v>Sierra Leone:Injectable</v>
      </c>
      <c r="G389" s="862">
        <v>7.5967324581327419E-2</v>
      </c>
      <c r="H389" s="862"/>
      <c r="I389" s="862">
        <v>1.3000775284553999E-2</v>
      </c>
      <c r="J389" s="862">
        <v>6.2915989805443504E-3</v>
      </c>
      <c r="K389" s="862">
        <v>6.7781534926857903E-4</v>
      </c>
      <c r="L389" s="862">
        <v>1.24492689169411E-3</v>
      </c>
      <c r="M389" s="710">
        <f t="shared" si="12"/>
        <v>9.7182441087388466E-2</v>
      </c>
    </row>
    <row r="390" spans="1:13" x14ac:dyDescent="0.25">
      <c r="B390" s="1" t="s">
        <v>61</v>
      </c>
      <c r="C390" s="1">
        <v>2013</v>
      </c>
      <c r="D390" s="1" t="s">
        <v>605</v>
      </c>
      <c r="E390" t="s">
        <v>5</v>
      </c>
      <c r="F390" t="str">
        <f t="shared" si="11"/>
        <v>Sierra Leone:IUD</v>
      </c>
      <c r="G390" s="862">
        <v>1.8252486035107624E-3</v>
      </c>
      <c r="H390" s="862"/>
      <c r="I390" s="862">
        <v>5.1341638052251903E-4</v>
      </c>
      <c r="J390" s="862"/>
      <c r="K390" s="862"/>
      <c r="L390" s="862"/>
      <c r="M390" s="710">
        <f t="shared" si="12"/>
        <v>2.3386649840332814E-3</v>
      </c>
    </row>
    <row r="391" spans="1:13" x14ac:dyDescent="0.25">
      <c r="B391" s="1" t="s">
        <v>61</v>
      </c>
      <c r="C391" s="1">
        <v>2013</v>
      </c>
      <c r="D391" s="1" t="s">
        <v>605</v>
      </c>
      <c r="E391" t="s">
        <v>103</v>
      </c>
      <c r="F391" t="str">
        <f t="shared" si="11"/>
        <v>Sierra Leone:Male Condom</v>
      </c>
      <c r="G391" s="862">
        <v>2.805134251690928E-3</v>
      </c>
      <c r="H391" s="862"/>
      <c r="I391" s="862">
        <v>1.4497286702164E-4</v>
      </c>
      <c r="J391" s="862">
        <v>3.12080750424451E-3</v>
      </c>
      <c r="K391" s="862">
        <v>7.6713843797142497E-4</v>
      </c>
      <c r="L391" s="862">
        <v>6.8274583315866005E-5</v>
      </c>
      <c r="M391" s="710">
        <f t="shared" si="12"/>
        <v>6.90632764424437E-3</v>
      </c>
    </row>
    <row r="392" spans="1:13" x14ac:dyDescent="0.25">
      <c r="B392" s="1" t="s">
        <v>61</v>
      </c>
      <c r="C392" s="1">
        <v>2013</v>
      </c>
      <c r="D392" s="1" t="s">
        <v>605</v>
      </c>
      <c r="E392" t="s">
        <v>129</v>
      </c>
      <c r="F392" t="str">
        <f t="shared" si="11"/>
        <v>Sierra Leone:Male Sterilization</v>
      </c>
      <c r="G392" s="862">
        <v>1.2068213565186001E-4</v>
      </c>
      <c r="H392" s="862"/>
      <c r="I392" s="862"/>
      <c r="J392" s="862"/>
      <c r="K392" s="862"/>
      <c r="L392" s="862"/>
      <c r="M392" s="710">
        <f t="shared" si="12"/>
        <v>1.2068213565186001E-4</v>
      </c>
    </row>
    <row r="393" spans="1:13" x14ac:dyDescent="0.25">
      <c r="B393" s="1" t="s">
        <v>61</v>
      </c>
      <c r="C393" s="1">
        <v>2013</v>
      </c>
      <c r="D393" s="1" t="s">
        <v>605</v>
      </c>
      <c r="E393" t="s">
        <v>110</v>
      </c>
      <c r="F393" t="str">
        <f t="shared" si="11"/>
        <v>Sierra Leone:OC Pills</v>
      </c>
      <c r="G393" s="862">
        <v>2.5919913096985776E-2</v>
      </c>
      <c r="H393" s="862"/>
      <c r="I393" s="862">
        <v>5.7034688883089799E-3</v>
      </c>
      <c r="J393" s="862">
        <v>1.7670041559437199E-2</v>
      </c>
      <c r="K393" s="862">
        <v>8.0183137857114202E-4</v>
      </c>
      <c r="L393" s="862">
        <v>4.9589801083363796E-4</v>
      </c>
      <c r="M393" s="864">
        <f t="shared" si="12"/>
        <v>5.0591152934136741E-2</v>
      </c>
    </row>
    <row r="394" spans="1:13" x14ac:dyDescent="0.25">
      <c r="B394" s="860" t="s">
        <v>61</v>
      </c>
      <c r="C394" s="1">
        <v>2013</v>
      </c>
      <c r="D394" s="1" t="s">
        <v>605</v>
      </c>
      <c r="E394" t="s">
        <v>130</v>
      </c>
      <c r="F394" t="str">
        <f t="shared" si="11"/>
        <v>Sierra Leone:Other Modern Methods</v>
      </c>
      <c r="G394" s="862">
        <v>1.98702967092771E-4</v>
      </c>
      <c r="H394" s="862"/>
      <c r="I394" s="862"/>
      <c r="J394" s="862"/>
      <c r="K394" s="862"/>
      <c r="L394" s="862"/>
      <c r="M394" s="710">
        <f t="shared" si="12"/>
        <v>1.98702967092771E-4</v>
      </c>
    </row>
    <row r="395" spans="1:13" x14ac:dyDescent="0.25">
      <c r="B395" s="861" t="s">
        <v>61</v>
      </c>
      <c r="C395" s="861">
        <v>2013</v>
      </c>
      <c r="D395" s="861" t="s">
        <v>605</v>
      </c>
      <c r="E395" s="861" t="s">
        <v>313</v>
      </c>
      <c r="F395" t="str">
        <f t="shared" si="11"/>
        <v>Sierra Leone:Total</v>
      </c>
      <c r="G395" s="863">
        <v>0.1371757242065581</v>
      </c>
      <c r="H395" s="863"/>
      <c r="I395" s="863">
        <v>2.8380254453681881E-2</v>
      </c>
      <c r="J395" s="863">
        <v>2.7617953811401936E-2</v>
      </c>
      <c r="K395" s="863">
        <v>2.3048936426723599E-3</v>
      </c>
      <c r="L395" s="863">
        <v>1.9893110972872153E-3</v>
      </c>
      <c r="M395" s="710">
        <f t="shared" si="12"/>
        <v>0.19746813721160153</v>
      </c>
    </row>
    <row r="396" spans="1:13" x14ac:dyDescent="0.25">
      <c r="B396" s="1" t="s">
        <v>64</v>
      </c>
      <c r="C396" s="1">
        <v>2016</v>
      </c>
      <c r="D396" s="1" t="s">
        <v>610</v>
      </c>
      <c r="E396" t="s">
        <v>108</v>
      </c>
      <c r="F396" t="str">
        <f t="shared" si="11"/>
        <v>South Africa:EC</v>
      </c>
      <c r="G396" s="862"/>
      <c r="H396" s="862"/>
      <c r="I396" s="862"/>
      <c r="J396" s="862">
        <v>4.3151527368227898E-4</v>
      </c>
      <c r="K396" s="862"/>
      <c r="L396" s="862"/>
      <c r="M396" s="710">
        <f t="shared" si="12"/>
        <v>4.3151527368227898E-4</v>
      </c>
    </row>
    <row r="397" spans="1:13" x14ac:dyDescent="0.25">
      <c r="A397" s="119"/>
      <c r="B397" s="1" t="s">
        <v>64</v>
      </c>
      <c r="C397" s="1">
        <v>2016</v>
      </c>
      <c r="D397" s="1" t="s">
        <v>610</v>
      </c>
      <c r="E397" t="s">
        <v>1020</v>
      </c>
      <c r="F397" t="str">
        <f t="shared" si="11"/>
        <v>South Africa:Female Condom</v>
      </c>
      <c r="G397" s="862">
        <v>1.6173548450098664E-3</v>
      </c>
      <c r="H397" s="862"/>
      <c r="I397" s="862"/>
      <c r="J397" s="862">
        <v>3.71802329642661E-4</v>
      </c>
      <c r="K397" s="862">
        <v>5.2321705997876299E-5</v>
      </c>
      <c r="L397" s="862"/>
      <c r="M397" s="710">
        <f t="shared" si="12"/>
        <v>2.0414788806504035E-3</v>
      </c>
    </row>
    <row r="398" spans="1:13" x14ac:dyDescent="0.25">
      <c r="B398" s="1" t="s">
        <v>64</v>
      </c>
      <c r="C398" s="1">
        <v>2016</v>
      </c>
      <c r="D398" s="1" t="s">
        <v>610</v>
      </c>
      <c r="E398" t="s">
        <v>128</v>
      </c>
      <c r="F398" t="str">
        <f t="shared" si="11"/>
        <v>South Africa:Female Sterilization</v>
      </c>
      <c r="G398" s="862">
        <v>2.85873105072375E-2</v>
      </c>
      <c r="H398" s="862"/>
      <c r="I398" s="862">
        <v>1.1094435286796199E-2</v>
      </c>
      <c r="J398" s="862"/>
      <c r="K398" s="862"/>
      <c r="L398" s="862"/>
      <c r="M398" s="710">
        <f t="shared" si="12"/>
        <v>3.9681745794033697E-2</v>
      </c>
    </row>
    <row r="399" spans="1:13" x14ac:dyDescent="0.25">
      <c r="B399" s="1" t="s">
        <v>64</v>
      </c>
      <c r="C399" s="1">
        <v>2016</v>
      </c>
      <c r="D399" s="1" t="s">
        <v>610</v>
      </c>
      <c r="E399" t="s">
        <v>3</v>
      </c>
      <c r="F399" t="str">
        <f t="shared" si="11"/>
        <v>South Africa:Implant</v>
      </c>
      <c r="G399" s="862">
        <v>3.0610965803009097E-2</v>
      </c>
      <c r="H399" s="862"/>
      <c r="I399" s="862">
        <v>1.4481004386508499E-3</v>
      </c>
      <c r="J399" s="862">
        <v>2.7320578170168401E-4</v>
      </c>
      <c r="K399" s="862">
        <v>1.6351597547650801E-4</v>
      </c>
      <c r="L399" s="862"/>
      <c r="M399" s="710">
        <f t="shared" si="12"/>
        <v>3.2495787998838135E-2</v>
      </c>
    </row>
    <row r="400" spans="1:13" x14ac:dyDescent="0.25">
      <c r="B400" s="1" t="s">
        <v>64</v>
      </c>
      <c r="C400" s="1">
        <v>2016</v>
      </c>
      <c r="D400" s="1" t="s">
        <v>610</v>
      </c>
      <c r="E400" t="s">
        <v>2</v>
      </c>
      <c r="F400" t="str">
        <f t="shared" si="11"/>
        <v>South Africa:Injectable</v>
      </c>
      <c r="G400" s="862">
        <v>0.21282693807762584</v>
      </c>
      <c r="H400" s="862"/>
      <c r="I400" s="862">
        <v>7.9351810826840397E-3</v>
      </c>
      <c r="J400" s="862">
        <v>2.657992746910187E-3</v>
      </c>
      <c r="K400" s="862">
        <v>1.5424335381073869E-3</v>
      </c>
      <c r="L400" s="862">
        <v>3.5796547255001097E-4</v>
      </c>
      <c r="M400" s="710">
        <f t="shared" si="12"/>
        <v>0.22532051091787747</v>
      </c>
    </row>
    <row r="401" spans="1:27" x14ac:dyDescent="0.25">
      <c r="B401" s="1" t="s">
        <v>64</v>
      </c>
      <c r="C401" s="1">
        <v>2016</v>
      </c>
      <c r="D401" s="1" t="s">
        <v>610</v>
      </c>
      <c r="E401" t="s">
        <v>5</v>
      </c>
      <c r="F401" t="str">
        <f t="shared" si="11"/>
        <v>South Africa:IUD</v>
      </c>
      <c r="G401" s="862">
        <v>5.7860533871391803E-3</v>
      </c>
      <c r="H401" s="862"/>
      <c r="I401" s="862">
        <v>2.9985293961549502E-3</v>
      </c>
      <c r="J401" s="862">
        <v>8.2148462255086599E-5</v>
      </c>
      <c r="K401" s="862"/>
      <c r="L401" s="862"/>
      <c r="M401" s="710">
        <f t="shared" si="12"/>
        <v>8.8667312455492173E-3</v>
      </c>
    </row>
    <row r="402" spans="1:27" x14ac:dyDescent="0.25">
      <c r="B402" s="1" t="s">
        <v>64</v>
      </c>
      <c r="C402" s="1">
        <v>2016</v>
      </c>
      <c r="D402" s="1" t="s">
        <v>610</v>
      </c>
      <c r="E402" t="s">
        <v>103</v>
      </c>
      <c r="F402" t="str">
        <f t="shared" ref="F402:F425" si="13">B402&amp;":"&amp;E402</f>
        <v>South Africa:Male Condom</v>
      </c>
      <c r="G402" s="862">
        <v>6.560047522913369E-2</v>
      </c>
      <c r="H402" s="862"/>
      <c r="I402" s="862">
        <v>9.4470073853149695E-4</v>
      </c>
      <c r="J402" s="862">
        <v>1.43178884580178E-2</v>
      </c>
      <c r="K402" s="862">
        <v>3.3737328886254601E-2</v>
      </c>
      <c r="L402" s="862">
        <v>2.0949306078022699E-3</v>
      </c>
      <c r="M402" s="710">
        <f t="shared" si="12"/>
        <v>0.11669532391973986</v>
      </c>
    </row>
    <row r="403" spans="1:27" x14ac:dyDescent="0.25">
      <c r="B403" s="1" t="s">
        <v>64</v>
      </c>
      <c r="C403" s="1">
        <v>2016</v>
      </c>
      <c r="D403" s="1" t="s">
        <v>610</v>
      </c>
      <c r="E403" t="s">
        <v>129</v>
      </c>
      <c r="F403" t="str">
        <f t="shared" si="13"/>
        <v>South Africa:Male Sterilization</v>
      </c>
      <c r="G403" s="862">
        <v>1.09344891962541E-3</v>
      </c>
      <c r="H403" s="862"/>
      <c r="I403" s="862">
        <v>1.20486799530805E-3</v>
      </c>
      <c r="J403" s="862"/>
      <c r="K403" s="862"/>
      <c r="L403" s="862"/>
      <c r="M403" s="864">
        <f t="shared" si="12"/>
        <v>2.2983169149334601E-3</v>
      </c>
    </row>
    <row r="404" spans="1:27" x14ac:dyDescent="0.25">
      <c r="B404" s="1" t="s">
        <v>64</v>
      </c>
      <c r="C404" s="1">
        <v>2016</v>
      </c>
      <c r="D404" s="1" t="s">
        <v>610</v>
      </c>
      <c r="E404" t="s">
        <v>110</v>
      </c>
      <c r="F404" t="str">
        <f t="shared" si="13"/>
        <v>South Africa:OC Pills</v>
      </c>
      <c r="G404" s="862">
        <v>3.827508733375419E-2</v>
      </c>
      <c r="H404" s="862"/>
      <c r="I404" s="862">
        <v>2.9933694242874499E-3</v>
      </c>
      <c r="J404" s="862">
        <v>7.4255390757076703E-3</v>
      </c>
      <c r="K404" s="862">
        <v>5.5193434946322498E-4</v>
      </c>
      <c r="L404" s="862">
        <v>3.8399835984400402E-4</v>
      </c>
      <c r="M404" s="710">
        <f t="shared" si="12"/>
        <v>4.9629928543056541E-2</v>
      </c>
    </row>
    <row r="405" spans="1:27" x14ac:dyDescent="0.25">
      <c r="A405" s="119"/>
      <c r="B405" s="860" t="s">
        <v>64</v>
      </c>
      <c r="C405" s="1">
        <v>2016</v>
      </c>
      <c r="D405" s="1" t="s">
        <v>610</v>
      </c>
      <c r="E405" t="s">
        <v>130</v>
      </c>
      <c r="F405" t="str">
        <f t="shared" si="13"/>
        <v>South Africa:Other Modern Methods</v>
      </c>
      <c r="G405" s="862"/>
      <c r="H405" s="862"/>
      <c r="I405" s="862"/>
      <c r="J405" s="862">
        <v>4.1426615439590702E-4</v>
      </c>
      <c r="K405" s="862">
        <v>5.1351304295944498E-5</v>
      </c>
      <c r="L405" s="862"/>
      <c r="M405" s="710">
        <f t="shared" si="12"/>
        <v>4.6561745869185152E-4</v>
      </c>
    </row>
    <row r="406" spans="1:27" x14ac:dyDescent="0.25">
      <c r="B406" s="861" t="s">
        <v>64</v>
      </c>
      <c r="C406" s="861">
        <v>2016</v>
      </c>
      <c r="D406" s="861" t="s">
        <v>610</v>
      </c>
      <c r="E406" s="861" t="s">
        <v>313</v>
      </c>
      <c r="F406" t="str">
        <f t="shared" si="13"/>
        <v>South Africa:Total</v>
      </c>
      <c r="G406" s="863">
        <v>0.38439763410253475</v>
      </c>
      <c r="H406" s="863"/>
      <c r="I406" s="863">
        <v>2.8619184362413033E-2</v>
      </c>
      <c r="J406" s="863">
        <v>2.5974358282313273E-2</v>
      </c>
      <c r="K406" s="863">
        <v>3.609888575959555E-2</v>
      </c>
      <c r="L406" s="863">
        <v>2.8368944401962852E-3</v>
      </c>
      <c r="M406" s="710">
        <f t="shared" si="12"/>
        <v>0.47792695694705289</v>
      </c>
    </row>
    <row r="407" spans="1:27" ht="14.25" customHeight="1" x14ac:dyDescent="0.25">
      <c r="B407" s="1" t="s">
        <v>69</v>
      </c>
      <c r="C407" s="1">
        <v>2017</v>
      </c>
      <c r="D407" s="1" t="s">
        <v>969</v>
      </c>
      <c r="E407" t="s">
        <v>1020</v>
      </c>
      <c r="F407" t="str">
        <f t="shared" si="13"/>
        <v>Tajikistan:Female Condom</v>
      </c>
      <c r="G407" s="862"/>
      <c r="H407" s="862"/>
      <c r="I407" s="862"/>
      <c r="J407" s="862">
        <v>8.9463892458831195E-5</v>
      </c>
      <c r="K407" s="862"/>
      <c r="L407" s="862"/>
      <c r="M407" s="710">
        <f t="shared" si="12"/>
        <v>8.9463892458831195E-5</v>
      </c>
      <c r="AA407" s="710">
        <f t="shared" ref="AA407:AA415" si="14">SUM(S407:Y407)</f>
        <v>0</v>
      </c>
    </row>
    <row r="408" spans="1:27" x14ac:dyDescent="0.25">
      <c r="B408" s="1" t="s">
        <v>69</v>
      </c>
      <c r="C408" s="1">
        <v>2017</v>
      </c>
      <c r="D408" s="1" t="s">
        <v>969</v>
      </c>
      <c r="E408" t="s">
        <v>128</v>
      </c>
      <c r="F408" t="str">
        <f t="shared" si="13"/>
        <v>Tajikistan:Female Sterilization</v>
      </c>
      <c r="G408" s="862">
        <v>5.9480404887445135E-3</v>
      </c>
      <c r="H408" s="862"/>
      <c r="I408" s="862"/>
      <c r="J408" s="862"/>
      <c r="K408" s="862"/>
      <c r="L408" s="862"/>
      <c r="M408" s="710">
        <f t="shared" si="12"/>
        <v>5.9480404887445135E-3</v>
      </c>
      <c r="AA408" s="710">
        <f t="shared" si="14"/>
        <v>0</v>
      </c>
    </row>
    <row r="409" spans="1:27" x14ac:dyDescent="0.25">
      <c r="B409" s="1" t="s">
        <v>69</v>
      </c>
      <c r="C409" s="1">
        <v>2017</v>
      </c>
      <c r="D409" s="1" t="s">
        <v>969</v>
      </c>
      <c r="E409" t="s">
        <v>3</v>
      </c>
      <c r="F409" t="str">
        <f t="shared" si="13"/>
        <v>Tajikistan:Implant</v>
      </c>
      <c r="G409" s="862">
        <v>8.2585202409209103E-4</v>
      </c>
      <c r="H409" s="862"/>
      <c r="I409" s="862">
        <v>2.78401753876767E-5</v>
      </c>
      <c r="J409" s="862"/>
      <c r="K409" s="862"/>
      <c r="L409" s="862"/>
      <c r="M409" s="710">
        <f t="shared" si="12"/>
        <v>8.5369219947976774E-4</v>
      </c>
      <c r="AA409" s="710">
        <f t="shared" si="14"/>
        <v>0</v>
      </c>
    </row>
    <row r="410" spans="1:27" x14ac:dyDescent="0.25">
      <c r="B410" s="1" t="s">
        <v>69</v>
      </c>
      <c r="C410" s="1">
        <v>2017</v>
      </c>
      <c r="D410" s="1" t="s">
        <v>969</v>
      </c>
      <c r="E410" t="s">
        <v>2</v>
      </c>
      <c r="F410" t="str">
        <f t="shared" si="13"/>
        <v>Tajikistan:Injectable</v>
      </c>
      <c r="G410" s="862">
        <v>9.1323583631343092E-3</v>
      </c>
      <c r="H410" s="862"/>
      <c r="I410" s="862">
        <v>1.4232132851313199E-5</v>
      </c>
      <c r="J410" s="862"/>
      <c r="K410" s="862"/>
      <c r="L410" s="862"/>
      <c r="M410" s="710">
        <f t="shared" si="12"/>
        <v>9.1465904959856219E-3</v>
      </c>
      <c r="AA410" s="710">
        <f t="shared" si="14"/>
        <v>0</v>
      </c>
    </row>
    <row r="411" spans="1:27" x14ac:dyDescent="0.25">
      <c r="B411" s="1" t="s">
        <v>69</v>
      </c>
      <c r="C411" s="1">
        <v>2017</v>
      </c>
      <c r="D411" s="1" t="s">
        <v>969</v>
      </c>
      <c r="E411" t="s">
        <v>5</v>
      </c>
      <c r="F411" t="str">
        <f t="shared" si="13"/>
        <v>Tajikistan:IUD</v>
      </c>
      <c r="G411" s="862">
        <v>0.1307727845759088</v>
      </c>
      <c r="H411" s="862"/>
      <c r="I411" s="862">
        <v>7.9412315678681995E-4</v>
      </c>
      <c r="J411" s="862">
        <v>7.4558742253973598E-4</v>
      </c>
      <c r="K411" s="862"/>
      <c r="L411" s="862">
        <v>1.8845213646956799E-4</v>
      </c>
      <c r="M411" s="710">
        <f t="shared" si="12"/>
        <v>0.13250094729170492</v>
      </c>
      <c r="AA411" s="710">
        <f t="shared" si="14"/>
        <v>0</v>
      </c>
    </row>
    <row r="412" spans="1:27" x14ac:dyDescent="0.25">
      <c r="B412" s="1" t="s">
        <v>69</v>
      </c>
      <c r="C412" s="1">
        <v>2017</v>
      </c>
      <c r="D412" s="1" t="s">
        <v>969</v>
      </c>
      <c r="E412" t="s">
        <v>103</v>
      </c>
      <c r="F412" t="str">
        <f t="shared" si="13"/>
        <v>Tajikistan:Male Condom</v>
      </c>
      <c r="G412" s="862">
        <v>1.1580203855097873E-2</v>
      </c>
      <c r="H412" s="862"/>
      <c r="I412" s="862"/>
      <c r="J412" s="862">
        <v>1.5766465468336901E-2</v>
      </c>
      <c r="K412" s="862">
        <v>1.24715245300149E-4</v>
      </c>
      <c r="L412" s="862">
        <v>2.0673987670767101E-4</v>
      </c>
      <c r="M412" s="710">
        <f t="shared" si="12"/>
        <v>2.7678124445442598E-2</v>
      </c>
      <c r="AA412" s="710">
        <f t="shared" si="14"/>
        <v>0</v>
      </c>
    </row>
    <row r="413" spans="1:27" x14ac:dyDescent="0.25">
      <c r="B413" s="860" t="s">
        <v>69</v>
      </c>
      <c r="C413" s="1">
        <v>2017</v>
      </c>
      <c r="D413" s="1" t="s">
        <v>969</v>
      </c>
      <c r="E413" t="s">
        <v>110</v>
      </c>
      <c r="F413" t="str">
        <f t="shared" si="13"/>
        <v>Tajikistan:OC Pills</v>
      </c>
      <c r="G413" s="862">
        <v>1.07194943016387E-2</v>
      </c>
      <c r="H413" s="862"/>
      <c r="I413" s="862"/>
      <c r="J413" s="862">
        <v>3.2125743587900699E-3</v>
      </c>
      <c r="K413" s="862"/>
      <c r="L413" s="862"/>
      <c r="M413" s="710">
        <f t="shared" si="12"/>
        <v>1.393206866042877E-2</v>
      </c>
      <c r="AA413" s="710">
        <f t="shared" si="14"/>
        <v>0</v>
      </c>
    </row>
    <row r="414" spans="1:27" x14ac:dyDescent="0.25">
      <c r="B414" s="861" t="s">
        <v>69</v>
      </c>
      <c r="C414" s="861">
        <v>2017</v>
      </c>
      <c r="D414" s="861" t="s">
        <v>969</v>
      </c>
      <c r="E414" s="861" t="s">
        <v>313</v>
      </c>
      <c r="F414" t="str">
        <f t="shared" si="13"/>
        <v>Tajikistan:Total</v>
      </c>
      <c r="G414" s="863">
        <v>0.16897873360861626</v>
      </c>
      <c r="H414" s="863"/>
      <c r="I414" s="863">
        <v>8.3619546502580982E-4</v>
      </c>
      <c r="J414" s="863">
        <v>1.9814091142125536E-2</v>
      </c>
      <c r="K414" s="863">
        <v>1.24715245300149E-4</v>
      </c>
      <c r="L414" s="863">
        <v>3.9519201317723897E-4</v>
      </c>
      <c r="M414" s="864">
        <f t="shared" si="12"/>
        <v>0.19014892747424497</v>
      </c>
      <c r="AA414" s="710">
        <f t="shared" si="14"/>
        <v>0</v>
      </c>
    </row>
    <row r="415" spans="1:27" x14ac:dyDescent="0.25">
      <c r="B415" s="1" t="s">
        <v>70</v>
      </c>
      <c r="C415" s="1">
        <v>2015</v>
      </c>
      <c r="D415" s="1" t="s">
        <v>591</v>
      </c>
      <c r="E415" t="s">
        <v>108</v>
      </c>
      <c r="F415" t="str">
        <f t="shared" si="13"/>
        <v>Tanzania:EC</v>
      </c>
      <c r="G415" s="862"/>
      <c r="H415" s="862"/>
      <c r="I415" s="862"/>
      <c r="J415" s="862">
        <v>6.12217698643488E-5</v>
      </c>
      <c r="K415" s="862">
        <v>2.1589898963859599E-4</v>
      </c>
      <c r="L415" s="862"/>
      <c r="M415" s="710">
        <f t="shared" si="12"/>
        <v>2.7712075950294481E-4</v>
      </c>
      <c r="AA415" s="710">
        <f t="shared" si="14"/>
        <v>0</v>
      </c>
    </row>
    <row r="416" spans="1:27" x14ac:dyDescent="0.25">
      <c r="B416" s="1" t="s">
        <v>70</v>
      </c>
      <c r="C416" s="1">
        <v>2015</v>
      </c>
      <c r="D416" s="1" t="s">
        <v>591</v>
      </c>
      <c r="E416" t="s">
        <v>1020</v>
      </c>
      <c r="F416" t="str">
        <f t="shared" si="13"/>
        <v>Tanzania:Female Condom</v>
      </c>
      <c r="G416" s="862"/>
      <c r="H416" s="862"/>
      <c r="I416" s="862"/>
      <c r="J416" s="862">
        <v>4.6581712592695097E-5</v>
      </c>
      <c r="K416" s="862">
        <v>5.8458842082365299E-5</v>
      </c>
      <c r="L416" s="862"/>
      <c r="M416" s="710">
        <f t="shared" si="12"/>
        <v>1.050405546750604E-4</v>
      </c>
    </row>
    <row r="417" spans="1:13" x14ac:dyDescent="0.25">
      <c r="B417" s="1" t="s">
        <v>70</v>
      </c>
      <c r="C417" s="1">
        <v>2015</v>
      </c>
      <c r="D417" s="1" t="s">
        <v>591</v>
      </c>
      <c r="E417" t="s">
        <v>128</v>
      </c>
      <c r="F417" t="str">
        <f t="shared" si="13"/>
        <v>Tanzania:Female Sterilization</v>
      </c>
      <c r="G417" s="862">
        <v>1.72466227743143E-2</v>
      </c>
      <c r="H417" s="862"/>
      <c r="I417" s="862">
        <v>7.6820206450390199E-3</v>
      </c>
      <c r="J417" s="862"/>
      <c r="K417" s="862"/>
      <c r="L417" s="862">
        <v>5.2937780729156903E-4</v>
      </c>
      <c r="M417" s="710">
        <f t="shared" si="12"/>
        <v>2.5458021226644888E-2</v>
      </c>
    </row>
    <row r="418" spans="1:13" x14ac:dyDescent="0.25">
      <c r="B418" s="1" t="s">
        <v>70</v>
      </c>
      <c r="C418" s="1">
        <v>2015</v>
      </c>
      <c r="D418" s="1" t="s">
        <v>591</v>
      </c>
      <c r="E418" t="s">
        <v>3</v>
      </c>
      <c r="F418" t="str">
        <f t="shared" si="13"/>
        <v>Tanzania:Implant</v>
      </c>
      <c r="G418" s="862">
        <v>4.92985225547432E-2</v>
      </c>
      <c r="H418" s="862">
        <v>5.4758480259600799E-5</v>
      </c>
      <c r="I418" s="862">
        <v>5.6784008675671302E-3</v>
      </c>
      <c r="J418" s="862"/>
      <c r="K418" s="862">
        <v>2.30494798455607E-4</v>
      </c>
      <c r="L418" s="862">
        <v>3.1084072026432599E-4</v>
      </c>
      <c r="M418" s="710">
        <f t="shared" si="12"/>
        <v>5.5573017421289859E-2</v>
      </c>
    </row>
    <row r="419" spans="1:13" x14ac:dyDescent="0.25">
      <c r="B419" s="1" t="s">
        <v>70</v>
      </c>
      <c r="C419" s="1">
        <v>2015</v>
      </c>
      <c r="D419" s="1" t="s">
        <v>591</v>
      </c>
      <c r="E419" t="s">
        <v>2</v>
      </c>
      <c r="F419" t="str">
        <f t="shared" si="13"/>
        <v>Tanzania:Injectable</v>
      </c>
      <c r="G419" s="862">
        <v>6.6097947078428546E-2</v>
      </c>
      <c r="H419" s="862"/>
      <c r="I419" s="862">
        <v>1.3368979103429501E-2</v>
      </c>
      <c r="J419" s="862">
        <v>8.6311314534827308E-3</v>
      </c>
      <c r="K419" s="862">
        <v>1.07102225862081E-2</v>
      </c>
      <c r="L419" s="862">
        <v>3.40880295081103E-4</v>
      </c>
      <c r="M419" s="710">
        <f t="shared" si="12"/>
        <v>9.9149160516629989E-2</v>
      </c>
    </row>
    <row r="420" spans="1:13" x14ac:dyDescent="0.25">
      <c r="B420" s="1" t="s">
        <v>70</v>
      </c>
      <c r="C420" s="1">
        <v>2015</v>
      </c>
      <c r="D420" s="1" t="s">
        <v>591</v>
      </c>
      <c r="E420" t="s">
        <v>5</v>
      </c>
      <c r="F420" t="str">
        <f t="shared" si="13"/>
        <v>Tanzania:IUD</v>
      </c>
      <c r="G420" s="862">
        <v>4.5957949590281402E-3</v>
      </c>
      <c r="H420" s="862"/>
      <c r="I420" s="862">
        <v>2.15392725505331E-3</v>
      </c>
      <c r="J420" s="862"/>
      <c r="K420" s="862"/>
      <c r="L420" s="862">
        <v>7.5746117804014905E-5</v>
      </c>
      <c r="M420" s="710">
        <f t="shared" si="12"/>
        <v>6.8254683318854648E-3</v>
      </c>
    </row>
    <row r="421" spans="1:13" x14ac:dyDescent="0.25">
      <c r="B421" s="1" t="s">
        <v>70</v>
      </c>
      <c r="C421" s="1">
        <v>2015</v>
      </c>
      <c r="D421" s="1" t="s">
        <v>591</v>
      </c>
      <c r="E421" t="s">
        <v>103</v>
      </c>
      <c r="F421" t="str">
        <f t="shared" si="13"/>
        <v>Tanzania:Male Condom</v>
      </c>
      <c r="G421" s="862">
        <v>3.654419262892299E-3</v>
      </c>
      <c r="H421" s="862"/>
      <c r="I421" s="862">
        <v>1.45452291397012E-3</v>
      </c>
      <c r="J421" s="862">
        <v>1.2183643133202301E-2</v>
      </c>
      <c r="K421" s="862">
        <v>2.1389835041290699E-2</v>
      </c>
      <c r="L421" s="862">
        <v>2.3766832475481E-4</v>
      </c>
      <c r="M421" s="710">
        <f t="shared" si="12"/>
        <v>3.8920088676110229E-2</v>
      </c>
    </row>
    <row r="422" spans="1:13" x14ac:dyDescent="0.25">
      <c r="B422" s="1" t="s">
        <v>70</v>
      </c>
      <c r="C422" s="1">
        <v>2015</v>
      </c>
      <c r="D422" s="1" t="s">
        <v>591</v>
      </c>
      <c r="E422" t="s">
        <v>129</v>
      </c>
      <c r="F422" t="str">
        <f t="shared" si="13"/>
        <v>Tanzania:Male Sterilization</v>
      </c>
      <c r="G422" s="862">
        <v>3.6626888241668198E-4</v>
      </c>
      <c r="H422" s="862"/>
      <c r="I422" s="862"/>
      <c r="J422" s="862"/>
      <c r="K422" s="862"/>
      <c r="L422" s="862"/>
      <c r="M422" s="864">
        <f t="shared" si="12"/>
        <v>3.6626888241668198E-4</v>
      </c>
    </row>
    <row r="423" spans="1:13" x14ac:dyDescent="0.25">
      <c r="B423" s="1" t="s">
        <v>70</v>
      </c>
      <c r="C423" s="1">
        <v>2015</v>
      </c>
      <c r="D423" s="1" t="s">
        <v>591</v>
      </c>
      <c r="E423" t="s">
        <v>110</v>
      </c>
      <c r="F423" t="str">
        <f t="shared" si="13"/>
        <v>Tanzania:OC Pills</v>
      </c>
      <c r="G423" s="862">
        <v>2.1758205762993275E-2</v>
      </c>
      <c r="H423" s="862"/>
      <c r="I423" s="862">
        <v>2.4141069622625002E-3</v>
      </c>
      <c r="J423" s="862">
        <v>8.4804520476641602E-3</v>
      </c>
      <c r="K423" s="862">
        <v>8.3223515654185405E-3</v>
      </c>
      <c r="L423" s="862">
        <v>7.7218076192108495E-5</v>
      </c>
      <c r="M423" s="710">
        <f t="shared" si="12"/>
        <v>4.1052334414530579E-2</v>
      </c>
    </row>
    <row r="424" spans="1:13" x14ac:dyDescent="0.25">
      <c r="A424" s="119"/>
      <c r="B424" s="860" t="s">
        <v>70</v>
      </c>
      <c r="C424" s="1">
        <v>2015</v>
      </c>
      <c r="D424" s="1" t="s">
        <v>591</v>
      </c>
      <c r="E424" t="s">
        <v>130</v>
      </c>
      <c r="F424" t="str">
        <f t="shared" si="13"/>
        <v>Tanzania:Other Modern Methods</v>
      </c>
      <c r="G424" s="862">
        <v>7.9598371681473406E-5</v>
      </c>
      <c r="H424" s="862"/>
      <c r="I424" s="862"/>
      <c r="J424" s="862"/>
      <c r="K424" s="862"/>
      <c r="L424" s="862"/>
      <c r="M424" s="710">
        <f t="shared" si="12"/>
        <v>7.9598371681473406E-5</v>
      </c>
    </row>
    <row r="425" spans="1:13" x14ac:dyDescent="0.25">
      <c r="B425" s="861" t="s">
        <v>70</v>
      </c>
      <c r="C425" s="861">
        <v>2015</v>
      </c>
      <c r="D425" s="861" t="s">
        <v>591</v>
      </c>
      <c r="E425" s="861" t="s">
        <v>313</v>
      </c>
      <c r="F425" t="str">
        <f t="shared" si="13"/>
        <v>Tanzania:Total</v>
      </c>
      <c r="G425" s="863">
        <v>0.16309737964649795</v>
      </c>
      <c r="H425" s="863">
        <v>5.4758480259600799E-5</v>
      </c>
      <c r="I425" s="863">
        <v>3.2751957747321585E-2</v>
      </c>
      <c r="J425" s="863">
        <v>2.9403030116806235E-2</v>
      </c>
      <c r="K425" s="863">
        <v>4.0927261823093912E-2</v>
      </c>
      <c r="L425" s="863">
        <v>1.5717313413879314E-3</v>
      </c>
      <c r="M425" s="710">
        <f t="shared" si="12"/>
        <v>0.26780611915536723</v>
      </c>
    </row>
    <row r="426" spans="1:13" x14ac:dyDescent="0.25">
      <c r="B426" s="1" t="s">
        <v>1201</v>
      </c>
      <c r="C426" s="1">
        <v>2016</v>
      </c>
      <c r="D426" s="1" t="s">
        <v>610</v>
      </c>
      <c r="E426" t="s">
        <v>108</v>
      </c>
      <c r="G426" s="862">
        <v>1.19113907836243E-4</v>
      </c>
      <c r="H426" s="862"/>
      <c r="I426" s="862"/>
      <c r="J426" s="862"/>
      <c r="K426" s="862"/>
      <c r="L426" s="862"/>
      <c r="M426" s="710">
        <f t="shared" si="12"/>
        <v>1.19113907836243E-4</v>
      </c>
    </row>
    <row r="427" spans="1:13" x14ac:dyDescent="0.25">
      <c r="B427" s="1" t="s">
        <v>1201</v>
      </c>
      <c r="C427" s="1">
        <v>2016</v>
      </c>
      <c r="D427" s="1" t="s">
        <v>610</v>
      </c>
      <c r="E427" t="s">
        <v>128</v>
      </c>
      <c r="G427" s="862">
        <v>8.2018067331758124E-3</v>
      </c>
      <c r="H427" s="862"/>
      <c r="I427" s="862">
        <v>3.8625502633737402E-4</v>
      </c>
      <c r="J427" s="862"/>
      <c r="K427" s="862"/>
      <c r="L427" s="862"/>
      <c r="M427" s="710">
        <f t="shared" si="12"/>
        <v>8.588061759513186E-3</v>
      </c>
    </row>
    <row r="428" spans="1:13" x14ac:dyDescent="0.25">
      <c r="B428" s="1" t="s">
        <v>1201</v>
      </c>
      <c r="C428" s="1">
        <v>2016</v>
      </c>
      <c r="D428" s="1" t="s">
        <v>610</v>
      </c>
      <c r="E428" t="s">
        <v>3</v>
      </c>
      <c r="G428" s="862">
        <v>3.2987514951631401E-2</v>
      </c>
      <c r="H428" s="862">
        <v>4.2324410472300801E-3</v>
      </c>
      <c r="I428" s="862">
        <v>5.3961419556620104E-4</v>
      </c>
      <c r="J428" s="862"/>
      <c r="K428" s="862"/>
      <c r="L428" s="862"/>
      <c r="M428" s="710">
        <f t="shared" si="12"/>
        <v>3.7759570194427682E-2</v>
      </c>
    </row>
    <row r="429" spans="1:13" x14ac:dyDescent="0.25">
      <c r="B429" s="1" t="s">
        <v>1201</v>
      </c>
      <c r="C429" s="1">
        <v>2016</v>
      </c>
      <c r="D429" s="1" t="s">
        <v>610</v>
      </c>
      <c r="E429" t="s">
        <v>2</v>
      </c>
      <c r="G429" s="862">
        <v>6.8878387314202594E-2</v>
      </c>
      <c r="H429" s="862">
        <v>7.5712296576570595E-4</v>
      </c>
      <c r="I429" s="862">
        <v>1.25216898385081E-3</v>
      </c>
      <c r="J429" s="862">
        <v>6.8843104692588303E-5</v>
      </c>
      <c r="K429" s="862">
        <v>5.9457913699987903E-4</v>
      </c>
      <c r="L429" s="862"/>
      <c r="M429" s="710">
        <f t="shared" si="12"/>
        <v>7.1551101505511569E-2</v>
      </c>
    </row>
    <row r="430" spans="1:13" x14ac:dyDescent="0.25">
      <c r="B430" s="1" t="s">
        <v>1201</v>
      </c>
      <c r="C430" s="1">
        <v>2016</v>
      </c>
      <c r="D430" s="1" t="s">
        <v>610</v>
      </c>
      <c r="E430" t="s">
        <v>5</v>
      </c>
      <c r="G430" s="862">
        <v>1.133926837755202E-2</v>
      </c>
      <c r="H430" s="862">
        <v>9.1676983245667196E-4</v>
      </c>
      <c r="I430" s="862">
        <v>2.26974384768243E-4</v>
      </c>
      <c r="J430" s="862"/>
      <c r="K430" s="862"/>
      <c r="L430" s="862"/>
      <c r="M430" s="710">
        <f t="shared" si="12"/>
        <v>1.2483012594776936E-2</v>
      </c>
    </row>
    <row r="431" spans="1:13" x14ac:dyDescent="0.25">
      <c r="B431" s="1" t="s">
        <v>1201</v>
      </c>
      <c r="C431" s="1">
        <v>2016</v>
      </c>
      <c r="D431" s="1" t="s">
        <v>610</v>
      </c>
      <c r="E431" t="s">
        <v>103</v>
      </c>
      <c r="G431" s="862">
        <v>2.5848656130097801E-5</v>
      </c>
      <c r="H431" s="862"/>
      <c r="I431" s="862">
        <v>3.4346046673027099E-4</v>
      </c>
      <c r="J431" s="862">
        <v>1.5091750977457E-4</v>
      </c>
      <c r="K431" s="862"/>
      <c r="L431" s="862"/>
      <c r="M431" s="710">
        <f t="shared" si="12"/>
        <v>5.2022663263493884E-4</v>
      </c>
    </row>
    <row r="432" spans="1:13" x14ac:dyDescent="0.25">
      <c r="B432" s="1" t="s">
        <v>1201</v>
      </c>
      <c r="C432" s="1">
        <v>2016</v>
      </c>
      <c r="D432" s="1" t="s">
        <v>610</v>
      </c>
      <c r="E432" t="s">
        <v>110</v>
      </c>
      <c r="G432" s="862">
        <v>1.185426680350939E-2</v>
      </c>
      <c r="H432" s="862">
        <v>1.8314103716123901E-4</v>
      </c>
      <c r="I432" s="862">
        <v>1.10993514208855E-3</v>
      </c>
      <c r="J432" s="862">
        <v>2.0370318566844301E-4</v>
      </c>
      <c r="K432" s="862">
        <v>1.7966368322662799E-4</v>
      </c>
      <c r="L432" s="862"/>
      <c r="M432" s="710">
        <f t="shared" si="12"/>
        <v>1.3530709851654251E-2</v>
      </c>
    </row>
    <row r="433" spans="2:13" x14ac:dyDescent="0.25">
      <c r="B433" s="860" t="s">
        <v>1201</v>
      </c>
      <c r="C433" s="1">
        <v>2016</v>
      </c>
      <c r="D433" s="1" t="s">
        <v>610</v>
      </c>
      <c r="E433" t="s">
        <v>130</v>
      </c>
      <c r="G433" s="862">
        <v>1.1015927923996691E-3</v>
      </c>
      <c r="H433" s="862"/>
      <c r="I433" s="862">
        <v>4.6050703097752298E-4</v>
      </c>
      <c r="J433" s="862"/>
      <c r="K433" s="862">
        <v>1.3865344983041099E-4</v>
      </c>
      <c r="L433" s="862">
        <v>2.8209804755102001E-5</v>
      </c>
      <c r="M433" s="864">
        <f t="shared" si="12"/>
        <v>1.7289630779627051E-3</v>
      </c>
    </row>
    <row r="434" spans="2:13" x14ac:dyDescent="0.25">
      <c r="B434" s="861" t="s">
        <v>1201</v>
      </c>
      <c r="C434" s="861">
        <v>2016</v>
      </c>
      <c r="D434" s="861" t="s">
        <v>610</v>
      </c>
      <c r="E434" s="861" t="s">
        <v>313</v>
      </c>
      <c r="G434" s="863">
        <v>0.13450779953643724</v>
      </c>
      <c r="H434" s="863">
        <v>6.0894748826136966E-3</v>
      </c>
      <c r="I434" s="863">
        <v>4.3189152303189718E-3</v>
      </c>
      <c r="J434" s="863">
        <v>4.2346380013560134E-4</v>
      </c>
      <c r="K434" s="863">
        <v>9.1289627005691797E-4</v>
      </c>
      <c r="L434" s="863">
        <v>2.8209804755102001E-5</v>
      </c>
      <c r="M434" s="710">
        <f t="shared" si="12"/>
        <v>0.14628075952431752</v>
      </c>
    </row>
    <row r="435" spans="2:13" x14ac:dyDescent="0.25">
      <c r="B435" s="1" t="s">
        <v>72</v>
      </c>
      <c r="C435" s="1">
        <v>2013</v>
      </c>
      <c r="D435" s="1" t="s">
        <v>605</v>
      </c>
      <c r="E435" t="s">
        <v>1020</v>
      </c>
      <c r="G435" s="862">
        <v>3.79525321179746E-5</v>
      </c>
      <c r="H435" s="862"/>
      <c r="I435" s="862">
        <v>9.8539452703339198E-5</v>
      </c>
      <c r="J435" s="862"/>
      <c r="K435" s="862"/>
      <c r="L435" s="862"/>
      <c r="M435" s="710">
        <f t="shared" si="12"/>
        <v>1.364919848213138E-4</v>
      </c>
    </row>
    <row r="436" spans="2:13" x14ac:dyDescent="0.25">
      <c r="B436" s="1" t="s">
        <v>72</v>
      </c>
      <c r="C436" s="1">
        <v>2013</v>
      </c>
      <c r="D436" s="1" t="s">
        <v>605</v>
      </c>
      <c r="E436" t="s">
        <v>128</v>
      </c>
      <c r="G436" s="862">
        <v>1.52732554643717E-3</v>
      </c>
      <c r="H436" s="862"/>
      <c r="I436" s="862">
        <v>1.45377006028954E-4</v>
      </c>
      <c r="J436" s="862"/>
      <c r="K436" s="862"/>
      <c r="L436" s="862"/>
      <c r="M436" s="710">
        <f t="shared" si="12"/>
        <v>1.6727025524661239E-3</v>
      </c>
    </row>
    <row r="437" spans="2:13" x14ac:dyDescent="0.25">
      <c r="B437" s="1" t="s">
        <v>72</v>
      </c>
      <c r="C437" s="1">
        <v>2013</v>
      </c>
      <c r="D437" s="1" t="s">
        <v>605</v>
      </c>
      <c r="E437" t="s">
        <v>3</v>
      </c>
      <c r="G437" s="862">
        <v>3.1919592380433764E-2</v>
      </c>
      <c r="H437" s="862"/>
      <c r="I437" s="862">
        <v>1.8343771325376099E-3</v>
      </c>
      <c r="J437" s="862"/>
      <c r="K437" s="862"/>
      <c r="L437" s="862"/>
      <c r="M437" s="710">
        <f t="shared" si="12"/>
        <v>3.3753969512971375E-2</v>
      </c>
    </row>
    <row r="438" spans="2:13" x14ac:dyDescent="0.25">
      <c r="B438" s="1" t="s">
        <v>72</v>
      </c>
      <c r="C438" s="1">
        <v>2013</v>
      </c>
      <c r="D438" s="1" t="s">
        <v>605</v>
      </c>
      <c r="E438" t="s">
        <v>2</v>
      </c>
      <c r="G438" s="862">
        <v>4.276666065890989E-2</v>
      </c>
      <c r="H438" s="862"/>
      <c r="I438" s="862">
        <v>7.01030673282871E-3</v>
      </c>
      <c r="J438" s="862">
        <v>5.9790475427771701E-4</v>
      </c>
      <c r="K438" s="862">
        <v>7.06438405417693E-4</v>
      </c>
      <c r="L438" s="862"/>
      <c r="M438" s="710">
        <f t="shared" si="12"/>
        <v>5.1081310551434014E-2</v>
      </c>
    </row>
    <row r="439" spans="2:13" x14ac:dyDescent="0.25">
      <c r="B439" s="1" t="s">
        <v>72</v>
      </c>
      <c r="C439" s="1">
        <v>2013</v>
      </c>
      <c r="D439" s="1" t="s">
        <v>605</v>
      </c>
      <c r="E439" t="s">
        <v>5</v>
      </c>
      <c r="G439" s="862">
        <v>4.7404992151243597E-3</v>
      </c>
      <c r="H439" s="862"/>
      <c r="I439" s="862">
        <v>9.9506024445328105E-4</v>
      </c>
      <c r="J439" s="862"/>
      <c r="K439" s="862"/>
      <c r="L439" s="862"/>
      <c r="M439" s="710">
        <f t="shared" si="12"/>
        <v>5.735559459577641E-3</v>
      </c>
    </row>
    <row r="440" spans="2:13" x14ac:dyDescent="0.25">
      <c r="B440" s="1" t="s">
        <v>72</v>
      </c>
      <c r="C440" s="1">
        <v>2013</v>
      </c>
      <c r="D440" s="1" t="s">
        <v>605</v>
      </c>
      <c r="E440" t="s">
        <v>103</v>
      </c>
      <c r="G440" s="862">
        <v>2.1012481274206036E-3</v>
      </c>
      <c r="H440" s="862"/>
      <c r="I440" s="862">
        <v>1.3670963250334801E-3</v>
      </c>
      <c r="J440" s="862">
        <v>1.3924812409612601E-2</v>
      </c>
      <c r="K440" s="862">
        <v>3.62630565695191E-2</v>
      </c>
      <c r="L440" s="862">
        <v>4.3956930926890102E-4</v>
      </c>
      <c r="M440" s="710">
        <f t="shared" si="12"/>
        <v>5.4095782740854692E-2</v>
      </c>
    </row>
    <row r="441" spans="2:13" x14ac:dyDescent="0.25">
      <c r="B441" s="1" t="s">
        <v>72</v>
      </c>
      <c r="C441" s="1">
        <v>2013</v>
      </c>
      <c r="D441" s="1" t="s">
        <v>605</v>
      </c>
      <c r="E441" t="s">
        <v>110</v>
      </c>
      <c r="G441" s="862">
        <v>4.9588361376732767E-3</v>
      </c>
      <c r="H441" s="862"/>
      <c r="I441" s="862">
        <v>7.1302068398063697E-4</v>
      </c>
      <c r="J441" s="862">
        <v>7.8613987265448403E-3</v>
      </c>
      <c r="K441" s="862">
        <v>5.48394975180444E-3</v>
      </c>
      <c r="L441" s="862">
        <v>2.8904852680461201E-4</v>
      </c>
      <c r="M441" s="710">
        <f t="shared" si="12"/>
        <v>1.9306253826807805E-2</v>
      </c>
    </row>
    <row r="442" spans="2:13" x14ac:dyDescent="0.25">
      <c r="B442" s="860" t="s">
        <v>72</v>
      </c>
      <c r="C442" s="1">
        <v>2013</v>
      </c>
      <c r="D442" s="1" t="s">
        <v>605</v>
      </c>
      <c r="E442" t="s">
        <v>130</v>
      </c>
      <c r="G442" s="862">
        <v>2.1466656385344499E-4</v>
      </c>
      <c r="H442" s="862"/>
      <c r="I442" s="862"/>
      <c r="J442" s="862"/>
      <c r="K442" s="862"/>
      <c r="L442" s="862"/>
      <c r="M442" s="864">
        <f t="shared" si="12"/>
        <v>2.1466656385344499E-4</v>
      </c>
    </row>
    <row r="443" spans="2:13" x14ac:dyDescent="0.25">
      <c r="B443" s="861" t="s">
        <v>72</v>
      </c>
      <c r="C443" s="861">
        <v>2013</v>
      </c>
      <c r="D443" s="861" t="s">
        <v>605</v>
      </c>
      <c r="E443" s="1" t="s">
        <v>313</v>
      </c>
      <c r="G443" s="863">
        <v>8.8266781161970481E-2</v>
      </c>
      <c r="H443" s="863"/>
      <c r="I443" s="863">
        <v>1.2163777577566015E-2</v>
      </c>
      <c r="J443" s="863">
        <v>2.2384115890435159E-2</v>
      </c>
      <c r="K443" s="863">
        <v>4.245344472674123E-2</v>
      </c>
      <c r="L443" s="863">
        <v>7.2861783607351303E-4</v>
      </c>
      <c r="M443" s="710">
        <f t="shared" si="12"/>
        <v>0.16599673719278638</v>
      </c>
    </row>
    <row r="444" spans="2:13" x14ac:dyDescent="0.25">
      <c r="B444" s="1" t="s">
        <v>73</v>
      </c>
      <c r="C444" s="1">
        <v>2016</v>
      </c>
      <c r="D444" s="1" t="s">
        <v>610</v>
      </c>
      <c r="E444" t="s">
        <v>108</v>
      </c>
      <c r="G444" s="862"/>
      <c r="H444" s="862"/>
      <c r="I444" s="862">
        <v>1.3835907117059099E-4</v>
      </c>
      <c r="J444" s="862">
        <v>6.1444174168278796E-4</v>
      </c>
      <c r="K444" s="862"/>
      <c r="L444" s="862"/>
      <c r="M444" s="710">
        <f t="shared" si="12"/>
        <v>7.5280081285337898E-4</v>
      </c>
    </row>
    <row r="445" spans="2:13" x14ac:dyDescent="0.25">
      <c r="B445" s="1" t="s">
        <v>73</v>
      </c>
      <c r="C445" s="1">
        <v>2016</v>
      </c>
      <c r="D445" s="1" t="s">
        <v>610</v>
      </c>
      <c r="E445" t="s">
        <v>1020</v>
      </c>
      <c r="G445" s="862">
        <v>7.9081756374792698E-5</v>
      </c>
      <c r="H445" s="862"/>
      <c r="I445" s="862"/>
      <c r="J445" s="862"/>
      <c r="K445" s="862"/>
      <c r="L445" s="862"/>
      <c r="M445" s="710">
        <f t="shared" si="12"/>
        <v>7.9081756374792698E-5</v>
      </c>
    </row>
    <row r="446" spans="2:13" x14ac:dyDescent="0.25">
      <c r="B446" s="1" t="s">
        <v>73</v>
      </c>
      <c r="C446" s="1">
        <v>2016</v>
      </c>
      <c r="D446" s="1" t="s">
        <v>610</v>
      </c>
      <c r="E446" t="s">
        <v>128</v>
      </c>
      <c r="G446" s="862">
        <v>1.5792550615981713E-2</v>
      </c>
      <c r="H446" s="862"/>
      <c r="I446" s="862">
        <v>2.64993901686819E-3</v>
      </c>
      <c r="J446" s="862"/>
      <c r="K446" s="862"/>
      <c r="L446" s="862"/>
      <c r="M446" s="710">
        <f t="shared" si="12"/>
        <v>1.8442489632849904E-2</v>
      </c>
    </row>
    <row r="447" spans="2:13" x14ac:dyDescent="0.25">
      <c r="B447" s="1" t="s">
        <v>73</v>
      </c>
      <c r="C447" s="1">
        <v>2016</v>
      </c>
      <c r="D447" s="1" t="s">
        <v>610</v>
      </c>
      <c r="E447" t="s">
        <v>3</v>
      </c>
      <c r="G447" s="862">
        <v>3.9006289897745919E-2</v>
      </c>
      <c r="H447" s="862"/>
      <c r="I447" s="862">
        <v>7.9936511579664395E-3</v>
      </c>
      <c r="J447" s="862">
        <v>1.6411439347779601E-4</v>
      </c>
      <c r="K447" s="862"/>
      <c r="L447" s="862">
        <v>5.7064735116906402E-5</v>
      </c>
      <c r="M447" s="710">
        <f t="shared" si="12"/>
        <v>4.7221120184307061E-2</v>
      </c>
    </row>
    <row r="448" spans="2:13" x14ac:dyDescent="0.25">
      <c r="B448" s="1" t="s">
        <v>73</v>
      </c>
      <c r="C448" s="1">
        <v>2016</v>
      </c>
      <c r="D448" s="1" t="s">
        <v>610</v>
      </c>
      <c r="E448" t="s">
        <v>2</v>
      </c>
      <c r="G448" s="862">
        <v>7.525192295862683E-2</v>
      </c>
      <c r="H448" s="862"/>
      <c r="I448" s="862">
        <v>5.8476797242967102E-2</v>
      </c>
      <c r="J448" s="862">
        <v>4.9762723959774699E-3</v>
      </c>
      <c r="K448" s="862">
        <v>1.2590867684454199E-4</v>
      </c>
      <c r="L448" s="862">
        <v>2.6252501594792299E-4</v>
      </c>
      <c r="M448" s="710">
        <f t="shared" si="12"/>
        <v>0.13909342629036386</v>
      </c>
    </row>
    <row r="449" spans="2:13" x14ac:dyDescent="0.25">
      <c r="B449" s="1" t="s">
        <v>73</v>
      </c>
      <c r="C449" s="1">
        <v>2016</v>
      </c>
      <c r="D449" s="1" t="s">
        <v>610</v>
      </c>
      <c r="E449" t="s">
        <v>5</v>
      </c>
      <c r="G449" s="862">
        <v>7.8928445558411036E-3</v>
      </c>
      <c r="H449" s="862"/>
      <c r="I449" s="862">
        <v>3.2751933057108299E-3</v>
      </c>
      <c r="J449" s="862">
        <v>5.46055327238433E-5</v>
      </c>
      <c r="K449" s="862"/>
      <c r="L449" s="862"/>
      <c r="M449" s="710">
        <f t="shared" si="12"/>
        <v>1.1222643394275776E-2</v>
      </c>
    </row>
    <row r="450" spans="2:13" x14ac:dyDescent="0.25">
      <c r="B450" s="1" t="s">
        <v>73</v>
      </c>
      <c r="C450" s="1">
        <v>2016</v>
      </c>
      <c r="D450" s="1" t="s">
        <v>610</v>
      </c>
      <c r="E450" t="s">
        <v>103</v>
      </c>
      <c r="G450" s="862">
        <v>1.3255631591352648E-2</v>
      </c>
      <c r="H450" s="862"/>
      <c r="I450" s="862">
        <v>5.4758064333489901E-3</v>
      </c>
      <c r="J450" s="862">
        <v>7.1202071496745201E-3</v>
      </c>
      <c r="K450" s="862">
        <v>3.8302942937138498E-3</v>
      </c>
      <c r="L450" s="862">
        <v>1.5587270979264E-3</v>
      </c>
      <c r="M450" s="710">
        <f t="shared" si="12"/>
        <v>3.1240666566016408E-2</v>
      </c>
    </row>
    <row r="451" spans="2:13" x14ac:dyDescent="0.25">
      <c r="B451" s="1" t="s">
        <v>73</v>
      </c>
      <c r="C451" s="1">
        <v>2016</v>
      </c>
      <c r="D451" s="1" t="s">
        <v>610</v>
      </c>
      <c r="E451" t="s">
        <v>129</v>
      </c>
      <c r="G451" s="862">
        <v>5.0141596753507296E-4</v>
      </c>
      <c r="H451" s="862"/>
      <c r="I451" s="862"/>
      <c r="J451" s="862"/>
      <c r="K451" s="862"/>
      <c r="L451" s="862"/>
      <c r="M451" s="864">
        <f t="shared" si="12"/>
        <v>5.0141596753507296E-4</v>
      </c>
    </row>
    <row r="452" spans="2:13" x14ac:dyDescent="0.25">
      <c r="B452" s="1" t="s">
        <v>73</v>
      </c>
      <c r="C452" s="1">
        <v>2016</v>
      </c>
      <c r="D452" s="1" t="s">
        <v>610</v>
      </c>
      <c r="E452" t="s">
        <v>110</v>
      </c>
      <c r="G452" s="862">
        <v>3.607278895821828E-3</v>
      </c>
      <c r="H452" s="862"/>
      <c r="I452" s="862">
        <v>7.8192824146638903E-3</v>
      </c>
      <c r="J452" s="862">
        <v>3.7562734364497401E-3</v>
      </c>
      <c r="K452" s="862">
        <v>4.5258510242136099E-5</v>
      </c>
      <c r="L452" s="862"/>
      <c r="M452" s="710">
        <f t="shared" ref="M452:M499" si="15">SUM(G452:L452)</f>
        <v>1.5228093257177595E-2</v>
      </c>
    </row>
    <row r="453" spans="2:13" x14ac:dyDescent="0.25">
      <c r="B453" s="860" t="s">
        <v>73</v>
      </c>
      <c r="C453" s="1">
        <v>2016</v>
      </c>
      <c r="D453" s="1" t="s">
        <v>610</v>
      </c>
      <c r="E453" t="s">
        <v>130</v>
      </c>
      <c r="G453" s="862">
        <v>6.4783404650398091E-4</v>
      </c>
      <c r="H453" s="862"/>
      <c r="I453" s="862">
        <v>7.88022740478939E-4</v>
      </c>
      <c r="J453" s="862">
        <v>1.08206958682846E-4</v>
      </c>
      <c r="K453" s="862">
        <v>5.2744493082049096E-4</v>
      </c>
      <c r="L453" s="862">
        <v>7.6809660863870098E-4</v>
      </c>
      <c r="M453" s="710">
        <f t="shared" si="15"/>
        <v>2.8396052851249578E-3</v>
      </c>
    </row>
    <row r="454" spans="2:13" x14ac:dyDescent="0.25">
      <c r="B454" s="861" t="s">
        <v>73</v>
      </c>
      <c r="C454" s="861">
        <v>2016</v>
      </c>
      <c r="D454" s="861" t="s">
        <v>610</v>
      </c>
      <c r="E454" s="1" t="s">
        <v>313</v>
      </c>
      <c r="G454" s="863">
        <v>0.1560348502857839</v>
      </c>
      <c r="H454" s="863"/>
      <c r="I454" s="863">
        <v>8.6617051383174964E-2</v>
      </c>
      <c r="J454" s="863">
        <v>1.6794121608669003E-2</v>
      </c>
      <c r="K454" s="863">
        <v>4.5289064116210195E-3</v>
      </c>
      <c r="L454" s="863">
        <v>2.6464134576299303E-3</v>
      </c>
      <c r="M454" s="710">
        <f t="shared" si="15"/>
        <v>0.26662134314687885</v>
      </c>
    </row>
    <row r="455" spans="2:13" x14ac:dyDescent="0.25">
      <c r="B455" s="1" t="s">
        <v>74</v>
      </c>
      <c r="C455" s="1">
        <v>1996</v>
      </c>
      <c r="D455" s="1" t="s">
        <v>600</v>
      </c>
      <c r="E455" t="s">
        <v>128</v>
      </c>
      <c r="G455" s="862">
        <v>5.3396709816239804E-3</v>
      </c>
      <c r="H455" s="862"/>
      <c r="I455" s="862"/>
      <c r="J455" s="862"/>
      <c r="K455" s="862"/>
      <c r="L455" s="862"/>
      <c r="M455" s="710">
        <f t="shared" si="15"/>
        <v>5.3396709816239804E-3</v>
      </c>
    </row>
    <row r="456" spans="2:13" x14ac:dyDescent="0.25">
      <c r="B456" s="1" t="s">
        <v>74</v>
      </c>
      <c r="C456" s="1">
        <v>1996</v>
      </c>
      <c r="D456" s="1" t="s">
        <v>600</v>
      </c>
      <c r="E456" t="s">
        <v>2</v>
      </c>
      <c r="G456" s="862">
        <v>1.006126008160692E-2</v>
      </c>
      <c r="H456" s="862"/>
      <c r="I456" s="862"/>
      <c r="J456" s="862"/>
      <c r="K456" s="862"/>
      <c r="L456" s="862"/>
      <c r="M456" s="710">
        <f t="shared" si="15"/>
        <v>1.006126008160692E-2</v>
      </c>
    </row>
    <row r="457" spans="2:13" x14ac:dyDescent="0.25">
      <c r="B457" s="1" t="s">
        <v>74</v>
      </c>
      <c r="C457" s="1">
        <v>1996</v>
      </c>
      <c r="D457" s="1" t="s">
        <v>600</v>
      </c>
      <c r="E457" t="s">
        <v>5</v>
      </c>
      <c r="G457" s="862">
        <v>0.32181796833806414</v>
      </c>
      <c r="H457" s="862"/>
      <c r="I457" s="862">
        <v>5.8138289406916297E-4</v>
      </c>
      <c r="J457" s="862"/>
      <c r="K457" s="862">
        <v>1.10617008112472E-4</v>
      </c>
      <c r="L457" s="862">
        <v>1.16760157612704E-4</v>
      </c>
      <c r="M457" s="710">
        <f t="shared" si="15"/>
        <v>0.3226267283978585</v>
      </c>
    </row>
    <row r="458" spans="2:13" x14ac:dyDescent="0.25">
      <c r="B458" s="1" t="s">
        <v>74</v>
      </c>
      <c r="C458" s="1">
        <v>1996</v>
      </c>
      <c r="D458" s="1" t="s">
        <v>600</v>
      </c>
      <c r="E458" t="s">
        <v>103</v>
      </c>
      <c r="G458" s="862">
        <v>1.1768546016302631E-2</v>
      </c>
      <c r="H458" s="862"/>
      <c r="I458" s="862"/>
      <c r="J458" s="862">
        <v>1.10617008112472E-4</v>
      </c>
      <c r="K458" s="862"/>
      <c r="L458" s="862">
        <v>3.15720104010466E-4</v>
      </c>
      <c r="M458" s="710">
        <f t="shared" si="15"/>
        <v>1.2194883128425569E-2</v>
      </c>
    </row>
    <row r="459" spans="2:13" x14ac:dyDescent="0.25">
      <c r="B459" s="1" t="s">
        <v>74</v>
      </c>
      <c r="C459" s="1">
        <v>1996</v>
      </c>
      <c r="D459" s="1" t="s">
        <v>600</v>
      </c>
      <c r="E459" t="s">
        <v>110</v>
      </c>
      <c r="G459" s="862">
        <v>1.044800239587995E-2</v>
      </c>
      <c r="H459" s="862"/>
      <c r="I459" s="862"/>
      <c r="J459" s="862">
        <v>3.3185102433741601E-4</v>
      </c>
      <c r="K459" s="862">
        <v>7.4205721613340302E-4</v>
      </c>
      <c r="L459" s="862">
        <v>3.0834456470008802E-4</v>
      </c>
      <c r="M459" s="710">
        <f t="shared" si="15"/>
        <v>1.1830255201050858E-2</v>
      </c>
    </row>
    <row r="460" spans="2:13" x14ac:dyDescent="0.25">
      <c r="B460" s="860" t="s">
        <v>74</v>
      </c>
      <c r="C460" s="1">
        <v>1996</v>
      </c>
      <c r="D460" s="1" t="s">
        <v>600</v>
      </c>
      <c r="E460" t="s">
        <v>130</v>
      </c>
      <c r="G460" s="862"/>
      <c r="H460" s="862"/>
      <c r="I460" s="862"/>
      <c r="J460" s="862">
        <v>1.10617008112472E-4</v>
      </c>
      <c r="K460" s="862"/>
      <c r="L460" s="862"/>
      <c r="M460" s="710">
        <f t="shared" si="15"/>
        <v>1.10617008112472E-4</v>
      </c>
    </row>
    <row r="461" spans="2:13" x14ac:dyDescent="0.25">
      <c r="B461" s="861" t="s">
        <v>74</v>
      </c>
      <c r="C461" s="861">
        <v>1996</v>
      </c>
      <c r="D461" s="861" t="s">
        <v>600</v>
      </c>
      <c r="E461" s="1" t="s">
        <v>313</v>
      </c>
      <c r="G461" s="863">
        <v>0.35943544781347758</v>
      </c>
      <c r="H461" s="863"/>
      <c r="I461" s="863">
        <v>5.8138289406916297E-4</v>
      </c>
      <c r="J461" s="863">
        <v>5.5308504056236004E-4</v>
      </c>
      <c r="K461" s="863">
        <v>8.52674224245875E-4</v>
      </c>
      <c r="L461" s="863">
        <v>7.4082482632325804E-4</v>
      </c>
      <c r="M461" s="710">
        <f t="shared" si="15"/>
        <v>0.36216341479867825</v>
      </c>
    </row>
    <row r="462" spans="2:13" x14ac:dyDescent="0.25">
      <c r="B462" s="1" t="s">
        <v>77</v>
      </c>
      <c r="C462" s="1">
        <v>2013</v>
      </c>
      <c r="D462" s="1" t="s">
        <v>605</v>
      </c>
      <c r="E462" t="s">
        <v>1020</v>
      </c>
      <c r="G462" s="862">
        <v>2.50771054270159E-5</v>
      </c>
      <c r="H462" s="862"/>
      <c r="I462" s="862"/>
      <c r="J462" s="862"/>
      <c r="K462" s="862"/>
      <c r="L462" s="862"/>
      <c r="M462" s="864">
        <f t="shared" si="15"/>
        <v>2.50771054270159E-5</v>
      </c>
    </row>
    <row r="463" spans="2:13" x14ac:dyDescent="0.25">
      <c r="B463" s="1" t="s">
        <v>77</v>
      </c>
      <c r="C463" s="1">
        <v>2013</v>
      </c>
      <c r="D463" s="1" t="s">
        <v>605</v>
      </c>
      <c r="E463" t="s">
        <v>128</v>
      </c>
      <c r="G463" s="862">
        <v>8.5988860224338708E-3</v>
      </c>
      <c r="H463" s="862">
        <v>2.4374581137265599E-5</v>
      </c>
      <c r="I463" s="862">
        <v>4.34109405569073E-3</v>
      </c>
      <c r="J463" s="862"/>
      <c r="K463" s="862"/>
      <c r="L463" s="862">
        <v>1.03032531592513E-4</v>
      </c>
      <c r="M463" s="710">
        <f t="shared" si="15"/>
        <v>1.3067387190854379E-2</v>
      </c>
    </row>
    <row r="464" spans="2:13" x14ac:dyDescent="0.25">
      <c r="B464" s="1" t="s">
        <v>77</v>
      </c>
      <c r="C464" s="1">
        <v>2013</v>
      </c>
      <c r="D464" s="1" t="s">
        <v>605</v>
      </c>
      <c r="E464" t="s">
        <v>3</v>
      </c>
      <c r="G464" s="862">
        <v>2.7382294116961399E-3</v>
      </c>
      <c r="H464" s="862">
        <v>1.3301818539817201E-4</v>
      </c>
      <c r="I464" s="862">
        <v>5.2222540971234399E-4</v>
      </c>
      <c r="J464" s="862"/>
      <c r="K464" s="862"/>
      <c r="L464" s="862"/>
      <c r="M464" s="710">
        <f t="shared" si="15"/>
        <v>3.3934730068066561E-3</v>
      </c>
    </row>
    <row r="465" spans="2:13" x14ac:dyDescent="0.25">
      <c r="B465" s="1" t="s">
        <v>77</v>
      </c>
      <c r="C465" s="1">
        <v>2013</v>
      </c>
      <c r="D465" s="1" t="s">
        <v>605</v>
      </c>
      <c r="E465" t="s">
        <v>2</v>
      </c>
      <c r="G465" s="862">
        <v>1.4606333919718301E-2</v>
      </c>
      <c r="H465" s="862">
        <v>3.3141473280095201E-4</v>
      </c>
      <c r="I465" s="862">
        <v>3.8095673155985801E-3</v>
      </c>
      <c r="J465" s="862">
        <v>6.9132078088727303E-3</v>
      </c>
      <c r="K465" s="862"/>
      <c r="L465" s="862">
        <v>2.76446925222618E-5</v>
      </c>
      <c r="M465" s="710">
        <f t="shared" si="15"/>
        <v>2.5688168469512825E-2</v>
      </c>
    </row>
    <row r="466" spans="2:13" x14ac:dyDescent="0.25">
      <c r="B466" s="1" t="s">
        <v>77</v>
      </c>
      <c r="C466" s="1">
        <v>2013</v>
      </c>
      <c r="D466" s="1" t="s">
        <v>605</v>
      </c>
      <c r="E466" t="s">
        <v>5</v>
      </c>
      <c r="G466" s="862">
        <v>1.9448108599188101E-2</v>
      </c>
      <c r="H466" s="862">
        <v>1.01181096216995E-3</v>
      </c>
      <c r="I466" s="862">
        <v>1.5434337312147E-2</v>
      </c>
      <c r="J466" s="862">
        <v>2.2446594676446801E-4</v>
      </c>
      <c r="K466" s="862"/>
      <c r="L466" s="862"/>
      <c r="M466" s="710">
        <f t="shared" si="15"/>
        <v>3.6118722820269518E-2</v>
      </c>
    </row>
    <row r="467" spans="2:13" x14ac:dyDescent="0.25">
      <c r="B467" s="1" t="s">
        <v>77</v>
      </c>
      <c r="C467" s="1">
        <v>2013</v>
      </c>
      <c r="D467" s="1" t="s">
        <v>605</v>
      </c>
      <c r="E467" t="s">
        <v>103</v>
      </c>
      <c r="G467" s="862">
        <v>9.7904308728103502E-4</v>
      </c>
      <c r="H467" s="862"/>
      <c r="I467" s="862">
        <v>5.6909893278592697E-5</v>
      </c>
      <c r="J467" s="862">
        <v>2.1265493210571701E-3</v>
      </c>
      <c r="K467" s="862"/>
      <c r="L467" s="862">
        <v>6.7555487452131298E-5</v>
      </c>
      <c r="M467" s="710">
        <f t="shared" si="15"/>
        <v>3.2300577890689288E-3</v>
      </c>
    </row>
    <row r="468" spans="2:13" x14ac:dyDescent="0.25">
      <c r="B468" s="1" t="s">
        <v>77</v>
      </c>
      <c r="C468" s="1">
        <v>2013</v>
      </c>
      <c r="D468" s="1" t="s">
        <v>605</v>
      </c>
      <c r="E468" t="s">
        <v>129</v>
      </c>
      <c r="G468" s="862">
        <v>2.1670023823293401E-4</v>
      </c>
      <c r="H468" s="862"/>
      <c r="I468" s="862"/>
      <c r="J468" s="862"/>
      <c r="K468" s="862"/>
      <c r="L468" s="862"/>
      <c r="M468" s="710">
        <f t="shared" si="15"/>
        <v>2.1670023823293401E-4</v>
      </c>
    </row>
    <row r="469" spans="2:13" x14ac:dyDescent="0.25">
      <c r="B469" s="1" t="s">
        <v>77</v>
      </c>
      <c r="C469" s="1">
        <v>2013</v>
      </c>
      <c r="D469" s="1" t="s">
        <v>605</v>
      </c>
      <c r="E469" t="s">
        <v>110</v>
      </c>
      <c r="G469" s="862">
        <v>3.4994470974014202E-2</v>
      </c>
      <c r="H469" s="862">
        <v>3.3944520507589199E-4</v>
      </c>
      <c r="I469" s="862">
        <v>6.4767150538717899E-3</v>
      </c>
      <c r="J469" s="862">
        <v>2.8334688029686202E-2</v>
      </c>
      <c r="K469" s="862"/>
      <c r="L469" s="862">
        <v>8.2276351585504998E-4</v>
      </c>
      <c r="M469" s="864">
        <f t="shared" si="15"/>
        <v>7.0968082778503125E-2</v>
      </c>
    </row>
    <row r="470" spans="2:13" x14ac:dyDescent="0.25">
      <c r="B470" s="860" t="s">
        <v>77</v>
      </c>
      <c r="C470" s="1">
        <v>2013</v>
      </c>
      <c r="D470" s="1" t="s">
        <v>605</v>
      </c>
      <c r="E470" t="s">
        <v>130</v>
      </c>
      <c r="G470" s="862">
        <v>3.4176640540629806E-3</v>
      </c>
      <c r="H470" s="862">
        <v>4.2323235346843902E-5</v>
      </c>
      <c r="I470" s="862">
        <v>6.830194899808237E-4</v>
      </c>
      <c r="J470" s="862">
        <v>1.43248194070107E-4</v>
      </c>
      <c r="K470" s="862">
        <v>1.6849941645436E-2</v>
      </c>
      <c r="L470" s="862">
        <v>2.3441559052676799E-3</v>
      </c>
      <c r="M470" s="710">
        <f t="shared" si="15"/>
        <v>2.3480352524164437E-2</v>
      </c>
    </row>
    <row r="471" spans="2:13" x14ac:dyDescent="0.25">
      <c r="B471" s="861" t="s">
        <v>77</v>
      </c>
      <c r="C471" s="861">
        <v>2013</v>
      </c>
      <c r="D471" s="861" t="s">
        <v>605</v>
      </c>
      <c r="E471" s="1" t="s">
        <v>313</v>
      </c>
      <c r="G471" s="863">
        <v>8.5024513412054567E-2</v>
      </c>
      <c r="H471" s="863">
        <v>1.8823869019290755E-3</v>
      </c>
      <c r="I471" s="863">
        <v>3.1323868530279859E-2</v>
      </c>
      <c r="J471" s="863">
        <v>3.7742159300450676E-2</v>
      </c>
      <c r="K471" s="863">
        <v>1.6849941645436E-2</v>
      </c>
      <c r="L471" s="863">
        <v>3.3651521326896359E-3</v>
      </c>
      <c r="M471" s="710">
        <f t="shared" si="15"/>
        <v>0.17618802192283983</v>
      </c>
    </row>
    <row r="472" spans="2:13" x14ac:dyDescent="0.25">
      <c r="B472" s="1" t="s">
        <v>78</v>
      </c>
      <c r="C472" s="1">
        <v>2013</v>
      </c>
      <c r="D472" s="1" t="s">
        <v>605</v>
      </c>
      <c r="E472" t="s">
        <v>1020</v>
      </c>
      <c r="G472" s="862">
        <v>4.64596298069125E-4</v>
      </c>
      <c r="H472" s="862"/>
      <c r="I472" s="862"/>
      <c r="J472" s="862"/>
      <c r="K472" s="862">
        <v>9.73085106381578E-5</v>
      </c>
      <c r="L472" s="862"/>
      <c r="M472" s="710">
        <f t="shared" si="15"/>
        <v>5.6190480870728279E-4</v>
      </c>
    </row>
    <row r="473" spans="2:13" x14ac:dyDescent="0.25">
      <c r="B473" s="1" t="s">
        <v>78</v>
      </c>
      <c r="C473" s="1">
        <v>2013</v>
      </c>
      <c r="D473" s="1" t="s">
        <v>605</v>
      </c>
      <c r="E473" t="s">
        <v>128</v>
      </c>
      <c r="G473" s="862">
        <v>9.0468846525270756E-3</v>
      </c>
      <c r="H473" s="862"/>
      <c r="I473" s="862">
        <v>4.1338921238244699E-3</v>
      </c>
      <c r="J473" s="862"/>
      <c r="K473" s="862"/>
      <c r="L473" s="862"/>
      <c r="M473" s="710">
        <f t="shared" si="15"/>
        <v>1.3180776776351546E-2</v>
      </c>
    </row>
    <row r="474" spans="2:13" x14ac:dyDescent="0.25">
      <c r="B474" s="1" t="s">
        <v>78</v>
      </c>
      <c r="C474" s="1">
        <v>2013</v>
      </c>
      <c r="D474" s="1" t="s">
        <v>605</v>
      </c>
      <c r="E474" t="s">
        <v>3</v>
      </c>
      <c r="G474" s="862">
        <v>4.0205560831916197E-2</v>
      </c>
      <c r="H474" s="862"/>
      <c r="I474" s="862">
        <v>1.2877561743718201E-3</v>
      </c>
      <c r="J474" s="862"/>
      <c r="K474" s="862"/>
      <c r="L474" s="862"/>
      <c r="M474" s="710">
        <f t="shared" si="15"/>
        <v>4.1493317006288014E-2</v>
      </c>
    </row>
    <row r="475" spans="2:13" x14ac:dyDescent="0.25">
      <c r="B475" s="1" t="s">
        <v>78</v>
      </c>
      <c r="C475" s="1">
        <v>2013</v>
      </c>
      <c r="D475" s="1" t="s">
        <v>605</v>
      </c>
      <c r="E475" t="s">
        <v>2</v>
      </c>
      <c r="G475" s="862">
        <v>0.13107621113929668</v>
      </c>
      <c r="H475" s="862"/>
      <c r="I475" s="862">
        <v>6.3696621114344501E-3</v>
      </c>
      <c r="J475" s="862">
        <v>1.07595513052749E-4</v>
      </c>
      <c r="K475" s="862">
        <v>2.2830972671466799E-4</v>
      </c>
      <c r="L475" s="862"/>
      <c r="M475" s="710">
        <f t="shared" si="15"/>
        <v>0.13778177849049855</v>
      </c>
    </row>
    <row r="476" spans="2:13" x14ac:dyDescent="0.25">
      <c r="B476" s="1" t="s">
        <v>78</v>
      </c>
      <c r="C476" s="1">
        <v>2013</v>
      </c>
      <c r="D476" s="1" t="s">
        <v>605</v>
      </c>
      <c r="E476" t="s">
        <v>5</v>
      </c>
      <c r="G476" s="862">
        <v>7.9694502703077374E-3</v>
      </c>
      <c r="H476" s="862"/>
      <c r="I476" s="862">
        <v>8.4650683823933701E-4</v>
      </c>
      <c r="J476" s="862"/>
      <c r="K476" s="862"/>
      <c r="L476" s="862"/>
      <c r="M476" s="710">
        <f t="shared" si="15"/>
        <v>8.8159571085470751E-3</v>
      </c>
    </row>
    <row r="477" spans="2:13" x14ac:dyDescent="0.25">
      <c r="B477" s="1" t="s">
        <v>78</v>
      </c>
      <c r="C477" s="1">
        <v>2013</v>
      </c>
      <c r="D477" s="1" t="s">
        <v>605</v>
      </c>
      <c r="E477" t="s">
        <v>103</v>
      </c>
      <c r="G477" s="862">
        <v>2.2055393258535758E-2</v>
      </c>
      <c r="H477" s="862"/>
      <c r="I477" s="862">
        <v>8.3474899312670301E-4</v>
      </c>
      <c r="J477" s="862">
        <v>2.52672854617226E-3</v>
      </c>
      <c r="K477" s="862">
        <v>9.3762561041123606E-3</v>
      </c>
      <c r="L477" s="862">
        <v>1.9797141765068399E-4</v>
      </c>
      <c r="M477" s="710">
        <f t="shared" si="15"/>
        <v>3.4991098319597763E-2</v>
      </c>
    </row>
    <row r="478" spans="2:13" x14ac:dyDescent="0.25">
      <c r="B478" s="1" t="s">
        <v>78</v>
      </c>
      <c r="C478" s="1">
        <v>2013</v>
      </c>
      <c r="D478" s="1" t="s">
        <v>605</v>
      </c>
      <c r="E478" t="s">
        <v>129</v>
      </c>
      <c r="G478" s="862">
        <v>1.4606915800921999E-4</v>
      </c>
      <c r="H478" s="862"/>
      <c r="I478" s="862">
        <v>1.36606602595395E-4</v>
      </c>
      <c r="J478" s="862"/>
      <c r="K478" s="862"/>
      <c r="L478" s="862"/>
      <c r="M478" s="710">
        <f t="shared" si="15"/>
        <v>2.8267576060461502E-4</v>
      </c>
    </row>
    <row r="479" spans="2:13" x14ac:dyDescent="0.25">
      <c r="B479" s="860" t="s">
        <v>78</v>
      </c>
      <c r="C479" s="1">
        <v>2013</v>
      </c>
      <c r="D479" s="1" t="s">
        <v>605</v>
      </c>
      <c r="E479" t="s">
        <v>110</v>
      </c>
      <c r="G479" s="862">
        <v>4.8331682051502525E-2</v>
      </c>
      <c r="H479" s="862"/>
      <c r="I479" s="862">
        <v>3.1179836681068402E-3</v>
      </c>
      <c r="J479" s="862">
        <v>1.0143582394302899E-2</v>
      </c>
      <c r="K479" s="862">
        <v>1.8091359823656901E-2</v>
      </c>
      <c r="L479" s="862"/>
      <c r="M479" s="710">
        <f t="shared" si="15"/>
        <v>7.9684607937569166E-2</v>
      </c>
    </row>
    <row r="480" spans="2:13" x14ac:dyDescent="0.25">
      <c r="B480" s="861" t="s">
        <v>78</v>
      </c>
      <c r="C480" s="861">
        <v>2013</v>
      </c>
      <c r="D480" s="861" t="s">
        <v>605</v>
      </c>
      <c r="E480" s="1" t="s">
        <v>313</v>
      </c>
      <c r="G480" s="863">
        <v>0.25929584766016434</v>
      </c>
      <c r="H480" s="863"/>
      <c r="I480" s="863">
        <v>1.6727156511699016E-2</v>
      </c>
      <c r="J480" s="863">
        <v>1.2777906453527908E-2</v>
      </c>
      <c r="K480" s="863">
        <v>2.7793234165122086E-2</v>
      </c>
      <c r="L480" s="863">
        <v>1.9797141765068399E-4</v>
      </c>
      <c r="M480" s="864">
        <f t="shared" si="15"/>
        <v>0.31679211620816405</v>
      </c>
    </row>
    <row r="481" spans="2:13" x14ac:dyDescent="0.25">
      <c r="B481" s="1" t="s">
        <v>79</v>
      </c>
      <c r="C481" s="1">
        <v>2015</v>
      </c>
      <c r="D481" s="1" t="s">
        <v>591</v>
      </c>
      <c r="E481" t="s">
        <v>108</v>
      </c>
      <c r="G481" s="862"/>
      <c r="H481" s="862"/>
      <c r="I481" s="862"/>
      <c r="J481" s="862">
        <v>4.4486338612729999E-4</v>
      </c>
      <c r="K481" s="862"/>
      <c r="L481" s="862"/>
      <c r="M481" s="710">
        <f t="shared" si="15"/>
        <v>4.4486338612729999E-4</v>
      </c>
    </row>
    <row r="482" spans="2:13" x14ac:dyDescent="0.25">
      <c r="B482" s="1" t="s">
        <v>79</v>
      </c>
      <c r="C482" s="1">
        <v>2015</v>
      </c>
      <c r="D482" s="1" t="s">
        <v>591</v>
      </c>
      <c r="E482" t="s">
        <v>1020</v>
      </c>
      <c r="G482" s="862">
        <v>6.6081848450189496E-4</v>
      </c>
      <c r="H482" s="862"/>
      <c r="I482" s="862">
        <v>1.7164731325293301E-4</v>
      </c>
      <c r="J482" s="862">
        <v>1.50002009342043E-4</v>
      </c>
      <c r="K482" s="862">
        <v>1.5395560051020699E-4</v>
      </c>
      <c r="L482" s="862"/>
      <c r="M482" s="710">
        <f t="shared" si="15"/>
        <v>1.136423407607078E-3</v>
      </c>
    </row>
    <row r="483" spans="2:13" x14ac:dyDescent="0.25">
      <c r="B483" s="1" t="s">
        <v>79</v>
      </c>
      <c r="C483" s="1">
        <v>2015</v>
      </c>
      <c r="D483" s="1" t="s">
        <v>591</v>
      </c>
      <c r="E483" t="s">
        <v>128</v>
      </c>
      <c r="G483" s="862">
        <v>3.4997750949267198E-3</v>
      </c>
      <c r="H483" s="862"/>
      <c r="I483" s="862">
        <v>1.96423154588495E-3</v>
      </c>
      <c r="J483" s="862"/>
      <c r="K483" s="862"/>
      <c r="L483" s="862">
        <v>5.4466097547897701E-5</v>
      </c>
      <c r="M483" s="710">
        <f t="shared" si="15"/>
        <v>5.5184727383595679E-3</v>
      </c>
    </row>
    <row r="484" spans="2:13" x14ac:dyDescent="0.25">
      <c r="B484" s="1" t="s">
        <v>79</v>
      </c>
      <c r="C484" s="1">
        <v>2015</v>
      </c>
      <c r="D484" s="1" t="s">
        <v>591</v>
      </c>
      <c r="E484" t="s">
        <v>3</v>
      </c>
      <c r="G484" s="862">
        <v>6.6165370700482895E-2</v>
      </c>
      <c r="H484" s="862"/>
      <c r="I484" s="862">
        <v>1.39286655227095E-2</v>
      </c>
      <c r="J484" s="862">
        <v>3.52625314621045E-4</v>
      </c>
      <c r="K484" s="862">
        <v>5.58849825331692E-5</v>
      </c>
      <c r="L484" s="862">
        <v>2.4309101003132299E-4</v>
      </c>
      <c r="M484" s="710">
        <f t="shared" si="15"/>
        <v>8.0745637530377931E-2</v>
      </c>
    </row>
    <row r="485" spans="2:13" x14ac:dyDescent="0.25">
      <c r="B485" s="1" t="s">
        <v>79</v>
      </c>
      <c r="C485" s="1">
        <v>2015</v>
      </c>
      <c r="D485" s="1" t="s">
        <v>591</v>
      </c>
      <c r="E485" t="s">
        <v>2</v>
      </c>
      <c r="G485" s="862">
        <v>6.3956474965256624E-2</v>
      </c>
      <c r="H485" s="862"/>
      <c r="I485" s="862">
        <v>7.4358288446726801E-3</v>
      </c>
      <c r="J485" s="862">
        <v>5.3162471226845696E-4</v>
      </c>
      <c r="K485" s="862">
        <v>7.5303063938328597E-5</v>
      </c>
      <c r="L485" s="862">
        <v>2.6197770017474201E-4</v>
      </c>
      <c r="M485" s="710">
        <f t="shared" si="15"/>
        <v>7.2261209286310843E-2</v>
      </c>
    </row>
    <row r="486" spans="2:13" x14ac:dyDescent="0.25">
      <c r="B486" s="1" t="s">
        <v>79</v>
      </c>
      <c r="C486" s="1">
        <v>2015</v>
      </c>
      <c r="D486" s="1" t="s">
        <v>591</v>
      </c>
      <c r="E486" t="s">
        <v>5</v>
      </c>
      <c r="G486" s="862">
        <v>3.1716687155633762E-3</v>
      </c>
      <c r="H486" s="862"/>
      <c r="I486" s="862">
        <v>1.1529899571129901E-3</v>
      </c>
      <c r="J486" s="862"/>
      <c r="K486" s="862"/>
      <c r="L486" s="862"/>
      <c r="M486" s="710">
        <f t="shared" si="15"/>
        <v>4.3246586726763663E-3</v>
      </c>
    </row>
    <row r="487" spans="2:13" x14ac:dyDescent="0.25">
      <c r="B487" s="1" t="s">
        <v>79</v>
      </c>
      <c r="C487" s="1">
        <v>2015</v>
      </c>
      <c r="D487" s="1" t="s">
        <v>591</v>
      </c>
      <c r="E487" t="s">
        <v>103</v>
      </c>
      <c r="G487" s="862">
        <v>2.152396980718024E-2</v>
      </c>
      <c r="H487" s="862"/>
      <c r="I487" s="862">
        <v>1.4270512334044201E-3</v>
      </c>
      <c r="J487" s="862">
        <v>4.4409694715037097E-3</v>
      </c>
      <c r="K487" s="862">
        <v>1.41279282051792E-2</v>
      </c>
      <c r="L487" s="862">
        <v>1.7563154229157499E-4</v>
      </c>
      <c r="M487" s="710">
        <f t="shared" si="15"/>
        <v>4.1695550259559143E-2</v>
      </c>
    </row>
    <row r="488" spans="2:13" x14ac:dyDescent="0.25">
      <c r="B488" s="1" t="s">
        <v>79</v>
      </c>
      <c r="C488" s="1">
        <v>2015</v>
      </c>
      <c r="D488" s="1" t="s">
        <v>591</v>
      </c>
      <c r="E488" t="s">
        <v>129</v>
      </c>
      <c r="G488" s="862"/>
      <c r="H488" s="862"/>
      <c r="I488" s="862">
        <v>2.09293019004104E-4</v>
      </c>
      <c r="J488" s="862"/>
      <c r="K488" s="862"/>
      <c r="L488" s="862"/>
      <c r="M488" s="710">
        <f t="shared" si="15"/>
        <v>2.09293019004104E-4</v>
      </c>
    </row>
    <row r="489" spans="2:13" x14ac:dyDescent="0.25">
      <c r="B489" s="860" t="s">
        <v>79</v>
      </c>
      <c r="C489" s="1">
        <v>2015</v>
      </c>
      <c r="D489" s="1" t="s">
        <v>591</v>
      </c>
      <c r="E489" t="s">
        <v>110</v>
      </c>
      <c r="G489" s="862">
        <v>0.18898327501553691</v>
      </c>
      <c r="H489" s="862"/>
      <c r="I489" s="862">
        <v>1.5688731422779999E-2</v>
      </c>
      <c r="J489" s="862">
        <v>5.84902679226324E-2</v>
      </c>
      <c r="K489" s="862">
        <v>6.80979559379165E-3</v>
      </c>
      <c r="L489" s="862">
        <v>2.30073430899193E-4</v>
      </c>
      <c r="M489" s="864">
        <f t="shared" si="15"/>
        <v>0.27020214338564014</v>
      </c>
    </row>
    <row r="490" spans="2:13" x14ac:dyDescent="0.25">
      <c r="B490" s="861" t="s">
        <v>79</v>
      </c>
      <c r="C490" s="861">
        <v>2015</v>
      </c>
      <c r="D490" s="861" t="s">
        <v>591</v>
      </c>
      <c r="E490" s="1" t="s">
        <v>313</v>
      </c>
      <c r="G490" s="863">
        <v>0.34796135278344864</v>
      </c>
      <c r="H490" s="863"/>
      <c r="I490" s="863">
        <v>4.1978438858821576E-2</v>
      </c>
      <c r="J490" s="863">
        <v>6.4410352816494945E-2</v>
      </c>
      <c r="K490" s="863">
        <v>2.1222867445952556E-2</v>
      </c>
      <c r="L490" s="863">
        <v>9.6523978094473066E-4</v>
      </c>
      <c r="M490" s="710">
        <f t="shared" si="15"/>
        <v>0.47653825168566238</v>
      </c>
    </row>
    <row r="491" spans="2:13" x14ac:dyDescent="0.25">
      <c r="B491" s="1"/>
      <c r="C491" s="1"/>
      <c r="D491" s="1"/>
      <c r="G491" s="862"/>
      <c r="H491" s="862"/>
      <c r="I491" s="862"/>
      <c r="J491" s="862"/>
      <c r="K491" s="862"/>
      <c r="L491" s="862"/>
      <c r="M491" s="710">
        <f t="shared" si="15"/>
        <v>0</v>
      </c>
    </row>
    <row r="492" spans="2:13" x14ac:dyDescent="0.25">
      <c r="B492" s="860"/>
      <c r="C492" s="1"/>
      <c r="D492" s="1"/>
      <c r="G492" s="862"/>
      <c r="H492" s="862"/>
      <c r="I492" s="862"/>
      <c r="J492" s="862"/>
      <c r="K492" s="862"/>
      <c r="L492" s="862"/>
      <c r="M492" s="710">
        <f t="shared" si="15"/>
        <v>0</v>
      </c>
    </row>
    <row r="493" spans="2:13" x14ac:dyDescent="0.25">
      <c r="B493" s="861"/>
      <c r="C493" s="861"/>
      <c r="D493" s="861"/>
      <c r="G493" s="862"/>
      <c r="H493" s="862"/>
      <c r="I493" s="862"/>
      <c r="J493" s="862"/>
      <c r="K493" s="862"/>
      <c r="L493" s="862"/>
      <c r="M493" s="710">
        <f t="shared" si="15"/>
        <v>0</v>
      </c>
    </row>
    <row r="494" spans="2:13" x14ac:dyDescent="0.25">
      <c r="B494" s="1"/>
      <c r="C494" s="1"/>
      <c r="D494" s="1"/>
      <c r="G494" s="862"/>
      <c r="H494" s="862"/>
      <c r="I494" s="862"/>
      <c r="J494" s="862"/>
      <c r="K494" s="862"/>
      <c r="L494" s="862"/>
      <c r="M494" s="710">
        <f t="shared" si="15"/>
        <v>0</v>
      </c>
    </row>
    <row r="495" spans="2:13" x14ac:dyDescent="0.25">
      <c r="B495" s="1"/>
      <c r="C495" s="1"/>
      <c r="D495" s="1"/>
      <c r="G495" s="862"/>
      <c r="H495" s="862"/>
      <c r="I495" s="862"/>
      <c r="J495" s="862"/>
      <c r="K495" s="862"/>
      <c r="L495" s="862"/>
      <c r="M495" s="710">
        <f t="shared" si="15"/>
        <v>0</v>
      </c>
    </row>
    <row r="496" spans="2:13" x14ac:dyDescent="0.25">
      <c r="B496" s="1"/>
      <c r="C496" s="1"/>
      <c r="D496" s="1"/>
      <c r="G496" s="862"/>
      <c r="H496" s="862"/>
      <c r="I496" s="862"/>
      <c r="J496" s="862"/>
      <c r="K496" s="862"/>
      <c r="L496" s="862"/>
      <c r="M496" s="710">
        <f t="shared" si="15"/>
        <v>0</v>
      </c>
    </row>
    <row r="497" spans="2:13" x14ac:dyDescent="0.25">
      <c r="B497" s="1"/>
      <c r="C497" s="1"/>
      <c r="D497" s="1"/>
      <c r="G497" s="862"/>
      <c r="H497" s="862"/>
      <c r="I497" s="862"/>
      <c r="J497" s="862"/>
      <c r="K497" s="862"/>
      <c r="L497" s="862"/>
      <c r="M497" s="710">
        <f t="shared" si="15"/>
        <v>0</v>
      </c>
    </row>
    <row r="498" spans="2:13" x14ac:dyDescent="0.25">
      <c r="B498" s="1"/>
      <c r="C498" s="1"/>
      <c r="D498" s="1"/>
      <c r="G498" s="862"/>
      <c r="H498" s="862"/>
      <c r="I498" s="862"/>
      <c r="J498" s="862"/>
      <c r="K498" s="862"/>
      <c r="L498" s="862"/>
      <c r="M498" s="710">
        <f t="shared" si="15"/>
        <v>0</v>
      </c>
    </row>
    <row r="499" spans="2:13" x14ac:dyDescent="0.25">
      <c r="B499" s="1"/>
      <c r="C499" s="1"/>
      <c r="D499" s="1"/>
      <c r="E499" s="1"/>
      <c r="G499" s="863"/>
      <c r="H499" s="863"/>
      <c r="I499" s="863"/>
      <c r="J499" s="863"/>
      <c r="K499" s="863"/>
      <c r="L499" s="863"/>
      <c r="M499" s="864">
        <f t="shared" si="15"/>
        <v>0</v>
      </c>
    </row>
    <row r="500" spans="2:13" x14ac:dyDescent="0.25">
      <c r="B500" s="1"/>
      <c r="C500" s="1"/>
      <c r="D500" s="1"/>
    </row>
    <row r="501" spans="2:13" x14ac:dyDescent="0.25">
      <c r="B501" s="1"/>
      <c r="C501" s="1"/>
      <c r="D501" s="1"/>
    </row>
    <row r="502" spans="2:13" x14ac:dyDescent="0.25">
      <c r="B502" s="860"/>
      <c r="C502" s="1"/>
      <c r="D502" s="1"/>
    </row>
    <row r="503" spans="2:13" x14ac:dyDescent="0.25">
      <c r="B503" s="861"/>
      <c r="C503" s="861"/>
      <c r="D503" s="861"/>
    </row>
  </sheetData>
  <autoFilter ref="A2:P499" xr:uid="{00000000-0009-0000-0000-000006000000}">
    <sortState xmlns:xlrd2="http://schemas.microsoft.com/office/spreadsheetml/2017/richdata2" ref="A3:P425">
      <sortCondition ref="B2:B425"/>
    </sortState>
  </autoFilter>
  <mergeCells count="1">
    <mergeCell ref="G1:L1"/>
  </mergeCells>
  <conditionalFormatting sqref="O2:R2">
    <cfRule type="expression" dxfId="243" priority="1">
      <formula>$D7=0</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0BC7F1-8BE6-4CEE-9750-8FB46DCC6AFA}">
  <sheetPr codeName="Sheet26">
    <tabColor theme="8"/>
    <pageSetUpPr autoPageBreaks="0"/>
  </sheetPr>
  <dimension ref="A1:AI69"/>
  <sheetViews>
    <sheetView showGridLines="0" zoomScale="74" zoomScaleNormal="80" workbookViewId="0">
      <selection activeCell="AO57" sqref="AO57"/>
    </sheetView>
  </sheetViews>
  <sheetFormatPr defaultRowHeight="15" x14ac:dyDescent="0.25"/>
  <cols>
    <col min="1" max="1" width="3.5703125" customWidth="1"/>
    <col min="2" max="2" width="17.28515625" customWidth="1"/>
    <col min="3" max="3" width="23.85546875" customWidth="1"/>
    <col min="4" max="4" width="2" customWidth="1"/>
    <col min="5" max="5" width="19.140625" customWidth="1"/>
    <col min="6" max="6" width="4.5703125" customWidth="1"/>
    <col min="7" max="7" width="26.85546875" customWidth="1"/>
    <col min="8" max="8" width="2" customWidth="1"/>
    <col min="9" max="10" width="20.28515625" customWidth="1"/>
    <col min="11" max="15" width="4.7109375" customWidth="1"/>
    <col min="18" max="18" width="3.85546875" style="489" customWidth="1"/>
    <col min="19" max="19" width="16.28515625" hidden="1" customWidth="1"/>
    <col min="20" max="35" width="13.140625" hidden="1" customWidth="1"/>
    <col min="36" max="38" width="9.140625" customWidth="1"/>
  </cols>
  <sheetData>
    <row r="1" spans="1:30" ht="28.5" x14ac:dyDescent="0.25">
      <c r="A1" s="591"/>
      <c r="B1" s="586" t="str">
        <f>IF(Language="English",AB2,IF(Language="Francais",AD2,AC2))</f>
        <v>Configuration : Mélange de Méthodes Contraceptives Modernes</v>
      </c>
      <c r="C1" s="601"/>
      <c r="D1" s="602"/>
      <c r="E1" s="602"/>
      <c r="F1" s="602"/>
      <c r="G1" s="602"/>
      <c r="H1" s="602"/>
      <c r="I1" s="602"/>
      <c r="J1" s="602"/>
      <c r="K1" s="602"/>
      <c r="L1" s="602"/>
      <c r="M1" s="602"/>
      <c r="N1" s="602"/>
      <c r="O1" s="602"/>
      <c r="P1" s="603"/>
      <c r="Q1" s="604" t="str">
        <f>IF(U6="Yes", U5&amp;" : "&amp;U7, U5&amp;" : "&amp;"National")</f>
        <v>0 : National</v>
      </c>
      <c r="AB1" s="338" t="s">
        <v>628</v>
      </c>
      <c r="AC1" s="338" t="s">
        <v>656</v>
      </c>
      <c r="AD1" s="338" t="s">
        <v>740</v>
      </c>
    </row>
    <row r="2" spans="1:30" ht="6.75" customHeight="1" x14ac:dyDescent="0.45">
      <c r="A2" s="42"/>
      <c r="B2" s="287"/>
      <c r="C2" s="590"/>
      <c r="D2" s="590"/>
      <c r="E2" s="590"/>
      <c r="F2" s="590"/>
      <c r="G2" s="590"/>
      <c r="H2" s="590"/>
      <c r="I2" s="590"/>
      <c r="J2" s="590"/>
      <c r="K2" s="590"/>
      <c r="L2" s="590"/>
      <c r="M2" s="590"/>
      <c r="N2" s="590"/>
      <c r="O2" s="590"/>
      <c r="P2" s="42"/>
      <c r="Q2" s="42"/>
      <c r="AB2" s="338" t="s">
        <v>1081</v>
      </c>
      <c r="AC2" s="338"/>
      <c r="AD2" s="338" t="s">
        <v>1109</v>
      </c>
    </row>
    <row r="3" spans="1:30" ht="6" customHeight="1" x14ac:dyDescent="0.25">
      <c r="AB3" s="435" t="s">
        <v>314</v>
      </c>
      <c r="AC3" s="338" t="s">
        <v>711</v>
      </c>
      <c r="AD3" s="338" t="s">
        <v>766</v>
      </c>
    </row>
    <row r="4" spans="1:30" ht="6" customHeight="1" x14ac:dyDescent="0.25">
      <c r="B4" s="1468" t="str">
        <f>IF(Language="English", AB7, AD7)</f>
        <v>Les données sur le mélange de méthodes contraceptives modernes seront préremplies à partir de la dernière enquête disponible depuis le rapport FP2020 de 2018. Si une enquête plus récente est disponible, vous pouvez sélectionner "oui" à l'étape 2, puis saisir la prévalence, par méthode, dans les cellules jaunes à droite. Le mélange de méthodes modernes sera calculé dans la colonne de gauche et dans le graphique.</v>
      </c>
      <c r="C4" s="1468"/>
      <c r="D4" s="1468"/>
      <c r="E4" s="1468"/>
      <c r="F4" s="1468"/>
      <c r="G4" s="1468"/>
      <c r="H4" s="1468"/>
      <c r="I4" s="1468"/>
      <c r="J4" s="1468"/>
      <c r="K4" s="1468"/>
      <c r="L4" s="1468"/>
      <c r="M4" s="1468"/>
      <c r="N4" s="1468"/>
      <c r="O4" s="1468"/>
      <c r="P4" s="1468"/>
      <c r="Q4" s="1468"/>
      <c r="AB4" s="338" t="s">
        <v>127</v>
      </c>
      <c r="AC4" s="338" t="s">
        <v>690</v>
      </c>
      <c r="AD4" s="338" t="s">
        <v>1108</v>
      </c>
    </row>
    <row r="5" spans="1:30" ht="42.75" customHeight="1" x14ac:dyDescent="0.25">
      <c r="B5" s="1468"/>
      <c r="C5" s="1468"/>
      <c r="D5" s="1468"/>
      <c r="E5" s="1468"/>
      <c r="F5" s="1468"/>
      <c r="G5" s="1468"/>
      <c r="H5" s="1468"/>
      <c r="I5" s="1468"/>
      <c r="J5" s="1468"/>
      <c r="K5" s="1468"/>
      <c r="L5" s="1468"/>
      <c r="M5" s="1468"/>
      <c r="N5" s="1468"/>
      <c r="O5" s="1468"/>
      <c r="P5" s="1468"/>
      <c r="Q5" s="1468"/>
      <c r="T5" s="30" t="s">
        <v>10</v>
      </c>
      <c r="U5">
        <f>Country_Selected</f>
        <v>0</v>
      </c>
      <c r="AB5" s="338" t="s">
        <v>792</v>
      </c>
      <c r="AC5" s="338" t="s">
        <v>794</v>
      </c>
      <c r="AD5" s="338" t="s">
        <v>796</v>
      </c>
    </row>
    <row r="6" spans="1:30" ht="15" customHeight="1" x14ac:dyDescent="0.25">
      <c r="B6" s="593"/>
      <c r="C6" s="593"/>
      <c r="D6" s="593"/>
      <c r="E6" s="593"/>
      <c r="F6" s="593"/>
      <c r="G6" s="593"/>
      <c r="H6" s="593"/>
      <c r="I6" s="593"/>
      <c r="J6" s="593"/>
      <c r="K6" s="593"/>
      <c r="L6" s="593"/>
      <c r="M6" s="593"/>
      <c r="T6" s="30" t="s">
        <v>798</v>
      </c>
      <c r="U6" t="str">
        <f>Subnational_YN</f>
        <v>No</v>
      </c>
      <c r="AB6" s="338"/>
      <c r="AC6" s="338"/>
      <c r="AD6" s="338"/>
    </row>
    <row r="7" spans="1:30" ht="45.75" customHeight="1" x14ac:dyDescent="0.25">
      <c r="B7" s="606">
        <v>1</v>
      </c>
      <c r="C7" s="169" t="str">
        <f>IF(Language="English", AB9, IF(Language="Francais", AD9, AC9))</f>
        <v>La source la plus récente de mélange de méthodes national préchargé est</v>
      </c>
      <c r="D7" s="1469" t="e">
        <f>VLOOKUP(U5, 'Modern Method Mix 2022'!$C$5:$D$100, 2, FALSE)</f>
        <v>#N/A</v>
      </c>
      <c r="E7" s="1470"/>
      <c r="F7" s="596"/>
      <c r="G7" s="606">
        <v>3</v>
      </c>
      <c r="I7" s="1476" t="str">
        <f>IF(Language="English", AB4, IF(Language="Francais", AD4, AC4))</f>
        <v>Mélange de Méthodes Contraceptives Modernes</v>
      </c>
      <c r="J7" s="1477" t="str">
        <f>IF(U9="Yes", AA8, "N/A")</f>
        <v>N/A</v>
      </c>
      <c r="K7" s="593"/>
      <c r="L7" s="593"/>
      <c r="M7" s="593"/>
      <c r="T7" s="30" t="s">
        <v>807</v>
      </c>
      <c r="U7">
        <f>'3. ServiceStats Set Up'!I6</f>
        <v>0</v>
      </c>
      <c r="AB7" s="338" t="s">
        <v>1265</v>
      </c>
      <c r="AC7" s="338"/>
      <c r="AD7" s="338" t="s">
        <v>1107</v>
      </c>
    </row>
    <row r="8" spans="1:30" ht="14.25" customHeight="1" x14ac:dyDescent="0.25">
      <c r="B8" s="606"/>
      <c r="C8" s="607"/>
      <c r="F8" s="596"/>
      <c r="I8" s="1476"/>
      <c r="J8" s="1477"/>
      <c r="K8" s="593"/>
      <c r="L8" s="593"/>
      <c r="M8" s="593"/>
      <c r="T8" s="30" t="s">
        <v>122</v>
      </c>
      <c r="U8" t="str">
        <f>Population</f>
        <v>AW</v>
      </c>
      <c r="AA8" t="str">
        <f>IF(Language="English",AB8,IF(Language="Francais",AD8,AC8))</f>
        <v>Saisir la prévalence contraceptive, par méthode, à partir de la dernière enquête</v>
      </c>
      <c r="AB8" s="184" t="s">
        <v>964</v>
      </c>
      <c r="AC8" s="338"/>
      <c r="AD8" s="338" t="s">
        <v>965</v>
      </c>
    </row>
    <row r="9" spans="1:30" ht="45" customHeight="1" x14ac:dyDescent="0.25">
      <c r="B9" s="606">
        <v>2</v>
      </c>
      <c r="C9" s="169" t="str">
        <f>IF(Language="English", AB10, IF(Language="Francais", AD10, AC10))</f>
        <v>Y a-t-il une source plus récente ou meilleure que vous voudriez utiliser?</v>
      </c>
      <c r="D9" s="1471"/>
      <c r="E9" s="1472"/>
      <c r="F9" s="575"/>
      <c r="G9" s="640" t="str">
        <f>IF(Language="English", AB16, IF(Language="Francais", AD16, AC16))</f>
        <v xml:space="preserve">Source y An </v>
      </c>
      <c r="I9" s="790" t="e">
        <f>IF(J9="",VLOOKUP(U5, 'Modern Method Mix 2022'!$C$5:$D$100, 2, FALSE), J9)</f>
        <v>#N/A</v>
      </c>
      <c r="J9" s="594"/>
      <c r="T9" s="30" t="s">
        <v>961</v>
      </c>
      <c r="U9" t="str">
        <f>IF(OR(D9="Yes", D9="Oui"), "Yes", "No")</f>
        <v>No</v>
      </c>
      <c r="AB9" s="593" t="s">
        <v>977</v>
      </c>
      <c r="AC9" s="338"/>
      <c r="AD9" s="338" t="s">
        <v>978</v>
      </c>
    </row>
    <row r="10" spans="1:30" ht="15.75" customHeight="1" x14ac:dyDescent="0.25">
      <c r="G10" s="640" t="str">
        <f>IF(Language="English",AB14, IF( Language="Francais",AD14,AC14))</f>
        <v>Population</v>
      </c>
      <c r="I10" s="790" t="e">
        <f>IF(J10="", VLOOKUP(U5, 'Modern Method Mix 2022'!$C$5:$E$100, 3, FALSE), J10)</f>
        <v>#N/A</v>
      </c>
      <c r="J10" s="594"/>
      <c r="AA10" t="str">
        <f>IF(Language="English",AB10,IF(Language="Francais",AD10,AC10))</f>
        <v>Y a-t-il une source plus récente ou meilleure que vous voudriez utiliser?</v>
      </c>
      <c r="AB10" s="593" t="str">
        <f>IF(U6="No", "Is there a better or more recent source you would like to use?", "Would you like to replace national method mix with subnational?")</f>
        <v>Is there a better or more recent source you would like to use?</v>
      </c>
      <c r="AC10" s="338"/>
      <c r="AD10" s="597" t="str">
        <f>IF(U6="No", "Y a-t-il une source plus récente ou meilleure que vous voudriez utiliser?", "Souhaitez-vous remplacer le mélange de méthodes national par le mélange de méthodes sous-national?")</f>
        <v>Y a-t-il une source plus récente ou meilleure que vous voudriez utiliser?</v>
      </c>
    </row>
    <row r="11" spans="1:30" ht="6" customHeight="1" x14ac:dyDescent="0.25">
      <c r="H11" s="119"/>
      <c r="K11" s="173"/>
      <c r="L11" s="173"/>
      <c r="M11" s="173"/>
      <c r="N11" s="173"/>
      <c r="O11" s="173"/>
      <c r="AB11" s="338" t="s">
        <v>793</v>
      </c>
      <c r="AC11" s="338" t="s">
        <v>795</v>
      </c>
      <c r="AD11" s="338" t="s">
        <v>797</v>
      </c>
    </row>
    <row r="12" spans="1:30" ht="14.25" customHeight="1" x14ac:dyDescent="0.25">
      <c r="G12" s="657" t="str">
        <f>IF(Language="English", $AB$17,IF(Language="Francais", $AD$17, $AC$17))</f>
        <v>Stérilisation (f)</v>
      </c>
      <c r="I12" s="791" t="str">
        <f>IFERROR(IF($J$9="", VLOOKUP($U$5, 'Modern Method Mix 2022'!$C$5:$O$100, MATCH(AA17, 'Modern Method Mix 2022'!$C$4:$O$4,0), FALSE)/100, J12/SUM($J$12:$J$20)), "")</f>
        <v/>
      </c>
      <c r="J12" s="595"/>
      <c r="AB12" s="338" t="str">
        <f>IF($U$8="AW", "Women of Reproductive Age", "Married Women of Reproductive Age")</f>
        <v>Women of Reproductive Age</v>
      </c>
      <c r="AC12" s="338" t="str">
        <f>IF($U$8="AW", "Mujeres en Edad Reproductiva", "Mujeres Casadas en Edad Reproductiva")</f>
        <v>Mujeres en Edad Reproductiva</v>
      </c>
      <c r="AD12" s="338" t="str">
        <f>IF($U$8="AW", "Femmes en Âge de Procréer", "Femmes Mariées en Âge de Procréer")</f>
        <v>Femmes en Âge de Procréer</v>
      </c>
    </row>
    <row r="13" spans="1:30" s="119" customFormat="1" ht="16.5" customHeight="1" x14ac:dyDescent="0.25">
      <c r="G13" s="657" t="str">
        <f>IF(Language="English", $AB$18,IF(Language="Francais", $AD$18, $AC$18))</f>
        <v>Stérilisation (m)</v>
      </c>
      <c r="H13"/>
      <c r="I13" s="791" t="str">
        <f>IFERROR(IF($J$9="", VLOOKUP($U$5, 'Modern Method Mix 2022'!$C$5:$O$100, MATCH(AA18, 'Modern Method Mix 2022'!$C$4:$O$4,0), FALSE)/100, J13/SUM($J$12:$J$20)), "")</f>
        <v/>
      </c>
      <c r="J13" s="595"/>
      <c r="R13" s="489"/>
      <c r="S13"/>
      <c r="T13"/>
      <c r="U13"/>
      <c r="V13"/>
      <c r="W13"/>
      <c r="X13"/>
      <c r="AB13" s="372"/>
      <c r="AC13" s="372"/>
      <c r="AD13" s="372"/>
    </row>
    <row r="14" spans="1:30" ht="16.5" customHeight="1" x14ac:dyDescent="0.25">
      <c r="G14" s="657" t="str">
        <f>IF(Language="English", $AB$19,IF(Language="Francais", $AD$19, $AC$19))</f>
        <v>DIU</v>
      </c>
      <c r="I14" s="791" t="str">
        <f>IFERROR(IF($J$9="", VLOOKUP($U$5, 'Modern Method Mix 2022'!$C$5:$O$100, MATCH(AA19, 'Modern Method Mix 2022'!$C$4:$O$4,0), FALSE)/100, J14/SUM($J$12:$J$20)), "")</f>
        <v/>
      </c>
      <c r="J14" s="595"/>
      <c r="AB14" s="338" t="s">
        <v>122</v>
      </c>
      <c r="AC14" s="338" t="s">
        <v>634</v>
      </c>
      <c r="AD14" s="338" t="s">
        <v>122</v>
      </c>
    </row>
    <row r="15" spans="1:30" ht="16.5" customHeight="1" x14ac:dyDescent="0.25">
      <c r="G15" s="657" t="str">
        <f>IF(Language="English", $AB$20,IF(Language="Francais", $AD$20, $AC$20))</f>
        <v>Implant</v>
      </c>
      <c r="I15" s="791" t="str">
        <f>IFERROR(IF($J$9="", VLOOKUP($U$5, 'Modern Method Mix 2022'!$C$5:$O$100, MATCH(AA20, 'Modern Method Mix 2022'!$C$4:$O$4,0), FALSE)/100, J15/SUM($J$12:$J$20)), "")</f>
        <v/>
      </c>
      <c r="J15" s="595"/>
      <c r="AB15" s="338" t="s">
        <v>770</v>
      </c>
      <c r="AC15" s="338" t="s">
        <v>771</v>
      </c>
      <c r="AD15" s="338" t="s">
        <v>772</v>
      </c>
    </row>
    <row r="16" spans="1:30" ht="16.5" customHeight="1" x14ac:dyDescent="0.25">
      <c r="G16" s="657" t="str">
        <f>IF(Language="English", $AB$21,IF(Language="Francais", $AD$21, $AC$21))</f>
        <v>Produits injectables</v>
      </c>
      <c r="I16" s="791" t="str">
        <f>IFERROR(IF($J$9="", VLOOKUP($U$5, 'Modern Method Mix 2022'!$C$5:$O$100, MATCH(AA21, 'Modern Method Mix 2022'!$C$4:$O$4,0), FALSE)/100, J16/SUM($J$12:$J$20)), "")</f>
        <v/>
      </c>
      <c r="J16" s="595"/>
      <c r="AB16" s="184" t="s">
        <v>687</v>
      </c>
      <c r="AC16" s="184" t="s">
        <v>688</v>
      </c>
      <c r="AD16" s="184" t="s">
        <v>768</v>
      </c>
    </row>
    <row r="17" spans="7:30" ht="16.5" customHeight="1" x14ac:dyDescent="0.25">
      <c r="G17" s="657" t="str">
        <f>IF(Language="English", $AB$22,IF(Language="Francais", $AD$22, $AC$22))</f>
        <v>Pilule</v>
      </c>
      <c r="I17" s="791" t="str">
        <f>IFERROR(IF($J$9="", VLOOKUP($U$5, 'Modern Method Mix 2022'!$C$5:$O$100, MATCH(AA22, 'Modern Method Mix 2022'!$C$4:$O$4,0), FALSE)/100, J17/SUM($J$12:$J$20)), "")</f>
        <v/>
      </c>
      <c r="J17" s="595"/>
      <c r="AA17" s="336" t="s">
        <v>1311</v>
      </c>
      <c r="AB17" s="338" t="s">
        <v>1311</v>
      </c>
      <c r="AC17" s="338" t="s">
        <v>725</v>
      </c>
      <c r="AD17" s="338" t="s">
        <v>802</v>
      </c>
    </row>
    <row r="18" spans="7:30" ht="16.5" customHeight="1" x14ac:dyDescent="0.25">
      <c r="G18" s="657" t="str">
        <f>IF(Language="English", $AB$23,IF(Language="Francais", $AD$23, $AC$23))</f>
        <v>Préservatifs (m+f)</v>
      </c>
      <c r="I18" s="791" t="str">
        <f>IFERROR(IF($J$9="", VLOOKUP($U$5, 'Modern Method Mix 2022'!$C$5:$O$100, MATCH(AA23, 'Modern Method Mix 2022'!$C$4:$O$4,0), FALSE)/100, J18/SUM($J$12:$J$20)), "")</f>
        <v/>
      </c>
      <c r="J18" s="595"/>
      <c r="AA18" s="337" t="s">
        <v>1312</v>
      </c>
      <c r="AB18" s="338" t="s">
        <v>1312</v>
      </c>
      <c r="AC18" s="338" t="s">
        <v>726</v>
      </c>
      <c r="AD18" s="338" t="s">
        <v>803</v>
      </c>
    </row>
    <row r="19" spans="7:30" ht="16.5" customHeight="1" x14ac:dyDescent="0.25">
      <c r="G19" s="657" t="str">
        <f>IF(Language="English", $AB$24,IF(Language="Francais", $AD$24, $AC$24))</f>
        <v>MAMA</v>
      </c>
      <c r="I19" s="791" t="str">
        <f>IFERROR(IF($J$9="", VLOOKUP($U$5, 'Modern Method Mix 2022'!$C$5:$O$100, MATCH(AA24, 'Modern Method Mix 2022'!$C$4:$O$4,0), FALSE)/100, J19/SUM($J$12:$J$20)), "")</f>
        <v/>
      </c>
      <c r="J19" s="595"/>
      <c r="AA19" s="337" t="s">
        <v>5</v>
      </c>
      <c r="AB19" s="338" t="s">
        <v>5</v>
      </c>
      <c r="AC19" s="338" t="s">
        <v>641</v>
      </c>
      <c r="AD19" s="338" t="s">
        <v>641</v>
      </c>
    </row>
    <row r="20" spans="7:30" ht="16.5" customHeight="1" x14ac:dyDescent="0.25">
      <c r="G20" s="658" t="str">
        <f>IF(Language="English", $AB$25,IF(Language="Francais", $AD$25, $AC$25))</f>
        <v>Autres méthodes modernes</v>
      </c>
      <c r="I20" s="791" t="str">
        <f>IFERROR(IF($J$9="", VLOOKUP($U$5, 'Modern Method Mix 2022'!$C$5:$O$100, MATCH(AA25, 'Modern Method Mix 2022'!$C$4:$O$4,0), FALSE)/100, J20/SUM($J$12:$J$20)), "")</f>
        <v/>
      </c>
      <c r="J20" s="598"/>
      <c r="AA20" s="337" t="s">
        <v>3</v>
      </c>
      <c r="AB20" s="338" t="s">
        <v>3</v>
      </c>
      <c r="AC20" s="338" t="s">
        <v>643</v>
      </c>
      <c r="AD20" s="338" t="s">
        <v>3</v>
      </c>
    </row>
    <row r="21" spans="7:30" ht="16.5" customHeight="1" x14ac:dyDescent="0.25">
      <c r="G21" s="1473" t="str">
        <f>IF(OR(SUM(I12:I20)&lt;0.99,SUM(I12:I20)&gt;1.01), "Methods must sum to 100% / Les méthodes doivent totaliser 100%", "")</f>
        <v>Methods must sum to 100% / Les méthodes doivent totaliser 100%</v>
      </c>
      <c r="H21" s="1474"/>
      <c r="I21" s="1474"/>
      <c r="J21" s="1475"/>
      <c r="AA21" s="337" t="s">
        <v>2</v>
      </c>
      <c r="AB21" s="338" t="s">
        <v>2</v>
      </c>
      <c r="AC21" s="338" t="s">
        <v>645</v>
      </c>
      <c r="AD21" s="338" t="s">
        <v>781</v>
      </c>
    </row>
    <row r="22" spans="7:30" x14ac:dyDescent="0.25">
      <c r="AA22" s="336" t="s">
        <v>110</v>
      </c>
      <c r="AB22" s="338" t="s">
        <v>110</v>
      </c>
      <c r="AC22" s="338" t="s">
        <v>646</v>
      </c>
      <c r="AD22" s="338" t="s">
        <v>783</v>
      </c>
    </row>
    <row r="23" spans="7:30" x14ac:dyDescent="0.25">
      <c r="AA23" s="337" t="s">
        <v>727</v>
      </c>
      <c r="AB23" s="338" t="s">
        <v>727</v>
      </c>
      <c r="AC23" s="338" t="s">
        <v>728</v>
      </c>
      <c r="AD23" s="338" t="s">
        <v>804</v>
      </c>
    </row>
    <row r="24" spans="7:30" x14ac:dyDescent="0.25">
      <c r="AA24" s="337" t="s">
        <v>104</v>
      </c>
      <c r="AB24" s="338" t="s">
        <v>104</v>
      </c>
      <c r="AC24" s="338" t="s">
        <v>651</v>
      </c>
      <c r="AD24" s="338" t="s">
        <v>787</v>
      </c>
    </row>
    <row r="25" spans="7:30" ht="45" hidden="1" customHeight="1" x14ac:dyDescent="0.25">
      <c r="S25" t="s">
        <v>1266</v>
      </c>
      <c r="AA25" s="337" t="s">
        <v>130</v>
      </c>
      <c r="AB25" s="338" t="s">
        <v>130</v>
      </c>
      <c r="AC25" s="338" t="s">
        <v>689</v>
      </c>
      <c r="AD25" s="338" t="s">
        <v>805</v>
      </c>
    </row>
    <row r="26" spans="7:30" ht="27" hidden="1" customHeight="1" x14ac:dyDescent="0.25">
      <c r="S26" t="s">
        <v>1267</v>
      </c>
      <c r="AA26" s="337"/>
      <c r="AB26" s="338"/>
      <c r="AC26" s="338"/>
      <c r="AD26" s="338"/>
    </row>
    <row r="27" spans="7:30" ht="61.5" hidden="1" customHeight="1" x14ac:dyDescent="0.25">
      <c r="AB27" s="184" t="s">
        <v>929</v>
      </c>
      <c r="AC27" s="184"/>
      <c r="AD27" s="184" t="s">
        <v>930</v>
      </c>
    </row>
    <row r="28" spans="7:30" ht="23.25" hidden="1" customHeight="1" x14ac:dyDescent="0.25">
      <c r="AB28" s="184"/>
      <c r="AC28" s="184"/>
      <c r="AD28" s="184"/>
    </row>
    <row r="29" spans="7:30" hidden="1" x14ac:dyDescent="0.25">
      <c r="AB29" s="338"/>
      <c r="AC29" s="338"/>
      <c r="AD29" s="338"/>
    </row>
    <row r="30" spans="7:30" hidden="1" x14ac:dyDescent="0.25">
      <c r="AB30" s="184"/>
      <c r="AC30" s="184"/>
      <c r="AD30" s="184"/>
    </row>
    <row r="31" spans="7:30" hidden="1" x14ac:dyDescent="0.25">
      <c r="AB31" s="184"/>
      <c r="AC31" s="184"/>
      <c r="AD31" s="184"/>
    </row>
    <row r="32" spans="7:30" ht="15" hidden="1" customHeight="1" x14ac:dyDescent="0.25">
      <c r="AB32" s="184" t="s">
        <v>941</v>
      </c>
      <c r="AC32" s="184"/>
      <c r="AD32" s="184" t="s">
        <v>942</v>
      </c>
    </row>
    <row r="33" spans="7:35" ht="15" hidden="1" customHeight="1" thickBot="1" x14ac:dyDescent="0.3">
      <c r="AB33" s="184"/>
      <c r="AC33" s="184"/>
      <c r="AD33" s="184"/>
    </row>
    <row r="34" spans="7:35" hidden="1" x14ac:dyDescent="0.25">
      <c r="S34" s="725"/>
      <c r="T34" s="823">
        <f>'2. Pop_Prev Set Up'!$B$11</f>
        <v>2006</v>
      </c>
      <c r="U34" s="823" t="str">
        <f>IFERROR(IF(T$34+1&lt;='1. Country_Language Set Up'!$C$12, T$34+1, ""), "")</f>
        <v/>
      </c>
      <c r="V34" s="823" t="str">
        <f>IFERROR(IF(U$34+1&lt;='1. Country_Language Set Up'!$C$12, U$34+1, ""), "")</f>
        <v/>
      </c>
      <c r="W34" s="823" t="str">
        <f>IFERROR(IF(V$34+1&lt;='1. Country_Language Set Up'!$C$12, V$34+1, ""), "")</f>
        <v/>
      </c>
      <c r="X34" s="823" t="str">
        <f>IFERROR(IF(W$34+1&lt;='1. Country_Language Set Up'!$C$12, W$34+1, ""), "")</f>
        <v/>
      </c>
      <c r="Y34" s="823" t="str">
        <f>IFERROR(IF(X$34+1&lt;='1. Country_Language Set Up'!$C$12, X$34+1, ""), "")</f>
        <v/>
      </c>
      <c r="Z34" s="823" t="str">
        <f>IFERROR(IF(Y$34+1&lt;='1. Country_Language Set Up'!$C$12, Y$34+1, ""), "")</f>
        <v/>
      </c>
      <c r="AA34" s="823" t="str">
        <f>IFERROR(IF(Z$34+1&lt;='1. Country_Language Set Up'!$C$12, Z$34+1, ""), "")</f>
        <v/>
      </c>
      <c r="AB34" s="823" t="str">
        <f>IFERROR(IF(AA$34+1&lt;='1. Country_Language Set Up'!$C$12, AA$34+1, ""), "")</f>
        <v/>
      </c>
      <c r="AC34" s="823" t="str">
        <f>IFERROR(IF(AB$34+1&lt;='1. Country_Language Set Up'!$C$12, AB$34+1, ""), "")</f>
        <v/>
      </c>
      <c r="AD34" s="823" t="str">
        <f>IFERROR(IF(AC$34+1&lt;='1. Country_Language Set Up'!$C$12, AC$34+1, ""), "")</f>
        <v/>
      </c>
      <c r="AE34" s="823" t="str">
        <f>IFERROR(IF(AD$34+1&lt;='1. Country_Language Set Up'!$C$12, AD$34+1, ""), "")</f>
        <v/>
      </c>
      <c r="AF34" s="823" t="str">
        <f>IFERROR(IF(AE$34+1&lt;='1. Country_Language Set Up'!$C$12, AE$34+1, ""), "")</f>
        <v/>
      </c>
      <c r="AG34" s="823" t="str">
        <f>IFERROR(IF(AF$34+1&lt;='1. Country_Language Set Up'!$C$12, AF$34+1, ""), "")</f>
        <v/>
      </c>
      <c r="AH34" s="823" t="str">
        <f>IFERROR(IF(AG$34+1&lt;='1. Country_Language Set Up'!$C$12, AG$34+1, ""), "")</f>
        <v/>
      </c>
      <c r="AI34" s="823" t="str">
        <f>IFERROR(IF(AH$34+1&lt;='1. Country_Language Set Up'!$C$12, AH$34+1, ""), "")</f>
        <v/>
      </c>
    </row>
    <row r="35" spans="7:35" ht="15.75" hidden="1" customHeight="1" x14ac:dyDescent="0.25">
      <c r="S35" s="657" t="str">
        <f>IF(Language="English", $AB$17,IF(Language="Francais", $AD$17, $AC$17))</f>
        <v>Stérilisation (f)</v>
      </c>
      <c r="T35" s="2" t="e">
        <f t="shared" ref="T35:T43" si="0">$I12*T$46*T$47</f>
        <v>#VALUE!</v>
      </c>
      <c r="U35" s="2" t="e">
        <f t="shared" ref="U35:AI35" si="1">$I12*U$46*U$47</f>
        <v>#VALUE!</v>
      </c>
      <c r="V35" s="2" t="e">
        <f t="shared" si="1"/>
        <v>#VALUE!</v>
      </c>
      <c r="W35" s="2" t="e">
        <f t="shared" si="1"/>
        <v>#VALUE!</v>
      </c>
      <c r="X35" s="2" t="e">
        <f t="shared" si="1"/>
        <v>#VALUE!</v>
      </c>
      <c r="Y35" s="2" t="e">
        <f t="shared" si="1"/>
        <v>#VALUE!</v>
      </c>
      <c r="Z35" s="2" t="e">
        <f t="shared" si="1"/>
        <v>#VALUE!</v>
      </c>
      <c r="AA35" s="2" t="e">
        <f t="shared" si="1"/>
        <v>#VALUE!</v>
      </c>
      <c r="AB35" s="2" t="e">
        <f t="shared" si="1"/>
        <v>#VALUE!</v>
      </c>
      <c r="AC35" s="2" t="e">
        <f t="shared" si="1"/>
        <v>#VALUE!</v>
      </c>
      <c r="AD35" s="2" t="e">
        <f t="shared" si="1"/>
        <v>#VALUE!</v>
      </c>
      <c r="AE35" s="2" t="e">
        <f t="shared" si="1"/>
        <v>#VALUE!</v>
      </c>
      <c r="AF35" s="2" t="e">
        <f t="shared" si="1"/>
        <v>#VALUE!</v>
      </c>
      <c r="AG35" s="2" t="e">
        <f t="shared" si="1"/>
        <v>#VALUE!</v>
      </c>
      <c r="AH35" s="2" t="e">
        <f t="shared" si="1"/>
        <v>#VALUE!</v>
      </c>
      <c r="AI35" s="2" t="e">
        <f t="shared" si="1"/>
        <v>#VALUE!</v>
      </c>
    </row>
    <row r="36" spans="7:35" ht="14.25" hidden="1" customHeight="1" x14ac:dyDescent="0.25">
      <c r="S36" s="657" t="str">
        <f>IF(Language="English", $AB$18,IF(Language="Francais", $AD$18, $AC$18))</f>
        <v>Stérilisation (m)</v>
      </c>
      <c r="T36" s="2" t="e">
        <f t="shared" si="0"/>
        <v>#VALUE!</v>
      </c>
      <c r="U36" s="2" t="e">
        <f t="shared" ref="U36:AI36" si="2">$I13*U$46*U$47</f>
        <v>#VALUE!</v>
      </c>
      <c r="V36" s="2" t="e">
        <f t="shared" si="2"/>
        <v>#VALUE!</v>
      </c>
      <c r="W36" s="2" t="e">
        <f t="shared" si="2"/>
        <v>#VALUE!</v>
      </c>
      <c r="X36" s="2" t="e">
        <f t="shared" si="2"/>
        <v>#VALUE!</v>
      </c>
      <c r="Y36" s="2" t="e">
        <f t="shared" si="2"/>
        <v>#VALUE!</v>
      </c>
      <c r="Z36" s="2" t="e">
        <f t="shared" si="2"/>
        <v>#VALUE!</v>
      </c>
      <c r="AA36" s="2" t="e">
        <f t="shared" si="2"/>
        <v>#VALUE!</v>
      </c>
      <c r="AB36" s="2" t="e">
        <f t="shared" si="2"/>
        <v>#VALUE!</v>
      </c>
      <c r="AC36" s="2" t="e">
        <f t="shared" si="2"/>
        <v>#VALUE!</v>
      </c>
      <c r="AD36" s="2" t="e">
        <f t="shared" si="2"/>
        <v>#VALUE!</v>
      </c>
      <c r="AE36" s="2" t="e">
        <f t="shared" si="2"/>
        <v>#VALUE!</v>
      </c>
      <c r="AF36" s="2" t="e">
        <f t="shared" si="2"/>
        <v>#VALUE!</v>
      </c>
      <c r="AG36" s="2" t="e">
        <f t="shared" si="2"/>
        <v>#VALUE!</v>
      </c>
      <c r="AH36" s="2" t="e">
        <f t="shared" si="2"/>
        <v>#VALUE!</v>
      </c>
      <c r="AI36" s="2" t="e">
        <f t="shared" si="2"/>
        <v>#VALUE!</v>
      </c>
    </row>
    <row r="37" spans="7:35" hidden="1" x14ac:dyDescent="0.25">
      <c r="S37" s="657" t="str">
        <f>IF(Language="English", $AB$19,IF(Language="Francais", $AD$19, $AC$19))</f>
        <v>DIU</v>
      </c>
      <c r="T37" s="2" t="e">
        <f t="shared" si="0"/>
        <v>#VALUE!</v>
      </c>
      <c r="U37" s="2" t="e">
        <f t="shared" ref="U37:AI37" si="3">$I14*U$46*U$47</f>
        <v>#VALUE!</v>
      </c>
      <c r="V37" s="2" t="e">
        <f t="shared" si="3"/>
        <v>#VALUE!</v>
      </c>
      <c r="W37" s="2" t="e">
        <f t="shared" si="3"/>
        <v>#VALUE!</v>
      </c>
      <c r="X37" s="2" t="e">
        <f t="shared" si="3"/>
        <v>#VALUE!</v>
      </c>
      <c r="Y37" s="2" t="e">
        <f t="shared" si="3"/>
        <v>#VALUE!</v>
      </c>
      <c r="Z37" s="2" t="e">
        <f t="shared" si="3"/>
        <v>#VALUE!</v>
      </c>
      <c r="AA37" s="2" t="e">
        <f t="shared" si="3"/>
        <v>#VALUE!</v>
      </c>
      <c r="AB37" s="2" t="e">
        <f t="shared" si="3"/>
        <v>#VALUE!</v>
      </c>
      <c r="AC37" s="2" t="e">
        <f t="shared" si="3"/>
        <v>#VALUE!</v>
      </c>
      <c r="AD37" s="2" t="e">
        <f t="shared" si="3"/>
        <v>#VALUE!</v>
      </c>
      <c r="AE37" s="2" t="e">
        <f t="shared" si="3"/>
        <v>#VALUE!</v>
      </c>
      <c r="AF37" s="2" t="e">
        <f t="shared" si="3"/>
        <v>#VALUE!</v>
      </c>
      <c r="AG37" s="2" t="e">
        <f t="shared" si="3"/>
        <v>#VALUE!</v>
      </c>
      <c r="AH37" s="2" t="e">
        <f t="shared" si="3"/>
        <v>#VALUE!</v>
      </c>
      <c r="AI37" s="2" t="e">
        <f t="shared" si="3"/>
        <v>#VALUE!</v>
      </c>
    </row>
    <row r="38" spans="7:35" ht="15" hidden="1" customHeight="1" x14ac:dyDescent="0.25">
      <c r="S38" s="657" t="str">
        <f>IF(Language="English", $AB$20,IF(Language="Francais", $AD$20, $AC$20))</f>
        <v>Implant</v>
      </c>
      <c r="T38" s="2" t="e">
        <f t="shared" si="0"/>
        <v>#VALUE!</v>
      </c>
      <c r="U38" s="2" t="e">
        <f t="shared" ref="U38:AI38" si="4">$I15*U$46*U$47</f>
        <v>#VALUE!</v>
      </c>
      <c r="V38" s="2" t="e">
        <f t="shared" si="4"/>
        <v>#VALUE!</v>
      </c>
      <c r="W38" s="2" t="e">
        <f t="shared" si="4"/>
        <v>#VALUE!</v>
      </c>
      <c r="X38" s="2" t="e">
        <f t="shared" si="4"/>
        <v>#VALUE!</v>
      </c>
      <c r="Y38" s="2" t="e">
        <f t="shared" si="4"/>
        <v>#VALUE!</v>
      </c>
      <c r="Z38" s="2" t="e">
        <f t="shared" si="4"/>
        <v>#VALUE!</v>
      </c>
      <c r="AA38" s="2" t="e">
        <f t="shared" si="4"/>
        <v>#VALUE!</v>
      </c>
      <c r="AB38" s="2" t="e">
        <f t="shared" si="4"/>
        <v>#VALUE!</v>
      </c>
      <c r="AC38" s="2" t="e">
        <f t="shared" si="4"/>
        <v>#VALUE!</v>
      </c>
      <c r="AD38" s="2" t="e">
        <f t="shared" si="4"/>
        <v>#VALUE!</v>
      </c>
      <c r="AE38" s="2" t="e">
        <f t="shared" si="4"/>
        <v>#VALUE!</v>
      </c>
      <c r="AF38" s="2" t="e">
        <f t="shared" si="4"/>
        <v>#VALUE!</v>
      </c>
      <c r="AG38" s="2" t="e">
        <f t="shared" si="4"/>
        <v>#VALUE!</v>
      </c>
      <c r="AH38" s="2" t="e">
        <f t="shared" si="4"/>
        <v>#VALUE!</v>
      </c>
      <c r="AI38" s="2" t="e">
        <f t="shared" si="4"/>
        <v>#VALUE!</v>
      </c>
    </row>
    <row r="39" spans="7:35" ht="15" hidden="1" customHeight="1" x14ac:dyDescent="0.25">
      <c r="S39" s="657" t="str">
        <f>IF(Language="English", $AB$21,IF(Language="Francais", $AD$21, $AC$21))</f>
        <v>Produits injectables</v>
      </c>
      <c r="T39" s="2" t="e">
        <f t="shared" si="0"/>
        <v>#VALUE!</v>
      </c>
      <c r="U39" s="2" t="e">
        <f t="shared" ref="U39:AI39" si="5">$I16*U$46*U$47</f>
        <v>#VALUE!</v>
      </c>
      <c r="V39" s="2" t="e">
        <f t="shared" si="5"/>
        <v>#VALUE!</v>
      </c>
      <c r="W39" s="2" t="e">
        <f t="shared" si="5"/>
        <v>#VALUE!</v>
      </c>
      <c r="X39" s="2" t="e">
        <f t="shared" si="5"/>
        <v>#VALUE!</v>
      </c>
      <c r="Y39" s="2" t="e">
        <f t="shared" si="5"/>
        <v>#VALUE!</v>
      </c>
      <c r="Z39" s="2" t="e">
        <f t="shared" si="5"/>
        <v>#VALUE!</v>
      </c>
      <c r="AA39" s="2" t="e">
        <f t="shared" si="5"/>
        <v>#VALUE!</v>
      </c>
      <c r="AB39" s="2" t="e">
        <f t="shared" si="5"/>
        <v>#VALUE!</v>
      </c>
      <c r="AC39" s="2" t="e">
        <f t="shared" si="5"/>
        <v>#VALUE!</v>
      </c>
      <c r="AD39" s="2" t="e">
        <f t="shared" si="5"/>
        <v>#VALUE!</v>
      </c>
      <c r="AE39" s="2" t="e">
        <f t="shared" si="5"/>
        <v>#VALUE!</v>
      </c>
      <c r="AF39" s="2" t="e">
        <f t="shared" si="5"/>
        <v>#VALUE!</v>
      </c>
      <c r="AG39" s="2" t="e">
        <f t="shared" si="5"/>
        <v>#VALUE!</v>
      </c>
      <c r="AH39" s="2" t="e">
        <f t="shared" si="5"/>
        <v>#VALUE!</v>
      </c>
      <c r="AI39" s="2" t="e">
        <f t="shared" si="5"/>
        <v>#VALUE!</v>
      </c>
    </row>
    <row r="40" spans="7:35" ht="15" hidden="1" customHeight="1" x14ac:dyDescent="0.25">
      <c r="S40" s="657" t="str">
        <f>IF(Language="English", $AB$22,IF(Language="Francais", $AD$22, $AC$22))</f>
        <v>Pilule</v>
      </c>
      <c r="T40" s="2" t="e">
        <f t="shared" si="0"/>
        <v>#VALUE!</v>
      </c>
      <c r="U40" s="2" t="e">
        <f t="shared" ref="U40:AI40" si="6">$I17*U$46*U$47</f>
        <v>#VALUE!</v>
      </c>
      <c r="V40" s="2" t="e">
        <f t="shared" si="6"/>
        <v>#VALUE!</v>
      </c>
      <c r="W40" s="2" t="e">
        <f t="shared" si="6"/>
        <v>#VALUE!</v>
      </c>
      <c r="X40" s="2" t="e">
        <f t="shared" si="6"/>
        <v>#VALUE!</v>
      </c>
      <c r="Y40" s="2" t="e">
        <f t="shared" si="6"/>
        <v>#VALUE!</v>
      </c>
      <c r="Z40" s="2" t="e">
        <f t="shared" si="6"/>
        <v>#VALUE!</v>
      </c>
      <c r="AA40" s="2" t="e">
        <f t="shared" si="6"/>
        <v>#VALUE!</v>
      </c>
      <c r="AB40" s="2" t="e">
        <f t="shared" si="6"/>
        <v>#VALUE!</v>
      </c>
      <c r="AC40" s="2" t="e">
        <f t="shared" si="6"/>
        <v>#VALUE!</v>
      </c>
      <c r="AD40" s="2" t="e">
        <f t="shared" si="6"/>
        <v>#VALUE!</v>
      </c>
      <c r="AE40" s="2" t="e">
        <f t="shared" si="6"/>
        <v>#VALUE!</v>
      </c>
      <c r="AF40" s="2" t="e">
        <f t="shared" si="6"/>
        <v>#VALUE!</v>
      </c>
      <c r="AG40" s="2" t="e">
        <f t="shared" si="6"/>
        <v>#VALUE!</v>
      </c>
      <c r="AH40" s="2" t="e">
        <f t="shared" si="6"/>
        <v>#VALUE!</v>
      </c>
      <c r="AI40" s="2" t="e">
        <f t="shared" si="6"/>
        <v>#VALUE!</v>
      </c>
    </row>
    <row r="41" spans="7:35" hidden="1" x14ac:dyDescent="0.25">
      <c r="S41" s="657" t="str">
        <f>IF(Language="English", $AB$23,IF(Language="Francais", $AD$23, $AC$23))</f>
        <v>Préservatifs (m+f)</v>
      </c>
      <c r="T41" s="2" t="e">
        <f t="shared" si="0"/>
        <v>#VALUE!</v>
      </c>
      <c r="U41" s="2" t="e">
        <f t="shared" ref="U41:AI41" si="7">$I18*U$46*U$47</f>
        <v>#VALUE!</v>
      </c>
      <c r="V41" s="2" t="e">
        <f t="shared" si="7"/>
        <v>#VALUE!</v>
      </c>
      <c r="W41" s="2" t="e">
        <f t="shared" si="7"/>
        <v>#VALUE!</v>
      </c>
      <c r="X41" s="2" t="e">
        <f t="shared" si="7"/>
        <v>#VALUE!</v>
      </c>
      <c r="Y41" s="2" t="e">
        <f t="shared" si="7"/>
        <v>#VALUE!</v>
      </c>
      <c r="Z41" s="2" t="e">
        <f t="shared" si="7"/>
        <v>#VALUE!</v>
      </c>
      <c r="AA41" s="2" t="e">
        <f t="shared" si="7"/>
        <v>#VALUE!</v>
      </c>
      <c r="AB41" s="2" t="e">
        <f t="shared" si="7"/>
        <v>#VALUE!</v>
      </c>
      <c r="AC41" s="2" t="e">
        <f t="shared" si="7"/>
        <v>#VALUE!</v>
      </c>
      <c r="AD41" s="2" t="e">
        <f t="shared" si="7"/>
        <v>#VALUE!</v>
      </c>
      <c r="AE41" s="2" t="e">
        <f t="shared" si="7"/>
        <v>#VALUE!</v>
      </c>
      <c r="AF41" s="2" t="e">
        <f t="shared" si="7"/>
        <v>#VALUE!</v>
      </c>
      <c r="AG41" s="2" t="e">
        <f t="shared" si="7"/>
        <v>#VALUE!</v>
      </c>
      <c r="AH41" s="2" t="e">
        <f t="shared" si="7"/>
        <v>#VALUE!</v>
      </c>
      <c r="AI41" s="2" t="e">
        <f t="shared" si="7"/>
        <v>#VALUE!</v>
      </c>
    </row>
    <row r="42" spans="7:35" hidden="1" x14ac:dyDescent="0.25">
      <c r="S42" s="657" t="str">
        <f>IF(Language="English", $AB$24,IF(Language="Francais", $AD$24, $AC$24))</f>
        <v>MAMA</v>
      </c>
      <c r="T42" s="2" t="e">
        <f t="shared" si="0"/>
        <v>#VALUE!</v>
      </c>
      <c r="U42" s="2" t="e">
        <f t="shared" ref="U42:AI42" si="8">$I19*U$46*U$47</f>
        <v>#VALUE!</v>
      </c>
      <c r="V42" s="2" t="e">
        <f t="shared" si="8"/>
        <v>#VALUE!</v>
      </c>
      <c r="W42" s="2" t="e">
        <f t="shared" si="8"/>
        <v>#VALUE!</v>
      </c>
      <c r="X42" s="2" t="e">
        <f t="shared" si="8"/>
        <v>#VALUE!</v>
      </c>
      <c r="Y42" s="2" t="e">
        <f t="shared" si="8"/>
        <v>#VALUE!</v>
      </c>
      <c r="Z42" s="2" t="e">
        <f t="shared" si="8"/>
        <v>#VALUE!</v>
      </c>
      <c r="AA42" s="2" t="e">
        <f t="shared" si="8"/>
        <v>#VALUE!</v>
      </c>
      <c r="AB42" s="2" t="e">
        <f t="shared" si="8"/>
        <v>#VALUE!</v>
      </c>
      <c r="AC42" s="2" t="e">
        <f t="shared" si="8"/>
        <v>#VALUE!</v>
      </c>
      <c r="AD42" s="2" t="e">
        <f t="shared" si="8"/>
        <v>#VALUE!</v>
      </c>
      <c r="AE42" s="2" t="e">
        <f t="shared" si="8"/>
        <v>#VALUE!</v>
      </c>
      <c r="AF42" s="2" t="e">
        <f t="shared" si="8"/>
        <v>#VALUE!</v>
      </c>
      <c r="AG42" s="2" t="e">
        <f t="shared" si="8"/>
        <v>#VALUE!</v>
      </c>
      <c r="AH42" s="2" t="e">
        <f t="shared" si="8"/>
        <v>#VALUE!</v>
      </c>
      <c r="AI42" s="2" t="e">
        <f t="shared" si="8"/>
        <v>#VALUE!</v>
      </c>
    </row>
    <row r="43" spans="7:35" hidden="1" x14ac:dyDescent="0.25">
      <c r="S43" s="658" t="str">
        <f>IF(Language="English", $AB$25,IF(Language="Francais", $AD$25, $AC$25))</f>
        <v>Autres méthodes modernes</v>
      </c>
      <c r="T43" s="2" t="e">
        <f t="shared" si="0"/>
        <v>#VALUE!</v>
      </c>
      <c r="U43" s="2" t="e">
        <f t="shared" ref="U43:AI43" si="9">$I20*U$46*U$47</f>
        <v>#VALUE!</v>
      </c>
      <c r="V43" s="2" t="e">
        <f t="shared" si="9"/>
        <v>#VALUE!</v>
      </c>
      <c r="W43" s="2" t="e">
        <f t="shared" si="9"/>
        <v>#VALUE!</v>
      </c>
      <c r="X43" s="2" t="e">
        <f t="shared" si="9"/>
        <v>#VALUE!</v>
      </c>
      <c r="Y43" s="2" t="e">
        <f t="shared" si="9"/>
        <v>#VALUE!</v>
      </c>
      <c r="Z43" s="2" t="e">
        <f t="shared" si="9"/>
        <v>#VALUE!</v>
      </c>
      <c r="AA43" s="2" t="e">
        <f t="shared" si="9"/>
        <v>#VALUE!</v>
      </c>
      <c r="AB43" s="2" t="e">
        <f t="shared" si="9"/>
        <v>#VALUE!</v>
      </c>
      <c r="AC43" s="2" t="e">
        <f t="shared" si="9"/>
        <v>#VALUE!</v>
      </c>
      <c r="AD43" s="2" t="e">
        <f t="shared" si="9"/>
        <v>#VALUE!</v>
      </c>
      <c r="AE43" s="2" t="e">
        <f t="shared" si="9"/>
        <v>#VALUE!</v>
      </c>
      <c r="AF43" s="2" t="e">
        <f t="shared" si="9"/>
        <v>#VALUE!</v>
      </c>
      <c r="AG43" s="2" t="e">
        <f t="shared" si="9"/>
        <v>#VALUE!</v>
      </c>
      <c r="AH43" s="2" t="e">
        <f t="shared" si="9"/>
        <v>#VALUE!</v>
      </c>
      <c r="AI43" s="2" t="e">
        <f t="shared" si="9"/>
        <v>#VALUE!</v>
      </c>
    </row>
    <row r="44" spans="7:35" ht="15.75" hidden="1" thickBot="1" x14ac:dyDescent="0.3">
      <c r="S44" s="731">
        <f>S32</f>
        <v>0</v>
      </c>
      <c r="T44" s="732" t="e">
        <f t="shared" ref="T44:Y44" si="10">SUM(T35:T43)</f>
        <v>#VALUE!</v>
      </c>
      <c r="U44" s="732" t="e">
        <f t="shared" si="10"/>
        <v>#VALUE!</v>
      </c>
      <c r="V44" s="732" t="e">
        <f t="shared" si="10"/>
        <v>#VALUE!</v>
      </c>
      <c r="W44" s="732" t="e">
        <f t="shared" si="10"/>
        <v>#VALUE!</v>
      </c>
      <c r="X44" s="732" t="e">
        <f t="shared" si="10"/>
        <v>#VALUE!</v>
      </c>
      <c r="Y44" s="732" t="e">
        <f t="shared" si="10"/>
        <v>#VALUE!</v>
      </c>
      <c r="Z44" s="732" t="e">
        <f t="shared" ref="Z44:AI44" si="11">SUM(Z35:Z43)</f>
        <v>#VALUE!</v>
      </c>
      <c r="AA44" s="732" t="e">
        <f t="shared" si="11"/>
        <v>#VALUE!</v>
      </c>
      <c r="AB44" s="732" t="e">
        <f t="shared" si="11"/>
        <v>#VALUE!</v>
      </c>
      <c r="AC44" s="732" t="e">
        <f t="shared" si="11"/>
        <v>#VALUE!</v>
      </c>
      <c r="AD44" s="732" t="e">
        <f t="shared" si="11"/>
        <v>#VALUE!</v>
      </c>
      <c r="AE44" s="732" t="e">
        <f t="shared" si="11"/>
        <v>#VALUE!</v>
      </c>
      <c r="AF44" s="732" t="e">
        <f t="shared" si="11"/>
        <v>#VALUE!</v>
      </c>
      <c r="AG44" s="732" t="e">
        <f t="shared" si="11"/>
        <v>#VALUE!</v>
      </c>
      <c r="AH44" s="732" t="e">
        <f t="shared" si="11"/>
        <v>#VALUE!</v>
      </c>
      <c r="AI44" s="733" t="e">
        <f t="shared" si="11"/>
        <v>#VALUE!</v>
      </c>
    </row>
    <row r="45" spans="7:35" hidden="1" x14ac:dyDescent="0.25"/>
    <row r="46" spans="7:35" hidden="1" x14ac:dyDescent="0.25">
      <c r="S46" t="s">
        <v>1162</v>
      </c>
      <c r="T46" s="824" t="e">
        <f>VLOOKUP(T34, '2. Pop_Prev Set Up'!$B$10:$M$28, 2, FALSE)</f>
        <v>#N/A</v>
      </c>
      <c r="U46" s="824" t="str">
        <f>VLOOKUP(U34, '2. Pop_Prev Set Up'!$B$10:$M$28, 2, FALSE)</f>
        <v/>
      </c>
      <c r="V46" s="824" t="str">
        <f>VLOOKUP(V34, '2. Pop_Prev Set Up'!$B$10:$M$28, 2, FALSE)</f>
        <v/>
      </c>
      <c r="W46" s="824" t="str">
        <f>VLOOKUP(W34, '2. Pop_Prev Set Up'!$B$10:$M$28, 2, FALSE)</f>
        <v/>
      </c>
      <c r="X46" s="824" t="str">
        <f>VLOOKUP(X34, '2. Pop_Prev Set Up'!$B$10:$M$28, 2, FALSE)</f>
        <v/>
      </c>
      <c r="Y46" s="824" t="str">
        <f>VLOOKUP(Y34, '2. Pop_Prev Set Up'!$B$10:$M$28, 2, FALSE)</f>
        <v/>
      </c>
      <c r="Z46" s="824" t="str">
        <f>VLOOKUP(Z34, '2. Pop_Prev Set Up'!$B$10:$M$28, 2, FALSE)</f>
        <v/>
      </c>
      <c r="AA46" s="824" t="str">
        <f>VLOOKUP(AA34, '2. Pop_Prev Set Up'!$B$10:$M$28, 2, FALSE)</f>
        <v/>
      </c>
      <c r="AB46" s="824" t="str">
        <f>VLOOKUP(AB34, '2. Pop_Prev Set Up'!$B$10:$M$28, 2, FALSE)</f>
        <v/>
      </c>
      <c r="AC46" s="824" t="str">
        <f>VLOOKUP(AC34, '2. Pop_Prev Set Up'!$B$10:$M$28, 2, FALSE)</f>
        <v/>
      </c>
      <c r="AD46" s="824" t="str">
        <f>VLOOKUP(AD34, '2. Pop_Prev Set Up'!$B$10:$M$28, 2, FALSE)</f>
        <v/>
      </c>
      <c r="AE46" s="824" t="str">
        <f>VLOOKUP(AE34, '2. Pop_Prev Set Up'!$B$10:$M$28, 2, FALSE)</f>
        <v/>
      </c>
      <c r="AF46" s="824" t="str">
        <f>VLOOKUP(AF34, '2. Pop_Prev Set Up'!$B$10:$M$28, 2, FALSE)</f>
        <v/>
      </c>
      <c r="AG46" s="824" t="str">
        <f>VLOOKUP(AG34, '2. Pop_Prev Set Up'!$B$10:$M$28, 2, FALSE)</f>
        <v/>
      </c>
      <c r="AH46" s="824" t="str">
        <f>VLOOKUP(AH34, '2. Pop_Prev Set Up'!$B$10:$M$28, 2, FALSE)</f>
        <v/>
      </c>
      <c r="AI46" s="824" t="str">
        <f>VLOOKUP(AI34, '2. Pop_Prev Set Up'!$B$10:$M$28, 2, FALSE)</f>
        <v/>
      </c>
    </row>
    <row r="47" spans="7:35" x14ac:dyDescent="0.25">
      <c r="S47" t="str">
        <f>"mCPR ("&amp;Population&amp;")"</f>
        <v>mCPR (AW)</v>
      </c>
      <c r="T47" s="23" t="str">
        <f>IF(Population = "AW", VLOOKUP(T34, '2. Pop_Prev Set Up'!$B$10:$M$28, 12, FALSE), VLOOKUP(T34, '2. Pop_Prev Set Up'!$B$10:$M$28, 11, FALSE))</f>
        <v/>
      </c>
      <c r="U47" s="23" t="str">
        <f>IF(Population = "AW", VLOOKUP(U34, '2. Pop_Prev Set Up'!$B$10:$M$28, 12, FALSE), VLOOKUP(U34, '2. Pop_Prev Set Up'!$B$10:$M$28, 11, FALSE))</f>
        <v/>
      </c>
      <c r="V47" s="23" t="str">
        <f>IF(Population = "AW", VLOOKUP(V34, '2. Pop_Prev Set Up'!$B$10:$M$28, 12, FALSE), VLOOKUP(V34, '2. Pop_Prev Set Up'!$B$10:$M$28, 11, FALSE))</f>
        <v/>
      </c>
      <c r="W47" s="23" t="str">
        <f>IF(Population = "AW", VLOOKUP(W34, '2. Pop_Prev Set Up'!$B$10:$M$28, 12, FALSE), VLOOKUP(W34, '2. Pop_Prev Set Up'!$B$10:$M$28, 11, FALSE))</f>
        <v/>
      </c>
      <c r="X47" s="23" t="str">
        <f>IF(Population = "AW", VLOOKUP(X34, '2. Pop_Prev Set Up'!$B$10:$M$28, 12, FALSE), VLOOKUP(X34, '2. Pop_Prev Set Up'!$B$10:$M$28, 11, FALSE))</f>
        <v/>
      </c>
      <c r="Y47" s="23" t="str">
        <f>IF(Population = "AW", VLOOKUP(Y34, '2. Pop_Prev Set Up'!$B$10:$M$28, 12, FALSE), VLOOKUP(Y34, '2. Pop_Prev Set Up'!$B$10:$M$28, 11, FALSE))</f>
        <v/>
      </c>
      <c r="Z47" s="23" t="str">
        <f>IF(Population = "AW", VLOOKUP(Z34, '2. Pop_Prev Set Up'!$B$10:$M$28, 12, FALSE), VLOOKUP(Z34, '2. Pop_Prev Set Up'!$B$10:$M$28, 11, FALSE))</f>
        <v/>
      </c>
      <c r="AA47" s="23" t="str">
        <f>IF(Population = "AW", VLOOKUP(AA34, '2. Pop_Prev Set Up'!$B$10:$M$28, 12, FALSE), VLOOKUP(AA34, '2. Pop_Prev Set Up'!$B$10:$M$28, 11, FALSE))</f>
        <v/>
      </c>
      <c r="AB47" s="23" t="str">
        <f>IF(Population = "AW", VLOOKUP(AB34, '2. Pop_Prev Set Up'!$B$10:$M$28, 12, FALSE), VLOOKUP(AB34, '2. Pop_Prev Set Up'!$B$10:$M$28, 11, FALSE))</f>
        <v/>
      </c>
      <c r="AC47" s="23" t="str">
        <f>IF(Population = "AW", VLOOKUP(AC34, '2. Pop_Prev Set Up'!$B$10:$M$28, 12, FALSE), VLOOKUP(AC34, '2. Pop_Prev Set Up'!$B$10:$M$28, 11, FALSE))</f>
        <v/>
      </c>
      <c r="AD47" s="23" t="str">
        <f>IF(Population = "AW", VLOOKUP(AD34, '2. Pop_Prev Set Up'!$B$10:$M$28, 12, FALSE), VLOOKUP(AD34, '2. Pop_Prev Set Up'!$B$10:$M$28, 11, FALSE))</f>
        <v/>
      </c>
      <c r="AE47" s="23" t="str">
        <f>IF(Population = "AW", VLOOKUP(AE34, '2. Pop_Prev Set Up'!$B$10:$M$28, 12, FALSE), VLOOKUP(AE34, '2. Pop_Prev Set Up'!$B$10:$M$28, 11, FALSE))</f>
        <v/>
      </c>
      <c r="AF47" s="23" t="str">
        <f>IF(Population = "AW", VLOOKUP(AF34, '2. Pop_Prev Set Up'!$B$10:$M$28, 12, FALSE), VLOOKUP(AF34, '2. Pop_Prev Set Up'!$B$10:$M$28, 11, FALSE))</f>
        <v/>
      </c>
      <c r="AG47" s="23" t="str">
        <f>IF(Population = "AW", VLOOKUP(AG34, '2. Pop_Prev Set Up'!$B$10:$M$28, 12, FALSE), VLOOKUP(AG34, '2. Pop_Prev Set Up'!$B$10:$M$28, 11, FALSE))</f>
        <v/>
      </c>
      <c r="AH47" s="23" t="str">
        <f>IF(Population = "AW", VLOOKUP(AH34, '2. Pop_Prev Set Up'!$B$10:$M$28, 12, FALSE), VLOOKUP(AH34, '2. Pop_Prev Set Up'!$B$10:$M$28, 11, FALSE))</f>
        <v/>
      </c>
      <c r="AI47" s="23" t="str">
        <f>IF(Population = "AW", VLOOKUP(AI34, '2. Pop_Prev Set Up'!$B$10:$M$28, 12, FALSE), VLOOKUP(AI34, '2. Pop_Prev Set Up'!$B$10:$M$28, 11, FALSE))</f>
        <v/>
      </c>
    </row>
    <row r="48" spans="7:35" ht="18.75" x14ac:dyDescent="0.25">
      <c r="G48" s="1479" t="str">
        <f>IF(Language="Francais", '5. MethodMix Set Up'!AD32, '5. MethodMix Set Up'!AB32)</f>
        <v>Prochain, Cliquez ci-dessous pour entrer les données</v>
      </c>
      <c r="H48" s="1479"/>
      <c r="I48" s="1479"/>
      <c r="J48" s="1479"/>
      <c r="K48" s="1479"/>
      <c r="L48" s="1479"/>
      <c r="S48" t="str">
        <f>Population&amp;" users"</f>
        <v>AW users</v>
      </c>
      <c r="T48" s="825" t="e">
        <f>T46*T47</f>
        <v>#N/A</v>
      </c>
      <c r="U48" s="825" t="e">
        <f t="shared" ref="U48:AI48" si="12">U46*U47</f>
        <v>#VALUE!</v>
      </c>
      <c r="V48" s="825" t="e">
        <f t="shared" si="12"/>
        <v>#VALUE!</v>
      </c>
      <c r="W48" s="825" t="e">
        <f t="shared" si="12"/>
        <v>#VALUE!</v>
      </c>
      <c r="X48" s="825" t="e">
        <f t="shared" si="12"/>
        <v>#VALUE!</v>
      </c>
      <c r="Y48" s="825" t="e">
        <f t="shared" si="12"/>
        <v>#VALUE!</v>
      </c>
      <c r="Z48" s="825" t="e">
        <f t="shared" si="12"/>
        <v>#VALUE!</v>
      </c>
      <c r="AA48" s="825" t="e">
        <f t="shared" si="12"/>
        <v>#VALUE!</v>
      </c>
      <c r="AB48" s="825" t="e">
        <f t="shared" si="12"/>
        <v>#VALUE!</v>
      </c>
      <c r="AC48" s="825" t="e">
        <f t="shared" si="12"/>
        <v>#VALUE!</v>
      </c>
      <c r="AD48" s="825" t="e">
        <f t="shared" si="12"/>
        <v>#VALUE!</v>
      </c>
      <c r="AE48" s="825" t="e">
        <f t="shared" si="12"/>
        <v>#VALUE!</v>
      </c>
      <c r="AF48" s="825" t="e">
        <f t="shared" si="12"/>
        <v>#VALUE!</v>
      </c>
      <c r="AG48" s="825" t="e">
        <f t="shared" si="12"/>
        <v>#VALUE!</v>
      </c>
      <c r="AH48" s="825" t="e">
        <f t="shared" si="12"/>
        <v>#VALUE!</v>
      </c>
      <c r="AI48" s="825" t="e">
        <f t="shared" si="12"/>
        <v>#VALUE!</v>
      </c>
    </row>
    <row r="49" spans="7:35" ht="15.75" thickBot="1" x14ac:dyDescent="0.3">
      <c r="G49" s="1478" t="str">
        <f>'4. FPSource Set Up'!E69</f>
        <v>Produits de planification familiale distribués aux clients</v>
      </c>
      <c r="H49" s="1478"/>
      <c r="I49" s="1478"/>
      <c r="J49" s="1478"/>
      <c r="K49" s="1478"/>
      <c r="L49" s="1478"/>
    </row>
    <row r="50" spans="7:35" x14ac:dyDescent="0.25">
      <c r="G50" s="1478"/>
      <c r="H50" s="1478"/>
      <c r="I50" s="1478"/>
      <c r="J50" s="1478"/>
      <c r="K50" s="1478"/>
      <c r="L50" s="1478"/>
      <c r="S50" s="725"/>
      <c r="T50" s="823">
        <f>'2. Pop_Prev Set Up'!$B$11</f>
        <v>2006</v>
      </c>
      <c r="U50" s="823" t="str">
        <f>IFERROR(IF(T$50+1&lt;='1. Country_Language Set Up'!$C$12, T$50+1, ""), "")</f>
        <v/>
      </c>
      <c r="V50" s="823" t="str">
        <f>IFERROR(IF(U$50+1&lt;='1. Country_Language Set Up'!$C$12, U$50+1, ""), "")</f>
        <v/>
      </c>
      <c r="W50" s="823" t="str">
        <f>IFERROR(IF(V$50+1&lt;='1. Country_Language Set Up'!$C$12, V$50+1, ""), "")</f>
        <v/>
      </c>
      <c r="X50" s="823" t="str">
        <f>IFERROR(IF(W$50+1&lt;='1. Country_Language Set Up'!$C$12, W$50+1, ""), "")</f>
        <v/>
      </c>
      <c r="Y50" s="823" t="str">
        <f>IFERROR(IF(X$50+1&lt;='1. Country_Language Set Up'!$C$12, X$50+1, ""), "")</f>
        <v/>
      </c>
      <c r="Z50" s="823" t="str">
        <f>IFERROR(IF(Y$50+1&lt;='1. Country_Language Set Up'!$C$12, Y$50+1, ""), "")</f>
        <v/>
      </c>
      <c r="AA50" s="823" t="str">
        <f>IFERROR(IF(Z$50+1&lt;='1. Country_Language Set Up'!$C$12, Z$50+1, ""), "")</f>
        <v/>
      </c>
      <c r="AB50" s="823" t="str">
        <f>IFERROR(IF(AA$50+1&lt;='1. Country_Language Set Up'!$C$12, AA$50+1, ""), "")</f>
        <v/>
      </c>
      <c r="AC50" s="823" t="str">
        <f>IFERROR(IF(AB$50+1&lt;='1. Country_Language Set Up'!$C$12, AB$50+1, ""), "")</f>
        <v/>
      </c>
      <c r="AD50" s="823" t="str">
        <f>IFERROR(IF(AC$50+1&lt;='1. Country_Language Set Up'!$C$12, AC$50+1, ""), "")</f>
        <v/>
      </c>
      <c r="AE50" s="823" t="str">
        <f>IFERROR(IF(AD$50+1&lt;='1. Country_Language Set Up'!$C$12, AD$50+1, ""), "")</f>
        <v/>
      </c>
      <c r="AF50" s="823" t="str">
        <f>IFERROR(IF(AE$50+1&lt;='1. Country_Language Set Up'!$C$12, AE$50+1, ""), "")</f>
        <v/>
      </c>
      <c r="AG50" s="823" t="str">
        <f>IFERROR(IF(AF$50+1&lt;='1. Country_Language Set Up'!$C$12, AF$50+1, ""), "")</f>
        <v/>
      </c>
      <c r="AH50" s="823" t="str">
        <f>IFERROR(IF(AG$50+1&lt;='1. Country_Language Set Up'!$C$12, AG$50+1, ""), "")</f>
        <v/>
      </c>
      <c r="AI50" s="823" t="str">
        <f>IFERROR(IF(AH$50+1&lt;='1. Country_Language Set Up'!$C$12, AH$50+1, ""), "")</f>
        <v/>
      </c>
    </row>
    <row r="51" spans="7:35" x14ac:dyDescent="0.25">
      <c r="G51" s="568"/>
      <c r="H51" s="568"/>
      <c r="I51" s="568"/>
      <c r="S51" s="657" t="str">
        <f>IF(Language="English", $AB$17,IF(Language="Francais", $AD$17, $AC$17))</f>
        <v>Stérilisation (f)</v>
      </c>
      <c r="T51" s="822" t="e">
        <f t="shared" ref="T51:T59" si="13">T35/T$46</f>
        <v>#VALUE!</v>
      </c>
      <c r="U51" s="822" t="e">
        <f t="shared" ref="U51:AI51" si="14">U35/U$46</f>
        <v>#VALUE!</v>
      </c>
      <c r="V51" s="822" t="e">
        <f t="shared" si="14"/>
        <v>#VALUE!</v>
      </c>
      <c r="W51" s="822" t="e">
        <f t="shared" si="14"/>
        <v>#VALUE!</v>
      </c>
      <c r="X51" s="822" t="e">
        <f t="shared" si="14"/>
        <v>#VALUE!</v>
      </c>
      <c r="Y51" s="822" t="e">
        <f t="shared" si="14"/>
        <v>#VALUE!</v>
      </c>
      <c r="Z51" s="822" t="e">
        <f t="shared" si="14"/>
        <v>#VALUE!</v>
      </c>
      <c r="AA51" s="822" t="e">
        <f t="shared" si="14"/>
        <v>#VALUE!</v>
      </c>
      <c r="AB51" s="822" t="e">
        <f t="shared" si="14"/>
        <v>#VALUE!</v>
      </c>
      <c r="AC51" s="822" t="e">
        <f t="shared" si="14"/>
        <v>#VALUE!</v>
      </c>
      <c r="AD51" s="822" t="e">
        <f t="shared" si="14"/>
        <v>#VALUE!</v>
      </c>
      <c r="AE51" s="822" t="e">
        <f t="shared" si="14"/>
        <v>#VALUE!</v>
      </c>
      <c r="AF51" s="822" t="e">
        <f t="shared" si="14"/>
        <v>#VALUE!</v>
      </c>
      <c r="AG51" s="822" t="e">
        <f t="shared" si="14"/>
        <v>#VALUE!</v>
      </c>
      <c r="AH51" s="822" t="e">
        <f t="shared" si="14"/>
        <v>#VALUE!</v>
      </c>
      <c r="AI51" s="822" t="e">
        <f t="shared" si="14"/>
        <v>#VALUE!</v>
      </c>
    </row>
    <row r="52" spans="7:35" x14ac:dyDescent="0.25">
      <c r="G52" s="1478" t="str">
        <f>'4. FPSource Set Up'!F69</f>
        <v>Produits de planification familiale distribués aux établissements</v>
      </c>
      <c r="H52" s="1478"/>
      <c r="I52" s="1478"/>
      <c r="J52" s="1478"/>
      <c r="K52" s="1478"/>
      <c r="L52" s="1478"/>
      <c r="S52" s="657" t="str">
        <f>IF(Language="English", $AB$18,IF(Language="Francais", $AD$18, $AC$18))</f>
        <v>Stérilisation (m)</v>
      </c>
      <c r="T52" s="822" t="e">
        <f t="shared" si="13"/>
        <v>#VALUE!</v>
      </c>
      <c r="U52" s="822" t="e">
        <f t="shared" ref="U52:AI59" si="15">U36/U$46</f>
        <v>#VALUE!</v>
      </c>
      <c r="V52" s="822" t="e">
        <f t="shared" si="15"/>
        <v>#VALUE!</v>
      </c>
      <c r="W52" s="822" t="e">
        <f t="shared" si="15"/>
        <v>#VALUE!</v>
      </c>
      <c r="X52" s="822" t="e">
        <f t="shared" si="15"/>
        <v>#VALUE!</v>
      </c>
      <c r="Y52" s="822" t="e">
        <f t="shared" si="15"/>
        <v>#VALUE!</v>
      </c>
      <c r="Z52" s="822" t="e">
        <f t="shared" si="15"/>
        <v>#VALUE!</v>
      </c>
      <c r="AA52" s="822" t="e">
        <f t="shared" si="15"/>
        <v>#VALUE!</v>
      </c>
      <c r="AB52" s="822" t="e">
        <f t="shared" si="15"/>
        <v>#VALUE!</v>
      </c>
      <c r="AC52" s="822" t="e">
        <f t="shared" si="15"/>
        <v>#VALUE!</v>
      </c>
      <c r="AD52" s="822" t="e">
        <f t="shared" si="15"/>
        <v>#VALUE!</v>
      </c>
      <c r="AE52" s="822" t="e">
        <f t="shared" si="15"/>
        <v>#VALUE!</v>
      </c>
      <c r="AF52" s="822" t="e">
        <f t="shared" si="15"/>
        <v>#VALUE!</v>
      </c>
      <c r="AG52" s="822" t="e">
        <f t="shared" si="15"/>
        <v>#VALUE!</v>
      </c>
      <c r="AH52" s="822" t="e">
        <f t="shared" si="15"/>
        <v>#VALUE!</v>
      </c>
      <c r="AI52" s="822" t="e">
        <f t="shared" si="15"/>
        <v>#VALUE!</v>
      </c>
    </row>
    <row r="53" spans="7:35" x14ac:dyDescent="0.25">
      <c r="G53" s="1478"/>
      <c r="H53" s="1478"/>
      <c r="I53" s="1478"/>
      <c r="J53" s="1478"/>
      <c r="K53" s="1478"/>
      <c r="L53" s="1478"/>
      <c r="S53" s="657" t="str">
        <f>IF(Language="English", $AB$19,IF(Language="Francais", $AD$19, $AC$19))</f>
        <v>DIU</v>
      </c>
      <c r="T53" s="822" t="e">
        <f t="shared" si="13"/>
        <v>#VALUE!</v>
      </c>
      <c r="U53" s="822" t="e">
        <f t="shared" si="15"/>
        <v>#VALUE!</v>
      </c>
      <c r="V53" s="822" t="e">
        <f t="shared" si="15"/>
        <v>#VALUE!</v>
      </c>
      <c r="W53" s="822" t="e">
        <f t="shared" si="15"/>
        <v>#VALUE!</v>
      </c>
      <c r="X53" s="822" t="e">
        <f t="shared" si="15"/>
        <v>#VALUE!</v>
      </c>
      <c r="Y53" s="822" t="e">
        <f t="shared" si="15"/>
        <v>#VALUE!</v>
      </c>
      <c r="Z53" s="822" t="e">
        <f t="shared" si="15"/>
        <v>#VALUE!</v>
      </c>
      <c r="AA53" s="822" t="e">
        <f t="shared" si="15"/>
        <v>#VALUE!</v>
      </c>
      <c r="AB53" s="822" t="e">
        <f t="shared" si="15"/>
        <v>#VALUE!</v>
      </c>
      <c r="AC53" s="822" t="e">
        <f t="shared" si="15"/>
        <v>#VALUE!</v>
      </c>
      <c r="AD53" s="822" t="e">
        <f t="shared" si="15"/>
        <v>#VALUE!</v>
      </c>
      <c r="AE53" s="822" t="e">
        <f t="shared" si="15"/>
        <v>#VALUE!</v>
      </c>
      <c r="AF53" s="822" t="e">
        <f t="shared" si="15"/>
        <v>#VALUE!</v>
      </c>
      <c r="AG53" s="822" t="e">
        <f t="shared" si="15"/>
        <v>#VALUE!</v>
      </c>
      <c r="AH53" s="822" t="e">
        <f t="shared" si="15"/>
        <v>#VALUE!</v>
      </c>
      <c r="AI53" s="822" t="e">
        <f t="shared" si="15"/>
        <v>#VALUE!</v>
      </c>
    </row>
    <row r="54" spans="7:35" x14ac:dyDescent="0.25">
      <c r="G54" s="568"/>
      <c r="H54" s="568"/>
      <c r="I54" s="568"/>
      <c r="S54" s="657" t="str">
        <f>IF(Language="English", $AB$20,IF(Language="Francais", $AD$20, $AC$20))</f>
        <v>Implant</v>
      </c>
      <c r="T54" s="822" t="e">
        <f t="shared" si="13"/>
        <v>#VALUE!</v>
      </c>
      <c r="U54" s="822" t="e">
        <f t="shared" si="15"/>
        <v>#VALUE!</v>
      </c>
      <c r="V54" s="822" t="e">
        <f t="shared" si="15"/>
        <v>#VALUE!</v>
      </c>
      <c r="W54" s="822" t="e">
        <f t="shared" si="15"/>
        <v>#VALUE!</v>
      </c>
      <c r="X54" s="822" t="e">
        <f t="shared" si="15"/>
        <v>#VALUE!</v>
      </c>
      <c r="Y54" s="822" t="e">
        <f t="shared" si="15"/>
        <v>#VALUE!</v>
      </c>
      <c r="Z54" s="822" t="e">
        <f t="shared" si="15"/>
        <v>#VALUE!</v>
      </c>
      <c r="AA54" s="822" t="e">
        <f t="shared" si="15"/>
        <v>#VALUE!</v>
      </c>
      <c r="AB54" s="822" t="e">
        <f t="shared" si="15"/>
        <v>#VALUE!</v>
      </c>
      <c r="AC54" s="822" t="e">
        <f t="shared" si="15"/>
        <v>#VALUE!</v>
      </c>
      <c r="AD54" s="822" t="e">
        <f t="shared" si="15"/>
        <v>#VALUE!</v>
      </c>
      <c r="AE54" s="822" t="e">
        <f t="shared" si="15"/>
        <v>#VALUE!</v>
      </c>
      <c r="AF54" s="822" t="e">
        <f t="shared" si="15"/>
        <v>#VALUE!</v>
      </c>
      <c r="AG54" s="822" t="e">
        <f t="shared" si="15"/>
        <v>#VALUE!</v>
      </c>
      <c r="AH54" s="822" t="e">
        <f t="shared" si="15"/>
        <v>#VALUE!</v>
      </c>
      <c r="AI54" s="822" t="e">
        <f t="shared" si="15"/>
        <v>#VALUE!</v>
      </c>
    </row>
    <row r="55" spans="7:35" x14ac:dyDescent="0.25">
      <c r="G55" s="1478" t="str">
        <f>'4. FPSource Set Up'!G69</f>
        <v>Visites de PF</v>
      </c>
      <c r="H55" s="1478"/>
      <c r="I55" s="1478"/>
      <c r="J55" s="1478"/>
      <c r="K55" s="1478"/>
      <c r="L55" s="1478"/>
      <c r="S55" s="657" t="str">
        <f>IF(Language="English", $AB$21,IF(Language="Francais", $AD$21, $AC$21))</f>
        <v>Produits injectables</v>
      </c>
      <c r="T55" s="822" t="e">
        <f t="shared" si="13"/>
        <v>#VALUE!</v>
      </c>
      <c r="U55" s="822" t="e">
        <f t="shared" si="15"/>
        <v>#VALUE!</v>
      </c>
      <c r="V55" s="822" t="e">
        <f t="shared" si="15"/>
        <v>#VALUE!</v>
      </c>
      <c r="W55" s="822" t="e">
        <f t="shared" si="15"/>
        <v>#VALUE!</v>
      </c>
      <c r="X55" s="822" t="e">
        <f t="shared" si="15"/>
        <v>#VALUE!</v>
      </c>
      <c r="Y55" s="822" t="e">
        <f t="shared" si="15"/>
        <v>#VALUE!</v>
      </c>
      <c r="Z55" s="822" t="e">
        <f t="shared" si="15"/>
        <v>#VALUE!</v>
      </c>
      <c r="AA55" s="822" t="e">
        <f t="shared" si="15"/>
        <v>#VALUE!</v>
      </c>
      <c r="AB55" s="822" t="e">
        <f t="shared" si="15"/>
        <v>#VALUE!</v>
      </c>
      <c r="AC55" s="822" t="e">
        <f t="shared" si="15"/>
        <v>#VALUE!</v>
      </c>
      <c r="AD55" s="822" t="e">
        <f t="shared" si="15"/>
        <v>#VALUE!</v>
      </c>
      <c r="AE55" s="822" t="e">
        <f t="shared" si="15"/>
        <v>#VALUE!</v>
      </c>
      <c r="AF55" s="822" t="e">
        <f t="shared" si="15"/>
        <v>#VALUE!</v>
      </c>
      <c r="AG55" s="822" t="e">
        <f t="shared" si="15"/>
        <v>#VALUE!</v>
      </c>
      <c r="AH55" s="822" t="e">
        <f t="shared" si="15"/>
        <v>#VALUE!</v>
      </c>
      <c r="AI55" s="822" t="e">
        <f t="shared" si="15"/>
        <v>#VALUE!</v>
      </c>
    </row>
    <row r="56" spans="7:35" x14ac:dyDescent="0.25">
      <c r="G56" s="1478"/>
      <c r="H56" s="1478"/>
      <c r="I56" s="1478"/>
      <c r="J56" s="1478"/>
      <c r="K56" s="1478"/>
      <c r="L56" s="1478"/>
      <c r="S56" s="657" t="str">
        <f>IF(Language="English", $AB$22,IF(Language="Francais", $AD$22, $AC$22))</f>
        <v>Pilule</v>
      </c>
      <c r="T56" s="822" t="e">
        <f t="shared" si="13"/>
        <v>#VALUE!</v>
      </c>
      <c r="U56" s="822" t="e">
        <f t="shared" si="15"/>
        <v>#VALUE!</v>
      </c>
      <c r="V56" s="822" t="e">
        <f t="shared" si="15"/>
        <v>#VALUE!</v>
      </c>
      <c r="W56" s="822" t="e">
        <f t="shared" si="15"/>
        <v>#VALUE!</v>
      </c>
      <c r="X56" s="822" t="e">
        <f t="shared" si="15"/>
        <v>#VALUE!</v>
      </c>
      <c r="Y56" s="822" t="e">
        <f t="shared" si="15"/>
        <v>#VALUE!</v>
      </c>
      <c r="Z56" s="822" t="e">
        <f t="shared" si="15"/>
        <v>#VALUE!</v>
      </c>
      <c r="AA56" s="822" t="e">
        <f t="shared" si="15"/>
        <v>#VALUE!</v>
      </c>
      <c r="AB56" s="822" t="e">
        <f t="shared" si="15"/>
        <v>#VALUE!</v>
      </c>
      <c r="AC56" s="822" t="e">
        <f t="shared" si="15"/>
        <v>#VALUE!</v>
      </c>
      <c r="AD56" s="822" t="e">
        <f t="shared" si="15"/>
        <v>#VALUE!</v>
      </c>
      <c r="AE56" s="822" t="e">
        <f t="shared" si="15"/>
        <v>#VALUE!</v>
      </c>
      <c r="AF56" s="822" t="e">
        <f t="shared" si="15"/>
        <v>#VALUE!</v>
      </c>
      <c r="AG56" s="822" t="e">
        <f t="shared" si="15"/>
        <v>#VALUE!</v>
      </c>
      <c r="AH56" s="822" t="e">
        <f t="shared" si="15"/>
        <v>#VALUE!</v>
      </c>
      <c r="AI56" s="822" t="e">
        <f t="shared" si="15"/>
        <v>#VALUE!</v>
      </c>
    </row>
    <row r="57" spans="7:35" x14ac:dyDescent="0.25">
      <c r="G57" s="568"/>
      <c r="H57" s="568"/>
      <c r="I57" s="568"/>
      <c r="S57" s="657" t="str">
        <f>IF(Language="English", $AB$23,IF(Language="Francais", $AD$23, $AC$23))</f>
        <v>Préservatifs (m+f)</v>
      </c>
      <c r="T57" s="822" t="e">
        <f t="shared" si="13"/>
        <v>#VALUE!</v>
      </c>
      <c r="U57" s="822" t="e">
        <f t="shared" si="15"/>
        <v>#VALUE!</v>
      </c>
      <c r="V57" s="822" t="e">
        <f t="shared" si="15"/>
        <v>#VALUE!</v>
      </c>
      <c r="W57" s="822" t="e">
        <f t="shared" si="15"/>
        <v>#VALUE!</v>
      </c>
      <c r="X57" s="822" t="e">
        <f t="shared" si="15"/>
        <v>#VALUE!</v>
      </c>
      <c r="Y57" s="822" t="e">
        <f t="shared" si="15"/>
        <v>#VALUE!</v>
      </c>
      <c r="Z57" s="822" t="e">
        <f t="shared" si="15"/>
        <v>#VALUE!</v>
      </c>
      <c r="AA57" s="822" t="e">
        <f t="shared" si="15"/>
        <v>#VALUE!</v>
      </c>
      <c r="AB57" s="822" t="e">
        <f t="shared" si="15"/>
        <v>#VALUE!</v>
      </c>
      <c r="AC57" s="822" t="e">
        <f t="shared" si="15"/>
        <v>#VALUE!</v>
      </c>
      <c r="AD57" s="822" t="e">
        <f t="shared" si="15"/>
        <v>#VALUE!</v>
      </c>
      <c r="AE57" s="822" t="e">
        <f t="shared" si="15"/>
        <v>#VALUE!</v>
      </c>
      <c r="AF57" s="822" t="e">
        <f t="shared" si="15"/>
        <v>#VALUE!</v>
      </c>
      <c r="AG57" s="822" t="e">
        <f t="shared" si="15"/>
        <v>#VALUE!</v>
      </c>
      <c r="AH57" s="822" t="e">
        <f t="shared" si="15"/>
        <v>#VALUE!</v>
      </c>
      <c r="AI57" s="822" t="e">
        <f t="shared" si="15"/>
        <v>#VALUE!</v>
      </c>
    </row>
    <row r="58" spans="7:35" x14ac:dyDescent="0.25">
      <c r="G58" s="1478" t="str">
        <f>'4. FPSource Set Up'!H69</f>
        <v>Utilisatrices de PF</v>
      </c>
      <c r="H58" s="1478"/>
      <c r="I58" s="1478"/>
      <c r="J58" s="1478"/>
      <c r="K58" s="1478"/>
      <c r="L58" s="1478"/>
      <c r="S58" s="657" t="str">
        <f>IF(Language="English", $AB$24,IF(Language="Francais", $AD$24, $AC$24))</f>
        <v>MAMA</v>
      </c>
      <c r="T58" s="822" t="e">
        <f t="shared" si="13"/>
        <v>#VALUE!</v>
      </c>
      <c r="U58" s="822" t="e">
        <f t="shared" si="15"/>
        <v>#VALUE!</v>
      </c>
      <c r="V58" s="822" t="e">
        <f t="shared" si="15"/>
        <v>#VALUE!</v>
      </c>
      <c r="W58" s="822" t="e">
        <f t="shared" si="15"/>
        <v>#VALUE!</v>
      </c>
      <c r="X58" s="822" t="e">
        <f t="shared" si="15"/>
        <v>#VALUE!</v>
      </c>
      <c r="Y58" s="822" t="e">
        <f t="shared" si="15"/>
        <v>#VALUE!</v>
      </c>
      <c r="Z58" s="822" t="e">
        <f t="shared" si="15"/>
        <v>#VALUE!</v>
      </c>
      <c r="AA58" s="822" t="e">
        <f t="shared" si="15"/>
        <v>#VALUE!</v>
      </c>
      <c r="AB58" s="822" t="e">
        <f t="shared" si="15"/>
        <v>#VALUE!</v>
      </c>
      <c r="AC58" s="822" t="e">
        <f t="shared" si="15"/>
        <v>#VALUE!</v>
      </c>
      <c r="AD58" s="822" t="e">
        <f t="shared" si="15"/>
        <v>#VALUE!</v>
      </c>
      <c r="AE58" s="822" t="e">
        <f t="shared" si="15"/>
        <v>#VALUE!</v>
      </c>
      <c r="AF58" s="822" t="e">
        <f t="shared" si="15"/>
        <v>#VALUE!</v>
      </c>
      <c r="AG58" s="822" t="e">
        <f t="shared" si="15"/>
        <v>#VALUE!</v>
      </c>
      <c r="AH58" s="822" t="e">
        <f t="shared" si="15"/>
        <v>#VALUE!</v>
      </c>
      <c r="AI58" s="822" t="e">
        <f t="shared" si="15"/>
        <v>#VALUE!</v>
      </c>
    </row>
    <row r="59" spans="7:35" x14ac:dyDescent="0.25">
      <c r="G59" s="1478"/>
      <c r="H59" s="1478"/>
      <c r="I59" s="1478"/>
      <c r="J59" s="1478"/>
      <c r="K59" s="1478"/>
      <c r="L59" s="1478"/>
      <c r="S59" s="658" t="str">
        <f>IF(Language="English", $AB$25,IF(Language="Francais", $AD$25, $AC$25))</f>
        <v>Autres méthodes modernes</v>
      </c>
      <c r="T59" s="822" t="e">
        <f t="shared" si="13"/>
        <v>#VALUE!</v>
      </c>
      <c r="U59" s="822" t="e">
        <f t="shared" si="15"/>
        <v>#VALUE!</v>
      </c>
      <c r="V59" s="822" t="e">
        <f t="shared" si="15"/>
        <v>#VALUE!</v>
      </c>
      <c r="W59" s="822" t="e">
        <f t="shared" si="15"/>
        <v>#VALUE!</v>
      </c>
      <c r="X59" s="822" t="e">
        <f t="shared" si="15"/>
        <v>#VALUE!</v>
      </c>
      <c r="Y59" s="822" t="e">
        <f t="shared" si="15"/>
        <v>#VALUE!</v>
      </c>
      <c r="Z59" s="822" t="e">
        <f t="shared" si="15"/>
        <v>#VALUE!</v>
      </c>
      <c r="AA59" s="822" t="e">
        <f t="shared" si="15"/>
        <v>#VALUE!</v>
      </c>
      <c r="AB59" s="822" t="e">
        <f t="shared" si="15"/>
        <v>#VALUE!</v>
      </c>
      <c r="AC59" s="822" t="e">
        <f t="shared" si="15"/>
        <v>#VALUE!</v>
      </c>
      <c r="AD59" s="822" t="e">
        <f t="shared" si="15"/>
        <v>#VALUE!</v>
      </c>
      <c r="AE59" s="822" t="e">
        <f t="shared" si="15"/>
        <v>#VALUE!</v>
      </c>
      <c r="AF59" s="822" t="e">
        <f t="shared" si="15"/>
        <v>#VALUE!</v>
      </c>
      <c r="AG59" s="822" t="e">
        <f t="shared" si="15"/>
        <v>#VALUE!</v>
      </c>
      <c r="AH59" s="822" t="e">
        <f t="shared" si="15"/>
        <v>#VALUE!</v>
      </c>
      <c r="AI59" s="822" t="e">
        <f t="shared" si="15"/>
        <v>#VALUE!</v>
      </c>
    </row>
    <row r="60" spans="7:35" ht="15.75" thickBot="1" x14ac:dyDescent="0.3">
      <c r="G60" s="568"/>
      <c r="H60" s="568"/>
      <c r="I60" s="568"/>
      <c r="S60" s="731" t="str">
        <f>S48</f>
        <v>AW users</v>
      </c>
    </row>
    <row r="61" spans="7:35" x14ac:dyDescent="0.25">
      <c r="G61" s="568"/>
      <c r="H61" s="568"/>
      <c r="I61" s="568"/>
    </row>
    <row r="62" spans="7:35" x14ac:dyDescent="0.25">
      <c r="G62" s="568"/>
      <c r="H62" s="568"/>
      <c r="I62" s="568"/>
    </row>
    <row r="63" spans="7:35" x14ac:dyDescent="0.25">
      <c r="G63" s="568"/>
      <c r="H63" s="568"/>
      <c r="I63" s="568"/>
    </row>
    <row r="66" spans="7:9" x14ac:dyDescent="0.25">
      <c r="G66" s="568"/>
      <c r="H66" s="568"/>
      <c r="I66" s="568"/>
    </row>
    <row r="67" spans="7:9" x14ac:dyDescent="0.25">
      <c r="G67" s="568"/>
      <c r="H67" s="568"/>
      <c r="I67" s="568"/>
    </row>
    <row r="68" spans="7:9" x14ac:dyDescent="0.25">
      <c r="G68" s="568"/>
      <c r="H68" s="568"/>
      <c r="I68" s="568"/>
    </row>
    <row r="69" spans="7:9" x14ac:dyDescent="0.25">
      <c r="G69" s="568"/>
      <c r="H69" s="568"/>
      <c r="I69" s="568"/>
    </row>
  </sheetData>
  <mergeCells count="11">
    <mergeCell ref="G52:L53"/>
    <mergeCell ref="G55:L56"/>
    <mergeCell ref="G58:L59"/>
    <mergeCell ref="G48:L48"/>
    <mergeCell ref="G49:L50"/>
    <mergeCell ref="B4:Q5"/>
    <mergeCell ref="D7:E7"/>
    <mergeCell ref="D9:E9"/>
    <mergeCell ref="G21:J21"/>
    <mergeCell ref="I7:I8"/>
    <mergeCell ref="J7:J8"/>
  </mergeCells>
  <conditionalFormatting sqref="J9:J10">
    <cfRule type="expression" dxfId="242" priority="10">
      <formula>$U$9="Yes"</formula>
    </cfRule>
  </conditionalFormatting>
  <conditionalFormatting sqref="J12:J20">
    <cfRule type="expression" dxfId="241" priority="1">
      <formula>$U$9="Yes"</formula>
    </cfRule>
  </conditionalFormatting>
  <hyperlinks>
    <hyperlink ref="G58:I59" location="'Users Input'!A1" tooltip="Click to Enter this Data" display="'Users Input'!A1" xr:uid="{00000000-0004-0000-0700-000003000000}"/>
    <hyperlink ref="G55:I56" location="'Visits Input'!A1" tooltip="Click to Enter this Data" display="'Visits Input'!A1" xr:uid="{00000000-0004-0000-0700-000002000000}"/>
    <hyperlink ref="G52:I53" location="'Commodities (Facility) Input'!A1" tooltip="Click to Enter this Data" display="'Commodities (Facility) Input'!A1" xr:uid="{00000000-0004-0000-0700-000001000000}"/>
    <hyperlink ref="G49:I50" location="'Commodities (Clients) Input'!A1" tooltip="Click to Enter this Data" display="'Commodities (Clients) Input'!A1" xr:uid="{00000000-0004-0000-0700-000000000000}"/>
  </hyperlink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EAA49CA-B76A-4B89-9727-BC9D9DE88B30}">
          <x14:formula1>
            <xm:f>'Language Look Ups'!$C$5:$D$5</xm:f>
          </x14:formula1>
          <xm:sqref>D9</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8"/>
    <pageSetUpPr autoPageBreaks="0"/>
  </sheetPr>
  <dimension ref="A1:EF234"/>
  <sheetViews>
    <sheetView showGridLines="0" topLeftCell="C1" zoomScale="70" zoomScaleNormal="70" workbookViewId="0">
      <selection activeCell="G32" sqref="G32:V46"/>
    </sheetView>
  </sheetViews>
  <sheetFormatPr defaultRowHeight="15" outlineLevelRow="1" x14ac:dyDescent="0.25"/>
  <cols>
    <col min="1" max="1" width="4.5703125" customWidth="1"/>
    <col min="2" max="2" width="26" customWidth="1"/>
    <col min="3" max="3" width="26.85546875" customWidth="1"/>
    <col min="4" max="4" width="11.85546875" customWidth="1"/>
    <col min="5" max="5" width="7.5703125" hidden="1" customWidth="1"/>
    <col min="6" max="6" width="17.140625" customWidth="1"/>
    <col min="7" max="22" width="14.28515625" customWidth="1"/>
    <col min="23" max="24" width="3.85546875" customWidth="1"/>
    <col min="25" max="25" width="5.7109375" customWidth="1"/>
    <col min="26" max="26" width="3.85546875" customWidth="1"/>
    <col min="27" max="27" width="24.42578125" customWidth="1"/>
    <col min="28" max="43" width="7.42578125" customWidth="1"/>
    <col min="44" max="44" width="15" customWidth="1"/>
    <col min="45" max="46" width="10.5703125" customWidth="1"/>
    <col min="47" max="47" width="10.7109375" customWidth="1"/>
    <col min="48" max="48" width="10.5703125" customWidth="1"/>
    <col min="49" max="49" width="9.5703125" customWidth="1"/>
    <col min="50" max="50" width="11" customWidth="1"/>
    <col min="51" max="52" width="9.140625" customWidth="1"/>
    <col min="53" max="55" width="29.5703125" style="184" hidden="1" customWidth="1"/>
    <col min="56" max="60" width="9.140625" hidden="1" customWidth="1"/>
    <col min="61" max="61" width="9.140625" style="180" customWidth="1"/>
    <col min="62" max="62" width="27.7109375" customWidth="1"/>
    <col min="63" max="79" width="9.140625" customWidth="1"/>
    <col min="80" max="80" width="27" customWidth="1"/>
    <col min="87" max="96" width="11.85546875" customWidth="1"/>
    <col min="97" max="97" width="18.140625" customWidth="1"/>
    <col min="98" max="98" width="21.42578125" customWidth="1"/>
    <col min="99" max="114" width="12.28515625" customWidth="1"/>
    <col min="115" max="115" width="11.85546875" customWidth="1"/>
    <col min="117" max="117" width="36" bestFit="1" customWidth="1"/>
    <col min="130" max="133" width="12.5703125" customWidth="1"/>
    <col min="134" max="135" width="13.28515625" customWidth="1"/>
  </cols>
  <sheetData>
    <row r="1" spans="2:128" x14ac:dyDescent="0.25">
      <c r="C1" s="5"/>
    </row>
    <row r="2" spans="2:128" ht="34.5" customHeight="1" x14ac:dyDescent="0.25">
      <c r="B2" s="1512" t="str">
        <f>"Input: "&amp;'3. ServiceStats Set Up'!B16</f>
        <v>Input: Produits de planification familiale distribués aux clients</v>
      </c>
      <c r="C2" s="1512"/>
      <c r="D2" s="1512"/>
      <c r="E2" s="1512"/>
      <c r="F2" s="1512"/>
      <c r="G2" s="1512"/>
      <c r="H2" s="1512"/>
      <c r="I2" s="1512"/>
      <c r="J2" s="1512"/>
      <c r="K2" s="1512"/>
      <c r="L2" s="1512"/>
      <c r="M2" s="1512"/>
      <c r="N2" s="1512"/>
      <c r="O2" s="1512"/>
      <c r="P2" s="1512"/>
      <c r="Q2" s="1512"/>
      <c r="R2" s="1512"/>
      <c r="S2" s="1512"/>
      <c r="T2" s="1512"/>
      <c r="U2" s="1512"/>
      <c r="V2" s="1512"/>
      <c r="BA2" s="184" t="s">
        <v>628</v>
      </c>
      <c r="BB2" s="184" t="s">
        <v>656</v>
      </c>
      <c r="BC2" s="184" t="s">
        <v>740</v>
      </c>
    </row>
    <row r="3" spans="2:128" ht="28.5" x14ac:dyDescent="0.45">
      <c r="B3" s="272" t="str">
        <f>IF('2. Pop_Prev Set Up'!$W$2="Yes", '2. Pop_Prev Set Up'!$W$1&amp;" : "&amp;'2. Pop_Prev Set Up'!$W$3, '2. Pop_Prev Set Up'!$W$1&amp;" : "&amp;"National")</f>
        <v>0 : National</v>
      </c>
    </row>
    <row r="4" spans="2:128" ht="21" hidden="1" x14ac:dyDescent="0.35">
      <c r="B4" s="231" t="s">
        <v>562</v>
      </c>
    </row>
    <row r="5" spans="2:128" ht="19.5" customHeight="1" x14ac:dyDescent="0.25">
      <c r="P5" s="1520" t="str">
        <f>IF(Language="English", BA5, BC5)</f>
        <v>Passer ce type de données</v>
      </c>
      <c r="Q5" s="1520"/>
      <c r="R5" s="1520"/>
      <c r="BA5" s="184" t="s">
        <v>935</v>
      </c>
      <c r="BC5" s="184" t="s">
        <v>936</v>
      </c>
      <c r="DN5" s="1" t="s">
        <v>285</v>
      </c>
      <c r="DO5" s="1" t="s">
        <v>286</v>
      </c>
      <c r="DP5" s="1" t="s">
        <v>287</v>
      </c>
      <c r="DQ5" s="1" t="s">
        <v>288</v>
      </c>
      <c r="DR5" s="1" t="s">
        <v>289</v>
      </c>
      <c r="DS5" s="1" t="s">
        <v>290</v>
      </c>
      <c r="DT5" s="1" t="s">
        <v>291</v>
      </c>
      <c r="DU5" s="1" t="s">
        <v>292</v>
      </c>
      <c r="DV5" s="1" t="s">
        <v>293</v>
      </c>
      <c r="DW5" s="1" t="s">
        <v>294</v>
      </c>
      <c r="DX5" s="1" t="s">
        <v>295</v>
      </c>
    </row>
    <row r="6" spans="2:128" ht="27" thickBot="1" x14ac:dyDescent="0.45">
      <c r="B6" s="243" t="str">
        <f>IF(Language="English", BA6, BC6)</f>
        <v>ÉTAPE 1 DE 3. SAISIR LES TAUX DE COMPLÉTUDE</v>
      </c>
      <c r="C6" s="232"/>
      <c r="D6" s="232"/>
      <c r="E6" s="232"/>
      <c r="F6" s="232"/>
      <c r="G6" s="232"/>
      <c r="H6" s="232"/>
      <c r="I6" s="232"/>
      <c r="J6" s="232"/>
      <c r="K6" s="232"/>
      <c r="L6" s="232"/>
      <c r="M6" s="232"/>
      <c r="N6" s="232"/>
      <c r="O6" s="232"/>
      <c r="P6" s="232"/>
      <c r="Q6" s="232"/>
      <c r="R6" s="232"/>
      <c r="S6" s="232"/>
      <c r="T6" s="232"/>
      <c r="U6" s="232"/>
      <c r="V6" s="232"/>
      <c r="BA6" s="184" t="s">
        <v>1277</v>
      </c>
      <c r="BC6" s="184" t="s">
        <v>1128</v>
      </c>
      <c r="DL6" s="1484" t="s">
        <v>5</v>
      </c>
      <c r="DM6" s="388" t="s">
        <v>2032</v>
      </c>
      <c r="DN6" s="346">
        <f>VLOOKUP($DM6, Assumptions!$C$36:$N$42, MATCH(DN$5,Assumptions!$C$36:$N$36, 0), FALSE)</f>
        <v>1</v>
      </c>
      <c r="DO6" s="346">
        <f>VLOOKUP($DM6, Assumptions!$C$36:$N$42, MATCH(DO$5,Assumptions!$C$36:$N$36, 0), FALSE)</f>
        <v>0.83978886799999997</v>
      </c>
      <c r="DP6" s="346">
        <f>VLOOKUP($DM6, Assumptions!$C$36:$N$42, MATCH(DP$5,Assumptions!$C$36:$N$36, 0), FALSE)</f>
        <v>0.70524534299999997</v>
      </c>
      <c r="DQ6" s="346">
        <f>VLOOKUP($DM6, Assumptions!$C$36:$N$42, MATCH(DQ$5,Assumptions!$C$36:$N$36, 0), FALSE)</f>
        <v>0.59225718800000005</v>
      </c>
      <c r="DR6" s="346">
        <f>VLOOKUP($DM6, Assumptions!$C$36:$N$42, MATCH(DR$5,Assumptions!$C$36:$N$36, 0), FALSE)</f>
        <v>0.49737099400000001</v>
      </c>
      <c r="DS6" s="346">
        <f>VLOOKUP($DM6, Assumptions!$C$36:$N$42, MATCH(DS$5,Assumptions!$C$36:$N$36, 0), FALSE)</f>
        <v>0.41768662400000001</v>
      </c>
      <c r="DT6" s="346">
        <f>VLOOKUP($DM6, Assumptions!$C$36:$N$42, MATCH(DT$5,Assumptions!$C$36:$N$36, 0), FALSE)</f>
        <v>0.35076857700000003</v>
      </c>
      <c r="DU6" s="346">
        <f>VLOOKUP($DM6, Assumptions!$C$36:$N$42, MATCH(DU$5,Assumptions!$C$36:$N$36, 0), FALSE)</f>
        <v>0.29457154600000002</v>
      </c>
      <c r="DV6" s="346">
        <f>VLOOKUP($DM6, Assumptions!$C$36:$N$42, MATCH(DV$5,Assumptions!$C$36:$N$36, 0), FALSE)</f>
        <v>0.24737790500000001</v>
      </c>
      <c r="DW6" s="346">
        <f>VLOOKUP($DM6, Assumptions!$C$36:$N$42, MATCH(DW$5,Assumptions!$C$36:$N$36, 0), FALSE)</f>
        <v>0.20774521100000001</v>
      </c>
      <c r="DX6" s="346">
        <f>VLOOKUP($DM6, Assumptions!$C$36:$N$42, MATCH(DX$5,Assumptions!$C$36:$N$36, 0), FALSE)</f>
        <v>0.16735418915404954</v>
      </c>
    </row>
    <row r="7" spans="2:128" ht="15.75" customHeight="1" x14ac:dyDescent="0.25">
      <c r="B7" s="103" t="str">
        <f>IF(Language="English", BA7, BC7)</f>
        <v>Saisissez les taux de complétude pour chaque année des données disponibles. Examinez si les taux de complétude sont assez élevés et cohérents pour utiliser les données.</v>
      </c>
      <c r="BA7" s="103" t="s">
        <v>1278</v>
      </c>
      <c r="BC7" s="103" t="s">
        <v>1131</v>
      </c>
      <c r="DL7" s="1485"/>
      <c r="DM7" s="388" t="s">
        <v>2031</v>
      </c>
      <c r="DN7" s="346">
        <f>VLOOKUP($DM7, Assumptions!$C$36:$N$42, MATCH(DN$5,Assumptions!$C$36:$N$36, 0), FALSE)</f>
        <v>1</v>
      </c>
      <c r="DO7" s="346">
        <f>VLOOKUP($DM7, Assumptions!$C$36:$N$42, MATCH(DO$5,Assumptions!$C$36:$N$36, 0), FALSE)</f>
        <v>0.89093513267927982</v>
      </c>
      <c r="DP7" s="346">
        <f>VLOOKUP($DM7, Assumptions!$C$36:$N$42, MATCH(DP$5,Assumptions!$C$36:$N$36, 0), FALSE)</f>
        <v>0.79376541064224604</v>
      </c>
      <c r="DQ7" s="346">
        <f>VLOOKUP($DM7, Assumptions!$C$36:$N$42, MATCH(DQ$5,Assumptions!$C$36:$N$36, 0), FALSE)</f>
        <v>0.70719349144677257</v>
      </c>
      <c r="DR7" s="346">
        <f>VLOOKUP($DM7, Assumptions!$C$36:$N$42, MATCH(DR$5,Assumptions!$C$36:$N$36, 0), FALSE)</f>
        <v>0.63006352713205349</v>
      </c>
      <c r="DS7" s="346">
        <f>VLOOKUP($DM7, Assumptions!$C$36:$N$42, MATCH(DS$5,Assumptions!$C$36:$N$36, 0), FALSE)</f>
        <v>0.56134573214177108</v>
      </c>
      <c r="DT7" s="346">
        <f>VLOOKUP($DM7, Assumptions!$C$36:$N$42, MATCH(DT$5,Assumptions!$C$36:$N$36, 0), FALSE)</f>
        <v>0.5001226343446763</v>
      </c>
      <c r="DU7" s="346">
        <f>VLOOKUP($DM7, Assumptions!$C$36:$N$42, MATCH(DU$5,Assumptions!$C$36:$N$36, 0), FALSE)</f>
        <v>0.44557682558578521</v>
      </c>
      <c r="DV7" s="346">
        <f>VLOOKUP($DM7, Assumptions!$C$36:$N$42, MATCH(DV$5,Assumptions!$C$36:$N$36, 0), FALSE)</f>
        <v>0</v>
      </c>
      <c r="DW7" s="346" t="str">
        <f>VLOOKUP($DM7, Assumptions!$C$36:$N$42, MATCH(DW$5,Assumptions!$C$36:$N$36, 0), FALSE)</f>
        <v xml:space="preserve"> </v>
      </c>
      <c r="DX7" s="346" t="str">
        <f>VLOOKUP($DM7, Assumptions!$C$36:$N$42, MATCH(DX$5,Assumptions!$C$36:$N$36, 0), FALSE)</f>
        <v xml:space="preserve"> </v>
      </c>
    </row>
    <row r="8" spans="2:128" ht="15.75" x14ac:dyDescent="0.25">
      <c r="B8" s="103"/>
      <c r="G8" s="1522" t="str">
        <f>IF(AND(COUNT($G$10:$L$10)&lt;COUNT($G$9:$L$9),Language="English"),"COMPLETE REPORTING RATES",IF(AND(COUNT($G$10:$L$10)&lt;COUNT($G$9:$L$9),Language="Francais"),"Complétez les taux de complétude",""))</f>
        <v>Complétez les taux de complétude</v>
      </c>
      <c r="H8" s="1522"/>
      <c r="I8" s="1522"/>
      <c r="J8" s="1522"/>
      <c r="K8" s="1522"/>
      <c r="L8" s="1522"/>
      <c r="M8" s="1522"/>
      <c r="N8" s="1522"/>
      <c r="O8" s="1522"/>
      <c r="P8" s="1522"/>
      <c r="Q8" s="1522"/>
      <c r="R8" s="1522"/>
      <c r="S8" s="1522"/>
      <c r="T8" s="1522"/>
      <c r="U8" s="1522"/>
      <c r="V8" s="1522"/>
      <c r="DL8" s="1486" t="s">
        <v>3</v>
      </c>
      <c r="DM8" s="389" t="s">
        <v>1060</v>
      </c>
      <c r="DN8" s="347">
        <f>VLOOKUP($DM8, Assumptions!$C$36:$N$42, MATCH(DN$5,Assumptions!$C$36:$N$36, 0), FALSE)</f>
        <v>1</v>
      </c>
      <c r="DO8" s="347">
        <f>VLOOKUP($DM8, Assumptions!$C$36:$N$42, MATCH(DO$5,Assumptions!$C$36:$N$36, 0), FALSE)</f>
        <v>0.89093513267927982</v>
      </c>
      <c r="DP8" s="347">
        <f>VLOOKUP($DM8, Assumptions!$C$36:$N$42, MATCH(DP$5,Assumptions!$C$36:$N$36, 0), FALSE)</f>
        <v>0.79376541064224604</v>
      </c>
      <c r="DQ8" s="347">
        <f>VLOOKUP($DM8, Assumptions!$C$36:$N$42, MATCH(DQ$5,Assumptions!$C$36:$N$36, 0), FALSE)</f>
        <v>0.70719349144677257</v>
      </c>
      <c r="DR8" s="347">
        <f>VLOOKUP($DM8, Assumptions!$C$36:$N$42, MATCH(DR$5,Assumptions!$C$36:$N$36, 0), FALSE)</f>
        <v>0</v>
      </c>
      <c r="DS8" s="347" t="str">
        <f>VLOOKUP($DM8, Assumptions!$C$36:$N$42, MATCH(DS$5,Assumptions!$C$36:$N$36, 0), FALSE)</f>
        <v xml:space="preserve"> </v>
      </c>
      <c r="DT8" s="347" t="str">
        <f>VLOOKUP($DM8, Assumptions!$C$36:$N$42, MATCH(DT$5,Assumptions!$C$36:$N$36, 0), FALSE)</f>
        <v xml:space="preserve"> </v>
      </c>
      <c r="DU8" s="347" t="str">
        <f>VLOOKUP($DM8, Assumptions!$C$36:$N$42, MATCH(DU$5,Assumptions!$C$36:$N$36, 0), FALSE)</f>
        <v xml:space="preserve"> </v>
      </c>
      <c r="DV8" s="347" t="str">
        <f>VLOOKUP($DM8, Assumptions!$C$36:$N$42, MATCH(DV$5,Assumptions!$C$36:$N$36, 0), FALSE)</f>
        <v xml:space="preserve"> </v>
      </c>
      <c r="DW8" s="347" t="str">
        <f>VLOOKUP($DM8, Assumptions!$C$36:$N$42, MATCH(DW$5,Assumptions!$C$36:$N$36, 0), FALSE)</f>
        <v xml:space="preserve"> </v>
      </c>
      <c r="DX8" s="347" t="str">
        <f>VLOOKUP($DM8, Assumptions!$C$36:$N$42, MATCH(DX$5,Assumptions!$C$36:$N$36, 0), FALSE)</f>
        <v xml:space="preserve"> </v>
      </c>
    </row>
    <row r="9" spans="2:128" ht="15.75" thickBot="1" x14ac:dyDescent="0.3">
      <c r="C9" s="11"/>
      <c r="D9" s="11"/>
      <c r="E9" s="11"/>
      <c r="F9" s="40"/>
      <c r="G9" s="426">
        <f>'3. ServiceStats Set Up'!$C$19</f>
        <v>0</v>
      </c>
      <c r="H9" s="47" t="str">
        <f>IFERROR(IF(G9+1&lt;='3. ServiceStats Set Up'!$C$20, 'Commodities (Clients) Input'!G9+1, ""), "")</f>
        <v/>
      </c>
      <c r="I9" s="47" t="str">
        <f>IFERROR(IF(H9+1&lt;='3. ServiceStats Set Up'!$C$20, 'Commodities (Clients) Input'!H9+1, ""), "")</f>
        <v/>
      </c>
      <c r="J9" s="47" t="str">
        <f>IFERROR(IF(I9+1&lt;='3. ServiceStats Set Up'!$C$20, 'Commodities (Clients) Input'!I9+1, ""), "")</f>
        <v/>
      </c>
      <c r="K9" s="47" t="str">
        <f>IFERROR(IF(J9+1&lt;='3. ServiceStats Set Up'!$C$20, 'Commodities (Clients) Input'!J9+1, ""), "")</f>
        <v/>
      </c>
      <c r="L9" s="47" t="str">
        <f>IFERROR(IF(K9+1&lt;='3. ServiceStats Set Up'!$C$20, 'Commodities (Clients) Input'!K9+1, ""), "")</f>
        <v/>
      </c>
      <c r="M9" s="47" t="str">
        <f>IFERROR(IF(L9+1&lt;='3. ServiceStats Set Up'!$C$20, 'Commodities (Clients) Input'!L9+1, ""), "")</f>
        <v/>
      </c>
      <c r="N9" s="47" t="str">
        <f>IFERROR(IF(M9+1&lt;='3. ServiceStats Set Up'!$C$20, 'Commodities (Clients) Input'!M9+1, ""), "")</f>
        <v/>
      </c>
      <c r="O9" s="47" t="str">
        <f>IFERROR(IF(N9+1&lt;='3. ServiceStats Set Up'!$C$20, 'Commodities (Clients) Input'!N9+1, ""), "")</f>
        <v/>
      </c>
      <c r="P9" s="47" t="str">
        <f>IFERROR(IF(O9+1&lt;='3. ServiceStats Set Up'!$C$20, 'Commodities (Clients) Input'!O9+1, ""), "")</f>
        <v/>
      </c>
      <c r="Q9" s="47" t="str">
        <f>IFERROR(IF(P9+1&lt;='3. ServiceStats Set Up'!$C$20, 'Commodities (Clients) Input'!P9+1, ""), "")</f>
        <v/>
      </c>
      <c r="R9" s="47" t="str">
        <f>IFERROR(IF(Q9+1&lt;='3. ServiceStats Set Up'!$C$20, 'Commodities (Clients) Input'!Q9+1, ""), "")</f>
        <v/>
      </c>
      <c r="S9" s="47" t="str">
        <f>IFERROR(IF(R9+1&lt;='3. ServiceStats Set Up'!$C$20, 'Commodities (Clients) Input'!R9+1, ""), "")</f>
        <v/>
      </c>
      <c r="T9" s="47" t="str">
        <f>IFERROR(IF(S9+1&lt;='3. ServiceStats Set Up'!$C$20, 'Commodities (Clients) Input'!S9+1, ""), "")</f>
        <v/>
      </c>
      <c r="U9" s="47" t="str">
        <f>IFERROR(IF(T9+1&lt;='3. ServiceStats Set Up'!$C$20, 'Commodities (Clients) Input'!T9+1, ""), "")</f>
        <v/>
      </c>
      <c r="V9" s="48" t="str">
        <f>IFERROR(IF(U9+1&lt;='3. ServiceStats Set Up'!$C$20, 'Commodities (Clients) Input'!U9+1, ""), "")</f>
        <v/>
      </c>
      <c r="BK9" s="47">
        <f t="shared" ref="BK9:BZ9" si="0">G9</f>
        <v>0</v>
      </c>
      <c r="BL9" s="47" t="str">
        <f t="shared" si="0"/>
        <v/>
      </c>
      <c r="BM9" s="47" t="str">
        <f t="shared" si="0"/>
        <v/>
      </c>
      <c r="BN9" s="47" t="str">
        <f t="shared" si="0"/>
        <v/>
      </c>
      <c r="BO9" s="47" t="str">
        <f t="shared" si="0"/>
        <v/>
      </c>
      <c r="BP9" s="47" t="str">
        <f t="shared" si="0"/>
        <v/>
      </c>
      <c r="BQ9" s="47" t="str">
        <f t="shared" si="0"/>
        <v/>
      </c>
      <c r="BR9" s="47" t="str">
        <f t="shared" si="0"/>
        <v/>
      </c>
      <c r="BS9" s="47" t="str">
        <f t="shared" si="0"/>
        <v/>
      </c>
      <c r="BT9" s="47" t="str">
        <f t="shared" si="0"/>
        <v/>
      </c>
      <c r="BU9" s="47" t="str">
        <f t="shared" si="0"/>
        <v/>
      </c>
      <c r="BV9" s="47" t="str">
        <f t="shared" si="0"/>
        <v/>
      </c>
      <c r="BW9" s="47" t="str">
        <f t="shared" si="0"/>
        <v/>
      </c>
      <c r="BX9" s="47" t="str">
        <f t="shared" si="0"/>
        <v/>
      </c>
      <c r="BY9" s="47" t="str">
        <f t="shared" si="0"/>
        <v/>
      </c>
      <c r="BZ9" s="47" t="str">
        <f t="shared" si="0"/>
        <v/>
      </c>
      <c r="CC9" s="47">
        <f t="shared" ref="CC9:CR9" si="1">G9</f>
        <v>0</v>
      </c>
      <c r="CD9" s="47" t="str">
        <f t="shared" si="1"/>
        <v/>
      </c>
      <c r="CE9" s="47" t="str">
        <f t="shared" si="1"/>
        <v/>
      </c>
      <c r="CF9" s="47" t="str">
        <f t="shared" si="1"/>
        <v/>
      </c>
      <c r="CG9" s="47" t="str">
        <f t="shared" si="1"/>
        <v/>
      </c>
      <c r="CH9" s="47" t="str">
        <f t="shared" si="1"/>
        <v/>
      </c>
      <c r="CI9" s="47" t="str">
        <f t="shared" si="1"/>
        <v/>
      </c>
      <c r="CJ9" s="47" t="str">
        <f t="shared" si="1"/>
        <v/>
      </c>
      <c r="CK9" s="47" t="str">
        <f t="shared" si="1"/>
        <v/>
      </c>
      <c r="CL9" s="47" t="str">
        <f t="shared" si="1"/>
        <v/>
      </c>
      <c r="CM9" s="47" t="str">
        <f t="shared" si="1"/>
        <v/>
      </c>
      <c r="CN9" s="47" t="str">
        <f t="shared" si="1"/>
        <v/>
      </c>
      <c r="CO9" s="47" t="str">
        <f t="shared" si="1"/>
        <v/>
      </c>
      <c r="CP9" s="47" t="str">
        <f t="shared" si="1"/>
        <v/>
      </c>
      <c r="CQ9" s="47" t="str">
        <f t="shared" si="1"/>
        <v/>
      </c>
      <c r="CR9" s="47" t="str">
        <f t="shared" si="1"/>
        <v/>
      </c>
      <c r="DL9" s="1487"/>
      <c r="DM9" s="389" t="s">
        <v>298</v>
      </c>
      <c r="DN9" s="347">
        <f>VLOOKUP($DM9, Assumptions!$C$36:$N$42, MATCH(DN$5,Assumptions!$C$36:$N$36, 0), FALSE)</f>
        <v>1</v>
      </c>
      <c r="DO9" s="347">
        <f>VLOOKUP($DM9, Assumptions!$C$36:$N$42, MATCH(DO$5,Assumptions!$C$36:$N$36, 0), FALSE)</f>
        <v>0.89093513267927982</v>
      </c>
      <c r="DP9" s="347">
        <f>VLOOKUP($DM9, Assumptions!$C$36:$N$42, MATCH(DP$5,Assumptions!$C$36:$N$36, 0), FALSE)</f>
        <v>0.79376541064224604</v>
      </c>
      <c r="DQ9" s="347">
        <f>VLOOKUP($DM9, Assumptions!$C$36:$N$42, MATCH(DQ$5,Assumptions!$C$36:$N$36, 0), FALSE)</f>
        <v>0.70719349144677257</v>
      </c>
      <c r="DR9" s="347">
        <f>VLOOKUP($DM9, Assumptions!$C$36:$N$42, MATCH(DR$5,Assumptions!$C$36:$N$36, 0), FALSE)</f>
        <v>0.63006352713205349</v>
      </c>
      <c r="DS9" s="347">
        <f>VLOOKUP($DM9, Assumptions!$C$36:$N$42, MATCH(DS$5,Assumptions!$C$36:$N$36, 0), FALSE)</f>
        <v>0</v>
      </c>
      <c r="DT9" s="347" t="str">
        <f>VLOOKUP($DM9, Assumptions!$C$36:$N$42, MATCH(DT$5,Assumptions!$C$36:$N$36, 0), FALSE)</f>
        <v xml:space="preserve"> </v>
      </c>
      <c r="DU9" s="347" t="str">
        <f>VLOOKUP($DM9, Assumptions!$C$36:$N$42, MATCH(DU$5,Assumptions!$C$36:$N$36, 0), FALSE)</f>
        <v xml:space="preserve"> </v>
      </c>
      <c r="DV9" s="347" t="str">
        <f>VLOOKUP($DM9, Assumptions!$C$36:$N$42, MATCH(DV$5,Assumptions!$C$36:$N$36, 0), FALSE)</f>
        <v xml:space="preserve"> </v>
      </c>
      <c r="DW9" s="347" t="str">
        <f>VLOOKUP($DM9, Assumptions!$C$36:$N$42, MATCH(DW$5,Assumptions!$C$36:$N$36, 0), FALSE)</f>
        <v xml:space="preserve"> </v>
      </c>
      <c r="DX9" s="347" t="str">
        <f>VLOOKUP($DM9, Assumptions!$C$36:$N$42, MATCH(DX$5,Assumptions!$C$36:$N$36, 0), FALSE)</f>
        <v xml:space="preserve"> </v>
      </c>
    </row>
    <row r="10" spans="2:128" ht="29.25" customHeight="1" thickTop="1" thickBot="1" x14ac:dyDescent="0.3">
      <c r="B10" s="1518"/>
      <c r="C10" s="1513" t="str">
        <f>'Language Look Ups'!$B$22</f>
        <v>Saisissez les taux de complétude</v>
      </c>
      <c r="D10" s="1514"/>
      <c r="E10" s="1514"/>
      <c r="F10" s="1514"/>
      <c r="G10" s="273"/>
      <c r="H10" s="273"/>
      <c r="I10" s="273"/>
      <c r="J10" s="273"/>
      <c r="K10" s="273"/>
      <c r="L10" s="273"/>
      <c r="M10" s="273"/>
      <c r="N10" s="273"/>
      <c r="O10" s="273"/>
      <c r="P10" s="273"/>
      <c r="Q10" s="273"/>
      <c r="R10" s="273"/>
      <c r="S10" s="273"/>
      <c r="T10" s="273"/>
      <c r="U10" s="273"/>
      <c r="V10" s="273"/>
      <c r="AA10" s="113">
        <f>COUNTIF(G11:V11, 1)</f>
        <v>0</v>
      </c>
      <c r="BK10" s="49">
        <f t="shared" ref="BK10:BZ10" si="2">IF(BK9="", "", HLOOKUP(BK$9, $G$9:$V$10, 2, FALSE))</f>
        <v>0</v>
      </c>
      <c r="BL10" s="49" t="str">
        <f t="shared" si="2"/>
        <v/>
      </c>
      <c r="BM10" s="49" t="str">
        <f t="shared" si="2"/>
        <v/>
      </c>
      <c r="BN10" s="49" t="str">
        <f t="shared" si="2"/>
        <v/>
      </c>
      <c r="BO10" s="49" t="str">
        <f t="shared" si="2"/>
        <v/>
      </c>
      <c r="BP10" s="49" t="str">
        <f t="shared" si="2"/>
        <v/>
      </c>
      <c r="BQ10" s="49" t="str">
        <f t="shared" si="2"/>
        <v/>
      </c>
      <c r="BR10" s="49" t="str">
        <f t="shared" si="2"/>
        <v/>
      </c>
      <c r="BS10" s="49" t="str">
        <f t="shared" si="2"/>
        <v/>
      </c>
      <c r="BT10" s="49" t="str">
        <f t="shared" si="2"/>
        <v/>
      </c>
      <c r="BU10" s="49" t="str">
        <f t="shared" si="2"/>
        <v/>
      </c>
      <c r="BV10" s="49" t="str">
        <f t="shared" si="2"/>
        <v/>
      </c>
      <c r="BW10" s="49" t="str">
        <f t="shared" si="2"/>
        <v/>
      </c>
      <c r="BX10" s="49" t="str">
        <f t="shared" si="2"/>
        <v/>
      </c>
      <c r="BY10" s="49" t="str">
        <f t="shared" si="2"/>
        <v/>
      </c>
      <c r="BZ10" s="49" t="str">
        <f t="shared" si="2"/>
        <v/>
      </c>
      <c r="CC10" s="49">
        <f t="shared" ref="CC10:CR10" si="3">IF(CC9="", "", HLOOKUP(CC$9, $G$9:$V$10, 2, FALSE))</f>
        <v>0</v>
      </c>
      <c r="CD10" s="49" t="str">
        <f t="shared" si="3"/>
        <v/>
      </c>
      <c r="CE10" s="49" t="str">
        <f t="shared" si="3"/>
        <v/>
      </c>
      <c r="CF10" s="49" t="str">
        <f t="shared" si="3"/>
        <v/>
      </c>
      <c r="CG10" s="49" t="str">
        <f t="shared" si="3"/>
        <v/>
      </c>
      <c r="CH10" s="49" t="str">
        <f t="shared" si="3"/>
        <v/>
      </c>
      <c r="CI10" s="49" t="str">
        <f t="shared" si="3"/>
        <v/>
      </c>
      <c r="CJ10" s="49" t="str">
        <f t="shared" si="3"/>
        <v/>
      </c>
      <c r="CK10" s="49" t="str">
        <f t="shared" si="3"/>
        <v/>
      </c>
      <c r="CL10" s="49" t="str">
        <f t="shared" si="3"/>
        <v/>
      </c>
      <c r="CM10" s="49" t="str">
        <f t="shared" si="3"/>
        <v/>
      </c>
      <c r="CN10" s="49" t="str">
        <f t="shared" si="3"/>
        <v/>
      </c>
      <c r="CO10" s="49" t="str">
        <f t="shared" si="3"/>
        <v/>
      </c>
      <c r="CP10" s="49" t="str">
        <f t="shared" si="3"/>
        <v/>
      </c>
      <c r="CQ10" s="49" t="str">
        <f t="shared" si="3"/>
        <v/>
      </c>
      <c r="CR10" s="49" t="str">
        <f t="shared" si="3"/>
        <v/>
      </c>
      <c r="DL10" s="1488"/>
      <c r="DM10" s="389" t="s">
        <v>297</v>
      </c>
      <c r="DN10" s="347">
        <f>VLOOKUP($DM10, Assumptions!$C$36:$N$42, MATCH(DN$5,Assumptions!$C$36:$N$36, 0), FALSE)</f>
        <v>1</v>
      </c>
      <c r="DO10" s="347">
        <f>VLOOKUP($DM10, Assumptions!$C$36:$N$42, MATCH(DO$5,Assumptions!$C$36:$N$36, 0), FALSE)</f>
        <v>0.89093513267927982</v>
      </c>
      <c r="DP10" s="347">
        <f>VLOOKUP($DM10, Assumptions!$C$36:$N$42, MATCH(DP$5,Assumptions!$C$36:$N$36, 0), FALSE)</f>
        <v>0.79376541064224604</v>
      </c>
      <c r="DQ10" s="347">
        <f>VLOOKUP($DM10, Assumptions!$C$36:$N$42, MATCH(DQ$5,Assumptions!$C$36:$N$36, 0), FALSE)</f>
        <v>0.70719349144677257</v>
      </c>
      <c r="DR10" s="347">
        <f>VLOOKUP($DM10, Assumptions!$C$36:$N$42, MATCH(DR$5,Assumptions!$C$36:$N$36, 0), FALSE)</f>
        <v>0.63006352713205349</v>
      </c>
      <c r="DS10" s="347">
        <f>VLOOKUP($DM10, Assumptions!$C$36:$N$42, MATCH(DS$5,Assumptions!$C$36:$N$36, 0), FALSE)</f>
        <v>0.56134573214177108</v>
      </c>
      <c r="DT10" s="347">
        <f>VLOOKUP($DM10, Assumptions!$C$36:$N$42, MATCH(DT$5,Assumptions!$C$36:$N$36, 0), FALSE)</f>
        <v>0</v>
      </c>
      <c r="DU10" s="347" t="str">
        <f>VLOOKUP($DM10, Assumptions!$C$36:$N$42, MATCH(DU$5,Assumptions!$C$36:$N$36, 0), FALSE)</f>
        <v xml:space="preserve"> </v>
      </c>
      <c r="DV10" s="347" t="str">
        <f>VLOOKUP($DM10, Assumptions!$C$36:$N$42, MATCH(DV$5,Assumptions!$C$36:$N$36, 0), FALSE)</f>
        <v xml:space="preserve"> </v>
      </c>
      <c r="DW10" s="347" t="str">
        <f>VLOOKUP($DM10, Assumptions!$C$36:$N$42, MATCH(DW$5,Assumptions!$C$36:$N$36, 0), FALSE)</f>
        <v xml:space="preserve"> </v>
      </c>
      <c r="DX10" s="347" t="str">
        <f>VLOOKUP($DM10, Assumptions!$C$36:$N$42, MATCH(DX$5,Assumptions!$C$36:$N$36, 0), FALSE)</f>
        <v xml:space="preserve"> </v>
      </c>
    </row>
    <row r="11" spans="2:128" ht="12" customHeight="1" thickTop="1" x14ac:dyDescent="0.25">
      <c r="B11" s="1518"/>
      <c r="C11" s="31"/>
      <c r="D11" s="31"/>
      <c r="E11" s="31"/>
      <c r="F11" s="31"/>
      <c r="G11" s="113">
        <f>IF(G9="", "", IF(G10&gt;=80%, 1, IF(G10&gt;=60%, 2,3)))</f>
        <v>3</v>
      </c>
      <c r="H11" s="113" t="str">
        <f t="shared" ref="H11:U11" si="4">IF(H9="", "", IF(H10&gt;=80%, 1, IF(H10&gt;=60%, 2,3)))</f>
        <v/>
      </c>
      <c r="I11" s="113" t="str">
        <f t="shared" si="4"/>
        <v/>
      </c>
      <c r="J11" s="113" t="str">
        <f t="shared" si="4"/>
        <v/>
      </c>
      <c r="K11" s="113" t="str">
        <f t="shared" si="4"/>
        <v/>
      </c>
      <c r="L11" s="113" t="str">
        <f t="shared" si="4"/>
        <v/>
      </c>
      <c r="M11" s="113" t="str">
        <f t="shared" si="4"/>
        <v/>
      </c>
      <c r="N11" s="113" t="str">
        <f t="shared" si="4"/>
        <v/>
      </c>
      <c r="O11" s="113" t="str">
        <f t="shared" si="4"/>
        <v/>
      </c>
      <c r="P11" s="113" t="str">
        <f t="shared" si="4"/>
        <v/>
      </c>
      <c r="Q11" s="113" t="str">
        <f t="shared" si="4"/>
        <v/>
      </c>
      <c r="R11" s="113" t="str">
        <f t="shared" si="4"/>
        <v/>
      </c>
      <c r="S11" s="113" t="str">
        <f t="shared" si="4"/>
        <v/>
      </c>
      <c r="T11" s="113" t="str">
        <f t="shared" si="4"/>
        <v/>
      </c>
      <c r="U11" s="113" t="str">
        <f t="shared" si="4"/>
        <v/>
      </c>
      <c r="V11" s="113" t="str">
        <f>IF(V9="", "", IF(V10&gt;=80%, 1, IF(V10&gt;=60%, 2,3)))</f>
        <v/>
      </c>
      <c r="AA11" s="113">
        <f>COUNTIF(G11:V11, 2)</f>
        <v>0</v>
      </c>
      <c r="AB11" s="114"/>
      <c r="DL11" s="390"/>
      <c r="DM11" s="390" t="s">
        <v>299</v>
      </c>
      <c r="DN11" s="348">
        <f>VLOOKUP($DM11, Assumptions!$C$36:$N$42, MATCH(DN$5,Assumptions!$C$36:$N$36, 0), FALSE)</f>
        <v>1</v>
      </c>
      <c r="DO11" s="348">
        <f>VLOOKUP($DM11, Assumptions!$C$36:$N$42, MATCH(DO$5,Assumptions!$C$36:$N$36, 0), FALSE)</f>
        <v>0.54273299092385041</v>
      </c>
      <c r="DP11" s="348">
        <f>VLOOKUP($DM11, Assumptions!$C$36:$N$42, MATCH(DP$5,Assumptions!$C$36:$N$36, 0), FALSE)</f>
        <v>0.29455909943714825</v>
      </c>
      <c r="DQ11" s="348">
        <f>VLOOKUP($DM11, Assumptions!$C$36:$N$42, MATCH(DQ$5,Assumptions!$C$36:$N$36, 0), FALSE)</f>
        <v>0.15986694104135935</v>
      </c>
      <c r="DR11" s="348">
        <f>VLOOKUP($DM11, Assumptions!$C$36:$N$42, MATCH(DR$5,Assumptions!$C$36:$N$36, 0), FALSE)</f>
        <v>8.6765063061223793E-2</v>
      </c>
      <c r="DS11" s="348">
        <f>VLOOKUP($DM11, Assumptions!$C$36:$N$42, MATCH(DS$5,Assumptions!$C$36:$N$36, 0), FALSE)</f>
        <v>4.7090262182914476E-2</v>
      </c>
      <c r="DT11" s="348">
        <f>VLOOKUP($DM11, Assumptions!$C$36:$N$42, MATCH(DT$5,Assumptions!$C$36:$N$36, 0), FALSE)</f>
        <v>2.5557438837921467E-2</v>
      </c>
      <c r="DU11" s="348">
        <f>VLOOKUP($DM11, Assumptions!$C$36:$N$42, MATCH(DU$5,Assumptions!$C$36:$N$36, 0), FALSE)</f>
        <v>1.3870865220858486E-2</v>
      </c>
      <c r="DV11" s="348">
        <f>VLOOKUP($DM11, Assumptions!$C$36:$N$42, MATCH(DV$5,Assumptions!$C$36:$N$36, 0), FALSE)</f>
        <v>7.5281761680181429E-3</v>
      </c>
      <c r="DW11" s="348">
        <f>VLOOKUP($DM11, Assumptions!$C$36:$N$42, MATCH(DW$5,Assumptions!$C$36:$N$36, 0), FALSE)</f>
        <v>4.0857895678701383E-3</v>
      </c>
      <c r="DX11" s="348">
        <f>VLOOKUP($DM11, Assumptions!$C$36:$N$42, MATCH(DX$5,Assumptions!$C$36:$N$36, 0), FALSE)</f>
        <v>2.2174927924556252E-3</v>
      </c>
    </row>
    <row r="12" spans="2:128" ht="18.75" customHeight="1" x14ac:dyDescent="0.25">
      <c r="B12" s="1518"/>
      <c r="C12" s="1516" t="str">
        <f>IF(Language="Francais", BC12, BA12)</f>
        <v>Les taux de complétude devraient être supérieurs à 80% pour utiliser les données dans FPET. Si les taux varient entre 60% et 80%, veuillez discuter avec un membre de l'équipe de Track20.</v>
      </c>
      <c r="D12" s="1516">
        <f t="shared" ref="D12:U12" si="5">IF(Language="Francais", BE12, BC12)</f>
        <v>0</v>
      </c>
      <c r="E12" s="1516">
        <f t="shared" si="5"/>
        <v>0</v>
      </c>
      <c r="F12" s="1516">
        <f t="shared" si="5"/>
        <v>0</v>
      </c>
      <c r="G12" s="1516">
        <f t="shared" si="5"/>
        <v>0</v>
      </c>
      <c r="H12" s="1516">
        <f t="shared" si="5"/>
        <v>0</v>
      </c>
      <c r="I12" s="1516">
        <f t="shared" si="5"/>
        <v>0</v>
      </c>
      <c r="J12" s="1516">
        <f t="shared" si="5"/>
        <v>0</v>
      </c>
      <c r="K12" s="1516">
        <f t="shared" si="5"/>
        <v>0</v>
      </c>
      <c r="L12" s="1516">
        <f t="shared" si="5"/>
        <v>0</v>
      </c>
      <c r="M12" s="1516">
        <f t="shared" si="5"/>
        <v>0</v>
      </c>
      <c r="N12" s="1516">
        <f t="shared" si="5"/>
        <v>0</v>
      </c>
      <c r="O12" s="1516">
        <f t="shared" si="5"/>
        <v>0</v>
      </c>
      <c r="P12" s="1516">
        <f t="shared" si="5"/>
        <v>0</v>
      </c>
      <c r="Q12" s="1516">
        <f t="shared" si="5"/>
        <v>0</v>
      </c>
      <c r="R12" s="1516">
        <f t="shared" si="5"/>
        <v>0</v>
      </c>
      <c r="S12" s="1516">
        <f t="shared" si="5"/>
        <v>0</v>
      </c>
      <c r="T12" s="1516">
        <f t="shared" si="5"/>
        <v>0</v>
      </c>
      <c r="U12" s="1516">
        <f t="shared" si="5"/>
        <v>0</v>
      </c>
      <c r="V12" s="1516">
        <f t="shared" ref="V12" si="6">IF(Language="Francais", BW12, BU12)</f>
        <v>0</v>
      </c>
      <c r="BA12" s="184" t="s">
        <v>116</v>
      </c>
      <c r="BC12" s="184" t="s">
        <v>1132</v>
      </c>
    </row>
    <row r="13" spans="2:128" ht="22.5" hidden="1" customHeight="1" x14ac:dyDescent="0.25">
      <c r="B13" s="1518"/>
      <c r="C13" s="1517" t="str">
        <f>IF(AA10&gt;=3, "You have at least 3 years of data with reporting rates greater than 80%.", IF(SUM(AA10:AA11)&gt;=3, "You have at least 3 years of data with reporting rates greater than 60%, consider whether this data can be representative.", "Reporting Rates are generally below 60%, so this data is likely not representative of national trends. This may be an opportunity to address data quality."))</f>
        <v>Reporting Rates are generally below 60%, so this data is likely not representative of national trends. This may be an opportunity to address data quality.</v>
      </c>
      <c r="D13" s="1517"/>
      <c r="E13" s="1517"/>
      <c r="F13" s="1517"/>
      <c r="G13" s="1517"/>
      <c r="H13" s="1517"/>
      <c r="I13" s="1517"/>
      <c r="J13" s="1517"/>
      <c r="K13" s="1517"/>
      <c r="L13" s="1517"/>
      <c r="M13" s="1517"/>
      <c r="N13" s="1517"/>
      <c r="O13" s="1517"/>
      <c r="P13" s="1517"/>
      <c r="Q13" s="1517"/>
      <c r="R13" s="1517"/>
      <c r="S13" s="1517"/>
      <c r="T13" s="1517"/>
      <c r="U13" s="1517"/>
      <c r="V13" s="1517"/>
    </row>
    <row r="14" spans="2:128" ht="25.5" hidden="1" customHeight="1" x14ac:dyDescent="0.45">
      <c r="B14" s="1518"/>
      <c r="C14" s="1519" t="str">
        <f>IF(COUNT(G10:V10)&lt;COUNT(G9:V9), "You have not entered reporting rates for all years, please add this data to continue", "")</f>
        <v>You have not entered reporting rates for all years, please add this data to continue</v>
      </c>
      <c r="D14" s="1519"/>
      <c r="E14" s="1519"/>
      <c r="F14" s="1519"/>
      <c r="G14" s="1519"/>
      <c r="H14" s="1519"/>
      <c r="I14" s="1519"/>
      <c r="J14" s="1519"/>
      <c r="K14" s="1519"/>
      <c r="L14" s="1519"/>
      <c r="M14" s="1519"/>
      <c r="N14" s="1519"/>
      <c r="O14" s="1519"/>
      <c r="P14" s="1519"/>
      <c r="Q14" s="1519"/>
      <c r="R14" s="1519"/>
      <c r="S14" s="1519"/>
      <c r="T14" s="1519"/>
      <c r="U14" s="1519"/>
      <c r="V14" s="1519"/>
      <c r="CH14" s="2"/>
    </row>
    <row r="15" spans="2:128" ht="5.25" customHeight="1" x14ac:dyDescent="0.25"/>
    <row r="16" spans="2:128" ht="27" thickBot="1" x14ac:dyDescent="0.45">
      <c r="B16" s="243" t="str">
        <f>IF(Language="English", BA16, BC16)</f>
        <v>ÉTAPE 2 de 3. SAISIR LES DONNÉES DES PRODUITS</v>
      </c>
      <c r="C16" s="232"/>
      <c r="D16" s="232"/>
      <c r="E16" s="232"/>
      <c r="F16" s="232"/>
      <c r="G16" s="232"/>
      <c r="H16" s="232"/>
      <c r="I16" s="232"/>
      <c r="J16" s="232"/>
      <c r="K16" s="232"/>
      <c r="L16" s="232"/>
      <c r="M16" s="232"/>
      <c r="N16" s="232"/>
      <c r="O16" s="232"/>
      <c r="P16" s="232"/>
      <c r="Q16" s="232"/>
      <c r="R16" s="232"/>
      <c r="S16" s="232"/>
      <c r="T16" s="232"/>
      <c r="U16" s="232"/>
      <c r="V16" s="232"/>
      <c r="AA16" s="1543" t="str">
        <f>IF(Language="English", BA20, BC20)</f>
        <v>OPTIONNEL: SAISIR LES AJUSTEMENTS POUR LES DONNÉES DU SECTEUR PRIVÉ MANQUANTES</v>
      </c>
      <c r="AB16" s="1543"/>
      <c r="AC16" s="1543"/>
      <c r="AD16" s="1543"/>
      <c r="AE16" s="1543"/>
      <c r="AF16" s="1543"/>
      <c r="AG16" s="1543"/>
      <c r="AH16" s="1543"/>
      <c r="AI16" s="1543"/>
      <c r="AJ16" s="1543"/>
      <c r="AK16" s="1543"/>
      <c r="AL16" s="1543"/>
      <c r="AM16" s="1543"/>
      <c r="AN16" s="1543"/>
      <c r="AO16" s="1543"/>
      <c r="AP16" s="1543"/>
      <c r="AQ16" s="1543"/>
      <c r="AR16" s="1543"/>
      <c r="BA16" s="184" t="s">
        <v>1072</v>
      </c>
      <c r="BC16" s="184" t="s">
        <v>1073</v>
      </c>
      <c r="BK16">
        <v>1</v>
      </c>
      <c r="BL16">
        <v>2</v>
      </c>
      <c r="BM16">
        <v>3</v>
      </c>
      <c r="BN16">
        <v>4</v>
      </c>
      <c r="BO16">
        <v>5</v>
      </c>
      <c r="BP16">
        <v>6</v>
      </c>
      <c r="BQ16">
        <v>7</v>
      </c>
      <c r="BR16">
        <v>8</v>
      </c>
      <c r="BS16">
        <v>9</v>
      </c>
      <c r="BT16">
        <v>10</v>
      </c>
      <c r="BU16">
        <v>11</v>
      </c>
      <c r="BV16">
        <v>12</v>
      </c>
      <c r="BW16">
        <v>13</v>
      </c>
      <c r="BX16">
        <v>14</v>
      </c>
      <c r="BY16">
        <v>15</v>
      </c>
      <c r="BZ16">
        <v>16</v>
      </c>
      <c r="CC16">
        <v>1</v>
      </c>
      <c r="CD16">
        <v>2</v>
      </c>
      <c r="CE16">
        <v>3</v>
      </c>
      <c r="CF16">
        <v>4</v>
      </c>
      <c r="CG16">
        <v>5</v>
      </c>
      <c r="CH16">
        <v>6</v>
      </c>
      <c r="CI16">
        <v>7</v>
      </c>
      <c r="CJ16">
        <v>8</v>
      </c>
      <c r="CK16">
        <v>9</v>
      </c>
      <c r="CL16">
        <v>10</v>
      </c>
      <c r="CM16">
        <v>11</v>
      </c>
      <c r="CN16">
        <v>12</v>
      </c>
      <c r="CO16">
        <v>13</v>
      </c>
      <c r="CP16">
        <v>14</v>
      </c>
      <c r="CQ16">
        <v>15</v>
      </c>
      <c r="CR16">
        <v>16</v>
      </c>
      <c r="CU16">
        <v>1</v>
      </c>
      <c r="CV16">
        <v>2</v>
      </c>
      <c r="CW16">
        <v>3</v>
      </c>
      <c r="CX16">
        <v>4</v>
      </c>
      <c r="CY16">
        <v>5</v>
      </c>
      <c r="CZ16">
        <v>6</v>
      </c>
      <c r="DA16">
        <v>7</v>
      </c>
      <c r="DB16">
        <v>8</v>
      </c>
      <c r="DC16">
        <v>9</v>
      </c>
      <c r="DD16">
        <v>10</v>
      </c>
      <c r="DE16">
        <v>11</v>
      </c>
      <c r="DF16">
        <v>12</v>
      </c>
      <c r="DG16">
        <v>13</v>
      </c>
      <c r="DH16">
        <v>14</v>
      </c>
      <c r="DI16">
        <v>15</v>
      </c>
      <c r="DJ16">
        <v>16</v>
      </c>
    </row>
    <row r="17" spans="2:136" ht="37.9" customHeight="1" thickBot="1" x14ac:dyDescent="0.3">
      <c r="B17" s="196" t="str">
        <f>IF(Language="English", BA17, BC17)</f>
        <v>Saisissez les chiffres des produits annuels par méthode dans le tableau ci-dessous pour les méthodes utilisées dans votre pays. Saisissez les données pour chaque année.</v>
      </c>
      <c r="AA17" s="1541" t="str">
        <f>IF(Language="English", BA21, BC21)</f>
        <v>Si vous souhaitez modifier l'ajustement du secteur privé au fil du temps, vous pouvez le faire ci-dessous. Ces chiffres représentent le facteur d'inflation, par méthode, qui sera utilisé pour ajuster les valeurs que vous avez saisies à gauche pour représenter l'ensemble du marché (toutes les prestations de PF du secteur public et privé).</v>
      </c>
      <c r="AB17" s="1541"/>
      <c r="AC17" s="1541"/>
      <c r="AD17" s="1541"/>
      <c r="AE17" s="1541"/>
      <c r="AF17" s="1541"/>
      <c r="AG17" s="1541"/>
      <c r="AH17" s="1541"/>
      <c r="AI17" s="1541"/>
      <c r="AJ17" s="1541"/>
      <c r="AK17" s="1541"/>
      <c r="AL17" s="1541"/>
      <c r="AM17" s="1541"/>
      <c r="AN17" s="1541"/>
      <c r="AO17" s="1541"/>
      <c r="AP17" s="1541"/>
      <c r="AQ17" s="1541"/>
      <c r="AR17" s="1541"/>
      <c r="BA17" s="196" t="s">
        <v>81</v>
      </c>
      <c r="BC17" s="196" t="s">
        <v>822</v>
      </c>
      <c r="CU17" t="s">
        <v>1193</v>
      </c>
    </row>
    <row r="18" spans="2:136" ht="25.5" hidden="1" customHeight="1" x14ac:dyDescent="0.25">
      <c r="B18" s="196"/>
      <c r="AB18" s="1523" t="s">
        <v>112</v>
      </c>
      <c r="AC18" s="1523"/>
      <c r="AD18" s="1523"/>
      <c r="AE18" s="1523"/>
      <c r="AF18" s="1523"/>
      <c r="AG18" s="1523"/>
      <c r="AH18" s="1523"/>
      <c r="AI18" s="1523"/>
      <c r="AJ18" s="1523"/>
      <c r="AK18" s="1523"/>
      <c r="AL18" s="1523"/>
      <c r="AM18" s="1523"/>
      <c r="AN18" s="1523"/>
      <c r="AO18" s="1523"/>
      <c r="AP18" s="1523"/>
      <c r="AQ18" s="1523"/>
      <c r="AR18" s="1523"/>
    </row>
    <row r="19" spans="2:136" ht="19.5" hidden="1" customHeight="1" thickBot="1" x14ac:dyDescent="0.3">
      <c r="AB19" s="183" t="s">
        <v>991</v>
      </c>
      <c r="AC19" s="183"/>
      <c r="AD19" s="183"/>
      <c r="AE19" s="183"/>
      <c r="AF19" s="183"/>
      <c r="AG19" s="183"/>
      <c r="AH19" s="183"/>
      <c r="AI19" s="183"/>
      <c r="AJ19" s="183"/>
      <c r="AK19" s="183"/>
      <c r="AL19" s="183"/>
      <c r="AM19" s="183"/>
      <c r="AN19" s="183"/>
      <c r="AO19" s="183"/>
      <c r="AP19" s="183"/>
      <c r="AQ19" s="183"/>
      <c r="AR19" s="183"/>
      <c r="BK19" s="233" t="s">
        <v>563</v>
      </c>
      <c r="BL19" s="234"/>
      <c r="BM19" s="234"/>
      <c r="BN19" s="234"/>
      <c r="BO19" s="234"/>
      <c r="BP19" s="234"/>
      <c r="BQ19" s="234"/>
      <c r="BR19" s="234"/>
      <c r="BS19" s="234"/>
      <c r="BT19" s="234"/>
      <c r="BU19" s="234"/>
      <c r="BV19" s="234"/>
      <c r="BW19" s="234"/>
      <c r="BX19" s="234"/>
      <c r="BY19" s="234"/>
      <c r="BZ19" s="234"/>
      <c r="CC19" s="235">
        <f t="shared" ref="CC19:CR19" si="7">Y10</f>
        <v>0</v>
      </c>
      <c r="CD19" s="235">
        <f t="shared" si="7"/>
        <v>0</v>
      </c>
      <c r="CE19" s="235">
        <f t="shared" si="7"/>
        <v>0</v>
      </c>
      <c r="CF19" s="235">
        <f t="shared" si="7"/>
        <v>0</v>
      </c>
      <c r="CG19" s="235">
        <f t="shared" si="7"/>
        <v>0</v>
      </c>
      <c r="CH19" s="235">
        <f t="shared" si="7"/>
        <v>0</v>
      </c>
      <c r="CI19" s="235">
        <f t="shared" si="7"/>
        <v>0</v>
      </c>
      <c r="CJ19" s="235">
        <f t="shared" si="7"/>
        <v>0</v>
      </c>
      <c r="CK19" s="235">
        <f t="shared" si="7"/>
        <v>0</v>
      </c>
      <c r="CL19" s="235">
        <f t="shared" si="7"/>
        <v>0</v>
      </c>
      <c r="CM19" s="235">
        <f t="shared" si="7"/>
        <v>0</v>
      </c>
      <c r="CN19" s="235">
        <f t="shared" si="7"/>
        <v>0</v>
      </c>
      <c r="CO19" s="235">
        <f t="shared" si="7"/>
        <v>0</v>
      </c>
      <c r="CP19" s="235">
        <f t="shared" si="7"/>
        <v>0</v>
      </c>
      <c r="CQ19" s="235">
        <f t="shared" si="7"/>
        <v>0</v>
      </c>
      <c r="CR19" s="235">
        <f t="shared" si="7"/>
        <v>0</v>
      </c>
      <c r="CU19" s="235">
        <f t="shared" ref="CU19:DJ19" si="8">AQ10</f>
        <v>0</v>
      </c>
      <c r="CV19" s="235">
        <f t="shared" si="8"/>
        <v>0</v>
      </c>
      <c r="CW19" s="235">
        <f t="shared" si="8"/>
        <v>0</v>
      </c>
      <c r="CX19" s="235">
        <f t="shared" si="8"/>
        <v>0</v>
      </c>
      <c r="CY19" s="235">
        <f t="shared" si="8"/>
        <v>0</v>
      </c>
      <c r="CZ19" s="235">
        <f t="shared" si="8"/>
        <v>0</v>
      </c>
      <c r="DA19" s="235">
        <f t="shared" si="8"/>
        <v>0</v>
      </c>
      <c r="DB19" s="235">
        <f t="shared" si="8"/>
        <v>0</v>
      </c>
      <c r="DC19" s="235">
        <f t="shared" si="8"/>
        <v>0</v>
      </c>
      <c r="DD19" s="235">
        <f t="shared" si="8"/>
        <v>0</v>
      </c>
      <c r="DE19" s="235">
        <f t="shared" si="8"/>
        <v>0</v>
      </c>
      <c r="DF19" s="235">
        <f t="shared" si="8"/>
        <v>0</v>
      </c>
      <c r="DG19" s="235">
        <f t="shared" si="8"/>
        <v>0</v>
      </c>
      <c r="DH19" s="235">
        <f t="shared" si="8"/>
        <v>0</v>
      </c>
      <c r="DI19" s="235">
        <f t="shared" si="8"/>
        <v>0</v>
      </c>
      <c r="DJ19" s="235">
        <f t="shared" si="8"/>
        <v>0</v>
      </c>
    </row>
    <row r="20" spans="2:136" ht="24.75" thickTop="1" thickBot="1" x14ac:dyDescent="0.4">
      <c r="B20" s="1"/>
      <c r="C20" s="1"/>
      <c r="D20" s="1521" t="str">
        <f>IF(AND(SUM(D23:D29,D32:D46)&lt;&gt;Assumptions!$D$32, Language="English"), "CYP Factor Changed", IF(AND(SUM(D23:D29,D32:D46)&lt;&gt;Assumptions!$D$32, Language="Francais"), "Facteur CAP modifié",""))</f>
        <v/>
      </c>
      <c r="E20" s="1521"/>
      <c r="F20" s="1521"/>
      <c r="G20" s="423" t="str">
        <f>'3. ServiceStats Set Up'!B16</f>
        <v>Produits de planification familiale distribués aux clients</v>
      </c>
      <c r="H20" s="424"/>
      <c r="I20" s="424"/>
      <c r="J20" s="424"/>
      <c r="K20" s="424"/>
      <c r="L20" s="424"/>
      <c r="M20" s="424"/>
      <c r="N20" s="424"/>
      <c r="O20" s="424"/>
      <c r="P20" s="424"/>
      <c r="Q20" s="424"/>
      <c r="R20" s="424"/>
      <c r="S20" s="424"/>
      <c r="T20" s="424"/>
      <c r="U20" s="424"/>
      <c r="V20" s="425"/>
      <c r="AA20" s="147"/>
      <c r="AB20" s="455" t="str">
        <f>IF(Language="English", BA22, BC22)</f>
        <v>Facteur d'ajustement</v>
      </c>
      <c r="AC20" s="456"/>
      <c r="AD20" s="456"/>
      <c r="AE20" s="456"/>
      <c r="AF20" s="456"/>
      <c r="AG20" s="456"/>
      <c r="AH20" s="456"/>
      <c r="AI20" s="456"/>
      <c r="AJ20" s="456"/>
      <c r="AK20" s="456"/>
      <c r="AL20" s="456"/>
      <c r="AM20" s="456"/>
      <c r="AN20" s="456"/>
      <c r="AO20" s="456"/>
      <c r="AP20" s="456"/>
      <c r="AQ20" s="457"/>
      <c r="AR20" s="454" t="s">
        <v>125</v>
      </c>
      <c r="BA20" s="184" t="s">
        <v>817</v>
      </c>
      <c r="BC20" s="184" t="s">
        <v>837</v>
      </c>
      <c r="BK20" s="1533" t="s">
        <v>1190</v>
      </c>
      <c r="BL20" s="1533"/>
      <c r="BM20" s="1533"/>
      <c r="BN20" s="1533"/>
      <c r="BO20" s="1533"/>
      <c r="BP20" s="1533"/>
      <c r="BQ20" s="1533"/>
      <c r="BR20" s="1533"/>
      <c r="BS20" s="1533"/>
      <c r="BT20" s="1533"/>
      <c r="BU20" s="1533"/>
      <c r="BV20" s="1533"/>
      <c r="BW20" s="1533"/>
      <c r="BX20" s="1533"/>
      <c r="BY20" s="1533"/>
      <c r="BZ20" s="1534"/>
      <c r="CB20" s="147"/>
      <c r="CC20" s="1533" t="s">
        <v>1018</v>
      </c>
      <c r="CD20" s="1533"/>
      <c r="CE20" s="1533"/>
      <c r="CF20" s="1533"/>
      <c r="CG20" s="1533"/>
      <c r="CH20" s="1533"/>
      <c r="CI20" s="1533"/>
      <c r="CJ20" s="1533"/>
      <c r="CK20" s="1533"/>
      <c r="CL20" s="1533"/>
      <c r="CM20" s="1533"/>
      <c r="CN20" s="1533"/>
      <c r="CO20" s="1533"/>
      <c r="CP20" s="1533"/>
      <c r="CQ20" s="1533"/>
      <c r="CR20" s="1534"/>
      <c r="CT20" s="147"/>
      <c r="CU20" s="1535" t="s">
        <v>1192</v>
      </c>
      <c r="CV20" s="1535"/>
      <c r="CW20" s="1535"/>
      <c r="CX20" s="1535"/>
      <c r="CY20" s="1535"/>
      <c r="CZ20" s="1535"/>
      <c r="DA20" s="1535"/>
      <c r="DB20" s="1535"/>
      <c r="DC20" s="1535"/>
      <c r="DD20" s="1535"/>
      <c r="DE20" s="1535"/>
      <c r="DF20" s="1535"/>
      <c r="DG20" s="1535"/>
      <c r="DH20" s="1535"/>
      <c r="DI20" s="1535"/>
      <c r="DJ20" s="1536"/>
      <c r="DN20" s="1535" t="s">
        <v>1098</v>
      </c>
      <c r="DO20" s="1535"/>
      <c r="DP20" s="1535"/>
      <c r="DQ20" s="1535"/>
      <c r="DR20" s="1535"/>
      <c r="DS20" s="1535"/>
      <c r="DT20" s="1535"/>
      <c r="DU20" s="1535"/>
      <c r="DV20" s="1535"/>
      <c r="DW20" s="1535"/>
      <c r="DX20" s="1535"/>
      <c r="DY20" s="1535"/>
      <c r="DZ20" s="1535"/>
      <c r="EA20" s="1535"/>
      <c r="EB20" s="1535"/>
      <c r="EC20" s="1535"/>
      <c r="ED20" s="1535"/>
      <c r="EE20" s="1535"/>
      <c r="EF20" s="1536"/>
    </row>
    <row r="21" spans="2:136" ht="32.25" customHeight="1" thickTop="1" thickBot="1" x14ac:dyDescent="0.3">
      <c r="B21" s="1515" t="s">
        <v>6</v>
      </c>
      <c r="C21" s="1515"/>
      <c r="D21" s="98" t="s">
        <v>8</v>
      </c>
      <c r="E21" s="229"/>
      <c r="F21" s="229" t="s">
        <v>84</v>
      </c>
      <c r="G21" s="426">
        <f>'3. ServiceStats Set Up'!$C$19</f>
        <v>0</v>
      </c>
      <c r="H21" s="427" t="str">
        <f>IFERROR(IF(G21+1&lt;='3. ServiceStats Set Up'!$C$20, 'Commodities (Clients) Input'!G21+1, ""), "")</f>
        <v/>
      </c>
      <c r="I21" s="427" t="str">
        <f>IFERROR(IF(H21+1&lt;='3. ServiceStats Set Up'!$C$20, 'Commodities (Clients) Input'!H21+1, ""), "")</f>
        <v/>
      </c>
      <c r="J21" s="427" t="str">
        <f>IFERROR(IF(I21+1&lt;='3. ServiceStats Set Up'!$C$20, 'Commodities (Clients) Input'!I21+1, ""), "")</f>
        <v/>
      </c>
      <c r="K21" s="427" t="str">
        <f>IFERROR(IF(J21+1&lt;='3. ServiceStats Set Up'!$C$20, 'Commodities (Clients) Input'!J21+1, ""), "")</f>
        <v/>
      </c>
      <c r="L21" s="427" t="str">
        <f>IFERROR(IF(K21+1&lt;='3. ServiceStats Set Up'!$C$20, 'Commodities (Clients) Input'!K21+1, ""), "")</f>
        <v/>
      </c>
      <c r="M21" s="427" t="str">
        <f>IFERROR(IF(L21+1&lt;='3. ServiceStats Set Up'!$C$20, 'Commodities (Clients) Input'!L21+1, ""), "")</f>
        <v/>
      </c>
      <c r="N21" s="427" t="str">
        <f>IFERROR(IF(M21+1&lt;='3. ServiceStats Set Up'!$C$20, 'Commodities (Clients) Input'!M21+1, ""), "")</f>
        <v/>
      </c>
      <c r="O21" s="427" t="str">
        <f>IFERROR(IF(N21+1&lt;='3. ServiceStats Set Up'!$C$20, 'Commodities (Clients) Input'!N21+1, ""), "")</f>
        <v/>
      </c>
      <c r="P21" s="427" t="str">
        <f>IFERROR(IF(O21+1&lt;='3. ServiceStats Set Up'!$C$20, 'Commodities (Clients) Input'!O21+1, ""), "")</f>
        <v/>
      </c>
      <c r="Q21" s="427" t="str">
        <f>IFERROR(IF(P21+1&lt;='3. ServiceStats Set Up'!$C$20, 'Commodities (Clients) Input'!P21+1, ""), "")</f>
        <v/>
      </c>
      <c r="R21" s="427" t="str">
        <f>IFERROR(IF(Q21+1&lt;='3. ServiceStats Set Up'!$C$20, 'Commodities (Clients) Input'!Q21+1, ""), "")</f>
        <v/>
      </c>
      <c r="S21" s="427" t="str">
        <f>IFERROR(IF(R21+1&lt;='3. ServiceStats Set Up'!$C$20, 'Commodities (Clients) Input'!R21+1, ""), "")</f>
        <v/>
      </c>
      <c r="T21" s="427" t="str">
        <f>IFERROR(IF(S21+1&lt;='3. ServiceStats Set Up'!$C$20, 'Commodities (Clients) Input'!S21+1, ""), "")</f>
        <v/>
      </c>
      <c r="U21" s="427" t="str">
        <f>IFERROR(IF(T21+1&lt;='3. ServiceStats Set Up'!$C$20, 'Commodities (Clients) Input'!T21+1, ""), "")</f>
        <v/>
      </c>
      <c r="V21" s="428" t="str">
        <f>IFERROR(IF(U21+1&lt;='3. ServiceStats Set Up'!$C$20, 'Commodities (Clients) Input'!U21+1, ""), "")</f>
        <v/>
      </c>
      <c r="AA21" s="150"/>
      <c r="AB21" s="458">
        <f>'3. ServiceStats Set Up'!$C$19</f>
        <v>0</v>
      </c>
      <c r="AC21" s="458" t="str">
        <f>IFERROR(IF(AB21+1&lt;='3. ServiceStats Set Up'!$C$20, 'Commodities (Clients) Input'!AB21+1, ""), "")</f>
        <v/>
      </c>
      <c r="AD21" s="458" t="str">
        <f>IFERROR(IF(AC21+1&lt;='3. ServiceStats Set Up'!$C$20, 'Commodities (Clients) Input'!AC21+1, ""), "")</f>
        <v/>
      </c>
      <c r="AE21" s="458" t="str">
        <f>IFERROR(IF(AD21+1&lt;='3. ServiceStats Set Up'!$C$20, 'Commodities (Clients) Input'!AD21+1, ""), "")</f>
        <v/>
      </c>
      <c r="AF21" s="458" t="str">
        <f>IFERROR(IF(AE21+1&lt;='3. ServiceStats Set Up'!$C$20, 'Commodities (Clients) Input'!AE21+1, ""), "")</f>
        <v/>
      </c>
      <c r="AG21" s="458" t="str">
        <f>IFERROR(IF(AF21+1&lt;='3. ServiceStats Set Up'!$C$20, 'Commodities (Clients) Input'!AF21+1, ""), "")</f>
        <v/>
      </c>
      <c r="AH21" s="458" t="str">
        <f>IFERROR(IF(AG21+1&lt;='3. ServiceStats Set Up'!$C$20, 'Commodities (Clients) Input'!AG21+1, ""), "")</f>
        <v/>
      </c>
      <c r="AI21" s="458" t="str">
        <f>IFERROR(IF(AH21+1&lt;='3. ServiceStats Set Up'!$C$20, 'Commodities (Clients) Input'!AH21+1, ""), "")</f>
        <v/>
      </c>
      <c r="AJ21" s="458" t="str">
        <f>IFERROR(IF(AI21+1&lt;='3. ServiceStats Set Up'!$C$20, 'Commodities (Clients) Input'!AI21+1, ""), "")</f>
        <v/>
      </c>
      <c r="AK21" s="458" t="str">
        <f>IFERROR(IF(AJ21+1&lt;='3. ServiceStats Set Up'!$C$20, 'Commodities (Clients) Input'!AJ21+1, ""), "")</f>
        <v/>
      </c>
      <c r="AL21" s="458" t="str">
        <f>IFERROR(IF(AK21+1&lt;='3. ServiceStats Set Up'!$C$20, 'Commodities (Clients) Input'!AK21+1, ""), "")</f>
        <v/>
      </c>
      <c r="AM21" s="458" t="str">
        <f>IFERROR(IF(AL21+1&lt;='3. ServiceStats Set Up'!$C$20, 'Commodities (Clients) Input'!AL21+1, ""), "")</f>
        <v/>
      </c>
      <c r="AN21" s="458" t="str">
        <f>IFERROR(IF(AM21+1&lt;='3. ServiceStats Set Up'!$C$20, 'Commodities (Clients) Input'!AM21+1, ""), "")</f>
        <v/>
      </c>
      <c r="AO21" s="458" t="str">
        <f>IFERROR(IF(AN21+1&lt;='3. ServiceStats Set Up'!$C$20, 'Commodities (Clients) Input'!AN21+1, ""), "")</f>
        <v/>
      </c>
      <c r="AP21" s="458" t="str">
        <f>IFERROR(IF(AO21+1&lt;='3. ServiceStats Set Up'!$C$20, 'Commodities (Clients) Input'!AO21+1, ""), "")</f>
        <v/>
      </c>
      <c r="AQ21" s="459" t="str">
        <f>IFERROR(IF(AP21+1&lt;='3. ServiceStats Set Up'!$C$20, 'Commodities (Clients) Input'!AP21+1, ""), "")</f>
        <v/>
      </c>
      <c r="AR21" s="569" t="str">
        <f>'4. FPSource Set Up'!D10</f>
        <v>No DHS Available - replace with your own data if available</v>
      </c>
      <c r="BA21" s="184" t="s">
        <v>1276</v>
      </c>
      <c r="BC21" s="184" t="s">
        <v>1308</v>
      </c>
      <c r="BK21" s="47">
        <f>'3. ServiceStats Set Up'!$C$19</f>
        <v>0</v>
      </c>
      <c r="BL21" s="47" t="str">
        <f>IFERROR(IF(BK21+1&lt;='3. ServiceStats Set Up'!$C$20, 'Commodities (Clients) Input'!BK21+1, ""), "")</f>
        <v/>
      </c>
      <c r="BM21" s="47" t="str">
        <f>IFERROR(IF(BL21+1&lt;='3. ServiceStats Set Up'!$C$20, 'Commodities (Clients) Input'!BL21+1, ""), "")</f>
        <v/>
      </c>
      <c r="BN21" s="47" t="str">
        <f>IFERROR(IF(BM21+1&lt;='3. ServiceStats Set Up'!$C$20, 'Commodities (Clients) Input'!BM21+1, ""), "")</f>
        <v/>
      </c>
      <c r="BO21" s="47" t="str">
        <f>IFERROR(IF(BN21+1&lt;='3. ServiceStats Set Up'!$C$20, 'Commodities (Clients) Input'!BN21+1, ""), "")</f>
        <v/>
      </c>
      <c r="BP21" s="47" t="str">
        <f>IFERROR(IF(BO21+1&lt;='3. ServiceStats Set Up'!$C$20, 'Commodities (Clients) Input'!BO21+1, ""), "")</f>
        <v/>
      </c>
      <c r="BQ21" s="47" t="str">
        <f>IFERROR(IF(BP21+1&lt;='3. ServiceStats Set Up'!$C$20, 'Commodities (Clients) Input'!BP21+1, ""), "")</f>
        <v/>
      </c>
      <c r="BR21" s="47" t="str">
        <f>IFERROR(IF(BQ21+1&lt;='3. ServiceStats Set Up'!$C$20, 'Commodities (Clients) Input'!BQ21+1, ""), "")</f>
        <v/>
      </c>
      <c r="BS21" s="47" t="str">
        <f>IFERROR(IF(BR21+1&lt;='3. ServiceStats Set Up'!$C$20, 'Commodities (Clients) Input'!BR21+1, ""), "")</f>
        <v/>
      </c>
      <c r="BT21" s="47" t="str">
        <f>IFERROR(IF(BS21+1&lt;='3. ServiceStats Set Up'!$C$20, 'Commodities (Clients) Input'!BS21+1, ""), "")</f>
        <v/>
      </c>
      <c r="BU21" s="47" t="str">
        <f>IFERROR(IF(BT21+1&lt;='3. ServiceStats Set Up'!$C$20, 'Commodities (Clients) Input'!BT21+1, ""), "")</f>
        <v/>
      </c>
      <c r="BV21" s="47" t="str">
        <f>IFERROR(IF(BU21+1&lt;='3. ServiceStats Set Up'!$C$20, 'Commodities (Clients) Input'!BU21+1, ""), "")</f>
        <v/>
      </c>
      <c r="BW21" s="47" t="str">
        <f>IFERROR(IF(BV21+1&lt;='3. ServiceStats Set Up'!$C$20, 'Commodities (Clients) Input'!BV21+1, ""), "")</f>
        <v/>
      </c>
      <c r="BX21" s="47" t="str">
        <f>IFERROR(IF(BW21+1&lt;='3. ServiceStats Set Up'!$C$20, 'Commodities (Clients) Input'!BW21+1, ""), "")</f>
        <v/>
      </c>
      <c r="BY21" s="47" t="str">
        <f>IFERROR(IF(BX21+1&lt;='3. ServiceStats Set Up'!$C$20, 'Commodities (Clients) Input'!BX21+1, ""), "")</f>
        <v/>
      </c>
      <c r="BZ21" s="48" t="str">
        <f>IFERROR(IF(BY21+1&lt;='3. ServiceStats Set Up'!$C$20, 'Commodities (Clients) Input'!BY21+1, ""), "")</f>
        <v/>
      </c>
      <c r="CB21" s="150"/>
      <c r="CC21" s="47">
        <f>'3. ServiceStats Set Up'!$C$19</f>
        <v>0</v>
      </c>
      <c r="CD21" s="47" t="str">
        <f>IFERROR(IF(CC21+1&lt;='3. ServiceStats Set Up'!$C$20, 'Commodities (Clients) Input'!CC21+1, ""), "")</f>
        <v/>
      </c>
      <c r="CE21" s="47" t="str">
        <f>IFERROR(IF(CD21+1&lt;='3. ServiceStats Set Up'!$C$20, 'Commodities (Clients) Input'!CD21+1, ""), "")</f>
        <v/>
      </c>
      <c r="CF21" s="47" t="str">
        <f>IFERROR(IF(CE21+1&lt;='3. ServiceStats Set Up'!$C$20, 'Commodities (Clients) Input'!CE21+1, ""), "")</f>
        <v/>
      </c>
      <c r="CG21" s="47" t="str">
        <f>IFERROR(IF(CF21+1&lt;='3. ServiceStats Set Up'!$C$20, 'Commodities (Clients) Input'!CF21+1, ""), "")</f>
        <v/>
      </c>
      <c r="CH21" s="47" t="str">
        <f>IFERROR(IF(CG21+1&lt;='3. ServiceStats Set Up'!$C$20, 'Commodities (Clients) Input'!CG21+1, ""), "")</f>
        <v/>
      </c>
      <c r="CI21" s="47" t="str">
        <f>IFERROR(IF(CH21+1&lt;='3. ServiceStats Set Up'!$C$20, 'Commodities (Clients) Input'!CH21+1, ""), "")</f>
        <v/>
      </c>
      <c r="CJ21" s="47" t="str">
        <f>IFERROR(IF(CI21+1&lt;='3. ServiceStats Set Up'!$C$20, 'Commodities (Clients) Input'!CI21+1, ""), "")</f>
        <v/>
      </c>
      <c r="CK21" s="47" t="str">
        <f>IFERROR(IF(CJ21+1&lt;='3. ServiceStats Set Up'!$C$20, 'Commodities (Clients) Input'!CJ21+1, ""), "")</f>
        <v/>
      </c>
      <c r="CL21" s="47" t="str">
        <f>IFERROR(IF(CK21+1&lt;='3. ServiceStats Set Up'!$C$20, 'Commodities (Clients) Input'!CK21+1, ""), "")</f>
        <v/>
      </c>
      <c r="CM21" s="47" t="str">
        <f>IFERROR(IF(CL21+1&lt;='3. ServiceStats Set Up'!$C$20, 'Commodities (Clients) Input'!CL21+1, ""), "")</f>
        <v/>
      </c>
      <c r="CN21" s="47" t="str">
        <f>IFERROR(IF(CM21+1&lt;='3. ServiceStats Set Up'!$C$20, 'Commodities (Clients) Input'!CM21+1, ""), "")</f>
        <v/>
      </c>
      <c r="CO21" s="47" t="str">
        <f>IFERROR(IF(CN21+1&lt;='3. ServiceStats Set Up'!$C$20, 'Commodities (Clients) Input'!CN21+1, ""), "")</f>
        <v/>
      </c>
      <c r="CP21" s="47" t="str">
        <f>IFERROR(IF(CO21+1&lt;='3. ServiceStats Set Up'!$C$20, 'Commodities (Clients) Input'!CO21+1, ""), "")</f>
        <v/>
      </c>
      <c r="CQ21" s="47" t="str">
        <f>IFERROR(IF(CP21+1&lt;='3. ServiceStats Set Up'!$C$20, 'Commodities (Clients) Input'!CP21+1, ""), "")</f>
        <v/>
      </c>
      <c r="CR21" s="48" t="str">
        <f>IFERROR(IF(CQ21+1&lt;='3. ServiceStats Set Up'!$C$20, 'Commodities (Clients) Input'!CQ21+1, ""), "")</f>
        <v/>
      </c>
      <c r="CS21" s="1542" t="s">
        <v>1191</v>
      </c>
      <c r="CT21" s="147"/>
      <c r="CU21" s="47">
        <f>'3. ServiceStats Set Up'!$C$19</f>
        <v>0</v>
      </c>
      <c r="CV21" s="47" t="str">
        <f>IFERROR(IF(CU21+1&lt;='3. ServiceStats Set Up'!$C$20, 'Commodities (Clients) Input'!CU21+1, ""), "")</f>
        <v/>
      </c>
      <c r="CW21" s="47" t="str">
        <f>IFERROR(IF(CV21+1&lt;='3. ServiceStats Set Up'!$C$20, 'Commodities (Clients) Input'!CV21+1, ""), "")</f>
        <v/>
      </c>
      <c r="CX21" s="47" t="str">
        <f>IFERROR(IF(CW21+1&lt;='3. ServiceStats Set Up'!$C$20, 'Commodities (Clients) Input'!CW21+1, ""), "")</f>
        <v/>
      </c>
      <c r="CY21" s="47" t="str">
        <f>IFERROR(IF(CX21+1&lt;='3. ServiceStats Set Up'!$C$20, 'Commodities (Clients) Input'!CX21+1, ""), "")</f>
        <v/>
      </c>
      <c r="CZ21" s="47" t="str">
        <f>IFERROR(IF(CY21+1&lt;='3. ServiceStats Set Up'!$C$20, 'Commodities (Clients) Input'!CY21+1, ""), "")</f>
        <v/>
      </c>
      <c r="DA21" s="47" t="str">
        <f>IFERROR(IF(CZ21+1&lt;='3. ServiceStats Set Up'!$C$20, 'Commodities (Clients) Input'!CZ21+1, ""), "")</f>
        <v/>
      </c>
      <c r="DB21" s="47" t="str">
        <f>IFERROR(IF(DA21+1&lt;='3. ServiceStats Set Up'!$C$20, 'Commodities (Clients) Input'!DA21+1, ""), "")</f>
        <v/>
      </c>
      <c r="DC21" s="47" t="str">
        <f>IFERROR(IF(DB21+1&lt;='3. ServiceStats Set Up'!$C$20, 'Commodities (Clients) Input'!DB21+1, ""), "")</f>
        <v/>
      </c>
      <c r="DD21" s="47" t="str">
        <f>IFERROR(IF(DC21+1&lt;='3. ServiceStats Set Up'!$C$20, 'Commodities (Clients) Input'!DC21+1, ""), "")</f>
        <v/>
      </c>
      <c r="DE21" s="47" t="str">
        <f>IFERROR(IF(DD21+1&lt;='3. ServiceStats Set Up'!$C$20, 'Commodities (Clients) Input'!DD21+1, ""), "")</f>
        <v/>
      </c>
      <c r="DF21" s="47" t="str">
        <f>IFERROR(IF(DE21+1&lt;='3. ServiceStats Set Up'!$C$20, 'Commodities (Clients) Input'!DE21+1, ""), "")</f>
        <v/>
      </c>
      <c r="DG21" s="47" t="str">
        <f>IFERROR(IF(DF21+1&lt;='3. ServiceStats Set Up'!$C$20, 'Commodities (Clients) Input'!DF21+1, ""), "")</f>
        <v/>
      </c>
      <c r="DH21" s="47" t="str">
        <f>IFERROR(IF(DG21+1&lt;='3. ServiceStats Set Up'!$C$20, 'Commodities (Clients) Input'!DG21+1, ""), "")</f>
        <v/>
      </c>
      <c r="DI21" s="47" t="str">
        <f>IFERROR(IF(DH21+1&lt;='3. ServiceStats Set Up'!$C$20, 'Commodities (Clients) Input'!DH21+1, ""), "")</f>
        <v/>
      </c>
      <c r="DJ21" s="48" t="str">
        <f>IFERROR(IF(DI21+1&lt;='3. ServiceStats Set Up'!$C$20, 'Commodities (Clients) Input'!DI21+1, ""), "")</f>
        <v/>
      </c>
      <c r="DN21" s="494">
        <f t="shared" ref="DN21:EC21" si="9">CC21</f>
        <v>0</v>
      </c>
      <c r="DO21" s="494" t="str">
        <f t="shared" si="9"/>
        <v/>
      </c>
      <c r="DP21" s="494" t="str">
        <f t="shared" si="9"/>
        <v/>
      </c>
      <c r="DQ21" s="494" t="str">
        <f t="shared" si="9"/>
        <v/>
      </c>
      <c r="DR21" s="494" t="str">
        <f t="shared" si="9"/>
        <v/>
      </c>
      <c r="DS21" s="494" t="str">
        <f t="shared" si="9"/>
        <v/>
      </c>
      <c r="DT21" s="494" t="str">
        <f t="shared" si="9"/>
        <v/>
      </c>
      <c r="DU21" s="494" t="str">
        <f t="shared" si="9"/>
        <v/>
      </c>
      <c r="DV21" s="494" t="str">
        <f t="shared" si="9"/>
        <v/>
      </c>
      <c r="DW21" s="494" t="str">
        <f t="shared" si="9"/>
        <v/>
      </c>
      <c r="DX21" s="494" t="str">
        <f t="shared" si="9"/>
        <v/>
      </c>
      <c r="DY21" s="494" t="str">
        <f t="shared" si="9"/>
        <v/>
      </c>
      <c r="DZ21" s="494" t="str">
        <f t="shared" si="9"/>
        <v/>
      </c>
      <c r="EA21" s="494" t="str">
        <f t="shared" si="9"/>
        <v/>
      </c>
      <c r="EB21" s="494" t="str">
        <f t="shared" si="9"/>
        <v/>
      </c>
      <c r="EC21" s="494" t="str">
        <f t="shared" si="9"/>
        <v/>
      </c>
      <c r="ED21" s="1539" t="s">
        <v>1071</v>
      </c>
      <c r="EE21" s="1537" t="s">
        <v>731</v>
      </c>
    </row>
    <row r="22" spans="2:136" s="1" customFormat="1" ht="18.75" customHeight="1" x14ac:dyDescent="0.25">
      <c r="B22" s="415" t="str">
        <f>IF(Language="English", 'Language Look Ups'!$O$5,IF(Language="Francais", 'Language Look Ups'!$S$5,  'Language Look Ups'!$Q$5))</f>
        <v>Méthodes à Long Terme et Permanentes</v>
      </c>
      <c r="C22" s="401"/>
      <c r="D22" s="402"/>
      <c r="E22" s="403"/>
      <c r="F22" s="177"/>
      <c r="G22" s="1307"/>
      <c r="H22" s="405"/>
      <c r="I22" s="404"/>
      <c r="J22" s="405"/>
      <c r="K22" s="404"/>
      <c r="L22" s="405"/>
      <c r="M22" s="404"/>
      <c r="N22" s="405"/>
      <c r="O22" s="404"/>
      <c r="P22" s="405"/>
      <c r="Q22" s="404"/>
      <c r="R22" s="405"/>
      <c r="S22" s="404"/>
      <c r="T22" s="405"/>
      <c r="U22" s="404"/>
      <c r="V22" s="406"/>
      <c r="W22"/>
      <c r="X22"/>
      <c r="Y22"/>
      <c r="Z22"/>
      <c r="AA22" s="460" t="str">
        <f>B22</f>
        <v>Méthodes à Long Terme et Permanentes</v>
      </c>
      <c r="AB22" s="46"/>
      <c r="AC22" s="44"/>
      <c r="AD22" s="43"/>
      <c r="AE22" s="44"/>
      <c r="AF22" s="43"/>
      <c r="AG22" s="44"/>
      <c r="AH22" s="43"/>
      <c r="AI22" s="44"/>
      <c r="AJ22" s="44"/>
      <c r="AK22" s="44"/>
      <c r="AL22" s="44"/>
      <c r="AM22" s="44"/>
      <c r="AN22" s="44"/>
      <c r="AO22" s="44"/>
      <c r="AP22" s="44"/>
      <c r="AQ22" s="461"/>
      <c r="AS22"/>
      <c r="AT22"/>
      <c r="AU22"/>
      <c r="AV22"/>
      <c r="AW22"/>
      <c r="AX22"/>
      <c r="AY22"/>
      <c r="AZ22"/>
      <c r="BA22" s="184" t="s">
        <v>102</v>
      </c>
      <c r="BB22" s="184"/>
      <c r="BC22" s="184" t="s">
        <v>838</v>
      </c>
      <c r="BD22"/>
      <c r="BE22"/>
      <c r="BF22"/>
      <c r="BG22"/>
      <c r="BH22"/>
      <c r="BI22" s="181"/>
      <c r="BK22" s="46"/>
      <c r="BL22" s="44"/>
      <c r="BM22" s="43"/>
      <c r="BN22" s="44"/>
      <c r="BO22" s="43"/>
      <c r="BP22" s="44"/>
      <c r="BQ22" s="43"/>
      <c r="BR22" s="44"/>
      <c r="BS22" s="44"/>
      <c r="BT22" s="44"/>
      <c r="BU22" s="44"/>
      <c r="BV22" s="44"/>
      <c r="BW22" s="44"/>
      <c r="BX22" s="44"/>
      <c r="BY22" s="44"/>
      <c r="BZ22" s="45"/>
      <c r="CB22" s="675"/>
      <c r="CC22" s="404"/>
      <c r="CD22" s="405"/>
      <c r="CE22" s="404"/>
      <c r="CF22" s="405"/>
      <c r="CG22" s="404"/>
      <c r="CH22" s="405"/>
      <c r="CI22" s="404"/>
      <c r="CJ22" s="405"/>
      <c r="CK22" s="404"/>
      <c r="CL22" s="405"/>
      <c r="CM22" s="404"/>
      <c r="CN22" s="405"/>
      <c r="CO22" s="404"/>
      <c r="CP22" s="405"/>
      <c r="CQ22" s="404"/>
      <c r="CR22" s="406"/>
      <c r="CS22" s="1542"/>
      <c r="CT22" s="675"/>
      <c r="CU22" s="404"/>
      <c r="CV22" s="405"/>
      <c r="CW22" s="404"/>
      <c r="CX22" s="405"/>
      <c r="CY22" s="404"/>
      <c r="CZ22" s="405"/>
      <c r="DA22" s="404"/>
      <c r="DB22" s="405"/>
      <c r="DC22" s="404"/>
      <c r="DD22" s="405"/>
      <c r="DE22" s="404"/>
      <c r="DF22" s="405"/>
      <c r="DG22" s="404"/>
      <c r="DH22" s="405"/>
      <c r="DI22" s="404"/>
      <c r="DJ22" s="406"/>
      <c r="DK22"/>
      <c r="DL22" s="352"/>
      <c r="DM22" s="352" t="s">
        <v>1099</v>
      </c>
      <c r="DN22" s="353" t="s">
        <v>300</v>
      </c>
      <c r="DO22" s="353" t="s">
        <v>301</v>
      </c>
      <c r="DP22" s="353" t="s">
        <v>302</v>
      </c>
      <c r="DQ22" s="353" t="s">
        <v>303</v>
      </c>
      <c r="DR22" s="353" t="s">
        <v>304</v>
      </c>
      <c r="DS22" s="353" t="s">
        <v>305</v>
      </c>
      <c r="DT22" s="353" t="s">
        <v>306</v>
      </c>
      <c r="DU22" s="353" t="s">
        <v>307</v>
      </c>
      <c r="DV22" s="353" t="s">
        <v>308</v>
      </c>
      <c r="DW22" s="391" t="s">
        <v>309</v>
      </c>
      <c r="DX22" s="353" t="s">
        <v>1061</v>
      </c>
      <c r="DY22" s="391" t="s">
        <v>1062</v>
      </c>
      <c r="DZ22" s="353" t="s">
        <v>1063</v>
      </c>
      <c r="EA22" s="802" t="s">
        <v>1116</v>
      </c>
      <c r="EB22" s="802" t="s">
        <v>1117</v>
      </c>
      <c r="EC22" s="802" t="s">
        <v>1118</v>
      </c>
      <c r="ED22" s="1540"/>
      <c r="EE22" s="1538"/>
      <c r="EF22"/>
    </row>
    <row r="23" spans="2:136" ht="17.25" customHeight="1" x14ac:dyDescent="0.25">
      <c r="B23" s="1480" t="str">
        <f>IF(Language="English",'Language Look Ups'!$O$6,IF(Language="Francais",'Language Look Ups'!$S$6,'Language Look Ups'!$Q$6))</f>
        <v>Stérilisation</v>
      </c>
      <c r="C23" s="363" t="str">
        <f>IF(Language="English", 'Language Look Ups'!$P$6,IF(Language="Francais", 'Language Look Ups'!$T$6, 'Language Look Ups'!$R$6))</f>
        <v>Ligature des trompes</v>
      </c>
      <c r="D23" s="407">
        <f>IF(OR(Country_Selected="India", Country_Selected = "Bangladesh", Country_Selected="Nepal"), 13, 10)</f>
        <v>10</v>
      </c>
      <c r="E23" s="408">
        <f>D23</f>
        <v>10</v>
      </c>
      <c r="F23" s="416" t="str">
        <f t="shared" ref="F23:F29" si="10">IF(Language="English", BA23, BC23)</f>
        <v>années de protection</v>
      </c>
      <c r="G23" s="1278"/>
      <c r="H23" s="409"/>
      <c r="I23" s="409"/>
      <c r="J23" s="409"/>
      <c r="K23" s="409"/>
      <c r="L23" s="409"/>
      <c r="M23" s="409"/>
      <c r="N23" s="409"/>
      <c r="O23" s="409"/>
      <c r="P23" s="409"/>
      <c r="Q23" s="409"/>
      <c r="R23" s="409"/>
      <c r="S23" s="409"/>
      <c r="T23" s="409"/>
      <c r="U23" s="409"/>
      <c r="V23" s="1279"/>
      <c r="AA23" s="462" t="str">
        <f t="shared" ref="AA23:AA29" si="11">C23</f>
        <v>Ligature des trompes</v>
      </c>
      <c r="AB23" s="1008" t="str">
        <f>IF(AB$21="", "", VLOOKUP($AA23,'4. FPSource Set Up'!$C$96:$H$117, 3, FALSE))</f>
        <v>n/a</v>
      </c>
      <c r="AC23" s="1009" t="str">
        <f>IF(AC$21="", "", VLOOKUP($AA23,'4. FPSource Set Up'!$C$96:$H$117, 3, FALSE))</f>
        <v/>
      </c>
      <c r="AD23" s="1009" t="str">
        <f>IF(AD$21="", "", VLOOKUP($AA23,'4. FPSource Set Up'!$C$96:$H$117, 3, FALSE))</f>
        <v/>
      </c>
      <c r="AE23" s="1009" t="str">
        <f>IF(AE$21="", "", VLOOKUP($AA23,'4. FPSource Set Up'!$C$96:$H$117, 3, FALSE))</f>
        <v/>
      </c>
      <c r="AF23" s="1009" t="str">
        <f>IF(AF$21="", "", VLOOKUP($AA23,'4. FPSource Set Up'!$C$96:$H$117, 3, FALSE))</f>
        <v/>
      </c>
      <c r="AG23" s="1009" t="str">
        <f>IF(AG$21="", "", VLOOKUP($AA23,'4. FPSource Set Up'!$C$96:$H$117, 3, FALSE))</f>
        <v/>
      </c>
      <c r="AH23" s="1009" t="str">
        <f>IF(AH$21="", "", VLOOKUP($AA23,'4. FPSource Set Up'!$C$96:$H$117, 3, FALSE))</f>
        <v/>
      </c>
      <c r="AI23" s="1009" t="str">
        <f>IF(AI$21="", "", VLOOKUP($AA23,'4. FPSource Set Up'!$C$96:$H$117, 3, FALSE))</f>
        <v/>
      </c>
      <c r="AJ23" s="1009" t="str">
        <f>IF(AJ$21="", "", VLOOKUP($AA23,'4. FPSource Set Up'!$C$96:$H$117, 3, FALSE))</f>
        <v/>
      </c>
      <c r="AK23" s="1009" t="str">
        <f>IF(AK$21="", "", VLOOKUP($AA23,'4. FPSource Set Up'!$C$96:$H$117, 3, FALSE))</f>
        <v/>
      </c>
      <c r="AL23" s="1009" t="str">
        <f>IF(AL$21="", "", VLOOKUP($AA23,'4. FPSource Set Up'!$C$96:$H$117, 3, FALSE))</f>
        <v/>
      </c>
      <c r="AM23" s="1009" t="str">
        <f>IF(AM$21="", "", VLOOKUP($AA23,'4. FPSource Set Up'!$C$96:$H$117, 3, FALSE))</f>
        <v/>
      </c>
      <c r="AN23" s="1009" t="str">
        <f>IF(AN$21="", "", VLOOKUP($AA23,'4. FPSource Set Up'!$C$96:$H$117, 3, FALSE))</f>
        <v/>
      </c>
      <c r="AO23" s="1009" t="str">
        <f>IF(AO$21="", "", VLOOKUP($AA23,'4. FPSource Set Up'!$C$96:$H$117, 3, FALSE))</f>
        <v/>
      </c>
      <c r="AP23" s="1009" t="str">
        <f>IF(AP$21="", "", VLOOKUP($AA23,'4. FPSource Set Up'!$C$96:$H$117, 3, FALSE))</f>
        <v/>
      </c>
      <c r="AQ23" s="1010" t="str">
        <f>IF(AQ$21="", "", VLOOKUP($AA23,'4. FPSource Set Up'!$C$96:$H$117, 3, FALSE))</f>
        <v/>
      </c>
      <c r="BA23" s="416" t="s">
        <v>9</v>
      </c>
      <c r="BC23" s="184" t="s">
        <v>835</v>
      </c>
      <c r="BJ23" s="676" t="str">
        <f>$C23</f>
        <v>Ligature des trompes</v>
      </c>
      <c r="BK23" s="664" t="str">
        <f t="shared" ref="BK23:BK29" si="12">IF(OR(BK$10&lt;0.6,BK$10=""), "", IFERROR(CU23+(G23*$DN23),""))</f>
        <v/>
      </c>
      <c r="BL23" s="664" t="str">
        <f t="shared" ref="BL23:BL29" si="13">IF(OR(BL$10&lt;0.6,BL$10=""), "", IFERROR(CV23+(G23*$DO23)+(H23*$DN23),""))</f>
        <v/>
      </c>
      <c r="BM23" s="664" t="str">
        <f t="shared" ref="BM23:BM29" si="14">IF(OR(BM$10&lt;0.6, BM$10=""), "", IFERROR(CW23+(G23*$DP23)+(H23*$DO23)+(I23*$DN23),""))</f>
        <v/>
      </c>
      <c r="BN23" s="664" t="str">
        <f t="shared" ref="BN23:BN29" si="15">IF(OR(BN$10&lt;0.6, BN$10=""),"", IFERROR(CX23+(G23*$DQ23)+(H23*$DP23)+(I23*$DO23)+(J23*$DN23), ""))</f>
        <v/>
      </c>
      <c r="BO23" s="664" t="str">
        <f t="shared" ref="BO23:BO29" si="16">IF(OR(BO$10&lt;0.6,BO$10=""), "", IFERROR(CY23+(G23*$DR23)+(H23*$DQ23)+(I23*$DP23)+(J23*$DO23)+(K23*$DN23), ""))</f>
        <v/>
      </c>
      <c r="BP23" s="664" t="str">
        <f t="shared" ref="BP23:BP29" si="17">IF(OR(BP$10&lt;0.6,BP$10=""), "", IFERROR(CZ23+(G23*$DS23)+(H23*$DR23)+(I23*$DQ23)+(J23*$DP23)+(K23*$DO23)+(L23*$DN23), ""))</f>
        <v/>
      </c>
      <c r="BQ23" s="664" t="str">
        <f t="shared" ref="BQ23:BQ29" si="18">IF(OR(BQ$10&lt;0.6,BQ$10=""), "", IFERROR(DA23+(G23*$DT23)+(H23*$DS23)+(I23*$DR23)+(J23*$DQ23)+(K23*$DP23)+(L23*$DO23)+(M23*$DN23), ""))</f>
        <v/>
      </c>
      <c r="BR23" s="664" t="str">
        <f t="shared" ref="BR23:BR29" si="19">IF(OR(BR$10&lt;0.6,BR$10=""), "", IFERROR(DB23+(G23*$DU23)+(H23*$DT23)+(I23*$DS23)+(J23*$DR23)+(K23*$DQ23)+(L23*$DP23)+(M23*$DO23)+(N23*$DN23), ""))</f>
        <v/>
      </c>
      <c r="BS23" s="664" t="str">
        <f t="shared" ref="BS23:BS29" si="20">IF(OR(BS$10&lt;0.6,BS$10=""), "", IFERROR(DC23+(G23*$DV23)+(H23*$DU23)+(I23*$DT23)+(J23*$DS23)+(K23*$DR23)+(L23*$DQ23)+(M23*$DP23)+(N23*$DO23)+(O23*$DN23), ""))</f>
        <v/>
      </c>
      <c r="BT23" s="664" t="str">
        <f t="shared" ref="BT23:BT29" si="21">IF(OR(BT$10&lt;0.6, BT$10=""),"", IFERROR(DD23+(G23*$DW23)+(H23*$DV23)+(I23*$DU23)+(J23*$DT23)+(K23*$DS23)+(L23*$DR23)+(M23*$DQ23)+(N23*$DP23)+(O23*$DO23)+(P23*$DN23), ""))</f>
        <v/>
      </c>
      <c r="BU23" s="664" t="str">
        <f t="shared" ref="BU23:BU29" si="22">IF(OR(BU$10&lt;0.6,BU$10=""), "", IFERROR(DE23+(G23*$DX23)+(H23*$DW23)+(I23*$DV23)+(J23*$DU23)+(K23*$DT23)+(L23*$DS23)+(M23*$DR23)+(N23*$DQ23)+(O23*$DP23)+(P23*$DO23)+(Q23*$DN23), ""))</f>
        <v/>
      </c>
      <c r="BV23" s="664" t="str">
        <f t="shared" ref="BV23:BV29" si="23">IF(OR(BV$10&lt;0.6,BV$10=""), "", IFERROR(DF23+(G23*$DY23)+(H23*$DX23)+(I23*$DW23)+(J23*$DV23)+(K23*$DU23)+(L23*$DT23)+(M23*$DS23)+(N23*$DR23)+(O23*$DQ23)+(P23*$DP23)+(Q23*$DO23)+(R23*$DN23), ""))</f>
        <v/>
      </c>
      <c r="BW23" s="664" t="str">
        <f t="shared" ref="BW23:BW29" si="24">IF(OR(BW$10&lt;0.6,BW$10=""), "", IFERROR(DZ23+(G23*$DZ23)+(H23*$DY23)+(I23*$DX23)+(J23*$DW23)+(K23*$DV23)+(L23*$DU23)+(M23*$DT23)+(N23*$DS23)+(O23*$DR23)+(P23*$DQ23)+(Q23*$DP23)+(R23*$DO23)+(S23*$DN23), ""))</f>
        <v/>
      </c>
      <c r="BX23" s="664" t="str">
        <f t="shared" ref="BX23:BZ29" si="25">IF(OR(BX$10&lt;0.6,BX$10=""), "", IFERROR((H23*$DZ23)+(I23*$DY23)+(J23*$DX23)+(K23*$DW23)+(L23*$DV23)+(M23*$DU23)+(N23*$DT23)+(O23*$DS23)+(P23*$DR23)+(Q23*$DQ23)+(R23*$DP23)+(S23*$DO23)+(T23*$DN23), ""))</f>
        <v/>
      </c>
      <c r="BY23" s="664" t="str">
        <f t="shared" si="25"/>
        <v/>
      </c>
      <c r="BZ23" s="664" t="str">
        <f t="shared" si="25"/>
        <v/>
      </c>
      <c r="CB23" s="676" t="str">
        <f>$C23</f>
        <v>Ligature des trompes</v>
      </c>
      <c r="CC23" s="664" t="str">
        <f t="shared" ref="CC23:CR29" si="26">IF(CC$21="", "", IF(BK23="", "",  BK23*AB23))</f>
        <v/>
      </c>
      <c r="CD23" s="664" t="str">
        <f t="shared" si="26"/>
        <v/>
      </c>
      <c r="CE23" s="664" t="str">
        <f t="shared" si="26"/>
        <v/>
      </c>
      <c r="CF23" s="664" t="str">
        <f t="shared" si="26"/>
        <v/>
      </c>
      <c r="CG23" s="664" t="str">
        <f t="shared" si="26"/>
        <v/>
      </c>
      <c r="CH23" s="664" t="str">
        <f t="shared" si="26"/>
        <v/>
      </c>
      <c r="CI23" s="664" t="str">
        <f t="shared" si="26"/>
        <v/>
      </c>
      <c r="CJ23" s="664" t="str">
        <f t="shared" si="26"/>
        <v/>
      </c>
      <c r="CK23" s="664" t="str">
        <f t="shared" si="26"/>
        <v/>
      </c>
      <c r="CL23" s="664" t="str">
        <f t="shared" si="26"/>
        <v/>
      </c>
      <c r="CM23" s="664" t="str">
        <f t="shared" si="26"/>
        <v/>
      </c>
      <c r="CN23" s="664" t="str">
        <f t="shared" si="26"/>
        <v/>
      </c>
      <c r="CO23" s="664" t="str">
        <f t="shared" si="26"/>
        <v/>
      </c>
      <c r="CP23" s="664" t="str">
        <f t="shared" si="26"/>
        <v/>
      </c>
      <c r="CQ23" s="664" t="str">
        <f t="shared" si="26"/>
        <v/>
      </c>
      <c r="CR23" s="664" t="str">
        <f t="shared" si="26"/>
        <v/>
      </c>
      <c r="CS23">
        <f>'3. ServiceStats Set Up'!E49</f>
        <v>1</v>
      </c>
      <c r="CT23" s="676" t="str">
        <f>$C23</f>
        <v>Ligature des trompes</v>
      </c>
      <c r="CU23" s="664">
        <f>IFERROR(($G23*SUM(DO23:$EC23)*$CS23), "")</f>
        <v>0</v>
      </c>
      <c r="CV23" s="664">
        <f>IFERROR(($G23*SUM(DP23:$EC23)*$CS23), "")</f>
        <v>0</v>
      </c>
      <c r="CW23" s="664">
        <f>IFERROR(($G23*SUM(DQ23:$EC23)*$CS23), "")</f>
        <v>0</v>
      </c>
      <c r="CX23" s="664">
        <f>IFERROR(($G23*SUM(DR23:$EC23)*$CS23), "")</f>
        <v>0</v>
      </c>
      <c r="CY23" s="664">
        <f>IFERROR(($G23*SUM(DS23:$EC23)*$CS23), "")</f>
        <v>0</v>
      </c>
      <c r="CZ23" s="664">
        <f>IFERROR(($G23*SUM(DT23:$EC23)*$CS23), "")</f>
        <v>0</v>
      </c>
      <c r="DA23" s="664">
        <f>IFERROR(($G23*SUM(DU23:$EC23)*$CS23), "")</f>
        <v>0</v>
      </c>
      <c r="DB23" s="664">
        <f>IFERROR(($G23*SUM(DV23:$EC23)*$CS23), "")</f>
        <v>0</v>
      </c>
      <c r="DC23" s="664">
        <f>IFERROR(($G23*SUM(DW23:$EC23)*$CS23), "")</f>
        <v>0</v>
      </c>
      <c r="DD23" s="664">
        <f>IFERROR(($G23*SUM(DX23:$EC23)*$CS23), "")</f>
        <v>0</v>
      </c>
      <c r="DE23" s="664">
        <f>IFERROR(($G23*SUM(DY23:$EC23)*$CS23), "")</f>
        <v>0</v>
      </c>
      <c r="DF23" s="664">
        <f>IFERROR(($G23*SUM(DZ23:$EC23)*$CS23), "")</f>
        <v>0</v>
      </c>
      <c r="DG23" s="664">
        <f>IFERROR(($G23*SUM(EA23:$EC23)*$CS23), "")</f>
        <v>0</v>
      </c>
      <c r="DH23" s="664">
        <f>IFERROR(($G23*SUM(EB23:$EC23)*$CS23), "")</f>
        <v>0</v>
      </c>
      <c r="DI23" s="664">
        <f>IFERROR(($G23*SUM(EC23:$EC23)*$CS23), "")</f>
        <v>0</v>
      </c>
      <c r="DJ23" s="664"/>
      <c r="DL23" s="1489" t="s">
        <v>1</v>
      </c>
      <c r="DM23" s="740" t="str">
        <f>CB23</f>
        <v>Ligature des trompes</v>
      </c>
      <c r="DN23" s="741">
        <f>$EE23</f>
        <v>1</v>
      </c>
      <c r="DO23" s="741">
        <f t="shared" ref="DO23:DW24" si="27">$EE23</f>
        <v>1</v>
      </c>
      <c r="DP23" s="741">
        <f t="shared" si="27"/>
        <v>1</v>
      </c>
      <c r="DQ23" s="741">
        <f t="shared" si="27"/>
        <v>1</v>
      </c>
      <c r="DR23" s="741">
        <f t="shared" si="27"/>
        <v>1</v>
      </c>
      <c r="DS23" s="741">
        <f t="shared" si="27"/>
        <v>1</v>
      </c>
      <c r="DT23" s="741">
        <f t="shared" si="27"/>
        <v>1</v>
      </c>
      <c r="DU23" s="741">
        <f t="shared" si="27"/>
        <v>1</v>
      </c>
      <c r="DV23" s="741">
        <f t="shared" si="27"/>
        <v>1</v>
      </c>
      <c r="DW23" s="741">
        <f t="shared" si="27"/>
        <v>1</v>
      </c>
      <c r="DX23" s="741">
        <f>IF(SUM($DN23:DW23)=$ED23, 0, $EE23)</f>
        <v>0</v>
      </c>
      <c r="DY23" s="741">
        <f>IF(SUM($DN23:DX23)=$ED23, 0, $EE23)</f>
        <v>0</v>
      </c>
      <c r="DZ23" s="741">
        <f>IF(SUM($DN23:DY23)=$ED23, 0, $EE23)</f>
        <v>0</v>
      </c>
      <c r="EA23" s="741">
        <f>IF(SUM($DN23:DZ23)=$ED23, 0, $EE23)</f>
        <v>0</v>
      </c>
      <c r="EB23" s="741">
        <f>IF(SUM($DN23:EA23)=$ED23, 0, $EE23)</f>
        <v>0</v>
      </c>
      <c r="EC23" s="741">
        <f>IF(SUM($DN23:EB23)=$ED23, 0, $EE23)</f>
        <v>0</v>
      </c>
      <c r="ED23" s="407">
        <f>IF(OR(Country_Selected="India", Country_Selected = "Bangladesh", Country_Selected="Nepal"), 13, 10)</f>
        <v>10</v>
      </c>
      <c r="EE23" s="395">
        <f t="shared" ref="EE23:EE29" si="28">IF(D23/ED23&gt;1, 1, D23/ED23)</f>
        <v>1</v>
      </c>
    </row>
    <row r="24" spans="2:136" ht="17.25" customHeight="1" x14ac:dyDescent="0.25">
      <c r="B24" s="1481"/>
      <c r="C24" s="275" t="str">
        <f>IF(Language="English",'Language Look Ups'!$P$7,IF(Language="Francais",'Language Look Ups'!$T$7,'Language Look Ups'!$R$7))</f>
        <v>Vasectomie</v>
      </c>
      <c r="D24" s="276">
        <f>IF(OR(Country_Selected="India", Country_Selected = "Bangladesh", Country_Selected="Nepal"), 13, 10)</f>
        <v>10</v>
      </c>
      <c r="E24" s="99">
        <f t="shared" ref="E24:E29" si="29">D24</f>
        <v>10</v>
      </c>
      <c r="F24" s="100" t="str">
        <f t="shared" si="10"/>
        <v>années de protection</v>
      </c>
      <c r="G24" s="1276"/>
      <c r="H24" s="284"/>
      <c r="I24" s="284"/>
      <c r="J24" s="284"/>
      <c r="K24" s="284"/>
      <c r="L24" s="284"/>
      <c r="M24" s="284"/>
      <c r="N24" s="284"/>
      <c r="O24" s="284"/>
      <c r="P24" s="284"/>
      <c r="Q24" s="284"/>
      <c r="R24" s="284"/>
      <c r="S24" s="284"/>
      <c r="T24" s="284"/>
      <c r="U24" s="284"/>
      <c r="V24" s="412"/>
      <c r="AA24" s="463" t="str">
        <f t="shared" si="11"/>
        <v>Vasectomie</v>
      </c>
      <c r="AB24" s="1035" t="str">
        <f>IF(AB$21="", "", VLOOKUP($AA24,'4. FPSource Set Up'!$C$96:$H$117, 3, FALSE))</f>
        <v>n/a</v>
      </c>
      <c r="AC24" s="1036" t="str">
        <f>IF(AC$21="", "", VLOOKUP($AA24,'4. FPSource Set Up'!$C$96:$H$117, 3, FALSE))</f>
        <v/>
      </c>
      <c r="AD24" s="1036" t="str">
        <f>IF(AD$21="", "", VLOOKUP($AA24,'4. FPSource Set Up'!$C$96:$H$117, 3, FALSE))</f>
        <v/>
      </c>
      <c r="AE24" s="1036" t="str">
        <f>IF(AE$21="", "", VLOOKUP($AA24,'4. FPSource Set Up'!$C$96:$H$117, 3, FALSE))</f>
        <v/>
      </c>
      <c r="AF24" s="1036" t="str">
        <f>IF(AF$21="", "", VLOOKUP($AA24,'4. FPSource Set Up'!$C$96:$H$117, 3, FALSE))</f>
        <v/>
      </c>
      <c r="AG24" s="1036" t="str">
        <f>IF(AG$21="", "", VLOOKUP($AA24,'4. FPSource Set Up'!$C$96:$H$117, 3, FALSE))</f>
        <v/>
      </c>
      <c r="AH24" s="1036" t="str">
        <f>IF(AH$21="", "", VLOOKUP($AA24,'4. FPSource Set Up'!$C$96:$H$117, 3, FALSE))</f>
        <v/>
      </c>
      <c r="AI24" s="1036" t="str">
        <f>IF(AI$21="", "", VLOOKUP($AA24,'4. FPSource Set Up'!$C$96:$H$117, 3, FALSE))</f>
        <v/>
      </c>
      <c r="AJ24" s="1036" t="str">
        <f>IF(AJ$21="", "", VLOOKUP($AA24,'4. FPSource Set Up'!$C$96:$H$117, 3, FALSE))</f>
        <v/>
      </c>
      <c r="AK24" s="1036" t="str">
        <f>IF(AK$21="", "", VLOOKUP($AA24,'4. FPSource Set Up'!$C$96:$H$117, 3, FALSE))</f>
        <v/>
      </c>
      <c r="AL24" s="1036" t="str">
        <f>IF(AL$21="", "", VLOOKUP($AA24,'4. FPSource Set Up'!$C$96:$H$117, 3, FALSE))</f>
        <v/>
      </c>
      <c r="AM24" s="1036" t="str">
        <f>IF(AM$21="", "", VLOOKUP($AA24,'4. FPSource Set Up'!$C$96:$H$117, 3, FALSE))</f>
        <v/>
      </c>
      <c r="AN24" s="1036" t="str">
        <f>IF(AN$21="", "", VLOOKUP($AA24,'4. FPSource Set Up'!$C$96:$H$117, 3, FALSE))</f>
        <v/>
      </c>
      <c r="AO24" s="1036" t="str">
        <f>IF(AO$21="", "", VLOOKUP($AA24,'4. FPSource Set Up'!$C$96:$H$117, 3, FALSE))</f>
        <v/>
      </c>
      <c r="AP24" s="1036" t="str">
        <f>IF(AP$21="", "", VLOOKUP($AA24,'4. FPSource Set Up'!$C$96:$H$117, 3, FALSE))</f>
        <v/>
      </c>
      <c r="AQ24" s="1037" t="str">
        <f>IF(AQ$21="", "", VLOOKUP($AA24,'4. FPSource Set Up'!$C$96:$H$117, 3, FALSE))</f>
        <v/>
      </c>
      <c r="BA24" s="100" t="s">
        <v>9</v>
      </c>
      <c r="BC24" s="184" t="s">
        <v>835</v>
      </c>
      <c r="BJ24" s="677" t="str">
        <f t="shared" ref="BJ24:BJ46" si="30">$C24</f>
        <v>Vasectomie</v>
      </c>
      <c r="BK24" s="667" t="str">
        <f t="shared" si="12"/>
        <v/>
      </c>
      <c r="BL24" s="668" t="str">
        <f t="shared" si="13"/>
        <v/>
      </c>
      <c r="BM24" s="667" t="str">
        <f t="shared" si="14"/>
        <v/>
      </c>
      <c r="BN24" s="667" t="str">
        <f t="shared" si="15"/>
        <v/>
      </c>
      <c r="BO24" s="667" t="str">
        <f t="shared" si="16"/>
        <v/>
      </c>
      <c r="BP24" s="667" t="str">
        <f t="shared" si="17"/>
        <v/>
      </c>
      <c r="BQ24" s="667" t="str">
        <f t="shared" si="18"/>
        <v/>
      </c>
      <c r="BR24" s="667" t="str">
        <f t="shared" si="19"/>
        <v/>
      </c>
      <c r="BS24" s="667" t="str">
        <f t="shared" si="20"/>
        <v/>
      </c>
      <c r="BT24" s="667" t="str">
        <f t="shared" si="21"/>
        <v/>
      </c>
      <c r="BU24" s="667" t="str">
        <f t="shared" si="22"/>
        <v/>
      </c>
      <c r="BV24" s="667" t="str">
        <f t="shared" si="23"/>
        <v/>
      </c>
      <c r="BW24" s="667" t="str">
        <f t="shared" si="24"/>
        <v/>
      </c>
      <c r="BX24" s="667" t="str">
        <f t="shared" si="25"/>
        <v/>
      </c>
      <c r="BY24" s="667" t="str">
        <f t="shared" si="25"/>
        <v/>
      </c>
      <c r="BZ24" s="667" t="str">
        <f t="shared" si="25"/>
        <v/>
      </c>
      <c r="CB24" s="677" t="str">
        <f t="shared" ref="CB24:CB46" si="31">$C24</f>
        <v>Vasectomie</v>
      </c>
      <c r="CC24" s="667" t="str">
        <f t="shared" si="26"/>
        <v/>
      </c>
      <c r="CD24" s="668" t="str">
        <f t="shared" si="26"/>
        <v/>
      </c>
      <c r="CE24" s="667" t="str">
        <f t="shared" si="26"/>
        <v/>
      </c>
      <c r="CF24" s="667" t="str">
        <f t="shared" si="26"/>
        <v/>
      </c>
      <c r="CG24" s="667" t="str">
        <f t="shared" si="26"/>
        <v/>
      </c>
      <c r="CH24" s="667" t="str">
        <f t="shared" si="26"/>
        <v/>
      </c>
      <c r="CI24" s="667" t="str">
        <f t="shared" si="26"/>
        <v/>
      </c>
      <c r="CJ24" s="667" t="str">
        <f t="shared" si="26"/>
        <v/>
      </c>
      <c r="CK24" s="667" t="str">
        <f t="shared" si="26"/>
        <v/>
      </c>
      <c r="CL24" s="667" t="str">
        <f t="shared" si="26"/>
        <v/>
      </c>
      <c r="CM24" s="667" t="str">
        <f t="shared" si="26"/>
        <v/>
      </c>
      <c r="CN24" s="667" t="str">
        <f t="shared" si="26"/>
        <v/>
      </c>
      <c r="CO24" s="667" t="str">
        <f t="shared" si="26"/>
        <v/>
      </c>
      <c r="CP24" s="667" t="str">
        <f t="shared" si="26"/>
        <v/>
      </c>
      <c r="CQ24" s="667" t="str">
        <f t="shared" si="26"/>
        <v/>
      </c>
      <c r="CR24" s="667" t="str">
        <f t="shared" si="26"/>
        <v/>
      </c>
      <c r="CS24">
        <f>'3. ServiceStats Set Up'!E50</f>
        <v>1</v>
      </c>
      <c r="CT24" s="677" t="str">
        <f t="shared" ref="CT24:CT46" si="32">$C24</f>
        <v>Vasectomie</v>
      </c>
      <c r="CU24" s="664">
        <f>IFERROR(($G24*SUM(DO24:$EC24)*$CS24), "")</f>
        <v>0</v>
      </c>
      <c r="CV24" s="664">
        <f>IFERROR(($G24*SUM(DP24:$EC24)*$CS24), "")</f>
        <v>0</v>
      </c>
      <c r="CW24" s="664">
        <f>IFERROR(($G24*SUM(DQ24:$EC24)*$CS24), "")</f>
        <v>0</v>
      </c>
      <c r="CX24" s="664">
        <f>IFERROR(($G24*SUM(DR24:$EC24)*$CS24), "")</f>
        <v>0</v>
      </c>
      <c r="CY24" s="664">
        <f>IFERROR(($G24*SUM(DS24:$EC24)*$CS24), "")</f>
        <v>0</v>
      </c>
      <c r="CZ24" s="664">
        <f>IFERROR(($G24*SUM(DT24:$EC24)*$CS24), "")</f>
        <v>0</v>
      </c>
      <c r="DA24" s="664">
        <f>IFERROR(($G24*SUM(DU24:$EC24)*$CS24), "")</f>
        <v>0</v>
      </c>
      <c r="DB24" s="664">
        <f>IFERROR(($G24*SUM(DV24:$EC24)*$CS24), "")</f>
        <v>0</v>
      </c>
      <c r="DC24" s="664">
        <f>IFERROR(($G24*SUM(DW24:$EC24)*$CS24), "")</f>
        <v>0</v>
      </c>
      <c r="DD24" s="664">
        <f>IFERROR(($G24*SUM(DX24:$EC24)*$CS24), "")</f>
        <v>0</v>
      </c>
      <c r="DE24" s="664">
        <f>IFERROR(($G24*SUM(DY24:$EC24)*$CS24), "")</f>
        <v>0</v>
      </c>
      <c r="DF24" s="664">
        <f>IFERROR(($G24*SUM(DZ24:$EC24)*$CS24), "")</f>
        <v>0</v>
      </c>
      <c r="DG24" s="664">
        <f>IFERROR(($G24*SUM(EA24:$EC24)*$CS24), "")</f>
        <v>0</v>
      </c>
      <c r="DH24" s="664">
        <f>IFERROR(($G24*SUM(EB24:$EC24)*$CS24), "")</f>
        <v>0</v>
      </c>
      <c r="DI24" s="664">
        <f>IFERROR(($G24*SUM(EC24:$EC24)*$CS24), "")</f>
        <v>0</v>
      </c>
      <c r="DJ24" s="664"/>
      <c r="DL24" s="1490"/>
      <c r="DM24" s="740" t="str">
        <f t="shared" ref="DM24:DM29" si="33">CB24</f>
        <v>Vasectomie</v>
      </c>
      <c r="DN24" s="741">
        <f>$EE24</f>
        <v>1</v>
      </c>
      <c r="DO24" s="741">
        <f t="shared" si="27"/>
        <v>1</v>
      </c>
      <c r="DP24" s="741">
        <f t="shared" si="27"/>
        <v>1</v>
      </c>
      <c r="DQ24" s="741">
        <f t="shared" si="27"/>
        <v>1</v>
      </c>
      <c r="DR24" s="741">
        <f t="shared" si="27"/>
        <v>1</v>
      </c>
      <c r="DS24" s="741">
        <f t="shared" si="27"/>
        <v>1</v>
      </c>
      <c r="DT24" s="741">
        <f t="shared" si="27"/>
        <v>1</v>
      </c>
      <c r="DU24" s="741">
        <f t="shared" si="27"/>
        <v>1</v>
      </c>
      <c r="DV24" s="741">
        <f t="shared" si="27"/>
        <v>1</v>
      </c>
      <c r="DW24" s="741">
        <f t="shared" si="27"/>
        <v>1</v>
      </c>
      <c r="DX24" s="741">
        <f>IF(SUM($DN24:DW24)=$ED24, 0, $EE24)</f>
        <v>0</v>
      </c>
      <c r="DY24" s="741">
        <f>IF(SUM($DN24:DX24)=$ED24, 0, $EE24)</f>
        <v>0</v>
      </c>
      <c r="DZ24" s="741">
        <f>IF(SUM($DN24:DY24)=$ED24, 0, $EE24)</f>
        <v>0</v>
      </c>
      <c r="EA24" s="741">
        <f>IF(SUM($DN24:DZ24)=$ED24, 0, $EE24)</f>
        <v>0</v>
      </c>
      <c r="EB24" s="741">
        <f>IF(SUM($DN24:EA24)=$ED24, 0, $EE24)</f>
        <v>0</v>
      </c>
      <c r="EC24" s="741">
        <f>IF(SUM($DN24:EB24)=$ED24, 0, $EE24)</f>
        <v>0</v>
      </c>
      <c r="ED24" s="276">
        <f>IF(OR(Country_Selected="India", Country_Selected = "Bangladesh", Country_Selected="Nepal"), 13, 10)</f>
        <v>10</v>
      </c>
      <c r="EE24" s="395">
        <f t="shared" si="28"/>
        <v>1</v>
      </c>
    </row>
    <row r="25" spans="2:136" ht="17.25" customHeight="1" x14ac:dyDescent="0.25">
      <c r="B25" s="1480" t="str">
        <f>IF(Language="English", 'Language Look Ups'!$O$8,IF(Language="Francais", 'Language Look Ups'!$S$8, 'Language Look Ups'!$Q$8))</f>
        <v>DIU</v>
      </c>
      <c r="C25" s="363" t="str">
        <f>IF(Language="English", 'Language Look Ups'!$P$8,IF(Language="Francais", 'Language Look Ups'!$T$8, 'Language Look Ups'!$R$8))</f>
        <v>Copper- T 380-A DIU</v>
      </c>
      <c r="D25" s="407">
        <v>4.5999999999999996</v>
      </c>
      <c r="E25" s="408">
        <f t="shared" si="29"/>
        <v>4.5999999999999996</v>
      </c>
      <c r="F25" s="416" t="str">
        <f t="shared" si="10"/>
        <v>années de protection</v>
      </c>
      <c r="G25" s="1278"/>
      <c r="H25" s="409"/>
      <c r="I25" s="409"/>
      <c r="J25" s="409"/>
      <c r="K25" s="409"/>
      <c r="L25" s="409"/>
      <c r="M25" s="409"/>
      <c r="N25" s="409"/>
      <c r="O25" s="409"/>
      <c r="P25" s="409"/>
      <c r="Q25" s="409"/>
      <c r="R25" s="409"/>
      <c r="S25" s="409"/>
      <c r="T25" s="409"/>
      <c r="U25" s="409"/>
      <c r="V25" s="1279"/>
      <c r="AA25" s="462" t="str">
        <f t="shared" si="11"/>
        <v>Copper- T 380-A DIU</v>
      </c>
      <c r="AB25" s="1008" t="str">
        <f>IF(AB$21="", "", VLOOKUP($AA25,'4. FPSource Set Up'!$C$96:$H$117, 3, FALSE))</f>
        <v>n/a</v>
      </c>
      <c r="AC25" s="1009" t="str">
        <f>IF(AC$21="", "", VLOOKUP($AA25,'4. FPSource Set Up'!$C$96:$H$117, 3, FALSE))</f>
        <v/>
      </c>
      <c r="AD25" s="1009" t="str">
        <f>IF(AD$21="", "", VLOOKUP($AA25,'4. FPSource Set Up'!$C$96:$H$117, 3, FALSE))</f>
        <v/>
      </c>
      <c r="AE25" s="1009" t="str">
        <f>IF(AE$21="", "", VLOOKUP($AA25,'4. FPSource Set Up'!$C$96:$H$117, 3, FALSE))</f>
        <v/>
      </c>
      <c r="AF25" s="1009" t="str">
        <f>IF(AF$21="", "", VLOOKUP($AA25,'4. FPSource Set Up'!$C$96:$H$117, 3, FALSE))</f>
        <v/>
      </c>
      <c r="AG25" s="1009" t="str">
        <f>IF(AG$21="", "", VLOOKUP($AA25,'4. FPSource Set Up'!$C$96:$H$117, 3, FALSE))</f>
        <v/>
      </c>
      <c r="AH25" s="1009" t="str">
        <f>IF(AH$21="", "", VLOOKUP($AA25,'4. FPSource Set Up'!$C$96:$H$117, 3, FALSE))</f>
        <v/>
      </c>
      <c r="AI25" s="1009" t="str">
        <f>IF(AI$21="", "", VLOOKUP($AA25,'4. FPSource Set Up'!$C$96:$H$117, 3, FALSE))</f>
        <v/>
      </c>
      <c r="AJ25" s="1009" t="str">
        <f>IF(AJ$21="", "", VLOOKUP($AA25,'4. FPSource Set Up'!$C$96:$H$117, 3, FALSE))</f>
        <v/>
      </c>
      <c r="AK25" s="1009" t="str">
        <f>IF(AK$21="", "", VLOOKUP($AA25,'4. FPSource Set Up'!$C$96:$H$117, 3, FALSE))</f>
        <v/>
      </c>
      <c r="AL25" s="1009" t="str">
        <f>IF(AL$21="", "", VLOOKUP($AA25,'4. FPSource Set Up'!$C$96:$H$117, 3, FALSE))</f>
        <v/>
      </c>
      <c r="AM25" s="1009" t="str">
        <f>IF(AM$21="", "", VLOOKUP($AA25,'4. FPSource Set Up'!$C$96:$H$117, 3, FALSE))</f>
        <v/>
      </c>
      <c r="AN25" s="1009" t="str">
        <f>IF(AN$21="", "", VLOOKUP($AA25,'4. FPSource Set Up'!$C$96:$H$117, 3, FALSE))</f>
        <v/>
      </c>
      <c r="AO25" s="1009" t="str">
        <f>IF(AO$21="", "", VLOOKUP($AA25,'4. FPSource Set Up'!$C$96:$H$117, 3, FALSE))</f>
        <v/>
      </c>
      <c r="AP25" s="1009" t="str">
        <f>IF(AP$21="", "", VLOOKUP($AA25,'4. FPSource Set Up'!$C$96:$H$117, 3, FALSE))</f>
        <v/>
      </c>
      <c r="AQ25" s="1010" t="str">
        <f>IF(AQ$21="", "", VLOOKUP($AA25,'4. FPSource Set Up'!$C$96:$H$117, 3, FALSE))</f>
        <v/>
      </c>
      <c r="BA25" s="416" t="s">
        <v>9</v>
      </c>
      <c r="BC25" s="184" t="s">
        <v>835</v>
      </c>
      <c r="BJ25" s="676" t="str">
        <f t="shared" si="30"/>
        <v>Copper- T 380-A DIU</v>
      </c>
      <c r="BK25" s="664" t="str">
        <f t="shared" si="12"/>
        <v/>
      </c>
      <c r="BL25" s="665" t="str">
        <f t="shared" si="13"/>
        <v/>
      </c>
      <c r="BM25" s="665" t="str">
        <f t="shared" si="14"/>
        <v/>
      </c>
      <c r="BN25" s="665" t="str">
        <f t="shared" si="15"/>
        <v/>
      </c>
      <c r="BO25" s="665" t="str">
        <f t="shared" si="16"/>
        <v/>
      </c>
      <c r="BP25" s="665" t="str">
        <f t="shared" si="17"/>
        <v/>
      </c>
      <c r="BQ25" s="665" t="str">
        <f t="shared" si="18"/>
        <v/>
      </c>
      <c r="BR25" s="665" t="str">
        <f t="shared" si="19"/>
        <v/>
      </c>
      <c r="BS25" s="665" t="str">
        <f t="shared" si="20"/>
        <v/>
      </c>
      <c r="BT25" s="665" t="str">
        <f t="shared" si="21"/>
        <v/>
      </c>
      <c r="BU25" s="665" t="str">
        <f t="shared" si="22"/>
        <v/>
      </c>
      <c r="BV25" s="665" t="str">
        <f t="shared" si="23"/>
        <v/>
      </c>
      <c r="BW25" s="665" t="str">
        <f t="shared" si="24"/>
        <v/>
      </c>
      <c r="BX25" s="665" t="str">
        <f t="shared" si="25"/>
        <v/>
      </c>
      <c r="BY25" s="665" t="str">
        <f t="shared" si="25"/>
        <v/>
      </c>
      <c r="BZ25" s="665" t="str">
        <f t="shared" si="25"/>
        <v/>
      </c>
      <c r="CB25" s="676" t="str">
        <f t="shared" si="31"/>
        <v>Copper- T 380-A DIU</v>
      </c>
      <c r="CC25" s="664" t="str">
        <f t="shared" si="26"/>
        <v/>
      </c>
      <c r="CD25" s="665" t="str">
        <f t="shared" si="26"/>
        <v/>
      </c>
      <c r="CE25" s="665" t="str">
        <f t="shared" si="26"/>
        <v/>
      </c>
      <c r="CF25" s="665" t="str">
        <f t="shared" si="26"/>
        <v/>
      </c>
      <c r="CG25" s="665" t="str">
        <f t="shared" si="26"/>
        <v/>
      </c>
      <c r="CH25" s="665" t="str">
        <f t="shared" si="26"/>
        <v/>
      </c>
      <c r="CI25" s="665" t="str">
        <f t="shared" si="26"/>
        <v/>
      </c>
      <c r="CJ25" s="665" t="str">
        <f t="shared" si="26"/>
        <v/>
      </c>
      <c r="CK25" s="665" t="str">
        <f t="shared" si="26"/>
        <v/>
      </c>
      <c r="CL25" s="665" t="str">
        <f t="shared" si="26"/>
        <v/>
      </c>
      <c r="CM25" s="665" t="str">
        <f t="shared" si="26"/>
        <v/>
      </c>
      <c r="CN25" s="665" t="str">
        <f t="shared" si="26"/>
        <v/>
      </c>
      <c r="CO25" s="665" t="str">
        <f t="shared" si="26"/>
        <v/>
      </c>
      <c r="CP25" s="665" t="str">
        <f t="shared" si="26"/>
        <v/>
      </c>
      <c r="CQ25" s="665" t="str">
        <f t="shared" si="26"/>
        <v/>
      </c>
      <c r="CR25" s="665" t="str">
        <f t="shared" si="26"/>
        <v/>
      </c>
      <c r="CS25">
        <f>'3. ServiceStats Set Up'!E51</f>
        <v>1</v>
      </c>
      <c r="CT25" s="676" t="str">
        <f t="shared" si="32"/>
        <v>Copper- T 380-A DIU</v>
      </c>
      <c r="CU25" s="664">
        <f>IFERROR(($G25*SUM(DO25:$EC25)*$CS25), "")</f>
        <v>0</v>
      </c>
      <c r="CV25" s="664">
        <f>IFERROR(($G25*SUM(DP25:$EC25)*$CS25), "")</f>
        <v>0</v>
      </c>
      <c r="CW25" s="664">
        <f>IFERROR(($G25*SUM(DQ25:$EC25)*$CS25), "")</f>
        <v>0</v>
      </c>
      <c r="CX25" s="664">
        <f>IFERROR(($G25*SUM(DR25:$EC25)*$CS25), "")</f>
        <v>0</v>
      </c>
      <c r="CY25" s="664">
        <f>IFERROR(($G25*SUM(DS25:$EC25)*$CS25), "")</f>
        <v>0</v>
      </c>
      <c r="CZ25" s="664">
        <f>IFERROR(($G25*SUM(DT25:$EC25)*$CS25), "")</f>
        <v>0</v>
      </c>
      <c r="DA25" s="664">
        <f>IFERROR(($G25*SUM(DU25:$EC25)*$CS25), "")</f>
        <v>0</v>
      </c>
      <c r="DB25" s="664">
        <f>IFERROR(($G25*SUM(DV25:$EC25)*$CS25), "")</f>
        <v>0</v>
      </c>
      <c r="DC25" s="664">
        <f>IFERROR(($G25*SUM(DW25:$EC25)*$CS25), "")</f>
        <v>0</v>
      </c>
      <c r="DD25" s="664">
        <f>IFERROR(($G25*SUM(DX25:$EC25)*$CS25), "")</f>
        <v>0</v>
      </c>
      <c r="DE25" s="664">
        <f>IFERROR(($G25*SUM(DY25:$EC25)*$CS25), "")</f>
        <v>0</v>
      </c>
      <c r="DF25" s="664">
        <f>IFERROR(($G25*SUM(DZ25:$EC25)*$CS25), "")</f>
        <v>0</v>
      </c>
      <c r="DG25" s="664">
        <f>IFERROR(($G25*SUM(EA25:$EC25)*$CS25), "")</f>
        <v>0</v>
      </c>
      <c r="DH25" s="664">
        <f>IFERROR(($G25*SUM(EB25:$EC25)*$CS25), "")</f>
        <v>0</v>
      </c>
      <c r="DI25" s="664">
        <f>IFERROR(($G25*SUM(EC25:$EC25)*$CS25), "")</f>
        <v>0</v>
      </c>
      <c r="DJ25" s="664"/>
      <c r="DL25" s="1484" t="s">
        <v>5</v>
      </c>
      <c r="DM25" s="388" t="str">
        <f>CB25</f>
        <v>Copper- T 380-A DIU</v>
      </c>
      <c r="DN25" s="351">
        <f t="shared" ref="DN25:DW25" si="34">IFERROR(AVERAGE(DN6:DO6)*$EE25,0)</f>
        <v>0.91989443399999993</v>
      </c>
      <c r="DO25" s="351">
        <f t="shared" si="34"/>
        <v>0.77251710549999997</v>
      </c>
      <c r="DP25" s="351">
        <f t="shared" si="34"/>
        <v>0.64875126550000006</v>
      </c>
      <c r="DQ25" s="351">
        <f t="shared" si="34"/>
        <v>0.544814091</v>
      </c>
      <c r="DR25" s="351">
        <f t="shared" si="34"/>
        <v>0.45752880900000004</v>
      </c>
      <c r="DS25" s="351">
        <f t="shared" si="34"/>
        <v>0.38422760050000004</v>
      </c>
      <c r="DT25" s="351">
        <f t="shared" si="34"/>
        <v>0.32267006149999999</v>
      </c>
      <c r="DU25" s="351">
        <f t="shared" si="34"/>
        <v>0.27097472550000001</v>
      </c>
      <c r="DV25" s="351">
        <f t="shared" si="34"/>
        <v>0.227561558</v>
      </c>
      <c r="DW25" s="351">
        <f t="shared" si="34"/>
        <v>0.18754970007702476</v>
      </c>
      <c r="DX25" s="351">
        <v>0</v>
      </c>
      <c r="DY25" s="351">
        <v>0</v>
      </c>
      <c r="DZ25" s="351">
        <v>0</v>
      </c>
      <c r="EA25" s="351">
        <v>0</v>
      </c>
      <c r="EB25" s="351">
        <v>0</v>
      </c>
      <c r="EC25" s="351">
        <v>0</v>
      </c>
      <c r="ED25" s="407">
        <v>4.5999999999999996</v>
      </c>
      <c r="EE25" s="395">
        <f t="shared" si="28"/>
        <v>1</v>
      </c>
    </row>
    <row r="26" spans="2:136" ht="17.25" customHeight="1" x14ac:dyDescent="0.25">
      <c r="B26" s="1481"/>
      <c r="C26" s="275" t="str">
        <f>IF(Language="English", 'Language Look Ups'!$P$9,IF(Language="Francais", 'Language Look Ups'!$T$9, 'Language Look Ups'!$R$9))</f>
        <v>DIU Hormonal (LNG-IUS)</v>
      </c>
      <c r="D26" s="276">
        <v>4.8</v>
      </c>
      <c r="E26" s="99">
        <f t="shared" si="29"/>
        <v>4.8</v>
      </c>
      <c r="F26" s="100" t="str">
        <f t="shared" si="10"/>
        <v>années de protection</v>
      </c>
      <c r="G26" s="1276"/>
      <c r="H26" s="284"/>
      <c r="I26" s="284"/>
      <c r="J26" s="284"/>
      <c r="K26" s="284"/>
      <c r="L26" s="284"/>
      <c r="M26" s="284"/>
      <c r="N26" s="284"/>
      <c r="O26" s="284"/>
      <c r="P26" s="284"/>
      <c r="Q26" s="284"/>
      <c r="R26" s="284"/>
      <c r="S26" s="284"/>
      <c r="T26" s="284"/>
      <c r="U26" s="284"/>
      <c r="V26" s="412"/>
      <c r="AA26" s="463" t="str">
        <f t="shared" si="11"/>
        <v>DIU Hormonal (LNG-IUS)</v>
      </c>
      <c r="AB26" s="1035" t="str">
        <f>IF(AB$21="", "", VLOOKUP($AA26,'4. FPSource Set Up'!$C$96:$H$117, 3, FALSE))</f>
        <v>n/a</v>
      </c>
      <c r="AC26" s="1036" t="str">
        <f>IF(AC$21="", "", VLOOKUP($AA26,'4. FPSource Set Up'!$C$96:$H$117, 3, FALSE))</f>
        <v/>
      </c>
      <c r="AD26" s="1036" t="str">
        <f>IF(AD$21="", "", VLOOKUP($AA26,'4. FPSource Set Up'!$C$96:$H$117, 3, FALSE))</f>
        <v/>
      </c>
      <c r="AE26" s="1036" t="str">
        <f>IF(AE$21="", "", VLOOKUP($AA26,'4. FPSource Set Up'!$C$96:$H$117, 3, FALSE))</f>
        <v/>
      </c>
      <c r="AF26" s="1036" t="str">
        <f>IF(AF$21="", "", VLOOKUP($AA26,'4. FPSource Set Up'!$C$96:$H$117, 3, FALSE))</f>
        <v/>
      </c>
      <c r="AG26" s="1036" t="str">
        <f>IF(AG$21="", "", VLOOKUP($AA26,'4. FPSource Set Up'!$C$96:$H$117, 3, FALSE))</f>
        <v/>
      </c>
      <c r="AH26" s="1036" t="str">
        <f>IF(AH$21="", "", VLOOKUP($AA26,'4. FPSource Set Up'!$C$96:$H$117, 3, FALSE))</f>
        <v/>
      </c>
      <c r="AI26" s="1036" t="str">
        <f>IF(AI$21="", "", VLOOKUP($AA26,'4. FPSource Set Up'!$C$96:$H$117, 3, FALSE))</f>
        <v/>
      </c>
      <c r="AJ26" s="1036" t="str">
        <f>IF(AJ$21="", "", VLOOKUP($AA26,'4. FPSource Set Up'!$C$96:$H$117, 3, FALSE))</f>
        <v/>
      </c>
      <c r="AK26" s="1036" t="str">
        <f>IF(AK$21="", "", VLOOKUP($AA26,'4. FPSource Set Up'!$C$96:$H$117, 3, FALSE))</f>
        <v/>
      </c>
      <c r="AL26" s="1036" t="str">
        <f>IF(AL$21="", "", VLOOKUP($AA26,'4. FPSource Set Up'!$C$96:$H$117, 3, FALSE))</f>
        <v/>
      </c>
      <c r="AM26" s="1036" t="str">
        <f>IF(AM$21="", "", VLOOKUP($AA26,'4. FPSource Set Up'!$C$96:$H$117, 3, FALSE))</f>
        <v/>
      </c>
      <c r="AN26" s="1036" t="str">
        <f>IF(AN$21="", "", VLOOKUP($AA26,'4. FPSource Set Up'!$C$96:$H$117, 3, FALSE))</f>
        <v/>
      </c>
      <c r="AO26" s="1036" t="str">
        <f>IF(AO$21="", "", VLOOKUP($AA26,'4. FPSource Set Up'!$C$96:$H$117, 3, FALSE))</f>
        <v/>
      </c>
      <c r="AP26" s="1036" t="str">
        <f>IF(AP$21="", "", VLOOKUP($AA26,'4. FPSource Set Up'!$C$96:$H$117, 3, FALSE))</f>
        <v/>
      </c>
      <c r="AQ26" s="1037" t="str">
        <f>IF(AQ$21="", "", VLOOKUP($AA26,'4. FPSource Set Up'!$C$96:$H$117, 3, FALSE))</f>
        <v/>
      </c>
      <c r="BA26" s="100" t="s">
        <v>9</v>
      </c>
      <c r="BC26" s="184" t="s">
        <v>835</v>
      </c>
      <c r="BJ26" s="677" t="str">
        <f t="shared" si="30"/>
        <v>DIU Hormonal (LNG-IUS)</v>
      </c>
      <c r="BK26" s="667" t="str">
        <f t="shared" si="12"/>
        <v/>
      </c>
      <c r="BL26" s="668" t="str">
        <f t="shared" si="13"/>
        <v/>
      </c>
      <c r="BM26" s="667" t="str">
        <f t="shared" si="14"/>
        <v/>
      </c>
      <c r="BN26" s="667" t="str">
        <f t="shared" si="15"/>
        <v/>
      </c>
      <c r="BO26" s="667" t="str">
        <f t="shared" si="16"/>
        <v/>
      </c>
      <c r="BP26" s="667" t="str">
        <f t="shared" si="17"/>
        <v/>
      </c>
      <c r="BQ26" s="667" t="str">
        <f t="shared" si="18"/>
        <v/>
      </c>
      <c r="BR26" s="667" t="str">
        <f t="shared" si="19"/>
        <v/>
      </c>
      <c r="BS26" s="667" t="str">
        <f t="shared" si="20"/>
        <v/>
      </c>
      <c r="BT26" s="667" t="str">
        <f t="shared" si="21"/>
        <v/>
      </c>
      <c r="BU26" s="667" t="str">
        <f t="shared" si="22"/>
        <v/>
      </c>
      <c r="BV26" s="667" t="str">
        <f t="shared" si="23"/>
        <v/>
      </c>
      <c r="BW26" s="667" t="str">
        <f t="shared" si="24"/>
        <v/>
      </c>
      <c r="BX26" s="667" t="str">
        <f t="shared" si="25"/>
        <v/>
      </c>
      <c r="BY26" s="667" t="str">
        <f t="shared" si="25"/>
        <v/>
      </c>
      <c r="BZ26" s="667" t="str">
        <f t="shared" si="25"/>
        <v/>
      </c>
      <c r="CB26" s="677" t="str">
        <f t="shared" si="31"/>
        <v>DIU Hormonal (LNG-IUS)</v>
      </c>
      <c r="CC26" s="667" t="str">
        <f t="shared" si="26"/>
        <v/>
      </c>
      <c r="CD26" s="668" t="str">
        <f t="shared" si="26"/>
        <v/>
      </c>
      <c r="CE26" s="667" t="str">
        <f t="shared" si="26"/>
        <v/>
      </c>
      <c r="CF26" s="667" t="str">
        <f t="shared" si="26"/>
        <v/>
      </c>
      <c r="CG26" s="667" t="str">
        <f t="shared" si="26"/>
        <v/>
      </c>
      <c r="CH26" s="667" t="str">
        <f t="shared" si="26"/>
        <v/>
      </c>
      <c r="CI26" s="667" t="str">
        <f t="shared" si="26"/>
        <v/>
      </c>
      <c r="CJ26" s="667" t="str">
        <f t="shared" si="26"/>
        <v/>
      </c>
      <c r="CK26" s="667" t="str">
        <f t="shared" si="26"/>
        <v/>
      </c>
      <c r="CL26" s="667" t="str">
        <f t="shared" si="26"/>
        <v/>
      </c>
      <c r="CM26" s="667" t="str">
        <f t="shared" si="26"/>
        <v/>
      </c>
      <c r="CN26" s="667" t="str">
        <f t="shared" si="26"/>
        <v/>
      </c>
      <c r="CO26" s="667" t="str">
        <f t="shared" si="26"/>
        <v/>
      </c>
      <c r="CP26" s="667" t="str">
        <f t="shared" si="26"/>
        <v/>
      </c>
      <c r="CQ26" s="667" t="str">
        <f t="shared" si="26"/>
        <v/>
      </c>
      <c r="CR26" s="667" t="str">
        <f t="shared" si="26"/>
        <v/>
      </c>
      <c r="CS26">
        <f>'3. ServiceStats Set Up'!E52</f>
        <v>1</v>
      </c>
      <c r="CT26" s="677" t="str">
        <f t="shared" si="32"/>
        <v>DIU Hormonal (LNG-IUS)</v>
      </c>
      <c r="CU26" s="667">
        <f>IFERROR(($G26*SUM(DO26:$EC26)*$CS26), "")</f>
        <v>0</v>
      </c>
      <c r="CV26" s="667">
        <f>IFERROR(($G26*SUM(DP26:$EC26)*$CS26), "")</f>
        <v>0</v>
      </c>
      <c r="CW26" s="667">
        <f>IFERROR(($G26*SUM(DQ26:$EC26)*$CS26), "")</f>
        <v>0</v>
      </c>
      <c r="CX26" s="667">
        <f>IFERROR(($G26*SUM(DR26:$EC26)*$CS26), "")</f>
        <v>0</v>
      </c>
      <c r="CY26" s="667">
        <f>IFERROR(($G26*SUM(DS26:$EC26)*$CS26), "")</f>
        <v>0</v>
      </c>
      <c r="CZ26" s="667">
        <f>IFERROR(($G26*SUM(DT26:$EC26)*$CS26), "")</f>
        <v>0</v>
      </c>
      <c r="DA26" s="667">
        <f>IFERROR(($G26*SUM(DU26:$EC26)*$CS26), "")</f>
        <v>0</v>
      </c>
      <c r="DB26" s="667">
        <f>IFERROR(($G26*SUM(DV26:$EC26)*$CS26), "")</f>
        <v>0</v>
      </c>
      <c r="DC26" s="667">
        <f>IFERROR(($G26*SUM(DW26:$EC26)*$CS26), "")</f>
        <v>0</v>
      </c>
      <c r="DD26" s="667">
        <f>IFERROR(($G26*SUM(DX26:$EC26)*$CS26), "")</f>
        <v>0</v>
      </c>
      <c r="DE26" s="667">
        <f>IFERROR(($G26*SUM(DY26:$EC26)*$CS26), "")</f>
        <v>0</v>
      </c>
      <c r="DF26" s="667">
        <f>IFERROR(($G26*SUM(DZ26:$EC26)*$CS26), "")</f>
        <v>0</v>
      </c>
      <c r="DG26" s="667">
        <f>IFERROR(($G26*SUM(EA26:$EC26)*$CS26), "")</f>
        <v>0</v>
      </c>
      <c r="DH26" s="667">
        <f>IFERROR(($G26*SUM(EB26:$EC26)*$CS26), "")</f>
        <v>0</v>
      </c>
      <c r="DI26" s="667">
        <f>IFERROR(($G26*SUM(EC26:$EC26)*$CS26), "")</f>
        <v>0</v>
      </c>
      <c r="DJ26" s="667"/>
      <c r="DL26" s="1485"/>
      <c r="DM26" s="388" t="str">
        <f t="shared" si="33"/>
        <v>DIU Hormonal (LNG-IUS)</v>
      </c>
      <c r="DN26" s="351">
        <f t="shared" ref="DN26:DW26" si="35">IFERROR(AVERAGE(DN7:DO7)*$EE26,0)</f>
        <v>0.94546756633963991</v>
      </c>
      <c r="DO26" s="351">
        <f t="shared" si="35"/>
        <v>0.84235027166076293</v>
      </c>
      <c r="DP26" s="351">
        <f t="shared" si="35"/>
        <v>0.7504794510445093</v>
      </c>
      <c r="DQ26" s="351">
        <f t="shared" si="35"/>
        <v>0.66862850928941309</v>
      </c>
      <c r="DR26" s="351">
        <f t="shared" si="35"/>
        <v>0.59570462963691229</v>
      </c>
      <c r="DS26" s="351">
        <f t="shared" si="35"/>
        <v>0.53073418324322374</v>
      </c>
      <c r="DT26" s="351">
        <f t="shared" si="35"/>
        <v>0.47284972996523078</v>
      </c>
      <c r="DU26" s="351">
        <f t="shared" si="35"/>
        <v>0.2227884127928926</v>
      </c>
      <c r="DV26" s="351">
        <f t="shared" si="35"/>
        <v>0</v>
      </c>
      <c r="DW26" s="351">
        <f t="shared" si="35"/>
        <v>0</v>
      </c>
      <c r="DX26" s="351">
        <v>0</v>
      </c>
      <c r="DY26" s="351">
        <v>0</v>
      </c>
      <c r="DZ26" s="351">
        <v>0</v>
      </c>
      <c r="EA26" s="351">
        <v>0</v>
      </c>
      <c r="EB26" s="351">
        <v>0</v>
      </c>
      <c r="EC26" s="351">
        <v>0</v>
      </c>
      <c r="ED26" s="276">
        <v>4.8</v>
      </c>
      <c r="EE26" s="395">
        <f t="shared" si="28"/>
        <v>1</v>
      </c>
    </row>
    <row r="27" spans="2:136" ht="17.25" customHeight="1" x14ac:dyDescent="0.25">
      <c r="B27" s="1480" t="str">
        <f>IF(Language="English", 'Language Look Ups'!$O$10,IF(Language="Francais", 'Language Look Ups'!$S$10, 'Language Look Ups'!$Q$10))</f>
        <v>Implant</v>
      </c>
      <c r="C27" s="363" t="str">
        <f>IF(Language="English", 'Language Look Ups'!$P$10,IF(Language="Francais", 'Language Look Ups'!$T$10, 'Language Look Ups'!$R$10))</f>
        <v>Implant de 3 ans (Implanon, Levoplant)</v>
      </c>
      <c r="D27" s="407">
        <v>2.5</v>
      </c>
      <c r="E27" s="408">
        <f t="shared" si="29"/>
        <v>2.5</v>
      </c>
      <c r="F27" s="416" t="str">
        <f t="shared" si="10"/>
        <v>années de protection</v>
      </c>
      <c r="G27" s="1278"/>
      <c r="H27" s="409"/>
      <c r="I27" s="409"/>
      <c r="J27" s="409"/>
      <c r="K27" s="409"/>
      <c r="L27" s="409"/>
      <c r="M27" s="409"/>
      <c r="N27" s="409"/>
      <c r="O27" s="409"/>
      <c r="P27" s="409"/>
      <c r="Q27" s="409"/>
      <c r="R27" s="409"/>
      <c r="S27" s="409"/>
      <c r="T27" s="409"/>
      <c r="U27" s="409"/>
      <c r="V27" s="411"/>
      <c r="AA27" s="462" t="str">
        <f t="shared" si="11"/>
        <v>Implant de 3 ans (Implanon, Levoplant)</v>
      </c>
      <c r="AB27" s="1008" t="str">
        <f>IF(AB$21="", "", VLOOKUP($AA27,'4. FPSource Set Up'!$C$96:$H$117, 3, FALSE))</f>
        <v>n/a</v>
      </c>
      <c r="AC27" s="1009" t="str">
        <f>IF(AC$21="", "", VLOOKUP($AA27,'4. FPSource Set Up'!$C$96:$H$117, 3, FALSE))</f>
        <v/>
      </c>
      <c r="AD27" s="1009" t="str">
        <f>IF(AD$21="", "", VLOOKUP($AA27,'4. FPSource Set Up'!$C$96:$H$117, 3, FALSE))</f>
        <v/>
      </c>
      <c r="AE27" s="1009" t="str">
        <f>IF(AE$21="", "", VLOOKUP($AA27,'4. FPSource Set Up'!$C$96:$H$117, 3, FALSE))</f>
        <v/>
      </c>
      <c r="AF27" s="1009" t="str">
        <f>IF(AF$21="", "", VLOOKUP($AA27,'4. FPSource Set Up'!$C$96:$H$117, 3, FALSE))</f>
        <v/>
      </c>
      <c r="AG27" s="1009" t="str">
        <f>IF(AG$21="", "", VLOOKUP($AA27,'4. FPSource Set Up'!$C$96:$H$117, 3, FALSE))</f>
        <v/>
      </c>
      <c r="AH27" s="1009" t="str">
        <f>IF(AH$21="", "", VLOOKUP($AA27,'4. FPSource Set Up'!$C$96:$H$117, 3, FALSE))</f>
        <v/>
      </c>
      <c r="AI27" s="1009" t="str">
        <f>IF(AI$21="", "", VLOOKUP($AA27,'4. FPSource Set Up'!$C$96:$H$117, 3, FALSE))</f>
        <v/>
      </c>
      <c r="AJ27" s="1009" t="str">
        <f>IF(AJ$21="", "", VLOOKUP($AA27,'4. FPSource Set Up'!$C$96:$H$117, 3, FALSE))</f>
        <v/>
      </c>
      <c r="AK27" s="1009" t="str">
        <f>IF(AK$21="", "", VLOOKUP($AA27,'4. FPSource Set Up'!$C$96:$H$117, 3, FALSE))</f>
        <v/>
      </c>
      <c r="AL27" s="1009" t="str">
        <f>IF(AL$21="", "", VLOOKUP($AA27,'4. FPSource Set Up'!$C$96:$H$117, 3, FALSE))</f>
        <v/>
      </c>
      <c r="AM27" s="1009" t="str">
        <f>IF(AM$21="", "", VLOOKUP($AA27,'4. FPSource Set Up'!$C$96:$H$117, 3, FALSE))</f>
        <v/>
      </c>
      <c r="AN27" s="1009" t="str">
        <f>IF(AN$21="", "", VLOOKUP($AA27,'4. FPSource Set Up'!$C$96:$H$117, 3, FALSE))</f>
        <v/>
      </c>
      <c r="AO27" s="1009" t="str">
        <f>IF(AO$21="", "", VLOOKUP($AA27,'4. FPSource Set Up'!$C$96:$H$117, 3, FALSE))</f>
        <v/>
      </c>
      <c r="AP27" s="1009" t="str">
        <f>IF(AP$21="", "", VLOOKUP($AA27,'4. FPSource Set Up'!$C$96:$H$117, 3, FALSE))</f>
        <v/>
      </c>
      <c r="AQ27" s="1010" t="str">
        <f>IF(AQ$21="", "", VLOOKUP($AA27,'4. FPSource Set Up'!$C$96:$H$117, 3, FALSE))</f>
        <v/>
      </c>
      <c r="BA27" s="416" t="s">
        <v>9</v>
      </c>
      <c r="BC27" s="184" t="s">
        <v>835</v>
      </c>
      <c r="BJ27" s="676" t="str">
        <f t="shared" si="30"/>
        <v>Implant de 3 ans (Implanon, Levoplant)</v>
      </c>
      <c r="BK27" s="664" t="str">
        <f t="shared" si="12"/>
        <v/>
      </c>
      <c r="BL27" s="665" t="str">
        <f t="shared" si="13"/>
        <v/>
      </c>
      <c r="BM27" s="664" t="str">
        <f t="shared" si="14"/>
        <v/>
      </c>
      <c r="BN27" s="664" t="str">
        <f t="shared" si="15"/>
        <v/>
      </c>
      <c r="BO27" s="664" t="str">
        <f t="shared" si="16"/>
        <v/>
      </c>
      <c r="BP27" s="664" t="str">
        <f t="shared" si="17"/>
        <v/>
      </c>
      <c r="BQ27" s="664" t="str">
        <f t="shared" si="18"/>
        <v/>
      </c>
      <c r="BR27" s="664" t="str">
        <f t="shared" si="19"/>
        <v/>
      </c>
      <c r="BS27" s="664" t="str">
        <f t="shared" si="20"/>
        <v/>
      </c>
      <c r="BT27" s="664" t="str">
        <f t="shared" si="21"/>
        <v/>
      </c>
      <c r="BU27" s="664" t="str">
        <f t="shared" si="22"/>
        <v/>
      </c>
      <c r="BV27" s="664" t="str">
        <f t="shared" si="23"/>
        <v/>
      </c>
      <c r="BW27" s="664" t="str">
        <f t="shared" si="24"/>
        <v/>
      </c>
      <c r="BX27" s="664" t="str">
        <f t="shared" si="25"/>
        <v/>
      </c>
      <c r="BY27" s="664" t="str">
        <f t="shared" si="25"/>
        <v/>
      </c>
      <c r="BZ27" s="664" t="str">
        <f t="shared" si="25"/>
        <v/>
      </c>
      <c r="CB27" s="676" t="str">
        <f t="shared" si="31"/>
        <v>Implant de 3 ans (Implanon, Levoplant)</v>
      </c>
      <c r="CC27" s="664" t="str">
        <f t="shared" si="26"/>
        <v/>
      </c>
      <c r="CD27" s="665" t="str">
        <f t="shared" si="26"/>
        <v/>
      </c>
      <c r="CE27" s="664" t="str">
        <f t="shared" si="26"/>
        <v/>
      </c>
      <c r="CF27" s="664" t="str">
        <f t="shared" si="26"/>
        <v/>
      </c>
      <c r="CG27" s="664" t="str">
        <f t="shared" si="26"/>
        <v/>
      </c>
      <c r="CH27" s="664" t="str">
        <f t="shared" si="26"/>
        <v/>
      </c>
      <c r="CI27" s="664" t="str">
        <f t="shared" si="26"/>
        <v/>
      </c>
      <c r="CJ27" s="664" t="str">
        <f t="shared" si="26"/>
        <v/>
      </c>
      <c r="CK27" s="664" t="str">
        <f t="shared" si="26"/>
        <v/>
      </c>
      <c r="CL27" s="664" t="str">
        <f t="shared" si="26"/>
        <v/>
      </c>
      <c r="CM27" s="664" t="str">
        <f t="shared" si="26"/>
        <v/>
      </c>
      <c r="CN27" s="664" t="str">
        <f t="shared" si="26"/>
        <v/>
      </c>
      <c r="CO27" s="664" t="str">
        <f t="shared" si="26"/>
        <v/>
      </c>
      <c r="CP27" s="664" t="str">
        <f t="shared" si="26"/>
        <v/>
      </c>
      <c r="CQ27" s="664" t="str">
        <f t="shared" si="26"/>
        <v/>
      </c>
      <c r="CR27" s="664" t="str">
        <f t="shared" si="26"/>
        <v/>
      </c>
      <c r="CS27">
        <f>'3. ServiceStats Set Up'!E53</f>
        <v>1</v>
      </c>
      <c r="CT27" s="676" t="str">
        <f t="shared" si="32"/>
        <v>Implant de 3 ans (Implanon, Levoplant)</v>
      </c>
      <c r="CU27" s="664">
        <f>IFERROR(($G27*SUM(DO27:$EC27)*$CS27), "")</f>
        <v>0</v>
      </c>
      <c r="CV27" s="664">
        <f>IFERROR(($G27*SUM(DP27:$EC27)*$CS27), "")</f>
        <v>0</v>
      </c>
      <c r="CW27" s="664">
        <f>IFERROR(($G27*SUM(DQ27:$EC27)*$CS27), "")</f>
        <v>0</v>
      </c>
      <c r="CX27" s="664">
        <f>IFERROR(($G27*SUM(DR27:$EC27)*$CS27), "")</f>
        <v>0</v>
      </c>
      <c r="CY27" s="664">
        <f>IFERROR(($G27*SUM(DS27:$EC27)*$CS27), "")</f>
        <v>0</v>
      </c>
      <c r="CZ27" s="664">
        <f>IFERROR(($G27*SUM(DT27:$EC27)*$CS27), "")</f>
        <v>0</v>
      </c>
      <c r="DA27" s="664">
        <f>IFERROR(($G27*SUM(DU27:$EC27)*$CS27), "")</f>
        <v>0</v>
      </c>
      <c r="DB27" s="664">
        <f>IFERROR(($G27*SUM(DV27:$EC27)*$CS27), "")</f>
        <v>0</v>
      </c>
      <c r="DC27" s="664">
        <f>IFERROR(($G27*SUM(DW27:$EC27)*$CS27), "")</f>
        <v>0</v>
      </c>
      <c r="DD27" s="664">
        <f>IFERROR(($G27*SUM(DX27:$EC27)*$CS27), "")</f>
        <v>0</v>
      </c>
      <c r="DE27" s="664">
        <f>IFERROR(($G27*SUM(DY27:$EC27)*$CS27), "")</f>
        <v>0</v>
      </c>
      <c r="DF27" s="664">
        <f>IFERROR(($G27*SUM(DZ27:$EC27)*$CS27), "")</f>
        <v>0</v>
      </c>
      <c r="DG27" s="664">
        <f>IFERROR(($G27*SUM(EA27:$EC27)*$CS27), "")</f>
        <v>0</v>
      </c>
      <c r="DH27" s="664">
        <f>IFERROR(($G27*SUM(EB27:$EC27)*$CS27), "")</f>
        <v>0</v>
      </c>
      <c r="DI27" s="664">
        <f>IFERROR(($G27*SUM(EC27:$EC27)*$CS27), "")</f>
        <v>0</v>
      </c>
      <c r="DJ27" s="664"/>
      <c r="DL27" s="1486" t="s">
        <v>3</v>
      </c>
      <c r="DM27" s="389" t="str">
        <f t="shared" si="33"/>
        <v>Implant de 3 ans (Implanon, Levoplant)</v>
      </c>
      <c r="DN27" s="349">
        <f t="shared" ref="DN27:DW27" si="36">IFERROR(AVERAGE(DN8:DO8)*$EE27,0)</f>
        <v>0.94546756633963991</v>
      </c>
      <c r="DO27" s="349">
        <f t="shared" si="36"/>
        <v>0.84235027166076293</v>
      </c>
      <c r="DP27" s="349">
        <f t="shared" si="36"/>
        <v>0.7504794510445093</v>
      </c>
      <c r="DQ27" s="349">
        <f t="shared" si="36"/>
        <v>0.35359674572338629</v>
      </c>
      <c r="DR27" s="349">
        <f t="shared" si="36"/>
        <v>0</v>
      </c>
      <c r="DS27" s="349">
        <f t="shared" si="36"/>
        <v>0</v>
      </c>
      <c r="DT27" s="349">
        <f t="shared" si="36"/>
        <v>0</v>
      </c>
      <c r="DU27" s="349">
        <f t="shared" si="36"/>
        <v>0</v>
      </c>
      <c r="DV27" s="349">
        <f t="shared" si="36"/>
        <v>0</v>
      </c>
      <c r="DW27" s="349">
        <f t="shared" si="36"/>
        <v>0</v>
      </c>
      <c r="DX27" s="349">
        <v>0</v>
      </c>
      <c r="DY27" s="349">
        <v>0</v>
      </c>
      <c r="DZ27" s="349">
        <v>0</v>
      </c>
      <c r="EA27" s="349">
        <v>0</v>
      </c>
      <c r="EB27" s="349">
        <v>0</v>
      </c>
      <c r="EC27" s="349">
        <v>0</v>
      </c>
      <c r="ED27" s="407">
        <v>2.5</v>
      </c>
      <c r="EE27" s="395">
        <f t="shared" si="28"/>
        <v>1</v>
      </c>
    </row>
    <row r="28" spans="2:136" ht="17.25" customHeight="1" x14ac:dyDescent="0.25">
      <c r="B28" s="1482"/>
      <c r="C28" s="277" t="str">
        <f>IF(Language="English", 'Language Look Ups'!$P$11,IF(Language="Francais", 'Language Look Ups'!$T$11, 'Language Look Ups'!$R$11))</f>
        <v>Implant de 4 ans (Sino-Implant)</v>
      </c>
      <c r="D28" s="278">
        <v>3.2</v>
      </c>
      <c r="E28" s="101">
        <f t="shared" si="29"/>
        <v>3.2</v>
      </c>
      <c r="F28" s="102" t="str">
        <f t="shared" si="10"/>
        <v>années de protection</v>
      </c>
      <c r="G28" s="1280"/>
      <c r="H28" s="282"/>
      <c r="I28" s="282"/>
      <c r="J28" s="282"/>
      <c r="K28" s="282"/>
      <c r="L28" s="282"/>
      <c r="M28" s="282"/>
      <c r="N28" s="282"/>
      <c r="O28" s="282"/>
      <c r="P28" s="282"/>
      <c r="Q28" s="282"/>
      <c r="R28" s="282"/>
      <c r="S28" s="282"/>
      <c r="T28" s="282"/>
      <c r="U28" s="282"/>
      <c r="V28" s="413"/>
      <c r="AA28" s="464" t="str">
        <f t="shared" si="11"/>
        <v>Implant de 4 ans (Sino-Implant)</v>
      </c>
      <c r="AB28" s="1038" t="str">
        <f>IF(AB$21="", "", VLOOKUP($AA28,'4. FPSource Set Up'!$C$96:$H$117, 3, FALSE))</f>
        <v>n/a</v>
      </c>
      <c r="AC28" s="1039" t="str">
        <f>IF(AC$21="", "", VLOOKUP($AA28,'4. FPSource Set Up'!$C$96:$H$117, 3, FALSE))</f>
        <v/>
      </c>
      <c r="AD28" s="1039" t="str">
        <f>IF(AD$21="", "", VLOOKUP($AA28,'4. FPSource Set Up'!$C$96:$H$117, 3, FALSE))</f>
        <v/>
      </c>
      <c r="AE28" s="1039" t="str">
        <f>IF(AE$21="", "", VLOOKUP($AA28,'4. FPSource Set Up'!$C$96:$H$117, 3, FALSE))</f>
        <v/>
      </c>
      <c r="AF28" s="1039" t="str">
        <f>IF(AF$21="", "", VLOOKUP($AA28,'4. FPSource Set Up'!$C$96:$H$117, 3, FALSE))</f>
        <v/>
      </c>
      <c r="AG28" s="1039" t="str">
        <f>IF(AG$21="", "", VLOOKUP($AA28,'4. FPSource Set Up'!$C$96:$H$117, 3, FALSE))</f>
        <v/>
      </c>
      <c r="AH28" s="1039" t="str">
        <f>IF(AH$21="", "", VLOOKUP($AA28,'4. FPSource Set Up'!$C$96:$H$117, 3, FALSE))</f>
        <v/>
      </c>
      <c r="AI28" s="1039" t="str">
        <f>IF(AI$21="", "", VLOOKUP($AA28,'4. FPSource Set Up'!$C$96:$H$117, 3, FALSE))</f>
        <v/>
      </c>
      <c r="AJ28" s="1039" t="str">
        <f>IF(AJ$21="", "", VLOOKUP($AA28,'4. FPSource Set Up'!$C$96:$H$117, 3, FALSE))</f>
        <v/>
      </c>
      <c r="AK28" s="1039" t="str">
        <f>IF(AK$21="", "", VLOOKUP($AA28,'4. FPSource Set Up'!$C$96:$H$117, 3, FALSE))</f>
        <v/>
      </c>
      <c r="AL28" s="1039" t="str">
        <f>IF(AL$21="", "", VLOOKUP($AA28,'4. FPSource Set Up'!$C$96:$H$117, 3, FALSE))</f>
        <v/>
      </c>
      <c r="AM28" s="1039" t="str">
        <f>IF(AM$21="", "", VLOOKUP($AA28,'4. FPSource Set Up'!$C$96:$H$117, 3, FALSE))</f>
        <v/>
      </c>
      <c r="AN28" s="1039" t="str">
        <f>IF(AN$21="", "", VLOOKUP($AA28,'4. FPSource Set Up'!$C$96:$H$117, 3, FALSE))</f>
        <v/>
      </c>
      <c r="AO28" s="1039" t="str">
        <f>IF(AO$21="", "", VLOOKUP($AA28,'4. FPSource Set Up'!$C$96:$H$117, 3, FALSE))</f>
        <v/>
      </c>
      <c r="AP28" s="1039" t="str">
        <f>IF(AP$21="", "", VLOOKUP($AA28,'4. FPSource Set Up'!$C$96:$H$117, 3, FALSE))</f>
        <v/>
      </c>
      <c r="AQ28" s="1040" t="str">
        <f>IF(AQ$21="", "", VLOOKUP($AA28,'4. FPSource Set Up'!$C$96:$H$117, 3, FALSE))</f>
        <v/>
      </c>
      <c r="BA28" s="102" t="s">
        <v>9</v>
      </c>
      <c r="BC28" s="184" t="s">
        <v>835</v>
      </c>
      <c r="BJ28" s="678" t="str">
        <f t="shared" si="30"/>
        <v>Implant de 4 ans (Sino-Implant)</v>
      </c>
      <c r="BK28" s="670" t="str">
        <f t="shared" si="12"/>
        <v/>
      </c>
      <c r="BL28" s="671" t="str">
        <f t="shared" si="13"/>
        <v/>
      </c>
      <c r="BM28" s="671" t="str">
        <f t="shared" si="14"/>
        <v/>
      </c>
      <c r="BN28" s="671" t="str">
        <f t="shared" si="15"/>
        <v/>
      </c>
      <c r="BO28" s="671" t="str">
        <f t="shared" si="16"/>
        <v/>
      </c>
      <c r="BP28" s="671" t="str">
        <f t="shared" si="17"/>
        <v/>
      </c>
      <c r="BQ28" s="671" t="str">
        <f t="shared" si="18"/>
        <v/>
      </c>
      <c r="BR28" s="671" t="str">
        <f t="shared" si="19"/>
        <v/>
      </c>
      <c r="BS28" s="671" t="str">
        <f t="shared" si="20"/>
        <v/>
      </c>
      <c r="BT28" s="671" t="str">
        <f t="shared" si="21"/>
        <v/>
      </c>
      <c r="BU28" s="671" t="str">
        <f t="shared" si="22"/>
        <v/>
      </c>
      <c r="BV28" s="671" t="str">
        <f t="shared" si="23"/>
        <v/>
      </c>
      <c r="BW28" s="671" t="str">
        <f t="shared" si="24"/>
        <v/>
      </c>
      <c r="BX28" s="671" t="str">
        <f t="shared" si="25"/>
        <v/>
      </c>
      <c r="BY28" s="671" t="str">
        <f t="shared" si="25"/>
        <v/>
      </c>
      <c r="BZ28" s="671" t="str">
        <f t="shared" si="25"/>
        <v/>
      </c>
      <c r="CB28" s="678" t="str">
        <f t="shared" si="31"/>
        <v>Implant de 4 ans (Sino-Implant)</v>
      </c>
      <c r="CC28" s="670" t="str">
        <f t="shared" si="26"/>
        <v/>
      </c>
      <c r="CD28" s="671" t="str">
        <f t="shared" si="26"/>
        <v/>
      </c>
      <c r="CE28" s="671" t="str">
        <f t="shared" si="26"/>
        <v/>
      </c>
      <c r="CF28" s="671" t="str">
        <f t="shared" si="26"/>
        <v/>
      </c>
      <c r="CG28" s="671" t="str">
        <f t="shared" si="26"/>
        <v/>
      </c>
      <c r="CH28" s="671" t="str">
        <f t="shared" si="26"/>
        <v/>
      </c>
      <c r="CI28" s="671" t="str">
        <f t="shared" si="26"/>
        <v/>
      </c>
      <c r="CJ28" s="671" t="str">
        <f t="shared" si="26"/>
        <v/>
      </c>
      <c r="CK28" s="671" t="str">
        <f t="shared" si="26"/>
        <v/>
      </c>
      <c r="CL28" s="671" t="str">
        <f t="shared" si="26"/>
        <v/>
      </c>
      <c r="CM28" s="671" t="str">
        <f t="shared" si="26"/>
        <v/>
      </c>
      <c r="CN28" s="671" t="str">
        <f t="shared" si="26"/>
        <v/>
      </c>
      <c r="CO28" s="671" t="str">
        <f t="shared" si="26"/>
        <v/>
      </c>
      <c r="CP28" s="671" t="str">
        <f t="shared" si="26"/>
        <v/>
      </c>
      <c r="CQ28" s="671" t="str">
        <f t="shared" si="26"/>
        <v/>
      </c>
      <c r="CR28" s="671" t="str">
        <f t="shared" si="26"/>
        <v/>
      </c>
      <c r="CS28">
        <f>'3. ServiceStats Set Up'!E54</f>
        <v>1</v>
      </c>
      <c r="CT28" s="678" t="str">
        <f t="shared" si="32"/>
        <v>Implant de 4 ans (Sino-Implant)</v>
      </c>
      <c r="CU28" s="670">
        <f>IFERROR(($G28*SUM(DO28:$EC28)*$CS28), "")</f>
        <v>0</v>
      </c>
      <c r="CV28" s="670">
        <f>IFERROR(($G28*SUM(DP28:$EC28)*$CS28), "")</f>
        <v>0</v>
      </c>
      <c r="CW28" s="670">
        <f>IFERROR(($G28*SUM(DQ28:$EC28)*$CS28), "")</f>
        <v>0</v>
      </c>
      <c r="CX28" s="670">
        <f>IFERROR(($G28*SUM(DR28:$EC28)*$CS28), "")</f>
        <v>0</v>
      </c>
      <c r="CY28" s="670">
        <f>IFERROR(($G28*SUM(DS28:$EC28)*$CS28), "")</f>
        <v>0</v>
      </c>
      <c r="CZ28" s="670">
        <f>IFERROR(($G28*SUM(DT28:$EC28)*$CS28), "")</f>
        <v>0</v>
      </c>
      <c r="DA28" s="670">
        <f>IFERROR(($G28*SUM(DU28:$EC28)*$CS28), "")</f>
        <v>0</v>
      </c>
      <c r="DB28" s="670">
        <f>IFERROR(($G28*SUM(DV28:$EC28)*$CS28), "")</f>
        <v>0</v>
      </c>
      <c r="DC28" s="670">
        <f>IFERROR(($G28*SUM(DW28:$EC28)*$CS28), "")</f>
        <v>0</v>
      </c>
      <c r="DD28" s="670">
        <f>IFERROR(($G28*SUM(DX28:$EC28)*$CS28), "")</f>
        <v>0</v>
      </c>
      <c r="DE28" s="670">
        <f>IFERROR(($G28*SUM(DY28:$EC28)*$CS28), "")</f>
        <v>0</v>
      </c>
      <c r="DF28" s="670">
        <f>IFERROR(($G28*SUM(DZ28:$EC28)*$CS28), "")</f>
        <v>0</v>
      </c>
      <c r="DG28" s="670">
        <f>IFERROR(($G28*SUM(EA28:$EC28)*$CS28), "")</f>
        <v>0</v>
      </c>
      <c r="DH28" s="670">
        <f>IFERROR(($G28*SUM(EB28:$EC28)*$CS28), "")</f>
        <v>0</v>
      </c>
      <c r="DI28" s="670">
        <f>IFERROR(($G28*SUM(EC28:$EC28)*$CS28), "")</f>
        <v>0</v>
      </c>
      <c r="DJ28" s="670"/>
      <c r="DL28" s="1487"/>
      <c r="DM28" s="389" t="str">
        <f t="shared" si="33"/>
        <v>Implant de 4 ans (Sino-Implant)</v>
      </c>
      <c r="DN28" s="349">
        <f t="shared" ref="DN28:DW28" si="37">IFERROR(AVERAGE(DN9:DO9)*$EE28,0)</f>
        <v>0.94546756633963991</v>
      </c>
      <c r="DO28" s="349">
        <f t="shared" si="37"/>
        <v>0.84235027166076293</v>
      </c>
      <c r="DP28" s="349">
        <f t="shared" si="37"/>
        <v>0.7504794510445093</v>
      </c>
      <c r="DQ28" s="349">
        <f t="shared" si="37"/>
        <v>0.66862850928941309</v>
      </c>
      <c r="DR28" s="349">
        <f t="shared" si="37"/>
        <v>0.31503176356602675</v>
      </c>
      <c r="DS28" s="349">
        <f t="shared" si="37"/>
        <v>0</v>
      </c>
      <c r="DT28" s="349">
        <f t="shared" si="37"/>
        <v>0</v>
      </c>
      <c r="DU28" s="349">
        <f t="shared" si="37"/>
        <v>0</v>
      </c>
      <c r="DV28" s="349">
        <f t="shared" si="37"/>
        <v>0</v>
      </c>
      <c r="DW28" s="349">
        <f t="shared" si="37"/>
        <v>0</v>
      </c>
      <c r="DX28" s="349">
        <v>0</v>
      </c>
      <c r="DY28" s="349">
        <v>0</v>
      </c>
      <c r="DZ28" s="349">
        <v>0</v>
      </c>
      <c r="EA28" s="349">
        <v>0</v>
      </c>
      <c r="EB28" s="349">
        <v>0</v>
      </c>
      <c r="EC28" s="349">
        <v>0</v>
      </c>
      <c r="ED28" s="278">
        <v>3.2</v>
      </c>
      <c r="EE28" s="395">
        <f t="shared" si="28"/>
        <v>1</v>
      </c>
    </row>
    <row r="29" spans="2:136" ht="17.25" customHeight="1" thickBot="1" x14ac:dyDescent="0.3">
      <c r="B29" s="1481"/>
      <c r="C29" s="275" t="str">
        <f>IF(Language="English", 'Language Look Ups'!$P$12,IF(Language="Francais", 'Language Look Ups'!$T$12, 'Language Look Ups'!$R$12))</f>
        <v>Implant de 5 ans (Jadelle)</v>
      </c>
      <c r="D29" s="276">
        <v>3.8</v>
      </c>
      <c r="E29" s="99">
        <f t="shared" si="29"/>
        <v>3.8</v>
      </c>
      <c r="F29" s="100" t="str">
        <f t="shared" si="10"/>
        <v>années de protection</v>
      </c>
      <c r="G29" s="1282"/>
      <c r="H29" s="1283"/>
      <c r="I29" s="1283"/>
      <c r="J29" s="1283"/>
      <c r="K29" s="1283"/>
      <c r="L29" s="1283"/>
      <c r="M29" s="1283"/>
      <c r="N29" s="1283"/>
      <c r="O29" s="1283"/>
      <c r="P29" s="1283"/>
      <c r="Q29" s="1283"/>
      <c r="R29" s="1283"/>
      <c r="S29" s="1283"/>
      <c r="T29" s="1283"/>
      <c r="U29" s="1283"/>
      <c r="V29" s="1308"/>
      <c r="AA29" s="463" t="str">
        <f t="shared" si="11"/>
        <v>Implant de 5 ans (Jadelle)</v>
      </c>
      <c r="AB29" s="1035" t="str">
        <f>IF(AB$21="", "", VLOOKUP($AA29,'4. FPSource Set Up'!$C$96:$H$117, 3, FALSE))</f>
        <v>n/a</v>
      </c>
      <c r="AC29" s="1036" t="str">
        <f>IF(AC$21="", "", VLOOKUP($AA29,'4. FPSource Set Up'!$C$96:$H$117, 3, FALSE))</f>
        <v/>
      </c>
      <c r="AD29" s="1036" t="str">
        <f>IF(AD$21="", "", VLOOKUP($AA29,'4. FPSource Set Up'!$C$96:$H$117, 3, FALSE))</f>
        <v/>
      </c>
      <c r="AE29" s="1036" t="str">
        <f>IF(AE$21="", "", VLOOKUP($AA29,'4. FPSource Set Up'!$C$96:$H$117, 3, FALSE))</f>
        <v/>
      </c>
      <c r="AF29" s="1036" t="str">
        <f>IF(AF$21="", "", VLOOKUP($AA29,'4. FPSource Set Up'!$C$96:$H$117, 3, FALSE))</f>
        <v/>
      </c>
      <c r="AG29" s="1036" t="str">
        <f>IF(AG$21="", "", VLOOKUP($AA29,'4. FPSource Set Up'!$C$96:$H$117, 3, FALSE))</f>
        <v/>
      </c>
      <c r="AH29" s="1036" t="str">
        <f>IF(AH$21="", "", VLOOKUP($AA29,'4. FPSource Set Up'!$C$96:$H$117, 3, FALSE))</f>
        <v/>
      </c>
      <c r="AI29" s="1036" t="str">
        <f>IF(AI$21="", "", VLOOKUP($AA29,'4. FPSource Set Up'!$C$96:$H$117, 3, FALSE))</f>
        <v/>
      </c>
      <c r="AJ29" s="1036" t="str">
        <f>IF(AJ$21="", "", VLOOKUP($AA29,'4. FPSource Set Up'!$C$96:$H$117, 3, FALSE))</f>
        <v/>
      </c>
      <c r="AK29" s="1036" t="str">
        <f>IF(AK$21="", "", VLOOKUP($AA29,'4. FPSource Set Up'!$C$96:$H$117, 3, FALSE))</f>
        <v/>
      </c>
      <c r="AL29" s="1036" t="str">
        <f>IF(AL$21="", "", VLOOKUP($AA29,'4. FPSource Set Up'!$C$96:$H$117, 3, FALSE))</f>
        <v/>
      </c>
      <c r="AM29" s="1036" t="str">
        <f>IF(AM$21="", "", VLOOKUP($AA29,'4. FPSource Set Up'!$C$96:$H$117, 3, FALSE))</f>
        <v/>
      </c>
      <c r="AN29" s="1036" t="str">
        <f>IF(AN$21="", "", VLOOKUP($AA29,'4. FPSource Set Up'!$C$96:$H$117, 3, FALSE))</f>
        <v/>
      </c>
      <c r="AO29" s="1036" t="str">
        <f>IF(AO$21="", "", VLOOKUP($AA29,'4. FPSource Set Up'!$C$96:$H$117, 3, FALSE))</f>
        <v/>
      </c>
      <c r="AP29" s="1036" t="str">
        <f>IF(AP$21="", "", VLOOKUP($AA29,'4. FPSource Set Up'!$C$96:$H$117, 3, FALSE))</f>
        <v/>
      </c>
      <c r="AQ29" s="1037" t="str">
        <f>IF(AQ$21="", "", VLOOKUP($AA29,'4. FPSource Set Up'!$C$96:$H$117, 3, FALSE))</f>
        <v/>
      </c>
      <c r="BA29" s="100" t="s">
        <v>9</v>
      </c>
      <c r="BC29" s="184" t="s">
        <v>835</v>
      </c>
      <c r="BJ29" s="677" t="str">
        <f t="shared" si="30"/>
        <v>Implant de 5 ans (Jadelle)</v>
      </c>
      <c r="BK29" s="667" t="str">
        <f t="shared" si="12"/>
        <v/>
      </c>
      <c r="BL29" s="668" t="str">
        <f t="shared" si="13"/>
        <v/>
      </c>
      <c r="BM29" s="667" t="str">
        <f t="shared" si="14"/>
        <v/>
      </c>
      <c r="BN29" s="667" t="str">
        <f t="shared" si="15"/>
        <v/>
      </c>
      <c r="BO29" s="667" t="str">
        <f t="shared" si="16"/>
        <v/>
      </c>
      <c r="BP29" s="667" t="str">
        <f t="shared" si="17"/>
        <v/>
      </c>
      <c r="BQ29" s="667" t="str">
        <f t="shared" si="18"/>
        <v/>
      </c>
      <c r="BR29" s="667" t="str">
        <f t="shared" si="19"/>
        <v/>
      </c>
      <c r="BS29" s="667" t="str">
        <f t="shared" si="20"/>
        <v/>
      </c>
      <c r="BT29" s="667" t="str">
        <f t="shared" si="21"/>
        <v/>
      </c>
      <c r="BU29" s="667" t="str">
        <f t="shared" si="22"/>
        <v/>
      </c>
      <c r="BV29" s="667" t="str">
        <f t="shared" si="23"/>
        <v/>
      </c>
      <c r="BW29" s="667" t="str">
        <f t="shared" si="24"/>
        <v/>
      </c>
      <c r="BX29" s="667" t="str">
        <f t="shared" si="25"/>
        <v/>
      </c>
      <c r="BY29" s="667" t="str">
        <f t="shared" si="25"/>
        <v/>
      </c>
      <c r="BZ29" s="667" t="str">
        <f t="shared" si="25"/>
        <v/>
      </c>
      <c r="CB29" s="677" t="str">
        <f t="shared" si="31"/>
        <v>Implant de 5 ans (Jadelle)</v>
      </c>
      <c r="CC29" s="667" t="str">
        <f t="shared" si="26"/>
        <v/>
      </c>
      <c r="CD29" s="668" t="str">
        <f t="shared" si="26"/>
        <v/>
      </c>
      <c r="CE29" s="667" t="str">
        <f t="shared" si="26"/>
        <v/>
      </c>
      <c r="CF29" s="667" t="str">
        <f t="shared" si="26"/>
        <v/>
      </c>
      <c r="CG29" s="667" t="str">
        <f t="shared" si="26"/>
        <v/>
      </c>
      <c r="CH29" s="667" t="str">
        <f t="shared" si="26"/>
        <v/>
      </c>
      <c r="CI29" s="667" t="str">
        <f t="shared" si="26"/>
        <v/>
      </c>
      <c r="CJ29" s="667" t="str">
        <f t="shared" si="26"/>
        <v/>
      </c>
      <c r="CK29" s="667" t="str">
        <f t="shared" si="26"/>
        <v/>
      </c>
      <c r="CL29" s="667" t="str">
        <f t="shared" si="26"/>
        <v/>
      </c>
      <c r="CM29" s="667" t="str">
        <f t="shared" si="26"/>
        <v/>
      </c>
      <c r="CN29" s="667" t="str">
        <f t="shared" si="26"/>
        <v/>
      </c>
      <c r="CO29" s="667" t="str">
        <f t="shared" si="26"/>
        <v/>
      </c>
      <c r="CP29" s="667" t="str">
        <f t="shared" si="26"/>
        <v/>
      </c>
      <c r="CQ29" s="667" t="str">
        <f t="shared" si="26"/>
        <v/>
      </c>
      <c r="CR29" s="667" t="str">
        <f t="shared" si="26"/>
        <v/>
      </c>
      <c r="CS29">
        <f>'3. ServiceStats Set Up'!E55</f>
        <v>1</v>
      </c>
      <c r="CT29" s="677" t="str">
        <f t="shared" si="32"/>
        <v>Implant de 5 ans (Jadelle)</v>
      </c>
      <c r="CU29" s="667">
        <f>IFERROR(($G29*SUM(DO29:$EC29)*$CS29), "")</f>
        <v>0</v>
      </c>
      <c r="CV29" s="667">
        <f>IFERROR(($G29*SUM(DP29:$EC29)*$CS29), "")</f>
        <v>0</v>
      </c>
      <c r="CW29" s="667">
        <f>IFERROR(($G29*SUM(DQ29:$EC29)*$CS29), "")</f>
        <v>0</v>
      </c>
      <c r="CX29" s="667">
        <f>IFERROR(($G29*SUM(DR29:$EC29)*$CS29), "")</f>
        <v>0</v>
      </c>
      <c r="CY29" s="667">
        <f>IFERROR(($G29*SUM(DS29:$EC29)*$CS29), "")</f>
        <v>0</v>
      </c>
      <c r="CZ29" s="667">
        <f>IFERROR(($G29*SUM(DT29:$EC29)*$CS29), "")</f>
        <v>0</v>
      </c>
      <c r="DA29" s="667">
        <f>IFERROR(($G29*SUM(DU29:$EC29)*$CS29), "")</f>
        <v>0</v>
      </c>
      <c r="DB29" s="667">
        <f>IFERROR(($G29*SUM(DV29:$EC29)*$CS29), "")</f>
        <v>0</v>
      </c>
      <c r="DC29" s="667">
        <f>IFERROR(($G29*SUM(DW29:$EC29)*$CS29), "")</f>
        <v>0</v>
      </c>
      <c r="DD29" s="667">
        <f>IFERROR(($G29*SUM(DX29:$EC29)*$CS29), "")</f>
        <v>0</v>
      </c>
      <c r="DE29" s="667">
        <f>IFERROR(($G29*SUM(DY29:$EC29)*$CS29), "")</f>
        <v>0</v>
      </c>
      <c r="DF29" s="667">
        <f>IFERROR(($G29*SUM(DZ29:$EC29)*$CS29), "")</f>
        <v>0</v>
      </c>
      <c r="DG29" s="667">
        <f>IFERROR(($G29*SUM(EA29:$EC29)*$CS29), "")</f>
        <v>0</v>
      </c>
      <c r="DH29" s="667">
        <f>IFERROR(($G29*SUM(EB29:$EC29)*$CS29), "")</f>
        <v>0</v>
      </c>
      <c r="DI29" s="667">
        <f>IFERROR(($G29*SUM(EC29:$EC29)*$CS29), "")</f>
        <v>0</v>
      </c>
      <c r="DJ29" s="667"/>
      <c r="DL29" s="1488"/>
      <c r="DM29" s="389" t="str">
        <f t="shared" si="33"/>
        <v>Implant de 5 ans (Jadelle)</v>
      </c>
      <c r="DN29" s="349">
        <f t="shared" ref="DN29:DW29" si="38">IFERROR(AVERAGE(DN10:DO10)*$EE29,0)</f>
        <v>0.94546756633963991</v>
      </c>
      <c r="DO29" s="349">
        <f t="shared" si="38"/>
        <v>0.84235027166076293</v>
      </c>
      <c r="DP29" s="349">
        <f t="shared" si="38"/>
        <v>0.7504794510445093</v>
      </c>
      <c r="DQ29" s="349">
        <f t="shared" si="38"/>
        <v>0.66862850928941309</v>
      </c>
      <c r="DR29" s="349">
        <f t="shared" si="38"/>
        <v>0.59570462963691229</v>
      </c>
      <c r="DS29" s="349">
        <f t="shared" si="38"/>
        <v>0.28067286607088554</v>
      </c>
      <c r="DT29" s="349">
        <f t="shared" si="38"/>
        <v>0</v>
      </c>
      <c r="DU29" s="349">
        <f t="shared" si="38"/>
        <v>0</v>
      </c>
      <c r="DV29" s="349">
        <f t="shared" si="38"/>
        <v>0</v>
      </c>
      <c r="DW29" s="349">
        <f t="shared" si="38"/>
        <v>0</v>
      </c>
      <c r="DX29" s="349">
        <v>0</v>
      </c>
      <c r="DY29" s="349">
        <v>0</v>
      </c>
      <c r="DZ29" s="349">
        <v>0</v>
      </c>
      <c r="EA29" s="349">
        <v>0</v>
      </c>
      <c r="EB29" s="349">
        <v>0</v>
      </c>
      <c r="EC29" s="349">
        <v>0</v>
      </c>
      <c r="ED29" s="276">
        <v>3.8</v>
      </c>
      <c r="EE29" s="395">
        <f t="shared" si="28"/>
        <v>1</v>
      </c>
    </row>
    <row r="30" spans="2:136" ht="6" customHeight="1" x14ac:dyDescent="0.25">
      <c r="B30" s="150"/>
      <c r="C30" s="279"/>
      <c r="G30" s="1198"/>
      <c r="H30" s="2"/>
      <c r="I30" s="2"/>
      <c r="J30" s="2"/>
      <c r="K30" s="2"/>
      <c r="L30" s="2"/>
      <c r="M30" s="2"/>
      <c r="N30" s="2"/>
      <c r="O30" s="2"/>
      <c r="P30" s="2"/>
      <c r="Q30" s="2"/>
      <c r="R30" s="2"/>
      <c r="S30" s="2"/>
      <c r="T30" s="2"/>
      <c r="U30" s="2"/>
      <c r="V30" s="301"/>
      <c r="AA30" s="150"/>
      <c r="AB30" s="384"/>
      <c r="AC30" s="385"/>
      <c r="AD30" s="385"/>
      <c r="AE30" s="385"/>
      <c r="AF30" s="385"/>
      <c r="AG30" s="385"/>
      <c r="AH30" s="385"/>
      <c r="AI30" s="385"/>
      <c r="AJ30" s="385"/>
      <c r="AK30" s="385"/>
      <c r="AL30" s="385"/>
      <c r="AM30" s="385"/>
      <c r="AN30" s="385"/>
      <c r="AO30" s="385"/>
      <c r="AP30" s="385"/>
      <c r="AQ30" s="465"/>
      <c r="BK30" s="2"/>
      <c r="BL30" s="2"/>
      <c r="BM30" s="2"/>
      <c r="BN30" s="2"/>
      <c r="BO30" s="2"/>
      <c r="BP30" s="2"/>
      <c r="BQ30" s="2"/>
      <c r="BR30" s="2"/>
      <c r="BS30" s="2"/>
      <c r="BT30" s="2"/>
      <c r="BU30" s="2"/>
      <c r="BV30" s="2"/>
      <c r="BW30" s="2"/>
      <c r="BX30" s="2"/>
      <c r="BY30" s="2"/>
      <c r="BZ30" s="2"/>
      <c r="CB30" s="150"/>
      <c r="CC30" s="2"/>
      <c r="CD30" s="2"/>
      <c r="CE30" s="2"/>
      <c r="CF30" s="2"/>
      <c r="CG30" s="2"/>
      <c r="CH30" s="2"/>
      <c r="CI30" s="2"/>
      <c r="CJ30" s="2"/>
      <c r="CK30" s="2"/>
      <c r="CL30" s="2"/>
      <c r="CM30" s="2"/>
      <c r="CN30" s="2"/>
      <c r="CO30" s="2"/>
      <c r="CP30" s="2"/>
      <c r="CQ30" s="2"/>
      <c r="CR30" s="301"/>
      <c r="CT30" s="150"/>
      <c r="CU30" s="2"/>
      <c r="CV30" s="2" t="str">
        <f t="shared" ref="CV30:DJ30" si="39">IFERROR(CU30*(1-(1/$E30)),"")</f>
        <v/>
      </c>
      <c r="CW30" s="2" t="str">
        <f t="shared" si="39"/>
        <v/>
      </c>
      <c r="CX30" s="2" t="str">
        <f t="shared" si="39"/>
        <v/>
      </c>
      <c r="CY30" s="2" t="str">
        <f t="shared" si="39"/>
        <v/>
      </c>
      <c r="CZ30" s="2" t="str">
        <f t="shared" si="39"/>
        <v/>
      </c>
      <c r="DA30" s="2" t="str">
        <f t="shared" si="39"/>
        <v/>
      </c>
      <c r="DB30" s="2" t="str">
        <f t="shared" si="39"/>
        <v/>
      </c>
      <c r="DC30" s="2" t="str">
        <f t="shared" si="39"/>
        <v/>
      </c>
      <c r="DD30" s="2" t="str">
        <f t="shared" si="39"/>
        <v/>
      </c>
      <c r="DE30" s="2" t="str">
        <f t="shared" si="39"/>
        <v/>
      </c>
      <c r="DF30" s="2" t="str">
        <f t="shared" si="39"/>
        <v/>
      </c>
      <c r="DG30" s="2" t="str">
        <f t="shared" si="39"/>
        <v/>
      </c>
      <c r="DH30" s="2" t="str">
        <f t="shared" si="39"/>
        <v/>
      </c>
      <c r="DI30" s="2" t="str">
        <f t="shared" si="39"/>
        <v/>
      </c>
      <c r="DJ30" s="301" t="str">
        <f t="shared" si="39"/>
        <v/>
      </c>
    </row>
    <row r="31" spans="2:136" ht="21.75" customHeight="1" x14ac:dyDescent="0.25">
      <c r="B31" s="364" t="str">
        <f>IF(Language="English", 'Language Look Ups'!$O$14,IF(Language="Francais", 'Language Look Ups'!$S$14, 'Language Look Ups'!$Q$14))</f>
        <v>Méthodes à Court Terme</v>
      </c>
      <c r="C31" s="104"/>
      <c r="D31" s="51"/>
      <c r="E31" s="50"/>
      <c r="F31" s="42"/>
      <c r="G31" s="1309"/>
      <c r="H31" s="300"/>
      <c r="I31" s="299"/>
      <c r="J31" s="300"/>
      <c r="K31" s="299"/>
      <c r="L31" s="300"/>
      <c r="M31" s="299"/>
      <c r="N31" s="300"/>
      <c r="O31" s="299"/>
      <c r="P31" s="300"/>
      <c r="Q31" s="299"/>
      <c r="R31" s="300"/>
      <c r="S31" s="299"/>
      <c r="T31" s="300"/>
      <c r="U31" s="299"/>
      <c r="V31" s="414"/>
      <c r="AA31" s="460" t="str">
        <f>B31</f>
        <v>Méthodes à Court Terme</v>
      </c>
      <c r="AB31" s="386"/>
      <c r="AC31" s="387"/>
      <c r="AD31" s="387"/>
      <c r="AE31" s="387"/>
      <c r="AF31" s="387"/>
      <c r="AG31" s="387"/>
      <c r="AH31" s="387"/>
      <c r="AI31" s="387"/>
      <c r="AJ31" s="387"/>
      <c r="AK31" s="387"/>
      <c r="AL31" s="387"/>
      <c r="AM31" s="387"/>
      <c r="AN31" s="387"/>
      <c r="AO31" s="387"/>
      <c r="AP31" s="387"/>
      <c r="AQ31" s="466"/>
      <c r="BJ31" s="51"/>
      <c r="BK31" s="711"/>
      <c r="BL31" s="711"/>
      <c r="BM31" s="711"/>
      <c r="BN31" s="711"/>
      <c r="BO31" s="711"/>
      <c r="BP31" s="711"/>
      <c r="BQ31" s="711"/>
      <c r="BR31" s="711"/>
      <c r="BS31" s="711"/>
      <c r="BT31" s="711"/>
      <c r="BU31" s="711"/>
      <c r="BV31" s="711" t="str">
        <f>IF(BV$21="", "", IF(AM31="",R31, R31/AM31))</f>
        <v/>
      </c>
      <c r="BW31" s="711" t="str">
        <f>IF(BW$21="", "", IF(AN31="",S31, S31/AN31))</f>
        <v/>
      </c>
      <c r="BX31" s="711" t="str">
        <f>IF(BX$21="", "", IF(AO31="",T31, T31/AO31))</f>
        <v/>
      </c>
      <c r="BY31" s="711" t="str">
        <f>IF(BY$21="", "", IF(AP31="",U31, U31/AP31))</f>
        <v/>
      </c>
      <c r="BZ31" s="711" t="str">
        <f>IF(BZ$21="", "", IF(AQ31="",V31, V31/AQ31))</f>
        <v/>
      </c>
      <c r="CB31" s="679"/>
      <c r="CC31" s="299"/>
      <c r="CD31" s="300"/>
      <c r="CE31" s="299"/>
      <c r="CF31" s="300"/>
      <c r="CG31" s="299"/>
      <c r="CH31" s="300"/>
      <c r="CI31" s="299"/>
      <c r="CJ31" s="300"/>
      <c r="CK31" s="299"/>
      <c r="CL31" s="300"/>
      <c r="CM31" s="299"/>
      <c r="CN31" s="300"/>
      <c r="CO31" s="299"/>
      <c r="CP31" s="300"/>
      <c r="CQ31" s="299"/>
      <c r="CR31" s="414"/>
      <c r="CT31" s="679"/>
      <c r="CU31" s="299" t="str">
        <f>IF(CU$21="", "", IF(CU$19&lt;60%, "", CC31*$E31))</f>
        <v/>
      </c>
      <c r="CV31" s="300" t="str">
        <f>IF(CV$21="", "", IF(CV$19&lt;60%, "", CD31*$E31))</f>
        <v/>
      </c>
      <c r="CW31" s="299"/>
      <c r="CX31" s="300" t="str">
        <f t="shared" ref="CX31:DJ31" si="40">IF(CX$21="", "", IF(CX$19&lt;60%, "", CF31*$E31))</f>
        <v/>
      </c>
      <c r="CY31" s="299" t="str">
        <f t="shared" si="40"/>
        <v/>
      </c>
      <c r="CZ31" s="300" t="str">
        <f t="shared" si="40"/>
        <v/>
      </c>
      <c r="DA31" s="299" t="str">
        <f t="shared" si="40"/>
        <v/>
      </c>
      <c r="DB31" s="300" t="str">
        <f t="shared" si="40"/>
        <v/>
      </c>
      <c r="DC31" s="299" t="str">
        <f t="shared" si="40"/>
        <v/>
      </c>
      <c r="DD31" s="300" t="str">
        <f t="shared" si="40"/>
        <v/>
      </c>
      <c r="DE31" s="299" t="str">
        <f t="shared" si="40"/>
        <v/>
      </c>
      <c r="DF31" s="300" t="str">
        <f t="shared" si="40"/>
        <v/>
      </c>
      <c r="DG31" s="299" t="str">
        <f t="shared" si="40"/>
        <v/>
      </c>
      <c r="DH31" s="300" t="str">
        <f t="shared" si="40"/>
        <v/>
      </c>
      <c r="DI31" s="299" t="str">
        <f t="shared" si="40"/>
        <v/>
      </c>
      <c r="DJ31" s="414" t="str">
        <f t="shared" si="40"/>
        <v/>
      </c>
    </row>
    <row r="32" spans="2:136" ht="17.25" customHeight="1" x14ac:dyDescent="0.25">
      <c r="B32" s="1491" t="str">
        <f>IF(Language="English", 'Language Look Ups'!$O$15,IF(Language="Francais", 'Language Look Ups'!$S$15, 'Language Look Ups'!Q$15))</f>
        <v>Produits injectables</v>
      </c>
      <c r="C32" s="363" t="str">
        <f>IF(Language="English", 'Language Look Ups'!$P$15,IF(Language="Francais", 'Language Look Ups'!$T$15, 'Language Look Ups'!$R$15))</f>
        <v>Depo Provera (DMPA)</v>
      </c>
      <c r="D32" s="407">
        <v>4</v>
      </c>
      <c r="E32" s="408">
        <f>1/D32</f>
        <v>0.25</v>
      </c>
      <c r="F32" s="416" t="str">
        <f t="shared" ref="F32:F46" si="41">IF(Language="English", BA32, BC32)</f>
        <v>par utilisateur par année</v>
      </c>
      <c r="G32" s="1278"/>
      <c r="H32" s="409"/>
      <c r="I32" s="409"/>
      <c r="J32" s="409"/>
      <c r="K32" s="409"/>
      <c r="L32" s="409"/>
      <c r="M32" s="409"/>
      <c r="N32" s="409"/>
      <c r="O32" s="409"/>
      <c r="P32" s="410"/>
      <c r="Q32" s="409"/>
      <c r="R32" s="410"/>
      <c r="S32" s="409"/>
      <c r="T32" s="410"/>
      <c r="U32" s="409"/>
      <c r="V32" s="411"/>
      <c r="AA32" s="462" t="str">
        <f t="shared" ref="AA32:AA46" si="42">C32</f>
        <v>Depo Provera (DMPA)</v>
      </c>
      <c r="AB32" s="1008" t="str">
        <f>IF(AB$21="", "", VLOOKUP($AA32,'4. FPSource Set Up'!$C$96:$H$117, 3, FALSE))</f>
        <v>n/a</v>
      </c>
      <c r="AC32" s="1009" t="str">
        <f>IF(AC$21="", "", VLOOKUP($AA32,'4. FPSource Set Up'!$C$96:$H$117, 3, FALSE))</f>
        <v/>
      </c>
      <c r="AD32" s="1009" t="str">
        <f>IF(AD$21="", "", VLOOKUP($AA32,'4. FPSource Set Up'!$C$96:$H$117, 3, FALSE))</f>
        <v/>
      </c>
      <c r="AE32" s="1009" t="str">
        <f>IF(AE$21="", "", VLOOKUP($AA32,'4. FPSource Set Up'!$C$96:$H$117, 3, FALSE))</f>
        <v/>
      </c>
      <c r="AF32" s="1009" t="str">
        <f>IF(AF$21="", "", VLOOKUP($AA32,'4. FPSource Set Up'!$C$96:$H$117, 3, FALSE))</f>
        <v/>
      </c>
      <c r="AG32" s="1009" t="str">
        <f>IF(AG$21="", "", VLOOKUP($AA32,'4. FPSource Set Up'!$C$96:$H$117, 3, FALSE))</f>
        <v/>
      </c>
      <c r="AH32" s="1009" t="str">
        <f>IF(AH$21="", "", VLOOKUP($AA32,'4. FPSource Set Up'!$C$96:$H$117, 3, FALSE))</f>
        <v/>
      </c>
      <c r="AI32" s="1009" t="str">
        <f>IF(AI$21="", "", VLOOKUP($AA32,'4. FPSource Set Up'!$C$96:$H$117, 3, FALSE))</f>
        <v/>
      </c>
      <c r="AJ32" s="1009" t="str">
        <f>IF(AJ$21="", "", VLOOKUP($AA32,'4. FPSource Set Up'!$C$96:$H$117, 3, FALSE))</f>
        <v/>
      </c>
      <c r="AK32" s="1009" t="str">
        <f>IF(AK$21="", "", VLOOKUP($AA32,'4. FPSource Set Up'!$C$96:$H$117, 3, FALSE))</f>
        <v/>
      </c>
      <c r="AL32" s="1009" t="str">
        <f>IF(AL$21="", "", VLOOKUP($AA32,'4. FPSource Set Up'!$C$96:$H$117, 3, FALSE))</f>
        <v/>
      </c>
      <c r="AM32" s="1009" t="str">
        <f>IF(AM$21="", "", VLOOKUP($AA32,'4. FPSource Set Up'!$C$96:$H$117, 3, FALSE))</f>
        <v/>
      </c>
      <c r="AN32" s="1009" t="str">
        <f>IF(AN$21="", "", VLOOKUP($AA32,'4. FPSource Set Up'!$C$96:$H$117, 3, FALSE))</f>
        <v/>
      </c>
      <c r="AO32" s="1009" t="str">
        <f>IF(AO$21="", "", VLOOKUP($AA32,'4. FPSource Set Up'!$C$96:$H$117, 3, FALSE))</f>
        <v/>
      </c>
      <c r="AP32" s="1009" t="str">
        <f>IF(AP$21="", "", VLOOKUP($AA32,'4. FPSource Set Up'!$C$96:$H$117, 3, FALSE))</f>
        <v/>
      </c>
      <c r="AQ32" s="1010" t="str">
        <f>IF(AQ$21="", "", VLOOKUP($AA32,'4. FPSource Set Up'!$C$96:$H$117, 3, FALSE))</f>
        <v/>
      </c>
      <c r="BA32" s="416" t="s">
        <v>83</v>
      </c>
      <c r="BC32" s="184" t="s">
        <v>836</v>
      </c>
      <c r="BJ32" s="676" t="str">
        <f t="shared" si="30"/>
        <v>Depo Provera (DMPA)</v>
      </c>
      <c r="BK32" s="664" t="str">
        <f t="shared" ref="BK32:BK46" si="43">IF(BK$21="", "", IF(BK$10&lt;60%, "", G32*$E32))</f>
        <v/>
      </c>
      <c r="BL32" s="664" t="str">
        <f t="shared" ref="BL32:BL46" si="44">IF(BL$21="", "", IF(BL$10&lt;60%, "", H32*$E32))</f>
        <v/>
      </c>
      <c r="BM32" s="664" t="str">
        <f t="shared" ref="BM32:BM46" si="45">IF(BM$21="", "", IF(BM$10&lt;60%, "", I32*$E32))</f>
        <v/>
      </c>
      <c r="BN32" s="664" t="str">
        <f t="shared" ref="BN32:BN46" si="46">IF(BN$21="", "", IF(BN$10&lt;60%, "", J32*$E32))</f>
        <v/>
      </c>
      <c r="BO32" s="664" t="str">
        <f t="shared" ref="BO32:BO46" si="47">IF(BO$21="", "", IF(BO$10&lt;60%, "", K32*$E32))</f>
        <v/>
      </c>
      <c r="BP32" s="664" t="str">
        <f t="shared" ref="BP32:BP46" si="48">IF(BP$21="", "", IF(BP$10&lt;60%, "", L32*$E32))</f>
        <v/>
      </c>
      <c r="BQ32" s="664" t="str">
        <f t="shared" ref="BQ32:BQ46" si="49">IF(BQ$21="", "", IF(BQ$10&lt;60%, "", M32*$E32))</f>
        <v/>
      </c>
      <c r="BR32" s="664" t="str">
        <f t="shared" ref="BR32:BR46" si="50">IF(BR$21="", "", IF(BR$10&lt;60%, "", N32*$E32))</f>
        <v/>
      </c>
      <c r="BS32" s="664" t="str">
        <f t="shared" ref="BS32:BS46" si="51">IF(BS$21="", "", IF(BS$10&lt;60%, "", O32*$E32))</f>
        <v/>
      </c>
      <c r="BT32" s="664" t="str">
        <f t="shared" ref="BT32:BT46" si="52">IF(BT$21="", "", IF(BT$10&lt;60%, "", P32*$E32))</f>
        <v/>
      </c>
      <c r="BU32" s="664" t="str">
        <f t="shared" ref="BU32:BU46" si="53">IF(BU$21="", "", IF(BU$10&lt;60%, "", Q32*$E32))</f>
        <v/>
      </c>
      <c r="BV32" s="664" t="str">
        <f t="shared" ref="BV32:BV46" si="54">IF(BV$21="", "", IF(BV$10&lt;60%, "", R32*$E32))</f>
        <v/>
      </c>
      <c r="BW32" s="664" t="str">
        <f t="shared" ref="BW32:BW46" si="55">IF(BW$21="", "", IF(BW$10&lt;60%, "", S32*$E32))</f>
        <v/>
      </c>
      <c r="BX32" s="664" t="str">
        <f t="shared" ref="BX32:BX46" si="56">IF(BX$21="", "", IF(BX$10&lt;60%, "", T32*$E32))</f>
        <v/>
      </c>
      <c r="BY32" s="664" t="str">
        <f t="shared" ref="BY32:BY46" si="57">IF(BY$21="", "", IF(BY$10&lt;60%, "", U32*$E32))</f>
        <v/>
      </c>
      <c r="BZ32" s="664" t="str">
        <f t="shared" ref="BZ32:BZ46" si="58">IF(BZ$21="", "", IF(BZ$10&lt;60%, "", V32*$E32))</f>
        <v/>
      </c>
      <c r="CB32" s="676" t="str">
        <f t="shared" si="31"/>
        <v>Depo Provera (DMPA)</v>
      </c>
      <c r="CC32" s="664" t="str">
        <f t="shared" ref="CC32:CC46" si="59">IF(CC$21="", "", IF(BK32="", "",  BK32*AB32))</f>
        <v/>
      </c>
      <c r="CD32" s="664" t="str">
        <f t="shared" ref="CD32:CD46" si="60">IF(CD$21="", "", IF(BL32="", "",  BL32*AC32))</f>
        <v/>
      </c>
      <c r="CE32" s="664" t="str">
        <f t="shared" ref="CE32:CE46" si="61">IF(CE$21="", "", IF(BM32="", "",  BM32*AD32))</f>
        <v/>
      </c>
      <c r="CF32" s="664" t="str">
        <f t="shared" ref="CF32:CF46" si="62">IF(CF$21="", "", IF(BN32="", "",  BN32*AE32))</f>
        <v/>
      </c>
      <c r="CG32" s="664" t="str">
        <f t="shared" ref="CG32:CG46" si="63">IF(CG$21="", "", IF(BO32="", "",  BO32*AF32))</f>
        <v/>
      </c>
      <c r="CH32" s="664" t="str">
        <f t="shared" ref="CH32:CH46" si="64">IF(CH$21="", "", IF(BP32="", "",  BP32*AG32))</f>
        <v/>
      </c>
      <c r="CI32" s="664" t="str">
        <f t="shared" ref="CI32:CI46" si="65">IF(CI$21="", "", IF(BQ32="", "",  BQ32*AH32))</f>
        <v/>
      </c>
      <c r="CJ32" s="664" t="str">
        <f t="shared" ref="CJ32:CJ46" si="66">IF(CJ$21="", "", IF(BR32="", "",  BR32*AI32))</f>
        <v/>
      </c>
      <c r="CK32" s="664" t="str">
        <f t="shared" ref="CK32:CK46" si="67">IF(CK$21="", "", IF(BS32="", "",  BS32*AJ32))</f>
        <v/>
      </c>
      <c r="CL32" s="664" t="str">
        <f t="shared" ref="CL32:CL46" si="68">IF(CL$21="", "", IF(BT32="", "",  BT32*AK32))</f>
        <v/>
      </c>
      <c r="CM32" s="664" t="str">
        <f t="shared" ref="CM32:CM46" si="69">IF(CM$21="", "", IF(BU32="", "",  BU32*AL32))</f>
        <v/>
      </c>
      <c r="CN32" s="664" t="str">
        <f t="shared" ref="CN32:CN46" si="70">IF(CN$21="", "", IF(BV32="", "",  BV32*AM32))</f>
        <v/>
      </c>
      <c r="CO32" s="664" t="str">
        <f t="shared" ref="CO32:CO46" si="71">IF(CO$21="", "", IF(BW32="", "",  BW32*AN32))</f>
        <v/>
      </c>
      <c r="CP32" s="664" t="str">
        <f t="shared" ref="CP32:CP46" si="72">IF(CP$21="", "", IF(BX32="", "",  BX32*AO32))</f>
        <v/>
      </c>
      <c r="CQ32" s="664" t="str">
        <f t="shared" ref="CQ32:CQ46" si="73">IF(CQ$21="", "", IF(BY32="", "",  BY32*AP32))</f>
        <v/>
      </c>
      <c r="CR32" s="664" t="str">
        <f t="shared" ref="CR32:CR46" si="74">IF(CR$21="", "", IF(BZ32="", "",  BZ32*AQ32))</f>
        <v/>
      </c>
      <c r="CT32" s="768" t="str">
        <f t="shared" si="32"/>
        <v>Depo Provera (DMPA)</v>
      </c>
      <c r="CU32" s="769"/>
      <c r="CV32" s="769"/>
      <c r="CW32" s="769"/>
      <c r="CX32" s="769"/>
      <c r="CY32" s="769"/>
      <c r="CZ32" s="769"/>
      <c r="DA32" s="769"/>
      <c r="DB32" s="769"/>
      <c r="DC32" s="769"/>
      <c r="DD32" s="770"/>
      <c r="DE32" s="769"/>
      <c r="DF32" s="770"/>
      <c r="DG32" s="769"/>
      <c r="DH32" s="770"/>
      <c r="DI32" s="769"/>
      <c r="DJ32" s="771"/>
    </row>
    <row r="33" spans="2:114" ht="17.25" customHeight="1" x14ac:dyDescent="0.25">
      <c r="B33" s="1492"/>
      <c r="C33" s="277" t="str">
        <f>IF(Language="English", 'Language Look Ups'!$P$16,IF(Language="Francais", 'Language Look Ups'!$T$16, 'Language Look Ups'!$R$16))</f>
        <v>Noristerat (NET-En)</v>
      </c>
      <c r="D33" s="278">
        <v>6</v>
      </c>
      <c r="E33" s="101">
        <f t="shared" ref="E33:E46" si="75">1/D33</f>
        <v>0.16666666666666666</v>
      </c>
      <c r="F33" s="102" t="str">
        <f t="shared" si="41"/>
        <v>par utilisateur par année</v>
      </c>
      <c r="G33" s="1280"/>
      <c r="H33" s="282"/>
      <c r="I33" s="282"/>
      <c r="J33" s="282"/>
      <c r="K33" s="282"/>
      <c r="L33" s="282"/>
      <c r="M33" s="282"/>
      <c r="N33" s="282"/>
      <c r="O33" s="282"/>
      <c r="P33" s="283"/>
      <c r="Q33" s="282"/>
      <c r="R33" s="283"/>
      <c r="S33" s="282"/>
      <c r="T33" s="282"/>
      <c r="U33" s="282"/>
      <c r="V33" s="413"/>
      <c r="AA33" s="464" t="str">
        <f t="shared" si="42"/>
        <v>Noristerat (NET-En)</v>
      </c>
      <c r="AB33" s="1011" t="str">
        <f>IF(AB$21="", "", VLOOKUP($AA33,'4. FPSource Set Up'!$C$96:$H$117, 3, FALSE))</f>
        <v>n/a</v>
      </c>
      <c r="AC33" s="1012" t="str">
        <f>IF(AC$21="", "", VLOOKUP($AA33,'4. FPSource Set Up'!$C$96:$H$117, 3, FALSE))</f>
        <v/>
      </c>
      <c r="AD33" s="1012" t="str">
        <f>IF(AD$21="", "", VLOOKUP($AA33,'4. FPSource Set Up'!$C$96:$H$117, 3, FALSE))</f>
        <v/>
      </c>
      <c r="AE33" s="1012" t="str">
        <f>IF(AE$21="", "", VLOOKUP($AA33,'4. FPSource Set Up'!$C$96:$H$117, 3, FALSE))</f>
        <v/>
      </c>
      <c r="AF33" s="1012" t="str">
        <f>IF(AF$21="", "", VLOOKUP($AA33,'4. FPSource Set Up'!$C$96:$H$117, 3, FALSE))</f>
        <v/>
      </c>
      <c r="AG33" s="1012" t="str">
        <f>IF(AG$21="", "", VLOOKUP($AA33,'4. FPSource Set Up'!$C$96:$H$117, 3, FALSE))</f>
        <v/>
      </c>
      <c r="AH33" s="1012" t="str">
        <f>IF(AH$21="", "", VLOOKUP($AA33,'4. FPSource Set Up'!$C$96:$H$117, 3, FALSE))</f>
        <v/>
      </c>
      <c r="AI33" s="1012" t="str">
        <f>IF(AI$21="", "", VLOOKUP($AA33,'4. FPSource Set Up'!$C$96:$H$117, 3, FALSE))</f>
        <v/>
      </c>
      <c r="AJ33" s="1012" t="str">
        <f>IF(AJ$21="", "", VLOOKUP($AA33,'4. FPSource Set Up'!$C$96:$H$117, 3, FALSE))</f>
        <v/>
      </c>
      <c r="AK33" s="1012" t="str">
        <f>IF(AK$21="", "", VLOOKUP($AA33,'4. FPSource Set Up'!$C$96:$H$117, 3, FALSE))</f>
        <v/>
      </c>
      <c r="AL33" s="1012" t="str">
        <f>IF(AL$21="", "", VLOOKUP($AA33,'4. FPSource Set Up'!$C$96:$H$117, 3, FALSE))</f>
        <v/>
      </c>
      <c r="AM33" s="1012" t="str">
        <f>IF(AM$21="", "", VLOOKUP($AA33,'4. FPSource Set Up'!$C$96:$H$117, 3, FALSE))</f>
        <v/>
      </c>
      <c r="AN33" s="1012" t="str">
        <f>IF(AN$21="", "", VLOOKUP($AA33,'4. FPSource Set Up'!$C$96:$H$117, 3, FALSE))</f>
        <v/>
      </c>
      <c r="AO33" s="1012" t="str">
        <f>IF(AO$21="", "", VLOOKUP($AA33,'4. FPSource Set Up'!$C$96:$H$117, 3, FALSE))</f>
        <v/>
      </c>
      <c r="AP33" s="1012" t="str">
        <f>IF(AP$21="", "", VLOOKUP($AA33,'4. FPSource Set Up'!$C$96:$H$117, 3, FALSE))</f>
        <v/>
      </c>
      <c r="AQ33" s="1013" t="str">
        <f>IF(AQ$21="", "", VLOOKUP($AA33,'4. FPSource Set Up'!$C$96:$H$117, 3, FALSE))</f>
        <v/>
      </c>
      <c r="BA33" s="102" t="s">
        <v>83</v>
      </c>
      <c r="BC33" s="184" t="s">
        <v>836</v>
      </c>
      <c r="BJ33" s="678" t="str">
        <f t="shared" si="30"/>
        <v>Noristerat (NET-En)</v>
      </c>
      <c r="BK33" s="670" t="str">
        <f t="shared" si="43"/>
        <v/>
      </c>
      <c r="BL33" s="670" t="str">
        <f t="shared" si="44"/>
        <v/>
      </c>
      <c r="BM33" s="670" t="str">
        <f t="shared" si="45"/>
        <v/>
      </c>
      <c r="BN33" s="670" t="str">
        <f t="shared" si="46"/>
        <v/>
      </c>
      <c r="BO33" s="670" t="str">
        <f t="shared" si="47"/>
        <v/>
      </c>
      <c r="BP33" s="670" t="str">
        <f t="shared" si="48"/>
        <v/>
      </c>
      <c r="BQ33" s="670" t="str">
        <f t="shared" si="49"/>
        <v/>
      </c>
      <c r="BR33" s="670" t="str">
        <f t="shared" si="50"/>
        <v/>
      </c>
      <c r="BS33" s="670" t="str">
        <f t="shared" si="51"/>
        <v/>
      </c>
      <c r="BT33" s="671" t="str">
        <f t="shared" si="52"/>
        <v/>
      </c>
      <c r="BU33" s="670" t="str">
        <f t="shared" si="53"/>
        <v/>
      </c>
      <c r="BV33" s="671" t="str">
        <f t="shared" si="54"/>
        <v/>
      </c>
      <c r="BW33" s="670" t="str">
        <f t="shared" si="55"/>
        <v/>
      </c>
      <c r="BX33" s="671" t="str">
        <f t="shared" si="56"/>
        <v/>
      </c>
      <c r="BY33" s="670" t="str">
        <f t="shared" si="57"/>
        <v/>
      </c>
      <c r="BZ33" s="672" t="str">
        <f t="shared" si="58"/>
        <v/>
      </c>
      <c r="CB33" s="678" t="str">
        <f t="shared" si="31"/>
        <v>Noristerat (NET-En)</v>
      </c>
      <c r="CC33" s="670" t="str">
        <f t="shared" si="59"/>
        <v/>
      </c>
      <c r="CD33" s="670" t="str">
        <f t="shared" si="60"/>
        <v/>
      </c>
      <c r="CE33" s="670" t="str">
        <f t="shared" si="61"/>
        <v/>
      </c>
      <c r="CF33" s="670" t="str">
        <f t="shared" si="62"/>
        <v/>
      </c>
      <c r="CG33" s="670" t="str">
        <f t="shared" si="63"/>
        <v/>
      </c>
      <c r="CH33" s="670" t="str">
        <f t="shared" si="64"/>
        <v/>
      </c>
      <c r="CI33" s="670" t="str">
        <f t="shared" si="65"/>
        <v/>
      </c>
      <c r="CJ33" s="670" t="str">
        <f t="shared" si="66"/>
        <v/>
      </c>
      <c r="CK33" s="670" t="str">
        <f t="shared" si="67"/>
        <v/>
      </c>
      <c r="CL33" s="671" t="str">
        <f t="shared" si="68"/>
        <v/>
      </c>
      <c r="CM33" s="670" t="str">
        <f t="shared" si="69"/>
        <v/>
      </c>
      <c r="CN33" s="671" t="str">
        <f t="shared" si="70"/>
        <v/>
      </c>
      <c r="CO33" s="670" t="str">
        <f t="shared" si="71"/>
        <v/>
      </c>
      <c r="CP33" s="671" t="str">
        <f t="shared" si="72"/>
        <v/>
      </c>
      <c r="CQ33" s="670" t="str">
        <f t="shared" si="73"/>
        <v/>
      </c>
      <c r="CR33" s="672" t="str">
        <f t="shared" si="74"/>
        <v/>
      </c>
      <c r="CT33" s="772" t="str">
        <f t="shared" si="32"/>
        <v>Noristerat (NET-En)</v>
      </c>
      <c r="CU33" s="773"/>
      <c r="CV33" s="773"/>
      <c r="CW33" s="773"/>
      <c r="CX33" s="773"/>
      <c r="CY33" s="773"/>
      <c r="CZ33" s="773"/>
      <c r="DA33" s="773"/>
      <c r="DB33" s="773"/>
      <c r="DC33" s="773"/>
      <c r="DD33" s="774"/>
      <c r="DE33" s="773"/>
      <c r="DF33" s="774"/>
      <c r="DG33" s="773"/>
      <c r="DH33" s="774"/>
      <c r="DI33" s="773"/>
      <c r="DJ33" s="775"/>
    </row>
    <row r="34" spans="2:114" ht="17.25" customHeight="1" x14ac:dyDescent="0.25">
      <c r="B34" s="1492"/>
      <c r="C34" s="277" t="str">
        <f>IF(Language="English",'Language Look Ups'!$P$17,IF(Language="Francais",'Language Look Ups'!$T$17,'Language Look Ups'!$R$17))</f>
        <v>Lunelle</v>
      </c>
      <c r="D34" s="278">
        <v>13</v>
      </c>
      <c r="E34" s="101">
        <f t="shared" si="75"/>
        <v>7.6923076923076927E-2</v>
      </c>
      <c r="F34" s="102" t="str">
        <f t="shared" si="41"/>
        <v>par utilisateur par année</v>
      </c>
      <c r="G34" s="1280"/>
      <c r="H34" s="283"/>
      <c r="I34" s="282"/>
      <c r="J34" s="283"/>
      <c r="K34" s="282"/>
      <c r="L34" s="283"/>
      <c r="M34" s="282"/>
      <c r="N34" s="283"/>
      <c r="O34" s="282"/>
      <c r="P34" s="283"/>
      <c r="Q34" s="282"/>
      <c r="R34" s="283"/>
      <c r="S34" s="282"/>
      <c r="T34" s="283"/>
      <c r="U34" s="282"/>
      <c r="V34" s="413"/>
      <c r="AA34" s="464" t="str">
        <f t="shared" si="42"/>
        <v>Lunelle</v>
      </c>
      <c r="AB34" s="1011" t="str">
        <f>IF(AB$21="", "", VLOOKUP($AA34,'4. FPSource Set Up'!$C$96:$H$117, 3, FALSE))</f>
        <v>n/a</v>
      </c>
      <c r="AC34" s="1012" t="str">
        <f>IF(AC$21="", "", VLOOKUP($AA34,'4. FPSource Set Up'!$C$96:$H$117, 3, FALSE))</f>
        <v/>
      </c>
      <c r="AD34" s="1012" t="str">
        <f>IF(AD$21="", "", VLOOKUP($AA34,'4. FPSource Set Up'!$C$96:$H$117, 3, FALSE))</f>
        <v/>
      </c>
      <c r="AE34" s="1012" t="str">
        <f>IF(AE$21="", "", VLOOKUP($AA34,'4. FPSource Set Up'!$C$96:$H$117, 3, FALSE))</f>
        <v/>
      </c>
      <c r="AF34" s="1012" t="str">
        <f>IF(AF$21="", "", VLOOKUP($AA34,'4. FPSource Set Up'!$C$96:$H$117, 3, FALSE))</f>
        <v/>
      </c>
      <c r="AG34" s="1012" t="str">
        <f>IF(AG$21="", "", VLOOKUP($AA34,'4. FPSource Set Up'!$C$96:$H$117, 3, FALSE))</f>
        <v/>
      </c>
      <c r="AH34" s="1012" t="str">
        <f>IF(AH$21="", "", VLOOKUP($AA34,'4. FPSource Set Up'!$C$96:$H$117, 3, FALSE))</f>
        <v/>
      </c>
      <c r="AI34" s="1012" t="str">
        <f>IF(AI$21="", "", VLOOKUP($AA34,'4. FPSource Set Up'!$C$96:$H$117, 3, FALSE))</f>
        <v/>
      </c>
      <c r="AJ34" s="1012" t="str">
        <f>IF(AJ$21="", "", VLOOKUP($AA34,'4. FPSource Set Up'!$C$96:$H$117, 3, FALSE))</f>
        <v/>
      </c>
      <c r="AK34" s="1012" t="str">
        <f>IF(AK$21="", "", VLOOKUP($AA34,'4. FPSource Set Up'!$C$96:$H$117, 3, FALSE))</f>
        <v/>
      </c>
      <c r="AL34" s="1012" t="str">
        <f>IF(AL$21="", "", VLOOKUP($AA34,'4. FPSource Set Up'!$C$96:$H$117, 3, FALSE))</f>
        <v/>
      </c>
      <c r="AM34" s="1012" t="str">
        <f>IF(AM$21="", "", VLOOKUP($AA34,'4. FPSource Set Up'!$C$96:$H$117, 3, FALSE))</f>
        <v/>
      </c>
      <c r="AN34" s="1012" t="str">
        <f>IF(AN$21="", "", VLOOKUP($AA34,'4. FPSource Set Up'!$C$96:$H$117, 3, FALSE))</f>
        <v/>
      </c>
      <c r="AO34" s="1012" t="str">
        <f>IF(AO$21="", "", VLOOKUP($AA34,'4. FPSource Set Up'!$C$96:$H$117, 3, FALSE))</f>
        <v/>
      </c>
      <c r="AP34" s="1012" t="str">
        <f>IF(AP$21="", "", VLOOKUP($AA34,'4. FPSource Set Up'!$C$96:$H$117, 3, FALSE))</f>
        <v/>
      </c>
      <c r="AQ34" s="1013" t="str">
        <f>IF(AQ$21="", "", VLOOKUP($AA34,'4. FPSource Set Up'!$C$96:$H$117, 3, FALSE))</f>
        <v/>
      </c>
      <c r="BA34" s="102" t="s">
        <v>83</v>
      </c>
      <c r="BC34" s="184" t="s">
        <v>836</v>
      </c>
      <c r="BJ34" s="678" t="str">
        <f t="shared" si="30"/>
        <v>Lunelle</v>
      </c>
      <c r="BK34" s="670" t="str">
        <f t="shared" si="43"/>
        <v/>
      </c>
      <c r="BL34" s="671" t="str">
        <f t="shared" si="44"/>
        <v/>
      </c>
      <c r="BM34" s="670" t="str">
        <f t="shared" si="45"/>
        <v/>
      </c>
      <c r="BN34" s="671" t="str">
        <f t="shared" si="46"/>
        <v/>
      </c>
      <c r="BO34" s="670" t="str">
        <f t="shared" si="47"/>
        <v/>
      </c>
      <c r="BP34" s="671" t="str">
        <f t="shared" si="48"/>
        <v/>
      </c>
      <c r="BQ34" s="670" t="str">
        <f t="shared" si="49"/>
        <v/>
      </c>
      <c r="BR34" s="671" t="str">
        <f t="shared" si="50"/>
        <v/>
      </c>
      <c r="BS34" s="670" t="str">
        <f t="shared" si="51"/>
        <v/>
      </c>
      <c r="BT34" s="671" t="str">
        <f t="shared" si="52"/>
        <v/>
      </c>
      <c r="BU34" s="670" t="str">
        <f t="shared" si="53"/>
        <v/>
      </c>
      <c r="BV34" s="671" t="str">
        <f t="shared" si="54"/>
        <v/>
      </c>
      <c r="BW34" s="670" t="str">
        <f t="shared" si="55"/>
        <v/>
      </c>
      <c r="BX34" s="671" t="str">
        <f t="shared" si="56"/>
        <v/>
      </c>
      <c r="BY34" s="670" t="str">
        <f t="shared" si="57"/>
        <v/>
      </c>
      <c r="BZ34" s="672" t="str">
        <f t="shared" si="58"/>
        <v/>
      </c>
      <c r="CB34" s="678" t="str">
        <f t="shared" si="31"/>
        <v>Lunelle</v>
      </c>
      <c r="CC34" s="670" t="str">
        <f t="shared" si="59"/>
        <v/>
      </c>
      <c r="CD34" s="671" t="str">
        <f t="shared" si="60"/>
        <v/>
      </c>
      <c r="CE34" s="670" t="str">
        <f t="shared" si="61"/>
        <v/>
      </c>
      <c r="CF34" s="671" t="str">
        <f t="shared" si="62"/>
        <v/>
      </c>
      <c r="CG34" s="670" t="str">
        <f t="shared" si="63"/>
        <v/>
      </c>
      <c r="CH34" s="671" t="str">
        <f t="shared" si="64"/>
        <v/>
      </c>
      <c r="CI34" s="670" t="str">
        <f t="shared" si="65"/>
        <v/>
      </c>
      <c r="CJ34" s="671" t="str">
        <f t="shared" si="66"/>
        <v/>
      </c>
      <c r="CK34" s="670" t="str">
        <f t="shared" si="67"/>
        <v/>
      </c>
      <c r="CL34" s="671" t="str">
        <f t="shared" si="68"/>
        <v/>
      </c>
      <c r="CM34" s="670" t="str">
        <f t="shared" si="69"/>
        <v/>
      </c>
      <c r="CN34" s="671" t="str">
        <f t="shared" si="70"/>
        <v/>
      </c>
      <c r="CO34" s="670" t="str">
        <f t="shared" si="71"/>
        <v/>
      </c>
      <c r="CP34" s="671" t="str">
        <f t="shared" si="72"/>
        <v/>
      </c>
      <c r="CQ34" s="670" t="str">
        <f t="shared" si="73"/>
        <v/>
      </c>
      <c r="CR34" s="672" t="str">
        <f t="shared" si="74"/>
        <v/>
      </c>
      <c r="CT34" s="772" t="str">
        <f t="shared" si="32"/>
        <v>Lunelle</v>
      </c>
      <c r="CU34" s="773"/>
      <c r="CV34" s="774"/>
      <c r="CW34" s="773"/>
      <c r="CX34" s="774"/>
      <c r="CY34" s="773"/>
      <c r="CZ34" s="774"/>
      <c r="DA34" s="773"/>
      <c r="DB34" s="774"/>
      <c r="DC34" s="773"/>
      <c r="DD34" s="774"/>
      <c r="DE34" s="773"/>
      <c r="DF34" s="774"/>
      <c r="DG34" s="773"/>
      <c r="DH34" s="774"/>
      <c r="DI34" s="773"/>
      <c r="DJ34" s="775"/>
    </row>
    <row r="35" spans="2:114" ht="17.25" customHeight="1" x14ac:dyDescent="0.25">
      <c r="B35" s="1492"/>
      <c r="C35" s="277" t="str">
        <f>IF(Language="English", 'Language Look Ups'!$P$18,IF(Language="Francais", 'Language Look Ups'!$T$18, 'Language Look Ups'!$R$18))</f>
        <v>Sayana Press</v>
      </c>
      <c r="D35" s="278">
        <v>4</v>
      </c>
      <c r="E35" s="101">
        <v>0.25</v>
      </c>
      <c r="F35" s="102" t="str">
        <f t="shared" si="41"/>
        <v>par utilisateur par année</v>
      </c>
      <c r="G35" s="1280"/>
      <c r="H35" s="283"/>
      <c r="I35" s="282"/>
      <c r="J35" s="283"/>
      <c r="K35" s="282"/>
      <c r="L35" s="283"/>
      <c r="M35" s="282"/>
      <c r="N35" s="283"/>
      <c r="O35" s="282"/>
      <c r="P35" s="283"/>
      <c r="Q35" s="282"/>
      <c r="R35" s="283"/>
      <c r="S35" s="282"/>
      <c r="T35" s="283"/>
      <c r="U35" s="282"/>
      <c r="V35" s="413"/>
      <c r="AA35" s="464" t="str">
        <f t="shared" si="42"/>
        <v>Sayana Press</v>
      </c>
      <c r="AB35" s="1011" t="str">
        <f>IF(AB$21="", "", VLOOKUP($AA35,'4. FPSource Set Up'!$C$96:$H$117, 3, FALSE))</f>
        <v>n/a</v>
      </c>
      <c r="AC35" s="1012" t="str">
        <f>IF(AC$21="", "", VLOOKUP($AA35,'4. FPSource Set Up'!$C$96:$H$117, 3, FALSE))</f>
        <v/>
      </c>
      <c r="AD35" s="1012" t="str">
        <f>IF(AD$21="", "", VLOOKUP($AA35,'4. FPSource Set Up'!$C$96:$H$117, 3, FALSE))</f>
        <v/>
      </c>
      <c r="AE35" s="1012" t="str">
        <f>IF(AE$21="", "", VLOOKUP($AA35,'4. FPSource Set Up'!$C$96:$H$117, 3, FALSE))</f>
        <v/>
      </c>
      <c r="AF35" s="1012" t="str">
        <f>IF(AF$21="", "", VLOOKUP($AA35,'4. FPSource Set Up'!$C$96:$H$117, 3, FALSE))</f>
        <v/>
      </c>
      <c r="AG35" s="1012" t="str">
        <f>IF(AG$21="", "", VLOOKUP($AA35,'4. FPSource Set Up'!$C$96:$H$117, 3, FALSE))</f>
        <v/>
      </c>
      <c r="AH35" s="1012" t="str">
        <f>IF(AH$21="", "", VLOOKUP($AA35,'4. FPSource Set Up'!$C$96:$H$117, 3, FALSE))</f>
        <v/>
      </c>
      <c r="AI35" s="1012" t="str">
        <f>IF(AI$21="", "", VLOOKUP($AA35,'4. FPSource Set Up'!$C$96:$H$117, 3, FALSE))</f>
        <v/>
      </c>
      <c r="AJ35" s="1012" t="str">
        <f>IF(AJ$21="", "", VLOOKUP($AA35,'4. FPSource Set Up'!$C$96:$H$117, 3, FALSE))</f>
        <v/>
      </c>
      <c r="AK35" s="1012" t="str">
        <f>IF(AK$21="", "", VLOOKUP($AA35,'4. FPSource Set Up'!$C$96:$H$117, 3, FALSE))</f>
        <v/>
      </c>
      <c r="AL35" s="1012" t="str">
        <f>IF(AL$21="", "", VLOOKUP($AA35,'4. FPSource Set Up'!$C$96:$H$117, 3, FALSE))</f>
        <v/>
      </c>
      <c r="AM35" s="1012" t="str">
        <f>IF(AM$21="", "", VLOOKUP($AA35,'4. FPSource Set Up'!$C$96:$H$117, 3, FALSE))</f>
        <v/>
      </c>
      <c r="AN35" s="1012" t="str">
        <f>IF(AN$21="", "", VLOOKUP($AA35,'4. FPSource Set Up'!$C$96:$H$117, 3, FALSE))</f>
        <v/>
      </c>
      <c r="AO35" s="1012" t="str">
        <f>IF(AO$21="", "", VLOOKUP($AA35,'4. FPSource Set Up'!$C$96:$H$117, 3, FALSE))</f>
        <v/>
      </c>
      <c r="AP35" s="1012" t="str">
        <f>IF(AP$21="", "", VLOOKUP($AA35,'4. FPSource Set Up'!$C$96:$H$117, 3, FALSE))</f>
        <v/>
      </c>
      <c r="AQ35" s="1013" t="str">
        <f>IF(AQ$21="", "", VLOOKUP($AA35,'4. FPSource Set Up'!$C$96:$H$117, 3, FALSE))</f>
        <v/>
      </c>
      <c r="BA35" s="102" t="s">
        <v>83</v>
      </c>
      <c r="BC35" s="184" t="s">
        <v>836</v>
      </c>
      <c r="BJ35" s="678" t="str">
        <f t="shared" si="30"/>
        <v>Sayana Press</v>
      </c>
      <c r="BK35" s="670" t="str">
        <f t="shared" si="43"/>
        <v/>
      </c>
      <c r="BL35" s="671" t="str">
        <f t="shared" si="44"/>
        <v/>
      </c>
      <c r="BM35" s="670" t="str">
        <f t="shared" si="45"/>
        <v/>
      </c>
      <c r="BN35" s="671" t="str">
        <f t="shared" si="46"/>
        <v/>
      </c>
      <c r="BO35" s="670" t="str">
        <f t="shared" si="47"/>
        <v/>
      </c>
      <c r="BP35" s="671" t="str">
        <f t="shared" si="48"/>
        <v/>
      </c>
      <c r="BQ35" s="670" t="str">
        <f t="shared" si="49"/>
        <v/>
      </c>
      <c r="BR35" s="671" t="str">
        <f t="shared" si="50"/>
        <v/>
      </c>
      <c r="BS35" s="670" t="str">
        <f t="shared" si="51"/>
        <v/>
      </c>
      <c r="BT35" s="671" t="str">
        <f t="shared" si="52"/>
        <v/>
      </c>
      <c r="BU35" s="670" t="str">
        <f t="shared" si="53"/>
        <v/>
      </c>
      <c r="BV35" s="671" t="str">
        <f t="shared" si="54"/>
        <v/>
      </c>
      <c r="BW35" s="670" t="str">
        <f t="shared" si="55"/>
        <v/>
      </c>
      <c r="BX35" s="671" t="str">
        <f t="shared" si="56"/>
        <v/>
      </c>
      <c r="BY35" s="670" t="str">
        <f t="shared" si="57"/>
        <v/>
      </c>
      <c r="BZ35" s="672" t="str">
        <f t="shared" si="58"/>
        <v/>
      </c>
      <c r="CB35" s="678" t="str">
        <f t="shared" si="31"/>
        <v>Sayana Press</v>
      </c>
      <c r="CC35" s="670" t="str">
        <f t="shared" si="59"/>
        <v/>
      </c>
      <c r="CD35" s="671" t="str">
        <f t="shared" si="60"/>
        <v/>
      </c>
      <c r="CE35" s="670" t="str">
        <f t="shared" si="61"/>
        <v/>
      </c>
      <c r="CF35" s="671" t="str">
        <f t="shared" si="62"/>
        <v/>
      </c>
      <c r="CG35" s="670" t="str">
        <f t="shared" si="63"/>
        <v/>
      </c>
      <c r="CH35" s="671" t="str">
        <f t="shared" si="64"/>
        <v/>
      </c>
      <c r="CI35" s="670" t="str">
        <f t="shared" si="65"/>
        <v/>
      </c>
      <c r="CJ35" s="671" t="str">
        <f t="shared" si="66"/>
        <v/>
      </c>
      <c r="CK35" s="670" t="str">
        <f t="shared" si="67"/>
        <v/>
      </c>
      <c r="CL35" s="671" t="str">
        <f t="shared" si="68"/>
        <v/>
      </c>
      <c r="CM35" s="670" t="str">
        <f t="shared" si="69"/>
        <v/>
      </c>
      <c r="CN35" s="671" t="str">
        <f t="shared" si="70"/>
        <v/>
      </c>
      <c r="CO35" s="670" t="str">
        <f t="shared" si="71"/>
        <v/>
      </c>
      <c r="CP35" s="671" t="str">
        <f t="shared" si="72"/>
        <v/>
      </c>
      <c r="CQ35" s="670" t="str">
        <f t="shared" si="73"/>
        <v/>
      </c>
      <c r="CR35" s="672" t="str">
        <f t="shared" si="74"/>
        <v/>
      </c>
      <c r="CT35" s="772" t="str">
        <f t="shared" si="32"/>
        <v>Sayana Press</v>
      </c>
      <c r="CU35" s="773"/>
      <c r="CV35" s="774"/>
      <c r="CW35" s="773"/>
      <c r="CX35" s="774"/>
      <c r="CY35" s="773"/>
      <c r="CZ35" s="774"/>
      <c r="DA35" s="773"/>
      <c r="DB35" s="774"/>
      <c r="DC35" s="773"/>
      <c r="DD35" s="774"/>
      <c r="DE35" s="773"/>
      <c r="DF35" s="774"/>
      <c r="DG35" s="773"/>
      <c r="DH35" s="774"/>
      <c r="DI35" s="773"/>
      <c r="DJ35" s="775"/>
    </row>
    <row r="36" spans="2:114" ht="17.25" customHeight="1" x14ac:dyDescent="0.25">
      <c r="B36" s="1493"/>
      <c r="C36" s="275" t="str">
        <f>IF(Language="English", 'Language Look Ups'!$P$19,IF(Language="Francais", 'Language Look Ups'!$T$19, 'Language Look Ups'!$R$19))</f>
        <v>Autre Injectable</v>
      </c>
      <c r="D36" s="276">
        <v>4</v>
      </c>
      <c r="E36" s="99">
        <f t="shared" si="75"/>
        <v>0.25</v>
      </c>
      <c r="F36" s="100" t="str">
        <f t="shared" si="41"/>
        <v>par utilisateur par année</v>
      </c>
      <c r="G36" s="1276"/>
      <c r="H36" s="285"/>
      <c r="I36" s="284"/>
      <c r="J36" s="285"/>
      <c r="K36" s="284"/>
      <c r="L36" s="285"/>
      <c r="M36" s="284"/>
      <c r="N36" s="285"/>
      <c r="O36" s="284"/>
      <c r="P36" s="285"/>
      <c r="Q36" s="284"/>
      <c r="R36" s="285"/>
      <c r="S36" s="284"/>
      <c r="T36" s="285"/>
      <c r="U36" s="284"/>
      <c r="V36" s="412"/>
      <c r="AA36" s="463" t="str">
        <f t="shared" si="42"/>
        <v>Autre Injectable</v>
      </c>
      <c r="AB36" s="1014" t="str">
        <f>IF(AB$21="", "", VLOOKUP($AA36,'4. FPSource Set Up'!$C$96:$H$117, 3, FALSE))</f>
        <v>n/a</v>
      </c>
      <c r="AC36" s="1015" t="str">
        <f>IF(AC$21="", "", VLOOKUP($AA36,'4. FPSource Set Up'!$C$96:$H$117, 3, FALSE))</f>
        <v/>
      </c>
      <c r="AD36" s="1015" t="str">
        <f>IF(AD$21="", "", VLOOKUP($AA36,'4. FPSource Set Up'!$C$96:$H$117, 3, FALSE))</f>
        <v/>
      </c>
      <c r="AE36" s="1015" t="str">
        <f>IF(AE$21="", "", VLOOKUP($AA36,'4. FPSource Set Up'!$C$96:$H$117, 3, FALSE))</f>
        <v/>
      </c>
      <c r="AF36" s="1015" t="str">
        <f>IF(AF$21="", "", VLOOKUP($AA36,'4. FPSource Set Up'!$C$96:$H$117, 3, FALSE))</f>
        <v/>
      </c>
      <c r="AG36" s="1015" t="str">
        <f>IF(AG$21="", "", VLOOKUP($AA36,'4. FPSource Set Up'!$C$96:$H$117, 3, FALSE))</f>
        <v/>
      </c>
      <c r="AH36" s="1015" t="str">
        <f>IF(AH$21="", "", VLOOKUP($AA36,'4. FPSource Set Up'!$C$96:$H$117, 3, FALSE))</f>
        <v/>
      </c>
      <c r="AI36" s="1015" t="str">
        <f>IF(AI$21="", "", VLOOKUP($AA36,'4. FPSource Set Up'!$C$96:$H$117, 3, FALSE))</f>
        <v/>
      </c>
      <c r="AJ36" s="1015" t="str">
        <f>IF(AJ$21="", "", VLOOKUP($AA36,'4. FPSource Set Up'!$C$96:$H$117, 3, FALSE))</f>
        <v/>
      </c>
      <c r="AK36" s="1015" t="str">
        <f>IF(AK$21="", "", VLOOKUP($AA36,'4. FPSource Set Up'!$C$96:$H$117, 3, FALSE))</f>
        <v/>
      </c>
      <c r="AL36" s="1015" t="str">
        <f>IF(AL$21="", "", VLOOKUP($AA36,'4. FPSource Set Up'!$C$96:$H$117, 3, FALSE))</f>
        <v/>
      </c>
      <c r="AM36" s="1015" t="str">
        <f>IF(AM$21="", "", VLOOKUP($AA36,'4. FPSource Set Up'!$C$96:$H$117, 3, FALSE))</f>
        <v/>
      </c>
      <c r="AN36" s="1015" t="str">
        <f>IF(AN$21="", "", VLOOKUP($AA36,'4. FPSource Set Up'!$C$96:$H$117, 3, FALSE))</f>
        <v/>
      </c>
      <c r="AO36" s="1015" t="str">
        <f>IF(AO$21="", "", VLOOKUP($AA36,'4. FPSource Set Up'!$C$96:$H$117, 3, FALSE))</f>
        <v/>
      </c>
      <c r="AP36" s="1015" t="str">
        <f>IF(AP$21="", "", VLOOKUP($AA36,'4. FPSource Set Up'!$C$96:$H$117, 3, FALSE))</f>
        <v/>
      </c>
      <c r="AQ36" s="1016" t="str">
        <f>IF(AQ$21="", "", VLOOKUP($AA36,'4. FPSource Set Up'!$C$96:$H$117, 3, FALSE))</f>
        <v/>
      </c>
      <c r="BA36" s="100" t="s">
        <v>83</v>
      </c>
      <c r="BC36" s="184" t="s">
        <v>836</v>
      </c>
      <c r="BJ36" s="677" t="str">
        <f t="shared" si="30"/>
        <v>Autre Injectable</v>
      </c>
      <c r="BK36" s="667" t="str">
        <f t="shared" si="43"/>
        <v/>
      </c>
      <c r="BL36" s="668" t="str">
        <f t="shared" si="44"/>
        <v/>
      </c>
      <c r="BM36" s="667" t="str">
        <f t="shared" si="45"/>
        <v/>
      </c>
      <c r="BN36" s="668" t="str">
        <f t="shared" si="46"/>
        <v/>
      </c>
      <c r="BO36" s="667" t="str">
        <f t="shared" si="47"/>
        <v/>
      </c>
      <c r="BP36" s="668" t="str">
        <f t="shared" si="48"/>
        <v/>
      </c>
      <c r="BQ36" s="667" t="str">
        <f t="shared" si="49"/>
        <v/>
      </c>
      <c r="BR36" s="668" t="str">
        <f t="shared" si="50"/>
        <v/>
      </c>
      <c r="BS36" s="667" t="str">
        <f t="shared" si="51"/>
        <v/>
      </c>
      <c r="BT36" s="668" t="str">
        <f t="shared" si="52"/>
        <v/>
      </c>
      <c r="BU36" s="667" t="str">
        <f t="shared" si="53"/>
        <v/>
      </c>
      <c r="BV36" s="668" t="str">
        <f t="shared" si="54"/>
        <v/>
      </c>
      <c r="BW36" s="667" t="str">
        <f t="shared" si="55"/>
        <v/>
      </c>
      <c r="BX36" s="668" t="str">
        <f t="shared" si="56"/>
        <v/>
      </c>
      <c r="BY36" s="667" t="str">
        <f t="shared" si="57"/>
        <v/>
      </c>
      <c r="BZ36" s="669" t="str">
        <f t="shared" si="58"/>
        <v/>
      </c>
      <c r="CB36" s="677" t="str">
        <f t="shared" si="31"/>
        <v>Autre Injectable</v>
      </c>
      <c r="CC36" s="667" t="str">
        <f t="shared" si="59"/>
        <v/>
      </c>
      <c r="CD36" s="668" t="str">
        <f t="shared" si="60"/>
        <v/>
      </c>
      <c r="CE36" s="667" t="str">
        <f t="shared" si="61"/>
        <v/>
      </c>
      <c r="CF36" s="668" t="str">
        <f t="shared" si="62"/>
        <v/>
      </c>
      <c r="CG36" s="667" t="str">
        <f t="shared" si="63"/>
        <v/>
      </c>
      <c r="CH36" s="668" t="str">
        <f t="shared" si="64"/>
        <v/>
      </c>
      <c r="CI36" s="667" t="str">
        <f t="shared" si="65"/>
        <v/>
      </c>
      <c r="CJ36" s="668" t="str">
        <f t="shared" si="66"/>
        <v/>
      </c>
      <c r="CK36" s="667" t="str">
        <f t="shared" si="67"/>
        <v/>
      </c>
      <c r="CL36" s="668" t="str">
        <f t="shared" si="68"/>
        <v/>
      </c>
      <c r="CM36" s="667" t="str">
        <f t="shared" si="69"/>
        <v/>
      </c>
      <c r="CN36" s="668" t="str">
        <f t="shared" si="70"/>
        <v/>
      </c>
      <c r="CO36" s="667" t="str">
        <f t="shared" si="71"/>
        <v/>
      </c>
      <c r="CP36" s="668" t="str">
        <f t="shared" si="72"/>
        <v/>
      </c>
      <c r="CQ36" s="667" t="str">
        <f t="shared" si="73"/>
        <v/>
      </c>
      <c r="CR36" s="669" t="str">
        <f t="shared" si="74"/>
        <v/>
      </c>
      <c r="CT36" s="776" t="str">
        <f t="shared" si="32"/>
        <v>Autre Injectable</v>
      </c>
      <c r="CU36" s="777"/>
      <c r="CV36" s="778"/>
      <c r="CW36" s="777"/>
      <c r="CX36" s="778"/>
      <c r="CY36" s="777"/>
      <c r="CZ36" s="778"/>
      <c r="DA36" s="777"/>
      <c r="DB36" s="778"/>
      <c r="DC36" s="777"/>
      <c r="DD36" s="778"/>
      <c r="DE36" s="777"/>
      <c r="DF36" s="778"/>
      <c r="DG36" s="777"/>
      <c r="DH36" s="778"/>
      <c r="DI36" s="777"/>
      <c r="DJ36" s="779"/>
    </row>
    <row r="37" spans="2:114" ht="17.25" customHeight="1" x14ac:dyDescent="0.25">
      <c r="B37" s="1480" t="str">
        <f>IF(Language="English", 'Language Look Ups'!$O$20,IF(Language="Francais", 'Language Look Ups'!$S$20, 'Language Look Ups'!Q$20))</f>
        <v>Pilule</v>
      </c>
      <c r="C37" s="363" t="str">
        <f>IF(Language="English", 'Language Look Ups'!$P$20,IF(Language="Francais", 'Language Look Ups'!$T$20, 'Language Look Ups'!$R$20))</f>
        <v>Oraux combinés (COC)</v>
      </c>
      <c r="D37" s="407">
        <v>15</v>
      </c>
      <c r="E37" s="408">
        <f t="shared" si="75"/>
        <v>6.6666666666666666E-2</v>
      </c>
      <c r="F37" s="416" t="str">
        <f t="shared" si="41"/>
        <v>par utilisateur par année</v>
      </c>
      <c r="G37" s="1278"/>
      <c r="H37" s="409"/>
      <c r="I37" s="409"/>
      <c r="J37" s="409"/>
      <c r="K37" s="409"/>
      <c r="L37" s="409"/>
      <c r="M37" s="409"/>
      <c r="N37" s="409"/>
      <c r="O37" s="409"/>
      <c r="P37" s="410"/>
      <c r="Q37" s="409"/>
      <c r="R37" s="410"/>
      <c r="S37" s="409"/>
      <c r="T37" s="409"/>
      <c r="U37" s="409"/>
      <c r="V37" s="1279"/>
      <c r="AA37" s="462" t="str">
        <f t="shared" si="42"/>
        <v>Oraux combinés (COC)</v>
      </c>
      <c r="AB37" s="1017" t="str">
        <f>IF(AB$21="", "", VLOOKUP($AA37,'4. FPSource Set Up'!$C$96:$H$117, 3, FALSE))</f>
        <v>n/a</v>
      </c>
      <c r="AC37" s="1018" t="str">
        <f>IF(AC$21="", "", VLOOKUP($AA37,'4. FPSource Set Up'!$C$96:$H$117, 3, FALSE))</f>
        <v/>
      </c>
      <c r="AD37" s="1018" t="str">
        <f>IF(AD$21="", "", VLOOKUP($AA37,'4. FPSource Set Up'!$C$96:$H$117, 3, FALSE))</f>
        <v/>
      </c>
      <c r="AE37" s="1018" t="str">
        <f>IF(AE$21="", "", VLOOKUP($AA37,'4. FPSource Set Up'!$C$96:$H$117, 3, FALSE))</f>
        <v/>
      </c>
      <c r="AF37" s="1018" t="str">
        <f>IF(AF$21="", "", VLOOKUP($AA37,'4. FPSource Set Up'!$C$96:$H$117, 3, FALSE))</f>
        <v/>
      </c>
      <c r="AG37" s="1018" t="str">
        <f>IF(AG$21="", "", VLOOKUP($AA37,'4. FPSource Set Up'!$C$96:$H$117, 3, FALSE))</f>
        <v/>
      </c>
      <c r="AH37" s="1018" t="str">
        <f>IF(AH$21="", "", VLOOKUP($AA37,'4. FPSource Set Up'!$C$96:$H$117, 3, FALSE))</f>
        <v/>
      </c>
      <c r="AI37" s="1018" t="str">
        <f>IF(AI$21="", "", VLOOKUP($AA37,'4. FPSource Set Up'!$C$96:$H$117, 3, FALSE))</f>
        <v/>
      </c>
      <c r="AJ37" s="1018" t="str">
        <f>IF(AJ$21="", "", VLOOKUP($AA37,'4. FPSource Set Up'!$C$96:$H$117, 3, FALSE))</f>
        <v/>
      </c>
      <c r="AK37" s="1018" t="str">
        <f>IF(AK$21="", "", VLOOKUP($AA37,'4. FPSource Set Up'!$C$96:$H$117, 3, FALSE))</f>
        <v/>
      </c>
      <c r="AL37" s="1018" t="str">
        <f>IF(AL$21="", "", VLOOKUP($AA37,'4. FPSource Set Up'!$C$96:$H$117, 3, FALSE))</f>
        <v/>
      </c>
      <c r="AM37" s="1018" t="str">
        <f>IF(AM$21="", "", VLOOKUP($AA37,'4. FPSource Set Up'!$C$96:$H$117, 3, FALSE))</f>
        <v/>
      </c>
      <c r="AN37" s="1018" t="str">
        <f>IF(AN$21="", "", VLOOKUP($AA37,'4. FPSource Set Up'!$C$96:$H$117, 3, FALSE))</f>
        <v/>
      </c>
      <c r="AO37" s="1018" t="str">
        <f>IF(AO$21="", "", VLOOKUP($AA37,'4. FPSource Set Up'!$C$96:$H$117, 3, FALSE))</f>
        <v/>
      </c>
      <c r="AP37" s="1018" t="str">
        <f>IF(AP$21="", "", VLOOKUP($AA37,'4. FPSource Set Up'!$C$96:$H$117, 3, FALSE))</f>
        <v/>
      </c>
      <c r="AQ37" s="1019" t="str">
        <f>IF(AQ$21="", "", VLOOKUP($AA37,'4. FPSource Set Up'!$C$96:$H$117, 3, FALSE))</f>
        <v/>
      </c>
      <c r="BA37" s="416" t="s">
        <v>83</v>
      </c>
      <c r="BC37" s="184" t="s">
        <v>836</v>
      </c>
      <c r="BJ37" s="676" t="str">
        <f t="shared" si="30"/>
        <v>Oraux combinés (COC)</v>
      </c>
      <c r="BK37" s="664" t="str">
        <f t="shared" si="43"/>
        <v/>
      </c>
      <c r="BL37" s="665" t="str">
        <f t="shared" si="44"/>
        <v/>
      </c>
      <c r="BM37" s="664" t="str">
        <f t="shared" si="45"/>
        <v/>
      </c>
      <c r="BN37" s="665" t="str">
        <f t="shared" si="46"/>
        <v/>
      </c>
      <c r="BO37" s="664" t="str">
        <f t="shared" si="47"/>
        <v/>
      </c>
      <c r="BP37" s="665" t="str">
        <f t="shared" si="48"/>
        <v/>
      </c>
      <c r="BQ37" s="664" t="str">
        <f t="shared" si="49"/>
        <v/>
      </c>
      <c r="BR37" s="665" t="str">
        <f t="shared" si="50"/>
        <v/>
      </c>
      <c r="BS37" s="664" t="str">
        <f t="shared" si="51"/>
        <v/>
      </c>
      <c r="BT37" s="665" t="str">
        <f t="shared" si="52"/>
        <v/>
      </c>
      <c r="BU37" s="664" t="str">
        <f t="shared" si="53"/>
        <v/>
      </c>
      <c r="BV37" s="665" t="str">
        <f t="shared" si="54"/>
        <v/>
      </c>
      <c r="BW37" s="664" t="str">
        <f t="shared" si="55"/>
        <v/>
      </c>
      <c r="BX37" s="665" t="str">
        <f t="shared" si="56"/>
        <v/>
      </c>
      <c r="BY37" s="664" t="str">
        <f t="shared" si="57"/>
        <v/>
      </c>
      <c r="BZ37" s="666" t="str">
        <f t="shared" si="58"/>
        <v/>
      </c>
      <c r="CB37" s="676" t="str">
        <f t="shared" si="31"/>
        <v>Oraux combinés (COC)</v>
      </c>
      <c r="CC37" s="664" t="str">
        <f t="shared" si="59"/>
        <v/>
      </c>
      <c r="CD37" s="665" t="str">
        <f t="shared" si="60"/>
        <v/>
      </c>
      <c r="CE37" s="664" t="str">
        <f t="shared" si="61"/>
        <v/>
      </c>
      <c r="CF37" s="665" t="str">
        <f t="shared" si="62"/>
        <v/>
      </c>
      <c r="CG37" s="664" t="str">
        <f t="shared" si="63"/>
        <v/>
      </c>
      <c r="CH37" s="665" t="str">
        <f t="shared" si="64"/>
        <v/>
      </c>
      <c r="CI37" s="664" t="str">
        <f t="shared" si="65"/>
        <v/>
      </c>
      <c r="CJ37" s="665" t="str">
        <f t="shared" si="66"/>
        <v/>
      </c>
      <c r="CK37" s="664" t="str">
        <f t="shared" si="67"/>
        <v/>
      </c>
      <c r="CL37" s="665" t="str">
        <f t="shared" si="68"/>
        <v/>
      </c>
      <c r="CM37" s="664" t="str">
        <f t="shared" si="69"/>
        <v/>
      </c>
      <c r="CN37" s="665" t="str">
        <f t="shared" si="70"/>
        <v/>
      </c>
      <c r="CO37" s="664" t="str">
        <f t="shared" si="71"/>
        <v/>
      </c>
      <c r="CP37" s="665" t="str">
        <f t="shared" si="72"/>
        <v/>
      </c>
      <c r="CQ37" s="664" t="str">
        <f t="shared" si="73"/>
        <v/>
      </c>
      <c r="CR37" s="666" t="str">
        <f t="shared" si="74"/>
        <v/>
      </c>
      <c r="CT37" s="768" t="str">
        <f t="shared" si="32"/>
        <v>Oraux combinés (COC)</v>
      </c>
      <c r="CU37" s="769"/>
      <c r="CV37" s="770"/>
      <c r="CW37" s="769"/>
      <c r="CX37" s="770"/>
      <c r="CY37" s="769"/>
      <c r="CZ37" s="770"/>
      <c r="DA37" s="769"/>
      <c r="DB37" s="770"/>
      <c r="DC37" s="769"/>
      <c r="DD37" s="770"/>
      <c r="DE37" s="769"/>
      <c r="DF37" s="770"/>
      <c r="DG37" s="769"/>
      <c r="DH37" s="770"/>
      <c r="DI37" s="769"/>
      <c r="DJ37" s="771"/>
    </row>
    <row r="38" spans="2:114" ht="17.25" customHeight="1" x14ac:dyDescent="0.25">
      <c r="B38" s="1482"/>
      <c r="C38" s="277" t="str">
        <f>IF(Language="English", 'Language Look Ups'!$P$21,IF(Language="Francais", 'Language Look Ups'!$T$21, 'Language Look Ups'!$R$21))</f>
        <v>Progestatifs seul (POP)</v>
      </c>
      <c r="D38" s="278">
        <v>12</v>
      </c>
      <c r="E38" s="101">
        <f t="shared" si="75"/>
        <v>8.3333333333333329E-2</v>
      </c>
      <c r="F38" s="102" t="str">
        <f t="shared" si="41"/>
        <v>par utilisateur par année</v>
      </c>
      <c r="G38" s="1280"/>
      <c r="H38" s="283"/>
      <c r="I38" s="282"/>
      <c r="J38" s="283"/>
      <c r="K38" s="282"/>
      <c r="L38" s="283"/>
      <c r="M38" s="282"/>
      <c r="N38" s="283"/>
      <c r="O38" s="282"/>
      <c r="P38" s="283"/>
      <c r="Q38" s="282"/>
      <c r="R38" s="283"/>
      <c r="S38" s="282"/>
      <c r="T38" s="283"/>
      <c r="U38" s="282"/>
      <c r="V38" s="413"/>
      <c r="AA38" s="464" t="str">
        <f t="shared" si="42"/>
        <v>Progestatifs seul (POP)</v>
      </c>
      <c r="AB38" s="1020" t="str">
        <f>IF(AB$21="", "", VLOOKUP($AA38,'4. FPSource Set Up'!$C$96:$H$117, 3, FALSE))</f>
        <v>n/a</v>
      </c>
      <c r="AC38" s="1021" t="str">
        <f>IF(AC$21="", "", VLOOKUP($AA38,'4. FPSource Set Up'!$C$96:$H$117, 3, FALSE))</f>
        <v/>
      </c>
      <c r="AD38" s="1021" t="str">
        <f>IF(AD$21="", "", VLOOKUP($AA38,'4. FPSource Set Up'!$C$96:$H$117, 3, FALSE))</f>
        <v/>
      </c>
      <c r="AE38" s="1021" t="str">
        <f>IF(AE$21="", "", VLOOKUP($AA38,'4. FPSource Set Up'!$C$96:$H$117, 3, FALSE))</f>
        <v/>
      </c>
      <c r="AF38" s="1021" t="str">
        <f>IF(AF$21="", "", VLOOKUP($AA38,'4. FPSource Set Up'!$C$96:$H$117, 3, FALSE))</f>
        <v/>
      </c>
      <c r="AG38" s="1021" t="str">
        <f>IF(AG$21="", "", VLOOKUP($AA38,'4. FPSource Set Up'!$C$96:$H$117, 3, FALSE))</f>
        <v/>
      </c>
      <c r="AH38" s="1021" t="str">
        <f>IF(AH$21="", "", VLOOKUP($AA38,'4. FPSource Set Up'!$C$96:$H$117, 3, FALSE))</f>
        <v/>
      </c>
      <c r="AI38" s="1021" t="str">
        <f>IF(AI$21="", "", VLOOKUP($AA38,'4. FPSource Set Up'!$C$96:$H$117, 3, FALSE))</f>
        <v/>
      </c>
      <c r="AJ38" s="1021" t="str">
        <f>IF(AJ$21="", "", VLOOKUP($AA38,'4. FPSource Set Up'!$C$96:$H$117, 3, FALSE))</f>
        <v/>
      </c>
      <c r="AK38" s="1021" t="str">
        <f>IF(AK$21="", "", VLOOKUP($AA38,'4. FPSource Set Up'!$C$96:$H$117, 3, FALSE))</f>
        <v/>
      </c>
      <c r="AL38" s="1021" t="str">
        <f>IF(AL$21="", "", VLOOKUP($AA38,'4. FPSource Set Up'!$C$96:$H$117, 3, FALSE))</f>
        <v/>
      </c>
      <c r="AM38" s="1021" t="str">
        <f>IF(AM$21="", "", VLOOKUP($AA38,'4. FPSource Set Up'!$C$96:$H$117, 3, FALSE))</f>
        <v/>
      </c>
      <c r="AN38" s="1021" t="str">
        <f>IF(AN$21="", "", VLOOKUP($AA38,'4. FPSource Set Up'!$C$96:$H$117, 3, FALSE))</f>
        <v/>
      </c>
      <c r="AO38" s="1021" t="str">
        <f>IF(AO$21="", "", VLOOKUP($AA38,'4. FPSource Set Up'!$C$96:$H$117, 3, FALSE))</f>
        <v/>
      </c>
      <c r="AP38" s="1021" t="str">
        <f>IF(AP$21="", "", VLOOKUP($AA38,'4. FPSource Set Up'!$C$96:$H$117, 3, FALSE))</f>
        <v/>
      </c>
      <c r="AQ38" s="1022" t="str">
        <f>IF(AQ$21="", "", VLOOKUP($AA38,'4. FPSource Set Up'!$C$96:$H$117, 3, FALSE))</f>
        <v/>
      </c>
      <c r="BA38" s="102" t="s">
        <v>83</v>
      </c>
      <c r="BC38" s="184" t="s">
        <v>836</v>
      </c>
      <c r="BJ38" s="678" t="str">
        <f t="shared" si="30"/>
        <v>Progestatifs seul (POP)</v>
      </c>
      <c r="BK38" s="670" t="str">
        <f t="shared" si="43"/>
        <v/>
      </c>
      <c r="BL38" s="671" t="str">
        <f t="shared" si="44"/>
        <v/>
      </c>
      <c r="BM38" s="670" t="str">
        <f t="shared" si="45"/>
        <v/>
      </c>
      <c r="BN38" s="671" t="str">
        <f t="shared" si="46"/>
        <v/>
      </c>
      <c r="BO38" s="670" t="str">
        <f t="shared" si="47"/>
        <v/>
      </c>
      <c r="BP38" s="671" t="str">
        <f t="shared" si="48"/>
        <v/>
      </c>
      <c r="BQ38" s="670" t="str">
        <f t="shared" si="49"/>
        <v/>
      </c>
      <c r="BR38" s="671" t="str">
        <f t="shared" si="50"/>
        <v/>
      </c>
      <c r="BS38" s="670" t="str">
        <f t="shared" si="51"/>
        <v/>
      </c>
      <c r="BT38" s="671" t="str">
        <f t="shared" si="52"/>
        <v/>
      </c>
      <c r="BU38" s="670" t="str">
        <f t="shared" si="53"/>
        <v/>
      </c>
      <c r="BV38" s="671" t="str">
        <f t="shared" si="54"/>
        <v/>
      </c>
      <c r="BW38" s="670" t="str">
        <f t="shared" si="55"/>
        <v/>
      </c>
      <c r="BX38" s="671" t="str">
        <f t="shared" si="56"/>
        <v/>
      </c>
      <c r="BY38" s="670" t="str">
        <f t="shared" si="57"/>
        <v/>
      </c>
      <c r="BZ38" s="672" t="str">
        <f t="shared" si="58"/>
        <v/>
      </c>
      <c r="CB38" s="678" t="str">
        <f t="shared" si="31"/>
        <v>Progestatifs seul (POP)</v>
      </c>
      <c r="CC38" s="670" t="str">
        <f t="shared" si="59"/>
        <v/>
      </c>
      <c r="CD38" s="671" t="str">
        <f t="shared" si="60"/>
        <v/>
      </c>
      <c r="CE38" s="670" t="str">
        <f t="shared" si="61"/>
        <v/>
      </c>
      <c r="CF38" s="671" t="str">
        <f t="shared" si="62"/>
        <v/>
      </c>
      <c r="CG38" s="670" t="str">
        <f t="shared" si="63"/>
        <v/>
      </c>
      <c r="CH38" s="671" t="str">
        <f t="shared" si="64"/>
        <v/>
      </c>
      <c r="CI38" s="670" t="str">
        <f t="shared" si="65"/>
        <v/>
      </c>
      <c r="CJ38" s="671" t="str">
        <f t="shared" si="66"/>
        <v/>
      </c>
      <c r="CK38" s="670" t="str">
        <f t="shared" si="67"/>
        <v/>
      </c>
      <c r="CL38" s="671" t="str">
        <f t="shared" si="68"/>
        <v/>
      </c>
      <c r="CM38" s="670" t="str">
        <f t="shared" si="69"/>
        <v/>
      </c>
      <c r="CN38" s="671" t="str">
        <f t="shared" si="70"/>
        <v/>
      </c>
      <c r="CO38" s="670" t="str">
        <f t="shared" si="71"/>
        <v/>
      </c>
      <c r="CP38" s="671" t="str">
        <f t="shared" si="72"/>
        <v/>
      </c>
      <c r="CQ38" s="670" t="str">
        <f t="shared" si="73"/>
        <v/>
      </c>
      <c r="CR38" s="672" t="str">
        <f t="shared" si="74"/>
        <v/>
      </c>
      <c r="CT38" s="772" t="str">
        <f t="shared" si="32"/>
        <v>Progestatifs seul (POP)</v>
      </c>
      <c r="CU38" s="773"/>
      <c r="CV38" s="774"/>
      <c r="CW38" s="773"/>
      <c r="CX38" s="774"/>
      <c r="CY38" s="773"/>
      <c r="CZ38" s="774"/>
      <c r="DA38" s="773"/>
      <c r="DB38" s="774"/>
      <c r="DC38" s="773"/>
      <c r="DD38" s="774"/>
      <c r="DE38" s="773"/>
      <c r="DF38" s="774"/>
      <c r="DG38" s="773"/>
      <c r="DH38" s="774"/>
      <c r="DI38" s="773"/>
      <c r="DJ38" s="775"/>
    </row>
    <row r="39" spans="2:114" ht="17.25" customHeight="1" x14ac:dyDescent="0.25">
      <c r="B39" s="1481"/>
      <c r="C39" s="275" t="str">
        <f>IF(Language="English", 'Language Look Ups'!$P$22,IF(Language="Francais", 'Language Look Ups'!$T$22, 'Language Look Ups'!$R$22))</f>
        <v>Autre pilule</v>
      </c>
      <c r="D39" s="276">
        <v>15</v>
      </c>
      <c r="E39" s="99">
        <f t="shared" si="75"/>
        <v>6.6666666666666666E-2</v>
      </c>
      <c r="F39" s="100" t="str">
        <f t="shared" si="41"/>
        <v>par utilisateur par année</v>
      </c>
      <c r="G39" s="1276"/>
      <c r="H39" s="285"/>
      <c r="I39" s="284"/>
      <c r="J39" s="285"/>
      <c r="K39" s="284"/>
      <c r="L39" s="285"/>
      <c r="M39" s="284"/>
      <c r="N39" s="285"/>
      <c r="O39" s="284"/>
      <c r="P39" s="285"/>
      <c r="Q39" s="284"/>
      <c r="R39" s="285"/>
      <c r="S39" s="284"/>
      <c r="T39" s="285"/>
      <c r="U39" s="284"/>
      <c r="V39" s="412"/>
      <c r="AA39" s="463" t="str">
        <f t="shared" si="42"/>
        <v>Autre pilule</v>
      </c>
      <c r="AB39" s="1023" t="str">
        <f>IF(AB$21="", "", VLOOKUP($AA39,'4. FPSource Set Up'!$C$96:$H$117, 3, FALSE))</f>
        <v>n/a</v>
      </c>
      <c r="AC39" s="1024" t="str">
        <f>IF(AC$21="", "", VLOOKUP($AA39,'4. FPSource Set Up'!$C$96:$H$117, 3, FALSE))</f>
        <v/>
      </c>
      <c r="AD39" s="1024" t="str">
        <f>IF(AD$21="", "", VLOOKUP($AA39,'4. FPSource Set Up'!$C$96:$H$117, 3, FALSE))</f>
        <v/>
      </c>
      <c r="AE39" s="1024" t="str">
        <f>IF(AE$21="", "", VLOOKUP($AA39,'4. FPSource Set Up'!$C$96:$H$117, 3, FALSE))</f>
        <v/>
      </c>
      <c r="AF39" s="1024" t="str">
        <f>IF(AF$21="", "", VLOOKUP($AA39,'4. FPSource Set Up'!$C$96:$H$117, 3, FALSE))</f>
        <v/>
      </c>
      <c r="AG39" s="1024" t="str">
        <f>IF(AG$21="", "", VLOOKUP($AA39,'4. FPSource Set Up'!$C$96:$H$117, 3, FALSE))</f>
        <v/>
      </c>
      <c r="AH39" s="1024" t="str">
        <f>IF(AH$21="", "", VLOOKUP($AA39,'4. FPSource Set Up'!$C$96:$H$117, 3, FALSE))</f>
        <v/>
      </c>
      <c r="AI39" s="1024" t="str">
        <f>IF(AI$21="", "", VLOOKUP($AA39,'4. FPSource Set Up'!$C$96:$H$117, 3, FALSE))</f>
        <v/>
      </c>
      <c r="AJ39" s="1024" t="str">
        <f>IF(AJ$21="", "", VLOOKUP($AA39,'4. FPSource Set Up'!$C$96:$H$117, 3, FALSE))</f>
        <v/>
      </c>
      <c r="AK39" s="1024" t="str">
        <f>IF(AK$21="", "", VLOOKUP($AA39,'4. FPSource Set Up'!$C$96:$H$117, 3, FALSE))</f>
        <v/>
      </c>
      <c r="AL39" s="1024" t="str">
        <f>IF(AL$21="", "", VLOOKUP($AA39,'4. FPSource Set Up'!$C$96:$H$117, 3, FALSE))</f>
        <v/>
      </c>
      <c r="AM39" s="1024" t="str">
        <f>IF(AM$21="", "", VLOOKUP($AA39,'4. FPSource Set Up'!$C$96:$H$117, 3, FALSE))</f>
        <v/>
      </c>
      <c r="AN39" s="1024" t="str">
        <f>IF(AN$21="", "", VLOOKUP($AA39,'4. FPSource Set Up'!$C$96:$H$117, 3, FALSE))</f>
        <v/>
      </c>
      <c r="AO39" s="1024" t="str">
        <f>IF(AO$21="", "", VLOOKUP($AA39,'4. FPSource Set Up'!$C$96:$H$117, 3, FALSE))</f>
        <v/>
      </c>
      <c r="AP39" s="1024" t="str">
        <f>IF(AP$21="", "", VLOOKUP($AA39,'4. FPSource Set Up'!$C$96:$H$117, 3, FALSE))</f>
        <v/>
      </c>
      <c r="AQ39" s="1025" t="str">
        <f>IF(AQ$21="", "", VLOOKUP($AA39,'4. FPSource Set Up'!$C$96:$H$117, 3, FALSE))</f>
        <v/>
      </c>
      <c r="BA39" s="100" t="s">
        <v>83</v>
      </c>
      <c r="BC39" s="184" t="s">
        <v>836</v>
      </c>
      <c r="BJ39" s="677" t="str">
        <f t="shared" si="30"/>
        <v>Autre pilule</v>
      </c>
      <c r="BK39" s="667" t="str">
        <f t="shared" si="43"/>
        <v/>
      </c>
      <c r="BL39" s="668" t="str">
        <f t="shared" si="44"/>
        <v/>
      </c>
      <c r="BM39" s="667" t="str">
        <f t="shared" si="45"/>
        <v/>
      </c>
      <c r="BN39" s="668" t="str">
        <f t="shared" si="46"/>
        <v/>
      </c>
      <c r="BO39" s="667" t="str">
        <f t="shared" si="47"/>
        <v/>
      </c>
      <c r="BP39" s="668" t="str">
        <f t="shared" si="48"/>
        <v/>
      </c>
      <c r="BQ39" s="667" t="str">
        <f t="shared" si="49"/>
        <v/>
      </c>
      <c r="BR39" s="668" t="str">
        <f t="shared" si="50"/>
        <v/>
      </c>
      <c r="BS39" s="667" t="str">
        <f t="shared" si="51"/>
        <v/>
      </c>
      <c r="BT39" s="668" t="str">
        <f t="shared" si="52"/>
        <v/>
      </c>
      <c r="BU39" s="667" t="str">
        <f t="shared" si="53"/>
        <v/>
      </c>
      <c r="BV39" s="668" t="str">
        <f t="shared" si="54"/>
        <v/>
      </c>
      <c r="BW39" s="667" t="str">
        <f t="shared" si="55"/>
        <v/>
      </c>
      <c r="BX39" s="668" t="str">
        <f t="shared" si="56"/>
        <v/>
      </c>
      <c r="BY39" s="667" t="str">
        <f t="shared" si="57"/>
        <v/>
      </c>
      <c r="BZ39" s="669" t="str">
        <f t="shared" si="58"/>
        <v/>
      </c>
      <c r="CB39" s="677" t="str">
        <f t="shared" si="31"/>
        <v>Autre pilule</v>
      </c>
      <c r="CC39" s="667" t="str">
        <f t="shared" si="59"/>
        <v/>
      </c>
      <c r="CD39" s="668" t="str">
        <f t="shared" si="60"/>
        <v/>
      </c>
      <c r="CE39" s="667" t="str">
        <f t="shared" si="61"/>
        <v/>
      </c>
      <c r="CF39" s="668" t="str">
        <f t="shared" si="62"/>
        <v/>
      </c>
      <c r="CG39" s="667" t="str">
        <f t="shared" si="63"/>
        <v/>
      </c>
      <c r="CH39" s="668" t="str">
        <f t="shared" si="64"/>
        <v/>
      </c>
      <c r="CI39" s="667" t="str">
        <f t="shared" si="65"/>
        <v/>
      </c>
      <c r="CJ39" s="668" t="str">
        <f t="shared" si="66"/>
        <v/>
      </c>
      <c r="CK39" s="667" t="str">
        <f t="shared" si="67"/>
        <v/>
      </c>
      <c r="CL39" s="668" t="str">
        <f t="shared" si="68"/>
        <v/>
      </c>
      <c r="CM39" s="667" t="str">
        <f t="shared" si="69"/>
        <v/>
      </c>
      <c r="CN39" s="668" t="str">
        <f t="shared" si="70"/>
        <v/>
      </c>
      <c r="CO39" s="667" t="str">
        <f t="shared" si="71"/>
        <v/>
      </c>
      <c r="CP39" s="668" t="str">
        <f t="shared" si="72"/>
        <v/>
      </c>
      <c r="CQ39" s="667" t="str">
        <f t="shared" si="73"/>
        <v/>
      </c>
      <c r="CR39" s="669" t="str">
        <f t="shared" si="74"/>
        <v/>
      </c>
      <c r="CT39" s="776" t="str">
        <f t="shared" si="32"/>
        <v>Autre pilule</v>
      </c>
      <c r="CU39" s="777"/>
      <c r="CV39" s="778"/>
      <c r="CW39" s="777"/>
      <c r="CX39" s="778"/>
      <c r="CY39" s="777"/>
      <c r="CZ39" s="778"/>
      <c r="DA39" s="777"/>
      <c r="DB39" s="778"/>
      <c r="DC39" s="777"/>
      <c r="DD39" s="778"/>
      <c r="DE39" s="777"/>
      <c r="DF39" s="778"/>
      <c r="DG39" s="777"/>
      <c r="DH39" s="778"/>
      <c r="DI39" s="777"/>
      <c r="DJ39" s="779"/>
    </row>
    <row r="40" spans="2:114" ht="17.25" customHeight="1" x14ac:dyDescent="0.25">
      <c r="B40" s="1480" t="str">
        <f>IF(Language="English", 'Language Look Ups'!$O$23,IF(Language="Francais", 'Language Look Ups'!$S$23, 'Language Look Ups'!Q$23))</f>
        <v>Préservatifs</v>
      </c>
      <c r="C40" s="363" t="str">
        <f>IF(Language="English", 'Language Look Ups'!$P$23,IF(Language="Francais", 'Language Look Ups'!$T$23, 'Language Look Ups'!$R$23))</f>
        <v>Préservatifs masculin</v>
      </c>
      <c r="D40" s="407">
        <v>120</v>
      </c>
      <c r="E40" s="408">
        <f t="shared" si="75"/>
        <v>8.3333333333333332E-3</v>
      </c>
      <c r="F40" s="416" t="str">
        <f t="shared" si="41"/>
        <v>par utilisateur par année</v>
      </c>
      <c r="G40" s="1278"/>
      <c r="H40" s="410"/>
      <c r="I40" s="409"/>
      <c r="J40" s="410"/>
      <c r="K40" s="409"/>
      <c r="L40" s="410"/>
      <c r="M40" s="409"/>
      <c r="N40" s="410"/>
      <c r="O40" s="409"/>
      <c r="P40" s="410"/>
      <c r="Q40" s="409"/>
      <c r="R40" s="410"/>
      <c r="S40" s="282"/>
      <c r="T40" s="282"/>
      <c r="U40" s="282"/>
      <c r="V40" s="413"/>
      <c r="AA40" s="462" t="str">
        <f t="shared" si="42"/>
        <v>Préservatifs masculin</v>
      </c>
      <c r="AB40" s="1017" t="str">
        <f>IF(AB$21="", "", VLOOKUP($AA40,'4. FPSource Set Up'!$C$96:$H$117, 3, FALSE))</f>
        <v>n/a</v>
      </c>
      <c r="AC40" s="1018" t="str">
        <f>IF(AC$21="", "", VLOOKUP($AA40,'4. FPSource Set Up'!$C$96:$H$117, 3, FALSE))</f>
        <v/>
      </c>
      <c r="AD40" s="1018" t="str">
        <f>IF(AD$21="", "", VLOOKUP($AA40,'4. FPSource Set Up'!$C$96:$H$117, 3, FALSE))</f>
        <v/>
      </c>
      <c r="AE40" s="1018" t="str">
        <f>IF(AE$21="", "", VLOOKUP($AA40,'4. FPSource Set Up'!$C$96:$H$117, 3, FALSE))</f>
        <v/>
      </c>
      <c r="AF40" s="1018" t="str">
        <f>IF(AF$21="", "", VLOOKUP($AA40,'4. FPSource Set Up'!$C$96:$H$117, 3, FALSE))</f>
        <v/>
      </c>
      <c r="AG40" s="1018" t="str">
        <f>IF(AG$21="", "", VLOOKUP($AA40,'4. FPSource Set Up'!$C$96:$H$117, 3, FALSE))</f>
        <v/>
      </c>
      <c r="AH40" s="1018" t="str">
        <f>IF(AH$21="", "", VLOOKUP($AA40,'4. FPSource Set Up'!$C$96:$H$117, 3, FALSE))</f>
        <v/>
      </c>
      <c r="AI40" s="1018" t="str">
        <f>IF(AI$21="", "", VLOOKUP($AA40,'4. FPSource Set Up'!$C$96:$H$117, 3, FALSE))</f>
        <v/>
      </c>
      <c r="AJ40" s="1018" t="str">
        <f>IF(AJ$21="", "", VLOOKUP($AA40,'4. FPSource Set Up'!$C$96:$H$117, 3, FALSE))</f>
        <v/>
      </c>
      <c r="AK40" s="1018" t="str">
        <f>IF(AK$21="", "", VLOOKUP($AA40,'4. FPSource Set Up'!$C$96:$H$117, 3, FALSE))</f>
        <v/>
      </c>
      <c r="AL40" s="1018" t="str">
        <f>IF(AL$21="", "", VLOOKUP($AA40,'4. FPSource Set Up'!$C$96:$H$117, 3, FALSE))</f>
        <v/>
      </c>
      <c r="AM40" s="1018" t="str">
        <f>IF(AM$21="", "", VLOOKUP($AA40,'4. FPSource Set Up'!$C$96:$H$117, 3, FALSE))</f>
        <v/>
      </c>
      <c r="AN40" s="1018" t="str">
        <f>IF(AN$21="", "", VLOOKUP($AA40,'4. FPSource Set Up'!$C$96:$H$117, 3, FALSE))</f>
        <v/>
      </c>
      <c r="AO40" s="1018" t="str">
        <f>IF(AO$21="", "", VLOOKUP($AA40,'4. FPSource Set Up'!$C$96:$H$117, 3, FALSE))</f>
        <v/>
      </c>
      <c r="AP40" s="1018" t="str">
        <f>IF(AP$21="", "", VLOOKUP($AA40,'4. FPSource Set Up'!$C$96:$H$117, 3, FALSE))</f>
        <v/>
      </c>
      <c r="AQ40" s="1019" t="str">
        <f>IF(AQ$21="", "", VLOOKUP($AA40,'4. FPSource Set Up'!$C$96:$H$117, 3, FALSE))</f>
        <v/>
      </c>
      <c r="BA40" s="416" t="s">
        <v>83</v>
      </c>
      <c r="BC40" s="184" t="s">
        <v>836</v>
      </c>
      <c r="BJ40" s="676" t="str">
        <f t="shared" si="30"/>
        <v>Préservatifs masculin</v>
      </c>
      <c r="BK40" s="664" t="str">
        <f t="shared" si="43"/>
        <v/>
      </c>
      <c r="BL40" s="665" t="str">
        <f t="shared" si="44"/>
        <v/>
      </c>
      <c r="BM40" s="664" t="str">
        <f t="shared" si="45"/>
        <v/>
      </c>
      <c r="BN40" s="665" t="str">
        <f t="shared" si="46"/>
        <v/>
      </c>
      <c r="BO40" s="664" t="str">
        <f t="shared" si="47"/>
        <v/>
      </c>
      <c r="BP40" s="665" t="str">
        <f t="shared" si="48"/>
        <v/>
      </c>
      <c r="BQ40" s="664" t="str">
        <f t="shared" si="49"/>
        <v/>
      </c>
      <c r="BR40" s="665" t="str">
        <f t="shared" si="50"/>
        <v/>
      </c>
      <c r="BS40" s="664" t="str">
        <f t="shared" si="51"/>
        <v/>
      </c>
      <c r="BT40" s="665" t="str">
        <f t="shared" si="52"/>
        <v/>
      </c>
      <c r="BU40" s="664" t="str">
        <f t="shared" si="53"/>
        <v/>
      </c>
      <c r="BV40" s="665" t="str">
        <f t="shared" si="54"/>
        <v/>
      </c>
      <c r="BW40" s="664" t="str">
        <f t="shared" si="55"/>
        <v/>
      </c>
      <c r="BX40" s="665" t="str">
        <f t="shared" si="56"/>
        <v/>
      </c>
      <c r="BY40" s="664" t="str">
        <f t="shared" si="57"/>
        <v/>
      </c>
      <c r="BZ40" s="666" t="str">
        <f t="shared" si="58"/>
        <v/>
      </c>
      <c r="CB40" s="676" t="str">
        <f t="shared" si="31"/>
        <v>Préservatifs masculin</v>
      </c>
      <c r="CC40" s="664" t="str">
        <f t="shared" si="59"/>
        <v/>
      </c>
      <c r="CD40" s="665" t="str">
        <f t="shared" si="60"/>
        <v/>
      </c>
      <c r="CE40" s="664" t="str">
        <f t="shared" si="61"/>
        <v/>
      </c>
      <c r="CF40" s="665" t="str">
        <f t="shared" si="62"/>
        <v/>
      </c>
      <c r="CG40" s="664" t="str">
        <f t="shared" si="63"/>
        <v/>
      </c>
      <c r="CH40" s="665" t="str">
        <f t="shared" si="64"/>
        <v/>
      </c>
      <c r="CI40" s="664" t="str">
        <f t="shared" si="65"/>
        <v/>
      </c>
      <c r="CJ40" s="665" t="str">
        <f t="shared" si="66"/>
        <v/>
      </c>
      <c r="CK40" s="664" t="str">
        <f t="shared" si="67"/>
        <v/>
      </c>
      <c r="CL40" s="665" t="str">
        <f t="shared" si="68"/>
        <v/>
      </c>
      <c r="CM40" s="664" t="str">
        <f t="shared" si="69"/>
        <v/>
      </c>
      <c r="CN40" s="665" t="str">
        <f t="shared" si="70"/>
        <v/>
      </c>
      <c r="CO40" s="664" t="str">
        <f t="shared" si="71"/>
        <v/>
      </c>
      <c r="CP40" s="665" t="str">
        <f t="shared" si="72"/>
        <v/>
      </c>
      <c r="CQ40" s="664" t="str">
        <f t="shared" si="73"/>
        <v/>
      </c>
      <c r="CR40" s="666" t="str">
        <f t="shared" si="74"/>
        <v/>
      </c>
      <c r="CT40" s="768" t="str">
        <f t="shared" si="32"/>
        <v>Préservatifs masculin</v>
      </c>
      <c r="CU40" s="769"/>
      <c r="CV40" s="770"/>
      <c r="CW40" s="769"/>
      <c r="CX40" s="770"/>
      <c r="CY40" s="769"/>
      <c r="CZ40" s="770"/>
      <c r="DA40" s="769"/>
      <c r="DB40" s="770"/>
      <c r="DC40" s="769"/>
      <c r="DD40" s="770"/>
      <c r="DE40" s="769"/>
      <c r="DF40" s="770"/>
      <c r="DG40" s="769"/>
      <c r="DH40" s="770"/>
      <c r="DI40" s="769"/>
      <c r="DJ40" s="771"/>
    </row>
    <row r="41" spans="2:114" ht="17.25" customHeight="1" x14ac:dyDescent="0.25">
      <c r="B41" s="1481"/>
      <c r="C41" s="275" t="str">
        <f>IF(Language="English", 'Language Look Ups'!$P$24,IF(Language="Francais", 'Language Look Ups'!$T$24, 'Language Look Ups'!$R$24))</f>
        <v>Préservatifs feminin</v>
      </c>
      <c r="D41" s="276">
        <v>120</v>
      </c>
      <c r="E41" s="99">
        <f t="shared" si="75"/>
        <v>8.3333333333333332E-3</v>
      </c>
      <c r="F41" s="100" t="str">
        <f t="shared" si="41"/>
        <v>par utilisateur par année</v>
      </c>
      <c r="G41" s="1276"/>
      <c r="H41" s="285"/>
      <c r="I41" s="284"/>
      <c r="J41" s="285"/>
      <c r="K41" s="284"/>
      <c r="L41" s="285"/>
      <c r="M41" s="284"/>
      <c r="N41" s="285"/>
      <c r="O41" s="284"/>
      <c r="P41" s="285"/>
      <c r="Q41" s="284"/>
      <c r="R41" s="285"/>
      <c r="S41" s="284"/>
      <c r="T41" s="285"/>
      <c r="U41" s="284"/>
      <c r="V41" s="412"/>
      <c r="AA41" s="463" t="str">
        <f t="shared" si="42"/>
        <v>Préservatifs feminin</v>
      </c>
      <c r="AB41" s="1023" t="str">
        <f>IF(AB$21="", "", VLOOKUP($AA41,'4. FPSource Set Up'!$C$96:$H$117, 3, FALSE))</f>
        <v>n/a</v>
      </c>
      <c r="AC41" s="1024" t="str">
        <f>IF(AC$21="", "", VLOOKUP($AA41,'4. FPSource Set Up'!$C$96:$H$117, 3, FALSE))</f>
        <v/>
      </c>
      <c r="AD41" s="1024" t="str">
        <f>IF(AD$21="", "", VLOOKUP($AA41,'4. FPSource Set Up'!$C$96:$H$117, 3, FALSE))</f>
        <v/>
      </c>
      <c r="AE41" s="1024" t="str">
        <f>IF(AE$21="", "", VLOOKUP($AA41,'4. FPSource Set Up'!$C$96:$H$117, 3, FALSE))</f>
        <v/>
      </c>
      <c r="AF41" s="1024" t="str">
        <f>IF(AF$21="", "", VLOOKUP($AA41,'4. FPSource Set Up'!$C$96:$H$117, 3, FALSE))</f>
        <v/>
      </c>
      <c r="AG41" s="1024" t="str">
        <f>IF(AG$21="", "", VLOOKUP($AA41,'4. FPSource Set Up'!$C$96:$H$117, 3, FALSE))</f>
        <v/>
      </c>
      <c r="AH41" s="1024" t="str">
        <f>IF(AH$21="", "", VLOOKUP($AA41,'4. FPSource Set Up'!$C$96:$H$117, 3, FALSE))</f>
        <v/>
      </c>
      <c r="AI41" s="1024" t="str">
        <f>IF(AI$21="", "", VLOOKUP($AA41,'4. FPSource Set Up'!$C$96:$H$117, 3, FALSE))</f>
        <v/>
      </c>
      <c r="AJ41" s="1024" t="str">
        <f>IF(AJ$21="", "", VLOOKUP($AA41,'4. FPSource Set Up'!$C$96:$H$117, 3, FALSE))</f>
        <v/>
      </c>
      <c r="AK41" s="1024" t="str">
        <f>IF(AK$21="", "", VLOOKUP($AA41,'4. FPSource Set Up'!$C$96:$H$117, 3, FALSE))</f>
        <v/>
      </c>
      <c r="AL41" s="1024" t="str">
        <f>IF(AL$21="", "", VLOOKUP($AA41,'4. FPSource Set Up'!$C$96:$H$117, 3, FALSE))</f>
        <v/>
      </c>
      <c r="AM41" s="1024" t="str">
        <f>IF(AM$21="", "", VLOOKUP($AA41,'4. FPSource Set Up'!$C$96:$H$117, 3, FALSE))</f>
        <v/>
      </c>
      <c r="AN41" s="1024" t="str">
        <f>IF(AN$21="", "", VLOOKUP($AA41,'4. FPSource Set Up'!$C$96:$H$117, 3, FALSE))</f>
        <v/>
      </c>
      <c r="AO41" s="1024" t="str">
        <f>IF(AO$21="", "", VLOOKUP($AA41,'4. FPSource Set Up'!$C$96:$H$117, 3, FALSE))</f>
        <v/>
      </c>
      <c r="AP41" s="1024" t="str">
        <f>IF(AP$21="", "", VLOOKUP($AA41,'4. FPSource Set Up'!$C$96:$H$117, 3, FALSE))</f>
        <v/>
      </c>
      <c r="AQ41" s="1025" t="str">
        <f>IF(AQ$21="", "", VLOOKUP($AA41,'4. FPSource Set Up'!$C$96:$H$117, 3, FALSE))</f>
        <v/>
      </c>
      <c r="BA41" s="100" t="s">
        <v>83</v>
      </c>
      <c r="BC41" s="184" t="s">
        <v>836</v>
      </c>
      <c r="BJ41" s="677" t="str">
        <f t="shared" si="30"/>
        <v>Préservatifs feminin</v>
      </c>
      <c r="BK41" s="667" t="str">
        <f t="shared" si="43"/>
        <v/>
      </c>
      <c r="BL41" s="668" t="str">
        <f t="shared" si="44"/>
        <v/>
      </c>
      <c r="BM41" s="667" t="str">
        <f t="shared" si="45"/>
        <v/>
      </c>
      <c r="BN41" s="668" t="str">
        <f t="shared" si="46"/>
        <v/>
      </c>
      <c r="BO41" s="667" t="str">
        <f t="shared" si="47"/>
        <v/>
      </c>
      <c r="BP41" s="668" t="str">
        <f t="shared" si="48"/>
        <v/>
      </c>
      <c r="BQ41" s="667" t="str">
        <f t="shared" si="49"/>
        <v/>
      </c>
      <c r="BR41" s="668" t="str">
        <f t="shared" si="50"/>
        <v/>
      </c>
      <c r="BS41" s="667" t="str">
        <f t="shared" si="51"/>
        <v/>
      </c>
      <c r="BT41" s="668" t="str">
        <f t="shared" si="52"/>
        <v/>
      </c>
      <c r="BU41" s="667" t="str">
        <f t="shared" si="53"/>
        <v/>
      </c>
      <c r="BV41" s="668" t="str">
        <f t="shared" si="54"/>
        <v/>
      </c>
      <c r="BW41" s="667" t="str">
        <f t="shared" si="55"/>
        <v/>
      </c>
      <c r="BX41" s="668" t="str">
        <f t="shared" si="56"/>
        <v/>
      </c>
      <c r="BY41" s="667" t="str">
        <f t="shared" si="57"/>
        <v/>
      </c>
      <c r="BZ41" s="669" t="str">
        <f t="shared" si="58"/>
        <v/>
      </c>
      <c r="CB41" s="677" t="str">
        <f t="shared" si="31"/>
        <v>Préservatifs feminin</v>
      </c>
      <c r="CC41" s="667" t="str">
        <f t="shared" si="59"/>
        <v/>
      </c>
      <c r="CD41" s="668" t="str">
        <f t="shared" si="60"/>
        <v/>
      </c>
      <c r="CE41" s="667" t="str">
        <f t="shared" si="61"/>
        <v/>
      </c>
      <c r="CF41" s="668" t="str">
        <f t="shared" si="62"/>
        <v/>
      </c>
      <c r="CG41" s="667" t="str">
        <f t="shared" si="63"/>
        <v/>
      </c>
      <c r="CH41" s="668" t="str">
        <f t="shared" si="64"/>
        <v/>
      </c>
      <c r="CI41" s="667" t="str">
        <f t="shared" si="65"/>
        <v/>
      </c>
      <c r="CJ41" s="668" t="str">
        <f t="shared" si="66"/>
        <v/>
      </c>
      <c r="CK41" s="667" t="str">
        <f t="shared" si="67"/>
        <v/>
      </c>
      <c r="CL41" s="668" t="str">
        <f t="shared" si="68"/>
        <v/>
      </c>
      <c r="CM41" s="667" t="str">
        <f t="shared" si="69"/>
        <v/>
      </c>
      <c r="CN41" s="668" t="str">
        <f t="shared" si="70"/>
        <v/>
      </c>
      <c r="CO41" s="667" t="str">
        <f t="shared" si="71"/>
        <v/>
      </c>
      <c r="CP41" s="668" t="str">
        <f t="shared" si="72"/>
        <v/>
      </c>
      <c r="CQ41" s="667" t="str">
        <f t="shared" si="73"/>
        <v/>
      </c>
      <c r="CR41" s="669" t="str">
        <f t="shared" si="74"/>
        <v/>
      </c>
      <c r="CT41" s="776" t="str">
        <f t="shared" si="32"/>
        <v>Préservatifs feminin</v>
      </c>
      <c r="CU41" s="777"/>
      <c r="CV41" s="778"/>
      <c r="CW41" s="777"/>
      <c r="CX41" s="778"/>
      <c r="CY41" s="777"/>
      <c r="CZ41" s="778"/>
      <c r="DA41" s="777"/>
      <c r="DB41" s="778"/>
      <c r="DC41" s="777"/>
      <c r="DD41" s="778"/>
      <c r="DE41" s="777"/>
      <c r="DF41" s="778"/>
      <c r="DG41" s="777"/>
      <c r="DH41" s="778"/>
      <c r="DI41" s="777"/>
      <c r="DJ41" s="779"/>
    </row>
    <row r="42" spans="2:114" ht="17.25" customHeight="1" x14ac:dyDescent="0.25">
      <c r="B42" s="1491" t="str">
        <f>IF(Language="English", 'Language Look Ups'!$O$25,IF(Language="Francais", 'Language Look Ups'!$S$25, 'Language Look Ups'!Q$25))</f>
        <v>Autres Méthodes Modernes</v>
      </c>
      <c r="C42" s="363" t="str">
        <f>IF(Language="English", 'Language Look Ups'!$P$25,IF(Language="Francais", 'Language Look Ups'!$T$25, 'Language Look Ups'!$R$25))</f>
        <v>MAMA</v>
      </c>
      <c r="D42" s="407">
        <v>4</v>
      </c>
      <c r="E42" s="408">
        <f t="shared" si="75"/>
        <v>0.25</v>
      </c>
      <c r="F42" s="416" t="str">
        <f t="shared" si="41"/>
        <v>par utilisateur par année</v>
      </c>
      <c r="G42" s="1278"/>
      <c r="H42" s="410"/>
      <c r="I42" s="409"/>
      <c r="J42" s="410"/>
      <c r="K42" s="409"/>
      <c r="L42" s="410"/>
      <c r="M42" s="409"/>
      <c r="N42" s="410"/>
      <c r="O42" s="409"/>
      <c r="P42" s="410"/>
      <c r="Q42" s="409"/>
      <c r="R42" s="410"/>
      <c r="S42" s="409"/>
      <c r="T42" s="410"/>
      <c r="U42" s="409"/>
      <c r="V42" s="411"/>
      <c r="AA42" s="462" t="str">
        <f t="shared" si="42"/>
        <v>MAMA</v>
      </c>
      <c r="AB42" s="1026" t="str">
        <f>IF(AB$21="", "", VLOOKUP($AA42,'4. FPSource Set Up'!$C$96:$H$117, 3, FALSE))</f>
        <v>n/a</v>
      </c>
      <c r="AC42" s="1027" t="str">
        <f>IF(AC$21="", "", VLOOKUP($AA42,'4. FPSource Set Up'!$C$96:$H$117, 3, FALSE))</f>
        <v/>
      </c>
      <c r="AD42" s="1027" t="str">
        <f>IF(AD$21="", "", VLOOKUP($AA42,'4. FPSource Set Up'!$C$96:$H$117, 3, FALSE))</f>
        <v/>
      </c>
      <c r="AE42" s="1027" t="str">
        <f>IF(AE$21="", "", VLOOKUP($AA42,'4. FPSource Set Up'!$C$96:$H$117, 3, FALSE))</f>
        <v/>
      </c>
      <c r="AF42" s="1027" t="str">
        <f>IF(AF$21="", "", VLOOKUP($AA42,'4. FPSource Set Up'!$C$96:$H$117, 3, FALSE))</f>
        <v/>
      </c>
      <c r="AG42" s="1027" t="str">
        <f>IF(AG$21="", "", VLOOKUP($AA42,'4. FPSource Set Up'!$C$96:$H$117, 3, FALSE))</f>
        <v/>
      </c>
      <c r="AH42" s="1027" t="str">
        <f>IF(AH$21="", "", VLOOKUP($AA42,'4. FPSource Set Up'!$C$96:$H$117, 3, FALSE))</f>
        <v/>
      </c>
      <c r="AI42" s="1027" t="str">
        <f>IF(AI$21="", "", VLOOKUP($AA42,'4. FPSource Set Up'!$C$96:$H$117, 3, FALSE))</f>
        <v/>
      </c>
      <c r="AJ42" s="1027" t="str">
        <f>IF(AJ$21="", "", VLOOKUP($AA42,'4. FPSource Set Up'!$C$96:$H$117, 3, FALSE))</f>
        <v/>
      </c>
      <c r="AK42" s="1027" t="str">
        <f>IF(AK$21="", "", VLOOKUP($AA42,'4. FPSource Set Up'!$C$96:$H$117, 3, FALSE))</f>
        <v/>
      </c>
      <c r="AL42" s="1027" t="str">
        <f>IF(AL$21="", "", VLOOKUP($AA42,'4. FPSource Set Up'!$C$96:$H$117, 3, FALSE))</f>
        <v/>
      </c>
      <c r="AM42" s="1027" t="str">
        <f>IF(AM$21="", "", VLOOKUP($AA42,'4. FPSource Set Up'!$C$96:$H$117, 3, FALSE))</f>
        <v/>
      </c>
      <c r="AN42" s="1027" t="str">
        <f>IF(AN$21="", "", VLOOKUP($AA42,'4. FPSource Set Up'!$C$96:$H$117, 3, FALSE))</f>
        <v/>
      </c>
      <c r="AO42" s="1027" t="str">
        <f>IF(AO$21="", "", VLOOKUP($AA42,'4. FPSource Set Up'!$C$96:$H$117, 3, FALSE))</f>
        <v/>
      </c>
      <c r="AP42" s="1027" t="str">
        <f>IF(AP$21="", "", VLOOKUP($AA42,'4. FPSource Set Up'!$C$96:$H$117, 3, FALSE))</f>
        <v/>
      </c>
      <c r="AQ42" s="1028" t="str">
        <f>IF(AQ$21="", "", VLOOKUP($AA42,'4. FPSource Set Up'!$C$96:$H$117, 3, FALSE))</f>
        <v/>
      </c>
      <c r="BA42" s="416" t="s">
        <v>83</v>
      </c>
      <c r="BC42" s="184" t="s">
        <v>836</v>
      </c>
      <c r="BJ42" s="676" t="str">
        <f t="shared" si="30"/>
        <v>MAMA</v>
      </c>
      <c r="BK42" s="664" t="str">
        <f t="shared" si="43"/>
        <v/>
      </c>
      <c r="BL42" s="665" t="str">
        <f t="shared" si="44"/>
        <v/>
      </c>
      <c r="BM42" s="664" t="str">
        <f t="shared" si="45"/>
        <v/>
      </c>
      <c r="BN42" s="665" t="str">
        <f t="shared" si="46"/>
        <v/>
      </c>
      <c r="BO42" s="664" t="str">
        <f t="shared" si="47"/>
        <v/>
      </c>
      <c r="BP42" s="665" t="str">
        <f t="shared" si="48"/>
        <v/>
      </c>
      <c r="BQ42" s="664" t="str">
        <f t="shared" si="49"/>
        <v/>
      </c>
      <c r="BR42" s="665" t="str">
        <f t="shared" si="50"/>
        <v/>
      </c>
      <c r="BS42" s="664" t="str">
        <f t="shared" si="51"/>
        <v/>
      </c>
      <c r="BT42" s="665" t="str">
        <f t="shared" si="52"/>
        <v/>
      </c>
      <c r="BU42" s="664" t="str">
        <f t="shared" si="53"/>
        <v/>
      </c>
      <c r="BV42" s="665" t="str">
        <f t="shared" si="54"/>
        <v/>
      </c>
      <c r="BW42" s="664" t="str">
        <f t="shared" si="55"/>
        <v/>
      </c>
      <c r="BX42" s="665" t="str">
        <f t="shared" si="56"/>
        <v/>
      </c>
      <c r="BY42" s="664" t="str">
        <f t="shared" si="57"/>
        <v/>
      </c>
      <c r="BZ42" s="666" t="str">
        <f t="shared" si="58"/>
        <v/>
      </c>
      <c r="CB42" s="676" t="str">
        <f t="shared" si="31"/>
        <v>MAMA</v>
      </c>
      <c r="CC42" s="664" t="str">
        <f t="shared" si="59"/>
        <v/>
      </c>
      <c r="CD42" s="665" t="str">
        <f t="shared" si="60"/>
        <v/>
      </c>
      <c r="CE42" s="664" t="str">
        <f t="shared" si="61"/>
        <v/>
      </c>
      <c r="CF42" s="665" t="str">
        <f t="shared" si="62"/>
        <v/>
      </c>
      <c r="CG42" s="664" t="str">
        <f t="shared" si="63"/>
        <v/>
      </c>
      <c r="CH42" s="665" t="str">
        <f t="shared" si="64"/>
        <v/>
      </c>
      <c r="CI42" s="664" t="str">
        <f t="shared" si="65"/>
        <v/>
      </c>
      <c r="CJ42" s="665" t="str">
        <f t="shared" si="66"/>
        <v/>
      </c>
      <c r="CK42" s="664" t="str">
        <f t="shared" si="67"/>
        <v/>
      </c>
      <c r="CL42" s="665" t="str">
        <f t="shared" si="68"/>
        <v/>
      </c>
      <c r="CM42" s="664" t="str">
        <f t="shared" si="69"/>
        <v/>
      </c>
      <c r="CN42" s="665" t="str">
        <f t="shared" si="70"/>
        <v/>
      </c>
      <c r="CO42" s="664" t="str">
        <f t="shared" si="71"/>
        <v/>
      </c>
      <c r="CP42" s="665" t="str">
        <f t="shared" si="72"/>
        <v/>
      </c>
      <c r="CQ42" s="664" t="str">
        <f t="shared" si="73"/>
        <v/>
      </c>
      <c r="CR42" s="666" t="str">
        <f t="shared" si="74"/>
        <v/>
      </c>
      <c r="CT42" s="768" t="str">
        <f t="shared" si="32"/>
        <v>MAMA</v>
      </c>
      <c r="CU42" s="769"/>
      <c r="CV42" s="770"/>
      <c r="CW42" s="769"/>
      <c r="CX42" s="770"/>
      <c r="CY42" s="769"/>
      <c r="CZ42" s="770"/>
      <c r="DA42" s="769"/>
      <c r="DB42" s="770"/>
      <c r="DC42" s="769"/>
      <c r="DD42" s="770"/>
      <c r="DE42" s="769"/>
      <c r="DF42" s="770"/>
      <c r="DG42" s="769"/>
      <c r="DH42" s="770"/>
      <c r="DI42" s="769"/>
      <c r="DJ42" s="771"/>
    </row>
    <row r="43" spans="2:114" ht="17.25" customHeight="1" x14ac:dyDescent="0.25">
      <c r="B43" s="1492"/>
      <c r="C43" s="277" t="str">
        <f>IF(Language="English", 'Language Look Ups'!$P$26,IF(Language="Francais", 'Language Look Ups'!$T$26, 'Language Look Ups'!$R$26))</f>
        <v>MJF (Jours fixes)</v>
      </c>
      <c r="D43" s="278">
        <v>1.5</v>
      </c>
      <c r="E43" s="101">
        <f>D43</f>
        <v>1.5</v>
      </c>
      <c r="F43" s="102" t="str">
        <f t="shared" si="41"/>
        <v>années de protection</v>
      </c>
      <c r="G43" s="1280"/>
      <c r="H43" s="283"/>
      <c r="I43" s="282"/>
      <c r="J43" s="283"/>
      <c r="K43" s="282"/>
      <c r="L43" s="283"/>
      <c r="M43" s="282"/>
      <c r="N43" s="283"/>
      <c r="O43" s="282"/>
      <c r="P43" s="283"/>
      <c r="Q43" s="282"/>
      <c r="R43" s="283"/>
      <c r="S43" s="282"/>
      <c r="T43" s="282"/>
      <c r="U43" s="282"/>
      <c r="V43" s="413"/>
      <c r="AA43" s="464" t="str">
        <f t="shared" si="42"/>
        <v>MJF (Jours fixes)</v>
      </c>
      <c r="AB43" s="1011" t="str">
        <f>IF(AB$21="", "", VLOOKUP($AA43,'4. FPSource Set Up'!$C$96:$H$117, 3, FALSE))</f>
        <v>n/a</v>
      </c>
      <c r="AC43" s="1012" t="str">
        <f>IF(AC$21="", "", VLOOKUP($AA43,'4. FPSource Set Up'!$C$96:$H$117, 3, FALSE))</f>
        <v/>
      </c>
      <c r="AD43" s="1012" t="str">
        <f>IF(AD$21="", "", VLOOKUP($AA43,'4. FPSource Set Up'!$C$96:$H$117, 3, FALSE))</f>
        <v/>
      </c>
      <c r="AE43" s="1012" t="str">
        <f>IF(AE$21="", "", VLOOKUP($AA43,'4. FPSource Set Up'!$C$96:$H$117, 3, FALSE))</f>
        <v/>
      </c>
      <c r="AF43" s="1012" t="str">
        <f>IF(AF$21="", "", VLOOKUP($AA43,'4. FPSource Set Up'!$C$96:$H$117, 3, FALSE))</f>
        <v/>
      </c>
      <c r="AG43" s="1012" t="str">
        <f>IF(AG$21="", "", VLOOKUP($AA43,'4. FPSource Set Up'!$C$96:$H$117, 3, FALSE))</f>
        <v/>
      </c>
      <c r="AH43" s="1012" t="str">
        <f>IF(AH$21="", "", VLOOKUP($AA43,'4. FPSource Set Up'!$C$96:$H$117, 3, FALSE))</f>
        <v/>
      </c>
      <c r="AI43" s="1012" t="str">
        <f>IF(AI$21="", "", VLOOKUP($AA43,'4. FPSource Set Up'!$C$96:$H$117, 3, FALSE))</f>
        <v/>
      </c>
      <c r="AJ43" s="1012" t="str">
        <f>IF(AJ$21="", "", VLOOKUP($AA43,'4. FPSource Set Up'!$C$96:$H$117, 3, FALSE))</f>
        <v/>
      </c>
      <c r="AK43" s="1012" t="str">
        <f>IF(AK$21="", "", VLOOKUP($AA43,'4. FPSource Set Up'!$C$96:$H$117, 3, FALSE))</f>
        <v/>
      </c>
      <c r="AL43" s="1012" t="str">
        <f>IF(AL$21="", "", VLOOKUP($AA43,'4. FPSource Set Up'!$C$96:$H$117, 3, FALSE))</f>
        <v/>
      </c>
      <c r="AM43" s="1012" t="str">
        <f>IF(AM$21="", "", VLOOKUP($AA43,'4. FPSource Set Up'!$C$96:$H$117, 3, FALSE))</f>
        <v/>
      </c>
      <c r="AN43" s="1012" t="str">
        <f>IF(AN$21="", "", VLOOKUP($AA43,'4. FPSource Set Up'!$C$96:$H$117, 3, FALSE))</f>
        <v/>
      </c>
      <c r="AO43" s="1012" t="str">
        <f>IF(AO$21="", "", VLOOKUP($AA43,'4. FPSource Set Up'!$C$96:$H$117, 3, FALSE))</f>
        <v/>
      </c>
      <c r="AP43" s="1012" t="str">
        <f>IF(AP$21="", "", VLOOKUP($AA43,'4. FPSource Set Up'!$C$96:$H$117, 3, FALSE))</f>
        <v/>
      </c>
      <c r="AQ43" s="1013" t="str">
        <f>IF(AQ$21="", "", VLOOKUP($AA43,'4. FPSource Set Up'!$C$96:$H$117, 3, FALSE))</f>
        <v/>
      </c>
      <c r="BA43" s="102" t="s">
        <v>9</v>
      </c>
      <c r="BC43" s="184" t="s">
        <v>835</v>
      </c>
      <c r="BJ43" s="678" t="str">
        <f t="shared" si="30"/>
        <v>MJF (Jours fixes)</v>
      </c>
      <c r="BK43" s="670" t="str">
        <f t="shared" si="43"/>
        <v/>
      </c>
      <c r="BL43" s="671" t="str">
        <f t="shared" si="44"/>
        <v/>
      </c>
      <c r="BM43" s="670" t="str">
        <f t="shared" si="45"/>
        <v/>
      </c>
      <c r="BN43" s="671" t="str">
        <f t="shared" si="46"/>
        <v/>
      </c>
      <c r="BO43" s="670" t="str">
        <f t="shared" si="47"/>
        <v/>
      </c>
      <c r="BP43" s="671" t="str">
        <f t="shared" si="48"/>
        <v/>
      </c>
      <c r="BQ43" s="670" t="str">
        <f t="shared" si="49"/>
        <v/>
      </c>
      <c r="BR43" s="671" t="str">
        <f t="shared" si="50"/>
        <v/>
      </c>
      <c r="BS43" s="670" t="str">
        <f t="shared" si="51"/>
        <v/>
      </c>
      <c r="BT43" s="671" t="str">
        <f t="shared" si="52"/>
        <v/>
      </c>
      <c r="BU43" s="670" t="str">
        <f t="shared" si="53"/>
        <v/>
      </c>
      <c r="BV43" s="671" t="str">
        <f t="shared" si="54"/>
        <v/>
      </c>
      <c r="BW43" s="670" t="str">
        <f t="shared" si="55"/>
        <v/>
      </c>
      <c r="BX43" s="671" t="str">
        <f t="shared" si="56"/>
        <v/>
      </c>
      <c r="BY43" s="670" t="str">
        <f t="shared" si="57"/>
        <v/>
      </c>
      <c r="BZ43" s="672" t="str">
        <f t="shared" si="58"/>
        <v/>
      </c>
      <c r="CB43" s="678" t="str">
        <f t="shared" si="31"/>
        <v>MJF (Jours fixes)</v>
      </c>
      <c r="CC43" s="670" t="str">
        <f t="shared" si="59"/>
        <v/>
      </c>
      <c r="CD43" s="671" t="str">
        <f t="shared" si="60"/>
        <v/>
      </c>
      <c r="CE43" s="670" t="str">
        <f t="shared" si="61"/>
        <v/>
      </c>
      <c r="CF43" s="671" t="str">
        <f t="shared" si="62"/>
        <v/>
      </c>
      <c r="CG43" s="670" t="str">
        <f t="shared" si="63"/>
        <v/>
      </c>
      <c r="CH43" s="671" t="str">
        <f t="shared" si="64"/>
        <v/>
      </c>
      <c r="CI43" s="670" t="str">
        <f t="shared" si="65"/>
        <v/>
      </c>
      <c r="CJ43" s="671" t="str">
        <f t="shared" si="66"/>
        <v/>
      </c>
      <c r="CK43" s="670" t="str">
        <f t="shared" si="67"/>
        <v/>
      </c>
      <c r="CL43" s="671" t="str">
        <f t="shared" si="68"/>
        <v/>
      </c>
      <c r="CM43" s="670" t="str">
        <f t="shared" si="69"/>
        <v/>
      </c>
      <c r="CN43" s="671" t="str">
        <f t="shared" si="70"/>
        <v/>
      </c>
      <c r="CO43" s="670" t="str">
        <f t="shared" si="71"/>
        <v/>
      </c>
      <c r="CP43" s="671" t="str">
        <f t="shared" si="72"/>
        <v/>
      </c>
      <c r="CQ43" s="670" t="str">
        <f t="shared" si="73"/>
        <v/>
      </c>
      <c r="CR43" s="672" t="str">
        <f t="shared" si="74"/>
        <v/>
      </c>
      <c r="CT43" s="772" t="str">
        <f t="shared" si="32"/>
        <v>MJF (Jours fixes)</v>
      </c>
      <c r="CU43" s="773"/>
      <c r="CV43" s="774"/>
      <c r="CW43" s="773"/>
      <c r="CX43" s="774"/>
      <c r="CY43" s="773"/>
      <c r="CZ43" s="774"/>
      <c r="DA43" s="773"/>
      <c r="DB43" s="774"/>
      <c r="DC43" s="773"/>
      <c r="DD43" s="774"/>
      <c r="DE43" s="773"/>
      <c r="DF43" s="774"/>
      <c r="DG43" s="773"/>
      <c r="DH43" s="774"/>
      <c r="DI43" s="773"/>
      <c r="DJ43" s="775"/>
    </row>
    <row r="44" spans="2:114" ht="17.25" customHeight="1" x14ac:dyDescent="0.25">
      <c r="B44" s="1492"/>
      <c r="C44" s="277" t="str">
        <f>IF(Language="English", 'Language Look Ups'!$P$27,IF(Language="Francais", 'Language Look Ups'!$T$27, 'Language Look Ups'!$R$27))</f>
        <v>Barrière vaginale</v>
      </c>
      <c r="D44" s="278">
        <v>1</v>
      </c>
      <c r="E44" s="101">
        <f t="shared" si="75"/>
        <v>1</v>
      </c>
      <c r="F44" s="102" t="str">
        <f t="shared" si="41"/>
        <v>par utilisateur par année</v>
      </c>
      <c r="G44" s="1280"/>
      <c r="H44" s="283"/>
      <c r="I44" s="282"/>
      <c r="J44" s="283"/>
      <c r="K44" s="282"/>
      <c r="L44" s="283"/>
      <c r="M44" s="282"/>
      <c r="N44" s="283"/>
      <c r="O44" s="282"/>
      <c r="P44" s="283"/>
      <c r="Q44" s="282"/>
      <c r="R44" s="283"/>
      <c r="S44" s="282"/>
      <c r="T44" s="282"/>
      <c r="U44" s="282"/>
      <c r="V44" s="413"/>
      <c r="AA44" s="464" t="str">
        <f t="shared" si="42"/>
        <v>Barrière vaginale</v>
      </c>
      <c r="AB44" s="1011" t="str">
        <f>IF(AB$21="", "", VLOOKUP($AA44,'4. FPSource Set Up'!$C$96:$H$117, 3, FALSE))</f>
        <v>n/a</v>
      </c>
      <c r="AC44" s="1012" t="str">
        <f>IF(AC$21="", "", VLOOKUP($AA44,'4. FPSource Set Up'!$C$96:$H$117, 3, FALSE))</f>
        <v/>
      </c>
      <c r="AD44" s="1012" t="str">
        <f>IF(AD$21="", "", VLOOKUP($AA44,'4. FPSource Set Up'!$C$96:$H$117, 3, FALSE))</f>
        <v/>
      </c>
      <c r="AE44" s="1012" t="str">
        <f>IF(AE$21="", "", VLOOKUP($AA44,'4. FPSource Set Up'!$C$96:$H$117, 3, FALSE))</f>
        <v/>
      </c>
      <c r="AF44" s="1012" t="str">
        <f>IF(AF$21="", "", VLOOKUP($AA44,'4. FPSource Set Up'!$C$96:$H$117, 3, FALSE))</f>
        <v/>
      </c>
      <c r="AG44" s="1012" t="str">
        <f>IF(AG$21="", "", VLOOKUP($AA44,'4. FPSource Set Up'!$C$96:$H$117, 3, FALSE))</f>
        <v/>
      </c>
      <c r="AH44" s="1012" t="str">
        <f>IF(AH$21="", "", VLOOKUP($AA44,'4. FPSource Set Up'!$C$96:$H$117, 3, FALSE))</f>
        <v/>
      </c>
      <c r="AI44" s="1012" t="str">
        <f>IF(AI$21="", "", VLOOKUP($AA44,'4. FPSource Set Up'!$C$96:$H$117, 3, FALSE))</f>
        <v/>
      </c>
      <c r="AJ44" s="1012" t="str">
        <f>IF(AJ$21="", "", VLOOKUP($AA44,'4. FPSource Set Up'!$C$96:$H$117, 3, FALSE))</f>
        <v/>
      </c>
      <c r="AK44" s="1012" t="str">
        <f>IF(AK$21="", "", VLOOKUP($AA44,'4. FPSource Set Up'!$C$96:$H$117, 3, FALSE))</f>
        <v/>
      </c>
      <c r="AL44" s="1012" t="str">
        <f>IF(AL$21="", "", VLOOKUP($AA44,'4. FPSource Set Up'!$C$96:$H$117, 3, FALSE))</f>
        <v/>
      </c>
      <c r="AM44" s="1012" t="str">
        <f>IF(AM$21="", "", VLOOKUP($AA44,'4. FPSource Set Up'!$C$96:$H$117, 3, FALSE))</f>
        <v/>
      </c>
      <c r="AN44" s="1012" t="str">
        <f>IF(AN$21="", "", VLOOKUP($AA44,'4. FPSource Set Up'!$C$96:$H$117, 3, FALSE))</f>
        <v/>
      </c>
      <c r="AO44" s="1012" t="str">
        <f>IF(AO$21="", "", VLOOKUP($AA44,'4. FPSource Set Up'!$C$96:$H$117, 3, FALSE))</f>
        <v/>
      </c>
      <c r="AP44" s="1012" t="str">
        <f>IF(AP$21="", "", VLOOKUP($AA44,'4. FPSource Set Up'!$C$96:$H$117, 3, FALSE))</f>
        <v/>
      </c>
      <c r="AQ44" s="1013" t="str">
        <f>IF(AQ$21="", "", VLOOKUP($AA44,'4. FPSource Set Up'!$C$96:$H$117, 3, FALSE))</f>
        <v/>
      </c>
      <c r="BA44" s="102" t="s">
        <v>83</v>
      </c>
      <c r="BC44" s="184" t="s">
        <v>836</v>
      </c>
      <c r="BJ44" s="678" t="str">
        <f t="shared" si="30"/>
        <v>Barrière vaginale</v>
      </c>
      <c r="BK44" s="670" t="str">
        <f t="shared" si="43"/>
        <v/>
      </c>
      <c r="BL44" s="671" t="str">
        <f t="shared" si="44"/>
        <v/>
      </c>
      <c r="BM44" s="670" t="str">
        <f t="shared" si="45"/>
        <v/>
      </c>
      <c r="BN44" s="671" t="str">
        <f t="shared" si="46"/>
        <v/>
      </c>
      <c r="BO44" s="670" t="str">
        <f t="shared" si="47"/>
        <v/>
      </c>
      <c r="BP44" s="671" t="str">
        <f t="shared" si="48"/>
        <v/>
      </c>
      <c r="BQ44" s="670" t="str">
        <f t="shared" si="49"/>
        <v/>
      </c>
      <c r="BR44" s="671" t="str">
        <f t="shared" si="50"/>
        <v/>
      </c>
      <c r="BS44" s="670" t="str">
        <f t="shared" si="51"/>
        <v/>
      </c>
      <c r="BT44" s="671" t="str">
        <f t="shared" si="52"/>
        <v/>
      </c>
      <c r="BU44" s="670" t="str">
        <f t="shared" si="53"/>
        <v/>
      </c>
      <c r="BV44" s="671" t="str">
        <f t="shared" si="54"/>
        <v/>
      </c>
      <c r="BW44" s="670" t="str">
        <f t="shared" si="55"/>
        <v/>
      </c>
      <c r="BX44" s="671" t="str">
        <f t="shared" si="56"/>
        <v/>
      </c>
      <c r="BY44" s="670" t="str">
        <f t="shared" si="57"/>
        <v/>
      </c>
      <c r="BZ44" s="672" t="str">
        <f t="shared" si="58"/>
        <v/>
      </c>
      <c r="CB44" s="678" t="str">
        <f t="shared" si="31"/>
        <v>Barrière vaginale</v>
      </c>
      <c r="CC44" s="670" t="str">
        <f t="shared" si="59"/>
        <v/>
      </c>
      <c r="CD44" s="671" t="str">
        <f t="shared" si="60"/>
        <v/>
      </c>
      <c r="CE44" s="670" t="str">
        <f t="shared" si="61"/>
        <v/>
      </c>
      <c r="CF44" s="671" t="str">
        <f t="shared" si="62"/>
        <v/>
      </c>
      <c r="CG44" s="670" t="str">
        <f t="shared" si="63"/>
        <v/>
      </c>
      <c r="CH44" s="671" t="str">
        <f t="shared" si="64"/>
        <v/>
      </c>
      <c r="CI44" s="670" t="str">
        <f t="shared" si="65"/>
        <v/>
      </c>
      <c r="CJ44" s="671" t="str">
        <f t="shared" si="66"/>
        <v/>
      </c>
      <c r="CK44" s="670" t="str">
        <f t="shared" si="67"/>
        <v/>
      </c>
      <c r="CL44" s="671" t="str">
        <f t="shared" si="68"/>
        <v/>
      </c>
      <c r="CM44" s="670" t="str">
        <f t="shared" si="69"/>
        <v/>
      </c>
      <c r="CN44" s="671" t="str">
        <f t="shared" si="70"/>
        <v/>
      </c>
      <c r="CO44" s="670" t="str">
        <f t="shared" si="71"/>
        <v/>
      </c>
      <c r="CP44" s="671" t="str">
        <f t="shared" si="72"/>
        <v/>
      </c>
      <c r="CQ44" s="670" t="str">
        <f t="shared" si="73"/>
        <v/>
      </c>
      <c r="CR44" s="672" t="str">
        <f t="shared" si="74"/>
        <v/>
      </c>
      <c r="CT44" s="772" t="str">
        <f t="shared" si="32"/>
        <v>Barrière vaginale</v>
      </c>
      <c r="CU44" s="773"/>
      <c r="CV44" s="774"/>
      <c r="CW44" s="773"/>
      <c r="CX44" s="774"/>
      <c r="CY44" s="773"/>
      <c r="CZ44" s="774"/>
      <c r="DA44" s="773"/>
      <c r="DB44" s="774"/>
      <c r="DC44" s="773"/>
      <c r="DD44" s="774"/>
      <c r="DE44" s="773"/>
      <c r="DF44" s="774"/>
      <c r="DG44" s="773"/>
      <c r="DH44" s="774"/>
      <c r="DI44" s="773"/>
      <c r="DJ44" s="775"/>
    </row>
    <row r="45" spans="2:114" ht="15" customHeight="1" x14ac:dyDescent="0.25">
      <c r="B45" s="1493"/>
      <c r="C45" s="275" t="str">
        <f>IF(Language="English", 'Language Look Ups'!$P$28,IF(Language="Francais", 'Language Look Ups'!$T$28, 'Language Look Ups'!$R$28))</f>
        <v>Spermicides</v>
      </c>
      <c r="D45" s="276">
        <v>120</v>
      </c>
      <c r="E45" s="99">
        <f t="shared" si="75"/>
        <v>8.3333333333333332E-3</v>
      </c>
      <c r="F45" s="100" t="str">
        <f t="shared" si="41"/>
        <v>par utilisateur par année</v>
      </c>
      <c r="G45" s="1276"/>
      <c r="H45" s="285"/>
      <c r="I45" s="284"/>
      <c r="J45" s="285"/>
      <c r="K45" s="284"/>
      <c r="L45" s="285"/>
      <c r="M45" s="284"/>
      <c r="N45" s="285"/>
      <c r="O45" s="284"/>
      <c r="P45" s="285"/>
      <c r="Q45" s="284"/>
      <c r="R45" s="285"/>
      <c r="S45" s="282"/>
      <c r="T45" s="282"/>
      <c r="U45" s="282"/>
      <c r="V45" s="413"/>
      <c r="AA45" s="463" t="str">
        <f t="shared" si="42"/>
        <v>Spermicides</v>
      </c>
      <c r="AB45" s="1029" t="str">
        <f>IF(AB$21="", "", VLOOKUP($AA45,'4. FPSource Set Up'!$C$96:$H$117, 3, FALSE))</f>
        <v>n/a</v>
      </c>
      <c r="AC45" s="1030" t="str">
        <f>IF(AC$21="", "", VLOOKUP($AA45,'4. FPSource Set Up'!$C$96:$H$117, 3, FALSE))</f>
        <v/>
      </c>
      <c r="AD45" s="1030" t="str">
        <f>IF(AD$21="", "", VLOOKUP($AA45,'4. FPSource Set Up'!$C$96:$H$117, 3, FALSE))</f>
        <v/>
      </c>
      <c r="AE45" s="1030" t="str">
        <f>IF(AE$21="", "", VLOOKUP($AA45,'4. FPSource Set Up'!$C$96:$H$117, 3, FALSE))</f>
        <v/>
      </c>
      <c r="AF45" s="1030" t="str">
        <f>IF(AF$21="", "", VLOOKUP($AA45,'4. FPSource Set Up'!$C$96:$H$117, 3, FALSE))</f>
        <v/>
      </c>
      <c r="AG45" s="1030" t="str">
        <f>IF(AG$21="", "", VLOOKUP($AA45,'4. FPSource Set Up'!$C$96:$H$117, 3, FALSE))</f>
        <v/>
      </c>
      <c r="AH45" s="1030" t="str">
        <f>IF(AH$21="", "", VLOOKUP($AA45,'4. FPSource Set Up'!$C$96:$H$117, 3, FALSE))</f>
        <v/>
      </c>
      <c r="AI45" s="1030" t="str">
        <f>IF(AI$21="", "", VLOOKUP($AA45,'4. FPSource Set Up'!$C$96:$H$117, 3, FALSE))</f>
        <v/>
      </c>
      <c r="AJ45" s="1030" t="str">
        <f>IF(AJ$21="", "", VLOOKUP($AA45,'4. FPSource Set Up'!$C$96:$H$117, 3, FALSE))</f>
        <v/>
      </c>
      <c r="AK45" s="1030" t="str">
        <f>IF(AK$21="", "", VLOOKUP($AA45,'4. FPSource Set Up'!$C$96:$H$117, 3, FALSE))</f>
        <v/>
      </c>
      <c r="AL45" s="1030" t="str">
        <f>IF(AL$21="", "", VLOOKUP($AA45,'4. FPSource Set Up'!$C$96:$H$117, 3, FALSE))</f>
        <v/>
      </c>
      <c r="AM45" s="1030" t="str">
        <f>IF(AM$21="", "", VLOOKUP($AA45,'4. FPSource Set Up'!$C$96:$H$117, 3, FALSE))</f>
        <v/>
      </c>
      <c r="AN45" s="1030" t="str">
        <f>IF(AN$21="", "", VLOOKUP($AA45,'4. FPSource Set Up'!$C$96:$H$117, 3, FALSE))</f>
        <v/>
      </c>
      <c r="AO45" s="1030" t="str">
        <f>IF(AO$21="", "", VLOOKUP($AA45,'4. FPSource Set Up'!$C$96:$H$117, 3, FALSE))</f>
        <v/>
      </c>
      <c r="AP45" s="1030" t="str">
        <f>IF(AP$21="", "", VLOOKUP($AA45,'4. FPSource Set Up'!$C$96:$H$117, 3, FALSE))</f>
        <v/>
      </c>
      <c r="AQ45" s="1031" t="str">
        <f>IF(AQ$21="", "", VLOOKUP($AA45,'4. FPSource Set Up'!$C$96:$H$117, 3, FALSE))</f>
        <v/>
      </c>
      <c r="BA45" s="100" t="s">
        <v>83</v>
      </c>
      <c r="BC45" s="184" t="s">
        <v>836</v>
      </c>
      <c r="BJ45" s="677" t="str">
        <f t="shared" si="30"/>
        <v>Spermicides</v>
      </c>
      <c r="BK45" s="667" t="str">
        <f t="shared" si="43"/>
        <v/>
      </c>
      <c r="BL45" s="668" t="str">
        <f t="shared" si="44"/>
        <v/>
      </c>
      <c r="BM45" s="667" t="str">
        <f t="shared" si="45"/>
        <v/>
      </c>
      <c r="BN45" s="668" t="str">
        <f t="shared" si="46"/>
        <v/>
      </c>
      <c r="BO45" s="667" t="str">
        <f t="shared" si="47"/>
        <v/>
      </c>
      <c r="BP45" s="668" t="str">
        <f t="shared" si="48"/>
        <v/>
      </c>
      <c r="BQ45" s="667" t="str">
        <f t="shared" si="49"/>
        <v/>
      </c>
      <c r="BR45" s="668" t="str">
        <f t="shared" si="50"/>
        <v/>
      </c>
      <c r="BS45" s="667" t="str">
        <f t="shared" si="51"/>
        <v/>
      </c>
      <c r="BT45" s="668" t="str">
        <f t="shared" si="52"/>
        <v/>
      </c>
      <c r="BU45" s="667" t="str">
        <f t="shared" si="53"/>
        <v/>
      </c>
      <c r="BV45" s="668" t="str">
        <f t="shared" si="54"/>
        <v/>
      </c>
      <c r="BW45" s="667" t="str">
        <f t="shared" si="55"/>
        <v/>
      </c>
      <c r="BX45" s="668" t="str">
        <f t="shared" si="56"/>
        <v/>
      </c>
      <c r="BY45" s="667" t="str">
        <f t="shared" si="57"/>
        <v/>
      </c>
      <c r="BZ45" s="669" t="str">
        <f t="shared" si="58"/>
        <v/>
      </c>
      <c r="CB45" s="677" t="str">
        <f t="shared" si="31"/>
        <v>Spermicides</v>
      </c>
      <c r="CC45" s="667" t="str">
        <f t="shared" si="59"/>
        <v/>
      </c>
      <c r="CD45" s="668" t="str">
        <f t="shared" si="60"/>
        <v/>
      </c>
      <c r="CE45" s="667" t="str">
        <f t="shared" si="61"/>
        <v/>
      </c>
      <c r="CF45" s="668" t="str">
        <f t="shared" si="62"/>
        <v/>
      </c>
      <c r="CG45" s="667" t="str">
        <f t="shared" si="63"/>
        <v/>
      </c>
      <c r="CH45" s="668" t="str">
        <f t="shared" si="64"/>
        <v/>
      </c>
      <c r="CI45" s="667" t="str">
        <f t="shared" si="65"/>
        <v/>
      </c>
      <c r="CJ45" s="668" t="str">
        <f t="shared" si="66"/>
        <v/>
      </c>
      <c r="CK45" s="667" t="str">
        <f t="shared" si="67"/>
        <v/>
      </c>
      <c r="CL45" s="668" t="str">
        <f t="shared" si="68"/>
        <v/>
      </c>
      <c r="CM45" s="667" t="str">
        <f t="shared" si="69"/>
        <v/>
      </c>
      <c r="CN45" s="668" t="str">
        <f t="shared" si="70"/>
        <v/>
      </c>
      <c r="CO45" s="667" t="str">
        <f t="shared" si="71"/>
        <v/>
      </c>
      <c r="CP45" s="668" t="str">
        <f t="shared" si="72"/>
        <v/>
      </c>
      <c r="CQ45" s="667" t="str">
        <f t="shared" si="73"/>
        <v/>
      </c>
      <c r="CR45" s="669" t="str">
        <f t="shared" si="74"/>
        <v/>
      </c>
      <c r="CT45" s="776" t="str">
        <f t="shared" si="32"/>
        <v>Spermicides</v>
      </c>
      <c r="CU45" s="777"/>
      <c r="CV45" s="778"/>
      <c r="CW45" s="777"/>
      <c r="CX45" s="778"/>
      <c r="CY45" s="777"/>
      <c r="CZ45" s="778"/>
      <c r="DA45" s="777"/>
      <c r="DB45" s="778"/>
      <c r="DC45" s="777"/>
      <c r="DD45" s="778"/>
      <c r="DE45" s="777"/>
      <c r="DF45" s="778"/>
      <c r="DG45" s="777"/>
      <c r="DH45" s="778"/>
      <c r="DI45" s="777"/>
      <c r="DJ45" s="779"/>
    </row>
    <row r="46" spans="2:114" ht="33" customHeight="1" thickBot="1" x14ac:dyDescent="0.3">
      <c r="B46" s="378" t="str">
        <f>IF(Language="English", 'Language Look Ups'!$O$29,IF(Language="Francais", 'Language Look Ups'!$S$29, 'Language Look Ups'!Q$29))</f>
        <v>Contraception d'urgence</v>
      </c>
      <c r="C46" s="397" t="str">
        <f>IF(Language="English", 'Language Look Ups'!$P$29,IF(Language="Francais", 'Language Look Ups'!$T$29, 'Language Look Ups'!$R$29))</f>
        <v>CU</v>
      </c>
      <c r="D46" s="417">
        <v>20</v>
      </c>
      <c r="E46" s="418">
        <f t="shared" si="75"/>
        <v>0.05</v>
      </c>
      <c r="F46" s="419" t="str">
        <f t="shared" si="41"/>
        <v>par utilisateur par année</v>
      </c>
      <c r="G46" s="1310"/>
      <c r="H46" s="421"/>
      <c r="I46" s="420"/>
      <c r="J46" s="421"/>
      <c r="K46" s="420"/>
      <c r="L46" s="421"/>
      <c r="M46" s="420"/>
      <c r="N46" s="421"/>
      <c r="O46" s="420"/>
      <c r="P46" s="421"/>
      <c r="Q46" s="420"/>
      <c r="R46" s="421"/>
      <c r="S46" s="420"/>
      <c r="T46" s="421"/>
      <c r="U46" s="420"/>
      <c r="V46" s="422"/>
      <c r="AA46" s="467" t="str">
        <f t="shared" si="42"/>
        <v>CU</v>
      </c>
      <c r="AB46" s="1032" t="str">
        <f>IF(AB$21="", "", VLOOKUP($AA46,'4. FPSource Set Up'!$C$96:$H$117, 3, FALSE))</f>
        <v>n/a</v>
      </c>
      <c r="AC46" s="1033" t="str">
        <f>IF(AC$21="", "", VLOOKUP($AA46,'4. FPSource Set Up'!$C$96:$H$117, 3, FALSE))</f>
        <v/>
      </c>
      <c r="AD46" s="1033" t="str">
        <f>IF(AD$21="", "", VLOOKUP($AA46,'4. FPSource Set Up'!$C$96:$H$117, 3, FALSE))</f>
        <v/>
      </c>
      <c r="AE46" s="1033" t="str">
        <f>IF(AE$21="", "", VLOOKUP($AA46,'4. FPSource Set Up'!$C$96:$H$117, 3, FALSE))</f>
        <v/>
      </c>
      <c r="AF46" s="1033" t="str">
        <f>IF(AF$21="", "", VLOOKUP($AA46,'4. FPSource Set Up'!$C$96:$H$117, 3, FALSE))</f>
        <v/>
      </c>
      <c r="AG46" s="1033" t="str">
        <f>IF(AG$21="", "", VLOOKUP($AA46,'4. FPSource Set Up'!$C$96:$H$117, 3, FALSE))</f>
        <v/>
      </c>
      <c r="AH46" s="1033" t="str">
        <f>IF(AH$21="", "", VLOOKUP($AA46,'4. FPSource Set Up'!$C$96:$H$117, 3, FALSE))</f>
        <v/>
      </c>
      <c r="AI46" s="1033" t="str">
        <f>IF(AI$21="", "", VLOOKUP($AA46,'4. FPSource Set Up'!$C$96:$H$117, 3, FALSE))</f>
        <v/>
      </c>
      <c r="AJ46" s="1033" t="str">
        <f>IF(AJ$21="", "", VLOOKUP($AA46,'4. FPSource Set Up'!$C$96:$H$117, 3, FALSE))</f>
        <v/>
      </c>
      <c r="AK46" s="1033" t="str">
        <f>IF(AK$21="", "", VLOOKUP($AA46,'4. FPSource Set Up'!$C$96:$H$117, 3, FALSE))</f>
        <v/>
      </c>
      <c r="AL46" s="1033" t="str">
        <f>IF(AL$21="", "", VLOOKUP($AA46,'4. FPSource Set Up'!$C$96:$H$117, 3, FALSE))</f>
        <v/>
      </c>
      <c r="AM46" s="1033" t="str">
        <f>IF(AM$21="", "", VLOOKUP($AA46,'4. FPSource Set Up'!$C$96:$H$117, 3, FALSE))</f>
        <v/>
      </c>
      <c r="AN46" s="1033" t="str">
        <f>IF(AN$21="", "", VLOOKUP($AA46,'4. FPSource Set Up'!$C$96:$H$117, 3, FALSE))</f>
        <v/>
      </c>
      <c r="AO46" s="1033" t="str">
        <f>IF(AO$21="", "", VLOOKUP($AA46,'4. FPSource Set Up'!$C$96:$H$117, 3, FALSE))</f>
        <v/>
      </c>
      <c r="AP46" s="1033" t="str">
        <f>IF(AP$21="", "", VLOOKUP($AA46,'4. FPSource Set Up'!$C$96:$H$117, 3, FALSE))</f>
        <v/>
      </c>
      <c r="AQ46" s="1034" t="str">
        <f>IF(AQ$21="", "", VLOOKUP($AA46,'4. FPSource Set Up'!$C$96:$H$117, 3, FALSE))</f>
        <v/>
      </c>
      <c r="BA46" s="419" t="s">
        <v>83</v>
      </c>
      <c r="BC46" s="184" t="s">
        <v>836</v>
      </c>
      <c r="BJ46" s="680" t="str">
        <f t="shared" si="30"/>
        <v>CU</v>
      </c>
      <c r="BK46" s="681" t="str">
        <f t="shared" si="43"/>
        <v/>
      </c>
      <c r="BL46" s="682" t="str">
        <f t="shared" si="44"/>
        <v/>
      </c>
      <c r="BM46" s="681" t="str">
        <f t="shared" si="45"/>
        <v/>
      </c>
      <c r="BN46" s="682" t="str">
        <f t="shared" si="46"/>
        <v/>
      </c>
      <c r="BO46" s="681" t="str">
        <f t="shared" si="47"/>
        <v/>
      </c>
      <c r="BP46" s="682" t="str">
        <f t="shared" si="48"/>
        <v/>
      </c>
      <c r="BQ46" s="681" t="str">
        <f t="shared" si="49"/>
        <v/>
      </c>
      <c r="BR46" s="682" t="str">
        <f t="shared" si="50"/>
        <v/>
      </c>
      <c r="BS46" s="681" t="str">
        <f t="shared" si="51"/>
        <v/>
      </c>
      <c r="BT46" s="682" t="str">
        <f t="shared" si="52"/>
        <v/>
      </c>
      <c r="BU46" s="681" t="str">
        <f t="shared" si="53"/>
        <v/>
      </c>
      <c r="BV46" s="682" t="str">
        <f t="shared" si="54"/>
        <v/>
      </c>
      <c r="BW46" s="681" t="str">
        <f t="shared" si="55"/>
        <v/>
      </c>
      <c r="BX46" s="682" t="str">
        <f t="shared" si="56"/>
        <v/>
      </c>
      <c r="BY46" s="681" t="str">
        <f t="shared" si="57"/>
        <v/>
      </c>
      <c r="BZ46" s="683" t="str">
        <f t="shared" si="58"/>
        <v/>
      </c>
      <c r="CB46" s="680" t="str">
        <f t="shared" si="31"/>
        <v>CU</v>
      </c>
      <c r="CC46" s="681" t="str">
        <f t="shared" si="59"/>
        <v/>
      </c>
      <c r="CD46" s="682" t="str">
        <f t="shared" si="60"/>
        <v/>
      </c>
      <c r="CE46" s="681" t="str">
        <f t="shared" si="61"/>
        <v/>
      </c>
      <c r="CF46" s="682" t="str">
        <f t="shared" si="62"/>
        <v/>
      </c>
      <c r="CG46" s="681" t="str">
        <f t="shared" si="63"/>
        <v/>
      </c>
      <c r="CH46" s="682" t="str">
        <f t="shared" si="64"/>
        <v/>
      </c>
      <c r="CI46" s="681" t="str">
        <f t="shared" si="65"/>
        <v/>
      </c>
      <c r="CJ46" s="682" t="str">
        <f t="shared" si="66"/>
        <v/>
      </c>
      <c r="CK46" s="681" t="str">
        <f t="shared" si="67"/>
        <v/>
      </c>
      <c r="CL46" s="682" t="str">
        <f t="shared" si="68"/>
        <v/>
      </c>
      <c r="CM46" s="681" t="str">
        <f t="shared" si="69"/>
        <v/>
      </c>
      <c r="CN46" s="682" t="str">
        <f t="shared" si="70"/>
        <v/>
      </c>
      <c r="CO46" s="681" t="str">
        <f t="shared" si="71"/>
        <v/>
      </c>
      <c r="CP46" s="682" t="str">
        <f t="shared" si="72"/>
        <v/>
      </c>
      <c r="CQ46" s="681" t="str">
        <f t="shared" si="73"/>
        <v/>
      </c>
      <c r="CR46" s="683" t="str">
        <f t="shared" si="74"/>
        <v/>
      </c>
      <c r="CT46" s="780" t="str">
        <f t="shared" si="32"/>
        <v>CU</v>
      </c>
      <c r="CU46" s="781"/>
      <c r="CV46" s="782"/>
      <c r="CW46" s="781"/>
      <c r="CX46" s="782"/>
      <c r="CY46" s="781"/>
      <c r="CZ46" s="782"/>
      <c r="DA46" s="781"/>
      <c r="DB46" s="782"/>
      <c r="DC46" s="781"/>
      <c r="DD46" s="782"/>
      <c r="DE46" s="781"/>
      <c r="DF46" s="782"/>
      <c r="DG46" s="781"/>
      <c r="DH46" s="782"/>
      <c r="DI46" s="781"/>
      <c r="DJ46" s="783"/>
    </row>
    <row r="47" spans="2:114" ht="19.149999999999999" customHeight="1" thickBot="1" x14ac:dyDescent="0.35">
      <c r="B47" s="429" t="str">
        <f>IF(Language="English",'Language Look Ups'!O30,'Language Look Ups'!S30)</f>
        <v>CAP Totale</v>
      </c>
      <c r="C47" s="430"/>
      <c r="D47" s="430"/>
      <c r="E47" s="431"/>
      <c r="F47" s="432"/>
      <c r="G47" s="1311">
        <f t="shared" ref="G47:V47" si="76">IF(G21="", "", SUMPRODUCT(G23:G46, $E$23:$E$46))</f>
        <v>0</v>
      </c>
      <c r="H47" s="433" t="str">
        <f t="shared" si="76"/>
        <v/>
      </c>
      <c r="I47" s="433" t="str">
        <f t="shared" si="76"/>
        <v/>
      </c>
      <c r="J47" s="433" t="str">
        <f t="shared" si="76"/>
        <v/>
      </c>
      <c r="K47" s="433" t="str">
        <f>IF(K21="", "", SUMPRODUCT(K23:K46, $E$23:$E$46))</f>
        <v/>
      </c>
      <c r="L47" s="433" t="str">
        <f t="shared" si="76"/>
        <v/>
      </c>
      <c r="M47" s="433" t="str">
        <f t="shared" si="76"/>
        <v/>
      </c>
      <c r="N47" s="433" t="str">
        <f>IF(N21="", "", SUMPRODUCT(N23:N46, $E$23:$E$46))</f>
        <v/>
      </c>
      <c r="O47" s="433" t="str">
        <f>IF(O21="", "", SUMPRODUCT(O23:O46, $E$23:$E$46))</f>
        <v/>
      </c>
      <c r="P47" s="433" t="str">
        <f t="shared" si="76"/>
        <v/>
      </c>
      <c r="Q47" s="433" t="str">
        <f t="shared" si="76"/>
        <v/>
      </c>
      <c r="R47" s="433" t="str">
        <f t="shared" si="76"/>
        <v/>
      </c>
      <c r="S47" s="433" t="str">
        <f t="shared" si="76"/>
        <v/>
      </c>
      <c r="T47" s="433" t="str">
        <f t="shared" si="76"/>
        <v/>
      </c>
      <c r="U47" s="433" t="str">
        <f t="shared" si="76"/>
        <v/>
      </c>
      <c r="V47" s="1312" t="str">
        <f t="shared" si="76"/>
        <v/>
      </c>
      <c r="BJ47" s="178"/>
      <c r="CB47" s="178"/>
      <c r="CT47" s="178"/>
    </row>
    <row r="48" spans="2:114" ht="12.75" customHeight="1" x14ac:dyDescent="0.25">
      <c r="BJ48" t="s">
        <v>313</v>
      </c>
      <c r="BK48" s="2" t="e">
        <f>IF(BK21="",NA(),IF(SUM(BK23:BK46)=0,NA(),SUM(BK23:BK46)))</f>
        <v>#N/A</v>
      </c>
      <c r="BL48" s="2" t="e">
        <f t="shared" ref="BL48:BZ48" si="77">IF(BL21="",NA(),IF(SUM(BL23:BL46)=0,NA(),SUM(BL23:BL46)))</f>
        <v>#N/A</v>
      </c>
      <c r="BM48" s="2" t="e">
        <f t="shared" si="77"/>
        <v>#N/A</v>
      </c>
      <c r="BN48" s="2" t="e">
        <f t="shared" si="77"/>
        <v>#N/A</v>
      </c>
      <c r="BO48" s="2" t="e">
        <f t="shared" si="77"/>
        <v>#N/A</v>
      </c>
      <c r="BP48" s="2" t="e">
        <f t="shared" si="77"/>
        <v>#N/A</v>
      </c>
      <c r="BQ48" s="2" t="e">
        <f t="shared" si="77"/>
        <v>#N/A</v>
      </c>
      <c r="BR48" s="2" t="e">
        <f t="shared" si="77"/>
        <v>#N/A</v>
      </c>
      <c r="BS48" s="2" t="e">
        <f t="shared" si="77"/>
        <v>#N/A</v>
      </c>
      <c r="BT48" s="2" t="e">
        <f t="shared" si="77"/>
        <v>#N/A</v>
      </c>
      <c r="BU48" s="2" t="e">
        <f t="shared" si="77"/>
        <v>#N/A</v>
      </c>
      <c r="BV48" s="2" t="e">
        <f t="shared" si="77"/>
        <v>#N/A</v>
      </c>
      <c r="BW48" s="2" t="e">
        <f t="shared" si="77"/>
        <v>#N/A</v>
      </c>
      <c r="BX48" s="2" t="e">
        <f t="shared" si="77"/>
        <v>#N/A</v>
      </c>
      <c r="BY48" s="2" t="e">
        <f t="shared" si="77"/>
        <v>#N/A</v>
      </c>
      <c r="BZ48" s="2" t="e">
        <f t="shared" si="77"/>
        <v>#N/A</v>
      </c>
      <c r="CB48" t="s">
        <v>313</v>
      </c>
      <c r="CC48" s="2">
        <f>IF(CC21="", NA(), SUM(CC23:CC46))</f>
        <v>0</v>
      </c>
      <c r="CD48" s="2" t="e">
        <f t="shared" ref="CD48:CR48" si="78">IF(CD21="", NA(), SUM(CD23:CD46))</f>
        <v>#N/A</v>
      </c>
      <c r="CE48" s="2" t="e">
        <f t="shared" si="78"/>
        <v>#N/A</v>
      </c>
      <c r="CF48" s="2" t="e">
        <f t="shared" si="78"/>
        <v>#N/A</v>
      </c>
      <c r="CG48" s="2" t="e">
        <f t="shared" si="78"/>
        <v>#N/A</v>
      </c>
      <c r="CH48" s="2" t="e">
        <f t="shared" si="78"/>
        <v>#N/A</v>
      </c>
      <c r="CI48" s="2" t="e">
        <f t="shared" si="78"/>
        <v>#N/A</v>
      </c>
      <c r="CJ48" s="2" t="e">
        <f t="shared" si="78"/>
        <v>#N/A</v>
      </c>
      <c r="CK48" s="2" t="e">
        <f t="shared" si="78"/>
        <v>#N/A</v>
      </c>
      <c r="CL48" s="2" t="e">
        <f t="shared" si="78"/>
        <v>#N/A</v>
      </c>
      <c r="CM48" s="2" t="e">
        <f t="shared" si="78"/>
        <v>#N/A</v>
      </c>
      <c r="CN48" s="2" t="e">
        <f t="shared" si="78"/>
        <v>#N/A</v>
      </c>
      <c r="CO48" s="2" t="e">
        <f t="shared" si="78"/>
        <v>#N/A</v>
      </c>
      <c r="CP48" s="2" t="e">
        <f t="shared" si="78"/>
        <v>#N/A</v>
      </c>
      <c r="CQ48" s="2" t="e">
        <f t="shared" si="78"/>
        <v>#N/A</v>
      </c>
      <c r="CR48" s="2" t="e">
        <f t="shared" si="78"/>
        <v>#N/A</v>
      </c>
    </row>
    <row r="49" spans="1:115" s="1" customFormat="1" ht="42" hidden="1" customHeight="1" outlineLevel="1" thickBot="1" x14ac:dyDescent="0.3">
      <c r="A49" s="1557" t="s">
        <v>1218</v>
      </c>
      <c r="B49" s="1509" t="s">
        <v>1216</v>
      </c>
      <c r="C49" s="1510"/>
      <c r="D49" s="1510"/>
      <c r="E49" s="1510"/>
      <c r="F49" s="1510"/>
      <c r="G49" s="1510"/>
      <c r="H49" s="1510"/>
      <c r="I49" s="1510"/>
      <c r="J49" s="1510"/>
      <c r="K49" s="1510"/>
      <c r="L49" s="1510"/>
      <c r="M49" s="1510"/>
      <c r="N49" s="1510"/>
      <c r="O49" s="1510"/>
      <c r="P49" s="1510"/>
      <c r="Q49" s="1510"/>
      <c r="R49" s="1510"/>
      <c r="S49" s="1510"/>
      <c r="T49" s="1510"/>
      <c r="U49" s="1510"/>
      <c r="V49" s="1511"/>
      <c r="W49"/>
      <c r="X49"/>
      <c r="Y49"/>
      <c r="Z49"/>
      <c r="AA49"/>
      <c r="AB49" s="43" t="s">
        <v>1195</v>
      </c>
      <c r="AC49" s="44" t="s">
        <v>1196</v>
      </c>
      <c r="AD49" s="982" t="s">
        <v>1199</v>
      </c>
      <c r="AE49" s="983" t="s">
        <v>1200</v>
      </c>
      <c r="AF49" s="43"/>
      <c r="AG49" s="44"/>
      <c r="AH49" s="43"/>
      <c r="AI49" s="44"/>
      <c r="AJ49" s="44"/>
      <c r="AK49" s="44"/>
      <c r="AL49" s="44"/>
      <c r="AM49" s="44"/>
      <c r="AN49" s="44"/>
      <c r="AO49" s="44"/>
      <c r="AP49" s="44"/>
      <c r="AQ49" s="45"/>
      <c r="AS49"/>
      <c r="AT49"/>
      <c r="AU49"/>
      <c r="AV49"/>
      <c r="AW49"/>
      <c r="AX49"/>
      <c r="AY49"/>
      <c r="AZ49"/>
      <c r="BA49" s="184"/>
      <c r="BB49" s="184"/>
      <c r="BC49" s="184"/>
      <c r="BD49"/>
      <c r="BE49"/>
      <c r="BF49"/>
      <c r="BG49"/>
      <c r="BH49"/>
      <c r="BI49" s="181"/>
      <c r="DK49"/>
    </row>
    <row r="50" spans="1:115" ht="17.25" hidden="1" customHeight="1" outlineLevel="1" thickBot="1" x14ac:dyDescent="0.3">
      <c r="A50" s="1557"/>
      <c r="B50" s="1527" t="str">
        <f>IF(Language="English",'Language Look Ups'!$O$6,IF(Language="Francais",'Language Look Ups'!$S$6,'Language Look Ups'!$Q$6))</f>
        <v>Stérilisation</v>
      </c>
      <c r="C50" s="885" t="str">
        <f>IF(Language="English", 'Language Look Ups'!$P$6,IF(Language="Francais", 'Language Look Ups'!$T$6, 'Language Look Ups'!$R$6))</f>
        <v>Ligature des trompes</v>
      </c>
      <c r="D50" s="886"/>
      <c r="E50" s="886"/>
      <c r="F50" s="887"/>
      <c r="G50" s="883" t="str">
        <f t="shared" ref="G50:V50" si="79">IF(G23="", "", IF(OR(G23&gt;$AD50, G23&lt;$AE50), G$21&amp;",", ""))</f>
        <v/>
      </c>
      <c r="H50" s="883" t="str">
        <f t="shared" si="79"/>
        <v/>
      </c>
      <c r="I50" s="883" t="str">
        <f t="shared" si="79"/>
        <v/>
      </c>
      <c r="J50" s="883" t="str">
        <f t="shared" si="79"/>
        <v/>
      </c>
      <c r="K50" s="883" t="str">
        <f t="shared" si="79"/>
        <v/>
      </c>
      <c r="L50" s="883" t="str">
        <f t="shared" si="79"/>
        <v/>
      </c>
      <c r="M50" s="883" t="str">
        <f t="shared" si="79"/>
        <v/>
      </c>
      <c r="N50" s="883" t="str">
        <f t="shared" si="79"/>
        <v/>
      </c>
      <c r="O50" s="883" t="str">
        <f t="shared" si="79"/>
        <v/>
      </c>
      <c r="P50" s="883" t="str">
        <f t="shared" si="79"/>
        <v/>
      </c>
      <c r="Q50" s="883" t="str">
        <f t="shared" si="79"/>
        <v/>
      </c>
      <c r="R50" s="883" t="str">
        <f t="shared" si="79"/>
        <v/>
      </c>
      <c r="S50" s="883" t="str">
        <f t="shared" si="79"/>
        <v/>
      </c>
      <c r="T50" s="883" t="str">
        <f t="shared" si="79"/>
        <v/>
      </c>
      <c r="U50" s="883" t="str">
        <f t="shared" si="79"/>
        <v/>
      </c>
      <c r="V50" s="883" t="str">
        <f t="shared" si="79"/>
        <v/>
      </c>
      <c r="W50" s="884">
        <f t="shared" ref="W50:W56" si="80">COUNTIF(G50:V50, "*,*")</f>
        <v>0</v>
      </c>
      <c r="X50">
        <v>25</v>
      </c>
      <c r="Y50" t="str">
        <f>IF(W50&gt;0, HLOOKUP("OUTLIER", $G50:$V$75, X50, 0), "")</f>
        <v/>
      </c>
      <c r="AA50" s="148" t="str">
        <f t="shared" ref="AA50:AA74" si="81">IF(W50=0, "", C50&amp;": "&amp;CONCATENATE( IF(ISBLANK(G50), "", G50), IF(ISBLANK(H50), "", H50), IF(ISBLANK(I50), "", I50), IF(ISBLANK(J50), "", J50), IF(ISBLANK(K50), "", K50), IF(ISBLANK(L50), "", L50), IF(ISBLANK(M50), "", M50), IF(ISBLANK(N50), "", N50), IF(ISBLANK(O50), "", O50), IF(ISBLANK(P50), "", P50), IF(ISBLANK(Q50), "", Q50), IF(ISBLANK(R50), "", R50), IF(ISBLANK(S50), "", S50), IF(ISBLANK(T50), "", T50), IF(ISBLANK(U50), "", U50), IF(ISBLANK(V50), "", V50)))</f>
        <v/>
      </c>
      <c r="AB50" s="856" t="e">
        <f t="shared" ref="AB50:AB56" si="82">AVERAGE($G23:$V23)</f>
        <v>#DIV/0!</v>
      </c>
      <c r="AC50" s="857" t="e">
        <f t="shared" ref="AC50:AC74" si="83">STDEV($G23:$V23)*2</f>
        <v>#DIV/0!</v>
      </c>
      <c r="AD50" s="856" t="e">
        <f>AB50+AC50</f>
        <v>#DIV/0!</v>
      </c>
      <c r="AE50" s="856" t="e">
        <f>AB50-AC50</f>
        <v>#DIV/0!</v>
      </c>
    </row>
    <row r="51" spans="1:115" ht="17.25" hidden="1" customHeight="1" outlineLevel="1" thickBot="1" x14ac:dyDescent="0.3">
      <c r="A51" s="1557"/>
      <c r="B51" s="1528"/>
      <c r="C51" s="888" t="str">
        <f>IF(Language="English",'Language Look Ups'!$P$7,IF(Language="Francais",'Language Look Ups'!$T$7,'Language Look Ups'!$R$7))</f>
        <v>Vasectomie</v>
      </c>
      <c r="D51" s="889"/>
      <c r="E51" s="889"/>
      <c r="F51" s="890"/>
      <c r="G51" s="883" t="str">
        <f t="shared" ref="G51:V51" si="84">IF(G24="", "", IF(OR(G24&gt;$AD51, G24&lt;$AE51), G$21&amp;",", ""))</f>
        <v/>
      </c>
      <c r="H51" s="883" t="str">
        <f t="shared" si="84"/>
        <v/>
      </c>
      <c r="I51" s="883" t="str">
        <f t="shared" si="84"/>
        <v/>
      </c>
      <c r="J51" s="883" t="str">
        <f t="shared" si="84"/>
        <v/>
      </c>
      <c r="K51" s="883" t="str">
        <f t="shared" si="84"/>
        <v/>
      </c>
      <c r="L51" s="883" t="str">
        <f t="shared" si="84"/>
        <v/>
      </c>
      <c r="M51" s="883" t="str">
        <f t="shared" si="84"/>
        <v/>
      </c>
      <c r="N51" s="883" t="str">
        <f t="shared" si="84"/>
        <v/>
      </c>
      <c r="O51" s="883" t="str">
        <f t="shared" si="84"/>
        <v/>
      </c>
      <c r="P51" s="883" t="str">
        <f t="shared" si="84"/>
        <v/>
      </c>
      <c r="Q51" s="883" t="str">
        <f t="shared" si="84"/>
        <v/>
      </c>
      <c r="R51" s="883" t="str">
        <f t="shared" si="84"/>
        <v/>
      </c>
      <c r="S51" s="883" t="str">
        <f t="shared" si="84"/>
        <v/>
      </c>
      <c r="T51" s="883" t="str">
        <f t="shared" si="84"/>
        <v/>
      </c>
      <c r="U51" s="883" t="str">
        <f t="shared" si="84"/>
        <v/>
      </c>
      <c r="V51" s="883" t="str">
        <f t="shared" si="84"/>
        <v/>
      </c>
      <c r="W51" s="884">
        <f t="shared" si="80"/>
        <v>0</v>
      </c>
      <c r="X51">
        <v>24</v>
      </c>
      <c r="Y51" t="str">
        <f>IF(W51&gt;0, HLOOKUP("OUTLIER", $G51:$V$75, X51, 0), "")</f>
        <v/>
      </c>
      <c r="AA51" s="148" t="str">
        <f t="shared" si="81"/>
        <v/>
      </c>
      <c r="AB51" s="856" t="e">
        <f t="shared" si="82"/>
        <v>#DIV/0!</v>
      </c>
      <c r="AC51" s="857" t="e">
        <f t="shared" si="83"/>
        <v>#DIV/0!</v>
      </c>
      <c r="AD51" s="856" t="e">
        <f t="shared" ref="AD51:AD73" si="85">AB51+AC51</f>
        <v>#DIV/0!</v>
      </c>
      <c r="AE51" s="856" t="e">
        <f t="shared" ref="AE51:AE73" si="86">AB51-AC51</f>
        <v>#DIV/0!</v>
      </c>
    </row>
    <row r="52" spans="1:115" ht="17.25" hidden="1" customHeight="1" outlineLevel="1" thickBot="1" x14ac:dyDescent="0.3">
      <c r="A52" s="1557"/>
      <c r="B52" s="1527" t="str">
        <f>IF(Language="English", 'Language Look Ups'!$O$8,IF(Language="Francais", 'Language Look Ups'!$S$8, 'Language Look Ups'!$Q$8))</f>
        <v>DIU</v>
      </c>
      <c r="C52" s="885" t="str">
        <f>IF(Language="English", 'Language Look Ups'!$P$8,IF(Language="Francais", 'Language Look Ups'!$T$8, 'Language Look Ups'!$R$8))</f>
        <v>Copper- T 380-A DIU</v>
      </c>
      <c r="D52" s="886"/>
      <c r="E52" s="886"/>
      <c r="F52" s="887"/>
      <c r="G52" s="883" t="str">
        <f t="shared" ref="G52:V52" si="87">IF(G25="", "", IF(OR(G25&gt;$AD52, G25&lt;$AE52), G$21&amp;",", ""))</f>
        <v/>
      </c>
      <c r="H52" s="883" t="str">
        <f t="shared" si="87"/>
        <v/>
      </c>
      <c r="I52" s="883" t="str">
        <f t="shared" si="87"/>
        <v/>
      </c>
      <c r="J52" s="883" t="str">
        <f t="shared" si="87"/>
        <v/>
      </c>
      <c r="K52" s="883" t="str">
        <f t="shared" si="87"/>
        <v/>
      </c>
      <c r="L52" s="883" t="str">
        <f t="shared" si="87"/>
        <v/>
      </c>
      <c r="M52" s="883" t="str">
        <f t="shared" si="87"/>
        <v/>
      </c>
      <c r="N52" s="883" t="str">
        <f t="shared" si="87"/>
        <v/>
      </c>
      <c r="O52" s="883" t="str">
        <f t="shared" si="87"/>
        <v/>
      </c>
      <c r="P52" s="883" t="str">
        <f t="shared" si="87"/>
        <v/>
      </c>
      <c r="Q52" s="883" t="str">
        <f t="shared" si="87"/>
        <v/>
      </c>
      <c r="R52" s="883" t="str">
        <f t="shared" si="87"/>
        <v/>
      </c>
      <c r="S52" s="883" t="str">
        <f t="shared" si="87"/>
        <v/>
      </c>
      <c r="T52" s="883" t="str">
        <f t="shared" si="87"/>
        <v/>
      </c>
      <c r="U52" s="883" t="str">
        <f t="shared" si="87"/>
        <v/>
      </c>
      <c r="V52" s="883" t="str">
        <f t="shared" si="87"/>
        <v/>
      </c>
      <c r="W52" s="884">
        <f t="shared" si="80"/>
        <v>0</v>
      </c>
      <c r="X52">
        <v>23</v>
      </c>
      <c r="Y52" t="str">
        <f>IF(W52&gt;0, HLOOKUP("OUTLIER", $G52:$V$75, X52, 0), "")</f>
        <v/>
      </c>
      <c r="AA52" s="148" t="str">
        <f t="shared" si="81"/>
        <v/>
      </c>
      <c r="AB52" s="856" t="e">
        <f t="shared" si="82"/>
        <v>#DIV/0!</v>
      </c>
      <c r="AC52" s="857" t="e">
        <f t="shared" si="83"/>
        <v>#DIV/0!</v>
      </c>
      <c r="AD52" s="856" t="e">
        <f t="shared" si="85"/>
        <v>#DIV/0!</v>
      </c>
      <c r="AE52" s="856" t="e">
        <f t="shared" si="86"/>
        <v>#DIV/0!</v>
      </c>
    </row>
    <row r="53" spans="1:115" ht="17.25" hidden="1" customHeight="1" outlineLevel="1" thickBot="1" x14ac:dyDescent="0.3">
      <c r="A53" s="1557"/>
      <c r="B53" s="1528"/>
      <c r="C53" s="888" t="str">
        <f>IF(Language="English", 'Language Look Ups'!$P$9,IF(Language="Francais", 'Language Look Ups'!$T$9, 'Language Look Ups'!$R$9))</f>
        <v>DIU Hormonal (LNG-IUS)</v>
      </c>
      <c r="D53" s="889"/>
      <c r="E53" s="889"/>
      <c r="F53" s="890"/>
      <c r="G53" s="883" t="str">
        <f t="shared" ref="G53:V53" si="88">IF(G26="", "", IF(OR(G26&gt;$AD53, G26&lt;$AE53), G$21&amp;",", ""))</f>
        <v/>
      </c>
      <c r="H53" s="883" t="str">
        <f t="shared" si="88"/>
        <v/>
      </c>
      <c r="I53" s="883" t="str">
        <f t="shared" si="88"/>
        <v/>
      </c>
      <c r="J53" s="883" t="str">
        <f t="shared" si="88"/>
        <v/>
      </c>
      <c r="K53" s="883" t="str">
        <f t="shared" si="88"/>
        <v/>
      </c>
      <c r="L53" s="883" t="str">
        <f t="shared" si="88"/>
        <v/>
      </c>
      <c r="M53" s="883" t="str">
        <f t="shared" si="88"/>
        <v/>
      </c>
      <c r="N53" s="883" t="str">
        <f t="shared" si="88"/>
        <v/>
      </c>
      <c r="O53" s="883" t="str">
        <f t="shared" si="88"/>
        <v/>
      </c>
      <c r="P53" s="883" t="str">
        <f t="shared" si="88"/>
        <v/>
      </c>
      <c r="Q53" s="883" t="str">
        <f t="shared" si="88"/>
        <v/>
      </c>
      <c r="R53" s="883" t="str">
        <f t="shared" si="88"/>
        <v/>
      </c>
      <c r="S53" s="883" t="str">
        <f t="shared" si="88"/>
        <v/>
      </c>
      <c r="T53" s="883" t="str">
        <f t="shared" si="88"/>
        <v/>
      </c>
      <c r="U53" s="883" t="str">
        <f t="shared" si="88"/>
        <v/>
      </c>
      <c r="V53" s="883" t="str">
        <f t="shared" si="88"/>
        <v/>
      </c>
      <c r="W53" s="884">
        <f t="shared" si="80"/>
        <v>0</v>
      </c>
      <c r="X53">
        <v>22</v>
      </c>
      <c r="Y53" t="str">
        <f>IF(W53&gt;0, HLOOKUP("OUTLIER", $G53:$V$75, X53, 0), "")</f>
        <v/>
      </c>
      <c r="AA53" s="148" t="str">
        <f t="shared" si="81"/>
        <v/>
      </c>
      <c r="AB53" s="856" t="e">
        <f t="shared" si="82"/>
        <v>#DIV/0!</v>
      </c>
      <c r="AC53" s="857" t="e">
        <f t="shared" si="83"/>
        <v>#DIV/0!</v>
      </c>
      <c r="AD53" s="856" t="e">
        <f t="shared" si="85"/>
        <v>#DIV/0!</v>
      </c>
      <c r="AE53" s="856" t="e">
        <f t="shared" si="86"/>
        <v>#DIV/0!</v>
      </c>
    </row>
    <row r="54" spans="1:115" ht="17.25" hidden="1" customHeight="1" outlineLevel="1" thickBot="1" x14ac:dyDescent="0.3">
      <c r="A54" s="1557"/>
      <c r="B54" s="1527" t="str">
        <f>IF(Language="English", 'Language Look Ups'!$O$10,IF(Language="Francais", 'Language Look Ups'!$S$10, 'Language Look Ups'!$Q$10))</f>
        <v>Implant</v>
      </c>
      <c r="C54" s="885" t="str">
        <f>IF(Language="English", 'Language Look Ups'!$P$10,IF(Language="Francais", 'Language Look Ups'!$T$10, 'Language Look Ups'!$R$10))</f>
        <v>Implant de 3 ans (Implanon, Levoplant)</v>
      </c>
      <c r="D54" s="886"/>
      <c r="E54" s="886"/>
      <c r="F54" s="887"/>
      <c r="G54" s="883" t="str">
        <f t="shared" ref="G54:V54" si="89">IF(G27="", "", IF(OR(G27&gt;$AD54, G27&lt;$AE54), G$21&amp;",", ""))</f>
        <v/>
      </c>
      <c r="H54" s="883" t="str">
        <f t="shared" si="89"/>
        <v/>
      </c>
      <c r="I54" s="883" t="str">
        <f t="shared" si="89"/>
        <v/>
      </c>
      <c r="J54" s="883" t="str">
        <f t="shared" si="89"/>
        <v/>
      </c>
      <c r="K54" s="883" t="str">
        <f t="shared" si="89"/>
        <v/>
      </c>
      <c r="L54" s="883" t="str">
        <f t="shared" si="89"/>
        <v/>
      </c>
      <c r="M54" s="883" t="str">
        <f t="shared" si="89"/>
        <v/>
      </c>
      <c r="N54" s="883" t="str">
        <f t="shared" si="89"/>
        <v/>
      </c>
      <c r="O54" s="883" t="str">
        <f t="shared" si="89"/>
        <v/>
      </c>
      <c r="P54" s="883" t="str">
        <f t="shared" si="89"/>
        <v/>
      </c>
      <c r="Q54" s="883" t="str">
        <f t="shared" si="89"/>
        <v/>
      </c>
      <c r="R54" s="883" t="str">
        <f t="shared" si="89"/>
        <v/>
      </c>
      <c r="S54" s="883" t="str">
        <f t="shared" si="89"/>
        <v/>
      </c>
      <c r="T54" s="883" t="str">
        <f t="shared" si="89"/>
        <v/>
      </c>
      <c r="U54" s="883" t="str">
        <f t="shared" si="89"/>
        <v/>
      </c>
      <c r="V54" s="883" t="str">
        <f t="shared" si="89"/>
        <v/>
      </c>
      <c r="W54" s="884">
        <f t="shared" si="80"/>
        <v>0</v>
      </c>
      <c r="X54">
        <v>21</v>
      </c>
      <c r="Y54" t="str">
        <f>IF(W54&gt;0, HLOOKUP("OUTLIER", $G54:$V$75, X54, 0), "")</f>
        <v/>
      </c>
      <c r="AA54" s="148" t="str">
        <f t="shared" si="81"/>
        <v/>
      </c>
      <c r="AB54" s="856" t="e">
        <f t="shared" si="82"/>
        <v>#DIV/0!</v>
      </c>
      <c r="AC54" s="857" t="e">
        <f t="shared" si="83"/>
        <v>#DIV/0!</v>
      </c>
      <c r="AD54" s="856" t="e">
        <f t="shared" si="85"/>
        <v>#DIV/0!</v>
      </c>
      <c r="AE54" s="856" t="e">
        <f t="shared" si="86"/>
        <v>#DIV/0!</v>
      </c>
    </row>
    <row r="55" spans="1:115" ht="17.25" hidden="1" customHeight="1" outlineLevel="1" thickBot="1" x14ac:dyDescent="0.3">
      <c r="A55" s="1557"/>
      <c r="B55" s="1529"/>
      <c r="C55" s="891" t="str">
        <f>IF(Language="English", 'Language Look Ups'!$P$11,IF(Language="Francais", 'Language Look Ups'!$T$11, 'Language Look Ups'!$R$11))</f>
        <v>Implant de 4 ans (Sino-Implant)</v>
      </c>
      <c r="D55" s="892"/>
      <c r="E55" s="892"/>
      <c r="F55" s="893"/>
      <c r="G55" s="883" t="str">
        <f t="shared" ref="G55:V55" si="90">IF(G28="", "", IF(OR(G28&gt;$AD55, G28&lt;$AE55), G$21&amp;",", ""))</f>
        <v/>
      </c>
      <c r="H55" s="883" t="str">
        <f t="shared" si="90"/>
        <v/>
      </c>
      <c r="I55" s="883" t="str">
        <f t="shared" si="90"/>
        <v/>
      </c>
      <c r="J55" s="883" t="str">
        <f t="shared" si="90"/>
        <v/>
      </c>
      <c r="K55" s="883" t="str">
        <f t="shared" si="90"/>
        <v/>
      </c>
      <c r="L55" s="883" t="str">
        <f t="shared" si="90"/>
        <v/>
      </c>
      <c r="M55" s="883" t="str">
        <f t="shared" si="90"/>
        <v/>
      </c>
      <c r="N55" s="883" t="str">
        <f t="shared" si="90"/>
        <v/>
      </c>
      <c r="O55" s="883" t="str">
        <f t="shared" si="90"/>
        <v/>
      </c>
      <c r="P55" s="883" t="str">
        <f t="shared" si="90"/>
        <v/>
      </c>
      <c r="Q55" s="883" t="str">
        <f t="shared" si="90"/>
        <v/>
      </c>
      <c r="R55" s="883" t="str">
        <f t="shared" si="90"/>
        <v/>
      </c>
      <c r="S55" s="883" t="str">
        <f t="shared" si="90"/>
        <v/>
      </c>
      <c r="T55" s="883" t="str">
        <f t="shared" si="90"/>
        <v/>
      </c>
      <c r="U55" s="883" t="str">
        <f t="shared" si="90"/>
        <v/>
      </c>
      <c r="V55" s="883" t="str">
        <f t="shared" si="90"/>
        <v/>
      </c>
      <c r="W55" s="884">
        <f t="shared" si="80"/>
        <v>0</v>
      </c>
      <c r="X55">
        <v>20</v>
      </c>
      <c r="Y55" t="str">
        <f>IF(W55&gt;0, HLOOKUP("OUTLIER", $G55:$V$75, X55, 0), "")</f>
        <v/>
      </c>
      <c r="AA55" s="148" t="str">
        <f t="shared" si="81"/>
        <v/>
      </c>
      <c r="AB55" s="856" t="e">
        <f t="shared" si="82"/>
        <v>#DIV/0!</v>
      </c>
      <c r="AC55" s="857" t="e">
        <f t="shared" si="83"/>
        <v>#DIV/0!</v>
      </c>
      <c r="AD55" s="856" t="e">
        <f t="shared" si="85"/>
        <v>#DIV/0!</v>
      </c>
      <c r="AE55" s="856" t="e">
        <f t="shared" si="86"/>
        <v>#DIV/0!</v>
      </c>
    </row>
    <row r="56" spans="1:115" ht="17.25" hidden="1" customHeight="1" outlineLevel="1" thickBot="1" x14ac:dyDescent="0.3">
      <c r="A56" s="1557"/>
      <c r="B56" s="1528"/>
      <c r="C56" s="888" t="str">
        <f>IF(Language="English", 'Language Look Ups'!$P$12,IF(Language="Francais", 'Language Look Ups'!$T$12, 'Language Look Ups'!$R$12))</f>
        <v>Implant de 5 ans (Jadelle)</v>
      </c>
      <c r="D56" s="889"/>
      <c r="E56" s="889"/>
      <c r="F56" s="890"/>
      <c r="G56" s="883" t="str">
        <f t="shared" ref="G56:V56" si="91">IF(G29="", "", IF(OR(G29&gt;$AD56, G29&lt;$AE56), G$21&amp;",", ""))</f>
        <v/>
      </c>
      <c r="H56" s="883" t="str">
        <f t="shared" si="91"/>
        <v/>
      </c>
      <c r="I56" s="883" t="str">
        <f t="shared" si="91"/>
        <v/>
      </c>
      <c r="J56" s="883" t="str">
        <f t="shared" si="91"/>
        <v/>
      </c>
      <c r="K56" s="883" t="str">
        <f t="shared" si="91"/>
        <v/>
      </c>
      <c r="L56" s="883" t="str">
        <f t="shared" si="91"/>
        <v/>
      </c>
      <c r="M56" s="883" t="str">
        <f t="shared" si="91"/>
        <v/>
      </c>
      <c r="N56" s="883" t="str">
        <f t="shared" si="91"/>
        <v/>
      </c>
      <c r="O56" s="883" t="str">
        <f t="shared" si="91"/>
        <v/>
      </c>
      <c r="P56" s="883" t="str">
        <f t="shared" si="91"/>
        <v/>
      </c>
      <c r="Q56" s="883" t="str">
        <f t="shared" si="91"/>
        <v/>
      </c>
      <c r="R56" s="883" t="str">
        <f t="shared" si="91"/>
        <v/>
      </c>
      <c r="S56" s="883" t="str">
        <f t="shared" si="91"/>
        <v/>
      </c>
      <c r="T56" s="883" t="str">
        <f t="shared" si="91"/>
        <v/>
      </c>
      <c r="U56" s="883" t="str">
        <f t="shared" si="91"/>
        <v/>
      </c>
      <c r="V56" s="883" t="str">
        <f t="shared" si="91"/>
        <v/>
      </c>
      <c r="W56" s="884">
        <f t="shared" si="80"/>
        <v>0</v>
      </c>
      <c r="X56">
        <v>19</v>
      </c>
      <c r="Y56" t="str">
        <f>IF(W56&gt;0, HLOOKUP("OUTLIER", $G56:$V$75, X56, 0), "")</f>
        <v/>
      </c>
      <c r="AA56" s="148" t="str">
        <f t="shared" si="81"/>
        <v/>
      </c>
      <c r="AB56" s="856" t="e">
        <f t="shared" si="82"/>
        <v>#DIV/0!</v>
      </c>
      <c r="AC56" s="857" t="e">
        <f t="shared" si="83"/>
        <v>#DIV/0!</v>
      </c>
      <c r="AD56" s="856" t="e">
        <f t="shared" si="85"/>
        <v>#DIV/0!</v>
      </c>
      <c r="AE56" s="856" t="e">
        <f t="shared" si="86"/>
        <v>#DIV/0!</v>
      </c>
    </row>
    <row r="57" spans="1:115" ht="6" hidden="1" customHeight="1" outlineLevel="1" thickBot="1" x14ac:dyDescent="0.3">
      <c r="A57" s="1557"/>
      <c r="B57" s="150"/>
      <c r="C57" s="279"/>
      <c r="W57" s="858"/>
      <c r="X57">
        <v>18</v>
      </c>
      <c r="Y57" t="str">
        <f>IF(W57&gt;0, HLOOKUP("OUTLIER", $G57:$V$75, X57, 0), "")</f>
        <v/>
      </c>
      <c r="AA57" s="148" t="str">
        <f t="shared" si="81"/>
        <v/>
      </c>
      <c r="AB57" s="856"/>
      <c r="AC57" s="857" t="e">
        <f t="shared" si="83"/>
        <v>#DIV/0!</v>
      </c>
      <c r="AD57" s="856"/>
      <c r="AE57" s="856"/>
    </row>
    <row r="58" spans="1:115" ht="21.75" hidden="1" customHeight="1" outlineLevel="1" thickBot="1" x14ac:dyDescent="0.3">
      <c r="A58" s="1557"/>
      <c r="B58" s="364" t="str">
        <f>IF(Language="English", 'Language Look Ups'!$O$14,IF(Language="Francais", 'Language Look Ups'!$S$14, 'Language Look Ups'!$Q$14))</f>
        <v>Méthodes à Court Terme</v>
      </c>
      <c r="C58" s="104"/>
      <c r="D58" s="51"/>
      <c r="E58" s="50"/>
      <c r="F58" s="42"/>
      <c r="G58" s="158"/>
      <c r="H58" s="159"/>
      <c r="I58" s="158"/>
      <c r="J58" s="159"/>
      <c r="K58" s="158"/>
      <c r="L58" s="159"/>
      <c r="M58" s="158"/>
      <c r="N58" s="159"/>
      <c r="O58" s="158"/>
      <c r="P58" s="159"/>
      <c r="Q58" s="158"/>
      <c r="R58" s="159"/>
      <c r="S58" s="158"/>
      <c r="T58" s="159"/>
      <c r="U58" s="158"/>
      <c r="V58" s="160"/>
      <c r="W58" s="858">
        <f t="shared" ref="W58:W73" si="92">COUNTIF(G58:V58, "*,*")</f>
        <v>0</v>
      </c>
      <c r="X58">
        <v>17</v>
      </c>
      <c r="Y58" t="str">
        <f>IF(W58&gt;0, HLOOKUP("OUTLIER", $G58:$V$75, X58, 0), "")</f>
        <v/>
      </c>
      <c r="AA58" s="148" t="str">
        <f t="shared" si="81"/>
        <v/>
      </c>
      <c r="AB58" s="856"/>
      <c r="AC58" s="857" t="e">
        <f t="shared" si="83"/>
        <v>#DIV/0!</v>
      </c>
      <c r="AD58" s="856"/>
      <c r="AE58" s="856"/>
      <c r="BJ58" s="1082" t="s">
        <v>1223</v>
      </c>
      <c r="BK58" s="1083">
        <f>BK21</f>
        <v>0</v>
      </c>
      <c r="BL58" s="1083" t="str">
        <f t="shared" ref="BL58:BZ58" si="93">BL21</f>
        <v/>
      </c>
      <c r="BM58" s="1083" t="str">
        <f t="shared" si="93"/>
        <v/>
      </c>
      <c r="BN58" s="1083" t="str">
        <f t="shared" si="93"/>
        <v/>
      </c>
      <c r="BO58" s="1083" t="str">
        <f t="shared" si="93"/>
        <v/>
      </c>
      <c r="BP58" s="1083" t="str">
        <f t="shared" si="93"/>
        <v/>
      </c>
      <c r="BQ58" s="1083" t="str">
        <f t="shared" si="93"/>
        <v/>
      </c>
      <c r="BR58" s="1083" t="str">
        <f t="shared" si="93"/>
        <v/>
      </c>
      <c r="BS58" s="1083" t="str">
        <f t="shared" si="93"/>
        <v/>
      </c>
      <c r="BT58" s="1083" t="str">
        <f t="shared" si="93"/>
        <v/>
      </c>
      <c r="BU58" s="1083" t="str">
        <f t="shared" si="93"/>
        <v/>
      </c>
      <c r="BV58" s="1083" t="str">
        <f t="shared" si="93"/>
        <v/>
      </c>
      <c r="BW58" s="1083" t="str">
        <f t="shared" si="93"/>
        <v/>
      </c>
      <c r="BX58" s="1083" t="str">
        <f t="shared" si="93"/>
        <v/>
      </c>
      <c r="BY58" s="1083" t="str">
        <f t="shared" si="93"/>
        <v/>
      </c>
      <c r="BZ58" s="1084" t="str">
        <f t="shared" si="93"/>
        <v/>
      </c>
      <c r="CB58" s="1082" t="s">
        <v>1233</v>
      </c>
      <c r="CC58" s="1083">
        <f>CC21</f>
        <v>0</v>
      </c>
      <c r="CD58" s="1083" t="str">
        <f t="shared" ref="CD58:CR58" si="94">CD21</f>
        <v/>
      </c>
      <c r="CE58" s="1083" t="str">
        <f t="shared" si="94"/>
        <v/>
      </c>
      <c r="CF58" s="1083" t="str">
        <f t="shared" si="94"/>
        <v/>
      </c>
      <c r="CG58" s="1083" t="str">
        <f t="shared" si="94"/>
        <v/>
      </c>
      <c r="CH58" s="1083" t="str">
        <f t="shared" si="94"/>
        <v/>
      </c>
      <c r="CI58" s="1083" t="str">
        <f t="shared" si="94"/>
        <v/>
      </c>
      <c r="CJ58" s="1083" t="str">
        <f t="shared" si="94"/>
        <v/>
      </c>
      <c r="CK58" s="1083" t="str">
        <f t="shared" si="94"/>
        <v/>
      </c>
      <c r="CL58" s="1083" t="str">
        <f t="shared" si="94"/>
        <v/>
      </c>
      <c r="CM58" s="1083" t="str">
        <f t="shared" si="94"/>
        <v/>
      </c>
      <c r="CN58" s="1083" t="str">
        <f t="shared" si="94"/>
        <v/>
      </c>
      <c r="CO58" s="1083" t="str">
        <f t="shared" si="94"/>
        <v/>
      </c>
      <c r="CP58" s="1083" t="str">
        <f t="shared" si="94"/>
        <v/>
      </c>
      <c r="CQ58" s="1083" t="str">
        <f t="shared" si="94"/>
        <v/>
      </c>
      <c r="CR58" s="1084" t="str">
        <f t="shared" si="94"/>
        <v/>
      </c>
    </row>
    <row r="59" spans="1:115" ht="17.25" hidden="1" customHeight="1" outlineLevel="1" thickBot="1" x14ac:dyDescent="0.3">
      <c r="A59" s="1557"/>
      <c r="B59" s="1530" t="str">
        <f>IF(Language="English", 'Language Look Ups'!$O$15,IF(Language="Francais", 'Language Look Ups'!$S$15, 'Language Look Ups'!Q$15))</f>
        <v>Produits injectables</v>
      </c>
      <c r="C59" s="885" t="str">
        <f>IF(Language="English", 'Language Look Ups'!$P$15,IF(Language="Francais", 'Language Look Ups'!$T$15, 'Language Look Ups'!$R$15))</f>
        <v>Depo Provera (DMPA)</v>
      </c>
      <c r="D59" s="886"/>
      <c r="E59" s="886"/>
      <c r="F59" s="887"/>
      <c r="G59" s="883" t="str">
        <f t="shared" ref="G59:V59" si="95">IF(G32="", "", IF(OR(G32&gt;$AD59, G32&lt;$AE59), G$21&amp;",", ""))</f>
        <v/>
      </c>
      <c r="H59" s="883" t="str">
        <f t="shared" si="95"/>
        <v/>
      </c>
      <c r="I59" s="883" t="str">
        <f t="shared" si="95"/>
        <v/>
      </c>
      <c r="J59" s="883" t="str">
        <f t="shared" si="95"/>
        <v/>
      </c>
      <c r="K59" s="883" t="str">
        <f t="shared" si="95"/>
        <v/>
      </c>
      <c r="L59" s="883" t="str">
        <f t="shared" si="95"/>
        <v/>
      </c>
      <c r="M59" s="883" t="str">
        <f t="shared" si="95"/>
        <v/>
      </c>
      <c r="N59" s="883" t="str">
        <f t="shared" si="95"/>
        <v/>
      </c>
      <c r="O59" s="883" t="str">
        <f t="shared" si="95"/>
        <v/>
      </c>
      <c r="P59" s="883" t="str">
        <f t="shared" si="95"/>
        <v/>
      </c>
      <c r="Q59" s="883" t="str">
        <f t="shared" si="95"/>
        <v/>
      </c>
      <c r="R59" s="883" t="str">
        <f t="shared" si="95"/>
        <v/>
      </c>
      <c r="S59" s="883" t="str">
        <f t="shared" si="95"/>
        <v/>
      </c>
      <c r="T59" s="883" t="str">
        <f t="shared" si="95"/>
        <v/>
      </c>
      <c r="U59" s="883" t="str">
        <f t="shared" si="95"/>
        <v/>
      </c>
      <c r="V59" s="883" t="str">
        <f t="shared" si="95"/>
        <v/>
      </c>
      <c r="W59" s="884">
        <f t="shared" si="92"/>
        <v>0</v>
      </c>
      <c r="X59">
        <v>16</v>
      </c>
      <c r="Y59" t="str">
        <f>IF(W59&gt;0, HLOOKUP("OUTLIER", $G59:$V$75, X59, 0), "")</f>
        <v/>
      </c>
      <c r="AA59" s="148" t="str">
        <f t="shared" si="81"/>
        <v/>
      </c>
      <c r="AB59" s="856" t="e">
        <f t="shared" ref="AB59:AB74" si="96">AVERAGE($G32:$V32)</f>
        <v>#DIV/0!</v>
      </c>
      <c r="AC59" s="857" t="e">
        <f t="shared" si="83"/>
        <v>#DIV/0!</v>
      </c>
      <c r="AD59" s="856" t="e">
        <f t="shared" si="85"/>
        <v>#DIV/0!</v>
      </c>
      <c r="AE59" s="856" t="e">
        <f t="shared" si="86"/>
        <v>#DIV/0!</v>
      </c>
      <c r="BJ59" s="915" t="str">
        <f>'5. MethodMix Set Up'!$G$12</f>
        <v>Stérilisation (f)</v>
      </c>
      <c r="BK59" s="2">
        <f>SUM(BK23)</f>
        <v>0</v>
      </c>
      <c r="BL59" s="2">
        <f t="shared" ref="BL59:BZ60" si="97">SUM(BL23)</f>
        <v>0</v>
      </c>
      <c r="BM59" s="2">
        <f t="shared" si="97"/>
        <v>0</v>
      </c>
      <c r="BN59" s="2">
        <f t="shared" si="97"/>
        <v>0</v>
      </c>
      <c r="BO59" s="2">
        <f t="shared" si="97"/>
        <v>0</v>
      </c>
      <c r="BP59" s="2">
        <f t="shared" si="97"/>
        <v>0</v>
      </c>
      <c r="BQ59" s="2">
        <f t="shared" si="97"/>
        <v>0</v>
      </c>
      <c r="BR59" s="2">
        <f t="shared" si="97"/>
        <v>0</v>
      </c>
      <c r="BS59" s="2">
        <f t="shared" si="97"/>
        <v>0</v>
      </c>
      <c r="BT59" s="2">
        <f t="shared" si="97"/>
        <v>0</v>
      </c>
      <c r="BU59" s="2">
        <f t="shared" si="97"/>
        <v>0</v>
      </c>
      <c r="BV59" s="2">
        <f t="shared" si="97"/>
        <v>0</v>
      </c>
      <c r="BW59" s="2">
        <f t="shared" si="97"/>
        <v>0</v>
      </c>
      <c r="BX59" s="2">
        <f t="shared" si="97"/>
        <v>0</v>
      </c>
      <c r="BY59" s="2">
        <f t="shared" si="97"/>
        <v>0</v>
      </c>
      <c r="BZ59" s="2">
        <f t="shared" si="97"/>
        <v>0</v>
      </c>
      <c r="CB59" s="915" t="str">
        <f>'5. MethodMix Set Up'!$G$12</f>
        <v>Stérilisation (f)</v>
      </c>
      <c r="CC59" s="2">
        <f>SUM(CC23)</f>
        <v>0</v>
      </c>
      <c r="CD59" s="2">
        <f t="shared" ref="CD59:CR60" si="98">SUM(CD23)</f>
        <v>0</v>
      </c>
      <c r="CE59" s="2">
        <f t="shared" si="98"/>
        <v>0</v>
      </c>
      <c r="CF59" s="2">
        <f t="shared" si="98"/>
        <v>0</v>
      </c>
      <c r="CG59" s="2">
        <f t="shared" si="98"/>
        <v>0</v>
      </c>
      <c r="CH59" s="2">
        <f t="shared" si="98"/>
        <v>0</v>
      </c>
      <c r="CI59" s="2">
        <f t="shared" si="98"/>
        <v>0</v>
      </c>
      <c r="CJ59" s="2">
        <f t="shared" si="98"/>
        <v>0</v>
      </c>
      <c r="CK59" s="2">
        <f t="shared" si="98"/>
        <v>0</v>
      </c>
      <c r="CL59" s="2">
        <f t="shared" si="98"/>
        <v>0</v>
      </c>
      <c r="CM59" s="2">
        <f t="shared" si="98"/>
        <v>0</v>
      </c>
      <c r="CN59" s="2">
        <f t="shared" si="98"/>
        <v>0</v>
      </c>
      <c r="CO59" s="2">
        <f t="shared" si="98"/>
        <v>0</v>
      </c>
      <c r="CP59" s="2">
        <f t="shared" si="98"/>
        <v>0</v>
      </c>
      <c r="CQ59" s="2">
        <f t="shared" si="98"/>
        <v>0</v>
      </c>
      <c r="CR59" s="2">
        <f t="shared" si="98"/>
        <v>0</v>
      </c>
    </row>
    <row r="60" spans="1:115" ht="17.25" hidden="1" customHeight="1" outlineLevel="1" thickBot="1" x14ac:dyDescent="0.3">
      <c r="A60" s="1557"/>
      <c r="B60" s="1531"/>
      <c r="C60" s="891" t="str">
        <f>IF(Language="English", 'Language Look Ups'!$P$16,IF(Language="Francais", 'Language Look Ups'!$T$16, 'Language Look Ups'!$R$16))</f>
        <v>Noristerat (NET-En)</v>
      </c>
      <c r="D60" s="892"/>
      <c r="E60" s="892"/>
      <c r="F60" s="893"/>
      <c r="G60" s="883" t="str">
        <f t="shared" ref="G60:V60" si="99">IF(G33="", "", IF(OR(G33&gt;$AD60, G33&lt;$AE60), G$21&amp;",", ""))</f>
        <v/>
      </c>
      <c r="H60" s="883" t="str">
        <f t="shared" si="99"/>
        <v/>
      </c>
      <c r="I60" s="883" t="str">
        <f t="shared" si="99"/>
        <v/>
      </c>
      <c r="J60" s="883" t="str">
        <f t="shared" si="99"/>
        <v/>
      </c>
      <c r="K60" s="883" t="str">
        <f t="shared" si="99"/>
        <v/>
      </c>
      <c r="L60" s="883" t="str">
        <f t="shared" si="99"/>
        <v/>
      </c>
      <c r="M60" s="883" t="str">
        <f t="shared" si="99"/>
        <v/>
      </c>
      <c r="N60" s="883" t="str">
        <f t="shared" si="99"/>
        <v/>
      </c>
      <c r="O60" s="883" t="str">
        <f t="shared" si="99"/>
        <v/>
      </c>
      <c r="P60" s="883" t="str">
        <f t="shared" si="99"/>
        <v/>
      </c>
      <c r="Q60" s="883" t="str">
        <f t="shared" si="99"/>
        <v/>
      </c>
      <c r="R60" s="883" t="str">
        <f t="shared" si="99"/>
        <v/>
      </c>
      <c r="S60" s="883" t="str">
        <f t="shared" si="99"/>
        <v/>
      </c>
      <c r="T60" s="883" t="str">
        <f t="shared" si="99"/>
        <v/>
      </c>
      <c r="U60" s="883" t="str">
        <f t="shared" si="99"/>
        <v/>
      </c>
      <c r="V60" s="883" t="str">
        <f t="shared" si="99"/>
        <v/>
      </c>
      <c r="W60" s="884">
        <f t="shared" si="92"/>
        <v>0</v>
      </c>
      <c r="X60">
        <v>15</v>
      </c>
      <c r="Y60" t="str">
        <f>IF(W60&gt;0, HLOOKUP("OUTLIER", $G60:$V$75, X60, 0), "")</f>
        <v/>
      </c>
      <c r="AA60" s="148" t="str">
        <f t="shared" si="81"/>
        <v/>
      </c>
      <c r="AB60" s="856" t="e">
        <f t="shared" si="96"/>
        <v>#DIV/0!</v>
      </c>
      <c r="AC60" s="857" t="e">
        <f t="shared" si="83"/>
        <v>#DIV/0!</v>
      </c>
      <c r="AD60" s="856" t="e">
        <f t="shared" si="85"/>
        <v>#DIV/0!</v>
      </c>
      <c r="AE60" s="856" t="e">
        <f t="shared" si="86"/>
        <v>#DIV/0!</v>
      </c>
      <c r="BJ60" s="915" t="str">
        <f>'5. MethodMix Set Up'!$G$13</f>
        <v>Stérilisation (m)</v>
      </c>
      <c r="BK60" s="2">
        <f>SUM(BK24)</f>
        <v>0</v>
      </c>
      <c r="BL60" s="2">
        <f t="shared" si="97"/>
        <v>0</v>
      </c>
      <c r="BM60" s="2">
        <f t="shared" si="97"/>
        <v>0</v>
      </c>
      <c r="BN60" s="2">
        <f t="shared" si="97"/>
        <v>0</v>
      </c>
      <c r="BO60" s="2">
        <f t="shared" si="97"/>
        <v>0</v>
      </c>
      <c r="BP60" s="2">
        <f t="shared" si="97"/>
        <v>0</v>
      </c>
      <c r="BQ60" s="2">
        <f t="shared" si="97"/>
        <v>0</v>
      </c>
      <c r="BR60" s="2">
        <f t="shared" si="97"/>
        <v>0</v>
      </c>
      <c r="BS60" s="2">
        <f t="shared" si="97"/>
        <v>0</v>
      </c>
      <c r="BT60" s="2">
        <f t="shared" si="97"/>
        <v>0</v>
      </c>
      <c r="BU60" s="2">
        <f t="shared" si="97"/>
        <v>0</v>
      </c>
      <c r="BV60" s="2">
        <f t="shared" si="97"/>
        <v>0</v>
      </c>
      <c r="BW60" s="2">
        <f t="shared" si="97"/>
        <v>0</v>
      </c>
      <c r="BX60" s="2">
        <f t="shared" si="97"/>
        <v>0</v>
      </c>
      <c r="BY60" s="2">
        <f t="shared" si="97"/>
        <v>0</v>
      </c>
      <c r="BZ60" s="2">
        <f t="shared" si="97"/>
        <v>0</v>
      </c>
      <c r="CB60" s="915" t="str">
        <f>'5. MethodMix Set Up'!$G$13</f>
        <v>Stérilisation (m)</v>
      </c>
      <c r="CC60" s="2">
        <f>SUM(CC24)</f>
        <v>0</v>
      </c>
      <c r="CD60" s="2">
        <f t="shared" si="98"/>
        <v>0</v>
      </c>
      <c r="CE60" s="2">
        <f t="shared" si="98"/>
        <v>0</v>
      </c>
      <c r="CF60" s="2">
        <f t="shared" si="98"/>
        <v>0</v>
      </c>
      <c r="CG60" s="2">
        <f t="shared" si="98"/>
        <v>0</v>
      </c>
      <c r="CH60" s="2">
        <f t="shared" si="98"/>
        <v>0</v>
      </c>
      <c r="CI60" s="2">
        <f t="shared" si="98"/>
        <v>0</v>
      </c>
      <c r="CJ60" s="2">
        <f t="shared" si="98"/>
        <v>0</v>
      </c>
      <c r="CK60" s="2">
        <f t="shared" si="98"/>
        <v>0</v>
      </c>
      <c r="CL60" s="2">
        <f t="shared" si="98"/>
        <v>0</v>
      </c>
      <c r="CM60" s="2">
        <f t="shared" si="98"/>
        <v>0</v>
      </c>
      <c r="CN60" s="2">
        <f t="shared" si="98"/>
        <v>0</v>
      </c>
      <c r="CO60" s="2">
        <f t="shared" si="98"/>
        <v>0</v>
      </c>
      <c r="CP60" s="2">
        <f t="shared" si="98"/>
        <v>0</v>
      </c>
      <c r="CQ60" s="2">
        <f t="shared" si="98"/>
        <v>0</v>
      </c>
      <c r="CR60" s="2">
        <f t="shared" si="98"/>
        <v>0</v>
      </c>
    </row>
    <row r="61" spans="1:115" ht="17.25" hidden="1" customHeight="1" outlineLevel="1" thickBot="1" x14ac:dyDescent="0.3">
      <c r="A61" s="1557"/>
      <c r="B61" s="1531"/>
      <c r="C61" s="891" t="str">
        <f>IF(Language="English",'Language Look Ups'!$P$17,IF(Language="Francais",'Language Look Ups'!$T$17,'Language Look Ups'!$R$17))</f>
        <v>Lunelle</v>
      </c>
      <c r="D61" s="892"/>
      <c r="E61" s="892"/>
      <c r="F61" s="893"/>
      <c r="G61" s="883" t="str">
        <f t="shared" ref="G61:V61" si="100">IF(G34="", "", IF(OR(G34&gt;$AD61, G34&lt;$AE61), G$21&amp;",", ""))</f>
        <v/>
      </c>
      <c r="H61" s="883" t="str">
        <f t="shared" si="100"/>
        <v/>
      </c>
      <c r="I61" s="883" t="str">
        <f t="shared" si="100"/>
        <v/>
      </c>
      <c r="J61" s="883" t="str">
        <f t="shared" si="100"/>
        <v/>
      </c>
      <c r="K61" s="883" t="str">
        <f t="shared" si="100"/>
        <v/>
      </c>
      <c r="L61" s="883" t="str">
        <f t="shared" si="100"/>
        <v/>
      </c>
      <c r="M61" s="883" t="str">
        <f t="shared" si="100"/>
        <v/>
      </c>
      <c r="N61" s="883" t="str">
        <f t="shared" si="100"/>
        <v/>
      </c>
      <c r="O61" s="883" t="str">
        <f t="shared" si="100"/>
        <v/>
      </c>
      <c r="P61" s="883" t="str">
        <f t="shared" si="100"/>
        <v/>
      </c>
      <c r="Q61" s="883" t="str">
        <f t="shared" si="100"/>
        <v/>
      </c>
      <c r="R61" s="883" t="str">
        <f t="shared" si="100"/>
        <v/>
      </c>
      <c r="S61" s="883" t="str">
        <f t="shared" si="100"/>
        <v/>
      </c>
      <c r="T61" s="883" t="str">
        <f t="shared" si="100"/>
        <v/>
      </c>
      <c r="U61" s="883" t="str">
        <f t="shared" si="100"/>
        <v/>
      </c>
      <c r="V61" s="883" t="str">
        <f t="shared" si="100"/>
        <v/>
      </c>
      <c r="W61" s="884">
        <f t="shared" si="92"/>
        <v>0</v>
      </c>
      <c r="X61">
        <v>14</v>
      </c>
      <c r="Y61" t="str">
        <f>IF(W61&gt;0, HLOOKUP("OUTLIER", $G61:$V$75, X61, 0), "")</f>
        <v/>
      </c>
      <c r="AA61" s="148" t="str">
        <f t="shared" si="81"/>
        <v/>
      </c>
      <c r="AB61" s="856" t="e">
        <f t="shared" si="96"/>
        <v>#DIV/0!</v>
      </c>
      <c r="AC61" s="857" t="e">
        <f t="shared" si="83"/>
        <v>#DIV/0!</v>
      </c>
      <c r="AD61" s="856" t="e">
        <f t="shared" si="85"/>
        <v>#DIV/0!</v>
      </c>
      <c r="AE61" s="856" t="e">
        <f t="shared" si="86"/>
        <v>#DIV/0!</v>
      </c>
      <c r="BJ61" s="915" t="str">
        <f>'5. MethodMix Set Up'!$G$14</f>
        <v>DIU</v>
      </c>
      <c r="BK61" s="2">
        <f t="shared" ref="BK61:BZ61" si="101">SUM(BK25:BK26)</f>
        <v>0</v>
      </c>
      <c r="BL61" s="2">
        <f t="shared" si="101"/>
        <v>0</v>
      </c>
      <c r="BM61" s="2">
        <f t="shared" si="101"/>
        <v>0</v>
      </c>
      <c r="BN61" s="2">
        <f t="shared" si="101"/>
        <v>0</v>
      </c>
      <c r="BO61" s="2">
        <f t="shared" si="101"/>
        <v>0</v>
      </c>
      <c r="BP61" s="2">
        <f t="shared" si="101"/>
        <v>0</v>
      </c>
      <c r="BQ61" s="2">
        <f t="shared" si="101"/>
        <v>0</v>
      </c>
      <c r="BR61" s="2">
        <f t="shared" si="101"/>
        <v>0</v>
      </c>
      <c r="BS61" s="2">
        <f t="shared" si="101"/>
        <v>0</v>
      </c>
      <c r="BT61" s="2">
        <f t="shared" si="101"/>
        <v>0</v>
      </c>
      <c r="BU61" s="2">
        <f t="shared" si="101"/>
        <v>0</v>
      </c>
      <c r="BV61" s="2">
        <f t="shared" si="101"/>
        <v>0</v>
      </c>
      <c r="BW61" s="2">
        <f t="shared" si="101"/>
        <v>0</v>
      </c>
      <c r="BX61" s="2">
        <f t="shared" si="101"/>
        <v>0</v>
      </c>
      <c r="BY61" s="2">
        <f t="shared" si="101"/>
        <v>0</v>
      </c>
      <c r="BZ61" s="729">
        <f t="shared" si="101"/>
        <v>0</v>
      </c>
      <c r="CB61" s="915" t="str">
        <f>'5. MethodMix Set Up'!$G$14</f>
        <v>DIU</v>
      </c>
      <c r="CC61" s="2">
        <f t="shared" ref="CC61:CR61" si="102">SUM(CC25:CC26)</f>
        <v>0</v>
      </c>
      <c r="CD61" s="2">
        <f t="shared" si="102"/>
        <v>0</v>
      </c>
      <c r="CE61" s="2">
        <f t="shared" si="102"/>
        <v>0</v>
      </c>
      <c r="CF61" s="2">
        <f t="shared" si="102"/>
        <v>0</v>
      </c>
      <c r="CG61" s="2">
        <f t="shared" si="102"/>
        <v>0</v>
      </c>
      <c r="CH61" s="2">
        <f t="shared" si="102"/>
        <v>0</v>
      </c>
      <c r="CI61" s="2">
        <f t="shared" si="102"/>
        <v>0</v>
      </c>
      <c r="CJ61" s="2">
        <f t="shared" si="102"/>
        <v>0</v>
      </c>
      <c r="CK61" s="2">
        <f t="shared" si="102"/>
        <v>0</v>
      </c>
      <c r="CL61" s="2">
        <f t="shared" si="102"/>
        <v>0</v>
      </c>
      <c r="CM61" s="2">
        <f t="shared" si="102"/>
        <v>0</v>
      </c>
      <c r="CN61" s="2">
        <f t="shared" si="102"/>
        <v>0</v>
      </c>
      <c r="CO61" s="2">
        <f t="shared" si="102"/>
        <v>0</v>
      </c>
      <c r="CP61" s="2">
        <f t="shared" si="102"/>
        <v>0</v>
      </c>
      <c r="CQ61" s="2">
        <f t="shared" si="102"/>
        <v>0</v>
      </c>
      <c r="CR61" s="729">
        <f t="shared" si="102"/>
        <v>0</v>
      </c>
    </row>
    <row r="62" spans="1:115" ht="17.25" hidden="1" customHeight="1" outlineLevel="1" thickBot="1" x14ac:dyDescent="0.3">
      <c r="A62" s="1557"/>
      <c r="B62" s="1531"/>
      <c r="C62" s="891" t="str">
        <f>IF(Language="English", 'Language Look Ups'!$P$18,IF(Language="Francais", 'Language Look Ups'!$T$18, 'Language Look Ups'!$R$18))</f>
        <v>Sayana Press</v>
      </c>
      <c r="D62" s="892"/>
      <c r="E62" s="892"/>
      <c r="F62" s="893"/>
      <c r="G62" s="883" t="str">
        <f t="shared" ref="G62:V62" si="103">IF(G35="", "", IF(OR(G35&gt;$AD62, G35&lt;$AE62), G$21&amp;",", ""))</f>
        <v/>
      </c>
      <c r="H62" s="883" t="str">
        <f t="shared" si="103"/>
        <v/>
      </c>
      <c r="I62" s="883" t="str">
        <f t="shared" si="103"/>
        <v/>
      </c>
      <c r="J62" s="883" t="str">
        <f t="shared" si="103"/>
        <v/>
      </c>
      <c r="K62" s="883" t="str">
        <f t="shared" si="103"/>
        <v/>
      </c>
      <c r="L62" s="883" t="str">
        <f t="shared" si="103"/>
        <v/>
      </c>
      <c r="M62" s="883" t="str">
        <f t="shared" si="103"/>
        <v/>
      </c>
      <c r="N62" s="883" t="str">
        <f t="shared" si="103"/>
        <v/>
      </c>
      <c r="O62" s="883" t="str">
        <f t="shared" si="103"/>
        <v/>
      </c>
      <c r="P62" s="883" t="str">
        <f t="shared" si="103"/>
        <v/>
      </c>
      <c r="Q62" s="883" t="str">
        <f t="shared" si="103"/>
        <v/>
      </c>
      <c r="R62" s="883" t="str">
        <f t="shared" si="103"/>
        <v/>
      </c>
      <c r="S62" s="883" t="str">
        <f t="shared" si="103"/>
        <v/>
      </c>
      <c r="T62" s="883" t="str">
        <f t="shared" si="103"/>
        <v/>
      </c>
      <c r="U62" s="883" t="str">
        <f t="shared" si="103"/>
        <v/>
      </c>
      <c r="V62" s="883" t="str">
        <f t="shared" si="103"/>
        <v/>
      </c>
      <c r="W62" s="884">
        <f t="shared" si="92"/>
        <v>0</v>
      </c>
      <c r="X62">
        <v>13</v>
      </c>
      <c r="Y62" t="str">
        <f>IF(W62&gt;0, HLOOKUP("OUTLIER", $G62:$V$75, X62, 0), "")</f>
        <v/>
      </c>
      <c r="AA62" s="148" t="str">
        <f t="shared" si="81"/>
        <v/>
      </c>
      <c r="AB62" s="856" t="e">
        <f t="shared" si="96"/>
        <v>#DIV/0!</v>
      </c>
      <c r="AC62" s="857" t="e">
        <f t="shared" si="83"/>
        <v>#DIV/0!</v>
      </c>
      <c r="AD62" s="856" t="e">
        <f t="shared" si="85"/>
        <v>#DIV/0!</v>
      </c>
      <c r="AE62" s="856" t="e">
        <f t="shared" si="86"/>
        <v>#DIV/0!</v>
      </c>
      <c r="BJ62" s="915" t="str">
        <f>'5. MethodMix Set Up'!$G$15</f>
        <v>Implant</v>
      </c>
      <c r="BK62" s="2">
        <f t="shared" ref="BK62:BZ62" si="104">SUM(BK27:BK29)</f>
        <v>0</v>
      </c>
      <c r="BL62" s="2">
        <f t="shared" si="104"/>
        <v>0</v>
      </c>
      <c r="BM62" s="2">
        <f t="shared" si="104"/>
        <v>0</v>
      </c>
      <c r="BN62" s="2">
        <f t="shared" si="104"/>
        <v>0</v>
      </c>
      <c r="BO62" s="2">
        <f t="shared" si="104"/>
        <v>0</v>
      </c>
      <c r="BP62" s="2">
        <f t="shared" si="104"/>
        <v>0</v>
      </c>
      <c r="BQ62" s="2">
        <f t="shared" si="104"/>
        <v>0</v>
      </c>
      <c r="BR62" s="2">
        <f t="shared" si="104"/>
        <v>0</v>
      </c>
      <c r="BS62" s="2">
        <f t="shared" si="104"/>
        <v>0</v>
      </c>
      <c r="BT62" s="2">
        <f t="shared" si="104"/>
        <v>0</v>
      </c>
      <c r="BU62" s="2">
        <f t="shared" si="104"/>
        <v>0</v>
      </c>
      <c r="BV62" s="2">
        <f t="shared" si="104"/>
        <v>0</v>
      </c>
      <c r="BW62" s="2">
        <f t="shared" si="104"/>
        <v>0</v>
      </c>
      <c r="BX62" s="2">
        <f t="shared" si="104"/>
        <v>0</v>
      </c>
      <c r="BY62" s="2">
        <f t="shared" si="104"/>
        <v>0</v>
      </c>
      <c r="BZ62" s="729">
        <f t="shared" si="104"/>
        <v>0</v>
      </c>
      <c r="CB62" s="915" t="str">
        <f>'5. MethodMix Set Up'!$G$15</f>
        <v>Implant</v>
      </c>
      <c r="CC62" s="2">
        <f t="shared" ref="CC62:CR62" si="105">SUM(CC27:CC29)</f>
        <v>0</v>
      </c>
      <c r="CD62" s="2">
        <f t="shared" si="105"/>
        <v>0</v>
      </c>
      <c r="CE62" s="2">
        <f t="shared" si="105"/>
        <v>0</v>
      </c>
      <c r="CF62" s="2">
        <f t="shared" si="105"/>
        <v>0</v>
      </c>
      <c r="CG62" s="2">
        <f t="shared" si="105"/>
        <v>0</v>
      </c>
      <c r="CH62" s="2">
        <f t="shared" si="105"/>
        <v>0</v>
      </c>
      <c r="CI62" s="2">
        <f t="shared" si="105"/>
        <v>0</v>
      </c>
      <c r="CJ62" s="2">
        <f t="shared" si="105"/>
        <v>0</v>
      </c>
      <c r="CK62" s="2">
        <f t="shared" si="105"/>
        <v>0</v>
      </c>
      <c r="CL62" s="2">
        <f t="shared" si="105"/>
        <v>0</v>
      </c>
      <c r="CM62" s="2">
        <f t="shared" si="105"/>
        <v>0</v>
      </c>
      <c r="CN62" s="2">
        <f t="shared" si="105"/>
        <v>0</v>
      </c>
      <c r="CO62" s="2">
        <f t="shared" si="105"/>
        <v>0</v>
      </c>
      <c r="CP62" s="2">
        <f t="shared" si="105"/>
        <v>0</v>
      </c>
      <c r="CQ62" s="2">
        <f t="shared" si="105"/>
        <v>0</v>
      </c>
      <c r="CR62" s="729">
        <f t="shared" si="105"/>
        <v>0</v>
      </c>
    </row>
    <row r="63" spans="1:115" ht="17.25" hidden="1" customHeight="1" outlineLevel="1" thickBot="1" x14ac:dyDescent="0.3">
      <c r="A63" s="1557"/>
      <c r="B63" s="1532"/>
      <c r="C63" s="888" t="str">
        <f>IF(Language="English", 'Language Look Ups'!$P$19,IF(Language="Francais", 'Language Look Ups'!$T$19, 'Language Look Ups'!$R$19))</f>
        <v>Autre Injectable</v>
      </c>
      <c r="D63" s="889"/>
      <c r="E63" s="889"/>
      <c r="F63" s="890"/>
      <c r="G63" s="883" t="str">
        <f t="shared" ref="G63:V63" si="106">IF(G36="", "", IF(OR(G36&gt;$AD63, G36&lt;$AE63), G$21&amp;",", ""))</f>
        <v/>
      </c>
      <c r="H63" s="883" t="str">
        <f t="shared" si="106"/>
        <v/>
      </c>
      <c r="I63" s="883" t="str">
        <f t="shared" si="106"/>
        <v/>
      </c>
      <c r="J63" s="883" t="str">
        <f t="shared" si="106"/>
        <v/>
      </c>
      <c r="K63" s="883" t="str">
        <f t="shared" si="106"/>
        <v/>
      </c>
      <c r="L63" s="883" t="str">
        <f t="shared" si="106"/>
        <v/>
      </c>
      <c r="M63" s="883" t="str">
        <f t="shared" si="106"/>
        <v/>
      </c>
      <c r="N63" s="883" t="str">
        <f t="shared" si="106"/>
        <v/>
      </c>
      <c r="O63" s="883" t="str">
        <f t="shared" si="106"/>
        <v/>
      </c>
      <c r="P63" s="883" t="str">
        <f t="shared" si="106"/>
        <v/>
      </c>
      <c r="Q63" s="883" t="str">
        <f t="shared" si="106"/>
        <v/>
      </c>
      <c r="R63" s="883" t="str">
        <f t="shared" si="106"/>
        <v/>
      </c>
      <c r="S63" s="883" t="str">
        <f t="shared" si="106"/>
        <v/>
      </c>
      <c r="T63" s="883" t="str">
        <f t="shared" si="106"/>
        <v/>
      </c>
      <c r="U63" s="883" t="str">
        <f t="shared" si="106"/>
        <v/>
      </c>
      <c r="V63" s="883" t="str">
        <f t="shared" si="106"/>
        <v/>
      </c>
      <c r="W63" s="884">
        <f t="shared" si="92"/>
        <v>0</v>
      </c>
      <c r="X63">
        <v>12</v>
      </c>
      <c r="Y63" t="str">
        <f>IF(W63&gt;0, HLOOKUP("OUTLIER", $G63:$V$75, X63, 0), "")</f>
        <v/>
      </c>
      <c r="AA63" s="148" t="str">
        <f t="shared" si="81"/>
        <v/>
      </c>
      <c r="AB63" s="856" t="e">
        <f t="shared" si="96"/>
        <v>#DIV/0!</v>
      </c>
      <c r="AC63" s="857" t="e">
        <f t="shared" si="83"/>
        <v>#DIV/0!</v>
      </c>
      <c r="AD63" s="856" t="e">
        <f t="shared" si="85"/>
        <v>#DIV/0!</v>
      </c>
      <c r="AE63" s="856" t="e">
        <f t="shared" si="86"/>
        <v>#DIV/0!</v>
      </c>
      <c r="BJ63" s="915" t="str">
        <f>'5. MethodMix Set Up'!$G$16</f>
        <v>Produits injectables</v>
      </c>
      <c r="BK63" s="2">
        <f t="shared" ref="BK63:BZ63" si="107">SUM(BK32:BK36)</f>
        <v>0</v>
      </c>
      <c r="BL63" s="2">
        <f t="shared" si="107"/>
        <v>0</v>
      </c>
      <c r="BM63" s="2">
        <f t="shared" si="107"/>
        <v>0</v>
      </c>
      <c r="BN63" s="2">
        <f t="shared" si="107"/>
        <v>0</v>
      </c>
      <c r="BO63" s="2">
        <f t="shared" si="107"/>
        <v>0</v>
      </c>
      <c r="BP63" s="2">
        <f t="shared" si="107"/>
        <v>0</v>
      </c>
      <c r="BQ63" s="2">
        <f t="shared" si="107"/>
        <v>0</v>
      </c>
      <c r="BR63" s="2">
        <f t="shared" si="107"/>
        <v>0</v>
      </c>
      <c r="BS63" s="2">
        <f t="shared" si="107"/>
        <v>0</v>
      </c>
      <c r="BT63" s="2">
        <f t="shared" si="107"/>
        <v>0</v>
      </c>
      <c r="BU63" s="2">
        <f t="shared" si="107"/>
        <v>0</v>
      </c>
      <c r="BV63" s="2">
        <f t="shared" si="107"/>
        <v>0</v>
      </c>
      <c r="BW63" s="2">
        <f t="shared" si="107"/>
        <v>0</v>
      </c>
      <c r="BX63" s="2">
        <f t="shared" si="107"/>
        <v>0</v>
      </c>
      <c r="BY63" s="2">
        <f t="shared" si="107"/>
        <v>0</v>
      </c>
      <c r="BZ63" s="729">
        <f t="shared" si="107"/>
        <v>0</v>
      </c>
      <c r="CB63" s="915" t="str">
        <f>'5. MethodMix Set Up'!$G$16</f>
        <v>Produits injectables</v>
      </c>
      <c r="CC63" s="2">
        <f t="shared" ref="CC63:CR63" si="108">SUM(CC32:CC36)</f>
        <v>0</v>
      </c>
      <c r="CD63" s="2">
        <f t="shared" si="108"/>
        <v>0</v>
      </c>
      <c r="CE63" s="2">
        <f t="shared" si="108"/>
        <v>0</v>
      </c>
      <c r="CF63" s="2">
        <f t="shared" si="108"/>
        <v>0</v>
      </c>
      <c r="CG63" s="2">
        <f t="shared" si="108"/>
        <v>0</v>
      </c>
      <c r="CH63" s="2">
        <f t="shared" si="108"/>
        <v>0</v>
      </c>
      <c r="CI63" s="2">
        <f t="shared" si="108"/>
        <v>0</v>
      </c>
      <c r="CJ63" s="2">
        <f t="shared" si="108"/>
        <v>0</v>
      </c>
      <c r="CK63" s="2">
        <f t="shared" si="108"/>
        <v>0</v>
      </c>
      <c r="CL63" s="2">
        <f t="shared" si="108"/>
        <v>0</v>
      </c>
      <c r="CM63" s="2">
        <f t="shared" si="108"/>
        <v>0</v>
      </c>
      <c r="CN63" s="2">
        <f t="shared" si="108"/>
        <v>0</v>
      </c>
      <c r="CO63" s="2">
        <f t="shared" si="108"/>
        <v>0</v>
      </c>
      <c r="CP63" s="2">
        <f t="shared" si="108"/>
        <v>0</v>
      </c>
      <c r="CQ63" s="2">
        <f t="shared" si="108"/>
        <v>0</v>
      </c>
      <c r="CR63" s="729">
        <f t="shared" si="108"/>
        <v>0</v>
      </c>
    </row>
    <row r="64" spans="1:115" ht="17.25" hidden="1" customHeight="1" outlineLevel="1" thickBot="1" x14ac:dyDescent="0.3">
      <c r="A64" s="1557"/>
      <c r="B64" s="1527" t="str">
        <f>IF(Language="English", 'Language Look Ups'!$O$20,IF(Language="Francais", 'Language Look Ups'!$S$20, 'Language Look Ups'!Q$20))</f>
        <v>Pilule</v>
      </c>
      <c r="C64" s="885" t="str">
        <f>IF(Language="English", 'Language Look Ups'!$P$20,IF(Language="Francais", 'Language Look Ups'!$T$20, 'Language Look Ups'!$R$20))</f>
        <v>Oraux combinés (COC)</v>
      </c>
      <c r="D64" s="886"/>
      <c r="E64" s="886"/>
      <c r="F64" s="887"/>
      <c r="G64" s="883" t="str">
        <f t="shared" ref="G64:V64" si="109">IF(G37="", "", IF(OR(G37&gt;$AD64, G37&lt;$AE64), G$21&amp;",", ""))</f>
        <v/>
      </c>
      <c r="H64" s="883" t="str">
        <f t="shared" si="109"/>
        <v/>
      </c>
      <c r="I64" s="883" t="str">
        <f t="shared" si="109"/>
        <v/>
      </c>
      <c r="J64" s="883" t="str">
        <f t="shared" si="109"/>
        <v/>
      </c>
      <c r="K64" s="883" t="str">
        <f t="shared" si="109"/>
        <v/>
      </c>
      <c r="L64" s="883" t="str">
        <f t="shared" si="109"/>
        <v/>
      </c>
      <c r="M64" s="883" t="str">
        <f t="shared" si="109"/>
        <v/>
      </c>
      <c r="N64" s="883" t="str">
        <f t="shared" si="109"/>
        <v/>
      </c>
      <c r="O64" s="883" t="str">
        <f t="shared" si="109"/>
        <v/>
      </c>
      <c r="P64" s="883" t="str">
        <f t="shared" si="109"/>
        <v/>
      </c>
      <c r="Q64" s="883" t="str">
        <f t="shared" si="109"/>
        <v/>
      </c>
      <c r="R64" s="883" t="str">
        <f t="shared" si="109"/>
        <v/>
      </c>
      <c r="S64" s="883" t="str">
        <f t="shared" si="109"/>
        <v/>
      </c>
      <c r="T64" s="883" t="str">
        <f t="shared" si="109"/>
        <v/>
      </c>
      <c r="U64" s="883" t="str">
        <f t="shared" si="109"/>
        <v/>
      </c>
      <c r="V64" s="883" t="str">
        <f t="shared" si="109"/>
        <v/>
      </c>
      <c r="W64" s="884">
        <f t="shared" si="92"/>
        <v>0</v>
      </c>
      <c r="X64">
        <v>11</v>
      </c>
      <c r="Y64" t="str">
        <f>IF(W64&gt;0, HLOOKUP("OUTLIER", $G64:$V$75, X64, 0), "")</f>
        <v/>
      </c>
      <c r="AA64" s="148" t="str">
        <f t="shared" si="81"/>
        <v/>
      </c>
      <c r="AB64" s="856" t="e">
        <f t="shared" si="96"/>
        <v>#DIV/0!</v>
      </c>
      <c r="AC64" s="857" t="e">
        <f t="shared" si="83"/>
        <v>#DIV/0!</v>
      </c>
      <c r="AD64" s="856" t="e">
        <f t="shared" si="85"/>
        <v>#DIV/0!</v>
      </c>
      <c r="AE64" s="856" t="e">
        <f t="shared" si="86"/>
        <v>#DIV/0!</v>
      </c>
      <c r="BJ64" s="915" t="str">
        <f>'5. MethodMix Set Up'!$G$17</f>
        <v>Pilule</v>
      </c>
      <c r="BK64" s="2">
        <f t="shared" ref="BK64:BZ64" si="110">SUM(BK37:BK39)</f>
        <v>0</v>
      </c>
      <c r="BL64" s="2">
        <f t="shared" si="110"/>
        <v>0</v>
      </c>
      <c r="BM64" s="2">
        <f t="shared" si="110"/>
        <v>0</v>
      </c>
      <c r="BN64" s="2">
        <f t="shared" si="110"/>
        <v>0</v>
      </c>
      <c r="BO64" s="2">
        <f t="shared" si="110"/>
        <v>0</v>
      </c>
      <c r="BP64" s="2">
        <f t="shared" si="110"/>
        <v>0</v>
      </c>
      <c r="BQ64" s="2">
        <f t="shared" si="110"/>
        <v>0</v>
      </c>
      <c r="BR64" s="2">
        <f t="shared" si="110"/>
        <v>0</v>
      </c>
      <c r="BS64" s="2">
        <f t="shared" si="110"/>
        <v>0</v>
      </c>
      <c r="BT64" s="2">
        <f t="shared" si="110"/>
        <v>0</v>
      </c>
      <c r="BU64" s="2">
        <f t="shared" si="110"/>
        <v>0</v>
      </c>
      <c r="BV64" s="2">
        <f t="shared" si="110"/>
        <v>0</v>
      </c>
      <c r="BW64" s="2">
        <f t="shared" si="110"/>
        <v>0</v>
      </c>
      <c r="BX64" s="2">
        <f t="shared" si="110"/>
        <v>0</v>
      </c>
      <c r="BY64" s="2">
        <f t="shared" si="110"/>
        <v>0</v>
      </c>
      <c r="BZ64" s="729">
        <f t="shared" si="110"/>
        <v>0</v>
      </c>
      <c r="CB64" s="915" t="str">
        <f>'5. MethodMix Set Up'!$G$17</f>
        <v>Pilule</v>
      </c>
      <c r="CC64" s="2">
        <f t="shared" ref="CC64:CR64" si="111">SUM(CC37:CC39)</f>
        <v>0</v>
      </c>
      <c r="CD64" s="2">
        <f t="shared" si="111"/>
        <v>0</v>
      </c>
      <c r="CE64" s="2">
        <f t="shared" si="111"/>
        <v>0</v>
      </c>
      <c r="CF64" s="2">
        <f t="shared" si="111"/>
        <v>0</v>
      </c>
      <c r="CG64" s="2">
        <f t="shared" si="111"/>
        <v>0</v>
      </c>
      <c r="CH64" s="2">
        <f t="shared" si="111"/>
        <v>0</v>
      </c>
      <c r="CI64" s="2">
        <f t="shared" si="111"/>
        <v>0</v>
      </c>
      <c r="CJ64" s="2">
        <f t="shared" si="111"/>
        <v>0</v>
      </c>
      <c r="CK64" s="2">
        <f t="shared" si="111"/>
        <v>0</v>
      </c>
      <c r="CL64" s="2">
        <f t="shared" si="111"/>
        <v>0</v>
      </c>
      <c r="CM64" s="2">
        <f t="shared" si="111"/>
        <v>0</v>
      </c>
      <c r="CN64" s="2">
        <f t="shared" si="111"/>
        <v>0</v>
      </c>
      <c r="CO64" s="2">
        <f t="shared" si="111"/>
        <v>0</v>
      </c>
      <c r="CP64" s="2">
        <f t="shared" si="111"/>
        <v>0</v>
      </c>
      <c r="CQ64" s="2">
        <f t="shared" si="111"/>
        <v>0</v>
      </c>
      <c r="CR64" s="729">
        <f t="shared" si="111"/>
        <v>0</v>
      </c>
    </row>
    <row r="65" spans="1:115" ht="17.25" hidden="1" customHeight="1" outlineLevel="1" thickBot="1" x14ac:dyDescent="0.3">
      <c r="A65" s="1557"/>
      <c r="B65" s="1529"/>
      <c r="C65" s="891" t="str">
        <f>IF(Language="English", 'Language Look Ups'!$P$21,IF(Language="Francais", 'Language Look Ups'!$T$21, 'Language Look Ups'!$R$21))</f>
        <v>Progestatifs seul (POP)</v>
      </c>
      <c r="D65" s="892"/>
      <c r="E65" s="892"/>
      <c r="F65" s="893"/>
      <c r="G65" s="883" t="str">
        <f t="shared" ref="G65:V65" si="112">IF(G38="", "", IF(OR(G38&gt;$AD65, G38&lt;$AE65), G$21&amp;",", ""))</f>
        <v/>
      </c>
      <c r="H65" s="883" t="str">
        <f t="shared" si="112"/>
        <v/>
      </c>
      <c r="I65" s="883" t="str">
        <f t="shared" si="112"/>
        <v/>
      </c>
      <c r="J65" s="883" t="str">
        <f t="shared" si="112"/>
        <v/>
      </c>
      <c r="K65" s="883" t="str">
        <f t="shared" si="112"/>
        <v/>
      </c>
      <c r="L65" s="883" t="str">
        <f t="shared" si="112"/>
        <v/>
      </c>
      <c r="M65" s="883" t="str">
        <f t="shared" si="112"/>
        <v/>
      </c>
      <c r="N65" s="883" t="str">
        <f t="shared" si="112"/>
        <v/>
      </c>
      <c r="O65" s="883" t="str">
        <f t="shared" si="112"/>
        <v/>
      </c>
      <c r="P65" s="883" t="str">
        <f t="shared" si="112"/>
        <v/>
      </c>
      <c r="Q65" s="883" t="str">
        <f t="shared" si="112"/>
        <v/>
      </c>
      <c r="R65" s="883" t="str">
        <f t="shared" si="112"/>
        <v/>
      </c>
      <c r="S65" s="883" t="str">
        <f t="shared" si="112"/>
        <v/>
      </c>
      <c r="T65" s="883" t="str">
        <f t="shared" si="112"/>
        <v/>
      </c>
      <c r="U65" s="883" t="str">
        <f t="shared" si="112"/>
        <v/>
      </c>
      <c r="V65" s="883" t="str">
        <f t="shared" si="112"/>
        <v/>
      </c>
      <c r="W65" s="884">
        <f t="shared" si="92"/>
        <v>0</v>
      </c>
      <c r="X65">
        <v>10</v>
      </c>
      <c r="Y65" t="str">
        <f>IF(W65&gt;0, HLOOKUP("OUTLIER", $G65:$V$75, X65, 0), "")</f>
        <v/>
      </c>
      <c r="AA65" s="148" t="str">
        <f t="shared" si="81"/>
        <v/>
      </c>
      <c r="AB65" s="856" t="e">
        <f t="shared" si="96"/>
        <v>#DIV/0!</v>
      </c>
      <c r="AC65" s="857" t="e">
        <f t="shared" si="83"/>
        <v>#DIV/0!</v>
      </c>
      <c r="AD65" s="856" t="e">
        <f t="shared" si="85"/>
        <v>#DIV/0!</v>
      </c>
      <c r="AE65" s="856" t="e">
        <f t="shared" si="86"/>
        <v>#DIV/0!</v>
      </c>
      <c r="BJ65" s="915" t="str">
        <f>'5. MethodMix Set Up'!$G$18</f>
        <v>Préservatifs (m+f)</v>
      </c>
      <c r="BK65" s="2">
        <f t="shared" ref="BK65:BZ65" si="113">SUM(BK40:BK41)</f>
        <v>0</v>
      </c>
      <c r="BL65" s="2">
        <f t="shared" si="113"/>
        <v>0</v>
      </c>
      <c r="BM65" s="2">
        <f t="shared" si="113"/>
        <v>0</v>
      </c>
      <c r="BN65" s="2">
        <f t="shared" si="113"/>
        <v>0</v>
      </c>
      <c r="BO65" s="2">
        <f t="shared" si="113"/>
        <v>0</v>
      </c>
      <c r="BP65" s="2">
        <f t="shared" si="113"/>
        <v>0</v>
      </c>
      <c r="BQ65" s="2">
        <f t="shared" si="113"/>
        <v>0</v>
      </c>
      <c r="BR65" s="2">
        <f t="shared" si="113"/>
        <v>0</v>
      </c>
      <c r="BS65" s="2">
        <f t="shared" si="113"/>
        <v>0</v>
      </c>
      <c r="BT65" s="2">
        <f t="shared" si="113"/>
        <v>0</v>
      </c>
      <c r="BU65" s="2">
        <f t="shared" si="113"/>
        <v>0</v>
      </c>
      <c r="BV65" s="2">
        <f t="shared" si="113"/>
        <v>0</v>
      </c>
      <c r="BW65" s="2">
        <f t="shared" si="113"/>
        <v>0</v>
      </c>
      <c r="BX65" s="2">
        <f t="shared" si="113"/>
        <v>0</v>
      </c>
      <c r="BY65" s="2">
        <f t="shared" si="113"/>
        <v>0</v>
      </c>
      <c r="BZ65" s="729">
        <f t="shared" si="113"/>
        <v>0</v>
      </c>
      <c r="CB65" s="915" t="str">
        <f>'5. MethodMix Set Up'!$G$18</f>
        <v>Préservatifs (m+f)</v>
      </c>
      <c r="CC65" s="2">
        <f t="shared" ref="CC65:CR65" si="114">SUM(CC40:CC41)</f>
        <v>0</v>
      </c>
      <c r="CD65" s="2">
        <f t="shared" si="114"/>
        <v>0</v>
      </c>
      <c r="CE65" s="2">
        <f t="shared" si="114"/>
        <v>0</v>
      </c>
      <c r="CF65" s="2">
        <f t="shared" si="114"/>
        <v>0</v>
      </c>
      <c r="CG65" s="2">
        <f t="shared" si="114"/>
        <v>0</v>
      </c>
      <c r="CH65" s="2">
        <f t="shared" si="114"/>
        <v>0</v>
      </c>
      <c r="CI65" s="2">
        <f t="shared" si="114"/>
        <v>0</v>
      </c>
      <c r="CJ65" s="2">
        <f t="shared" si="114"/>
        <v>0</v>
      </c>
      <c r="CK65" s="2">
        <f t="shared" si="114"/>
        <v>0</v>
      </c>
      <c r="CL65" s="2">
        <f t="shared" si="114"/>
        <v>0</v>
      </c>
      <c r="CM65" s="2">
        <f t="shared" si="114"/>
        <v>0</v>
      </c>
      <c r="CN65" s="2">
        <f t="shared" si="114"/>
        <v>0</v>
      </c>
      <c r="CO65" s="2">
        <f t="shared" si="114"/>
        <v>0</v>
      </c>
      <c r="CP65" s="2">
        <f t="shared" si="114"/>
        <v>0</v>
      </c>
      <c r="CQ65" s="2">
        <f t="shared" si="114"/>
        <v>0</v>
      </c>
      <c r="CR65" s="729">
        <f t="shared" si="114"/>
        <v>0</v>
      </c>
    </row>
    <row r="66" spans="1:115" ht="17.25" hidden="1" customHeight="1" outlineLevel="1" thickBot="1" x14ac:dyDescent="0.3">
      <c r="A66" s="1557"/>
      <c r="B66" s="1528"/>
      <c r="C66" s="888" t="str">
        <f>IF(Language="English", 'Language Look Ups'!$P$22,IF(Language="Francais", 'Language Look Ups'!$T$22, 'Language Look Ups'!$R$22))</f>
        <v>Autre pilule</v>
      </c>
      <c r="D66" s="889"/>
      <c r="E66" s="889"/>
      <c r="F66" s="890"/>
      <c r="G66" s="883" t="str">
        <f t="shared" ref="G66:V66" si="115">IF(G39="", "", IF(OR(G39&gt;$AD66, G39&lt;$AE66), G$21&amp;",", ""))</f>
        <v/>
      </c>
      <c r="H66" s="883" t="str">
        <f t="shared" si="115"/>
        <v/>
      </c>
      <c r="I66" s="883" t="str">
        <f t="shared" si="115"/>
        <v/>
      </c>
      <c r="J66" s="883" t="str">
        <f t="shared" si="115"/>
        <v/>
      </c>
      <c r="K66" s="883" t="str">
        <f t="shared" si="115"/>
        <v/>
      </c>
      <c r="L66" s="883" t="str">
        <f t="shared" si="115"/>
        <v/>
      </c>
      <c r="M66" s="883" t="str">
        <f t="shared" si="115"/>
        <v/>
      </c>
      <c r="N66" s="883" t="str">
        <f t="shared" si="115"/>
        <v/>
      </c>
      <c r="O66" s="883" t="str">
        <f t="shared" si="115"/>
        <v/>
      </c>
      <c r="P66" s="883" t="str">
        <f t="shared" si="115"/>
        <v/>
      </c>
      <c r="Q66" s="883" t="str">
        <f t="shared" si="115"/>
        <v/>
      </c>
      <c r="R66" s="883" t="str">
        <f t="shared" si="115"/>
        <v/>
      </c>
      <c r="S66" s="883" t="str">
        <f t="shared" si="115"/>
        <v/>
      </c>
      <c r="T66" s="883" t="str">
        <f t="shared" si="115"/>
        <v/>
      </c>
      <c r="U66" s="883" t="str">
        <f t="shared" si="115"/>
        <v/>
      </c>
      <c r="V66" s="883" t="str">
        <f t="shared" si="115"/>
        <v/>
      </c>
      <c r="W66" s="884">
        <f t="shared" si="92"/>
        <v>0</v>
      </c>
      <c r="X66">
        <v>9</v>
      </c>
      <c r="Y66" t="str">
        <f>IF(W66&gt;0, HLOOKUP("OUTLIER", $G66:$V$75, X66, 0), "")</f>
        <v/>
      </c>
      <c r="AA66" s="148" t="str">
        <f t="shared" si="81"/>
        <v/>
      </c>
      <c r="AB66" s="856" t="e">
        <f t="shared" si="96"/>
        <v>#DIV/0!</v>
      </c>
      <c r="AC66" s="857" t="e">
        <f t="shared" si="83"/>
        <v>#DIV/0!</v>
      </c>
      <c r="AD66" s="856" t="e">
        <f t="shared" si="85"/>
        <v>#DIV/0!</v>
      </c>
      <c r="AE66" s="856" t="e">
        <f t="shared" si="86"/>
        <v>#DIV/0!</v>
      </c>
      <c r="BJ66" s="915" t="str">
        <f>'5. MethodMix Set Up'!$G$19</f>
        <v>MAMA</v>
      </c>
      <c r="BK66" s="2">
        <f>SUM(BK42)</f>
        <v>0</v>
      </c>
      <c r="BL66" s="2">
        <f t="shared" ref="BL66:BZ66" si="116">SUM(BL42)</f>
        <v>0</v>
      </c>
      <c r="BM66" s="2">
        <f t="shared" si="116"/>
        <v>0</v>
      </c>
      <c r="BN66" s="2">
        <f t="shared" si="116"/>
        <v>0</v>
      </c>
      <c r="BO66" s="2">
        <f t="shared" si="116"/>
        <v>0</v>
      </c>
      <c r="BP66" s="2">
        <f t="shared" si="116"/>
        <v>0</v>
      </c>
      <c r="BQ66" s="2">
        <f t="shared" si="116"/>
        <v>0</v>
      </c>
      <c r="BR66" s="2">
        <f t="shared" si="116"/>
        <v>0</v>
      </c>
      <c r="BS66" s="2">
        <f t="shared" si="116"/>
        <v>0</v>
      </c>
      <c r="BT66" s="2">
        <f t="shared" si="116"/>
        <v>0</v>
      </c>
      <c r="BU66" s="2">
        <f t="shared" si="116"/>
        <v>0</v>
      </c>
      <c r="BV66" s="2">
        <f t="shared" si="116"/>
        <v>0</v>
      </c>
      <c r="BW66" s="2">
        <f t="shared" si="116"/>
        <v>0</v>
      </c>
      <c r="BX66" s="2">
        <f t="shared" si="116"/>
        <v>0</v>
      </c>
      <c r="BY66" s="2">
        <f t="shared" si="116"/>
        <v>0</v>
      </c>
      <c r="BZ66" s="2">
        <f t="shared" si="116"/>
        <v>0</v>
      </c>
      <c r="CB66" s="915" t="str">
        <f>'5. MethodMix Set Up'!$G$19</f>
        <v>MAMA</v>
      </c>
      <c r="CC66" s="2">
        <f>SUM(CC42)</f>
        <v>0</v>
      </c>
      <c r="CD66" s="2">
        <f t="shared" ref="CD66:CR66" si="117">SUM(CD42)</f>
        <v>0</v>
      </c>
      <c r="CE66" s="2">
        <f t="shared" si="117"/>
        <v>0</v>
      </c>
      <c r="CF66" s="2">
        <f t="shared" si="117"/>
        <v>0</v>
      </c>
      <c r="CG66" s="2">
        <f t="shared" si="117"/>
        <v>0</v>
      </c>
      <c r="CH66" s="2">
        <f t="shared" si="117"/>
        <v>0</v>
      </c>
      <c r="CI66" s="2">
        <f t="shared" si="117"/>
        <v>0</v>
      </c>
      <c r="CJ66" s="2">
        <f t="shared" si="117"/>
        <v>0</v>
      </c>
      <c r="CK66" s="2">
        <f t="shared" si="117"/>
        <v>0</v>
      </c>
      <c r="CL66" s="2">
        <f t="shared" si="117"/>
        <v>0</v>
      </c>
      <c r="CM66" s="2">
        <f t="shared" si="117"/>
        <v>0</v>
      </c>
      <c r="CN66" s="2">
        <f t="shared" si="117"/>
        <v>0</v>
      </c>
      <c r="CO66" s="2">
        <f t="shared" si="117"/>
        <v>0</v>
      </c>
      <c r="CP66" s="2">
        <f t="shared" si="117"/>
        <v>0</v>
      </c>
      <c r="CQ66" s="2">
        <f t="shared" si="117"/>
        <v>0</v>
      </c>
      <c r="CR66" s="2">
        <f t="shared" si="117"/>
        <v>0</v>
      </c>
    </row>
    <row r="67" spans="1:115" ht="17.25" hidden="1" customHeight="1" outlineLevel="1" thickBot="1" x14ac:dyDescent="0.3">
      <c r="A67" s="1557"/>
      <c r="B67" s="1527" t="str">
        <f>IF(Language="English", 'Language Look Ups'!$O$23,IF(Language="Francais", 'Language Look Ups'!$S$23, 'Language Look Ups'!Q$23))</f>
        <v>Préservatifs</v>
      </c>
      <c r="C67" s="885" t="str">
        <f>IF(Language="English", 'Language Look Ups'!$P$23,IF(Language="Francais", 'Language Look Ups'!$T$23, 'Language Look Ups'!$R$23))</f>
        <v>Préservatifs masculin</v>
      </c>
      <c r="D67" s="886"/>
      <c r="E67" s="886"/>
      <c r="F67" s="887"/>
      <c r="G67" s="883" t="str">
        <f t="shared" ref="G67:V67" si="118">IF(G40="", "", IF(OR(G40&gt;$AD67, G40&lt;$AE67), G$21&amp;",", ""))</f>
        <v/>
      </c>
      <c r="H67" s="883" t="str">
        <f t="shared" si="118"/>
        <v/>
      </c>
      <c r="I67" s="883" t="str">
        <f t="shared" si="118"/>
        <v/>
      </c>
      <c r="J67" s="883" t="str">
        <f t="shared" si="118"/>
        <v/>
      </c>
      <c r="K67" s="883" t="str">
        <f t="shared" si="118"/>
        <v/>
      </c>
      <c r="L67" s="883" t="str">
        <f t="shared" si="118"/>
        <v/>
      </c>
      <c r="M67" s="883" t="str">
        <f t="shared" si="118"/>
        <v/>
      </c>
      <c r="N67" s="883" t="str">
        <f t="shared" si="118"/>
        <v/>
      </c>
      <c r="O67" s="883" t="str">
        <f t="shared" si="118"/>
        <v/>
      </c>
      <c r="P67" s="883" t="str">
        <f t="shared" si="118"/>
        <v/>
      </c>
      <c r="Q67" s="883" t="str">
        <f t="shared" si="118"/>
        <v/>
      </c>
      <c r="R67" s="883" t="str">
        <f t="shared" si="118"/>
        <v/>
      </c>
      <c r="S67" s="883" t="str">
        <f t="shared" si="118"/>
        <v/>
      </c>
      <c r="T67" s="883" t="str">
        <f t="shared" si="118"/>
        <v/>
      </c>
      <c r="U67" s="883" t="str">
        <f t="shared" si="118"/>
        <v/>
      </c>
      <c r="V67" s="883" t="str">
        <f t="shared" si="118"/>
        <v/>
      </c>
      <c r="W67" s="884">
        <f t="shared" si="92"/>
        <v>0</v>
      </c>
      <c r="X67">
        <v>8</v>
      </c>
      <c r="Y67" t="str">
        <f>IF(W67&gt;0, HLOOKUP("OUTLIER", $G67:$V$75, X67, 0), "")</f>
        <v/>
      </c>
      <c r="AA67" s="148" t="str">
        <f t="shared" si="81"/>
        <v/>
      </c>
      <c r="AB67" s="856" t="e">
        <f t="shared" si="96"/>
        <v>#DIV/0!</v>
      </c>
      <c r="AC67" s="857" t="e">
        <f t="shared" si="83"/>
        <v>#DIV/0!</v>
      </c>
      <c r="AD67" s="856" t="e">
        <f t="shared" si="85"/>
        <v>#DIV/0!</v>
      </c>
      <c r="AE67" s="856" t="e">
        <f t="shared" si="86"/>
        <v>#DIV/0!</v>
      </c>
      <c r="BJ67" s="915" t="str">
        <f>IF(Language="English", 'Language Look Ups'!$O$29,IF(Language="Francais", 'Language Look Ups'!$S$29, 'Language Look Ups'!CO$29))</f>
        <v>Contraception d'urgence</v>
      </c>
      <c r="BK67" s="732">
        <f>SUM(BK46)</f>
        <v>0</v>
      </c>
      <c r="BL67" s="732">
        <f t="shared" ref="BL67:BZ67" si="119">SUM(BL46)</f>
        <v>0</v>
      </c>
      <c r="BM67" s="732">
        <f t="shared" si="119"/>
        <v>0</v>
      </c>
      <c r="BN67" s="732">
        <f t="shared" si="119"/>
        <v>0</v>
      </c>
      <c r="BO67" s="732">
        <f t="shared" si="119"/>
        <v>0</v>
      </c>
      <c r="BP67" s="732">
        <f t="shared" si="119"/>
        <v>0</v>
      </c>
      <c r="BQ67" s="732">
        <f t="shared" si="119"/>
        <v>0</v>
      </c>
      <c r="BR67" s="732">
        <f t="shared" si="119"/>
        <v>0</v>
      </c>
      <c r="BS67" s="732">
        <f t="shared" si="119"/>
        <v>0</v>
      </c>
      <c r="BT67" s="732">
        <f t="shared" si="119"/>
        <v>0</v>
      </c>
      <c r="BU67" s="732">
        <f t="shared" si="119"/>
        <v>0</v>
      </c>
      <c r="BV67" s="732">
        <f t="shared" si="119"/>
        <v>0</v>
      </c>
      <c r="BW67" s="732">
        <f t="shared" si="119"/>
        <v>0</v>
      </c>
      <c r="BX67" s="732">
        <f t="shared" si="119"/>
        <v>0</v>
      </c>
      <c r="BY67" s="732">
        <f t="shared" si="119"/>
        <v>0</v>
      </c>
      <c r="BZ67" s="732">
        <f t="shared" si="119"/>
        <v>0</v>
      </c>
      <c r="CB67" s="915" t="str">
        <f>IF(Language="English", 'Language Look Ups'!$O$29,IF(Language="Francais", 'Language Look Ups'!$S$29, 'Language Look Ups'!DG$29))</f>
        <v>Contraception d'urgence</v>
      </c>
      <c r="CC67" s="732">
        <f>SUM(CC46)</f>
        <v>0</v>
      </c>
      <c r="CD67" s="732">
        <f t="shared" ref="CD67:CR67" si="120">SUM(CD46)</f>
        <v>0</v>
      </c>
      <c r="CE67" s="732">
        <f t="shared" si="120"/>
        <v>0</v>
      </c>
      <c r="CF67" s="732">
        <f t="shared" si="120"/>
        <v>0</v>
      </c>
      <c r="CG67" s="732">
        <f t="shared" si="120"/>
        <v>0</v>
      </c>
      <c r="CH67" s="732">
        <f t="shared" si="120"/>
        <v>0</v>
      </c>
      <c r="CI67" s="732">
        <f t="shared" si="120"/>
        <v>0</v>
      </c>
      <c r="CJ67" s="732">
        <f t="shared" si="120"/>
        <v>0</v>
      </c>
      <c r="CK67" s="732">
        <f t="shared" si="120"/>
        <v>0</v>
      </c>
      <c r="CL67" s="732">
        <f t="shared" si="120"/>
        <v>0</v>
      </c>
      <c r="CM67" s="732">
        <f t="shared" si="120"/>
        <v>0</v>
      </c>
      <c r="CN67" s="732">
        <f t="shared" si="120"/>
        <v>0</v>
      </c>
      <c r="CO67" s="732">
        <f t="shared" si="120"/>
        <v>0</v>
      </c>
      <c r="CP67" s="732">
        <f t="shared" si="120"/>
        <v>0</v>
      </c>
      <c r="CQ67" s="732">
        <f t="shared" si="120"/>
        <v>0</v>
      </c>
      <c r="CR67" s="732">
        <f t="shared" si="120"/>
        <v>0</v>
      </c>
    </row>
    <row r="68" spans="1:115" ht="17.25" hidden="1" customHeight="1" outlineLevel="1" thickBot="1" x14ac:dyDescent="0.3">
      <c r="A68" s="1557"/>
      <c r="B68" s="1528"/>
      <c r="C68" s="888" t="str">
        <f>IF(Language="English", 'Language Look Ups'!$P$24,IF(Language="Francais", 'Language Look Ups'!$T$24, 'Language Look Ups'!$R$24))</f>
        <v>Préservatifs feminin</v>
      </c>
      <c r="D68" s="889"/>
      <c r="E68" s="889"/>
      <c r="F68" s="890"/>
      <c r="G68" s="883" t="str">
        <f t="shared" ref="G68:V68" si="121">IF(G41="", "", IF(OR(G41&gt;$AD68, G41&lt;$AE68), G$21&amp;",", ""))</f>
        <v/>
      </c>
      <c r="H68" s="883" t="str">
        <f t="shared" si="121"/>
        <v/>
      </c>
      <c r="I68" s="883" t="str">
        <f t="shared" si="121"/>
        <v/>
      </c>
      <c r="J68" s="883" t="str">
        <f t="shared" si="121"/>
        <v/>
      </c>
      <c r="K68" s="883" t="str">
        <f t="shared" si="121"/>
        <v/>
      </c>
      <c r="L68" s="883" t="str">
        <f t="shared" si="121"/>
        <v/>
      </c>
      <c r="M68" s="883" t="str">
        <f t="shared" si="121"/>
        <v/>
      </c>
      <c r="N68" s="883" t="str">
        <f t="shared" si="121"/>
        <v/>
      </c>
      <c r="O68" s="883" t="str">
        <f t="shared" si="121"/>
        <v/>
      </c>
      <c r="P68" s="883" t="str">
        <f t="shared" si="121"/>
        <v/>
      </c>
      <c r="Q68" s="883" t="str">
        <f t="shared" si="121"/>
        <v/>
      </c>
      <c r="R68" s="883" t="str">
        <f t="shared" si="121"/>
        <v/>
      </c>
      <c r="S68" s="883" t="str">
        <f t="shared" si="121"/>
        <v/>
      </c>
      <c r="T68" s="883" t="str">
        <f t="shared" si="121"/>
        <v/>
      </c>
      <c r="U68" s="883" t="str">
        <f t="shared" si="121"/>
        <v/>
      </c>
      <c r="V68" s="883" t="str">
        <f t="shared" si="121"/>
        <v/>
      </c>
      <c r="W68" s="884">
        <f t="shared" si="92"/>
        <v>0</v>
      </c>
      <c r="X68">
        <v>7</v>
      </c>
      <c r="Y68" t="str">
        <f>IF(W68&gt;0, HLOOKUP("OUTLIER", $G68:$V$75, X68, 0), "")</f>
        <v/>
      </c>
      <c r="AA68" s="148" t="str">
        <f t="shared" si="81"/>
        <v/>
      </c>
      <c r="AB68" s="856" t="e">
        <f t="shared" si="96"/>
        <v>#DIV/0!</v>
      </c>
      <c r="AC68" s="857" t="e">
        <f t="shared" si="83"/>
        <v>#DIV/0!</v>
      </c>
      <c r="AD68" s="856" t="e">
        <f t="shared" si="85"/>
        <v>#DIV/0!</v>
      </c>
      <c r="AE68" s="856" t="e">
        <f t="shared" si="86"/>
        <v>#DIV/0!</v>
      </c>
      <c r="BJ68" s="915" t="str">
        <f>'5. MethodMix Set Up'!$G$20</f>
        <v>Autres méthodes modernes</v>
      </c>
      <c r="BK68" s="2">
        <f>SUM(BK43:BK45)</f>
        <v>0</v>
      </c>
      <c r="BL68" s="2">
        <f t="shared" ref="BL68:BZ68" si="122">SUM(BL43:BL45)</f>
        <v>0</v>
      </c>
      <c r="BM68" s="2">
        <f t="shared" si="122"/>
        <v>0</v>
      </c>
      <c r="BN68" s="2">
        <f t="shared" si="122"/>
        <v>0</v>
      </c>
      <c r="BO68" s="2">
        <f t="shared" si="122"/>
        <v>0</v>
      </c>
      <c r="BP68" s="2">
        <f t="shared" si="122"/>
        <v>0</v>
      </c>
      <c r="BQ68" s="2">
        <f t="shared" si="122"/>
        <v>0</v>
      </c>
      <c r="BR68" s="2">
        <f t="shared" si="122"/>
        <v>0</v>
      </c>
      <c r="BS68" s="2">
        <f t="shared" si="122"/>
        <v>0</v>
      </c>
      <c r="BT68" s="2">
        <f t="shared" si="122"/>
        <v>0</v>
      </c>
      <c r="BU68" s="2">
        <f t="shared" si="122"/>
        <v>0</v>
      </c>
      <c r="BV68" s="2">
        <f t="shared" si="122"/>
        <v>0</v>
      </c>
      <c r="BW68" s="2">
        <f t="shared" si="122"/>
        <v>0</v>
      </c>
      <c r="BX68" s="2">
        <f t="shared" si="122"/>
        <v>0</v>
      </c>
      <c r="BY68" s="2">
        <f t="shared" si="122"/>
        <v>0</v>
      </c>
      <c r="BZ68" s="2">
        <f t="shared" si="122"/>
        <v>0</v>
      </c>
      <c r="CB68" s="915" t="str">
        <f>'5. MethodMix Set Up'!$G$20</f>
        <v>Autres méthodes modernes</v>
      </c>
      <c r="CC68" s="2">
        <f>SUM(CC43:CC45)</f>
        <v>0</v>
      </c>
      <c r="CD68" s="2">
        <f t="shared" ref="CD68:CR68" si="123">SUM(CD43:CD45)</f>
        <v>0</v>
      </c>
      <c r="CE68" s="2">
        <f t="shared" si="123"/>
        <v>0</v>
      </c>
      <c r="CF68" s="2">
        <f t="shared" si="123"/>
        <v>0</v>
      </c>
      <c r="CG68" s="2">
        <f t="shared" si="123"/>
        <v>0</v>
      </c>
      <c r="CH68" s="2">
        <f t="shared" si="123"/>
        <v>0</v>
      </c>
      <c r="CI68" s="2">
        <f t="shared" si="123"/>
        <v>0</v>
      </c>
      <c r="CJ68" s="2">
        <f t="shared" si="123"/>
        <v>0</v>
      </c>
      <c r="CK68" s="2">
        <f t="shared" si="123"/>
        <v>0</v>
      </c>
      <c r="CL68" s="2">
        <f t="shared" si="123"/>
        <v>0</v>
      </c>
      <c r="CM68" s="2">
        <f t="shared" si="123"/>
        <v>0</v>
      </c>
      <c r="CN68" s="2">
        <f t="shared" si="123"/>
        <v>0</v>
      </c>
      <c r="CO68" s="2">
        <f t="shared" si="123"/>
        <v>0</v>
      </c>
      <c r="CP68" s="2">
        <f t="shared" si="123"/>
        <v>0</v>
      </c>
      <c r="CQ68" s="2">
        <f t="shared" si="123"/>
        <v>0</v>
      </c>
      <c r="CR68" s="2">
        <f t="shared" si="123"/>
        <v>0</v>
      </c>
    </row>
    <row r="69" spans="1:115" ht="17.25" hidden="1" customHeight="1" outlineLevel="1" thickBot="1" x14ac:dyDescent="0.3">
      <c r="A69" s="1557"/>
      <c r="B69" s="1527" t="str">
        <f>IF(Language="English", 'Language Look Ups'!$O$25,IF(Language="Francais", 'Language Look Ups'!$S$25, 'Language Look Ups'!Q$25))</f>
        <v>Autres Méthodes Modernes</v>
      </c>
      <c r="C69" s="885" t="str">
        <f>IF(Language="English", 'Language Look Ups'!$P$25,IF(Language="Francais", 'Language Look Ups'!$T$25, 'Language Look Ups'!$R$25))</f>
        <v>MAMA</v>
      </c>
      <c r="D69" s="886"/>
      <c r="E69" s="886"/>
      <c r="F69" s="887"/>
      <c r="G69" s="883" t="str">
        <f t="shared" ref="G69:V69" si="124">IF(G42="", "", IF(OR(G42&gt;$AD69, G42&lt;$AE69), G$21&amp;",", ""))</f>
        <v/>
      </c>
      <c r="H69" s="883" t="str">
        <f t="shared" si="124"/>
        <v/>
      </c>
      <c r="I69" s="883" t="str">
        <f t="shared" si="124"/>
        <v/>
      </c>
      <c r="J69" s="883" t="str">
        <f t="shared" si="124"/>
        <v/>
      </c>
      <c r="K69" s="883" t="str">
        <f t="shared" si="124"/>
        <v/>
      </c>
      <c r="L69" s="883" t="str">
        <f t="shared" si="124"/>
        <v/>
      </c>
      <c r="M69" s="883" t="str">
        <f t="shared" si="124"/>
        <v/>
      </c>
      <c r="N69" s="883" t="str">
        <f t="shared" si="124"/>
        <v/>
      </c>
      <c r="O69" s="883" t="str">
        <f t="shared" si="124"/>
        <v/>
      </c>
      <c r="P69" s="883" t="str">
        <f t="shared" si="124"/>
        <v/>
      </c>
      <c r="Q69" s="883" t="str">
        <f t="shared" si="124"/>
        <v/>
      </c>
      <c r="R69" s="883" t="str">
        <f t="shared" si="124"/>
        <v/>
      </c>
      <c r="S69" s="883" t="str">
        <f t="shared" si="124"/>
        <v/>
      </c>
      <c r="T69" s="883" t="str">
        <f t="shared" si="124"/>
        <v/>
      </c>
      <c r="U69" s="883" t="str">
        <f t="shared" si="124"/>
        <v/>
      </c>
      <c r="V69" s="883" t="str">
        <f t="shared" si="124"/>
        <v/>
      </c>
      <c r="W69" s="884">
        <f t="shared" si="92"/>
        <v>0</v>
      </c>
      <c r="X69">
        <v>6</v>
      </c>
      <c r="Y69" t="str">
        <f>IF(W69&gt;0, HLOOKUP("OUTLIER", $G69:$V$75, X69, 0), "")</f>
        <v/>
      </c>
      <c r="AA69" s="148" t="str">
        <f t="shared" si="81"/>
        <v/>
      </c>
      <c r="AB69" s="856" t="e">
        <f t="shared" si="96"/>
        <v>#DIV/0!</v>
      </c>
      <c r="AC69" s="857" t="e">
        <f t="shared" si="83"/>
        <v>#DIV/0!</v>
      </c>
      <c r="AD69" s="856" t="e">
        <f t="shared" si="85"/>
        <v>#DIV/0!</v>
      </c>
      <c r="AE69" s="856" t="e">
        <f t="shared" si="86"/>
        <v>#DIV/0!</v>
      </c>
      <c r="BJ69" t="s">
        <v>313</v>
      </c>
    </row>
    <row r="70" spans="1:115" ht="17.25" hidden="1" customHeight="1" outlineLevel="1" thickBot="1" x14ac:dyDescent="0.3">
      <c r="A70" s="1557"/>
      <c r="B70" s="1529"/>
      <c r="C70" s="891" t="str">
        <f>IF(Language="English", 'Language Look Ups'!$P$26,IF(Language="Francais", 'Language Look Ups'!$T$26, 'Language Look Ups'!$R$26))</f>
        <v>MJF (Jours fixes)</v>
      </c>
      <c r="D70" s="892"/>
      <c r="E70" s="892"/>
      <c r="F70" s="893"/>
      <c r="G70" s="883" t="str">
        <f t="shared" ref="G70:V70" si="125">IF(G43="", "", IF(OR(G43&gt;$AD70, G43&lt;$AE70), G$21&amp;",", ""))</f>
        <v/>
      </c>
      <c r="H70" s="883" t="str">
        <f t="shared" si="125"/>
        <v/>
      </c>
      <c r="I70" s="883" t="str">
        <f t="shared" si="125"/>
        <v/>
      </c>
      <c r="J70" s="883" t="str">
        <f t="shared" si="125"/>
        <v/>
      </c>
      <c r="K70" s="883" t="str">
        <f t="shared" si="125"/>
        <v/>
      </c>
      <c r="L70" s="883" t="str">
        <f t="shared" si="125"/>
        <v/>
      </c>
      <c r="M70" s="883" t="str">
        <f t="shared" si="125"/>
        <v/>
      </c>
      <c r="N70" s="883" t="str">
        <f t="shared" si="125"/>
        <v/>
      </c>
      <c r="O70" s="883" t="str">
        <f t="shared" si="125"/>
        <v/>
      </c>
      <c r="P70" s="883" t="str">
        <f t="shared" si="125"/>
        <v/>
      </c>
      <c r="Q70" s="883" t="str">
        <f t="shared" si="125"/>
        <v/>
      </c>
      <c r="R70" s="883" t="str">
        <f t="shared" si="125"/>
        <v/>
      </c>
      <c r="S70" s="883" t="str">
        <f t="shared" si="125"/>
        <v/>
      </c>
      <c r="T70" s="883" t="str">
        <f t="shared" si="125"/>
        <v/>
      </c>
      <c r="U70" s="883" t="str">
        <f t="shared" si="125"/>
        <v/>
      </c>
      <c r="V70" s="883" t="str">
        <f t="shared" si="125"/>
        <v/>
      </c>
      <c r="W70" s="884">
        <f t="shared" si="92"/>
        <v>0</v>
      </c>
      <c r="X70">
        <v>5</v>
      </c>
      <c r="Y70" t="str">
        <f>IF(W70&gt;0, HLOOKUP("OUTLIER", $G70:$V$75, X70, 0), "")</f>
        <v/>
      </c>
      <c r="AA70" s="148" t="str">
        <f t="shared" si="81"/>
        <v/>
      </c>
      <c r="AB70" s="856" t="e">
        <f t="shared" si="96"/>
        <v>#DIV/0!</v>
      </c>
      <c r="AC70" s="857" t="e">
        <f t="shared" si="83"/>
        <v>#DIV/0!</v>
      </c>
      <c r="AD70" s="856" t="e">
        <f t="shared" si="85"/>
        <v>#DIV/0!</v>
      </c>
      <c r="AE70" s="856" t="e">
        <f t="shared" si="86"/>
        <v>#DIV/0!</v>
      </c>
      <c r="BJ70" s="867"/>
    </row>
    <row r="71" spans="1:115" ht="17.25" hidden="1" customHeight="1" outlineLevel="1" thickBot="1" x14ac:dyDescent="0.3">
      <c r="A71" s="1557"/>
      <c r="B71" s="1529"/>
      <c r="C71" s="891" t="str">
        <f>IF(Language="English", 'Language Look Ups'!$P$27,IF(Language="Francais", 'Language Look Ups'!$T$27, 'Language Look Ups'!$R$27))</f>
        <v>Barrière vaginale</v>
      </c>
      <c r="D71" s="892"/>
      <c r="E71" s="892"/>
      <c r="F71" s="893"/>
      <c r="G71" s="883" t="str">
        <f t="shared" ref="G71:V71" si="126">IF(G44="", "", IF(OR(G44&gt;$AD71, G44&lt;$AE71), G$21&amp;",", ""))</f>
        <v/>
      </c>
      <c r="H71" s="883" t="str">
        <f t="shared" si="126"/>
        <v/>
      </c>
      <c r="I71" s="883" t="str">
        <f t="shared" si="126"/>
        <v/>
      </c>
      <c r="J71" s="883" t="str">
        <f t="shared" si="126"/>
        <v/>
      </c>
      <c r="K71" s="883" t="str">
        <f t="shared" si="126"/>
        <v/>
      </c>
      <c r="L71" s="883" t="str">
        <f t="shared" si="126"/>
        <v/>
      </c>
      <c r="M71" s="883" t="str">
        <f t="shared" si="126"/>
        <v/>
      </c>
      <c r="N71" s="883" t="str">
        <f t="shared" si="126"/>
        <v/>
      </c>
      <c r="O71" s="883" t="str">
        <f t="shared" si="126"/>
        <v/>
      </c>
      <c r="P71" s="883" t="str">
        <f t="shared" si="126"/>
        <v/>
      </c>
      <c r="Q71" s="883" t="str">
        <f t="shared" si="126"/>
        <v/>
      </c>
      <c r="R71" s="883" t="str">
        <f t="shared" si="126"/>
        <v/>
      </c>
      <c r="S71" s="883" t="str">
        <f t="shared" si="126"/>
        <v/>
      </c>
      <c r="T71" s="883" t="str">
        <f t="shared" si="126"/>
        <v/>
      </c>
      <c r="U71" s="883" t="str">
        <f t="shared" si="126"/>
        <v/>
      </c>
      <c r="V71" s="883" t="str">
        <f t="shared" si="126"/>
        <v/>
      </c>
      <c r="W71" s="884">
        <f t="shared" si="92"/>
        <v>0</v>
      </c>
      <c r="X71">
        <v>4</v>
      </c>
      <c r="Y71" t="str">
        <f>IF(W71&gt;0, HLOOKUP("OUTLIER", $G71:$V$75, X71, 0), "")</f>
        <v/>
      </c>
      <c r="AA71" s="148" t="str">
        <f t="shared" si="81"/>
        <v/>
      </c>
      <c r="AB71" s="856" t="e">
        <f t="shared" si="96"/>
        <v>#DIV/0!</v>
      </c>
      <c r="AC71" s="857" t="e">
        <f t="shared" si="83"/>
        <v>#DIV/0!</v>
      </c>
      <c r="AD71" s="856" t="e">
        <f t="shared" si="85"/>
        <v>#DIV/0!</v>
      </c>
      <c r="AE71" s="856" t="e">
        <f t="shared" si="86"/>
        <v>#DIV/0!</v>
      </c>
      <c r="BJ71" s="867"/>
    </row>
    <row r="72" spans="1:115" ht="17.25" hidden="1" customHeight="1" outlineLevel="1" thickBot="1" x14ac:dyDescent="0.3">
      <c r="A72" s="1557"/>
      <c r="B72" s="1528"/>
      <c r="C72" s="888" t="str">
        <f>IF(Language="English", 'Language Look Ups'!$P$28,IF(Language="Francais", 'Language Look Ups'!$T$28, 'Language Look Ups'!$R$28))</f>
        <v>Spermicides</v>
      </c>
      <c r="D72" s="889"/>
      <c r="E72" s="889"/>
      <c r="F72" s="890"/>
      <c r="G72" s="883" t="str">
        <f t="shared" ref="G72:V72" si="127">IF(G45="", "", IF(OR(G45&gt;$AD72, G45&lt;$AE72), G$21&amp;",", ""))</f>
        <v/>
      </c>
      <c r="H72" s="883" t="str">
        <f t="shared" si="127"/>
        <v/>
      </c>
      <c r="I72" s="883" t="str">
        <f t="shared" si="127"/>
        <v/>
      </c>
      <c r="J72" s="883" t="str">
        <f t="shared" si="127"/>
        <v/>
      </c>
      <c r="K72" s="883" t="str">
        <f t="shared" si="127"/>
        <v/>
      </c>
      <c r="L72" s="883" t="str">
        <f t="shared" si="127"/>
        <v/>
      </c>
      <c r="M72" s="883" t="str">
        <f t="shared" si="127"/>
        <v/>
      </c>
      <c r="N72" s="883" t="str">
        <f t="shared" si="127"/>
        <v/>
      </c>
      <c r="O72" s="883" t="str">
        <f t="shared" si="127"/>
        <v/>
      </c>
      <c r="P72" s="883" t="str">
        <f t="shared" si="127"/>
        <v/>
      </c>
      <c r="Q72" s="883" t="str">
        <f t="shared" si="127"/>
        <v/>
      </c>
      <c r="R72" s="883" t="str">
        <f t="shared" si="127"/>
        <v/>
      </c>
      <c r="S72" s="883" t="str">
        <f t="shared" si="127"/>
        <v/>
      </c>
      <c r="T72" s="883" t="str">
        <f t="shared" si="127"/>
        <v/>
      </c>
      <c r="U72" s="883" t="str">
        <f t="shared" si="127"/>
        <v/>
      </c>
      <c r="V72" s="883" t="str">
        <f t="shared" si="127"/>
        <v/>
      </c>
      <c r="W72" s="884">
        <f t="shared" si="92"/>
        <v>0</v>
      </c>
      <c r="X72">
        <v>3</v>
      </c>
      <c r="Y72" t="str">
        <f>IF(W72&gt;0, HLOOKUP("OUTLIER", $G72:$V$75, X72, 0), "")</f>
        <v/>
      </c>
      <c r="AA72" s="148" t="str">
        <f t="shared" si="81"/>
        <v/>
      </c>
      <c r="AB72" s="856" t="e">
        <f t="shared" si="96"/>
        <v>#DIV/0!</v>
      </c>
      <c r="AC72" s="857" t="e">
        <f t="shared" si="83"/>
        <v>#DIV/0!</v>
      </c>
      <c r="AD72" s="856" t="e">
        <f t="shared" si="85"/>
        <v>#DIV/0!</v>
      </c>
      <c r="AE72" s="856" t="e">
        <f t="shared" si="86"/>
        <v>#DIV/0!</v>
      </c>
      <c r="BJ72" s="866"/>
    </row>
    <row r="73" spans="1:115" ht="34.9" hidden="1" customHeight="1" outlineLevel="1" thickBot="1" x14ac:dyDescent="0.3">
      <c r="A73" s="1557"/>
      <c r="B73" s="894" t="str">
        <f>IF(Language="English", 'Language Look Ups'!$O$29,IF(Language="Francais", 'Language Look Ups'!$S$29, 'Language Look Ups'!Q$29))</f>
        <v>Contraception d'urgence</v>
      </c>
      <c r="C73" s="895" t="str">
        <f>IF(Language="English", 'Language Look Ups'!$P$29,IF(Language="Francais", 'Language Look Ups'!$T$29, 'Language Look Ups'!$R$29))</f>
        <v>CU</v>
      </c>
      <c r="D73" s="896"/>
      <c r="E73" s="896"/>
      <c r="F73" s="897"/>
      <c r="G73" s="883" t="str">
        <f t="shared" ref="G73:V73" si="128">IF(G46="", "", IF(OR(G46&gt;$AD73, G46&lt;$AE73), G$21&amp;",", ""))</f>
        <v/>
      </c>
      <c r="H73" s="883" t="str">
        <f t="shared" si="128"/>
        <v/>
      </c>
      <c r="I73" s="883" t="str">
        <f t="shared" si="128"/>
        <v/>
      </c>
      <c r="J73" s="883" t="str">
        <f t="shared" si="128"/>
        <v/>
      </c>
      <c r="K73" s="883" t="str">
        <f t="shared" si="128"/>
        <v/>
      </c>
      <c r="L73" s="883" t="str">
        <f t="shared" si="128"/>
        <v/>
      </c>
      <c r="M73" s="883" t="str">
        <f t="shared" si="128"/>
        <v/>
      </c>
      <c r="N73" s="883" t="str">
        <f t="shared" si="128"/>
        <v/>
      </c>
      <c r="O73" s="883" t="str">
        <f t="shared" si="128"/>
        <v/>
      </c>
      <c r="P73" s="883" t="str">
        <f t="shared" si="128"/>
        <v/>
      </c>
      <c r="Q73" s="883" t="str">
        <f t="shared" si="128"/>
        <v/>
      </c>
      <c r="R73" s="883" t="str">
        <f t="shared" si="128"/>
        <v/>
      </c>
      <c r="S73" s="883" t="str">
        <f t="shared" si="128"/>
        <v/>
      </c>
      <c r="T73" s="883" t="str">
        <f t="shared" si="128"/>
        <v/>
      </c>
      <c r="U73" s="883" t="str">
        <f t="shared" si="128"/>
        <v/>
      </c>
      <c r="V73" s="883" t="str">
        <f t="shared" si="128"/>
        <v/>
      </c>
      <c r="W73" s="884">
        <f t="shared" si="92"/>
        <v>0</v>
      </c>
      <c r="X73">
        <v>2</v>
      </c>
      <c r="Y73" t="str">
        <f>IF(W73&gt;0, HLOOKUP("OUTLIER", $G73:$V$75, X73, 0), "")</f>
        <v/>
      </c>
      <c r="AA73" s="148" t="str">
        <f t="shared" si="81"/>
        <v/>
      </c>
      <c r="AB73" s="856" t="e">
        <f t="shared" si="96"/>
        <v>#DIV/0!</v>
      </c>
      <c r="AC73" s="857" t="e">
        <f t="shared" si="83"/>
        <v>#DIV/0!</v>
      </c>
      <c r="AD73" s="856" t="e">
        <f t="shared" si="85"/>
        <v>#DIV/0!</v>
      </c>
      <c r="AE73" s="856" t="e">
        <f t="shared" si="86"/>
        <v>#DIV/0!</v>
      </c>
    </row>
    <row r="74" spans="1:115" ht="20.45" hidden="1" customHeight="1" outlineLevel="1" x14ac:dyDescent="0.25">
      <c r="A74" s="1557"/>
      <c r="B74" s="898" t="str">
        <f>B47</f>
        <v>CAP Totale</v>
      </c>
      <c r="C74" s="899"/>
      <c r="D74" s="900"/>
      <c r="E74" s="900"/>
      <c r="F74" s="901"/>
      <c r="G74" s="883" t="e">
        <f t="shared" ref="G74:V74" si="129">IF(G47="", "", IF(OR(G47&gt;$AD74, G47&lt;$AE74), G$21&amp;",", ""))</f>
        <v>#DIV/0!</v>
      </c>
      <c r="H74" s="883" t="str">
        <f t="shared" si="129"/>
        <v/>
      </c>
      <c r="I74" s="883" t="str">
        <f t="shared" si="129"/>
        <v/>
      </c>
      <c r="J74" s="883" t="str">
        <f t="shared" si="129"/>
        <v/>
      </c>
      <c r="K74" s="883" t="str">
        <f t="shared" si="129"/>
        <v/>
      </c>
      <c r="L74" s="883" t="str">
        <f t="shared" si="129"/>
        <v/>
      </c>
      <c r="M74" s="883" t="str">
        <f t="shared" si="129"/>
        <v/>
      </c>
      <c r="N74" s="883" t="str">
        <f t="shared" si="129"/>
        <v/>
      </c>
      <c r="O74" s="883" t="str">
        <f t="shared" si="129"/>
        <v/>
      </c>
      <c r="P74" s="883" t="str">
        <f t="shared" si="129"/>
        <v/>
      </c>
      <c r="Q74" s="883" t="str">
        <f t="shared" si="129"/>
        <v/>
      </c>
      <c r="R74" s="883" t="str">
        <f t="shared" si="129"/>
        <v/>
      </c>
      <c r="S74" s="883" t="str">
        <f t="shared" si="129"/>
        <v/>
      </c>
      <c r="T74" s="883" t="str">
        <f t="shared" si="129"/>
        <v/>
      </c>
      <c r="U74" s="883" t="str">
        <f t="shared" si="129"/>
        <v/>
      </c>
      <c r="V74" s="883" t="str">
        <f t="shared" si="129"/>
        <v/>
      </c>
      <c r="W74" s="902"/>
      <c r="AA74" s="148" t="str">
        <f t="shared" si="81"/>
        <v/>
      </c>
      <c r="AB74" s="856">
        <f t="shared" si="96"/>
        <v>0</v>
      </c>
      <c r="AC74" s="857" t="e">
        <f t="shared" si="83"/>
        <v>#DIV/0!</v>
      </c>
      <c r="AD74" s="856" t="e">
        <f>AB74+AC74</f>
        <v>#DIV/0!</v>
      </c>
      <c r="AE74" s="856" t="e">
        <f>AB74-AC74</f>
        <v>#DIV/0!</v>
      </c>
    </row>
    <row r="75" spans="1:115" ht="12.75" hidden="1" customHeight="1" outlineLevel="1" thickBot="1" x14ac:dyDescent="0.3">
      <c r="A75" s="1557"/>
      <c r="G75" s="426">
        <f>'3. ServiceStats Set Up'!$C$19</f>
        <v>0</v>
      </c>
      <c r="H75" s="427" t="str">
        <f>IFERROR(IF(G75+1&lt;='3. ServiceStats Set Up'!$C$20, 'Commodities (Clients) Input'!G75+1, ""), "")</f>
        <v/>
      </c>
      <c r="I75" s="427" t="str">
        <f>IFERROR(IF(H75+1&lt;='3. ServiceStats Set Up'!$C$20, 'Commodities (Clients) Input'!H75+1, ""), "")</f>
        <v/>
      </c>
      <c r="J75" s="427" t="str">
        <f>IFERROR(IF(I75+1&lt;='3. ServiceStats Set Up'!$C$20, 'Commodities (Clients) Input'!I75+1, ""), "")</f>
        <v/>
      </c>
      <c r="K75" s="427" t="str">
        <f>IFERROR(IF(J75+1&lt;='3. ServiceStats Set Up'!$C$20, 'Commodities (Clients) Input'!J75+1, ""), "")</f>
        <v/>
      </c>
      <c r="L75" s="427" t="str">
        <f>IFERROR(IF(K75+1&lt;='3. ServiceStats Set Up'!$C$20, 'Commodities (Clients) Input'!K75+1, ""), "")</f>
        <v/>
      </c>
      <c r="M75" s="427" t="str">
        <f>IFERROR(IF(L75+1&lt;='3. ServiceStats Set Up'!$C$20, 'Commodities (Clients) Input'!L75+1, ""), "")</f>
        <v/>
      </c>
      <c r="N75" s="427" t="str">
        <f>IFERROR(IF(M75+1&lt;='3. ServiceStats Set Up'!$C$20, 'Commodities (Clients) Input'!M75+1, ""), "")</f>
        <v/>
      </c>
      <c r="O75" s="427" t="str">
        <f>IFERROR(IF(N75+1&lt;='3. ServiceStats Set Up'!$C$20, 'Commodities (Clients) Input'!N75+1, ""), "")</f>
        <v/>
      </c>
      <c r="P75" s="427" t="str">
        <f>IFERROR(IF(O75+1&lt;='3. ServiceStats Set Up'!$C$20, 'Commodities (Clients) Input'!O75+1, ""), "")</f>
        <v/>
      </c>
      <c r="Q75" s="427" t="str">
        <f>IFERROR(IF(P75+1&lt;='3. ServiceStats Set Up'!$C$20, 'Commodities (Clients) Input'!P75+1, ""), "")</f>
        <v/>
      </c>
      <c r="R75" s="427" t="str">
        <f>IFERROR(IF(Q75+1&lt;='3. ServiceStats Set Up'!$C$20, 'Commodities (Clients) Input'!Q75+1, ""), "")</f>
        <v/>
      </c>
      <c r="S75" s="427" t="str">
        <f>IFERROR(IF(R75+1&lt;='3. ServiceStats Set Up'!$C$20, 'Commodities (Clients) Input'!R75+1, ""), "")</f>
        <v/>
      </c>
      <c r="T75" s="427" t="str">
        <f>IFERROR(IF(S75+1&lt;='3. ServiceStats Set Up'!$C$20, 'Commodities (Clients) Input'!S75+1, ""), "")</f>
        <v/>
      </c>
      <c r="U75" s="427" t="str">
        <f>IFERROR(IF(T75+1&lt;='3. ServiceStats Set Up'!$C$20, 'Commodities (Clients) Input'!T75+1, ""), "")</f>
        <v/>
      </c>
      <c r="V75" s="427" t="str">
        <f>IFERROR(IF(U75+1&lt;='3. ServiceStats Set Up'!$C$20, 'Commodities (Clients) Input'!U75+1, ""), "")</f>
        <v/>
      </c>
    </row>
    <row r="76" spans="1:115" s="1" customFormat="1" ht="42" hidden="1" customHeight="1" outlineLevel="1" thickBot="1" x14ac:dyDescent="0.3">
      <c r="A76" s="1557"/>
      <c r="B76" s="1509" t="s">
        <v>1217</v>
      </c>
      <c r="C76" s="1510"/>
      <c r="D76" s="1510"/>
      <c r="E76" s="1510"/>
      <c r="F76" s="1510"/>
      <c r="G76" s="1510"/>
      <c r="H76" s="1510"/>
      <c r="I76" s="1510"/>
      <c r="J76" s="1510"/>
      <c r="K76" s="1510"/>
      <c r="L76" s="1510"/>
      <c r="M76" s="1510"/>
      <c r="N76" s="1510"/>
      <c r="O76" s="1510"/>
      <c r="P76" s="1510"/>
      <c r="Q76" s="1510"/>
      <c r="R76" s="1510"/>
      <c r="S76" s="1510"/>
      <c r="T76" s="1510"/>
      <c r="U76" s="1510"/>
      <c r="V76" s="1511"/>
      <c r="W76"/>
      <c r="X76"/>
      <c r="Y76"/>
      <c r="Z76"/>
      <c r="AA76"/>
      <c r="AB76" s="156" t="s">
        <v>310</v>
      </c>
      <c r="AC76" s="157" t="s">
        <v>312</v>
      </c>
      <c r="AD76" s="43" t="s">
        <v>1195</v>
      </c>
      <c r="AE76" s="44" t="s">
        <v>1196</v>
      </c>
      <c r="AF76" s="43" t="s">
        <v>1197</v>
      </c>
      <c r="AG76" s="44" t="s">
        <v>1198</v>
      </c>
      <c r="AH76" s="43"/>
      <c r="AI76" s="44"/>
      <c r="AJ76" s="44"/>
      <c r="AK76" s="44"/>
      <c r="AL76" s="44"/>
      <c r="AM76" s="44"/>
      <c r="AN76" s="44"/>
      <c r="AO76" s="44"/>
      <c r="AP76" s="44"/>
      <c r="AQ76" s="45"/>
      <c r="AS76"/>
      <c r="AT76"/>
      <c r="AU76"/>
      <c r="AV76"/>
      <c r="AW76"/>
      <c r="AX76"/>
      <c r="AY76"/>
      <c r="AZ76"/>
      <c r="BA76" s="184"/>
      <c r="BB76" s="184"/>
      <c r="BC76" s="184"/>
      <c r="BD76"/>
      <c r="BE76"/>
      <c r="BF76"/>
      <c r="BG76"/>
      <c r="BH76"/>
      <c r="BI76" s="181"/>
      <c r="DK76"/>
    </row>
    <row r="77" spans="1:115" ht="17.25" hidden="1" customHeight="1" outlineLevel="1" x14ac:dyDescent="0.25">
      <c r="A77" s="1557"/>
      <c r="B77" s="1494" t="s">
        <v>1</v>
      </c>
      <c r="C77" s="885" t="str">
        <f>IF(Language="English", 'Language Look Ups'!$P$6,IF(Language="Francais", 'Language Look Ups'!$T$6, 'Language Look Ups'!$R$6))</f>
        <v>Ligature des trompes</v>
      </c>
      <c r="D77" s="886"/>
      <c r="E77" s="886"/>
      <c r="F77" s="887"/>
      <c r="G77" s="883"/>
      <c r="H77" s="903" t="str">
        <f t="shared" ref="H77:U77" si="130">IF(H$21="", "", IFERROR((H23-G23)/G23, ""))</f>
        <v/>
      </c>
      <c r="I77" s="903" t="str">
        <f t="shared" si="130"/>
        <v/>
      </c>
      <c r="J77" s="903" t="str">
        <f t="shared" si="130"/>
        <v/>
      </c>
      <c r="K77" s="903" t="str">
        <f>IF(K$21="", "", IFERROR((K23-J23)/J23, ""))</f>
        <v/>
      </c>
      <c r="L77" s="903" t="str">
        <f>IF(L$21="", "", IFERROR((L23-K23)/K23, ""))</f>
        <v/>
      </c>
      <c r="M77" s="903" t="str">
        <f t="shared" si="130"/>
        <v/>
      </c>
      <c r="N77" s="903" t="str">
        <f t="shared" ref="N77:P81" si="131">IF(N$21="", "", IFERROR((N23-M23)/M23, ""))</f>
        <v/>
      </c>
      <c r="O77" s="903" t="str">
        <f t="shared" si="131"/>
        <v/>
      </c>
      <c r="P77" s="903" t="str">
        <f t="shared" si="131"/>
        <v/>
      </c>
      <c r="Q77" s="903" t="str">
        <f t="shared" si="130"/>
        <v/>
      </c>
      <c r="R77" s="903" t="str">
        <f t="shared" si="130"/>
        <v/>
      </c>
      <c r="S77" s="903" t="str">
        <f t="shared" si="130"/>
        <v/>
      </c>
      <c r="T77" s="903" t="str">
        <f t="shared" si="130"/>
        <v/>
      </c>
      <c r="U77" s="903" t="str">
        <f t="shared" si="130"/>
        <v/>
      </c>
      <c r="V77" s="903" t="str">
        <f t="shared" ref="V77:V83" si="132">IF(V$21="", "", IFERROR((V23-U23)/U23, ""))</f>
        <v/>
      </c>
      <c r="AA77" s="148"/>
      <c r="AB77" s="161">
        <f t="shared" ref="AB77:AB83" si="133">COUNTIF(H77:V77, "&lt;-.25")</f>
        <v>0</v>
      </c>
      <c r="AC77" s="162">
        <f t="shared" ref="AC77:AC83" si="134">COUNTIF(H77:V77, "&gt;150%")</f>
        <v>0</v>
      </c>
      <c r="AD77" s="2" t="e">
        <f t="shared" ref="AD77:AD101" si="135">AVERAGE(G23:V23)</f>
        <v>#DIV/0!</v>
      </c>
      <c r="AE77" s="2" t="e">
        <f t="shared" ref="AE77:AE101" si="136">_xlfn.STDEV.S(G23:V23)*2</f>
        <v>#DIV/0!</v>
      </c>
      <c r="AF77">
        <f>COUNTIF(G23:V23,"&gt;"&amp;AD77+AE77)</f>
        <v>0</v>
      </c>
      <c r="AG77">
        <f>COUNTIF(H23:W23,"&gt;"&amp;AD77-AE77)</f>
        <v>0</v>
      </c>
    </row>
    <row r="78" spans="1:115" ht="17.25" hidden="1" customHeight="1" outlineLevel="1" thickBot="1" x14ac:dyDescent="0.3">
      <c r="A78" s="1557"/>
      <c r="B78" s="1495"/>
      <c r="C78" s="888" t="str">
        <f>IF(Language="English",'Language Look Ups'!$P$7,IF(Language="Francais",'Language Look Ups'!$T$7,'Language Look Ups'!$R$7))</f>
        <v>Vasectomie</v>
      </c>
      <c r="D78" s="889"/>
      <c r="E78" s="889"/>
      <c r="F78" s="890"/>
      <c r="G78" s="904"/>
      <c r="H78" s="905" t="str">
        <f t="shared" ref="H78:U78" si="137">IF(H$21="", "", IFERROR((H24-G24)/G24, ""))</f>
        <v/>
      </c>
      <c r="I78" s="905" t="str">
        <f t="shared" si="137"/>
        <v/>
      </c>
      <c r="J78" s="905" t="str">
        <f t="shared" si="137"/>
        <v/>
      </c>
      <c r="K78" s="905" t="str">
        <f t="shared" si="137"/>
        <v/>
      </c>
      <c r="L78" s="905" t="str">
        <f t="shared" si="137"/>
        <v/>
      </c>
      <c r="M78" s="905" t="str">
        <f t="shared" si="137"/>
        <v/>
      </c>
      <c r="N78" s="905" t="str">
        <f t="shared" si="131"/>
        <v/>
      </c>
      <c r="O78" s="905" t="str">
        <f t="shared" si="131"/>
        <v/>
      </c>
      <c r="P78" s="905" t="str">
        <f t="shared" si="131"/>
        <v/>
      </c>
      <c r="Q78" s="905" t="str">
        <f t="shared" si="137"/>
        <v/>
      </c>
      <c r="R78" s="905" t="str">
        <f t="shared" si="137"/>
        <v/>
      </c>
      <c r="S78" s="905" t="str">
        <f t="shared" si="137"/>
        <v/>
      </c>
      <c r="T78" s="905" t="str">
        <f t="shared" si="137"/>
        <v/>
      </c>
      <c r="U78" s="905" t="str">
        <f t="shared" si="137"/>
        <v/>
      </c>
      <c r="V78" s="905" t="str">
        <f t="shared" si="132"/>
        <v/>
      </c>
      <c r="AA78" s="149">
        <f>COUNTIF(AB78:AC78, "&gt;0")</f>
        <v>0</v>
      </c>
      <c r="AB78" s="163">
        <f t="shared" si="133"/>
        <v>0</v>
      </c>
      <c r="AC78" s="164">
        <f t="shared" si="134"/>
        <v>0</v>
      </c>
      <c r="AD78" s="2" t="e">
        <f t="shared" si="135"/>
        <v>#DIV/0!</v>
      </c>
      <c r="AE78" s="2" t="e">
        <f t="shared" si="136"/>
        <v>#DIV/0!</v>
      </c>
      <c r="AF78">
        <f t="shared" ref="AF78:AF101" si="138">COUNTIF(G24:V24,"&gt;"&amp;AE78)</f>
        <v>0</v>
      </c>
    </row>
    <row r="79" spans="1:115" ht="17.25" hidden="1" customHeight="1" outlineLevel="1" x14ac:dyDescent="0.25">
      <c r="A79" s="1557"/>
      <c r="B79" s="1494" t="s">
        <v>5</v>
      </c>
      <c r="C79" s="885" t="str">
        <f>IF(Language="English", 'Language Look Ups'!$P$8,IF(Language="Francais", 'Language Look Ups'!$T$8, 'Language Look Ups'!$R$8))</f>
        <v>Copper- T 380-A DIU</v>
      </c>
      <c r="D79" s="886"/>
      <c r="E79" s="886"/>
      <c r="F79" s="887"/>
      <c r="G79" s="883"/>
      <c r="H79" s="903" t="str">
        <f t="shared" ref="H79:U79" si="139">IF(H$21="", "", IFERROR((H25-G25)/G25, ""))</f>
        <v/>
      </c>
      <c r="I79" s="903" t="str">
        <f t="shared" si="139"/>
        <v/>
      </c>
      <c r="J79" s="903" t="str">
        <f t="shared" si="139"/>
        <v/>
      </c>
      <c r="K79" s="903" t="str">
        <f t="shared" ref="K79:M83" si="140">IF(K$21="", "", IFERROR((K25-J25)/J25, ""))</f>
        <v/>
      </c>
      <c r="L79" s="903" t="str">
        <f t="shared" si="140"/>
        <v/>
      </c>
      <c r="M79" s="903" t="str">
        <f t="shared" si="140"/>
        <v/>
      </c>
      <c r="N79" s="903" t="str">
        <f t="shared" si="131"/>
        <v/>
      </c>
      <c r="O79" s="903" t="str">
        <f t="shared" si="131"/>
        <v/>
      </c>
      <c r="P79" s="903" t="str">
        <f t="shared" si="131"/>
        <v/>
      </c>
      <c r="Q79" s="903" t="str">
        <f t="shared" si="139"/>
        <v/>
      </c>
      <c r="R79" s="903" t="str">
        <f t="shared" si="139"/>
        <v/>
      </c>
      <c r="S79" s="903" t="str">
        <f t="shared" si="139"/>
        <v/>
      </c>
      <c r="T79" s="903" t="str">
        <f t="shared" si="139"/>
        <v/>
      </c>
      <c r="U79" s="903" t="str">
        <f t="shared" si="139"/>
        <v/>
      </c>
      <c r="V79" s="903" t="str">
        <f t="shared" si="132"/>
        <v/>
      </c>
      <c r="AA79" s="148"/>
      <c r="AB79" s="161">
        <f t="shared" si="133"/>
        <v>0</v>
      </c>
      <c r="AC79" s="162">
        <f t="shared" si="134"/>
        <v>0</v>
      </c>
      <c r="AD79" s="2" t="e">
        <f t="shared" si="135"/>
        <v>#DIV/0!</v>
      </c>
      <c r="AE79" s="2" t="e">
        <f t="shared" si="136"/>
        <v>#DIV/0!</v>
      </c>
      <c r="AF79">
        <f t="shared" si="138"/>
        <v>0</v>
      </c>
    </row>
    <row r="80" spans="1:115" ht="17.25" hidden="1" customHeight="1" outlineLevel="1" thickBot="1" x14ac:dyDescent="0.3">
      <c r="A80" s="1557"/>
      <c r="B80" s="1495"/>
      <c r="C80" s="888" t="str">
        <f>IF(Language="English", 'Language Look Ups'!$P$9,IF(Language="Francais", 'Language Look Ups'!$T$9, 'Language Look Ups'!$R$9))</f>
        <v>DIU Hormonal (LNG-IUS)</v>
      </c>
      <c r="D80" s="889"/>
      <c r="E80" s="889"/>
      <c r="F80" s="890"/>
      <c r="G80" s="904"/>
      <c r="H80" s="905" t="str">
        <f t="shared" ref="H80:U80" si="141">IF(H$21="", "", IFERROR((H26-G26)/G26, ""))</f>
        <v/>
      </c>
      <c r="I80" s="905" t="str">
        <f t="shared" si="141"/>
        <v/>
      </c>
      <c r="J80" s="905" t="str">
        <f t="shared" si="141"/>
        <v/>
      </c>
      <c r="K80" s="905" t="str">
        <f t="shared" si="140"/>
        <v/>
      </c>
      <c r="L80" s="905" t="str">
        <f t="shared" si="140"/>
        <v/>
      </c>
      <c r="M80" s="905" t="str">
        <f t="shared" si="140"/>
        <v/>
      </c>
      <c r="N80" s="905" t="str">
        <f t="shared" si="131"/>
        <v/>
      </c>
      <c r="O80" s="905" t="str">
        <f t="shared" si="131"/>
        <v/>
      </c>
      <c r="P80" s="905" t="str">
        <f t="shared" si="131"/>
        <v/>
      </c>
      <c r="Q80" s="905" t="str">
        <f t="shared" si="141"/>
        <v/>
      </c>
      <c r="R80" s="905" t="str">
        <f t="shared" si="141"/>
        <v/>
      </c>
      <c r="S80" s="905" t="str">
        <f t="shared" si="141"/>
        <v/>
      </c>
      <c r="T80" s="905" t="str">
        <f t="shared" si="141"/>
        <v/>
      </c>
      <c r="U80" s="905" t="str">
        <f t="shared" si="141"/>
        <v/>
      </c>
      <c r="V80" s="905" t="str">
        <f t="shared" si="132"/>
        <v/>
      </c>
      <c r="AA80" s="149"/>
      <c r="AB80" s="163">
        <f t="shared" si="133"/>
        <v>0</v>
      </c>
      <c r="AC80" s="164">
        <f t="shared" si="134"/>
        <v>0</v>
      </c>
      <c r="AD80" s="2" t="e">
        <f t="shared" si="135"/>
        <v>#DIV/0!</v>
      </c>
      <c r="AE80" s="2" t="e">
        <f t="shared" si="136"/>
        <v>#DIV/0!</v>
      </c>
      <c r="AF80">
        <f t="shared" si="138"/>
        <v>0</v>
      </c>
    </row>
    <row r="81" spans="1:32" ht="17.25" hidden="1" customHeight="1" outlineLevel="1" x14ac:dyDescent="0.25">
      <c r="A81" s="1557"/>
      <c r="B81" s="1494" t="s">
        <v>3</v>
      </c>
      <c r="C81" s="885" t="str">
        <f>IF(Language="English", 'Language Look Ups'!$P$10,IF(Language="Francais", 'Language Look Ups'!$T$10, 'Language Look Ups'!$R$10))</f>
        <v>Implant de 3 ans (Implanon, Levoplant)</v>
      </c>
      <c r="D81" s="886"/>
      <c r="E81" s="886"/>
      <c r="F81" s="887"/>
      <c r="G81" s="883"/>
      <c r="H81" s="903" t="str">
        <f t="shared" ref="H81:U81" si="142">IF(H$21="", "", IFERROR((H27-G27)/G27, ""))</f>
        <v/>
      </c>
      <c r="I81" s="903" t="str">
        <f t="shared" si="142"/>
        <v/>
      </c>
      <c r="J81" s="903" t="str">
        <f t="shared" si="142"/>
        <v/>
      </c>
      <c r="K81" s="903" t="str">
        <f t="shared" si="140"/>
        <v/>
      </c>
      <c r="L81" s="903" t="str">
        <f t="shared" si="140"/>
        <v/>
      </c>
      <c r="M81" s="903" t="str">
        <f t="shared" si="140"/>
        <v/>
      </c>
      <c r="N81" s="903" t="str">
        <f t="shared" si="131"/>
        <v/>
      </c>
      <c r="O81" s="903" t="str">
        <f t="shared" si="131"/>
        <v/>
      </c>
      <c r="P81" s="903" t="str">
        <f t="shared" si="131"/>
        <v/>
      </c>
      <c r="Q81" s="903" t="str">
        <f t="shared" si="142"/>
        <v/>
      </c>
      <c r="R81" s="903" t="str">
        <f t="shared" si="142"/>
        <v/>
      </c>
      <c r="S81" s="903" t="str">
        <f t="shared" si="142"/>
        <v/>
      </c>
      <c r="T81" s="903" t="str">
        <f t="shared" si="142"/>
        <v/>
      </c>
      <c r="U81" s="903" t="str">
        <f t="shared" si="142"/>
        <v/>
      </c>
      <c r="V81" s="903" t="str">
        <f t="shared" si="132"/>
        <v/>
      </c>
      <c r="AA81" s="148"/>
      <c r="AB81" s="161">
        <f t="shared" si="133"/>
        <v>0</v>
      </c>
      <c r="AC81" s="162">
        <f t="shared" si="134"/>
        <v>0</v>
      </c>
      <c r="AD81" s="2" t="e">
        <f t="shared" si="135"/>
        <v>#DIV/0!</v>
      </c>
      <c r="AE81" s="2" t="e">
        <f t="shared" si="136"/>
        <v>#DIV/0!</v>
      </c>
      <c r="AF81">
        <f t="shared" si="138"/>
        <v>0</v>
      </c>
    </row>
    <row r="82" spans="1:32" ht="17.25" hidden="1" customHeight="1" outlineLevel="1" x14ac:dyDescent="0.25">
      <c r="A82" s="1557"/>
      <c r="B82" s="1496"/>
      <c r="C82" s="891" t="str">
        <f>IF(Language="English", 'Language Look Ups'!$P$11,IF(Language="Francais", 'Language Look Ups'!$T$11, 'Language Look Ups'!$R$11))</f>
        <v>Implant de 4 ans (Sino-Implant)</v>
      </c>
      <c r="D82" s="892"/>
      <c r="E82" s="892"/>
      <c r="F82" s="893"/>
      <c r="G82" s="906"/>
      <c r="H82" s="907" t="str">
        <f t="shared" ref="H82:U82" si="143">IF(H$21="", "", IFERROR((H28-G28)/G28, ""))</f>
        <v/>
      </c>
      <c r="I82" s="907" t="str">
        <f t="shared" si="143"/>
        <v/>
      </c>
      <c r="J82" s="907" t="str">
        <f t="shared" si="143"/>
        <v/>
      </c>
      <c r="K82" s="907" t="str">
        <f t="shared" si="140"/>
        <v/>
      </c>
      <c r="L82" s="907" t="str">
        <f t="shared" si="140"/>
        <v/>
      </c>
      <c r="M82" s="907" t="str">
        <f t="shared" si="140"/>
        <v/>
      </c>
      <c r="N82" s="907" t="str">
        <f>IF(N$21="", "", IFERROR((N28-M28)/M28, ""))</f>
        <v/>
      </c>
      <c r="O82" s="907" t="str">
        <f t="shared" si="143"/>
        <v/>
      </c>
      <c r="P82" s="907" t="str">
        <f t="shared" si="143"/>
        <v/>
      </c>
      <c r="Q82" s="907" t="str">
        <f t="shared" si="143"/>
        <v/>
      </c>
      <c r="R82" s="907" t="str">
        <f t="shared" si="143"/>
        <v/>
      </c>
      <c r="S82" s="907" t="str">
        <f t="shared" si="143"/>
        <v/>
      </c>
      <c r="T82" s="907" t="str">
        <f t="shared" si="143"/>
        <v/>
      </c>
      <c r="U82" s="907" t="str">
        <f t="shared" si="143"/>
        <v/>
      </c>
      <c r="V82" s="907" t="str">
        <f t="shared" si="132"/>
        <v/>
      </c>
      <c r="AB82" s="153">
        <f t="shared" si="133"/>
        <v>0</v>
      </c>
      <c r="AC82" s="154">
        <f t="shared" si="134"/>
        <v>0</v>
      </c>
      <c r="AD82" s="2" t="e">
        <f t="shared" si="135"/>
        <v>#DIV/0!</v>
      </c>
      <c r="AE82" s="2" t="e">
        <f t="shared" si="136"/>
        <v>#DIV/0!</v>
      </c>
      <c r="AF82">
        <f t="shared" si="138"/>
        <v>0</v>
      </c>
    </row>
    <row r="83" spans="1:32" ht="17.25" hidden="1" customHeight="1" outlineLevel="1" thickBot="1" x14ac:dyDescent="0.3">
      <c r="A83" s="1557"/>
      <c r="B83" s="1495"/>
      <c r="C83" s="888" t="str">
        <f>IF(Language="English", 'Language Look Ups'!$P$12,IF(Language="Francais", 'Language Look Ups'!$T$12, 'Language Look Ups'!$R$12))</f>
        <v>Implant de 5 ans (Jadelle)</v>
      </c>
      <c r="D83" s="889"/>
      <c r="E83" s="889"/>
      <c r="F83" s="890"/>
      <c r="G83" s="904"/>
      <c r="H83" s="905" t="str">
        <f t="shared" ref="H83:U83" si="144">IF(H$21="", "", IFERROR((H29-G29)/G29, ""))</f>
        <v/>
      </c>
      <c r="I83" s="905" t="str">
        <f t="shared" si="144"/>
        <v/>
      </c>
      <c r="J83" s="905" t="str">
        <f t="shared" si="144"/>
        <v/>
      </c>
      <c r="K83" s="905" t="str">
        <f t="shared" si="140"/>
        <v/>
      </c>
      <c r="L83" s="905" t="str">
        <f t="shared" si="140"/>
        <v/>
      </c>
      <c r="M83" s="905" t="str">
        <f t="shared" si="140"/>
        <v/>
      </c>
      <c r="N83" s="905" t="str">
        <f>IF(N$21="", "", IFERROR((N29-M29)/M29, ""))</f>
        <v/>
      </c>
      <c r="O83" s="905" t="str">
        <f t="shared" si="144"/>
        <v/>
      </c>
      <c r="P83" s="905" t="str">
        <f t="shared" si="144"/>
        <v/>
      </c>
      <c r="Q83" s="905" t="str">
        <f t="shared" si="144"/>
        <v/>
      </c>
      <c r="R83" s="905" t="str">
        <f t="shared" si="144"/>
        <v/>
      </c>
      <c r="S83" s="905" t="str">
        <f t="shared" si="144"/>
        <v/>
      </c>
      <c r="T83" s="905" t="str">
        <f t="shared" si="144"/>
        <v/>
      </c>
      <c r="U83" s="905" t="str">
        <f t="shared" si="144"/>
        <v/>
      </c>
      <c r="V83" s="905" t="str">
        <f t="shared" si="132"/>
        <v/>
      </c>
      <c r="AA83" s="149"/>
      <c r="AB83" s="163">
        <f t="shared" si="133"/>
        <v>0</v>
      </c>
      <c r="AC83" s="164">
        <f t="shared" si="134"/>
        <v>0</v>
      </c>
      <c r="AD83" s="2" t="e">
        <f t="shared" si="135"/>
        <v>#DIV/0!</v>
      </c>
      <c r="AE83" s="2" t="e">
        <f t="shared" si="136"/>
        <v>#DIV/0!</v>
      </c>
      <c r="AF83">
        <f t="shared" si="138"/>
        <v>0</v>
      </c>
    </row>
    <row r="84" spans="1:32" ht="6" hidden="1" customHeight="1" outlineLevel="1" x14ac:dyDescent="0.25">
      <c r="A84" s="1557"/>
      <c r="C84" s="279"/>
      <c r="AB84" s="153"/>
      <c r="AC84" s="154"/>
      <c r="AD84" s="2" t="e">
        <f t="shared" si="135"/>
        <v>#DIV/0!</v>
      </c>
      <c r="AE84" s="2" t="e">
        <f t="shared" si="136"/>
        <v>#DIV/0!</v>
      </c>
      <c r="AF84">
        <f t="shared" si="138"/>
        <v>0</v>
      </c>
    </row>
    <row r="85" spans="1:32" ht="21.75" hidden="1" customHeight="1" outlineLevel="1" thickBot="1" x14ac:dyDescent="0.3">
      <c r="A85" s="1557"/>
      <c r="B85" s="104" t="s">
        <v>95</v>
      </c>
      <c r="C85" s="104"/>
      <c r="D85" s="51"/>
      <c r="E85" s="50"/>
      <c r="F85" s="42"/>
      <c r="G85" s="158"/>
      <c r="H85" s="159"/>
      <c r="I85" s="158"/>
      <c r="J85" s="159"/>
      <c r="K85" s="158"/>
      <c r="L85" s="159"/>
      <c r="M85" s="158"/>
      <c r="N85" s="159"/>
      <c r="O85" s="158"/>
      <c r="P85" s="159"/>
      <c r="Q85" s="158"/>
      <c r="R85" s="159"/>
      <c r="S85" s="158"/>
      <c r="T85" s="159"/>
      <c r="U85" s="158"/>
      <c r="V85" s="160"/>
      <c r="AB85" s="153"/>
      <c r="AC85" s="154"/>
      <c r="AD85" s="2" t="e">
        <f t="shared" si="135"/>
        <v>#DIV/0!</v>
      </c>
      <c r="AE85" s="2" t="e">
        <f t="shared" si="136"/>
        <v>#DIV/0!</v>
      </c>
      <c r="AF85">
        <f t="shared" si="138"/>
        <v>0</v>
      </c>
    </row>
    <row r="86" spans="1:32" ht="17.25" hidden="1" customHeight="1" outlineLevel="1" x14ac:dyDescent="0.25">
      <c r="A86" s="1557"/>
      <c r="B86" s="1494" t="s">
        <v>2</v>
      </c>
      <c r="C86" s="885" t="str">
        <f>IF(Language="English", 'Language Look Ups'!$P$15,IF(Language="Francais", 'Language Look Ups'!$T$15, 'Language Look Ups'!$R$15))</f>
        <v>Depo Provera (DMPA)</v>
      </c>
      <c r="D86" s="886"/>
      <c r="E86" s="886"/>
      <c r="F86" s="887"/>
      <c r="G86" s="908"/>
      <c r="H86" s="903" t="str">
        <f t="shared" ref="H86:U86" si="145">IF(H$21="", "", IFERROR((H32-G32)/G32, ""))</f>
        <v/>
      </c>
      <c r="I86" s="903" t="str">
        <f t="shared" si="145"/>
        <v/>
      </c>
      <c r="J86" s="903" t="str">
        <f t="shared" si="145"/>
        <v/>
      </c>
      <c r="K86" s="903" t="str">
        <f t="shared" si="145"/>
        <v/>
      </c>
      <c r="L86" s="903" t="str">
        <f t="shared" si="145"/>
        <v/>
      </c>
      <c r="M86" s="903" t="str">
        <f t="shared" si="145"/>
        <v/>
      </c>
      <c r="N86" s="903" t="str">
        <f t="shared" si="145"/>
        <v/>
      </c>
      <c r="O86" s="903" t="str">
        <f t="shared" si="145"/>
        <v/>
      </c>
      <c r="P86" s="903" t="str">
        <f t="shared" si="145"/>
        <v/>
      </c>
      <c r="Q86" s="903" t="str">
        <f t="shared" si="145"/>
        <v/>
      </c>
      <c r="R86" s="903" t="str">
        <f t="shared" si="145"/>
        <v/>
      </c>
      <c r="S86" s="903" t="str">
        <f t="shared" si="145"/>
        <v/>
      </c>
      <c r="T86" s="903" t="str">
        <f t="shared" si="145"/>
        <v/>
      </c>
      <c r="U86" s="903" t="str">
        <f t="shared" si="145"/>
        <v/>
      </c>
      <c r="V86" s="903" t="str">
        <f t="shared" ref="V86:V101" si="146">IF(V$21="", "", IFERROR((V32-U32)/U32, ""))</f>
        <v/>
      </c>
      <c r="AA86" s="148"/>
      <c r="AB86" s="161">
        <f t="shared" ref="AB86:AB101" si="147">COUNTIF(H86:V86, "&lt;-.25")</f>
        <v>0</v>
      </c>
      <c r="AC86" s="162">
        <f t="shared" ref="AC86:AC101" si="148">COUNTIF(H86:V86, "&gt;150%")</f>
        <v>0</v>
      </c>
      <c r="AD86" s="2" t="e">
        <f t="shared" si="135"/>
        <v>#DIV/0!</v>
      </c>
      <c r="AE86" s="2" t="e">
        <f t="shared" si="136"/>
        <v>#DIV/0!</v>
      </c>
      <c r="AF86">
        <f t="shared" si="138"/>
        <v>0</v>
      </c>
    </row>
    <row r="87" spans="1:32" ht="17.25" hidden="1" customHeight="1" outlineLevel="1" x14ac:dyDescent="0.25">
      <c r="A87" s="1557"/>
      <c r="B87" s="1496"/>
      <c r="C87" s="891" t="str">
        <f>IF(Language="English", 'Language Look Ups'!$P$16,IF(Language="Francais", 'Language Look Ups'!$T$16, 'Language Look Ups'!$R$16))</f>
        <v>Noristerat (NET-En)</v>
      </c>
      <c r="D87" s="892"/>
      <c r="E87" s="892"/>
      <c r="F87" s="893"/>
      <c r="G87" s="909"/>
      <c r="H87" s="907" t="str">
        <f t="shared" ref="H87:U87" si="149">IF(H$21="", "", IFERROR((H33-G33)/G33, ""))</f>
        <v/>
      </c>
      <c r="I87" s="907" t="str">
        <f t="shared" si="149"/>
        <v/>
      </c>
      <c r="J87" s="907" t="str">
        <f t="shared" si="149"/>
        <v/>
      </c>
      <c r="K87" s="907" t="str">
        <f t="shared" si="149"/>
        <v/>
      </c>
      <c r="L87" s="907" t="str">
        <f t="shared" si="149"/>
        <v/>
      </c>
      <c r="M87" s="907" t="str">
        <f t="shared" si="149"/>
        <v/>
      </c>
      <c r="N87" s="907" t="str">
        <f t="shared" si="149"/>
        <v/>
      </c>
      <c r="O87" s="907" t="str">
        <f t="shared" si="149"/>
        <v/>
      </c>
      <c r="P87" s="907" t="str">
        <f t="shared" si="149"/>
        <v/>
      </c>
      <c r="Q87" s="907" t="str">
        <f t="shared" si="149"/>
        <v/>
      </c>
      <c r="R87" s="907" t="str">
        <f t="shared" si="149"/>
        <v/>
      </c>
      <c r="S87" s="907" t="str">
        <f t="shared" si="149"/>
        <v/>
      </c>
      <c r="T87" s="907" t="str">
        <f t="shared" si="149"/>
        <v/>
      </c>
      <c r="U87" s="907" t="str">
        <f t="shared" si="149"/>
        <v/>
      </c>
      <c r="V87" s="907" t="str">
        <f t="shared" si="146"/>
        <v/>
      </c>
      <c r="AB87" s="153">
        <f t="shared" si="147"/>
        <v>0</v>
      </c>
      <c r="AC87" s="154">
        <f t="shared" si="148"/>
        <v>0</v>
      </c>
      <c r="AD87" s="2" t="e">
        <f t="shared" si="135"/>
        <v>#DIV/0!</v>
      </c>
      <c r="AE87" s="2" t="e">
        <f t="shared" si="136"/>
        <v>#DIV/0!</v>
      </c>
      <c r="AF87">
        <f t="shared" si="138"/>
        <v>0</v>
      </c>
    </row>
    <row r="88" spans="1:32" ht="17.25" hidden="1" customHeight="1" outlineLevel="1" x14ac:dyDescent="0.25">
      <c r="A88" s="1557"/>
      <c r="B88" s="1496"/>
      <c r="C88" s="891" t="str">
        <f>IF(Language="English",'Language Look Ups'!$P$17,IF(Language="Francais",'Language Look Ups'!$T$17,'Language Look Ups'!$R$17))</f>
        <v>Lunelle</v>
      </c>
      <c r="D88" s="892"/>
      <c r="E88" s="892"/>
      <c r="F88" s="893"/>
      <c r="G88" s="909"/>
      <c r="H88" s="907" t="str">
        <f t="shared" ref="H88:U88" si="150">IF(H$21="", "", IFERROR((H34-G34)/G34, ""))</f>
        <v/>
      </c>
      <c r="I88" s="907" t="str">
        <f t="shared" si="150"/>
        <v/>
      </c>
      <c r="J88" s="907" t="str">
        <f t="shared" si="150"/>
        <v/>
      </c>
      <c r="K88" s="907" t="str">
        <f t="shared" si="150"/>
        <v/>
      </c>
      <c r="L88" s="907" t="str">
        <f t="shared" si="150"/>
        <v/>
      </c>
      <c r="M88" s="907" t="str">
        <f t="shared" si="150"/>
        <v/>
      </c>
      <c r="N88" s="907" t="str">
        <f t="shared" si="150"/>
        <v/>
      </c>
      <c r="O88" s="907" t="str">
        <f t="shared" si="150"/>
        <v/>
      </c>
      <c r="P88" s="907" t="str">
        <f t="shared" si="150"/>
        <v/>
      </c>
      <c r="Q88" s="907" t="str">
        <f t="shared" si="150"/>
        <v/>
      </c>
      <c r="R88" s="907" t="str">
        <f t="shared" si="150"/>
        <v/>
      </c>
      <c r="S88" s="907" t="str">
        <f t="shared" si="150"/>
        <v/>
      </c>
      <c r="T88" s="907" t="str">
        <f t="shared" si="150"/>
        <v/>
      </c>
      <c r="U88" s="907" t="str">
        <f t="shared" si="150"/>
        <v/>
      </c>
      <c r="V88" s="907" t="str">
        <f t="shared" si="146"/>
        <v/>
      </c>
      <c r="AB88" s="153">
        <f t="shared" si="147"/>
        <v>0</v>
      </c>
      <c r="AC88" s="154">
        <f t="shared" si="148"/>
        <v>0</v>
      </c>
      <c r="AD88" s="2" t="e">
        <f t="shared" si="135"/>
        <v>#DIV/0!</v>
      </c>
      <c r="AE88" s="2" t="e">
        <f t="shared" si="136"/>
        <v>#DIV/0!</v>
      </c>
      <c r="AF88">
        <f t="shared" si="138"/>
        <v>0</v>
      </c>
    </row>
    <row r="89" spans="1:32" ht="17.25" hidden="1" customHeight="1" outlineLevel="1" x14ac:dyDescent="0.25">
      <c r="A89" s="1557"/>
      <c r="B89" s="1496"/>
      <c r="C89" s="891" t="str">
        <f>IF(Language="English", 'Language Look Ups'!$P$18,IF(Language="Francais", 'Language Look Ups'!$T$18, 'Language Look Ups'!$R$18))</f>
        <v>Sayana Press</v>
      </c>
      <c r="D89" s="892"/>
      <c r="E89" s="892"/>
      <c r="F89" s="893"/>
      <c r="G89" s="909"/>
      <c r="H89" s="907" t="str">
        <f t="shared" ref="H89:U89" si="151">IF(H$21="", "", IFERROR((H35-G35)/G35, ""))</f>
        <v/>
      </c>
      <c r="I89" s="907" t="str">
        <f t="shared" si="151"/>
        <v/>
      </c>
      <c r="J89" s="907" t="str">
        <f t="shared" si="151"/>
        <v/>
      </c>
      <c r="K89" s="907" t="str">
        <f t="shared" si="151"/>
        <v/>
      </c>
      <c r="L89" s="907" t="str">
        <f t="shared" si="151"/>
        <v/>
      </c>
      <c r="M89" s="907" t="str">
        <f t="shared" si="151"/>
        <v/>
      </c>
      <c r="N89" s="907" t="str">
        <f t="shared" si="151"/>
        <v/>
      </c>
      <c r="O89" s="907" t="str">
        <f t="shared" si="151"/>
        <v/>
      </c>
      <c r="P89" s="907" t="str">
        <f t="shared" si="151"/>
        <v/>
      </c>
      <c r="Q89" s="907" t="str">
        <f t="shared" si="151"/>
        <v/>
      </c>
      <c r="R89" s="907" t="str">
        <f t="shared" si="151"/>
        <v/>
      </c>
      <c r="S89" s="907" t="str">
        <f t="shared" si="151"/>
        <v/>
      </c>
      <c r="T89" s="907" t="str">
        <f t="shared" si="151"/>
        <v/>
      </c>
      <c r="U89" s="907" t="str">
        <f t="shared" si="151"/>
        <v/>
      </c>
      <c r="V89" s="907" t="str">
        <f t="shared" si="146"/>
        <v/>
      </c>
      <c r="AB89" s="153">
        <f t="shared" si="147"/>
        <v>0</v>
      </c>
      <c r="AC89" s="154">
        <f t="shared" si="148"/>
        <v>0</v>
      </c>
      <c r="AD89" s="2" t="e">
        <f t="shared" si="135"/>
        <v>#DIV/0!</v>
      </c>
      <c r="AE89" s="2" t="e">
        <f t="shared" si="136"/>
        <v>#DIV/0!</v>
      </c>
      <c r="AF89">
        <f t="shared" si="138"/>
        <v>0</v>
      </c>
    </row>
    <row r="90" spans="1:32" ht="17.25" hidden="1" customHeight="1" outlineLevel="1" thickBot="1" x14ac:dyDescent="0.3">
      <c r="A90" s="1557"/>
      <c r="B90" s="1495"/>
      <c r="C90" s="888" t="str">
        <f>IF(Language="English", 'Language Look Ups'!$P$19,IF(Language="Francais", 'Language Look Ups'!$T$19, 'Language Look Ups'!$R$19))</f>
        <v>Autre Injectable</v>
      </c>
      <c r="D90" s="889"/>
      <c r="E90" s="889"/>
      <c r="F90" s="890"/>
      <c r="G90" s="910"/>
      <c r="H90" s="905" t="str">
        <f t="shared" ref="H90:U90" si="152">IF(H$21="", "", IFERROR((H36-G36)/G36, ""))</f>
        <v/>
      </c>
      <c r="I90" s="905" t="str">
        <f t="shared" si="152"/>
        <v/>
      </c>
      <c r="J90" s="905" t="str">
        <f t="shared" si="152"/>
        <v/>
      </c>
      <c r="K90" s="905" t="str">
        <f t="shared" si="152"/>
        <v/>
      </c>
      <c r="L90" s="905" t="str">
        <f t="shared" si="152"/>
        <v/>
      </c>
      <c r="M90" s="905" t="str">
        <f t="shared" si="152"/>
        <v/>
      </c>
      <c r="N90" s="905" t="str">
        <f t="shared" si="152"/>
        <v/>
      </c>
      <c r="O90" s="905" t="str">
        <f t="shared" si="152"/>
        <v/>
      </c>
      <c r="P90" s="905" t="str">
        <f t="shared" si="152"/>
        <v/>
      </c>
      <c r="Q90" s="905" t="str">
        <f t="shared" si="152"/>
        <v/>
      </c>
      <c r="R90" s="905" t="str">
        <f t="shared" si="152"/>
        <v/>
      </c>
      <c r="S90" s="905" t="str">
        <f t="shared" si="152"/>
        <v/>
      </c>
      <c r="T90" s="905" t="str">
        <f t="shared" si="152"/>
        <v/>
      </c>
      <c r="U90" s="905" t="str">
        <f t="shared" si="152"/>
        <v/>
      </c>
      <c r="V90" s="905" t="str">
        <f t="shared" si="146"/>
        <v/>
      </c>
      <c r="AA90" s="149"/>
      <c r="AB90" s="163">
        <f t="shared" si="147"/>
        <v>0</v>
      </c>
      <c r="AC90" s="164">
        <f t="shared" si="148"/>
        <v>0</v>
      </c>
      <c r="AD90" s="2" t="e">
        <f t="shared" si="135"/>
        <v>#DIV/0!</v>
      </c>
      <c r="AE90" s="2" t="e">
        <f t="shared" si="136"/>
        <v>#DIV/0!</v>
      </c>
      <c r="AF90">
        <f t="shared" si="138"/>
        <v>0</v>
      </c>
    </row>
    <row r="91" spans="1:32" ht="17.25" hidden="1" customHeight="1" outlineLevel="1" x14ac:dyDescent="0.25">
      <c r="A91" s="1557"/>
      <c r="B91" s="1494" t="s">
        <v>4</v>
      </c>
      <c r="C91" s="885" t="str">
        <f>IF(Language="English", 'Language Look Ups'!$P$20,IF(Language="Francais", 'Language Look Ups'!$T$20, 'Language Look Ups'!$R$20))</f>
        <v>Oraux combinés (COC)</v>
      </c>
      <c r="D91" s="886"/>
      <c r="E91" s="886"/>
      <c r="F91" s="887"/>
      <c r="G91" s="908"/>
      <c r="H91" s="903" t="str">
        <f t="shared" ref="H91:U91" si="153">IF(H$21="", "", IFERROR((H37-G37)/G37, ""))</f>
        <v/>
      </c>
      <c r="I91" s="903" t="str">
        <f t="shared" si="153"/>
        <v/>
      </c>
      <c r="J91" s="903" t="str">
        <f t="shared" si="153"/>
        <v/>
      </c>
      <c r="K91" s="903" t="str">
        <f t="shared" si="153"/>
        <v/>
      </c>
      <c r="L91" s="903" t="str">
        <f t="shared" si="153"/>
        <v/>
      </c>
      <c r="M91" s="903" t="str">
        <f t="shared" si="153"/>
        <v/>
      </c>
      <c r="N91" s="903" t="str">
        <f t="shared" si="153"/>
        <v/>
      </c>
      <c r="O91" s="903" t="str">
        <f t="shared" si="153"/>
        <v/>
      </c>
      <c r="P91" s="903" t="str">
        <f t="shared" si="153"/>
        <v/>
      </c>
      <c r="Q91" s="903" t="str">
        <f t="shared" si="153"/>
        <v/>
      </c>
      <c r="R91" s="903" t="str">
        <f t="shared" si="153"/>
        <v/>
      </c>
      <c r="S91" s="903" t="str">
        <f t="shared" si="153"/>
        <v/>
      </c>
      <c r="T91" s="903" t="str">
        <f t="shared" si="153"/>
        <v/>
      </c>
      <c r="U91" s="903" t="str">
        <f t="shared" si="153"/>
        <v/>
      </c>
      <c r="V91" s="903" t="str">
        <f t="shared" si="146"/>
        <v/>
      </c>
      <c r="AA91" s="148"/>
      <c r="AB91" s="161">
        <f t="shared" si="147"/>
        <v>0</v>
      </c>
      <c r="AC91" s="162">
        <f t="shared" si="148"/>
        <v>0</v>
      </c>
      <c r="AD91" s="2" t="e">
        <f t="shared" si="135"/>
        <v>#DIV/0!</v>
      </c>
      <c r="AE91" s="2" t="e">
        <f t="shared" si="136"/>
        <v>#DIV/0!</v>
      </c>
      <c r="AF91">
        <f t="shared" si="138"/>
        <v>0</v>
      </c>
    </row>
    <row r="92" spans="1:32" ht="17.25" hidden="1" customHeight="1" outlineLevel="1" x14ac:dyDescent="0.25">
      <c r="A92" s="1557"/>
      <c r="B92" s="1496"/>
      <c r="C92" s="891" t="str">
        <f>IF(Language="English", 'Language Look Ups'!$P$21,IF(Language="Francais", 'Language Look Ups'!$T$21, 'Language Look Ups'!$R$21))</f>
        <v>Progestatifs seul (POP)</v>
      </c>
      <c r="D92" s="892"/>
      <c r="E92" s="892"/>
      <c r="F92" s="893"/>
      <c r="G92" s="909"/>
      <c r="H92" s="907" t="str">
        <f t="shared" ref="H92:U92" si="154">IF(H$21="", "", IFERROR((H38-G38)/G38, ""))</f>
        <v/>
      </c>
      <c r="I92" s="907" t="str">
        <f t="shared" si="154"/>
        <v/>
      </c>
      <c r="J92" s="907" t="str">
        <f t="shared" si="154"/>
        <v/>
      </c>
      <c r="K92" s="907" t="str">
        <f t="shared" si="154"/>
        <v/>
      </c>
      <c r="L92" s="907" t="str">
        <f t="shared" si="154"/>
        <v/>
      </c>
      <c r="M92" s="907" t="str">
        <f t="shared" si="154"/>
        <v/>
      </c>
      <c r="N92" s="907" t="str">
        <f t="shared" si="154"/>
        <v/>
      </c>
      <c r="O92" s="907" t="str">
        <f t="shared" si="154"/>
        <v/>
      </c>
      <c r="P92" s="907" t="str">
        <f t="shared" si="154"/>
        <v/>
      </c>
      <c r="Q92" s="907" t="str">
        <f t="shared" si="154"/>
        <v/>
      </c>
      <c r="R92" s="907" t="str">
        <f t="shared" si="154"/>
        <v/>
      </c>
      <c r="S92" s="907" t="str">
        <f t="shared" si="154"/>
        <v/>
      </c>
      <c r="T92" s="907" t="str">
        <f t="shared" si="154"/>
        <v/>
      </c>
      <c r="U92" s="907" t="str">
        <f t="shared" si="154"/>
        <v/>
      </c>
      <c r="V92" s="907" t="str">
        <f t="shared" si="146"/>
        <v/>
      </c>
      <c r="AB92" s="153">
        <f t="shared" si="147"/>
        <v>0</v>
      </c>
      <c r="AC92" s="154">
        <f t="shared" si="148"/>
        <v>0</v>
      </c>
      <c r="AD92" s="2" t="e">
        <f t="shared" si="135"/>
        <v>#DIV/0!</v>
      </c>
      <c r="AE92" s="2" t="e">
        <f t="shared" si="136"/>
        <v>#DIV/0!</v>
      </c>
      <c r="AF92">
        <f t="shared" si="138"/>
        <v>0</v>
      </c>
    </row>
    <row r="93" spans="1:32" ht="17.25" hidden="1" customHeight="1" outlineLevel="1" thickBot="1" x14ac:dyDescent="0.3">
      <c r="A93" s="1557"/>
      <c r="B93" s="1495"/>
      <c r="C93" s="888" t="str">
        <f>IF(Language="English", 'Language Look Ups'!$P$22,IF(Language="Francais", 'Language Look Ups'!$T$22, 'Language Look Ups'!$R$22))</f>
        <v>Autre pilule</v>
      </c>
      <c r="D93" s="889"/>
      <c r="E93" s="889"/>
      <c r="F93" s="890"/>
      <c r="G93" s="910"/>
      <c r="H93" s="905" t="str">
        <f t="shared" ref="H93:U93" si="155">IF(H$21="", "", IFERROR((H39-G39)/G39, ""))</f>
        <v/>
      </c>
      <c r="I93" s="905" t="str">
        <f t="shared" si="155"/>
        <v/>
      </c>
      <c r="J93" s="905" t="str">
        <f t="shared" si="155"/>
        <v/>
      </c>
      <c r="K93" s="905" t="str">
        <f t="shared" si="155"/>
        <v/>
      </c>
      <c r="L93" s="905" t="str">
        <f t="shared" si="155"/>
        <v/>
      </c>
      <c r="M93" s="905" t="str">
        <f t="shared" si="155"/>
        <v/>
      </c>
      <c r="N93" s="905" t="str">
        <f t="shared" si="155"/>
        <v/>
      </c>
      <c r="O93" s="905" t="str">
        <f t="shared" si="155"/>
        <v/>
      </c>
      <c r="P93" s="905" t="str">
        <f t="shared" si="155"/>
        <v/>
      </c>
      <c r="Q93" s="905" t="str">
        <f t="shared" si="155"/>
        <v/>
      </c>
      <c r="R93" s="905" t="str">
        <f t="shared" si="155"/>
        <v/>
      </c>
      <c r="S93" s="905" t="str">
        <f t="shared" si="155"/>
        <v/>
      </c>
      <c r="T93" s="905" t="str">
        <f t="shared" si="155"/>
        <v/>
      </c>
      <c r="U93" s="905" t="str">
        <f t="shared" si="155"/>
        <v/>
      </c>
      <c r="V93" s="905" t="str">
        <f t="shared" si="146"/>
        <v/>
      </c>
      <c r="AA93" s="149"/>
      <c r="AB93" s="163">
        <f t="shared" si="147"/>
        <v>0</v>
      </c>
      <c r="AC93" s="164">
        <f t="shared" si="148"/>
        <v>0</v>
      </c>
      <c r="AD93" s="2" t="e">
        <f t="shared" si="135"/>
        <v>#DIV/0!</v>
      </c>
      <c r="AE93" s="2" t="e">
        <f t="shared" si="136"/>
        <v>#DIV/0!</v>
      </c>
      <c r="AF93">
        <f t="shared" si="138"/>
        <v>0</v>
      </c>
    </row>
    <row r="94" spans="1:32" ht="17.25" hidden="1" customHeight="1" outlineLevel="1" x14ac:dyDescent="0.25">
      <c r="A94" s="1557"/>
      <c r="B94" s="1494" t="s">
        <v>0</v>
      </c>
      <c r="C94" s="885" t="str">
        <f>IF(Language="English", 'Language Look Ups'!$P$23,IF(Language="Francais", 'Language Look Ups'!$T$23, 'Language Look Ups'!$R$23))</f>
        <v>Préservatifs masculin</v>
      </c>
      <c r="D94" s="886"/>
      <c r="E94" s="886"/>
      <c r="F94" s="887"/>
      <c r="G94" s="908"/>
      <c r="H94" s="903" t="str">
        <f t="shared" ref="H94:U94" si="156">IF(H$21="", "", IFERROR((H40-G40)/G40, ""))</f>
        <v/>
      </c>
      <c r="I94" s="903" t="str">
        <f t="shared" si="156"/>
        <v/>
      </c>
      <c r="J94" s="903" t="str">
        <f t="shared" si="156"/>
        <v/>
      </c>
      <c r="K94" s="903" t="str">
        <f t="shared" si="156"/>
        <v/>
      </c>
      <c r="L94" s="903" t="str">
        <f t="shared" si="156"/>
        <v/>
      </c>
      <c r="M94" s="903" t="str">
        <f t="shared" si="156"/>
        <v/>
      </c>
      <c r="N94" s="903" t="str">
        <f t="shared" si="156"/>
        <v/>
      </c>
      <c r="O94" s="903" t="str">
        <f t="shared" si="156"/>
        <v/>
      </c>
      <c r="P94" s="903" t="str">
        <f t="shared" si="156"/>
        <v/>
      </c>
      <c r="Q94" s="903" t="str">
        <f t="shared" si="156"/>
        <v/>
      </c>
      <c r="R94" s="903" t="str">
        <f t="shared" si="156"/>
        <v/>
      </c>
      <c r="S94" s="903" t="str">
        <f t="shared" si="156"/>
        <v/>
      </c>
      <c r="T94" s="903" t="str">
        <f t="shared" si="156"/>
        <v/>
      </c>
      <c r="U94" s="903" t="str">
        <f t="shared" si="156"/>
        <v/>
      </c>
      <c r="V94" s="903" t="str">
        <f t="shared" si="146"/>
        <v/>
      </c>
      <c r="AA94" s="148"/>
      <c r="AB94" s="161">
        <f t="shared" si="147"/>
        <v>0</v>
      </c>
      <c r="AC94" s="162">
        <f t="shared" si="148"/>
        <v>0</v>
      </c>
      <c r="AD94" s="2" t="e">
        <f t="shared" si="135"/>
        <v>#DIV/0!</v>
      </c>
      <c r="AE94" s="2" t="e">
        <f t="shared" si="136"/>
        <v>#DIV/0!</v>
      </c>
      <c r="AF94">
        <f t="shared" si="138"/>
        <v>0</v>
      </c>
    </row>
    <row r="95" spans="1:32" ht="17.25" hidden="1" customHeight="1" outlineLevel="1" thickBot="1" x14ac:dyDescent="0.3">
      <c r="A95" s="1557"/>
      <c r="B95" s="1495"/>
      <c r="C95" s="888" t="str">
        <f>IF(Language="English", 'Language Look Ups'!$P$24,IF(Language="Francais", 'Language Look Ups'!$T$24, 'Language Look Ups'!$R$24))</f>
        <v>Préservatifs feminin</v>
      </c>
      <c r="D95" s="889"/>
      <c r="E95" s="889"/>
      <c r="F95" s="890"/>
      <c r="G95" s="910"/>
      <c r="H95" s="905" t="str">
        <f t="shared" ref="H95:U95" si="157">IF(H$21="", "", IFERROR((H41-G41)/G41, ""))</f>
        <v/>
      </c>
      <c r="I95" s="905" t="str">
        <f t="shared" si="157"/>
        <v/>
      </c>
      <c r="J95" s="905" t="str">
        <f t="shared" si="157"/>
        <v/>
      </c>
      <c r="K95" s="905" t="str">
        <f t="shared" si="157"/>
        <v/>
      </c>
      <c r="L95" s="905" t="str">
        <f t="shared" si="157"/>
        <v/>
      </c>
      <c r="M95" s="905" t="str">
        <f t="shared" si="157"/>
        <v/>
      </c>
      <c r="N95" s="905" t="str">
        <f t="shared" si="157"/>
        <v/>
      </c>
      <c r="O95" s="905" t="str">
        <f t="shared" si="157"/>
        <v/>
      </c>
      <c r="P95" s="905" t="str">
        <f t="shared" si="157"/>
        <v/>
      </c>
      <c r="Q95" s="905" t="str">
        <f t="shared" si="157"/>
        <v/>
      </c>
      <c r="R95" s="905" t="str">
        <f t="shared" si="157"/>
        <v/>
      </c>
      <c r="S95" s="905" t="str">
        <f t="shared" si="157"/>
        <v/>
      </c>
      <c r="T95" s="905" t="str">
        <f t="shared" si="157"/>
        <v/>
      </c>
      <c r="U95" s="905" t="str">
        <f t="shared" si="157"/>
        <v/>
      </c>
      <c r="V95" s="905" t="str">
        <f t="shared" si="146"/>
        <v/>
      </c>
      <c r="AA95" s="149"/>
      <c r="AB95" s="163">
        <f t="shared" si="147"/>
        <v>0</v>
      </c>
      <c r="AC95" s="164">
        <f t="shared" si="148"/>
        <v>0</v>
      </c>
      <c r="AD95" s="2" t="e">
        <f t="shared" si="135"/>
        <v>#DIV/0!</v>
      </c>
      <c r="AE95" s="2" t="e">
        <f t="shared" si="136"/>
        <v>#DIV/0!</v>
      </c>
      <c r="AF95">
        <f t="shared" si="138"/>
        <v>0</v>
      </c>
    </row>
    <row r="96" spans="1:32" ht="17.25" hidden="1" customHeight="1" outlineLevel="1" x14ac:dyDescent="0.25">
      <c r="A96" s="1557"/>
      <c r="B96" s="1494" t="s">
        <v>93</v>
      </c>
      <c r="C96" s="885" t="str">
        <f>IF(Language="English", 'Language Look Ups'!$P$25,IF(Language="Francais", 'Language Look Ups'!$T$25, 'Language Look Ups'!$R$25))</f>
        <v>MAMA</v>
      </c>
      <c r="D96" s="886"/>
      <c r="E96" s="886"/>
      <c r="F96" s="887"/>
      <c r="G96" s="908"/>
      <c r="H96" s="903" t="str">
        <f t="shared" ref="H96:U96" si="158">IF(H$21="", "", IFERROR((H42-G42)/G42, ""))</f>
        <v/>
      </c>
      <c r="I96" s="903" t="str">
        <f t="shared" si="158"/>
        <v/>
      </c>
      <c r="J96" s="903" t="str">
        <f t="shared" si="158"/>
        <v/>
      </c>
      <c r="K96" s="903" t="str">
        <f t="shared" si="158"/>
        <v/>
      </c>
      <c r="L96" s="903" t="str">
        <f t="shared" si="158"/>
        <v/>
      </c>
      <c r="M96" s="903" t="str">
        <f t="shared" si="158"/>
        <v/>
      </c>
      <c r="N96" s="903" t="str">
        <f t="shared" si="158"/>
        <v/>
      </c>
      <c r="O96" s="903" t="str">
        <f t="shared" si="158"/>
        <v/>
      </c>
      <c r="P96" s="903" t="str">
        <f t="shared" si="158"/>
        <v/>
      </c>
      <c r="Q96" s="903" t="str">
        <f t="shared" si="158"/>
        <v/>
      </c>
      <c r="R96" s="903" t="str">
        <f t="shared" si="158"/>
        <v/>
      </c>
      <c r="S96" s="903" t="str">
        <f t="shared" si="158"/>
        <v/>
      </c>
      <c r="T96" s="903" t="str">
        <f t="shared" si="158"/>
        <v/>
      </c>
      <c r="U96" s="903" t="str">
        <f t="shared" si="158"/>
        <v/>
      </c>
      <c r="V96" s="903" t="str">
        <f t="shared" si="146"/>
        <v/>
      </c>
      <c r="AA96" s="148"/>
      <c r="AB96" s="161">
        <f t="shared" si="147"/>
        <v>0</v>
      </c>
      <c r="AC96" s="162">
        <f t="shared" si="148"/>
        <v>0</v>
      </c>
      <c r="AD96" s="2" t="e">
        <f t="shared" si="135"/>
        <v>#DIV/0!</v>
      </c>
      <c r="AE96" s="2" t="e">
        <f t="shared" si="136"/>
        <v>#DIV/0!</v>
      </c>
      <c r="AF96">
        <f t="shared" si="138"/>
        <v>0</v>
      </c>
    </row>
    <row r="97" spans="1:115" ht="17.25" hidden="1" customHeight="1" outlineLevel="1" x14ac:dyDescent="0.25">
      <c r="A97" s="1557"/>
      <c r="B97" s="1496"/>
      <c r="C97" s="891" t="str">
        <f>IF(Language="English", 'Language Look Ups'!$P$26,IF(Language="Francais", 'Language Look Ups'!$T$26, 'Language Look Ups'!$R$26))</f>
        <v>MJF (Jours fixes)</v>
      </c>
      <c r="D97" s="892"/>
      <c r="E97" s="892"/>
      <c r="F97" s="893"/>
      <c r="G97" s="909"/>
      <c r="H97" s="907" t="str">
        <f t="shared" ref="H97:U97" si="159">IF(H$21="", "", IFERROR((H43-G43)/G43, ""))</f>
        <v/>
      </c>
      <c r="I97" s="907" t="str">
        <f t="shared" si="159"/>
        <v/>
      </c>
      <c r="J97" s="907" t="str">
        <f t="shared" si="159"/>
        <v/>
      </c>
      <c r="K97" s="907" t="str">
        <f t="shared" si="159"/>
        <v/>
      </c>
      <c r="L97" s="907" t="str">
        <f t="shared" si="159"/>
        <v/>
      </c>
      <c r="M97" s="907" t="str">
        <f t="shared" si="159"/>
        <v/>
      </c>
      <c r="N97" s="907" t="str">
        <f t="shared" si="159"/>
        <v/>
      </c>
      <c r="O97" s="907" t="str">
        <f t="shared" si="159"/>
        <v/>
      </c>
      <c r="P97" s="907" t="str">
        <f t="shared" si="159"/>
        <v/>
      </c>
      <c r="Q97" s="907" t="str">
        <f t="shared" si="159"/>
        <v/>
      </c>
      <c r="R97" s="907" t="str">
        <f t="shared" si="159"/>
        <v/>
      </c>
      <c r="S97" s="907" t="str">
        <f t="shared" si="159"/>
        <v/>
      </c>
      <c r="T97" s="907" t="str">
        <f t="shared" si="159"/>
        <v/>
      </c>
      <c r="U97" s="907" t="str">
        <f t="shared" si="159"/>
        <v/>
      </c>
      <c r="V97" s="907" t="str">
        <f t="shared" si="146"/>
        <v/>
      </c>
      <c r="AB97" s="153">
        <f t="shared" si="147"/>
        <v>0</v>
      </c>
      <c r="AC97" s="154">
        <f t="shared" si="148"/>
        <v>0</v>
      </c>
      <c r="AD97" s="2" t="e">
        <f t="shared" si="135"/>
        <v>#DIV/0!</v>
      </c>
      <c r="AE97" s="2" t="e">
        <f t="shared" si="136"/>
        <v>#DIV/0!</v>
      </c>
      <c r="AF97">
        <f t="shared" si="138"/>
        <v>0</v>
      </c>
    </row>
    <row r="98" spans="1:115" ht="17.25" hidden="1" customHeight="1" outlineLevel="1" x14ac:dyDescent="0.25">
      <c r="A98" s="1557"/>
      <c r="B98" s="1496"/>
      <c r="C98" s="891" t="str">
        <f>IF(Language="English", 'Language Look Ups'!$P$27,IF(Language="Francais", 'Language Look Ups'!$T$27, 'Language Look Ups'!$R$27))</f>
        <v>Barrière vaginale</v>
      </c>
      <c r="D98" s="892"/>
      <c r="E98" s="892"/>
      <c r="F98" s="893"/>
      <c r="G98" s="909"/>
      <c r="H98" s="907" t="str">
        <f t="shared" ref="H98:U98" si="160">IF(H$21="", "", IFERROR((H44-G44)/G44, ""))</f>
        <v/>
      </c>
      <c r="I98" s="907" t="str">
        <f t="shared" si="160"/>
        <v/>
      </c>
      <c r="J98" s="907" t="str">
        <f t="shared" si="160"/>
        <v/>
      </c>
      <c r="K98" s="907" t="str">
        <f t="shared" si="160"/>
        <v/>
      </c>
      <c r="L98" s="907" t="str">
        <f t="shared" si="160"/>
        <v/>
      </c>
      <c r="M98" s="907" t="str">
        <f t="shared" si="160"/>
        <v/>
      </c>
      <c r="N98" s="907" t="str">
        <f t="shared" si="160"/>
        <v/>
      </c>
      <c r="O98" s="907" t="str">
        <f t="shared" si="160"/>
        <v/>
      </c>
      <c r="P98" s="907" t="str">
        <f t="shared" si="160"/>
        <v/>
      </c>
      <c r="Q98" s="907" t="str">
        <f t="shared" si="160"/>
        <v/>
      </c>
      <c r="R98" s="907" t="str">
        <f t="shared" si="160"/>
        <v/>
      </c>
      <c r="S98" s="907" t="str">
        <f t="shared" si="160"/>
        <v/>
      </c>
      <c r="T98" s="907" t="str">
        <f t="shared" si="160"/>
        <v/>
      </c>
      <c r="U98" s="907" t="str">
        <f t="shared" si="160"/>
        <v/>
      </c>
      <c r="V98" s="907" t="str">
        <f t="shared" si="146"/>
        <v/>
      </c>
      <c r="AB98" s="153">
        <f t="shared" si="147"/>
        <v>0</v>
      </c>
      <c r="AC98" s="154">
        <f t="shared" si="148"/>
        <v>0</v>
      </c>
      <c r="AD98" s="2" t="e">
        <f t="shared" si="135"/>
        <v>#DIV/0!</v>
      </c>
      <c r="AE98" s="2" t="e">
        <f t="shared" si="136"/>
        <v>#DIV/0!</v>
      </c>
      <c r="AF98">
        <f t="shared" si="138"/>
        <v>0</v>
      </c>
    </row>
    <row r="99" spans="1:115" ht="17.25" hidden="1" customHeight="1" outlineLevel="1" thickBot="1" x14ac:dyDescent="0.3">
      <c r="A99" s="1557"/>
      <c r="B99" s="1495"/>
      <c r="C99" s="888" t="str">
        <f>IF(Language="English", 'Language Look Ups'!$P$28,IF(Language="Francais", 'Language Look Ups'!$T$28, 'Language Look Ups'!$R$28))</f>
        <v>Spermicides</v>
      </c>
      <c r="D99" s="889"/>
      <c r="E99" s="889"/>
      <c r="F99" s="890"/>
      <c r="G99" s="910"/>
      <c r="H99" s="905" t="str">
        <f t="shared" ref="H99:U99" si="161">IF(H$21="", "", IFERROR((H45-G45)/G45, ""))</f>
        <v/>
      </c>
      <c r="I99" s="905" t="str">
        <f t="shared" si="161"/>
        <v/>
      </c>
      <c r="J99" s="905" t="str">
        <f t="shared" si="161"/>
        <v/>
      </c>
      <c r="K99" s="905" t="str">
        <f t="shared" si="161"/>
        <v/>
      </c>
      <c r="L99" s="905" t="str">
        <f t="shared" si="161"/>
        <v/>
      </c>
      <c r="M99" s="905" t="str">
        <f t="shared" si="161"/>
        <v/>
      </c>
      <c r="N99" s="905" t="str">
        <f t="shared" si="161"/>
        <v/>
      </c>
      <c r="O99" s="905" t="str">
        <f t="shared" si="161"/>
        <v/>
      </c>
      <c r="P99" s="905" t="str">
        <f t="shared" si="161"/>
        <v/>
      </c>
      <c r="Q99" s="905" t="str">
        <f t="shared" si="161"/>
        <v/>
      </c>
      <c r="R99" s="905" t="str">
        <f t="shared" si="161"/>
        <v/>
      </c>
      <c r="S99" s="905" t="str">
        <f t="shared" si="161"/>
        <v/>
      </c>
      <c r="T99" s="905" t="str">
        <f t="shared" si="161"/>
        <v/>
      </c>
      <c r="U99" s="905" t="str">
        <f t="shared" si="161"/>
        <v/>
      </c>
      <c r="V99" s="905" t="str">
        <f t="shared" si="146"/>
        <v/>
      </c>
      <c r="AA99" s="149"/>
      <c r="AB99" s="163">
        <f t="shared" si="147"/>
        <v>0</v>
      </c>
      <c r="AC99" s="164">
        <f t="shared" si="148"/>
        <v>0</v>
      </c>
      <c r="AD99" s="2" t="e">
        <f t="shared" si="135"/>
        <v>#DIV/0!</v>
      </c>
      <c r="AE99" s="2" t="e">
        <f t="shared" si="136"/>
        <v>#DIV/0!</v>
      </c>
      <c r="AF99">
        <f t="shared" si="138"/>
        <v>0</v>
      </c>
    </row>
    <row r="100" spans="1:115" ht="36" hidden="1" customHeight="1" outlineLevel="1" thickBot="1" x14ac:dyDescent="0.3">
      <c r="A100" s="1557"/>
      <c r="B100" s="911" t="s">
        <v>7</v>
      </c>
      <c r="C100" s="895" t="str">
        <f>IF(Language="English", 'Language Look Ups'!$P$29,IF(Language="Francais", 'Language Look Ups'!$T$29, 'Language Look Ups'!$R$29))</f>
        <v>CU</v>
      </c>
      <c r="D100" s="896"/>
      <c r="E100" s="896"/>
      <c r="F100" s="897"/>
      <c r="G100" s="912"/>
      <c r="H100" s="913" t="str">
        <f t="shared" ref="H100:U100" si="162">IF(H$21="", "", IFERROR((H46-G46)/G46, ""))</f>
        <v/>
      </c>
      <c r="I100" s="913" t="str">
        <f t="shared" si="162"/>
        <v/>
      </c>
      <c r="J100" s="913" t="str">
        <f t="shared" si="162"/>
        <v/>
      </c>
      <c r="K100" s="913" t="str">
        <f t="shared" si="162"/>
        <v/>
      </c>
      <c r="L100" s="913" t="str">
        <f t="shared" si="162"/>
        <v/>
      </c>
      <c r="M100" s="913" t="str">
        <f t="shared" si="162"/>
        <v/>
      </c>
      <c r="N100" s="913" t="str">
        <f t="shared" si="162"/>
        <v/>
      </c>
      <c r="O100" s="913" t="str">
        <f t="shared" si="162"/>
        <v/>
      </c>
      <c r="P100" s="913" t="str">
        <f t="shared" si="162"/>
        <v/>
      </c>
      <c r="Q100" s="913" t="str">
        <f t="shared" si="162"/>
        <v/>
      </c>
      <c r="R100" s="913" t="str">
        <f t="shared" si="162"/>
        <v/>
      </c>
      <c r="S100" s="913" t="str">
        <f t="shared" si="162"/>
        <v/>
      </c>
      <c r="T100" s="913" t="str">
        <f t="shared" si="162"/>
        <v/>
      </c>
      <c r="U100" s="913" t="str">
        <f t="shared" si="162"/>
        <v/>
      </c>
      <c r="V100" s="913" t="str">
        <f t="shared" si="146"/>
        <v/>
      </c>
      <c r="AA100" s="151"/>
      <c r="AB100" s="165">
        <f t="shared" si="147"/>
        <v>0</v>
      </c>
      <c r="AC100" s="166">
        <f t="shared" si="148"/>
        <v>0</v>
      </c>
      <c r="AD100" s="2" t="e">
        <f t="shared" si="135"/>
        <v>#DIV/0!</v>
      </c>
      <c r="AE100" s="2" t="e">
        <f t="shared" si="136"/>
        <v>#DIV/0!</v>
      </c>
      <c r="AF100">
        <f t="shared" si="138"/>
        <v>0</v>
      </c>
    </row>
    <row r="101" spans="1:115" ht="12.75" hidden="1" customHeight="1" outlineLevel="1" thickBot="1" x14ac:dyDescent="0.3">
      <c r="A101" s="1557"/>
      <c r="B101" s="914"/>
      <c r="C101" s="914"/>
      <c r="D101" s="914"/>
      <c r="E101" s="914"/>
      <c r="F101" s="914"/>
      <c r="G101" s="912"/>
      <c r="H101" s="913" t="str">
        <f t="shared" ref="H101:U101" si="163">IF(H$21="", "", IFERROR((H47-G47)/G47, ""))</f>
        <v/>
      </c>
      <c r="I101" s="913" t="str">
        <f t="shared" si="163"/>
        <v/>
      </c>
      <c r="J101" s="913" t="str">
        <f t="shared" si="163"/>
        <v/>
      </c>
      <c r="K101" s="913" t="str">
        <f t="shared" si="163"/>
        <v/>
      </c>
      <c r="L101" s="913" t="str">
        <f t="shared" si="163"/>
        <v/>
      </c>
      <c r="M101" s="913" t="str">
        <f t="shared" si="163"/>
        <v/>
      </c>
      <c r="N101" s="913" t="str">
        <f t="shared" si="163"/>
        <v/>
      </c>
      <c r="O101" s="913" t="str">
        <f t="shared" si="163"/>
        <v/>
      </c>
      <c r="P101" s="913" t="str">
        <f t="shared" si="163"/>
        <v/>
      </c>
      <c r="Q101" s="913" t="str">
        <f t="shared" si="163"/>
        <v/>
      </c>
      <c r="R101" s="913" t="str">
        <f t="shared" si="163"/>
        <v/>
      </c>
      <c r="S101" s="913" t="str">
        <f t="shared" si="163"/>
        <v/>
      </c>
      <c r="T101" s="913" t="str">
        <f t="shared" si="163"/>
        <v/>
      </c>
      <c r="U101" s="913" t="str">
        <f t="shared" si="163"/>
        <v/>
      </c>
      <c r="V101" s="913" t="str">
        <f t="shared" si="146"/>
        <v/>
      </c>
      <c r="AB101" s="165">
        <f t="shared" si="147"/>
        <v>0</v>
      </c>
      <c r="AC101" s="166">
        <f t="shared" si="148"/>
        <v>0</v>
      </c>
      <c r="AD101" s="2">
        <f t="shared" si="135"/>
        <v>0</v>
      </c>
      <c r="AE101" s="2" t="e">
        <f t="shared" si="136"/>
        <v>#DIV/0!</v>
      </c>
      <c r="AF101">
        <f t="shared" si="138"/>
        <v>0</v>
      </c>
    </row>
    <row r="102" spans="1:115" ht="12.75" customHeight="1" collapsed="1" x14ac:dyDescent="0.25"/>
    <row r="103" spans="1:115" ht="23.25" customHeight="1" thickBot="1" x14ac:dyDescent="0.45">
      <c r="B103" s="243" t="str">
        <f>IF(Language="Francais", BC103, BA103)</f>
        <v>ÉTAPE 3 of 3. EXAMINER VOS DONNÉES</v>
      </c>
      <c r="C103" s="232"/>
      <c r="D103" s="232"/>
      <c r="E103" s="232"/>
      <c r="F103" s="232"/>
      <c r="G103" s="232"/>
      <c r="H103" s="232"/>
      <c r="I103" s="232"/>
      <c r="J103" s="232"/>
      <c r="K103" s="232"/>
      <c r="L103" s="232"/>
      <c r="M103" s="232"/>
      <c r="N103" s="232"/>
      <c r="O103" s="232"/>
      <c r="P103" s="232"/>
      <c r="Q103" s="232"/>
      <c r="R103" s="232"/>
      <c r="S103" s="232"/>
      <c r="T103" s="232"/>
      <c r="U103" s="232"/>
      <c r="V103" s="232"/>
      <c r="BA103" s="184" t="s">
        <v>1074</v>
      </c>
      <c r="BC103" s="184" t="s">
        <v>1075</v>
      </c>
    </row>
    <row r="104" spans="1:115" ht="17.25" customHeight="1" x14ac:dyDescent="0.25">
      <c r="B104" t="str">
        <f>IF(Language="Francais", BC104, BA104)</f>
        <v xml:space="preserve">Examinez les graphiques ci-dessous illustrant les données que vous avez saisies ci-dessus. Veillez aux anomalies qui pourraient indiquer des erreurs. Une fois que vous avez validé les données, cliquez sur la flèche pour réviser vos résultats. </v>
      </c>
      <c r="BA104" t="s">
        <v>113</v>
      </c>
      <c r="BC104" t="s">
        <v>823</v>
      </c>
    </row>
    <row r="105" spans="1:115" ht="9.75" customHeight="1" thickBot="1" x14ac:dyDescent="0.3"/>
    <row r="106" spans="1:115" s="41" customFormat="1" ht="18.75" customHeight="1" x14ac:dyDescent="0.25">
      <c r="B106" s="1524" t="str">
        <f>B23</f>
        <v>Stérilisation</v>
      </c>
      <c r="C106" s="1525"/>
      <c r="D106" s="1526"/>
      <c r="G106" s="1504" t="str">
        <f>B25</f>
        <v>DIU</v>
      </c>
      <c r="H106" s="1505"/>
      <c r="I106" s="1505"/>
      <c r="J106" s="1505"/>
      <c r="K106" s="1506"/>
      <c r="M106" s="1504" t="str">
        <f>B27</f>
        <v>Implant</v>
      </c>
      <c r="N106" s="1505"/>
      <c r="O106" s="1505"/>
      <c r="P106" s="1505"/>
      <c r="Q106" s="1506"/>
      <c r="W106"/>
      <c r="X106"/>
      <c r="Y106"/>
      <c r="Z106"/>
      <c r="AA106"/>
      <c r="AS106"/>
      <c r="AT106"/>
      <c r="AU106"/>
      <c r="AV106"/>
      <c r="AW106"/>
      <c r="AX106"/>
      <c r="AY106"/>
      <c r="AZ106"/>
      <c r="BA106" s="184"/>
      <c r="BB106" s="184"/>
      <c r="BC106" s="184"/>
      <c r="BD106"/>
      <c r="BE106"/>
      <c r="BF106"/>
      <c r="BG106"/>
      <c r="BH106"/>
      <c r="BI106" s="182"/>
      <c r="DK106"/>
    </row>
    <row r="107" spans="1:115" x14ac:dyDescent="0.25">
      <c r="B107" s="105"/>
      <c r="D107" s="106"/>
      <c r="G107" s="142"/>
      <c r="K107" s="143"/>
      <c r="M107" s="142"/>
      <c r="Q107" s="143"/>
    </row>
    <row r="108" spans="1:115" x14ac:dyDescent="0.25">
      <c r="B108" s="105"/>
      <c r="D108" s="106"/>
      <c r="G108" s="142"/>
      <c r="K108" s="143"/>
      <c r="M108" s="142"/>
      <c r="Q108" s="143"/>
    </row>
    <row r="109" spans="1:115" x14ac:dyDescent="0.25">
      <c r="B109" s="105"/>
      <c r="D109" s="106"/>
      <c r="G109" s="142"/>
      <c r="K109" s="143"/>
      <c r="M109" s="142"/>
      <c r="Q109" s="143"/>
    </row>
    <row r="110" spans="1:115" x14ac:dyDescent="0.25">
      <c r="B110" s="105"/>
      <c r="C110" s="18"/>
      <c r="D110" s="107"/>
      <c r="E110" s="18"/>
      <c r="F110" s="18"/>
      <c r="G110" s="144"/>
      <c r="H110" s="18"/>
      <c r="I110" s="18"/>
      <c r="J110" s="18"/>
      <c r="K110" s="145"/>
      <c r="L110" s="18"/>
      <c r="M110" s="144"/>
      <c r="N110" s="18"/>
      <c r="O110" s="18"/>
      <c r="P110" s="18"/>
      <c r="Q110" s="145"/>
      <c r="S110" s="18"/>
      <c r="T110" s="18"/>
      <c r="U110" s="18"/>
      <c r="V110" s="18"/>
      <c r="AB110" s="18"/>
      <c r="AC110" s="18"/>
      <c r="AD110" s="18"/>
      <c r="AE110" s="18"/>
      <c r="AF110" s="18"/>
      <c r="AG110" s="18"/>
      <c r="AH110" s="18"/>
      <c r="AI110" s="18"/>
      <c r="AJ110" s="18" t="str">
        <f>IF(AJ20="", "", "x")</f>
        <v/>
      </c>
      <c r="AK110" s="18" t="str">
        <f>IF(AJ20="", "", "x")</f>
        <v/>
      </c>
      <c r="AL110" s="18" t="str">
        <f>IF(AL20="", "", "x")</f>
        <v/>
      </c>
      <c r="AM110" s="18" t="str">
        <f>IF(AL20="", "", "x")</f>
        <v/>
      </c>
      <c r="AN110" s="18" t="str">
        <f>IF(AN20="", "", "x")</f>
        <v/>
      </c>
      <c r="AO110" s="18" t="str">
        <f>IF(AN20="", "", "x")</f>
        <v/>
      </c>
      <c r="AP110" s="18" t="str">
        <f>IF(AP20="", "", "x")</f>
        <v/>
      </c>
      <c r="AQ110" s="18" t="str">
        <f>IF(AP20="", "", "x")</f>
        <v/>
      </c>
    </row>
    <row r="111" spans="1:115" x14ac:dyDescent="0.25">
      <c r="B111" s="105"/>
      <c r="D111" s="106"/>
      <c r="G111" s="142"/>
      <c r="K111" s="143"/>
      <c r="M111" s="142"/>
      <c r="Q111" s="143"/>
    </row>
    <row r="112" spans="1:115" x14ac:dyDescent="0.25">
      <c r="B112" s="105"/>
      <c r="D112" s="106"/>
      <c r="G112" s="142"/>
      <c r="K112" s="143"/>
      <c r="M112" s="142"/>
      <c r="Q112" s="143"/>
    </row>
    <row r="113" spans="1:17" x14ac:dyDescent="0.25">
      <c r="B113" s="105"/>
      <c r="D113" s="106"/>
      <c r="G113" s="142"/>
      <c r="K113" s="143"/>
      <c r="M113" s="142"/>
      <c r="Q113" s="143"/>
    </row>
    <row r="114" spans="1:17" x14ac:dyDescent="0.25">
      <c r="B114" s="108"/>
      <c r="D114" s="106"/>
      <c r="G114" s="142"/>
      <c r="K114" s="143"/>
      <c r="M114" s="142"/>
      <c r="Q114" s="143"/>
    </row>
    <row r="115" spans="1:17" x14ac:dyDescent="0.25">
      <c r="B115" s="105"/>
      <c r="D115" s="106"/>
      <c r="G115" s="142"/>
      <c r="K115" s="143"/>
      <c r="M115" s="142"/>
      <c r="Q115" s="143"/>
    </row>
    <row r="116" spans="1:17" x14ac:dyDescent="0.25">
      <c r="B116" s="105"/>
      <c r="D116" s="106"/>
      <c r="G116" s="142"/>
      <c r="J116" s="1"/>
      <c r="K116" s="143"/>
      <c r="M116" s="142"/>
      <c r="Q116" s="143"/>
    </row>
    <row r="117" spans="1:17" x14ac:dyDescent="0.25">
      <c r="B117" s="109"/>
      <c r="D117" s="106"/>
      <c r="G117" s="142"/>
      <c r="K117" s="143"/>
      <c r="M117" s="142"/>
      <c r="Q117" s="143"/>
    </row>
    <row r="118" spans="1:17" x14ac:dyDescent="0.25">
      <c r="B118" s="105"/>
      <c r="D118" s="106"/>
      <c r="G118" s="142"/>
      <c r="K118" s="143"/>
      <c r="M118" s="142"/>
      <c r="Q118" s="143"/>
    </row>
    <row r="119" spans="1:17" ht="15.75" thickBot="1" x14ac:dyDescent="0.3">
      <c r="B119" s="110"/>
      <c r="C119" s="111"/>
      <c r="D119" s="112"/>
      <c r="G119" s="135"/>
      <c r="H119" s="136"/>
      <c r="I119" s="136"/>
      <c r="J119" s="136"/>
      <c r="K119" s="137"/>
      <c r="M119" s="135"/>
      <c r="N119" s="136"/>
      <c r="O119" s="136"/>
      <c r="P119" s="136"/>
      <c r="Q119" s="137"/>
    </row>
    <row r="120" spans="1:17" ht="14.45" customHeight="1" thickBot="1" x14ac:dyDescent="0.3">
      <c r="B120" s="155"/>
      <c r="C120" s="1499" t="str">
        <f>IF(AND(B122="", B123=""), "", "Please explain / S'il vous plaît, expliquez")</f>
        <v/>
      </c>
      <c r="D120" s="1499"/>
      <c r="I120" s="1508" t="str">
        <f>IF(AND(G122="", G123="", G121=""), "", "Please explain / S'il vous plaît, expliquez")</f>
        <v/>
      </c>
      <c r="J120" s="1508"/>
      <c r="K120" s="1508"/>
      <c r="O120" s="1508" t="str">
        <f>IF(AND(M122="", M123="", M121=""), "", "Please explain / S'il vous plaît, expliquez")</f>
        <v/>
      </c>
      <c r="P120" s="1508"/>
      <c r="Q120" s="1508"/>
    </row>
    <row r="121" spans="1:17" ht="26.45" customHeight="1" thickBot="1" x14ac:dyDescent="0.3">
      <c r="B121" s="953" t="str">
        <f>IF(C121=" ", "", 'Language Look Ups'!$B$37)</f>
        <v/>
      </c>
      <c r="C121" s="1560" t="str">
        <f>AA50&amp;" "&amp;AA51</f>
        <v xml:space="preserve"> </v>
      </c>
      <c r="D121" s="1561"/>
      <c r="G121" s="1552" t="str">
        <f>IF(I121=" ", "",  'Language Look Ups'!$B$37)</f>
        <v/>
      </c>
      <c r="H121" s="1553"/>
      <c r="I121" s="1554" t="str">
        <f>AA52&amp;" "&amp;AA53</f>
        <v xml:space="preserve"> </v>
      </c>
      <c r="J121" s="1555"/>
      <c r="K121" s="1556"/>
      <c r="M121" s="1552" t="str">
        <f>IF(O121="  ", "",  'Language Look Ups'!$B$37)</f>
        <v/>
      </c>
      <c r="N121" s="1553"/>
      <c r="O121" s="1558" t="str">
        <f>AA54&amp;" "&amp;AA55&amp;" "&amp;AA56</f>
        <v xml:space="preserve">  </v>
      </c>
      <c r="P121" s="1558"/>
      <c r="Q121" s="1559"/>
    </row>
    <row r="122" spans="1:17" ht="31.5" customHeight="1" x14ac:dyDescent="0.25">
      <c r="B122" s="950" t="str">
        <f>IF(OR($AB$77&gt;0, $AB$78&gt;0), 'Language Look Ups'!B38, "")</f>
        <v/>
      </c>
      <c r="C122" s="1544"/>
      <c r="D122" s="1545"/>
      <c r="G122" s="1502" t="str">
        <f>IF(OR($AB$79&gt;0, $AB$80&gt;0), 'Language Look Ups'!B38, "")</f>
        <v/>
      </c>
      <c r="H122" s="1503"/>
      <c r="I122" s="1544"/>
      <c r="J122" s="1548"/>
      <c r="K122" s="1545"/>
      <c r="M122" s="1502" t="str">
        <f>IF(OR($AB$81&gt;0, $AB$82&gt;0, $AB$83&gt;0), 'Language Look Ups'!B38, "")</f>
        <v/>
      </c>
      <c r="N122" s="1503"/>
      <c r="O122" s="1544"/>
      <c r="P122" s="1548"/>
      <c r="Q122" s="1545"/>
    </row>
    <row r="123" spans="1:17" ht="44.25" customHeight="1" x14ac:dyDescent="0.25">
      <c r="A123" s="22"/>
      <c r="B123" s="468" t="str">
        <f>IF(OR($AC$78&gt;0,$AC$77&gt;0), 'Language Look Ups'!B39, "")</f>
        <v/>
      </c>
      <c r="C123" s="1546"/>
      <c r="D123" s="1547"/>
      <c r="G123" s="1500" t="str">
        <f>IF(OR($AC$79&gt;0,$AC$80&gt;0), 'Language Look Ups'!B39,  "")</f>
        <v/>
      </c>
      <c r="H123" s="1501"/>
      <c r="I123" s="1546"/>
      <c r="J123" s="1549"/>
      <c r="K123" s="1547"/>
      <c r="M123" s="1500" t="str">
        <f>IF(OR($AC$81&gt;0,$AC$82&gt;0,$AC$83&gt;0), 'Language Look Ups'!B39,  "")</f>
        <v/>
      </c>
      <c r="N123" s="1501"/>
      <c r="O123" s="1546"/>
      <c r="P123" s="1549"/>
      <c r="Q123" s="1547"/>
    </row>
    <row r="124" spans="1:17" ht="20.45" customHeight="1" thickBot="1" x14ac:dyDescent="0.3">
      <c r="A124" s="22"/>
      <c r="G124" s="32"/>
      <c r="H124" s="32"/>
      <c r="I124" s="32"/>
      <c r="J124" s="32"/>
      <c r="M124" s="32"/>
      <c r="N124" s="32"/>
      <c r="O124" s="32"/>
      <c r="P124" s="32"/>
    </row>
    <row r="125" spans="1:17" ht="18.75" x14ac:dyDescent="0.25">
      <c r="B125" s="1524" t="str">
        <f>B32</f>
        <v>Produits injectables</v>
      </c>
      <c r="C125" s="1525"/>
      <c r="D125" s="1526"/>
      <c r="E125" s="41"/>
      <c r="F125" s="41"/>
      <c r="G125" s="1504" t="str">
        <f>B37</f>
        <v>Pilule</v>
      </c>
      <c r="H125" s="1505"/>
      <c r="I125" s="1505"/>
      <c r="J125" s="1505"/>
      <c r="K125" s="1506"/>
      <c r="L125" s="41"/>
      <c r="M125" s="1504" t="str">
        <f>B40</f>
        <v>Préservatifs</v>
      </c>
      <c r="N125" s="1505"/>
      <c r="O125" s="1505"/>
      <c r="P125" s="1505"/>
      <c r="Q125" s="1506"/>
    </row>
    <row r="126" spans="1:17" x14ac:dyDescent="0.25">
      <c r="B126" s="105"/>
      <c r="D126" s="106"/>
      <c r="G126" s="142"/>
      <c r="K126" s="143"/>
      <c r="M126" s="142"/>
      <c r="Q126" s="143"/>
    </row>
    <row r="127" spans="1:17" x14ac:dyDescent="0.25">
      <c r="B127" s="105"/>
      <c r="D127" s="106"/>
      <c r="G127" s="142"/>
      <c r="K127" s="143"/>
      <c r="M127" s="142"/>
      <c r="Q127" s="143"/>
    </row>
    <row r="128" spans="1:17" x14ac:dyDescent="0.25">
      <c r="B128" s="105"/>
      <c r="D128" s="106"/>
      <c r="G128" s="142"/>
      <c r="K128" s="143"/>
      <c r="M128" s="142"/>
      <c r="Q128" s="143"/>
    </row>
    <row r="129" spans="1:55" x14ac:dyDescent="0.25">
      <c r="B129" s="105"/>
      <c r="C129" s="18"/>
      <c r="D129" s="107"/>
      <c r="G129" s="142"/>
      <c r="K129" s="143"/>
      <c r="M129" s="142"/>
      <c r="Q129" s="143"/>
    </row>
    <row r="130" spans="1:55" x14ac:dyDescent="0.25">
      <c r="B130" s="105"/>
      <c r="D130" s="106"/>
      <c r="G130" s="142"/>
      <c r="K130" s="143"/>
      <c r="M130" s="142"/>
      <c r="Q130" s="143"/>
    </row>
    <row r="131" spans="1:55" x14ac:dyDescent="0.25">
      <c r="B131" s="105"/>
      <c r="D131" s="106"/>
      <c r="G131" s="142"/>
      <c r="K131" s="143"/>
      <c r="M131" s="142"/>
      <c r="Q131" s="143"/>
    </row>
    <row r="132" spans="1:55" x14ac:dyDescent="0.25">
      <c r="B132" s="105"/>
      <c r="D132" s="106"/>
      <c r="G132" s="142"/>
      <c r="K132" s="146"/>
      <c r="M132" s="142"/>
      <c r="Q132" s="143"/>
    </row>
    <row r="133" spans="1:55" x14ac:dyDescent="0.25">
      <c r="B133" s="108"/>
      <c r="D133" s="106"/>
      <c r="G133" s="142"/>
      <c r="K133" s="143"/>
      <c r="M133" s="142"/>
      <c r="Q133" s="143"/>
    </row>
    <row r="134" spans="1:55" x14ac:dyDescent="0.25">
      <c r="B134" s="105"/>
      <c r="D134" s="106"/>
      <c r="G134" s="142"/>
      <c r="K134" s="143"/>
      <c r="M134" s="142"/>
      <c r="Q134" s="143"/>
    </row>
    <row r="135" spans="1:55" x14ac:dyDescent="0.25">
      <c r="B135" s="105"/>
      <c r="D135" s="106"/>
      <c r="G135" s="142"/>
      <c r="K135" s="143"/>
      <c r="M135" s="142"/>
      <c r="Q135" s="143"/>
    </row>
    <row r="136" spans="1:55" x14ac:dyDescent="0.25">
      <c r="B136" s="109"/>
      <c r="D136" s="106"/>
      <c r="G136" s="142"/>
      <c r="K136" s="143"/>
      <c r="M136" s="142"/>
      <c r="Q136" s="143"/>
    </row>
    <row r="137" spans="1:55" x14ac:dyDescent="0.25">
      <c r="B137" s="105"/>
      <c r="D137" s="106"/>
      <c r="G137" s="142"/>
      <c r="K137" s="143"/>
      <c r="M137" s="142"/>
      <c r="Q137" s="143"/>
    </row>
    <row r="138" spans="1:55" ht="15.75" thickBot="1" x14ac:dyDescent="0.3">
      <c r="B138" s="110"/>
      <c r="C138" s="111"/>
      <c r="D138" s="112"/>
      <c r="G138" s="135"/>
      <c r="H138" s="136"/>
      <c r="I138" s="136"/>
      <c r="J138" s="136"/>
      <c r="K138" s="137"/>
      <c r="M138" s="135"/>
      <c r="N138" s="136"/>
      <c r="O138" s="136"/>
      <c r="P138" s="136"/>
      <c r="Q138" s="137"/>
    </row>
    <row r="139" spans="1:55" ht="15.75" thickBot="1" x14ac:dyDescent="0.3">
      <c r="B139" s="155"/>
      <c r="C139" s="1499" t="str">
        <f>IF(AND(B141="", B142=""), "", "Please explain / S'il vous plaît, expliquez")</f>
        <v/>
      </c>
      <c r="D139" s="1499"/>
      <c r="I139" s="1508" t="str">
        <f>IF(AND(G141="", G142="", G140=""), "", "Please explain / S'il vous plaît, expliquez")</f>
        <v/>
      </c>
      <c r="J139" s="1508"/>
      <c r="K139" s="1508"/>
      <c r="O139" s="1508" t="str">
        <f>IF(AND(M141="", M142="", M140=""), "", "Please explain / S'il vous plaît, expliquez")</f>
        <v/>
      </c>
      <c r="P139" s="1508"/>
      <c r="Q139" s="1508"/>
    </row>
    <row r="140" spans="1:55" ht="26.45" customHeight="1" thickBot="1" x14ac:dyDescent="0.3">
      <c r="B140" s="953" t="str">
        <f>IF(C140="    ", "",  'Language Look Ups'!$B$37)</f>
        <v/>
      </c>
      <c r="C140" s="1550" t="str">
        <f>AA59&amp;" "&amp;AA60&amp;" "&amp;AA61&amp;" "&amp;AA62&amp;" "&amp;AA63</f>
        <v xml:space="preserve">    </v>
      </c>
      <c r="D140" s="1551"/>
      <c r="G140" s="1552" t="str">
        <f>IF(I140="  ", "",  'Language Look Ups'!$B$37)</f>
        <v/>
      </c>
      <c r="H140" s="1553"/>
      <c r="I140" s="1554" t="str">
        <f>AA64&amp;" "&amp;AA65&amp;" "&amp;AA66</f>
        <v xml:space="preserve">  </v>
      </c>
      <c r="J140" s="1555"/>
      <c r="K140" s="1556"/>
      <c r="M140" s="1552" t="str">
        <f>IF(O140=" ", "",  'Language Look Ups'!$B$37)</f>
        <v/>
      </c>
      <c r="N140" s="1553"/>
      <c r="O140" s="1554" t="str">
        <f>AA67&amp;" "&amp;AA68</f>
        <v xml:space="preserve"> </v>
      </c>
      <c r="P140" s="1555"/>
      <c r="Q140" s="1556"/>
    </row>
    <row r="141" spans="1:55" ht="31.5" customHeight="1" x14ac:dyDescent="0.25">
      <c r="B141" s="950" t="str">
        <f>IF(OR($AB$86&gt;0, $AB$87&gt;0, $AB$88&gt;0, $AB$89&gt;0, $AB$90&gt;0), 'Language Look Ups'!B38, "")</f>
        <v/>
      </c>
      <c r="C141" s="1544"/>
      <c r="D141" s="1545"/>
      <c r="G141" s="1502" t="str">
        <f>IF(OR($AB$91&gt;0, $AB$92&gt;0, $AB$93&gt;0), 'Language Look Ups'!B38, "")</f>
        <v/>
      </c>
      <c r="H141" s="1503"/>
      <c r="I141" s="1544"/>
      <c r="J141" s="1548"/>
      <c r="K141" s="1545"/>
      <c r="M141" s="1502" t="str">
        <f>IF(OR($AB$94&gt;0, $AB$95&gt;0), 'Language Look Ups'!B38, "")</f>
        <v/>
      </c>
      <c r="N141" s="1503"/>
      <c r="O141" s="1544"/>
      <c r="P141" s="1548"/>
      <c r="Q141" s="1545"/>
      <c r="BA141"/>
      <c r="BB141"/>
      <c r="BC141"/>
    </row>
    <row r="142" spans="1:55" ht="36.75" customHeight="1" x14ac:dyDescent="0.25">
      <c r="A142" s="22"/>
      <c r="B142" s="468" t="str">
        <f>IF(OR($AC$86&gt;0, $AC$87&gt;0, $AC$88&gt;0, $AC$89&gt;0, $AC$90&gt;0), 'Language Look Ups'!B39,  "")</f>
        <v/>
      </c>
      <c r="C142" s="1546"/>
      <c r="D142" s="1547"/>
      <c r="G142" s="1500" t="str">
        <f>IF(OR($AC$91&gt;0,$AC$92&gt;0,$AC$93&gt;0), 'Language Look Ups'!B39,  "")</f>
        <v/>
      </c>
      <c r="H142" s="1501"/>
      <c r="I142" s="1546"/>
      <c r="J142" s="1549"/>
      <c r="K142" s="1547"/>
      <c r="M142" s="1500" t="str">
        <f>IF(OR($AC$94&gt;0,$AC$95&gt;0), 'Language Look Ups'!B39,  "")</f>
        <v/>
      </c>
      <c r="N142" s="1501"/>
      <c r="O142" s="1546"/>
      <c r="P142" s="1549"/>
      <c r="Q142" s="1547"/>
      <c r="BA142"/>
      <c r="BB142"/>
      <c r="BC142"/>
    </row>
    <row r="143" spans="1:55" ht="11.25" customHeight="1" thickBot="1" x14ac:dyDescent="0.3"/>
    <row r="144" spans="1:55" ht="18.75" x14ac:dyDescent="0.25">
      <c r="B144" s="1504" t="str">
        <f>B42</f>
        <v>Autres Méthodes Modernes</v>
      </c>
      <c r="C144" s="1505"/>
      <c r="D144" s="1506"/>
      <c r="G144" s="1504" t="str">
        <f>B46</f>
        <v>Contraception d'urgence</v>
      </c>
      <c r="H144" s="1505"/>
      <c r="I144" s="1505"/>
      <c r="J144" s="1505"/>
      <c r="K144" s="1506"/>
      <c r="M144" s="1504" t="str">
        <f>B47</f>
        <v>CAP Totale</v>
      </c>
      <c r="N144" s="1505"/>
      <c r="O144" s="1505"/>
      <c r="P144" s="1505"/>
      <c r="Q144" s="1506"/>
    </row>
    <row r="145" spans="2:55" x14ac:dyDescent="0.25">
      <c r="B145" s="142"/>
      <c r="D145" s="143"/>
      <c r="G145" s="142"/>
      <c r="K145" s="143"/>
      <c r="M145" s="142"/>
      <c r="Q145" s="143"/>
    </row>
    <row r="146" spans="2:55" x14ac:dyDescent="0.25">
      <c r="B146" s="142"/>
      <c r="D146" s="143"/>
      <c r="G146" s="142"/>
      <c r="K146" s="143"/>
      <c r="M146" s="142"/>
      <c r="Q146" s="143"/>
    </row>
    <row r="147" spans="2:55" ht="18" customHeight="1" x14ac:dyDescent="0.25">
      <c r="B147" s="142"/>
      <c r="D147" s="143"/>
      <c r="G147" s="142"/>
      <c r="K147" s="143"/>
      <c r="M147" s="142"/>
      <c r="Q147" s="143"/>
    </row>
    <row r="148" spans="2:55" ht="18" customHeight="1" x14ac:dyDescent="0.25">
      <c r="B148" s="142"/>
      <c r="D148" s="143"/>
      <c r="G148" s="142"/>
      <c r="K148" s="143"/>
      <c r="M148" s="142"/>
      <c r="Q148" s="143"/>
      <c r="AA148" s="187"/>
      <c r="BA148" s="368" t="s">
        <v>1080</v>
      </c>
      <c r="BC148" s="368" t="s">
        <v>824</v>
      </c>
    </row>
    <row r="149" spans="2:55" ht="18" customHeight="1" x14ac:dyDescent="0.25">
      <c r="B149" s="142"/>
      <c r="D149" s="143"/>
      <c r="G149" s="142"/>
      <c r="K149" s="143"/>
      <c r="M149" s="142"/>
      <c r="Q149" s="143"/>
      <c r="AA149" s="187"/>
    </row>
    <row r="150" spans="2:55" ht="15" customHeight="1" x14ac:dyDescent="0.25">
      <c r="B150" s="142"/>
      <c r="D150" s="143"/>
      <c r="G150" s="142"/>
      <c r="K150" s="143"/>
      <c r="M150" s="142"/>
      <c r="Q150" s="143"/>
      <c r="AA150" s="187"/>
    </row>
    <row r="151" spans="2:55" ht="15" customHeight="1" x14ac:dyDescent="0.25">
      <c r="B151" s="142"/>
      <c r="D151" s="143"/>
      <c r="G151" s="142"/>
      <c r="K151" s="143"/>
      <c r="M151" s="142"/>
      <c r="Q151" s="143"/>
    </row>
    <row r="152" spans="2:55" x14ac:dyDescent="0.25">
      <c r="B152" s="142"/>
      <c r="D152" s="143"/>
      <c r="G152" s="142"/>
      <c r="K152" s="143"/>
      <c r="M152" s="142"/>
      <c r="Q152" s="143"/>
    </row>
    <row r="153" spans="2:55" x14ac:dyDescent="0.25">
      <c r="B153" s="142"/>
      <c r="D153" s="143"/>
      <c r="G153" s="142"/>
      <c r="K153" s="143"/>
      <c r="M153" s="142"/>
      <c r="Q153" s="143"/>
    </row>
    <row r="154" spans="2:55" x14ac:dyDescent="0.25">
      <c r="B154" s="142"/>
      <c r="D154" s="143"/>
      <c r="G154" s="142"/>
      <c r="K154" s="143"/>
      <c r="M154" s="142"/>
      <c r="Q154" s="143"/>
    </row>
    <row r="155" spans="2:55" x14ac:dyDescent="0.25">
      <c r="B155" s="142"/>
      <c r="D155" s="143"/>
      <c r="G155" s="142"/>
      <c r="K155" s="143"/>
      <c r="M155" s="142"/>
      <c r="Q155" s="143"/>
    </row>
    <row r="156" spans="2:55" x14ac:dyDescent="0.25">
      <c r="B156" s="142"/>
      <c r="D156" s="143"/>
      <c r="G156" s="142"/>
      <c r="K156" s="143"/>
      <c r="M156" s="142"/>
      <c r="Q156" s="143"/>
    </row>
    <row r="157" spans="2:55" ht="15.75" thickBot="1" x14ac:dyDescent="0.3">
      <c r="B157" s="135"/>
      <c r="C157" s="136"/>
      <c r="D157" s="137"/>
      <c r="G157" s="135"/>
      <c r="H157" s="136"/>
      <c r="I157" s="136"/>
      <c r="J157" s="136"/>
      <c r="K157" s="137"/>
      <c r="M157" s="135"/>
      <c r="N157" s="136"/>
      <c r="O157" s="136"/>
      <c r="P157" s="136"/>
      <c r="Q157" s="137"/>
    </row>
    <row r="158" spans="2:55" ht="15.75" thickBot="1" x14ac:dyDescent="0.3">
      <c r="B158" s="155"/>
      <c r="C158" s="1499" t="str">
        <f>IF(AND(B160="", B161="", B159=""), "", "Please explain / S'il vous plaît, expliquez")</f>
        <v/>
      </c>
      <c r="D158" s="1499"/>
      <c r="I158" s="1508" t="str">
        <f>IF(AND(G160="", G161="", G159=""), "", "Please explain / S'il vous plaît, expliquez")</f>
        <v/>
      </c>
      <c r="J158" s="1508"/>
      <c r="K158" s="1508"/>
      <c r="O158" s="1508" t="str">
        <f>IF(AND(M160="", M161="", M159=""), "", "Please explain / S'il vous plaît, expliquez")</f>
        <v/>
      </c>
      <c r="P158" s="1508"/>
      <c r="Q158" s="1508"/>
    </row>
    <row r="159" spans="2:55" ht="26.45" customHeight="1" thickBot="1" x14ac:dyDescent="0.3">
      <c r="B159" s="953" t="str">
        <f>IF(C159="   ", "",  'Language Look Ups'!$B$37)</f>
        <v/>
      </c>
      <c r="C159" s="1550" t="str">
        <f>AA69&amp;" "&amp;AA70&amp;" "&amp;AA71&amp;" "&amp;AA72</f>
        <v xml:space="preserve">   </v>
      </c>
      <c r="D159" s="1551"/>
      <c r="G159" s="1552" t="str">
        <f>IF(I159="", "",  'Language Look Ups'!$B$37)</f>
        <v/>
      </c>
      <c r="H159" s="1553"/>
      <c r="I159" s="1554" t="str">
        <f>AA73</f>
        <v/>
      </c>
      <c r="J159" s="1555"/>
      <c r="K159" s="1556"/>
      <c r="M159" s="1552" t="str">
        <f>IF(O159=" ", "",  'Language Look Ups'!$B$37)</f>
        <v/>
      </c>
      <c r="N159" s="1553"/>
      <c r="O159" s="1554" t="str">
        <f>AA74&amp;" "</f>
        <v xml:space="preserve"> </v>
      </c>
      <c r="P159" s="1555"/>
      <c r="Q159" s="1556"/>
    </row>
    <row r="160" spans="2:55" ht="31.5" customHeight="1" x14ac:dyDescent="0.25">
      <c r="B160" s="950" t="str">
        <f>IF(OR($AB$96&gt;0, $AB$97&gt;0, $AB$98&gt;0,  $AB$99&gt;0), 'Language Look Ups'!B38, "")</f>
        <v/>
      </c>
      <c r="C160" s="1544"/>
      <c r="D160" s="1545"/>
      <c r="G160" s="1502" t="str">
        <f>IF(OR($AB$100&gt;0), 'Language Look Ups'!B38, "")</f>
        <v/>
      </c>
      <c r="H160" s="1503"/>
      <c r="I160" s="1544"/>
      <c r="J160" s="1548"/>
      <c r="K160" s="1545"/>
      <c r="M160" s="1502" t="str">
        <f>IF( $AB$101&gt;0, 'Language Look Ups'!B38, "")</f>
        <v/>
      </c>
      <c r="N160" s="1503"/>
      <c r="O160" s="1544"/>
      <c r="P160" s="1548"/>
      <c r="Q160" s="1545"/>
      <c r="BA160"/>
      <c r="BB160"/>
      <c r="BC160"/>
    </row>
    <row r="161" spans="2:61" ht="33.75" customHeight="1" x14ac:dyDescent="0.25">
      <c r="B161" s="468" t="str">
        <f>IF(OR($AC$96&gt;0, $AC$97&gt;0, $AC$98&gt;0, $AC$99&gt;0), 'Language Look Ups'!B39,  "")</f>
        <v/>
      </c>
      <c r="C161" s="1546"/>
      <c r="D161" s="1547"/>
      <c r="G161" s="1500" t="str">
        <f>IF(OR($AC$100&gt;0), 'Language Look Ups'!B39,  "")</f>
        <v/>
      </c>
      <c r="H161" s="1501"/>
      <c r="I161" s="1546"/>
      <c r="J161" s="1549"/>
      <c r="K161" s="1547"/>
      <c r="M161" s="1500" t="str">
        <f>IF($AC$101&gt;0, 'Language Look Ups'!B39,  "")</f>
        <v/>
      </c>
      <c r="N161" s="1501"/>
      <c r="O161" s="1546"/>
      <c r="P161" s="1549"/>
      <c r="Q161" s="1547"/>
      <c r="BA161"/>
      <c r="BB161"/>
      <c r="BC161"/>
    </row>
    <row r="162" spans="2:61" ht="13.15" customHeight="1" x14ac:dyDescent="0.25">
      <c r="BA162"/>
      <c r="BB162"/>
      <c r="BC162"/>
      <c r="BI162"/>
    </row>
    <row r="163" spans="2:61" ht="16.149999999999999" customHeight="1" x14ac:dyDescent="0.25">
      <c r="B163" s="952" t="str">
        <f>IF(Language="Francais", BC163, BA163)</f>
        <v>*Valeurs aberrantes = valeurs de plus que 2 écart types de la moyenne</v>
      </c>
      <c r="C163" s="951"/>
      <c r="D163" s="951"/>
      <c r="E163" s="951"/>
      <c r="F163" s="951"/>
      <c r="BA163" s="184" t="s">
        <v>1208</v>
      </c>
      <c r="BC163" s="184" t="s">
        <v>1209</v>
      </c>
    </row>
    <row r="164" spans="2:61" x14ac:dyDescent="0.25">
      <c r="B164" s="226" t="str">
        <f>IF(Language="Francais", BC164, BA164)</f>
        <v>*Déclin = supérieur à 25% de déclin sur un an</v>
      </c>
      <c r="C164" s="226"/>
      <c r="D164" s="226"/>
      <c r="E164" s="226"/>
      <c r="F164" s="226"/>
      <c r="BA164" s="184" t="s">
        <v>1206</v>
      </c>
      <c r="BC164" s="184" t="s">
        <v>818</v>
      </c>
    </row>
    <row r="165" spans="2:61" x14ac:dyDescent="0.25">
      <c r="B165" s="227" t="str">
        <f>IF(Language="Francais", BC165, BA165)</f>
        <v>**Croissance spectaculaire = supérieure à 150% de croissance sur un an.</v>
      </c>
      <c r="C165" s="227"/>
      <c r="D165" s="227"/>
      <c r="E165" s="227"/>
      <c r="F165" s="227"/>
      <c r="BA165" s="184" t="s">
        <v>1207</v>
      </c>
      <c r="BC165" s="184" t="s">
        <v>819</v>
      </c>
    </row>
    <row r="167" spans="2:61" ht="24.75" customHeight="1" x14ac:dyDescent="0.25">
      <c r="H167" s="1507" t="str">
        <f>IF(Language="Francais", BC148, BA148)</f>
        <v>Si les données semblent bonnes, 
continuez la révision.</v>
      </c>
      <c r="I167" s="1507"/>
      <c r="J167" s="1507"/>
      <c r="K167" s="1507"/>
    </row>
    <row r="168" spans="2:61" ht="24.75" customHeight="1" x14ac:dyDescent="0.25">
      <c r="H168" s="1507"/>
      <c r="I168" s="1507"/>
      <c r="J168" s="1507"/>
      <c r="K168" s="1507"/>
    </row>
    <row r="169" spans="2:61" ht="21" hidden="1" customHeight="1" x14ac:dyDescent="0.25">
      <c r="B169" s="436" t="str">
        <f>IF(OR($AB$77&gt;0, $AB$78&gt;0), 'Language Look Ups'!B38, "")</f>
        <v/>
      </c>
      <c r="C169" t="s">
        <v>820</v>
      </c>
      <c r="H169" s="1507"/>
      <c r="I169" s="1507"/>
      <c r="J169" s="1507"/>
      <c r="K169" s="1507"/>
    </row>
    <row r="170" spans="2:61" ht="21" hidden="1" customHeight="1" x14ac:dyDescent="0.25">
      <c r="B170" s="437" t="str">
        <f>IF(OR($AC$78&gt;0,$AC$77&gt;0), 'Language Look Ups'!B39,  "")</f>
        <v/>
      </c>
      <c r="C170" t="s">
        <v>821</v>
      </c>
      <c r="H170" s="1507"/>
      <c r="I170" s="1507"/>
      <c r="J170" s="1507"/>
      <c r="K170" s="1507"/>
    </row>
    <row r="177" spans="2:22" x14ac:dyDescent="0.25">
      <c r="B177" s="1497" t="str">
        <f>B21</f>
        <v>METHOD</v>
      </c>
      <c r="C177" s="1498"/>
      <c r="D177" s="918" t="str">
        <f t="shared" ref="D177:V177" si="164">D21</f>
        <v>CYP FACTOR</v>
      </c>
      <c r="E177" s="918">
        <f t="shared" si="164"/>
        <v>0</v>
      </c>
      <c r="F177" s="918" t="str">
        <f t="shared" si="164"/>
        <v>UNITS</v>
      </c>
      <c r="G177" s="918">
        <f t="shared" si="164"/>
        <v>0</v>
      </c>
      <c r="H177" s="918" t="str">
        <f t="shared" si="164"/>
        <v/>
      </c>
      <c r="I177" s="918" t="str">
        <f t="shared" si="164"/>
        <v/>
      </c>
      <c r="J177" s="918" t="str">
        <f t="shared" si="164"/>
        <v/>
      </c>
      <c r="K177" s="918" t="str">
        <f t="shared" si="164"/>
        <v/>
      </c>
      <c r="L177" s="918" t="str">
        <f t="shared" si="164"/>
        <v/>
      </c>
      <c r="M177" s="918" t="str">
        <f t="shared" si="164"/>
        <v/>
      </c>
      <c r="N177" s="918" t="str">
        <f t="shared" si="164"/>
        <v/>
      </c>
      <c r="O177" s="918" t="str">
        <f t="shared" si="164"/>
        <v/>
      </c>
      <c r="P177" s="918" t="str">
        <f t="shared" si="164"/>
        <v/>
      </c>
      <c r="Q177" s="918" t="str">
        <f t="shared" si="164"/>
        <v/>
      </c>
      <c r="R177" s="918" t="str">
        <f t="shared" si="164"/>
        <v/>
      </c>
      <c r="S177" s="918" t="str">
        <f t="shared" si="164"/>
        <v/>
      </c>
      <c r="T177" s="918" t="str">
        <f t="shared" si="164"/>
        <v/>
      </c>
      <c r="U177" s="918" t="str">
        <f t="shared" si="164"/>
        <v/>
      </c>
      <c r="V177" s="919" t="str">
        <f t="shared" si="164"/>
        <v/>
      </c>
    </row>
    <row r="178" spans="2:22" x14ac:dyDescent="0.25">
      <c r="B178" s="920"/>
      <c r="C178" s="921" t="e">
        <f>#REF!</f>
        <v>#REF!</v>
      </c>
      <c r="D178" s="921"/>
      <c r="E178" s="921"/>
      <c r="F178" s="921"/>
      <c r="G178" s="922" t="str">
        <f t="shared" ref="G178:V178" si="165">IF(G23="", "", G23)</f>
        <v/>
      </c>
      <c r="H178" s="922" t="str">
        <f t="shared" si="165"/>
        <v/>
      </c>
      <c r="I178" s="922" t="str">
        <f t="shared" si="165"/>
        <v/>
      </c>
      <c r="J178" s="922" t="str">
        <f t="shared" si="165"/>
        <v/>
      </c>
      <c r="K178" s="922" t="str">
        <f t="shared" si="165"/>
        <v/>
      </c>
      <c r="L178" s="922" t="str">
        <f t="shared" si="165"/>
        <v/>
      </c>
      <c r="M178" s="922" t="str">
        <f t="shared" si="165"/>
        <v/>
      </c>
      <c r="N178" s="922" t="str">
        <f t="shared" si="165"/>
        <v/>
      </c>
      <c r="O178" s="922" t="str">
        <f t="shared" si="165"/>
        <v/>
      </c>
      <c r="P178" s="922" t="str">
        <f t="shared" si="165"/>
        <v/>
      </c>
      <c r="Q178" s="922" t="str">
        <f t="shared" si="165"/>
        <v/>
      </c>
      <c r="R178" s="922" t="str">
        <f t="shared" si="165"/>
        <v/>
      </c>
      <c r="S178" s="922" t="str">
        <f t="shared" si="165"/>
        <v/>
      </c>
      <c r="T178" s="922" t="str">
        <f t="shared" si="165"/>
        <v/>
      </c>
      <c r="U178" s="922" t="str">
        <f t="shared" si="165"/>
        <v/>
      </c>
      <c r="V178" s="923" t="str">
        <f t="shared" si="165"/>
        <v/>
      </c>
    </row>
    <row r="179" spans="2:22" x14ac:dyDescent="0.25">
      <c r="B179" s="920"/>
      <c r="C179" s="921" t="e">
        <f>#REF!</f>
        <v>#REF!</v>
      </c>
      <c r="D179" s="921"/>
      <c r="E179" s="921"/>
      <c r="F179" s="921"/>
      <c r="G179" s="922" t="str">
        <f t="shared" ref="G179:V179" si="166">IF(G24="", "", G24)</f>
        <v/>
      </c>
      <c r="H179" s="922" t="str">
        <f t="shared" si="166"/>
        <v/>
      </c>
      <c r="I179" s="922" t="str">
        <f t="shared" si="166"/>
        <v/>
      </c>
      <c r="J179" s="922" t="str">
        <f t="shared" si="166"/>
        <v/>
      </c>
      <c r="K179" s="922" t="str">
        <f t="shared" si="166"/>
        <v/>
      </c>
      <c r="L179" s="922" t="str">
        <f t="shared" si="166"/>
        <v/>
      </c>
      <c r="M179" s="922" t="str">
        <f t="shared" si="166"/>
        <v/>
      </c>
      <c r="N179" s="922" t="str">
        <f t="shared" si="166"/>
        <v/>
      </c>
      <c r="O179" s="922" t="str">
        <f t="shared" si="166"/>
        <v/>
      </c>
      <c r="P179" s="922" t="str">
        <f t="shared" si="166"/>
        <v/>
      </c>
      <c r="Q179" s="922" t="str">
        <f t="shared" si="166"/>
        <v/>
      </c>
      <c r="R179" s="922" t="str">
        <f t="shared" si="166"/>
        <v/>
      </c>
      <c r="S179" s="922" t="str">
        <f t="shared" si="166"/>
        <v/>
      </c>
      <c r="T179" s="922" t="str">
        <f t="shared" si="166"/>
        <v/>
      </c>
      <c r="U179" s="922" t="str">
        <f t="shared" si="166"/>
        <v/>
      </c>
      <c r="V179" s="923" t="str">
        <f t="shared" si="166"/>
        <v/>
      </c>
    </row>
    <row r="180" spans="2:22" x14ac:dyDescent="0.25">
      <c r="B180" s="920"/>
      <c r="C180" s="921" t="e">
        <f>#REF!</f>
        <v>#REF!</v>
      </c>
      <c r="D180" s="921"/>
      <c r="E180" s="921"/>
      <c r="F180" s="921"/>
      <c r="G180" s="922" t="str">
        <f t="shared" ref="G180:V180" si="167">IF(SUM(G25:G26)=0, "", SUM(G25:G26))</f>
        <v/>
      </c>
      <c r="H180" s="922" t="str">
        <f t="shared" si="167"/>
        <v/>
      </c>
      <c r="I180" s="922" t="str">
        <f t="shared" si="167"/>
        <v/>
      </c>
      <c r="J180" s="922" t="str">
        <f t="shared" si="167"/>
        <v/>
      </c>
      <c r="K180" s="922" t="str">
        <f t="shared" si="167"/>
        <v/>
      </c>
      <c r="L180" s="922" t="str">
        <f t="shared" si="167"/>
        <v/>
      </c>
      <c r="M180" s="922" t="str">
        <f t="shared" si="167"/>
        <v/>
      </c>
      <c r="N180" s="922" t="str">
        <f t="shared" si="167"/>
        <v/>
      </c>
      <c r="O180" s="922" t="str">
        <f t="shared" si="167"/>
        <v/>
      </c>
      <c r="P180" s="922" t="str">
        <f t="shared" si="167"/>
        <v/>
      </c>
      <c r="Q180" s="922" t="str">
        <f t="shared" si="167"/>
        <v/>
      </c>
      <c r="R180" s="922" t="str">
        <f t="shared" si="167"/>
        <v/>
      </c>
      <c r="S180" s="922" t="str">
        <f t="shared" si="167"/>
        <v/>
      </c>
      <c r="T180" s="922" t="str">
        <f t="shared" si="167"/>
        <v/>
      </c>
      <c r="U180" s="922" t="str">
        <f t="shared" si="167"/>
        <v/>
      </c>
      <c r="V180" s="923" t="str">
        <f t="shared" si="167"/>
        <v/>
      </c>
    </row>
    <row r="181" spans="2:22" x14ac:dyDescent="0.25">
      <c r="B181" s="920"/>
      <c r="C181" s="921" t="e">
        <f>#REF!</f>
        <v>#REF!</v>
      </c>
      <c r="D181" s="921"/>
      <c r="E181" s="921"/>
      <c r="F181" s="921"/>
      <c r="G181" s="922" t="str">
        <f t="shared" ref="G181:V181" si="168">IF(SUM(G27:G29)=0, "", SUM(G27:G29))</f>
        <v/>
      </c>
      <c r="H181" s="922" t="str">
        <f t="shared" si="168"/>
        <v/>
      </c>
      <c r="I181" s="922" t="str">
        <f t="shared" si="168"/>
        <v/>
      </c>
      <c r="J181" s="922" t="str">
        <f t="shared" si="168"/>
        <v/>
      </c>
      <c r="K181" s="922" t="str">
        <f t="shared" si="168"/>
        <v/>
      </c>
      <c r="L181" s="922" t="str">
        <f t="shared" si="168"/>
        <v/>
      </c>
      <c r="M181" s="922" t="str">
        <f t="shared" si="168"/>
        <v/>
      </c>
      <c r="N181" s="922" t="str">
        <f t="shared" si="168"/>
        <v/>
      </c>
      <c r="O181" s="922" t="str">
        <f t="shared" si="168"/>
        <v/>
      </c>
      <c r="P181" s="922" t="str">
        <f t="shared" si="168"/>
        <v/>
      </c>
      <c r="Q181" s="922" t="str">
        <f t="shared" si="168"/>
        <v/>
      </c>
      <c r="R181" s="922" t="str">
        <f t="shared" si="168"/>
        <v/>
      </c>
      <c r="S181" s="922" t="str">
        <f t="shared" si="168"/>
        <v/>
      </c>
      <c r="T181" s="922" t="str">
        <f t="shared" si="168"/>
        <v/>
      </c>
      <c r="U181" s="922" t="str">
        <f t="shared" si="168"/>
        <v/>
      </c>
      <c r="V181" s="923" t="str">
        <f t="shared" si="168"/>
        <v/>
      </c>
    </row>
    <row r="182" spans="2:22" x14ac:dyDescent="0.25">
      <c r="B182" s="920"/>
      <c r="C182" s="921" t="e">
        <f>#REF!</f>
        <v>#REF!</v>
      </c>
      <c r="D182" s="921"/>
      <c r="E182" s="921"/>
      <c r="F182" s="921"/>
      <c r="G182" s="922" t="str">
        <f t="shared" ref="G182:V182" si="169">IF(SUM(G32:G36)=0, "", SUM(G32:G36))</f>
        <v/>
      </c>
      <c r="H182" s="922" t="str">
        <f t="shared" si="169"/>
        <v/>
      </c>
      <c r="I182" s="922" t="str">
        <f t="shared" si="169"/>
        <v/>
      </c>
      <c r="J182" s="922" t="str">
        <f t="shared" si="169"/>
        <v/>
      </c>
      <c r="K182" s="922" t="str">
        <f t="shared" si="169"/>
        <v/>
      </c>
      <c r="L182" s="922" t="str">
        <f t="shared" si="169"/>
        <v/>
      </c>
      <c r="M182" s="922" t="str">
        <f t="shared" si="169"/>
        <v/>
      </c>
      <c r="N182" s="922" t="str">
        <f t="shared" si="169"/>
        <v/>
      </c>
      <c r="O182" s="922" t="str">
        <f t="shared" si="169"/>
        <v/>
      </c>
      <c r="P182" s="922" t="str">
        <f t="shared" si="169"/>
        <v/>
      </c>
      <c r="Q182" s="922" t="str">
        <f t="shared" si="169"/>
        <v/>
      </c>
      <c r="R182" s="922" t="str">
        <f t="shared" si="169"/>
        <v/>
      </c>
      <c r="S182" s="922" t="str">
        <f t="shared" si="169"/>
        <v/>
      </c>
      <c r="T182" s="922" t="str">
        <f t="shared" si="169"/>
        <v/>
      </c>
      <c r="U182" s="922" t="str">
        <f t="shared" si="169"/>
        <v/>
      </c>
      <c r="V182" s="923" t="str">
        <f t="shared" si="169"/>
        <v/>
      </c>
    </row>
    <row r="183" spans="2:22" x14ac:dyDescent="0.25">
      <c r="B183" s="920"/>
      <c r="C183" s="921" t="e">
        <f>#REF!</f>
        <v>#REF!</v>
      </c>
      <c r="D183" s="921"/>
      <c r="E183" s="921"/>
      <c r="F183" s="921"/>
      <c r="G183" s="922" t="str">
        <f t="shared" ref="G183:V183" si="170">IF(SUM(G37:G39)=0,"", SUM(G37:G39))</f>
        <v/>
      </c>
      <c r="H183" s="922" t="str">
        <f t="shared" si="170"/>
        <v/>
      </c>
      <c r="I183" s="922" t="str">
        <f t="shared" si="170"/>
        <v/>
      </c>
      <c r="J183" s="922" t="str">
        <f t="shared" si="170"/>
        <v/>
      </c>
      <c r="K183" s="922" t="str">
        <f t="shared" si="170"/>
        <v/>
      </c>
      <c r="L183" s="922" t="str">
        <f t="shared" si="170"/>
        <v/>
      </c>
      <c r="M183" s="922" t="str">
        <f t="shared" si="170"/>
        <v/>
      </c>
      <c r="N183" s="922" t="str">
        <f t="shared" si="170"/>
        <v/>
      </c>
      <c r="O183" s="922" t="str">
        <f t="shared" si="170"/>
        <v/>
      </c>
      <c r="P183" s="922" t="str">
        <f t="shared" si="170"/>
        <v/>
      </c>
      <c r="Q183" s="922" t="str">
        <f t="shared" si="170"/>
        <v/>
      </c>
      <c r="R183" s="922" t="str">
        <f t="shared" si="170"/>
        <v/>
      </c>
      <c r="S183" s="922" t="str">
        <f t="shared" si="170"/>
        <v/>
      </c>
      <c r="T183" s="922" t="str">
        <f t="shared" si="170"/>
        <v/>
      </c>
      <c r="U183" s="922" t="str">
        <f t="shared" si="170"/>
        <v/>
      </c>
      <c r="V183" s="923" t="str">
        <f t="shared" si="170"/>
        <v/>
      </c>
    </row>
    <row r="184" spans="2:22" ht="15.75" thickBot="1" x14ac:dyDescent="0.3">
      <c r="B184" s="924"/>
      <c r="C184" s="925" t="e">
        <f>#REF!</f>
        <v>#REF!</v>
      </c>
      <c r="D184" s="925"/>
      <c r="E184" s="925"/>
      <c r="F184" s="925"/>
      <c r="G184" s="925" t="str">
        <f t="shared" ref="G184:V184" si="171">IF(SUM(G40:G41)=0,"", SUM(G40:G41))</f>
        <v/>
      </c>
      <c r="H184" s="925" t="str">
        <f t="shared" si="171"/>
        <v/>
      </c>
      <c r="I184" s="925" t="str">
        <f t="shared" si="171"/>
        <v/>
      </c>
      <c r="J184" s="925" t="str">
        <f t="shared" si="171"/>
        <v/>
      </c>
      <c r="K184" s="925" t="str">
        <f t="shared" si="171"/>
        <v/>
      </c>
      <c r="L184" s="925" t="str">
        <f t="shared" si="171"/>
        <v/>
      </c>
      <c r="M184" s="925" t="str">
        <f t="shared" si="171"/>
        <v/>
      </c>
      <c r="N184" s="925" t="str">
        <f t="shared" si="171"/>
        <v/>
      </c>
      <c r="O184" s="925" t="str">
        <f t="shared" si="171"/>
        <v/>
      </c>
      <c r="P184" s="925" t="str">
        <f t="shared" si="171"/>
        <v/>
      </c>
      <c r="Q184" s="925" t="str">
        <f t="shared" si="171"/>
        <v/>
      </c>
      <c r="R184" s="925" t="str">
        <f t="shared" si="171"/>
        <v/>
      </c>
      <c r="S184" s="925" t="str">
        <f t="shared" si="171"/>
        <v/>
      </c>
      <c r="T184" s="925" t="str">
        <f t="shared" si="171"/>
        <v/>
      </c>
      <c r="U184" s="925" t="str">
        <f t="shared" si="171"/>
        <v/>
      </c>
      <c r="V184" s="926" t="str">
        <f t="shared" si="171"/>
        <v/>
      </c>
    </row>
    <row r="190" spans="2:22" ht="15.75" thickBot="1" x14ac:dyDescent="0.3"/>
    <row r="191" spans="2:22" ht="29.45" customHeight="1" thickBot="1" x14ac:dyDescent="0.3">
      <c r="G191" s="1125">
        <f t="shared" ref="G191:V191" si="172">G21</f>
        <v>0</v>
      </c>
      <c r="H191" s="1125" t="str">
        <f t="shared" si="172"/>
        <v/>
      </c>
      <c r="I191" s="1125" t="str">
        <f t="shared" si="172"/>
        <v/>
      </c>
      <c r="J191" s="1125" t="str">
        <f t="shared" si="172"/>
        <v/>
      </c>
      <c r="K191" s="1125" t="str">
        <f t="shared" si="172"/>
        <v/>
      </c>
      <c r="L191" s="1125" t="str">
        <f t="shared" si="172"/>
        <v/>
      </c>
      <c r="M191" s="1125" t="str">
        <f t="shared" si="172"/>
        <v/>
      </c>
      <c r="N191" s="1125" t="str">
        <f t="shared" si="172"/>
        <v/>
      </c>
      <c r="O191" s="1125" t="str">
        <f t="shared" si="172"/>
        <v/>
      </c>
      <c r="P191" s="1125" t="str">
        <f t="shared" si="172"/>
        <v/>
      </c>
      <c r="Q191" s="1125" t="str">
        <f t="shared" si="172"/>
        <v/>
      </c>
      <c r="R191" s="1125" t="str">
        <f t="shared" si="172"/>
        <v/>
      </c>
      <c r="S191" s="1125" t="str">
        <f t="shared" si="172"/>
        <v/>
      </c>
      <c r="T191" s="1125" t="str">
        <f t="shared" si="172"/>
        <v/>
      </c>
      <c r="U191" s="1125" t="str">
        <f t="shared" si="172"/>
        <v/>
      </c>
      <c r="V191" s="1125" t="str">
        <f t="shared" si="172"/>
        <v/>
      </c>
    </row>
    <row r="192" spans="2:22" ht="18.75" x14ac:dyDescent="0.25">
      <c r="C192" s="415" t="str">
        <f>IF(Language="English", 'Language Look Ups'!$O$5,IF(Language="Francais", 'Language Look Ups'!$S$5,  'Language Look Ups'!$Q$5))</f>
        <v>Méthodes à Long Terme et Permanentes</v>
      </c>
      <c r="D192" s="401"/>
      <c r="G192" s="1126"/>
      <c r="H192" s="1127"/>
      <c r="I192" s="1126"/>
      <c r="J192" s="1127"/>
      <c r="K192" s="1126"/>
      <c r="L192" s="1127"/>
      <c r="M192" s="1126"/>
      <c r="N192" s="1127"/>
      <c r="O192" s="159"/>
      <c r="P192" s="159"/>
      <c r="Q192" s="159"/>
      <c r="R192" s="159"/>
      <c r="S192" s="158"/>
      <c r="T192" s="159"/>
      <c r="U192" s="158"/>
      <c r="V192" s="159"/>
    </row>
    <row r="193" spans="3:22" x14ac:dyDescent="0.25">
      <c r="C193" s="1480" t="str">
        <f>IF(Language="English",'Language Look Ups'!$O$6,IF(Language="Francais",'Language Look Ups'!$S$6,'Language Look Ups'!$Q$6))</f>
        <v>Stérilisation</v>
      </c>
      <c r="D193" s="363" t="str">
        <f>IF(Language="English", 'Language Look Ups'!$P$6,IF(Language="Francais", 'Language Look Ups'!$T$6, 'Language Look Ups'!$R$6))</f>
        <v>Ligature des trompes</v>
      </c>
      <c r="G193" s="1132">
        <f>G23*$E23</f>
        <v>0</v>
      </c>
      <c r="H193" s="1132">
        <f t="shared" ref="H193:V199" si="173">H23*$E23</f>
        <v>0</v>
      </c>
      <c r="I193" s="1132">
        <f t="shared" si="173"/>
        <v>0</v>
      </c>
      <c r="J193" s="1132">
        <f t="shared" si="173"/>
        <v>0</v>
      </c>
      <c r="K193" s="1132">
        <f t="shared" si="173"/>
        <v>0</v>
      </c>
      <c r="L193" s="1132">
        <f t="shared" si="173"/>
        <v>0</v>
      </c>
      <c r="M193" s="1132">
        <f t="shared" si="173"/>
        <v>0</v>
      </c>
      <c r="N193" s="1132">
        <f t="shared" si="173"/>
        <v>0</v>
      </c>
      <c r="O193" s="1132">
        <f t="shared" si="173"/>
        <v>0</v>
      </c>
      <c r="P193" s="1132">
        <f t="shared" si="173"/>
        <v>0</v>
      </c>
      <c r="Q193" s="1132">
        <f t="shared" si="173"/>
        <v>0</v>
      </c>
      <c r="R193" s="1132">
        <f t="shared" si="173"/>
        <v>0</v>
      </c>
      <c r="S193" s="1132">
        <f t="shared" si="173"/>
        <v>0</v>
      </c>
      <c r="T193" s="1132">
        <f t="shared" si="173"/>
        <v>0</v>
      </c>
      <c r="U193" s="1132">
        <f t="shared" si="173"/>
        <v>0</v>
      </c>
      <c r="V193" s="1132">
        <f t="shared" si="173"/>
        <v>0</v>
      </c>
    </row>
    <row r="194" spans="3:22" x14ac:dyDescent="0.25">
      <c r="C194" s="1481"/>
      <c r="D194" s="275" t="str">
        <f>IF(Language="English",'Language Look Ups'!$P$7,IF(Language="Francais",'Language Look Ups'!$T$7,'Language Look Ups'!$R$7))</f>
        <v>Vasectomie</v>
      </c>
      <c r="G194" s="1133">
        <f t="shared" ref="G194:V199" si="174">G24*$E24</f>
        <v>0</v>
      </c>
      <c r="H194" s="1133">
        <f t="shared" si="174"/>
        <v>0</v>
      </c>
      <c r="I194" s="1133">
        <f t="shared" si="174"/>
        <v>0</v>
      </c>
      <c r="J194" s="1133">
        <f t="shared" si="174"/>
        <v>0</v>
      </c>
      <c r="K194" s="1133">
        <f t="shared" si="174"/>
        <v>0</v>
      </c>
      <c r="L194" s="1133">
        <f t="shared" si="174"/>
        <v>0</v>
      </c>
      <c r="M194" s="1133">
        <f t="shared" si="174"/>
        <v>0</v>
      </c>
      <c r="N194" s="1133">
        <f t="shared" si="174"/>
        <v>0</v>
      </c>
      <c r="O194" s="1133">
        <f t="shared" si="174"/>
        <v>0</v>
      </c>
      <c r="P194" s="1133">
        <f t="shared" si="174"/>
        <v>0</v>
      </c>
      <c r="Q194" s="1133">
        <f t="shared" si="174"/>
        <v>0</v>
      </c>
      <c r="R194" s="1133">
        <f t="shared" si="174"/>
        <v>0</v>
      </c>
      <c r="S194" s="1133">
        <f t="shared" si="174"/>
        <v>0</v>
      </c>
      <c r="T194" s="1133">
        <f t="shared" si="174"/>
        <v>0</v>
      </c>
      <c r="U194" s="1133">
        <f t="shared" si="174"/>
        <v>0</v>
      </c>
      <c r="V194" s="1133">
        <f t="shared" si="174"/>
        <v>0</v>
      </c>
    </row>
    <row r="195" spans="3:22" x14ac:dyDescent="0.25">
      <c r="C195" s="1480" t="str">
        <f>IF(Language="English", 'Language Look Ups'!$O$8,IF(Language="Francais", 'Language Look Ups'!$S$8, 'Language Look Ups'!$Q$8))</f>
        <v>DIU</v>
      </c>
      <c r="D195" s="363" t="str">
        <f>IF(Language="English", 'Language Look Ups'!$P$8,IF(Language="Francais", 'Language Look Ups'!$T$8, 'Language Look Ups'!$R$8))</f>
        <v>Copper- T 380-A DIU</v>
      </c>
      <c r="G195" s="1132">
        <f t="shared" si="174"/>
        <v>0</v>
      </c>
      <c r="H195" s="1132">
        <f t="shared" si="173"/>
        <v>0</v>
      </c>
      <c r="I195" s="1132">
        <f t="shared" si="173"/>
        <v>0</v>
      </c>
      <c r="J195" s="1132">
        <f t="shared" si="173"/>
        <v>0</v>
      </c>
      <c r="K195" s="1132">
        <f t="shared" si="173"/>
        <v>0</v>
      </c>
      <c r="L195" s="1132">
        <f t="shared" si="173"/>
        <v>0</v>
      </c>
      <c r="M195" s="1132">
        <f t="shared" si="173"/>
        <v>0</v>
      </c>
      <c r="N195" s="1132">
        <f t="shared" si="173"/>
        <v>0</v>
      </c>
      <c r="O195" s="1132">
        <f t="shared" si="173"/>
        <v>0</v>
      </c>
      <c r="P195" s="1132">
        <f t="shared" si="173"/>
        <v>0</v>
      </c>
      <c r="Q195" s="1132">
        <f t="shared" si="173"/>
        <v>0</v>
      </c>
      <c r="R195" s="1132">
        <f t="shared" si="173"/>
        <v>0</v>
      </c>
      <c r="S195" s="1132">
        <f t="shared" si="173"/>
        <v>0</v>
      </c>
      <c r="T195" s="1132">
        <f t="shared" si="173"/>
        <v>0</v>
      </c>
      <c r="U195" s="1132">
        <f t="shared" si="173"/>
        <v>0</v>
      </c>
      <c r="V195" s="1132">
        <f t="shared" si="173"/>
        <v>0</v>
      </c>
    </row>
    <row r="196" spans="3:22" x14ac:dyDescent="0.25">
      <c r="C196" s="1481"/>
      <c r="D196" s="275" t="str">
        <f>IF(Language="English", 'Language Look Ups'!$P$9,IF(Language="Francais", 'Language Look Ups'!$T$9, 'Language Look Ups'!$R$9))</f>
        <v>DIU Hormonal (LNG-IUS)</v>
      </c>
      <c r="G196" s="1133">
        <f t="shared" si="174"/>
        <v>0</v>
      </c>
      <c r="H196" s="1133">
        <f t="shared" si="173"/>
        <v>0</v>
      </c>
      <c r="I196" s="1133">
        <f t="shared" si="173"/>
        <v>0</v>
      </c>
      <c r="J196" s="1133">
        <f t="shared" si="173"/>
        <v>0</v>
      </c>
      <c r="K196" s="1133">
        <f t="shared" si="173"/>
        <v>0</v>
      </c>
      <c r="L196" s="1133">
        <f t="shared" si="173"/>
        <v>0</v>
      </c>
      <c r="M196" s="1133">
        <f t="shared" si="173"/>
        <v>0</v>
      </c>
      <c r="N196" s="1133">
        <f t="shared" si="173"/>
        <v>0</v>
      </c>
      <c r="O196" s="1133">
        <f t="shared" si="173"/>
        <v>0</v>
      </c>
      <c r="P196" s="1133">
        <f t="shared" si="173"/>
        <v>0</v>
      </c>
      <c r="Q196" s="1133">
        <f t="shared" si="173"/>
        <v>0</v>
      </c>
      <c r="R196" s="1133">
        <f t="shared" si="173"/>
        <v>0</v>
      </c>
      <c r="S196" s="1133">
        <f t="shared" si="173"/>
        <v>0</v>
      </c>
      <c r="T196" s="1133">
        <f t="shared" si="173"/>
        <v>0</v>
      </c>
      <c r="U196" s="1133">
        <f t="shared" si="173"/>
        <v>0</v>
      </c>
      <c r="V196" s="1133">
        <f t="shared" si="173"/>
        <v>0</v>
      </c>
    </row>
    <row r="197" spans="3:22" x14ac:dyDescent="0.25">
      <c r="C197" s="1480" t="str">
        <f>IF(Language="English", 'Language Look Ups'!$O$10,IF(Language="Francais", 'Language Look Ups'!$S$10, 'Language Look Ups'!$Q$10))</f>
        <v>Implant</v>
      </c>
      <c r="D197" s="363" t="str">
        <f>IF(Language="English", 'Language Look Ups'!$P$10,IF(Language="Francais", 'Language Look Ups'!$T$10, 'Language Look Ups'!$R$10))</f>
        <v>Implant de 3 ans (Implanon, Levoplant)</v>
      </c>
      <c r="G197" s="1132">
        <f t="shared" si="174"/>
        <v>0</v>
      </c>
      <c r="H197" s="1132">
        <f t="shared" si="173"/>
        <v>0</v>
      </c>
      <c r="I197" s="1132">
        <f t="shared" si="173"/>
        <v>0</v>
      </c>
      <c r="J197" s="1132">
        <f t="shared" si="173"/>
        <v>0</v>
      </c>
      <c r="K197" s="1132">
        <f t="shared" si="173"/>
        <v>0</v>
      </c>
      <c r="L197" s="1132">
        <f t="shared" si="173"/>
        <v>0</v>
      </c>
      <c r="M197" s="1132">
        <f t="shared" si="173"/>
        <v>0</v>
      </c>
      <c r="N197" s="1132">
        <f t="shared" si="173"/>
        <v>0</v>
      </c>
      <c r="O197" s="1132">
        <f t="shared" si="173"/>
        <v>0</v>
      </c>
      <c r="P197" s="1132">
        <f t="shared" si="173"/>
        <v>0</v>
      </c>
      <c r="Q197" s="1132">
        <f t="shared" si="173"/>
        <v>0</v>
      </c>
      <c r="R197" s="1132">
        <f t="shared" si="173"/>
        <v>0</v>
      </c>
      <c r="S197" s="1132">
        <f t="shared" si="173"/>
        <v>0</v>
      </c>
      <c r="T197" s="1132">
        <f t="shared" si="173"/>
        <v>0</v>
      </c>
      <c r="U197" s="1132">
        <f t="shared" si="173"/>
        <v>0</v>
      </c>
      <c r="V197" s="1132">
        <f t="shared" si="173"/>
        <v>0</v>
      </c>
    </row>
    <row r="198" spans="3:22" x14ac:dyDescent="0.25">
      <c r="C198" s="1482"/>
      <c r="D198" s="277" t="str">
        <f>IF(Language="English", 'Language Look Ups'!$P$11,IF(Language="Francais", 'Language Look Ups'!$T$11, 'Language Look Ups'!$R$11))</f>
        <v>Implant de 4 ans (Sino-Implant)</v>
      </c>
      <c r="G198" s="1134">
        <f t="shared" si="174"/>
        <v>0</v>
      </c>
      <c r="H198" s="1134">
        <f t="shared" si="173"/>
        <v>0</v>
      </c>
      <c r="I198" s="1134">
        <f t="shared" si="173"/>
        <v>0</v>
      </c>
      <c r="J198" s="1134">
        <f t="shared" si="173"/>
        <v>0</v>
      </c>
      <c r="K198" s="1134">
        <f t="shared" si="173"/>
        <v>0</v>
      </c>
      <c r="L198" s="1134">
        <f t="shared" si="173"/>
        <v>0</v>
      </c>
      <c r="M198" s="1134">
        <f t="shared" si="173"/>
        <v>0</v>
      </c>
      <c r="N198" s="1134">
        <f t="shared" si="173"/>
        <v>0</v>
      </c>
      <c r="O198" s="1134">
        <f t="shared" si="173"/>
        <v>0</v>
      </c>
      <c r="P198" s="1134">
        <f t="shared" si="173"/>
        <v>0</v>
      </c>
      <c r="Q198" s="1134">
        <f t="shared" si="173"/>
        <v>0</v>
      </c>
      <c r="R198" s="1134">
        <f t="shared" si="173"/>
        <v>0</v>
      </c>
      <c r="S198" s="1134">
        <f t="shared" si="173"/>
        <v>0</v>
      </c>
      <c r="T198" s="1134">
        <f t="shared" si="173"/>
        <v>0</v>
      </c>
      <c r="U198" s="1134">
        <f t="shared" si="173"/>
        <v>0</v>
      </c>
      <c r="V198" s="1134">
        <f t="shared" si="173"/>
        <v>0</v>
      </c>
    </row>
    <row r="199" spans="3:22" x14ac:dyDescent="0.25">
      <c r="C199" s="1481"/>
      <c r="D199" s="275" t="str">
        <f>IF(Language="English", 'Language Look Ups'!$P$12,IF(Language="Francais", 'Language Look Ups'!$T$12, 'Language Look Ups'!$R$12))</f>
        <v>Implant de 5 ans (Jadelle)</v>
      </c>
      <c r="G199" s="1133">
        <f t="shared" si="174"/>
        <v>0</v>
      </c>
      <c r="H199" s="1133">
        <f t="shared" si="173"/>
        <v>0</v>
      </c>
      <c r="I199" s="1133">
        <f t="shared" si="173"/>
        <v>0</v>
      </c>
      <c r="J199" s="1133">
        <f t="shared" si="173"/>
        <v>0</v>
      </c>
      <c r="K199" s="1133">
        <f t="shared" si="173"/>
        <v>0</v>
      </c>
      <c r="L199" s="1133">
        <f t="shared" si="173"/>
        <v>0</v>
      </c>
      <c r="M199" s="1133">
        <f t="shared" si="173"/>
        <v>0</v>
      </c>
      <c r="N199" s="1133">
        <f t="shared" si="173"/>
        <v>0</v>
      </c>
      <c r="O199" s="1133">
        <f t="shared" si="173"/>
        <v>0</v>
      </c>
      <c r="P199" s="1133">
        <f t="shared" si="173"/>
        <v>0</v>
      </c>
      <c r="Q199" s="1133">
        <f t="shared" si="173"/>
        <v>0</v>
      </c>
      <c r="R199" s="1133">
        <f t="shared" si="173"/>
        <v>0</v>
      </c>
      <c r="S199" s="1133">
        <f t="shared" si="173"/>
        <v>0</v>
      </c>
      <c r="T199" s="1133">
        <f t="shared" si="173"/>
        <v>0</v>
      </c>
      <c r="U199" s="1133">
        <f t="shared" si="173"/>
        <v>0</v>
      </c>
      <c r="V199" s="1133">
        <f t="shared" si="173"/>
        <v>0</v>
      </c>
    </row>
    <row r="200" spans="3:22" x14ac:dyDescent="0.25">
      <c r="C200" s="150"/>
      <c r="D200" s="279"/>
      <c r="G200" s="2"/>
      <c r="H200" s="2"/>
      <c r="I200" s="2"/>
      <c r="J200" s="2"/>
      <c r="K200" s="2"/>
      <c r="L200" s="2"/>
      <c r="M200" s="2"/>
      <c r="N200" s="2"/>
      <c r="O200" s="2"/>
      <c r="P200" s="2"/>
      <c r="Q200" s="2"/>
      <c r="R200" s="2"/>
      <c r="S200" s="2"/>
      <c r="T200" s="2"/>
      <c r="U200" s="2"/>
      <c r="V200" s="2"/>
    </row>
    <row r="201" spans="3:22" ht="19.5" thickBot="1" x14ac:dyDescent="0.3">
      <c r="C201" s="364" t="str">
        <f>IF(Language="English", 'Language Look Ups'!$O$14,IF(Language="Francais", 'Language Look Ups'!$S$14, 'Language Look Ups'!$Q$14))</f>
        <v>Méthodes à Court Terme</v>
      </c>
      <c r="D201" s="104"/>
      <c r="G201" s="1128"/>
      <c r="H201" s="1129"/>
      <c r="I201" s="1128"/>
      <c r="J201" s="1129"/>
      <c r="K201" s="1128"/>
      <c r="L201" s="1129"/>
      <c r="M201" s="1128"/>
      <c r="N201" s="1129"/>
      <c r="O201" s="1129"/>
      <c r="P201" s="1129"/>
      <c r="Q201" s="1129"/>
      <c r="R201" s="1129"/>
      <c r="S201" s="1128"/>
      <c r="T201" s="1129"/>
      <c r="U201" s="1128"/>
      <c r="V201" s="1129"/>
    </row>
    <row r="202" spans="3:22" x14ac:dyDescent="0.25">
      <c r="C202" s="1483" t="str">
        <f>IF(Language="English", 'Language Look Ups'!$O$15,IF(Language="Francais", 'Language Look Ups'!$S$15, 'Language Look Ups'!O$15))</f>
        <v>Produits injectables</v>
      </c>
      <c r="D202" s="1130" t="str">
        <f>IF(Language="English", 'Language Look Ups'!$P$15,IF(Language="Francais", 'Language Look Ups'!$T$15, 'Language Look Ups'!$R$15))</f>
        <v>Depo Provera (DMPA)</v>
      </c>
      <c r="G202" s="1132">
        <f>G32*$E32</f>
        <v>0</v>
      </c>
      <c r="H202" s="1132">
        <f t="shared" ref="H202:V202" si="175">H32*$E32</f>
        <v>0</v>
      </c>
      <c r="I202" s="1132">
        <f t="shared" si="175"/>
        <v>0</v>
      </c>
      <c r="J202" s="1132">
        <f t="shared" si="175"/>
        <v>0</v>
      </c>
      <c r="K202" s="1132">
        <f t="shared" si="175"/>
        <v>0</v>
      </c>
      <c r="L202" s="1132">
        <f t="shared" si="175"/>
        <v>0</v>
      </c>
      <c r="M202" s="1132">
        <f t="shared" si="175"/>
        <v>0</v>
      </c>
      <c r="N202" s="1132">
        <f t="shared" si="175"/>
        <v>0</v>
      </c>
      <c r="O202" s="1132">
        <f t="shared" si="175"/>
        <v>0</v>
      </c>
      <c r="P202" s="1132">
        <f t="shared" si="175"/>
        <v>0</v>
      </c>
      <c r="Q202" s="1132">
        <f t="shared" si="175"/>
        <v>0</v>
      </c>
      <c r="R202" s="1132">
        <f t="shared" si="175"/>
        <v>0</v>
      </c>
      <c r="S202" s="1132">
        <f t="shared" si="175"/>
        <v>0</v>
      </c>
      <c r="T202" s="1132">
        <f t="shared" si="175"/>
        <v>0</v>
      </c>
      <c r="U202" s="1132">
        <f t="shared" si="175"/>
        <v>0</v>
      </c>
      <c r="V202" s="1132">
        <f t="shared" si="175"/>
        <v>0</v>
      </c>
    </row>
    <row r="203" spans="3:22" x14ac:dyDescent="0.25">
      <c r="C203" s="1482"/>
      <c r="D203" s="277" t="str">
        <f>IF(Language="English", 'Language Look Ups'!$P$16,IF(Language="Francais", 'Language Look Ups'!$T$16, 'Language Look Ups'!$R$16))</f>
        <v>Noristerat (NET-En)</v>
      </c>
      <c r="G203" s="1132">
        <f t="shared" ref="G203:V203" si="176">G33*$E33</f>
        <v>0</v>
      </c>
      <c r="H203" s="1132">
        <f t="shared" si="176"/>
        <v>0</v>
      </c>
      <c r="I203" s="1132">
        <f t="shared" si="176"/>
        <v>0</v>
      </c>
      <c r="J203" s="1132">
        <f t="shared" si="176"/>
        <v>0</v>
      </c>
      <c r="K203" s="1132">
        <f t="shared" si="176"/>
        <v>0</v>
      </c>
      <c r="L203" s="1132">
        <f t="shared" si="176"/>
        <v>0</v>
      </c>
      <c r="M203" s="1132">
        <f t="shared" si="176"/>
        <v>0</v>
      </c>
      <c r="N203" s="1132">
        <f t="shared" si="176"/>
        <v>0</v>
      </c>
      <c r="O203" s="1132">
        <f t="shared" si="176"/>
        <v>0</v>
      </c>
      <c r="P203" s="1132">
        <f t="shared" si="176"/>
        <v>0</v>
      </c>
      <c r="Q203" s="1132">
        <f t="shared" si="176"/>
        <v>0</v>
      </c>
      <c r="R203" s="1132">
        <f t="shared" si="176"/>
        <v>0</v>
      </c>
      <c r="S203" s="1132">
        <f t="shared" si="176"/>
        <v>0</v>
      </c>
      <c r="T203" s="1132">
        <f t="shared" si="176"/>
        <v>0</v>
      </c>
      <c r="U203" s="1132">
        <f t="shared" si="176"/>
        <v>0</v>
      </c>
      <c r="V203" s="1132">
        <f t="shared" si="176"/>
        <v>0</v>
      </c>
    </row>
    <row r="204" spans="3:22" x14ac:dyDescent="0.25">
      <c r="C204" s="1482"/>
      <c r="D204" s="277" t="str">
        <f>IF(Language="English",'Language Look Ups'!$P$17,IF(Language="Francais",'Language Look Ups'!$T$17,'Language Look Ups'!$R$17))</f>
        <v>Lunelle</v>
      </c>
      <c r="G204" s="1132">
        <f t="shared" ref="G204:V204" si="177">G34*$E34</f>
        <v>0</v>
      </c>
      <c r="H204" s="1132">
        <f t="shared" si="177"/>
        <v>0</v>
      </c>
      <c r="I204" s="1132">
        <f t="shared" si="177"/>
        <v>0</v>
      </c>
      <c r="J204" s="1132">
        <f t="shared" si="177"/>
        <v>0</v>
      </c>
      <c r="K204" s="1132">
        <f t="shared" si="177"/>
        <v>0</v>
      </c>
      <c r="L204" s="1132">
        <f t="shared" si="177"/>
        <v>0</v>
      </c>
      <c r="M204" s="1132">
        <f t="shared" si="177"/>
        <v>0</v>
      </c>
      <c r="N204" s="1132">
        <f t="shared" si="177"/>
        <v>0</v>
      </c>
      <c r="O204" s="1132">
        <f t="shared" si="177"/>
        <v>0</v>
      </c>
      <c r="P204" s="1132">
        <f t="shared" si="177"/>
        <v>0</v>
      </c>
      <c r="Q204" s="1132">
        <f t="shared" si="177"/>
        <v>0</v>
      </c>
      <c r="R204" s="1132">
        <f t="shared" si="177"/>
        <v>0</v>
      </c>
      <c r="S204" s="1132">
        <f t="shared" si="177"/>
        <v>0</v>
      </c>
      <c r="T204" s="1132">
        <f t="shared" si="177"/>
        <v>0</v>
      </c>
      <c r="U204" s="1132">
        <f t="shared" si="177"/>
        <v>0</v>
      </c>
      <c r="V204" s="1132">
        <f t="shared" si="177"/>
        <v>0</v>
      </c>
    </row>
    <row r="205" spans="3:22" x14ac:dyDescent="0.25">
      <c r="C205" s="1482"/>
      <c r="D205" s="277" t="str">
        <f>IF(Language="English", 'Language Look Ups'!$P$18,IF(Language="Francais", 'Language Look Ups'!$T$18, 'Language Look Ups'!$R$18))</f>
        <v>Sayana Press</v>
      </c>
      <c r="G205" s="1132">
        <f t="shared" ref="G205:V205" si="178">G35*$E35</f>
        <v>0</v>
      </c>
      <c r="H205" s="1132">
        <f t="shared" si="178"/>
        <v>0</v>
      </c>
      <c r="I205" s="1132">
        <f t="shared" si="178"/>
        <v>0</v>
      </c>
      <c r="J205" s="1132">
        <f t="shared" si="178"/>
        <v>0</v>
      </c>
      <c r="K205" s="1132">
        <f t="shared" si="178"/>
        <v>0</v>
      </c>
      <c r="L205" s="1132">
        <f t="shared" si="178"/>
        <v>0</v>
      </c>
      <c r="M205" s="1132">
        <f t="shared" si="178"/>
        <v>0</v>
      </c>
      <c r="N205" s="1132">
        <f t="shared" si="178"/>
        <v>0</v>
      </c>
      <c r="O205" s="1132">
        <f t="shared" si="178"/>
        <v>0</v>
      </c>
      <c r="P205" s="1132">
        <f t="shared" si="178"/>
        <v>0</v>
      </c>
      <c r="Q205" s="1132">
        <f t="shared" si="178"/>
        <v>0</v>
      </c>
      <c r="R205" s="1132">
        <f t="shared" si="178"/>
        <v>0</v>
      </c>
      <c r="S205" s="1132">
        <f t="shared" si="178"/>
        <v>0</v>
      </c>
      <c r="T205" s="1132">
        <f t="shared" si="178"/>
        <v>0</v>
      </c>
      <c r="U205" s="1132">
        <f t="shared" si="178"/>
        <v>0</v>
      </c>
      <c r="V205" s="1132">
        <f t="shared" si="178"/>
        <v>0</v>
      </c>
    </row>
    <row r="206" spans="3:22" x14ac:dyDescent="0.25">
      <c r="C206" s="1481"/>
      <c r="D206" s="275" t="str">
        <f>IF(Language="English", 'Language Look Ups'!$P$19,IF(Language="Francais", 'Language Look Ups'!$T$19, 'Language Look Ups'!$R$19))</f>
        <v>Autre Injectable</v>
      </c>
      <c r="G206" s="1132">
        <f t="shared" ref="G206:V206" si="179">G36*$E36</f>
        <v>0</v>
      </c>
      <c r="H206" s="1132">
        <f t="shared" si="179"/>
        <v>0</v>
      </c>
      <c r="I206" s="1132">
        <f t="shared" si="179"/>
        <v>0</v>
      </c>
      <c r="J206" s="1132">
        <f t="shared" si="179"/>
        <v>0</v>
      </c>
      <c r="K206" s="1132">
        <f t="shared" si="179"/>
        <v>0</v>
      </c>
      <c r="L206" s="1132">
        <f t="shared" si="179"/>
        <v>0</v>
      </c>
      <c r="M206" s="1132">
        <f t="shared" si="179"/>
        <v>0</v>
      </c>
      <c r="N206" s="1132">
        <f t="shared" si="179"/>
        <v>0</v>
      </c>
      <c r="O206" s="1132">
        <f t="shared" si="179"/>
        <v>0</v>
      </c>
      <c r="P206" s="1132">
        <f t="shared" si="179"/>
        <v>0</v>
      </c>
      <c r="Q206" s="1132">
        <f t="shared" si="179"/>
        <v>0</v>
      </c>
      <c r="R206" s="1132">
        <f t="shared" si="179"/>
        <v>0</v>
      </c>
      <c r="S206" s="1132">
        <f t="shared" si="179"/>
        <v>0</v>
      </c>
      <c r="T206" s="1132">
        <f t="shared" si="179"/>
        <v>0</v>
      </c>
      <c r="U206" s="1132">
        <f t="shared" si="179"/>
        <v>0</v>
      </c>
      <c r="V206" s="1132">
        <f t="shared" si="179"/>
        <v>0</v>
      </c>
    </row>
    <row r="207" spans="3:22" x14ac:dyDescent="0.25">
      <c r="C207" s="1480" t="str">
        <f>IF(Language="English", 'Language Look Ups'!$O$20,IF(Language="Francais", 'Language Look Ups'!$S$20, 'Language Look Ups'!O$20))</f>
        <v>Pilule</v>
      </c>
      <c r="D207" s="363" t="str">
        <f>IF(Language="English", 'Language Look Ups'!$P$20,IF(Language="Francais", 'Language Look Ups'!$T$20, 'Language Look Ups'!$R$20))</f>
        <v>Oraux combinés (COC)</v>
      </c>
      <c r="G207" s="1132">
        <f t="shared" ref="G207:V207" si="180">G37*$E37</f>
        <v>0</v>
      </c>
      <c r="H207" s="1132">
        <f t="shared" si="180"/>
        <v>0</v>
      </c>
      <c r="I207" s="1132">
        <f t="shared" si="180"/>
        <v>0</v>
      </c>
      <c r="J207" s="1132">
        <f t="shared" si="180"/>
        <v>0</v>
      </c>
      <c r="K207" s="1132">
        <f t="shared" si="180"/>
        <v>0</v>
      </c>
      <c r="L207" s="1132">
        <f t="shared" si="180"/>
        <v>0</v>
      </c>
      <c r="M207" s="1132">
        <f t="shared" si="180"/>
        <v>0</v>
      </c>
      <c r="N207" s="1132">
        <f t="shared" si="180"/>
        <v>0</v>
      </c>
      <c r="O207" s="1132">
        <f t="shared" si="180"/>
        <v>0</v>
      </c>
      <c r="P207" s="1132">
        <f t="shared" si="180"/>
        <v>0</v>
      </c>
      <c r="Q207" s="1132">
        <f t="shared" si="180"/>
        <v>0</v>
      </c>
      <c r="R207" s="1132">
        <f t="shared" si="180"/>
        <v>0</v>
      </c>
      <c r="S207" s="1132">
        <f t="shared" si="180"/>
        <v>0</v>
      </c>
      <c r="T207" s="1132">
        <f t="shared" si="180"/>
        <v>0</v>
      </c>
      <c r="U207" s="1132">
        <f t="shared" si="180"/>
        <v>0</v>
      </c>
      <c r="V207" s="1132">
        <f t="shared" si="180"/>
        <v>0</v>
      </c>
    </row>
    <row r="208" spans="3:22" x14ac:dyDescent="0.25">
      <c r="C208" s="1482"/>
      <c r="D208" s="277" t="str">
        <f>IF(Language="English", 'Language Look Ups'!$P$21,IF(Language="Francais", 'Language Look Ups'!$T$21, 'Language Look Ups'!$R$21))</f>
        <v>Progestatifs seul (POP)</v>
      </c>
      <c r="G208" s="1132">
        <f t="shared" ref="G208:V208" si="181">G38*$E38</f>
        <v>0</v>
      </c>
      <c r="H208" s="1132">
        <f t="shared" si="181"/>
        <v>0</v>
      </c>
      <c r="I208" s="1132">
        <f t="shared" si="181"/>
        <v>0</v>
      </c>
      <c r="J208" s="1132">
        <f t="shared" si="181"/>
        <v>0</v>
      </c>
      <c r="K208" s="1132">
        <f t="shared" si="181"/>
        <v>0</v>
      </c>
      <c r="L208" s="1132">
        <f t="shared" si="181"/>
        <v>0</v>
      </c>
      <c r="M208" s="1132">
        <f t="shared" si="181"/>
        <v>0</v>
      </c>
      <c r="N208" s="1132">
        <f t="shared" si="181"/>
        <v>0</v>
      </c>
      <c r="O208" s="1132">
        <f t="shared" si="181"/>
        <v>0</v>
      </c>
      <c r="P208" s="1132">
        <f t="shared" si="181"/>
        <v>0</v>
      </c>
      <c r="Q208" s="1132">
        <f t="shared" si="181"/>
        <v>0</v>
      </c>
      <c r="R208" s="1132">
        <f t="shared" si="181"/>
        <v>0</v>
      </c>
      <c r="S208" s="1132">
        <f t="shared" si="181"/>
        <v>0</v>
      </c>
      <c r="T208" s="1132">
        <f t="shared" si="181"/>
        <v>0</v>
      </c>
      <c r="U208" s="1132">
        <f t="shared" si="181"/>
        <v>0</v>
      </c>
      <c r="V208" s="1132">
        <f t="shared" si="181"/>
        <v>0</v>
      </c>
    </row>
    <row r="209" spans="3:22" x14ac:dyDescent="0.25">
      <c r="C209" s="1481"/>
      <c r="D209" s="275" t="str">
        <f>IF(Language="English", 'Language Look Ups'!$P$22,IF(Language="Francais", 'Language Look Ups'!$T$22, 'Language Look Ups'!$R$22))</f>
        <v>Autre pilule</v>
      </c>
      <c r="G209" s="1132">
        <f t="shared" ref="G209:V209" si="182">G39*$E39</f>
        <v>0</v>
      </c>
      <c r="H209" s="1132">
        <f t="shared" si="182"/>
        <v>0</v>
      </c>
      <c r="I209" s="1132">
        <f t="shared" si="182"/>
        <v>0</v>
      </c>
      <c r="J209" s="1132">
        <f t="shared" si="182"/>
        <v>0</v>
      </c>
      <c r="K209" s="1132">
        <f t="shared" si="182"/>
        <v>0</v>
      </c>
      <c r="L209" s="1132">
        <f t="shared" si="182"/>
        <v>0</v>
      </c>
      <c r="M209" s="1132">
        <f t="shared" si="182"/>
        <v>0</v>
      </c>
      <c r="N209" s="1132">
        <f t="shared" si="182"/>
        <v>0</v>
      </c>
      <c r="O209" s="1132">
        <f t="shared" si="182"/>
        <v>0</v>
      </c>
      <c r="P209" s="1132">
        <f t="shared" si="182"/>
        <v>0</v>
      </c>
      <c r="Q209" s="1132">
        <f t="shared" si="182"/>
        <v>0</v>
      </c>
      <c r="R209" s="1132">
        <f t="shared" si="182"/>
        <v>0</v>
      </c>
      <c r="S209" s="1132">
        <f t="shared" si="182"/>
        <v>0</v>
      </c>
      <c r="T209" s="1132">
        <f t="shared" si="182"/>
        <v>0</v>
      </c>
      <c r="U209" s="1132">
        <f t="shared" si="182"/>
        <v>0</v>
      </c>
      <c r="V209" s="1132">
        <f t="shared" si="182"/>
        <v>0</v>
      </c>
    </row>
    <row r="210" spans="3:22" x14ac:dyDescent="0.25">
      <c r="C210" s="1480" t="str">
        <f>IF(Language="English", 'Language Look Ups'!$O$23,IF(Language="Francais", 'Language Look Ups'!$S$23, 'Language Look Ups'!O$23))</f>
        <v>Préservatifs</v>
      </c>
      <c r="D210" s="363" t="str">
        <f>IF(Language="English", 'Language Look Ups'!$P$23,IF(Language="Francais", 'Language Look Ups'!$T$23, 'Language Look Ups'!$R$23))</f>
        <v>Préservatifs masculin</v>
      </c>
      <c r="G210" s="1132">
        <f t="shared" ref="G210:V210" si="183">G40*$E40</f>
        <v>0</v>
      </c>
      <c r="H210" s="1132">
        <f t="shared" si="183"/>
        <v>0</v>
      </c>
      <c r="I210" s="1132">
        <f t="shared" si="183"/>
        <v>0</v>
      </c>
      <c r="J210" s="1132">
        <f t="shared" si="183"/>
        <v>0</v>
      </c>
      <c r="K210" s="1132">
        <f t="shared" si="183"/>
        <v>0</v>
      </c>
      <c r="L210" s="1132">
        <f t="shared" si="183"/>
        <v>0</v>
      </c>
      <c r="M210" s="1132">
        <f t="shared" si="183"/>
        <v>0</v>
      </c>
      <c r="N210" s="1132">
        <f t="shared" si="183"/>
        <v>0</v>
      </c>
      <c r="O210" s="1132">
        <f t="shared" si="183"/>
        <v>0</v>
      </c>
      <c r="P210" s="1132">
        <f t="shared" si="183"/>
        <v>0</v>
      </c>
      <c r="Q210" s="1132">
        <f t="shared" si="183"/>
        <v>0</v>
      </c>
      <c r="R210" s="1132">
        <f t="shared" si="183"/>
        <v>0</v>
      </c>
      <c r="S210" s="1132">
        <f t="shared" si="183"/>
        <v>0</v>
      </c>
      <c r="T210" s="1132">
        <f t="shared" si="183"/>
        <v>0</v>
      </c>
      <c r="U210" s="1132">
        <f t="shared" si="183"/>
        <v>0</v>
      </c>
      <c r="V210" s="1132">
        <f t="shared" si="183"/>
        <v>0</v>
      </c>
    </row>
    <row r="211" spans="3:22" x14ac:dyDescent="0.25">
      <c r="C211" s="1481"/>
      <c r="D211" s="275" t="str">
        <f>IF(Language="English", 'Language Look Ups'!$P$24,IF(Language="Francais", 'Language Look Ups'!$T$24, 'Language Look Ups'!$R$24))</f>
        <v>Préservatifs feminin</v>
      </c>
      <c r="G211" s="1132">
        <f t="shared" ref="G211:V211" si="184">G41*$E41</f>
        <v>0</v>
      </c>
      <c r="H211" s="1132">
        <f t="shared" si="184"/>
        <v>0</v>
      </c>
      <c r="I211" s="1132">
        <f t="shared" si="184"/>
        <v>0</v>
      </c>
      <c r="J211" s="1132">
        <f t="shared" si="184"/>
        <v>0</v>
      </c>
      <c r="K211" s="1132">
        <f t="shared" si="184"/>
        <v>0</v>
      </c>
      <c r="L211" s="1132">
        <f t="shared" si="184"/>
        <v>0</v>
      </c>
      <c r="M211" s="1132">
        <f t="shared" si="184"/>
        <v>0</v>
      </c>
      <c r="N211" s="1132">
        <f t="shared" si="184"/>
        <v>0</v>
      </c>
      <c r="O211" s="1132">
        <f t="shared" si="184"/>
        <v>0</v>
      </c>
      <c r="P211" s="1132">
        <f t="shared" si="184"/>
        <v>0</v>
      </c>
      <c r="Q211" s="1132">
        <f t="shared" si="184"/>
        <v>0</v>
      </c>
      <c r="R211" s="1132">
        <f t="shared" si="184"/>
        <v>0</v>
      </c>
      <c r="S211" s="1132">
        <f t="shared" si="184"/>
        <v>0</v>
      </c>
      <c r="T211" s="1132">
        <f t="shared" si="184"/>
        <v>0</v>
      </c>
      <c r="U211" s="1132">
        <f t="shared" si="184"/>
        <v>0</v>
      </c>
      <c r="V211" s="1132">
        <f t="shared" si="184"/>
        <v>0</v>
      </c>
    </row>
    <row r="212" spans="3:22" x14ac:dyDescent="0.25">
      <c r="C212" s="1480" t="str">
        <f>IF(Language="English", 'Language Look Ups'!$O$25,IF(Language="Francais", 'Language Look Ups'!$S$25, 'Language Look Ups'!O$25))</f>
        <v>Autres Méthodes Modernes</v>
      </c>
      <c r="D212" s="363" t="str">
        <f>IF(Language="English", 'Language Look Ups'!$P$25,IF(Language="Francais", 'Language Look Ups'!$T$25, 'Language Look Ups'!$R$25))</f>
        <v>MAMA</v>
      </c>
      <c r="G212" s="1132">
        <f t="shared" ref="G212:V212" si="185">G42*$E42</f>
        <v>0</v>
      </c>
      <c r="H212" s="1132">
        <f t="shared" si="185"/>
        <v>0</v>
      </c>
      <c r="I212" s="1132">
        <f t="shared" si="185"/>
        <v>0</v>
      </c>
      <c r="J212" s="1132">
        <f t="shared" si="185"/>
        <v>0</v>
      </c>
      <c r="K212" s="1132">
        <f t="shared" si="185"/>
        <v>0</v>
      </c>
      <c r="L212" s="1132">
        <f t="shared" si="185"/>
        <v>0</v>
      </c>
      <c r="M212" s="1132">
        <f t="shared" si="185"/>
        <v>0</v>
      </c>
      <c r="N212" s="1132">
        <f t="shared" si="185"/>
        <v>0</v>
      </c>
      <c r="O212" s="1132">
        <f t="shared" si="185"/>
        <v>0</v>
      </c>
      <c r="P212" s="1132">
        <f t="shared" si="185"/>
        <v>0</v>
      </c>
      <c r="Q212" s="1132">
        <f t="shared" si="185"/>
        <v>0</v>
      </c>
      <c r="R212" s="1132">
        <f t="shared" si="185"/>
        <v>0</v>
      </c>
      <c r="S212" s="1132">
        <f t="shared" si="185"/>
        <v>0</v>
      </c>
      <c r="T212" s="1132">
        <f t="shared" si="185"/>
        <v>0</v>
      </c>
      <c r="U212" s="1132">
        <f t="shared" si="185"/>
        <v>0</v>
      </c>
      <c r="V212" s="1132">
        <f t="shared" si="185"/>
        <v>0</v>
      </c>
    </row>
    <row r="213" spans="3:22" x14ac:dyDescent="0.25">
      <c r="C213" s="1482"/>
      <c r="D213" s="277" t="str">
        <f>IF(Language="English", 'Language Look Ups'!$P$26,IF(Language="Francais", 'Language Look Ups'!$T$26, 'Language Look Ups'!$R$26))</f>
        <v>MJF (Jours fixes)</v>
      </c>
      <c r="G213" s="1132">
        <f t="shared" ref="G213:V213" si="186">G43*$E43</f>
        <v>0</v>
      </c>
      <c r="H213" s="1132">
        <f t="shared" si="186"/>
        <v>0</v>
      </c>
      <c r="I213" s="1132">
        <f t="shared" si="186"/>
        <v>0</v>
      </c>
      <c r="J213" s="1132">
        <f t="shared" si="186"/>
        <v>0</v>
      </c>
      <c r="K213" s="1132">
        <f t="shared" si="186"/>
        <v>0</v>
      </c>
      <c r="L213" s="1132">
        <f t="shared" si="186"/>
        <v>0</v>
      </c>
      <c r="M213" s="1132">
        <f t="shared" si="186"/>
        <v>0</v>
      </c>
      <c r="N213" s="1132">
        <f t="shared" si="186"/>
        <v>0</v>
      </c>
      <c r="O213" s="1132">
        <f t="shared" si="186"/>
        <v>0</v>
      </c>
      <c r="P213" s="1132">
        <f t="shared" si="186"/>
        <v>0</v>
      </c>
      <c r="Q213" s="1132">
        <f t="shared" si="186"/>
        <v>0</v>
      </c>
      <c r="R213" s="1132">
        <f t="shared" si="186"/>
        <v>0</v>
      </c>
      <c r="S213" s="1132">
        <f t="shared" si="186"/>
        <v>0</v>
      </c>
      <c r="T213" s="1132">
        <f t="shared" si="186"/>
        <v>0</v>
      </c>
      <c r="U213" s="1132">
        <f t="shared" si="186"/>
        <v>0</v>
      </c>
      <c r="V213" s="1132">
        <f t="shared" si="186"/>
        <v>0</v>
      </c>
    </row>
    <row r="214" spans="3:22" x14ac:dyDescent="0.25">
      <c r="C214" s="1482"/>
      <c r="D214" s="277" t="str">
        <f>IF(Language="English", 'Language Look Ups'!$P$27,IF(Language="Francais", 'Language Look Ups'!$T$27, 'Language Look Ups'!$R$27))</f>
        <v>Barrière vaginale</v>
      </c>
      <c r="G214" s="1132">
        <f t="shared" ref="G214:V214" si="187">G44*$E44</f>
        <v>0</v>
      </c>
      <c r="H214" s="1132">
        <f t="shared" si="187"/>
        <v>0</v>
      </c>
      <c r="I214" s="1132">
        <f t="shared" si="187"/>
        <v>0</v>
      </c>
      <c r="J214" s="1132">
        <f t="shared" si="187"/>
        <v>0</v>
      </c>
      <c r="K214" s="1132">
        <f t="shared" si="187"/>
        <v>0</v>
      </c>
      <c r="L214" s="1132">
        <f t="shared" si="187"/>
        <v>0</v>
      </c>
      <c r="M214" s="1132">
        <f t="shared" si="187"/>
        <v>0</v>
      </c>
      <c r="N214" s="1132">
        <f t="shared" si="187"/>
        <v>0</v>
      </c>
      <c r="O214" s="1132">
        <f t="shared" si="187"/>
        <v>0</v>
      </c>
      <c r="P214" s="1132">
        <f t="shared" si="187"/>
        <v>0</v>
      </c>
      <c r="Q214" s="1132">
        <f t="shared" si="187"/>
        <v>0</v>
      </c>
      <c r="R214" s="1132">
        <f t="shared" si="187"/>
        <v>0</v>
      </c>
      <c r="S214" s="1132">
        <f t="shared" si="187"/>
        <v>0</v>
      </c>
      <c r="T214" s="1132">
        <f t="shared" si="187"/>
        <v>0</v>
      </c>
      <c r="U214" s="1132">
        <f t="shared" si="187"/>
        <v>0</v>
      </c>
      <c r="V214" s="1132">
        <f t="shared" si="187"/>
        <v>0</v>
      </c>
    </row>
    <row r="215" spans="3:22" x14ac:dyDescent="0.25">
      <c r="C215" s="1481"/>
      <c r="D215" s="275" t="str">
        <f>IF(Language="English", 'Language Look Ups'!$P$28,IF(Language="Francais", 'Language Look Ups'!$T$28, 'Language Look Ups'!$R$28))</f>
        <v>Spermicides</v>
      </c>
      <c r="G215" s="1132">
        <f t="shared" ref="G215:V215" si="188">G45*$E45</f>
        <v>0</v>
      </c>
      <c r="H215" s="1132">
        <f t="shared" si="188"/>
        <v>0</v>
      </c>
      <c r="I215" s="1132">
        <f t="shared" si="188"/>
        <v>0</v>
      </c>
      <c r="J215" s="1132">
        <f t="shared" si="188"/>
        <v>0</v>
      </c>
      <c r="K215" s="1132">
        <f t="shared" si="188"/>
        <v>0</v>
      </c>
      <c r="L215" s="1132">
        <f t="shared" si="188"/>
        <v>0</v>
      </c>
      <c r="M215" s="1132">
        <f t="shared" si="188"/>
        <v>0</v>
      </c>
      <c r="N215" s="1132">
        <f t="shared" si="188"/>
        <v>0</v>
      </c>
      <c r="O215" s="1132">
        <f t="shared" si="188"/>
        <v>0</v>
      </c>
      <c r="P215" s="1132">
        <f t="shared" si="188"/>
        <v>0</v>
      </c>
      <c r="Q215" s="1132">
        <f t="shared" si="188"/>
        <v>0</v>
      </c>
      <c r="R215" s="1132">
        <f t="shared" si="188"/>
        <v>0</v>
      </c>
      <c r="S215" s="1132">
        <f t="shared" si="188"/>
        <v>0</v>
      </c>
      <c r="T215" s="1132">
        <f t="shared" si="188"/>
        <v>0</v>
      </c>
      <c r="U215" s="1132">
        <f t="shared" si="188"/>
        <v>0</v>
      </c>
      <c r="V215" s="1132">
        <f t="shared" si="188"/>
        <v>0</v>
      </c>
    </row>
    <row r="216" spans="3:22" ht="15.75" thickBot="1" x14ac:dyDescent="0.3">
      <c r="C216" s="1131" t="str">
        <f>IF(Language="English", 'Language Look Ups'!$O$29,IF(Language="Francais", 'Language Look Ups'!$S$29, 'Language Look Ups'!O$29))</f>
        <v>Contraception d'urgence</v>
      </c>
      <c r="D216" s="397" t="str">
        <f>IF(Language="English", 'Language Look Ups'!$P$29,IF(Language="Francais", 'Language Look Ups'!$T$29, 'Language Look Ups'!$R$29))</f>
        <v>CU</v>
      </c>
      <c r="G216" s="1132">
        <f t="shared" ref="G216:V216" si="189">G46*$E46</f>
        <v>0</v>
      </c>
      <c r="H216" s="1132">
        <f t="shared" si="189"/>
        <v>0</v>
      </c>
      <c r="I216" s="1132">
        <f t="shared" si="189"/>
        <v>0</v>
      </c>
      <c r="J216" s="1132">
        <f t="shared" si="189"/>
        <v>0</v>
      </c>
      <c r="K216" s="1132">
        <f t="shared" si="189"/>
        <v>0</v>
      </c>
      <c r="L216" s="1132">
        <f t="shared" si="189"/>
        <v>0</v>
      </c>
      <c r="M216" s="1132">
        <f t="shared" si="189"/>
        <v>0</v>
      </c>
      <c r="N216" s="1132">
        <f t="shared" si="189"/>
        <v>0</v>
      </c>
      <c r="O216" s="1132">
        <f t="shared" si="189"/>
        <v>0</v>
      </c>
      <c r="P216" s="1132">
        <f t="shared" si="189"/>
        <v>0</v>
      </c>
      <c r="Q216" s="1132">
        <f t="shared" si="189"/>
        <v>0</v>
      </c>
      <c r="R216" s="1132">
        <f t="shared" si="189"/>
        <v>0</v>
      </c>
      <c r="S216" s="1132">
        <f t="shared" si="189"/>
        <v>0</v>
      </c>
      <c r="T216" s="1132">
        <f t="shared" si="189"/>
        <v>0</v>
      </c>
      <c r="U216" s="1132">
        <f t="shared" si="189"/>
        <v>0</v>
      </c>
      <c r="V216" s="1132">
        <f t="shared" si="189"/>
        <v>0</v>
      </c>
    </row>
    <row r="217" spans="3:22" ht="21.75" thickBot="1" x14ac:dyDescent="0.35">
      <c r="C217" s="429">
        <f>IF(Language="English",'Language Look Ups'!M200,'Language Look Ups'!Q200)</f>
        <v>0</v>
      </c>
      <c r="D217" s="430"/>
      <c r="G217" s="433">
        <f>SUM(G193:G216)</f>
        <v>0</v>
      </c>
      <c r="H217" s="433">
        <f t="shared" ref="H217:V217" si="190">SUM(H193:H216)</f>
        <v>0</v>
      </c>
      <c r="I217" s="433">
        <f t="shared" si="190"/>
        <v>0</v>
      </c>
      <c r="J217" s="433">
        <f t="shared" si="190"/>
        <v>0</v>
      </c>
      <c r="K217" s="433">
        <f t="shared" si="190"/>
        <v>0</v>
      </c>
      <c r="L217" s="433">
        <f t="shared" si="190"/>
        <v>0</v>
      </c>
      <c r="M217" s="433">
        <f t="shared" si="190"/>
        <v>0</v>
      </c>
      <c r="N217" s="433">
        <f t="shared" si="190"/>
        <v>0</v>
      </c>
      <c r="O217" s="433">
        <f t="shared" si="190"/>
        <v>0</v>
      </c>
      <c r="P217" s="433">
        <f t="shared" si="190"/>
        <v>0</v>
      </c>
      <c r="Q217" s="433">
        <f t="shared" si="190"/>
        <v>0</v>
      </c>
      <c r="R217" s="433">
        <f t="shared" si="190"/>
        <v>0</v>
      </c>
      <c r="S217" s="433">
        <f t="shared" si="190"/>
        <v>0</v>
      </c>
      <c r="T217" s="433">
        <f t="shared" si="190"/>
        <v>0</v>
      </c>
      <c r="U217" s="433">
        <f t="shared" si="190"/>
        <v>0</v>
      </c>
      <c r="V217" s="433">
        <f t="shared" si="190"/>
        <v>0</v>
      </c>
    </row>
    <row r="220" spans="3:22" ht="15.75" thickBot="1" x14ac:dyDescent="0.3">
      <c r="H220" s="149"/>
      <c r="I220" s="149"/>
      <c r="J220" s="149"/>
      <c r="K220" s="149"/>
      <c r="L220" s="149"/>
      <c r="M220" s="149"/>
      <c r="N220" s="149"/>
      <c r="O220" s="149"/>
      <c r="P220" s="149"/>
      <c r="Q220" s="149"/>
      <c r="R220" s="149"/>
      <c r="S220" s="149" t="str">
        <f>S191</f>
        <v/>
      </c>
      <c r="T220" s="149"/>
      <c r="U220" s="149"/>
      <c r="V220" s="149"/>
    </row>
    <row r="221" spans="3:22" ht="15.75" thickBot="1" x14ac:dyDescent="0.3">
      <c r="C221" s="918" t="e">
        <f>C179</f>
        <v>#REF!</v>
      </c>
      <c r="D221" s="921"/>
      <c r="G221">
        <f t="shared" ref="G221:V221" si="191">G191</f>
        <v>0</v>
      </c>
      <c r="H221" t="str">
        <f t="shared" si="191"/>
        <v/>
      </c>
      <c r="I221" t="str">
        <f t="shared" si="191"/>
        <v/>
      </c>
      <c r="J221" t="str">
        <f t="shared" si="191"/>
        <v/>
      </c>
      <c r="K221" t="str">
        <f t="shared" si="191"/>
        <v/>
      </c>
      <c r="L221" t="str">
        <f t="shared" si="191"/>
        <v/>
      </c>
      <c r="M221" t="str">
        <f t="shared" si="191"/>
        <v/>
      </c>
      <c r="N221" t="str">
        <f t="shared" si="191"/>
        <v/>
      </c>
      <c r="O221" t="str">
        <f t="shared" si="191"/>
        <v/>
      </c>
      <c r="P221" t="str">
        <f t="shared" si="191"/>
        <v/>
      </c>
      <c r="Q221" t="str">
        <f t="shared" si="191"/>
        <v/>
      </c>
      <c r="R221" t="str">
        <f t="shared" si="191"/>
        <v/>
      </c>
      <c r="S221" t="str">
        <f t="shared" si="191"/>
        <v/>
      </c>
      <c r="T221" t="str">
        <f t="shared" si="191"/>
        <v/>
      </c>
      <c r="U221" t="str">
        <f t="shared" si="191"/>
        <v/>
      </c>
      <c r="V221" t="str">
        <f t="shared" si="191"/>
        <v/>
      </c>
    </row>
    <row r="222" spans="3:22" x14ac:dyDescent="0.25">
      <c r="C222" s="918"/>
      <c r="D222" s="918" t="e">
        <f>C178</f>
        <v>#REF!</v>
      </c>
      <c r="E222" s="918"/>
      <c r="F222" s="918"/>
      <c r="G222" s="1135">
        <f>IF(G193="", "", G193)</f>
        <v>0</v>
      </c>
      <c r="H222" s="1135">
        <f t="shared" ref="H222:M223" si="192">IF(H193="", "", H193)</f>
        <v>0</v>
      </c>
      <c r="I222" s="1135">
        <f t="shared" si="192"/>
        <v>0</v>
      </c>
      <c r="J222" s="1135">
        <f t="shared" si="192"/>
        <v>0</v>
      </c>
      <c r="K222" s="1135">
        <f t="shared" si="192"/>
        <v>0</v>
      </c>
      <c r="L222" s="1135">
        <f t="shared" si="192"/>
        <v>0</v>
      </c>
      <c r="M222" s="1135">
        <f t="shared" si="192"/>
        <v>0</v>
      </c>
      <c r="N222" s="1135">
        <f t="shared" ref="N222:V222" si="193">IF(N193="", "", N193)</f>
        <v>0</v>
      </c>
      <c r="O222" s="1135">
        <f t="shared" si="193"/>
        <v>0</v>
      </c>
      <c r="P222" s="1135">
        <f t="shared" si="193"/>
        <v>0</v>
      </c>
      <c r="Q222" s="1135">
        <f t="shared" si="193"/>
        <v>0</v>
      </c>
      <c r="R222" s="1135">
        <f t="shared" si="193"/>
        <v>0</v>
      </c>
      <c r="S222" s="1135">
        <f t="shared" si="193"/>
        <v>0</v>
      </c>
      <c r="T222" s="1135">
        <f t="shared" si="193"/>
        <v>0</v>
      </c>
      <c r="U222" s="1135">
        <f t="shared" si="193"/>
        <v>0</v>
      </c>
      <c r="V222" s="1135">
        <f t="shared" si="193"/>
        <v>0</v>
      </c>
    </row>
    <row r="223" spans="3:22" x14ac:dyDescent="0.25">
      <c r="C223" s="921"/>
      <c r="D223" s="921" t="e">
        <f t="shared" ref="D223:D228" si="194">C179</f>
        <v>#REF!</v>
      </c>
      <c r="E223" s="921"/>
      <c r="F223" s="921"/>
      <c r="G223" s="922">
        <f>IF(G194="", "", G194)</f>
        <v>0</v>
      </c>
      <c r="H223" s="922">
        <f t="shared" si="192"/>
        <v>0</v>
      </c>
      <c r="I223" s="922">
        <f t="shared" si="192"/>
        <v>0</v>
      </c>
      <c r="J223" s="922">
        <f t="shared" si="192"/>
        <v>0</v>
      </c>
      <c r="K223" s="922">
        <f t="shared" si="192"/>
        <v>0</v>
      </c>
      <c r="L223" s="922">
        <f t="shared" si="192"/>
        <v>0</v>
      </c>
      <c r="M223" s="922">
        <f t="shared" si="192"/>
        <v>0</v>
      </c>
      <c r="N223" s="922">
        <f t="shared" ref="N223:V223" si="195">IF(N194="", "", N194)</f>
        <v>0</v>
      </c>
      <c r="O223" s="922">
        <f t="shared" si="195"/>
        <v>0</v>
      </c>
      <c r="P223" s="922">
        <f t="shared" si="195"/>
        <v>0</v>
      </c>
      <c r="Q223" s="922">
        <f t="shared" si="195"/>
        <v>0</v>
      </c>
      <c r="R223" s="922">
        <f t="shared" si="195"/>
        <v>0</v>
      </c>
      <c r="S223" s="922">
        <f t="shared" si="195"/>
        <v>0</v>
      </c>
      <c r="T223" s="922">
        <f t="shared" si="195"/>
        <v>0</v>
      </c>
      <c r="U223" s="922">
        <f t="shared" si="195"/>
        <v>0</v>
      </c>
      <c r="V223" s="922">
        <f t="shared" si="195"/>
        <v>0</v>
      </c>
    </row>
    <row r="224" spans="3:22" x14ac:dyDescent="0.25">
      <c r="C224" s="921"/>
      <c r="D224" s="921" t="e">
        <f t="shared" si="194"/>
        <v>#REF!</v>
      </c>
      <c r="E224" s="921"/>
      <c r="F224" s="921"/>
      <c r="G224" s="922" t="str">
        <f>IF(SUM(G195:G196)=0, "", SUM(G195:G196))</f>
        <v/>
      </c>
      <c r="H224" s="922" t="str">
        <f t="shared" ref="H224:M224" si="196">IF(SUM(H195:H196)=0, "", SUM(H195:H196))</f>
        <v/>
      </c>
      <c r="I224" s="922" t="str">
        <f t="shared" si="196"/>
        <v/>
      </c>
      <c r="J224" s="922" t="str">
        <f t="shared" si="196"/>
        <v/>
      </c>
      <c r="K224" s="922" t="str">
        <f t="shared" si="196"/>
        <v/>
      </c>
      <c r="L224" s="922" t="str">
        <f t="shared" si="196"/>
        <v/>
      </c>
      <c r="M224" s="922" t="str">
        <f t="shared" si="196"/>
        <v/>
      </c>
      <c r="N224" s="922" t="str">
        <f t="shared" ref="N224:V224" si="197">IF(SUM(N195:N196)=0, "", SUM(N195:N196))</f>
        <v/>
      </c>
      <c r="O224" s="922" t="str">
        <f t="shared" si="197"/>
        <v/>
      </c>
      <c r="P224" s="922" t="str">
        <f t="shared" si="197"/>
        <v/>
      </c>
      <c r="Q224" s="922" t="str">
        <f t="shared" si="197"/>
        <v/>
      </c>
      <c r="R224" s="922" t="str">
        <f t="shared" si="197"/>
        <v/>
      </c>
      <c r="S224" s="922" t="str">
        <f t="shared" si="197"/>
        <v/>
      </c>
      <c r="T224" s="922" t="str">
        <f t="shared" si="197"/>
        <v/>
      </c>
      <c r="U224" s="922" t="str">
        <f t="shared" si="197"/>
        <v/>
      </c>
      <c r="V224" s="922" t="str">
        <f t="shared" si="197"/>
        <v/>
      </c>
    </row>
    <row r="225" spans="3:22" x14ac:dyDescent="0.25">
      <c r="C225" s="921"/>
      <c r="D225" s="921" t="e">
        <f t="shared" si="194"/>
        <v>#REF!</v>
      </c>
      <c r="E225" s="921"/>
      <c r="F225" s="921"/>
      <c r="G225" s="922" t="str">
        <f>IF(SUM(G197:G199)=0, "", SUM(G197:G199))</f>
        <v/>
      </c>
      <c r="H225" s="922" t="str">
        <f t="shared" ref="H225:M225" si="198">IF(SUM(H197:H199)=0, "", SUM(H197:H199))</f>
        <v/>
      </c>
      <c r="I225" s="922" t="str">
        <f t="shared" si="198"/>
        <v/>
      </c>
      <c r="J225" s="922" t="str">
        <f t="shared" si="198"/>
        <v/>
      </c>
      <c r="K225" s="922" t="str">
        <f t="shared" si="198"/>
        <v/>
      </c>
      <c r="L225" s="922" t="str">
        <f t="shared" si="198"/>
        <v/>
      </c>
      <c r="M225" s="922" t="str">
        <f t="shared" si="198"/>
        <v/>
      </c>
      <c r="N225" s="922" t="str">
        <f t="shared" ref="N225:V225" si="199">IF(SUM(N197:N199)=0, "", SUM(N197:N199))</f>
        <v/>
      </c>
      <c r="O225" s="922" t="str">
        <f t="shared" si="199"/>
        <v/>
      </c>
      <c r="P225" s="922" t="str">
        <f t="shared" si="199"/>
        <v/>
      </c>
      <c r="Q225" s="922" t="str">
        <f t="shared" si="199"/>
        <v/>
      </c>
      <c r="R225" s="922" t="str">
        <f t="shared" si="199"/>
        <v/>
      </c>
      <c r="S225" s="922" t="str">
        <f t="shared" si="199"/>
        <v/>
      </c>
      <c r="T225" s="922" t="str">
        <f t="shared" si="199"/>
        <v/>
      </c>
      <c r="U225" s="922" t="str">
        <f t="shared" si="199"/>
        <v/>
      </c>
      <c r="V225" s="922" t="str">
        <f t="shared" si="199"/>
        <v/>
      </c>
    </row>
    <row r="226" spans="3:22" x14ac:dyDescent="0.25">
      <c r="C226" s="921"/>
      <c r="D226" s="921" t="e">
        <f t="shared" si="194"/>
        <v>#REF!</v>
      </c>
      <c r="E226" s="921"/>
      <c r="F226" s="921"/>
      <c r="G226" s="922" t="str">
        <f>IF(SUM(G202:G206)=0, "", SUM(G202:G206))</f>
        <v/>
      </c>
      <c r="H226" s="922" t="str">
        <f t="shared" ref="H226:M226" si="200">IF(SUM(H202:H206)=0, "", SUM(H202:H206))</f>
        <v/>
      </c>
      <c r="I226" s="922" t="str">
        <f t="shared" si="200"/>
        <v/>
      </c>
      <c r="J226" s="922" t="str">
        <f t="shared" si="200"/>
        <v/>
      </c>
      <c r="K226" s="922" t="str">
        <f t="shared" si="200"/>
        <v/>
      </c>
      <c r="L226" s="922" t="str">
        <f t="shared" si="200"/>
        <v/>
      </c>
      <c r="M226" s="922" t="str">
        <f t="shared" si="200"/>
        <v/>
      </c>
      <c r="N226" s="922" t="str">
        <f t="shared" ref="N226:V226" si="201">IF(SUM(N202:N206)=0, "", SUM(N202:N206))</f>
        <v/>
      </c>
      <c r="O226" s="922" t="str">
        <f t="shared" si="201"/>
        <v/>
      </c>
      <c r="P226" s="922" t="str">
        <f t="shared" si="201"/>
        <v/>
      </c>
      <c r="Q226" s="922" t="str">
        <f t="shared" si="201"/>
        <v/>
      </c>
      <c r="R226" s="922" t="str">
        <f t="shared" si="201"/>
        <v/>
      </c>
      <c r="S226" s="922" t="str">
        <f t="shared" si="201"/>
        <v/>
      </c>
      <c r="T226" s="922" t="str">
        <f t="shared" si="201"/>
        <v/>
      </c>
      <c r="U226" s="922" t="str">
        <f t="shared" si="201"/>
        <v/>
      </c>
      <c r="V226" s="922" t="str">
        <f t="shared" si="201"/>
        <v/>
      </c>
    </row>
    <row r="227" spans="3:22" x14ac:dyDescent="0.25">
      <c r="C227" s="921"/>
      <c r="D227" s="921" t="e">
        <f t="shared" si="194"/>
        <v>#REF!</v>
      </c>
      <c r="E227" s="921"/>
      <c r="F227" s="921"/>
      <c r="G227" s="922" t="str">
        <f>IF(SUM(G207:G209)=0,"", SUM(G207:G209))</f>
        <v/>
      </c>
      <c r="H227" s="922" t="str">
        <f t="shared" ref="H227:M227" si="202">IF(SUM(H207:H209)=0,"", SUM(H207:H209))</f>
        <v/>
      </c>
      <c r="I227" s="922" t="str">
        <f t="shared" si="202"/>
        <v/>
      </c>
      <c r="J227" s="922" t="str">
        <f t="shared" si="202"/>
        <v/>
      </c>
      <c r="K227" s="922" t="str">
        <f t="shared" si="202"/>
        <v/>
      </c>
      <c r="L227" s="922" t="str">
        <f t="shared" si="202"/>
        <v/>
      </c>
      <c r="M227" s="922" t="str">
        <f t="shared" si="202"/>
        <v/>
      </c>
      <c r="N227" s="922" t="str">
        <f t="shared" ref="N227:V227" si="203">IF(SUM(N207:N209)=0,"", SUM(N207:N209))</f>
        <v/>
      </c>
      <c r="O227" s="922" t="str">
        <f t="shared" si="203"/>
        <v/>
      </c>
      <c r="P227" s="922" t="str">
        <f t="shared" si="203"/>
        <v/>
      </c>
      <c r="Q227" s="922" t="str">
        <f t="shared" si="203"/>
        <v/>
      </c>
      <c r="R227" s="922" t="str">
        <f t="shared" si="203"/>
        <v/>
      </c>
      <c r="S227" s="922" t="str">
        <f t="shared" si="203"/>
        <v/>
      </c>
      <c r="T227" s="922" t="str">
        <f t="shared" si="203"/>
        <v/>
      </c>
      <c r="U227" s="922" t="str">
        <f t="shared" si="203"/>
        <v/>
      </c>
      <c r="V227" s="922" t="str">
        <f t="shared" si="203"/>
        <v/>
      </c>
    </row>
    <row r="228" spans="3:22" x14ac:dyDescent="0.25">
      <c r="C228" s="921"/>
      <c r="D228" s="921" t="e">
        <f t="shared" si="194"/>
        <v>#REF!</v>
      </c>
      <c r="E228" s="921"/>
      <c r="F228" s="921"/>
      <c r="G228" s="922" t="str">
        <f>IF(SUM(G210:G211)=0,"", SUM(G210:G211))</f>
        <v/>
      </c>
      <c r="H228" s="922" t="str">
        <f t="shared" ref="H228:M228" si="204">IF(SUM(H210:H211)=0,"", SUM(H210:H211))</f>
        <v/>
      </c>
      <c r="I228" s="922" t="str">
        <f t="shared" si="204"/>
        <v/>
      </c>
      <c r="J228" s="922" t="str">
        <f t="shared" si="204"/>
        <v/>
      </c>
      <c r="K228" s="922" t="str">
        <f t="shared" si="204"/>
        <v/>
      </c>
      <c r="L228" s="922" t="str">
        <f t="shared" si="204"/>
        <v/>
      </c>
      <c r="M228" s="922" t="str">
        <f t="shared" si="204"/>
        <v/>
      </c>
      <c r="N228" s="922" t="str">
        <f t="shared" ref="N228:V228" si="205">IF(SUM(N210:N211)=0,"", SUM(N210:N211))</f>
        <v/>
      </c>
      <c r="O228" s="922" t="str">
        <f t="shared" si="205"/>
        <v/>
      </c>
      <c r="P228" s="922" t="str">
        <f t="shared" si="205"/>
        <v/>
      </c>
      <c r="Q228" s="922" t="str">
        <f t="shared" si="205"/>
        <v/>
      </c>
      <c r="R228" s="922" t="str">
        <f t="shared" si="205"/>
        <v/>
      </c>
      <c r="S228" s="922" t="str">
        <f t="shared" si="205"/>
        <v/>
      </c>
      <c r="T228" s="922" t="str">
        <f t="shared" si="205"/>
        <v/>
      </c>
      <c r="U228" s="922" t="str">
        <f t="shared" si="205"/>
        <v/>
      </c>
      <c r="V228" s="922" t="str">
        <f t="shared" si="205"/>
        <v/>
      </c>
    </row>
    <row r="229" spans="3:22" ht="15.75" thickBot="1" x14ac:dyDescent="0.3">
      <c r="C229" s="925"/>
      <c r="D229" s="925" t="s">
        <v>130</v>
      </c>
      <c r="E229" s="925"/>
      <c r="F229" s="925"/>
      <c r="G229" s="1136">
        <f>SUM(G211:G216)</f>
        <v>0</v>
      </c>
      <c r="H229" s="1136">
        <f t="shared" ref="H229:V229" si="206">SUM(H211:H216)</f>
        <v>0</v>
      </c>
      <c r="I229" s="1136">
        <f t="shared" si="206"/>
        <v>0</v>
      </c>
      <c r="J229" s="1136">
        <f t="shared" si="206"/>
        <v>0</v>
      </c>
      <c r="K229" s="1136">
        <f t="shared" si="206"/>
        <v>0</v>
      </c>
      <c r="L229" s="1136">
        <f t="shared" si="206"/>
        <v>0</v>
      </c>
      <c r="M229" s="1136">
        <f t="shared" si="206"/>
        <v>0</v>
      </c>
      <c r="N229" s="1136">
        <f t="shared" si="206"/>
        <v>0</v>
      </c>
      <c r="O229" s="1136">
        <f t="shared" si="206"/>
        <v>0</v>
      </c>
      <c r="P229" s="1136">
        <f t="shared" si="206"/>
        <v>0</v>
      </c>
      <c r="Q229" s="1136">
        <f t="shared" si="206"/>
        <v>0</v>
      </c>
      <c r="R229" s="1136">
        <f t="shared" si="206"/>
        <v>0</v>
      </c>
      <c r="S229" s="1136">
        <f t="shared" si="206"/>
        <v>0</v>
      </c>
      <c r="T229" s="1136">
        <f t="shared" si="206"/>
        <v>0</v>
      </c>
      <c r="U229" s="1136">
        <f t="shared" si="206"/>
        <v>0</v>
      </c>
      <c r="V229" s="1136">
        <f t="shared" si="206"/>
        <v>0</v>
      </c>
    </row>
    <row r="231" spans="3:22" x14ac:dyDescent="0.25">
      <c r="D231" t="s">
        <v>1325</v>
      </c>
      <c r="G231" s="2">
        <f t="shared" ref="G231:M231" si="207">SUM(G222:G223)</f>
        <v>0</v>
      </c>
      <c r="H231" s="2">
        <f t="shared" si="207"/>
        <v>0</v>
      </c>
      <c r="I231" s="2">
        <f t="shared" si="207"/>
        <v>0</v>
      </c>
      <c r="J231" s="2">
        <f t="shared" si="207"/>
        <v>0</v>
      </c>
      <c r="K231" s="2">
        <f t="shared" si="207"/>
        <v>0</v>
      </c>
      <c r="L231" s="2">
        <f t="shared" si="207"/>
        <v>0</v>
      </c>
      <c r="M231" s="2">
        <f t="shared" si="207"/>
        <v>0</v>
      </c>
      <c r="N231" s="2">
        <f t="shared" ref="N231:V231" si="208">SUM(N222:N223)</f>
        <v>0</v>
      </c>
      <c r="O231" s="2">
        <f t="shared" si="208"/>
        <v>0</v>
      </c>
      <c r="P231" s="2">
        <f t="shared" si="208"/>
        <v>0</v>
      </c>
      <c r="Q231" s="2">
        <f t="shared" si="208"/>
        <v>0</v>
      </c>
      <c r="R231" s="2">
        <f t="shared" si="208"/>
        <v>0</v>
      </c>
      <c r="S231" s="2">
        <f t="shared" si="208"/>
        <v>0</v>
      </c>
      <c r="T231" s="2">
        <f t="shared" si="208"/>
        <v>0</v>
      </c>
      <c r="U231" s="2">
        <f t="shared" si="208"/>
        <v>0</v>
      </c>
      <c r="V231" s="2">
        <f t="shared" si="208"/>
        <v>0</v>
      </c>
    </row>
    <row r="232" spans="3:22" x14ac:dyDescent="0.25">
      <c r="D232" t="s">
        <v>1326</v>
      </c>
      <c r="G232" s="2">
        <f t="shared" ref="G232:M232" si="209">SUM(G224:G225)</f>
        <v>0</v>
      </c>
      <c r="H232" s="2">
        <f t="shared" si="209"/>
        <v>0</v>
      </c>
      <c r="I232" s="2">
        <f t="shared" si="209"/>
        <v>0</v>
      </c>
      <c r="J232" s="2">
        <f t="shared" si="209"/>
        <v>0</v>
      </c>
      <c r="K232" s="2">
        <f t="shared" si="209"/>
        <v>0</v>
      </c>
      <c r="L232" s="2">
        <f t="shared" si="209"/>
        <v>0</v>
      </c>
      <c r="M232" s="2">
        <f t="shared" si="209"/>
        <v>0</v>
      </c>
      <c r="N232" s="2">
        <f t="shared" ref="N232:V232" si="210">SUM(N224:N225)</f>
        <v>0</v>
      </c>
      <c r="O232" s="2">
        <f t="shared" si="210"/>
        <v>0</v>
      </c>
      <c r="P232" s="2">
        <f t="shared" si="210"/>
        <v>0</v>
      </c>
      <c r="Q232" s="2">
        <f t="shared" si="210"/>
        <v>0</v>
      </c>
      <c r="R232" s="2">
        <f t="shared" si="210"/>
        <v>0</v>
      </c>
      <c r="S232" s="2">
        <f t="shared" si="210"/>
        <v>0</v>
      </c>
      <c r="T232" s="2">
        <f t="shared" si="210"/>
        <v>0</v>
      </c>
      <c r="U232" s="2">
        <f t="shared" si="210"/>
        <v>0</v>
      </c>
      <c r="V232" s="2">
        <f t="shared" si="210"/>
        <v>0</v>
      </c>
    </row>
    <row r="233" spans="3:22" x14ac:dyDescent="0.25">
      <c r="D233" t="s">
        <v>1327</v>
      </c>
      <c r="G233" s="2">
        <f t="shared" ref="G233:M233" si="211">SUM(G226:G228)</f>
        <v>0</v>
      </c>
      <c r="H233" s="2">
        <f t="shared" si="211"/>
        <v>0</v>
      </c>
      <c r="I233" s="2">
        <f t="shared" si="211"/>
        <v>0</v>
      </c>
      <c r="J233" s="2">
        <f t="shared" si="211"/>
        <v>0</v>
      </c>
      <c r="K233" s="2">
        <f t="shared" si="211"/>
        <v>0</v>
      </c>
      <c r="L233" s="2">
        <f t="shared" si="211"/>
        <v>0</v>
      </c>
      <c r="M233" s="2">
        <f t="shared" si="211"/>
        <v>0</v>
      </c>
      <c r="N233" s="2">
        <f t="shared" ref="N233:V233" si="212">SUM(N226:N228)</f>
        <v>0</v>
      </c>
      <c r="O233" s="2">
        <f t="shared" si="212"/>
        <v>0</v>
      </c>
      <c r="P233" s="2">
        <f t="shared" si="212"/>
        <v>0</v>
      </c>
      <c r="Q233" s="2">
        <f t="shared" si="212"/>
        <v>0</v>
      </c>
      <c r="R233" s="2">
        <f t="shared" si="212"/>
        <v>0</v>
      </c>
      <c r="S233" s="2">
        <f t="shared" si="212"/>
        <v>0</v>
      </c>
      <c r="T233" s="2">
        <f t="shared" si="212"/>
        <v>0</v>
      </c>
      <c r="U233" s="2">
        <f t="shared" si="212"/>
        <v>0</v>
      </c>
      <c r="V233" s="2">
        <f t="shared" si="212"/>
        <v>0</v>
      </c>
    </row>
    <row r="234" spans="3:22" x14ac:dyDescent="0.25">
      <c r="L234">
        <v>1</v>
      </c>
      <c r="M234">
        <v>1</v>
      </c>
    </row>
  </sheetData>
  <mergeCells count="112">
    <mergeCell ref="A49:A101"/>
    <mergeCell ref="C122:D123"/>
    <mergeCell ref="O122:Q123"/>
    <mergeCell ref="I122:K123"/>
    <mergeCell ref="C141:D142"/>
    <mergeCell ref="I141:K142"/>
    <mergeCell ref="O141:Q142"/>
    <mergeCell ref="G121:H121"/>
    <mergeCell ref="M121:N121"/>
    <mergeCell ref="I121:K121"/>
    <mergeCell ref="O121:Q121"/>
    <mergeCell ref="I120:K120"/>
    <mergeCell ref="O120:Q120"/>
    <mergeCell ref="I139:K139"/>
    <mergeCell ref="M122:N122"/>
    <mergeCell ref="M125:Q125"/>
    <mergeCell ref="M123:N123"/>
    <mergeCell ref="O139:Q139"/>
    <mergeCell ref="B69:B72"/>
    <mergeCell ref="C121:D121"/>
    <mergeCell ref="DN20:EF20"/>
    <mergeCell ref="EE21:EE22"/>
    <mergeCell ref="ED21:ED22"/>
    <mergeCell ref="AA17:AR17"/>
    <mergeCell ref="CU20:DJ20"/>
    <mergeCell ref="CC20:CR20"/>
    <mergeCell ref="CS21:CS22"/>
    <mergeCell ref="AA16:AR16"/>
    <mergeCell ref="C160:D161"/>
    <mergeCell ref="I160:K161"/>
    <mergeCell ref="O160:Q161"/>
    <mergeCell ref="C159:D159"/>
    <mergeCell ref="G159:H159"/>
    <mergeCell ref="M159:N159"/>
    <mergeCell ref="O159:Q159"/>
    <mergeCell ref="I159:K159"/>
    <mergeCell ref="C140:D140"/>
    <mergeCell ref="G140:H140"/>
    <mergeCell ref="I140:K140"/>
    <mergeCell ref="M140:N140"/>
    <mergeCell ref="O140:Q140"/>
    <mergeCell ref="G160:H160"/>
    <mergeCell ref="I158:K158"/>
    <mergeCell ref="M160:N160"/>
    <mergeCell ref="DL6:DL7"/>
    <mergeCell ref="DL8:DL10"/>
    <mergeCell ref="AB18:AR18"/>
    <mergeCell ref="B125:D125"/>
    <mergeCell ref="B106:D106"/>
    <mergeCell ref="G106:K106"/>
    <mergeCell ref="B42:B45"/>
    <mergeCell ref="C120:D120"/>
    <mergeCell ref="B77:B78"/>
    <mergeCell ref="B79:B80"/>
    <mergeCell ref="B81:B83"/>
    <mergeCell ref="B86:B90"/>
    <mergeCell ref="B91:B93"/>
    <mergeCell ref="B50:B51"/>
    <mergeCell ref="B52:B53"/>
    <mergeCell ref="B54:B56"/>
    <mergeCell ref="B59:B63"/>
    <mergeCell ref="B64:B66"/>
    <mergeCell ref="B67:B68"/>
    <mergeCell ref="G125:K125"/>
    <mergeCell ref="G123:H123"/>
    <mergeCell ref="G122:H122"/>
    <mergeCell ref="M106:Q106"/>
    <mergeCell ref="BK20:BZ20"/>
    <mergeCell ref="B2:V2"/>
    <mergeCell ref="C10:F10"/>
    <mergeCell ref="B23:B24"/>
    <mergeCell ref="B25:B26"/>
    <mergeCell ref="B27:B29"/>
    <mergeCell ref="B21:C21"/>
    <mergeCell ref="C12:V12"/>
    <mergeCell ref="C13:V13"/>
    <mergeCell ref="B10:B14"/>
    <mergeCell ref="C14:V14"/>
    <mergeCell ref="P5:R5"/>
    <mergeCell ref="D20:F20"/>
    <mergeCell ref="G8:V8"/>
    <mergeCell ref="DL23:DL24"/>
    <mergeCell ref="B32:B36"/>
    <mergeCell ref="B37:B39"/>
    <mergeCell ref="B40:B41"/>
    <mergeCell ref="B94:B95"/>
    <mergeCell ref="B96:B99"/>
    <mergeCell ref="B177:C177"/>
    <mergeCell ref="C139:D139"/>
    <mergeCell ref="G142:H142"/>
    <mergeCell ref="G141:H141"/>
    <mergeCell ref="G161:H161"/>
    <mergeCell ref="B144:D144"/>
    <mergeCell ref="G144:K144"/>
    <mergeCell ref="C158:D158"/>
    <mergeCell ref="H167:K170"/>
    <mergeCell ref="M141:N141"/>
    <mergeCell ref="M144:Q144"/>
    <mergeCell ref="M142:N142"/>
    <mergeCell ref="M161:N161"/>
    <mergeCell ref="O158:Q158"/>
    <mergeCell ref="B49:V49"/>
    <mergeCell ref="B76:V76"/>
    <mergeCell ref="C193:C194"/>
    <mergeCell ref="C195:C196"/>
    <mergeCell ref="C197:C199"/>
    <mergeCell ref="C202:C206"/>
    <mergeCell ref="C207:C209"/>
    <mergeCell ref="C210:C211"/>
    <mergeCell ref="C212:C215"/>
    <mergeCell ref="DL25:DL26"/>
    <mergeCell ref="DL27:DL29"/>
  </mergeCells>
  <conditionalFormatting sqref="B122">
    <cfRule type="cellIs" dxfId="240" priority="140" operator="equal">
      <formula>""</formula>
    </cfRule>
  </conditionalFormatting>
  <conditionalFormatting sqref="B123">
    <cfRule type="cellIs" dxfId="239" priority="139" operator="equal">
      <formula>""</formula>
    </cfRule>
  </conditionalFormatting>
  <conditionalFormatting sqref="C13:V13">
    <cfRule type="cellIs" dxfId="238" priority="134" operator="equal">
      <formula>"You have at least 3 years of data with reporting rates greater than 60%, please discuss with Track20 Team Member."</formula>
    </cfRule>
    <cfRule type="cellIs" dxfId="237" priority="135" operator="equal">
      <formula>"Reporting Rates are generally below 60%, so this data may not be useable in FPET. This may be an opportunity to address data quality."</formula>
    </cfRule>
    <cfRule type="cellIs" dxfId="236" priority="136" operator="equal">
      <formula>"You have at least 3 years of data with reporting rates greater than 80%."</formula>
    </cfRule>
  </conditionalFormatting>
  <conditionalFormatting sqref="G142">
    <cfRule type="cellIs" dxfId="235" priority="66" operator="equal">
      <formula>""</formula>
    </cfRule>
  </conditionalFormatting>
  <conditionalFormatting sqref="G122">
    <cfRule type="cellIs" dxfId="234" priority="61" operator="equal">
      <formula>""</formula>
    </cfRule>
  </conditionalFormatting>
  <conditionalFormatting sqref="B141">
    <cfRule type="cellIs" dxfId="233" priority="46" operator="equal">
      <formula>""</formula>
    </cfRule>
  </conditionalFormatting>
  <conditionalFormatting sqref="B142">
    <cfRule type="cellIs" dxfId="232" priority="45" operator="equal">
      <formula>""</formula>
    </cfRule>
  </conditionalFormatting>
  <conditionalFormatting sqref="G123">
    <cfRule type="cellIs" dxfId="231" priority="42" operator="equal">
      <formula>""</formula>
    </cfRule>
  </conditionalFormatting>
  <conditionalFormatting sqref="M123">
    <cfRule type="cellIs" dxfId="230" priority="41" operator="equal">
      <formula>""</formula>
    </cfRule>
  </conditionalFormatting>
  <conditionalFormatting sqref="G141">
    <cfRule type="cellIs" dxfId="229" priority="40" operator="equal">
      <formula>""</formula>
    </cfRule>
  </conditionalFormatting>
  <conditionalFormatting sqref="M122">
    <cfRule type="cellIs" dxfId="228" priority="39" operator="equal">
      <formula>""</formula>
    </cfRule>
  </conditionalFormatting>
  <conditionalFormatting sqref="M142">
    <cfRule type="cellIs" dxfId="227" priority="38" operator="equal">
      <formula>""</formula>
    </cfRule>
  </conditionalFormatting>
  <conditionalFormatting sqref="M141">
    <cfRule type="cellIs" dxfId="226" priority="37" operator="equal">
      <formula>""</formula>
    </cfRule>
  </conditionalFormatting>
  <conditionalFormatting sqref="G161">
    <cfRule type="cellIs" dxfId="225" priority="36" operator="equal">
      <formula>""</formula>
    </cfRule>
  </conditionalFormatting>
  <conditionalFormatting sqref="G160">
    <cfRule type="cellIs" dxfId="224" priority="35" operator="equal">
      <formula>""</formula>
    </cfRule>
  </conditionalFormatting>
  <conditionalFormatting sqref="M161">
    <cfRule type="cellIs" dxfId="223" priority="34" operator="equal">
      <formula>""</formula>
    </cfRule>
  </conditionalFormatting>
  <conditionalFormatting sqref="M160">
    <cfRule type="cellIs" dxfId="222" priority="33" operator="equal">
      <formula>""</formula>
    </cfRule>
  </conditionalFormatting>
  <conditionalFormatting sqref="B160">
    <cfRule type="cellIs" dxfId="221" priority="32" operator="equal">
      <formula>""</formula>
    </cfRule>
  </conditionalFormatting>
  <conditionalFormatting sqref="B161">
    <cfRule type="cellIs" dxfId="220" priority="31" operator="equal">
      <formula>""</formula>
    </cfRule>
  </conditionalFormatting>
  <conditionalFormatting sqref="M10:V10">
    <cfRule type="cellIs" dxfId="219" priority="27" operator="equal">
      <formula>""</formula>
    </cfRule>
    <cfRule type="cellIs" dxfId="218" priority="28" operator="greaterThanOrEqual">
      <formula>0.8</formula>
    </cfRule>
    <cfRule type="cellIs" dxfId="217" priority="29" operator="between">
      <formula>0.599</formula>
      <formula>0.7999</formula>
    </cfRule>
    <cfRule type="cellIs" dxfId="216" priority="30" operator="lessThan">
      <formula>0.5999</formula>
    </cfRule>
  </conditionalFormatting>
  <conditionalFormatting sqref="M10:V10">
    <cfRule type="cellIs" dxfId="215" priority="23" operator="equal">
      <formula>""</formula>
    </cfRule>
    <cfRule type="cellIs" dxfId="214" priority="24" operator="greaterThanOrEqual">
      <formula>0.8</formula>
    </cfRule>
    <cfRule type="cellIs" dxfId="213" priority="25" operator="between">
      <formula>0.599</formula>
      <formula>0.7999</formula>
    </cfRule>
    <cfRule type="cellIs" dxfId="212" priority="26" operator="lessThan">
      <formula>0.5999</formula>
    </cfRule>
  </conditionalFormatting>
  <conditionalFormatting sqref="M10:V10">
    <cfRule type="expression" dxfId="211" priority="22">
      <formula>M$9=""</formula>
    </cfRule>
  </conditionalFormatting>
  <conditionalFormatting sqref="M121">
    <cfRule type="expression" dxfId="210" priority="19">
      <formula>M121=""</formula>
    </cfRule>
  </conditionalFormatting>
  <conditionalFormatting sqref="G121">
    <cfRule type="expression" dxfId="209" priority="20">
      <formula>G121=""</formula>
    </cfRule>
  </conditionalFormatting>
  <conditionalFormatting sqref="B140">
    <cfRule type="expression" dxfId="208" priority="18">
      <formula>B140=""</formula>
    </cfRule>
  </conditionalFormatting>
  <conditionalFormatting sqref="G140">
    <cfRule type="expression" dxfId="207" priority="17">
      <formula>G140=""</formula>
    </cfRule>
  </conditionalFormatting>
  <conditionalFormatting sqref="M140">
    <cfRule type="expression" dxfId="206" priority="16">
      <formula>M140=""</formula>
    </cfRule>
  </conditionalFormatting>
  <conditionalFormatting sqref="G159">
    <cfRule type="expression" dxfId="205" priority="14">
      <formula>G159=""</formula>
    </cfRule>
  </conditionalFormatting>
  <conditionalFormatting sqref="M159">
    <cfRule type="expression" dxfId="204" priority="13">
      <formula>M159=""</formula>
    </cfRule>
  </conditionalFormatting>
  <conditionalFormatting sqref="B163">
    <cfRule type="expression" dxfId="203" priority="12">
      <formula>B163=""</formula>
    </cfRule>
  </conditionalFormatting>
  <conditionalFormatting sqref="B121">
    <cfRule type="expression" dxfId="202" priority="11">
      <formula>B121=""</formula>
    </cfRule>
  </conditionalFormatting>
  <conditionalFormatting sqref="B159">
    <cfRule type="expression" dxfId="201" priority="10">
      <formula>B159=""</formula>
    </cfRule>
  </conditionalFormatting>
  <conditionalFormatting sqref="G10:L10">
    <cfRule type="cellIs" dxfId="200" priority="6" operator="equal">
      <formula>""</formula>
    </cfRule>
    <cfRule type="cellIs" dxfId="199" priority="7" operator="greaterThanOrEqual">
      <formula>0.8</formula>
    </cfRule>
    <cfRule type="cellIs" dxfId="198" priority="8" operator="between">
      <formula>0.599</formula>
      <formula>0.7999</formula>
    </cfRule>
    <cfRule type="cellIs" dxfId="197" priority="9" operator="lessThan">
      <formula>0.5999</formula>
    </cfRule>
  </conditionalFormatting>
  <conditionalFormatting sqref="G10:L10">
    <cfRule type="cellIs" dxfId="196" priority="2" operator="equal">
      <formula>""</formula>
    </cfRule>
    <cfRule type="cellIs" dxfId="195" priority="3" operator="greaterThanOrEqual">
      <formula>0.8</formula>
    </cfRule>
    <cfRule type="cellIs" dxfId="194" priority="4" operator="between">
      <formula>0.599</formula>
      <formula>0.7999</formula>
    </cfRule>
    <cfRule type="cellIs" dxfId="193" priority="5" operator="lessThan">
      <formula>0.5999</formula>
    </cfRule>
  </conditionalFormatting>
  <conditionalFormatting sqref="G10:L10">
    <cfRule type="expression" dxfId="192" priority="1">
      <formula>G$9=""</formula>
    </cfRule>
  </conditionalFormatting>
  <hyperlinks>
    <hyperlink ref="P5:R5" location="'Commodities (Facility) Input'!A1" tooltip="Click to Enter Commodities to Facilities Data" display="'Commodities (Facility) Input'!A1" xr:uid="{00000000-0004-0000-0800-000001000000}"/>
    <hyperlink ref="H167:K170" location="'Commodities (Clients) Output'!A1" display="'Commodities (Clients) Output'!A1" xr:uid="{2655E4E4-BB33-487A-9F0D-123CA346AD49}"/>
  </hyperlinks>
  <pageMargins left="0.7" right="0.7" top="0.75" bottom="0.75" header="0.3" footer="0.3"/>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45" id="{56723698-3AAA-4D70-8AC6-BE95CDA42B36}">
            <xm:f>$D32&lt;&gt;Assumptions!$D17</xm:f>
            <x14:dxf>
              <font>
                <b/>
                <i val="0"/>
                <color rgb="FFC00000"/>
              </font>
              <fill>
                <patternFill>
                  <bgColor rgb="FFFAC8C8"/>
                </patternFill>
              </fill>
            </x14:dxf>
          </x14:cfRule>
          <xm:sqref>D32:D46</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pageSetUpPr autoPageBreaks="0"/>
  </sheetPr>
  <dimension ref="A1:AY154"/>
  <sheetViews>
    <sheetView showGridLines="0" topLeftCell="A89" zoomScale="70" zoomScaleNormal="70" workbookViewId="0">
      <selection activeCell="C100" sqref="C100"/>
    </sheetView>
  </sheetViews>
  <sheetFormatPr defaultRowHeight="15" outlineLevelRow="1" x14ac:dyDescent="0.25"/>
  <cols>
    <col min="1" max="1" width="6.7109375" customWidth="1"/>
    <col min="2" max="2" width="21.140625" customWidth="1"/>
    <col min="3" max="3" width="28.28515625" style="20" customWidth="1"/>
    <col min="4" max="8" width="12.140625" customWidth="1"/>
    <col min="9" max="10" width="11.7109375" customWidth="1"/>
    <col min="11" max="15" width="10.7109375" customWidth="1"/>
    <col min="16" max="16" width="17.5703125" customWidth="1"/>
    <col min="17" max="19" width="10.7109375" customWidth="1"/>
    <col min="20" max="20" width="3.28515625" customWidth="1"/>
    <col min="21" max="21" width="16.5703125" customWidth="1"/>
    <col min="22" max="22" width="12.7109375" customWidth="1"/>
    <col min="23" max="23" width="5.28515625" style="489" customWidth="1"/>
    <col min="24" max="38" width="11" customWidth="1"/>
    <col min="39" max="60" width="8.85546875" customWidth="1"/>
  </cols>
  <sheetData>
    <row r="1" spans="2:51" ht="34.5" customHeight="1" x14ac:dyDescent="0.25">
      <c r="B1" s="1512" t="str">
        <f>IF(Language="English", AD2, AF2)</f>
        <v>Résultat : Examinez les Utilisatrices PF et l'EUM calculés à partir des données des produits distribués aux clients</v>
      </c>
      <c r="C1" s="1512"/>
      <c r="D1" s="1512"/>
      <c r="E1" s="1512"/>
      <c r="F1" s="1512"/>
      <c r="G1" s="1512"/>
      <c r="H1" s="1512"/>
      <c r="I1" s="1512"/>
      <c r="J1" s="1512"/>
      <c r="K1" s="1512"/>
      <c r="L1" s="1512"/>
      <c r="M1" s="1512"/>
      <c r="N1" s="1512"/>
      <c r="O1" s="1512"/>
      <c r="P1" s="1512"/>
      <c r="Q1" s="1512"/>
      <c r="R1" s="1512"/>
      <c r="S1" s="1512"/>
      <c r="T1" s="1512"/>
      <c r="U1" s="1512"/>
      <c r="V1" s="1512"/>
      <c r="AD1" s="445" t="s">
        <v>628</v>
      </c>
      <c r="AE1" s="449" t="s">
        <v>656</v>
      </c>
      <c r="AF1" s="447" t="s">
        <v>740</v>
      </c>
      <c r="AY1">
        <f>'Commodities (Clients) Input'!AS22</f>
        <v>0</v>
      </c>
    </row>
    <row r="2" spans="2:51" ht="28.5" x14ac:dyDescent="0.45">
      <c r="B2" s="272" t="str">
        <f>IF('2. Pop_Prev Set Up'!$W$2="Yes", '2. Pop_Prev Set Up'!$W$1&amp;" : "&amp;'2. Pop_Prev Set Up'!$W$3, '2. Pop_Prev Set Up'!$W$1&amp;" : "&amp;"National")</f>
        <v>0 : National</v>
      </c>
      <c r="C2"/>
      <c r="AD2" s="445" t="s">
        <v>582</v>
      </c>
      <c r="AE2" s="449"/>
      <c r="AF2" s="447" t="s">
        <v>2414</v>
      </c>
    </row>
    <row r="3" spans="2:51" ht="35.25" customHeight="1" x14ac:dyDescent="0.3">
      <c r="B3" s="1562" t="str">
        <f>IF(Language="English", AD3, AF3)</f>
        <v>Sur la base de vos données, nous avons calculé les utilisatrices modernes par méthode, combinaison de méthodes modernes, et l'utilisation moderne estimée (EMU) qui en résulte, calculées en tant qu'utilisatrices / femmes en âge de procréer. Passez en revue les résultats dans les graphiques et les tableaux ci-dessous.</v>
      </c>
      <c r="C3" s="1562"/>
      <c r="D3" s="1562"/>
      <c r="E3" s="1562"/>
      <c r="F3" s="1562"/>
      <c r="G3" s="1562"/>
      <c r="H3" s="1562"/>
      <c r="I3" s="1562"/>
      <c r="J3" s="1562"/>
      <c r="K3" s="1562"/>
      <c r="L3" s="1562"/>
      <c r="M3" s="1562"/>
      <c r="N3" s="1562"/>
      <c r="O3" s="1562"/>
      <c r="P3" s="1562"/>
      <c r="Q3" s="1562"/>
      <c r="R3" s="1562"/>
      <c r="S3" s="1562"/>
      <c r="T3" s="1562"/>
      <c r="U3" s="1562"/>
      <c r="AD3" s="445" t="s">
        <v>1058</v>
      </c>
      <c r="AE3" s="449"/>
      <c r="AF3" s="447" t="s">
        <v>2434</v>
      </c>
    </row>
    <row r="4" spans="2:51" ht="15" customHeight="1" x14ac:dyDescent="0.3">
      <c r="B4" s="742" t="str">
        <f>IF(AND(COUNT($D$125:$S$125)&gt;COUNT(D126:S126), Language="English"), "One Year of Users/EMU Not Calculated : Check Reporting Rates on Input Tab", IF(AND(COUNT($D$125:$S$125)&gt;COUNT($D$126:$S$126), Language="Francais"), "Un an d'utilisatrices / EMU non calculé : Vérifier les taux de complétude sur l'onglet d'entrée", ""))</f>
        <v>Un an d'utilisatrices / EMU non calculé : Vérifier les taux de complétude sur l'onglet d'entrée</v>
      </c>
    </row>
    <row r="5" spans="2:51" ht="15.75" hidden="1" outlineLevel="1" thickBot="1" x14ac:dyDescent="0.3">
      <c r="B5" t="s">
        <v>1070</v>
      </c>
    </row>
    <row r="6" spans="2:51" ht="18.75" hidden="1" customHeight="1" outlineLevel="1" x14ac:dyDescent="0.25">
      <c r="C6" s="725" t="str">
        <f>IF(Language="English", AD6, AF6)</f>
        <v>Utilisatrices par méthode 
(statistiques de service)</v>
      </c>
      <c r="D6" s="726">
        <f t="shared" ref="D6:S6" si="0">D125</f>
        <v>0</v>
      </c>
      <c r="E6" s="726" t="str">
        <f t="shared" si="0"/>
        <v/>
      </c>
      <c r="F6" s="726" t="str">
        <f t="shared" si="0"/>
        <v/>
      </c>
      <c r="G6" s="726" t="str">
        <f t="shared" si="0"/>
        <v/>
      </c>
      <c r="H6" s="726" t="str">
        <f t="shared" si="0"/>
        <v/>
      </c>
      <c r="I6" s="726" t="str">
        <f t="shared" si="0"/>
        <v/>
      </c>
      <c r="J6" s="726" t="str">
        <f t="shared" si="0"/>
        <v/>
      </c>
      <c r="K6" s="726" t="str">
        <f t="shared" si="0"/>
        <v/>
      </c>
      <c r="L6" s="726" t="str">
        <f t="shared" si="0"/>
        <v/>
      </c>
      <c r="M6" s="726" t="str">
        <f t="shared" si="0"/>
        <v/>
      </c>
      <c r="N6" s="726" t="str">
        <f t="shared" si="0"/>
        <v/>
      </c>
      <c r="O6" s="726" t="str">
        <f t="shared" si="0"/>
        <v/>
      </c>
      <c r="P6" s="726" t="str">
        <f t="shared" si="0"/>
        <v/>
      </c>
      <c r="Q6" s="726" t="str">
        <f t="shared" si="0"/>
        <v/>
      </c>
      <c r="R6" s="726" t="str">
        <f t="shared" si="0"/>
        <v/>
      </c>
      <c r="S6" s="727" t="str">
        <f t="shared" si="0"/>
        <v/>
      </c>
      <c r="AD6" s="654" t="s">
        <v>996</v>
      </c>
      <c r="AE6" s="449"/>
      <c r="AF6" s="655" t="s">
        <v>2415</v>
      </c>
    </row>
    <row r="7" spans="2:51" ht="18.75" hidden="1" customHeight="1" outlineLevel="1" x14ac:dyDescent="0.25">
      <c r="C7" s="728" t="str">
        <f>C45</f>
        <v>Stérilisation (f)</v>
      </c>
      <c r="D7" s="2" t="e">
        <f t="shared" ref="D7:S7" si="1">IF(D$125="", NA(),IF(D$153="", NA(), D127))</f>
        <v>#N/A</v>
      </c>
      <c r="E7" s="2" t="e">
        <f t="shared" si="1"/>
        <v>#N/A</v>
      </c>
      <c r="F7" s="2" t="e">
        <f t="shared" si="1"/>
        <v>#N/A</v>
      </c>
      <c r="G7" s="2" t="e">
        <f t="shared" si="1"/>
        <v>#N/A</v>
      </c>
      <c r="H7" s="2" t="e">
        <f t="shared" si="1"/>
        <v>#N/A</v>
      </c>
      <c r="I7" s="2" t="e">
        <f t="shared" si="1"/>
        <v>#N/A</v>
      </c>
      <c r="J7" s="2" t="e">
        <f t="shared" si="1"/>
        <v>#N/A</v>
      </c>
      <c r="K7" s="2" t="e">
        <f t="shared" si="1"/>
        <v>#N/A</v>
      </c>
      <c r="L7" s="2" t="e">
        <f t="shared" si="1"/>
        <v>#N/A</v>
      </c>
      <c r="M7" s="2" t="e">
        <f t="shared" si="1"/>
        <v>#N/A</v>
      </c>
      <c r="N7" s="2" t="e">
        <f t="shared" si="1"/>
        <v>#N/A</v>
      </c>
      <c r="O7" s="2" t="e">
        <f t="shared" si="1"/>
        <v>#N/A</v>
      </c>
      <c r="P7" s="2" t="e">
        <f t="shared" si="1"/>
        <v>#N/A</v>
      </c>
      <c r="Q7" s="2" t="e">
        <f t="shared" si="1"/>
        <v>#N/A</v>
      </c>
      <c r="R7" s="2" t="e">
        <f t="shared" si="1"/>
        <v>#N/A</v>
      </c>
      <c r="S7" s="729" t="e">
        <f t="shared" si="1"/>
        <v>#N/A</v>
      </c>
      <c r="AD7" s="445"/>
      <c r="AE7" s="449"/>
      <c r="AF7" s="447"/>
    </row>
    <row r="8" spans="2:51" ht="18.75" hidden="1" customHeight="1" outlineLevel="1" x14ac:dyDescent="0.25">
      <c r="C8" s="728" t="str">
        <f t="shared" ref="C8:C15" si="2">C46</f>
        <v>Stérilisation (m)</v>
      </c>
      <c r="D8" s="2" t="e">
        <f t="shared" ref="D8:S8" si="3">IF(D$125="", NA(),IF(D$153="", NA(), D128))</f>
        <v>#N/A</v>
      </c>
      <c r="E8" s="2" t="e">
        <f t="shared" si="3"/>
        <v>#N/A</v>
      </c>
      <c r="F8" s="2" t="e">
        <f t="shared" si="3"/>
        <v>#N/A</v>
      </c>
      <c r="G8" s="2" t="e">
        <f t="shared" si="3"/>
        <v>#N/A</v>
      </c>
      <c r="H8" s="2" t="e">
        <f t="shared" si="3"/>
        <v>#N/A</v>
      </c>
      <c r="I8" s="2" t="e">
        <f t="shared" si="3"/>
        <v>#N/A</v>
      </c>
      <c r="J8" s="2" t="e">
        <f t="shared" si="3"/>
        <v>#N/A</v>
      </c>
      <c r="K8" s="2" t="e">
        <f t="shared" si="3"/>
        <v>#N/A</v>
      </c>
      <c r="L8" s="2" t="e">
        <f t="shared" si="3"/>
        <v>#N/A</v>
      </c>
      <c r="M8" s="2" t="e">
        <f t="shared" si="3"/>
        <v>#N/A</v>
      </c>
      <c r="N8" s="2" t="e">
        <f t="shared" si="3"/>
        <v>#N/A</v>
      </c>
      <c r="O8" s="2" t="e">
        <f t="shared" si="3"/>
        <v>#N/A</v>
      </c>
      <c r="P8" s="2" t="e">
        <f t="shared" si="3"/>
        <v>#N/A</v>
      </c>
      <c r="Q8" s="2" t="e">
        <f t="shared" si="3"/>
        <v>#N/A</v>
      </c>
      <c r="R8" s="2" t="e">
        <f t="shared" si="3"/>
        <v>#N/A</v>
      </c>
      <c r="S8" s="729" t="e">
        <f t="shared" si="3"/>
        <v>#N/A</v>
      </c>
      <c r="AD8" s="445"/>
      <c r="AE8" s="449"/>
      <c r="AF8" s="447"/>
    </row>
    <row r="9" spans="2:51" ht="18.75" hidden="1" customHeight="1" outlineLevel="1" x14ac:dyDescent="0.25">
      <c r="C9" s="728" t="str">
        <f t="shared" si="2"/>
        <v>DIU</v>
      </c>
      <c r="D9" s="2" t="e">
        <f t="shared" ref="D9:S9" si="4">IF(D$125="", NA(), IF(D$153="", NA(), SUM(D129:D130)))</f>
        <v>#N/A</v>
      </c>
      <c r="E9" s="2" t="e">
        <f t="shared" si="4"/>
        <v>#N/A</v>
      </c>
      <c r="F9" s="2" t="e">
        <f t="shared" si="4"/>
        <v>#N/A</v>
      </c>
      <c r="G9" s="2" t="e">
        <f t="shared" si="4"/>
        <v>#N/A</v>
      </c>
      <c r="H9" s="2" t="e">
        <f t="shared" si="4"/>
        <v>#N/A</v>
      </c>
      <c r="I9" s="2" t="e">
        <f t="shared" si="4"/>
        <v>#N/A</v>
      </c>
      <c r="J9" s="2" t="e">
        <f t="shared" si="4"/>
        <v>#N/A</v>
      </c>
      <c r="K9" s="2" t="e">
        <f t="shared" si="4"/>
        <v>#N/A</v>
      </c>
      <c r="L9" s="2" t="e">
        <f t="shared" si="4"/>
        <v>#N/A</v>
      </c>
      <c r="M9" s="2" t="e">
        <f t="shared" si="4"/>
        <v>#N/A</v>
      </c>
      <c r="N9" s="2" t="e">
        <f t="shared" si="4"/>
        <v>#N/A</v>
      </c>
      <c r="O9" s="2" t="e">
        <f t="shared" si="4"/>
        <v>#N/A</v>
      </c>
      <c r="P9" s="2" t="e">
        <f t="shared" si="4"/>
        <v>#N/A</v>
      </c>
      <c r="Q9" s="2" t="e">
        <f t="shared" si="4"/>
        <v>#N/A</v>
      </c>
      <c r="R9" s="2" t="e">
        <f t="shared" si="4"/>
        <v>#N/A</v>
      </c>
      <c r="S9" s="729" t="e">
        <f t="shared" si="4"/>
        <v>#N/A</v>
      </c>
      <c r="AD9" s="445"/>
      <c r="AE9" s="449"/>
      <c r="AF9" s="447"/>
    </row>
    <row r="10" spans="2:51" ht="18.75" hidden="1" customHeight="1" outlineLevel="1" x14ac:dyDescent="0.25">
      <c r="C10" s="728" t="str">
        <f t="shared" si="2"/>
        <v>Implant</v>
      </c>
      <c r="D10" s="2" t="e">
        <f t="shared" ref="D10:S10" si="5">IF(D$125="", NA(), IF(D$153="", NA(), SUM(D131:D133)))</f>
        <v>#N/A</v>
      </c>
      <c r="E10" s="2" t="e">
        <f t="shared" si="5"/>
        <v>#N/A</v>
      </c>
      <c r="F10" s="2" t="e">
        <f t="shared" si="5"/>
        <v>#N/A</v>
      </c>
      <c r="G10" s="2" t="e">
        <f t="shared" si="5"/>
        <v>#N/A</v>
      </c>
      <c r="H10" s="2" t="e">
        <f t="shared" si="5"/>
        <v>#N/A</v>
      </c>
      <c r="I10" s="2" t="e">
        <f t="shared" si="5"/>
        <v>#N/A</v>
      </c>
      <c r="J10" s="2" t="e">
        <f t="shared" si="5"/>
        <v>#N/A</v>
      </c>
      <c r="K10" s="2" t="e">
        <f t="shared" si="5"/>
        <v>#N/A</v>
      </c>
      <c r="L10" s="2" t="e">
        <f t="shared" si="5"/>
        <v>#N/A</v>
      </c>
      <c r="M10" s="2" t="e">
        <f t="shared" si="5"/>
        <v>#N/A</v>
      </c>
      <c r="N10" s="2" t="e">
        <f t="shared" si="5"/>
        <v>#N/A</v>
      </c>
      <c r="O10" s="2" t="e">
        <f t="shared" si="5"/>
        <v>#N/A</v>
      </c>
      <c r="P10" s="2" t="e">
        <f t="shared" si="5"/>
        <v>#N/A</v>
      </c>
      <c r="Q10" s="2" t="e">
        <f t="shared" si="5"/>
        <v>#N/A</v>
      </c>
      <c r="R10" s="2" t="e">
        <f t="shared" si="5"/>
        <v>#N/A</v>
      </c>
      <c r="S10" s="729" t="e">
        <f t="shared" si="5"/>
        <v>#N/A</v>
      </c>
      <c r="AD10" s="445"/>
      <c r="AE10" s="449"/>
      <c r="AF10" s="447"/>
    </row>
    <row r="11" spans="2:51" ht="18.75" hidden="1" customHeight="1" outlineLevel="1" x14ac:dyDescent="0.25">
      <c r="C11" s="728" t="str">
        <f t="shared" si="2"/>
        <v>Produits injectables</v>
      </c>
      <c r="D11" s="2" t="e">
        <f t="shared" ref="D11:S11" si="6">IF(D125="",NA(),IF(D153="",NA(),SUM(D136:D140)))</f>
        <v>#N/A</v>
      </c>
      <c r="E11" s="2" t="e">
        <f t="shared" si="6"/>
        <v>#N/A</v>
      </c>
      <c r="F11" s="2" t="e">
        <f t="shared" si="6"/>
        <v>#N/A</v>
      </c>
      <c r="G11" s="2" t="e">
        <f t="shared" si="6"/>
        <v>#N/A</v>
      </c>
      <c r="H11" s="2" t="e">
        <f t="shared" si="6"/>
        <v>#N/A</v>
      </c>
      <c r="I11" s="2" t="e">
        <f t="shared" si="6"/>
        <v>#N/A</v>
      </c>
      <c r="J11" s="2" t="e">
        <f t="shared" si="6"/>
        <v>#N/A</v>
      </c>
      <c r="K11" s="2" t="e">
        <f t="shared" si="6"/>
        <v>#N/A</v>
      </c>
      <c r="L11" s="2" t="e">
        <f t="shared" si="6"/>
        <v>#N/A</v>
      </c>
      <c r="M11" s="2" t="e">
        <f t="shared" si="6"/>
        <v>#N/A</v>
      </c>
      <c r="N11" s="2" t="e">
        <f t="shared" si="6"/>
        <v>#N/A</v>
      </c>
      <c r="O11" s="2" t="e">
        <f t="shared" si="6"/>
        <v>#N/A</v>
      </c>
      <c r="P11" s="2" t="e">
        <f t="shared" si="6"/>
        <v>#N/A</v>
      </c>
      <c r="Q11" s="2" t="e">
        <f t="shared" si="6"/>
        <v>#N/A</v>
      </c>
      <c r="R11" s="2" t="e">
        <f t="shared" si="6"/>
        <v>#N/A</v>
      </c>
      <c r="S11" s="729" t="e">
        <f t="shared" si="6"/>
        <v>#N/A</v>
      </c>
      <c r="AD11" s="445"/>
      <c r="AE11" s="449"/>
      <c r="AF11" s="447"/>
    </row>
    <row r="12" spans="2:51" ht="18.75" hidden="1" customHeight="1" outlineLevel="1" x14ac:dyDescent="0.25">
      <c r="C12" s="728" t="str">
        <f t="shared" si="2"/>
        <v>Pilule</v>
      </c>
      <c r="D12" s="2" t="e">
        <f t="shared" ref="D12:S12" si="7">IF(D125="", NA(), IF(D153="", NA(), SUM(D141:D143)))</f>
        <v>#N/A</v>
      </c>
      <c r="E12" s="2" t="e">
        <f t="shared" si="7"/>
        <v>#N/A</v>
      </c>
      <c r="F12" s="2" t="e">
        <f t="shared" si="7"/>
        <v>#N/A</v>
      </c>
      <c r="G12" s="2" t="e">
        <f t="shared" si="7"/>
        <v>#N/A</v>
      </c>
      <c r="H12" s="2" t="e">
        <f t="shared" si="7"/>
        <v>#N/A</v>
      </c>
      <c r="I12" s="2" t="e">
        <f t="shared" si="7"/>
        <v>#N/A</v>
      </c>
      <c r="J12" s="2" t="e">
        <f t="shared" si="7"/>
        <v>#N/A</v>
      </c>
      <c r="K12" s="2" t="e">
        <f t="shared" si="7"/>
        <v>#N/A</v>
      </c>
      <c r="L12" s="2" t="e">
        <f t="shared" si="7"/>
        <v>#N/A</v>
      </c>
      <c r="M12" s="2" t="e">
        <f t="shared" si="7"/>
        <v>#N/A</v>
      </c>
      <c r="N12" s="2" t="e">
        <f t="shared" si="7"/>
        <v>#N/A</v>
      </c>
      <c r="O12" s="2" t="e">
        <f t="shared" si="7"/>
        <v>#N/A</v>
      </c>
      <c r="P12" s="2" t="e">
        <f t="shared" si="7"/>
        <v>#N/A</v>
      </c>
      <c r="Q12" s="2" t="e">
        <f t="shared" si="7"/>
        <v>#N/A</v>
      </c>
      <c r="R12" s="2" t="e">
        <f t="shared" si="7"/>
        <v>#N/A</v>
      </c>
      <c r="S12" s="729" t="e">
        <f t="shared" si="7"/>
        <v>#N/A</v>
      </c>
      <c r="AD12" s="445"/>
      <c r="AE12" s="449"/>
      <c r="AF12" s="447"/>
    </row>
    <row r="13" spans="2:51" ht="18.75" hidden="1" customHeight="1" outlineLevel="1" x14ac:dyDescent="0.25">
      <c r="C13" s="728" t="str">
        <f t="shared" si="2"/>
        <v>Préservatifs (m+f)</v>
      </c>
      <c r="D13" s="2" t="e">
        <f t="shared" ref="D13:S13" si="8">IF(D125="", NA(), IF(D153="", NA(), SUM(D144:D145)))</f>
        <v>#N/A</v>
      </c>
      <c r="E13" s="2" t="e">
        <f t="shared" si="8"/>
        <v>#N/A</v>
      </c>
      <c r="F13" s="2" t="e">
        <f t="shared" si="8"/>
        <v>#N/A</v>
      </c>
      <c r="G13" s="2" t="e">
        <f t="shared" si="8"/>
        <v>#N/A</v>
      </c>
      <c r="H13" s="2" t="e">
        <f t="shared" si="8"/>
        <v>#N/A</v>
      </c>
      <c r="I13" s="2" t="e">
        <f t="shared" si="8"/>
        <v>#N/A</v>
      </c>
      <c r="J13" s="2" t="e">
        <f t="shared" si="8"/>
        <v>#N/A</v>
      </c>
      <c r="K13" s="2" t="e">
        <f t="shared" si="8"/>
        <v>#N/A</v>
      </c>
      <c r="L13" s="2" t="e">
        <f t="shared" si="8"/>
        <v>#N/A</v>
      </c>
      <c r="M13" s="2" t="e">
        <f t="shared" si="8"/>
        <v>#N/A</v>
      </c>
      <c r="N13" s="2" t="e">
        <f t="shared" si="8"/>
        <v>#N/A</v>
      </c>
      <c r="O13" s="2" t="e">
        <f t="shared" si="8"/>
        <v>#N/A</v>
      </c>
      <c r="P13" s="2" t="e">
        <f t="shared" si="8"/>
        <v>#N/A</v>
      </c>
      <c r="Q13" s="2" t="e">
        <f t="shared" si="8"/>
        <v>#N/A</v>
      </c>
      <c r="R13" s="2" t="e">
        <f t="shared" si="8"/>
        <v>#N/A</v>
      </c>
      <c r="S13" s="729" t="e">
        <f t="shared" si="8"/>
        <v>#N/A</v>
      </c>
      <c r="AD13" s="445"/>
      <c r="AE13" s="449"/>
      <c r="AF13" s="447"/>
    </row>
    <row r="14" spans="2:51" ht="18.75" hidden="1" customHeight="1" outlineLevel="1" x14ac:dyDescent="0.25">
      <c r="C14" s="728" t="str">
        <f t="shared" si="2"/>
        <v>MAMA</v>
      </c>
      <c r="D14" s="2" t="e">
        <f t="shared" ref="D14:S14" si="9">IF(D125="", NA(), IF(D153="", NA(), D146))</f>
        <v>#N/A</v>
      </c>
      <c r="E14" s="2" t="e">
        <f t="shared" si="9"/>
        <v>#N/A</v>
      </c>
      <c r="F14" s="2" t="e">
        <f t="shared" si="9"/>
        <v>#N/A</v>
      </c>
      <c r="G14" s="2" t="e">
        <f t="shared" si="9"/>
        <v>#N/A</v>
      </c>
      <c r="H14" s="2" t="e">
        <f t="shared" si="9"/>
        <v>#N/A</v>
      </c>
      <c r="I14" s="2" t="e">
        <f t="shared" si="9"/>
        <v>#N/A</v>
      </c>
      <c r="J14" s="2" t="e">
        <f t="shared" si="9"/>
        <v>#N/A</v>
      </c>
      <c r="K14" s="2" t="e">
        <f t="shared" si="9"/>
        <v>#N/A</v>
      </c>
      <c r="L14" s="2" t="e">
        <f t="shared" si="9"/>
        <v>#N/A</v>
      </c>
      <c r="M14" s="2" t="e">
        <f t="shared" si="9"/>
        <v>#N/A</v>
      </c>
      <c r="N14" s="2" t="e">
        <f t="shared" si="9"/>
        <v>#N/A</v>
      </c>
      <c r="O14" s="2" t="e">
        <f t="shared" si="9"/>
        <v>#N/A</v>
      </c>
      <c r="P14" s="2" t="e">
        <f t="shared" si="9"/>
        <v>#N/A</v>
      </c>
      <c r="Q14" s="2" t="e">
        <f t="shared" si="9"/>
        <v>#N/A</v>
      </c>
      <c r="R14" s="2" t="e">
        <f t="shared" si="9"/>
        <v>#N/A</v>
      </c>
      <c r="S14" s="729" t="e">
        <f t="shared" si="9"/>
        <v>#N/A</v>
      </c>
      <c r="AD14" s="445"/>
      <c r="AE14" s="449"/>
      <c r="AF14" s="447"/>
    </row>
    <row r="15" spans="2:51" ht="18.75" hidden="1" customHeight="1" outlineLevel="1" thickBot="1" x14ac:dyDescent="0.3">
      <c r="C15" s="728" t="str">
        <f t="shared" si="2"/>
        <v>Autres méthodes modernes</v>
      </c>
      <c r="D15" s="2" t="e">
        <f t="shared" ref="D15:S15" si="10">IF(D153="", NA(), SUM(D147:D150))</f>
        <v>#N/A</v>
      </c>
      <c r="E15" s="2" t="e">
        <f t="shared" si="10"/>
        <v>#N/A</v>
      </c>
      <c r="F15" s="2" t="e">
        <f t="shared" si="10"/>
        <v>#N/A</v>
      </c>
      <c r="G15" s="2" t="e">
        <f t="shared" si="10"/>
        <v>#N/A</v>
      </c>
      <c r="H15" s="2" t="e">
        <f t="shared" si="10"/>
        <v>#N/A</v>
      </c>
      <c r="I15" s="2" t="e">
        <f t="shared" si="10"/>
        <v>#N/A</v>
      </c>
      <c r="J15" s="2" t="e">
        <f t="shared" si="10"/>
        <v>#N/A</v>
      </c>
      <c r="K15" s="2" t="e">
        <f t="shared" si="10"/>
        <v>#N/A</v>
      </c>
      <c r="L15" s="2" t="e">
        <f t="shared" si="10"/>
        <v>#N/A</v>
      </c>
      <c r="M15" s="2" t="e">
        <f t="shared" si="10"/>
        <v>#N/A</v>
      </c>
      <c r="N15" s="2" t="e">
        <f t="shared" si="10"/>
        <v>#N/A</v>
      </c>
      <c r="O15" s="2" t="e">
        <f t="shared" si="10"/>
        <v>#N/A</v>
      </c>
      <c r="P15" s="2" t="e">
        <f t="shared" si="10"/>
        <v>#N/A</v>
      </c>
      <c r="Q15" s="2" t="e">
        <f t="shared" si="10"/>
        <v>#N/A</v>
      </c>
      <c r="R15" s="2" t="e">
        <f t="shared" si="10"/>
        <v>#N/A</v>
      </c>
      <c r="S15" s="729" t="e">
        <f t="shared" si="10"/>
        <v>#N/A</v>
      </c>
      <c r="AD15" s="445"/>
      <c r="AE15" s="449"/>
      <c r="AF15" s="447"/>
    </row>
    <row r="16" spans="2:51" ht="18.75" hidden="1" customHeight="1" outlineLevel="1" thickBot="1" x14ac:dyDescent="0.3">
      <c r="C16" s="977" t="s">
        <v>313</v>
      </c>
      <c r="D16" s="978" t="e">
        <f t="shared" ref="D16:S16" si="11">SUM(D7:D15)</f>
        <v>#N/A</v>
      </c>
      <c r="E16" s="978" t="e">
        <f t="shared" si="11"/>
        <v>#N/A</v>
      </c>
      <c r="F16" s="978" t="e">
        <f t="shared" si="11"/>
        <v>#N/A</v>
      </c>
      <c r="G16" s="978" t="e">
        <f t="shared" si="11"/>
        <v>#N/A</v>
      </c>
      <c r="H16" s="978" t="e">
        <f t="shared" si="11"/>
        <v>#N/A</v>
      </c>
      <c r="I16" s="978" t="e">
        <f t="shared" si="11"/>
        <v>#N/A</v>
      </c>
      <c r="J16" s="978" t="e">
        <f t="shared" si="11"/>
        <v>#N/A</v>
      </c>
      <c r="K16" s="978" t="e">
        <f t="shared" si="11"/>
        <v>#N/A</v>
      </c>
      <c r="L16" s="978" t="e">
        <f t="shared" si="11"/>
        <v>#N/A</v>
      </c>
      <c r="M16" s="978" t="e">
        <f t="shared" si="11"/>
        <v>#N/A</v>
      </c>
      <c r="N16" s="978" t="e">
        <f t="shared" si="11"/>
        <v>#N/A</v>
      </c>
      <c r="O16" s="978" t="e">
        <f t="shared" si="11"/>
        <v>#N/A</v>
      </c>
      <c r="P16" s="978" t="e">
        <f t="shared" si="11"/>
        <v>#N/A</v>
      </c>
      <c r="Q16" s="978" t="e">
        <f t="shared" si="11"/>
        <v>#N/A</v>
      </c>
      <c r="R16" s="978" t="e">
        <f t="shared" si="11"/>
        <v>#N/A</v>
      </c>
      <c r="S16" s="979" t="e">
        <f t="shared" si="11"/>
        <v>#N/A</v>
      </c>
      <c r="AD16" s="445"/>
      <c r="AE16" s="449"/>
      <c r="AF16" s="447"/>
    </row>
    <row r="17" spans="3:35" ht="18.75" hidden="1" customHeight="1" outlineLevel="1" thickBot="1" x14ac:dyDescent="0.3">
      <c r="D17" s="2"/>
      <c r="E17" s="2"/>
      <c r="F17" s="2"/>
      <c r="G17" s="2"/>
      <c r="H17" s="2"/>
      <c r="I17" s="2"/>
      <c r="J17" s="2"/>
      <c r="K17" s="2"/>
      <c r="L17" s="2"/>
      <c r="M17" s="2"/>
      <c r="N17" s="2"/>
      <c r="O17" s="2"/>
      <c r="P17" s="2"/>
      <c r="Q17" s="2"/>
      <c r="R17" s="2"/>
      <c r="S17" s="2"/>
      <c r="U17" s="2"/>
      <c r="V17" s="2"/>
      <c r="W17" s="807"/>
      <c r="X17" s="2"/>
      <c r="Y17" s="2"/>
      <c r="Z17" s="2"/>
      <c r="AA17" s="2"/>
      <c r="AB17" s="2"/>
      <c r="AC17" s="2"/>
      <c r="AD17" s="445"/>
      <c r="AE17" s="449"/>
      <c r="AF17" s="447"/>
    </row>
    <row r="18" spans="3:35" ht="18.75" hidden="1" customHeight="1" outlineLevel="1" x14ac:dyDescent="0.25">
      <c r="C18" s="725" t="str">
        <f>IF(Language="English", AD18, AF18)</f>
        <v>Utilisatrices par méthode 
(enquête)</v>
      </c>
      <c r="D18" s="726">
        <f t="shared" ref="D18:I18" si="12">D6</f>
        <v>0</v>
      </c>
      <c r="E18" s="726" t="str">
        <f t="shared" si="12"/>
        <v/>
      </c>
      <c r="F18" s="726" t="str">
        <f t="shared" si="12"/>
        <v/>
      </c>
      <c r="G18" s="726" t="str">
        <f t="shared" si="12"/>
        <v/>
      </c>
      <c r="H18" s="726" t="str">
        <f t="shared" si="12"/>
        <v/>
      </c>
      <c r="I18" s="726" t="str">
        <f t="shared" si="12"/>
        <v/>
      </c>
      <c r="J18" s="726" t="str">
        <f t="shared" ref="J18:S18" si="13">J6</f>
        <v/>
      </c>
      <c r="K18" s="726" t="str">
        <f t="shared" si="13"/>
        <v/>
      </c>
      <c r="L18" s="726" t="str">
        <f t="shared" si="13"/>
        <v/>
      </c>
      <c r="M18" s="726" t="str">
        <f t="shared" si="13"/>
        <v/>
      </c>
      <c r="N18" s="726" t="str">
        <f t="shared" si="13"/>
        <v/>
      </c>
      <c r="O18" s="726" t="str">
        <f t="shared" si="13"/>
        <v/>
      </c>
      <c r="P18" s="726" t="str">
        <f t="shared" si="13"/>
        <v/>
      </c>
      <c r="Q18" s="726" t="str">
        <f t="shared" si="13"/>
        <v/>
      </c>
      <c r="R18" s="726" t="str">
        <f t="shared" si="13"/>
        <v/>
      </c>
      <c r="S18" s="727" t="str">
        <f t="shared" si="13"/>
        <v/>
      </c>
      <c r="U18" s="2"/>
      <c r="V18" s="2"/>
      <c r="W18" s="807"/>
      <c r="X18" s="2"/>
      <c r="Y18" s="2"/>
      <c r="Z18" s="2"/>
      <c r="AA18" s="2"/>
      <c r="AB18" s="2"/>
      <c r="AC18" s="2"/>
      <c r="AD18" s="654" t="s">
        <v>997</v>
      </c>
      <c r="AE18" s="449"/>
      <c r="AF18" s="655" t="s">
        <v>2416</v>
      </c>
    </row>
    <row r="19" spans="3:35" ht="18.75" hidden="1" customHeight="1" outlineLevel="1" x14ac:dyDescent="0.25">
      <c r="C19" s="728" t="str">
        <f>C7</f>
        <v>Stérilisation (f)</v>
      </c>
      <c r="D19" s="2" t="e">
        <f>IFERROR(VLOOKUP($C19, '5. MethodMix Set Up'!$S$34:$AI$43, MATCH('Commodities (Clients) Output'!D$18, '5. MethodMix Set Up'!$S$34:$AI$34, 0), FALSE), NA())</f>
        <v>#N/A</v>
      </c>
      <c r="E19" s="2" t="e">
        <f>IFERROR(VLOOKUP($C19, '5. MethodMix Set Up'!$S$34:$AI$43, MATCH('Commodities (Clients) Output'!E$18, '5. MethodMix Set Up'!$S$34:$AI$34, 0), FALSE), NA())</f>
        <v>#N/A</v>
      </c>
      <c r="F19" s="2" t="e">
        <f>IFERROR(VLOOKUP($C19, '5. MethodMix Set Up'!$S$34:$AI$43, MATCH('Commodities (Clients) Output'!F$18, '5. MethodMix Set Up'!$S$34:$AI$34, 0), FALSE), NA())</f>
        <v>#N/A</v>
      </c>
      <c r="G19" s="2" t="e">
        <f>IFERROR(VLOOKUP($C19, '5. MethodMix Set Up'!$S$34:$AI$43, MATCH('Commodities (Clients) Output'!G$18, '5. MethodMix Set Up'!$S$34:$AI$34, 0), FALSE), NA())</f>
        <v>#N/A</v>
      </c>
      <c r="H19" s="2" t="e">
        <f>IFERROR(VLOOKUP($C19, '5. MethodMix Set Up'!$S$34:$AI$43, MATCH('Commodities (Clients) Output'!H$18, '5. MethodMix Set Up'!$S$34:$AI$34, 0), FALSE), NA())</f>
        <v>#N/A</v>
      </c>
      <c r="I19" s="2" t="e">
        <f>IFERROR(VLOOKUP($C19, '5. MethodMix Set Up'!$S$34:$AI$43, MATCH('Commodities (Clients) Output'!I$18, '5. MethodMix Set Up'!$S$34:$AI$34, 0), FALSE), NA())</f>
        <v>#N/A</v>
      </c>
      <c r="J19" s="2" t="e">
        <f>IFERROR(VLOOKUP($C19, '5. MethodMix Set Up'!$S$34:$AI$43, MATCH('Commodities (Clients) Output'!J$18, '5. MethodMix Set Up'!$S$34:$AI$34, 0), FALSE), NA())</f>
        <v>#N/A</v>
      </c>
      <c r="K19" s="2" t="e">
        <f>IFERROR(VLOOKUP($C19, '5. MethodMix Set Up'!$S$34:$AI$43, MATCH('Commodities (Clients) Output'!K$18, '5. MethodMix Set Up'!$S$34:$AI$34, 0), FALSE), NA())</f>
        <v>#N/A</v>
      </c>
      <c r="L19" s="2" t="e">
        <f>IFERROR(VLOOKUP($C19, '5. MethodMix Set Up'!$S$34:$AI$43, MATCH('Commodities (Clients) Output'!L$18, '5. MethodMix Set Up'!$S$34:$AI$34, 0), FALSE), NA())</f>
        <v>#N/A</v>
      </c>
      <c r="M19" s="2" t="e">
        <f>IFERROR(VLOOKUP($C19, '5. MethodMix Set Up'!$S$34:$AI$43, MATCH('Commodities (Clients) Output'!M$18, '5. MethodMix Set Up'!$S$34:$AI$34, 0), FALSE), NA())</f>
        <v>#N/A</v>
      </c>
      <c r="N19" s="2" t="e">
        <f>IFERROR(VLOOKUP($C19, '5. MethodMix Set Up'!$S$34:$AI$43, MATCH('Commodities (Clients) Output'!N$18, '5. MethodMix Set Up'!$S$34:$AI$34, 0), FALSE), NA())</f>
        <v>#N/A</v>
      </c>
      <c r="O19" s="2" t="e">
        <f>IFERROR(VLOOKUP($C19, '5. MethodMix Set Up'!$S$34:$AI$43, MATCH('Commodities (Clients) Output'!O$18, '5. MethodMix Set Up'!$S$34:$AI$34, 0), FALSE), NA())</f>
        <v>#N/A</v>
      </c>
      <c r="P19" s="2" t="e">
        <f>IFERROR(VLOOKUP($C19, '5. MethodMix Set Up'!$S$34:$AI$43, MATCH('Commodities (Clients) Output'!P$18, '5. MethodMix Set Up'!$S$34:$AI$34, 0), FALSE), NA())</f>
        <v>#N/A</v>
      </c>
      <c r="Q19" s="2" t="e">
        <f>IFERROR(VLOOKUP($C19, '5. MethodMix Set Up'!$S$34:$AI$43, MATCH('Commodities (Clients) Output'!Q$18, '5. MethodMix Set Up'!$S$34:$AI$34, 0), FALSE), NA())</f>
        <v>#N/A</v>
      </c>
      <c r="R19" s="2" t="e">
        <f>IFERROR(VLOOKUP($C19, '5. MethodMix Set Up'!$S$34:$AI$43, MATCH('Commodities (Clients) Output'!R$18, '5. MethodMix Set Up'!$S$34:$AI$34, 0), FALSE), NA())</f>
        <v>#N/A</v>
      </c>
      <c r="S19" s="729" t="e">
        <f>IFERROR(VLOOKUP($C19, '5. MethodMix Set Up'!$S$34:$AI$43, MATCH('Commodities (Clients) Output'!S$18, '5. MethodMix Set Up'!$S$34:$AI$34, 0), FALSE), NA())</f>
        <v>#N/A</v>
      </c>
      <c r="U19" s="2"/>
      <c r="V19" s="2"/>
      <c r="W19" s="807"/>
      <c r="X19" s="2"/>
      <c r="Y19" s="2"/>
      <c r="Z19" s="2"/>
      <c r="AA19" s="2"/>
      <c r="AB19" s="2"/>
      <c r="AC19" s="2"/>
      <c r="AD19" s="445"/>
      <c r="AE19" s="449"/>
      <c r="AF19" s="447"/>
    </row>
    <row r="20" spans="3:35" ht="18.75" hidden="1" customHeight="1" outlineLevel="1" x14ac:dyDescent="0.25">
      <c r="C20" s="728" t="str">
        <f t="shared" ref="C20:C26" si="14">C8</f>
        <v>Stérilisation (m)</v>
      </c>
      <c r="D20" s="2" t="e">
        <f>IFERROR(VLOOKUP($C20, '5. MethodMix Set Up'!$S$34:$AI$43, MATCH('Commodities (Clients) Output'!D$18, '5. MethodMix Set Up'!$S$34:$AI$34, 0), FALSE), NA())</f>
        <v>#N/A</v>
      </c>
      <c r="E20" s="2" t="e">
        <f>IFERROR(VLOOKUP($C20, '5. MethodMix Set Up'!$S$34:$AI$43, MATCH('Commodities (Clients) Output'!E$18, '5. MethodMix Set Up'!$S$34:$AI$34, 0), FALSE), NA())</f>
        <v>#N/A</v>
      </c>
      <c r="F20" s="2" t="e">
        <f>IFERROR(VLOOKUP($C20, '5. MethodMix Set Up'!$S$34:$AI$43, MATCH('Commodities (Clients) Output'!F$18, '5. MethodMix Set Up'!$S$34:$AI$34, 0), FALSE), NA())</f>
        <v>#N/A</v>
      </c>
      <c r="G20" s="2" t="e">
        <f>IFERROR(VLOOKUP($C20, '5. MethodMix Set Up'!$S$34:$AI$43, MATCH('Commodities (Clients) Output'!G$18, '5. MethodMix Set Up'!$S$34:$AI$34, 0), FALSE), NA())</f>
        <v>#N/A</v>
      </c>
      <c r="H20" s="2" t="e">
        <f>IFERROR(VLOOKUP($C20, '5. MethodMix Set Up'!$S$34:$AI$43, MATCH('Commodities (Clients) Output'!H$18, '5. MethodMix Set Up'!$S$34:$AI$34, 0), FALSE), NA())</f>
        <v>#N/A</v>
      </c>
      <c r="I20" s="2" t="e">
        <f>IFERROR(VLOOKUP($C20, '5. MethodMix Set Up'!$S$34:$AI$43, MATCH('Commodities (Clients) Output'!I$18, '5. MethodMix Set Up'!$S$34:$AI$34, 0), FALSE), NA())</f>
        <v>#N/A</v>
      </c>
      <c r="J20" s="2" t="e">
        <f>IFERROR(VLOOKUP($C20, '5. MethodMix Set Up'!$S$34:$AI$43, MATCH('Commodities (Clients) Output'!J$18, '5. MethodMix Set Up'!$S$34:$AI$34, 0), FALSE), NA())</f>
        <v>#N/A</v>
      </c>
      <c r="K20" s="2" t="e">
        <f>IFERROR(VLOOKUP($C20, '5. MethodMix Set Up'!$S$34:$AI$43, MATCH('Commodities (Clients) Output'!K$18, '5. MethodMix Set Up'!$S$34:$AI$34, 0), FALSE), NA())</f>
        <v>#N/A</v>
      </c>
      <c r="L20" s="2" t="e">
        <f>IFERROR(VLOOKUP($C20, '5. MethodMix Set Up'!$S$34:$AI$43, MATCH('Commodities (Clients) Output'!L$18, '5. MethodMix Set Up'!$S$34:$AI$34, 0), FALSE), NA())</f>
        <v>#N/A</v>
      </c>
      <c r="M20" s="2" t="e">
        <f>IFERROR(VLOOKUP($C20, '5. MethodMix Set Up'!$S$34:$AI$43, MATCH('Commodities (Clients) Output'!M$18, '5. MethodMix Set Up'!$S$34:$AI$34, 0), FALSE), NA())</f>
        <v>#N/A</v>
      </c>
      <c r="N20" s="2" t="e">
        <f>IFERROR(VLOOKUP($C20, '5. MethodMix Set Up'!$S$34:$AI$43, MATCH('Commodities (Clients) Output'!N$18, '5. MethodMix Set Up'!$S$34:$AI$34, 0), FALSE), NA())</f>
        <v>#N/A</v>
      </c>
      <c r="O20" s="2" t="e">
        <f>IFERROR(VLOOKUP($C20, '5. MethodMix Set Up'!$S$34:$AI$43, MATCH('Commodities (Clients) Output'!O$18, '5. MethodMix Set Up'!$S$34:$AI$34, 0), FALSE), NA())</f>
        <v>#N/A</v>
      </c>
      <c r="P20" s="2" t="e">
        <f>IFERROR(VLOOKUP($C20, '5. MethodMix Set Up'!$S$34:$AI$43, MATCH('Commodities (Clients) Output'!P$18, '5. MethodMix Set Up'!$S$34:$AI$34, 0), FALSE), NA())</f>
        <v>#N/A</v>
      </c>
      <c r="Q20" s="2" t="e">
        <f>IFERROR(VLOOKUP($C20, '5. MethodMix Set Up'!$S$34:$AI$43, MATCH('Commodities (Clients) Output'!Q$18, '5. MethodMix Set Up'!$S$34:$AI$34, 0), FALSE), NA())</f>
        <v>#N/A</v>
      </c>
      <c r="R20" s="2" t="e">
        <f>IFERROR(VLOOKUP($C20, '5. MethodMix Set Up'!$S$34:$AI$43, MATCH('Commodities (Clients) Output'!R$18, '5. MethodMix Set Up'!$S$34:$AI$34, 0), FALSE), NA())</f>
        <v>#N/A</v>
      </c>
      <c r="S20" s="729" t="e">
        <f>IFERROR(VLOOKUP($C20, '5. MethodMix Set Up'!$S$34:$AI$43, MATCH('Commodities (Clients) Output'!S$18, '5. MethodMix Set Up'!$S$34:$AI$34, 0), FALSE), NA())</f>
        <v>#N/A</v>
      </c>
      <c r="U20" s="2"/>
      <c r="V20" s="2"/>
      <c r="W20" s="807"/>
      <c r="X20" s="2"/>
      <c r="Y20" s="2"/>
      <c r="Z20" s="2"/>
      <c r="AA20" s="2"/>
      <c r="AB20" s="2"/>
      <c r="AC20" s="2"/>
      <c r="AD20" s="445"/>
      <c r="AE20" s="449"/>
      <c r="AF20" s="447"/>
    </row>
    <row r="21" spans="3:35" ht="18.75" hidden="1" customHeight="1" outlineLevel="1" x14ac:dyDescent="0.25">
      <c r="C21" s="728" t="str">
        <f t="shared" si="14"/>
        <v>DIU</v>
      </c>
      <c r="D21" s="2" t="e">
        <f>IFERROR(VLOOKUP($C21, '5. MethodMix Set Up'!$S$34:$AI$43, MATCH('Commodities (Clients) Output'!D$18, '5. MethodMix Set Up'!$S$34:$AI$34, 0), FALSE), NA())</f>
        <v>#N/A</v>
      </c>
      <c r="E21" s="2" t="e">
        <f>IFERROR(VLOOKUP($C21, '5. MethodMix Set Up'!$S$34:$AI$43, MATCH('Commodities (Clients) Output'!E$18, '5. MethodMix Set Up'!$S$34:$AI$34, 0), FALSE), NA())</f>
        <v>#N/A</v>
      </c>
      <c r="F21" s="2" t="e">
        <f>IFERROR(VLOOKUP($C21, '5. MethodMix Set Up'!$S$34:$AI$43, MATCH('Commodities (Clients) Output'!F$18, '5. MethodMix Set Up'!$S$34:$AI$34, 0), FALSE), NA())</f>
        <v>#N/A</v>
      </c>
      <c r="G21" s="2" t="e">
        <f>IFERROR(VLOOKUP($C21, '5. MethodMix Set Up'!$S$34:$AI$43, MATCH('Commodities (Clients) Output'!G$18, '5. MethodMix Set Up'!$S$34:$AI$34, 0), FALSE), NA())</f>
        <v>#N/A</v>
      </c>
      <c r="H21" s="2" t="e">
        <f>IFERROR(VLOOKUP($C21, '5. MethodMix Set Up'!$S$34:$AI$43, MATCH('Commodities (Clients) Output'!H$18, '5. MethodMix Set Up'!$S$34:$AI$34, 0), FALSE), NA())</f>
        <v>#N/A</v>
      </c>
      <c r="I21" s="2" t="e">
        <f>IFERROR(VLOOKUP($C21, '5. MethodMix Set Up'!$S$34:$AI$43, MATCH('Commodities (Clients) Output'!I$18, '5. MethodMix Set Up'!$S$34:$AI$34, 0), FALSE), NA())</f>
        <v>#N/A</v>
      </c>
      <c r="J21" s="2" t="e">
        <f>IFERROR(VLOOKUP($C21, '5. MethodMix Set Up'!$S$34:$AI$43, MATCH('Commodities (Clients) Output'!J$18, '5. MethodMix Set Up'!$S$34:$AI$34, 0), FALSE), NA())</f>
        <v>#N/A</v>
      </c>
      <c r="K21" s="2" t="e">
        <f>IFERROR(VLOOKUP($C21, '5. MethodMix Set Up'!$S$34:$AI$43, MATCH('Commodities (Clients) Output'!K$18, '5. MethodMix Set Up'!$S$34:$AI$34, 0), FALSE), NA())</f>
        <v>#N/A</v>
      </c>
      <c r="L21" s="2" t="e">
        <f>IFERROR(VLOOKUP($C21, '5. MethodMix Set Up'!$S$34:$AI$43, MATCH('Commodities (Clients) Output'!L$18, '5. MethodMix Set Up'!$S$34:$AI$34, 0), FALSE), NA())</f>
        <v>#N/A</v>
      </c>
      <c r="M21" s="2" t="e">
        <f>IFERROR(VLOOKUP($C21, '5. MethodMix Set Up'!$S$34:$AI$43, MATCH('Commodities (Clients) Output'!M$18, '5. MethodMix Set Up'!$S$34:$AI$34, 0), FALSE), NA())</f>
        <v>#N/A</v>
      </c>
      <c r="N21" s="2" t="e">
        <f>IFERROR(VLOOKUP($C21, '5. MethodMix Set Up'!$S$34:$AI$43, MATCH('Commodities (Clients) Output'!N$18, '5. MethodMix Set Up'!$S$34:$AI$34, 0), FALSE), NA())</f>
        <v>#N/A</v>
      </c>
      <c r="O21" s="2" t="e">
        <f>IFERROR(VLOOKUP($C21, '5. MethodMix Set Up'!$S$34:$AI$43, MATCH('Commodities (Clients) Output'!O$18, '5. MethodMix Set Up'!$S$34:$AI$34, 0), FALSE), NA())</f>
        <v>#N/A</v>
      </c>
      <c r="P21" s="2" t="e">
        <f>IFERROR(VLOOKUP($C21, '5. MethodMix Set Up'!$S$34:$AI$43, MATCH('Commodities (Clients) Output'!P$18, '5. MethodMix Set Up'!$S$34:$AI$34, 0), FALSE), NA())</f>
        <v>#N/A</v>
      </c>
      <c r="Q21" s="2" t="e">
        <f>IFERROR(VLOOKUP($C21, '5. MethodMix Set Up'!$S$34:$AI$43, MATCH('Commodities (Clients) Output'!Q$18, '5. MethodMix Set Up'!$S$34:$AI$34, 0), FALSE), NA())</f>
        <v>#N/A</v>
      </c>
      <c r="R21" s="2" t="e">
        <f>IFERROR(VLOOKUP($C21, '5. MethodMix Set Up'!$S$34:$AI$43, MATCH('Commodities (Clients) Output'!R$18, '5. MethodMix Set Up'!$S$34:$AI$34, 0), FALSE), NA())</f>
        <v>#N/A</v>
      </c>
      <c r="S21" s="729" t="e">
        <f>IFERROR(VLOOKUP($C21, '5. MethodMix Set Up'!$S$34:$AI$43, MATCH('Commodities (Clients) Output'!S$18, '5. MethodMix Set Up'!$S$34:$AI$34, 0), FALSE), NA())</f>
        <v>#N/A</v>
      </c>
      <c r="U21" s="2"/>
      <c r="V21" s="2"/>
      <c r="W21" s="807"/>
      <c r="X21" s="2"/>
      <c r="Y21" s="2"/>
      <c r="Z21" s="2"/>
      <c r="AA21" s="2"/>
      <c r="AB21" s="2"/>
      <c r="AC21" s="2"/>
      <c r="AD21" s="445"/>
      <c r="AE21" s="449"/>
      <c r="AF21" s="447"/>
    </row>
    <row r="22" spans="3:35" ht="18.75" hidden="1" customHeight="1" outlineLevel="1" x14ac:dyDescent="0.25">
      <c r="C22" s="728" t="str">
        <f t="shared" si="14"/>
        <v>Implant</v>
      </c>
      <c r="D22" s="2" t="e">
        <f>IFERROR(VLOOKUP($C22, '5. MethodMix Set Up'!$S$34:$AI$43, MATCH('Commodities (Clients) Output'!D$18, '5. MethodMix Set Up'!$S$34:$AI$34, 0), FALSE), NA())</f>
        <v>#N/A</v>
      </c>
      <c r="E22" s="2" t="e">
        <f>IFERROR(VLOOKUP($C22, '5. MethodMix Set Up'!$S$34:$AI$43, MATCH('Commodities (Clients) Output'!E$18, '5. MethodMix Set Up'!$S$34:$AI$34, 0), FALSE), NA())</f>
        <v>#N/A</v>
      </c>
      <c r="F22" s="2" t="e">
        <f>IFERROR(VLOOKUP($C22, '5. MethodMix Set Up'!$S$34:$AI$43, MATCH('Commodities (Clients) Output'!F$18, '5. MethodMix Set Up'!$S$34:$AI$34, 0), FALSE), NA())</f>
        <v>#N/A</v>
      </c>
      <c r="G22" s="2" t="e">
        <f>IFERROR(VLOOKUP($C22, '5. MethodMix Set Up'!$S$34:$AI$43, MATCH('Commodities (Clients) Output'!G$18, '5. MethodMix Set Up'!$S$34:$AI$34, 0), FALSE), NA())</f>
        <v>#N/A</v>
      </c>
      <c r="H22" s="2" t="e">
        <f>IFERROR(VLOOKUP($C22, '5. MethodMix Set Up'!$S$34:$AI$43, MATCH('Commodities (Clients) Output'!H$18, '5. MethodMix Set Up'!$S$34:$AI$34, 0), FALSE), NA())</f>
        <v>#N/A</v>
      </c>
      <c r="I22" s="2" t="e">
        <f>IFERROR(VLOOKUP($C22, '5. MethodMix Set Up'!$S$34:$AI$43, MATCH('Commodities (Clients) Output'!I$18, '5. MethodMix Set Up'!$S$34:$AI$34, 0), FALSE), NA())</f>
        <v>#N/A</v>
      </c>
      <c r="J22" s="2" t="e">
        <f>IFERROR(VLOOKUP($C22, '5. MethodMix Set Up'!$S$34:$AI$43, MATCH('Commodities (Clients) Output'!J$18, '5. MethodMix Set Up'!$S$34:$AI$34, 0), FALSE), NA())</f>
        <v>#N/A</v>
      </c>
      <c r="K22" s="2" t="e">
        <f>IFERROR(VLOOKUP($C22, '5. MethodMix Set Up'!$S$34:$AI$43, MATCH('Commodities (Clients) Output'!K$18, '5. MethodMix Set Up'!$S$34:$AI$34, 0), FALSE), NA())</f>
        <v>#N/A</v>
      </c>
      <c r="L22" s="2" t="e">
        <f>IFERROR(VLOOKUP($C22, '5. MethodMix Set Up'!$S$34:$AI$43, MATCH('Commodities (Clients) Output'!L$18, '5. MethodMix Set Up'!$S$34:$AI$34, 0), FALSE), NA())</f>
        <v>#N/A</v>
      </c>
      <c r="M22" s="2" t="e">
        <f>IFERROR(VLOOKUP($C22, '5. MethodMix Set Up'!$S$34:$AI$43, MATCH('Commodities (Clients) Output'!M$18, '5. MethodMix Set Up'!$S$34:$AI$34, 0), FALSE), NA())</f>
        <v>#N/A</v>
      </c>
      <c r="N22" s="2" t="e">
        <f>IFERROR(VLOOKUP($C22, '5. MethodMix Set Up'!$S$34:$AI$43, MATCH('Commodities (Clients) Output'!N$18, '5. MethodMix Set Up'!$S$34:$AI$34, 0), FALSE), NA())</f>
        <v>#N/A</v>
      </c>
      <c r="O22" s="2" t="e">
        <f>IFERROR(VLOOKUP($C22, '5. MethodMix Set Up'!$S$34:$AI$43, MATCH('Commodities (Clients) Output'!O$18, '5. MethodMix Set Up'!$S$34:$AI$34, 0), FALSE), NA())</f>
        <v>#N/A</v>
      </c>
      <c r="P22" s="2" t="e">
        <f>IFERROR(VLOOKUP($C22, '5. MethodMix Set Up'!$S$34:$AI$43, MATCH('Commodities (Clients) Output'!P$18, '5. MethodMix Set Up'!$S$34:$AI$34, 0), FALSE), NA())</f>
        <v>#N/A</v>
      </c>
      <c r="Q22" s="2" t="e">
        <f>IFERROR(VLOOKUP($C22, '5. MethodMix Set Up'!$S$34:$AI$43, MATCH('Commodities (Clients) Output'!Q$18, '5. MethodMix Set Up'!$S$34:$AI$34, 0), FALSE), NA())</f>
        <v>#N/A</v>
      </c>
      <c r="R22" s="2" t="e">
        <f>IFERROR(VLOOKUP($C22, '5. MethodMix Set Up'!$S$34:$AI$43, MATCH('Commodities (Clients) Output'!R$18, '5. MethodMix Set Up'!$S$34:$AI$34, 0), FALSE), NA())</f>
        <v>#N/A</v>
      </c>
      <c r="S22" s="729" t="e">
        <f>IFERROR(VLOOKUP($C22, '5. MethodMix Set Up'!$S$34:$AI$43, MATCH('Commodities (Clients) Output'!S$18, '5. MethodMix Set Up'!$S$34:$AI$34, 0), FALSE), NA())</f>
        <v>#N/A</v>
      </c>
      <c r="U22" s="2"/>
      <c r="V22" s="2"/>
      <c r="W22" s="807"/>
      <c r="X22" s="2"/>
      <c r="Y22" s="2"/>
      <c r="Z22" s="2"/>
      <c r="AA22" s="2"/>
      <c r="AB22" s="2"/>
      <c r="AC22" s="2"/>
      <c r="AD22" s="445"/>
      <c r="AE22" s="449"/>
      <c r="AF22" s="447"/>
    </row>
    <row r="23" spans="3:35" ht="18.75" hidden="1" customHeight="1" outlineLevel="1" x14ac:dyDescent="0.25">
      <c r="C23" s="728" t="str">
        <f t="shared" si="14"/>
        <v>Produits injectables</v>
      </c>
      <c r="D23" s="2" t="e">
        <f>IFERROR(VLOOKUP($C23, '5. MethodMix Set Up'!$S$34:$AI$43, MATCH('Commodities (Clients) Output'!D$18, '5. MethodMix Set Up'!$S$34:$AI$34, 0), FALSE), NA())</f>
        <v>#N/A</v>
      </c>
      <c r="E23" s="2" t="e">
        <f>IFERROR(VLOOKUP($C23, '5. MethodMix Set Up'!$S$34:$AI$43, MATCH('Commodities (Clients) Output'!E$18, '5. MethodMix Set Up'!$S$34:$AI$34, 0), FALSE), NA())</f>
        <v>#N/A</v>
      </c>
      <c r="F23" s="2" t="e">
        <f>IFERROR(VLOOKUP($C23, '5. MethodMix Set Up'!$S$34:$AI$43, MATCH('Commodities (Clients) Output'!F$18, '5. MethodMix Set Up'!$S$34:$AI$34, 0), FALSE), NA())</f>
        <v>#N/A</v>
      </c>
      <c r="G23" s="2" t="e">
        <f>IFERROR(VLOOKUP($C23, '5. MethodMix Set Up'!$S$34:$AI$43, MATCH('Commodities (Clients) Output'!G$18, '5. MethodMix Set Up'!$S$34:$AI$34, 0), FALSE), NA())</f>
        <v>#N/A</v>
      </c>
      <c r="H23" s="2" t="e">
        <f>IFERROR(VLOOKUP($C23, '5. MethodMix Set Up'!$S$34:$AI$43, MATCH('Commodities (Clients) Output'!H$18, '5. MethodMix Set Up'!$S$34:$AI$34, 0), FALSE), NA())</f>
        <v>#N/A</v>
      </c>
      <c r="I23" s="2" t="e">
        <f>IFERROR(VLOOKUP($C23, '5. MethodMix Set Up'!$S$34:$AI$43, MATCH('Commodities (Clients) Output'!I$18, '5. MethodMix Set Up'!$S$34:$AI$34, 0), FALSE), NA())</f>
        <v>#N/A</v>
      </c>
      <c r="J23" s="2" t="e">
        <f>IFERROR(VLOOKUP($C23, '5. MethodMix Set Up'!$S$34:$AI$43, MATCH('Commodities (Clients) Output'!J$18, '5. MethodMix Set Up'!$S$34:$AI$34, 0), FALSE), NA())</f>
        <v>#N/A</v>
      </c>
      <c r="K23" s="2" t="e">
        <f>IFERROR(VLOOKUP($C23, '5. MethodMix Set Up'!$S$34:$AI$43, MATCH('Commodities (Clients) Output'!K$18, '5. MethodMix Set Up'!$S$34:$AI$34, 0), FALSE), NA())</f>
        <v>#N/A</v>
      </c>
      <c r="L23" s="2" t="e">
        <f>IFERROR(VLOOKUP($C23, '5. MethodMix Set Up'!$S$34:$AI$43, MATCH('Commodities (Clients) Output'!L$18, '5. MethodMix Set Up'!$S$34:$AI$34, 0), FALSE), NA())</f>
        <v>#N/A</v>
      </c>
      <c r="M23" s="2" t="e">
        <f>IFERROR(VLOOKUP($C23, '5. MethodMix Set Up'!$S$34:$AI$43, MATCH('Commodities (Clients) Output'!M$18, '5. MethodMix Set Up'!$S$34:$AI$34, 0), FALSE), NA())</f>
        <v>#N/A</v>
      </c>
      <c r="N23" s="2" t="e">
        <f>IFERROR(VLOOKUP($C23, '5. MethodMix Set Up'!$S$34:$AI$43, MATCH('Commodities (Clients) Output'!N$18, '5. MethodMix Set Up'!$S$34:$AI$34, 0), FALSE), NA())</f>
        <v>#N/A</v>
      </c>
      <c r="O23" s="2" t="e">
        <f>IFERROR(VLOOKUP($C23, '5. MethodMix Set Up'!$S$34:$AI$43, MATCH('Commodities (Clients) Output'!O$18, '5. MethodMix Set Up'!$S$34:$AI$34, 0), FALSE), NA())</f>
        <v>#N/A</v>
      </c>
      <c r="P23" s="2" t="e">
        <f>IFERROR(VLOOKUP($C23, '5. MethodMix Set Up'!$S$34:$AI$43, MATCH('Commodities (Clients) Output'!P$18, '5. MethodMix Set Up'!$S$34:$AI$34, 0), FALSE), NA())</f>
        <v>#N/A</v>
      </c>
      <c r="Q23" s="2" t="e">
        <f>IFERROR(VLOOKUP($C23, '5. MethodMix Set Up'!$S$34:$AI$43, MATCH('Commodities (Clients) Output'!Q$18, '5. MethodMix Set Up'!$S$34:$AI$34, 0), FALSE), NA())</f>
        <v>#N/A</v>
      </c>
      <c r="R23" s="2" t="e">
        <f>IFERROR(VLOOKUP($C23, '5. MethodMix Set Up'!$S$34:$AI$43, MATCH('Commodities (Clients) Output'!R$18, '5. MethodMix Set Up'!$S$34:$AI$34, 0), FALSE), NA())</f>
        <v>#N/A</v>
      </c>
      <c r="S23" s="729" t="e">
        <f>IFERROR(VLOOKUP($C23, '5. MethodMix Set Up'!$S$34:$AI$43, MATCH('Commodities (Clients) Output'!S$18, '5. MethodMix Set Up'!$S$34:$AI$34, 0), FALSE), NA())</f>
        <v>#N/A</v>
      </c>
      <c r="U23" s="2"/>
      <c r="V23" s="2"/>
      <c r="W23" s="807"/>
      <c r="X23" s="2"/>
      <c r="Y23" s="2"/>
      <c r="Z23" s="2"/>
      <c r="AA23" s="2"/>
      <c r="AB23" s="2"/>
      <c r="AC23" s="2"/>
      <c r="AD23" s="445"/>
      <c r="AE23" s="449"/>
      <c r="AF23" s="447"/>
    </row>
    <row r="24" spans="3:35" ht="18.75" hidden="1" customHeight="1" outlineLevel="1" x14ac:dyDescent="0.25">
      <c r="C24" s="728" t="str">
        <f t="shared" si="14"/>
        <v>Pilule</v>
      </c>
      <c r="D24" s="2" t="e">
        <f>IFERROR(VLOOKUP($C24, '5. MethodMix Set Up'!$S$34:$AI$43, MATCH('Commodities (Clients) Output'!D$18, '5. MethodMix Set Up'!$S$34:$AI$34, 0), FALSE), NA())</f>
        <v>#N/A</v>
      </c>
      <c r="E24" s="2" t="e">
        <f>IFERROR(VLOOKUP($C24, '5. MethodMix Set Up'!$S$34:$AI$43, MATCH('Commodities (Clients) Output'!E$18, '5. MethodMix Set Up'!$S$34:$AI$34, 0), FALSE), NA())</f>
        <v>#N/A</v>
      </c>
      <c r="F24" s="2" t="e">
        <f>IFERROR(VLOOKUP($C24, '5. MethodMix Set Up'!$S$34:$AI$43, MATCH('Commodities (Clients) Output'!F$18, '5. MethodMix Set Up'!$S$34:$AI$34, 0), FALSE), NA())</f>
        <v>#N/A</v>
      </c>
      <c r="G24" s="2" t="e">
        <f>IFERROR(VLOOKUP($C24, '5. MethodMix Set Up'!$S$34:$AI$43, MATCH('Commodities (Clients) Output'!G$18, '5. MethodMix Set Up'!$S$34:$AI$34, 0), FALSE), NA())</f>
        <v>#N/A</v>
      </c>
      <c r="H24" s="2" t="e">
        <f>IFERROR(VLOOKUP($C24, '5. MethodMix Set Up'!$S$34:$AI$43, MATCH('Commodities (Clients) Output'!H$18, '5. MethodMix Set Up'!$S$34:$AI$34, 0), FALSE), NA())</f>
        <v>#N/A</v>
      </c>
      <c r="I24" s="2" t="e">
        <f>IFERROR(VLOOKUP($C24, '5. MethodMix Set Up'!$S$34:$AI$43, MATCH('Commodities (Clients) Output'!I$18, '5. MethodMix Set Up'!$S$34:$AI$34, 0), FALSE), NA())</f>
        <v>#N/A</v>
      </c>
      <c r="J24" s="2" t="e">
        <f>IFERROR(VLOOKUP($C24, '5. MethodMix Set Up'!$S$34:$AI$43, MATCH('Commodities (Clients) Output'!J$18, '5. MethodMix Set Up'!$S$34:$AI$34, 0), FALSE), NA())</f>
        <v>#N/A</v>
      </c>
      <c r="K24" s="2" t="e">
        <f>IFERROR(VLOOKUP($C24, '5. MethodMix Set Up'!$S$34:$AI$43, MATCH('Commodities (Clients) Output'!K$18, '5. MethodMix Set Up'!$S$34:$AI$34, 0), FALSE), NA())</f>
        <v>#N/A</v>
      </c>
      <c r="L24" s="2" t="e">
        <f>IFERROR(VLOOKUP($C24, '5. MethodMix Set Up'!$S$34:$AI$43, MATCH('Commodities (Clients) Output'!L$18, '5. MethodMix Set Up'!$S$34:$AI$34, 0), FALSE), NA())</f>
        <v>#N/A</v>
      </c>
      <c r="M24" s="2" t="e">
        <f>IFERROR(VLOOKUP($C24, '5. MethodMix Set Up'!$S$34:$AI$43, MATCH('Commodities (Clients) Output'!M$18, '5. MethodMix Set Up'!$S$34:$AI$34, 0), FALSE), NA())</f>
        <v>#N/A</v>
      </c>
      <c r="N24" s="2" t="e">
        <f>IFERROR(VLOOKUP($C24, '5. MethodMix Set Up'!$S$34:$AI$43, MATCH('Commodities (Clients) Output'!N$18, '5. MethodMix Set Up'!$S$34:$AI$34, 0), FALSE), NA())</f>
        <v>#N/A</v>
      </c>
      <c r="O24" s="2" t="e">
        <f>IFERROR(VLOOKUP($C24, '5. MethodMix Set Up'!$S$34:$AI$43, MATCH('Commodities (Clients) Output'!O$18, '5. MethodMix Set Up'!$S$34:$AI$34, 0), FALSE), NA())</f>
        <v>#N/A</v>
      </c>
      <c r="P24" s="2" t="e">
        <f>IFERROR(VLOOKUP($C24, '5. MethodMix Set Up'!$S$34:$AI$43, MATCH('Commodities (Clients) Output'!P$18, '5. MethodMix Set Up'!$S$34:$AI$34, 0), FALSE), NA())</f>
        <v>#N/A</v>
      </c>
      <c r="Q24" s="2" t="e">
        <f>IFERROR(VLOOKUP($C24, '5. MethodMix Set Up'!$S$34:$AI$43, MATCH('Commodities (Clients) Output'!Q$18, '5. MethodMix Set Up'!$S$34:$AI$34, 0), FALSE), NA())</f>
        <v>#N/A</v>
      </c>
      <c r="R24" s="2" t="e">
        <f>IFERROR(VLOOKUP($C24, '5. MethodMix Set Up'!$S$34:$AI$43, MATCH('Commodities (Clients) Output'!R$18, '5. MethodMix Set Up'!$S$34:$AI$34, 0), FALSE), NA())</f>
        <v>#N/A</v>
      </c>
      <c r="S24" s="729" t="e">
        <f>IFERROR(VLOOKUP($C24, '5. MethodMix Set Up'!$S$34:$AI$43, MATCH('Commodities (Clients) Output'!S$18, '5. MethodMix Set Up'!$S$34:$AI$34, 0), FALSE), NA())</f>
        <v>#N/A</v>
      </c>
      <c r="U24" s="2"/>
      <c r="V24" s="2"/>
      <c r="W24" s="807"/>
      <c r="X24" s="2"/>
      <c r="Y24" s="2"/>
      <c r="Z24" s="2"/>
      <c r="AA24" s="2"/>
      <c r="AB24" s="2"/>
      <c r="AC24" s="2"/>
      <c r="AD24" s="445"/>
      <c r="AE24" s="449"/>
      <c r="AF24" s="447"/>
    </row>
    <row r="25" spans="3:35" ht="18.75" hidden="1" customHeight="1" outlineLevel="1" x14ac:dyDescent="0.25">
      <c r="C25" s="728" t="str">
        <f t="shared" si="14"/>
        <v>Préservatifs (m+f)</v>
      </c>
      <c r="D25" s="2" t="e">
        <f>IFERROR(VLOOKUP($C25, '5. MethodMix Set Up'!$S$34:$AI$43, MATCH('Commodities (Clients) Output'!D$18, '5. MethodMix Set Up'!$S$34:$AI$34, 0), FALSE), NA())</f>
        <v>#N/A</v>
      </c>
      <c r="E25" s="2" t="e">
        <f>IFERROR(VLOOKUP($C25, '5. MethodMix Set Up'!$S$34:$AI$43, MATCH('Commodities (Clients) Output'!E$18, '5. MethodMix Set Up'!$S$34:$AI$34, 0), FALSE), NA())</f>
        <v>#N/A</v>
      </c>
      <c r="F25" s="2" t="e">
        <f>IFERROR(VLOOKUP($C25, '5. MethodMix Set Up'!$S$34:$AI$43, MATCH('Commodities (Clients) Output'!F$18, '5. MethodMix Set Up'!$S$34:$AI$34, 0), FALSE), NA())</f>
        <v>#N/A</v>
      </c>
      <c r="G25" s="2" t="e">
        <f>IFERROR(VLOOKUP($C25, '5. MethodMix Set Up'!$S$34:$AI$43, MATCH('Commodities (Clients) Output'!G$18, '5. MethodMix Set Up'!$S$34:$AI$34, 0), FALSE), NA())</f>
        <v>#N/A</v>
      </c>
      <c r="H25" s="2" t="e">
        <f>IFERROR(VLOOKUP($C25, '5. MethodMix Set Up'!$S$34:$AI$43, MATCH('Commodities (Clients) Output'!H$18, '5. MethodMix Set Up'!$S$34:$AI$34, 0), FALSE), NA())</f>
        <v>#N/A</v>
      </c>
      <c r="I25" s="2" t="e">
        <f>IFERROR(VLOOKUP($C25, '5. MethodMix Set Up'!$S$34:$AI$43, MATCH('Commodities (Clients) Output'!I$18, '5. MethodMix Set Up'!$S$34:$AI$34, 0), FALSE), NA())</f>
        <v>#N/A</v>
      </c>
      <c r="J25" s="2" t="e">
        <f>IFERROR(VLOOKUP($C25, '5. MethodMix Set Up'!$S$34:$AI$43, MATCH('Commodities (Clients) Output'!J$18, '5. MethodMix Set Up'!$S$34:$AI$34, 0), FALSE), NA())</f>
        <v>#N/A</v>
      </c>
      <c r="K25" s="2" t="e">
        <f>IFERROR(VLOOKUP($C25, '5. MethodMix Set Up'!$S$34:$AI$43, MATCH('Commodities (Clients) Output'!K$18, '5. MethodMix Set Up'!$S$34:$AI$34, 0), FALSE), NA())</f>
        <v>#N/A</v>
      </c>
      <c r="L25" s="2" t="e">
        <f>IFERROR(VLOOKUP($C25, '5. MethodMix Set Up'!$S$34:$AI$43, MATCH('Commodities (Clients) Output'!L$18, '5. MethodMix Set Up'!$S$34:$AI$34, 0), FALSE), NA())</f>
        <v>#N/A</v>
      </c>
      <c r="M25" s="2" t="e">
        <f>IFERROR(VLOOKUP($C25, '5. MethodMix Set Up'!$S$34:$AI$43, MATCH('Commodities (Clients) Output'!M$18, '5. MethodMix Set Up'!$S$34:$AI$34, 0), FALSE), NA())</f>
        <v>#N/A</v>
      </c>
      <c r="N25" s="2" t="e">
        <f>IFERROR(VLOOKUP($C25, '5. MethodMix Set Up'!$S$34:$AI$43, MATCH('Commodities (Clients) Output'!N$18, '5. MethodMix Set Up'!$S$34:$AI$34, 0), FALSE), NA())</f>
        <v>#N/A</v>
      </c>
      <c r="O25" s="2" t="e">
        <f>IFERROR(VLOOKUP($C25, '5. MethodMix Set Up'!$S$34:$AI$43, MATCH('Commodities (Clients) Output'!O$18, '5. MethodMix Set Up'!$S$34:$AI$34, 0), FALSE), NA())</f>
        <v>#N/A</v>
      </c>
      <c r="P25" s="2" t="e">
        <f>IFERROR(VLOOKUP($C25, '5. MethodMix Set Up'!$S$34:$AI$43, MATCH('Commodities (Clients) Output'!P$18, '5. MethodMix Set Up'!$S$34:$AI$34, 0), FALSE), NA())</f>
        <v>#N/A</v>
      </c>
      <c r="Q25" s="2" t="e">
        <f>IFERROR(VLOOKUP($C25, '5. MethodMix Set Up'!$S$34:$AI$43, MATCH('Commodities (Clients) Output'!Q$18, '5. MethodMix Set Up'!$S$34:$AI$34, 0), FALSE), NA())</f>
        <v>#N/A</v>
      </c>
      <c r="R25" s="2" t="e">
        <f>IFERROR(VLOOKUP($C25, '5. MethodMix Set Up'!$S$34:$AI$43, MATCH('Commodities (Clients) Output'!R$18, '5. MethodMix Set Up'!$S$34:$AI$34, 0), FALSE), NA())</f>
        <v>#N/A</v>
      </c>
      <c r="S25" s="729" t="e">
        <f>IFERROR(VLOOKUP($C25, '5. MethodMix Set Up'!$S$34:$AI$43, MATCH('Commodities (Clients) Output'!S$18, '5. MethodMix Set Up'!$S$34:$AI$34, 0), FALSE), NA())</f>
        <v>#N/A</v>
      </c>
      <c r="U25" s="2"/>
      <c r="V25" s="2"/>
      <c r="W25" s="807"/>
      <c r="X25" s="2"/>
      <c r="Y25" s="2"/>
      <c r="Z25" s="2"/>
      <c r="AA25" s="2"/>
      <c r="AB25" s="2"/>
      <c r="AC25" s="2"/>
      <c r="AD25" s="445"/>
      <c r="AE25" s="449"/>
      <c r="AF25" s="447"/>
    </row>
    <row r="26" spans="3:35" ht="18.75" hidden="1" customHeight="1" outlineLevel="1" x14ac:dyDescent="0.25">
      <c r="C26" s="728" t="str">
        <f t="shared" si="14"/>
        <v>MAMA</v>
      </c>
      <c r="D26" s="2" t="e">
        <f>IFERROR(VLOOKUP($C26, '5. MethodMix Set Up'!$S$34:$AI$43, MATCH('Commodities (Clients) Output'!D$18, '5. MethodMix Set Up'!$S$34:$AI$34, 0), FALSE), NA())</f>
        <v>#N/A</v>
      </c>
      <c r="E26" s="2" t="e">
        <f>IFERROR(VLOOKUP($C26, '5. MethodMix Set Up'!$S$34:$AI$43, MATCH('Commodities (Clients) Output'!E$18, '5. MethodMix Set Up'!$S$34:$AI$34, 0), FALSE), NA())</f>
        <v>#N/A</v>
      </c>
      <c r="F26" s="2" t="e">
        <f>IFERROR(VLOOKUP($C26, '5. MethodMix Set Up'!$S$34:$AI$43, MATCH('Commodities (Clients) Output'!F$18, '5. MethodMix Set Up'!$S$34:$AI$34, 0), FALSE), NA())</f>
        <v>#N/A</v>
      </c>
      <c r="G26" s="2" t="e">
        <f>IFERROR(VLOOKUP($C26, '5. MethodMix Set Up'!$S$34:$AI$43, MATCH('Commodities (Clients) Output'!G$18, '5. MethodMix Set Up'!$S$34:$AI$34, 0), FALSE), NA())</f>
        <v>#N/A</v>
      </c>
      <c r="H26" s="2" t="e">
        <f>IFERROR(VLOOKUP($C26, '5. MethodMix Set Up'!$S$34:$AI$43, MATCH('Commodities (Clients) Output'!H$18, '5. MethodMix Set Up'!$S$34:$AI$34, 0), FALSE), NA())</f>
        <v>#N/A</v>
      </c>
      <c r="I26" s="2" t="e">
        <f>IFERROR(VLOOKUP($C26, '5. MethodMix Set Up'!$S$34:$AI$43, MATCH('Commodities (Clients) Output'!I$18, '5. MethodMix Set Up'!$S$34:$AI$34, 0), FALSE), NA())</f>
        <v>#N/A</v>
      </c>
      <c r="J26" s="2" t="e">
        <f>IFERROR(VLOOKUP($C26, '5. MethodMix Set Up'!$S$34:$AI$43, MATCH('Commodities (Clients) Output'!J$18, '5. MethodMix Set Up'!$S$34:$AI$34, 0), FALSE), NA())</f>
        <v>#N/A</v>
      </c>
      <c r="K26" s="2" t="e">
        <f>IFERROR(VLOOKUP($C26, '5. MethodMix Set Up'!$S$34:$AI$43, MATCH('Commodities (Clients) Output'!K$18, '5. MethodMix Set Up'!$S$34:$AI$34, 0), FALSE), NA())</f>
        <v>#N/A</v>
      </c>
      <c r="L26" s="2" t="e">
        <f>IFERROR(VLOOKUP($C26, '5. MethodMix Set Up'!$S$34:$AI$43, MATCH('Commodities (Clients) Output'!L$18, '5. MethodMix Set Up'!$S$34:$AI$34, 0), FALSE), NA())</f>
        <v>#N/A</v>
      </c>
      <c r="M26" s="2" t="e">
        <f>IFERROR(VLOOKUP($C26, '5. MethodMix Set Up'!$S$34:$AI$43, MATCH('Commodities (Clients) Output'!M$18, '5. MethodMix Set Up'!$S$34:$AI$34, 0), FALSE), NA())</f>
        <v>#N/A</v>
      </c>
      <c r="N26" s="2" t="e">
        <f>IFERROR(VLOOKUP($C26, '5. MethodMix Set Up'!$S$34:$AI$43, MATCH('Commodities (Clients) Output'!N$18, '5. MethodMix Set Up'!$S$34:$AI$34, 0), FALSE), NA())</f>
        <v>#N/A</v>
      </c>
      <c r="O26" s="2" t="e">
        <f>IFERROR(VLOOKUP($C26, '5. MethodMix Set Up'!$S$34:$AI$43, MATCH('Commodities (Clients) Output'!O$18, '5. MethodMix Set Up'!$S$34:$AI$34, 0), FALSE), NA())</f>
        <v>#N/A</v>
      </c>
      <c r="P26" s="2" t="e">
        <f>IFERROR(VLOOKUP($C26, '5. MethodMix Set Up'!$S$34:$AI$43, MATCH('Commodities (Clients) Output'!P$18, '5. MethodMix Set Up'!$S$34:$AI$34, 0), FALSE), NA())</f>
        <v>#N/A</v>
      </c>
      <c r="Q26" s="2" t="e">
        <f>IFERROR(VLOOKUP($C26, '5. MethodMix Set Up'!$S$34:$AI$43, MATCH('Commodities (Clients) Output'!Q$18, '5. MethodMix Set Up'!$S$34:$AI$34, 0), FALSE), NA())</f>
        <v>#N/A</v>
      </c>
      <c r="R26" s="2" t="e">
        <f>IFERROR(VLOOKUP($C26, '5. MethodMix Set Up'!$S$34:$AI$43, MATCH('Commodities (Clients) Output'!R$18, '5. MethodMix Set Up'!$S$34:$AI$34, 0), FALSE), NA())</f>
        <v>#N/A</v>
      </c>
      <c r="S26" s="729" t="e">
        <f>IFERROR(VLOOKUP($C26, '5. MethodMix Set Up'!$S$34:$AI$43, MATCH('Commodities (Clients) Output'!S$18, '5. MethodMix Set Up'!$S$34:$AI$34, 0), FALSE), NA())</f>
        <v>#N/A</v>
      </c>
      <c r="U26" s="2"/>
      <c r="V26" s="2"/>
      <c r="W26" s="807"/>
      <c r="X26" s="2"/>
      <c r="Y26" s="2"/>
      <c r="Z26" s="2"/>
      <c r="AA26" s="2"/>
      <c r="AB26" s="2"/>
      <c r="AC26" s="2"/>
      <c r="AD26" s="445"/>
      <c r="AE26" s="449"/>
      <c r="AF26" s="447"/>
    </row>
    <row r="27" spans="3:35" ht="18.75" hidden="1" customHeight="1" outlineLevel="1" thickBot="1" x14ac:dyDescent="0.3">
      <c r="C27" s="728" t="str">
        <f>C15</f>
        <v>Autres méthodes modernes</v>
      </c>
      <c r="D27" s="2" t="e">
        <f>IFERROR(VLOOKUP($C27, '5. MethodMix Set Up'!$S$34:$AI$43, MATCH('Commodities (Clients) Output'!D$18, '5. MethodMix Set Up'!$S$34:$AI$34, 0), FALSE), NA())</f>
        <v>#N/A</v>
      </c>
      <c r="E27" s="2" t="e">
        <f>IFERROR(VLOOKUP($C27, '5. MethodMix Set Up'!$S$34:$AI$43, MATCH('Commodities (Clients) Output'!E$18, '5. MethodMix Set Up'!$S$34:$AI$34, 0), FALSE), NA())</f>
        <v>#N/A</v>
      </c>
      <c r="F27" s="2" t="e">
        <f>IFERROR(VLOOKUP($C27, '5. MethodMix Set Up'!$S$34:$AI$43, MATCH('Commodities (Clients) Output'!F$18, '5. MethodMix Set Up'!$S$34:$AI$34, 0), FALSE), NA())</f>
        <v>#N/A</v>
      </c>
      <c r="G27" s="2" t="e">
        <f>IFERROR(VLOOKUP($C27, '5. MethodMix Set Up'!$S$34:$AI$43, MATCH('Commodities (Clients) Output'!G$18, '5. MethodMix Set Up'!$S$34:$AI$34, 0), FALSE), NA())</f>
        <v>#N/A</v>
      </c>
      <c r="H27" s="2" t="e">
        <f>IFERROR(VLOOKUP($C27, '5. MethodMix Set Up'!$S$34:$AI$43, MATCH('Commodities (Clients) Output'!H$18, '5. MethodMix Set Up'!$S$34:$AI$34, 0), FALSE), NA())</f>
        <v>#N/A</v>
      </c>
      <c r="I27" s="2" t="e">
        <f>IFERROR(VLOOKUP($C27, '5. MethodMix Set Up'!$S$34:$AI$43, MATCH('Commodities (Clients) Output'!I$18, '5. MethodMix Set Up'!$S$34:$AI$34, 0), FALSE), NA())</f>
        <v>#N/A</v>
      </c>
      <c r="J27" s="2" t="e">
        <f>IFERROR(VLOOKUP($C27, '5. MethodMix Set Up'!$S$34:$AI$43, MATCH('Commodities (Clients) Output'!J$18, '5. MethodMix Set Up'!$S$34:$AI$34, 0), FALSE), NA())</f>
        <v>#N/A</v>
      </c>
      <c r="K27" s="2" t="e">
        <f>IFERROR(VLOOKUP($C27, '5. MethodMix Set Up'!$S$34:$AI$43, MATCH('Commodities (Clients) Output'!K$18, '5. MethodMix Set Up'!$S$34:$AI$34, 0), FALSE), NA())</f>
        <v>#N/A</v>
      </c>
      <c r="L27" s="2" t="e">
        <f>IFERROR(VLOOKUP($C27, '5. MethodMix Set Up'!$S$34:$AI$43, MATCH('Commodities (Clients) Output'!L$18, '5. MethodMix Set Up'!$S$34:$AI$34, 0), FALSE), NA())</f>
        <v>#N/A</v>
      </c>
      <c r="M27" s="2" t="e">
        <f>IFERROR(VLOOKUP($C27, '5. MethodMix Set Up'!$S$34:$AI$43, MATCH('Commodities (Clients) Output'!M$18, '5. MethodMix Set Up'!$S$34:$AI$34, 0), FALSE), NA())</f>
        <v>#N/A</v>
      </c>
      <c r="N27" s="2" t="e">
        <f>IFERROR(VLOOKUP($C27, '5. MethodMix Set Up'!$S$34:$AI$43, MATCH('Commodities (Clients) Output'!N$18, '5. MethodMix Set Up'!$S$34:$AI$34, 0), FALSE), NA())</f>
        <v>#N/A</v>
      </c>
      <c r="O27" s="2" t="e">
        <f>IFERROR(VLOOKUP($C27, '5. MethodMix Set Up'!$S$34:$AI$43, MATCH('Commodities (Clients) Output'!O$18, '5. MethodMix Set Up'!$S$34:$AI$34, 0), FALSE), NA())</f>
        <v>#N/A</v>
      </c>
      <c r="P27" s="2" t="e">
        <f>IFERROR(VLOOKUP($C27, '5. MethodMix Set Up'!$S$34:$AI$43, MATCH('Commodities (Clients) Output'!P$18, '5. MethodMix Set Up'!$S$34:$AI$34, 0), FALSE), NA())</f>
        <v>#N/A</v>
      </c>
      <c r="Q27" s="2" t="e">
        <f>IFERROR(VLOOKUP($C27, '5. MethodMix Set Up'!$S$34:$AI$43, MATCH('Commodities (Clients) Output'!Q$18, '5. MethodMix Set Up'!$S$34:$AI$34, 0), FALSE), NA())</f>
        <v>#N/A</v>
      </c>
      <c r="R27" s="2" t="e">
        <f>IFERROR(VLOOKUP($C27, '5. MethodMix Set Up'!$S$34:$AI$43, MATCH('Commodities (Clients) Output'!R$18, '5. MethodMix Set Up'!$S$34:$AI$34, 0), FALSE), NA())</f>
        <v>#N/A</v>
      </c>
      <c r="S27" s="729" t="e">
        <f>IFERROR(VLOOKUP($C27, '5. MethodMix Set Up'!$S$34:$AI$43, MATCH('Commodities (Clients) Output'!S$18, '5. MethodMix Set Up'!$S$34:$AI$34, 0), FALSE), NA())</f>
        <v>#N/A</v>
      </c>
      <c r="U27" s="2"/>
      <c r="V27" s="2"/>
      <c r="W27" s="807"/>
      <c r="X27" s="2"/>
      <c r="Y27" s="2"/>
      <c r="Z27" s="2"/>
      <c r="AA27" s="2"/>
      <c r="AB27" s="2"/>
      <c r="AC27" s="2"/>
      <c r="AD27" s="445"/>
      <c r="AE27" s="449"/>
      <c r="AF27" s="447"/>
    </row>
    <row r="28" spans="3:35" ht="18.75" hidden="1" customHeight="1" outlineLevel="1" thickBot="1" x14ac:dyDescent="0.3">
      <c r="C28" s="977" t="str">
        <f>C16</f>
        <v>Total</v>
      </c>
      <c r="D28" s="978" t="e">
        <f t="shared" ref="D28:I28" si="15">SUM(D19:D27)</f>
        <v>#N/A</v>
      </c>
      <c r="E28" s="978" t="e">
        <f t="shared" si="15"/>
        <v>#N/A</v>
      </c>
      <c r="F28" s="978" t="e">
        <f t="shared" si="15"/>
        <v>#N/A</v>
      </c>
      <c r="G28" s="978" t="e">
        <f t="shared" si="15"/>
        <v>#N/A</v>
      </c>
      <c r="H28" s="978" t="e">
        <f t="shared" si="15"/>
        <v>#N/A</v>
      </c>
      <c r="I28" s="978" t="e">
        <f t="shared" si="15"/>
        <v>#N/A</v>
      </c>
      <c r="J28" s="978" t="e">
        <f t="shared" ref="J28:S28" si="16">SUM(J19:J27)</f>
        <v>#N/A</v>
      </c>
      <c r="K28" s="978" t="e">
        <f t="shared" si="16"/>
        <v>#N/A</v>
      </c>
      <c r="L28" s="978" t="e">
        <f t="shared" si="16"/>
        <v>#N/A</v>
      </c>
      <c r="M28" s="978" t="e">
        <f t="shared" si="16"/>
        <v>#N/A</v>
      </c>
      <c r="N28" s="978" t="e">
        <f t="shared" si="16"/>
        <v>#N/A</v>
      </c>
      <c r="O28" s="978" t="e">
        <f t="shared" si="16"/>
        <v>#N/A</v>
      </c>
      <c r="P28" s="978" t="e">
        <f t="shared" si="16"/>
        <v>#N/A</v>
      </c>
      <c r="Q28" s="978" t="e">
        <f t="shared" si="16"/>
        <v>#N/A</v>
      </c>
      <c r="R28" s="978" t="e">
        <f t="shared" si="16"/>
        <v>#N/A</v>
      </c>
      <c r="S28" s="979" t="e">
        <f t="shared" si="16"/>
        <v>#N/A</v>
      </c>
      <c r="U28" s="2"/>
      <c r="V28" s="2"/>
      <c r="W28" s="807"/>
      <c r="X28" s="2"/>
      <c r="Y28" s="2"/>
      <c r="Z28" s="2"/>
      <c r="AA28" s="2"/>
      <c r="AB28" s="2"/>
      <c r="AC28" s="2"/>
      <c r="AD28" s="445"/>
      <c r="AE28" s="449"/>
      <c r="AF28" s="447"/>
    </row>
    <row r="29" spans="3:35" ht="18.75" hidden="1" customHeight="1" outlineLevel="1" x14ac:dyDescent="0.25">
      <c r="C29" s="167"/>
      <c r="D29" s="2"/>
      <c r="E29" s="2"/>
      <c r="F29" s="2"/>
      <c r="G29" s="2"/>
      <c r="H29" s="2"/>
      <c r="I29" s="2"/>
      <c r="J29" s="2"/>
      <c r="K29" s="2"/>
      <c r="L29" s="2"/>
      <c r="M29" s="2"/>
      <c r="N29" s="2"/>
      <c r="O29" s="2"/>
      <c r="P29" s="2"/>
      <c r="Q29" s="2"/>
      <c r="R29" s="2"/>
      <c r="S29" s="2"/>
      <c r="U29" s="2"/>
      <c r="V29" s="2"/>
      <c r="W29" s="807"/>
      <c r="X29" s="2"/>
      <c r="Y29" s="2"/>
      <c r="Z29" s="2"/>
      <c r="AA29" s="2"/>
      <c r="AB29" s="2"/>
      <c r="AC29" s="2"/>
      <c r="AD29" s="445"/>
      <c r="AE29" s="449"/>
      <c r="AF29" s="447"/>
    </row>
    <row r="30" spans="3:35" ht="18.75" hidden="1" customHeight="1" outlineLevel="1" thickBot="1" x14ac:dyDescent="0.3">
      <c r="C30" s="167"/>
      <c r="D30" s="2"/>
      <c r="E30" s="2"/>
      <c r="F30" s="2"/>
      <c r="G30" s="2"/>
      <c r="H30" s="2"/>
      <c r="I30" s="2"/>
      <c r="J30" s="2"/>
      <c r="K30" s="2"/>
      <c r="L30" s="2"/>
      <c r="M30" s="2"/>
      <c r="N30" s="2"/>
      <c r="O30" s="2"/>
      <c r="P30" s="2"/>
      <c r="Q30" s="2"/>
      <c r="R30" s="2"/>
      <c r="S30" s="2"/>
      <c r="U30" s="2"/>
      <c r="V30" s="2"/>
      <c r="W30" s="807"/>
      <c r="X30" s="2"/>
      <c r="Y30" s="2"/>
      <c r="Z30" s="2"/>
      <c r="AA30" s="2"/>
      <c r="AB30" s="2"/>
      <c r="AC30" s="2"/>
      <c r="AD30" s="445"/>
      <c r="AE30" s="449"/>
      <c r="AF30" s="447"/>
    </row>
    <row r="31" spans="3:35" ht="60" hidden="1" customHeight="1" outlineLevel="1" x14ac:dyDescent="0.25">
      <c r="C31" s="734"/>
      <c r="D31" s="735">
        <f>D125</f>
        <v>0</v>
      </c>
      <c r="E31" s="735" t="str">
        <f t="shared" ref="E31:S31" si="17">E125</f>
        <v/>
      </c>
      <c r="F31" s="735" t="str">
        <f t="shared" si="17"/>
        <v/>
      </c>
      <c r="G31" s="735" t="str">
        <f t="shared" si="17"/>
        <v/>
      </c>
      <c r="H31" s="735" t="str">
        <f t="shared" si="17"/>
        <v/>
      </c>
      <c r="I31" s="735" t="str">
        <f t="shared" si="17"/>
        <v/>
      </c>
      <c r="J31" s="735" t="str">
        <f t="shared" si="17"/>
        <v/>
      </c>
      <c r="K31" s="735" t="str">
        <f t="shared" si="17"/>
        <v/>
      </c>
      <c r="L31" s="735" t="str">
        <f t="shared" si="17"/>
        <v/>
      </c>
      <c r="M31" s="735" t="str">
        <f t="shared" si="17"/>
        <v/>
      </c>
      <c r="N31" s="735" t="str">
        <f t="shared" si="17"/>
        <v/>
      </c>
      <c r="O31" s="735" t="str">
        <f t="shared" si="17"/>
        <v/>
      </c>
      <c r="P31" s="735" t="str">
        <f t="shared" si="17"/>
        <v/>
      </c>
      <c r="Q31" s="735" t="str">
        <f t="shared" si="17"/>
        <v/>
      </c>
      <c r="R31" s="735" t="str">
        <f t="shared" si="17"/>
        <v/>
      </c>
      <c r="S31" s="735" t="str">
        <f t="shared" si="17"/>
        <v/>
      </c>
      <c r="U31" s="119" t="s">
        <v>1257</v>
      </c>
      <c r="V31" s="2"/>
      <c r="W31" s="807"/>
      <c r="X31" s="2"/>
      <c r="Y31" s="2"/>
      <c r="Z31" s="2"/>
      <c r="AA31" s="2"/>
      <c r="AB31" s="2"/>
      <c r="AC31" s="2"/>
      <c r="AD31" s="445"/>
      <c r="AE31" s="449"/>
      <c r="AF31" s="447"/>
      <c r="AG31" s="2"/>
      <c r="AH31" s="2"/>
      <c r="AI31" s="2"/>
    </row>
    <row r="32" spans="3:35" ht="15" hidden="1" customHeight="1" outlineLevel="1" x14ac:dyDescent="0.25">
      <c r="C32" s="736" t="str">
        <f xml:space="preserve"> "Pop :"&amp;'3. ServiceStats Set Up'!$C$8</f>
        <v>Pop :All Women</v>
      </c>
      <c r="D32" s="599" t="e">
        <f>VLOOKUP(D$31, '2. Pop_Prev Set Up'!$T$11:$U$28, 2, FALSE)</f>
        <v>#N/A</v>
      </c>
      <c r="E32" s="599" t="str">
        <f>VLOOKUP(E$31, '2. Pop_Prev Set Up'!$T$11:$U$28, 2, FALSE)</f>
        <v/>
      </c>
      <c r="F32" s="599" t="str">
        <f>VLOOKUP(F$31, '2. Pop_Prev Set Up'!$T$11:$U$28, 2, FALSE)</f>
        <v/>
      </c>
      <c r="G32" s="599" t="str">
        <f>VLOOKUP(G$31, '2. Pop_Prev Set Up'!$T$11:$U$28, 2, FALSE)</f>
        <v/>
      </c>
      <c r="H32" s="599" t="str">
        <f>VLOOKUP(H$31, '2. Pop_Prev Set Up'!$T$11:$U$28, 2, FALSE)</f>
        <v/>
      </c>
      <c r="I32" s="599" t="str">
        <f>VLOOKUP(I$31, '2. Pop_Prev Set Up'!$T$11:$U$28, 2, FALSE)</f>
        <v/>
      </c>
      <c r="J32" s="599" t="str">
        <f>VLOOKUP(J$31, '2. Pop_Prev Set Up'!$T$11:$U$28, 2, FALSE)</f>
        <v/>
      </c>
      <c r="K32" s="599" t="str">
        <f>VLOOKUP(K$31, '2. Pop_Prev Set Up'!$T$11:$U$28, 2, FALSE)</f>
        <v/>
      </c>
      <c r="L32" s="599" t="str">
        <f>VLOOKUP(L$31, '2. Pop_Prev Set Up'!$T$11:$U$28, 2, FALSE)</f>
        <v/>
      </c>
      <c r="M32" s="599" t="str">
        <f>VLOOKUP(M$31, '2. Pop_Prev Set Up'!$T$11:$U$28, 2, FALSE)</f>
        <v/>
      </c>
      <c r="N32" s="599" t="str">
        <f>VLOOKUP(N$31, '2. Pop_Prev Set Up'!$T$11:$U$28, 2, FALSE)</f>
        <v/>
      </c>
      <c r="O32" s="599" t="str">
        <f>VLOOKUP(O$31, '2. Pop_Prev Set Up'!$T$11:$U$28, 2, FALSE)</f>
        <v/>
      </c>
      <c r="P32" s="599" t="str">
        <f>VLOOKUP(P$31, '2. Pop_Prev Set Up'!$T$11:$U$28, 2, FALSE)</f>
        <v/>
      </c>
      <c r="Q32" s="599" t="str">
        <f>VLOOKUP(Q$31, '2. Pop_Prev Set Up'!$T$11:$U$28, 2, FALSE)</f>
        <v/>
      </c>
      <c r="R32" s="599" t="str">
        <f>VLOOKUP(R$31, '2. Pop_Prev Set Up'!$T$11:$U$28, 2, FALSE)</f>
        <v/>
      </c>
      <c r="S32" s="599" t="str">
        <f>VLOOKUP(S$31, '2. Pop_Prev Set Up'!$T$11:$U$28, 2, FALSE)</f>
        <v/>
      </c>
      <c r="V32" s="2"/>
      <c r="W32" s="807"/>
      <c r="X32" s="2"/>
      <c r="Y32" s="2"/>
      <c r="Z32" s="2"/>
      <c r="AA32" s="2"/>
      <c r="AB32" s="2"/>
      <c r="AC32" s="2"/>
      <c r="AD32" s="445"/>
      <c r="AE32" s="449"/>
      <c r="AF32" s="447"/>
      <c r="AG32" s="2"/>
      <c r="AH32" s="2"/>
      <c r="AI32" s="2"/>
    </row>
    <row r="33" spans="1:42" ht="15" hidden="1" customHeight="1" outlineLevel="1" x14ac:dyDescent="0.25">
      <c r="A33" s="237"/>
      <c r="B33" t="s">
        <v>1012</v>
      </c>
      <c r="C33" s="736" t="str">
        <f>IF(Language="English", AD45, AF45)</f>
        <v>EUM: Produits inc. Préservatifs</v>
      </c>
      <c r="D33" s="942" t="e">
        <f>IFERROR(IF(D31="", "",D152/D32), NA())</f>
        <v>#N/A</v>
      </c>
      <c r="E33" s="942" t="str">
        <f>IFERROR(IF(E31="", "",E152/E32), NA())</f>
        <v/>
      </c>
      <c r="F33" s="942" t="str">
        <f t="shared" ref="F33:S33" si="18">IFERROR(IF(F31="", "",F152/F32), NA())</f>
        <v/>
      </c>
      <c r="G33" s="942" t="str">
        <f t="shared" si="18"/>
        <v/>
      </c>
      <c r="H33" s="942" t="str">
        <f t="shared" si="18"/>
        <v/>
      </c>
      <c r="I33" s="942" t="str">
        <f t="shared" si="18"/>
        <v/>
      </c>
      <c r="J33" s="942" t="str">
        <f t="shared" si="18"/>
        <v/>
      </c>
      <c r="K33" s="942" t="str">
        <f t="shared" si="18"/>
        <v/>
      </c>
      <c r="L33" s="942" t="str">
        <f t="shared" si="18"/>
        <v/>
      </c>
      <c r="M33" s="942" t="str">
        <f t="shared" si="18"/>
        <v/>
      </c>
      <c r="N33" s="942" t="str">
        <f t="shared" si="18"/>
        <v/>
      </c>
      <c r="O33" s="942" t="str">
        <f t="shared" si="18"/>
        <v/>
      </c>
      <c r="P33" s="942" t="str">
        <f t="shared" si="18"/>
        <v/>
      </c>
      <c r="Q33" s="942" t="str">
        <f t="shared" si="18"/>
        <v/>
      </c>
      <c r="R33" s="942" t="str">
        <f t="shared" si="18"/>
        <v/>
      </c>
      <c r="S33" s="942" t="str">
        <f t="shared" si="18"/>
        <v/>
      </c>
      <c r="U33" s="968"/>
      <c r="V33" s="2"/>
      <c r="W33" s="807"/>
      <c r="X33" s="2"/>
      <c r="Y33" s="2"/>
      <c r="Z33" s="2"/>
      <c r="AA33" s="2"/>
      <c r="AB33" s="2"/>
      <c r="AC33" s="2"/>
      <c r="AD33" s="445"/>
      <c r="AE33" s="449"/>
      <c r="AF33" s="447"/>
      <c r="AG33" s="2"/>
      <c r="AH33" s="2"/>
      <c r="AI33" s="2"/>
    </row>
    <row r="34" spans="1:42" ht="15" hidden="1" customHeight="1" outlineLevel="1" x14ac:dyDescent="0.25">
      <c r="A34" s="237"/>
      <c r="B34" t="s">
        <v>1010</v>
      </c>
      <c r="C34" s="736" t="str">
        <f>IF(Language="English", AD46, AF46)</f>
        <v>EUM: Produits ex. Préservatifs</v>
      </c>
      <c r="D34" s="942" t="e">
        <f>IFERROR(IF(D31="", "", D153/D32), NA())</f>
        <v>#N/A</v>
      </c>
      <c r="E34" s="942" t="str">
        <f>IFERROR(IF(E31="", "", E153/E32), NA())</f>
        <v/>
      </c>
      <c r="F34" s="942" t="str">
        <f t="shared" ref="F34:S34" si="19">IFERROR(IF(F31="", "", F153/F32), NA())</f>
        <v/>
      </c>
      <c r="G34" s="942" t="str">
        <f t="shared" si="19"/>
        <v/>
      </c>
      <c r="H34" s="942" t="str">
        <f t="shared" si="19"/>
        <v/>
      </c>
      <c r="I34" s="942" t="str">
        <f t="shared" si="19"/>
        <v/>
      </c>
      <c r="J34" s="942" t="str">
        <f t="shared" si="19"/>
        <v/>
      </c>
      <c r="K34" s="942" t="str">
        <f t="shared" si="19"/>
        <v/>
      </c>
      <c r="L34" s="942" t="str">
        <f t="shared" si="19"/>
        <v/>
      </c>
      <c r="M34" s="942" t="str">
        <f t="shared" si="19"/>
        <v/>
      </c>
      <c r="N34" s="942" t="str">
        <f t="shared" si="19"/>
        <v/>
      </c>
      <c r="O34" s="942" t="str">
        <f t="shared" si="19"/>
        <v/>
      </c>
      <c r="P34" s="942" t="str">
        <f t="shared" si="19"/>
        <v/>
      </c>
      <c r="Q34" s="942" t="str">
        <f t="shared" si="19"/>
        <v/>
      </c>
      <c r="R34" s="942" t="str">
        <f t="shared" si="19"/>
        <v/>
      </c>
      <c r="S34" s="942" t="str">
        <f t="shared" si="19"/>
        <v/>
      </c>
      <c r="U34" s="968"/>
      <c r="V34" s="2"/>
      <c r="W34" s="807"/>
      <c r="X34" s="2"/>
      <c r="Y34" s="2"/>
      <c r="Z34" s="2"/>
      <c r="AA34" s="2"/>
      <c r="AB34" s="2"/>
      <c r="AC34" s="2"/>
      <c r="AD34" s="445"/>
      <c r="AE34" s="449"/>
      <c r="AF34" s="447"/>
      <c r="AG34" s="2"/>
      <c r="AH34" s="2"/>
      <c r="AI34" s="2"/>
    </row>
    <row r="35" spans="1:42" ht="15" hidden="1" customHeight="1" outlineLevel="1" x14ac:dyDescent="0.25">
      <c r="A35" s="237"/>
      <c r="B35" s="237" t="s">
        <v>1068</v>
      </c>
      <c r="C35" s="736" t="str">
        <f>IF('3. ServiceStats Set Up'!$T$8="MW", '2. Pop_Prev Set Up'!$V$10, '2. Pop_Prev Set Up'!$W$10)</f>
        <v>TPCm (TF): DHS</v>
      </c>
      <c r="D35" s="942" t="e">
        <f>VLOOKUP(D$31, '2. Pop_Prev Set Up'!$T$11:$AE$28, MATCH($C35, '2. Pop_Prev Set Up'!$T$10:$AE$10, 0), FALSE)</f>
        <v>#N/A</v>
      </c>
      <c r="E35" s="942" t="e">
        <f>VLOOKUP(E$31, '2. Pop_Prev Set Up'!$T$11:$AE$28, MATCH($C35, '2. Pop_Prev Set Up'!$T$10:$AE$10, 0), FALSE)</f>
        <v>#N/A</v>
      </c>
      <c r="F35" s="942" t="e">
        <f>VLOOKUP(F$31, '2. Pop_Prev Set Up'!$T$11:$AE$28, MATCH($C35, '2. Pop_Prev Set Up'!$T$10:$AE$10, 0), FALSE)</f>
        <v>#N/A</v>
      </c>
      <c r="G35" s="942" t="e">
        <f>VLOOKUP(G$31, '2. Pop_Prev Set Up'!$T$11:$AE$28, MATCH($C35, '2. Pop_Prev Set Up'!$T$10:$AE$10, 0), FALSE)</f>
        <v>#N/A</v>
      </c>
      <c r="H35" s="942" t="e">
        <f>VLOOKUP(H$31, '2. Pop_Prev Set Up'!$T$11:$AE$28, MATCH($C35, '2. Pop_Prev Set Up'!$T$10:$AE$10, 0), FALSE)</f>
        <v>#N/A</v>
      </c>
      <c r="I35" s="942" t="e">
        <f>VLOOKUP(I$31, '2. Pop_Prev Set Up'!$T$11:$AE$28, MATCH($C35, '2. Pop_Prev Set Up'!$T$10:$AE$10, 0), FALSE)</f>
        <v>#N/A</v>
      </c>
      <c r="J35" s="942" t="e">
        <f>VLOOKUP(J$31, '2. Pop_Prev Set Up'!$T$11:$AE$28, MATCH($C35, '2. Pop_Prev Set Up'!$T$10:$AE$10, 0), FALSE)</f>
        <v>#N/A</v>
      </c>
      <c r="K35" s="942" t="e">
        <f>VLOOKUP(K$31, '2. Pop_Prev Set Up'!$T$11:$AE$28, MATCH($C35, '2. Pop_Prev Set Up'!$T$10:$AE$10, 0), FALSE)</f>
        <v>#N/A</v>
      </c>
      <c r="L35" s="942" t="e">
        <f>VLOOKUP(L$31, '2. Pop_Prev Set Up'!$T$11:$AE$28, MATCH($C35, '2. Pop_Prev Set Up'!$T$10:$AE$10, 0), FALSE)</f>
        <v>#N/A</v>
      </c>
      <c r="M35" s="942" t="e">
        <f>VLOOKUP(M$31, '2. Pop_Prev Set Up'!$T$11:$AE$28, MATCH($C35, '2. Pop_Prev Set Up'!$T$10:$AE$10, 0), FALSE)</f>
        <v>#N/A</v>
      </c>
      <c r="N35" s="942" t="e">
        <f>VLOOKUP(N$31, '2. Pop_Prev Set Up'!$T$11:$AE$28, MATCH($C35, '2. Pop_Prev Set Up'!$T$10:$AE$10, 0), FALSE)</f>
        <v>#N/A</v>
      </c>
      <c r="O35" s="942" t="e">
        <f>VLOOKUP(O$31, '2. Pop_Prev Set Up'!$T$11:$AE$28, MATCH($C35, '2. Pop_Prev Set Up'!$T$10:$AE$10, 0), FALSE)</f>
        <v>#N/A</v>
      </c>
      <c r="P35" s="942" t="e">
        <f>VLOOKUP(P$31, '2. Pop_Prev Set Up'!$T$11:$AE$28, MATCH($C35, '2. Pop_Prev Set Up'!$T$10:$AE$10, 0), FALSE)</f>
        <v>#N/A</v>
      </c>
      <c r="Q35" s="942" t="e">
        <f>VLOOKUP(Q$31, '2. Pop_Prev Set Up'!$T$11:$AE$28, MATCH($C35, '2. Pop_Prev Set Up'!$T$10:$AE$10, 0), FALSE)</f>
        <v>#N/A</v>
      </c>
      <c r="R35" s="942" t="e">
        <f>VLOOKUP(R$31, '2. Pop_Prev Set Up'!$T$11:$AE$28, MATCH($C35, '2. Pop_Prev Set Up'!$T$10:$AE$10, 0), FALSE)</f>
        <v>#N/A</v>
      </c>
      <c r="S35" s="942" t="e">
        <f>VLOOKUP(S$31, '2. Pop_Prev Set Up'!$T$11:$AE$28, MATCH($C35, '2. Pop_Prev Set Up'!$T$10:$AE$10, 0), FALSE)</f>
        <v>#N/A</v>
      </c>
      <c r="U35" s="968"/>
      <c r="V35" s="2"/>
      <c r="W35" s="807"/>
      <c r="X35" s="2"/>
      <c r="Y35" s="2"/>
      <c r="Z35" s="2"/>
      <c r="AA35" s="2"/>
      <c r="AB35" s="2"/>
      <c r="AC35" s="2"/>
      <c r="AD35" s="445"/>
      <c r="AE35" s="449"/>
      <c r="AF35" s="447"/>
      <c r="AG35" s="2"/>
      <c r="AH35" s="2"/>
      <c r="AI35" s="2"/>
    </row>
    <row r="36" spans="1:42" ht="15" hidden="1" customHeight="1" outlineLevel="1" x14ac:dyDescent="0.25">
      <c r="A36" s="237"/>
      <c r="B36" s="237" t="s">
        <v>565</v>
      </c>
      <c r="C36" s="736" t="str">
        <f>C35</f>
        <v>TPCm (TF): DHS</v>
      </c>
      <c r="D36" s="942" t="str">
        <f t="shared" ref="D36:S36" si="20">IFERROR(D35, "")</f>
        <v/>
      </c>
      <c r="E36" s="942" t="str">
        <f t="shared" si="20"/>
        <v/>
      </c>
      <c r="F36" s="942" t="str">
        <f t="shared" si="20"/>
        <v/>
      </c>
      <c r="G36" s="942" t="str">
        <f t="shared" si="20"/>
        <v/>
      </c>
      <c r="H36" s="942" t="str">
        <f t="shared" si="20"/>
        <v/>
      </c>
      <c r="I36" s="942" t="str">
        <f t="shared" si="20"/>
        <v/>
      </c>
      <c r="J36" s="942" t="str">
        <f t="shared" si="20"/>
        <v/>
      </c>
      <c r="K36" s="942" t="str">
        <f t="shared" si="20"/>
        <v/>
      </c>
      <c r="L36" s="942" t="str">
        <f t="shared" si="20"/>
        <v/>
      </c>
      <c r="M36" s="942" t="str">
        <f t="shared" si="20"/>
        <v/>
      </c>
      <c r="N36" s="942" t="str">
        <f t="shared" si="20"/>
        <v/>
      </c>
      <c r="O36" s="942" t="str">
        <f t="shared" si="20"/>
        <v/>
      </c>
      <c r="P36" s="942" t="str">
        <f t="shared" si="20"/>
        <v/>
      </c>
      <c r="Q36" s="942" t="str">
        <f t="shared" si="20"/>
        <v/>
      </c>
      <c r="R36" s="942" t="str">
        <f t="shared" si="20"/>
        <v/>
      </c>
      <c r="S36" s="942" t="str">
        <f t="shared" si="20"/>
        <v/>
      </c>
      <c r="U36" s="968" t="e">
        <f>IFERROR((MAX($D$36:$R$36)-MIN($D$36:$R$36))/ (HLOOKUP(MAX($D$36:$R$36), $D$36:$R$41, 6, FALSE) - HLOOKUP(MIN($D$36:$R$36), $D$36:$R$41, 6, FALSE)), NA())</f>
        <v>#N/A</v>
      </c>
      <c r="V36" s="2"/>
      <c r="W36" s="807"/>
      <c r="X36" s="2"/>
      <c r="Y36" s="2"/>
      <c r="Z36" s="2"/>
      <c r="AA36" s="2"/>
      <c r="AB36" s="2"/>
      <c r="AC36" s="2"/>
      <c r="AD36" s="445"/>
      <c r="AE36" s="449"/>
      <c r="AF36" s="447"/>
      <c r="AG36" s="2"/>
      <c r="AH36" s="2"/>
      <c r="AI36" s="2"/>
    </row>
    <row r="37" spans="1:42" ht="15" hidden="1" customHeight="1" outlineLevel="1" x14ac:dyDescent="0.25">
      <c r="A37" s="238"/>
      <c r="B37" s="237" t="s">
        <v>565</v>
      </c>
      <c r="C37" s="736" t="str">
        <f>IF('3. ServiceStats Set Up'!$T$8="MW",'2. Pop_Prev Set Up'!$AD$10,'2. Pop_Prev Set Up'!$AE$10)</f>
        <v>TPCm (TF): FPET Global Run (2022)</v>
      </c>
      <c r="D37" s="942"/>
      <c r="E37" s="942" t="str">
        <f>IFERROR(E38-D38, "")</f>
        <v/>
      </c>
      <c r="F37" s="942" t="str">
        <f t="shared" ref="F37:S37" si="21">IFERROR(F38-E38, "")</f>
        <v/>
      </c>
      <c r="G37" s="942" t="str">
        <f t="shared" si="21"/>
        <v/>
      </c>
      <c r="H37" s="942" t="str">
        <f t="shared" si="21"/>
        <v/>
      </c>
      <c r="I37" s="942" t="str">
        <f t="shared" si="21"/>
        <v/>
      </c>
      <c r="J37" s="942" t="str">
        <f t="shared" si="21"/>
        <v/>
      </c>
      <c r="K37" s="942" t="str">
        <f t="shared" si="21"/>
        <v/>
      </c>
      <c r="L37" s="942" t="str">
        <f t="shared" si="21"/>
        <v/>
      </c>
      <c r="M37" s="942" t="str">
        <f t="shared" si="21"/>
        <v/>
      </c>
      <c r="N37" s="942" t="str">
        <f t="shared" si="21"/>
        <v/>
      </c>
      <c r="O37" s="942" t="str">
        <f t="shared" si="21"/>
        <v/>
      </c>
      <c r="P37" s="942" t="str">
        <f t="shared" si="21"/>
        <v/>
      </c>
      <c r="Q37" s="942" t="str">
        <f t="shared" si="21"/>
        <v/>
      </c>
      <c r="R37" s="942" t="str">
        <f t="shared" si="21"/>
        <v/>
      </c>
      <c r="S37" s="942" t="str">
        <f t="shared" si="21"/>
        <v/>
      </c>
      <c r="U37" s="968" t="e">
        <f>AVERAGE(D37:R37)</f>
        <v>#DIV/0!</v>
      </c>
      <c r="V37" s="2"/>
      <c r="W37" s="807"/>
      <c r="X37" s="2"/>
      <c r="Y37" s="2"/>
      <c r="Z37" s="2"/>
      <c r="AA37" s="2"/>
      <c r="AB37" s="2"/>
      <c r="AC37" s="2"/>
      <c r="AD37" s="445" t="s">
        <v>1246</v>
      </c>
      <c r="AE37" s="449"/>
      <c r="AF37" s="655" t="s">
        <v>2417</v>
      </c>
      <c r="AG37" s="2"/>
      <c r="AH37" s="2"/>
      <c r="AI37" s="2"/>
    </row>
    <row r="38" spans="1:42" ht="15" hidden="1" customHeight="1" outlineLevel="1" x14ac:dyDescent="0.25">
      <c r="A38" s="237"/>
      <c r="B38" s="237" t="s">
        <v>1068</v>
      </c>
      <c r="C38" s="736" t="str">
        <f>C37</f>
        <v>TPCm (TF): FPET Global Run (2022)</v>
      </c>
      <c r="D38" s="942" t="e">
        <f>VLOOKUP(D$31, '2. Pop_Prev Set Up'!$T$11:$AE$28, MATCH($C38, '2. Pop_Prev Set Up'!$T$10:$AE$10, 0), FALSE)</f>
        <v>#N/A</v>
      </c>
      <c r="E38" s="942" t="str">
        <f>VLOOKUP(E$31, '2. Pop_Prev Set Up'!$T$11:$AE$28, MATCH($C38, '2. Pop_Prev Set Up'!$T$10:$AE$10, 0), FALSE)</f>
        <v/>
      </c>
      <c r="F38" s="942" t="str">
        <f>VLOOKUP(F$31, '2. Pop_Prev Set Up'!$T$11:$AE$28, MATCH($C38, '2. Pop_Prev Set Up'!$T$10:$AE$10, 0), FALSE)</f>
        <v/>
      </c>
      <c r="G38" s="942" t="str">
        <f>VLOOKUP(G$31, '2. Pop_Prev Set Up'!$T$11:$AE$28, MATCH($C38, '2. Pop_Prev Set Up'!$T$10:$AE$10, 0), FALSE)</f>
        <v/>
      </c>
      <c r="H38" s="942" t="str">
        <f>VLOOKUP(H$31, '2. Pop_Prev Set Up'!$T$11:$AE$28, MATCH($C38, '2. Pop_Prev Set Up'!$T$10:$AE$10, 0), FALSE)</f>
        <v/>
      </c>
      <c r="I38" s="942" t="str">
        <f>VLOOKUP(I$31, '2. Pop_Prev Set Up'!$T$11:$AE$28, MATCH($C38, '2. Pop_Prev Set Up'!$T$10:$AE$10, 0), FALSE)</f>
        <v/>
      </c>
      <c r="J38" s="942" t="str">
        <f>VLOOKUP(J$31, '2. Pop_Prev Set Up'!$T$11:$AE$28, MATCH($C38, '2. Pop_Prev Set Up'!$T$10:$AE$10, 0), FALSE)</f>
        <v/>
      </c>
      <c r="K38" s="942" t="str">
        <f>VLOOKUP(K$31, '2. Pop_Prev Set Up'!$T$11:$AE$28, MATCH($C38, '2. Pop_Prev Set Up'!$T$10:$AE$10, 0), FALSE)</f>
        <v/>
      </c>
      <c r="L38" s="942" t="str">
        <f>VLOOKUP(L$31, '2. Pop_Prev Set Up'!$T$11:$AE$28, MATCH($C38, '2. Pop_Prev Set Up'!$T$10:$AE$10, 0), FALSE)</f>
        <v/>
      </c>
      <c r="M38" s="942" t="str">
        <f>VLOOKUP(M$31, '2. Pop_Prev Set Up'!$T$11:$AE$28, MATCH($C38, '2. Pop_Prev Set Up'!$T$10:$AE$10, 0), FALSE)</f>
        <v/>
      </c>
      <c r="N38" s="942" t="str">
        <f>VLOOKUP(N$31, '2. Pop_Prev Set Up'!$T$11:$AE$28, MATCH($C38, '2. Pop_Prev Set Up'!$T$10:$AE$10, 0), FALSE)</f>
        <v/>
      </c>
      <c r="O38" s="942" t="str">
        <f>VLOOKUP(O$31, '2. Pop_Prev Set Up'!$T$11:$AE$28, MATCH($C38, '2. Pop_Prev Set Up'!$T$10:$AE$10, 0), FALSE)</f>
        <v/>
      </c>
      <c r="P38" s="942" t="str">
        <f>VLOOKUP(P$31, '2. Pop_Prev Set Up'!$T$11:$AE$28, MATCH($C38, '2. Pop_Prev Set Up'!$T$10:$AE$10, 0), FALSE)</f>
        <v/>
      </c>
      <c r="Q38" s="942" t="str">
        <f>VLOOKUP(Q$31, '2. Pop_Prev Set Up'!$T$11:$AE$28, MATCH($C38, '2. Pop_Prev Set Up'!$T$10:$AE$10, 0), FALSE)</f>
        <v/>
      </c>
      <c r="R38" s="942" t="str">
        <f>VLOOKUP(R$31, '2. Pop_Prev Set Up'!$T$11:$AE$28, MATCH($C38, '2. Pop_Prev Set Up'!$T$10:$AE$10, 0), FALSE)</f>
        <v/>
      </c>
      <c r="S38" s="942" t="str">
        <f>VLOOKUP(S$31, '2. Pop_Prev Set Up'!$T$11:$AE$28, MATCH($C38, '2. Pop_Prev Set Up'!$T$10:$AE$10, 0), FALSE)</f>
        <v/>
      </c>
      <c r="U38" s="968"/>
      <c r="V38" s="2"/>
      <c r="W38" s="807"/>
      <c r="X38" s="2"/>
      <c r="Y38" s="2"/>
      <c r="Z38" s="2"/>
      <c r="AA38" s="2"/>
      <c r="AB38" s="2"/>
      <c r="AC38" s="2"/>
      <c r="AD38" s="445" t="s">
        <v>1245</v>
      </c>
      <c r="AE38" s="449"/>
      <c r="AF38" s="655" t="s">
        <v>2418</v>
      </c>
      <c r="AG38" s="2"/>
      <c r="AH38" s="2"/>
      <c r="AI38" s="2"/>
    </row>
    <row r="39" spans="1:42" ht="15" hidden="1" customHeight="1" outlineLevel="1" x14ac:dyDescent="0.25">
      <c r="A39" s="238"/>
      <c r="B39" s="237" t="s">
        <v>565</v>
      </c>
      <c r="C39" s="736" t="str">
        <f>IF(Language="English", AD50, AF50)</f>
        <v>EUM: Produits inc. Préservatifs</v>
      </c>
      <c r="D39" s="942"/>
      <c r="E39" s="942" t="str">
        <f>IFERROR(E33-D33, "")</f>
        <v/>
      </c>
      <c r="F39" s="942" t="str">
        <f t="shared" ref="F39:S40" si="22">IFERROR(F33-E33, "")</f>
        <v/>
      </c>
      <c r="G39" s="942" t="str">
        <f t="shared" si="22"/>
        <v/>
      </c>
      <c r="H39" s="942" t="str">
        <f t="shared" si="22"/>
        <v/>
      </c>
      <c r="I39" s="942" t="str">
        <f t="shared" si="22"/>
        <v/>
      </c>
      <c r="J39" s="942" t="str">
        <f t="shared" si="22"/>
        <v/>
      </c>
      <c r="K39" s="942" t="str">
        <f t="shared" si="22"/>
        <v/>
      </c>
      <c r="L39" s="942" t="str">
        <f t="shared" si="22"/>
        <v/>
      </c>
      <c r="M39" s="942" t="str">
        <f t="shared" si="22"/>
        <v/>
      </c>
      <c r="N39" s="942" t="str">
        <f t="shared" si="22"/>
        <v/>
      </c>
      <c r="O39" s="942" t="str">
        <f t="shared" si="22"/>
        <v/>
      </c>
      <c r="P39" s="942" t="str">
        <f t="shared" si="22"/>
        <v/>
      </c>
      <c r="Q39" s="942" t="str">
        <f t="shared" si="22"/>
        <v/>
      </c>
      <c r="R39" s="942" t="str">
        <f t="shared" si="22"/>
        <v/>
      </c>
      <c r="S39" s="942" t="str">
        <f t="shared" si="22"/>
        <v/>
      </c>
      <c r="U39" s="968" t="e">
        <f>AVERAGE(D39:R39)</f>
        <v>#DIV/0!</v>
      </c>
      <c r="V39" s="2"/>
      <c r="W39" s="807"/>
      <c r="X39" s="2"/>
      <c r="Y39" s="2"/>
      <c r="Z39" s="2"/>
      <c r="AA39" s="2"/>
      <c r="AB39" s="2"/>
      <c r="AC39" s="2"/>
      <c r="AD39" s="654" t="s">
        <v>2001</v>
      </c>
      <c r="AE39" s="449"/>
      <c r="AF39" s="655" t="s">
        <v>2419</v>
      </c>
      <c r="AG39" s="2"/>
      <c r="AH39" s="2"/>
      <c r="AI39" s="2"/>
    </row>
    <row r="40" spans="1:42" ht="15.75" hidden="1" customHeight="1" outlineLevel="1" thickBot="1" x14ac:dyDescent="0.3">
      <c r="A40" s="238"/>
      <c r="B40" s="237" t="s">
        <v>565</v>
      </c>
      <c r="C40" s="737" t="str">
        <f>IF(Language="English", AD51, AF51)</f>
        <v>EUM: Produits ex. Préservatifs</v>
      </c>
      <c r="D40" s="944"/>
      <c r="E40" s="942" t="str">
        <f>IFERROR(E34-D34, "")</f>
        <v/>
      </c>
      <c r="F40" s="942" t="str">
        <f t="shared" si="22"/>
        <v/>
      </c>
      <c r="G40" s="942" t="str">
        <f t="shared" si="22"/>
        <v/>
      </c>
      <c r="H40" s="942" t="str">
        <f t="shared" si="22"/>
        <v/>
      </c>
      <c r="I40" s="942" t="str">
        <f t="shared" si="22"/>
        <v/>
      </c>
      <c r="J40" s="942" t="str">
        <f t="shared" si="22"/>
        <v/>
      </c>
      <c r="K40" s="942" t="str">
        <f t="shared" si="22"/>
        <v/>
      </c>
      <c r="L40" s="942" t="str">
        <f t="shared" si="22"/>
        <v/>
      </c>
      <c r="M40" s="942" t="str">
        <f t="shared" si="22"/>
        <v/>
      </c>
      <c r="N40" s="942" t="str">
        <f t="shared" si="22"/>
        <v/>
      </c>
      <c r="O40" s="942" t="str">
        <f t="shared" si="22"/>
        <v/>
      </c>
      <c r="P40" s="942" t="str">
        <f t="shared" si="22"/>
        <v/>
      </c>
      <c r="Q40" s="942" t="str">
        <f t="shared" si="22"/>
        <v/>
      </c>
      <c r="R40" s="942" t="str">
        <f t="shared" si="22"/>
        <v/>
      </c>
      <c r="S40" s="942" t="str">
        <f t="shared" si="22"/>
        <v/>
      </c>
      <c r="U40" s="968" t="e">
        <f>AVERAGE(D40:R40)</f>
        <v>#DIV/0!</v>
      </c>
      <c r="V40" s="2"/>
      <c r="W40" s="807"/>
      <c r="X40" s="2"/>
      <c r="Y40" s="2"/>
      <c r="Z40" s="2"/>
      <c r="AA40" s="2"/>
      <c r="AB40" s="2"/>
      <c r="AC40" s="2"/>
      <c r="AD40" s="445" t="s">
        <v>1247</v>
      </c>
      <c r="AE40" s="449"/>
      <c r="AF40" s="447" t="s">
        <v>2420</v>
      </c>
      <c r="AG40" s="2"/>
      <c r="AH40" s="2"/>
      <c r="AI40" s="2"/>
    </row>
    <row r="41" spans="1:42" ht="15" hidden="1" customHeight="1" outlineLevel="1" x14ac:dyDescent="0.25">
      <c r="C41"/>
      <c r="D41" s="2">
        <f>D31</f>
        <v>0</v>
      </c>
      <c r="E41" s="2" t="str">
        <f t="shared" ref="E41:S41" si="23">E31</f>
        <v/>
      </c>
      <c r="F41" s="2" t="str">
        <f t="shared" si="23"/>
        <v/>
      </c>
      <c r="G41" s="2" t="str">
        <f t="shared" si="23"/>
        <v/>
      </c>
      <c r="H41" s="2" t="str">
        <f t="shared" si="23"/>
        <v/>
      </c>
      <c r="I41" s="2" t="str">
        <f t="shared" si="23"/>
        <v/>
      </c>
      <c r="J41" s="2" t="str">
        <f t="shared" si="23"/>
        <v/>
      </c>
      <c r="K41" s="2" t="str">
        <f t="shared" si="23"/>
        <v/>
      </c>
      <c r="L41" s="2" t="str">
        <f t="shared" si="23"/>
        <v/>
      </c>
      <c r="M41" s="2" t="str">
        <f t="shared" si="23"/>
        <v/>
      </c>
      <c r="N41" s="2" t="str">
        <f t="shared" si="23"/>
        <v/>
      </c>
      <c r="O41" s="2" t="str">
        <f t="shared" si="23"/>
        <v/>
      </c>
      <c r="P41" s="2" t="str">
        <f t="shared" si="23"/>
        <v/>
      </c>
      <c r="Q41" s="2" t="str">
        <f t="shared" si="23"/>
        <v/>
      </c>
      <c r="R41" s="2" t="str">
        <f t="shared" si="23"/>
        <v/>
      </c>
      <c r="S41" s="2" t="str">
        <f t="shared" si="23"/>
        <v/>
      </c>
      <c r="U41" s="2"/>
      <c r="V41" s="2"/>
      <c r="W41" s="807"/>
      <c r="X41" s="2"/>
      <c r="Y41" s="2"/>
      <c r="Z41" s="2"/>
      <c r="AA41" s="2"/>
      <c r="AB41" s="2"/>
      <c r="AC41" s="2"/>
      <c r="AD41" s="445" t="s">
        <v>1248</v>
      </c>
      <c r="AE41" s="449"/>
      <c r="AF41" s="447" t="s">
        <v>2421</v>
      </c>
      <c r="AG41" s="2"/>
      <c r="AH41" s="2"/>
      <c r="AI41" s="2"/>
    </row>
    <row r="42" spans="1:42" hidden="1" outlineLevel="1" x14ac:dyDescent="0.25">
      <c r="D42" s="2"/>
      <c r="E42" s="2"/>
      <c r="F42" s="2"/>
      <c r="G42" s="2"/>
      <c r="H42" s="2"/>
      <c r="I42" s="2"/>
      <c r="J42" s="2"/>
      <c r="K42" s="2"/>
      <c r="P42" s="2"/>
      <c r="Q42" s="2"/>
      <c r="R42" s="2"/>
      <c r="S42" s="2"/>
      <c r="U42" s="2"/>
      <c r="V42" s="2"/>
      <c r="W42" s="807"/>
      <c r="X42" s="2"/>
      <c r="Y42" s="2"/>
      <c r="Z42" s="2"/>
      <c r="AA42" s="2"/>
      <c r="AB42" s="2"/>
      <c r="AC42" s="2"/>
      <c r="AD42" s="445" t="s">
        <v>2002</v>
      </c>
      <c r="AE42" s="449"/>
      <c r="AF42" s="447" t="s">
        <v>2422</v>
      </c>
    </row>
    <row r="43" spans="1:42" ht="129" hidden="1" customHeight="1" outlineLevel="1" x14ac:dyDescent="0.25">
      <c r="C43" s="139"/>
      <c r="D43" s="141" t="str">
        <f>'Language Look Ups'!B20&amp;" : "&amp;D44</f>
        <v>Mélange Estimée de Méthodes Modernes : 2021</v>
      </c>
      <c r="E43" s="289" t="e">
        <f>'5. MethodMix Set Up'!I7 &amp;" : "&amp;E44</f>
        <v>#N/A</v>
      </c>
      <c r="F43" s="141" t="str">
        <f>C6&amp;" : "&amp;F44</f>
        <v>Utilisatrices par méthode 
(statistiques de service) : 2021</v>
      </c>
      <c r="G43" s="141" t="str">
        <f>$C$18&amp;" : "&amp;G44</f>
        <v>Utilisatrices par méthode 
(enquête) : 2021</v>
      </c>
      <c r="M43">
        <f>$O$65</f>
        <v>2017</v>
      </c>
      <c r="N43">
        <f>$O$65</f>
        <v>2017</v>
      </c>
      <c r="O43">
        <f>$O$65</f>
        <v>2017</v>
      </c>
      <c r="AC43" s="119"/>
      <c r="AD43" s="654" t="s">
        <v>1244</v>
      </c>
      <c r="AE43" s="449"/>
      <c r="AF43" s="655" t="s">
        <v>2423</v>
      </c>
      <c r="AG43" s="238"/>
      <c r="AH43" s="238"/>
      <c r="AI43" s="238"/>
      <c r="AJ43" s="238"/>
      <c r="AK43" s="238"/>
      <c r="AL43" s="238"/>
      <c r="AM43" s="238"/>
      <c r="AN43" s="238"/>
      <c r="AO43" s="238"/>
      <c r="AP43" s="238"/>
    </row>
    <row r="44" spans="1:42" ht="90" hidden="1" outlineLevel="1" x14ac:dyDescent="0.25">
      <c r="C44" s="139"/>
      <c r="D44" s="140">
        <f>O76</f>
        <v>2021</v>
      </c>
      <c r="E44" s="290" t="e">
        <f>'5. MethodMix Set Up'!I9&amp;" ("&amp;'5. MethodMix Set Up'!I10&amp;")"</f>
        <v>#N/A</v>
      </c>
      <c r="F44" s="140">
        <f>O76</f>
        <v>2021</v>
      </c>
      <c r="G44" s="290">
        <f>O76</f>
        <v>2021</v>
      </c>
      <c r="M44" s="141" t="str">
        <f>IF(Language="English", AD37, AF37)&amp;" : "&amp;M43</f>
        <v>Utilisatrices par méthode 
(statistiques de service - non ajustées) : 2017</v>
      </c>
      <c r="N44" s="141" t="str">
        <f>IF(Language="English", AD38, AF38)&amp;" : "&amp;N43</f>
        <v>Utilisatrices par méthode 
(statistiques de service - ajustées) : 2017</v>
      </c>
      <c r="O44" s="141" t="str">
        <f>IF(Language="English", AD39, AF39)&amp;" : "&amp;O43</f>
        <v>Utilisatrices par méthode 
(enquête / FPET) : 2017</v>
      </c>
      <c r="AD44" s="445"/>
      <c r="AE44" s="449"/>
      <c r="AF44" s="447"/>
      <c r="AG44" s="238"/>
      <c r="AH44" s="238"/>
      <c r="AI44" s="238"/>
      <c r="AJ44" s="238"/>
      <c r="AK44" s="238"/>
      <c r="AL44" s="238"/>
      <c r="AM44" s="238"/>
      <c r="AN44" s="238"/>
      <c r="AO44" s="238"/>
      <c r="AP44" s="238"/>
    </row>
    <row r="45" spans="1:42" ht="16.5" hidden="1" customHeight="1" outlineLevel="1" x14ac:dyDescent="0.25">
      <c r="C45" s="139" t="str">
        <f>'5. MethodMix Set Up'!G12</f>
        <v>Stérilisation (f)</v>
      </c>
      <c r="D45" s="647" t="e">
        <f>IF(HLOOKUP($D$44, $C$6:$S$15, 2, FALSE)=0, NA(), HLOOKUP($D$44, $C$6:$S$15, 2, FALSE)/HLOOKUP($D$44, $C$6:$S$16, 11, FALSE))</f>
        <v>#N/A</v>
      </c>
      <c r="E45" s="648" t="str">
        <f>IF('5. MethodMix Set Up'!I12=0, NA(), '5. MethodMix Set Up'!I12)</f>
        <v/>
      </c>
      <c r="F45" s="712" t="e">
        <f t="shared" ref="F45:F53" si="24">MROUND(VLOOKUP($C45, $C$7:$T$16, MATCH(F$44, $C$6:$T$6, 0), FALSE), 100)</f>
        <v>#N/A</v>
      </c>
      <c r="G45" s="712" t="e">
        <f t="shared" ref="G45:G53" si="25">MROUND(VLOOKUP($C45, $C$18:$T$27, MATCH(G$44, $C$18:$T$18, 0), FALSE), 100)</f>
        <v>#N/A</v>
      </c>
      <c r="L45" s="915" t="str">
        <f>C45</f>
        <v>Stérilisation (f)</v>
      </c>
      <c r="M45" s="964" t="e">
        <f>VLOOKUP($L45, 'Commodities (Clients) Input'!$BJ$59:$BZ$70, MATCH($M$43, 'Commodities (Clients) Input'!$BJ$58:$BZ$58, 0), FALSE)</f>
        <v>#N/A</v>
      </c>
      <c r="N45" s="964" t="e">
        <f>VLOOKUP($L45,'Commodities (Clients) Input'!$CB$58:$CR$70, MATCH($M$43, 'Commodities (Clients) Input'!$CB$58:$CR$58, 0), FALSE)</f>
        <v>#N/A</v>
      </c>
      <c r="O45" s="964">
        <f>IFERROR(VLOOKUP(L45, $C$19:$S$27, MATCH(M$43, $C$18:$S$18,0), FALSE), 0)</f>
        <v>0</v>
      </c>
      <c r="AC45" s="185"/>
      <c r="AD45" s="445" t="s">
        <v>561</v>
      </c>
      <c r="AE45" s="449"/>
      <c r="AF45" s="447" t="s">
        <v>831</v>
      </c>
      <c r="AG45" s="238"/>
      <c r="AH45" s="238"/>
      <c r="AI45" s="238"/>
      <c r="AJ45" s="238"/>
      <c r="AK45" s="238"/>
      <c r="AL45" s="238"/>
      <c r="AM45" s="238"/>
      <c r="AN45" s="238"/>
      <c r="AO45" s="238"/>
      <c r="AP45" s="238"/>
    </row>
    <row r="46" spans="1:42" hidden="1" outlineLevel="1" x14ac:dyDescent="0.25">
      <c r="C46" s="139" t="str">
        <f>'5. MethodMix Set Up'!G13</f>
        <v>Stérilisation (m)</v>
      </c>
      <c r="D46" s="647" t="e">
        <f>IF(HLOOKUP($D$44, $C$6:$S$15, 3, FALSE)=0, NA(), HLOOKUP($D$44, $C$6:$S$15, 3, FALSE)/HLOOKUP($D$44, $C$6:$S$16, 11, FALSE))</f>
        <v>#N/A</v>
      </c>
      <c r="E46" s="648" t="str">
        <f>IF('5. MethodMix Set Up'!I13=0, NA(), '5. MethodMix Set Up'!I13)</f>
        <v/>
      </c>
      <c r="F46" s="712" t="e">
        <f t="shared" si="24"/>
        <v>#N/A</v>
      </c>
      <c r="G46" s="712" t="e">
        <f t="shared" si="25"/>
        <v>#N/A</v>
      </c>
      <c r="L46" s="915" t="str">
        <f t="shared" ref="L46:L51" si="26">C46</f>
        <v>Stérilisation (m)</v>
      </c>
      <c r="M46" s="964" t="e">
        <f>VLOOKUP($L46, 'Commodities (Clients) Input'!$BJ$59:$BZ$70, MATCH($M$43, 'Commodities (Clients) Input'!$BJ$58:$BZ$58, 0), FALSE)</f>
        <v>#N/A</v>
      </c>
      <c r="N46" s="964" t="e">
        <f>VLOOKUP($L46,'Commodities (Clients) Input'!$CB$58:$CR$70, MATCH($M$43, 'Commodities (Clients) Input'!$CB$58:$CR$58, 0), FALSE)</f>
        <v>#N/A</v>
      </c>
      <c r="O46" s="964">
        <f t="shared" ref="O46:O54" si="27">IFERROR(VLOOKUP(L46, $C$19:$S$27, MATCH(M$43, $C$18:$S$18,0), FALSE), 0)</f>
        <v>0</v>
      </c>
      <c r="AC46" s="185"/>
      <c r="AD46" s="445" t="s">
        <v>320</v>
      </c>
      <c r="AE46" s="449"/>
      <c r="AF46" s="447" t="s">
        <v>832</v>
      </c>
      <c r="AG46" s="238"/>
      <c r="AH46" s="238"/>
      <c r="AI46" s="238"/>
      <c r="AJ46" s="238"/>
      <c r="AK46" s="238"/>
      <c r="AL46" s="238"/>
      <c r="AM46" s="238"/>
      <c r="AN46" s="238"/>
      <c r="AO46" s="238"/>
      <c r="AP46" s="238"/>
    </row>
    <row r="47" spans="1:42" hidden="1" outlineLevel="1" x14ac:dyDescent="0.25">
      <c r="C47" s="139" t="str">
        <f>'5. MethodMix Set Up'!G14</f>
        <v>DIU</v>
      </c>
      <c r="D47" s="647" t="e">
        <f>IF(HLOOKUP($D$44, $C$6:$T$15, 4, FALSE)=0, NA(), HLOOKUP($D$44, $C$6:$T$15, 4, FALSE)/HLOOKUP($D$44, $C$6:$S$16, 11, FALSE))</f>
        <v>#N/A</v>
      </c>
      <c r="E47" s="648" t="str">
        <f>IF('5. MethodMix Set Up'!I14=0, NA(), '5. MethodMix Set Up'!I14)</f>
        <v/>
      </c>
      <c r="F47" s="712" t="e">
        <f t="shared" si="24"/>
        <v>#N/A</v>
      </c>
      <c r="G47" s="712" t="e">
        <f t="shared" si="25"/>
        <v>#N/A</v>
      </c>
      <c r="L47" s="915" t="str">
        <f t="shared" si="26"/>
        <v>DIU</v>
      </c>
      <c r="M47" s="964" t="e">
        <f>VLOOKUP($L47, 'Commodities (Clients) Input'!$BJ$59:$BZ$70, MATCH($M$43, 'Commodities (Clients) Input'!$BJ$58:$BZ$58, 0), FALSE)</f>
        <v>#N/A</v>
      </c>
      <c r="N47" s="964" t="e">
        <f>VLOOKUP($L47,'Commodities (Clients) Input'!$CB$58:$CR$70, MATCH($M$43, 'Commodities (Clients) Input'!$CB$58:$CR$58, 0), FALSE)</f>
        <v>#N/A</v>
      </c>
      <c r="O47" s="964">
        <f t="shared" si="27"/>
        <v>0</v>
      </c>
      <c r="AC47" s="185"/>
      <c r="AD47" s="445"/>
      <c r="AE47" s="449"/>
      <c r="AF47" s="447"/>
      <c r="AG47" s="238"/>
      <c r="AH47" s="238"/>
      <c r="AI47" s="238"/>
      <c r="AJ47" s="238"/>
      <c r="AK47" s="238"/>
      <c r="AL47" s="238"/>
      <c r="AM47" s="238"/>
      <c r="AN47" s="238"/>
      <c r="AO47" s="653"/>
      <c r="AP47" s="238"/>
    </row>
    <row r="48" spans="1:42" hidden="1" outlineLevel="1" x14ac:dyDescent="0.25">
      <c r="C48" s="139" t="str">
        <f>'5. MethodMix Set Up'!G15</f>
        <v>Implant</v>
      </c>
      <c r="D48" s="647" t="e">
        <f>IF(HLOOKUP($D$44, $C$6:$T$15, 5, FALSE)=0, NA(), HLOOKUP($D$44, $C$6:$T$15, 5, FALSE)/HLOOKUP($D$44, $C$6:$S$16, 11, FALSE))</f>
        <v>#N/A</v>
      </c>
      <c r="E48" s="648" t="str">
        <f>IF('5. MethodMix Set Up'!I15=0, NA(), '5. MethodMix Set Up'!I15)</f>
        <v/>
      </c>
      <c r="F48" s="712" t="e">
        <f t="shared" si="24"/>
        <v>#N/A</v>
      </c>
      <c r="G48" s="712" t="e">
        <f t="shared" si="25"/>
        <v>#N/A</v>
      </c>
      <c r="L48" s="915" t="str">
        <f t="shared" si="26"/>
        <v>Implant</v>
      </c>
      <c r="M48" s="964" t="e">
        <f>VLOOKUP($L48, 'Commodities (Clients) Input'!$BJ$59:$BZ$70, MATCH($M$43, 'Commodities (Clients) Input'!$BJ$58:$BZ$58, 0), FALSE)</f>
        <v>#N/A</v>
      </c>
      <c r="N48" s="964" t="e">
        <f>VLOOKUP($L48,'Commodities (Clients) Input'!$CB$58:$CR$70, MATCH($M$43, 'Commodities (Clients) Input'!$CB$58:$CR$58, 0), FALSE)</f>
        <v>#N/A</v>
      </c>
      <c r="O48" s="964">
        <f t="shared" si="27"/>
        <v>0</v>
      </c>
      <c r="AC48" s="185"/>
      <c r="AD48" s="445"/>
      <c r="AE48" s="449"/>
      <c r="AF48" s="447"/>
      <c r="AG48" s="238"/>
      <c r="AH48" s="238"/>
      <c r="AI48" s="238"/>
      <c r="AJ48" s="238"/>
      <c r="AK48" s="238"/>
      <c r="AL48" s="238"/>
      <c r="AM48" s="238"/>
      <c r="AN48" s="238"/>
      <c r="AO48" s="238"/>
      <c r="AP48" s="238"/>
    </row>
    <row r="49" spans="2:42" hidden="1" outlineLevel="1" x14ac:dyDescent="0.25">
      <c r="C49" s="139" t="str">
        <f>'5. MethodMix Set Up'!G16</f>
        <v>Produits injectables</v>
      </c>
      <c r="D49" s="647" t="e">
        <f>IF(HLOOKUP($D$44, $C$6:$T$15, 6, FALSE)=0, NA(), HLOOKUP($D$44, $C$6:$T$15, 6, FALSE)/HLOOKUP($D$44, $C$6:$S$16, 11, FALSE))</f>
        <v>#N/A</v>
      </c>
      <c r="E49" s="648" t="str">
        <f>IF('5. MethodMix Set Up'!I16=0, NA(), '5. MethodMix Set Up'!I16)</f>
        <v/>
      </c>
      <c r="F49" s="712" t="e">
        <f t="shared" si="24"/>
        <v>#N/A</v>
      </c>
      <c r="G49" s="712" t="e">
        <f t="shared" si="25"/>
        <v>#N/A</v>
      </c>
      <c r="L49" s="915" t="str">
        <f t="shared" si="26"/>
        <v>Produits injectables</v>
      </c>
      <c r="M49" s="964" t="e">
        <f>VLOOKUP($L49, 'Commodities (Clients) Input'!$BJ$59:$BZ$70, MATCH($M$43, 'Commodities (Clients) Input'!$BJ$58:$BZ$58, 0), FALSE)</f>
        <v>#N/A</v>
      </c>
      <c r="N49" s="964" t="e">
        <f>VLOOKUP($L49,'Commodities (Clients) Input'!$CB$58:$CR$70, MATCH($M$43, 'Commodities (Clients) Input'!$CB$58:$CR$58, 0), FALSE)</f>
        <v>#N/A</v>
      </c>
      <c r="O49" s="964">
        <f t="shared" si="27"/>
        <v>0</v>
      </c>
      <c r="AC49" s="185"/>
      <c r="AD49" s="445"/>
      <c r="AE49" s="449"/>
      <c r="AF49" s="447"/>
      <c r="AG49" s="238"/>
      <c r="AH49" s="238"/>
      <c r="AI49" s="238"/>
      <c r="AJ49" s="238"/>
      <c r="AK49" s="238"/>
      <c r="AL49" s="238"/>
      <c r="AM49" s="238"/>
      <c r="AN49" s="238"/>
      <c r="AO49" s="238"/>
      <c r="AP49" s="238"/>
    </row>
    <row r="50" spans="2:42" hidden="1" outlineLevel="1" x14ac:dyDescent="0.25">
      <c r="C50" s="139" t="str">
        <f>'5. MethodMix Set Up'!$G$17</f>
        <v>Pilule</v>
      </c>
      <c r="D50" s="647" t="e">
        <f>IF(HLOOKUP($D$44, $C$6:$T$15, 7, FALSE)=0, NA(), HLOOKUP($D$44, $C$6:$T$15, 7, FALSE)/HLOOKUP($D$44, $C$6:$S$16, 11, FALSE))</f>
        <v>#N/A</v>
      </c>
      <c r="E50" s="648" t="str">
        <f>IF('5. MethodMix Set Up'!I17=0, NA(), '5. MethodMix Set Up'!I17)</f>
        <v/>
      </c>
      <c r="F50" s="712" t="e">
        <f t="shared" si="24"/>
        <v>#N/A</v>
      </c>
      <c r="G50" s="712" t="e">
        <f t="shared" si="25"/>
        <v>#N/A</v>
      </c>
      <c r="L50" s="915" t="str">
        <f t="shared" si="26"/>
        <v>Pilule</v>
      </c>
      <c r="M50" s="964" t="e">
        <f>VLOOKUP($L50, 'Commodities (Clients) Input'!$BJ$59:$BZ$70, MATCH($M$43, 'Commodities (Clients) Input'!$BJ$58:$BZ$58, 0), FALSE)</f>
        <v>#N/A</v>
      </c>
      <c r="N50" s="964" t="e">
        <f>VLOOKUP($L50,'Commodities (Clients) Input'!$CB$58:$CR$70, MATCH($M$43, 'Commodities (Clients) Input'!$CB$58:$CR$58, 0), FALSE)</f>
        <v>#N/A</v>
      </c>
      <c r="O50" s="964">
        <f t="shared" si="27"/>
        <v>0</v>
      </c>
      <c r="P50" s="824"/>
      <c r="AC50" s="185"/>
      <c r="AD50" s="445" t="s">
        <v>561</v>
      </c>
      <c r="AE50" s="449"/>
      <c r="AF50" s="447" t="s">
        <v>831</v>
      </c>
      <c r="AG50" s="238"/>
      <c r="AH50" s="238"/>
      <c r="AI50" s="238"/>
      <c r="AJ50" s="238"/>
      <c r="AK50" s="238"/>
      <c r="AL50" s="238"/>
      <c r="AM50" s="238"/>
      <c r="AN50" s="238"/>
      <c r="AO50" s="238"/>
      <c r="AP50" s="238"/>
    </row>
    <row r="51" spans="2:42" hidden="1" outlineLevel="1" x14ac:dyDescent="0.25">
      <c r="C51" s="139" t="str">
        <f>'5. MethodMix Set Up'!$G$18</f>
        <v>Préservatifs (m+f)</v>
      </c>
      <c r="D51" s="647" t="e">
        <f>IF(HLOOKUP($D$44, $C$6:$T$15, 8, FALSE)=0, NA(), HLOOKUP($D$44, $C$6:$T$15, 8, FALSE)/HLOOKUP($D$44, $C$6:$S$16, 11, FALSE))</f>
        <v>#N/A</v>
      </c>
      <c r="E51" s="648" t="str">
        <f>IF('5. MethodMix Set Up'!I18=0, NA(), '5. MethodMix Set Up'!I18)</f>
        <v/>
      </c>
      <c r="F51" s="712" t="e">
        <f t="shared" si="24"/>
        <v>#N/A</v>
      </c>
      <c r="G51" s="712" t="e">
        <f t="shared" si="25"/>
        <v>#N/A</v>
      </c>
      <c r="L51" s="915" t="str">
        <f t="shared" si="26"/>
        <v>Préservatifs (m+f)</v>
      </c>
      <c r="M51" s="964" t="e">
        <f>VLOOKUP($L51, 'Commodities (Clients) Input'!$BJ$59:$BZ$70, MATCH($M$43, 'Commodities (Clients) Input'!$BJ$58:$BZ$58, 0), FALSE)</f>
        <v>#N/A</v>
      </c>
      <c r="N51" s="964" t="e">
        <f>VLOOKUP($L51,'Commodities (Clients) Input'!$CB$58:$CR$70, MATCH($M$43, 'Commodities (Clients) Input'!$CB$58:$CR$58, 0), FALSE)</f>
        <v>#N/A</v>
      </c>
      <c r="O51" s="964">
        <f t="shared" si="27"/>
        <v>0</v>
      </c>
      <c r="AC51" s="185"/>
      <c r="AD51" s="445" t="s">
        <v>320</v>
      </c>
      <c r="AE51" s="449"/>
      <c r="AF51" s="447" t="s">
        <v>832</v>
      </c>
      <c r="AG51" s="238"/>
      <c r="AH51" s="238"/>
      <c r="AI51" s="238"/>
      <c r="AJ51" s="238"/>
      <c r="AK51" s="238"/>
      <c r="AL51" s="238"/>
      <c r="AM51" s="238"/>
      <c r="AN51" s="238"/>
      <c r="AO51" s="238"/>
      <c r="AP51" s="238"/>
    </row>
    <row r="52" spans="2:42" hidden="1" outlineLevel="1" x14ac:dyDescent="0.25">
      <c r="C52" s="139" t="str">
        <f>'5. MethodMix Set Up'!G19</f>
        <v>MAMA</v>
      </c>
      <c r="D52" s="647" t="e">
        <f>IF(HLOOKUP($D$44, $C$6:$T$15, 9, FALSE)=0, NA(), HLOOKUP($D$44, $C$6:$T$15, 9, FALSE)/HLOOKUP($D$44, $C$6:$S$16, 11, FALSE))</f>
        <v>#N/A</v>
      </c>
      <c r="E52" s="648" t="str">
        <f>IF('5. MethodMix Set Up'!I19=0, NA(), '5. MethodMix Set Up'!I19)</f>
        <v/>
      </c>
      <c r="F52" s="712" t="e">
        <f t="shared" si="24"/>
        <v>#N/A</v>
      </c>
      <c r="G52" s="712" t="e">
        <f t="shared" si="25"/>
        <v>#N/A</v>
      </c>
      <c r="L52" s="915" t="str">
        <f>C52</f>
        <v>MAMA</v>
      </c>
      <c r="M52" s="964" t="e">
        <f>VLOOKUP($L52, 'Commodities (Clients) Input'!$BJ$59:$BZ$70, MATCH($M$43, 'Commodities (Clients) Input'!$BJ$58:$BZ$58, 0), FALSE)</f>
        <v>#N/A</v>
      </c>
      <c r="N52" s="964" t="e">
        <f>VLOOKUP($L52,'Commodities (Clients) Input'!$CB$58:$CR$70, MATCH($M$43, 'Commodities (Clients) Input'!$CB$58:$CR$58, 0), FALSE)</f>
        <v>#N/A</v>
      </c>
      <c r="O52" s="964">
        <f t="shared" si="27"/>
        <v>0</v>
      </c>
      <c r="AC52" s="185"/>
      <c r="AD52" s="445"/>
      <c r="AE52" s="449"/>
      <c r="AF52" s="447"/>
      <c r="AG52" s="238"/>
      <c r="AH52" s="238"/>
      <c r="AI52" s="238"/>
      <c r="AJ52" s="238"/>
      <c r="AK52" s="238"/>
      <c r="AL52" s="238"/>
      <c r="AM52" s="238"/>
      <c r="AN52" s="238"/>
      <c r="AO52" s="238"/>
      <c r="AP52" s="238"/>
    </row>
    <row r="53" spans="2:42" hidden="1" outlineLevel="1" x14ac:dyDescent="0.25">
      <c r="C53" s="139" t="str">
        <f>'5. MethodMix Set Up'!G20</f>
        <v>Autres méthodes modernes</v>
      </c>
      <c r="D53" s="647" t="e">
        <f>IF(HLOOKUP($D$44, $C$6:$T$15, 10, FALSE)=0, NA(), HLOOKUP($D$44, $C$6:$T$15, 10, FALSE)/HLOOKUP($D$44, $C$6:$S$16, 11, FALSE))</f>
        <v>#N/A</v>
      </c>
      <c r="E53" s="648" t="str">
        <f>IF('5. MethodMix Set Up'!I20=0, NA(), '5. MethodMix Set Up'!I20)</f>
        <v/>
      </c>
      <c r="F53" s="712" t="e">
        <f t="shared" si="24"/>
        <v>#N/A</v>
      </c>
      <c r="G53" s="712" t="e">
        <f t="shared" si="25"/>
        <v>#N/A</v>
      </c>
      <c r="I53" s="152"/>
      <c r="L53" s="915" t="str">
        <f>IF(Language="English", 'Language Look Ups'!$O$29,IF(Language="Francais", 'Language Look Ups'!$S$29, 'Language Look Ups'!AQ$29))</f>
        <v>Contraception d'urgence</v>
      </c>
      <c r="M53" s="964" t="e">
        <f>VLOOKUP($L53, 'Commodities (Clients) Input'!$BJ$59:$BZ$70, MATCH($M$43, 'Commodities (Clients) Input'!$BJ$58:$BZ$58, 0), FALSE)</f>
        <v>#N/A</v>
      </c>
      <c r="N53" s="964" t="e">
        <f>VLOOKUP($L53,'Commodities (Clients) Input'!$CB$58:$CR$70, MATCH($M$43, 'Commodities (Clients) Input'!$CB$58:$CR$58, 0), FALSE)</f>
        <v>#N/A</v>
      </c>
      <c r="O53" s="964">
        <f t="shared" si="27"/>
        <v>0</v>
      </c>
      <c r="AD53" s="445"/>
      <c r="AE53" s="449"/>
      <c r="AF53" s="447"/>
      <c r="AG53" s="238"/>
      <c r="AH53" s="238"/>
      <c r="AI53" s="238"/>
      <c r="AJ53" s="238"/>
      <c r="AK53" s="238"/>
      <c r="AL53" s="238"/>
      <c r="AM53" s="238"/>
      <c r="AN53" s="238"/>
      <c r="AO53" s="238"/>
      <c r="AP53" s="238"/>
    </row>
    <row r="54" spans="2:42" hidden="1" outlineLevel="1" x14ac:dyDescent="0.25">
      <c r="D54" s="663"/>
      <c r="E54" s="663"/>
      <c r="F54" s="2"/>
      <c r="G54" s="2"/>
      <c r="I54" s="152"/>
      <c r="L54" s="915" t="str">
        <f>C53</f>
        <v>Autres méthodes modernes</v>
      </c>
      <c r="M54" s="964" t="e">
        <f>VLOOKUP($L54, 'Commodities (Clients) Input'!$BJ$59:$BZ$70, MATCH($M$43, 'Commodities (Clients) Input'!$BJ$58:$BZ$58, 0), FALSE)</f>
        <v>#N/A</v>
      </c>
      <c r="N54" s="964" t="e">
        <f>VLOOKUP($L54,'Commodities (Clients) Input'!$CB$58:$CR$70, MATCH($M$43, 'Commodities (Clients) Input'!$CB$58:$CR$58, 0), FALSE)</f>
        <v>#N/A</v>
      </c>
      <c r="O54" s="964">
        <f t="shared" si="27"/>
        <v>0</v>
      </c>
      <c r="AD54" s="445"/>
      <c r="AE54" s="449"/>
      <c r="AF54" s="447"/>
      <c r="AG54" s="238"/>
      <c r="AH54" s="238"/>
      <c r="AI54" s="238"/>
      <c r="AJ54" s="238"/>
      <c r="AK54" s="238"/>
      <c r="AL54" s="238"/>
      <c r="AM54" s="238"/>
      <c r="AN54" s="238"/>
      <c r="AO54" s="238"/>
      <c r="AP54" s="238"/>
    </row>
    <row r="55" spans="2:42" ht="15.75" hidden="1" outlineLevel="1" thickBot="1" x14ac:dyDescent="0.3">
      <c r="D55" s="663"/>
      <c r="E55" s="663"/>
      <c r="F55" s="2"/>
      <c r="G55" s="2"/>
      <c r="I55" s="152"/>
      <c r="L55" s="965"/>
      <c r="M55" s="964"/>
      <c r="N55" s="964"/>
      <c r="O55" s="964"/>
      <c r="AD55" s="445"/>
      <c r="AE55" s="449"/>
      <c r="AF55" s="447"/>
      <c r="AG55" s="238"/>
      <c r="AH55" s="238"/>
      <c r="AI55" s="238"/>
      <c r="AJ55" s="238"/>
      <c r="AK55" s="238"/>
      <c r="AL55" s="238"/>
      <c r="AM55" s="238"/>
      <c r="AN55" s="238"/>
      <c r="AO55" s="238"/>
      <c r="AP55" s="238"/>
    </row>
    <row r="56" spans="2:42" hidden="1" outlineLevel="1" x14ac:dyDescent="0.25">
      <c r="C56" s="734"/>
      <c r="D56" s="735">
        <f>D6</f>
        <v>0</v>
      </c>
      <c r="E56" s="735" t="str">
        <f t="shared" ref="E56:S56" si="28">E6</f>
        <v/>
      </c>
      <c r="F56" s="735" t="str">
        <f t="shared" si="28"/>
        <v/>
      </c>
      <c r="G56" s="735" t="str">
        <f t="shared" si="28"/>
        <v/>
      </c>
      <c r="H56" s="735" t="str">
        <f t="shared" si="28"/>
        <v/>
      </c>
      <c r="I56" s="735" t="str">
        <f t="shared" si="28"/>
        <v/>
      </c>
      <c r="J56" s="735" t="str">
        <f t="shared" si="28"/>
        <v/>
      </c>
      <c r="K56" s="735" t="str">
        <f t="shared" si="28"/>
        <v/>
      </c>
      <c r="L56" s="735" t="str">
        <f t="shared" si="28"/>
        <v/>
      </c>
      <c r="M56" s="735" t="str">
        <f t="shared" si="28"/>
        <v/>
      </c>
      <c r="N56" s="735" t="str">
        <f t="shared" si="28"/>
        <v/>
      </c>
      <c r="O56" s="735" t="str">
        <f t="shared" si="28"/>
        <v/>
      </c>
      <c r="P56" s="735" t="str">
        <f t="shared" si="28"/>
        <v/>
      </c>
      <c r="Q56" s="735" t="str">
        <f t="shared" si="28"/>
        <v/>
      </c>
      <c r="R56" s="735" t="str">
        <f t="shared" si="28"/>
        <v/>
      </c>
      <c r="S56" s="735" t="str">
        <f t="shared" si="28"/>
        <v/>
      </c>
      <c r="AD56" s="445"/>
      <c r="AE56" s="449"/>
      <c r="AF56" s="447"/>
      <c r="AG56" s="238"/>
      <c r="AH56" s="238"/>
      <c r="AI56" s="238"/>
      <c r="AJ56" s="238"/>
      <c r="AK56" s="238"/>
      <c r="AL56" s="238"/>
      <c r="AM56" s="238"/>
      <c r="AN56" s="238"/>
      <c r="AO56" s="238"/>
      <c r="AP56" s="238"/>
    </row>
    <row r="57" spans="2:42" hidden="1" outlineLevel="1" x14ac:dyDescent="0.25">
      <c r="C57" s="20" t="str">
        <f>IF(Language="English", AD40, AF40)</f>
        <v>Utilisatrices (statistiques de service - non ajustées)</v>
      </c>
      <c r="D57" s="966" t="e">
        <f>'Commodities (Clients) Input'!BK48</f>
        <v>#N/A</v>
      </c>
      <c r="E57" s="966" t="e">
        <f>'Commodities (Clients) Input'!BL48</f>
        <v>#N/A</v>
      </c>
      <c r="F57" s="966" t="e">
        <f>'Commodities (Clients) Input'!BM48</f>
        <v>#N/A</v>
      </c>
      <c r="G57" s="966" t="e">
        <f>'Commodities (Clients) Input'!BN48</f>
        <v>#N/A</v>
      </c>
      <c r="H57" s="966" t="e">
        <f>'Commodities (Clients) Input'!BO48</f>
        <v>#N/A</v>
      </c>
      <c r="I57" s="966" t="e">
        <f>'Commodities (Clients) Input'!BP48</f>
        <v>#N/A</v>
      </c>
      <c r="J57" s="966" t="e">
        <f>'Commodities (Clients) Input'!BQ48</f>
        <v>#N/A</v>
      </c>
      <c r="K57" s="966" t="e">
        <f>'Commodities (Clients) Input'!BR48</f>
        <v>#N/A</v>
      </c>
      <c r="L57" s="966" t="e">
        <f>'Commodities (Clients) Input'!BS48</f>
        <v>#N/A</v>
      </c>
      <c r="M57" s="966" t="e">
        <f>'Commodities (Clients) Input'!BT48</f>
        <v>#N/A</v>
      </c>
      <c r="N57" s="966" t="e">
        <f>'Commodities (Clients) Input'!BU48</f>
        <v>#N/A</v>
      </c>
      <c r="O57" s="966" t="e">
        <f>'Commodities (Clients) Input'!BV48</f>
        <v>#N/A</v>
      </c>
      <c r="P57" s="966" t="e">
        <f>'Commodities (Clients) Input'!BW48</f>
        <v>#N/A</v>
      </c>
      <c r="Q57" s="966" t="e">
        <f>'Commodities (Clients) Input'!BX48</f>
        <v>#N/A</v>
      </c>
      <c r="R57" s="966" t="e">
        <f>'Commodities (Clients) Input'!BY48</f>
        <v>#N/A</v>
      </c>
      <c r="S57" s="966" t="e">
        <f>'Commodities (Clients) Input'!BZ48</f>
        <v>#N/A</v>
      </c>
      <c r="AD57" s="445"/>
      <c r="AE57" s="449"/>
      <c r="AF57" s="447"/>
      <c r="AG57" s="238"/>
      <c r="AH57" s="238"/>
      <c r="AI57" s="238"/>
      <c r="AJ57" s="238"/>
      <c r="AK57" s="238"/>
      <c r="AL57" s="238"/>
      <c r="AM57" s="238"/>
      <c r="AN57" s="238"/>
      <c r="AO57" s="238"/>
      <c r="AP57" s="238"/>
    </row>
    <row r="58" spans="2:42" hidden="1" outlineLevel="1" x14ac:dyDescent="0.25">
      <c r="C58" s="20" t="str">
        <f>IF(Language="English", AD41, AF41)</f>
        <v>Utilisatrices (statistiques de service - ajustées)</v>
      </c>
      <c r="D58" s="966" t="e">
        <f>D16</f>
        <v>#N/A</v>
      </c>
      <c r="E58" s="966" t="e">
        <f t="shared" ref="E58:S58" si="29">E16</f>
        <v>#N/A</v>
      </c>
      <c r="F58" s="966" t="e">
        <f t="shared" si="29"/>
        <v>#N/A</v>
      </c>
      <c r="G58" s="966" t="e">
        <f t="shared" si="29"/>
        <v>#N/A</v>
      </c>
      <c r="H58" s="966" t="e">
        <f t="shared" si="29"/>
        <v>#N/A</v>
      </c>
      <c r="I58" s="966" t="e">
        <f t="shared" si="29"/>
        <v>#N/A</v>
      </c>
      <c r="J58" s="966" t="e">
        <f t="shared" si="29"/>
        <v>#N/A</v>
      </c>
      <c r="K58" s="966" t="e">
        <f t="shared" si="29"/>
        <v>#N/A</v>
      </c>
      <c r="L58" s="966" t="e">
        <f t="shared" si="29"/>
        <v>#N/A</v>
      </c>
      <c r="M58" s="966" t="e">
        <f t="shared" si="29"/>
        <v>#N/A</v>
      </c>
      <c r="N58" s="966" t="e">
        <f t="shared" si="29"/>
        <v>#N/A</v>
      </c>
      <c r="O58" s="966" t="e">
        <f t="shared" si="29"/>
        <v>#N/A</v>
      </c>
      <c r="P58" s="966" t="e">
        <f t="shared" si="29"/>
        <v>#N/A</v>
      </c>
      <c r="Q58" s="966" t="e">
        <f t="shared" si="29"/>
        <v>#N/A</v>
      </c>
      <c r="R58" s="966" t="e">
        <f t="shared" si="29"/>
        <v>#N/A</v>
      </c>
      <c r="S58" s="966" t="e">
        <f t="shared" si="29"/>
        <v>#N/A</v>
      </c>
      <c r="AD58" s="445"/>
      <c r="AE58" s="449"/>
      <c r="AF58" s="447"/>
    </row>
    <row r="59" spans="2:42" hidden="1" outlineLevel="1" x14ac:dyDescent="0.25">
      <c r="C59" s="20" t="str">
        <f>IF(Language="English", AD42, AF42)</f>
        <v>Utilisatrices (enquête / FPET)</v>
      </c>
      <c r="D59" s="966" t="e">
        <f>D28</f>
        <v>#N/A</v>
      </c>
      <c r="E59" s="966" t="e">
        <f t="shared" ref="E59:S59" si="30">E28</f>
        <v>#N/A</v>
      </c>
      <c r="F59" s="966" t="e">
        <f t="shared" si="30"/>
        <v>#N/A</v>
      </c>
      <c r="G59" s="966" t="e">
        <f t="shared" si="30"/>
        <v>#N/A</v>
      </c>
      <c r="H59" s="966" t="e">
        <f t="shared" si="30"/>
        <v>#N/A</v>
      </c>
      <c r="I59" s="966" t="e">
        <f t="shared" si="30"/>
        <v>#N/A</v>
      </c>
      <c r="J59" s="966" t="e">
        <f t="shared" si="30"/>
        <v>#N/A</v>
      </c>
      <c r="K59" s="966" t="e">
        <f t="shared" si="30"/>
        <v>#N/A</v>
      </c>
      <c r="L59" s="966" t="e">
        <f t="shared" si="30"/>
        <v>#N/A</v>
      </c>
      <c r="M59" s="966" t="e">
        <f t="shared" si="30"/>
        <v>#N/A</v>
      </c>
      <c r="N59" s="966" t="e">
        <f t="shared" si="30"/>
        <v>#N/A</v>
      </c>
      <c r="O59" s="966" t="e">
        <f t="shared" si="30"/>
        <v>#N/A</v>
      </c>
      <c r="P59" s="966" t="e">
        <f t="shared" si="30"/>
        <v>#N/A</v>
      </c>
      <c r="Q59" s="966" t="e">
        <f t="shared" si="30"/>
        <v>#N/A</v>
      </c>
      <c r="R59" s="966" t="e">
        <f t="shared" si="30"/>
        <v>#N/A</v>
      </c>
      <c r="S59" s="966" t="e">
        <f t="shared" si="30"/>
        <v>#N/A</v>
      </c>
      <c r="AD59" s="445" t="s">
        <v>1249</v>
      </c>
      <c r="AE59" s="449"/>
      <c r="AF59" s="447" t="s">
        <v>1255</v>
      </c>
    </row>
    <row r="60" spans="2:42" hidden="1" outlineLevel="1" x14ac:dyDescent="0.25">
      <c r="D60" s="646"/>
      <c r="E60" s="152"/>
      <c r="G60" s="152"/>
      <c r="AD60" s="445" t="s">
        <v>1250</v>
      </c>
      <c r="AE60" s="449"/>
      <c r="AF60" s="447" t="s">
        <v>825</v>
      </c>
    </row>
    <row r="61" spans="2:42" collapsed="1" x14ac:dyDescent="0.25">
      <c r="D61" s="646"/>
      <c r="E61" s="152"/>
      <c r="G61" s="152"/>
      <c r="AD61" s="445" t="s">
        <v>1249</v>
      </c>
      <c r="AE61" s="449"/>
      <c r="AF61" s="447" t="s">
        <v>1306</v>
      </c>
    </row>
    <row r="62" spans="2:42" ht="24.75" customHeight="1" thickBot="1" x14ac:dyDescent="0.45">
      <c r="B62" s="785" t="str">
        <f>IF(Language="English", AD61, AF61)</f>
        <v>ÉTAPE 1 de 3. Examinez les graphiques ci-dessous montrant l'impact de l'ajustement du secteur privé.</v>
      </c>
      <c r="C62" s="786"/>
      <c r="D62" s="786"/>
      <c r="E62" s="786"/>
      <c r="F62" s="786"/>
      <c r="G62" s="786"/>
      <c r="H62" s="786"/>
      <c r="I62" s="786"/>
      <c r="J62" s="786"/>
      <c r="K62" s="786"/>
      <c r="L62" s="786"/>
      <c r="M62" s="786"/>
      <c r="N62" s="786"/>
      <c r="O62" s="786"/>
      <c r="P62" s="786"/>
      <c r="Q62" s="786"/>
      <c r="R62" s="786"/>
      <c r="S62" s="786"/>
      <c r="T62" s="787"/>
      <c r="U62" s="787"/>
      <c r="V62" s="787"/>
      <c r="AD62" s="445" t="s">
        <v>1250</v>
      </c>
      <c r="AE62" s="449" t="s">
        <v>1307</v>
      </c>
      <c r="AF62" s="447" t="s">
        <v>1307</v>
      </c>
    </row>
    <row r="63" spans="2:42" ht="45" customHeight="1" thickBot="1" x14ac:dyDescent="0.3">
      <c r="B63" s="1601" t="str">
        <f>IF(Language="English", AD62, AF62)</f>
        <v>Ces graphiques ont été conçus pour aider à illustrer l'impact de l'ajustement du secteur privé, qui vise à aider à rendre compte des services fournis par les secteurs qui ne sont pas inclus dans vos données. Veuillez examiner l'impact du facteur d'ajustement. Si vous souhaitez apporter des modifications au facteur d'ajustement, veuillez revenir à l'étape 4. FPSource Set Up</v>
      </c>
      <c r="C63" s="1601"/>
      <c r="D63" s="1601"/>
      <c r="E63" s="1601"/>
      <c r="F63" s="1601"/>
      <c r="G63" s="1601"/>
      <c r="H63" s="1601"/>
      <c r="I63" s="1601"/>
      <c r="J63" s="1601"/>
      <c r="K63" s="1601"/>
      <c r="L63" s="1601"/>
      <c r="M63" s="1601"/>
      <c r="N63" s="1601"/>
      <c r="O63" s="1601"/>
      <c r="P63" s="1601"/>
      <c r="Q63" s="1601"/>
      <c r="R63" s="1601"/>
      <c r="S63" s="1601"/>
      <c r="T63" s="1601"/>
      <c r="U63" s="1601"/>
      <c r="AD63" s="445" t="s">
        <v>2003</v>
      </c>
      <c r="AE63" s="449"/>
      <c r="AF63" s="447" t="s">
        <v>2004</v>
      </c>
    </row>
    <row r="64" spans="2:42" ht="49.15" customHeight="1" thickBot="1" x14ac:dyDescent="0.3">
      <c r="B64" s="1570" t="str">
        <f>IF(Language="English", AD63, AF63)</f>
        <v>1. Tendances totales des utilisatrices, les estimations de l'FPET vs. les estimations des statistiques de service (ajustées et non ajustées)</v>
      </c>
      <c r="C64" s="1571"/>
      <c r="D64" s="1571"/>
      <c r="E64" s="1571"/>
      <c r="F64" s="1571"/>
      <c r="G64" s="1571"/>
      <c r="H64" s="1571"/>
      <c r="I64" s="1572"/>
      <c r="K64" s="1570" t="str">
        <f>IF(Language="English", AD64,AF64)</f>
        <v>2. Comparaison du nombre total estimé d'utilisatrices de PF, Enquête / FPET vs statistiques de service (ajustées et non ajustées)</v>
      </c>
      <c r="L64" s="1571"/>
      <c r="M64" s="1571"/>
      <c r="N64" s="1571"/>
      <c r="O64" s="1571"/>
      <c r="P64" s="1571"/>
      <c r="Q64" s="1571"/>
      <c r="R64" s="1571"/>
      <c r="S64" s="1571"/>
      <c r="T64" s="1571"/>
      <c r="U64" s="1572"/>
      <c r="AD64" s="445" t="s">
        <v>2005</v>
      </c>
      <c r="AE64" s="449"/>
      <c r="AF64" s="41" t="s">
        <v>2006</v>
      </c>
    </row>
    <row r="65" spans="2:32" ht="26.25" customHeight="1" thickBot="1" x14ac:dyDescent="0.3">
      <c r="B65" s="649"/>
      <c r="C65" s="650"/>
      <c r="D65" s="650"/>
      <c r="E65" s="650"/>
      <c r="F65" s="650"/>
      <c r="G65" s="650"/>
      <c r="H65" s="650"/>
      <c r="I65" s="651"/>
      <c r="K65" s="1567" t="str">
        <f>IF(Language="English", AD76, AF76)</f>
        <v>Sélectionnez l'année pour la comparaison</v>
      </c>
      <c r="L65" s="1568"/>
      <c r="M65" s="1568"/>
      <c r="N65" s="1569"/>
      <c r="O65" s="652">
        <v>2017</v>
      </c>
      <c r="U65" s="143"/>
      <c r="AD65" s="967" t="s">
        <v>2007</v>
      </c>
      <c r="AE65" s="473"/>
      <c r="AF65" s="41" t="s">
        <v>2008</v>
      </c>
    </row>
    <row r="66" spans="2:32" ht="249.95" customHeight="1" thickBot="1" x14ac:dyDescent="0.3">
      <c r="B66" s="1573"/>
      <c r="C66" s="1574"/>
      <c r="D66" s="1574"/>
      <c r="E66" s="1574"/>
      <c r="F66" s="1574"/>
      <c r="G66" s="1574"/>
      <c r="H66" s="1574"/>
      <c r="I66" s="1575"/>
      <c r="K66" s="135"/>
      <c r="L66" s="136"/>
      <c r="M66" s="136"/>
      <c r="N66" s="136"/>
      <c r="O66" s="136"/>
      <c r="P66" s="136"/>
      <c r="Q66" s="136"/>
      <c r="R66" s="136"/>
      <c r="S66" s="136"/>
      <c r="T66" s="136"/>
      <c r="U66" s="137"/>
      <c r="AD66" s="445"/>
      <c r="AE66" s="449"/>
      <c r="AF66" s="447"/>
    </row>
    <row r="67" spans="2:32" s="41" customFormat="1" ht="41.45" customHeight="1" x14ac:dyDescent="0.25">
      <c r="B67" s="1576" t="str">
        <f>IF(Language="English", AD65,AF65)</f>
        <v>Examinez le graphique ci-dessus pour examiner la cohérence entre les tendances des enquêtes (FPET) chez les utilisatrices et les statistiques de service ajustées et non ajustées. Veuillez commenter ci-dessous et expliquer les tendances ci-dessus.</v>
      </c>
      <c r="C67" s="1577"/>
      <c r="D67" s="1577"/>
      <c r="E67" s="1577"/>
      <c r="F67" s="1577"/>
      <c r="G67" s="1577"/>
      <c r="H67" s="1577"/>
      <c r="I67" s="1578"/>
      <c r="K67" s="1576" t="str">
        <f>IF(Language="English", AD67, AF67)</f>
        <v>Comparez les graphiques et recherchez les grandes différences entre l'éventail des méthodes de l'enquête et l'éventail des méthodes produite à partir de vos données statistiques sur les services (ajustées vs non ajustées). Veuillez expliquer tout écart important dans l'éventail des méthodes.</v>
      </c>
      <c r="L67" s="1577"/>
      <c r="M67" s="1577"/>
      <c r="N67" s="1577"/>
      <c r="O67" s="1577"/>
      <c r="P67" s="1577"/>
      <c r="Q67" s="1577"/>
      <c r="R67" s="1577"/>
      <c r="S67" s="1577"/>
      <c r="T67" s="1577"/>
      <c r="U67" s="1578"/>
      <c r="W67" s="587"/>
      <c r="AD67" s="445" t="s">
        <v>1251</v>
      </c>
      <c r="AE67" s="449"/>
      <c r="AF67" s="41" t="s">
        <v>1305</v>
      </c>
    </row>
    <row r="68" spans="2:32" ht="54" customHeight="1" thickBot="1" x14ac:dyDescent="0.3">
      <c r="B68" s="1563"/>
      <c r="C68" s="1564"/>
      <c r="D68" s="1564"/>
      <c r="E68" s="1564"/>
      <c r="F68" s="1564"/>
      <c r="G68" s="1564"/>
      <c r="H68" s="1564"/>
      <c r="I68" s="1565"/>
      <c r="K68" s="1563"/>
      <c r="L68" s="1564"/>
      <c r="M68" s="1564"/>
      <c r="N68" s="1564"/>
      <c r="O68" s="1564"/>
      <c r="P68" s="1564"/>
      <c r="Q68" s="1564"/>
      <c r="R68" s="1564"/>
      <c r="S68" s="1564"/>
      <c r="T68" s="1564"/>
      <c r="U68" s="1565"/>
      <c r="AD68" s="445"/>
      <c r="AE68" s="449"/>
      <c r="AF68" s="447"/>
    </row>
    <row r="69" spans="2:32" ht="32.450000000000003" customHeight="1" x14ac:dyDescent="0.25">
      <c r="B69" s="975"/>
      <c r="C69" s="975"/>
      <c r="D69" s="975"/>
      <c r="E69" s="975"/>
      <c r="F69" s="975"/>
      <c r="G69" s="975"/>
      <c r="H69" s="975"/>
      <c r="I69" s="975"/>
      <c r="K69" s="1603" t="str">
        <f>IF('4. FPSource Set Up'!I85='4. FPSource Set Up'!AB86, "Note - condoms in the 'adjusted' values above and the graphs/values below have NOT been adjusted. This is in line with Track20 recommendations. ", "Note - condoms in the 'adjusted' values above and the graphs/values below have been adjusted. Consider the impact and whether the condom adjustment should be removed. ")</f>
        <v xml:space="preserve">Note - condoms in the 'adjusted' values above and the graphs/values below have NOT been adjusted. This is in line with Track20 recommendations. </v>
      </c>
      <c r="L69" s="1603"/>
      <c r="M69" s="1603"/>
      <c r="N69" s="1603"/>
      <c r="O69" s="1603"/>
      <c r="P69" s="1603"/>
      <c r="Q69" s="1603"/>
      <c r="R69" s="1603"/>
      <c r="S69" s="1603"/>
      <c r="T69" s="1603"/>
      <c r="U69" s="1603"/>
      <c r="AD69" s="184"/>
      <c r="AE69" s="184"/>
      <c r="AF69" s="184"/>
    </row>
    <row r="70" spans="2:32" ht="19.899999999999999" customHeight="1" x14ac:dyDescent="0.25">
      <c r="B70" s="975"/>
      <c r="C70" s="1602" t="s">
        <v>1290</v>
      </c>
      <c r="D70" s="1602"/>
      <c r="E70" s="1602"/>
      <c r="F70" s="1602"/>
      <c r="G70" s="1602"/>
      <c r="H70" s="1602"/>
      <c r="I70" s="1602"/>
      <c r="K70" s="975"/>
      <c r="L70" s="975"/>
      <c r="M70" s="975"/>
      <c r="N70" s="975"/>
      <c r="O70" s="975"/>
      <c r="P70" s="975"/>
      <c r="Q70" s="975"/>
      <c r="R70" s="975"/>
      <c r="S70" s="975"/>
      <c r="T70" s="975"/>
      <c r="U70" s="975"/>
      <c r="AD70" s="184"/>
      <c r="AE70" s="184"/>
      <c r="AF70" s="184"/>
    </row>
    <row r="71" spans="2:32" ht="14.45" customHeight="1" x14ac:dyDescent="0.25">
      <c r="B71" s="975"/>
      <c r="C71" s="975"/>
      <c r="D71" s="975"/>
      <c r="E71" s="975"/>
      <c r="F71" s="975"/>
      <c r="G71" s="975"/>
      <c r="H71" s="975"/>
      <c r="I71" s="975"/>
      <c r="K71" s="975"/>
      <c r="L71" s="975"/>
      <c r="M71" s="975"/>
      <c r="N71" s="975"/>
      <c r="O71" s="975"/>
      <c r="P71" s="975"/>
      <c r="Q71" s="975"/>
      <c r="R71" s="975"/>
      <c r="S71" s="975"/>
      <c r="T71" s="975"/>
      <c r="U71" s="975"/>
      <c r="AD71" s="184"/>
      <c r="AE71" s="184"/>
      <c r="AF71" s="184"/>
    </row>
    <row r="72" spans="2:32" ht="19.149999999999999" customHeight="1" thickBot="1" x14ac:dyDescent="0.45">
      <c r="B72" s="960"/>
      <c r="C72" s="961"/>
      <c r="D72" s="961"/>
      <c r="E72" s="961"/>
      <c r="F72" s="961"/>
      <c r="G72" s="961"/>
      <c r="H72" s="961"/>
      <c r="I72" s="961"/>
      <c r="J72" s="961"/>
      <c r="K72" s="961"/>
      <c r="L72" s="961"/>
      <c r="M72" s="961"/>
      <c r="N72" s="961"/>
      <c r="O72" s="961"/>
      <c r="P72" s="961"/>
      <c r="Q72" s="961"/>
      <c r="R72" s="961"/>
      <c r="S72" s="961"/>
      <c r="T72" s="962"/>
      <c r="U72" s="962"/>
      <c r="V72" s="962"/>
      <c r="AD72" s="184"/>
      <c r="AE72" s="184"/>
      <c r="AF72" s="184"/>
    </row>
    <row r="73" spans="2:32" ht="24.75" customHeight="1" thickBot="1" x14ac:dyDescent="0.45">
      <c r="B73" s="785" t="str">
        <f>IF(Language="English", AD73, AF73)</f>
        <v>ÉTAPE 2 de 3. Examiner et commenter les graphiques ci-dessous.</v>
      </c>
      <c r="C73" s="786"/>
      <c r="D73" s="786"/>
      <c r="E73" s="786"/>
      <c r="F73" s="786"/>
      <c r="G73" s="786"/>
      <c r="H73" s="786"/>
      <c r="I73" s="786"/>
      <c r="J73" s="786"/>
      <c r="K73" s="786"/>
      <c r="L73" s="786"/>
      <c r="M73" s="786"/>
      <c r="N73" s="786"/>
      <c r="O73" s="786"/>
      <c r="P73" s="786"/>
      <c r="Q73" s="786"/>
      <c r="R73" s="786"/>
      <c r="S73" s="786"/>
      <c r="T73" s="787"/>
      <c r="U73" s="787"/>
      <c r="V73" s="787"/>
      <c r="AD73" s="445" t="s">
        <v>1252</v>
      </c>
      <c r="AE73" s="449"/>
      <c r="AF73" s="447" t="s">
        <v>1255</v>
      </c>
    </row>
    <row r="74" spans="2:32" ht="27.75" customHeight="1" thickBot="1" x14ac:dyDescent="0.3">
      <c r="B74" s="240" t="str">
        <f>IF(Language="English", AD74, AF74)</f>
        <v>Ces graphiques ont été conçus pour aider à identifier les problèmes éventuels liés aux données des statistiques des services et analyser si ce type de données peut être utilisé dans FPET.</v>
      </c>
      <c r="AD74" s="445" t="s">
        <v>695</v>
      </c>
      <c r="AE74" s="449"/>
      <c r="AF74" s="447" t="s">
        <v>825</v>
      </c>
    </row>
    <row r="75" spans="2:32" ht="41.45" customHeight="1" thickBot="1" x14ac:dyDescent="0.3">
      <c r="B75" s="1582" t="str">
        <f>IF(Language="English", AD75, AF75)</f>
        <v>1. Tendances des utilisatrices par Méthode</v>
      </c>
      <c r="C75" s="1583"/>
      <c r="D75" s="1583"/>
      <c r="E75" s="1583"/>
      <c r="F75" s="1583"/>
      <c r="G75" s="1583"/>
      <c r="H75" s="1583"/>
      <c r="I75" s="1584"/>
      <c r="K75" s="1570" t="str">
        <f>IF(Language="English", AD77,AF77)</f>
        <v>2. Comparaison du nombre total estimé d'utilisatrices de PF : Statistiques des services et enquêtes</v>
      </c>
      <c r="L75" s="1571"/>
      <c r="M75" s="1571"/>
      <c r="N75" s="1571"/>
      <c r="O75" s="1571"/>
      <c r="P75" s="1571"/>
      <c r="Q75" s="1571"/>
      <c r="R75" s="1571"/>
      <c r="S75" s="1571"/>
      <c r="T75" s="1571"/>
      <c r="U75" s="1572"/>
      <c r="AD75" s="445" t="s">
        <v>319</v>
      </c>
      <c r="AE75" s="449"/>
      <c r="AF75" s="447" t="s">
        <v>2431</v>
      </c>
    </row>
    <row r="76" spans="2:32" ht="26.25" customHeight="1" thickBot="1" x14ac:dyDescent="0.3">
      <c r="B76" s="649"/>
      <c r="C76" s="650"/>
      <c r="D76" s="650"/>
      <c r="E76" s="650"/>
      <c r="F76" s="650"/>
      <c r="G76" s="650"/>
      <c r="H76" s="650"/>
      <c r="I76" s="651"/>
      <c r="K76" s="1567" t="str">
        <f>IF(Language="English", AD76, AF76)</f>
        <v>Sélectionnez l'année pour la comparaison</v>
      </c>
      <c r="L76" s="1568"/>
      <c r="M76" s="1568"/>
      <c r="N76" s="1569"/>
      <c r="O76" s="652">
        <v>2021</v>
      </c>
      <c r="U76" s="143"/>
      <c r="AD76" s="445" t="s">
        <v>993</v>
      </c>
      <c r="AE76" s="449"/>
      <c r="AF76" s="447" t="s">
        <v>1082</v>
      </c>
    </row>
    <row r="77" spans="2:32" ht="249.95" customHeight="1" thickBot="1" x14ac:dyDescent="0.3">
      <c r="B77" s="1573"/>
      <c r="C77" s="1574"/>
      <c r="D77" s="1574"/>
      <c r="E77" s="1574"/>
      <c r="F77" s="1574"/>
      <c r="G77" s="1574"/>
      <c r="H77" s="1574"/>
      <c r="I77" s="1575"/>
      <c r="K77" s="135"/>
      <c r="L77" s="136"/>
      <c r="M77" s="136"/>
      <c r="N77" s="136"/>
      <c r="O77" s="136"/>
      <c r="P77" s="136"/>
      <c r="Q77" s="136"/>
      <c r="R77" s="136"/>
      <c r="S77" s="136"/>
      <c r="T77" s="136"/>
      <c r="U77" s="137"/>
      <c r="AD77" s="445" t="s">
        <v>1014</v>
      </c>
      <c r="AE77" s="449"/>
      <c r="AF77" s="447" t="s">
        <v>2432</v>
      </c>
    </row>
    <row r="78" spans="2:32" s="41" customFormat="1" ht="54" customHeight="1" x14ac:dyDescent="0.25">
      <c r="B78" s="1576" t="str">
        <f>IF(Language="English", AD78,AF78)</f>
        <v>Examinez le graphique ci-dessus pour les cas particuliers, les changements inattendus dans les tendances des méthodes ou les changements rapides dans les méthodes particulières.  Veuillez commenter ci-dessous et expliquez les tendances ci-dessus.</v>
      </c>
      <c r="C78" s="1577"/>
      <c r="D78" s="1577"/>
      <c r="E78" s="1577"/>
      <c r="F78" s="1577"/>
      <c r="G78" s="1577"/>
      <c r="H78" s="1577"/>
      <c r="I78" s="1578"/>
      <c r="K78" s="1576" t="str">
        <f>K84</f>
        <v>Comparez les deux graphiques et recherchez de grandes divergences entre la méthode utilisée à partir de l'enquête et la méthode utilisée produite à partir de vos données des statistiques de services. Veuillez expliquer toutes les irrégularités importantes dans la méthode utilisée.</v>
      </c>
      <c r="L78" s="1577"/>
      <c r="M78" s="1577"/>
      <c r="N78" s="1577"/>
      <c r="O78" s="1577"/>
      <c r="P78" s="1577"/>
      <c r="Q78" s="1577"/>
      <c r="R78" s="1577"/>
      <c r="S78" s="1577"/>
      <c r="T78" s="1577"/>
      <c r="U78" s="1578"/>
      <c r="W78" s="587"/>
      <c r="AD78" s="472" t="s">
        <v>283</v>
      </c>
      <c r="AE78" s="473"/>
      <c r="AF78" s="474" t="s">
        <v>826</v>
      </c>
    </row>
    <row r="79" spans="2:32" ht="54" customHeight="1" thickBot="1" x14ac:dyDescent="0.3">
      <c r="B79" s="1563"/>
      <c r="C79" s="1564"/>
      <c r="D79" s="1564"/>
      <c r="E79" s="1564"/>
      <c r="F79" s="1564"/>
      <c r="G79" s="1564"/>
      <c r="H79" s="1564"/>
      <c r="I79" s="1565"/>
      <c r="K79" s="1563"/>
      <c r="L79" s="1564"/>
      <c r="M79" s="1564"/>
      <c r="N79" s="1564"/>
      <c r="O79" s="1564"/>
      <c r="P79" s="1564"/>
      <c r="Q79" s="1564"/>
      <c r="R79" s="1564"/>
      <c r="S79" s="1564"/>
      <c r="T79" s="1564"/>
      <c r="U79" s="1565"/>
      <c r="AD79" s="445" t="s">
        <v>321</v>
      </c>
      <c r="AE79" s="449"/>
      <c r="AF79" s="447" t="s">
        <v>827</v>
      </c>
    </row>
    <row r="80" spans="2:32" ht="18" customHeight="1" thickBot="1" x14ac:dyDescent="0.3">
      <c r="C80"/>
    </row>
    <row r="81" spans="2:32" s="119" customFormat="1" ht="42" customHeight="1" x14ac:dyDescent="0.25">
      <c r="B81" s="1570" t="str">
        <f>IF(Language="English", AD81, AF81)</f>
        <v>3. Comparez l'estimation des utilisatrices modernes par méthode: Statistiques de Service v. Enquête (2021)</v>
      </c>
      <c r="C81" s="1571"/>
      <c r="D81" s="1571"/>
      <c r="E81" s="1571"/>
      <c r="F81" s="1571"/>
      <c r="G81" s="1571"/>
      <c r="H81" s="1571"/>
      <c r="I81" s="1572"/>
      <c r="K81" s="1570" t="str">
        <f>IF(Language="English", AD83,AF83)</f>
        <v>4. Comparer la méthode utilisée : Statistiques des services et enquêtes (2021)</v>
      </c>
      <c r="L81" s="1571"/>
      <c r="M81" s="1571"/>
      <c r="N81" s="1571"/>
      <c r="O81" s="1571"/>
      <c r="P81" s="1571"/>
      <c r="Q81" s="1571"/>
      <c r="R81" s="1571"/>
      <c r="S81" s="1571"/>
      <c r="T81" s="1571"/>
      <c r="U81" s="1572"/>
      <c r="W81" s="806"/>
      <c r="AD81" s="654" t="str">
        <f>"3. Comparing Estimate of Modern Users by Method :  Service Statistics v. Survey ("&amp;$O$76&amp;")"</f>
        <v>3. Comparing Estimate of Modern Users by Method :  Service Statistics v. Survey (2021)</v>
      </c>
      <c r="AE81" s="767"/>
      <c r="AF81" s="655" t="str">
        <f>"3. Comparez l'estimation des utilisatrices modernes par méthode: Statistiques de Service v. Enquête ("&amp;$O$76&amp;")"</f>
        <v>3. Comparez l'estimation des utilisatrices modernes par méthode: Statistiques de Service v. Enquête (2021)</v>
      </c>
    </row>
    <row r="82" spans="2:32" ht="26.25" customHeight="1" x14ac:dyDescent="0.25">
      <c r="B82" s="649"/>
      <c r="C82" s="650"/>
      <c r="D82" s="650"/>
      <c r="E82" s="650"/>
      <c r="F82" s="650"/>
      <c r="G82" s="650"/>
      <c r="H82" s="650"/>
      <c r="I82" s="651"/>
      <c r="K82" s="142"/>
      <c r="U82" s="143"/>
      <c r="AD82" s="445" t="s">
        <v>1110</v>
      </c>
      <c r="AE82" s="449"/>
      <c r="AF82" s="447" t="s">
        <v>2433</v>
      </c>
    </row>
    <row r="83" spans="2:32" ht="249.95" customHeight="1" thickBot="1" x14ac:dyDescent="0.3">
      <c r="B83" s="1573"/>
      <c r="C83" s="1574"/>
      <c r="D83" s="1574"/>
      <c r="E83" s="1574"/>
      <c r="F83" s="1574"/>
      <c r="G83" s="1574"/>
      <c r="H83" s="1574"/>
      <c r="I83" s="1575"/>
      <c r="K83" s="135"/>
      <c r="L83" s="136"/>
      <c r="M83" s="136"/>
      <c r="N83" s="136"/>
      <c r="O83" s="136"/>
      <c r="P83" s="136"/>
      <c r="Q83" s="136"/>
      <c r="R83" s="136"/>
      <c r="S83" s="136"/>
      <c r="T83" s="136"/>
      <c r="U83" s="137"/>
      <c r="AD83" s="445" t="str">
        <f>"4. Comparing Method Mix: Service Statistics and Surveys ("&amp;$O$76&amp;")"</f>
        <v>4. Comparing Method Mix: Service Statistics and Surveys (2021)</v>
      </c>
      <c r="AE83" s="449"/>
      <c r="AF83" s="447" t="str">
        <f>"4. Comparer la méthode utilisée : Statistiques des services et enquêtes ("&amp;$O$76&amp;")"</f>
        <v>4. Comparer la méthode utilisée : Statistiques des services et enquêtes (2021)</v>
      </c>
    </row>
    <row r="84" spans="2:32" s="41" customFormat="1" ht="54" customHeight="1" x14ac:dyDescent="0.25">
      <c r="B84" s="1576" t="str">
        <f>IF(Language="English", AD82, AF82)</f>
        <v>Comparez les utilisatrices estimés entre les enquêtes et les statistiques de service. Les niveaux semblent-ils cohérents? Des méthodes semblent-elles radicalement différentes? Y a-t-il une raison à cette différence?</v>
      </c>
      <c r="C84" s="1577"/>
      <c r="D84" s="1577"/>
      <c r="E84" s="1577"/>
      <c r="F84" s="1577"/>
      <c r="G84" s="1577"/>
      <c r="H84" s="1577"/>
      <c r="I84" s="1578"/>
      <c r="K84" s="1576" t="str">
        <f>IF(Language="English", AD85, AF85)</f>
        <v>Comparez les deux graphiques et recherchez de grandes divergences entre la méthode utilisée à partir de l'enquête et la méthode utilisée produite à partir de vos données des statistiques de services. Veuillez expliquer toutes les irrégularités importantes dans la méthode utilisée.</v>
      </c>
      <c r="L84" s="1577"/>
      <c r="M84" s="1577"/>
      <c r="N84" s="1577"/>
      <c r="O84" s="1577"/>
      <c r="P84" s="1577"/>
      <c r="Q84" s="1577"/>
      <c r="R84" s="1577"/>
      <c r="S84" s="1577"/>
      <c r="T84" s="1577"/>
      <c r="U84" s="1578"/>
      <c r="W84" s="587"/>
      <c r="AD84" s="472" t="s">
        <v>283</v>
      </c>
      <c r="AE84" s="473"/>
      <c r="AF84" s="474" t="s">
        <v>826</v>
      </c>
    </row>
    <row r="85" spans="2:32" ht="54" customHeight="1" thickBot="1" x14ac:dyDescent="0.3">
      <c r="B85" s="1563"/>
      <c r="C85" s="1564"/>
      <c r="D85" s="1564"/>
      <c r="E85" s="1564"/>
      <c r="F85" s="1564"/>
      <c r="G85" s="1564"/>
      <c r="H85" s="1564"/>
      <c r="I85" s="1565"/>
      <c r="K85" s="1563"/>
      <c r="L85" s="1564"/>
      <c r="M85" s="1564"/>
      <c r="N85" s="1564"/>
      <c r="O85" s="1564"/>
      <c r="P85" s="1564"/>
      <c r="Q85" s="1564"/>
      <c r="R85" s="1564"/>
      <c r="S85" s="1564"/>
      <c r="T85" s="1564"/>
      <c r="U85" s="1565"/>
      <c r="AD85" s="445" t="s">
        <v>321</v>
      </c>
      <c r="AE85" s="449"/>
      <c r="AF85" s="447" t="s">
        <v>827</v>
      </c>
    </row>
    <row r="86" spans="2:32" x14ac:dyDescent="0.25">
      <c r="AD86" s="445"/>
      <c r="AE86" s="449"/>
      <c r="AF86" s="447"/>
    </row>
    <row r="87" spans="2:32" ht="15.75" thickBot="1" x14ac:dyDescent="0.3">
      <c r="AD87" s="445"/>
      <c r="AE87" s="449"/>
      <c r="AF87" s="447"/>
    </row>
    <row r="88" spans="2:32" ht="26.25" customHeight="1" x14ac:dyDescent="0.25">
      <c r="B88" s="1582" t="str">
        <f>IF(Language="English", AD88, AF88)</f>
        <v>5. Comparez les tendances des utilisatrices : EUM, FPET, et Enquêtes</v>
      </c>
      <c r="C88" s="1583"/>
      <c r="D88" s="1583"/>
      <c r="E88" s="1583"/>
      <c r="F88" s="1583"/>
      <c r="G88" s="1583"/>
      <c r="H88" s="1583"/>
      <c r="I88" s="1584"/>
      <c r="K88" s="1570" t="str">
        <f>IF(Language="English", AD89, AF89)</f>
        <v>6. Comparez les pentes : EUM, FPET, et Enquêtes</v>
      </c>
      <c r="L88" s="1571"/>
      <c r="M88" s="1571"/>
      <c r="N88" s="1571"/>
      <c r="O88" s="1571"/>
      <c r="P88" s="1571"/>
      <c r="Q88" s="1571"/>
      <c r="R88" s="1571"/>
      <c r="S88" s="1571"/>
      <c r="T88" s="1571"/>
      <c r="U88" s="1572"/>
      <c r="AD88" s="445" t="s">
        <v>994</v>
      </c>
      <c r="AE88" s="449"/>
      <c r="AF88" s="447" t="s">
        <v>2435</v>
      </c>
    </row>
    <row r="89" spans="2:32" ht="249.95" customHeight="1" thickBot="1" x14ac:dyDescent="0.3">
      <c r="B89" s="1573"/>
      <c r="C89" s="1574"/>
      <c r="D89" s="1574"/>
      <c r="E89" s="1574"/>
      <c r="F89" s="1574"/>
      <c r="G89" s="1574"/>
      <c r="H89" s="1574"/>
      <c r="I89" s="1575"/>
      <c r="K89" s="1573"/>
      <c r="L89" s="1574"/>
      <c r="M89" s="1574"/>
      <c r="N89" s="1574"/>
      <c r="O89" s="1574"/>
      <c r="P89" s="1574"/>
      <c r="Q89" s="1574"/>
      <c r="R89" s="1574"/>
      <c r="S89" s="1574"/>
      <c r="T89" s="1574"/>
      <c r="U89" s="1575"/>
      <c r="AD89" s="445" t="s">
        <v>1258</v>
      </c>
      <c r="AE89" s="449"/>
      <c r="AF89" s="447" t="s">
        <v>995</v>
      </c>
    </row>
    <row r="90" spans="2:32" ht="51" customHeight="1" x14ac:dyDescent="0.25">
      <c r="B90" s="1576" t="str">
        <f>IF(Language="English", AD90, AF90)</f>
        <v>Comparez l'EUM calculée à partir des vos données sur les produits au TPCM à partir du FPET et des enquêtes? Les pentes sont-elles identiques? Utiliseriez-vous ces données dans FPET? Veuillez commentez ci-dessous.</v>
      </c>
      <c r="C90" s="1577"/>
      <c r="D90" s="1577"/>
      <c r="E90" s="1577"/>
      <c r="F90" s="1577"/>
      <c r="G90" s="1577"/>
      <c r="H90" s="1577"/>
      <c r="I90" s="1578"/>
      <c r="K90" s="1576" t="str">
        <f>IF(Language="English", AD91,AF91)</f>
        <v>Comparez les augmentations annuelles moyennes en points de % du TPCM / EUM entre les tendances. Les pentes sont-elles similaires? La pente de l'EUM est-elle réalisable compte tenu de ce que vous savez sur le rythme de croissance de la prévalence?</v>
      </c>
      <c r="L90" s="1577"/>
      <c r="M90" s="1577"/>
      <c r="N90" s="1577"/>
      <c r="O90" s="1577"/>
      <c r="P90" s="1577"/>
      <c r="Q90" s="1577"/>
      <c r="R90" s="1577"/>
      <c r="S90" s="1577"/>
      <c r="T90" s="1577"/>
      <c r="U90" s="1578"/>
      <c r="AD90" s="445" t="s">
        <v>585</v>
      </c>
      <c r="AE90" s="449"/>
      <c r="AF90" s="447" t="s">
        <v>828</v>
      </c>
    </row>
    <row r="91" spans="2:32" ht="54" customHeight="1" thickBot="1" x14ac:dyDescent="0.3">
      <c r="B91" s="1563"/>
      <c r="C91" s="1564"/>
      <c r="D91" s="1564"/>
      <c r="E91" s="1564"/>
      <c r="F91" s="1564"/>
      <c r="G91" s="1564"/>
      <c r="H91" s="1564"/>
      <c r="I91" s="1565"/>
      <c r="K91" s="1563"/>
      <c r="L91" s="1564"/>
      <c r="M91" s="1564"/>
      <c r="N91" s="1564"/>
      <c r="O91" s="1564"/>
      <c r="P91" s="1564"/>
      <c r="Q91" s="1564"/>
      <c r="R91" s="1564"/>
      <c r="S91" s="1564"/>
      <c r="T91" s="1564"/>
      <c r="U91" s="1565"/>
      <c r="AD91" s="445" t="s">
        <v>1261</v>
      </c>
      <c r="AE91" s="449"/>
      <c r="AF91" s="447" t="s">
        <v>829</v>
      </c>
    </row>
    <row r="92" spans="2:32" ht="27.75" customHeight="1" x14ac:dyDescent="0.25">
      <c r="B92" s="240" t="str">
        <f>IF(Language="English", AD92, AF92)</f>
        <v>*Note : Les années avec des taux de complétude faibles (&lt;60%) ont été exclues dans les graphiques ci-dessus</v>
      </c>
      <c r="L92" s="1398"/>
      <c r="M92" s="1398"/>
      <c r="N92" s="1398"/>
      <c r="O92" s="1398"/>
      <c r="P92" s="1398"/>
      <c r="Q92" s="1398"/>
      <c r="R92" s="1398"/>
      <c r="S92" s="1398"/>
      <c r="T92" s="1398"/>
      <c r="U92" s="1398"/>
      <c r="V92" s="1398"/>
      <c r="AD92" s="445" t="s">
        <v>576</v>
      </c>
      <c r="AE92" s="449"/>
      <c r="AF92" s="447" t="s">
        <v>1133</v>
      </c>
    </row>
    <row r="93" spans="2:32" ht="3.75" customHeight="1" x14ac:dyDescent="0.25">
      <c r="B93" s="239"/>
      <c r="L93" s="32"/>
      <c r="M93" s="32"/>
      <c r="N93" s="32"/>
      <c r="O93" s="32"/>
      <c r="P93" s="32"/>
      <c r="Q93" s="32"/>
      <c r="R93" s="32"/>
      <c r="S93" s="32"/>
      <c r="T93" s="32"/>
      <c r="U93" s="32"/>
      <c r="V93" s="32"/>
      <c r="AD93" s="445" t="s">
        <v>326</v>
      </c>
      <c r="AE93" s="449"/>
      <c r="AF93" s="447" t="s">
        <v>833</v>
      </c>
    </row>
    <row r="94" spans="2:32" s="216" customFormat="1" ht="3.75" customHeight="1" x14ac:dyDescent="0.25">
      <c r="W94" s="808"/>
      <c r="AD94" s="445" t="s">
        <v>327</v>
      </c>
      <c r="AE94" s="451"/>
      <c r="AF94" s="447" t="s">
        <v>834</v>
      </c>
    </row>
    <row r="95" spans="2:32" s="216" customFormat="1" ht="3.75" customHeight="1" x14ac:dyDescent="0.25">
      <c r="W95" s="808"/>
      <c r="Z95" t="str">
        <f>IF(Language="English", AD95, AF95)</f>
        <v xml:space="preserve">Augmentation annuelle moyenne en points de % du TPCM / EUM </v>
      </c>
      <c r="AA95"/>
      <c r="AB95"/>
      <c r="AC95"/>
      <c r="AD95" s="445" t="s">
        <v>841</v>
      </c>
      <c r="AE95" s="451"/>
      <c r="AF95" s="447" t="s">
        <v>840</v>
      </c>
    </row>
    <row r="96" spans="2:32" ht="3.75" customHeight="1" x14ac:dyDescent="0.25">
      <c r="Z96" t="str">
        <f>IF(Language="English", AD96, AF96)</f>
        <v>TPCm - EUM</v>
      </c>
      <c r="AD96" s="445" t="s">
        <v>842</v>
      </c>
      <c r="AE96" s="451"/>
      <c r="AF96" s="447" t="s">
        <v>843</v>
      </c>
    </row>
    <row r="97" spans="2:33" ht="3.75" customHeight="1" x14ac:dyDescent="0.25">
      <c r="AD97" s="445"/>
      <c r="AE97" s="451"/>
      <c r="AF97" s="447"/>
    </row>
    <row r="98" spans="2:33" ht="31.5" customHeight="1" thickBot="1" x14ac:dyDescent="0.45">
      <c r="B98" s="785" t="str">
        <f>IF(Language="English", AD98, AF98)</f>
        <v>ÉTAPE 3 de 3. Choisissez d'inclure ou d'exclure les préservatifs de la valeur finale de EMU.</v>
      </c>
      <c r="C98" s="786"/>
      <c r="D98" s="786"/>
      <c r="E98" s="786"/>
      <c r="F98" s="786"/>
      <c r="G98" s="786"/>
      <c r="H98" s="786"/>
      <c r="I98" s="786"/>
      <c r="J98" s="786"/>
      <c r="K98" s="786"/>
      <c r="L98" s="786"/>
      <c r="M98" s="786"/>
      <c r="N98" s="786"/>
      <c r="O98" s="786"/>
      <c r="P98" s="786"/>
      <c r="Q98" s="786"/>
      <c r="R98" s="786"/>
      <c r="S98" s="786"/>
      <c r="T98" s="787"/>
      <c r="U98" s="787"/>
      <c r="V98" s="787"/>
      <c r="AD98" s="445" t="s">
        <v>1253</v>
      </c>
      <c r="AE98" s="451"/>
      <c r="AF98" s="447" t="s">
        <v>1254</v>
      </c>
    </row>
    <row r="99" spans="2:33" ht="15.75" thickBot="1" x14ac:dyDescent="0.3">
      <c r="B99" s="1398"/>
      <c r="C99" s="1398"/>
      <c r="D99" s="1398"/>
      <c r="E99" s="1398"/>
      <c r="F99" s="1398"/>
      <c r="G99" s="1398"/>
      <c r="H99" s="1398"/>
      <c r="I99" s="1398"/>
      <c r="J99" s="1398"/>
      <c r="K99" s="1398"/>
      <c r="L99" s="1398"/>
      <c r="M99" s="1398"/>
      <c r="N99" s="1398"/>
      <c r="O99" s="1398"/>
      <c r="P99" s="1398"/>
      <c r="Q99" s="1398"/>
      <c r="R99" s="1398"/>
      <c r="S99" s="1398"/>
      <c r="AC99" t="str">
        <f>IF(Language="English", AD99, AF99)</f>
        <v>Inclure des Préservatifs</v>
      </c>
      <c r="AD99" s="445" t="s">
        <v>1012</v>
      </c>
      <c r="AE99" s="451" t="s">
        <v>1012</v>
      </c>
      <c r="AF99" s="447" t="s">
        <v>1013</v>
      </c>
      <c r="AG99" s="445" t="s">
        <v>1012</v>
      </c>
    </row>
    <row r="100" spans="2:33" ht="19.5" thickBot="1" x14ac:dyDescent="0.35">
      <c r="C100" s="659" t="s">
        <v>1010</v>
      </c>
      <c r="D100" s="219" t="str">
        <f>VLOOKUP(C101, $B$33:$C$34, 2, FALSE)</f>
        <v>EUM: Produits ex. Préservatifs</v>
      </c>
      <c r="E100" s="220"/>
      <c r="F100" s="220"/>
      <c r="G100" s="220"/>
      <c r="H100" s="220"/>
      <c r="I100" s="220"/>
      <c r="J100" s="220"/>
      <c r="K100" s="220"/>
      <c r="L100" s="220"/>
      <c r="M100" s="220"/>
      <c r="N100" s="220"/>
      <c r="O100" s="220"/>
      <c r="P100" s="220"/>
      <c r="Q100" s="220"/>
      <c r="R100" s="220"/>
      <c r="S100" s="221"/>
      <c r="AC100" t="str">
        <f>IF(Language="English", AD100, AF100)</f>
        <v>Exclure les Préservatifs</v>
      </c>
      <c r="AD100" s="445" t="s">
        <v>1010</v>
      </c>
      <c r="AE100" s="451" t="s">
        <v>1010</v>
      </c>
      <c r="AF100" s="447" t="s">
        <v>1011</v>
      </c>
      <c r="AG100" s="445" t="s">
        <v>1010</v>
      </c>
    </row>
    <row r="101" spans="2:33" ht="15.75" thickBot="1" x14ac:dyDescent="0.3">
      <c r="C101" s="713" t="str">
        <f>IFERROR(VLOOKUP(C100,$AD$99:$AG$100,4,FALSE),VLOOKUP(C100,$AF$99:$AG$100,2,FALSE))</f>
        <v>Exclude Condoms</v>
      </c>
      <c r="D101" s="222">
        <f t="shared" ref="D101:S101" si="31">D31</f>
        <v>0</v>
      </c>
      <c r="E101" s="222" t="str">
        <f t="shared" si="31"/>
        <v/>
      </c>
      <c r="F101" s="222" t="str">
        <f t="shared" si="31"/>
        <v/>
      </c>
      <c r="G101" s="222" t="str">
        <f t="shared" si="31"/>
        <v/>
      </c>
      <c r="H101" s="222" t="str">
        <f t="shared" si="31"/>
        <v/>
      </c>
      <c r="I101" s="222" t="str">
        <f t="shared" si="31"/>
        <v/>
      </c>
      <c r="J101" s="222" t="str">
        <f t="shared" si="31"/>
        <v/>
      </c>
      <c r="K101" s="222" t="str">
        <f t="shared" si="31"/>
        <v/>
      </c>
      <c r="L101" s="222" t="str">
        <f t="shared" si="31"/>
        <v/>
      </c>
      <c r="M101" s="222" t="str">
        <f t="shared" si="31"/>
        <v/>
      </c>
      <c r="N101" s="222" t="str">
        <f t="shared" si="31"/>
        <v/>
      </c>
      <c r="O101" s="222" t="str">
        <f t="shared" si="31"/>
        <v/>
      </c>
      <c r="P101" s="222" t="str">
        <f t="shared" si="31"/>
        <v/>
      </c>
      <c r="Q101" s="222" t="str">
        <f t="shared" si="31"/>
        <v/>
      </c>
      <c r="R101" s="222" t="str">
        <f t="shared" si="31"/>
        <v/>
      </c>
      <c r="S101" s="222" t="str">
        <f t="shared" si="31"/>
        <v/>
      </c>
      <c r="AD101" s="445"/>
      <c r="AE101" s="451"/>
      <c r="AF101" s="447"/>
    </row>
    <row r="102" spans="2:33" ht="15.75" thickBot="1" x14ac:dyDescent="0.3">
      <c r="D102" s="714" t="str">
        <f>IFERROR(VLOOKUP($C$101, $B$33:$S$34, MATCH(D$101, $B$31:$S$31, 0), FALSE), "")</f>
        <v/>
      </c>
      <c r="E102" s="714" t="str">
        <f t="shared" ref="E102:S102" si="32">IFERROR(VLOOKUP($C$101, $B$33:$S$34, MATCH(E$101, $B$31:$S$31, 0), FALSE), "")</f>
        <v/>
      </c>
      <c r="F102" s="714" t="str">
        <f t="shared" si="32"/>
        <v/>
      </c>
      <c r="G102" s="714" t="str">
        <f t="shared" si="32"/>
        <v/>
      </c>
      <c r="H102" s="714" t="str">
        <f t="shared" si="32"/>
        <v/>
      </c>
      <c r="I102" s="714" t="str">
        <f t="shared" si="32"/>
        <v/>
      </c>
      <c r="J102" s="714" t="str">
        <f t="shared" si="32"/>
        <v/>
      </c>
      <c r="K102" s="714" t="str">
        <f t="shared" si="32"/>
        <v/>
      </c>
      <c r="L102" s="714" t="str">
        <f t="shared" si="32"/>
        <v/>
      </c>
      <c r="M102" s="714" t="str">
        <f t="shared" si="32"/>
        <v/>
      </c>
      <c r="N102" s="714" t="str">
        <f t="shared" si="32"/>
        <v/>
      </c>
      <c r="O102" s="714" t="str">
        <f t="shared" si="32"/>
        <v/>
      </c>
      <c r="P102" s="714" t="str">
        <f t="shared" si="32"/>
        <v/>
      </c>
      <c r="Q102" s="714" t="str">
        <f t="shared" si="32"/>
        <v/>
      </c>
      <c r="R102" s="714" t="str">
        <f t="shared" si="32"/>
        <v/>
      </c>
      <c r="S102" s="714" t="str">
        <f t="shared" si="32"/>
        <v/>
      </c>
      <c r="AD102" s="445"/>
      <c r="AE102" s="451"/>
      <c r="AF102" s="447"/>
    </row>
    <row r="103" spans="2:33" x14ac:dyDescent="0.25">
      <c r="AD103" s="445"/>
      <c r="AE103" s="451"/>
      <c r="AF103" s="447"/>
    </row>
    <row r="107" spans="2:33" ht="15" customHeight="1" x14ac:dyDescent="0.4">
      <c r="B107" s="216"/>
      <c r="C107" s="1592" t="str">
        <f>'5. MethodMix Set Up'!$G$52</f>
        <v>Produits de planification familiale distribués aux établissements</v>
      </c>
      <c r="D107" s="1592"/>
      <c r="E107" s="1592"/>
      <c r="F107" s="1592"/>
      <c r="G107" s="1592"/>
      <c r="H107" s="1592"/>
      <c r="I107" s="263"/>
      <c r="J107" s="263"/>
      <c r="K107" s="263"/>
      <c r="L107" s="1593" t="str">
        <f>IF(Language="English", AD94, AF94)</f>
        <v>Allez à Examen final de l'EUM</v>
      </c>
      <c r="M107" s="1593"/>
      <c r="N107" s="1593"/>
      <c r="O107" s="1593"/>
      <c r="P107" s="1593"/>
      <c r="Q107" s="1593"/>
      <c r="R107" s="1593"/>
    </row>
    <row r="108" spans="2:33" ht="15" customHeight="1" x14ac:dyDescent="0.4">
      <c r="B108" s="216"/>
      <c r="C108" s="1592"/>
      <c r="D108" s="1592"/>
      <c r="E108" s="1592"/>
      <c r="F108" s="1592"/>
      <c r="G108" s="1592"/>
      <c r="H108" s="1592"/>
      <c r="I108" s="263"/>
      <c r="J108" s="263"/>
      <c r="K108" s="263"/>
      <c r="L108" s="1593"/>
      <c r="M108" s="1593"/>
      <c r="N108" s="1593"/>
      <c r="O108" s="1593"/>
      <c r="P108" s="1593"/>
      <c r="Q108" s="1593"/>
      <c r="R108" s="1593"/>
    </row>
    <row r="111" spans="2:33" hidden="1" x14ac:dyDescent="0.25">
      <c r="C111" s="317"/>
      <c r="D111" s="318">
        <f>D$125</f>
        <v>0</v>
      </c>
      <c r="E111" s="318" t="str">
        <f t="shared" ref="E111:S111" si="33">E125</f>
        <v/>
      </c>
      <c r="F111" s="318" t="str">
        <f t="shared" si="33"/>
        <v/>
      </c>
      <c r="G111" s="318" t="str">
        <f t="shared" si="33"/>
        <v/>
      </c>
      <c r="H111" s="318" t="str">
        <f t="shared" si="33"/>
        <v/>
      </c>
      <c r="I111" s="318" t="str">
        <f t="shared" si="33"/>
        <v/>
      </c>
      <c r="J111" s="318" t="str">
        <f t="shared" si="33"/>
        <v/>
      </c>
      <c r="K111" s="318" t="str">
        <f t="shared" si="33"/>
        <v/>
      </c>
      <c r="L111" s="318" t="str">
        <f t="shared" si="33"/>
        <v/>
      </c>
      <c r="M111" s="318" t="str">
        <f t="shared" si="33"/>
        <v/>
      </c>
      <c r="N111" s="318" t="str">
        <f t="shared" si="33"/>
        <v/>
      </c>
      <c r="O111" s="318" t="str">
        <f t="shared" si="33"/>
        <v/>
      </c>
      <c r="P111" s="318" t="str">
        <f t="shared" si="33"/>
        <v/>
      </c>
      <c r="Q111" s="318" t="str">
        <f t="shared" si="33"/>
        <v/>
      </c>
      <c r="R111" s="318" t="str">
        <f t="shared" si="33"/>
        <v/>
      </c>
      <c r="S111" s="319" t="str">
        <f t="shared" si="33"/>
        <v/>
      </c>
    </row>
    <row r="112" spans="2:33" hidden="1" x14ac:dyDescent="0.25">
      <c r="C112" s="320" t="s">
        <v>722</v>
      </c>
      <c r="D112" s="323" t="str">
        <f t="shared" ref="D112:S112" si="34">IF(D126="", "", D126)</f>
        <v/>
      </c>
      <c r="E112" s="323" t="str">
        <f t="shared" si="34"/>
        <v/>
      </c>
      <c r="F112" s="323" t="str">
        <f t="shared" si="34"/>
        <v/>
      </c>
      <c r="G112" s="323" t="str">
        <f t="shared" si="34"/>
        <v/>
      </c>
      <c r="H112" s="323" t="str">
        <f t="shared" si="34"/>
        <v/>
      </c>
      <c r="I112" s="323" t="str">
        <f t="shared" si="34"/>
        <v/>
      </c>
      <c r="J112" s="323" t="str">
        <f t="shared" si="34"/>
        <v/>
      </c>
      <c r="K112" s="323" t="str">
        <f t="shared" si="34"/>
        <v/>
      </c>
      <c r="L112" s="323" t="str">
        <f t="shared" si="34"/>
        <v/>
      </c>
      <c r="M112" s="323" t="str">
        <f t="shared" si="34"/>
        <v/>
      </c>
      <c r="N112" s="323" t="str">
        <f t="shared" si="34"/>
        <v/>
      </c>
      <c r="O112" s="323" t="str">
        <f t="shared" si="34"/>
        <v/>
      </c>
      <c r="P112" s="323" t="str">
        <f t="shared" si="34"/>
        <v/>
      </c>
      <c r="Q112" s="323" t="str">
        <f t="shared" si="34"/>
        <v/>
      </c>
      <c r="R112" s="323" t="str">
        <f t="shared" si="34"/>
        <v/>
      </c>
      <c r="S112" s="324" t="str">
        <f t="shared" si="34"/>
        <v/>
      </c>
      <c r="T112" s="316"/>
    </row>
    <row r="113" spans="1:35" hidden="1" x14ac:dyDescent="0.25">
      <c r="C113" s="321" t="s">
        <v>1311</v>
      </c>
      <c r="D113" s="325" t="str">
        <f t="shared" ref="D113:S113" si="35">IF(D127=0,"", D127)</f>
        <v/>
      </c>
      <c r="E113" s="325" t="str">
        <f t="shared" si="35"/>
        <v/>
      </c>
      <c r="F113" s="325" t="str">
        <f t="shared" si="35"/>
        <v/>
      </c>
      <c r="G113" s="325" t="str">
        <f t="shared" si="35"/>
        <v/>
      </c>
      <c r="H113" s="325" t="str">
        <f t="shared" si="35"/>
        <v/>
      </c>
      <c r="I113" s="325" t="str">
        <f t="shared" si="35"/>
        <v/>
      </c>
      <c r="J113" s="325" t="str">
        <f t="shared" si="35"/>
        <v/>
      </c>
      <c r="K113" s="325" t="str">
        <f t="shared" si="35"/>
        <v/>
      </c>
      <c r="L113" s="325" t="str">
        <f t="shared" si="35"/>
        <v/>
      </c>
      <c r="M113" s="325" t="str">
        <f t="shared" si="35"/>
        <v/>
      </c>
      <c r="N113" s="325" t="str">
        <f t="shared" si="35"/>
        <v/>
      </c>
      <c r="O113" s="325" t="str">
        <f t="shared" si="35"/>
        <v/>
      </c>
      <c r="P113" s="325" t="str">
        <f t="shared" si="35"/>
        <v/>
      </c>
      <c r="Q113" s="325" t="str">
        <f t="shared" si="35"/>
        <v/>
      </c>
      <c r="R113" s="325" t="str">
        <f t="shared" si="35"/>
        <v/>
      </c>
      <c r="S113" s="326" t="str">
        <f t="shared" si="35"/>
        <v/>
      </c>
    </row>
    <row r="114" spans="1:35" hidden="1" x14ac:dyDescent="0.25">
      <c r="C114" s="321" t="s">
        <v>1312</v>
      </c>
      <c r="D114" s="325" t="str">
        <f t="shared" ref="D114:S114" si="36">IF(D128=0,"", D128)</f>
        <v/>
      </c>
      <c r="E114" s="325" t="str">
        <f t="shared" si="36"/>
        <v/>
      </c>
      <c r="F114" s="325" t="str">
        <f t="shared" si="36"/>
        <v/>
      </c>
      <c r="G114" s="325" t="str">
        <f t="shared" si="36"/>
        <v/>
      </c>
      <c r="H114" s="325" t="str">
        <f t="shared" si="36"/>
        <v/>
      </c>
      <c r="I114" s="325" t="str">
        <f t="shared" si="36"/>
        <v/>
      </c>
      <c r="J114" s="325" t="str">
        <f t="shared" si="36"/>
        <v/>
      </c>
      <c r="K114" s="325" t="str">
        <f t="shared" si="36"/>
        <v/>
      </c>
      <c r="L114" s="325" t="str">
        <f t="shared" si="36"/>
        <v/>
      </c>
      <c r="M114" s="325" t="str">
        <f t="shared" si="36"/>
        <v/>
      </c>
      <c r="N114" s="325" t="str">
        <f t="shared" si="36"/>
        <v/>
      </c>
      <c r="O114" s="325" t="str">
        <f t="shared" si="36"/>
        <v/>
      </c>
      <c r="P114" s="325" t="str">
        <f t="shared" si="36"/>
        <v/>
      </c>
      <c r="Q114" s="325" t="str">
        <f t="shared" si="36"/>
        <v/>
      </c>
      <c r="R114" s="325" t="str">
        <f t="shared" si="36"/>
        <v/>
      </c>
      <c r="S114" s="326" t="str">
        <f t="shared" si="36"/>
        <v/>
      </c>
    </row>
    <row r="115" spans="1:35" hidden="1" x14ac:dyDescent="0.25">
      <c r="C115" s="321" t="s">
        <v>5</v>
      </c>
      <c r="D115" s="325" t="str">
        <f t="shared" ref="D115:S115" si="37">IF(SUM(D129:D130)=0, "", SUM(D129:D130))</f>
        <v/>
      </c>
      <c r="E115" s="325" t="str">
        <f t="shared" si="37"/>
        <v/>
      </c>
      <c r="F115" s="325" t="str">
        <f t="shared" si="37"/>
        <v/>
      </c>
      <c r="G115" s="325" t="str">
        <f t="shared" si="37"/>
        <v/>
      </c>
      <c r="H115" s="325" t="str">
        <f t="shared" si="37"/>
        <v/>
      </c>
      <c r="I115" s="325" t="str">
        <f t="shared" si="37"/>
        <v/>
      </c>
      <c r="J115" s="325" t="str">
        <f t="shared" si="37"/>
        <v/>
      </c>
      <c r="K115" s="325" t="str">
        <f t="shared" si="37"/>
        <v/>
      </c>
      <c r="L115" s="325" t="str">
        <f t="shared" si="37"/>
        <v/>
      </c>
      <c r="M115" s="325" t="str">
        <f t="shared" si="37"/>
        <v/>
      </c>
      <c r="N115" s="325" t="str">
        <f t="shared" si="37"/>
        <v/>
      </c>
      <c r="O115" s="325" t="str">
        <f t="shared" si="37"/>
        <v/>
      </c>
      <c r="P115" s="325" t="str">
        <f t="shared" si="37"/>
        <v/>
      </c>
      <c r="Q115" s="325" t="str">
        <f t="shared" si="37"/>
        <v/>
      </c>
      <c r="R115" s="325" t="str">
        <f t="shared" si="37"/>
        <v/>
      </c>
      <c r="S115" s="326" t="str">
        <f t="shared" si="37"/>
        <v/>
      </c>
    </row>
    <row r="116" spans="1:35" hidden="1" x14ac:dyDescent="0.25">
      <c r="C116" s="321" t="s">
        <v>3</v>
      </c>
      <c r="D116" s="325" t="str">
        <f t="shared" ref="D116:S116" si="38">IF(SUM(D131:D133)=0,"",SUM(D131:D133))</f>
        <v/>
      </c>
      <c r="E116" s="325" t="str">
        <f t="shared" si="38"/>
        <v/>
      </c>
      <c r="F116" s="325" t="str">
        <f t="shared" si="38"/>
        <v/>
      </c>
      <c r="G116" s="325" t="str">
        <f t="shared" si="38"/>
        <v/>
      </c>
      <c r="H116" s="325" t="str">
        <f t="shared" si="38"/>
        <v/>
      </c>
      <c r="I116" s="325" t="str">
        <f t="shared" si="38"/>
        <v/>
      </c>
      <c r="J116" s="325" t="str">
        <f t="shared" si="38"/>
        <v/>
      </c>
      <c r="K116" s="325" t="str">
        <f t="shared" si="38"/>
        <v/>
      </c>
      <c r="L116" s="325" t="str">
        <f t="shared" si="38"/>
        <v/>
      </c>
      <c r="M116" s="325" t="str">
        <f t="shared" si="38"/>
        <v/>
      </c>
      <c r="N116" s="325" t="str">
        <f t="shared" si="38"/>
        <v/>
      </c>
      <c r="O116" s="325" t="str">
        <f t="shared" si="38"/>
        <v/>
      </c>
      <c r="P116" s="325" t="str">
        <f t="shared" si="38"/>
        <v/>
      </c>
      <c r="Q116" s="325" t="str">
        <f t="shared" si="38"/>
        <v/>
      </c>
      <c r="R116" s="325" t="str">
        <f t="shared" si="38"/>
        <v/>
      </c>
      <c r="S116" s="326" t="str">
        <f t="shared" si="38"/>
        <v/>
      </c>
    </row>
    <row r="117" spans="1:35" hidden="1" x14ac:dyDescent="0.25">
      <c r="C117" s="329" t="s">
        <v>723</v>
      </c>
      <c r="D117" s="330" t="str">
        <f t="shared" ref="D117:S117" si="39">IF(D135="", "", D135)</f>
        <v/>
      </c>
      <c r="E117" s="330" t="str">
        <f t="shared" si="39"/>
        <v/>
      </c>
      <c r="F117" s="330" t="str">
        <f t="shared" si="39"/>
        <v/>
      </c>
      <c r="G117" s="330" t="str">
        <f t="shared" si="39"/>
        <v/>
      </c>
      <c r="H117" s="330" t="str">
        <f t="shared" si="39"/>
        <v/>
      </c>
      <c r="I117" s="330" t="str">
        <f t="shared" si="39"/>
        <v/>
      </c>
      <c r="J117" s="330" t="str">
        <f t="shared" si="39"/>
        <v/>
      </c>
      <c r="K117" s="330" t="str">
        <f t="shared" si="39"/>
        <v/>
      </c>
      <c r="L117" s="330" t="str">
        <f t="shared" si="39"/>
        <v/>
      </c>
      <c r="M117" s="330" t="str">
        <f t="shared" si="39"/>
        <v/>
      </c>
      <c r="N117" s="330" t="str">
        <f t="shared" si="39"/>
        <v/>
      </c>
      <c r="O117" s="330" t="str">
        <f t="shared" si="39"/>
        <v/>
      </c>
      <c r="P117" s="330" t="str">
        <f t="shared" si="39"/>
        <v/>
      </c>
      <c r="Q117" s="330" t="str">
        <f t="shared" si="39"/>
        <v/>
      </c>
      <c r="R117" s="330" t="str">
        <f t="shared" si="39"/>
        <v/>
      </c>
      <c r="S117" s="331" t="str">
        <f t="shared" si="39"/>
        <v/>
      </c>
    </row>
    <row r="118" spans="1:35" hidden="1" x14ac:dyDescent="0.25">
      <c r="C118" s="321" t="s">
        <v>2</v>
      </c>
      <c r="D118" s="325" t="str">
        <f t="shared" ref="D118:S118" si="40">IF(SUM(D136:D138)=0, "", SUM(D136:D138))</f>
        <v/>
      </c>
      <c r="E118" s="325" t="str">
        <f t="shared" si="40"/>
        <v/>
      </c>
      <c r="F118" s="325" t="str">
        <f t="shared" si="40"/>
        <v/>
      </c>
      <c r="G118" s="325" t="str">
        <f t="shared" si="40"/>
        <v/>
      </c>
      <c r="H118" s="325" t="str">
        <f t="shared" si="40"/>
        <v/>
      </c>
      <c r="I118" s="325" t="str">
        <f t="shared" si="40"/>
        <v/>
      </c>
      <c r="J118" s="325" t="str">
        <f t="shared" si="40"/>
        <v/>
      </c>
      <c r="K118" s="325" t="str">
        <f t="shared" si="40"/>
        <v/>
      </c>
      <c r="L118" s="325" t="str">
        <f t="shared" si="40"/>
        <v/>
      </c>
      <c r="M118" s="325" t="str">
        <f t="shared" si="40"/>
        <v/>
      </c>
      <c r="N118" s="325" t="str">
        <f t="shared" si="40"/>
        <v/>
      </c>
      <c r="O118" s="325" t="str">
        <f t="shared" si="40"/>
        <v/>
      </c>
      <c r="P118" s="325" t="str">
        <f t="shared" si="40"/>
        <v/>
      </c>
      <c r="Q118" s="325" t="str">
        <f t="shared" si="40"/>
        <v/>
      </c>
      <c r="R118" s="325" t="str">
        <f t="shared" si="40"/>
        <v/>
      </c>
      <c r="S118" s="326" t="str">
        <f t="shared" si="40"/>
        <v/>
      </c>
    </row>
    <row r="119" spans="1:35" hidden="1" x14ac:dyDescent="0.25">
      <c r="C119" s="321" t="s">
        <v>110</v>
      </c>
      <c r="D119" s="325" t="str">
        <f t="shared" ref="D119:S119" si="41">IF(SUM(D141:D143)=0,"", SUM(D141:D143))</f>
        <v/>
      </c>
      <c r="E119" s="325" t="str">
        <f t="shared" si="41"/>
        <v/>
      </c>
      <c r="F119" s="325" t="str">
        <f t="shared" si="41"/>
        <v/>
      </c>
      <c r="G119" s="325" t="str">
        <f t="shared" si="41"/>
        <v/>
      </c>
      <c r="H119" s="325" t="str">
        <f t="shared" si="41"/>
        <v/>
      </c>
      <c r="I119" s="325" t="str">
        <f t="shared" si="41"/>
        <v/>
      </c>
      <c r="J119" s="325" t="str">
        <f t="shared" si="41"/>
        <v/>
      </c>
      <c r="K119" s="325" t="str">
        <f t="shared" si="41"/>
        <v/>
      </c>
      <c r="L119" s="325" t="str">
        <f t="shared" si="41"/>
        <v/>
      </c>
      <c r="M119" s="325" t="str">
        <f t="shared" si="41"/>
        <v/>
      </c>
      <c r="N119" s="325" t="str">
        <f t="shared" si="41"/>
        <v/>
      </c>
      <c r="O119" s="325" t="str">
        <f t="shared" si="41"/>
        <v/>
      </c>
      <c r="P119" s="325" t="str">
        <f t="shared" si="41"/>
        <v/>
      </c>
      <c r="Q119" s="325" t="str">
        <f t="shared" si="41"/>
        <v/>
      </c>
      <c r="R119" s="325" t="str">
        <f t="shared" si="41"/>
        <v/>
      </c>
      <c r="S119" s="326" t="str">
        <f t="shared" si="41"/>
        <v/>
      </c>
    </row>
    <row r="120" spans="1:35" ht="15.75" hidden="1" thickBot="1" x14ac:dyDescent="0.3">
      <c r="C120" s="322" t="s">
        <v>111</v>
      </c>
      <c r="D120" s="327" t="str">
        <f t="shared" ref="D120:S120" si="42">IF(D144=0, "", D144)</f>
        <v/>
      </c>
      <c r="E120" s="327" t="str">
        <f t="shared" si="42"/>
        <v/>
      </c>
      <c r="F120" s="327" t="str">
        <f t="shared" si="42"/>
        <v/>
      </c>
      <c r="G120" s="327" t="str">
        <f t="shared" si="42"/>
        <v/>
      </c>
      <c r="H120" s="327" t="str">
        <f t="shared" si="42"/>
        <v/>
      </c>
      <c r="I120" s="327" t="str">
        <f t="shared" si="42"/>
        <v/>
      </c>
      <c r="J120" s="327" t="str">
        <f t="shared" si="42"/>
        <v/>
      </c>
      <c r="K120" s="327" t="str">
        <f t="shared" si="42"/>
        <v/>
      </c>
      <c r="L120" s="327" t="str">
        <f t="shared" si="42"/>
        <v/>
      </c>
      <c r="M120" s="327" t="str">
        <f t="shared" si="42"/>
        <v/>
      </c>
      <c r="N120" s="327" t="str">
        <f t="shared" si="42"/>
        <v/>
      </c>
      <c r="O120" s="327" t="str">
        <f t="shared" si="42"/>
        <v/>
      </c>
      <c r="P120" s="327" t="str">
        <f t="shared" si="42"/>
        <v/>
      </c>
      <c r="Q120" s="327" t="str">
        <f t="shared" si="42"/>
        <v/>
      </c>
      <c r="R120" s="327" t="str">
        <f t="shared" si="42"/>
        <v/>
      </c>
      <c r="S120" s="328" t="str">
        <f t="shared" si="42"/>
        <v/>
      </c>
    </row>
    <row r="121" spans="1:35" hidden="1" x14ac:dyDescent="0.25"/>
    <row r="122" spans="1:35" ht="55.5" customHeight="1" thickBot="1" x14ac:dyDescent="0.3">
      <c r="B122" s="1594" t="str">
        <f>IF(Language="English", AD122,AF122 )</f>
        <v>ÉTAPE OPTIONNELLE : Examinez les nombres de vos utilisatrices, calculés à partir des données sur les produits aux clients que vous avez saisies sur la page précédente.</v>
      </c>
      <c r="C122" s="1594"/>
      <c r="D122" s="1594"/>
      <c r="E122" s="1594"/>
      <c r="F122" s="1594"/>
      <c r="G122" s="1594"/>
      <c r="H122" s="1594"/>
      <c r="I122" s="1594"/>
      <c r="J122" s="1594"/>
      <c r="K122" s="1594"/>
      <c r="L122" s="1594"/>
      <c r="M122" s="1594"/>
      <c r="N122" s="1594"/>
      <c r="O122" s="1594"/>
      <c r="P122" s="1594"/>
      <c r="Q122" s="1594"/>
      <c r="R122" s="1594"/>
      <c r="S122" s="1594"/>
      <c r="T122" s="1594"/>
      <c r="U122" s="1594"/>
      <c r="V122" s="1594"/>
      <c r="AD122" s="445" t="s">
        <v>1057</v>
      </c>
      <c r="AE122" s="449"/>
      <c r="AF122" s="447" t="s">
        <v>2436</v>
      </c>
    </row>
    <row r="123" spans="1:35" ht="42.75" customHeight="1" thickBot="1" x14ac:dyDescent="0.3">
      <c r="B123" s="236" t="str">
        <f>IF(Language="English", AD123,AF123 )</f>
        <v>Note : Si les taux de complétude étaient inférieurs à 60% pour une année donnée, ces valeurs ont été exclues ci-dessous et ne peuvent pas être utilisées pour produire l'EUM.</v>
      </c>
      <c r="C123" s="230"/>
      <c r="D123" s="230"/>
      <c r="E123" s="230"/>
      <c r="F123" s="230"/>
      <c r="G123" s="230"/>
      <c r="H123" s="230"/>
      <c r="I123" s="230"/>
      <c r="J123" s="230"/>
      <c r="K123" s="230"/>
      <c r="L123" s="230"/>
      <c r="M123" s="230"/>
      <c r="N123" s="230"/>
      <c r="O123" s="230"/>
      <c r="P123" s="230"/>
      <c r="Q123" s="230"/>
      <c r="R123" s="230"/>
      <c r="S123" s="230"/>
      <c r="AD123" s="445" t="s">
        <v>564</v>
      </c>
      <c r="AE123" s="449"/>
      <c r="AF123" s="447" t="s">
        <v>1134</v>
      </c>
    </row>
    <row r="124" spans="1:35" ht="18.75" x14ac:dyDescent="0.25">
      <c r="B124" s="1590" t="str">
        <f>IF(AND(COUNT($D$125:$S$125)&gt;COUNT($D$126:$S$126), Language="English"), "At Least One Year Not Calculated : Check Reporting Rates", IF(AND(COUNT($D$125:$S$125)&gt;COUNT($D$126:$S$126), Language="Francais"), "Un an non calculé : Vérifier les taux de complétude", ""))</f>
        <v>Un an non calculé : Vérifier les taux de complétude</v>
      </c>
      <c r="C124" s="1591"/>
      <c r="D124" s="1581" t="str">
        <f>IF(Language="English",'Language Look Ups'!O33,IF(Language="Francais", 'Language Look Ups'!S33,'Language Look Ups'!Q33))</f>
        <v>Estimation des Utilisatrices Modernes: Ajusté pour le secteur privé</v>
      </c>
      <c r="E124" s="1533"/>
      <c r="F124" s="1533"/>
      <c r="G124" s="1533"/>
      <c r="H124" s="1533"/>
      <c r="I124" s="1533"/>
      <c r="J124" s="1533"/>
      <c r="K124" s="1533"/>
      <c r="L124" s="1533"/>
      <c r="M124" s="1533"/>
      <c r="N124" s="1533"/>
      <c r="O124" s="1533"/>
      <c r="P124" s="1533"/>
      <c r="Q124" s="1533"/>
      <c r="R124" s="1533"/>
      <c r="S124" s="1534"/>
      <c r="U124" s="1595" t="str">
        <f>'Language Look Ups'!B37</f>
        <v>Valeurs aberrantes*</v>
      </c>
      <c r="V124" s="1595" t="s">
        <v>1205</v>
      </c>
      <c r="X124" s="1596" t="s">
        <v>1195</v>
      </c>
      <c r="Y124" s="1597" t="s">
        <v>1196</v>
      </c>
      <c r="Z124" s="1599" t="s">
        <v>1199</v>
      </c>
      <c r="AA124" s="1600" t="s">
        <v>1200</v>
      </c>
      <c r="AD124" s="445"/>
      <c r="AE124" s="449"/>
      <c r="AF124" s="447"/>
    </row>
    <row r="125" spans="1:35" ht="15.75" thickBot="1" x14ac:dyDescent="0.3">
      <c r="B125" s="1590"/>
      <c r="C125" s="1591"/>
      <c r="D125" s="16">
        <f>'Commodities (Clients) Input'!G21</f>
        <v>0</v>
      </c>
      <c r="E125" s="12" t="str">
        <f>'Commodities (Clients) Input'!H21</f>
        <v/>
      </c>
      <c r="F125" s="12" t="str">
        <f>'Commodities (Clients) Input'!I21</f>
        <v/>
      </c>
      <c r="G125" s="12" t="str">
        <f>'Commodities (Clients) Input'!J21</f>
        <v/>
      </c>
      <c r="H125" s="12" t="str">
        <f>'Commodities (Clients) Input'!K21</f>
        <v/>
      </c>
      <c r="I125" s="12" t="str">
        <f>'Commodities (Clients) Input'!L21</f>
        <v/>
      </c>
      <c r="J125" s="12" t="str">
        <f>'Commodities (Clients) Input'!M21</f>
        <v/>
      </c>
      <c r="K125" s="12" t="str">
        <f>'Commodities (Clients) Input'!N21</f>
        <v/>
      </c>
      <c r="L125" s="12" t="str">
        <f>'Commodities (Clients) Input'!O21</f>
        <v/>
      </c>
      <c r="M125" s="13" t="str">
        <f>'Commodities (Clients) Input'!P21</f>
        <v/>
      </c>
      <c r="N125" s="13" t="str">
        <f>'Commodities (Clients) Input'!Q21</f>
        <v/>
      </c>
      <c r="O125" s="13" t="str">
        <f>'Commodities (Clients) Input'!R21</f>
        <v/>
      </c>
      <c r="P125" s="13" t="str">
        <f>'Commodities (Clients) Input'!S21</f>
        <v/>
      </c>
      <c r="Q125" s="13" t="str">
        <f>'Commodities (Clients) Input'!T21</f>
        <v/>
      </c>
      <c r="R125" s="13" t="str">
        <f>'Commodities (Clients) Input'!U21</f>
        <v/>
      </c>
      <c r="S125" s="13" t="str">
        <f>'Commodities (Clients) Input'!V21</f>
        <v/>
      </c>
      <c r="U125" s="1595"/>
      <c r="V125" s="1595"/>
      <c r="X125" s="1596"/>
      <c r="Y125" s="1597"/>
      <c r="Z125" s="1599"/>
      <c r="AA125" s="1600"/>
      <c r="AC125" t="str">
        <f>IF(Language="English", AD125, AF125)</f>
        <v xml:space="preserve"> à </v>
      </c>
      <c r="AD125" s="445" t="s">
        <v>1227</v>
      </c>
      <c r="AE125" s="449"/>
      <c r="AF125" s="447" t="s">
        <v>1228</v>
      </c>
    </row>
    <row r="126" spans="1:35" ht="19.5" thickBot="1" x14ac:dyDescent="0.35">
      <c r="A126" s="188"/>
      <c r="B126" s="104" t="str">
        <f>'Commodities (Clients) Input'!B22</f>
        <v>Méthodes à Long Terme et Permanentes</v>
      </c>
      <c r="C126" s="51"/>
      <c r="D126" s="929" t="str">
        <f>IF(D125="","",IF(SUM(D127:D133)=0,"",(SUM(D127:D133))))</f>
        <v/>
      </c>
      <c r="E126" s="929" t="str">
        <f t="shared" ref="E126:S126" si="43">IF(E125="","",IF(SUM(E127:E133)=0,"",(SUM(E127:E133))))</f>
        <v/>
      </c>
      <c r="F126" s="929" t="str">
        <f t="shared" si="43"/>
        <v/>
      </c>
      <c r="G126" s="929" t="str">
        <f t="shared" si="43"/>
        <v/>
      </c>
      <c r="H126" s="929" t="str">
        <f t="shared" si="43"/>
        <v/>
      </c>
      <c r="I126" s="929" t="str">
        <f t="shared" si="43"/>
        <v/>
      </c>
      <c r="J126" s="929" t="str">
        <f t="shared" si="43"/>
        <v/>
      </c>
      <c r="K126" s="929" t="str">
        <f t="shared" si="43"/>
        <v/>
      </c>
      <c r="L126" s="929" t="str">
        <f t="shared" si="43"/>
        <v/>
      </c>
      <c r="M126" s="929" t="str">
        <f t="shared" si="43"/>
        <v/>
      </c>
      <c r="N126" s="929" t="str">
        <f t="shared" si="43"/>
        <v/>
      </c>
      <c r="O126" s="929" t="str">
        <f t="shared" si="43"/>
        <v/>
      </c>
      <c r="P126" s="929" t="str">
        <f t="shared" si="43"/>
        <v/>
      </c>
      <c r="Q126" s="929" t="str">
        <f t="shared" si="43"/>
        <v/>
      </c>
      <c r="R126" s="929" t="str">
        <f t="shared" si="43"/>
        <v/>
      </c>
      <c r="S126" s="929" t="str">
        <f t="shared" si="43"/>
        <v/>
      </c>
      <c r="T126" s="188"/>
      <c r="U126" s="927"/>
      <c r="V126" s="927"/>
      <c r="W126" s="809"/>
      <c r="X126" s="1596"/>
      <c r="Y126" s="1598"/>
      <c r="Z126" s="1599"/>
      <c r="AA126" s="1600"/>
      <c r="AB126" s="188"/>
      <c r="AC126" s="188"/>
      <c r="AD126" s="446"/>
      <c r="AE126" s="450"/>
      <c r="AF126" s="448"/>
      <c r="AG126" s="188"/>
      <c r="AH126" s="188"/>
      <c r="AI126" s="188"/>
    </row>
    <row r="127" spans="1:35" ht="15.75" thickBot="1" x14ac:dyDescent="0.3">
      <c r="B127" s="1579" t="str">
        <f>'Commodities (Clients) Input'!B23</f>
        <v>Stérilisation</v>
      </c>
      <c r="C127" s="274" t="str">
        <f>'Commodities (Clients) Input'!C23</f>
        <v>Ligature des trompes</v>
      </c>
      <c r="D127" s="197" t="str">
        <f>IF(D$125="", "", VLOOKUP($C127, 'Commodities (Clients) Input'!$CB$23:$CR$46, MATCH('Commodities (Clients) Output'!D$125, 'Commodities (Clients) Input'!$CB$21:$CR$21, 0), FALSE))</f>
        <v/>
      </c>
      <c r="E127" s="198" t="str">
        <f>IF(E$125="", "", VLOOKUP($C127, 'Commodities (Clients) Input'!$CB$23:$CR$46, MATCH('Commodities (Clients) Output'!E$125, 'Commodities (Clients) Input'!$CB$21:$CR$21, 0), FALSE))</f>
        <v/>
      </c>
      <c r="F127" s="198" t="str">
        <f>IF(F$125="", "", VLOOKUP($C127, 'Commodities (Clients) Input'!$CB$23:$CR$46, MATCH('Commodities (Clients) Output'!F$125, 'Commodities (Clients) Input'!$CB$21:$CR$21, 0), FALSE))</f>
        <v/>
      </c>
      <c r="G127" s="198" t="str">
        <f>IF(G$125="", "", VLOOKUP($C127, 'Commodities (Clients) Input'!$CB$23:$CR$46, MATCH('Commodities (Clients) Output'!G$125, 'Commodities (Clients) Input'!$CB$21:$CR$21, 0), FALSE))</f>
        <v/>
      </c>
      <c r="H127" s="198" t="str">
        <f>IF(H$125="", "", VLOOKUP($C127, 'Commodities (Clients) Input'!$CB$23:$CR$46, MATCH('Commodities (Clients) Output'!H$125, 'Commodities (Clients) Input'!$CB$21:$CR$21, 0), FALSE))</f>
        <v/>
      </c>
      <c r="I127" s="198" t="str">
        <f>IF(I$125="", "", VLOOKUP($C127, 'Commodities (Clients) Input'!$CB$23:$CR$46, MATCH('Commodities (Clients) Output'!I$125, 'Commodities (Clients) Input'!$CB$21:$CR$21, 0), FALSE))</f>
        <v/>
      </c>
      <c r="J127" s="198" t="str">
        <f>IF(J$125="", "", VLOOKUP($C127, 'Commodities (Clients) Input'!$CB$23:$CR$46, MATCH('Commodities (Clients) Output'!J$125, 'Commodities (Clients) Input'!$CB$21:$CR$21, 0), FALSE))</f>
        <v/>
      </c>
      <c r="K127" s="198" t="str">
        <f>IF(K$125="", "", VLOOKUP($C127, 'Commodities (Clients) Input'!$CB$23:$CR$46, MATCH('Commodities (Clients) Output'!K$125, 'Commodities (Clients) Input'!$CB$21:$CR$21, 0), FALSE))</f>
        <v/>
      </c>
      <c r="L127" s="198" t="str">
        <f>IF(L$125="", "", VLOOKUP($C127, 'Commodities (Clients) Input'!$CB$23:$CR$46, MATCH('Commodities (Clients) Output'!L$125, 'Commodities (Clients) Input'!$CB$21:$CR$21, 0), FALSE))</f>
        <v/>
      </c>
      <c r="M127" s="199" t="str">
        <f>IF(M$125="", "", VLOOKUP($C127, 'Commodities (Clients) Input'!$CB$23:$CR$46, MATCH('Commodities (Clients) Output'!M$125, 'Commodities (Clients) Input'!$CB$21:$CR$21, 0), FALSE))</f>
        <v/>
      </c>
      <c r="N127" s="199" t="str">
        <f>IF(N$125="", "", VLOOKUP($C127, 'Commodities (Clients) Input'!$CB$23:$CR$46, MATCH('Commodities (Clients) Output'!N$125, 'Commodities (Clients) Input'!$CB$21:$CR$21, 0), FALSE))</f>
        <v/>
      </c>
      <c r="O127" s="199" t="str">
        <f>IF(O$125="", "", VLOOKUP($C127, 'Commodities (Clients) Input'!$CB$23:$CR$46, MATCH('Commodities (Clients) Output'!O$125, 'Commodities (Clients) Input'!$CB$21:$CR$21, 0), FALSE))</f>
        <v/>
      </c>
      <c r="P127" s="199" t="str">
        <f>IF(P$125="", "", VLOOKUP($C127, 'Commodities (Clients) Input'!$CB$23:$CR$46, MATCH('Commodities (Clients) Output'!P$125, 'Commodities (Clients) Input'!$CB$21:$CR$21, 0), FALSE))</f>
        <v/>
      </c>
      <c r="Q127" s="199" t="str">
        <f>IF(Q$125="", "", VLOOKUP($C127, 'Commodities (Clients) Input'!$CB$23:$CR$46, MATCH('Commodities (Clients) Output'!Q$125, 'Commodities (Clients) Input'!$CB$21:$CR$21, 0), FALSE))</f>
        <v/>
      </c>
      <c r="R127" s="199" t="str">
        <f>IF(R$125="", "", VLOOKUP($C127, 'Commodities (Clients) Input'!$CB$23:$CR$46, MATCH('Commodities (Clients) Output'!R$125, 'Commodities (Clients) Input'!$CB$21:$CR$21, 0), FALSE))</f>
        <v/>
      </c>
      <c r="S127" s="200" t="str">
        <f>IF(S$125="", "", VLOOKUP($C127, 'Commodities (Clients) Input'!$CB$23:$CR$46, MATCH('Commodities (Clients) Output'!S$125, 'Commodities (Clients) Input'!$CB$21:$CR$21, 0), FALSE))</f>
        <v/>
      </c>
      <c r="U127" s="928" t="str">
        <f>IF(COUNTIF($D127:$S127, "&gt;"&amp;Z127)+COUNTIF($D127:$S127, "&lt;"&amp;AA127)&gt;0, $U$124, "")</f>
        <v/>
      </c>
      <c r="V127" s="877" t="str">
        <f>IFERROR(IF(U127="", "", "("&amp;TEXT(AA127, "0")&amp;$AC$125&amp;TEXT(Z127, "0")&amp;")"), "")</f>
        <v/>
      </c>
      <c r="X127" s="856" t="e">
        <f>AVERAGE($D127:$S127)</f>
        <v>#DIV/0!</v>
      </c>
      <c r="Y127" s="857" t="e">
        <f>STDEV($D127:$S127)*2</f>
        <v>#DIV/0!</v>
      </c>
      <c r="Z127" s="856" t="e">
        <f>X127+Y127</f>
        <v>#DIV/0!</v>
      </c>
      <c r="AA127" s="856" t="e">
        <f>X127-Y127</f>
        <v>#DIV/0!</v>
      </c>
      <c r="AD127" s="445"/>
      <c r="AE127" s="449"/>
      <c r="AF127" s="447"/>
    </row>
    <row r="128" spans="1:35" ht="15.75" thickBot="1" x14ac:dyDescent="0.3">
      <c r="B128" s="1580"/>
      <c r="C128" s="275" t="str">
        <f>'Commodities (Clients) Input'!C24</f>
        <v>Vasectomie</v>
      </c>
      <c r="D128" s="91" t="str">
        <f>IF(D$125="", "", VLOOKUP($C128, 'Commodities (Clients) Input'!$CB$23:$CR$46, MATCH('Commodities (Clients) Output'!D$125, 'Commodities (Clients) Input'!$CB$21:$CR$21, 0), FALSE))</f>
        <v/>
      </c>
      <c r="E128" s="92" t="str">
        <f>IF(E$125="", "", VLOOKUP($C128, 'Commodities (Clients) Input'!$CB$23:$CR$46, MATCH('Commodities (Clients) Output'!E$125, 'Commodities (Clients) Input'!$CB$21:$CR$21, 0), FALSE))</f>
        <v/>
      </c>
      <c r="F128" s="92" t="str">
        <f>IF(F$125="", "", VLOOKUP($C128, 'Commodities (Clients) Input'!$CB$23:$CR$46, MATCH('Commodities (Clients) Output'!F$125, 'Commodities (Clients) Input'!$CB$21:$CR$21, 0), FALSE))</f>
        <v/>
      </c>
      <c r="G128" s="92" t="str">
        <f>IF(G$125="", "", VLOOKUP($C128, 'Commodities (Clients) Input'!$CB$23:$CR$46, MATCH('Commodities (Clients) Output'!G$125, 'Commodities (Clients) Input'!$CB$21:$CR$21, 0), FALSE))</f>
        <v/>
      </c>
      <c r="H128" s="92" t="str">
        <f>IF(H$125="", "", VLOOKUP($C128, 'Commodities (Clients) Input'!$CB$23:$CR$46, MATCH('Commodities (Clients) Output'!H$125, 'Commodities (Clients) Input'!$CB$21:$CR$21, 0), FALSE))</f>
        <v/>
      </c>
      <c r="I128" s="92" t="str">
        <f>IF(I$125="", "", VLOOKUP($C128, 'Commodities (Clients) Input'!$CB$23:$CR$46, MATCH('Commodities (Clients) Output'!I$125, 'Commodities (Clients) Input'!$CB$21:$CR$21, 0), FALSE))</f>
        <v/>
      </c>
      <c r="J128" s="92" t="str">
        <f>IF(J$125="", "", VLOOKUP($C128, 'Commodities (Clients) Input'!$CB$23:$CR$46, MATCH('Commodities (Clients) Output'!J$125, 'Commodities (Clients) Input'!$CB$21:$CR$21, 0), FALSE))</f>
        <v/>
      </c>
      <c r="K128" s="92" t="str">
        <f>IF(K$125="", "", VLOOKUP($C128, 'Commodities (Clients) Input'!$CB$23:$CR$46, MATCH('Commodities (Clients) Output'!K$125, 'Commodities (Clients) Input'!$CB$21:$CR$21, 0), FALSE))</f>
        <v/>
      </c>
      <c r="L128" s="92" t="str">
        <f>IF(L$125="", "", VLOOKUP($C128, 'Commodities (Clients) Input'!$CB$23:$CR$46, MATCH('Commodities (Clients) Output'!L$125, 'Commodities (Clients) Input'!$CB$21:$CR$21, 0), FALSE))</f>
        <v/>
      </c>
      <c r="M128" s="93" t="str">
        <f>IF(M$125="", "", VLOOKUP($C128, 'Commodities (Clients) Input'!$CB$23:$CR$46, MATCH('Commodities (Clients) Output'!M$125, 'Commodities (Clients) Input'!$CB$21:$CR$21, 0), FALSE))</f>
        <v/>
      </c>
      <c r="N128" s="93" t="str">
        <f>IF(N$125="", "", VLOOKUP($C128, 'Commodities (Clients) Input'!$CB$23:$CR$46, MATCH('Commodities (Clients) Output'!N$125, 'Commodities (Clients) Input'!$CB$21:$CR$21, 0), FALSE))</f>
        <v/>
      </c>
      <c r="O128" s="93" t="str">
        <f>IF(O$125="", "", VLOOKUP($C128, 'Commodities (Clients) Input'!$CB$23:$CR$46, MATCH('Commodities (Clients) Output'!O$125, 'Commodities (Clients) Input'!$CB$21:$CR$21, 0), FALSE))</f>
        <v/>
      </c>
      <c r="P128" s="93" t="str">
        <f>IF(P$125="", "", VLOOKUP($C128, 'Commodities (Clients) Input'!$CB$23:$CR$46, MATCH('Commodities (Clients) Output'!P$125, 'Commodities (Clients) Input'!$CB$21:$CR$21, 0), FALSE))</f>
        <v/>
      </c>
      <c r="Q128" s="93" t="str">
        <f>IF(Q$125="", "", VLOOKUP($C128, 'Commodities (Clients) Input'!$CB$23:$CR$46, MATCH('Commodities (Clients) Output'!Q$125, 'Commodities (Clients) Input'!$CB$21:$CR$21, 0), FALSE))</f>
        <v/>
      </c>
      <c r="R128" s="93" t="str">
        <f>IF(R$125="", "", VLOOKUP($C128, 'Commodities (Clients) Input'!$CB$23:$CR$46, MATCH('Commodities (Clients) Output'!R$125, 'Commodities (Clients) Input'!$CB$21:$CR$21, 0), FALSE))</f>
        <v/>
      </c>
      <c r="S128" s="94" t="str">
        <f>IF(S$125="", "", VLOOKUP($C128, 'Commodities (Clients) Input'!$CB$23:$CR$46, MATCH('Commodities (Clients) Output'!S$125, 'Commodities (Clients) Input'!$CB$21:$CR$21, 0), FALSE))</f>
        <v/>
      </c>
      <c r="U128" s="928" t="str">
        <f t="shared" ref="U128:U133" si="44">IF(COUNTIF($D128:$S128, "&gt;"&amp;Z128)+COUNTIF($D128:$S128, "&lt;"&amp;AA128)&gt;0, $U$124, "")</f>
        <v/>
      </c>
      <c r="V128" s="877" t="str">
        <f t="shared" ref="V128:V133" si="45">IFERROR(IF(U128="", "", "("&amp;TEXT(AA128, "0")&amp;$AC$125&amp;TEXT(Z128, "0")&amp;")"), "")</f>
        <v/>
      </c>
      <c r="X128" s="856" t="e">
        <f t="shared" ref="X128:X133" si="46">AVERAGE($D128:$S128)</f>
        <v>#DIV/0!</v>
      </c>
      <c r="Y128" s="857" t="e">
        <f t="shared" ref="Y128:Y133" si="47">STDEV($D128:$S128)*2</f>
        <v>#DIV/0!</v>
      </c>
      <c r="Z128" s="856" t="e">
        <f t="shared" ref="Z128:Z133" si="48">X128+Y128</f>
        <v>#DIV/0!</v>
      </c>
      <c r="AA128" s="856" t="e">
        <f t="shared" ref="AA128:AA133" si="49">X128-Y128</f>
        <v>#DIV/0!</v>
      </c>
      <c r="AD128" s="445"/>
      <c r="AE128" s="449"/>
      <c r="AF128" s="447"/>
    </row>
    <row r="129" spans="1:35" ht="15.75" thickBot="1" x14ac:dyDescent="0.3">
      <c r="B129" s="1579" t="str">
        <f>'Commodities (Clients) Input'!B25</f>
        <v>DIU</v>
      </c>
      <c r="C129" s="274" t="str">
        <f>'Commodities (Clients) Input'!C25</f>
        <v>Copper- T 380-A DIU</v>
      </c>
      <c r="D129" s="95" t="str">
        <f>IF(D$125="", "", VLOOKUP($C129, 'Commodities (Clients) Input'!$CB$23:$CR$46, MATCH('Commodities (Clients) Output'!D$125, 'Commodities (Clients) Input'!$CB$21:$CR$21, 0), FALSE))</f>
        <v/>
      </c>
      <c r="E129" s="201" t="str">
        <f>IF(E$125="", "", VLOOKUP($C129, 'Commodities (Clients) Input'!$CB$23:$CR$46, MATCH('Commodities (Clients) Output'!E$125, 'Commodities (Clients) Input'!$CB$21:$CR$21, 0), FALSE))</f>
        <v/>
      </c>
      <c r="F129" s="201" t="str">
        <f>IF(F$125="", "", VLOOKUP($C129, 'Commodities (Clients) Input'!$CB$23:$CR$46, MATCH('Commodities (Clients) Output'!F$125, 'Commodities (Clients) Input'!$CB$21:$CR$21, 0), FALSE))</f>
        <v/>
      </c>
      <c r="G129" s="201" t="str">
        <f>IF(G$125="", "", VLOOKUP($C129, 'Commodities (Clients) Input'!$CB$23:$CR$46, MATCH('Commodities (Clients) Output'!G$125, 'Commodities (Clients) Input'!$CB$21:$CR$21, 0), FALSE))</f>
        <v/>
      </c>
      <c r="H129" s="201" t="str">
        <f>IF(H$125="", "", VLOOKUP($C129, 'Commodities (Clients) Input'!$CB$23:$CR$46, MATCH('Commodities (Clients) Output'!H$125, 'Commodities (Clients) Input'!$CB$21:$CR$21, 0), FALSE))</f>
        <v/>
      </c>
      <c r="I129" s="201" t="str">
        <f>IF(I$125="", "", VLOOKUP($C129, 'Commodities (Clients) Input'!$CB$23:$CR$46, MATCH('Commodities (Clients) Output'!I$125, 'Commodities (Clients) Input'!$CB$21:$CR$21, 0), FALSE))</f>
        <v/>
      </c>
      <c r="J129" s="201" t="str">
        <f>IF(J$125="", "", VLOOKUP($C129, 'Commodities (Clients) Input'!$CB$23:$CR$46, MATCH('Commodities (Clients) Output'!J$125, 'Commodities (Clients) Input'!$CB$21:$CR$21, 0), FALSE))</f>
        <v/>
      </c>
      <c r="K129" s="201" t="str">
        <f>IF(K$125="", "", VLOOKUP($C129, 'Commodities (Clients) Input'!$CB$23:$CR$46, MATCH('Commodities (Clients) Output'!K$125, 'Commodities (Clients) Input'!$CB$21:$CR$21, 0), FALSE))</f>
        <v/>
      </c>
      <c r="L129" s="201" t="str">
        <f>IF(L$125="", "", VLOOKUP($C129, 'Commodities (Clients) Input'!$CB$23:$CR$46, MATCH('Commodities (Clients) Output'!L$125, 'Commodities (Clients) Input'!$CB$21:$CR$21, 0), FALSE))</f>
        <v/>
      </c>
      <c r="M129" s="96" t="str">
        <f>IF(M$125="", "", VLOOKUP($C129, 'Commodities (Clients) Input'!$CB$23:$CR$46, MATCH('Commodities (Clients) Output'!M$125, 'Commodities (Clients) Input'!$CB$21:$CR$21, 0), FALSE))</f>
        <v/>
      </c>
      <c r="N129" s="96" t="str">
        <f>IF(N$125="", "", VLOOKUP($C129, 'Commodities (Clients) Input'!$CB$23:$CR$46, MATCH('Commodities (Clients) Output'!N$125, 'Commodities (Clients) Input'!$CB$21:$CR$21, 0), FALSE))</f>
        <v/>
      </c>
      <c r="O129" s="96" t="str">
        <f>IF(O$125="", "", VLOOKUP($C129, 'Commodities (Clients) Input'!$CB$23:$CR$46, MATCH('Commodities (Clients) Output'!O$125, 'Commodities (Clients) Input'!$CB$21:$CR$21, 0), FALSE))</f>
        <v/>
      </c>
      <c r="P129" s="96" t="str">
        <f>IF(P$125="", "", VLOOKUP($C129, 'Commodities (Clients) Input'!$CB$23:$CR$46, MATCH('Commodities (Clients) Output'!P$125, 'Commodities (Clients) Input'!$CB$21:$CR$21, 0), FALSE))</f>
        <v/>
      </c>
      <c r="Q129" s="96" t="str">
        <f>IF(Q$125="", "", VLOOKUP($C129, 'Commodities (Clients) Input'!$CB$23:$CR$46, MATCH('Commodities (Clients) Output'!Q$125, 'Commodities (Clients) Input'!$CB$21:$CR$21, 0), FALSE))</f>
        <v/>
      </c>
      <c r="R129" s="96" t="str">
        <f>IF(R$125="", "", VLOOKUP($C129, 'Commodities (Clients) Input'!$CB$23:$CR$46, MATCH('Commodities (Clients) Output'!R$125, 'Commodities (Clients) Input'!$CB$21:$CR$21, 0), FALSE))</f>
        <v/>
      </c>
      <c r="S129" s="97" t="str">
        <f>IF(S$125="", "", VLOOKUP($C129, 'Commodities (Clients) Input'!$CB$23:$CR$46, MATCH('Commodities (Clients) Output'!S$125, 'Commodities (Clients) Input'!$CB$21:$CR$21, 0), FALSE))</f>
        <v/>
      </c>
      <c r="U129" s="928" t="str">
        <f t="shared" si="44"/>
        <v/>
      </c>
      <c r="V129" s="877" t="str">
        <f t="shared" si="45"/>
        <v/>
      </c>
      <c r="X129" s="856" t="e">
        <f t="shared" si="46"/>
        <v>#DIV/0!</v>
      </c>
      <c r="Y129" s="857" t="e">
        <f t="shared" si="47"/>
        <v>#DIV/0!</v>
      </c>
      <c r="Z129" s="856" t="e">
        <f t="shared" si="48"/>
        <v>#DIV/0!</v>
      </c>
      <c r="AA129" s="856" t="e">
        <f t="shared" si="49"/>
        <v>#DIV/0!</v>
      </c>
      <c r="AD129" s="445"/>
      <c r="AE129" s="449"/>
      <c r="AF129" s="447"/>
    </row>
    <row r="130" spans="1:35" ht="15.75" thickBot="1" x14ac:dyDescent="0.3">
      <c r="B130" s="1580"/>
      <c r="C130" s="275" t="str">
        <f>'Commodities (Clients) Input'!C26</f>
        <v>DIU Hormonal (LNG-IUS)</v>
      </c>
      <c r="D130" s="91" t="str">
        <f>IF(D$125="", "", VLOOKUP($C130, 'Commodities (Clients) Input'!$CB$23:$CR$46, MATCH('Commodities (Clients) Output'!D$125, 'Commodities (Clients) Input'!$CB$21:$CR$21, 0), FALSE))</f>
        <v/>
      </c>
      <c r="E130" s="92" t="str">
        <f>IF(E$125="", "", VLOOKUP($C130, 'Commodities (Clients) Input'!$CB$23:$CR$46, MATCH('Commodities (Clients) Output'!E$125, 'Commodities (Clients) Input'!$CB$21:$CR$21, 0), FALSE))</f>
        <v/>
      </c>
      <c r="F130" s="92" t="str">
        <f>IF(F$125="", "", VLOOKUP($C130, 'Commodities (Clients) Input'!$CB$23:$CR$46, MATCH('Commodities (Clients) Output'!F$125, 'Commodities (Clients) Input'!$CB$21:$CR$21, 0), FALSE))</f>
        <v/>
      </c>
      <c r="G130" s="92" t="str">
        <f>IF(G$125="", "", VLOOKUP($C130, 'Commodities (Clients) Input'!$CB$23:$CR$46, MATCH('Commodities (Clients) Output'!G$125, 'Commodities (Clients) Input'!$CB$21:$CR$21, 0), FALSE))</f>
        <v/>
      </c>
      <c r="H130" s="92" t="str">
        <f>IF(H$125="", "", VLOOKUP($C130, 'Commodities (Clients) Input'!$CB$23:$CR$46, MATCH('Commodities (Clients) Output'!H$125, 'Commodities (Clients) Input'!$CB$21:$CR$21, 0), FALSE))</f>
        <v/>
      </c>
      <c r="I130" s="92" t="str">
        <f>IF(I$125="", "", VLOOKUP($C130, 'Commodities (Clients) Input'!$CB$23:$CR$46, MATCH('Commodities (Clients) Output'!I$125, 'Commodities (Clients) Input'!$CB$21:$CR$21, 0), FALSE))</f>
        <v/>
      </c>
      <c r="J130" s="92" t="str">
        <f>IF(J$125="", "", VLOOKUP($C130, 'Commodities (Clients) Input'!$CB$23:$CR$46, MATCH('Commodities (Clients) Output'!J$125, 'Commodities (Clients) Input'!$CB$21:$CR$21, 0), FALSE))</f>
        <v/>
      </c>
      <c r="K130" s="92" t="str">
        <f>IF(K$125="", "", VLOOKUP($C130, 'Commodities (Clients) Input'!$CB$23:$CR$46, MATCH('Commodities (Clients) Output'!K$125, 'Commodities (Clients) Input'!$CB$21:$CR$21, 0), FALSE))</f>
        <v/>
      </c>
      <c r="L130" s="92" t="str">
        <f>IF(L$125="", "", VLOOKUP($C130, 'Commodities (Clients) Input'!$CB$23:$CR$46, MATCH('Commodities (Clients) Output'!L$125, 'Commodities (Clients) Input'!$CB$21:$CR$21, 0), FALSE))</f>
        <v/>
      </c>
      <c r="M130" s="93" t="str">
        <f>IF(M$125="", "", VLOOKUP($C130, 'Commodities (Clients) Input'!$CB$23:$CR$46, MATCH('Commodities (Clients) Output'!M$125, 'Commodities (Clients) Input'!$CB$21:$CR$21, 0), FALSE))</f>
        <v/>
      </c>
      <c r="N130" s="93" t="str">
        <f>IF(N$125="", "", VLOOKUP($C130, 'Commodities (Clients) Input'!$CB$23:$CR$46, MATCH('Commodities (Clients) Output'!N$125, 'Commodities (Clients) Input'!$CB$21:$CR$21, 0), FALSE))</f>
        <v/>
      </c>
      <c r="O130" s="93" t="str">
        <f>IF(O$125="", "", VLOOKUP($C130, 'Commodities (Clients) Input'!$CB$23:$CR$46, MATCH('Commodities (Clients) Output'!O$125, 'Commodities (Clients) Input'!$CB$21:$CR$21, 0), FALSE))</f>
        <v/>
      </c>
      <c r="P130" s="93" t="str">
        <f>IF(P$125="", "", VLOOKUP($C130, 'Commodities (Clients) Input'!$CB$23:$CR$46, MATCH('Commodities (Clients) Output'!P$125, 'Commodities (Clients) Input'!$CB$21:$CR$21, 0), FALSE))</f>
        <v/>
      </c>
      <c r="Q130" s="93" t="str">
        <f>IF(Q$125="", "", VLOOKUP($C130, 'Commodities (Clients) Input'!$CB$23:$CR$46, MATCH('Commodities (Clients) Output'!Q$125, 'Commodities (Clients) Input'!$CB$21:$CR$21, 0), FALSE))</f>
        <v/>
      </c>
      <c r="R130" s="93" t="str">
        <f>IF(R$125="", "", VLOOKUP($C130, 'Commodities (Clients) Input'!$CB$23:$CR$46, MATCH('Commodities (Clients) Output'!R$125, 'Commodities (Clients) Input'!$CB$21:$CR$21, 0), FALSE))</f>
        <v/>
      </c>
      <c r="S130" s="94" t="str">
        <f>IF(S$125="", "", VLOOKUP($C130, 'Commodities (Clients) Input'!$CB$23:$CR$46, MATCH('Commodities (Clients) Output'!S$125, 'Commodities (Clients) Input'!$CB$21:$CR$21, 0), FALSE))</f>
        <v/>
      </c>
      <c r="U130" s="928" t="str">
        <f t="shared" si="44"/>
        <v/>
      </c>
      <c r="V130" s="877" t="str">
        <f t="shared" si="45"/>
        <v/>
      </c>
      <c r="X130" s="856" t="e">
        <f t="shared" si="46"/>
        <v>#DIV/0!</v>
      </c>
      <c r="Y130" s="857" t="e">
        <f t="shared" si="47"/>
        <v>#DIV/0!</v>
      </c>
      <c r="Z130" s="856" t="e">
        <f t="shared" si="48"/>
        <v>#DIV/0!</v>
      </c>
      <c r="AA130" s="856" t="e">
        <f t="shared" si="49"/>
        <v>#DIV/0!</v>
      </c>
      <c r="AD130" s="445"/>
      <c r="AE130" s="449"/>
      <c r="AF130" s="447"/>
    </row>
    <row r="131" spans="1:35" ht="15.75" thickBot="1" x14ac:dyDescent="0.3">
      <c r="B131" s="1579" t="str">
        <f>'Commodities (Clients) Input'!B27</f>
        <v>Implant</v>
      </c>
      <c r="C131" s="274" t="str">
        <f>'Commodities (Clients) Input'!C27</f>
        <v>Implant de 3 ans (Implanon, Levoplant)</v>
      </c>
      <c r="D131" s="87" t="str">
        <f>IF(D$125="", "", VLOOKUP($C131, 'Commodities (Clients) Input'!$CB$23:$CR$46, MATCH('Commodities (Clients) Output'!D$125, 'Commodities (Clients) Input'!$CB$21:$CR$21, 0), FALSE))</f>
        <v/>
      </c>
      <c r="E131" s="88" t="str">
        <f>IF(E$125="", "", VLOOKUP($C131, 'Commodities (Clients) Input'!$CB$23:$CR$46, MATCH('Commodities (Clients) Output'!E$125, 'Commodities (Clients) Input'!$CB$21:$CR$21, 0), FALSE))</f>
        <v/>
      </c>
      <c r="F131" s="88" t="str">
        <f>IF(F$125="", "", VLOOKUP($C131, 'Commodities (Clients) Input'!$CB$23:$CR$46, MATCH('Commodities (Clients) Output'!F$125, 'Commodities (Clients) Input'!$CB$21:$CR$21, 0), FALSE))</f>
        <v/>
      </c>
      <c r="G131" s="88" t="str">
        <f>IF(G$125="", "", VLOOKUP($C131, 'Commodities (Clients) Input'!$CB$23:$CR$46, MATCH('Commodities (Clients) Output'!G$125, 'Commodities (Clients) Input'!$CB$21:$CR$21, 0), FALSE))</f>
        <v/>
      </c>
      <c r="H131" s="88" t="str">
        <f>IF(H$125="", "", VLOOKUP($C131, 'Commodities (Clients) Input'!$CB$23:$CR$46, MATCH('Commodities (Clients) Output'!H$125, 'Commodities (Clients) Input'!$CB$21:$CR$21, 0), FALSE))</f>
        <v/>
      </c>
      <c r="I131" s="88" t="str">
        <f>IF(I$125="", "", VLOOKUP($C131, 'Commodities (Clients) Input'!$CB$23:$CR$46, MATCH('Commodities (Clients) Output'!I$125, 'Commodities (Clients) Input'!$CB$21:$CR$21, 0), FALSE))</f>
        <v/>
      </c>
      <c r="J131" s="88" t="str">
        <f>IF(J$125="", "", VLOOKUP($C131, 'Commodities (Clients) Input'!$CB$23:$CR$46, MATCH('Commodities (Clients) Output'!J$125, 'Commodities (Clients) Input'!$CB$21:$CR$21, 0), FALSE))</f>
        <v/>
      </c>
      <c r="K131" s="88" t="str">
        <f>IF(K$125="", "", VLOOKUP($C131, 'Commodities (Clients) Input'!$CB$23:$CR$46, MATCH('Commodities (Clients) Output'!K$125, 'Commodities (Clients) Input'!$CB$21:$CR$21, 0), FALSE))</f>
        <v/>
      </c>
      <c r="L131" s="88" t="str">
        <f>IF(L$125="", "", VLOOKUP($C131, 'Commodities (Clients) Input'!$CB$23:$CR$46, MATCH('Commodities (Clients) Output'!L$125, 'Commodities (Clients) Input'!$CB$21:$CR$21, 0), FALSE))</f>
        <v/>
      </c>
      <c r="M131" s="89" t="str">
        <f>IF(M$125="", "", VLOOKUP($C131, 'Commodities (Clients) Input'!$CB$23:$CR$46, MATCH('Commodities (Clients) Output'!M$125, 'Commodities (Clients) Input'!$CB$21:$CR$21, 0), FALSE))</f>
        <v/>
      </c>
      <c r="N131" s="89" t="str">
        <f>IF(N$125="", "", VLOOKUP($C131, 'Commodities (Clients) Input'!$CB$23:$CR$46, MATCH('Commodities (Clients) Output'!N$125, 'Commodities (Clients) Input'!$CB$21:$CR$21, 0), FALSE))</f>
        <v/>
      </c>
      <c r="O131" s="89" t="str">
        <f>IF(O$125="", "", VLOOKUP($C131, 'Commodities (Clients) Input'!$CB$23:$CR$46, MATCH('Commodities (Clients) Output'!O$125, 'Commodities (Clients) Input'!$CB$21:$CR$21, 0), FALSE))</f>
        <v/>
      </c>
      <c r="P131" s="89" t="str">
        <f>IF(P$125="", "", VLOOKUP($C131, 'Commodities (Clients) Input'!$CB$23:$CR$46, MATCH('Commodities (Clients) Output'!P$125, 'Commodities (Clients) Input'!$CB$21:$CR$21, 0), FALSE))</f>
        <v/>
      </c>
      <c r="Q131" s="89" t="str">
        <f>IF(Q$125="", "", VLOOKUP($C131, 'Commodities (Clients) Input'!$CB$23:$CR$46, MATCH('Commodities (Clients) Output'!Q$125, 'Commodities (Clients) Input'!$CB$21:$CR$21, 0), FALSE))</f>
        <v/>
      </c>
      <c r="R131" s="89" t="str">
        <f>IF(R$125="", "", VLOOKUP($C131, 'Commodities (Clients) Input'!$CB$23:$CR$46, MATCH('Commodities (Clients) Output'!R$125, 'Commodities (Clients) Input'!$CB$21:$CR$21, 0), FALSE))</f>
        <v/>
      </c>
      <c r="S131" s="90" t="str">
        <f>IF(S$125="", "", VLOOKUP($C131, 'Commodities (Clients) Input'!$CB$23:$CR$46, MATCH('Commodities (Clients) Output'!S$125, 'Commodities (Clients) Input'!$CB$21:$CR$21, 0), FALSE))</f>
        <v/>
      </c>
      <c r="U131" s="928" t="str">
        <f t="shared" si="44"/>
        <v/>
      </c>
      <c r="V131" s="877" t="str">
        <f t="shared" si="45"/>
        <v/>
      </c>
      <c r="X131" s="856" t="e">
        <f t="shared" si="46"/>
        <v>#DIV/0!</v>
      </c>
      <c r="Y131" s="857" t="e">
        <f t="shared" si="47"/>
        <v>#DIV/0!</v>
      </c>
      <c r="Z131" s="856" t="e">
        <f t="shared" si="48"/>
        <v>#DIV/0!</v>
      </c>
      <c r="AA131" s="856" t="e">
        <f t="shared" si="49"/>
        <v>#DIV/0!</v>
      </c>
      <c r="AD131" s="445"/>
      <c r="AE131" s="449"/>
      <c r="AF131" s="447"/>
    </row>
    <row r="132" spans="1:35" ht="15.75" thickBot="1" x14ac:dyDescent="0.3">
      <c r="B132" s="1515"/>
      <c r="C132" s="277" t="str">
        <f>'Commodities (Clients) Input'!C28</f>
        <v>Implant de 4 ans (Sino-Implant)</v>
      </c>
      <c r="D132" s="79" t="str">
        <f>IF(D$125="", "", VLOOKUP($C132, 'Commodities (Clients) Input'!$CB$23:$CR$46, MATCH('Commodities (Clients) Output'!D$125, 'Commodities (Clients) Input'!$CB$21:$CR$21, 0), FALSE))</f>
        <v/>
      </c>
      <c r="E132" s="80" t="str">
        <f>IF(E$125="", "", VLOOKUP($C132, 'Commodities (Clients) Input'!$CB$23:$CR$46, MATCH('Commodities (Clients) Output'!E$125, 'Commodities (Clients) Input'!$CB$21:$CR$21, 0), FALSE))</f>
        <v/>
      </c>
      <c r="F132" s="80" t="str">
        <f>IF(F$125="", "", VLOOKUP($C132, 'Commodities (Clients) Input'!$CB$23:$CR$46, MATCH('Commodities (Clients) Output'!F$125, 'Commodities (Clients) Input'!$CB$21:$CR$21, 0), FALSE))</f>
        <v/>
      </c>
      <c r="G132" s="80" t="str">
        <f>IF(G$125="", "", VLOOKUP($C132, 'Commodities (Clients) Input'!$CB$23:$CR$46, MATCH('Commodities (Clients) Output'!G$125, 'Commodities (Clients) Input'!$CB$21:$CR$21, 0), FALSE))</f>
        <v/>
      </c>
      <c r="H132" s="80" t="str">
        <f>IF(H$125="", "", VLOOKUP($C132, 'Commodities (Clients) Input'!$CB$23:$CR$46, MATCH('Commodities (Clients) Output'!H$125, 'Commodities (Clients) Input'!$CB$21:$CR$21, 0), FALSE))</f>
        <v/>
      </c>
      <c r="I132" s="80" t="str">
        <f>IF(I$125="", "", VLOOKUP($C132, 'Commodities (Clients) Input'!$CB$23:$CR$46, MATCH('Commodities (Clients) Output'!I$125, 'Commodities (Clients) Input'!$CB$21:$CR$21, 0), FALSE))</f>
        <v/>
      </c>
      <c r="J132" s="80" t="str">
        <f>IF(J$125="", "", VLOOKUP($C132, 'Commodities (Clients) Input'!$CB$23:$CR$46, MATCH('Commodities (Clients) Output'!J$125, 'Commodities (Clients) Input'!$CB$21:$CR$21, 0), FALSE))</f>
        <v/>
      </c>
      <c r="K132" s="80" t="str">
        <f>IF(K$125="", "", VLOOKUP($C132, 'Commodities (Clients) Input'!$CB$23:$CR$46, MATCH('Commodities (Clients) Output'!K$125, 'Commodities (Clients) Input'!$CB$21:$CR$21, 0), FALSE))</f>
        <v/>
      </c>
      <c r="L132" s="80" t="str">
        <f>IF(L$125="", "", VLOOKUP($C132, 'Commodities (Clients) Input'!$CB$23:$CR$46, MATCH('Commodities (Clients) Output'!L$125, 'Commodities (Clients) Input'!$CB$21:$CR$21, 0), FALSE))</f>
        <v/>
      </c>
      <c r="M132" s="81" t="str">
        <f>IF(M$125="", "", VLOOKUP($C132, 'Commodities (Clients) Input'!$CB$23:$CR$46, MATCH('Commodities (Clients) Output'!M$125, 'Commodities (Clients) Input'!$CB$21:$CR$21, 0), FALSE))</f>
        <v/>
      </c>
      <c r="N132" s="81" t="str">
        <f>IF(N$125="", "", VLOOKUP($C132, 'Commodities (Clients) Input'!$CB$23:$CR$46, MATCH('Commodities (Clients) Output'!N$125, 'Commodities (Clients) Input'!$CB$21:$CR$21, 0), FALSE))</f>
        <v/>
      </c>
      <c r="O132" s="81" t="str">
        <f>IF(O$125="", "", VLOOKUP($C132, 'Commodities (Clients) Input'!$CB$23:$CR$46, MATCH('Commodities (Clients) Output'!O$125, 'Commodities (Clients) Input'!$CB$21:$CR$21, 0), FALSE))</f>
        <v/>
      </c>
      <c r="P132" s="81" t="str">
        <f>IF(P$125="", "", VLOOKUP($C132, 'Commodities (Clients) Input'!$CB$23:$CR$46, MATCH('Commodities (Clients) Output'!P$125, 'Commodities (Clients) Input'!$CB$21:$CR$21, 0), FALSE))</f>
        <v/>
      </c>
      <c r="Q132" s="81" t="str">
        <f>IF(Q$125="", "", VLOOKUP($C132, 'Commodities (Clients) Input'!$CB$23:$CR$46, MATCH('Commodities (Clients) Output'!Q$125, 'Commodities (Clients) Input'!$CB$21:$CR$21, 0), FALSE))</f>
        <v/>
      </c>
      <c r="R132" s="81" t="str">
        <f>IF(R$125="", "", VLOOKUP($C132, 'Commodities (Clients) Input'!$CB$23:$CR$46, MATCH('Commodities (Clients) Output'!R$125, 'Commodities (Clients) Input'!$CB$21:$CR$21, 0), FALSE))</f>
        <v/>
      </c>
      <c r="S132" s="82" t="str">
        <f>IF(S$125="", "", VLOOKUP($C132, 'Commodities (Clients) Input'!$CB$23:$CR$46, MATCH('Commodities (Clients) Output'!S$125, 'Commodities (Clients) Input'!$CB$21:$CR$21, 0), FALSE))</f>
        <v/>
      </c>
      <c r="U132" s="928" t="str">
        <f t="shared" si="44"/>
        <v/>
      </c>
      <c r="V132" s="877" t="str">
        <f t="shared" si="45"/>
        <v/>
      </c>
      <c r="X132" s="856" t="e">
        <f t="shared" si="46"/>
        <v>#DIV/0!</v>
      </c>
      <c r="Y132" s="857" t="e">
        <f t="shared" si="47"/>
        <v>#DIV/0!</v>
      </c>
      <c r="Z132" s="856" t="e">
        <f t="shared" si="48"/>
        <v>#DIV/0!</v>
      </c>
      <c r="AA132" s="856" t="e">
        <f t="shared" si="49"/>
        <v>#DIV/0!</v>
      </c>
      <c r="AD132" s="445"/>
      <c r="AE132" s="449"/>
      <c r="AF132" s="447"/>
    </row>
    <row r="133" spans="1:35" ht="15.75" thickBot="1" x14ac:dyDescent="0.3">
      <c r="B133" s="1580"/>
      <c r="C133" s="275" t="str">
        <f>'Commodities (Clients) Input'!C29</f>
        <v>Implant de 5 ans (Jadelle)</v>
      </c>
      <c r="D133" s="83" t="str">
        <f>IF(D$125="", "", VLOOKUP($C133, 'Commodities (Clients) Input'!$CB$23:$CR$46, MATCH('Commodities (Clients) Output'!D$125, 'Commodities (Clients) Input'!$CB$21:$CR$21, 0), FALSE))</f>
        <v/>
      </c>
      <c r="E133" s="84" t="str">
        <f>IF(E$125="", "", VLOOKUP($C133, 'Commodities (Clients) Input'!$CB$23:$CR$46, MATCH('Commodities (Clients) Output'!E$125, 'Commodities (Clients) Input'!$CB$21:$CR$21, 0), FALSE))</f>
        <v/>
      </c>
      <c r="F133" s="84" t="str">
        <f>IF(F$125="", "", VLOOKUP($C133, 'Commodities (Clients) Input'!$CB$23:$CR$46, MATCH('Commodities (Clients) Output'!F$125, 'Commodities (Clients) Input'!$CB$21:$CR$21, 0), FALSE))</f>
        <v/>
      </c>
      <c r="G133" s="84" t="str">
        <f>IF(G$125="", "", VLOOKUP($C133, 'Commodities (Clients) Input'!$CB$23:$CR$46, MATCH('Commodities (Clients) Output'!G$125, 'Commodities (Clients) Input'!$CB$21:$CR$21, 0), FALSE))</f>
        <v/>
      </c>
      <c r="H133" s="84" t="str">
        <f>IF(H$125="", "", VLOOKUP($C133, 'Commodities (Clients) Input'!$CB$23:$CR$46, MATCH('Commodities (Clients) Output'!H$125, 'Commodities (Clients) Input'!$CB$21:$CR$21, 0), FALSE))</f>
        <v/>
      </c>
      <c r="I133" s="84" t="str">
        <f>IF(I$125="", "", VLOOKUP($C133, 'Commodities (Clients) Input'!$CB$23:$CR$46, MATCH('Commodities (Clients) Output'!I$125, 'Commodities (Clients) Input'!$CB$21:$CR$21, 0), FALSE))</f>
        <v/>
      </c>
      <c r="J133" s="84" t="str">
        <f>IF(J$125="", "", VLOOKUP($C133, 'Commodities (Clients) Input'!$CB$23:$CR$46, MATCH('Commodities (Clients) Output'!J$125, 'Commodities (Clients) Input'!$CB$21:$CR$21, 0), FALSE))</f>
        <v/>
      </c>
      <c r="K133" s="84" t="str">
        <f>IF(K$125="", "", VLOOKUP($C133, 'Commodities (Clients) Input'!$CB$23:$CR$46, MATCH('Commodities (Clients) Output'!K$125, 'Commodities (Clients) Input'!$CB$21:$CR$21, 0), FALSE))</f>
        <v/>
      </c>
      <c r="L133" s="84" t="str">
        <f>IF(L$125="", "", VLOOKUP($C133, 'Commodities (Clients) Input'!$CB$23:$CR$46, MATCH('Commodities (Clients) Output'!L$125, 'Commodities (Clients) Input'!$CB$21:$CR$21, 0), FALSE))</f>
        <v/>
      </c>
      <c r="M133" s="85" t="str">
        <f>IF(M$125="", "", VLOOKUP($C133, 'Commodities (Clients) Input'!$CB$23:$CR$46, MATCH('Commodities (Clients) Output'!M$125, 'Commodities (Clients) Input'!$CB$21:$CR$21, 0), FALSE))</f>
        <v/>
      </c>
      <c r="N133" s="85" t="str">
        <f>IF(N$125="", "", VLOOKUP($C133, 'Commodities (Clients) Input'!$CB$23:$CR$46, MATCH('Commodities (Clients) Output'!N$125, 'Commodities (Clients) Input'!$CB$21:$CR$21, 0), FALSE))</f>
        <v/>
      </c>
      <c r="O133" s="85" t="str">
        <f>IF(O$125="", "", VLOOKUP($C133, 'Commodities (Clients) Input'!$CB$23:$CR$46, MATCH('Commodities (Clients) Output'!O$125, 'Commodities (Clients) Input'!$CB$21:$CR$21, 0), FALSE))</f>
        <v/>
      </c>
      <c r="P133" s="85" t="str">
        <f>IF(P$125="", "", VLOOKUP($C133, 'Commodities (Clients) Input'!$CB$23:$CR$46, MATCH('Commodities (Clients) Output'!P$125, 'Commodities (Clients) Input'!$CB$21:$CR$21, 0), FALSE))</f>
        <v/>
      </c>
      <c r="Q133" s="85" t="str">
        <f>IF(Q$125="", "", VLOOKUP($C133, 'Commodities (Clients) Input'!$CB$23:$CR$46, MATCH('Commodities (Clients) Output'!Q$125, 'Commodities (Clients) Input'!$CB$21:$CR$21, 0), FALSE))</f>
        <v/>
      </c>
      <c r="R133" s="85" t="str">
        <f>IF(R$125="", "", VLOOKUP($C133, 'Commodities (Clients) Input'!$CB$23:$CR$46, MATCH('Commodities (Clients) Output'!R$125, 'Commodities (Clients) Input'!$CB$21:$CR$21, 0), FALSE))</f>
        <v/>
      </c>
      <c r="S133" s="86" t="str">
        <f>IF(S$125="", "", VLOOKUP($C133, 'Commodities (Clients) Input'!$CB$23:$CR$46, MATCH('Commodities (Clients) Output'!S$125, 'Commodities (Clients) Input'!$CB$21:$CR$21, 0), FALSE))</f>
        <v/>
      </c>
      <c r="U133" s="928" t="str">
        <f t="shared" si="44"/>
        <v/>
      </c>
      <c r="V133" s="877" t="str">
        <f t="shared" si="45"/>
        <v/>
      </c>
      <c r="X133" s="856" t="e">
        <f t="shared" si="46"/>
        <v>#DIV/0!</v>
      </c>
      <c r="Y133" s="857" t="e">
        <f t="shared" si="47"/>
        <v>#DIV/0!</v>
      </c>
      <c r="Z133" s="856" t="e">
        <f t="shared" si="48"/>
        <v>#DIV/0!</v>
      </c>
      <c r="AA133" s="856" t="e">
        <f t="shared" si="49"/>
        <v>#DIV/0!</v>
      </c>
      <c r="AD133" s="445"/>
      <c r="AE133" s="449"/>
      <c r="AF133" s="447"/>
    </row>
    <row r="134" spans="1:35" ht="11.25" customHeight="1" thickBot="1" x14ac:dyDescent="0.3">
      <c r="C134" s="279"/>
      <c r="U134" s="41"/>
      <c r="V134" s="41"/>
      <c r="AD134" s="445"/>
      <c r="AE134" s="449"/>
      <c r="AF134" s="447"/>
    </row>
    <row r="135" spans="1:35" ht="19.5" thickBot="1" x14ac:dyDescent="0.35">
      <c r="A135" s="188"/>
      <c r="B135" s="104" t="str">
        <f>'Commodities (Clients) Input'!B31</f>
        <v>Méthodes à Court Terme</v>
      </c>
      <c r="C135" s="280"/>
      <c r="D135" s="929" t="str">
        <f t="shared" ref="D135:S135" si="50">IF(D125="", "", IF( SUM(D136:D150)=0, "",  SUM(D136:D150)))</f>
        <v/>
      </c>
      <c r="E135" s="929" t="str">
        <f t="shared" si="50"/>
        <v/>
      </c>
      <c r="F135" s="929" t="str">
        <f t="shared" si="50"/>
        <v/>
      </c>
      <c r="G135" s="929" t="str">
        <f t="shared" si="50"/>
        <v/>
      </c>
      <c r="H135" s="929" t="str">
        <f t="shared" si="50"/>
        <v/>
      </c>
      <c r="I135" s="929" t="str">
        <f t="shared" si="50"/>
        <v/>
      </c>
      <c r="J135" s="929" t="str">
        <f t="shared" si="50"/>
        <v/>
      </c>
      <c r="K135" s="929" t="str">
        <f t="shared" si="50"/>
        <v/>
      </c>
      <c r="L135" s="929" t="str">
        <f t="shared" si="50"/>
        <v/>
      </c>
      <c r="M135" s="929" t="str">
        <f t="shared" si="50"/>
        <v/>
      </c>
      <c r="N135" s="929" t="str">
        <f t="shared" si="50"/>
        <v/>
      </c>
      <c r="O135" s="929" t="str">
        <f t="shared" si="50"/>
        <v/>
      </c>
      <c r="P135" s="929" t="str">
        <f t="shared" si="50"/>
        <v/>
      </c>
      <c r="Q135" s="929" t="str">
        <f t="shared" si="50"/>
        <v/>
      </c>
      <c r="R135" s="929" t="str">
        <f t="shared" si="50"/>
        <v/>
      </c>
      <c r="S135" s="929" t="str">
        <f t="shared" si="50"/>
        <v/>
      </c>
      <c r="T135" s="188"/>
      <c r="U135" s="927"/>
      <c r="V135" s="927"/>
      <c r="W135" s="809"/>
      <c r="X135" s="188"/>
      <c r="Y135" s="188"/>
      <c r="Z135" s="188"/>
      <c r="AA135" s="188"/>
      <c r="AB135" s="188"/>
      <c r="AC135" s="188"/>
      <c r="AD135" s="446"/>
      <c r="AE135" s="450"/>
      <c r="AF135" s="448"/>
      <c r="AG135" s="188"/>
      <c r="AH135" s="188"/>
      <c r="AI135" s="188"/>
    </row>
    <row r="136" spans="1:35" ht="15.75" thickBot="1" x14ac:dyDescent="0.3">
      <c r="B136" s="1579" t="str">
        <f>'Commodities (Clients) Input'!B32</f>
        <v>Produits injectables</v>
      </c>
      <c r="C136" s="274" t="str">
        <f>'Commodities (Clients) Input'!C32</f>
        <v>Depo Provera (DMPA)</v>
      </c>
      <c r="D136" s="197" t="str">
        <f>IF(D$125="", "", VLOOKUP($C136, 'Commodities (Clients) Input'!$CB$23:$CR$46, MATCH('Commodities (Clients) Output'!D$125, 'Commodities (Clients) Input'!$CB$21:$CR$21, 0), FALSE))</f>
        <v/>
      </c>
      <c r="E136" s="198" t="str">
        <f>IF(E$125="", "", VLOOKUP($C136, 'Commodities (Clients) Input'!$CB$23:$CR$46, MATCH('Commodities (Clients) Output'!E$125, 'Commodities (Clients) Input'!$CB$21:$CR$21, 0), FALSE))</f>
        <v/>
      </c>
      <c r="F136" s="198" t="str">
        <f>IF(F$125="", "", VLOOKUP($C136, 'Commodities (Clients) Input'!$CB$23:$CR$46, MATCH('Commodities (Clients) Output'!F$125, 'Commodities (Clients) Input'!$CB$21:$CR$21, 0), FALSE))</f>
        <v/>
      </c>
      <c r="G136" s="198" t="str">
        <f>IF(G$125="", "", VLOOKUP($C136, 'Commodities (Clients) Input'!$CB$23:$CR$46, MATCH('Commodities (Clients) Output'!G$125, 'Commodities (Clients) Input'!$CB$21:$CR$21, 0), FALSE))</f>
        <v/>
      </c>
      <c r="H136" s="198" t="str">
        <f>IF(H$125="", "", VLOOKUP($C136, 'Commodities (Clients) Input'!$CB$23:$CR$46, MATCH('Commodities (Clients) Output'!H$125, 'Commodities (Clients) Input'!$CB$21:$CR$21, 0), FALSE))</f>
        <v/>
      </c>
      <c r="I136" s="198" t="str">
        <f>IF(I$125="", "", VLOOKUP($C136, 'Commodities (Clients) Input'!$CB$23:$CR$46, MATCH('Commodities (Clients) Output'!I$125, 'Commodities (Clients) Input'!$CB$21:$CR$21, 0), FALSE))</f>
        <v/>
      </c>
      <c r="J136" s="198" t="str">
        <f>IF(J$125="", "", VLOOKUP($C136, 'Commodities (Clients) Input'!$CB$23:$CR$46, MATCH('Commodities (Clients) Output'!J$125, 'Commodities (Clients) Input'!$CB$21:$CR$21, 0), FALSE))</f>
        <v/>
      </c>
      <c r="K136" s="198" t="str">
        <f>IF(K$125="", "", VLOOKUP($C136, 'Commodities (Clients) Input'!$CB$23:$CR$46, MATCH('Commodities (Clients) Output'!K$125, 'Commodities (Clients) Input'!$CB$21:$CR$21, 0), FALSE))</f>
        <v/>
      </c>
      <c r="L136" s="198" t="str">
        <f>IF(L$125="", "", VLOOKUP($C136, 'Commodities (Clients) Input'!$CB$23:$CR$46, MATCH('Commodities (Clients) Output'!L$125, 'Commodities (Clients) Input'!$CB$21:$CR$21, 0), FALSE))</f>
        <v/>
      </c>
      <c r="M136" s="199" t="str">
        <f>IF(M$125="", "", VLOOKUP($C136, 'Commodities (Clients) Input'!$CB$23:$CR$46, MATCH('Commodities (Clients) Output'!M$125, 'Commodities (Clients) Input'!$CB$21:$CR$21, 0), FALSE))</f>
        <v/>
      </c>
      <c r="N136" s="199" t="str">
        <f>IF(N$125="", "", VLOOKUP($C136, 'Commodities (Clients) Input'!$CB$23:$CR$46, MATCH('Commodities (Clients) Output'!N$125, 'Commodities (Clients) Input'!$CB$21:$CR$21, 0), FALSE))</f>
        <v/>
      </c>
      <c r="O136" s="199" t="str">
        <f>IF(O$125="", "", VLOOKUP($C136, 'Commodities (Clients) Input'!$CB$23:$CR$46, MATCH('Commodities (Clients) Output'!O$125, 'Commodities (Clients) Input'!$CB$21:$CR$21, 0), FALSE))</f>
        <v/>
      </c>
      <c r="P136" s="199" t="str">
        <f>IF(P$125="", "", VLOOKUP($C136, 'Commodities (Clients) Input'!$CB$23:$CR$46, MATCH('Commodities (Clients) Output'!P$125, 'Commodities (Clients) Input'!$CB$21:$CR$21, 0), FALSE))</f>
        <v/>
      </c>
      <c r="Q136" s="199" t="str">
        <f>IF(Q$125="", "", VLOOKUP($C136, 'Commodities (Clients) Input'!$CB$23:$CR$46, MATCH('Commodities (Clients) Output'!Q$125, 'Commodities (Clients) Input'!$CB$21:$CR$21, 0), FALSE))</f>
        <v/>
      </c>
      <c r="R136" s="199" t="str">
        <f>IF(R$125="", "", VLOOKUP($C136, 'Commodities (Clients) Input'!$CB$23:$CR$46, MATCH('Commodities (Clients) Output'!R$125, 'Commodities (Clients) Input'!$CB$21:$CR$21, 0), FALSE))</f>
        <v/>
      </c>
      <c r="S136" s="200" t="str">
        <f>IF(S$125="", "", VLOOKUP($C136, 'Commodities (Clients) Input'!$CB$23:$CR$46, MATCH('Commodities (Clients) Output'!S$125, 'Commodities (Clients) Input'!$CB$21:$CR$21, 0), FALSE))</f>
        <v/>
      </c>
      <c r="U136" s="928" t="str">
        <f t="shared" ref="U136:U150" si="51">IF(COUNTIF($D136:$S136, "&gt;"&amp;Z136)+COUNTIF($D136:$S136, "&lt;"&amp;AA136)&gt;0, $U$124, "")</f>
        <v/>
      </c>
      <c r="V136" s="877" t="str">
        <f t="shared" ref="V136:V150" si="52">IFERROR(IF(U136="", "", "("&amp;TEXT(AA136, "0")&amp;$AC$125&amp;TEXT(Z136, "0")&amp;")"), "")</f>
        <v/>
      </c>
      <c r="X136" s="856" t="e">
        <f t="shared" ref="X136:X153" si="53">AVERAGE($D136:$S136)</f>
        <v>#DIV/0!</v>
      </c>
      <c r="Y136" s="857" t="e">
        <f t="shared" ref="Y136:Y153" si="54">STDEV($D136:$S136)*2</f>
        <v>#DIV/0!</v>
      </c>
      <c r="Z136" s="856" t="e">
        <f>X136+Y136</f>
        <v>#DIV/0!</v>
      </c>
      <c r="AA136" s="856" t="e">
        <f>X136-Y136</f>
        <v>#DIV/0!</v>
      </c>
      <c r="AD136" s="445"/>
      <c r="AE136" s="449"/>
      <c r="AF136" s="447"/>
    </row>
    <row r="137" spans="1:35" ht="15.75" thickBot="1" x14ac:dyDescent="0.3">
      <c r="B137" s="1515"/>
      <c r="C137" s="277" t="str">
        <f>'Commodities (Clients) Input'!C33</f>
        <v>Noristerat (NET-En)</v>
      </c>
      <c r="D137" s="67" t="str">
        <f>IF(D$125="", "", VLOOKUP($C137, 'Commodities (Clients) Input'!$CB$23:$CR$46, MATCH('Commodities (Clients) Output'!D$125, 'Commodities (Clients) Input'!$CB$21:$CR$21, 0), FALSE))</f>
        <v/>
      </c>
      <c r="E137" s="68" t="str">
        <f>IF(E$125="", "", VLOOKUP($C137, 'Commodities (Clients) Input'!$CB$23:$CR$46, MATCH('Commodities (Clients) Output'!E$125, 'Commodities (Clients) Input'!$CB$21:$CR$21, 0), FALSE))</f>
        <v/>
      </c>
      <c r="F137" s="68" t="str">
        <f>IF(F$125="", "", VLOOKUP($C137, 'Commodities (Clients) Input'!$CB$23:$CR$46, MATCH('Commodities (Clients) Output'!F$125, 'Commodities (Clients) Input'!$CB$21:$CR$21, 0), FALSE))</f>
        <v/>
      </c>
      <c r="G137" s="68" t="str">
        <f>IF(G$125="", "", VLOOKUP($C137, 'Commodities (Clients) Input'!$CB$23:$CR$46, MATCH('Commodities (Clients) Output'!G$125, 'Commodities (Clients) Input'!$CB$21:$CR$21, 0), FALSE))</f>
        <v/>
      </c>
      <c r="H137" s="68" t="str">
        <f>IF(H$125="", "", VLOOKUP($C137, 'Commodities (Clients) Input'!$CB$23:$CR$46, MATCH('Commodities (Clients) Output'!H$125, 'Commodities (Clients) Input'!$CB$21:$CR$21, 0), FALSE))</f>
        <v/>
      </c>
      <c r="I137" s="68" t="str">
        <f>IF(I$125="", "", VLOOKUP($C137, 'Commodities (Clients) Input'!$CB$23:$CR$46, MATCH('Commodities (Clients) Output'!I$125, 'Commodities (Clients) Input'!$CB$21:$CR$21, 0), FALSE))</f>
        <v/>
      </c>
      <c r="J137" s="68" t="str">
        <f>IF(J$125="", "", VLOOKUP($C137, 'Commodities (Clients) Input'!$CB$23:$CR$46, MATCH('Commodities (Clients) Output'!J$125, 'Commodities (Clients) Input'!$CB$21:$CR$21, 0), FALSE))</f>
        <v/>
      </c>
      <c r="K137" s="68" t="str">
        <f>IF(K$125="", "", VLOOKUP($C137, 'Commodities (Clients) Input'!$CB$23:$CR$46, MATCH('Commodities (Clients) Output'!K$125, 'Commodities (Clients) Input'!$CB$21:$CR$21, 0), FALSE))</f>
        <v/>
      </c>
      <c r="L137" s="68" t="str">
        <f>IF(L$125="", "", VLOOKUP($C137, 'Commodities (Clients) Input'!$CB$23:$CR$46, MATCH('Commodities (Clients) Output'!L$125, 'Commodities (Clients) Input'!$CB$21:$CR$21, 0), FALSE))</f>
        <v/>
      </c>
      <c r="M137" s="69" t="str">
        <f>IF(M$125="", "", VLOOKUP($C137, 'Commodities (Clients) Input'!$CB$23:$CR$46, MATCH('Commodities (Clients) Output'!M$125, 'Commodities (Clients) Input'!$CB$21:$CR$21, 0), FALSE))</f>
        <v/>
      </c>
      <c r="N137" s="69" t="str">
        <f>IF(N$125="", "", VLOOKUP($C137, 'Commodities (Clients) Input'!$CB$23:$CR$46, MATCH('Commodities (Clients) Output'!N$125, 'Commodities (Clients) Input'!$CB$21:$CR$21, 0), FALSE))</f>
        <v/>
      </c>
      <c r="O137" s="69" t="str">
        <f>IF(O$125="", "", VLOOKUP($C137, 'Commodities (Clients) Input'!$CB$23:$CR$46, MATCH('Commodities (Clients) Output'!O$125, 'Commodities (Clients) Input'!$CB$21:$CR$21, 0), FALSE))</f>
        <v/>
      </c>
      <c r="P137" s="69" t="str">
        <f>IF(P$125="", "", VLOOKUP($C137, 'Commodities (Clients) Input'!$CB$23:$CR$46, MATCH('Commodities (Clients) Output'!P$125, 'Commodities (Clients) Input'!$CB$21:$CR$21, 0), FALSE))</f>
        <v/>
      </c>
      <c r="Q137" s="69" t="str">
        <f>IF(Q$125="", "", VLOOKUP($C137, 'Commodities (Clients) Input'!$CB$23:$CR$46, MATCH('Commodities (Clients) Output'!Q$125, 'Commodities (Clients) Input'!$CB$21:$CR$21, 0), FALSE))</f>
        <v/>
      </c>
      <c r="R137" s="69" t="str">
        <f>IF(R$125="", "", VLOOKUP($C137, 'Commodities (Clients) Input'!$CB$23:$CR$46, MATCH('Commodities (Clients) Output'!R$125, 'Commodities (Clients) Input'!$CB$21:$CR$21, 0), FALSE))</f>
        <v/>
      </c>
      <c r="S137" s="70" t="str">
        <f>IF(S$125="", "", VLOOKUP($C137, 'Commodities (Clients) Input'!$CB$23:$CR$46, MATCH('Commodities (Clients) Output'!S$125, 'Commodities (Clients) Input'!$CB$21:$CR$21, 0), FALSE))</f>
        <v/>
      </c>
      <c r="U137" s="928" t="str">
        <f t="shared" si="51"/>
        <v/>
      </c>
      <c r="V137" s="877" t="str">
        <f t="shared" si="52"/>
        <v/>
      </c>
      <c r="X137" s="856" t="e">
        <f t="shared" si="53"/>
        <v>#DIV/0!</v>
      </c>
      <c r="Y137" s="857" t="e">
        <f t="shared" si="54"/>
        <v>#DIV/0!</v>
      </c>
      <c r="Z137" s="856" t="e">
        <f t="shared" ref="Z137:Z150" si="55">X137+Y137</f>
        <v>#DIV/0!</v>
      </c>
      <c r="AA137" s="856" t="e">
        <f t="shared" ref="AA137:AA150" si="56">X137-Y137</f>
        <v>#DIV/0!</v>
      </c>
      <c r="AD137" s="445"/>
      <c r="AE137" s="449"/>
      <c r="AF137" s="447"/>
    </row>
    <row r="138" spans="1:35" ht="15.75" thickBot="1" x14ac:dyDescent="0.3">
      <c r="B138" s="1515"/>
      <c r="C138" s="277" t="str">
        <f>'Commodities (Clients) Input'!C34</f>
        <v>Lunelle</v>
      </c>
      <c r="D138" s="67" t="str">
        <f>IF(D$125="", "", VLOOKUP($C138, 'Commodities (Clients) Input'!$CB$23:$CR$46, MATCH('Commodities (Clients) Output'!D$125, 'Commodities (Clients) Input'!$CB$21:$CR$21, 0), FALSE))</f>
        <v/>
      </c>
      <c r="E138" s="68" t="str">
        <f>IF(E$125="", "", VLOOKUP($C138, 'Commodities (Clients) Input'!$CB$23:$CR$46, MATCH('Commodities (Clients) Output'!E$125, 'Commodities (Clients) Input'!$CB$21:$CR$21, 0), FALSE))</f>
        <v/>
      </c>
      <c r="F138" s="68" t="str">
        <f>IF(F$125="", "", VLOOKUP($C138, 'Commodities (Clients) Input'!$CB$23:$CR$46, MATCH('Commodities (Clients) Output'!F$125, 'Commodities (Clients) Input'!$CB$21:$CR$21, 0), FALSE))</f>
        <v/>
      </c>
      <c r="G138" s="68" t="str">
        <f>IF(G$125="", "", VLOOKUP($C138, 'Commodities (Clients) Input'!$CB$23:$CR$46, MATCH('Commodities (Clients) Output'!G$125, 'Commodities (Clients) Input'!$CB$21:$CR$21, 0), FALSE))</f>
        <v/>
      </c>
      <c r="H138" s="68" t="str">
        <f>IF(H$125="", "", VLOOKUP($C138, 'Commodities (Clients) Input'!$CB$23:$CR$46, MATCH('Commodities (Clients) Output'!H$125, 'Commodities (Clients) Input'!$CB$21:$CR$21, 0), FALSE))</f>
        <v/>
      </c>
      <c r="I138" s="68" t="str">
        <f>IF(I$125="", "", VLOOKUP($C138, 'Commodities (Clients) Input'!$CB$23:$CR$46, MATCH('Commodities (Clients) Output'!I$125, 'Commodities (Clients) Input'!$CB$21:$CR$21, 0), FALSE))</f>
        <v/>
      </c>
      <c r="J138" s="68" t="str">
        <f>IF(J$125="", "", VLOOKUP($C138, 'Commodities (Clients) Input'!$CB$23:$CR$46, MATCH('Commodities (Clients) Output'!J$125, 'Commodities (Clients) Input'!$CB$21:$CR$21, 0), FALSE))</f>
        <v/>
      </c>
      <c r="K138" s="68" t="str">
        <f>IF(K$125="", "", VLOOKUP($C138, 'Commodities (Clients) Input'!$CB$23:$CR$46, MATCH('Commodities (Clients) Output'!K$125, 'Commodities (Clients) Input'!$CB$21:$CR$21, 0), FALSE))</f>
        <v/>
      </c>
      <c r="L138" s="68" t="str">
        <f>IF(L$125="", "", VLOOKUP($C138, 'Commodities (Clients) Input'!$CB$23:$CR$46, MATCH('Commodities (Clients) Output'!L$125, 'Commodities (Clients) Input'!$CB$21:$CR$21, 0), FALSE))</f>
        <v/>
      </c>
      <c r="M138" s="69" t="str">
        <f>IF(M$125="", "", VLOOKUP($C138, 'Commodities (Clients) Input'!$CB$23:$CR$46, MATCH('Commodities (Clients) Output'!M$125, 'Commodities (Clients) Input'!$CB$21:$CR$21, 0), FALSE))</f>
        <v/>
      </c>
      <c r="N138" s="69" t="str">
        <f>IF(N$125="", "", VLOOKUP($C138, 'Commodities (Clients) Input'!$CB$23:$CR$46, MATCH('Commodities (Clients) Output'!N$125, 'Commodities (Clients) Input'!$CB$21:$CR$21, 0), FALSE))</f>
        <v/>
      </c>
      <c r="O138" s="69" t="str">
        <f>IF(O$125="", "", VLOOKUP($C138, 'Commodities (Clients) Input'!$CB$23:$CR$46, MATCH('Commodities (Clients) Output'!O$125, 'Commodities (Clients) Input'!$CB$21:$CR$21, 0), FALSE))</f>
        <v/>
      </c>
      <c r="P138" s="69" t="str">
        <f>IF(P$125="", "", VLOOKUP($C138, 'Commodities (Clients) Input'!$CB$23:$CR$46, MATCH('Commodities (Clients) Output'!P$125, 'Commodities (Clients) Input'!$CB$21:$CR$21, 0), FALSE))</f>
        <v/>
      </c>
      <c r="Q138" s="69" t="str">
        <f>IF(Q$125="", "", VLOOKUP($C138, 'Commodities (Clients) Input'!$CB$23:$CR$46, MATCH('Commodities (Clients) Output'!Q$125, 'Commodities (Clients) Input'!$CB$21:$CR$21, 0), FALSE))</f>
        <v/>
      </c>
      <c r="R138" s="69" t="str">
        <f>IF(R$125="", "", VLOOKUP($C138, 'Commodities (Clients) Input'!$CB$23:$CR$46, MATCH('Commodities (Clients) Output'!R$125, 'Commodities (Clients) Input'!$CB$21:$CR$21, 0), FALSE))</f>
        <v/>
      </c>
      <c r="S138" s="70" t="str">
        <f>IF(S$125="", "", VLOOKUP($C138, 'Commodities (Clients) Input'!$CB$23:$CR$46, MATCH('Commodities (Clients) Output'!S$125, 'Commodities (Clients) Input'!$CB$21:$CR$21, 0), FALSE))</f>
        <v/>
      </c>
      <c r="U138" s="928" t="str">
        <f t="shared" si="51"/>
        <v/>
      </c>
      <c r="V138" s="877" t="str">
        <f t="shared" si="52"/>
        <v/>
      </c>
      <c r="X138" s="856" t="e">
        <f t="shared" si="53"/>
        <v>#DIV/0!</v>
      </c>
      <c r="Y138" s="857" t="e">
        <f t="shared" si="54"/>
        <v>#DIV/0!</v>
      </c>
      <c r="Z138" s="856" t="e">
        <f t="shared" si="55"/>
        <v>#DIV/0!</v>
      </c>
      <c r="AA138" s="856" t="e">
        <f t="shared" si="56"/>
        <v>#DIV/0!</v>
      </c>
      <c r="AD138" s="445"/>
      <c r="AE138" s="449"/>
      <c r="AF138" s="447"/>
    </row>
    <row r="139" spans="1:35" ht="15.75" thickBot="1" x14ac:dyDescent="0.3">
      <c r="B139" s="1515"/>
      <c r="C139" s="277" t="str">
        <f>'Commodities (Clients) Input'!C35</f>
        <v>Sayana Press</v>
      </c>
      <c r="D139" s="67" t="str">
        <f>IF(D$125="", "", VLOOKUP($C139, 'Commodities (Clients) Input'!$CB$23:$CR$46, MATCH('Commodities (Clients) Output'!D$125, 'Commodities (Clients) Input'!$CB$21:$CR$21, 0), FALSE))</f>
        <v/>
      </c>
      <c r="E139" s="68" t="str">
        <f>IF(E$125="", "", VLOOKUP($C139, 'Commodities (Clients) Input'!$CB$23:$CR$46, MATCH('Commodities (Clients) Output'!E$125, 'Commodities (Clients) Input'!$CB$21:$CR$21, 0), FALSE))</f>
        <v/>
      </c>
      <c r="F139" s="68" t="str">
        <f>IF(F$125="", "", VLOOKUP($C139, 'Commodities (Clients) Input'!$CB$23:$CR$46, MATCH('Commodities (Clients) Output'!F$125, 'Commodities (Clients) Input'!$CB$21:$CR$21, 0), FALSE))</f>
        <v/>
      </c>
      <c r="G139" s="68" t="str">
        <f>IF(G$125="", "", VLOOKUP($C139, 'Commodities (Clients) Input'!$CB$23:$CR$46, MATCH('Commodities (Clients) Output'!G$125, 'Commodities (Clients) Input'!$CB$21:$CR$21, 0), FALSE))</f>
        <v/>
      </c>
      <c r="H139" s="68" t="str">
        <f>IF(H$125="", "", VLOOKUP($C139, 'Commodities (Clients) Input'!$CB$23:$CR$46, MATCH('Commodities (Clients) Output'!H$125, 'Commodities (Clients) Input'!$CB$21:$CR$21, 0), FALSE))</f>
        <v/>
      </c>
      <c r="I139" s="68" t="str">
        <f>IF(I$125="", "", VLOOKUP($C139, 'Commodities (Clients) Input'!$CB$23:$CR$46, MATCH('Commodities (Clients) Output'!I$125, 'Commodities (Clients) Input'!$CB$21:$CR$21, 0), FALSE))</f>
        <v/>
      </c>
      <c r="J139" s="68" t="str">
        <f>IF(J$125="", "", VLOOKUP($C139, 'Commodities (Clients) Input'!$CB$23:$CR$46, MATCH('Commodities (Clients) Output'!J$125, 'Commodities (Clients) Input'!$CB$21:$CR$21, 0), FALSE))</f>
        <v/>
      </c>
      <c r="K139" s="68" t="str">
        <f>IF(K$125="", "", VLOOKUP($C139, 'Commodities (Clients) Input'!$CB$23:$CR$46, MATCH('Commodities (Clients) Output'!K$125, 'Commodities (Clients) Input'!$CB$21:$CR$21, 0), FALSE))</f>
        <v/>
      </c>
      <c r="L139" s="68" t="str">
        <f>IF(L$125="", "", VLOOKUP($C139, 'Commodities (Clients) Input'!$CB$23:$CR$46, MATCH('Commodities (Clients) Output'!L$125, 'Commodities (Clients) Input'!$CB$21:$CR$21, 0), FALSE))</f>
        <v/>
      </c>
      <c r="M139" s="69" t="str">
        <f>IF(M$125="", "", VLOOKUP($C139, 'Commodities (Clients) Input'!$CB$23:$CR$46, MATCH('Commodities (Clients) Output'!M$125, 'Commodities (Clients) Input'!$CB$21:$CR$21, 0), FALSE))</f>
        <v/>
      </c>
      <c r="N139" s="69" t="str">
        <f>IF(N$125="", "", VLOOKUP($C139, 'Commodities (Clients) Input'!$CB$23:$CR$46, MATCH('Commodities (Clients) Output'!N$125, 'Commodities (Clients) Input'!$CB$21:$CR$21, 0), FALSE))</f>
        <v/>
      </c>
      <c r="O139" s="69" t="str">
        <f>IF(O$125="", "", VLOOKUP($C139, 'Commodities (Clients) Input'!$CB$23:$CR$46, MATCH('Commodities (Clients) Output'!O$125, 'Commodities (Clients) Input'!$CB$21:$CR$21, 0), FALSE))</f>
        <v/>
      </c>
      <c r="P139" s="69" t="str">
        <f>IF(P$125="", "", VLOOKUP($C139, 'Commodities (Clients) Input'!$CB$23:$CR$46, MATCH('Commodities (Clients) Output'!P$125, 'Commodities (Clients) Input'!$CB$21:$CR$21, 0), FALSE))</f>
        <v/>
      </c>
      <c r="Q139" s="69" t="str">
        <f>IF(Q$125="", "", VLOOKUP($C139, 'Commodities (Clients) Input'!$CB$23:$CR$46, MATCH('Commodities (Clients) Output'!Q$125, 'Commodities (Clients) Input'!$CB$21:$CR$21, 0), FALSE))</f>
        <v/>
      </c>
      <c r="R139" s="69" t="str">
        <f>IF(R$125="", "", VLOOKUP($C139, 'Commodities (Clients) Input'!$CB$23:$CR$46, MATCH('Commodities (Clients) Output'!R$125, 'Commodities (Clients) Input'!$CB$21:$CR$21, 0), FALSE))</f>
        <v/>
      </c>
      <c r="S139" s="70" t="str">
        <f>IF(S$125="", "", VLOOKUP($C139, 'Commodities (Clients) Input'!$CB$23:$CR$46, MATCH('Commodities (Clients) Output'!S$125, 'Commodities (Clients) Input'!$CB$21:$CR$21, 0), FALSE))</f>
        <v/>
      </c>
      <c r="U139" s="928" t="str">
        <f t="shared" si="51"/>
        <v/>
      </c>
      <c r="V139" s="877" t="str">
        <f t="shared" si="52"/>
        <v/>
      </c>
      <c r="X139" s="856" t="e">
        <f t="shared" si="53"/>
        <v>#DIV/0!</v>
      </c>
      <c r="Y139" s="857" t="e">
        <f t="shared" si="54"/>
        <v>#DIV/0!</v>
      </c>
      <c r="Z139" s="856" t="e">
        <f t="shared" si="55"/>
        <v>#DIV/0!</v>
      </c>
      <c r="AA139" s="856">
        <v>-111</v>
      </c>
      <c r="AD139" s="445"/>
      <c r="AE139" s="449"/>
      <c r="AF139" s="447"/>
    </row>
    <row r="140" spans="1:35" ht="15.75" thickBot="1" x14ac:dyDescent="0.3">
      <c r="B140" s="1580"/>
      <c r="C140" s="275" t="str">
        <f>'Commodities (Clients) Input'!C36</f>
        <v>Autre Injectable</v>
      </c>
      <c r="D140" s="71" t="str">
        <f>IF(D$125="", "", VLOOKUP($C140, 'Commodities (Clients) Input'!$CB$23:$CR$46, MATCH('Commodities (Clients) Output'!D$125, 'Commodities (Clients) Input'!$CB$21:$CR$21, 0), FALSE))</f>
        <v/>
      </c>
      <c r="E140" s="72" t="str">
        <f>IF(E$125="", "", VLOOKUP($C140, 'Commodities (Clients) Input'!$CB$23:$CR$46, MATCH('Commodities (Clients) Output'!E$125, 'Commodities (Clients) Input'!$CB$21:$CR$21, 0), FALSE))</f>
        <v/>
      </c>
      <c r="F140" s="72" t="str">
        <f>IF(F$125="", "", VLOOKUP($C140, 'Commodities (Clients) Input'!$CB$23:$CR$46, MATCH('Commodities (Clients) Output'!F$125, 'Commodities (Clients) Input'!$CB$21:$CR$21, 0), FALSE))</f>
        <v/>
      </c>
      <c r="G140" s="72" t="str">
        <f>IF(G$125="", "", VLOOKUP($C140, 'Commodities (Clients) Input'!$CB$23:$CR$46, MATCH('Commodities (Clients) Output'!G$125, 'Commodities (Clients) Input'!$CB$21:$CR$21, 0), FALSE))</f>
        <v/>
      </c>
      <c r="H140" s="72" t="str">
        <f>IF(H$125="", "", VLOOKUP($C140, 'Commodities (Clients) Input'!$CB$23:$CR$46, MATCH('Commodities (Clients) Output'!H$125, 'Commodities (Clients) Input'!$CB$21:$CR$21, 0), FALSE))</f>
        <v/>
      </c>
      <c r="I140" s="72" t="str">
        <f>IF(I$125="", "", VLOOKUP($C140, 'Commodities (Clients) Input'!$CB$23:$CR$46, MATCH('Commodities (Clients) Output'!I$125, 'Commodities (Clients) Input'!$CB$21:$CR$21, 0), FALSE))</f>
        <v/>
      </c>
      <c r="J140" s="72" t="str">
        <f>IF(J$125="", "", VLOOKUP($C140, 'Commodities (Clients) Input'!$CB$23:$CR$46, MATCH('Commodities (Clients) Output'!J$125, 'Commodities (Clients) Input'!$CB$21:$CR$21, 0), FALSE))</f>
        <v/>
      </c>
      <c r="K140" s="72" t="str">
        <f>IF(K$125="", "", VLOOKUP($C140, 'Commodities (Clients) Input'!$CB$23:$CR$46, MATCH('Commodities (Clients) Output'!K$125, 'Commodities (Clients) Input'!$CB$21:$CR$21, 0), FALSE))</f>
        <v/>
      </c>
      <c r="L140" s="72" t="str">
        <f>IF(L$125="", "", VLOOKUP($C140, 'Commodities (Clients) Input'!$CB$23:$CR$46, MATCH('Commodities (Clients) Output'!L$125, 'Commodities (Clients) Input'!$CB$21:$CR$21, 0), FALSE))</f>
        <v/>
      </c>
      <c r="M140" s="73" t="str">
        <f>IF(M$125="", "", VLOOKUP($C140, 'Commodities (Clients) Input'!$CB$23:$CR$46, MATCH('Commodities (Clients) Output'!M$125, 'Commodities (Clients) Input'!$CB$21:$CR$21, 0), FALSE))</f>
        <v/>
      </c>
      <c r="N140" s="73" t="str">
        <f>IF(N$125="", "", VLOOKUP($C140, 'Commodities (Clients) Input'!$CB$23:$CR$46, MATCH('Commodities (Clients) Output'!N$125, 'Commodities (Clients) Input'!$CB$21:$CR$21, 0), FALSE))</f>
        <v/>
      </c>
      <c r="O140" s="73" t="str">
        <f>IF(O$125="", "", VLOOKUP($C140, 'Commodities (Clients) Input'!$CB$23:$CR$46, MATCH('Commodities (Clients) Output'!O$125, 'Commodities (Clients) Input'!$CB$21:$CR$21, 0), FALSE))</f>
        <v/>
      </c>
      <c r="P140" s="73" t="str">
        <f>IF(P$125="", "", VLOOKUP($C140, 'Commodities (Clients) Input'!$CB$23:$CR$46, MATCH('Commodities (Clients) Output'!P$125, 'Commodities (Clients) Input'!$CB$21:$CR$21, 0), FALSE))</f>
        <v/>
      </c>
      <c r="Q140" s="73" t="str">
        <f>IF(Q$125="", "", VLOOKUP($C140, 'Commodities (Clients) Input'!$CB$23:$CR$46, MATCH('Commodities (Clients) Output'!Q$125, 'Commodities (Clients) Input'!$CB$21:$CR$21, 0), FALSE))</f>
        <v/>
      </c>
      <c r="R140" s="73" t="str">
        <f>IF(R$125="", "", VLOOKUP($C140, 'Commodities (Clients) Input'!$CB$23:$CR$46, MATCH('Commodities (Clients) Output'!R$125, 'Commodities (Clients) Input'!$CB$21:$CR$21, 0), FALSE))</f>
        <v/>
      </c>
      <c r="S140" s="74" t="str">
        <f>IF(S$125="", "", VLOOKUP($C140, 'Commodities (Clients) Input'!$CB$23:$CR$46, MATCH('Commodities (Clients) Output'!S$125, 'Commodities (Clients) Input'!$CB$21:$CR$21, 0), FALSE))</f>
        <v/>
      </c>
      <c r="U140" s="928" t="str">
        <f t="shared" si="51"/>
        <v/>
      </c>
      <c r="V140" s="877" t="str">
        <f t="shared" si="52"/>
        <v/>
      </c>
      <c r="X140" s="856" t="e">
        <f t="shared" si="53"/>
        <v>#DIV/0!</v>
      </c>
      <c r="Y140" s="857" t="e">
        <f t="shared" si="54"/>
        <v>#DIV/0!</v>
      </c>
      <c r="Z140" s="856" t="e">
        <f t="shared" si="55"/>
        <v>#DIV/0!</v>
      </c>
      <c r="AA140" s="856" t="e">
        <f t="shared" si="56"/>
        <v>#DIV/0!</v>
      </c>
      <c r="AD140" s="445"/>
      <c r="AE140" s="449"/>
      <c r="AF140" s="447"/>
    </row>
    <row r="141" spans="1:35" ht="15.75" thickBot="1" x14ac:dyDescent="0.3">
      <c r="B141" s="1579" t="str">
        <f>'Commodities (Clients) Input'!B37</f>
        <v>Pilule</v>
      </c>
      <c r="C141" s="274" t="str">
        <f>'Commodities (Clients) Input'!C37</f>
        <v>Oraux combinés (COC)</v>
      </c>
      <c r="D141" s="64" t="str">
        <f>IF(D$125="", "", VLOOKUP($C141, 'Commodities (Clients) Input'!$CB$23:$CR$46, MATCH('Commodities (Clients) Output'!D$125, 'Commodities (Clients) Input'!$CB$21:$CR$21, 0), FALSE))</f>
        <v/>
      </c>
      <c r="E141" s="202" t="str">
        <f>IF(E$125="", "", VLOOKUP($C141, 'Commodities (Clients) Input'!$CB$23:$CR$46, MATCH('Commodities (Clients) Output'!E$125, 'Commodities (Clients) Input'!$CB$21:$CR$21, 0), FALSE))</f>
        <v/>
      </c>
      <c r="F141" s="202" t="str">
        <f>IF(F$125="", "", VLOOKUP($C141, 'Commodities (Clients) Input'!$CB$23:$CR$46, MATCH('Commodities (Clients) Output'!F$125, 'Commodities (Clients) Input'!$CB$21:$CR$21, 0), FALSE))</f>
        <v/>
      </c>
      <c r="G141" s="202" t="str">
        <f>IF(G$125="", "", VLOOKUP($C141, 'Commodities (Clients) Input'!$CB$23:$CR$46, MATCH('Commodities (Clients) Output'!G$125, 'Commodities (Clients) Input'!$CB$21:$CR$21, 0), FALSE))</f>
        <v/>
      </c>
      <c r="H141" s="202" t="str">
        <f>IF(H$125="", "", VLOOKUP($C141, 'Commodities (Clients) Input'!$CB$23:$CR$46, MATCH('Commodities (Clients) Output'!H$125, 'Commodities (Clients) Input'!$CB$21:$CR$21, 0), FALSE))</f>
        <v/>
      </c>
      <c r="I141" s="202" t="str">
        <f>IF(I$125="", "", VLOOKUP($C141, 'Commodities (Clients) Input'!$CB$23:$CR$46, MATCH('Commodities (Clients) Output'!I$125, 'Commodities (Clients) Input'!$CB$21:$CR$21, 0), FALSE))</f>
        <v/>
      </c>
      <c r="J141" s="202" t="str">
        <f>IF(J$125="", "", VLOOKUP($C141, 'Commodities (Clients) Input'!$CB$23:$CR$46, MATCH('Commodities (Clients) Output'!J$125, 'Commodities (Clients) Input'!$CB$21:$CR$21, 0), FALSE))</f>
        <v/>
      </c>
      <c r="K141" s="202" t="str">
        <f>IF(K$125="", "", VLOOKUP($C141, 'Commodities (Clients) Input'!$CB$23:$CR$46, MATCH('Commodities (Clients) Output'!K$125, 'Commodities (Clients) Input'!$CB$21:$CR$21, 0), FALSE))</f>
        <v/>
      </c>
      <c r="L141" s="202" t="str">
        <f>IF(L$125="", "", VLOOKUP($C141, 'Commodities (Clients) Input'!$CB$23:$CR$46, MATCH('Commodities (Clients) Output'!L$125, 'Commodities (Clients) Input'!$CB$21:$CR$21, 0), FALSE))</f>
        <v/>
      </c>
      <c r="M141" s="65" t="str">
        <f>IF(M$125="", "", VLOOKUP($C141, 'Commodities (Clients) Input'!$CB$23:$CR$46, MATCH('Commodities (Clients) Output'!M$125, 'Commodities (Clients) Input'!$CB$21:$CR$21, 0), FALSE))</f>
        <v/>
      </c>
      <c r="N141" s="65" t="str">
        <f>IF(N$125="", "", VLOOKUP($C141, 'Commodities (Clients) Input'!$CB$23:$CR$46, MATCH('Commodities (Clients) Output'!N$125, 'Commodities (Clients) Input'!$CB$21:$CR$21, 0), FALSE))</f>
        <v/>
      </c>
      <c r="O141" s="65" t="str">
        <f>IF(O$125="", "", VLOOKUP($C141, 'Commodities (Clients) Input'!$CB$23:$CR$46, MATCH('Commodities (Clients) Output'!O$125, 'Commodities (Clients) Input'!$CB$21:$CR$21, 0), FALSE))</f>
        <v/>
      </c>
      <c r="P141" s="65" t="str">
        <f>IF(P$125="", "", VLOOKUP($C141, 'Commodities (Clients) Input'!$CB$23:$CR$46, MATCH('Commodities (Clients) Output'!P$125, 'Commodities (Clients) Input'!$CB$21:$CR$21, 0), FALSE))</f>
        <v/>
      </c>
      <c r="Q141" s="65" t="str">
        <f>IF(Q$125="", "", VLOOKUP($C141, 'Commodities (Clients) Input'!$CB$23:$CR$46, MATCH('Commodities (Clients) Output'!Q$125, 'Commodities (Clients) Input'!$CB$21:$CR$21, 0), FALSE))</f>
        <v/>
      </c>
      <c r="R141" s="65" t="str">
        <f>IF(R$125="", "", VLOOKUP($C141, 'Commodities (Clients) Input'!$CB$23:$CR$46, MATCH('Commodities (Clients) Output'!R$125, 'Commodities (Clients) Input'!$CB$21:$CR$21, 0), FALSE))</f>
        <v/>
      </c>
      <c r="S141" s="66" t="str">
        <f>IF(S$125="", "", VLOOKUP($C141, 'Commodities (Clients) Input'!$CB$23:$CR$46, MATCH('Commodities (Clients) Output'!S$125, 'Commodities (Clients) Input'!$CB$21:$CR$21, 0), FALSE))</f>
        <v/>
      </c>
      <c r="U141" s="928" t="str">
        <f t="shared" si="51"/>
        <v/>
      </c>
      <c r="V141" s="877" t="str">
        <f t="shared" si="52"/>
        <v/>
      </c>
      <c r="X141" s="856" t="e">
        <f t="shared" si="53"/>
        <v>#DIV/0!</v>
      </c>
      <c r="Y141" s="857" t="e">
        <f t="shared" si="54"/>
        <v>#DIV/0!</v>
      </c>
      <c r="Z141" s="856" t="e">
        <f t="shared" si="55"/>
        <v>#DIV/0!</v>
      </c>
      <c r="AA141" s="856" t="e">
        <f t="shared" si="56"/>
        <v>#DIV/0!</v>
      </c>
      <c r="AD141" s="445"/>
      <c r="AE141" s="449"/>
      <c r="AF141" s="447"/>
    </row>
    <row r="142" spans="1:35" ht="15.75" thickBot="1" x14ac:dyDescent="0.3">
      <c r="B142" s="1515"/>
      <c r="C142" s="277" t="str">
        <f>'Commodities (Clients) Input'!C38</f>
        <v>Progestatifs seul (POP)</v>
      </c>
      <c r="D142" s="67" t="str">
        <f>IF(D$125="", "", VLOOKUP($C142, 'Commodities (Clients) Input'!$CB$23:$CR$46, MATCH('Commodities (Clients) Output'!D$125, 'Commodities (Clients) Input'!$CB$21:$CR$21, 0), FALSE))</f>
        <v/>
      </c>
      <c r="E142" s="68" t="str">
        <f>IF(E$125="", "", VLOOKUP($C142, 'Commodities (Clients) Input'!$CB$23:$CR$46, MATCH('Commodities (Clients) Output'!E$125, 'Commodities (Clients) Input'!$CB$21:$CR$21, 0), FALSE))</f>
        <v/>
      </c>
      <c r="F142" s="68" t="str">
        <f>IF(F$125="", "", VLOOKUP($C142, 'Commodities (Clients) Input'!$CB$23:$CR$46, MATCH('Commodities (Clients) Output'!F$125, 'Commodities (Clients) Input'!$CB$21:$CR$21, 0), FALSE))</f>
        <v/>
      </c>
      <c r="G142" s="68" t="str">
        <f>IF(G$125="", "", VLOOKUP($C142, 'Commodities (Clients) Input'!$CB$23:$CR$46, MATCH('Commodities (Clients) Output'!G$125, 'Commodities (Clients) Input'!$CB$21:$CR$21, 0), FALSE))</f>
        <v/>
      </c>
      <c r="H142" s="68" t="str">
        <f>IF(H$125="", "", VLOOKUP($C142, 'Commodities (Clients) Input'!$CB$23:$CR$46, MATCH('Commodities (Clients) Output'!H$125, 'Commodities (Clients) Input'!$CB$21:$CR$21, 0), FALSE))</f>
        <v/>
      </c>
      <c r="I142" s="68" t="str">
        <f>IF(I$125="", "", VLOOKUP($C142, 'Commodities (Clients) Input'!$CB$23:$CR$46, MATCH('Commodities (Clients) Output'!I$125, 'Commodities (Clients) Input'!$CB$21:$CR$21, 0), FALSE))</f>
        <v/>
      </c>
      <c r="J142" s="68" t="str">
        <f>IF(J$125="", "", VLOOKUP($C142, 'Commodities (Clients) Input'!$CB$23:$CR$46, MATCH('Commodities (Clients) Output'!J$125, 'Commodities (Clients) Input'!$CB$21:$CR$21, 0), FALSE))</f>
        <v/>
      </c>
      <c r="K142" s="68" t="str">
        <f>IF(K$125="", "", VLOOKUP($C142, 'Commodities (Clients) Input'!$CB$23:$CR$46, MATCH('Commodities (Clients) Output'!K$125, 'Commodities (Clients) Input'!$CB$21:$CR$21, 0), FALSE))</f>
        <v/>
      </c>
      <c r="L142" s="68" t="str">
        <f>IF(L$125="", "", VLOOKUP($C142, 'Commodities (Clients) Input'!$CB$23:$CR$46, MATCH('Commodities (Clients) Output'!L$125, 'Commodities (Clients) Input'!$CB$21:$CR$21, 0), FALSE))</f>
        <v/>
      </c>
      <c r="M142" s="69" t="str">
        <f>IF(M$125="", "", VLOOKUP($C142, 'Commodities (Clients) Input'!$CB$23:$CR$46, MATCH('Commodities (Clients) Output'!M$125, 'Commodities (Clients) Input'!$CB$21:$CR$21, 0), FALSE))</f>
        <v/>
      </c>
      <c r="N142" s="69" t="str">
        <f>IF(N$125="", "", VLOOKUP($C142, 'Commodities (Clients) Input'!$CB$23:$CR$46, MATCH('Commodities (Clients) Output'!N$125, 'Commodities (Clients) Input'!$CB$21:$CR$21, 0), FALSE))</f>
        <v/>
      </c>
      <c r="O142" s="69" t="str">
        <f>IF(O$125="", "", VLOOKUP($C142, 'Commodities (Clients) Input'!$CB$23:$CR$46, MATCH('Commodities (Clients) Output'!O$125, 'Commodities (Clients) Input'!$CB$21:$CR$21, 0), FALSE))</f>
        <v/>
      </c>
      <c r="P142" s="69" t="str">
        <f>IF(P$125="", "", VLOOKUP($C142, 'Commodities (Clients) Input'!$CB$23:$CR$46, MATCH('Commodities (Clients) Output'!P$125, 'Commodities (Clients) Input'!$CB$21:$CR$21, 0), FALSE))</f>
        <v/>
      </c>
      <c r="Q142" s="69" t="str">
        <f>IF(Q$125="", "", VLOOKUP($C142, 'Commodities (Clients) Input'!$CB$23:$CR$46, MATCH('Commodities (Clients) Output'!Q$125, 'Commodities (Clients) Input'!$CB$21:$CR$21, 0), FALSE))</f>
        <v/>
      </c>
      <c r="R142" s="69" t="str">
        <f>IF(R$125="", "", VLOOKUP($C142, 'Commodities (Clients) Input'!$CB$23:$CR$46, MATCH('Commodities (Clients) Output'!R$125, 'Commodities (Clients) Input'!$CB$21:$CR$21, 0), FALSE))</f>
        <v/>
      </c>
      <c r="S142" s="70" t="str">
        <f>IF(S$125="", "", VLOOKUP($C142, 'Commodities (Clients) Input'!$CB$23:$CR$46, MATCH('Commodities (Clients) Output'!S$125, 'Commodities (Clients) Input'!$CB$21:$CR$21, 0), FALSE))</f>
        <v/>
      </c>
      <c r="U142" s="928" t="str">
        <f t="shared" si="51"/>
        <v/>
      </c>
      <c r="V142" s="877" t="str">
        <f t="shared" si="52"/>
        <v/>
      </c>
      <c r="X142" s="856" t="e">
        <f t="shared" si="53"/>
        <v>#DIV/0!</v>
      </c>
      <c r="Y142" s="857" t="e">
        <f t="shared" si="54"/>
        <v>#DIV/0!</v>
      </c>
      <c r="Z142" s="856" t="e">
        <f t="shared" si="55"/>
        <v>#DIV/0!</v>
      </c>
      <c r="AA142" s="856" t="e">
        <f t="shared" si="56"/>
        <v>#DIV/0!</v>
      </c>
      <c r="AD142" s="445"/>
      <c r="AE142" s="449"/>
      <c r="AF142" s="447"/>
    </row>
    <row r="143" spans="1:35" ht="15.75" thickBot="1" x14ac:dyDescent="0.3">
      <c r="B143" s="1580"/>
      <c r="C143" s="275" t="str">
        <f>'Commodities (Clients) Input'!C39</f>
        <v>Autre pilule</v>
      </c>
      <c r="D143" s="71" t="str">
        <f>IF(D$125="", "", VLOOKUP($C143, 'Commodities (Clients) Input'!$CB$23:$CR$46, MATCH('Commodities (Clients) Output'!D$125, 'Commodities (Clients) Input'!$CB$21:$CR$21, 0), FALSE))</f>
        <v/>
      </c>
      <c r="E143" s="72" t="str">
        <f>IF(E$125="", "", VLOOKUP($C143, 'Commodities (Clients) Input'!$CB$23:$CR$46, MATCH('Commodities (Clients) Output'!E$125, 'Commodities (Clients) Input'!$CB$21:$CR$21, 0), FALSE))</f>
        <v/>
      </c>
      <c r="F143" s="72" t="str">
        <f>IF(F$125="", "", VLOOKUP($C143, 'Commodities (Clients) Input'!$CB$23:$CR$46, MATCH('Commodities (Clients) Output'!F$125, 'Commodities (Clients) Input'!$CB$21:$CR$21, 0), FALSE))</f>
        <v/>
      </c>
      <c r="G143" s="72" t="str">
        <f>IF(G$125="", "", VLOOKUP($C143, 'Commodities (Clients) Input'!$CB$23:$CR$46, MATCH('Commodities (Clients) Output'!G$125, 'Commodities (Clients) Input'!$CB$21:$CR$21, 0), FALSE))</f>
        <v/>
      </c>
      <c r="H143" s="72" t="str">
        <f>IF(H$125="", "", VLOOKUP($C143, 'Commodities (Clients) Input'!$CB$23:$CR$46, MATCH('Commodities (Clients) Output'!H$125, 'Commodities (Clients) Input'!$CB$21:$CR$21, 0), FALSE))</f>
        <v/>
      </c>
      <c r="I143" s="72" t="str">
        <f>IF(I$125="", "", VLOOKUP($C143, 'Commodities (Clients) Input'!$CB$23:$CR$46, MATCH('Commodities (Clients) Output'!I$125, 'Commodities (Clients) Input'!$CB$21:$CR$21, 0), FALSE))</f>
        <v/>
      </c>
      <c r="J143" s="72" t="str">
        <f>IF(J$125="", "", VLOOKUP($C143, 'Commodities (Clients) Input'!$CB$23:$CR$46, MATCH('Commodities (Clients) Output'!J$125, 'Commodities (Clients) Input'!$CB$21:$CR$21, 0), FALSE))</f>
        <v/>
      </c>
      <c r="K143" s="72" t="str">
        <f>IF(K$125="", "", VLOOKUP($C143, 'Commodities (Clients) Input'!$CB$23:$CR$46, MATCH('Commodities (Clients) Output'!K$125, 'Commodities (Clients) Input'!$CB$21:$CR$21, 0), FALSE))</f>
        <v/>
      </c>
      <c r="L143" s="72" t="str">
        <f>IF(L$125="", "", VLOOKUP($C143, 'Commodities (Clients) Input'!$CB$23:$CR$46, MATCH('Commodities (Clients) Output'!L$125, 'Commodities (Clients) Input'!$CB$21:$CR$21, 0), FALSE))</f>
        <v/>
      </c>
      <c r="M143" s="73" t="str">
        <f>IF(M$125="", "", VLOOKUP($C143, 'Commodities (Clients) Input'!$CB$23:$CR$46, MATCH('Commodities (Clients) Output'!M$125, 'Commodities (Clients) Input'!$CB$21:$CR$21, 0), FALSE))</f>
        <v/>
      </c>
      <c r="N143" s="73" t="str">
        <f>IF(N$125="", "", VLOOKUP($C143, 'Commodities (Clients) Input'!$CB$23:$CR$46, MATCH('Commodities (Clients) Output'!N$125, 'Commodities (Clients) Input'!$CB$21:$CR$21, 0), FALSE))</f>
        <v/>
      </c>
      <c r="O143" s="73" t="str">
        <f>IF(O$125="", "", VLOOKUP($C143, 'Commodities (Clients) Input'!$CB$23:$CR$46, MATCH('Commodities (Clients) Output'!O$125, 'Commodities (Clients) Input'!$CB$21:$CR$21, 0), FALSE))</f>
        <v/>
      </c>
      <c r="P143" s="73" t="str">
        <f>IF(P$125="", "", VLOOKUP($C143, 'Commodities (Clients) Input'!$CB$23:$CR$46, MATCH('Commodities (Clients) Output'!P$125, 'Commodities (Clients) Input'!$CB$21:$CR$21, 0), FALSE))</f>
        <v/>
      </c>
      <c r="Q143" s="73" t="str">
        <f>IF(Q$125="", "", VLOOKUP($C143, 'Commodities (Clients) Input'!$CB$23:$CR$46, MATCH('Commodities (Clients) Output'!Q$125, 'Commodities (Clients) Input'!$CB$21:$CR$21, 0), FALSE))</f>
        <v/>
      </c>
      <c r="R143" s="73" t="str">
        <f>IF(R$125="", "", VLOOKUP($C143, 'Commodities (Clients) Input'!$CB$23:$CR$46, MATCH('Commodities (Clients) Output'!R$125, 'Commodities (Clients) Input'!$CB$21:$CR$21, 0), FALSE))</f>
        <v/>
      </c>
      <c r="S143" s="74" t="str">
        <f>IF(S$125="", "", VLOOKUP($C143, 'Commodities (Clients) Input'!$CB$23:$CR$46, MATCH('Commodities (Clients) Output'!S$125, 'Commodities (Clients) Input'!$CB$21:$CR$21, 0), FALSE))</f>
        <v/>
      </c>
      <c r="U143" s="928" t="str">
        <f t="shared" si="51"/>
        <v/>
      </c>
      <c r="V143" s="877" t="str">
        <f t="shared" si="52"/>
        <v/>
      </c>
      <c r="X143" s="856" t="e">
        <f t="shared" si="53"/>
        <v>#DIV/0!</v>
      </c>
      <c r="Y143" s="857" t="e">
        <f t="shared" si="54"/>
        <v>#DIV/0!</v>
      </c>
      <c r="Z143" s="856" t="e">
        <f t="shared" si="55"/>
        <v>#DIV/0!</v>
      </c>
      <c r="AA143" s="856" t="e">
        <f t="shared" si="56"/>
        <v>#DIV/0!</v>
      </c>
      <c r="AD143" s="445"/>
      <c r="AE143" s="449"/>
      <c r="AF143" s="447"/>
    </row>
    <row r="144" spans="1:35" ht="15.75" thickBot="1" x14ac:dyDescent="0.3">
      <c r="B144" s="1579" t="str">
        <f>'Commodities (Clients) Input'!B40</f>
        <v>Préservatifs</v>
      </c>
      <c r="C144" s="274" t="str">
        <f>'Commodities (Clients) Input'!C40</f>
        <v>Préservatifs masculin</v>
      </c>
      <c r="D144" s="75" t="str">
        <f>IF(D$125="", "", VLOOKUP($C144, 'Commodities (Clients) Input'!$CB$23:$CR$46, MATCH('Commodities (Clients) Output'!D$125, 'Commodities (Clients) Input'!$CB$21:$CR$21, 0), FALSE))</f>
        <v/>
      </c>
      <c r="E144" s="76" t="str">
        <f>IF(E$125="", "", VLOOKUP($C144, 'Commodities (Clients) Input'!$CB$23:$CR$46, MATCH('Commodities (Clients) Output'!E$125, 'Commodities (Clients) Input'!$CB$21:$CR$21, 0), FALSE))</f>
        <v/>
      </c>
      <c r="F144" s="76" t="str">
        <f>IF(F$125="", "", VLOOKUP($C144, 'Commodities (Clients) Input'!$CB$23:$CR$46, MATCH('Commodities (Clients) Output'!F$125, 'Commodities (Clients) Input'!$CB$21:$CR$21, 0), FALSE))</f>
        <v/>
      </c>
      <c r="G144" s="76" t="str">
        <f>IF(G$125="", "", VLOOKUP($C144, 'Commodities (Clients) Input'!$CB$23:$CR$46, MATCH('Commodities (Clients) Output'!G$125, 'Commodities (Clients) Input'!$CB$21:$CR$21, 0), FALSE))</f>
        <v/>
      </c>
      <c r="H144" s="76" t="str">
        <f>IF(H$125="", "", VLOOKUP($C144, 'Commodities (Clients) Input'!$CB$23:$CR$46, MATCH('Commodities (Clients) Output'!H$125, 'Commodities (Clients) Input'!$CB$21:$CR$21, 0), FALSE))</f>
        <v/>
      </c>
      <c r="I144" s="76" t="str">
        <f>IF(I$125="", "", VLOOKUP($C144, 'Commodities (Clients) Input'!$CB$23:$CR$46, MATCH('Commodities (Clients) Output'!I$125, 'Commodities (Clients) Input'!$CB$21:$CR$21, 0), FALSE))</f>
        <v/>
      </c>
      <c r="J144" s="76" t="str">
        <f>IF(J$125="", "", VLOOKUP($C144, 'Commodities (Clients) Input'!$CB$23:$CR$46, MATCH('Commodities (Clients) Output'!J$125, 'Commodities (Clients) Input'!$CB$21:$CR$21, 0), FALSE))</f>
        <v/>
      </c>
      <c r="K144" s="76" t="str">
        <f>IF(K$125="", "", VLOOKUP($C144, 'Commodities (Clients) Input'!$CB$23:$CR$46, MATCH('Commodities (Clients) Output'!K$125, 'Commodities (Clients) Input'!$CB$21:$CR$21, 0), FALSE))</f>
        <v/>
      </c>
      <c r="L144" s="76" t="str">
        <f>IF(L$125="", "", VLOOKUP($C144, 'Commodities (Clients) Input'!$CB$23:$CR$46, MATCH('Commodities (Clients) Output'!L$125, 'Commodities (Clients) Input'!$CB$21:$CR$21, 0), FALSE))</f>
        <v/>
      </c>
      <c r="M144" s="77" t="str">
        <f>IF(M$125="", "", VLOOKUP($C144, 'Commodities (Clients) Input'!$CB$23:$CR$46, MATCH('Commodities (Clients) Output'!M$125, 'Commodities (Clients) Input'!$CB$21:$CR$21, 0), FALSE))</f>
        <v/>
      </c>
      <c r="N144" s="77" t="str">
        <f>IF(N$125="", "", VLOOKUP($C144, 'Commodities (Clients) Input'!$CB$23:$CR$46, MATCH('Commodities (Clients) Output'!N$125, 'Commodities (Clients) Input'!$CB$21:$CR$21, 0), FALSE))</f>
        <v/>
      </c>
      <c r="O144" s="77" t="str">
        <f>IF(O$125="", "", VLOOKUP($C144, 'Commodities (Clients) Input'!$CB$23:$CR$46, MATCH('Commodities (Clients) Output'!O$125, 'Commodities (Clients) Input'!$CB$21:$CR$21, 0), FALSE))</f>
        <v/>
      </c>
      <c r="P144" s="77" t="str">
        <f>IF(P$125="", "", VLOOKUP($C144, 'Commodities (Clients) Input'!$CB$23:$CR$46, MATCH('Commodities (Clients) Output'!P$125, 'Commodities (Clients) Input'!$CB$21:$CR$21, 0), FALSE))</f>
        <v/>
      </c>
      <c r="Q144" s="77" t="str">
        <f>IF(Q$125="", "", VLOOKUP($C144, 'Commodities (Clients) Input'!$CB$23:$CR$46, MATCH('Commodities (Clients) Output'!Q$125, 'Commodities (Clients) Input'!$CB$21:$CR$21, 0), FALSE))</f>
        <v/>
      </c>
      <c r="R144" s="77" t="str">
        <f>IF(R$125="", "", VLOOKUP($C144, 'Commodities (Clients) Input'!$CB$23:$CR$46, MATCH('Commodities (Clients) Output'!R$125, 'Commodities (Clients) Input'!$CB$21:$CR$21, 0), FALSE))</f>
        <v/>
      </c>
      <c r="S144" s="78" t="str">
        <f>IF(S$125="", "", VLOOKUP($C144, 'Commodities (Clients) Input'!$CB$23:$CR$46, MATCH('Commodities (Clients) Output'!S$125, 'Commodities (Clients) Input'!$CB$21:$CR$21, 0), FALSE))</f>
        <v/>
      </c>
      <c r="U144" s="928" t="str">
        <f t="shared" si="51"/>
        <v/>
      </c>
      <c r="V144" s="877" t="str">
        <f t="shared" si="52"/>
        <v/>
      </c>
      <c r="X144" s="856" t="e">
        <f t="shared" si="53"/>
        <v>#DIV/0!</v>
      </c>
      <c r="Y144" s="857" t="e">
        <f t="shared" si="54"/>
        <v>#DIV/0!</v>
      </c>
      <c r="Z144" s="856" t="e">
        <f t="shared" si="55"/>
        <v>#DIV/0!</v>
      </c>
      <c r="AA144" s="856" t="e">
        <f t="shared" si="56"/>
        <v>#DIV/0!</v>
      </c>
      <c r="AD144" s="445"/>
      <c r="AE144" s="449"/>
      <c r="AF144" s="447"/>
    </row>
    <row r="145" spans="2:32" ht="15.75" thickBot="1" x14ac:dyDescent="0.3">
      <c r="B145" s="1580"/>
      <c r="C145" s="275" t="str">
        <f>'Commodities (Clients) Input'!C41</f>
        <v>Préservatifs feminin</v>
      </c>
      <c r="D145" s="60" t="str">
        <f>IF(D$125="", "", VLOOKUP($C145, 'Commodities (Clients) Input'!$CB$23:$CR$46, MATCH('Commodities (Clients) Output'!D$125, 'Commodities (Clients) Input'!$CB$21:$CR$21, 0), FALSE))</f>
        <v/>
      </c>
      <c r="E145" s="61" t="str">
        <f>IF(E$125="", "", VLOOKUP($C145, 'Commodities (Clients) Input'!$CB$23:$CR$46, MATCH('Commodities (Clients) Output'!E$125, 'Commodities (Clients) Input'!$CB$21:$CR$21, 0), FALSE))</f>
        <v/>
      </c>
      <c r="F145" s="61" t="str">
        <f>IF(F$125="", "", VLOOKUP($C145, 'Commodities (Clients) Input'!$CB$23:$CR$46, MATCH('Commodities (Clients) Output'!F$125, 'Commodities (Clients) Input'!$CB$21:$CR$21, 0), FALSE))</f>
        <v/>
      </c>
      <c r="G145" s="61" t="str">
        <f>IF(G$125="", "", VLOOKUP($C145, 'Commodities (Clients) Input'!$CB$23:$CR$46, MATCH('Commodities (Clients) Output'!G$125, 'Commodities (Clients) Input'!$CB$21:$CR$21, 0), FALSE))</f>
        <v/>
      </c>
      <c r="H145" s="61" t="str">
        <f>IF(H$125="", "", VLOOKUP($C145, 'Commodities (Clients) Input'!$CB$23:$CR$46, MATCH('Commodities (Clients) Output'!H$125, 'Commodities (Clients) Input'!$CB$21:$CR$21, 0), FALSE))</f>
        <v/>
      </c>
      <c r="I145" s="61" t="str">
        <f>IF(I$125="", "", VLOOKUP($C145, 'Commodities (Clients) Input'!$CB$23:$CR$46, MATCH('Commodities (Clients) Output'!I$125, 'Commodities (Clients) Input'!$CB$21:$CR$21, 0), FALSE))</f>
        <v/>
      </c>
      <c r="J145" s="61" t="str">
        <f>IF(J$125="", "", VLOOKUP($C145, 'Commodities (Clients) Input'!$CB$23:$CR$46, MATCH('Commodities (Clients) Output'!J$125, 'Commodities (Clients) Input'!$CB$21:$CR$21, 0), FALSE))</f>
        <v/>
      </c>
      <c r="K145" s="61" t="str">
        <f>IF(K$125="", "", VLOOKUP($C145, 'Commodities (Clients) Input'!$CB$23:$CR$46, MATCH('Commodities (Clients) Output'!K$125, 'Commodities (Clients) Input'!$CB$21:$CR$21, 0), FALSE))</f>
        <v/>
      </c>
      <c r="L145" s="61" t="str">
        <f>IF(L$125="", "", VLOOKUP($C145, 'Commodities (Clients) Input'!$CB$23:$CR$46, MATCH('Commodities (Clients) Output'!L$125, 'Commodities (Clients) Input'!$CB$21:$CR$21, 0), FALSE))</f>
        <v/>
      </c>
      <c r="M145" s="62" t="str">
        <f>IF(M$125="", "", VLOOKUP($C145, 'Commodities (Clients) Input'!$CB$23:$CR$46, MATCH('Commodities (Clients) Output'!M$125, 'Commodities (Clients) Input'!$CB$21:$CR$21, 0), FALSE))</f>
        <v/>
      </c>
      <c r="N145" s="62" t="str">
        <f>IF(N$125="", "", VLOOKUP($C145, 'Commodities (Clients) Input'!$CB$23:$CR$46, MATCH('Commodities (Clients) Output'!N$125, 'Commodities (Clients) Input'!$CB$21:$CR$21, 0), FALSE))</f>
        <v/>
      </c>
      <c r="O145" s="62" t="str">
        <f>IF(O$125="", "", VLOOKUP($C145, 'Commodities (Clients) Input'!$CB$23:$CR$46, MATCH('Commodities (Clients) Output'!O$125, 'Commodities (Clients) Input'!$CB$21:$CR$21, 0), FALSE))</f>
        <v/>
      </c>
      <c r="P145" s="62" t="str">
        <f>IF(P$125="", "", VLOOKUP($C145, 'Commodities (Clients) Input'!$CB$23:$CR$46, MATCH('Commodities (Clients) Output'!P$125, 'Commodities (Clients) Input'!$CB$21:$CR$21, 0), FALSE))</f>
        <v/>
      </c>
      <c r="Q145" s="62" t="str">
        <f>IF(Q$125="", "", VLOOKUP($C145, 'Commodities (Clients) Input'!$CB$23:$CR$46, MATCH('Commodities (Clients) Output'!Q$125, 'Commodities (Clients) Input'!$CB$21:$CR$21, 0), FALSE))</f>
        <v/>
      </c>
      <c r="R145" s="62" t="str">
        <f>IF(R$125="", "", VLOOKUP($C145, 'Commodities (Clients) Input'!$CB$23:$CR$46, MATCH('Commodities (Clients) Output'!R$125, 'Commodities (Clients) Input'!$CB$21:$CR$21, 0), FALSE))</f>
        <v/>
      </c>
      <c r="S145" s="63" t="str">
        <f>IF(S$125="", "", VLOOKUP($C145, 'Commodities (Clients) Input'!$CB$23:$CR$46, MATCH('Commodities (Clients) Output'!S$125, 'Commodities (Clients) Input'!$CB$21:$CR$21, 0), FALSE))</f>
        <v/>
      </c>
      <c r="U145" s="928" t="str">
        <f t="shared" si="51"/>
        <v/>
      </c>
      <c r="V145" s="877" t="str">
        <f t="shared" si="52"/>
        <v/>
      </c>
      <c r="X145" s="856" t="e">
        <f t="shared" si="53"/>
        <v>#DIV/0!</v>
      </c>
      <c r="Y145" s="857" t="e">
        <f t="shared" si="54"/>
        <v>#DIV/0!</v>
      </c>
      <c r="Z145" s="856" t="e">
        <f t="shared" si="55"/>
        <v>#DIV/0!</v>
      </c>
      <c r="AA145" s="856" t="e">
        <f t="shared" si="56"/>
        <v>#DIV/0!</v>
      </c>
      <c r="AD145" s="445"/>
      <c r="AE145" s="449"/>
      <c r="AF145" s="447"/>
    </row>
    <row r="146" spans="2:32" ht="15.75" thickBot="1" x14ac:dyDescent="0.3">
      <c r="B146" s="1587" t="str">
        <f>'Commodities (Clients) Input'!B42</f>
        <v>Autres Méthodes Modernes</v>
      </c>
      <c r="C146" s="274" t="str">
        <f>'Commodities (Clients) Input'!C42</f>
        <v>MAMA</v>
      </c>
      <c r="D146" s="75" t="str">
        <f>IF(D$125="", "", VLOOKUP($C146, 'Commodities (Clients) Input'!$CB$23:$CR$46, MATCH('Commodities (Clients) Output'!D$125, 'Commodities (Clients) Input'!$CB$21:$CR$21, 0), FALSE))</f>
        <v/>
      </c>
      <c r="E146" s="76" t="str">
        <f>IF(E$125="", "", VLOOKUP($C146, 'Commodities (Clients) Input'!$CB$23:$CR$46, MATCH('Commodities (Clients) Output'!E$125, 'Commodities (Clients) Input'!$CB$21:$CR$21, 0), FALSE))</f>
        <v/>
      </c>
      <c r="F146" s="76" t="str">
        <f>IF(F$125="", "", VLOOKUP($C146, 'Commodities (Clients) Input'!$CB$23:$CR$46, MATCH('Commodities (Clients) Output'!F$125, 'Commodities (Clients) Input'!$CB$21:$CR$21, 0), FALSE))</f>
        <v/>
      </c>
      <c r="G146" s="76" t="str">
        <f>IF(G$125="", "", VLOOKUP($C146, 'Commodities (Clients) Input'!$CB$23:$CR$46, MATCH('Commodities (Clients) Output'!G$125, 'Commodities (Clients) Input'!$CB$21:$CR$21, 0), FALSE))</f>
        <v/>
      </c>
      <c r="H146" s="76" t="str">
        <f>IF(H$125="", "", VLOOKUP($C146, 'Commodities (Clients) Input'!$CB$23:$CR$46, MATCH('Commodities (Clients) Output'!H$125, 'Commodities (Clients) Input'!$CB$21:$CR$21, 0), FALSE))</f>
        <v/>
      </c>
      <c r="I146" s="76" t="str">
        <f>IF(I$125="", "", VLOOKUP($C146, 'Commodities (Clients) Input'!$CB$23:$CR$46, MATCH('Commodities (Clients) Output'!I$125, 'Commodities (Clients) Input'!$CB$21:$CR$21, 0), FALSE))</f>
        <v/>
      </c>
      <c r="J146" s="76" t="str">
        <f>IF(J$125="", "", VLOOKUP($C146, 'Commodities (Clients) Input'!$CB$23:$CR$46, MATCH('Commodities (Clients) Output'!J$125, 'Commodities (Clients) Input'!$CB$21:$CR$21, 0), FALSE))</f>
        <v/>
      </c>
      <c r="K146" s="76" t="str">
        <f>IF(K$125="", "", VLOOKUP($C146, 'Commodities (Clients) Input'!$CB$23:$CR$46, MATCH('Commodities (Clients) Output'!K$125, 'Commodities (Clients) Input'!$CB$21:$CR$21, 0), FALSE))</f>
        <v/>
      </c>
      <c r="L146" s="76" t="str">
        <f>IF(L$125="", "", VLOOKUP($C146, 'Commodities (Clients) Input'!$CB$23:$CR$46, MATCH('Commodities (Clients) Output'!L$125, 'Commodities (Clients) Input'!$CB$21:$CR$21, 0), FALSE))</f>
        <v/>
      </c>
      <c r="M146" s="77" t="str">
        <f>IF(M$125="", "", VLOOKUP($C146, 'Commodities (Clients) Input'!$CB$23:$CR$46, MATCH('Commodities (Clients) Output'!M$125, 'Commodities (Clients) Input'!$CB$21:$CR$21, 0), FALSE))</f>
        <v/>
      </c>
      <c r="N146" s="77" t="str">
        <f>IF(N$125="", "", VLOOKUP($C146, 'Commodities (Clients) Input'!$CB$23:$CR$46, MATCH('Commodities (Clients) Output'!N$125, 'Commodities (Clients) Input'!$CB$21:$CR$21, 0), FALSE))</f>
        <v/>
      </c>
      <c r="O146" s="77" t="str">
        <f>IF(O$125="", "", VLOOKUP($C146, 'Commodities (Clients) Input'!$CB$23:$CR$46, MATCH('Commodities (Clients) Output'!O$125, 'Commodities (Clients) Input'!$CB$21:$CR$21, 0), FALSE))</f>
        <v/>
      </c>
      <c r="P146" s="77" t="str">
        <f>IF(P$125="", "", VLOOKUP($C146, 'Commodities (Clients) Input'!$CB$23:$CR$46, MATCH('Commodities (Clients) Output'!P$125, 'Commodities (Clients) Input'!$CB$21:$CR$21, 0), FALSE))</f>
        <v/>
      </c>
      <c r="Q146" s="77" t="str">
        <f>IF(Q$125="", "", VLOOKUP($C146, 'Commodities (Clients) Input'!$CB$23:$CR$46, MATCH('Commodities (Clients) Output'!Q$125, 'Commodities (Clients) Input'!$CB$21:$CR$21, 0), FALSE))</f>
        <v/>
      </c>
      <c r="R146" s="77" t="str">
        <f>IF(R$125="", "", VLOOKUP($C146, 'Commodities (Clients) Input'!$CB$23:$CR$46, MATCH('Commodities (Clients) Output'!R$125, 'Commodities (Clients) Input'!$CB$21:$CR$21, 0), FALSE))</f>
        <v/>
      </c>
      <c r="S146" s="78" t="str">
        <f>IF(S$125="", "", VLOOKUP($C146, 'Commodities (Clients) Input'!$CB$23:$CR$46, MATCH('Commodities (Clients) Output'!S$125, 'Commodities (Clients) Input'!$CB$21:$CR$21, 0), FALSE))</f>
        <v/>
      </c>
      <c r="U146" s="928" t="str">
        <f t="shared" si="51"/>
        <v/>
      </c>
      <c r="V146" s="877" t="str">
        <f t="shared" si="52"/>
        <v/>
      </c>
      <c r="X146" s="856" t="e">
        <f t="shared" si="53"/>
        <v>#DIV/0!</v>
      </c>
      <c r="Y146" s="857" t="e">
        <f t="shared" si="54"/>
        <v>#DIV/0!</v>
      </c>
      <c r="Z146" s="856" t="e">
        <f t="shared" si="55"/>
        <v>#DIV/0!</v>
      </c>
      <c r="AA146" s="856" t="e">
        <f t="shared" si="56"/>
        <v>#DIV/0!</v>
      </c>
      <c r="AD146" s="445"/>
      <c r="AE146" s="449"/>
      <c r="AF146" s="447"/>
    </row>
    <row r="147" spans="2:32" ht="15.75" thickBot="1" x14ac:dyDescent="0.3">
      <c r="B147" s="1588"/>
      <c r="C147" s="277" t="str">
        <f>'Commodities (Clients) Input'!C43</f>
        <v>MJF (Jours fixes)</v>
      </c>
      <c r="D147" s="56" t="str">
        <f>IF(D$125="", "", VLOOKUP($C147, 'Commodities (Clients) Input'!$CB$23:$CR$46, MATCH('Commodities (Clients) Output'!D$125, 'Commodities (Clients) Input'!$CB$21:$CR$21, 0), FALSE))</f>
        <v/>
      </c>
      <c r="E147" s="57" t="str">
        <f>IF(E$125="", "", VLOOKUP($C147, 'Commodities (Clients) Input'!$CB$23:$CR$46, MATCH('Commodities (Clients) Output'!E$125, 'Commodities (Clients) Input'!$CB$21:$CR$21, 0), FALSE))</f>
        <v/>
      </c>
      <c r="F147" s="57" t="str">
        <f>IF(F$125="", "", VLOOKUP($C147, 'Commodities (Clients) Input'!$CB$23:$CR$46, MATCH('Commodities (Clients) Output'!F$125, 'Commodities (Clients) Input'!$CB$21:$CR$21, 0), FALSE))</f>
        <v/>
      </c>
      <c r="G147" s="57" t="str">
        <f>IF(G$125="", "", VLOOKUP($C147, 'Commodities (Clients) Input'!$CB$23:$CR$46, MATCH('Commodities (Clients) Output'!G$125, 'Commodities (Clients) Input'!$CB$21:$CR$21, 0), FALSE))</f>
        <v/>
      </c>
      <c r="H147" s="57" t="str">
        <f>IF(H$125="", "", VLOOKUP($C147, 'Commodities (Clients) Input'!$CB$23:$CR$46, MATCH('Commodities (Clients) Output'!H$125, 'Commodities (Clients) Input'!$CB$21:$CR$21, 0), FALSE))</f>
        <v/>
      </c>
      <c r="I147" s="57" t="str">
        <f>IF(I$125="", "", VLOOKUP($C147, 'Commodities (Clients) Input'!$CB$23:$CR$46, MATCH('Commodities (Clients) Output'!I$125, 'Commodities (Clients) Input'!$CB$21:$CR$21, 0), FALSE))</f>
        <v/>
      </c>
      <c r="J147" s="57" t="str">
        <f>IF(J$125="", "", VLOOKUP($C147, 'Commodities (Clients) Input'!$CB$23:$CR$46, MATCH('Commodities (Clients) Output'!J$125, 'Commodities (Clients) Input'!$CB$21:$CR$21, 0), FALSE))</f>
        <v/>
      </c>
      <c r="K147" s="57" t="str">
        <f>IF(K$125="", "", VLOOKUP($C147, 'Commodities (Clients) Input'!$CB$23:$CR$46, MATCH('Commodities (Clients) Output'!K$125, 'Commodities (Clients) Input'!$CB$21:$CR$21, 0), FALSE))</f>
        <v/>
      </c>
      <c r="L147" s="57" t="str">
        <f>IF(L$125="", "", VLOOKUP($C147, 'Commodities (Clients) Input'!$CB$23:$CR$46, MATCH('Commodities (Clients) Output'!L$125, 'Commodities (Clients) Input'!$CB$21:$CR$21, 0), FALSE))</f>
        <v/>
      </c>
      <c r="M147" s="58" t="str">
        <f>IF(M$125="", "", VLOOKUP($C147, 'Commodities (Clients) Input'!$CB$23:$CR$46, MATCH('Commodities (Clients) Output'!M$125, 'Commodities (Clients) Input'!$CB$21:$CR$21, 0), FALSE))</f>
        <v/>
      </c>
      <c r="N147" s="58" t="str">
        <f>IF(N$125="", "", VLOOKUP($C147, 'Commodities (Clients) Input'!$CB$23:$CR$46, MATCH('Commodities (Clients) Output'!N$125, 'Commodities (Clients) Input'!$CB$21:$CR$21, 0), FALSE))</f>
        <v/>
      </c>
      <c r="O147" s="58" t="str">
        <f>IF(O$125="", "", VLOOKUP($C147, 'Commodities (Clients) Input'!$CB$23:$CR$46, MATCH('Commodities (Clients) Output'!O$125, 'Commodities (Clients) Input'!$CB$21:$CR$21, 0), FALSE))</f>
        <v/>
      </c>
      <c r="P147" s="58" t="str">
        <f>IF(P$125="", "", VLOOKUP($C147, 'Commodities (Clients) Input'!$CB$23:$CR$46, MATCH('Commodities (Clients) Output'!P$125, 'Commodities (Clients) Input'!$CB$21:$CR$21, 0), FALSE))</f>
        <v/>
      </c>
      <c r="Q147" s="58" t="str">
        <f>IF(Q$125="", "", VLOOKUP($C147, 'Commodities (Clients) Input'!$CB$23:$CR$46, MATCH('Commodities (Clients) Output'!Q$125, 'Commodities (Clients) Input'!$CB$21:$CR$21, 0), FALSE))</f>
        <v/>
      </c>
      <c r="R147" s="58" t="str">
        <f>IF(R$125="", "", VLOOKUP($C147, 'Commodities (Clients) Input'!$CB$23:$CR$46, MATCH('Commodities (Clients) Output'!R$125, 'Commodities (Clients) Input'!$CB$21:$CR$21, 0), FALSE))</f>
        <v/>
      </c>
      <c r="S147" s="59" t="str">
        <f>IF(S$125="", "", VLOOKUP($C147, 'Commodities (Clients) Input'!$CB$23:$CR$46, MATCH('Commodities (Clients) Output'!S$125, 'Commodities (Clients) Input'!$CB$21:$CR$21, 0), FALSE))</f>
        <v/>
      </c>
      <c r="U147" s="928" t="str">
        <f t="shared" si="51"/>
        <v/>
      </c>
      <c r="V147" s="877" t="str">
        <f t="shared" si="52"/>
        <v/>
      </c>
      <c r="X147" s="856" t="e">
        <f t="shared" si="53"/>
        <v>#DIV/0!</v>
      </c>
      <c r="Y147" s="857" t="e">
        <f t="shared" si="54"/>
        <v>#DIV/0!</v>
      </c>
      <c r="Z147" s="856" t="e">
        <f t="shared" si="55"/>
        <v>#DIV/0!</v>
      </c>
      <c r="AA147" s="856" t="e">
        <f t="shared" si="56"/>
        <v>#DIV/0!</v>
      </c>
      <c r="AD147" s="445"/>
      <c r="AE147" s="449"/>
      <c r="AF147" s="447"/>
    </row>
    <row r="148" spans="2:32" ht="15.75" thickBot="1" x14ac:dyDescent="0.3">
      <c r="B148" s="1588"/>
      <c r="C148" s="277" t="str">
        <f>'Commodities (Clients) Input'!C44</f>
        <v>Barrière vaginale</v>
      </c>
      <c r="D148" s="56" t="str">
        <f>IF(D$125="", "", VLOOKUP($C148, 'Commodities (Clients) Input'!$CB$23:$CR$46, MATCH('Commodities (Clients) Output'!D$125, 'Commodities (Clients) Input'!$CB$21:$CR$21, 0), FALSE))</f>
        <v/>
      </c>
      <c r="E148" s="57" t="str">
        <f>IF(E$125="", "", VLOOKUP($C148, 'Commodities (Clients) Input'!$CB$23:$CR$46, MATCH('Commodities (Clients) Output'!E$125, 'Commodities (Clients) Input'!$CB$21:$CR$21, 0), FALSE))</f>
        <v/>
      </c>
      <c r="F148" s="57" t="str">
        <f>IF(F$125="", "", VLOOKUP($C148, 'Commodities (Clients) Input'!$CB$23:$CR$46, MATCH('Commodities (Clients) Output'!F$125, 'Commodities (Clients) Input'!$CB$21:$CR$21, 0), FALSE))</f>
        <v/>
      </c>
      <c r="G148" s="57" t="str">
        <f>IF(G$125="", "", VLOOKUP($C148, 'Commodities (Clients) Input'!$CB$23:$CR$46, MATCH('Commodities (Clients) Output'!G$125, 'Commodities (Clients) Input'!$CB$21:$CR$21, 0), FALSE))</f>
        <v/>
      </c>
      <c r="H148" s="57" t="str">
        <f>IF(H$125="", "", VLOOKUP($C148, 'Commodities (Clients) Input'!$CB$23:$CR$46, MATCH('Commodities (Clients) Output'!H$125, 'Commodities (Clients) Input'!$CB$21:$CR$21, 0), FALSE))</f>
        <v/>
      </c>
      <c r="I148" s="57" t="str">
        <f>IF(I$125="", "", VLOOKUP($C148, 'Commodities (Clients) Input'!$CB$23:$CR$46, MATCH('Commodities (Clients) Output'!I$125, 'Commodities (Clients) Input'!$CB$21:$CR$21, 0), FALSE))</f>
        <v/>
      </c>
      <c r="J148" s="57" t="str">
        <f>IF(J$125="", "", VLOOKUP($C148, 'Commodities (Clients) Input'!$CB$23:$CR$46, MATCH('Commodities (Clients) Output'!J$125, 'Commodities (Clients) Input'!$CB$21:$CR$21, 0), FALSE))</f>
        <v/>
      </c>
      <c r="K148" s="57" t="str">
        <f>IF(K$125="", "", VLOOKUP($C148, 'Commodities (Clients) Input'!$CB$23:$CR$46, MATCH('Commodities (Clients) Output'!K$125, 'Commodities (Clients) Input'!$CB$21:$CR$21, 0), FALSE))</f>
        <v/>
      </c>
      <c r="L148" s="57" t="str">
        <f>IF(L$125="", "", VLOOKUP($C148, 'Commodities (Clients) Input'!$CB$23:$CR$46, MATCH('Commodities (Clients) Output'!L$125, 'Commodities (Clients) Input'!$CB$21:$CR$21, 0), FALSE))</f>
        <v/>
      </c>
      <c r="M148" s="58" t="str">
        <f>IF(M$125="", "", VLOOKUP($C148, 'Commodities (Clients) Input'!$CB$23:$CR$46, MATCH('Commodities (Clients) Output'!M$125, 'Commodities (Clients) Input'!$CB$21:$CR$21, 0), FALSE))</f>
        <v/>
      </c>
      <c r="N148" s="58" t="str">
        <f>IF(N$125="", "", VLOOKUP($C148, 'Commodities (Clients) Input'!$CB$23:$CR$46, MATCH('Commodities (Clients) Output'!N$125, 'Commodities (Clients) Input'!$CB$21:$CR$21, 0), FALSE))</f>
        <v/>
      </c>
      <c r="O148" s="58" t="str">
        <f>IF(O$125="", "", VLOOKUP($C148, 'Commodities (Clients) Input'!$CB$23:$CR$46, MATCH('Commodities (Clients) Output'!O$125, 'Commodities (Clients) Input'!$CB$21:$CR$21, 0), FALSE))</f>
        <v/>
      </c>
      <c r="P148" s="58" t="str">
        <f>IF(P$125="", "", VLOOKUP($C148, 'Commodities (Clients) Input'!$CB$23:$CR$46, MATCH('Commodities (Clients) Output'!P$125, 'Commodities (Clients) Input'!$CB$21:$CR$21, 0), FALSE))</f>
        <v/>
      </c>
      <c r="Q148" s="58" t="str">
        <f>IF(Q$125="", "", VLOOKUP($C148, 'Commodities (Clients) Input'!$CB$23:$CR$46, MATCH('Commodities (Clients) Output'!Q$125, 'Commodities (Clients) Input'!$CB$21:$CR$21, 0), FALSE))</f>
        <v/>
      </c>
      <c r="R148" s="58" t="str">
        <f>IF(R$125="", "", VLOOKUP($C148, 'Commodities (Clients) Input'!$CB$23:$CR$46, MATCH('Commodities (Clients) Output'!R$125, 'Commodities (Clients) Input'!$CB$21:$CR$21, 0), FALSE))</f>
        <v/>
      </c>
      <c r="S148" s="59" t="str">
        <f>IF(S$125="", "", VLOOKUP($C148, 'Commodities (Clients) Input'!$CB$23:$CR$46, MATCH('Commodities (Clients) Output'!S$125, 'Commodities (Clients) Input'!$CB$21:$CR$21, 0), FALSE))</f>
        <v/>
      </c>
      <c r="U148" s="928" t="str">
        <f t="shared" si="51"/>
        <v/>
      </c>
      <c r="V148" s="877" t="str">
        <f t="shared" si="52"/>
        <v/>
      </c>
      <c r="X148" s="856" t="e">
        <f t="shared" si="53"/>
        <v>#DIV/0!</v>
      </c>
      <c r="Y148" s="857" t="e">
        <f t="shared" si="54"/>
        <v>#DIV/0!</v>
      </c>
      <c r="Z148" s="856" t="e">
        <f t="shared" si="55"/>
        <v>#DIV/0!</v>
      </c>
      <c r="AA148" s="856" t="e">
        <f t="shared" si="56"/>
        <v>#DIV/0!</v>
      </c>
      <c r="AD148" s="445"/>
      <c r="AE148" s="449"/>
      <c r="AF148" s="447"/>
    </row>
    <row r="149" spans="2:32" ht="15.75" thickBot="1" x14ac:dyDescent="0.3">
      <c r="B149" s="1589"/>
      <c r="C149" s="275" t="str">
        <f>'Commodities (Clients) Input'!C45</f>
        <v>Spermicides</v>
      </c>
      <c r="D149" s="60" t="str">
        <f>IF(D$125="", "", VLOOKUP($C149, 'Commodities (Clients) Input'!$CB$23:$CR$46, MATCH('Commodities (Clients) Output'!D$125, 'Commodities (Clients) Input'!$CB$21:$CR$21, 0), FALSE))</f>
        <v/>
      </c>
      <c r="E149" s="61" t="str">
        <f>IF(E$125="", "", VLOOKUP($C149, 'Commodities (Clients) Input'!$CB$23:$CR$46, MATCH('Commodities (Clients) Output'!E$125, 'Commodities (Clients) Input'!$CB$21:$CR$21, 0), FALSE))</f>
        <v/>
      </c>
      <c r="F149" s="61" t="str">
        <f>IF(F$125="", "", VLOOKUP($C149, 'Commodities (Clients) Input'!$CB$23:$CR$46, MATCH('Commodities (Clients) Output'!F$125, 'Commodities (Clients) Input'!$CB$21:$CR$21, 0), FALSE))</f>
        <v/>
      </c>
      <c r="G149" s="61" t="str">
        <f>IF(G$125="", "", VLOOKUP($C149, 'Commodities (Clients) Input'!$CB$23:$CR$46, MATCH('Commodities (Clients) Output'!G$125, 'Commodities (Clients) Input'!$CB$21:$CR$21, 0), FALSE))</f>
        <v/>
      </c>
      <c r="H149" s="61" t="str">
        <f>IF(H$125="", "", VLOOKUP($C149, 'Commodities (Clients) Input'!$CB$23:$CR$46, MATCH('Commodities (Clients) Output'!H$125, 'Commodities (Clients) Input'!$CB$21:$CR$21, 0), FALSE))</f>
        <v/>
      </c>
      <c r="I149" s="61" t="str">
        <f>IF(I$125="", "", VLOOKUP($C149, 'Commodities (Clients) Input'!$CB$23:$CR$46, MATCH('Commodities (Clients) Output'!I$125, 'Commodities (Clients) Input'!$CB$21:$CR$21, 0), FALSE))</f>
        <v/>
      </c>
      <c r="J149" s="61" t="str">
        <f>IF(J$125="", "", VLOOKUP($C149, 'Commodities (Clients) Input'!$CB$23:$CR$46, MATCH('Commodities (Clients) Output'!J$125, 'Commodities (Clients) Input'!$CB$21:$CR$21, 0), FALSE))</f>
        <v/>
      </c>
      <c r="K149" s="61" t="str">
        <f>IF(K$125="", "", VLOOKUP($C149, 'Commodities (Clients) Input'!$CB$23:$CR$46, MATCH('Commodities (Clients) Output'!K$125, 'Commodities (Clients) Input'!$CB$21:$CR$21, 0), FALSE))</f>
        <v/>
      </c>
      <c r="L149" s="61" t="str">
        <f>IF(L$125="", "", VLOOKUP($C149, 'Commodities (Clients) Input'!$CB$23:$CR$46, MATCH('Commodities (Clients) Output'!L$125, 'Commodities (Clients) Input'!$CB$21:$CR$21, 0), FALSE))</f>
        <v/>
      </c>
      <c r="M149" s="62" t="str">
        <f>IF(M$125="", "", VLOOKUP($C149, 'Commodities (Clients) Input'!$CB$23:$CR$46, MATCH('Commodities (Clients) Output'!M$125, 'Commodities (Clients) Input'!$CB$21:$CR$21, 0), FALSE))</f>
        <v/>
      </c>
      <c r="N149" s="62" t="str">
        <f>IF(N$125="", "", VLOOKUP($C149, 'Commodities (Clients) Input'!$CB$23:$CR$46, MATCH('Commodities (Clients) Output'!N$125, 'Commodities (Clients) Input'!$CB$21:$CR$21, 0), FALSE))</f>
        <v/>
      </c>
      <c r="O149" s="62" t="str">
        <f>IF(O$125="", "", VLOOKUP($C149, 'Commodities (Clients) Input'!$CB$23:$CR$46, MATCH('Commodities (Clients) Output'!O$125, 'Commodities (Clients) Input'!$CB$21:$CR$21, 0), FALSE))</f>
        <v/>
      </c>
      <c r="P149" s="62" t="str">
        <f>IF(P$125="", "", VLOOKUP($C149, 'Commodities (Clients) Input'!$CB$23:$CR$46, MATCH('Commodities (Clients) Output'!P$125, 'Commodities (Clients) Input'!$CB$21:$CR$21, 0), FALSE))</f>
        <v/>
      </c>
      <c r="Q149" s="62" t="str">
        <f>IF(Q$125="", "", VLOOKUP($C149, 'Commodities (Clients) Input'!$CB$23:$CR$46, MATCH('Commodities (Clients) Output'!Q$125, 'Commodities (Clients) Input'!$CB$21:$CR$21, 0), FALSE))</f>
        <v/>
      </c>
      <c r="R149" s="62" t="str">
        <f>IF(R$125="", "", VLOOKUP($C149, 'Commodities (Clients) Input'!$CB$23:$CR$46, MATCH('Commodities (Clients) Output'!R$125, 'Commodities (Clients) Input'!$CB$21:$CR$21, 0), FALSE))</f>
        <v/>
      </c>
      <c r="S149" s="63" t="str">
        <f>IF(S$125="", "", VLOOKUP($C149, 'Commodities (Clients) Input'!$CB$23:$CR$46, MATCH('Commodities (Clients) Output'!S$125, 'Commodities (Clients) Input'!$CB$21:$CR$21, 0), FALSE))</f>
        <v/>
      </c>
      <c r="U149" s="928" t="str">
        <f t="shared" si="51"/>
        <v/>
      </c>
      <c r="V149" s="877" t="str">
        <f t="shared" si="52"/>
        <v/>
      </c>
      <c r="X149" s="856" t="e">
        <f t="shared" si="53"/>
        <v>#DIV/0!</v>
      </c>
      <c r="Y149" s="857" t="e">
        <f t="shared" si="54"/>
        <v>#DIV/0!</v>
      </c>
      <c r="Z149" s="856" t="e">
        <f t="shared" si="55"/>
        <v>#DIV/0!</v>
      </c>
      <c r="AA149" s="856" t="e">
        <f t="shared" si="56"/>
        <v>#DIV/0!</v>
      </c>
      <c r="AD149" s="445"/>
      <c r="AE149" s="449"/>
      <c r="AF149" s="447"/>
    </row>
    <row r="150" spans="2:32" ht="32.25" customHeight="1" thickBot="1" x14ac:dyDescent="0.3">
      <c r="B150" s="179" t="str">
        <f>'Commodities (Clients) Input'!B46</f>
        <v>Contraception d'urgence</v>
      </c>
      <c r="C150" s="281" t="str">
        <f>'Commodities (Clients) Input'!C46</f>
        <v>CU</v>
      </c>
      <c r="D150" s="52" t="str">
        <f>IF(D$125="", "", VLOOKUP($C150, 'Commodities (Clients) Input'!$CB$23:$CR$46, MATCH('Commodities (Clients) Output'!D$125, 'Commodities (Clients) Input'!$CB$21:$CR$21, 0), FALSE))</f>
        <v/>
      </c>
      <c r="E150" s="53" t="str">
        <f>IF(E$125="", "", VLOOKUP($C150, 'Commodities (Clients) Input'!$CB$23:$CR$46, MATCH('Commodities (Clients) Output'!E$125, 'Commodities (Clients) Input'!$CB$21:$CR$21, 0), FALSE))</f>
        <v/>
      </c>
      <c r="F150" s="53" t="str">
        <f>IF(F$125="", "", VLOOKUP($C150, 'Commodities (Clients) Input'!$CB$23:$CR$46, MATCH('Commodities (Clients) Output'!F$125, 'Commodities (Clients) Input'!$CB$21:$CR$21, 0), FALSE))</f>
        <v/>
      </c>
      <c r="G150" s="53" t="str">
        <f>IF(G$125="", "", VLOOKUP($C150, 'Commodities (Clients) Input'!$CB$23:$CR$46, MATCH('Commodities (Clients) Output'!G$125, 'Commodities (Clients) Input'!$CB$21:$CR$21, 0), FALSE))</f>
        <v/>
      </c>
      <c r="H150" s="53" t="str">
        <f>IF(H$125="", "", VLOOKUP($C150, 'Commodities (Clients) Input'!$CB$23:$CR$46, MATCH('Commodities (Clients) Output'!H$125, 'Commodities (Clients) Input'!$CB$21:$CR$21, 0), FALSE))</f>
        <v/>
      </c>
      <c r="I150" s="53" t="str">
        <f>IF(I$125="", "", VLOOKUP($C150, 'Commodities (Clients) Input'!$CB$23:$CR$46, MATCH('Commodities (Clients) Output'!I$125, 'Commodities (Clients) Input'!$CB$21:$CR$21, 0), FALSE))</f>
        <v/>
      </c>
      <c r="J150" s="53" t="str">
        <f>IF(J$125="", "", VLOOKUP($C150, 'Commodities (Clients) Input'!$CB$23:$CR$46, MATCH('Commodities (Clients) Output'!J$125, 'Commodities (Clients) Input'!$CB$21:$CR$21, 0), FALSE))</f>
        <v/>
      </c>
      <c r="K150" s="53" t="str">
        <f>IF(K$125="", "", VLOOKUP($C150, 'Commodities (Clients) Input'!$CB$23:$CR$46, MATCH('Commodities (Clients) Output'!K$125, 'Commodities (Clients) Input'!$CB$21:$CR$21, 0), FALSE))</f>
        <v/>
      </c>
      <c r="L150" s="53" t="str">
        <f>IF(L$125="", "", VLOOKUP($C150, 'Commodities (Clients) Input'!$CB$23:$CR$46, MATCH('Commodities (Clients) Output'!L$125, 'Commodities (Clients) Input'!$CB$21:$CR$21, 0), FALSE))</f>
        <v/>
      </c>
      <c r="M150" s="54" t="str">
        <f>IF(M$125="", "", VLOOKUP($C150, 'Commodities (Clients) Input'!$CB$23:$CR$46, MATCH('Commodities (Clients) Output'!M$125, 'Commodities (Clients) Input'!$CB$21:$CR$21, 0), FALSE))</f>
        <v/>
      </c>
      <c r="N150" s="54" t="str">
        <f>IF(N$125="", "", VLOOKUP($C150, 'Commodities (Clients) Input'!$CB$23:$CR$46, MATCH('Commodities (Clients) Output'!N$125, 'Commodities (Clients) Input'!$CB$21:$CR$21, 0), FALSE))</f>
        <v/>
      </c>
      <c r="O150" s="54" t="str">
        <f>IF(O$125="", "", VLOOKUP($C150, 'Commodities (Clients) Input'!$CB$23:$CR$46, MATCH('Commodities (Clients) Output'!O$125, 'Commodities (Clients) Input'!$CB$21:$CR$21, 0), FALSE))</f>
        <v/>
      </c>
      <c r="P150" s="54" t="str">
        <f>IF(P$125="", "", VLOOKUP($C150, 'Commodities (Clients) Input'!$CB$23:$CR$46, MATCH('Commodities (Clients) Output'!P$125, 'Commodities (Clients) Input'!$CB$21:$CR$21, 0), FALSE))</f>
        <v/>
      </c>
      <c r="Q150" s="54" t="str">
        <f>IF(Q$125="", "", VLOOKUP($C150, 'Commodities (Clients) Input'!$CB$23:$CR$46, MATCH('Commodities (Clients) Output'!Q$125, 'Commodities (Clients) Input'!$CB$21:$CR$21, 0), FALSE))</f>
        <v/>
      </c>
      <c r="R150" s="54" t="str">
        <f>IF(R$125="", "", VLOOKUP($C150, 'Commodities (Clients) Input'!$CB$23:$CR$46, MATCH('Commodities (Clients) Output'!R$125, 'Commodities (Clients) Input'!$CB$21:$CR$21, 0), FALSE))</f>
        <v/>
      </c>
      <c r="S150" s="55" t="str">
        <f>IF(S$125="", "", VLOOKUP($C150, 'Commodities (Clients) Input'!$CB$23:$CR$46, MATCH('Commodities (Clients) Output'!S$125, 'Commodities (Clients) Input'!$CB$21:$CR$21, 0), FALSE))</f>
        <v/>
      </c>
      <c r="U150" s="928" t="str">
        <f t="shared" si="51"/>
        <v/>
      </c>
      <c r="V150" s="877" t="str">
        <f t="shared" si="52"/>
        <v/>
      </c>
      <c r="X150" s="856" t="e">
        <f t="shared" si="53"/>
        <v>#DIV/0!</v>
      </c>
      <c r="Y150" s="857" t="e">
        <f t="shared" si="54"/>
        <v>#DIV/0!</v>
      </c>
      <c r="Z150" s="856" t="e">
        <f t="shared" si="55"/>
        <v>#DIV/0!</v>
      </c>
      <c r="AA150" s="856" t="e">
        <f t="shared" si="56"/>
        <v>#DIV/0!</v>
      </c>
      <c r="AD150" s="445"/>
      <c r="AE150" s="449"/>
      <c r="AF150" s="447"/>
    </row>
    <row r="151" spans="2:32" ht="11.25" customHeight="1" thickBot="1" x14ac:dyDescent="0.3">
      <c r="C151"/>
      <c r="AD151" s="445"/>
      <c r="AE151" s="449"/>
      <c r="AF151" s="447"/>
    </row>
    <row r="152" spans="2:32" s="188" customFormat="1" ht="19.5" thickBot="1" x14ac:dyDescent="0.35">
      <c r="B152" s="1585" t="str">
        <f>IF(Language="English",'Language Look Ups'!O31,IF(Language="Francais", 'Language Look Ups'!S31,'Language Look Ups'!Q31))</f>
        <v>Estimation des Utilisatrices Modernes</v>
      </c>
      <c r="C152" s="1585"/>
      <c r="D152" s="959" t="str">
        <f t="shared" ref="D152:S152" si="57">IF(D125="", "", IF(SUM(D127:D133,D136:D150)=0, "", SUM(D127:D133,D136:D150)))</f>
        <v/>
      </c>
      <c r="E152" s="959" t="str">
        <f t="shared" si="57"/>
        <v/>
      </c>
      <c r="F152" s="959" t="str">
        <f t="shared" si="57"/>
        <v/>
      </c>
      <c r="G152" s="959" t="str">
        <f t="shared" si="57"/>
        <v/>
      </c>
      <c r="H152" s="959" t="str">
        <f t="shared" si="57"/>
        <v/>
      </c>
      <c r="I152" s="959" t="str">
        <f t="shared" si="57"/>
        <v/>
      </c>
      <c r="J152" s="959" t="str">
        <f t="shared" si="57"/>
        <v/>
      </c>
      <c r="K152" s="959" t="str">
        <f t="shared" si="57"/>
        <v/>
      </c>
      <c r="L152" s="959" t="str">
        <f t="shared" si="57"/>
        <v/>
      </c>
      <c r="M152" s="959" t="str">
        <f t="shared" si="57"/>
        <v/>
      </c>
      <c r="N152" s="959" t="str">
        <f t="shared" si="57"/>
        <v/>
      </c>
      <c r="O152" s="959" t="str">
        <f t="shared" si="57"/>
        <v/>
      </c>
      <c r="P152" s="959" t="str">
        <f t="shared" si="57"/>
        <v/>
      </c>
      <c r="Q152" s="959" t="str">
        <f t="shared" si="57"/>
        <v/>
      </c>
      <c r="R152" s="959" t="str">
        <f t="shared" si="57"/>
        <v/>
      </c>
      <c r="S152" s="959" t="str">
        <f t="shared" si="57"/>
        <v/>
      </c>
      <c r="U152" s="876" t="str">
        <f>IF(COUNTIF($D152:$S152, "&gt;"&amp;Z152)+COUNTIF($D152:$S152, "&lt;"&amp;AA152)&gt;0, $U$124, "")</f>
        <v/>
      </c>
      <c r="V152" s="877" t="str">
        <f>IFERROR(IF(U152="", "", "("&amp;TEXT(AA152, "0")&amp;$AC$125&amp;TEXT(Z152, "0")&amp;")"), "")</f>
        <v/>
      </c>
      <c r="W152" s="809"/>
      <c r="X152" s="856" t="e">
        <f t="shared" si="53"/>
        <v>#DIV/0!</v>
      </c>
      <c r="Y152" s="857" t="e">
        <f t="shared" si="54"/>
        <v>#DIV/0!</v>
      </c>
      <c r="Z152" s="856" t="e">
        <f>X152+Y152</f>
        <v>#DIV/0!</v>
      </c>
      <c r="AA152" s="856" t="e">
        <f>X152-Y152</f>
        <v>#DIV/0!</v>
      </c>
      <c r="AD152" s="446"/>
      <c r="AE152" s="450"/>
      <c r="AF152" s="448"/>
    </row>
    <row r="153" spans="2:32" s="188" customFormat="1" ht="36" customHeight="1" thickBot="1" x14ac:dyDescent="0.35">
      <c r="B153" s="1586" t="str">
        <f>IF(Language="English",'Language Look Ups'!O32,IF(Language="Francais", 'Language Look Ups'!S32,'Language Look Ups'!Q32))</f>
        <v>Estimation des Utilisatrices Modernes , exclusion des Préservatifs**</v>
      </c>
      <c r="C153" s="1586"/>
      <c r="D153" s="929" t="str">
        <f t="shared" ref="D153:S153" si="58">IFERROR(IF(D125="", "",D152-SUM(D144:D145)), "")</f>
        <v/>
      </c>
      <c r="E153" s="929" t="str">
        <f t="shared" si="58"/>
        <v/>
      </c>
      <c r="F153" s="929" t="str">
        <f t="shared" si="58"/>
        <v/>
      </c>
      <c r="G153" s="929" t="str">
        <f t="shared" si="58"/>
        <v/>
      </c>
      <c r="H153" s="929" t="str">
        <f t="shared" si="58"/>
        <v/>
      </c>
      <c r="I153" s="929" t="str">
        <f t="shared" si="58"/>
        <v/>
      </c>
      <c r="J153" s="929" t="str">
        <f t="shared" si="58"/>
        <v/>
      </c>
      <c r="K153" s="929" t="str">
        <f t="shared" si="58"/>
        <v/>
      </c>
      <c r="L153" s="929" t="str">
        <f t="shared" si="58"/>
        <v/>
      </c>
      <c r="M153" s="929" t="str">
        <f t="shared" si="58"/>
        <v/>
      </c>
      <c r="N153" s="929" t="str">
        <f t="shared" si="58"/>
        <v/>
      </c>
      <c r="O153" s="929" t="str">
        <f t="shared" si="58"/>
        <v/>
      </c>
      <c r="P153" s="929" t="str">
        <f t="shared" si="58"/>
        <v/>
      </c>
      <c r="Q153" s="929" t="str">
        <f t="shared" si="58"/>
        <v/>
      </c>
      <c r="R153" s="929" t="str">
        <f t="shared" si="58"/>
        <v/>
      </c>
      <c r="S153" s="929" t="str">
        <f t="shared" si="58"/>
        <v/>
      </c>
      <c r="U153" s="876" t="str">
        <f>IF(COUNTIF($D153:$S153, "&gt;"&amp;Z153)+COUNTIF($D153:$S153, "&lt;"&amp;AA153)&gt;0, $U$124, "")</f>
        <v/>
      </c>
      <c r="V153" s="877" t="str">
        <f>IFERROR(IF(U153="", "", "("&amp;TEXT(AA153, "0")&amp;$AC$125&amp;TEXT(Z153, "0")&amp;")"), "")</f>
        <v/>
      </c>
      <c r="W153" s="809"/>
      <c r="X153" s="856" t="e">
        <f t="shared" si="53"/>
        <v>#DIV/0!</v>
      </c>
      <c r="Y153" s="857" t="e">
        <f t="shared" si="54"/>
        <v>#DIV/0!</v>
      </c>
      <c r="Z153" s="856" t="e">
        <f>X153+Y153</f>
        <v>#DIV/0!</v>
      </c>
      <c r="AA153" s="856" t="e">
        <f>X153-Y153</f>
        <v>#DIV/0!</v>
      </c>
      <c r="AD153" s="446"/>
      <c r="AE153" s="450"/>
      <c r="AF153" s="448"/>
    </row>
    <row r="154" spans="2:32" ht="32.25" customHeight="1" x14ac:dyDescent="0.25">
      <c r="B154" s="1566" t="str">
        <f>IF(Language="English", AD154,AF154 )</f>
        <v xml:space="preserve">**Pour calculer l'EUM, l'exclusion des préservatifs est recommandée pour éviter des problèmes éventuels avec les données sur les préservatifs liées à une utilisation d'une double méthode , les difficultés liées à l'estimation des utilisatrices à partir des données sur les préservatifs et parce que dans de nombreux pays, les préservatifs sont généralement accédés par le secteur privé.   </v>
      </c>
      <c r="C154" s="1566"/>
      <c r="D154" s="1566"/>
      <c r="E154" s="1566"/>
      <c r="F154" s="1566"/>
      <c r="G154" s="1566"/>
      <c r="H154" s="1566"/>
      <c r="I154" s="1566"/>
      <c r="J154" s="1566"/>
      <c r="K154" s="1566"/>
      <c r="L154" s="1566"/>
      <c r="M154" s="1566"/>
      <c r="N154" s="1566"/>
      <c r="O154" s="1566"/>
      <c r="P154" s="1566"/>
      <c r="Q154" s="1566"/>
      <c r="R154" s="1566"/>
      <c r="S154" s="1566"/>
      <c r="AD154" s="445" t="s">
        <v>584</v>
      </c>
      <c r="AE154" s="449"/>
      <c r="AF154" s="447" t="s">
        <v>2437</v>
      </c>
    </row>
  </sheetData>
  <mergeCells count="59">
    <mergeCell ref="B68:I68"/>
    <mergeCell ref="K68:U68"/>
    <mergeCell ref="B63:U63"/>
    <mergeCell ref="C70:I70"/>
    <mergeCell ref="B64:I64"/>
    <mergeCell ref="K64:U64"/>
    <mergeCell ref="K65:N65"/>
    <mergeCell ref="B66:I66"/>
    <mergeCell ref="B67:I67"/>
    <mergeCell ref="K67:U67"/>
    <mergeCell ref="K69:U69"/>
    <mergeCell ref="X124:X126"/>
    <mergeCell ref="Y124:Y126"/>
    <mergeCell ref="Z124:Z126"/>
    <mergeCell ref="AA124:AA126"/>
    <mergeCell ref="V124:V125"/>
    <mergeCell ref="K78:U78"/>
    <mergeCell ref="B75:I75"/>
    <mergeCell ref="B152:C152"/>
    <mergeCell ref="B153:C153"/>
    <mergeCell ref="B146:B149"/>
    <mergeCell ref="B124:C125"/>
    <mergeCell ref="B99:S99"/>
    <mergeCell ref="C107:H108"/>
    <mergeCell ref="L107:R108"/>
    <mergeCell ref="B122:V122"/>
    <mergeCell ref="U124:U125"/>
    <mergeCell ref="B1:V1"/>
    <mergeCell ref="B136:B140"/>
    <mergeCell ref="B141:B143"/>
    <mergeCell ref="B144:B145"/>
    <mergeCell ref="D124:S124"/>
    <mergeCell ref="B127:B128"/>
    <mergeCell ref="B129:B130"/>
    <mergeCell ref="B131:B133"/>
    <mergeCell ref="L92:V92"/>
    <mergeCell ref="K75:U75"/>
    <mergeCell ref="B88:I88"/>
    <mergeCell ref="B89:I89"/>
    <mergeCell ref="B90:I90"/>
    <mergeCell ref="K88:U88"/>
    <mergeCell ref="K89:U89"/>
    <mergeCell ref="K90:U90"/>
    <mergeCell ref="B3:U3"/>
    <mergeCell ref="B91:I91"/>
    <mergeCell ref="K91:U91"/>
    <mergeCell ref="B154:S154"/>
    <mergeCell ref="K76:N76"/>
    <mergeCell ref="B81:I81"/>
    <mergeCell ref="K81:U81"/>
    <mergeCell ref="B83:I83"/>
    <mergeCell ref="B84:I84"/>
    <mergeCell ref="K84:U84"/>
    <mergeCell ref="B85:I85"/>
    <mergeCell ref="K85:U85"/>
    <mergeCell ref="K79:U79"/>
    <mergeCell ref="B77:I77"/>
    <mergeCell ref="B78:I78"/>
    <mergeCell ref="B79:I79"/>
  </mergeCells>
  <conditionalFormatting sqref="D127:S133">
    <cfRule type="containsBlanks" dxfId="190" priority="4">
      <formula>LEN(TRIM(D127))=0</formula>
    </cfRule>
    <cfRule type="cellIs" dxfId="189" priority="5" operator="greaterThan">
      <formula>$Z127</formula>
    </cfRule>
    <cfRule type="cellIs" dxfId="188" priority="6" operator="lessThan">
      <formula>$AA127</formula>
    </cfRule>
  </conditionalFormatting>
  <conditionalFormatting sqref="D136:S150">
    <cfRule type="containsBlanks" dxfId="187" priority="1">
      <formula>LEN(TRIM(D136))=0</formula>
    </cfRule>
    <cfRule type="cellIs" dxfId="186" priority="2" operator="greaterThan">
      <formula>$Z136</formula>
    </cfRule>
    <cfRule type="cellIs" dxfId="185" priority="3" operator="lessThan">
      <formula>$AA136</formula>
    </cfRule>
  </conditionalFormatting>
  <dataValidations count="2">
    <dataValidation type="list" allowBlank="1" showInputMessage="1" showErrorMessage="1" sqref="O76 O65" xr:uid="{0DA1EF69-F1F3-4C6C-821B-A9E3CFA80CAE}">
      <formula1>Year_C2C</formula1>
    </dataValidation>
    <dataValidation type="list" allowBlank="1" showInputMessage="1" showErrorMessage="1" sqref="C100" xr:uid="{00000000-0002-0000-0A00-000000000000}">
      <formula1>$AC$99:$AC$100</formula1>
    </dataValidation>
  </dataValidations>
  <hyperlinks>
    <hyperlink ref="C107:H108" location="'Commodities (Facility) Input'!A1" tooltip="Set Up" display="'Commodities (Facility) Input'!A1" xr:uid="{00000000-0004-0000-0A00-000000000000}"/>
    <hyperlink ref="L107:R108" location="'&quot;EMU&quot; Output'!A1" tooltip="EMU Review" display="Go to Final EMU Review" xr:uid="{00000000-0004-0000-0A00-000001000000}"/>
    <hyperlink ref="C70:F70" location="'4. FPSource Set Up'!A1" display="Return to FP Source Set Up to review Private Sector Adjustment" xr:uid="{DD927B38-E5A1-487B-99CC-45E911C8E9DD}"/>
    <hyperlink ref="C70:I70" location="'4. FPSource Set Up'!A1" tooltip="Return to Set-Up Step 4" display="Return to FP Source Set Up to review Private Sector Adjustment" xr:uid="{01A1D045-46F9-4430-A463-7C8A3BCE6085}"/>
  </hyperlinks>
  <pageMargins left="0.7" right="0.7" top="0.75" bottom="0.75" header="0.3" footer="0.3"/>
  <pageSetup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9F7DCD91B8389F4BA7473DC6886A7297" ma:contentTypeVersion="7" ma:contentTypeDescription="Create a new document." ma:contentTypeScope="" ma:versionID="4d3ce19d226168417e362bb55be585b2">
  <xsd:schema xmlns:xsd="http://www.w3.org/2001/XMLSchema" xmlns:xs="http://www.w3.org/2001/XMLSchema" xmlns:p="http://schemas.microsoft.com/office/2006/metadata/properties" xmlns:ns2="1bf9f6c9-a5f9-4c49-ba4c-041e0db932b4" xmlns:ns3="b5666cef-a35c-4163-9b1b-6ae4e9763962" targetNamespace="http://schemas.microsoft.com/office/2006/metadata/properties" ma:root="true" ma:fieldsID="d4368121867b36de5c872caeca9b33b3" ns2:_="" ns3:_="">
    <xsd:import namespace="1bf9f6c9-a5f9-4c49-ba4c-041e0db932b4"/>
    <xsd:import namespace="b5666cef-a35c-4163-9b1b-6ae4e9763962"/>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f9f6c9-a5f9-4c49-ba4c-041e0db932b4"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5666cef-a35c-4163-9b1b-6ae4e9763962"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MediaServiceDateTaken" ma:index="12"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OCR" ma:index="14" nillable="true" ma:displayName="MediaServiceOCR"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60D7947-3586-4419-A0C2-CF15ED536910}">
  <ds:schemaRefs>
    <ds:schemaRef ds:uri="http://schemas.microsoft.com/office/2006/metadata/properties"/>
    <ds:schemaRef ds:uri="http://purl.org/dc/terms/"/>
    <ds:schemaRef ds:uri="http://schemas.openxmlformats.org/package/2006/metadata/core-properties"/>
    <ds:schemaRef ds:uri="http://schemas.microsoft.com/office/2006/documentManagement/types"/>
    <ds:schemaRef ds:uri="b5666cef-a35c-4163-9b1b-6ae4e9763962"/>
    <ds:schemaRef ds:uri="1bf9f6c9-a5f9-4c49-ba4c-041e0db932b4"/>
    <ds:schemaRef ds:uri="http://purl.org/dc/elements/1.1/"/>
    <ds:schemaRef ds:uri="http://schemas.microsoft.com/office/infopath/2007/PartnerControls"/>
    <ds:schemaRef ds:uri="http://www.w3.org/XML/1998/namespace"/>
    <ds:schemaRef ds:uri="http://purl.org/dc/dcmitype/"/>
  </ds:schemaRefs>
</ds:datastoreItem>
</file>

<file path=customXml/itemProps2.xml><?xml version="1.0" encoding="utf-8"?>
<ds:datastoreItem xmlns:ds="http://schemas.openxmlformats.org/officeDocument/2006/customXml" ds:itemID="{EF1DA97B-92C2-4E49-A0EC-815B8433787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f9f6c9-a5f9-4c49-ba4c-041e0db932b4"/>
    <ds:schemaRef ds:uri="b5666cef-a35c-4163-9b1b-6ae4e976396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ED3AE5A-29BE-4DDD-9264-76A6E88EDA5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7</vt:i4>
      </vt:variant>
    </vt:vector>
  </HeadingPairs>
  <TitlesOfParts>
    <vt:vector size="39" baseType="lpstr">
      <vt:lpstr>Introduction</vt:lpstr>
      <vt:lpstr>1. Country_Language Set Up</vt:lpstr>
      <vt:lpstr>2. Pop_Prev Set Up</vt:lpstr>
      <vt:lpstr>3. ServiceStats Set Up</vt:lpstr>
      <vt:lpstr>4. FPSource Set Up</vt:lpstr>
      <vt:lpstr>Prev by Source</vt:lpstr>
      <vt:lpstr>5. MethodMix Set Up</vt:lpstr>
      <vt:lpstr>Commodities (Clients) Input</vt:lpstr>
      <vt:lpstr>Commodities (Clients) Output</vt:lpstr>
      <vt:lpstr>Commodities (Facility) Input</vt:lpstr>
      <vt:lpstr>Commodities (Facility) Output</vt:lpstr>
      <vt:lpstr>Visits Input</vt:lpstr>
      <vt:lpstr>Visits Output</vt:lpstr>
      <vt:lpstr>Users Input</vt:lpstr>
      <vt:lpstr>Users Output</vt:lpstr>
      <vt:lpstr>"EMU" Output</vt:lpstr>
      <vt:lpstr>Language Look Ups</vt:lpstr>
      <vt:lpstr>c7_movementrestrictions</vt:lpstr>
      <vt:lpstr>Review of PS Adjustment</vt:lpstr>
      <vt:lpstr>Monthly Data Input</vt:lpstr>
      <vt:lpstr>Monthly Data Output</vt:lpstr>
      <vt:lpstr>Assumptions</vt:lpstr>
      <vt:lpstr>FPSource</vt:lpstr>
      <vt:lpstr>mCPR - MW - AW- DHS</vt:lpstr>
      <vt:lpstr>mCPR - MW - AW - PMA</vt:lpstr>
      <vt:lpstr>mCPR - MW - AW- MICS</vt:lpstr>
      <vt:lpstr>Modern Method Mix 2022</vt:lpstr>
      <vt:lpstr>mCPR (MW) 2022 FPET</vt:lpstr>
      <vt:lpstr>mCPR (AW) 2022 FPET</vt:lpstr>
      <vt:lpstr>Country Code</vt:lpstr>
      <vt:lpstr>WRA WPP 2022</vt:lpstr>
      <vt:lpstr>mWRA WPP 2022</vt:lpstr>
      <vt:lpstr>Country</vt:lpstr>
      <vt:lpstr>Country_Selected</vt:lpstr>
      <vt:lpstr>DataTypes</vt:lpstr>
      <vt:lpstr>Language</vt:lpstr>
      <vt:lpstr>Population</vt:lpstr>
      <vt:lpstr>ScalingUp?</vt:lpstr>
      <vt:lpstr>Subnational_YN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Stover</dc:creator>
  <cp:lastModifiedBy>Bunny</cp:lastModifiedBy>
  <cp:lastPrinted>2022-11-08T18:27:00Z</cp:lastPrinted>
  <dcterms:created xsi:type="dcterms:W3CDTF">2014-04-13T13:43:50Z</dcterms:created>
  <dcterms:modified xsi:type="dcterms:W3CDTF">2022-11-09T16:20:19Z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0x0101009F7DCD91B8389F4BA7473DC6886A7297</vt:lpwstr>
  </property>
</Properties>
</file>